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/>
  </bookViews>
  <sheets>
    <sheet name="Recap" sheetId="19" r:id="rId1"/>
    <sheet name="Masques" sheetId="27" r:id="rId2"/>
    <sheet name="Models" sheetId="6" r:id="rId3"/>
    <sheet name="Réglage perte" sheetId="7" r:id="rId4"/>
    <sheet name="2022" sheetId="1" r:id="rId5"/>
    <sheet name="2023" sheetId="15" r:id="rId6"/>
    <sheet name="2024" sheetId="16" r:id="rId7"/>
    <sheet name="2025" sheetId="17" r:id="rId8"/>
    <sheet name="2026" sheetId="18" r:id="rId9"/>
    <sheet name="2027" sheetId="20" r:id="rId10"/>
    <sheet name="2028" sheetId="22" r:id="rId11"/>
    <sheet name="2029" sheetId="23" r:id="rId12"/>
    <sheet name="2030" sheetId="24" r:id="rId13"/>
    <sheet name="2031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'2022'!$E$8</definedName>
    <definedName name="Acti_net" localSheetId="5">'2023'!$E$8</definedName>
    <definedName name="Acti_net" localSheetId="6">'2024'!$E$8</definedName>
    <definedName name="Acti_net" localSheetId="7">'2025'!$E$8</definedName>
    <definedName name="Acti_net" localSheetId="8">'2026'!$E$8</definedName>
    <definedName name="Acti_net" localSheetId="9">'2027'!$E$8</definedName>
    <definedName name="Acti_net" localSheetId="10">'2028'!$E$8</definedName>
    <definedName name="Acti_net" localSheetId="11">'2029'!$E$8</definedName>
    <definedName name="Acti_net" localSheetId="12">'2030'!$E$8</definedName>
    <definedName name="Acti_net" localSheetId="13">'2031'!$E$8</definedName>
    <definedName name="Acti_tai" localSheetId="4">'2022'!$F$8</definedName>
    <definedName name="Acti_tai" localSheetId="5">'2023'!$F$8</definedName>
    <definedName name="Acti_tai" localSheetId="6">'2024'!$F$8</definedName>
    <definedName name="Acti_tai" localSheetId="7">'2025'!$F$8</definedName>
    <definedName name="Acti_tai" localSheetId="8">'2026'!$F$8</definedName>
    <definedName name="Acti_tai" localSheetId="9">'2027'!$F$8</definedName>
    <definedName name="Acti_tai" localSheetId="10">'2028'!$F$8</definedName>
    <definedName name="Acti_tai" localSheetId="11">'2029'!$F$8</definedName>
    <definedName name="Acti_tai" localSheetId="12">'2030'!$F$8</definedName>
    <definedName name="Acti_tai" localSheetId="13">'2031'!$F$8</definedName>
    <definedName name="Ajust_M">Models!$Y$1</definedName>
    <definedName name="Amaj">'2022'!$G$3</definedName>
    <definedName name="An" localSheetId="4">'2022'!$J$1</definedName>
    <definedName name="An" localSheetId="5">'2023'!$J$1</definedName>
    <definedName name="An" localSheetId="6">'2024'!$J$1</definedName>
    <definedName name="An" localSheetId="7">'2025'!$J$1</definedName>
    <definedName name="An" localSheetId="8">'2026'!$J$1</definedName>
    <definedName name="An" localSheetId="9">'2027'!$J$1</definedName>
    <definedName name="An" localSheetId="10">'2028'!$J$1</definedName>
    <definedName name="An" localSheetId="11">'2029'!$J$1</definedName>
    <definedName name="An" localSheetId="12">'2030'!$J$1</definedName>
    <definedName name="An" localSheetId="13">'2031'!$J$1</definedName>
    <definedName name="An_max" localSheetId="4">'2022'!$J$15:$J$380</definedName>
    <definedName name="An_max" localSheetId="5">'2023'!$J$15:$J$380</definedName>
    <definedName name="An_max" localSheetId="6">'2024'!$J$15:$J$380</definedName>
    <definedName name="An_max" localSheetId="7">'2025'!$J$15:$J$380</definedName>
    <definedName name="An_max" localSheetId="8">'2026'!$J$15:$J$380</definedName>
    <definedName name="An_max" localSheetId="9">'2027'!$J$15:$J$380</definedName>
    <definedName name="An_max" localSheetId="10">'2028'!$J$15:$J$380</definedName>
    <definedName name="An_max" localSheetId="11">'2029'!$J$15:$J$380</definedName>
    <definedName name="An_max" localSheetId="12">'2030'!$J$15:$J$380</definedName>
    <definedName name="An_max" localSheetId="13">'2031'!$J$15:$J$380</definedName>
    <definedName name="An_Tnet" localSheetId="4">'2022'!$F$7</definedName>
    <definedName name="An_Tnet" localSheetId="5">'2023'!$F$7</definedName>
    <definedName name="An_Tnet" localSheetId="6">'2024'!$F$7</definedName>
    <definedName name="An_Tnet" localSheetId="7">'2025'!$F$7</definedName>
    <definedName name="An_Tnet" localSheetId="8">'2026'!$F$7</definedName>
    <definedName name="An_Tnet" localSheetId="9">'2027'!$F$7</definedName>
    <definedName name="An_Tnet" localSheetId="10">'2028'!$F$7</definedName>
    <definedName name="An_Tnet" localSheetId="11">'2029'!$F$7</definedName>
    <definedName name="An_Tnet" localSheetId="12">'2030'!$F$7</definedName>
    <definedName name="An_Tnet" localSheetId="13">'2031'!$F$7</definedName>
    <definedName name="Azi_decal">Masques!$AF$56:$AF$79</definedName>
    <definedName name="Azi_pv_sel">Masques!$N$5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'2022'!$P$12</definedName>
    <definedName name="Croi_tai" localSheetId="5">'2023'!$P$12</definedName>
    <definedName name="Croi_tai" localSheetId="6">'2024'!$P$12</definedName>
    <definedName name="Croi_tai" localSheetId="7">'2025'!$P$12</definedName>
    <definedName name="Croi_tai" localSheetId="8">'2026'!$P$12</definedName>
    <definedName name="Croi_tai" localSheetId="9">'2027'!$P$12</definedName>
    <definedName name="Croi_tai" localSheetId="10">'2028'!$P$12</definedName>
    <definedName name="Croi_tai" localSheetId="11">'2029'!$P$12</definedName>
    <definedName name="Croi_tai" localSheetId="12">'2030'!$P$12</definedName>
    <definedName name="Croi_tai" localSheetId="13">'2031'!$P$12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'2022'!$Q$12</definedName>
    <definedName name="Dd" localSheetId="5">'2023'!$Q$12</definedName>
    <definedName name="Dd" localSheetId="6">'2024'!$Q$12</definedName>
    <definedName name="Dd" localSheetId="7">'2025'!$Q$12</definedName>
    <definedName name="Dd" localSheetId="8">'2026'!$Q$12</definedName>
    <definedName name="Dd" localSheetId="9">'2027'!$Q$12</definedName>
    <definedName name="Dd" localSheetId="10">'2028'!$Q$12</definedName>
    <definedName name="Dd" localSheetId="11">'2029'!$Q$12</definedName>
    <definedName name="Dd" localSheetId="12">'2030'!$Q$12</definedName>
    <definedName name="Dd" localSheetId="13">'2031'!$Q$12</definedName>
    <definedName name="Dd_s" localSheetId="4">'2022'!$AE$12</definedName>
    <definedName name="Dd_s" localSheetId="5">'2023'!$AE$12</definedName>
    <definedName name="Dd_s" localSheetId="6">'2024'!$AE$12</definedName>
    <definedName name="Dd_s" localSheetId="7">'2025'!$AE$12</definedName>
    <definedName name="Dd_s" localSheetId="8">'2026'!$AE$12</definedName>
    <definedName name="Dd_s" localSheetId="9">'2027'!$AE$12</definedName>
    <definedName name="Dd_s" localSheetId="10">'2028'!$AE$12</definedName>
    <definedName name="Dd_s" localSheetId="11">'2029'!$AE$12</definedName>
    <definedName name="Dd_s" localSheetId="12">'2030'!$AE$12</definedName>
    <definedName name="Dd_s" localSheetId="13">'2031'!$AE$12</definedName>
    <definedName name="Dens" localSheetId="4">'2022'!$Q$11</definedName>
    <definedName name="Dens" localSheetId="5">'2023'!$Q$11</definedName>
    <definedName name="Dens" localSheetId="6">'2024'!$Q$11</definedName>
    <definedName name="Dens" localSheetId="7">'2025'!$Q$11</definedName>
    <definedName name="Dens" localSheetId="8">'2026'!$Q$11</definedName>
    <definedName name="Dens" localSheetId="9">'2027'!$Q$11</definedName>
    <definedName name="Dens" localSheetId="10">'2028'!$Q$11</definedName>
    <definedName name="Dens" localSheetId="11">'2029'!$Q$11</definedName>
    <definedName name="Dens" localSheetId="12">'2030'!$Q$11</definedName>
    <definedName name="Dens" localSheetId="13">'2031'!$Q$11</definedName>
    <definedName name="Dens_2022">'Réglage perte'!$C$11</definedName>
    <definedName name="Dens_2023">'Réglage perte'!$I$11</definedName>
    <definedName name="Dens_2024">'Réglage perte'!$O$11</definedName>
    <definedName name="Dens_2025">'Réglage perte'!$U$11</definedName>
    <definedName name="Dens_2026">'Réglage perte'!$AA$11</definedName>
    <definedName name="Dens_2027">'Réglage perte'!$AG$11</definedName>
    <definedName name="Dens_2028">'Réglage perte'!$AM$11</definedName>
    <definedName name="Dens_2029">'Réglage perte'!$AS$11</definedName>
    <definedName name="Dens_2030">'Réglage perte'!$AY$11</definedName>
    <definedName name="Dens_2031">'Réglage perte'!$BE$11</definedName>
    <definedName name="Dens_2032">'Réglage perte'!$BK$11</definedName>
    <definedName name="Dens_2033">'Réglage perte'!$BQ$11</definedName>
    <definedName name="Dens_2034">'Réglage perte'!$BW$11</definedName>
    <definedName name="Dens_s" localSheetId="5">'2023'!$AE$11</definedName>
    <definedName name="Dens_s" localSheetId="6">'2024'!$AE$11</definedName>
    <definedName name="Dens_s" localSheetId="7">'2025'!$AE$11</definedName>
    <definedName name="Dens_s" localSheetId="8">'2026'!$AE$11</definedName>
    <definedName name="Dens_s" localSheetId="9">'2027'!$AE$11</definedName>
    <definedName name="Dens_s" localSheetId="10">'2028'!$AE$11</definedName>
    <definedName name="Dens_s" localSheetId="11">'2029'!$AE$11</definedName>
    <definedName name="Dens_s" localSheetId="12">'2030'!$AE$11</definedName>
    <definedName name="Dens_s" localSheetId="13">'2031'!$AE$11</definedName>
    <definedName name="Dépas_env" localSheetId="4">'2022'!$G$12</definedName>
    <definedName name="Dépas_env" localSheetId="5">'2023'!$G$12</definedName>
    <definedName name="Dépas_env" localSheetId="6">'2024'!$G$12</definedName>
    <definedName name="Dépas_env" localSheetId="7">'2025'!$G$12</definedName>
    <definedName name="Dépas_env" localSheetId="8">'2026'!$G$12</definedName>
    <definedName name="Dépas_env" localSheetId="9">'2027'!$G$12</definedName>
    <definedName name="Dépas_env" localSheetId="10">'2028'!$G$12</definedName>
    <definedName name="Dépas_env" localSheetId="11">'2029'!$G$12</definedName>
    <definedName name="Dépas_env" localSheetId="12">'2030'!$G$12</definedName>
    <definedName name="Dépas_env" localSheetId="13">'2031'!$G$12</definedName>
    <definedName name="Df" localSheetId="4">'2022'!$Q$379</definedName>
    <definedName name="Df" localSheetId="5">'2023'!$Q$379</definedName>
    <definedName name="Df" localSheetId="6">'2024'!$Q$379</definedName>
    <definedName name="Df" localSheetId="7">'2025'!$Q$379</definedName>
    <definedName name="Df" localSheetId="8">'2026'!$Q$379</definedName>
    <definedName name="Df" localSheetId="9">'2027'!$Q$379</definedName>
    <definedName name="Df" localSheetId="10">'2028'!$Q$379</definedName>
    <definedName name="Df" localSheetId="11">'2029'!$Q$379</definedName>
    <definedName name="Df" localSheetId="12">'2030'!$Q$379</definedName>
    <definedName name="Df" localSheetId="13">'2031'!$Q$379</definedName>
    <definedName name="Df_s" localSheetId="4">'2022'!$AE$379</definedName>
    <definedName name="Df_s" localSheetId="5">'2023'!$AE$379</definedName>
    <definedName name="Df_s" localSheetId="6">'2024'!$AE$379</definedName>
    <definedName name="Df_s" localSheetId="7">'2025'!$AE$379</definedName>
    <definedName name="Df_s" localSheetId="8">'2026'!$AE$379</definedName>
    <definedName name="Df_s" localSheetId="9">'2027'!$AE$379</definedName>
    <definedName name="Df_s" localSheetId="10">'2028'!$AE$379</definedName>
    <definedName name="Df_s" localSheetId="11">'2029'!$AE$379</definedName>
    <definedName name="Df_s" localSheetId="12">'2030'!$AE$379</definedName>
    <definedName name="Df_s" localSheetId="13">'2031'!$AE$379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'2022'!$V$15:$V$380</definedName>
    <definedName name="Env_an" localSheetId="5">'2023'!$V$15:$V$380</definedName>
    <definedName name="Env_an" localSheetId="6">'2024'!$V$15:$V$380</definedName>
    <definedName name="Env_an" localSheetId="7">'2025'!$V$15:$V$380</definedName>
    <definedName name="Env_an" localSheetId="8">'2026'!$V$15:$V$380</definedName>
    <definedName name="Env_an" localSheetId="9">'2027'!$V$15:$V$380</definedName>
    <definedName name="Env_an" localSheetId="10">'2028'!$V$15:$V$380</definedName>
    <definedName name="Env_an" localSheetId="11">'2029'!$V$15:$V$380</definedName>
    <definedName name="Env_an" localSheetId="12">'2030'!$V$15:$V$380</definedName>
    <definedName name="Env_an" localSheetId="13">'2031'!$V$15:$V$380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'2022'!$U$12</definedName>
    <definedName name="Hdd" localSheetId="5">'2023'!$U$12</definedName>
    <definedName name="Hdd" localSheetId="6">'2024'!$U$12</definedName>
    <definedName name="Hdd" localSheetId="7">'2025'!$U$12</definedName>
    <definedName name="Hdd" localSheetId="8">'2026'!$U$12</definedName>
    <definedName name="Hdd" localSheetId="9">'2027'!$U$12</definedName>
    <definedName name="Hdd" localSheetId="10">'2028'!$U$12</definedName>
    <definedName name="Hdd" localSheetId="11">'2029'!$U$12</definedName>
    <definedName name="Hdd" localSheetId="12">'2030'!$U$12</definedName>
    <definedName name="Hdd" localSheetId="13">'2031'!$U$12</definedName>
    <definedName name="Hdd_s" localSheetId="4">'2022'!$AI$12</definedName>
    <definedName name="Hdd_s" localSheetId="5">'2023'!$AI$12</definedName>
    <definedName name="Hdd_s" localSheetId="6">'2024'!$AI$12</definedName>
    <definedName name="Hdd_s" localSheetId="7">'2025'!$AI$12</definedName>
    <definedName name="Hdd_s" localSheetId="8">'2026'!$AI$12</definedName>
    <definedName name="Hdd_s" localSheetId="9">'2027'!$AI$12</definedName>
    <definedName name="Hdd_s" localSheetId="10">'2028'!$AI$12</definedName>
    <definedName name="Hdd_s" localSheetId="11">'2029'!$AI$12</definedName>
    <definedName name="Hdd_s" localSheetId="12">'2030'!$AI$12</definedName>
    <definedName name="Hdd_s" localSheetId="13">'2031'!$AI$12</definedName>
    <definedName name="Hdf" localSheetId="4">'2022'!$U$379</definedName>
    <definedName name="Hdf" localSheetId="5">'2023'!$U$379</definedName>
    <definedName name="Hdf" localSheetId="6">'2024'!$U$379</definedName>
    <definedName name="Hdf" localSheetId="7">'2025'!$U$379</definedName>
    <definedName name="Hdf" localSheetId="8">'2026'!$U$379</definedName>
    <definedName name="Hdf" localSheetId="9">'2027'!$U$379</definedName>
    <definedName name="Hdf" localSheetId="10">'2028'!$U$379</definedName>
    <definedName name="Hdf" localSheetId="11">'2029'!$U$379</definedName>
    <definedName name="Hdf" localSheetId="12">'2030'!$U$379</definedName>
    <definedName name="Hdf" localSheetId="13">'2031'!$U$379</definedName>
    <definedName name="Hdf_s" localSheetId="4">'2022'!$AI$379</definedName>
    <definedName name="Hdf_s" localSheetId="5">'2023'!$AI$379</definedName>
    <definedName name="Hdf_s" localSheetId="6">'2024'!$AI$379</definedName>
    <definedName name="Hdf_s" localSheetId="7">'2025'!$AI$379</definedName>
    <definedName name="Hdf_s" localSheetId="8">'2026'!$AI$379</definedName>
    <definedName name="Hdf_s" localSheetId="9">'2027'!$AI$379</definedName>
    <definedName name="Hdf_s" localSheetId="10">'2028'!$AI$379</definedName>
    <definedName name="Hdf_s" localSheetId="11">'2029'!$AI$379</definedName>
    <definedName name="Hdf_s" localSheetId="12">'2030'!$AI$379</definedName>
    <definedName name="Hdf_s" localSheetId="13">'2031'!$AI$379</definedName>
    <definedName name="Hdtai_s" localSheetId="4">'2022'!$AI$11</definedName>
    <definedName name="Hdtai_s" localSheetId="5">'2023'!$AI$11</definedName>
    <definedName name="Hdtai_s" localSheetId="6">'2024'!$AI$11</definedName>
    <definedName name="Hdtai_s" localSheetId="7">'2025'!$AI$11</definedName>
    <definedName name="Hdtai_s" localSheetId="8">'2026'!$AI$11</definedName>
    <definedName name="Hdtai_s" localSheetId="9">'2027'!$AI$11</definedName>
    <definedName name="Hdtai_s" localSheetId="10">'2028'!$AI$11</definedName>
    <definedName name="Hdtai_s" localSheetId="11">'2029'!$AI$11</definedName>
    <definedName name="Hdtai_s" localSheetId="12">'2030'!$AI$11</definedName>
    <definedName name="Hdtai_s" localSheetId="13">'2031'!$AI$11</definedName>
    <definedName name="Hdtf" localSheetId="4">'2022'!$U$11</definedName>
    <definedName name="Hdtf" localSheetId="5">'2023'!$U$11</definedName>
    <definedName name="Hdtf" localSheetId="6">'2024'!$U$11</definedName>
    <definedName name="Hdtf" localSheetId="7">'2025'!$U$11</definedName>
    <definedName name="Hdtf" localSheetId="8">'2026'!$U$11</definedName>
    <definedName name="Hdtf" localSheetId="9">'2027'!$U$11</definedName>
    <definedName name="Hdtf" localSheetId="10">'2028'!$U$11</definedName>
    <definedName name="Hdtf" localSheetId="11">'2029'!$U$11</definedName>
    <definedName name="Hdtf" localSheetId="12">'2030'!$U$11</definedName>
    <definedName name="Hdtf" localSheetId="13">'2031'!$U$11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'2022'!$U$15:$U$380</definedName>
    <definedName name="Hp_vg" localSheetId="5">'2023'!$U$15:$U$380</definedName>
    <definedName name="Hp_vg" localSheetId="6">'2024'!$U$15:$U$380</definedName>
    <definedName name="Hp_vg" localSheetId="7">'2025'!$U$15:$U$380</definedName>
    <definedName name="Hp_vg" localSheetId="8">'2026'!$U$15:$U$380</definedName>
    <definedName name="Hp_vg" localSheetId="9">'2027'!$U$15:$U$380</definedName>
    <definedName name="Hp_vg" localSheetId="10">'2028'!$U$15:$U$380</definedName>
    <definedName name="Hp_vg" localSheetId="11">'2029'!$U$15:$U$380</definedName>
    <definedName name="Hp_vg" localSheetId="12">'2030'!$U$15:$U$380</definedName>
    <definedName name="Hp_vg" localSheetId="13">'2031'!$U$15:$U$380</definedName>
    <definedName name="Hp_vg_s" comment="Hauteur  pousse _végétation (°) sans action de taille" localSheetId="4">'2022'!$AI$15:$AI$380</definedName>
    <definedName name="Hp_vg_s" localSheetId="5">'2023'!$AI$15:$AI$380</definedName>
    <definedName name="Hp_vg_s" localSheetId="6">'2024'!$AI$15:$AI$380</definedName>
    <definedName name="Hp_vg_s" localSheetId="7">'2025'!$AI$15:$AI$380</definedName>
    <definedName name="Hp_vg_s" localSheetId="8">'2026'!$AI$15:$AI$380</definedName>
    <definedName name="Hp_vg_s" localSheetId="9">'2027'!$AI$15:$AI$380</definedName>
    <definedName name="Hp_vg_s" localSheetId="10">'2028'!$AI$15:$AI$380</definedName>
    <definedName name="Hp_vg_s" localSheetId="11">'2029'!$AI$15:$AI$380</definedName>
    <definedName name="Hp_vg_s" localSheetId="12">'2030'!$AI$15:$AI$380</definedName>
    <definedName name="Hp_vg_s" localSheetId="13">'2031'!$AI$15:$AI$380</definedName>
    <definedName name="Hrm" localSheetId="1">Masques!$E$8</definedName>
    <definedName name="Htf_2022">'Réglage perte'!$D$11</definedName>
    <definedName name="Htf_2023">'Réglage perte'!$J$11</definedName>
    <definedName name="Htf_2024">'Réglage perte'!$P$11</definedName>
    <definedName name="Htf_2025">'Réglage perte'!$V$11</definedName>
    <definedName name="Htf_2026">'Réglage perte'!$AB$11</definedName>
    <definedName name="Htf_2027">'Réglage perte'!$AH$11</definedName>
    <definedName name="Htf_2028">'Réglage perte'!$AN$11</definedName>
    <definedName name="Htf_2029">'Réglage perte'!$AT$11</definedName>
    <definedName name="Htf_2030">'Réglage perte'!$AZ$11</definedName>
    <definedName name="Htf_2031">'Réglage perte'!$BF$11</definedName>
    <definedName name="Htf_2032">'Réglage perte'!$BL$11</definedName>
    <definedName name="Htf_2033">'Réglage perte'!$BR$11</definedName>
    <definedName name="Htf_2034">'Réglage perte'!$BX$11</definedName>
    <definedName name="Inflex" localSheetId="4">'2022'!$E$7</definedName>
    <definedName name="Inflex" localSheetId="5">'2023'!$E$7</definedName>
    <definedName name="Inflex" localSheetId="6">'2024'!$E$7</definedName>
    <definedName name="Inflex" localSheetId="7">'2025'!$E$7</definedName>
    <definedName name="Inflex" localSheetId="8">'2026'!$E$7</definedName>
    <definedName name="Inflex" localSheetId="9">'2027'!$E$7</definedName>
    <definedName name="Inflex" localSheetId="10">'2028'!$E$7</definedName>
    <definedName name="Inflex" localSheetId="11">'2029'!$E$7</definedName>
    <definedName name="Inflex" localSheetId="12">'2030'!$E$7</definedName>
    <definedName name="Inflex" localSheetId="13">'2031'!$E$7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'2022'!$I$15:$I$380</definedName>
    <definedName name="Maxi_hp" localSheetId="5">'2023'!$I$15:$I$380</definedName>
    <definedName name="Maxi_hp" localSheetId="6">'2024'!$I$15:$I$380</definedName>
    <definedName name="Maxi_hp" localSheetId="7">'2025'!$I$15:$I$380</definedName>
    <definedName name="Maxi_hp" localSheetId="8">'2026'!$I$15:$I$380</definedName>
    <definedName name="Maxi_hp" localSheetId="9">'2027'!$I$15:$I$380</definedName>
    <definedName name="Maxi_hp" localSheetId="10">'2028'!$I$15:$I$380</definedName>
    <definedName name="Maxi_hp" localSheetId="11">'2029'!$I$15:$I$380</definedName>
    <definedName name="Maxi_hp" localSheetId="12">'2030'!$I$15:$I$380</definedName>
    <definedName name="Maxi_hp" localSheetId="13">'2031'!$I$15:$I$380</definedName>
    <definedName name="MaxiM">Models!$J$15:$J$380</definedName>
    <definedName name="Notai" localSheetId="4">'2022'!$P$10</definedName>
    <definedName name="Notai" localSheetId="5">'2023'!$P$10</definedName>
    <definedName name="Notai" localSheetId="6">'2024'!$P$10</definedName>
    <definedName name="Notai" localSheetId="7">'2025'!$P$10</definedName>
    <definedName name="Notai" localSheetId="8">'2026'!$P$10</definedName>
    <definedName name="Notai" localSheetId="9">'2027'!$P$10</definedName>
    <definedName name="Notai" localSheetId="10">'2028'!$P$10</definedName>
    <definedName name="Notai" localSheetId="11">'2029'!$P$10</definedName>
    <definedName name="Notai" localSheetId="12">'2030'!$P$10</definedName>
    <definedName name="Notai" localSheetId="13">'2031'!$P$10</definedName>
    <definedName name="NoTnet" localSheetId="4">'2022'!$AC$12</definedName>
    <definedName name="NoTnet" localSheetId="5">'2023'!$AC$12</definedName>
    <definedName name="NoTnet" localSheetId="6">'2024'!$AC$12</definedName>
    <definedName name="NoTnet" localSheetId="7">'2025'!$AC$12</definedName>
    <definedName name="NoTnet" localSheetId="8">'2026'!$AC$12</definedName>
    <definedName name="NoTnet" localSheetId="9">'2027'!$AC$12</definedName>
    <definedName name="NoTnet" localSheetId="10">'2028'!$AC$12</definedName>
    <definedName name="NoTnet" localSheetId="11">'2029'!$AC$12</definedName>
    <definedName name="NoTnet" localSheetId="12">'2030'!$AC$12</definedName>
    <definedName name="NoTnet" localSheetId="13">'2031'!$AC$12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'2022'!$Q$10</definedName>
    <definedName name="PousD" localSheetId="5">'2023'!$Q$10</definedName>
    <definedName name="PousD" localSheetId="6">'2024'!$Q$10</definedName>
    <definedName name="PousD" localSheetId="7">'2025'!$Q$10</definedName>
    <definedName name="PousD" localSheetId="8">'2026'!$Q$10</definedName>
    <definedName name="PousD" localSheetId="9">'2027'!$Q$10</definedName>
    <definedName name="PousD" localSheetId="10">'2028'!$Q$10</definedName>
    <definedName name="PousD" localSheetId="11">'2029'!$Q$10</definedName>
    <definedName name="PousD" localSheetId="12">'2030'!$Q$10</definedName>
    <definedName name="PousD" localSheetId="13">'2031'!$Q$10</definedName>
    <definedName name="PousH" localSheetId="4">'2022'!$U$10</definedName>
    <definedName name="PousH" localSheetId="5">'2023'!$U$10</definedName>
    <definedName name="PousH" localSheetId="6">'2024'!$U$10</definedName>
    <definedName name="PousH" localSheetId="7">'2025'!$U$10</definedName>
    <definedName name="PousH" localSheetId="8">'2026'!$U$10</definedName>
    <definedName name="PousH" localSheetId="9">'2027'!$U$10</definedName>
    <definedName name="PousH" localSheetId="10">'2028'!$U$10</definedName>
    <definedName name="PousH" localSheetId="11">'2029'!$U$10</definedName>
    <definedName name="PousH" localSheetId="12">'2030'!$U$10</definedName>
    <definedName name="PousH" localSheetId="13">'2031'!$U$10</definedName>
    <definedName name="PousHi">'Réglage perte'!$AM$2</definedName>
    <definedName name="Ppv" localSheetId="4">'2022'!$L$15:$L$380</definedName>
    <definedName name="Ppv" localSheetId="5">'2023'!$L$15:$L$380</definedName>
    <definedName name="Ppv" localSheetId="6">'2024'!$L$15:$L$380</definedName>
    <definedName name="Ppv" localSheetId="7">'2025'!$L$15:$L$380</definedName>
    <definedName name="Ppv" localSheetId="8">'2026'!$L$15:$L$380</definedName>
    <definedName name="Ppv" localSheetId="9">'2027'!$L$15:$L$380</definedName>
    <definedName name="Ppv" localSheetId="10">'2028'!$L$15:$L$380</definedName>
    <definedName name="Ppv" localSheetId="11">'2029'!$L$15:$L$380</definedName>
    <definedName name="Ppv" localSheetId="12">'2030'!$L$15:$L$380</definedName>
    <definedName name="Ppv" localSheetId="13">'2031'!$L$15:$L$380</definedName>
    <definedName name="Prod_an" localSheetId="4">'2022'!$H$9</definedName>
    <definedName name="Prod_an" localSheetId="5">'2023'!$H$9</definedName>
    <definedName name="Prod_an" localSheetId="6">'2024'!$H$9</definedName>
    <definedName name="Prod_an" localSheetId="7">'2025'!$H$9</definedName>
    <definedName name="Prod_an" localSheetId="8">'2026'!$H$9</definedName>
    <definedName name="Prod_an" localSheetId="9">'2027'!$H$9</definedName>
    <definedName name="Prod_an" localSheetId="10">'2028'!$H$9</definedName>
    <definedName name="Prod_an" localSheetId="11">'2029'!$H$9</definedName>
    <definedName name="Prod_an" localSheetId="12">'2030'!$H$9</definedName>
    <definedName name="Prod_an" localSheetId="13">'2031'!$H$9</definedName>
    <definedName name="Prod_an_s" localSheetId="4">'2022'!$X$9</definedName>
    <definedName name="Prod_an_s" localSheetId="5">'2023'!$X$9</definedName>
    <definedName name="Prod_an_s" localSheetId="6">'2024'!$X$9</definedName>
    <definedName name="Prod_an_s" localSheetId="7">'2025'!$X$9</definedName>
    <definedName name="Prod_an_s" localSheetId="8">'2026'!$X$9</definedName>
    <definedName name="Prod_an_s" localSheetId="9">'2027'!$X$9</definedName>
    <definedName name="Prod_an_s" localSheetId="10">'2028'!$X$9</definedName>
    <definedName name="Prod_an_s" localSheetId="11">'2029'!$X$9</definedName>
    <definedName name="Prod_an_s" localSheetId="12">'2030'!$X$9</definedName>
    <definedName name="Prod_an_s" localSheetId="13">'2031'!$X$9</definedName>
    <definedName name="Psa" localSheetId="4">'2022'!$O$15:$O$380</definedName>
    <definedName name="Psa" localSheetId="5">'2023'!$O$15:$O$380</definedName>
    <definedName name="Psa" localSheetId="6">'2024'!$O$15:$O$380</definedName>
    <definedName name="Psa" localSheetId="7">'2025'!$O$15:$O$380</definedName>
    <definedName name="Psa" localSheetId="8">'2026'!$O$15:$O$380</definedName>
    <definedName name="Psa" localSheetId="9">'2027'!$O$15:$O$380</definedName>
    <definedName name="Psa" localSheetId="10">'2028'!$O$15:$O$380</definedName>
    <definedName name="Psa" localSheetId="11">'2029'!$O$15:$O$380</definedName>
    <definedName name="Psa" localSheetId="12">'2030'!$O$15:$O$380</definedName>
    <definedName name="Psa" localSheetId="13">'2031'!$O$15:$O$380</definedName>
    <definedName name="Psa_s" localSheetId="4">'2022'!$AC$15:$AC$380</definedName>
    <definedName name="Psa_s" localSheetId="5">'2023'!$AC$15:$AC$380</definedName>
    <definedName name="Psa_s" localSheetId="6">'2024'!$AC$15:$AC$380</definedName>
    <definedName name="Psa_s" localSheetId="7">'2025'!$AC$15:$AC$380</definedName>
    <definedName name="Psa_s" localSheetId="8">'2026'!$AC$15:$AC$380</definedName>
    <definedName name="Psa_s" localSheetId="9">'2027'!$AC$15:$AC$380</definedName>
    <definedName name="Psa_s" localSheetId="10">'2028'!$AC$15:$AC$380</definedName>
    <definedName name="Psa_s" localSheetId="11">'2029'!$AC$15:$AC$380</definedName>
    <definedName name="Psa_s" localSheetId="12">'2030'!$AC$15:$AC$380</definedName>
    <definedName name="Psa_s" localSheetId="13">'2031'!$AC$15:$AC$380</definedName>
    <definedName name="Pspv" localSheetId="4">'2022'!$L$12</definedName>
    <definedName name="Pspv" localSheetId="5">'2023'!$L$12</definedName>
    <definedName name="Pspv" localSheetId="6">'2024'!$L$12</definedName>
    <definedName name="Pspv" localSheetId="7">'2025'!$L$12</definedName>
    <definedName name="Pspv" localSheetId="8">'2026'!$L$12</definedName>
    <definedName name="Pspv" localSheetId="9">'2027'!$L$12</definedName>
    <definedName name="Pspv" localSheetId="10">'2028'!$L$12</definedName>
    <definedName name="Pspv" localSheetId="11">'2029'!$L$12</definedName>
    <definedName name="Pspv" localSheetId="12">'2030'!$L$12</definedName>
    <definedName name="Pspv" localSheetId="13">'2031'!$L$12</definedName>
    <definedName name="Pspv_2022">'Réglage perte'!$C$9</definedName>
    <definedName name="Pspv_2023">'Réglage perte'!$I$9</definedName>
    <definedName name="Pspv_2024">'Réglage perte'!$O$9</definedName>
    <definedName name="Pspv_2025">'Réglage perte'!$U$9</definedName>
    <definedName name="Pspv_2026">'Réglage perte'!$AA$9</definedName>
    <definedName name="Pspv_2027">'Réglage perte'!$AG$9</definedName>
    <definedName name="Pspv_2028">'Réglage perte'!$AM$9</definedName>
    <definedName name="Pspv_2029">'Réglage perte'!$AS$9</definedName>
    <definedName name="Pspv_2030">'Réglage perte'!$AY$9</definedName>
    <definedName name="Pspv_2031">'Réglage perte'!$BE$9</definedName>
    <definedName name="Pspv_2032">'Réglage perte'!$BK$9</definedName>
    <definedName name="Pspv_2033">'Réglage perte'!$BQ$9</definedName>
    <definedName name="Pspv_2034">'Réglage perte'!$BW$9</definedName>
    <definedName name="Pspv_21">'2022'!$BG$12</definedName>
    <definedName name="Pvg" localSheetId="4">'2022'!$P$15:$P$380</definedName>
    <definedName name="Pvg" localSheetId="5">'2023'!$P$15:$P$380</definedName>
    <definedName name="Pvg" localSheetId="6">'2024'!$P$15:$P$380</definedName>
    <definedName name="Pvg" localSheetId="7">'2025'!$P$15:$P$380</definedName>
    <definedName name="Pvg" localSheetId="8">'2026'!$P$15:$P$380</definedName>
    <definedName name="Pvg" localSheetId="9">'2027'!$P$15:$P$380</definedName>
    <definedName name="Pvg" localSheetId="10">'2028'!$P$15:$P$380</definedName>
    <definedName name="Pvg" localSheetId="11">'2029'!$P$15:$P$380</definedName>
    <definedName name="Pvg" localSheetId="12">'2030'!$P$15:$P$380</definedName>
    <definedName name="Pvg" localSheetId="13">'2031'!$P$15:$P$380</definedName>
    <definedName name="Pvg_s" localSheetId="4">'2022'!$AD$15:$AD$380</definedName>
    <definedName name="Pvg_s" localSheetId="5">'2023'!$AD$15:$AD$380</definedName>
    <definedName name="Pvg_s" localSheetId="6">'2024'!$AD$15:$AD$380</definedName>
    <definedName name="Pvg_s" localSheetId="7">'2025'!$AD$15:$AD$380</definedName>
    <definedName name="Pvg_s" localSheetId="8">'2026'!$AD$15:$AD$380</definedName>
    <definedName name="Pvg_s" localSheetId="9">'2027'!$AD$15:$AD$380</definedName>
    <definedName name="Pvg_s" localSheetId="10">'2028'!$AD$15:$AD$380</definedName>
    <definedName name="Pvg_s" localSheetId="11">'2029'!$AD$15:$AD$380</definedName>
    <definedName name="Pvg_s" localSheetId="12">'2030'!$AD$15:$AD$380</definedName>
    <definedName name="Pvg_s" localSheetId="13">'2031'!$AD$15:$AD$380</definedName>
    <definedName name="R\Max" localSheetId="4">'2022'!$G$15:$G$380</definedName>
    <definedName name="R\Max" localSheetId="5">'2023'!$G$15:$G$380</definedName>
    <definedName name="R\Max" localSheetId="6">'2024'!$G$15:$G$380</definedName>
    <definedName name="R\Max" localSheetId="7">'2025'!$G$15:$G$380</definedName>
    <definedName name="R\Max" localSheetId="8">'2026'!$G$15:$G$380</definedName>
    <definedName name="R\Max" localSheetId="9">'2027'!$G$15:$G$380</definedName>
    <definedName name="R\Max" localSheetId="10">'2028'!$G$15:$G$380</definedName>
    <definedName name="R\Max" localSheetId="11">'2029'!$G$15:$G$380</definedName>
    <definedName name="R\Max" localSheetId="12">'2030'!$G$15:$G$380</definedName>
    <definedName name="R\Max" localSheetId="13">'2031'!$G$15:$G$380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'2022'!$O$10</definedName>
    <definedName name="Resal" localSheetId="5">'2023'!$O$10</definedName>
    <definedName name="Resal" localSheetId="6">'2024'!$O$10</definedName>
    <definedName name="Resal" localSheetId="7">'2025'!$O$10</definedName>
    <definedName name="Resal" localSheetId="8">'2026'!$O$10</definedName>
    <definedName name="Resal" localSheetId="9">'2027'!$O$10</definedName>
    <definedName name="Resal" localSheetId="10">'2028'!$O$10</definedName>
    <definedName name="Resal" localSheetId="11">'2029'!$O$10</definedName>
    <definedName name="Resal" localSheetId="12">'2030'!$O$10</definedName>
    <definedName name="Resal" localSheetId="13">'2031'!$O$10</definedName>
    <definedName name="Resal_2022">'Réglage perte'!$C$10</definedName>
    <definedName name="Resal_2023">'Réglage perte'!$I$10</definedName>
    <definedName name="Resal_2024">'Réglage perte'!$O$10</definedName>
    <definedName name="Resal_2025">'Réglage perte'!$U$10</definedName>
    <definedName name="Resal_2026">'Réglage perte'!$AA$10</definedName>
    <definedName name="Resal_2027">'Réglage perte'!$AG$10</definedName>
    <definedName name="Resal_2028">'Réglage perte'!$AM$10</definedName>
    <definedName name="Resal_2029">'Réglage perte'!$AS$10</definedName>
    <definedName name="Resal_2030">'Réglage perte'!$AY$10</definedName>
    <definedName name="Resal_2031">'Réglage perte'!$BE$10</definedName>
    <definedName name="Resal_2032">'Réglage perte'!$BK$10</definedName>
    <definedName name="Resal_2033">'Réglage perte'!$BQ$10</definedName>
    <definedName name="Resal_2034">'Réglage perte'!$BW$10</definedName>
    <definedName name="Resal_s" localSheetId="4">'2022'!$AC$10</definedName>
    <definedName name="Resal_s" localSheetId="5">'2023'!$AC$10</definedName>
    <definedName name="Resal_s" localSheetId="6">'2024'!$AC$10</definedName>
    <definedName name="Resal_s" localSheetId="7">'2025'!$AC$10</definedName>
    <definedName name="Resal_s" localSheetId="8">'2026'!$AC$10</definedName>
    <definedName name="Resal_s" localSheetId="9">'2027'!$AC$10</definedName>
    <definedName name="Resal_s" localSheetId="10">'2028'!$AC$10</definedName>
    <definedName name="Resal_s" localSheetId="11">'2029'!$AC$10</definedName>
    <definedName name="Resal_s" localSheetId="12">'2030'!$AC$10</definedName>
    <definedName name="Resal_s" localSheetId="13">'2031'!$AC$10</definedName>
    <definedName name="Salcycl">Models!$BF$15:$BF$380</definedName>
    <definedName name="Salim" localSheetId="4">'2022'!$O$11</definedName>
    <definedName name="Salim" localSheetId="5">'2023'!$O$11</definedName>
    <definedName name="Salim" localSheetId="6">'2024'!$O$11</definedName>
    <definedName name="Salim" localSheetId="7">'2025'!$O$11</definedName>
    <definedName name="Salim" localSheetId="8">'2026'!$O$11</definedName>
    <definedName name="Salim" localSheetId="9">'2027'!$O$11</definedName>
    <definedName name="Salim" localSheetId="10">'2028'!$O$11</definedName>
    <definedName name="Salim" localSheetId="11">'2029'!$O$11</definedName>
    <definedName name="Salim" localSheetId="12">'2030'!$O$11</definedName>
    <definedName name="Salim" localSheetId="13">'2031'!$O$11</definedName>
    <definedName name="Salim_2022">'Réglage perte'!$D$10</definedName>
    <definedName name="Salim_2023">'Réglage perte'!$J$10</definedName>
    <definedName name="Salim_2024">'Réglage perte'!$P$10</definedName>
    <definedName name="Salim_2025">'Réglage perte'!$V$10</definedName>
    <definedName name="Salim_2026">'Réglage perte'!$AB$10</definedName>
    <definedName name="Salim_2027">'Réglage perte'!$AN$10</definedName>
    <definedName name="Salim_2028">'Réglage perte'!$AH$10</definedName>
    <definedName name="Salim_2029">'Réglage perte'!$AT$10</definedName>
    <definedName name="Salim_2030">'Réglage perte'!$AZ$10</definedName>
    <definedName name="Salim_2031">'Réglage perte'!$BF$10</definedName>
    <definedName name="Salim_2032">'Réglage perte'!$BL$10</definedName>
    <definedName name="Salim_2033">'Réglage perte'!$BR$10</definedName>
    <definedName name="Salim_2034">'Réglage perte'!$BX$10</definedName>
    <definedName name="Salim_i">'Réglage perte'!$Z$1</definedName>
    <definedName name="Sdif">Models!$BP$3</definedName>
    <definedName name="Station">'2022'!$E$4</definedName>
    <definedName name="t" localSheetId="4">'2022'!$A$15:$A$380</definedName>
    <definedName name="t" localSheetId="5">'2023'!$A$15:$A$380</definedName>
    <definedName name="t" localSheetId="6">'2024'!$A$15:$A$380</definedName>
    <definedName name="t" localSheetId="7">'2025'!$A$15:$A$380</definedName>
    <definedName name="t" localSheetId="8">'2026'!$A$15:$A$380</definedName>
    <definedName name="t" localSheetId="9">'2027'!$A$15:$A$380</definedName>
    <definedName name="t" localSheetId="10">'2028'!$A$15:$A$380</definedName>
    <definedName name="t" localSheetId="11">'2029'!$A$15:$A$380</definedName>
    <definedName name="t" localSheetId="12">'2030'!$A$15:$A$380</definedName>
    <definedName name="t" localSheetId="13">'2031'!$A$15:$A$380</definedName>
    <definedName name="T0">'2022'!$E$5</definedName>
    <definedName name="Tau_2022">'Réglage perte'!$E$10</definedName>
    <definedName name="Tau_2023">'Réglage perte'!$K$10</definedName>
    <definedName name="Tau_2024">'Réglage perte'!$Q$10</definedName>
    <definedName name="Tau_2025">'Réglage perte'!$W$10</definedName>
    <definedName name="Tau_2026">'Réglage perte'!$AC$10</definedName>
    <definedName name="Tau_2027">'Réglage perte'!$AI$10</definedName>
    <definedName name="Tau_2028">'Réglage perte'!$AO$10</definedName>
    <definedName name="Tau_2029">'Réglage perte'!$AU$10</definedName>
    <definedName name="Tau_2030">'Réglage perte'!$BA$10</definedName>
    <definedName name="Tau_2031">'Réglage perte'!$BG$10</definedName>
    <definedName name="Tau_2032">'Réglage perte'!$BM$10</definedName>
    <definedName name="Tau_2033">'Réglage perte'!$BS$10</definedName>
    <definedName name="Tau_2034">'Réglage perte'!$BY$10</definedName>
    <definedName name="Tau_i">'Réglage perte'!$AF$2</definedName>
    <definedName name="Tau_ij">'Réglage perte'!$AG$2</definedName>
    <definedName name="Tau_j" localSheetId="4">'2022'!$O$12</definedName>
    <definedName name="Tau_j" localSheetId="5">'2023'!$O$12</definedName>
    <definedName name="Tau_j" localSheetId="6">'2024'!$O$12</definedName>
    <definedName name="Tau_j" localSheetId="7">'2025'!$O$12</definedName>
    <definedName name="Tau_j" localSheetId="8">'2026'!$O$12</definedName>
    <definedName name="Tau_j" localSheetId="9">'2027'!$O$12</definedName>
    <definedName name="Tau_j" localSheetId="10">'2028'!$O$12</definedName>
    <definedName name="Tau_j" localSheetId="11">'2029'!$O$12</definedName>
    <definedName name="Tau_j" localSheetId="12">'2030'!$O$12</definedName>
    <definedName name="Tau_j" localSheetId="13">'2031'!$O$12</definedName>
    <definedName name="Tmaj">'2022'!$E$3</definedName>
    <definedName name="Tnet" localSheetId="4">'2022'!$O$9</definedName>
    <definedName name="Tnet" localSheetId="5">'2023'!$O$9</definedName>
    <definedName name="Tnet" localSheetId="6">'2024'!$O$9</definedName>
    <definedName name="Tnet" localSheetId="7">'2025'!$O$9</definedName>
    <definedName name="Tnet" localSheetId="8">'2026'!$O$9</definedName>
    <definedName name="Tnet" localSheetId="9">'2027'!$O$9</definedName>
    <definedName name="Tnet" localSheetId="10">'2028'!$O$9</definedName>
    <definedName name="Tnet" localSheetId="11">'2029'!$O$9</definedName>
    <definedName name="Tnet" localSheetId="12">'2030'!$O$9</definedName>
    <definedName name="Tnet" localSheetId="13">'2031'!$O$9</definedName>
    <definedName name="Tnet_2022">'Réglage perte'!$B$10</definedName>
    <definedName name="Tnet_2023">'Réglage perte'!$H$10</definedName>
    <definedName name="Tnet_2024">'Réglage perte'!$N$10</definedName>
    <definedName name="Tnet_2025">'Réglage perte'!$T$10</definedName>
    <definedName name="Tnet_2026">'Réglage perte'!$Z$10</definedName>
    <definedName name="Tnet_2027">'Réglage perte'!$AF$10</definedName>
    <definedName name="Tnet_2028">'Réglage perte'!$AL$10</definedName>
    <definedName name="Tnet_2029">'Réglage perte'!$AR$10</definedName>
    <definedName name="Tnet_2030">'Réglage perte'!$AX$10</definedName>
    <definedName name="Tnet_2031">'Réglage perte'!$BD$10</definedName>
    <definedName name="Tnet_2032">'Réglage perte'!$BJ$10</definedName>
    <definedName name="Tnet_2033">'Réglage perte'!$BP$10</definedName>
    <definedName name="Tnet_2034">'Réglage perte'!$BV$10</definedName>
    <definedName name="Tnet_s" localSheetId="4">'2022'!$AC$9</definedName>
    <definedName name="Tnet_s" localSheetId="5">'2023'!$AC$9</definedName>
    <definedName name="Tnet_s" localSheetId="6">'2024'!$AC$9</definedName>
    <definedName name="Tnet_s" localSheetId="7">'2025'!$AC$9</definedName>
    <definedName name="Tnet_s" localSheetId="8">'2026'!$AC$9</definedName>
    <definedName name="Tnet_s" localSheetId="9">'2027'!$AC$9</definedName>
    <definedName name="Tnet_s" localSheetId="10">'2028'!$AC$9</definedName>
    <definedName name="Tnet_s" localSheetId="11">'2029'!$AC$9</definedName>
    <definedName name="Tnet_s" localSheetId="12">'2030'!$AC$9</definedName>
    <definedName name="Tnet_s" localSheetId="13">'2031'!$AC$9</definedName>
    <definedName name="Tservice">'2022'!$E$6</definedName>
    <definedName name="Ttai" localSheetId="4">'2022'!$P$11</definedName>
    <definedName name="Ttai" localSheetId="5">'2023'!$P$11</definedName>
    <definedName name="Ttai" localSheetId="6">'2024'!$P$11</definedName>
    <definedName name="Ttai" localSheetId="7">'2025'!$P$11</definedName>
    <definedName name="Ttai" localSheetId="8">'2026'!$P$11</definedName>
    <definedName name="Ttai" localSheetId="9">'2027'!$P$11</definedName>
    <definedName name="Ttai" localSheetId="10">'2028'!$P$11</definedName>
    <definedName name="Ttai" localSheetId="11">'2029'!$P$11</definedName>
    <definedName name="Ttai" localSheetId="12">'2030'!$P$11</definedName>
    <definedName name="Ttai" localSheetId="13">'2031'!$P$11</definedName>
    <definedName name="Ttai_2022">'Réglage perte'!$B$11</definedName>
    <definedName name="Ttai_2023">'Réglage perte'!$H$11</definedName>
    <definedName name="Ttai_2024">'Réglage perte'!$N$11</definedName>
    <definedName name="Ttai_2025">'Réglage perte'!$T$11</definedName>
    <definedName name="Ttai_2026">'Réglage perte'!$Z$11</definedName>
    <definedName name="Ttai_2027">'Réglage perte'!$AF$11</definedName>
    <definedName name="Ttai_2028">'Réglage perte'!$AL$11</definedName>
    <definedName name="Ttai_2029">'Réglage perte'!$AR$11</definedName>
    <definedName name="Ttai_2030">'Réglage perte'!$AX$11</definedName>
    <definedName name="Ttai_2031">'Réglage perte'!$BD$11</definedName>
    <definedName name="Ttai_2032">'Réglage perte'!$BJ$11</definedName>
    <definedName name="Ttai_2033">'Réglage perte'!$BP$11</definedName>
    <definedName name="Ttai_2034">'Réglage perte'!$BV$11</definedName>
    <definedName name="Tvie" localSheetId="4">'2022'!$L$11</definedName>
    <definedName name="Tvie" localSheetId="5">'2023'!$L$11</definedName>
    <definedName name="Tvie" localSheetId="6">'2024'!$L$11</definedName>
    <definedName name="Tvie" localSheetId="7">'2025'!$L$11</definedName>
    <definedName name="Tvie" localSheetId="8">'2026'!$L$11</definedName>
    <definedName name="Tvie" localSheetId="9">'2027'!$L$11</definedName>
    <definedName name="Tvie" localSheetId="10">'2028'!$L$11</definedName>
    <definedName name="Tvie" localSheetId="11">'2029'!$L$11</definedName>
    <definedName name="Tvie" localSheetId="12">'2030'!$L$11</definedName>
    <definedName name="Tvie" localSheetId="13">'2031'!$L$11</definedName>
    <definedName name="Tvie_2022">'Réglage perte'!$B$9</definedName>
    <definedName name="Tvie_2023">'Réglage perte'!$H$9</definedName>
    <definedName name="Tvie_2024">'Réglage perte'!$N$9</definedName>
    <definedName name="Tvie_2025">'Réglage perte'!$T$9</definedName>
    <definedName name="Tvie_2026">'Réglage perte'!$Z$9</definedName>
    <definedName name="Tvie_2027">'Réglage perte'!$AF$9</definedName>
    <definedName name="Tvie_2028">'Réglage perte'!$AL$9</definedName>
    <definedName name="Tvie_2029">'Réglage perte'!$AR$9</definedName>
    <definedName name="Tvie_2030">'Réglage perte'!$AX$9</definedName>
    <definedName name="Tvie_2031">'Réglage perte'!$BD$9</definedName>
    <definedName name="Tvie_2032">'Réglage perte'!$BJ$9</definedName>
    <definedName name="Tvie_2033">'Réglage perte'!$BP$9</definedName>
    <definedName name="Tvie_2034">'Réglage perte'!$BV$9</definedName>
    <definedName name="Tvie_21">'2022'!$BG$11</definedName>
    <definedName name="Wh" localSheetId="4">'2022'!$B$15:$B$380</definedName>
    <definedName name="Wh" localSheetId="5">'2023'!$B$15:$B$380</definedName>
    <definedName name="Wh" localSheetId="6">'2024'!$B$15:$B$380</definedName>
    <definedName name="Wh" localSheetId="7">'2025'!$B$15:$B$380</definedName>
    <definedName name="Wh" localSheetId="8">'2026'!$B$15:$B$380</definedName>
    <definedName name="Wh" localSheetId="9">'2027'!$B$15:$B$380</definedName>
    <definedName name="Wh" localSheetId="10">'2028'!$B$15:$B$380</definedName>
    <definedName name="Wh" localSheetId="11">'2029'!$B$15:$B$380</definedName>
    <definedName name="Wh" localSheetId="12">'2030'!$B$15:$B$380</definedName>
    <definedName name="Wh" localSheetId="13">'2031'!$B$15:$B$380</definedName>
    <definedName name="Wh_gain_sa" localSheetId="4">'2022'!$Z$5</definedName>
    <definedName name="Wh_gain_sa" localSheetId="5">'2023'!$Z$5</definedName>
    <definedName name="Wh_gain_sa" localSheetId="6">'2024'!$Z$5</definedName>
    <definedName name="Wh_gain_sa" localSheetId="7">'2025'!$Z$5</definedName>
    <definedName name="Wh_gain_sa" localSheetId="8">'2026'!$Z$5</definedName>
    <definedName name="Wh_gain_sa" localSheetId="9">'2027'!$Z$5</definedName>
    <definedName name="Wh_gain_sa" localSheetId="10">'2028'!$Z$5</definedName>
    <definedName name="Wh_gain_sa" localSheetId="11">'2029'!$Z$5</definedName>
    <definedName name="Wh_gain_sa" localSheetId="12">'2030'!$Z$5</definedName>
    <definedName name="Wh_gain_sa" localSheetId="13">'2031'!$Z$5</definedName>
    <definedName name="Wh_gain_vg" localSheetId="4">'2022'!$AA$5</definedName>
    <definedName name="Wh_gain_vg" localSheetId="5">'2023'!$AA$5</definedName>
    <definedName name="Wh_gain_vg" localSheetId="6">'2024'!$AA$5</definedName>
    <definedName name="Wh_gain_vg" localSheetId="7">'2025'!$AA$5</definedName>
    <definedName name="Wh_gain_vg" localSheetId="8">'2026'!$AA$5</definedName>
    <definedName name="Wh_gain_vg" localSheetId="9">'2027'!$AA$5</definedName>
    <definedName name="Wh_gain_vg" localSheetId="10">'2028'!$AA$5</definedName>
    <definedName name="Wh_gain_vg" localSheetId="11">'2029'!$AA$5</definedName>
    <definedName name="Wh_gain_vg" localSheetId="12">'2030'!$AA$5</definedName>
    <definedName name="Wh_gain_vg" localSheetId="13">'2031'!$AA$5</definedName>
    <definedName name="Wh_hp" localSheetId="4">'2022'!$F$15:$F$380</definedName>
    <definedName name="Wh_hp" localSheetId="5">'2023'!$F$15:$F$380</definedName>
    <definedName name="Wh_hp" localSheetId="6">'2024'!$F$15:$F$380</definedName>
    <definedName name="Wh_hp" localSheetId="7">'2025'!$F$15:$F$380</definedName>
    <definedName name="Wh_hp" localSheetId="8">'2026'!$F$15:$F$380</definedName>
    <definedName name="Wh_hp" localSheetId="9">'2027'!$F$15:$F$380</definedName>
    <definedName name="Wh_hp" localSheetId="10">'2028'!$F$15:$F$380</definedName>
    <definedName name="Wh_hp" localSheetId="11">'2029'!$F$15:$F$380</definedName>
    <definedName name="Wh_hp" localSheetId="12">'2030'!$F$15:$F$380</definedName>
    <definedName name="Wh_hp" localSheetId="13">'2031'!$F$15:$F$380</definedName>
    <definedName name="Wh_Ppv" localSheetId="4">'2022'!$D$11</definedName>
    <definedName name="Wh_Ppv" localSheetId="5">'2023'!$D$11</definedName>
    <definedName name="Wh_Ppv" localSheetId="6">'2024'!$D$11</definedName>
    <definedName name="Wh_Ppv" localSheetId="7">'2025'!$D$11</definedName>
    <definedName name="Wh_Ppv" localSheetId="8">'2026'!$D$11</definedName>
    <definedName name="Wh_Ppv" localSheetId="9">'2027'!$D$11</definedName>
    <definedName name="Wh_Ppv" localSheetId="10">'2028'!$D$11</definedName>
    <definedName name="Wh_Ppv" localSheetId="11">'2029'!$D$11</definedName>
    <definedName name="Wh_Ppv" localSheetId="12">'2030'!$D$11</definedName>
    <definedName name="Wh_Ppv" localSheetId="13">'2031'!$D$11</definedName>
    <definedName name="Wh_Psa" localSheetId="4">'2022'!$E$11</definedName>
    <definedName name="Wh_Psa" localSheetId="5">'2023'!$E$11</definedName>
    <definedName name="Wh_Psa" localSheetId="6">'2024'!$E$11</definedName>
    <definedName name="Wh_Psa" localSheetId="7">'2025'!$E$11</definedName>
    <definedName name="Wh_Psa" localSheetId="8">'2026'!$E$11</definedName>
    <definedName name="Wh_Psa" localSheetId="9">'2027'!$E$11</definedName>
    <definedName name="Wh_Psa" localSheetId="10">'2028'!$E$11</definedName>
    <definedName name="Wh_Psa" localSheetId="11">'2029'!$E$11</definedName>
    <definedName name="Wh_Psa" localSheetId="12">'2030'!$E$11</definedName>
    <definedName name="Wh_Psa" localSheetId="13">'2031'!$E$11</definedName>
    <definedName name="Wh_Psa_s" localSheetId="4">'2022'!$Z$11</definedName>
    <definedName name="Wh_Psa_s" localSheetId="5">'2023'!$Z$11</definedName>
    <definedName name="Wh_Psa_s" localSheetId="6">'2024'!$Z$11</definedName>
    <definedName name="Wh_Psa_s" localSheetId="7">'2025'!$Z$11</definedName>
    <definedName name="Wh_Psa_s" localSheetId="8">'2026'!$Z$11</definedName>
    <definedName name="Wh_Psa_s" localSheetId="9">'2027'!$Z$11</definedName>
    <definedName name="Wh_Psa_s" localSheetId="10">'2028'!$Z$11</definedName>
    <definedName name="Wh_Psa_s" localSheetId="11">'2029'!$Z$11</definedName>
    <definedName name="Wh_Psa_s" localSheetId="12">'2030'!$Z$11</definedName>
    <definedName name="Wh_Psa_s" localSheetId="13">'2031'!$Z$11</definedName>
    <definedName name="Wh_Pvg" localSheetId="4">'2022'!$F$11</definedName>
    <definedName name="Wh_Pvg" localSheetId="5">'2023'!$F$11</definedName>
    <definedName name="Wh_Pvg" localSheetId="6">'2024'!$F$11</definedName>
    <definedName name="Wh_Pvg" localSheetId="7">'2025'!$F$11</definedName>
    <definedName name="Wh_Pvg" localSheetId="8">'2026'!$F$11</definedName>
    <definedName name="Wh_Pvg" localSheetId="9">'2027'!$F$11</definedName>
    <definedName name="Wh_Pvg" localSheetId="10">'2028'!$F$11</definedName>
    <definedName name="Wh_Pvg" localSheetId="11">'2029'!$F$11</definedName>
    <definedName name="Wh_Pvg" localSheetId="12">'2030'!$F$11</definedName>
    <definedName name="Wh_Pvg" localSheetId="13">'2031'!$F$11</definedName>
    <definedName name="Wh_Pvg_s" localSheetId="4">'2022'!$AA$11</definedName>
    <definedName name="Wh_Pvg_s" localSheetId="5">'2023'!$AA$11</definedName>
    <definedName name="Wh_Pvg_s" localSheetId="6">'2024'!$AA$11</definedName>
    <definedName name="Wh_Pvg_s" localSheetId="7">'2025'!$AA$11</definedName>
    <definedName name="Wh_Pvg_s" localSheetId="8">'2026'!$AA$11</definedName>
    <definedName name="Wh_Pvg_s" localSheetId="9">'2027'!$AA$11</definedName>
    <definedName name="Wh_Pvg_s" localSheetId="10">'2028'!$AA$11</definedName>
    <definedName name="Wh_Pvg_s" localSheetId="11">'2029'!$AA$11</definedName>
    <definedName name="Wh_Pvg_s" localSheetId="12">'2030'!$AA$11</definedName>
    <definedName name="Wh_Pvg_s" localSheetId="13">'2031'!$AA$11</definedName>
    <definedName name="Wh_pvt" localSheetId="4">'2022'!$D$15:$D$380</definedName>
    <definedName name="Wh_pvt" localSheetId="5">'2023'!$D$15:$D$380</definedName>
    <definedName name="Wh_pvt" localSheetId="6">'2024'!$D$15:$D$380</definedName>
    <definedName name="Wh_pvt" localSheetId="7">'2025'!$D$15:$D$380</definedName>
    <definedName name="Wh_pvt" localSheetId="8">'2026'!$D$15:$D$380</definedName>
    <definedName name="Wh_pvt" localSheetId="9">'2027'!$D$15:$D$380</definedName>
    <definedName name="Wh_pvt" localSheetId="10">'2028'!$D$15:$D$380</definedName>
    <definedName name="Wh_pvt" localSheetId="11">'2029'!$D$15:$D$380</definedName>
    <definedName name="Wh_pvt" localSheetId="12">'2030'!$D$15:$D$380</definedName>
    <definedName name="Wh_pvt" localSheetId="13">'2031'!$D$15:$D$380</definedName>
    <definedName name="Wh_pvt_s" localSheetId="4">'2022'!$Z$15:$Z$380</definedName>
    <definedName name="Wh_pvt_s" localSheetId="5">'2023'!$Z$15:$Z$380</definedName>
    <definedName name="Wh_pvt_s" localSheetId="6">'2024'!$Z$15:$Z$380</definedName>
    <definedName name="Wh_pvt_s" localSheetId="7">'2025'!$Z$15:$Z$380</definedName>
    <definedName name="Wh_pvt_s" localSheetId="8">'2026'!$Z$15:$Z$380</definedName>
    <definedName name="Wh_pvt_s" localSheetId="9">'2027'!$Z$15:$Z$380</definedName>
    <definedName name="Wh_pvt_s" localSheetId="10">'2028'!$Z$15:$Z$380</definedName>
    <definedName name="Wh_pvt_s" localSheetId="11">'2029'!$Z$15:$Z$380</definedName>
    <definedName name="Wh_pvt_s" localSheetId="12">'2030'!$Z$15:$Z$380</definedName>
    <definedName name="Wh_pvt_s" localSheetId="13">'2031'!$Z$15:$Z$380</definedName>
    <definedName name="Wh_s" localSheetId="4">'2022'!$Y$15:$Y$380</definedName>
    <definedName name="Wh_s" localSheetId="5">'2023'!$Y$15:$Y$380</definedName>
    <definedName name="Wh_s" localSheetId="6">'2024'!$Y$15:$Y$380</definedName>
    <definedName name="Wh_s" localSheetId="7">'2025'!$Y$15:$Y$380</definedName>
    <definedName name="Wh_s" localSheetId="8">'2026'!$Y$15:$Y$380</definedName>
    <definedName name="Wh_s" localSheetId="9">'2027'!$Y$15:$Y$380</definedName>
    <definedName name="Wh_s" localSheetId="10">'2028'!$Y$15:$Y$380</definedName>
    <definedName name="Wh_s" localSheetId="11">'2029'!$Y$15:$Y$380</definedName>
    <definedName name="Wh_s" localSheetId="12">'2030'!$Y$15:$Y$380</definedName>
    <definedName name="Wh_s" localSheetId="13">'2031'!$Y$15:$Y$380</definedName>
    <definedName name="Wh_sa" localSheetId="4">'2022'!$E$15:$E$380</definedName>
    <definedName name="Wh_sa" localSheetId="5">'2023'!$E$15:$E$380</definedName>
    <definedName name="Wh_sa" localSheetId="6">'2024'!$E$15:$E$380</definedName>
    <definedName name="Wh_sa" localSheetId="7">'2025'!$E$15:$E$380</definedName>
    <definedName name="Wh_sa" localSheetId="8">'2026'!$E$15:$E$380</definedName>
    <definedName name="Wh_sa" localSheetId="9">'2027'!$E$15:$E$380</definedName>
    <definedName name="Wh_sa" localSheetId="10">'2028'!$E$15:$E$380</definedName>
    <definedName name="Wh_sa" localSheetId="11">'2029'!$E$15:$E$380</definedName>
    <definedName name="Wh_sa" localSheetId="12">'2030'!$E$15:$E$380</definedName>
    <definedName name="Wh_sa" localSheetId="13">'2031'!$E$15:$E$380</definedName>
    <definedName name="Wh_sa_s" localSheetId="4">'2022'!$AA$15:$AA$380</definedName>
    <definedName name="Wh_sa_s" localSheetId="5">'2023'!$AA$15:$AA$380</definedName>
    <definedName name="Wh_sa_s" localSheetId="6">'2024'!$AA$15:$AA$380</definedName>
    <definedName name="Wh_sa_s" localSheetId="7">'2025'!$AA$15:$AA$380</definedName>
    <definedName name="Wh_sa_s" localSheetId="8">'2026'!$AA$15:$AA$380</definedName>
    <definedName name="Wh_sa_s" localSheetId="9">'2027'!$AA$15:$AA$380</definedName>
    <definedName name="Wh_sa_s" localSheetId="10">'2028'!$AA$15:$AA$380</definedName>
    <definedName name="Wh_sa_s" localSheetId="11">'2029'!$AA$15:$AA$380</definedName>
    <definedName name="Wh_sa_s" localSheetId="12">'2030'!$AA$15:$AA$380</definedName>
    <definedName name="Wh_sa_s" localSheetId="13">'2031'!$AA$15:$AA$380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L8" i="19" l="1"/>
  <c r="K8" i="19"/>
  <c r="M7" i="19" l="1"/>
  <c r="M32" i="19" l="1"/>
  <c r="B31" i="19"/>
  <c r="E10" i="7"/>
  <c r="C10" i="7"/>
  <c r="F10" i="7" s="1"/>
  <c r="L10" i="7" s="1"/>
  <c r="R10" i="7" s="1"/>
  <c r="X10" i="7" s="1"/>
  <c r="AD10" i="7" s="1"/>
  <c r="AJ10" i="7" s="1"/>
  <c r="AP10" i="7" s="1"/>
  <c r="AV10" i="7" s="1"/>
  <c r="BB10" i="7" s="1"/>
  <c r="BH10" i="7" s="1"/>
  <c r="BN10" i="7" s="1"/>
  <c r="BT10" i="7" s="1"/>
  <c r="BZ10" i="7" s="1"/>
  <c r="B10" i="7"/>
  <c r="D10" i="7" s="1"/>
  <c r="F9" i="7"/>
  <c r="B9" i="7"/>
  <c r="H9" i="7" l="1"/>
  <c r="C9" i="7"/>
  <c r="H10" i="7"/>
  <c r="L9" i="7" s="1"/>
  <c r="N10" i="7" s="1"/>
  <c r="H9" i="1"/>
  <c r="R9" i="7" l="1"/>
  <c r="T10" i="7" s="1"/>
  <c r="N9" i="7"/>
  <c r="I9" i="7"/>
  <c r="K10" i="7"/>
  <c r="Q10" i="7" s="1"/>
  <c r="I10" i="7"/>
  <c r="J10" i="7"/>
  <c r="P10" i="7" s="1"/>
  <c r="CD380" i="6"/>
  <c r="CB380" i="6"/>
  <c r="CA380" i="6"/>
  <c r="BZ380" i="6"/>
  <c r="BX380" i="6"/>
  <c r="BW380" i="6"/>
  <c r="CF380" i="6"/>
  <c r="CE380" i="6"/>
  <c r="W10" i="7" l="1"/>
  <c r="X9" i="7"/>
  <c r="Z10" i="7" s="1"/>
  <c r="V10" i="7"/>
  <c r="T9" i="7"/>
  <c r="O9" i="7"/>
  <c r="B380" i="1"/>
  <c r="B71" i="1"/>
  <c r="U9" i="7" l="1"/>
  <c r="Z9" i="7"/>
  <c r="AB10" i="7"/>
  <c r="AC10" i="7"/>
  <c r="AD9" i="7"/>
  <c r="AF10" i="7" s="1"/>
  <c r="N13" i="6"/>
  <c r="AN13" i="6" s="1"/>
  <c r="AI10" i="7" l="1"/>
  <c r="AO10" i="7" s="1"/>
  <c r="AU10" i="7" s="1"/>
  <c r="BA10" i="7" s="1"/>
  <c r="BG10" i="7" s="1"/>
  <c r="BM10" i="7" s="1"/>
  <c r="BS10" i="7" s="1"/>
  <c r="BY10" i="7" s="1"/>
  <c r="AJ9" i="7"/>
  <c r="AL10" i="7" s="1"/>
  <c r="AH10" i="7"/>
  <c r="AN10" i="7" s="1"/>
  <c r="AT10" i="7" s="1"/>
  <c r="AZ10" i="7" s="1"/>
  <c r="BF10" i="7" s="1"/>
  <c r="BL10" i="7" s="1"/>
  <c r="BR10" i="7" s="1"/>
  <c r="BX10" i="7" s="1"/>
  <c r="AF9" i="7"/>
  <c r="AA9" i="7"/>
  <c r="BG12" i="1"/>
  <c r="BG11" i="1"/>
  <c r="AL9" i="7" l="1"/>
  <c r="AR9" i="7" s="1"/>
  <c r="AX9" i="7" s="1"/>
  <c r="BD9" i="7" s="1"/>
  <c r="BJ9" i="7" s="1"/>
  <c r="BP9" i="7" s="1"/>
  <c r="BV9" i="7" s="1"/>
  <c r="AG9" i="7"/>
  <c r="AM9" i="7" s="1"/>
  <c r="AS9" i="7" s="1"/>
  <c r="AY9" i="7" s="1"/>
  <c r="BE9" i="7" s="1"/>
  <c r="BK9" i="7" s="1"/>
  <c r="BQ9" i="7" s="1"/>
  <c r="BW9" i="7" s="1"/>
  <c r="AP9" i="7"/>
  <c r="AR10" i="7" s="1"/>
  <c r="B380" i="6"/>
  <c r="AV9" i="7" l="1"/>
  <c r="AX10" i="7" s="1"/>
  <c r="I36" i="27"/>
  <c r="H36" i="27"/>
  <c r="H35" i="27"/>
  <c r="H21" i="27"/>
  <c r="I37" i="27"/>
  <c r="I38" i="27"/>
  <c r="M5" i="27"/>
  <c r="N14" i="27"/>
  <c r="H34" i="27" s="1"/>
  <c r="S3" i="27"/>
  <c r="Q3" i="27"/>
  <c r="BB9" i="7" l="1"/>
  <c r="BD10" i="7" s="1"/>
  <c r="L10" i="27"/>
  <c r="BH9" i="7" l="1"/>
  <c r="BJ10" i="7" s="1"/>
  <c r="BE1" i="1"/>
  <c r="BK14" i="1"/>
  <c r="BC9" i="1"/>
  <c r="AV15" i="1"/>
  <c r="BD380" i="1"/>
  <c r="BG1" i="1"/>
  <c r="BE383" i="1"/>
  <c r="AW383" i="1"/>
  <c r="BE382" i="1"/>
  <c r="AW382" i="1"/>
  <c r="BE381" i="1"/>
  <c r="AW381" i="1"/>
  <c r="J1" i="1"/>
  <c r="AV16" i="1" s="1"/>
  <c r="AV17" i="1" s="1"/>
  <c r="AV18" i="1" s="1"/>
  <c r="AV19" i="1" s="1"/>
  <c r="AV20" i="1" s="1"/>
  <c r="AV21" i="1" s="1"/>
  <c r="AV22" i="1" s="1"/>
  <c r="AV23" i="1" s="1"/>
  <c r="AV24" i="1" s="1"/>
  <c r="AV25" i="1" s="1"/>
  <c r="AV26" i="1" s="1"/>
  <c r="AV27" i="1" s="1"/>
  <c r="AV28" i="1" s="1"/>
  <c r="AV29" i="1" s="1"/>
  <c r="AV30" i="1" s="1"/>
  <c r="AV31" i="1" s="1"/>
  <c r="AV32" i="1" s="1"/>
  <c r="AV33" i="1" s="1"/>
  <c r="AV34" i="1" s="1"/>
  <c r="AV35" i="1" s="1"/>
  <c r="AV36" i="1" s="1"/>
  <c r="AV37" i="1" s="1"/>
  <c r="AV38" i="1" s="1"/>
  <c r="AV39" i="1" s="1"/>
  <c r="AV40" i="1" s="1"/>
  <c r="AV41" i="1" s="1"/>
  <c r="AV42" i="1" s="1"/>
  <c r="AV43" i="1" s="1"/>
  <c r="AV44" i="1" s="1"/>
  <c r="AV45" i="1" s="1"/>
  <c r="AV46" i="1" s="1"/>
  <c r="AV47" i="1" s="1"/>
  <c r="AV48" i="1" s="1"/>
  <c r="AV49" i="1" s="1"/>
  <c r="AV50" i="1" s="1"/>
  <c r="AV51" i="1" s="1"/>
  <c r="AV52" i="1" s="1"/>
  <c r="AV53" i="1" s="1"/>
  <c r="AV54" i="1" s="1"/>
  <c r="AV55" i="1" s="1"/>
  <c r="AV56" i="1" s="1"/>
  <c r="AV57" i="1" s="1"/>
  <c r="AV58" i="1" s="1"/>
  <c r="AV59" i="1" s="1"/>
  <c r="AV60" i="1" s="1"/>
  <c r="AV61" i="1" s="1"/>
  <c r="AV62" i="1" s="1"/>
  <c r="AV63" i="1" s="1"/>
  <c r="AV64" i="1" s="1"/>
  <c r="AV65" i="1" s="1"/>
  <c r="AV66" i="1" s="1"/>
  <c r="AV67" i="1" s="1"/>
  <c r="AV68" i="1" s="1"/>
  <c r="AV69" i="1" s="1"/>
  <c r="AV70" i="1" s="1"/>
  <c r="AV71" i="1" s="1"/>
  <c r="AV72" i="1" s="1"/>
  <c r="AV73" i="1" s="1"/>
  <c r="AV74" i="1" s="1"/>
  <c r="AV75" i="1" s="1"/>
  <c r="AV76" i="1" s="1"/>
  <c r="AV77" i="1" s="1"/>
  <c r="AV78" i="1" s="1"/>
  <c r="AV79" i="1" s="1"/>
  <c r="AV80" i="1" s="1"/>
  <c r="AV81" i="1" s="1"/>
  <c r="AV82" i="1" s="1"/>
  <c r="AV83" i="1" s="1"/>
  <c r="AV84" i="1" s="1"/>
  <c r="AV85" i="1" s="1"/>
  <c r="AV86" i="1" s="1"/>
  <c r="AV87" i="1" s="1"/>
  <c r="AV88" i="1" s="1"/>
  <c r="AV89" i="1" s="1"/>
  <c r="AV90" i="1" s="1"/>
  <c r="AV91" i="1" s="1"/>
  <c r="AV92" i="1" s="1"/>
  <c r="AV93" i="1" s="1"/>
  <c r="AV94" i="1" s="1"/>
  <c r="AV95" i="1" s="1"/>
  <c r="AV96" i="1" s="1"/>
  <c r="AV97" i="1" s="1"/>
  <c r="AV98" i="1" s="1"/>
  <c r="AV99" i="1" s="1"/>
  <c r="AV100" i="1" s="1"/>
  <c r="AV101" i="1" s="1"/>
  <c r="AV102" i="1" s="1"/>
  <c r="AV103" i="1" s="1"/>
  <c r="AV104" i="1" s="1"/>
  <c r="AV105" i="1" s="1"/>
  <c r="AV106" i="1" s="1"/>
  <c r="AV107" i="1" s="1"/>
  <c r="AV108" i="1" s="1"/>
  <c r="AV109" i="1" s="1"/>
  <c r="AV110" i="1" s="1"/>
  <c r="AV111" i="1" s="1"/>
  <c r="AV112" i="1" s="1"/>
  <c r="AV113" i="1" s="1"/>
  <c r="AV114" i="1" s="1"/>
  <c r="AV115" i="1" s="1"/>
  <c r="AV116" i="1" s="1"/>
  <c r="AV117" i="1" s="1"/>
  <c r="AV118" i="1" s="1"/>
  <c r="AV119" i="1" s="1"/>
  <c r="AV120" i="1" s="1"/>
  <c r="AV121" i="1" s="1"/>
  <c r="AV122" i="1" s="1"/>
  <c r="AV123" i="1" s="1"/>
  <c r="AV124" i="1" s="1"/>
  <c r="AV125" i="1" s="1"/>
  <c r="AV126" i="1" s="1"/>
  <c r="AV127" i="1" s="1"/>
  <c r="AV128" i="1" s="1"/>
  <c r="AV129" i="1" s="1"/>
  <c r="AV130" i="1" s="1"/>
  <c r="AV131" i="1" s="1"/>
  <c r="AV132" i="1" s="1"/>
  <c r="AV133" i="1" s="1"/>
  <c r="AV134" i="1" s="1"/>
  <c r="AV135" i="1" s="1"/>
  <c r="AV136" i="1" s="1"/>
  <c r="AV137" i="1" s="1"/>
  <c r="AV138" i="1" s="1"/>
  <c r="AV139" i="1" s="1"/>
  <c r="AV140" i="1" s="1"/>
  <c r="AV141" i="1" s="1"/>
  <c r="AV142" i="1" s="1"/>
  <c r="AV143" i="1" s="1"/>
  <c r="AV144" i="1" s="1"/>
  <c r="AV145" i="1" s="1"/>
  <c r="AV146" i="1" s="1"/>
  <c r="AV147" i="1" s="1"/>
  <c r="AV148" i="1" s="1"/>
  <c r="AV149" i="1" s="1"/>
  <c r="AV150" i="1" s="1"/>
  <c r="AV151" i="1" s="1"/>
  <c r="AV152" i="1" s="1"/>
  <c r="AV153" i="1" s="1"/>
  <c r="AV154" i="1" s="1"/>
  <c r="AV155" i="1" s="1"/>
  <c r="AV156" i="1" s="1"/>
  <c r="AV157" i="1" s="1"/>
  <c r="AV158" i="1" s="1"/>
  <c r="AV159" i="1" s="1"/>
  <c r="AV160" i="1" s="1"/>
  <c r="AV161" i="1" s="1"/>
  <c r="AV162" i="1" s="1"/>
  <c r="AV163" i="1" s="1"/>
  <c r="AV164" i="1" s="1"/>
  <c r="AV165" i="1" s="1"/>
  <c r="AV166" i="1" s="1"/>
  <c r="AV167" i="1" s="1"/>
  <c r="AV168" i="1" s="1"/>
  <c r="AV169" i="1" s="1"/>
  <c r="AV170" i="1" s="1"/>
  <c r="AV171" i="1" s="1"/>
  <c r="AV172" i="1" s="1"/>
  <c r="AV173" i="1" s="1"/>
  <c r="AV174" i="1" s="1"/>
  <c r="AV175" i="1" s="1"/>
  <c r="AV176" i="1" s="1"/>
  <c r="AV177" i="1" s="1"/>
  <c r="AV178" i="1" s="1"/>
  <c r="AV179" i="1" s="1"/>
  <c r="AV180" i="1" s="1"/>
  <c r="AV181" i="1" s="1"/>
  <c r="AV182" i="1" s="1"/>
  <c r="AV183" i="1" s="1"/>
  <c r="AV184" i="1" s="1"/>
  <c r="AV185" i="1" s="1"/>
  <c r="AV186" i="1" s="1"/>
  <c r="AV187" i="1" s="1"/>
  <c r="AV188" i="1" s="1"/>
  <c r="AV189" i="1" s="1"/>
  <c r="AV190" i="1" s="1"/>
  <c r="AV191" i="1" s="1"/>
  <c r="AV192" i="1" s="1"/>
  <c r="AV193" i="1" s="1"/>
  <c r="AV194" i="1" s="1"/>
  <c r="AV195" i="1" s="1"/>
  <c r="AV196" i="1" s="1"/>
  <c r="AV197" i="1" s="1"/>
  <c r="AV198" i="1" s="1"/>
  <c r="AV199" i="1" s="1"/>
  <c r="AV200" i="1" s="1"/>
  <c r="AV201" i="1" s="1"/>
  <c r="AV202" i="1" s="1"/>
  <c r="AV203" i="1" s="1"/>
  <c r="AV204" i="1" s="1"/>
  <c r="AV205" i="1" s="1"/>
  <c r="AV206" i="1" s="1"/>
  <c r="AV207" i="1" s="1"/>
  <c r="AV208" i="1" s="1"/>
  <c r="AV209" i="1" s="1"/>
  <c r="AV210" i="1" s="1"/>
  <c r="AV211" i="1" s="1"/>
  <c r="AV212" i="1" s="1"/>
  <c r="AV213" i="1" s="1"/>
  <c r="AV214" i="1" s="1"/>
  <c r="AV215" i="1" s="1"/>
  <c r="AV216" i="1" s="1"/>
  <c r="AV217" i="1" s="1"/>
  <c r="AV218" i="1" s="1"/>
  <c r="AV219" i="1" s="1"/>
  <c r="AV220" i="1" s="1"/>
  <c r="AV221" i="1" s="1"/>
  <c r="AV222" i="1" s="1"/>
  <c r="AV223" i="1" s="1"/>
  <c r="AV224" i="1" s="1"/>
  <c r="AV225" i="1" s="1"/>
  <c r="AV226" i="1" s="1"/>
  <c r="AV227" i="1" s="1"/>
  <c r="AV228" i="1" s="1"/>
  <c r="AV229" i="1" s="1"/>
  <c r="AV230" i="1" s="1"/>
  <c r="AV231" i="1" s="1"/>
  <c r="AV232" i="1" s="1"/>
  <c r="AV233" i="1" s="1"/>
  <c r="AV234" i="1" s="1"/>
  <c r="AV235" i="1" s="1"/>
  <c r="AV236" i="1" s="1"/>
  <c r="AV237" i="1" s="1"/>
  <c r="AV238" i="1" s="1"/>
  <c r="AV239" i="1" s="1"/>
  <c r="AV240" i="1" s="1"/>
  <c r="AV241" i="1" s="1"/>
  <c r="AV242" i="1" s="1"/>
  <c r="AV243" i="1" s="1"/>
  <c r="AV244" i="1" s="1"/>
  <c r="AV245" i="1" s="1"/>
  <c r="AV246" i="1" s="1"/>
  <c r="AV247" i="1" s="1"/>
  <c r="AV248" i="1" s="1"/>
  <c r="AV249" i="1" s="1"/>
  <c r="AV250" i="1" s="1"/>
  <c r="AV251" i="1" s="1"/>
  <c r="AV252" i="1" s="1"/>
  <c r="AV253" i="1" s="1"/>
  <c r="AV254" i="1" s="1"/>
  <c r="AV255" i="1" s="1"/>
  <c r="AV256" i="1" s="1"/>
  <c r="AV257" i="1" s="1"/>
  <c r="AV258" i="1" s="1"/>
  <c r="AV259" i="1" s="1"/>
  <c r="AV260" i="1" s="1"/>
  <c r="AV261" i="1" s="1"/>
  <c r="AV262" i="1" s="1"/>
  <c r="AV263" i="1" s="1"/>
  <c r="AV264" i="1" s="1"/>
  <c r="AV265" i="1" s="1"/>
  <c r="AV266" i="1" s="1"/>
  <c r="AV267" i="1" s="1"/>
  <c r="AV268" i="1" s="1"/>
  <c r="AV269" i="1" s="1"/>
  <c r="AV270" i="1" s="1"/>
  <c r="AV271" i="1" s="1"/>
  <c r="AV272" i="1" s="1"/>
  <c r="AV273" i="1" s="1"/>
  <c r="AV274" i="1" s="1"/>
  <c r="AV275" i="1" s="1"/>
  <c r="AV276" i="1" s="1"/>
  <c r="AV277" i="1" s="1"/>
  <c r="AV278" i="1" s="1"/>
  <c r="AV279" i="1" s="1"/>
  <c r="AV280" i="1" s="1"/>
  <c r="AV281" i="1" s="1"/>
  <c r="AV282" i="1" s="1"/>
  <c r="AV283" i="1" s="1"/>
  <c r="AV284" i="1" s="1"/>
  <c r="AV285" i="1" s="1"/>
  <c r="AV286" i="1" s="1"/>
  <c r="AV287" i="1" s="1"/>
  <c r="AV288" i="1" s="1"/>
  <c r="AV289" i="1" s="1"/>
  <c r="AV290" i="1" s="1"/>
  <c r="AV291" i="1" s="1"/>
  <c r="AV292" i="1" s="1"/>
  <c r="AV293" i="1" s="1"/>
  <c r="AV294" i="1" s="1"/>
  <c r="AV295" i="1" s="1"/>
  <c r="AV296" i="1" s="1"/>
  <c r="AV297" i="1" s="1"/>
  <c r="AV298" i="1" s="1"/>
  <c r="AV299" i="1" s="1"/>
  <c r="AV300" i="1" s="1"/>
  <c r="AV301" i="1" s="1"/>
  <c r="AV302" i="1" s="1"/>
  <c r="AV303" i="1" s="1"/>
  <c r="AV304" i="1" s="1"/>
  <c r="AV305" i="1" s="1"/>
  <c r="AV306" i="1" s="1"/>
  <c r="AV307" i="1" s="1"/>
  <c r="AV308" i="1" s="1"/>
  <c r="AV309" i="1" s="1"/>
  <c r="AV310" i="1" s="1"/>
  <c r="AV311" i="1" s="1"/>
  <c r="AV312" i="1" s="1"/>
  <c r="AV313" i="1" s="1"/>
  <c r="AV314" i="1" s="1"/>
  <c r="AV315" i="1" s="1"/>
  <c r="AV316" i="1" s="1"/>
  <c r="AV317" i="1" s="1"/>
  <c r="AV318" i="1" s="1"/>
  <c r="AV319" i="1" s="1"/>
  <c r="AV320" i="1" s="1"/>
  <c r="AV321" i="1" s="1"/>
  <c r="AV322" i="1" s="1"/>
  <c r="AV323" i="1" s="1"/>
  <c r="AV324" i="1" s="1"/>
  <c r="AV325" i="1" s="1"/>
  <c r="AV326" i="1" s="1"/>
  <c r="AV327" i="1" s="1"/>
  <c r="AV328" i="1" s="1"/>
  <c r="AV329" i="1" s="1"/>
  <c r="AV330" i="1" s="1"/>
  <c r="AV331" i="1" s="1"/>
  <c r="AV332" i="1" s="1"/>
  <c r="AV333" i="1" s="1"/>
  <c r="AV334" i="1" s="1"/>
  <c r="AV335" i="1" s="1"/>
  <c r="AV336" i="1" s="1"/>
  <c r="AV337" i="1" s="1"/>
  <c r="AV338" i="1" s="1"/>
  <c r="AV339" i="1" s="1"/>
  <c r="AV340" i="1" s="1"/>
  <c r="AV341" i="1" s="1"/>
  <c r="AV342" i="1" s="1"/>
  <c r="AV343" i="1" s="1"/>
  <c r="AV344" i="1" s="1"/>
  <c r="AV345" i="1" s="1"/>
  <c r="AV346" i="1" s="1"/>
  <c r="AV347" i="1" s="1"/>
  <c r="AV348" i="1" s="1"/>
  <c r="AV349" i="1" s="1"/>
  <c r="AV350" i="1" s="1"/>
  <c r="AV351" i="1" s="1"/>
  <c r="AV352" i="1" s="1"/>
  <c r="AV353" i="1" s="1"/>
  <c r="AV354" i="1" s="1"/>
  <c r="AV355" i="1" s="1"/>
  <c r="AV356" i="1" s="1"/>
  <c r="AV357" i="1" s="1"/>
  <c r="AV358" i="1" s="1"/>
  <c r="AV359" i="1" s="1"/>
  <c r="AV360" i="1" s="1"/>
  <c r="AV361" i="1" s="1"/>
  <c r="AV362" i="1" s="1"/>
  <c r="AV363" i="1" s="1"/>
  <c r="AV364" i="1" s="1"/>
  <c r="AV365" i="1" s="1"/>
  <c r="AV366" i="1" s="1"/>
  <c r="AV367" i="1" s="1"/>
  <c r="AV368" i="1" s="1"/>
  <c r="AV369" i="1" s="1"/>
  <c r="AV370" i="1" s="1"/>
  <c r="AV371" i="1" s="1"/>
  <c r="AV372" i="1" s="1"/>
  <c r="AV373" i="1" s="1"/>
  <c r="AV374" i="1" s="1"/>
  <c r="AV375" i="1" s="1"/>
  <c r="AV376" i="1" s="1"/>
  <c r="AV377" i="1" s="1"/>
  <c r="AV378" i="1" s="1"/>
  <c r="AV379" i="1" s="1"/>
  <c r="C5" i="27"/>
  <c r="I5" i="27"/>
  <c r="BK10" i="7" l="1"/>
  <c r="BN9" i="7"/>
  <c r="BP10" i="7" s="1"/>
  <c r="BA14" i="1"/>
  <c r="C380" i="6"/>
  <c r="C353" i="6"/>
  <c r="C352" i="6"/>
  <c r="C351" i="6"/>
  <c r="C350" i="6"/>
  <c r="C349" i="6"/>
  <c r="C348" i="6"/>
  <c r="C347" i="6"/>
  <c r="C346" i="6"/>
  <c r="C345" i="6"/>
  <c r="C344" i="6"/>
  <c r="C343" i="6"/>
  <c r="C342" i="6"/>
  <c r="C341" i="6"/>
  <c r="C340" i="6"/>
  <c r="C339" i="6"/>
  <c r="C338" i="6"/>
  <c r="C337" i="6"/>
  <c r="C336" i="6"/>
  <c r="C335" i="6"/>
  <c r="C334" i="6"/>
  <c r="C333" i="6"/>
  <c r="C332" i="6"/>
  <c r="C331" i="6"/>
  <c r="C330" i="6"/>
  <c r="C329" i="6"/>
  <c r="C328" i="6"/>
  <c r="C327" i="6"/>
  <c r="C326" i="6"/>
  <c r="C325" i="6"/>
  <c r="C324" i="6"/>
  <c r="C323" i="6"/>
  <c r="C322" i="6"/>
  <c r="C321" i="6"/>
  <c r="C320" i="6"/>
  <c r="C319" i="6"/>
  <c r="C318" i="6"/>
  <c r="C317" i="6"/>
  <c r="C316" i="6"/>
  <c r="C315" i="6"/>
  <c r="C314" i="6"/>
  <c r="C313" i="6"/>
  <c r="C312" i="6"/>
  <c r="C311" i="6"/>
  <c r="C310" i="6"/>
  <c r="C309" i="6"/>
  <c r="C308" i="6"/>
  <c r="C307" i="6"/>
  <c r="C306" i="6"/>
  <c r="C305" i="6"/>
  <c r="C304" i="6"/>
  <c r="C303" i="6"/>
  <c r="C302" i="6"/>
  <c r="C301" i="6"/>
  <c r="C300" i="6"/>
  <c r="C299" i="6"/>
  <c r="C298" i="6"/>
  <c r="C297" i="6"/>
  <c r="C296" i="6"/>
  <c r="C295" i="6"/>
  <c r="C294" i="6"/>
  <c r="C293" i="6"/>
  <c r="C292" i="6"/>
  <c r="C291" i="6"/>
  <c r="C290" i="6"/>
  <c r="C289" i="6"/>
  <c r="C288" i="6"/>
  <c r="C287" i="6"/>
  <c r="C286" i="6"/>
  <c r="C285" i="6"/>
  <c r="C284" i="6"/>
  <c r="C283" i="6"/>
  <c r="C282" i="6"/>
  <c r="C281" i="6"/>
  <c r="C280" i="6"/>
  <c r="C279" i="6"/>
  <c r="C278" i="6"/>
  <c r="C277" i="6"/>
  <c r="C276" i="6"/>
  <c r="C275" i="6"/>
  <c r="C274" i="6"/>
  <c r="C273" i="6"/>
  <c r="C272" i="6"/>
  <c r="C271" i="6"/>
  <c r="C270" i="6"/>
  <c r="C269" i="6"/>
  <c r="C268" i="6"/>
  <c r="C267" i="6"/>
  <c r="C266" i="6"/>
  <c r="C265" i="6"/>
  <c r="C264" i="6"/>
  <c r="C263" i="6"/>
  <c r="C262" i="6"/>
  <c r="C261" i="6"/>
  <c r="C260" i="6"/>
  <c r="C259" i="6"/>
  <c r="C258" i="6"/>
  <c r="C257" i="6"/>
  <c r="C256" i="6"/>
  <c r="C255" i="6"/>
  <c r="C254" i="6"/>
  <c r="C253" i="6"/>
  <c r="C252" i="6"/>
  <c r="C251" i="6"/>
  <c r="C250" i="6"/>
  <c r="C249" i="6"/>
  <c r="C248" i="6"/>
  <c r="C247" i="6"/>
  <c r="C246" i="6"/>
  <c r="C245" i="6"/>
  <c r="C244" i="6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BQ10" i="7" l="1"/>
  <c r="BT9" i="7"/>
  <c r="BV10" i="7" s="1"/>
  <c r="D10" i="27"/>
  <c r="E10" i="27" s="1"/>
  <c r="BW10" i="7" l="1"/>
  <c r="BZ9" i="7"/>
  <c r="D5" i="27"/>
  <c r="L32" i="19" l="1"/>
  <c r="K32" i="19"/>
  <c r="K19" i="27" l="1"/>
  <c r="J19" i="27"/>
  <c r="K18" i="27"/>
  <c r="K17" i="27"/>
  <c r="K16" i="27"/>
  <c r="M42" i="27"/>
  <c r="N78" i="27" s="1"/>
  <c r="L42" i="27"/>
  <c r="K78" i="27" s="1"/>
  <c r="K42" i="27"/>
  <c r="J42" i="27"/>
  <c r="M41" i="27"/>
  <c r="N77" i="27" s="1"/>
  <c r="L41" i="27"/>
  <c r="F77" i="27" s="1"/>
  <c r="K41" i="27"/>
  <c r="J41" i="27"/>
  <c r="M40" i="27"/>
  <c r="N76" i="27" s="1"/>
  <c r="K40" i="27"/>
  <c r="J40" i="27"/>
  <c r="L40" i="27" s="1"/>
  <c r="M39" i="27"/>
  <c r="N75" i="27" s="1"/>
  <c r="K39" i="27"/>
  <c r="J39" i="27"/>
  <c r="M38" i="27"/>
  <c r="K38" i="27"/>
  <c r="J38" i="27"/>
  <c r="L38" i="27" s="1"/>
  <c r="J74" i="27" s="1"/>
  <c r="M37" i="27"/>
  <c r="K37" i="27"/>
  <c r="J37" i="27"/>
  <c r="K36" i="27"/>
  <c r="K35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M21" i="27"/>
  <c r="K21" i="27"/>
  <c r="J21" i="27"/>
  <c r="L21" i="27"/>
  <c r="K57" i="27" s="1"/>
  <c r="M20" i="27"/>
  <c r="N56" i="27" s="1"/>
  <c r="L20" i="27"/>
  <c r="F56" i="27" s="1"/>
  <c r="K20" i="27"/>
  <c r="J20" i="27"/>
  <c r="BN12" i="6"/>
  <c r="BN13" i="6"/>
  <c r="D13" i="27"/>
  <c r="E13" i="27" s="1"/>
  <c r="AW56" i="27"/>
  <c r="AU56" i="27"/>
  <c r="AS56" i="27"/>
  <c r="M79" i="27"/>
  <c r="L79" i="27"/>
  <c r="K79" i="27"/>
  <c r="J79" i="27"/>
  <c r="I79" i="27"/>
  <c r="H79" i="27"/>
  <c r="G79" i="27"/>
  <c r="F79" i="27"/>
  <c r="E79" i="27"/>
  <c r="D79" i="27"/>
  <c r="C79" i="27"/>
  <c r="A62" i="27"/>
  <c r="AF62" i="27"/>
  <c r="AF56" i="27"/>
  <c r="N79" i="27"/>
  <c r="N34" i="27"/>
  <c r="O70" i="27" s="1"/>
  <c r="N35" i="27"/>
  <c r="O71" i="27" s="1"/>
  <c r="N36" i="27"/>
  <c r="O72" i="27" s="1"/>
  <c r="N37" i="27"/>
  <c r="O73" i="27" s="1"/>
  <c r="J4" i="19"/>
  <c r="I4" i="19"/>
  <c r="BO14" i="6"/>
  <c r="BO13" i="6"/>
  <c r="BP13" i="6" s="1"/>
  <c r="BO12" i="6"/>
  <c r="N39" i="27"/>
  <c r="O75" i="27" s="1"/>
  <c r="N38" i="27"/>
  <c r="O74" i="27" s="1"/>
  <c r="N33" i="27"/>
  <c r="O69" i="27" s="1"/>
  <c r="N32" i="27"/>
  <c r="O68" i="27" s="1"/>
  <c r="N22" i="27"/>
  <c r="O58" i="27" s="1"/>
  <c r="N23" i="27"/>
  <c r="O59" i="27" s="1"/>
  <c r="N24" i="27"/>
  <c r="O60" i="27" s="1"/>
  <c r="N25" i="27"/>
  <c r="O61" i="27" s="1"/>
  <c r="N26" i="27"/>
  <c r="O62" i="27" s="1"/>
  <c r="N27" i="27"/>
  <c r="O63" i="27" s="1"/>
  <c r="N28" i="27"/>
  <c r="O64" i="27" s="1"/>
  <c r="N29" i="27"/>
  <c r="O65" i="27" s="1"/>
  <c r="N30" i="27"/>
  <c r="O66" i="27" s="1"/>
  <c r="N31" i="27"/>
  <c r="O67" i="27" s="1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68" i="27"/>
  <c r="A67" i="27"/>
  <c r="A66" i="27"/>
  <c r="A65" i="27"/>
  <c r="A64" i="27"/>
  <c r="A63" i="27"/>
  <c r="A61" i="27"/>
  <c r="AF60" i="27"/>
  <c r="A60" i="27"/>
  <c r="A59" i="27"/>
  <c r="A58" i="27"/>
  <c r="AF57" i="27"/>
  <c r="A57" i="27"/>
  <c r="A56" i="27"/>
  <c r="V55" i="27"/>
  <c r="I55" i="27"/>
  <c r="G55" i="27"/>
  <c r="AA54" i="27"/>
  <c r="O54" i="27"/>
  <c r="A54" i="27"/>
  <c r="H53" i="27"/>
  <c r="N43" i="27"/>
  <c r="O79" i="27"/>
  <c r="N42" i="27"/>
  <c r="O78" i="27" s="1"/>
  <c r="N41" i="27"/>
  <c r="O77" i="27" s="1"/>
  <c r="N40" i="27"/>
  <c r="O76" i="27" s="1"/>
  <c r="N21" i="27"/>
  <c r="O57" i="27" s="1"/>
  <c r="N20" i="27"/>
  <c r="O56" i="27"/>
  <c r="N19" i="27"/>
  <c r="N18" i="27"/>
  <c r="N17" i="27"/>
  <c r="N16" i="27"/>
  <c r="L12" i="27"/>
  <c r="H12" i="27"/>
  <c r="F12" i="27"/>
  <c r="L11" i="27"/>
  <c r="H11" i="27"/>
  <c r="F11" i="27" s="1"/>
  <c r="H10" i="27"/>
  <c r="G10" i="27" s="1"/>
  <c r="C6" i="27"/>
  <c r="B6" i="27"/>
  <c r="N5" i="27"/>
  <c r="F5" i="27"/>
  <c r="C6" i="19" s="1"/>
  <c r="J3" i="27"/>
  <c r="B1" i="27"/>
  <c r="A1" i="27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/>
  <c r="AL12" i="6"/>
  <c r="AK12" i="6"/>
  <c r="AJ12" i="6"/>
  <c r="AJ17" i="6"/>
  <c r="AI12" i="6"/>
  <c r="AH12" i="6"/>
  <c r="AG12" i="6"/>
  <c r="AF12" i="6"/>
  <c r="AE19" i="6" s="1"/>
  <c r="AE12" i="6"/>
  <c r="AD12" i="6"/>
  <c r="AC12" i="6"/>
  <c r="AB12" i="6"/>
  <c r="AA19" i="6"/>
  <c r="AA12" i="6"/>
  <c r="Z12" i="6"/>
  <c r="Z17" i="6" s="1"/>
  <c r="Y12" i="6"/>
  <c r="X12" i="6"/>
  <c r="S28" i="6"/>
  <c r="W12" i="6"/>
  <c r="V12" i="6"/>
  <c r="U12" i="6"/>
  <c r="T12" i="6"/>
  <c r="Q28" i="6" s="1"/>
  <c r="S12" i="6"/>
  <c r="R12" i="6"/>
  <c r="Q12" i="6"/>
  <c r="P12" i="6"/>
  <c r="O19" i="6"/>
  <c r="O12" i="6"/>
  <c r="N12" i="6"/>
  <c r="N17" i="6" s="1"/>
  <c r="M12" i="6"/>
  <c r="L12" i="6"/>
  <c r="AM13" i="6"/>
  <c r="E372" i="6" s="1"/>
  <c r="M3" i="6"/>
  <c r="AL13" i="6"/>
  <c r="E358" i="6" s="1"/>
  <c r="AK13" i="6"/>
  <c r="Y44" i="6" s="1"/>
  <c r="AJ13" i="6"/>
  <c r="AJ18" i="6" s="1"/>
  <c r="AI13" i="6"/>
  <c r="AI18" i="6" s="1"/>
  <c r="AH13" i="6"/>
  <c r="AI16" i="6" s="1"/>
  <c r="AG13" i="6"/>
  <c r="E288" i="6" s="1"/>
  <c r="AF13" i="6"/>
  <c r="AF18" i="6" s="1"/>
  <c r="AE13" i="6"/>
  <c r="AD13" i="6"/>
  <c r="AD18" i="6" s="1"/>
  <c r="AC13" i="6"/>
  <c r="AC18" i="6" s="1"/>
  <c r="AB13" i="6"/>
  <c r="AA20" i="6" s="1"/>
  <c r="AA13" i="6"/>
  <c r="AA18" i="6" s="1"/>
  <c r="Z13" i="6"/>
  <c r="E190" i="6" s="1"/>
  <c r="Y13" i="6"/>
  <c r="S44" i="6" s="1"/>
  <c r="X13" i="6"/>
  <c r="E162" i="6" s="1"/>
  <c r="W13" i="6"/>
  <c r="W18" i="6" s="1"/>
  <c r="V13" i="6"/>
  <c r="V18" i="6" s="1"/>
  <c r="U13" i="6"/>
  <c r="Q44" i="6" s="1"/>
  <c r="T13" i="6"/>
  <c r="S20" i="6" s="1"/>
  <c r="S13" i="6"/>
  <c r="T16" i="6" s="1"/>
  <c r="R13" i="6"/>
  <c r="R18" i="6" s="1"/>
  <c r="Q13" i="6"/>
  <c r="Q18" i="6" s="1"/>
  <c r="P13" i="6"/>
  <c r="AB29" i="6" s="1"/>
  <c r="AA35" i="6" s="1"/>
  <c r="O13" i="6"/>
  <c r="P16" i="6" s="1"/>
  <c r="M20" i="6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Y14" i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C11" i="7"/>
  <c r="Q11" i="1"/>
  <c r="AE12" i="1"/>
  <c r="I380" i="1"/>
  <c r="H380" i="15"/>
  <c r="I380" i="15" s="1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E6" i="16"/>
  <c r="E5" i="16"/>
  <c r="E4" i="16"/>
  <c r="E6" i="15"/>
  <c r="E5" i="15"/>
  <c r="E4" i="15"/>
  <c r="B2" i="7"/>
  <c r="A2" i="6" s="1"/>
  <c r="T1" i="7"/>
  <c r="Q12" i="1"/>
  <c r="C15" i="7" s="1"/>
  <c r="Z43" i="6"/>
  <c r="Y49" i="6" s="1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V19" i="6"/>
  <c r="AA17" i="6"/>
  <c r="Z19" i="6"/>
  <c r="AB15" i="6"/>
  <c r="T43" i="6"/>
  <c r="S49" i="6"/>
  <c r="AD15" i="6"/>
  <c r="AD19" i="6"/>
  <c r="AE17" i="6"/>
  <c r="AE22" i="6" s="1"/>
  <c r="X28" i="6"/>
  <c r="AK19" i="6"/>
  <c r="Z28" i="6"/>
  <c r="AM15" i="6"/>
  <c r="AM21" i="6" s="1"/>
  <c r="AL17" i="6"/>
  <c r="AN17" i="6"/>
  <c r="R43" i="6"/>
  <c r="U45" i="6"/>
  <c r="T47" i="6"/>
  <c r="P49" i="6"/>
  <c r="N28" i="6"/>
  <c r="X17" i="6"/>
  <c r="W19" i="6"/>
  <c r="W22" i="6" s="1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N32" i="6"/>
  <c r="O30" i="6"/>
  <c r="M34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O9" i="1"/>
  <c r="BP13" i="7" s="1"/>
  <c r="AF59" i="27"/>
  <c r="BR7" i="6"/>
  <c r="BR10" i="6"/>
  <c r="BR8" i="6"/>
  <c r="P34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Y36" i="6" s="1"/>
  <c r="X32" i="6"/>
  <c r="L43" i="6"/>
  <c r="M45" i="6" s="1"/>
  <c r="M51" i="6" s="1"/>
  <c r="N45" i="6"/>
  <c r="M47" i="6"/>
  <c r="M15" i="6"/>
  <c r="M21" i="6" s="1"/>
  <c r="M28" i="6"/>
  <c r="M19" i="6"/>
  <c r="M22" i="6"/>
  <c r="O15" i="6"/>
  <c r="O21" i="6"/>
  <c r="O28" i="6"/>
  <c r="Q15" i="6"/>
  <c r="Q21" i="6" s="1"/>
  <c r="P17" i="6"/>
  <c r="P22" i="6" s="1"/>
  <c r="P28" i="6"/>
  <c r="R17" i="6"/>
  <c r="Q19" i="6"/>
  <c r="Q22" i="6"/>
  <c r="T17" i="6"/>
  <c r="U15" i="6"/>
  <c r="U21" i="6" s="1"/>
  <c r="U19" i="6"/>
  <c r="U22" i="6" s="1"/>
  <c r="R28" i="6"/>
  <c r="T30" i="6"/>
  <c r="R34" i="6"/>
  <c r="S32" i="6"/>
  <c r="S37" i="6" s="1"/>
  <c r="AA15" i="6"/>
  <c r="AA21" i="6"/>
  <c r="T28" i="6"/>
  <c r="Y19" i="6"/>
  <c r="V28" i="6"/>
  <c r="V32" i="6"/>
  <c r="AD17" i="6"/>
  <c r="AD21" i="6" s="1"/>
  <c r="AE15" i="6"/>
  <c r="AE21" i="6" s="1"/>
  <c r="AC19" i="6"/>
  <c r="W28" i="6"/>
  <c r="AG15" i="6"/>
  <c r="AG21" i="6" s="1"/>
  <c r="AI15" i="6"/>
  <c r="AH17" i="6"/>
  <c r="AG19" i="6"/>
  <c r="AI19" i="6"/>
  <c r="Y28" i="6"/>
  <c r="Z30" i="6" s="1"/>
  <c r="AK15" i="6"/>
  <c r="Y43" i="6"/>
  <c r="AL15" i="6"/>
  <c r="AL21" i="6" s="1"/>
  <c r="Y32" i="6"/>
  <c r="Y37" i="6" s="1"/>
  <c r="X34" i="6"/>
  <c r="X37" i="6" s="1"/>
  <c r="W30" i="6"/>
  <c r="U34" i="6"/>
  <c r="U37" i="6"/>
  <c r="U30" i="6"/>
  <c r="U36" i="6"/>
  <c r="S34" i="6"/>
  <c r="T32" i="6"/>
  <c r="T22" i="6"/>
  <c r="P30" i="6"/>
  <c r="AD22" i="6"/>
  <c r="AQ321" i="6"/>
  <c r="AP302" i="6"/>
  <c r="AR302" i="6" s="1"/>
  <c r="AS302" i="6" s="1"/>
  <c r="AP306" i="6"/>
  <c r="AR306" i="6" s="1"/>
  <c r="AQ302" i="6"/>
  <c r="AP340" i="6"/>
  <c r="AR340" i="6" s="1"/>
  <c r="AQ314" i="6"/>
  <c r="AQ343" i="6"/>
  <c r="AP190" i="6"/>
  <c r="AR190" i="6" s="1"/>
  <c r="AQ245" i="6"/>
  <c r="AQ199" i="6"/>
  <c r="AQ192" i="6"/>
  <c r="AP204" i="6"/>
  <c r="AR204" i="6" s="1"/>
  <c r="AP233" i="6"/>
  <c r="AR233" i="6" s="1"/>
  <c r="AP191" i="6"/>
  <c r="AR191" i="6" s="1"/>
  <c r="AQ206" i="6"/>
  <c r="AQ237" i="6"/>
  <c r="AQ236" i="6"/>
  <c r="AQ191" i="6"/>
  <c r="AP231" i="6"/>
  <c r="AR231" i="6" s="1"/>
  <c r="AP229" i="6"/>
  <c r="AR229" i="6" s="1"/>
  <c r="AQ203" i="6"/>
  <c r="AP209" i="6"/>
  <c r="AR209" i="6" s="1"/>
  <c r="AP216" i="6"/>
  <c r="AR216" i="6" s="1"/>
  <c r="AQ218" i="6"/>
  <c r="AP236" i="6"/>
  <c r="AR236" i="6" s="1"/>
  <c r="AP192" i="6"/>
  <c r="AR192" i="6" s="1"/>
  <c r="AQ213" i="6"/>
  <c r="AP232" i="6"/>
  <c r="AR232" i="6" s="1"/>
  <c r="AQ231" i="6"/>
  <c r="AP195" i="6"/>
  <c r="AR195" i="6" s="1"/>
  <c r="AP245" i="6"/>
  <c r="AR245" i="6" s="1"/>
  <c r="AQ205" i="6"/>
  <c r="AQ243" i="6"/>
  <c r="AQ208" i="6"/>
  <c r="AQ204" i="6"/>
  <c r="AQ238" i="6"/>
  <c r="AQ226" i="6"/>
  <c r="AP242" i="6"/>
  <c r="AR242" i="6"/>
  <c r="AS242" i="6" s="1"/>
  <c r="AP202" i="6"/>
  <c r="AR202" i="6"/>
  <c r="AP206" i="6"/>
  <c r="AR206" i="6"/>
  <c r="AS206" i="6" s="1"/>
  <c r="AP238" i="6"/>
  <c r="AR238" i="6"/>
  <c r="AS238" i="6" s="1"/>
  <c r="AQ200" i="6"/>
  <c r="AQ241" i="6"/>
  <c r="AP196" i="6"/>
  <c r="AR196" i="6" s="1"/>
  <c r="AQ233" i="6"/>
  <c r="AQ214" i="6"/>
  <c r="AQ195" i="6"/>
  <c r="AQ239" i="6"/>
  <c r="AQ217" i="6"/>
  <c r="AQ202" i="6"/>
  <c r="AP227" i="6"/>
  <c r="AR227" i="6" s="1"/>
  <c r="AQ212" i="6"/>
  <c r="AQ207" i="6"/>
  <c r="AQ235" i="6"/>
  <c r="AQ209" i="6"/>
  <c r="AQ211" i="6"/>
  <c r="AP224" i="6"/>
  <c r="AR224" i="6" s="1"/>
  <c r="AP222" i="6"/>
  <c r="AR222" i="6" s="1"/>
  <c r="AQ229" i="6"/>
  <c r="AQ215" i="6"/>
  <c r="AP240" i="6"/>
  <c r="AR240" i="6" s="1"/>
  <c r="AQ230" i="6"/>
  <c r="AP215" i="6"/>
  <c r="AR215" i="6"/>
  <c r="AS215" i="6" s="1"/>
  <c r="AQ223" i="6"/>
  <c r="AP218" i="6"/>
  <c r="AR218" i="6" s="1"/>
  <c r="AP194" i="6"/>
  <c r="AR194" i="6" s="1"/>
  <c r="AP234" i="6"/>
  <c r="AR234" i="6" s="1"/>
  <c r="AQ232" i="6"/>
  <c r="AP208" i="6"/>
  <c r="AR208" i="6" s="1"/>
  <c r="AP207" i="6"/>
  <c r="AR207" i="6" s="1"/>
  <c r="AS207" i="6" s="1"/>
  <c r="AP211" i="6"/>
  <c r="AR211" i="6" s="1"/>
  <c r="AS211" i="6" s="1"/>
  <c r="AQ221" i="6"/>
  <c r="AP214" i="6"/>
  <c r="AR214" i="6" s="1"/>
  <c r="AS214" i="6" s="1"/>
  <c r="AQ193" i="6"/>
  <c r="AP203" i="6"/>
  <c r="AR203" i="6" s="1"/>
  <c r="AP213" i="6"/>
  <c r="AR213" i="6" s="1"/>
  <c r="AQ242" i="6"/>
  <c r="AP243" i="6"/>
  <c r="AR243" i="6" s="1"/>
  <c r="AS243" i="6" s="1"/>
  <c r="AP241" i="6"/>
  <c r="AR241" i="6" s="1"/>
  <c r="AQ225" i="6"/>
  <c r="AP239" i="6"/>
  <c r="AR239" i="6" s="1"/>
  <c r="AS239" i="6" s="1"/>
  <c r="AP193" i="6"/>
  <c r="AR193" i="6" s="1"/>
  <c r="AS193" i="6" s="1"/>
  <c r="AP212" i="6"/>
  <c r="AR212" i="6" s="1"/>
  <c r="AS212" i="6" s="1"/>
  <c r="AQ220" i="6"/>
  <c r="AQ196" i="6"/>
  <c r="AP237" i="6"/>
  <c r="AR237" i="6" s="1"/>
  <c r="AS237" i="6" s="1"/>
  <c r="AQ228" i="6"/>
  <c r="AP220" i="6"/>
  <c r="AR220" i="6" s="1"/>
  <c r="AP235" i="6"/>
  <c r="AR235" i="6" s="1"/>
  <c r="AQ219" i="6"/>
  <c r="AP210" i="6"/>
  <c r="AR210" i="6"/>
  <c r="AP200" i="6"/>
  <c r="AR200" i="6" s="1"/>
  <c r="AS200" i="6" s="1"/>
  <c r="AP199" i="6"/>
  <c r="AR199" i="6" s="1"/>
  <c r="AS199" i="6" s="1"/>
  <c r="W55" i="27"/>
  <c r="G12" i="27"/>
  <c r="BP14" i="6"/>
  <c r="AF63" i="27"/>
  <c r="AF65" i="27"/>
  <c r="BQ15" i="7"/>
  <c r="AF67" i="27"/>
  <c r="Y47" i="6"/>
  <c r="Y52" i="6" s="1"/>
  <c r="Z45" i="6"/>
  <c r="Z51" i="6" s="1"/>
  <c r="AQ304" i="6"/>
  <c r="AQ308" i="6"/>
  <c r="AQ327" i="6"/>
  <c r="AP343" i="6"/>
  <c r="AR343" i="6" s="1"/>
  <c r="AQ324" i="6"/>
  <c r="AQ349" i="6"/>
  <c r="AQ333" i="6"/>
  <c r="Z36" i="6"/>
  <c r="AP304" i="6"/>
  <c r="AR304" i="6" s="1"/>
  <c r="AQ325" i="6"/>
  <c r="AP318" i="6"/>
  <c r="AR318" i="6" s="1"/>
  <c r="AQ330" i="6"/>
  <c r="AP346" i="6"/>
  <c r="AR346" i="6" s="1"/>
  <c r="AQ328" i="6"/>
  <c r="AQ355" i="6"/>
  <c r="AQ311" i="6"/>
  <c r="AP326" i="6"/>
  <c r="AR326" i="6" s="1"/>
  <c r="X49" i="6"/>
  <c r="W32" i="6"/>
  <c r="W36" i="6" s="1"/>
  <c r="X30" i="6"/>
  <c r="X36" i="6" s="1"/>
  <c r="V34" i="6"/>
  <c r="V37" i="6" s="1"/>
  <c r="Q30" i="6"/>
  <c r="P32" i="6"/>
  <c r="O34" i="6"/>
  <c r="O32" i="6"/>
  <c r="N34" i="6"/>
  <c r="N37" i="6"/>
  <c r="V36" i="6"/>
  <c r="S45" i="6"/>
  <c r="Q49" i="6"/>
  <c r="Q52" i="6" s="1"/>
  <c r="R47" i="6"/>
  <c r="F288" i="6"/>
  <c r="H288" i="6" s="1"/>
  <c r="AG22" i="6"/>
  <c r="V49" i="6"/>
  <c r="W47" i="6"/>
  <c r="N47" i="6"/>
  <c r="O45" i="6"/>
  <c r="M49" i="6"/>
  <c r="M52" i="6"/>
  <c r="W15" i="6"/>
  <c r="W21" i="6"/>
  <c r="V17" i="6"/>
  <c r="S43" i="6"/>
  <c r="Z15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R45" i="6"/>
  <c r="R51" i="6"/>
  <c r="O43" i="6"/>
  <c r="R15" i="6"/>
  <c r="R21" i="6" s="1"/>
  <c r="P43" i="6"/>
  <c r="T15" i="6"/>
  <c r="T21" i="6"/>
  <c r="R19" i="6"/>
  <c r="R22" i="6"/>
  <c r="S17" i="6"/>
  <c r="O22" i="6"/>
  <c r="AN22" i="6"/>
  <c r="P15" i="6"/>
  <c r="P21" i="6" s="1"/>
  <c r="N19" i="6"/>
  <c r="F32" i="6"/>
  <c r="H32" i="6" s="1"/>
  <c r="G182" i="6"/>
  <c r="G15" i="6"/>
  <c r="F26" i="6"/>
  <c r="H26" i="6" s="1"/>
  <c r="AB19" i="6"/>
  <c r="AB22" i="6"/>
  <c r="AC17" i="6"/>
  <c r="AC21" i="6"/>
  <c r="U43" i="6"/>
  <c r="AF15" i="6"/>
  <c r="AF21" i="6" s="1"/>
  <c r="V43" i="6"/>
  <c r="AK17" i="6"/>
  <c r="AJ19" i="6"/>
  <c r="AJ22" i="6" s="1"/>
  <c r="AM19" i="6"/>
  <c r="AM22" i="6" s="1"/>
  <c r="AA28" i="6"/>
  <c r="BR11" i="6"/>
  <c r="BR6" i="6"/>
  <c r="BR9" i="6"/>
  <c r="AS208" i="6"/>
  <c r="AK22" i="6"/>
  <c r="G335" i="6"/>
  <c r="F355" i="6"/>
  <c r="H355" i="6" s="1"/>
  <c r="F374" i="6"/>
  <c r="H374" i="6" s="1"/>
  <c r="G326" i="6"/>
  <c r="AK21" i="6"/>
  <c r="G307" i="6"/>
  <c r="F315" i="6"/>
  <c r="H315" i="6" s="1"/>
  <c r="G300" i="6"/>
  <c r="F316" i="6"/>
  <c r="H316" i="6" s="1"/>
  <c r="F292" i="6"/>
  <c r="H292" i="6" s="1"/>
  <c r="G306" i="6"/>
  <c r="F323" i="6"/>
  <c r="H323" i="6" s="1"/>
  <c r="F293" i="6"/>
  <c r="H293" i="6" s="1"/>
  <c r="G301" i="6"/>
  <c r="T49" i="6"/>
  <c r="T52" i="6" s="1"/>
  <c r="V45" i="6"/>
  <c r="U47" i="6"/>
  <c r="O49" i="6"/>
  <c r="O52" i="6" s="1"/>
  <c r="O47" i="6"/>
  <c r="P45" i="6"/>
  <c r="N49" i="6"/>
  <c r="AI22" i="6"/>
  <c r="AI21" i="6"/>
  <c r="S47" i="6"/>
  <c r="S52" i="6" s="1"/>
  <c r="T45" i="6"/>
  <c r="T51" i="6" s="1"/>
  <c r="R49" i="6"/>
  <c r="N52" i="6"/>
  <c r="F319" i="6"/>
  <c r="H319" i="6" s="1"/>
  <c r="G332" i="6"/>
  <c r="G340" i="6"/>
  <c r="F286" i="6"/>
  <c r="H286" i="6" s="1"/>
  <c r="G287" i="6"/>
  <c r="G279" i="6"/>
  <c r="G272" i="6"/>
  <c r="G308" i="6"/>
  <c r="G298" i="6"/>
  <c r="G313" i="6"/>
  <c r="F234" i="6"/>
  <c r="H234" i="6" s="1"/>
  <c r="G251" i="6"/>
  <c r="G242" i="6"/>
  <c r="F232" i="6"/>
  <c r="H232" i="6" s="1"/>
  <c r="F230" i="6"/>
  <c r="H230" i="6" s="1"/>
  <c r="F226" i="6"/>
  <c r="H226" i="6" s="1"/>
  <c r="G320" i="6"/>
  <c r="F229" i="6"/>
  <c r="H229" i="6" s="1"/>
  <c r="F351" i="6"/>
  <c r="H351" i="6" s="1"/>
  <c r="F222" i="6"/>
  <c r="H222" i="6" s="1"/>
  <c r="F337" i="6"/>
  <c r="H337" i="6" s="1"/>
  <c r="G370" i="6"/>
  <c r="F373" i="6"/>
  <c r="H373" i="6" s="1"/>
  <c r="G322" i="6"/>
  <c r="F367" i="6"/>
  <c r="H367" i="6" s="1"/>
  <c r="F361" i="6"/>
  <c r="H361" i="6" s="1"/>
  <c r="F192" i="6"/>
  <c r="H192" i="6" s="1"/>
  <c r="F215" i="6"/>
  <c r="H215" i="6" s="1"/>
  <c r="I215" i="6" s="1"/>
  <c r="G216" i="6"/>
  <c r="G220" i="6"/>
  <c r="F227" i="6"/>
  <c r="H227" i="6" s="1"/>
  <c r="F211" i="6"/>
  <c r="H211" i="6" s="1"/>
  <c r="F203" i="6"/>
  <c r="H203" i="6" s="1"/>
  <c r="G372" i="6"/>
  <c r="F330" i="6"/>
  <c r="H330" i="6" s="1"/>
  <c r="G365" i="6"/>
  <c r="F347" i="6"/>
  <c r="H347" i="6" s="1"/>
  <c r="F225" i="6"/>
  <c r="H225" i="6" s="1"/>
  <c r="F194" i="6"/>
  <c r="H194" i="6" s="1"/>
  <c r="G217" i="6"/>
  <c r="F228" i="6"/>
  <c r="H228" i="6" s="1"/>
  <c r="G215" i="6"/>
  <c r="G194" i="6"/>
  <c r="G380" i="6"/>
  <c r="G334" i="6"/>
  <c r="G362" i="6"/>
  <c r="G359" i="6"/>
  <c r="F197" i="6"/>
  <c r="H197" i="6" s="1"/>
  <c r="F336" i="6"/>
  <c r="H336" i="6" s="1"/>
  <c r="F345" i="6"/>
  <c r="H345" i="6" s="1"/>
  <c r="F356" i="6"/>
  <c r="H356" i="6" s="1"/>
  <c r="G192" i="6"/>
  <c r="F199" i="6"/>
  <c r="H199" i="6" s="1"/>
  <c r="G337" i="6"/>
  <c r="I337" i="6" s="1"/>
  <c r="Y21" i="6"/>
  <c r="O37" i="6"/>
  <c r="O36" i="6"/>
  <c r="AP64" i="6"/>
  <c r="AR64" i="6" s="1"/>
  <c r="AP54" i="6"/>
  <c r="AR54" i="6" s="1"/>
  <c r="AP43" i="6"/>
  <c r="AR43" i="6" s="1"/>
  <c r="AP22" i="6"/>
  <c r="AR22" i="6" s="1"/>
  <c r="AP33" i="6"/>
  <c r="AR33" i="6" s="1"/>
  <c r="AQ33" i="6"/>
  <c r="AQ50" i="6"/>
  <c r="AP74" i="6"/>
  <c r="AR74" i="6"/>
  <c r="AP52" i="6"/>
  <c r="AR52" i="6" s="1"/>
  <c r="AP70" i="6"/>
  <c r="AR70" i="6" s="1"/>
  <c r="AQ45" i="6"/>
  <c r="AP72" i="6"/>
  <c r="AR72" i="6" s="1"/>
  <c r="AP58" i="6"/>
  <c r="AR58" i="6" s="1"/>
  <c r="AP61" i="6"/>
  <c r="AR61" i="6" s="1"/>
  <c r="AQ22" i="6"/>
  <c r="AP75" i="6"/>
  <c r="AR75" i="6" s="1"/>
  <c r="AQ77" i="6"/>
  <c r="AQ42" i="6"/>
  <c r="AP77" i="6"/>
  <c r="AR77" i="6" s="1"/>
  <c r="AS77" i="6" s="1"/>
  <c r="AQ30" i="6"/>
  <c r="AP62" i="6"/>
  <c r="AR62" i="6" s="1"/>
  <c r="AQ24" i="6"/>
  <c r="AQ73" i="6"/>
  <c r="AP59" i="6"/>
  <c r="AR59" i="6" s="1"/>
  <c r="AQ52" i="6"/>
  <c r="AP37" i="6"/>
  <c r="AR37" i="6" s="1"/>
  <c r="AS37" i="6" s="1"/>
  <c r="AP29" i="6"/>
  <c r="AR29" i="6" s="1"/>
  <c r="AQ67" i="6"/>
  <c r="AP35" i="6"/>
  <c r="AR35" i="6" s="1"/>
  <c r="AQ66" i="6"/>
  <c r="AP34" i="6"/>
  <c r="AR34" i="6" s="1"/>
  <c r="AP32" i="6"/>
  <c r="AR32" i="6" s="1"/>
  <c r="AP25" i="6"/>
  <c r="AR25" i="6" s="1"/>
  <c r="AQ72" i="6"/>
  <c r="AP36" i="6"/>
  <c r="AR36" i="6" s="1"/>
  <c r="AP51" i="6"/>
  <c r="AR51" i="6" s="1"/>
  <c r="AQ60" i="6"/>
  <c r="AP41" i="6"/>
  <c r="AR41" i="6" s="1"/>
  <c r="AP65" i="6"/>
  <c r="AR65" i="6" s="1"/>
  <c r="AQ43" i="6"/>
  <c r="AQ65" i="6"/>
  <c r="AQ61" i="6"/>
  <c r="AQ56" i="6"/>
  <c r="AP24" i="6"/>
  <c r="AR24" i="6" s="1"/>
  <c r="AQ38" i="6"/>
  <c r="AQ63" i="6"/>
  <c r="AQ29" i="6"/>
  <c r="AP68" i="6"/>
  <c r="AR68" i="6"/>
  <c r="AP50" i="6"/>
  <c r="AR50" i="6"/>
  <c r="AS50" i="6" s="1"/>
  <c r="AP53" i="6"/>
  <c r="AR53" i="6" s="1"/>
  <c r="AQ35" i="6"/>
  <c r="AQ76" i="6"/>
  <c r="AQ68" i="6"/>
  <c r="AP46" i="6"/>
  <c r="AR46" i="6" s="1"/>
  <c r="AQ23" i="6"/>
  <c r="AP66" i="6"/>
  <c r="AR66" i="6" s="1"/>
  <c r="AP67" i="6"/>
  <c r="AR67" i="6" s="1"/>
  <c r="AP57" i="6"/>
  <c r="AR57" i="6" s="1"/>
  <c r="AQ75" i="6"/>
  <c r="AP76" i="6"/>
  <c r="AR76" i="6" s="1"/>
  <c r="AS76" i="6" s="1"/>
  <c r="AQ48" i="6"/>
  <c r="AQ27" i="6"/>
  <c r="AP28" i="6"/>
  <c r="AR28" i="6" s="1"/>
  <c r="AP47" i="6"/>
  <c r="AR47" i="6" s="1"/>
  <c r="AP73" i="6"/>
  <c r="AR73" i="6" s="1"/>
  <c r="AP44" i="6"/>
  <c r="AR44" i="6" s="1"/>
  <c r="AP69" i="6"/>
  <c r="AR69" i="6" s="1"/>
  <c r="AP49" i="6"/>
  <c r="AR49" i="6" s="1"/>
  <c r="AP38" i="6"/>
  <c r="AR38" i="6"/>
  <c r="AP55" i="6"/>
  <c r="AR55" i="6"/>
  <c r="AP23" i="6"/>
  <c r="AR23" i="6"/>
  <c r="AP40" i="6"/>
  <c r="AR40" i="6"/>
  <c r="AQ46" i="6"/>
  <c r="AQ32" i="6"/>
  <c r="AQ55" i="6"/>
  <c r="AS55" i="6" s="1"/>
  <c r="AQ57" i="6"/>
  <c r="AQ64" i="6"/>
  <c r="P37" i="6"/>
  <c r="P36" i="6"/>
  <c r="AP60" i="6"/>
  <c r="AR60" i="6" s="1"/>
  <c r="AQ74" i="6"/>
  <c r="AQ34" i="6"/>
  <c r="AP30" i="6"/>
  <c r="AR30" i="6" s="1"/>
  <c r="AQ69" i="6"/>
  <c r="AQ28" i="6"/>
  <c r="AQ41" i="6"/>
  <c r="AS41" i="6" s="1"/>
  <c r="AQ31" i="6"/>
  <c r="AP56" i="6"/>
  <c r="AR56" i="6"/>
  <c r="AP31" i="6"/>
  <c r="AR31" i="6" s="1"/>
  <c r="AP39" i="6"/>
  <c r="AR39" i="6" s="1"/>
  <c r="AQ47" i="6"/>
  <c r="AQ71" i="6"/>
  <c r="AQ40" i="6"/>
  <c r="AQ37" i="6"/>
  <c r="AP27" i="6"/>
  <c r="AR27" i="6" s="1"/>
  <c r="AQ70" i="6"/>
  <c r="AP63" i="6"/>
  <c r="AR63" i="6" s="1"/>
  <c r="AP42" i="6"/>
  <c r="AR42" i="6"/>
  <c r="AS42" i="6" s="1"/>
  <c r="AQ36" i="6"/>
  <c r="AQ49" i="6"/>
  <c r="AQ53" i="6"/>
  <c r="AQ54" i="6"/>
  <c r="AP26" i="6"/>
  <c r="AR26" i="6" s="1"/>
  <c r="AP48" i="6"/>
  <c r="AR48" i="6" s="1"/>
  <c r="AS48" i="6" s="1"/>
  <c r="AP71" i="6"/>
  <c r="AR71" i="6" s="1"/>
  <c r="AS71" i="6" s="1"/>
  <c r="AQ59" i="6"/>
  <c r="AQ39" i="6"/>
  <c r="AP45" i="6"/>
  <c r="AR45" i="6" s="1"/>
  <c r="AQ44" i="6"/>
  <c r="AQ62" i="6"/>
  <c r="AQ26" i="6"/>
  <c r="AQ25" i="6"/>
  <c r="AS25" i="6"/>
  <c r="AQ58" i="6"/>
  <c r="AS58" i="6" s="1"/>
  <c r="AQ51" i="6"/>
  <c r="AA32" i="6"/>
  <c r="Z34" i="6"/>
  <c r="Z37" i="6" s="1"/>
  <c r="AB28" i="6"/>
  <c r="AA34" i="6" s="1"/>
  <c r="AC22" i="6"/>
  <c r="F221" i="6"/>
  <c r="H221" i="6" s="1"/>
  <c r="G210" i="6"/>
  <c r="F217" i="6"/>
  <c r="H217" i="6" s="1"/>
  <c r="F231" i="6"/>
  <c r="H231" i="6" s="1"/>
  <c r="F260" i="6"/>
  <c r="H260" i="6" s="1"/>
  <c r="F285" i="6"/>
  <c r="H285" i="6" s="1"/>
  <c r="F287" i="6"/>
  <c r="H287" i="6" s="1"/>
  <c r="F280" i="6"/>
  <c r="H280" i="6" s="1"/>
  <c r="F265" i="6"/>
  <c r="H265" i="6" s="1"/>
  <c r="F271" i="6"/>
  <c r="H271" i="6" s="1"/>
  <c r="G277" i="6"/>
  <c r="F266" i="6"/>
  <c r="H266" i="6" s="1"/>
  <c r="F262" i="6"/>
  <c r="H262" i="6" s="1"/>
  <c r="F268" i="6"/>
  <c r="H268" i="6" s="1"/>
  <c r="G262" i="6"/>
  <c r="F269" i="6"/>
  <c r="H269" i="6" s="1"/>
  <c r="G278" i="6"/>
  <c r="F275" i="6"/>
  <c r="H275" i="6" s="1"/>
  <c r="G258" i="6"/>
  <c r="G236" i="6"/>
  <c r="F242" i="6"/>
  <c r="H242" i="6" s="1"/>
  <c r="I242" i="6" s="1"/>
  <c r="F253" i="6"/>
  <c r="H253" i="6" s="1"/>
  <c r="F238" i="6"/>
  <c r="H238" i="6" s="1"/>
  <c r="G259" i="6"/>
  <c r="F251" i="6"/>
  <c r="H251" i="6" s="1"/>
  <c r="G247" i="6"/>
  <c r="G240" i="6"/>
  <c r="G257" i="6"/>
  <c r="G239" i="6"/>
  <c r="G232" i="6"/>
  <c r="G252" i="6"/>
  <c r="G280" i="6"/>
  <c r="G270" i="6"/>
  <c r="G263" i="6"/>
  <c r="F270" i="6"/>
  <c r="H270" i="6" s="1"/>
  <c r="I270" i="6"/>
  <c r="G267" i="6"/>
  <c r="G271" i="6"/>
  <c r="G286" i="6"/>
  <c r="F235" i="6"/>
  <c r="H235" i="6" s="1"/>
  <c r="F254" i="6"/>
  <c r="H254" i="6" s="1"/>
  <c r="G243" i="6"/>
  <c r="F248" i="6"/>
  <c r="H248" i="6" s="1"/>
  <c r="F252" i="6"/>
  <c r="H252" i="6" s="1"/>
  <c r="G234" i="6"/>
  <c r="I234" i="6" s="1"/>
  <c r="F239" i="6"/>
  <c r="H239" i="6" s="1"/>
  <c r="I239" i="6" s="1"/>
  <c r="G254" i="6"/>
  <c r="F279" i="6"/>
  <c r="H279" i="6" s="1"/>
  <c r="F261" i="6"/>
  <c r="H261" i="6" s="1"/>
  <c r="G282" i="6"/>
  <c r="G268" i="6"/>
  <c r="F274" i="6"/>
  <c r="H274" i="6" s="1"/>
  <c r="G266" i="6"/>
  <c r="G273" i="6"/>
  <c r="F237" i="6"/>
  <c r="H237" i="6" s="1"/>
  <c r="G253" i="6"/>
  <c r="G244" i="6"/>
  <c r="G233" i="6"/>
  <c r="F257" i="6"/>
  <c r="H257" i="6" s="1"/>
  <c r="F241" i="6"/>
  <c r="H241" i="6" s="1"/>
  <c r="F255" i="6"/>
  <c r="H255" i="6" s="1"/>
  <c r="G336" i="6"/>
  <c r="F168" i="6"/>
  <c r="H168" i="6"/>
  <c r="G184" i="6"/>
  <c r="G177" i="6"/>
  <c r="G166" i="6"/>
  <c r="F188" i="6"/>
  <c r="H188" i="6" s="1"/>
  <c r="F135" i="6"/>
  <c r="H135" i="6" s="1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 s="1"/>
  <c r="G149" i="6"/>
  <c r="F27" i="6"/>
  <c r="H27" i="6" s="1"/>
  <c r="G151" i="6"/>
  <c r="G157" i="6"/>
  <c r="G153" i="6"/>
  <c r="G150" i="6"/>
  <c r="G154" i="6"/>
  <c r="F147" i="6"/>
  <c r="H147" i="6" s="1"/>
  <c r="G143" i="6"/>
  <c r="G142" i="6"/>
  <c r="G141" i="6"/>
  <c r="F148" i="6"/>
  <c r="H148" i="6" s="1"/>
  <c r="G152" i="6"/>
  <c r="G135" i="6"/>
  <c r="I135" i="6" s="1"/>
  <c r="G159" i="6"/>
  <c r="F159" i="6"/>
  <c r="H159" i="6" s="1"/>
  <c r="F151" i="6"/>
  <c r="H151" i="6" s="1"/>
  <c r="I151" i="6" s="1"/>
  <c r="S21" i="6"/>
  <c r="G31" i="6"/>
  <c r="F169" i="6"/>
  <c r="H169" i="6" s="1"/>
  <c r="F17" i="6"/>
  <c r="G134" i="6"/>
  <c r="G185" i="6"/>
  <c r="G34" i="6"/>
  <c r="G170" i="6"/>
  <c r="G25" i="6"/>
  <c r="F171" i="6"/>
  <c r="H171" i="6" s="1"/>
  <c r="G183" i="6"/>
  <c r="F160" i="6"/>
  <c r="H160" i="6" s="1"/>
  <c r="G28" i="6"/>
  <c r="F140" i="6"/>
  <c r="H140" i="6" s="1"/>
  <c r="F136" i="6"/>
  <c r="H136" i="6" s="1"/>
  <c r="G156" i="6"/>
  <c r="F155" i="6"/>
  <c r="H155" i="6" s="1"/>
  <c r="F146" i="6"/>
  <c r="H146" i="6" s="1"/>
  <c r="G147" i="6"/>
  <c r="G146" i="6"/>
  <c r="G138" i="6"/>
  <c r="F154" i="6"/>
  <c r="H154" i="6" s="1"/>
  <c r="I154" i="6" s="1"/>
  <c r="F138" i="6"/>
  <c r="H138" i="6" s="1"/>
  <c r="I138" i="6" s="1"/>
  <c r="F142" i="6"/>
  <c r="H142" i="6"/>
  <c r="G18" i="6"/>
  <c r="G24" i="6"/>
  <c r="F24" i="6"/>
  <c r="H24" i="6" s="1"/>
  <c r="F33" i="6"/>
  <c r="H33" i="6" s="1"/>
  <c r="F170" i="6"/>
  <c r="H170" i="6" s="1"/>
  <c r="G21" i="6"/>
  <c r="F180" i="6"/>
  <c r="H180" i="6"/>
  <c r="F189" i="6"/>
  <c r="H189" i="6"/>
  <c r="F187" i="6"/>
  <c r="H187" i="6"/>
  <c r="F31" i="6"/>
  <c r="H31" i="6"/>
  <c r="G19" i="6"/>
  <c r="F181" i="6"/>
  <c r="H181" i="6" s="1"/>
  <c r="I181" i="6" s="1"/>
  <c r="F167" i="6"/>
  <c r="H167" i="6" s="1"/>
  <c r="G35" i="6"/>
  <c r="F35" i="6"/>
  <c r="H35" i="6" s="1"/>
  <c r="F144" i="6"/>
  <c r="H144" i="6" s="1"/>
  <c r="G160" i="6"/>
  <c r="F158" i="6"/>
  <c r="H158" i="6" s="1"/>
  <c r="I158" i="6" s="1"/>
  <c r="G137" i="6"/>
  <c r="F152" i="6"/>
  <c r="H152" i="6" s="1"/>
  <c r="F184" i="6"/>
  <c r="H184" i="6" s="1"/>
  <c r="F161" i="6"/>
  <c r="H161" i="6" s="1"/>
  <c r="F139" i="6"/>
  <c r="H139" i="6" s="1"/>
  <c r="G161" i="6"/>
  <c r="F30" i="6"/>
  <c r="H30" i="6" s="1"/>
  <c r="F23" i="6"/>
  <c r="F19" i="6"/>
  <c r="H19" i="6" s="1"/>
  <c r="I19" i="6" s="1"/>
  <c r="F186" i="6"/>
  <c r="H186" i="6" s="1"/>
  <c r="F165" i="6"/>
  <c r="H165" i="6" s="1"/>
  <c r="G23" i="6"/>
  <c r="G16" i="6"/>
  <c r="F174" i="6"/>
  <c r="H174" i="6" s="1"/>
  <c r="F179" i="6"/>
  <c r="H179" i="6" s="1"/>
  <c r="F175" i="6"/>
  <c r="H175" i="6" s="1"/>
  <c r="F185" i="6"/>
  <c r="H185" i="6" s="1"/>
  <c r="G168" i="6"/>
  <c r="F166" i="6"/>
  <c r="H166" i="6"/>
  <c r="F149" i="6"/>
  <c r="H149" i="6"/>
  <c r="I149" i="6" s="1"/>
  <c r="F20" i="6"/>
  <c r="H20" i="6"/>
  <c r="F141" i="6"/>
  <c r="H141" i="6"/>
  <c r="F156" i="6"/>
  <c r="H156" i="6"/>
  <c r="I156" i="6" s="1"/>
  <c r="F177" i="6"/>
  <c r="H177" i="6"/>
  <c r="G169" i="6"/>
  <c r="F157" i="6"/>
  <c r="H157" i="6" s="1"/>
  <c r="G26" i="6"/>
  <c r="F164" i="6"/>
  <c r="H164" i="6" s="1"/>
  <c r="I164" i="6" s="1"/>
  <c r="G171" i="6"/>
  <c r="G144" i="6"/>
  <c r="G188" i="6"/>
  <c r="S22" i="6"/>
  <c r="F93" i="6"/>
  <c r="H93" i="6" s="1"/>
  <c r="F109" i="6"/>
  <c r="H109" i="6" s="1"/>
  <c r="F124" i="6"/>
  <c r="H124" i="6" s="1"/>
  <c r="G99" i="6"/>
  <c r="G96" i="6"/>
  <c r="G95" i="6"/>
  <c r="G127" i="6"/>
  <c r="G102" i="6"/>
  <c r="G120" i="6"/>
  <c r="G121" i="6"/>
  <c r="G109" i="6"/>
  <c r="F108" i="6"/>
  <c r="H108" i="6" s="1"/>
  <c r="G117" i="6"/>
  <c r="F125" i="6"/>
  <c r="H125" i="6" s="1"/>
  <c r="G115" i="6"/>
  <c r="F117" i="6"/>
  <c r="H117" i="6" s="1"/>
  <c r="G130" i="6"/>
  <c r="F132" i="6"/>
  <c r="H132" i="6" s="1"/>
  <c r="F133" i="6"/>
  <c r="H133" i="6" s="1"/>
  <c r="F110" i="6"/>
  <c r="H110" i="6" s="1"/>
  <c r="G107" i="6"/>
  <c r="G124" i="6"/>
  <c r="F107" i="6"/>
  <c r="H107" i="6" s="1"/>
  <c r="I107" i="6" s="1"/>
  <c r="G90" i="6"/>
  <c r="G64" i="6"/>
  <c r="G78" i="6"/>
  <c r="F78" i="6"/>
  <c r="H78" i="6" s="1"/>
  <c r="G86" i="6"/>
  <c r="G76" i="6"/>
  <c r="G68" i="6"/>
  <c r="F82" i="6"/>
  <c r="H82" i="6" s="1"/>
  <c r="G66" i="6"/>
  <c r="F77" i="6"/>
  <c r="H77" i="6" s="1"/>
  <c r="F79" i="6"/>
  <c r="H79" i="6" s="1"/>
  <c r="F89" i="6"/>
  <c r="H89" i="6" s="1"/>
  <c r="F90" i="6"/>
  <c r="H90" i="6" s="1"/>
  <c r="I90" i="6" s="1"/>
  <c r="F72" i="6"/>
  <c r="H72" i="6"/>
  <c r="G91" i="6"/>
  <c r="F64" i="6"/>
  <c r="H64" i="6" s="1"/>
  <c r="G77" i="6"/>
  <c r="F91" i="6"/>
  <c r="H91" i="6" s="1"/>
  <c r="F80" i="6"/>
  <c r="H80" i="6" s="1"/>
  <c r="F86" i="6"/>
  <c r="H86" i="6" s="1"/>
  <c r="G83" i="6"/>
  <c r="G87" i="6"/>
  <c r="G69" i="6"/>
  <c r="F37" i="6"/>
  <c r="H37" i="6" s="1"/>
  <c r="G43" i="6"/>
  <c r="G59" i="6"/>
  <c r="F60" i="6"/>
  <c r="H60" i="6" s="1"/>
  <c r="G61" i="6"/>
  <c r="G51" i="6"/>
  <c r="G37" i="6"/>
  <c r="G48" i="6"/>
  <c r="F48" i="6"/>
  <c r="H48" i="6" s="1"/>
  <c r="G57" i="6"/>
  <c r="G49" i="6"/>
  <c r="F54" i="6"/>
  <c r="H54" i="6" s="1"/>
  <c r="F41" i="6"/>
  <c r="H41" i="6" s="1"/>
  <c r="F46" i="6"/>
  <c r="H46" i="6" s="1"/>
  <c r="F58" i="6"/>
  <c r="H58" i="6" s="1"/>
  <c r="G36" i="6"/>
  <c r="G45" i="6"/>
  <c r="F52" i="6"/>
  <c r="H52" i="6" s="1"/>
  <c r="F42" i="6"/>
  <c r="H42" i="6" s="1"/>
  <c r="G50" i="6"/>
  <c r="F51" i="6"/>
  <c r="H51" i="6" s="1"/>
  <c r="I51" i="6" s="1"/>
  <c r="G54" i="6"/>
  <c r="F95" i="6"/>
  <c r="H95" i="6" s="1"/>
  <c r="F85" i="6"/>
  <c r="H85" i="6" s="1"/>
  <c r="G73" i="6"/>
  <c r="G88" i="6"/>
  <c r="F112" i="6"/>
  <c r="H112" i="6" s="1"/>
  <c r="G125" i="6"/>
  <c r="F126" i="6"/>
  <c r="H126" i="6" s="1"/>
  <c r="F84" i="6"/>
  <c r="H84" i="6" s="1"/>
  <c r="F40" i="6"/>
  <c r="H40" i="6" s="1"/>
  <c r="G53" i="6"/>
  <c r="F92" i="6"/>
  <c r="H92" i="6" s="1"/>
  <c r="F97" i="6"/>
  <c r="H97" i="6" s="1"/>
  <c r="G52" i="6"/>
  <c r="I52" i="6" s="1"/>
  <c r="G81" i="6"/>
  <c r="F39" i="6"/>
  <c r="H39" i="6" s="1"/>
  <c r="F57" i="6"/>
  <c r="H57" i="6" s="1"/>
  <c r="I57" i="6" s="1"/>
  <c r="G98" i="6"/>
  <c r="F129" i="6"/>
  <c r="H129" i="6" s="1"/>
  <c r="G100" i="6"/>
  <c r="F49" i="6"/>
  <c r="H49" i="6" s="1"/>
  <c r="G56" i="6"/>
  <c r="F121" i="6"/>
  <c r="H121" i="6" s="1"/>
  <c r="I121" i="6"/>
  <c r="G38" i="6"/>
  <c r="G46" i="6"/>
  <c r="G123" i="6"/>
  <c r="F102" i="6"/>
  <c r="H102" i="6" s="1"/>
  <c r="I102" i="6" s="1"/>
  <c r="F134" i="6"/>
  <c r="H134" i="6"/>
  <c r="G136" i="6"/>
  <c r="F137" i="6"/>
  <c r="H137" i="6" s="1"/>
  <c r="I137" i="6" s="1"/>
  <c r="F22" i="6"/>
  <c r="H22" i="6" s="1"/>
  <c r="F162" i="6"/>
  <c r="H162" i="6" s="1"/>
  <c r="G164" i="6"/>
  <c r="F163" i="6"/>
  <c r="H163" i="6" s="1"/>
  <c r="G187" i="6"/>
  <c r="G163" i="6"/>
  <c r="G33" i="6"/>
  <c r="G172" i="6"/>
  <c r="G180" i="6"/>
  <c r="F173" i="6"/>
  <c r="H173" i="6" s="1"/>
  <c r="G155" i="6"/>
  <c r="F18" i="6"/>
  <c r="H18" i="6" s="1"/>
  <c r="I18" i="6" s="1"/>
  <c r="G105" i="6"/>
  <c r="F94" i="6"/>
  <c r="H94" i="6" s="1"/>
  <c r="F114" i="6"/>
  <c r="H114" i="6" s="1"/>
  <c r="F104" i="6"/>
  <c r="H104" i="6" s="1"/>
  <c r="F105" i="6"/>
  <c r="H105" i="6" s="1"/>
  <c r="I105" i="6" s="1"/>
  <c r="F131" i="6"/>
  <c r="H131" i="6" s="1"/>
  <c r="F96" i="6"/>
  <c r="H96" i="6" s="1"/>
  <c r="I96" i="6" s="1"/>
  <c r="F113" i="6"/>
  <c r="H113" i="6" s="1"/>
  <c r="F122" i="6"/>
  <c r="H122" i="6" s="1"/>
  <c r="G112" i="6"/>
  <c r="G133" i="6"/>
  <c r="F106" i="6"/>
  <c r="H106" i="6" s="1"/>
  <c r="G126" i="6"/>
  <c r="G108" i="6"/>
  <c r="G111" i="6"/>
  <c r="G106" i="6"/>
  <c r="G122" i="6"/>
  <c r="F87" i="6"/>
  <c r="H87" i="6" s="1"/>
  <c r="I87" i="6" s="1"/>
  <c r="G79" i="6"/>
  <c r="F67" i="6"/>
  <c r="H67" i="6" s="1"/>
  <c r="F69" i="6"/>
  <c r="H69" i="6" s="1"/>
  <c r="G80" i="6"/>
  <c r="F83" i="6"/>
  <c r="H83" i="6" s="1"/>
  <c r="I83" i="6" s="1"/>
  <c r="G75" i="6"/>
  <c r="G70" i="6"/>
  <c r="F68" i="6"/>
  <c r="H68" i="6" s="1"/>
  <c r="I68" i="6" s="1"/>
  <c r="G85" i="6"/>
  <c r="F70" i="6"/>
  <c r="H70" i="6" s="1"/>
  <c r="F74" i="6"/>
  <c r="H74" i="6" s="1"/>
  <c r="G55" i="6"/>
  <c r="F50" i="6"/>
  <c r="H50" i="6" s="1"/>
  <c r="F45" i="6"/>
  <c r="H45" i="6" s="1"/>
  <c r="I45" i="6" s="1"/>
  <c r="F55" i="6"/>
  <c r="H55" i="6" s="1"/>
  <c r="G40" i="6"/>
  <c r="F47" i="6"/>
  <c r="H47" i="6"/>
  <c r="F36" i="6"/>
  <c r="H36" i="6" s="1"/>
  <c r="I36" i="6" s="1"/>
  <c r="G44" i="6"/>
  <c r="G63" i="6"/>
  <c r="G42" i="6"/>
  <c r="G89" i="6"/>
  <c r="G41" i="6"/>
  <c r="F103" i="6"/>
  <c r="H103" i="6"/>
  <c r="F127" i="6"/>
  <c r="H127" i="6"/>
  <c r="I127" i="6" s="1"/>
  <c r="G101" i="6"/>
  <c r="G94" i="6"/>
  <c r="I94" i="6" s="1"/>
  <c r="G29" i="6"/>
  <c r="G20" i="6"/>
  <c r="G145" i="6"/>
  <c r="G186" i="6"/>
  <c r="I186" i="6" s="1"/>
  <c r="G175" i="6"/>
  <c r="F99" i="6"/>
  <c r="H99" i="6" s="1"/>
  <c r="I99" i="6" s="1"/>
  <c r="G118" i="6"/>
  <c r="G97" i="6"/>
  <c r="F128" i="6"/>
  <c r="H128" i="6"/>
  <c r="F115" i="6"/>
  <c r="H115" i="6"/>
  <c r="F120" i="6"/>
  <c r="H120" i="6"/>
  <c r="I120" i="6" s="1"/>
  <c r="F116" i="6"/>
  <c r="H116" i="6" s="1"/>
  <c r="F118" i="6"/>
  <c r="H118" i="6" s="1"/>
  <c r="I118" i="6" s="1"/>
  <c r="G113" i="6"/>
  <c r="G74" i="6"/>
  <c r="I74" i="6" s="1"/>
  <c r="F65" i="6"/>
  <c r="H65" i="6" s="1"/>
  <c r="F75" i="6"/>
  <c r="H75" i="6" s="1"/>
  <c r="I75" i="6" s="1"/>
  <c r="G67" i="6"/>
  <c r="F71" i="6"/>
  <c r="H71" i="6" s="1"/>
  <c r="G71" i="6"/>
  <c r="F61" i="6"/>
  <c r="H61" i="6" s="1"/>
  <c r="G47" i="6"/>
  <c r="G58" i="6"/>
  <c r="F38" i="6"/>
  <c r="H38" i="6" s="1"/>
  <c r="I38" i="6" s="1"/>
  <c r="G60" i="6"/>
  <c r="G116" i="6"/>
  <c r="G119" i="6"/>
  <c r="F130" i="6"/>
  <c r="H130" i="6" s="1"/>
  <c r="F81" i="6"/>
  <c r="H81" i="6" s="1"/>
  <c r="F98" i="6"/>
  <c r="H98" i="6" s="1"/>
  <c r="G39" i="6"/>
  <c r="G104" i="6"/>
  <c r="G93" i="6"/>
  <c r="I93" i="6" s="1"/>
  <c r="G178" i="6"/>
  <c r="F183" i="6"/>
  <c r="H183" i="6" s="1"/>
  <c r="G176" i="6"/>
  <c r="G140" i="6"/>
  <c r="F178" i="6"/>
  <c r="H178" i="6" s="1"/>
  <c r="I178" i="6" s="1"/>
  <c r="G148" i="6"/>
  <c r="I148" i="6" s="1"/>
  <c r="G22" i="6"/>
  <c r="G92" i="6"/>
  <c r="G128" i="6"/>
  <c r="G114" i="6"/>
  <c r="I114" i="6" s="1"/>
  <c r="G103" i="6"/>
  <c r="F123" i="6"/>
  <c r="H123" i="6" s="1"/>
  <c r="I123" i="6" s="1"/>
  <c r="F119" i="6"/>
  <c r="H119" i="6" s="1"/>
  <c r="F111" i="6"/>
  <c r="H111" i="6" s="1"/>
  <c r="G110" i="6"/>
  <c r="G132" i="6"/>
  <c r="G84" i="6"/>
  <c r="G82" i="6"/>
  <c r="G72" i="6"/>
  <c r="F66" i="6"/>
  <c r="H66" i="6" s="1"/>
  <c r="F76" i="6"/>
  <c r="H76" i="6" s="1"/>
  <c r="G65" i="6"/>
  <c r="F44" i="6"/>
  <c r="H44" i="6" s="1"/>
  <c r="G62" i="6"/>
  <c r="F56" i="6"/>
  <c r="H56" i="6" s="1"/>
  <c r="F53" i="6"/>
  <c r="H53" i="6" s="1"/>
  <c r="F62" i="6"/>
  <c r="H62" i="6" s="1"/>
  <c r="F59" i="6"/>
  <c r="H59" i="6" s="1"/>
  <c r="I59" i="6" s="1"/>
  <c r="F63" i="6"/>
  <c r="H63" i="6" s="1"/>
  <c r="I63" i="6" s="1"/>
  <c r="F101" i="6"/>
  <c r="H101" i="6" s="1"/>
  <c r="I101" i="6" s="1"/>
  <c r="F73" i="6"/>
  <c r="H73" i="6" s="1"/>
  <c r="G129" i="6"/>
  <c r="F88" i="6"/>
  <c r="H88" i="6"/>
  <c r="G131" i="6"/>
  <c r="F43" i="6"/>
  <c r="H43" i="6" s="1"/>
  <c r="F100" i="6"/>
  <c r="H100" i="6" s="1"/>
  <c r="Z49" i="6"/>
  <c r="Z52" i="6" s="1"/>
  <c r="AA47" i="6"/>
  <c r="AB43" i="6"/>
  <c r="AA49" i="6"/>
  <c r="Y45" i="6"/>
  <c r="Y51" i="6"/>
  <c r="X47" i="6"/>
  <c r="W49" i="6"/>
  <c r="V22" i="6"/>
  <c r="V21" i="6"/>
  <c r="O51" i="6"/>
  <c r="W52" i="6"/>
  <c r="F375" i="6"/>
  <c r="H375" i="6" s="1"/>
  <c r="G191" i="6"/>
  <c r="G344" i="6"/>
  <c r="F202" i="6"/>
  <c r="H202" i="6" s="1"/>
  <c r="F209" i="6"/>
  <c r="H209" i="6"/>
  <c r="F198" i="6"/>
  <c r="H198" i="6"/>
  <c r="F210" i="6"/>
  <c r="H210" i="6" s="1"/>
  <c r="F320" i="6"/>
  <c r="H320" i="6" s="1"/>
  <c r="I320" i="6" s="1"/>
  <c r="F335" i="6"/>
  <c r="H335" i="6" s="1"/>
  <c r="I335" i="6" s="1"/>
  <c r="F317" i="6"/>
  <c r="H317" i="6" s="1"/>
  <c r="F333" i="6"/>
  <c r="H333" i="6" s="1"/>
  <c r="G316" i="6"/>
  <c r="I316" i="6" s="1"/>
  <c r="F264" i="6"/>
  <c r="H264" i="6" s="1"/>
  <c r="G284" i="6"/>
  <c r="F263" i="6"/>
  <c r="H263" i="6" s="1"/>
  <c r="F272" i="6"/>
  <c r="H272" i="6" s="1"/>
  <c r="G261" i="6"/>
  <c r="G260" i="6"/>
  <c r="F278" i="6"/>
  <c r="H278" i="6" s="1"/>
  <c r="G264" i="6"/>
  <c r="F284" i="6"/>
  <c r="H284" i="6" s="1"/>
  <c r="G283" i="6"/>
  <c r="F283" i="6"/>
  <c r="H283" i="6"/>
  <c r="G276" i="6"/>
  <c r="F267" i="6"/>
  <c r="H267" i="6"/>
  <c r="I267" i="6" s="1"/>
  <c r="G281" i="6"/>
  <c r="F300" i="6"/>
  <c r="H300" i="6" s="1"/>
  <c r="G315" i="6"/>
  <c r="F312" i="6"/>
  <c r="H312" i="6" s="1"/>
  <c r="G291" i="6"/>
  <c r="F301" i="6"/>
  <c r="H301" i="6" s="1"/>
  <c r="I301" i="6" s="1"/>
  <c r="F291" i="6"/>
  <c r="H291" i="6" s="1"/>
  <c r="I291" i="6" s="1"/>
  <c r="G309" i="6"/>
  <c r="G311" i="6"/>
  <c r="G293" i="6"/>
  <c r="F303" i="6"/>
  <c r="H303" i="6" s="1"/>
  <c r="G296" i="6"/>
  <c r="F308" i="6"/>
  <c r="H308" i="6" s="1"/>
  <c r="I308" i="6" s="1"/>
  <c r="G235" i="6"/>
  <c r="F249" i="6"/>
  <c r="H249" i="6"/>
  <c r="G241" i="6"/>
  <c r="F246" i="6"/>
  <c r="H246" i="6" s="1"/>
  <c r="F256" i="6"/>
  <c r="H256" i="6" s="1"/>
  <c r="G246" i="6"/>
  <c r="F259" i="6"/>
  <c r="H259" i="6" s="1"/>
  <c r="G250" i="6"/>
  <c r="F240" i="6"/>
  <c r="H240" i="6"/>
  <c r="I240" i="6" s="1"/>
  <c r="G248" i="6"/>
  <c r="I248" i="6"/>
  <c r="F245" i="6"/>
  <c r="H245" i="6"/>
  <c r="F244" i="6"/>
  <c r="H244" i="6"/>
  <c r="G255" i="6"/>
  <c r="F233" i="6"/>
  <c r="H233" i="6" s="1"/>
  <c r="F306" i="6"/>
  <c r="H306" i="6" s="1"/>
  <c r="I306" i="6"/>
  <c r="R52" i="6"/>
  <c r="S51" i="6"/>
  <c r="F219" i="6"/>
  <c r="H219" i="6"/>
  <c r="F204" i="6"/>
  <c r="H204" i="6"/>
  <c r="F322" i="6"/>
  <c r="H322" i="6"/>
  <c r="G357" i="6"/>
  <c r="G226" i="6"/>
  <c r="I226" i="6" s="1"/>
  <c r="G195" i="6"/>
  <c r="F327" i="6"/>
  <c r="H327" i="6"/>
  <c r="G366" i="6"/>
  <c r="G369" i="6"/>
  <c r="F365" i="6"/>
  <c r="H365" i="6" s="1"/>
  <c r="I365" i="6"/>
  <c r="G200" i="6"/>
  <c r="F205" i="6"/>
  <c r="H205" i="6" s="1"/>
  <c r="G221" i="6"/>
  <c r="F208" i="6"/>
  <c r="H208" i="6" s="1"/>
  <c r="F223" i="6"/>
  <c r="H223" i="6" s="1"/>
  <c r="G375" i="6"/>
  <c r="G329" i="6"/>
  <c r="F357" i="6"/>
  <c r="H357" i="6" s="1"/>
  <c r="G348" i="6"/>
  <c r="G225" i="6"/>
  <c r="G211" i="6"/>
  <c r="G219" i="6"/>
  <c r="G218" i="6"/>
  <c r="G379" i="6"/>
  <c r="F324" i="6"/>
  <c r="H324" i="6" s="1"/>
  <c r="F358" i="6"/>
  <c r="H358" i="6" s="1"/>
  <c r="G358" i="6"/>
  <c r="F352" i="6"/>
  <c r="H352" i="6" s="1"/>
  <c r="F377" i="6"/>
  <c r="H377" i="6" s="1"/>
  <c r="F201" i="6"/>
  <c r="H201" i="6" s="1"/>
  <c r="G319" i="6"/>
  <c r="F350" i="6"/>
  <c r="H350" i="6" s="1"/>
  <c r="G378" i="6"/>
  <c r="F196" i="6"/>
  <c r="H196" i="6" s="1"/>
  <c r="F328" i="6"/>
  <c r="H328" i="6" s="1"/>
  <c r="G209" i="6"/>
  <c r="G230" i="6"/>
  <c r="I230" i="6" s="1"/>
  <c r="G205" i="6"/>
  <c r="F218" i="6"/>
  <c r="H218" i="6" s="1"/>
  <c r="I218" i="6" s="1"/>
  <c r="F214" i="6"/>
  <c r="H214" i="6" s="1"/>
  <c r="G206" i="6"/>
  <c r="G223" i="6"/>
  <c r="G193" i="6"/>
  <c r="F378" i="6"/>
  <c r="H378" i="6" s="1"/>
  <c r="G317" i="6"/>
  <c r="I317" i="6" s="1"/>
  <c r="F348" i="6"/>
  <c r="H348" i="6" s="1"/>
  <c r="I348" i="6" s="1"/>
  <c r="F359" i="6"/>
  <c r="H359" i="6" s="1"/>
  <c r="G351" i="6"/>
  <c r="G364" i="6"/>
  <c r="F349" i="6"/>
  <c r="H349" i="6" s="1"/>
  <c r="G204" i="6"/>
  <c r="G222" i="6"/>
  <c r="I222" i="6" s="1"/>
  <c r="F206" i="6"/>
  <c r="H206" i="6" s="1"/>
  <c r="I206" i="6" s="1"/>
  <c r="F200" i="6"/>
  <c r="H200" i="6" s="1"/>
  <c r="G208" i="6"/>
  <c r="F207" i="6"/>
  <c r="H207" i="6" s="1"/>
  <c r="F212" i="6"/>
  <c r="H212" i="6" s="1"/>
  <c r="F191" i="6"/>
  <c r="H191" i="6" s="1"/>
  <c r="F372" i="6"/>
  <c r="H372" i="6" s="1"/>
  <c r="F380" i="6"/>
  <c r="H380" i="6" s="1"/>
  <c r="I380" i="6" s="1"/>
  <c r="G325" i="6"/>
  <c r="G330" i="6"/>
  <c r="I330" i="6" s="1"/>
  <c r="F344" i="6"/>
  <c r="H344" i="6" s="1"/>
  <c r="I344" i="6" s="1"/>
  <c r="G349" i="6"/>
  <c r="F362" i="6"/>
  <c r="H362" i="6" s="1"/>
  <c r="I362" i="6" s="1"/>
  <c r="G360" i="6"/>
  <c r="G347" i="6"/>
  <c r="G201" i="6"/>
  <c r="G196" i="6"/>
  <c r="F340" i="6"/>
  <c r="H340" i="6" s="1"/>
  <c r="F343" i="6"/>
  <c r="H343" i="6" s="1"/>
  <c r="F360" i="6"/>
  <c r="H360" i="6" s="1"/>
  <c r="I360" i="6" s="1"/>
  <c r="G345" i="6"/>
  <c r="F364" i="6"/>
  <c r="H364" i="6"/>
  <c r="G346" i="6"/>
  <c r="F379" i="6"/>
  <c r="H379" i="6" s="1"/>
  <c r="G203" i="6"/>
  <c r="I203" i="6" s="1"/>
  <c r="G339" i="6"/>
  <c r="G324" i="6"/>
  <c r="N51" i="6"/>
  <c r="W37" i="6"/>
  <c r="AQ288" i="6"/>
  <c r="AS288" i="6" s="1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 s="1"/>
  <c r="AP293" i="6"/>
  <c r="AR293" i="6" s="1"/>
  <c r="AP273" i="6"/>
  <c r="AR273" i="6" s="1"/>
  <c r="AQ300" i="6"/>
  <c r="AP261" i="6"/>
  <c r="AR261" i="6" s="1"/>
  <c r="AQ291" i="6"/>
  <c r="AP281" i="6"/>
  <c r="AR281" i="6" s="1"/>
  <c r="AP258" i="6"/>
  <c r="AR258" i="6" s="1"/>
  <c r="AQ259" i="6"/>
  <c r="AQ269" i="6"/>
  <c r="AP277" i="6"/>
  <c r="AR277" i="6" s="1"/>
  <c r="AQ257" i="6"/>
  <c r="AQ293" i="6"/>
  <c r="AQ273" i="6"/>
  <c r="AP266" i="6"/>
  <c r="AR266" i="6" s="1"/>
  <c r="AP268" i="6"/>
  <c r="AR268" i="6" s="1"/>
  <c r="AQ268" i="6"/>
  <c r="AQ281" i="6"/>
  <c r="AQ278" i="6"/>
  <c r="AQ277" i="6"/>
  <c r="AP292" i="6"/>
  <c r="AR292" i="6" s="1"/>
  <c r="AS292" i="6" s="1"/>
  <c r="AQ301" i="6"/>
  <c r="AQ285" i="6"/>
  <c r="AQ286" i="6"/>
  <c r="AP287" i="6"/>
  <c r="AR287" i="6" s="1"/>
  <c r="AS287" i="6" s="1"/>
  <c r="AP276" i="6"/>
  <c r="AR276" i="6" s="1"/>
  <c r="AQ284" i="6"/>
  <c r="AP267" i="6"/>
  <c r="AR267" i="6" s="1"/>
  <c r="AQ295" i="6"/>
  <c r="AP257" i="6"/>
  <c r="AR257" i="6" s="1"/>
  <c r="AP299" i="6"/>
  <c r="AR299" i="6" s="1"/>
  <c r="AS299" i="6" s="1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P246" i="6"/>
  <c r="AR246" i="6" s="1"/>
  <c r="AP270" i="6"/>
  <c r="AR270" i="6" s="1"/>
  <c r="AS270" i="6" s="1"/>
  <c r="AP300" i="6"/>
  <c r="AR300" i="6" s="1"/>
  <c r="AS300" i="6" s="1"/>
  <c r="AQ260" i="6"/>
  <c r="AP271" i="6"/>
  <c r="AR271" i="6" s="1"/>
  <c r="AQ266" i="6"/>
  <c r="AQ251" i="6"/>
  <c r="AP294" i="6"/>
  <c r="AR294" i="6" s="1"/>
  <c r="AQ292" i="6"/>
  <c r="AP253" i="6"/>
  <c r="AR253" i="6" s="1"/>
  <c r="AQ252" i="6"/>
  <c r="AQ246" i="6"/>
  <c r="AQ276" i="6"/>
  <c r="AQ296" i="6"/>
  <c r="AP274" i="6"/>
  <c r="AR274" i="6" s="1"/>
  <c r="AP283" i="6"/>
  <c r="AR283" i="6" s="1"/>
  <c r="AQ254" i="6"/>
  <c r="AP248" i="6"/>
  <c r="AR248" i="6" s="1"/>
  <c r="AP290" i="6"/>
  <c r="AR290" i="6" s="1"/>
  <c r="AP295" i="6"/>
  <c r="AR295" i="6" s="1"/>
  <c r="AP285" i="6"/>
  <c r="AR285" i="6" s="1"/>
  <c r="AP278" i="6"/>
  <c r="AR278" i="6" s="1"/>
  <c r="AP265" i="6"/>
  <c r="AR265" i="6" s="1"/>
  <c r="AP250" i="6"/>
  <c r="AR250" i="6" s="1"/>
  <c r="AS250" i="6" s="1"/>
  <c r="AQ247" i="6"/>
  <c r="AP269" i="6"/>
  <c r="AR269" i="6"/>
  <c r="AS269" i="6" s="1"/>
  <c r="AQ287" i="6"/>
  <c r="AP252" i="6"/>
  <c r="AR252" i="6" s="1"/>
  <c r="AS252" i="6" s="1"/>
  <c r="AQ298" i="6"/>
  <c r="AQ265" i="6"/>
  <c r="AP262" i="6"/>
  <c r="AR262" i="6"/>
  <c r="AP254" i="6"/>
  <c r="AR254" i="6"/>
  <c r="AQ290" i="6"/>
  <c r="AQ289" i="6"/>
  <c r="AQ294" i="6"/>
  <c r="AP247" i="6"/>
  <c r="AR247" i="6" s="1"/>
  <c r="AS247" i="6" s="1"/>
  <c r="AQ275" i="6"/>
  <c r="AQ264" i="6"/>
  <c r="AQ267" i="6"/>
  <c r="AP255" i="6"/>
  <c r="AR255" i="6" s="1"/>
  <c r="AQ262" i="6"/>
  <c r="AP263" i="6"/>
  <c r="AR263" i="6" s="1"/>
  <c r="AP264" i="6"/>
  <c r="AR264" i="6" s="1"/>
  <c r="AQ253" i="6"/>
  <c r="AQ280" i="6"/>
  <c r="AP280" i="6"/>
  <c r="AR280" i="6" s="1"/>
  <c r="AQ255" i="6"/>
  <c r="AQ261" i="6"/>
  <c r="AP291" i="6"/>
  <c r="AR291" i="6" s="1"/>
  <c r="AS291" i="6" s="1"/>
  <c r="AP259" i="6"/>
  <c r="AR259" i="6" s="1"/>
  <c r="AP288" i="6"/>
  <c r="AR288" i="6" s="1"/>
  <c r="AP279" i="6"/>
  <c r="AR279" i="6"/>
  <c r="AQ256" i="6"/>
  <c r="AQ258" i="6"/>
  <c r="AS304" i="6"/>
  <c r="AU380" i="6"/>
  <c r="AW380" i="6" s="1"/>
  <c r="AU375" i="6"/>
  <c r="AW375" i="6" s="1"/>
  <c r="AV379" i="6"/>
  <c r="X52" i="6"/>
  <c r="AV375" i="6"/>
  <c r="AV377" i="6"/>
  <c r="AU379" i="6"/>
  <c r="AW379" i="6" s="1"/>
  <c r="AU372" i="6"/>
  <c r="AW372" i="6" s="1"/>
  <c r="AU371" i="6"/>
  <c r="AW371" i="6" s="1"/>
  <c r="AV326" i="6"/>
  <c r="AU319" i="6"/>
  <c r="AW319" i="6" s="1"/>
  <c r="AV362" i="6"/>
  <c r="AX362" i="6" s="1"/>
  <c r="AU348" i="6"/>
  <c r="AW348" i="6" s="1"/>
  <c r="AU323" i="6"/>
  <c r="AW323" i="6" s="1"/>
  <c r="AV339" i="6"/>
  <c r="AU367" i="6"/>
  <c r="AW367" i="6" s="1"/>
  <c r="AU352" i="6"/>
  <c r="AW352" i="6" s="1"/>
  <c r="AU345" i="6"/>
  <c r="AW345" i="6" s="1"/>
  <c r="AV336" i="6"/>
  <c r="AU353" i="6"/>
  <c r="AW353" i="6" s="1"/>
  <c r="AU340" i="6"/>
  <c r="AW340" i="6" s="1"/>
  <c r="AV337" i="6"/>
  <c r="AV317" i="6"/>
  <c r="AU338" i="6"/>
  <c r="AW338" i="6" s="1"/>
  <c r="AX338" i="6" s="1"/>
  <c r="AV370" i="6"/>
  <c r="AU365" i="6"/>
  <c r="AW365" i="6" s="1"/>
  <c r="AV328" i="6"/>
  <c r="AV352" i="6"/>
  <c r="AU334" i="6"/>
  <c r="AW334" i="6" s="1"/>
  <c r="AU366" i="6"/>
  <c r="AW366" i="6" s="1"/>
  <c r="AV363" i="6"/>
  <c r="AV322" i="6"/>
  <c r="AU364" i="6"/>
  <c r="AW364" i="6" s="1"/>
  <c r="AV341" i="6"/>
  <c r="AU336" i="6"/>
  <c r="AW336" i="6" s="1"/>
  <c r="AX336" i="6" s="1"/>
  <c r="AV342" i="6"/>
  <c r="AU327" i="6"/>
  <c r="AW327" i="6" s="1"/>
  <c r="AV354" i="6"/>
  <c r="AV360" i="6"/>
  <c r="AU342" i="6"/>
  <c r="AW342" i="6" s="1"/>
  <c r="AX342" i="6" s="1"/>
  <c r="AU357" i="6"/>
  <c r="AW357" i="6" s="1"/>
  <c r="AV347" i="6"/>
  <c r="AV367" i="6"/>
  <c r="AU347" i="6"/>
  <c r="AW347" i="6" s="1"/>
  <c r="AX347" i="6" s="1"/>
  <c r="AU363" i="6"/>
  <c r="AW363" i="6" s="1"/>
  <c r="AU358" i="6"/>
  <c r="AW358" i="6" s="1"/>
  <c r="AU343" i="6"/>
  <c r="AW343" i="6" s="1"/>
  <c r="AV332" i="6"/>
  <c r="AU355" i="6"/>
  <c r="AW355" i="6" s="1"/>
  <c r="AU329" i="6"/>
  <c r="AW329" i="6" s="1"/>
  <c r="AX329" i="6" s="1"/>
  <c r="AU349" i="6"/>
  <c r="AW349" i="6" s="1"/>
  <c r="AV364" i="6"/>
  <c r="AU360" i="6"/>
  <c r="AW360" i="6" s="1"/>
  <c r="AV316" i="6"/>
  <c r="AU317" i="6"/>
  <c r="AW317" i="6"/>
  <c r="AX317" i="6" s="1"/>
  <c r="AV325" i="6"/>
  <c r="AV327" i="6"/>
  <c r="AX327" i="6" s="1"/>
  <c r="AV344" i="6"/>
  <c r="AU337" i="6"/>
  <c r="AW337" i="6" s="1"/>
  <c r="AX337" i="6" s="1"/>
  <c r="AV357" i="6"/>
  <c r="AU341" i="6"/>
  <c r="AW341" i="6" s="1"/>
  <c r="AX341" i="6" s="1"/>
  <c r="AU373" i="6"/>
  <c r="AW373" i="6" s="1"/>
  <c r="AU374" i="6"/>
  <c r="AW374" i="6" s="1"/>
  <c r="AV351" i="6"/>
  <c r="AU331" i="6"/>
  <c r="AW331" i="6"/>
  <c r="AX331" i="6" s="1"/>
  <c r="AU370" i="6"/>
  <c r="AW370" i="6"/>
  <c r="AX370" i="6" s="1"/>
  <c r="AV333" i="6"/>
  <c r="AU324" i="6"/>
  <c r="AW324" i="6" s="1"/>
  <c r="AX324" i="6" s="1"/>
  <c r="AU322" i="6"/>
  <c r="AW322" i="6" s="1"/>
  <c r="AX322" i="6"/>
  <c r="AV323" i="6"/>
  <c r="AV365" i="6"/>
  <c r="AX365" i="6" s="1"/>
  <c r="AV355" i="6"/>
  <c r="AV330" i="6"/>
  <c r="AV318" i="6"/>
  <c r="AV348" i="6"/>
  <c r="AV331" i="6"/>
  <c r="AU332" i="6"/>
  <c r="AW332" i="6" s="1"/>
  <c r="AX332" i="6" s="1"/>
  <c r="AU318" i="6"/>
  <c r="AW318" i="6" s="1"/>
  <c r="AU359" i="6"/>
  <c r="AW359" i="6" s="1"/>
  <c r="AU333" i="6"/>
  <c r="AW333" i="6" s="1"/>
  <c r="AU351" i="6"/>
  <c r="AW351" i="6" s="1"/>
  <c r="AX351" i="6" s="1"/>
  <c r="AV343" i="6"/>
  <c r="AV368" i="6"/>
  <c r="AU361" i="6"/>
  <c r="AW361" i="6" s="1"/>
  <c r="AV369" i="6"/>
  <c r="AV371" i="6"/>
  <c r="AV359" i="6"/>
  <c r="AV346" i="6"/>
  <c r="AV334" i="6"/>
  <c r="AX334" i="6" s="1"/>
  <c r="AV324" i="6"/>
  <c r="AV361" i="6"/>
  <c r="AV340" i="6"/>
  <c r="AV366" i="6"/>
  <c r="AU368" i="6"/>
  <c r="AW368" i="6"/>
  <c r="AX368" i="6" s="1"/>
  <c r="AU330" i="6"/>
  <c r="AW330" i="6"/>
  <c r="AU369" i="6"/>
  <c r="AW369" i="6"/>
  <c r="AX369" i="6" s="1"/>
  <c r="AU354" i="6"/>
  <c r="AW354" i="6"/>
  <c r="AX354" i="6" s="1"/>
  <c r="AU320" i="6"/>
  <c r="AW320" i="6" s="1"/>
  <c r="AU316" i="6"/>
  <c r="AW316" i="6" s="1"/>
  <c r="AX316" i="6" s="1"/>
  <c r="AU356" i="6"/>
  <c r="AW356" i="6" s="1"/>
  <c r="AU350" i="6"/>
  <c r="AW350" i="6" s="1"/>
  <c r="AV319" i="6"/>
  <c r="AV349" i="6"/>
  <c r="AU335" i="6"/>
  <c r="AW335" i="6" s="1"/>
  <c r="AV358" i="6"/>
  <c r="AV345" i="6"/>
  <c r="AV353" i="6"/>
  <c r="AV335" i="6"/>
  <c r="AU326" i="6"/>
  <c r="AW326" i="6" s="1"/>
  <c r="AX326" i="6" s="1"/>
  <c r="AU346" i="6"/>
  <c r="AW346" i="6" s="1"/>
  <c r="AX346" i="6" s="1"/>
  <c r="AU344" i="6"/>
  <c r="AW344" i="6" s="1"/>
  <c r="AU362" i="6"/>
  <c r="AW362" i="6" s="1"/>
  <c r="AU325" i="6"/>
  <c r="AW325" i="6" s="1"/>
  <c r="AV356" i="6"/>
  <c r="AU321" i="6"/>
  <c r="AW321" i="6" s="1"/>
  <c r="AX321" i="6" s="1"/>
  <c r="AV338" i="6"/>
  <c r="AV321" i="6"/>
  <c r="AU328" i="6"/>
  <c r="AW328" i="6" s="1"/>
  <c r="AV350" i="6"/>
  <c r="AU339" i="6"/>
  <c r="AW339" i="6"/>
  <c r="AX339" i="6" s="1"/>
  <c r="AV329" i="6"/>
  <c r="AV320" i="6"/>
  <c r="X51" i="6"/>
  <c r="AV376" i="6"/>
  <c r="AV374" i="6"/>
  <c r="AU376" i="6"/>
  <c r="AW376" i="6" s="1"/>
  <c r="AX376" i="6" s="1"/>
  <c r="AV380" i="6"/>
  <c r="AV378" i="6"/>
  <c r="AV373" i="6"/>
  <c r="AU377" i="6"/>
  <c r="AW377" i="6" s="1"/>
  <c r="AX377" i="6" s="1"/>
  <c r="I22" i="6"/>
  <c r="AA37" i="6"/>
  <c r="AA36" i="6"/>
  <c r="AQ373" i="6"/>
  <c r="AP369" i="6"/>
  <c r="AR369" i="6" s="1"/>
  <c r="AS369" i="6" s="1"/>
  <c r="AQ365" i="6"/>
  <c r="AP363" i="6"/>
  <c r="AR363" i="6" s="1"/>
  <c r="AQ364" i="6"/>
  <c r="AQ359" i="6"/>
  <c r="AQ363" i="6"/>
  <c r="AQ360" i="6"/>
  <c r="AP359" i="6"/>
  <c r="AR359" i="6" s="1"/>
  <c r="AQ367" i="6"/>
  <c r="AQ361" i="6"/>
  <c r="AQ368" i="6"/>
  <c r="AQ371" i="6"/>
  <c r="AQ366" i="6"/>
  <c r="AQ358" i="6"/>
  <c r="AP371" i="6"/>
  <c r="AR371" i="6" s="1"/>
  <c r="AQ378" i="6"/>
  <c r="AP361" i="6"/>
  <c r="AR361" i="6" s="1"/>
  <c r="AQ362" i="6"/>
  <c r="AP370" i="6"/>
  <c r="AR370" i="6" s="1"/>
  <c r="AP375" i="6"/>
  <c r="AR375" i="6" s="1"/>
  <c r="AQ377" i="6"/>
  <c r="AP362" i="6"/>
  <c r="AR362" i="6" s="1"/>
  <c r="AS362" i="6" s="1"/>
  <c r="AP377" i="6"/>
  <c r="AR377" i="6" s="1"/>
  <c r="AS377" i="6" s="1"/>
  <c r="AP368" i="6"/>
  <c r="AR368" i="6" s="1"/>
  <c r="AP379" i="6"/>
  <c r="AR379" i="6" s="1"/>
  <c r="AQ376" i="6"/>
  <c r="AQ379" i="6"/>
  <c r="AQ374" i="6"/>
  <c r="AP372" i="6"/>
  <c r="AR372" i="6" s="1"/>
  <c r="AP374" i="6"/>
  <c r="AR374" i="6" s="1"/>
  <c r="AS374" i="6" s="1"/>
  <c r="AP376" i="6"/>
  <c r="AR376" i="6" s="1"/>
  <c r="AP360" i="6"/>
  <c r="AR360" i="6" s="1"/>
  <c r="AS360" i="6" s="1"/>
  <c r="AQ372" i="6"/>
  <c r="AS372" i="6" s="1"/>
  <c r="AP364" i="6"/>
  <c r="AR364" i="6" s="1"/>
  <c r="AS364" i="6" s="1"/>
  <c r="AQ375" i="6"/>
  <c r="AQ370" i="6"/>
  <c r="AP378" i="6"/>
  <c r="AR378" i="6" s="1"/>
  <c r="AQ369" i="6"/>
  <c r="AP373" i="6"/>
  <c r="AR373" i="6" s="1"/>
  <c r="AP366" i="6"/>
  <c r="AR366" i="6" s="1"/>
  <c r="AP367" i="6"/>
  <c r="AR367" i="6" s="1"/>
  <c r="AP365" i="6"/>
  <c r="AR365" i="6" s="1"/>
  <c r="AS365" i="6" s="1"/>
  <c r="AP380" i="6"/>
  <c r="AR380" i="6" s="1"/>
  <c r="AP358" i="6"/>
  <c r="AR358" i="6" s="1"/>
  <c r="AS358" i="6" s="1"/>
  <c r="AQ380" i="6"/>
  <c r="AA52" i="6"/>
  <c r="AA51" i="6"/>
  <c r="I67" i="6"/>
  <c r="I48" i="6"/>
  <c r="I147" i="6"/>
  <c r="AS73" i="6"/>
  <c r="I351" i="6"/>
  <c r="U51" i="6"/>
  <c r="AV204" i="6"/>
  <c r="AU204" i="6"/>
  <c r="AW204" i="6"/>
  <c r="AX204" i="6" s="1"/>
  <c r="AX343" i="6"/>
  <c r="C54" i="27"/>
  <c r="Q54" i="27"/>
  <c r="H25" i="27"/>
  <c r="H32" i="27"/>
  <c r="H23" i="27"/>
  <c r="H30" i="27"/>
  <c r="H26" i="27"/>
  <c r="H22" i="27"/>
  <c r="H24" i="27"/>
  <c r="H29" i="27"/>
  <c r="O55" i="27"/>
  <c r="H28" i="27"/>
  <c r="H27" i="27"/>
  <c r="G11" i="27"/>
  <c r="I12" i="27"/>
  <c r="J55" i="27"/>
  <c r="BN14" i="6"/>
  <c r="F55" i="27"/>
  <c r="U55" i="27"/>
  <c r="BQ14" i="6"/>
  <c r="K55" i="27"/>
  <c r="X55" i="27"/>
  <c r="BR14" i="6"/>
  <c r="Y55" i="27"/>
  <c r="L55" i="27"/>
  <c r="T55" i="27"/>
  <c r="E55" i="27"/>
  <c r="BM14" i="6"/>
  <c r="D55" i="27"/>
  <c r="S55" i="27"/>
  <c r="BL14" i="6"/>
  <c r="M55" i="27"/>
  <c r="Z55" i="27"/>
  <c r="BS14" i="6"/>
  <c r="BT14" i="6"/>
  <c r="AA55" i="27"/>
  <c r="C55" i="27"/>
  <c r="BK14" i="6"/>
  <c r="R55" i="27"/>
  <c r="Q55" i="27"/>
  <c r="BJ14" i="6"/>
  <c r="I144" i="6"/>
  <c r="I262" i="6"/>
  <c r="I260" i="6"/>
  <c r="I217" i="6"/>
  <c r="AS289" i="6"/>
  <c r="I200" i="6"/>
  <c r="I358" i="6"/>
  <c r="I53" i="6"/>
  <c r="I111" i="6"/>
  <c r="I81" i="6"/>
  <c r="I70" i="6"/>
  <c r="AS233" i="6"/>
  <c r="I108" i="6"/>
  <c r="I173" i="6"/>
  <c r="I163" i="6"/>
  <c r="I95" i="6"/>
  <c r="I86" i="6"/>
  <c r="I72" i="6"/>
  <c r="I166" i="6"/>
  <c r="AS64" i="6"/>
  <c r="AS59" i="6"/>
  <c r="AS74" i="6"/>
  <c r="AS204" i="6"/>
  <c r="AS373" i="6"/>
  <c r="AS361" i="6"/>
  <c r="I233" i="6"/>
  <c r="I43" i="6"/>
  <c r="I88" i="6"/>
  <c r="I44" i="6"/>
  <c r="I76" i="6"/>
  <c r="I119" i="6"/>
  <c r="I71" i="6"/>
  <c r="I65" i="6"/>
  <c r="I89" i="6"/>
  <c r="I50" i="6"/>
  <c r="I46" i="6"/>
  <c r="I91" i="6"/>
  <c r="I117" i="6"/>
  <c r="I109" i="6"/>
  <c r="I141" i="6"/>
  <c r="I152" i="6"/>
  <c r="I170" i="6"/>
  <c r="I27" i="6"/>
  <c r="AS27" i="6"/>
  <c r="AS38" i="6"/>
  <c r="AS33" i="6"/>
  <c r="AS213" i="6"/>
  <c r="AS236" i="6"/>
  <c r="AX355" i="6"/>
  <c r="AX366" i="6"/>
  <c r="AX345" i="6"/>
  <c r="AS253" i="6"/>
  <c r="I42" i="6"/>
  <c r="I254" i="6"/>
  <c r="AX373" i="6"/>
  <c r="AX379" i="6"/>
  <c r="AS264" i="6"/>
  <c r="I201" i="6"/>
  <c r="I357" i="6"/>
  <c r="I284" i="6"/>
  <c r="I264" i="6"/>
  <c r="I375" i="6"/>
  <c r="I97" i="6"/>
  <c r="I85" i="6"/>
  <c r="I169" i="6"/>
  <c r="I142" i="6"/>
  <c r="I25" i="6"/>
  <c r="I253" i="6"/>
  <c r="AS39" i="6"/>
  <c r="AS31" i="6"/>
  <c r="AS40" i="6"/>
  <c r="AS66" i="6"/>
  <c r="AS35" i="6"/>
  <c r="AS67" i="6"/>
  <c r="AS26" i="6"/>
  <c r="AS32" i="6"/>
  <c r="AS29" i="6"/>
  <c r="I211" i="6"/>
  <c r="I286" i="6"/>
  <c r="AS202" i="6"/>
  <c r="AS232" i="6"/>
  <c r="AS191" i="6"/>
  <c r="AS296" i="6"/>
  <c r="AX356" i="6"/>
  <c r="AX333" i="6"/>
  <c r="I364" i="6"/>
  <c r="I372" i="6"/>
  <c r="I324" i="6"/>
  <c r="I223" i="6"/>
  <c r="I322" i="6"/>
  <c r="I244" i="6"/>
  <c r="I130" i="6"/>
  <c r="I106" i="6"/>
  <c r="I64" i="6"/>
  <c r="I174" i="6"/>
  <c r="I143" i="6"/>
  <c r="AS45" i="6"/>
  <c r="AS56" i="6"/>
  <c r="AS57" i="6"/>
  <c r="AS65" i="6"/>
  <c r="AS61" i="6"/>
  <c r="AS70" i="6"/>
  <c r="AS54" i="6"/>
  <c r="I315" i="6"/>
  <c r="AS379" i="6"/>
  <c r="I261" i="6"/>
  <c r="AS69" i="6"/>
  <c r="AS366" i="6"/>
  <c r="AS368" i="6"/>
  <c r="AX325" i="6"/>
  <c r="AX330" i="6"/>
  <c r="AX374" i="6"/>
  <c r="AX340" i="6"/>
  <c r="AS255" i="6"/>
  <c r="AS294" i="6"/>
  <c r="AS262" i="6"/>
  <c r="AS265" i="6"/>
  <c r="AS285" i="6"/>
  <c r="AS282" i="6"/>
  <c r="AS301" i="6"/>
  <c r="I196" i="6"/>
  <c r="I259" i="6"/>
  <c r="I246" i="6"/>
  <c r="I235" i="6"/>
  <c r="I300" i="6"/>
  <c r="I272" i="6"/>
  <c r="I66" i="6"/>
  <c r="I49" i="6"/>
  <c r="I171" i="6"/>
  <c r="I179" i="6"/>
  <c r="I184" i="6"/>
  <c r="I155" i="6"/>
  <c r="I153" i="6"/>
  <c r="AS30" i="6"/>
  <c r="AS23" i="6"/>
  <c r="AS44" i="6"/>
  <c r="AS72" i="6"/>
  <c r="AS43" i="6"/>
  <c r="AS343" i="6"/>
  <c r="AS231" i="6"/>
  <c r="AS192" i="6"/>
  <c r="AS370" i="6"/>
  <c r="AX318" i="6"/>
  <c r="AX360" i="6"/>
  <c r="AX357" i="6"/>
  <c r="AX352" i="6"/>
  <c r="AS248" i="6"/>
  <c r="AS249" i="6"/>
  <c r="AS276" i="6"/>
  <c r="AS272" i="6"/>
  <c r="I283" i="6"/>
  <c r="I80" i="6"/>
  <c r="AX364" i="6"/>
  <c r="AX323" i="6"/>
  <c r="AX380" i="6"/>
  <c r="AS266" i="6"/>
  <c r="AS293" i="6"/>
  <c r="AS258" i="6"/>
  <c r="AS261" i="6"/>
  <c r="I113" i="6"/>
  <c r="I104" i="6"/>
  <c r="I128" i="6"/>
  <c r="I69" i="6"/>
  <c r="I84" i="6"/>
  <c r="I177" i="6"/>
  <c r="I185" i="6"/>
  <c r="I189" i="6"/>
  <c r="I140" i="6"/>
  <c r="I252" i="6"/>
  <c r="I268" i="6"/>
  <c r="AS34" i="6"/>
  <c r="AS62" i="6"/>
  <c r="I192" i="6"/>
  <c r="I232" i="6"/>
  <c r="I26" i="6"/>
  <c r="I221" i="6"/>
  <c r="AS46" i="6"/>
  <c r="AS53" i="6"/>
  <c r="I336" i="6"/>
  <c r="I194" i="6"/>
  <c r="I347" i="6"/>
  <c r="I293" i="6"/>
  <c r="AS245" i="6"/>
  <c r="AS218" i="6"/>
  <c r="H23" i="6"/>
  <c r="I23" i="6" s="1"/>
  <c r="I146" i="6"/>
  <c r="I271" i="6"/>
  <c r="AS49" i="6"/>
  <c r="I278" i="6"/>
  <c r="I209" i="6"/>
  <c r="AS68" i="6"/>
  <c r="AS51" i="6"/>
  <c r="E22" i="6"/>
  <c r="AS378" i="6"/>
  <c r="AS371" i="6"/>
  <c r="AX363" i="6"/>
  <c r="AS298" i="6"/>
  <c r="I359" i="6"/>
  <c r="I183" i="6"/>
  <c r="I37" i="6"/>
  <c r="I132" i="6"/>
  <c r="I124" i="6"/>
  <c r="H17" i="6"/>
  <c r="I17" i="6" s="1"/>
  <c r="I255" i="6"/>
  <c r="AS263" i="6"/>
  <c r="AS297" i="6"/>
  <c r="AS281" i="6"/>
  <c r="I379" i="6"/>
  <c r="I340" i="6"/>
  <c r="I208" i="6"/>
  <c r="I162" i="6"/>
  <c r="I157" i="6"/>
  <c r="I251" i="6"/>
  <c r="AS75" i="6"/>
  <c r="AS220" i="6"/>
  <c r="AS229" i="6"/>
  <c r="S16" i="6"/>
  <c r="H11" i="7" l="1"/>
  <c r="O18" i="6"/>
  <c r="E36" i="6"/>
  <c r="AO13" i="6"/>
  <c r="AN20" i="6" s="1"/>
  <c r="AX350" i="6"/>
  <c r="I112" i="6"/>
  <c r="I280" i="6"/>
  <c r="AS380" i="6"/>
  <c r="AS376" i="6"/>
  <c r="AX328" i="6"/>
  <c r="AX335" i="6"/>
  <c r="AX349" i="6"/>
  <c r="AX367" i="6"/>
  <c r="AS279" i="6"/>
  <c r="AS259" i="6"/>
  <c r="AS268" i="6"/>
  <c r="I225" i="6"/>
  <c r="AU378" i="6"/>
  <c r="AW378" i="6" s="1"/>
  <c r="AX378" i="6" s="1"/>
  <c r="AV372" i="6"/>
  <c r="AX372" i="6" s="1"/>
  <c r="I98" i="6"/>
  <c r="AS275" i="6"/>
  <c r="AS278" i="6"/>
  <c r="AS295" i="6"/>
  <c r="AS274" i="6"/>
  <c r="AS271" i="6"/>
  <c r="AS277" i="6"/>
  <c r="I191" i="6"/>
  <c r="I349" i="6"/>
  <c r="I378" i="6"/>
  <c r="I263" i="6"/>
  <c r="I210" i="6"/>
  <c r="I100" i="6"/>
  <c r="I73" i="6"/>
  <c r="I62" i="6"/>
  <c r="I56" i="6"/>
  <c r="I103" i="6"/>
  <c r="I61" i="6"/>
  <c r="I55" i="6"/>
  <c r="I126" i="6"/>
  <c r="I133" i="6"/>
  <c r="I122" i="6"/>
  <c r="I33" i="6"/>
  <c r="I187" i="6"/>
  <c r="I125" i="6"/>
  <c r="I54" i="6"/>
  <c r="I78" i="6"/>
  <c r="I167" i="6"/>
  <c r="I159" i="6"/>
  <c r="I257" i="6"/>
  <c r="P47" i="6"/>
  <c r="Q45" i="6"/>
  <c r="Q51" i="6" s="1"/>
  <c r="N30" i="6"/>
  <c r="N36" i="6" s="1"/>
  <c r="M32" i="6"/>
  <c r="L28" i="6"/>
  <c r="M30" i="6" s="1"/>
  <c r="M36" i="6" s="1"/>
  <c r="AP349" i="6"/>
  <c r="AR349" i="6" s="1"/>
  <c r="AQ344" i="6"/>
  <c r="AQ334" i="6"/>
  <c r="AP324" i="6"/>
  <c r="AR324" i="6" s="1"/>
  <c r="AS324" i="6" s="1"/>
  <c r="AP328" i="6"/>
  <c r="AR328" i="6" s="1"/>
  <c r="AP335" i="6"/>
  <c r="AR335" i="6" s="1"/>
  <c r="AP354" i="6"/>
  <c r="AR354" i="6" s="1"/>
  <c r="AQ345" i="6"/>
  <c r="AP337" i="6"/>
  <c r="AR337" i="6" s="1"/>
  <c r="AQ303" i="6"/>
  <c r="AQ341" i="6"/>
  <c r="AQ337" i="6"/>
  <c r="AQ340" i="6"/>
  <c r="AQ305" i="6"/>
  <c r="AQ320" i="6"/>
  <c r="AP330" i="6"/>
  <c r="AR330" i="6" s="1"/>
  <c r="AS330" i="6" s="1"/>
  <c r="AP308" i="6"/>
  <c r="AR308" i="6" s="1"/>
  <c r="AS308" i="6" s="1"/>
  <c r="AQ356" i="6"/>
  <c r="AQ351" i="6"/>
  <c r="AQ335" i="6"/>
  <c r="AQ329" i="6"/>
  <c r="AQ307" i="6"/>
  <c r="AP320" i="6"/>
  <c r="AR320" i="6" s="1"/>
  <c r="AS320" i="6" s="1"/>
  <c r="AQ357" i="6"/>
  <c r="AQ313" i="6"/>
  <c r="AP345" i="6"/>
  <c r="AR345" i="6" s="1"/>
  <c r="AS345" i="6" s="1"/>
  <c r="AQ316" i="6"/>
  <c r="AP312" i="6"/>
  <c r="AR312" i="6" s="1"/>
  <c r="AQ317" i="6"/>
  <c r="AP351" i="6"/>
  <c r="AR351" i="6" s="1"/>
  <c r="AS351" i="6" s="1"/>
  <c r="AP341" i="6"/>
  <c r="AR341" i="6" s="1"/>
  <c r="AS341" i="6" s="1"/>
  <c r="AP332" i="6"/>
  <c r="AR332" i="6" s="1"/>
  <c r="AP344" i="6"/>
  <c r="AR344" i="6" s="1"/>
  <c r="AS344" i="6" s="1"/>
  <c r="AP348" i="6"/>
  <c r="AR348" i="6" s="1"/>
  <c r="AP315" i="6"/>
  <c r="AR315" i="6" s="1"/>
  <c r="AP336" i="6"/>
  <c r="AR336" i="6" s="1"/>
  <c r="AP323" i="6"/>
  <c r="AR323" i="6" s="1"/>
  <c r="AQ347" i="6"/>
  <c r="AP325" i="6"/>
  <c r="AR325" i="6" s="1"/>
  <c r="AS325" i="6" s="1"/>
  <c r="AQ346" i="6"/>
  <c r="AS346" i="6" s="1"/>
  <c r="AP327" i="6"/>
  <c r="AR327" i="6" s="1"/>
  <c r="AS327" i="6" s="1"/>
  <c r="AP310" i="6"/>
  <c r="AR310" i="6" s="1"/>
  <c r="AP339" i="6"/>
  <c r="AR339" i="6" s="1"/>
  <c r="AP333" i="6"/>
  <c r="AR333" i="6" s="1"/>
  <c r="AS333" i="6" s="1"/>
  <c r="AP307" i="6"/>
  <c r="AR307" i="6" s="1"/>
  <c r="AS307" i="6" s="1"/>
  <c r="AQ312" i="6"/>
  <c r="AQ342" i="6"/>
  <c r="N21" i="6"/>
  <c r="N22" i="6"/>
  <c r="F190" i="6"/>
  <c r="H190" i="6" s="1"/>
  <c r="I190" i="6" s="1"/>
  <c r="G288" i="6"/>
  <c r="I288" i="6" s="1"/>
  <c r="Z22" i="6"/>
  <c r="G32" i="6"/>
  <c r="I32" i="6" s="1"/>
  <c r="F176" i="6"/>
  <c r="H176" i="6" s="1"/>
  <c r="I176" i="6" s="1"/>
  <c r="G30" i="6"/>
  <c r="F16" i="6"/>
  <c r="F182" i="6"/>
  <c r="H182" i="6" s="1"/>
  <c r="I182" i="6" s="1"/>
  <c r="G139" i="6"/>
  <c r="I139" i="6" s="1"/>
  <c r="G333" i="6"/>
  <c r="I333" i="6" s="1"/>
  <c r="F325" i="6"/>
  <c r="H325" i="6" s="1"/>
  <c r="I325" i="6" s="1"/>
  <c r="G363" i="6"/>
  <c r="G328" i="6"/>
  <c r="I328" i="6" s="1"/>
  <c r="G342" i="6"/>
  <c r="F341" i="6"/>
  <c r="H341" i="6" s="1"/>
  <c r="G327" i="6"/>
  <c r="I327" i="6" s="1"/>
  <c r="F302" i="6"/>
  <c r="H302" i="6" s="1"/>
  <c r="G299" i="6"/>
  <c r="G289" i="6"/>
  <c r="F313" i="6"/>
  <c r="H313" i="6" s="1"/>
  <c r="I313" i="6" s="1"/>
  <c r="G302" i="6"/>
  <c r="G312" i="6"/>
  <c r="I312" i="6" s="1"/>
  <c r="G331" i="6"/>
  <c r="F318" i="6"/>
  <c r="H318" i="6" s="1"/>
  <c r="F289" i="6"/>
  <c r="H289" i="6" s="1"/>
  <c r="I289" i="6" s="1"/>
  <c r="G314" i="6"/>
  <c r="F294" i="6"/>
  <c r="H294" i="6" s="1"/>
  <c r="G341" i="6"/>
  <c r="G294" i="6"/>
  <c r="F299" i="6"/>
  <c r="H299" i="6" s="1"/>
  <c r="I299" i="6" s="1"/>
  <c r="F329" i="6"/>
  <c r="H329" i="6" s="1"/>
  <c r="F366" i="6"/>
  <c r="H366" i="6" s="1"/>
  <c r="I366" i="6" s="1"/>
  <c r="G224" i="6"/>
  <c r="F220" i="6"/>
  <c r="H220" i="6" s="1"/>
  <c r="I220" i="6" s="1"/>
  <c r="F338" i="6"/>
  <c r="H338" i="6" s="1"/>
  <c r="G318" i="6"/>
  <c r="F332" i="6"/>
  <c r="H332" i="6" s="1"/>
  <c r="I332" i="6" s="1"/>
  <c r="G275" i="6"/>
  <c r="F276" i="6"/>
  <c r="H276" i="6" s="1"/>
  <c r="I276" i="6" s="1"/>
  <c r="G285" i="6"/>
  <c r="I285" i="6" s="1"/>
  <c r="G269" i="6"/>
  <c r="I269" i="6" s="1"/>
  <c r="F273" i="6"/>
  <c r="H273" i="6" s="1"/>
  <c r="I273" i="6" s="1"/>
  <c r="G265" i="6"/>
  <c r="I265" i="6" s="1"/>
  <c r="F282" i="6"/>
  <c r="H282" i="6" s="1"/>
  <c r="G290" i="6"/>
  <c r="F304" i="6"/>
  <c r="H304" i="6" s="1"/>
  <c r="F314" i="6"/>
  <c r="H314" i="6" s="1"/>
  <c r="I314" i="6" s="1"/>
  <c r="G310" i="6"/>
  <c r="F310" i="6"/>
  <c r="H310" i="6" s="1"/>
  <c r="F307" i="6"/>
  <c r="H307" i="6" s="1"/>
  <c r="I307" i="6" s="1"/>
  <c r="F295" i="6"/>
  <c r="H295" i="6" s="1"/>
  <c r="F258" i="6"/>
  <c r="H258" i="6" s="1"/>
  <c r="I258" i="6" s="1"/>
  <c r="G256" i="6"/>
  <c r="I256" i="6" s="1"/>
  <c r="F236" i="6"/>
  <c r="H236" i="6" s="1"/>
  <c r="I236" i="6" s="1"/>
  <c r="G238" i="6"/>
  <c r="I238" i="6" s="1"/>
  <c r="G249" i="6"/>
  <c r="I249" i="6" s="1"/>
  <c r="F250" i="6"/>
  <c r="H250" i="6" s="1"/>
  <c r="I250" i="6" s="1"/>
  <c r="G245" i="6"/>
  <c r="I245" i="6" s="1"/>
  <c r="F290" i="6"/>
  <c r="H290" i="6" s="1"/>
  <c r="F213" i="6"/>
  <c r="H213" i="6" s="1"/>
  <c r="G374" i="6"/>
  <c r="I374" i="6" s="1"/>
  <c r="G231" i="6"/>
  <c r="I231" i="6" s="1"/>
  <c r="G376" i="6"/>
  <c r="G354" i="6"/>
  <c r="F193" i="6"/>
  <c r="H193" i="6" s="1"/>
  <c r="I193" i="6" s="1"/>
  <c r="F224" i="6"/>
  <c r="H224" i="6" s="1"/>
  <c r="I224" i="6" s="1"/>
  <c r="G229" i="6"/>
  <c r="I229" i="6" s="1"/>
  <c r="G373" i="6"/>
  <c r="I373" i="6" s="1"/>
  <c r="G350" i="6"/>
  <c r="I350" i="6" s="1"/>
  <c r="F216" i="6"/>
  <c r="H216" i="6" s="1"/>
  <c r="I216" i="6" s="1"/>
  <c r="G212" i="6"/>
  <c r="I212" i="6" s="1"/>
  <c r="F376" i="6"/>
  <c r="H376" i="6" s="1"/>
  <c r="I376" i="6" s="1"/>
  <c r="F354" i="6"/>
  <c r="H354" i="6" s="1"/>
  <c r="I354" i="6" s="1"/>
  <c r="AS63" i="6"/>
  <c r="AS60" i="6"/>
  <c r="F321" i="6"/>
  <c r="H321" i="6" s="1"/>
  <c r="F195" i="6"/>
  <c r="H195" i="6" s="1"/>
  <c r="I195" i="6" s="1"/>
  <c r="G355" i="6"/>
  <c r="I355" i="6" s="1"/>
  <c r="F331" i="6"/>
  <c r="H331" i="6" s="1"/>
  <c r="I331" i="6" s="1"/>
  <c r="G199" i="6"/>
  <c r="I199" i="6" s="1"/>
  <c r="G371" i="6"/>
  <c r="F368" i="6"/>
  <c r="H368" i="6" s="1"/>
  <c r="G367" i="6"/>
  <c r="I367" i="6" s="1"/>
  <c r="F363" i="6"/>
  <c r="H363" i="6" s="1"/>
  <c r="I363" i="6" s="1"/>
  <c r="F326" i="6"/>
  <c r="H326" i="6" s="1"/>
  <c r="I326" i="6" s="1"/>
  <c r="G202" i="6"/>
  <c r="I202" i="6" s="1"/>
  <c r="G227" i="6"/>
  <c r="I227" i="6" s="1"/>
  <c r="G207" i="6"/>
  <c r="I207" i="6" s="1"/>
  <c r="G361" i="6"/>
  <c r="I361" i="6" s="1"/>
  <c r="F369" i="6"/>
  <c r="H369" i="6" s="1"/>
  <c r="I369" i="6" s="1"/>
  <c r="G377" i="6"/>
  <c r="I377" i="6" s="1"/>
  <c r="G213" i="6"/>
  <c r="G228" i="6"/>
  <c r="I228" i="6" s="1"/>
  <c r="F353" i="6"/>
  <c r="H353" i="6" s="1"/>
  <c r="I353" i="6" s="1"/>
  <c r="G356" i="6"/>
  <c r="I356" i="6" s="1"/>
  <c r="G197" i="6"/>
  <c r="I197" i="6" s="1"/>
  <c r="G353" i="6"/>
  <c r="G198" i="6"/>
  <c r="I198" i="6" s="1"/>
  <c r="G214" i="6"/>
  <c r="I214" i="6" s="1"/>
  <c r="G321" i="6"/>
  <c r="G352" i="6"/>
  <c r="I352" i="6" s="1"/>
  <c r="F305" i="6"/>
  <c r="H305" i="6" s="1"/>
  <c r="F243" i="6"/>
  <c r="H243" i="6" s="1"/>
  <c r="G237" i="6"/>
  <c r="I237" i="6" s="1"/>
  <c r="F247" i="6"/>
  <c r="H247" i="6" s="1"/>
  <c r="I247" i="6" s="1"/>
  <c r="F311" i="6"/>
  <c r="H311" i="6" s="1"/>
  <c r="F297" i="6"/>
  <c r="H297" i="6" s="1"/>
  <c r="G304" i="6"/>
  <c r="G274" i="6"/>
  <c r="I274" i="6" s="1"/>
  <c r="F277" i="6"/>
  <c r="H277" i="6" s="1"/>
  <c r="F281" i="6"/>
  <c r="H281" i="6" s="1"/>
  <c r="I281" i="6" s="1"/>
  <c r="G338" i="6"/>
  <c r="G368" i="6"/>
  <c r="F371" i="6"/>
  <c r="H371" i="6" s="1"/>
  <c r="I371" i="6" s="1"/>
  <c r="G323" i="6"/>
  <c r="I323" i="6" s="1"/>
  <c r="G303" i="6"/>
  <c r="I303" i="6" s="1"/>
  <c r="F296" i="6"/>
  <c r="H296" i="6" s="1"/>
  <c r="I296" i="6" s="1"/>
  <c r="G292" i="6"/>
  <c r="I292" i="6" s="1"/>
  <c r="F342" i="6"/>
  <c r="H342" i="6" s="1"/>
  <c r="I342" i="6" s="1"/>
  <c r="G297" i="6"/>
  <c r="F298" i="6"/>
  <c r="H298" i="6" s="1"/>
  <c r="I298" i="6" s="1"/>
  <c r="F334" i="6"/>
  <c r="H334" i="6" s="1"/>
  <c r="I334" i="6" s="1"/>
  <c r="G295" i="6"/>
  <c r="F309" i="6"/>
  <c r="H309" i="6" s="1"/>
  <c r="I309" i="6" s="1"/>
  <c r="G305" i="6"/>
  <c r="G343" i="6"/>
  <c r="I343" i="6" s="1"/>
  <c r="F339" i="6"/>
  <c r="H339" i="6" s="1"/>
  <c r="I339" i="6" s="1"/>
  <c r="F346" i="6"/>
  <c r="H346" i="6" s="1"/>
  <c r="I346" i="6" s="1"/>
  <c r="F370" i="6"/>
  <c r="H370" i="6" s="1"/>
  <c r="I370" i="6" s="1"/>
  <c r="V47" i="6"/>
  <c r="V51" i="6" s="1"/>
  <c r="W45" i="6"/>
  <c r="W51" i="6" s="1"/>
  <c r="U49" i="6"/>
  <c r="U52" i="6" s="1"/>
  <c r="F145" i="6"/>
  <c r="H145" i="6" s="1"/>
  <c r="I145" i="6" s="1"/>
  <c r="F150" i="6"/>
  <c r="H150" i="6" s="1"/>
  <c r="I150" i="6" s="1"/>
  <c r="F28" i="6"/>
  <c r="H28" i="6" s="1"/>
  <c r="I28" i="6" s="1"/>
  <c r="Z21" i="6"/>
  <c r="AP311" i="6"/>
  <c r="AR311" i="6" s="1"/>
  <c r="AS311" i="6" s="1"/>
  <c r="AQ315" i="6"/>
  <c r="AP329" i="6"/>
  <c r="AR329" i="6" s="1"/>
  <c r="AS329" i="6" s="1"/>
  <c r="AP313" i="6"/>
  <c r="AR313" i="6" s="1"/>
  <c r="AQ322" i="6"/>
  <c r="AP305" i="6"/>
  <c r="AR305" i="6" s="1"/>
  <c r="AS305" i="6" s="1"/>
  <c r="AQ309" i="6"/>
  <c r="AP319" i="6"/>
  <c r="AR319" i="6" s="1"/>
  <c r="AQ353" i="6"/>
  <c r="AP317" i="6"/>
  <c r="AR317" i="6" s="1"/>
  <c r="AS317" i="6" s="1"/>
  <c r="AP316" i="6"/>
  <c r="AR316" i="6" s="1"/>
  <c r="AS316" i="6" s="1"/>
  <c r="AQ339" i="6"/>
  <c r="AQ352" i="6"/>
  <c r="AQ336" i="6"/>
  <c r="AP353" i="6"/>
  <c r="AR353" i="6" s="1"/>
  <c r="AS353" i="6" s="1"/>
  <c r="AP352" i="6"/>
  <c r="AR352" i="6" s="1"/>
  <c r="AS241" i="6"/>
  <c r="AP322" i="6"/>
  <c r="AR322" i="6" s="1"/>
  <c r="AS322" i="6" s="1"/>
  <c r="AQ354" i="6"/>
  <c r="AQ338" i="6"/>
  <c r="AQ348" i="6"/>
  <c r="AP314" i="6"/>
  <c r="AR314" i="6" s="1"/>
  <c r="AS314" i="6" s="1"/>
  <c r="AP338" i="6"/>
  <c r="AR338" i="6" s="1"/>
  <c r="AS235" i="6"/>
  <c r="AS203" i="6"/>
  <c r="T37" i="6"/>
  <c r="AQ318" i="6"/>
  <c r="AS318" i="6" s="1"/>
  <c r="AP321" i="6"/>
  <c r="AR321" i="6" s="1"/>
  <c r="AS321" i="6" s="1"/>
  <c r="AP347" i="6"/>
  <c r="AR347" i="6" s="1"/>
  <c r="AS347" i="6" s="1"/>
  <c r="AP350" i="6"/>
  <c r="AR350" i="6" s="1"/>
  <c r="AP334" i="6"/>
  <c r="AR334" i="6" s="1"/>
  <c r="AP303" i="6"/>
  <c r="AR303" i="6" s="1"/>
  <c r="AS303" i="6" s="1"/>
  <c r="AQ331" i="6"/>
  <c r="AQ319" i="6"/>
  <c r="AP331" i="6"/>
  <c r="AR331" i="6" s="1"/>
  <c r="AS331" i="6" s="1"/>
  <c r="AQ326" i="6"/>
  <c r="AS326" i="6" s="1"/>
  <c r="AQ310" i="6"/>
  <c r="AQ332" i="6"/>
  <c r="AP342" i="6"/>
  <c r="AR342" i="6" s="1"/>
  <c r="AS342" i="6" s="1"/>
  <c r="AP355" i="6"/>
  <c r="AR355" i="6" s="1"/>
  <c r="AQ306" i="6"/>
  <c r="AS306" i="6" s="1"/>
  <c r="AP357" i="6"/>
  <c r="AR357" i="6" s="1"/>
  <c r="AP309" i="6"/>
  <c r="AR309" i="6" s="1"/>
  <c r="AQ350" i="6"/>
  <c r="AQ323" i="6"/>
  <c r="AP356" i="6"/>
  <c r="AR356" i="6" s="1"/>
  <c r="AS356" i="6" s="1"/>
  <c r="AQ190" i="6"/>
  <c r="AS190" i="6" s="1"/>
  <c r="AQ198" i="6"/>
  <c r="AP225" i="6"/>
  <c r="AR225" i="6" s="1"/>
  <c r="AS225" i="6" s="1"/>
  <c r="AP230" i="6"/>
  <c r="AR230" i="6" s="1"/>
  <c r="AS230" i="6" s="1"/>
  <c r="AQ222" i="6"/>
  <c r="AS222" i="6" s="1"/>
  <c r="AQ227" i="6"/>
  <c r="AS227" i="6" s="1"/>
  <c r="AP226" i="6"/>
  <c r="AR226" i="6" s="1"/>
  <c r="AS226" i="6" s="1"/>
  <c r="AQ210" i="6"/>
  <c r="AP221" i="6"/>
  <c r="AR221" i="6" s="1"/>
  <c r="AS221" i="6" s="1"/>
  <c r="AP219" i="6"/>
  <c r="AR219" i="6" s="1"/>
  <c r="AQ234" i="6"/>
  <c r="AS234" i="6" s="1"/>
  <c r="AQ194" i="6"/>
  <c r="AS194" i="6" s="1"/>
  <c r="AQ201" i="6"/>
  <c r="AP223" i="6"/>
  <c r="AR223" i="6" s="1"/>
  <c r="AS223" i="6" s="1"/>
  <c r="AP205" i="6"/>
  <c r="AR205" i="6" s="1"/>
  <c r="AS205" i="6" s="1"/>
  <c r="AP217" i="6"/>
  <c r="AR217" i="6" s="1"/>
  <c r="AS217" i="6" s="1"/>
  <c r="AP198" i="6"/>
  <c r="AR198" i="6" s="1"/>
  <c r="AS198" i="6" s="1"/>
  <c r="AQ216" i="6"/>
  <c r="AS216" i="6" s="1"/>
  <c r="AQ244" i="6"/>
  <c r="AQ197" i="6"/>
  <c r="AP228" i="6"/>
  <c r="AR228" i="6" s="1"/>
  <c r="AS228" i="6" s="1"/>
  <c r="AP244" i="6"/>
  <c r="AR244" i="6" s="1"/>
  <c r="AS244" i="6" s="1"/>
  <c r="AQ224" i="6"/>
  <c r="AS224" i="6" s="1"/>
  <c r="AP197" i="6"/>
  <c r="AR197" i="6" s="1"/>
  <c r="AP201" i="6"/>
  <c r="AR201" i="6" s="1"/>
  <c r="AS201" i="6" s="1"/>
  <c r="AQ240" i="6"/>
  <c r="AS240" i="6" s="1"/>
  <c r="T36" i="6"/>
  <c r="S30" i="6"/>
  <c r="S36" i="6" s="1"/>
  <c r="Q34" i="6"/>
  <c r="R32" i="6"/>
  <c r="R30" i="6"/>
  <c r="Q32" i="6"/>
  <c r="AX359" i="6"/>
  <c r="AX348" i="6"/>
  <c r="AX319" i="6"/>
  <c r="AX371" i="6"/>
  <c r="AX375" i="6"/>
  <c r="AS267" i="6"/>
  <c r="AS273" i="6"/>
  <c r="AS286" i="6"/>
  <c r="AS256" i="6"/>
  <c r="AS260" i="6"/>
  <c r="AS284" i="6"/>
  <c r="I205" i="6"/>
  <c r="I204" i="6"/>
  <c r="I219" i="6"/>
  <c r="G12" i="6"/>
  <c r="I60" i="6"/>
  <c r="AS367" i="6"/>
  <c r="AS359" i="6"/>
  <c r="AS363" i="6"/>
  <c r="AX320" i="6"/>
  <c r="AX361" i="6"/>
  <c r="AX344" i="6"/>
  <c r="AX358" i="6"/>
  <c r="AX353" i="6"/>
  <c r="AS280" i="6"/>
  <c r="AS246" i="6"/>
  <c r="I116" i="6"/>
  <c r="I47" i="6"/>
  <c r="I129" i="6"/>
  <c r="I92" i="6"/>
  <c r="I40" i="6"/>
  <c r="I58" i="6"/>
  <c r="I41" i="6"/>
  <c r="I79" i="6"/>
  <c r="I110" i="6"/>
  <c r="I115" i="6"/>
  <c r="I20" i="6"/>
  <c r="I175" i="6"/>
  <c r="I160" i="6"/>
  <c r="I31" i="6"/>
  <c r="I34" i="6"/>
  <c r="I21" i="6"/>
  <c r="I29" i="6"/>
  <c r="I172" i="6"/>
  <c r="I188" i="6"/>
  <c r="I168" i="6"/>
  <c r="I241" i="6"/>
  <c r="I266" i="6"/>
  <c r="AS47" i="6"/>
  <c r="AS28" i="6"/>
  <c r="I282" i="6"/>
  <c r="I329" i="6"/>
  <c r="I131" i="6"/>
  <c r="I161" i="6"/>
  <c r="I35" i="6"/>
  <c r="I24" i="6"/>
  <c r="I319" i="6"/>
  <c r="AS52" i="6"/>
  <c r="AS24" i="6"/>
  <c r="AS22" i="6"/>
  <c r="I345" i="6"/>
  <c r="I304" i="6"/>
  <c r="I290" i="6"/>
  <c r="I279" i="6"/>
  <c r="I277" i="6"/>
  <c r="I287" i="6"/>
  <c r="I275" i="6"/>
  <c r="AS195" i="6"/>
  <c r="AS197" i="6"/>
  <c r="AS334" i="6"/>
  <c r="AS350" i="6"/>
  <c r="AS349" i="6"/>
  <c r="AS36" i="6"/>
  <c r="AS312" i="6"/>
  <c r="AS219" i="6"/>
  <c r="AS355" i="6"/>
  <c r="AS290" i="6"/>
  <c r="I39" i="6"/>
  <c r="F13" i="6"/>
  <c r="AS375" i="6"/>
  <c r="AS254" i="6"/>
  <c r="AS283" i="6"/>
  <c r="AS251" i="6"/>
  <c r="AS257" i="6"/>
  <c r="I134" i="6"/>
  <c r="I77" i="6"/>
  <c r="I82" i="6"/>
  <c r="I165" i="6"/>
  <c r="I180" i="6"/>
  <c r="I136" i="6"/>
  <c r="I243" i="6"/>
  <c r="I311" i="6"/>
  <c r="AS196" i="6"/>
  <c r="I368" i="6"/>
  <c r="AS310" i="6"/>
  <c r="AS313" i="6"/>
  <c r="AS210" i="6"/>
  <c r="AS209" i="6"/>
  <c r="AS309" i="6"/>
  <c r="AS357" i="6"/>
  <c r="AS340" i="6"/>
  <c r="AS328" i="6"/>
  <c r="L58" i="1"/>
  <c r="L54" i="1"/>
  <c r="L50" i="1"/>
  <c r="L46" i="1"/>
  <c r="L42" i="1"/>
  <c r="L38" i="1"/>
  <c r="L34" i="1"/>
  <c r="L30" i="1"/>
  <c r="L26" i="1"/>
  <c r="L22" i="1"/>
  <c r="L18" i="1"/>
  <c r="BG379" i="1"/>
  <c r="AY379" i="1" s="1"/>
  <c r="BG377" i="1"/>
  <c r="AY377" i="1" s="1"/>
  <c r="BG375" i="1"/>
  <c r="AY375" i="1" s="1"/>
  <c r="BG373" i="1"/>
  <c r="AY373" i="1" s="1"/>
  <c r="BG371" i="1"/>
  <c r="AY371" i="1" s="1"/>
  <c r="BG369" i="1"/>
  <c r="AY369" i="1" s="1"/>
  <c r="BG367" i="1"/>
  <c r="AY367" i="1" s="1"/>
  <c r="BG365" i="1"/>
  <c r="AY365" i="1" s="1"/>
  <c r="BG363" i="1"/>
  <c r="AY363" i="1" s="1"/>
  <c r="BG361" i="1"/>
  <c r="BG359" i="1"/>
  <c r="BG357" i="1"/>
  <c r="BG355" i="1"/>
  <c r="BG353" i="1"/>
  <c r="BG351" i="1"/>
  <c r="BG349" i="1"/>
  <c r="BG347" i="1"/>
  <c r="BG345" i="1"/>
  <c r="BG343" i="1"/>
  <c r="BG341" i="1"/>
  <c r="BG339" i="1"/>
  <c r="BG337" i="1"/>
  <c r="BG335" i="1"/>
  <c r="BG333" i="1"/>
  <c r="BG331" i="1"/>
  <c r="BG329" i="1"/>
  <c r="BG327" i="1"/>
  <c r="BG325" i="1"/>
  <c r="BG323" i="1"/>
  <c r="BG321" i="1"/>
  <c r="BG319" i="1"/>
  <c r="BG317" i="1"/>
  <c r="BG315" i="1"/>
  <c r="BG313" i="1"/>
  <c r="BG311" i="1"/>
  <c r="BG309" i="1"/>
  <c r="BG307" i="1"/>
  <c r="BG305" i="1"/>
  <c r="BG303" i="1"/>
  <c r="BG301" i="1"/>
  <c r="BG299" i="1"/>
  <c r="BG297" i="1"/>
  <c r="BG295" i="1"/>
  <c r="BG293" i="1"/>
  <c r="BG291" i="1"/>
  <c r="BG289" i="1"/>
  <c r="BG287" i="1"/>
  <c r="BG285" i="1"/>
  <c r="BG283" i="1"/>
  <c r="BG281" i="1"/>
  <c r="BG279" i="1"/>
  <c r="BG277" i="1"/>
  <c r="BG275" i="1"/>
  <c r="BG273" i="1"/>
  <c r="BG271" i="1"/>
  <c r="BG269" i="1"/>
  <c r="BG267" i="1"/>
  <c r="BG265" i="1"/>
  <c r="BG263" i="1"/>
  <c r="BG261" i="1"/>
  <c r="BG259" i="1"/>
  <c r="BG257" i="1"/>
  <c r="BG255" i="1"/>
  <c r="BG253" i="1"/>
  <c r="BG251" i="1"/>
  <c r="BG249" i="1"/>
  <c r="BG247" i="1"/>
  <c r="BG245" i="1"/>
  <c r="BG243" i="1"/>
  <c r="L61" i="1"/>
  <c r="L53" i="1"/>
  <c r="L45" i="1"/>
  <c r="L37" i="1"/>
  <c r="L29" i="1"/>
  <c r="L21" i="1"/>
  <c r="BG378" i="1"/>
  <c r="AY378" i="1" s="1"/>
  <c r="BG374" i="1"/>
  <c r="AY374" i="1" s="1"/>
  <c r="BG370" i="1"/>
  <c r="AY370" i="1" s="1"/>
  <c r="BG366" i="1"/>
  <c r="AY366" i="1" s="1"/>
  <c r="BG362" i="1"/>
  <c r="AY362" i="1" s="1"/>
  <c r="BG358" i="1"/>
  <c r="BG354" i="1"/>
  <c r="BG350" i="1"/>
  <c r="BG346" i="1"/>
  <c r="BG342" i="1"/>
  <c r="BG338" i="1"/>
  <c r="BG334" i="1"/>
  <c r="BG330" i="1"/>
  <c r="BG326" i="1"/>
  <c r="BG322" i="1"/>
  <c r="BG318" i="1"/>
  <c r="BG314" i="1"/>
  <c r="BG310" i="1"/>
  <c r="BG306" i="1"/>
  <c r="BG302" i="1"/>
  <c r="BG298" i="1"/>
  <c r="BG294" i="1"/>
  <c r="BG290" i="1"/>
  <c r="BG286" i="1"/>
  <c r="BG282" i="1"/>
  <c r="BG278" i="1"/>
  <c r="BG274" i="1"/>
  <c r="BG270" i="1"/>
  <c r="BG266" i="1"/>
  <c r="BG262" i="1"/>
  <c r="BG258" i="1"/>
  <c r="BG254" i="1"/>
  <c r="BG250" i="1"/>
  <c r="BG246" i="1"/>
  <c r="BG242" i="1"/>
  <c r="L59" i="1"/>
  <c r="L51" i="1"/>
  <c r="L43" i="1"/>
  <c r="L35" i="1"/>
  <c r="L27" i="1"/>
  <c r="L19" i="1"/>
  <c r="BG376" i="1"/>
  <c r="AY376" i="1" s="1"/>
  <c r="BG372" i="1"/>
  <c r="AY372" i="1" s="1"/>
  <c r="BG368" i="1"/>
  <c r="AY368" i="1" s="1"/>
  <c r="BG364" i="1"/>
  <c r="AY364" i="1" s="1"/>
  <c r="BG360" i="1"/>
  <c r="BG356" i="1"/>
  <c r="BG352" i="1"/>
  <c r="BG348" i="1"/>
  <c r="BG344" i="1"/>
  <c r="BG340" i="1"/>
  <c r="BG336" i="1"/>
  <c r="BG332" i="1"/>
  <c r="BG328" i="1"/>
  <c r="BG324" i="1"/>
  <c r="BG320" i="1"/>
  <c r="BG316" i="1"/>
  <c r="BG312" i="1"/>
  <c r="BG308" i="1"/>
  <c r="BG304" i="1"/>
  <c r="BG300" i="1"/>
  <c r="BG296" i="1"/>
  <c r="BG292" i="1"/>
  <c r="BG288" i="1"/>
  <c r="BG284" i="1"/>
  <c r="BG280" i="1"/>
  <c r="BG276" i="1"/>
  <c r="BG272" i="1"/>
  <c r="BG268" i="1"/>
  <c r="BG264" i="1"/>
  <c r="BG260" i="1"/>
  <c r="BG256" i="1"/>
  <c r="BG252" i="1"/>
  <c r="BG248" i="1"/>
  <c r="BG244" i="1"/>
  <c r="E134" i="6"/>
  <c r="E176" i="6"/>
  <c r="BJ243" i="1"/>
  <c r="BJ245" i="1"/>
  <c r="BJ247" i="1"/>
  <c r="BJ249" i="1"/>
  <c r="BJ251" i="1"/>
  <c r="BJ253" i="1"/>
  <c r="BJ255" i="1"/>
  <c r="BJ257" i="1"/>
  <c r="BJ259" i="1"/>
  <c r="BJ261" i="1"/>
  <c r="BJ263" i="1"/>
  <c r="BJ265" i="1"/>
  <c r="BJ267" i="1"/>
  <c r="BJ269" i="1"/>
  <c r="BJ271" i="1"/>
  <c r="BJ273" i="1"/>
  <c r="BJ275" i="1"/>
  <c r="BJ277" i="1"/>
  <c r="BJ279" i="1"/>
  <c r="BJ281" i="1"/>
  <c r="BJ283" i="1"/>
  <c r="BJ285" i="1"/>
  <c r="BJ287" i="1"/>
  <c r="BJ289" i="1"/>
  <c r="BJ291" i="1"/>
  <c r="BJ293" i="1"/>
  <c r="BJ295" i="1"/>
  <c r="BJ297" i="1"/>
  <c r="BJ299" i="1"/>
  <c r="BJ301" i="1"/>
  <c r="BJ303" i="1"/>
  <c r="BJ305" i="1"/>
  <c r="BJ307" i="1"/>
  <c r="BJ309" i="1"/>
  <c r="BJ311" i="1"/>
  <c r="BJ313" i="1"/>
  <c r="BJ315" i="1"/>
  <c r="BJ317" i="1"/>
  <c r="BJ319" i="1"/>
  <c r="BJ321" i="1"/>
  <c r="BJ323" i="1"/>
  <c r="BJ325" i="1"/>
  <c r="BJ327" i="1"/>
  <c r="BJ329" i="1"/>
  <c r="BJ331" i="1"/>
  <c r="BJ333" i="1"/>
  <c r="BJ335" i="1"/>
  <c r="BJ337" i="1"/>
  <c r="BJ339" i="1"/>
  <c r="BJ341" i="1"/>
  <c r="BJ343" i="1"/>
  <c r="BJ345" i="1"/>
  <c r="BJ347" i="1"/>
  <c r="BJ349" i="1"/>
  <c r="BJ351" i="1"/>
  <c r="BJ353" i="1"/>
  <c r="BJ355" i="1"/>
  <c r="BJ357" i="1"/>
  <c r="BJ359" i="1"/>
  <c r="BJ361" i="1"/>
  <c r="BJ363" i="1"/>
  <c r="BJ365" i="1"/>
  <c r="BJ367" i="1"/>
  <c r="BJ369" i="1"/>
  <c r="BJ371" i="1"/>
  <c r="BJ373" i="1"/>
  <c r="BJ375" i="1"/>
  <c r="BJ377" i="1"/>
  <c r="BJ379" i="1"/>
  <c r="BJ242" i="1"/>
  <c r="BJ244" i="1"/>
  <c r="BJ246" i="1"/>
  <c r="BJ248" i="1"/>
  <c r="BJ250" i="1"/>
  <c r="BJ252" i="1"/>
  <c r="BJ254" i="1"/>
  <c r="BJ256" i="1"/>
  <c r="BJ258" i="1"/>
  <c r="BJ260" i="1"/>
  <c r="BJ262" i="1"/>
  <c r="BJ264" i="1"/>
  <c r="BJ266" i="1"/>
  <c r="BJ268" i="1"/>
  <c r="BJ270" i="1"/>
  <c r="BJ272" i="1"/>
  <c r="BJ274" i="1"/>
  <c r="BJ276" i="1"/>
  <c r="BJ278" i="1"/>
  <c r="BJ280" i="1"/>
  <c r="BJ282" i="1"/>
  <c r="BJ284" i="1"/>
  <c r="BJ286" i="1"/>
  <c r="BJ288" i="1"/>
  <c r="BJ290" i="1"/>
  <c r="BJ292" i="1"/>
  <c r="BJ294" i="1"/>
  <c r="BJ296" i="1"/>
  <c r="BJ298" i="1"/>
  <c r="BJ300" i="1"/>
  <c r="BJ302" i="1"/>
  <c r="BJ304" i="1"/>
  <c r="BJ306" i="1"/>
  <c r="BJ308" i="1"/>
  <c r="BJ310" i="1"/>
  <c r="BJ312" i="1"/>
  <c r="BJ314" i="1"/>
  <c r="BJ316" i="1"/>
  <c r="BJ318" i="1"/>
  <c r="BJ320" i="1"/>
  <c r="BJ322" i="1"/>
  <c r="BJ324" i="1"/>
  <c r="BJ326" i="1"/>
  <c r="BJ328" i="1"/>
  <c r="BJ330" i="1"/>
  <c r="BJ332" i="1"/>
  <c r="BJ334" i="1"/>
  <c r="BJ336" i="1"/>
  <c r="BJ338" i="1"/>
  <c r="BJ340" i="1"/>
  <c r="BJ342" i="1"/>
  <c r="BJ344" i="1"/>
  <c r="BJ346" i="1"/>
  <c r="BJ348" i="1"/>
  <c r="BJ350" i="1"/>
  <c r="BJ352" i="1"/>
  <c r="BJ354" i="1"/>
  <c r="BJ356" i="1"/>
  <c r="BJ358" i="1"/>
  <c r="BJ360" i="1"/>
  <c r="BJ362" i="1"/>
  <c r="BJ364" i="1"/>
  <c r="AZ364" i="1" s="1"/>
  <c r="BA364" i="1" s="1"/>
  <c r="BJ366" i="1"/>
  <c r="BJ368" i="1"/>
  <c r="AZ368" i="1" s="1"/>
  <c r="BA368" i="1" s="1"/>
  <c r="BJ370" i="1"/>
  <c r="BJ372" i="1"/>
  <c r="BJ374" i="1"/>
  <c r="BJ376" i="1"/>
  <c r="BJ378" i="1"/>
  <c r="R16" i="6"/>
  <c r="AG16" i="6"/>
  <c r="Q16" i="6"/>
  <c r="AD16" i="6"/>
  <c r="X16" i="6"/>
  <c r="AF20" i="6"/>
  <c r="E92" i="6"/>
  <c r="E64" i="6"/>
  <c r="U44" i="6"/>
  <c r="U48" i="6" s="1"/>
  <c r="Y20" i="6"/>
  <c r="E330" i="6"/>
  <c r="AG20" i="6"/>
  <c r="AK16" i="6"/>
  <c r="AH18" i="6"/>
  <c r="L13" i="6"/>
  <c r="M29" i="6" s="1"/>
  <c r="M33" i="6" s="1"/>
  <c r="AE20" i="6"/>
  <c r="AI20" i="6"/>
  <c r="AI24" i="6" s="1"/>
  <c r="AI23" i="6" s="1"/>
  <c r="AI25" i="6" s="1"/>
  <c r="X18" i="6"/>
  <c r="T50" i="6"/>
  <c r="E218" i="6"/>
  <c r="AK20" i="6"/>
  <c r="AL18" i="6"/>
  <c r="O29" i="6"/>
  <c r="P31" i="6" s="1"/>
  <c r="O16" i="6"/>
  <c r="AC16" i="6"/>
  <c r="AL20" i="6"/>
  <c r="M13" i="6"/>
  <c r="N16" i="6" s="1"/>
  <c r="Z44" i="6"/>
  <c r="Z48" i="6" s="1"/>
  <c r="W29" i="6"/>
  <c r="W33" i="6" s="1"/>
  <c r="E78" i="6"/>
  <c r="E232" i="6"/>
  <c r="X20" i="6"/>
  <c r="V20" i="6"/>
  <c r="T20" i="6"/>
  <c r="P44" i="6"/>
  <c r="P48" i="6" s="1"/>
  <c r="O44" i="6"/>
  <c r="O48" i="6" s="1"/>
  <c r="Y18" i="6"/>
  <c r="U18" i="6"/>
  <c r="E120" i="6"/>
  <c r="R46" i="6"/>
  <c r="Q48" i="6"/>
  <c r="S48" i="6"/>
  <c r="T46" i="6"/>
  <c r="AB20" i="6"/>
  <c r="Z16" i="6"/>
  <c r="E148" i="6"/>
  <c r="R44" i="6"/>
  <c r="R48" i="6" s="1"/>
  <c r="V16" i="6"/>
  <c r="V35" i="6"/>
  <c r="S18" i="6"/>
  <c r="S24" i="6" s="1"/>
  <c r="S23" i="6" s="1"/>
  <c r="R20" i="6"/>
  <c r="AA46" i="6"/>
  <c r="P20" i="6"/>
  <c r="AB44" i="6"/>
  <c r="AA50" i="6" s="1"/>
  <c r="N20" i="6"/>
  <c r="AA44" i="6"/>
  <c r="AA48" i="6" s="1"/>
  <c r="N44" i="6"/>
  <c r="P50" i="6"/>
  <c r="R50" i="6"/>
  <c r="Y29" i="6"/>
  <c r="L29" i="6"/>
  <c r="M31" i="6" s="1"/>
  <c r="E274" i="6"/>
  <c r="W20" i="6"/>
  <c r="E302" i="6"/>
  <c r="AM16" i="6"/>
  <c r="Z29" i="6"/>
  <c r="AA31" i="6" s="1"/>
  <c r="N29" i="6"/>
  <c r="O31" i="6" s="1"/>
  <c r="N18" i="6"/>
  <c r="AN16" i="6"/>
  <c r="AM20" i="6"/>
  <c r="X29" i="6"/>
  <c r="AM18" i="6"/>
  <c r="Y48" i="6"/>
  <c r="X50" i="6"/>
  <c r="Z46" i="6"/>
  <c r="AB16" i="6"/>
  <c r="Z20" i="6"/>
  <c r="E204" i="6"/>
  <c r="T44" i="6"/>
  <c r="E260" i="6"/>
  <c r="AF16" i="6"/>
  <c r="V44" i="6"/>
  <c r="AD20" i="6"/>
  <c r="AE18" i="6"/>
  <c r="AH16" i="6"/>
  <c r="W44" i="6"/>
  <c r="AG18" i="6"/>
  <c r="E316" i="6"/>
  <c r="X44" i="6"/>
  <c r="AH20" i="6"/>
  <c r="AJ16" i="6"/>
  <c r="AL16" i="6"/>
  <c r="AK18" i="6"/>
  <c r="L44" i="6"/>
  <c r="M46" i="6" s="1"/>
  <c r="E344" i="6"/>
  <c r="AJ20" i="6"/>
  <c r="O20" i="6"/>
  <c r="E50" i="6"/>
  <c r="P18" i="6"/>
  <c r="Q20" i="6"/>
  <c r="P29" i="6"/>
  <c r="Q29" i="6"/>
  <c r="T18" i="6"/>
  <c r="E106" i="6"/>
  <c r="U16" i="6"/>
  <c r="W16" i="6"/>
  <c r="U20" i="6"/>
  <c r="R29" i="6"/>
  <c r="S29" i="6"/>
  <c r="Y16" i="6"/>
  <c r="AA16" i="6"/>
  <c r="Z18" i="6"/>
  <c r="T29" i="6"/>
  <c r="AB18" i="6"/>
  <c r="U29" i="6"/>
  <c r="V29" i="6"/>
  <c r="AC20" i="6"/>
  <c r="E246" i="6"/>
  <c r="AE16" i="6"/>
  <c r="I21" i="27"/>
  <c r="H38" i="27"/>
  <c r="P74" i="27" s="1"/>
  <c r="P71" i="27"/>
  <c r="H37" i="27"/>
  <c r="N57" i="27"/>
  <c r="N73" i="27"/>
  <c r="AY79" i="27"/>
  <c r="H33" i="27"/>
  <c r="AE68" i="27" s="1"/>
  <c r="AX58" i="27"/>
  <c r="AX60" i="27"/>
  <c r="AX62" i="27"/>
  <c r="AX64" i="27"/>
  <c r="AX66" i="27"/>
  <c r="AX68" i="27"/>
  <c r="AX70" i="27"/>
  <c r="AX72" i="27"/>
  <c r="AX74" i="27"/>
  <c r="AX76" i="27"/>
  <c r="AX78" i="27"/>
  <c r="M22" i="27"/>
  <c r="N58" i="27" s="1"/>
  <c r="M23" i="27"/>
  <c r="N59" i="27" s="1"/>
  <c r="M24" i="27"/>
  <c r="N60" i="27" s="1"/>
  <c r="M25" i="27"/>
  <c r="N61" i="27" s="1"/>
  <c r="M26" i="27"/>
  <c r="N62" i="27" s="1"/>
  <c r="M27" i="27"/>
  <c r="N63" i="27" s="1"/>
  <c r="M28" i="27"/>
  <c r="N64" i="27" s="1"/>
  <c r="M29" i="27"/>
  <c r="N65" i="27" s="1"/>
  <c r="M30" i="27"/>
  <c r="N66" i="27" s="1"/>
  <c r="M31" i="27"/>
  <c r="N67" i="27" s="1"/>
  <c r="M32" i="27"/>
  <c r="N68" i="27" s="1"/>
  <c r="M33" i="27"/>
  <c r="N69" i="27" s="1"/>
  <c r="M34" i="27"/>
  <c r="M35" i="27"/>
  <c r="M36" i="27"/>
  <c r="H31" i="27"/>
  <c r="AE67" i="27" s="1"/>
  <c r="AX59" i="27"/>
  <c r="AX61" i="27"/>
  <c r="AX63" i="27"/>
  <c r="AX65" i="27"/>
  <c r="AX67" i="27"/>
  <c r="AX69" i="27"/>
  <c r="AX71" i="27"/>
  <c r="AX73" i="27"/>
  <c r="AX75" i="27"/>
  <c r="AX77" i="27"/>
  <c r="AX79" i="27"/>
  <c r="L19" i="27"/>
  <c r="L17" i="27" s="1"/>
  <c r="L16" i="27" s="1"/>
  <c r="AZ363" i="1"/>
  <c r="BA363" i="1" s="1"/>
  <c r="AZ365" i="1"/>
  <c r="BA365" i="1" s="1"/>
  <c r="AZ367" i="1"/>
  <c r="BA367" i="1" s="1"/>
  <c r="AZ369" i="1"/>
  <c r="BA369" i="1" s="1"/>
  <c r="AZ371" i="1"/>
  <c r="BA371" i="1" s="1"/>
  <c r="AZ373" i="1"/>
  <c r="BA373" i="1" s="1"/>
  <c r="AZ375" i="1"/>
  <c r="BA375" i="1" s="1"/>
  <c r="AZ377" i="1"/>
  <c r="BA377" i="1" s="1"/>
  <c r="AZ379" i="1"/>
  <c r="BA379" i="1" s="1"/>
  <c r="AZ366" i="1"/>
  <c r="BA366" i="1" s="1"/>
  <c r="AZ372" i="1"/>
  <c r="BA372" i="1" s="1"/>
  <c r="AZ374" i="1"/>
  <c r="BA374" i="1" s="1"/>
  <c r="AZ376" i="1"/>
  <c r="BA376" i="1" s="1"/>
  <c r="L11" i="1"/>
  <c r="O12" i="1"/>
  <c r="E13" i="7" s="1"/>
  <c r="H40" i="27"/>
  <c r="AE57" i="27"/>
  <c r="H43" i="27"/>
  <c r="H39" i="27"/>
  <c r="H41" i="27"/>
  <c r="H42" i="27"/>
  <c r="I40" i="27"/>
  <c r="I39" i="27"/>
  <c r="I41" i="27"/>
  <c r="I43" i="27"/>
  <c r="I42" i="27"/>
  <c r="BS13" i="7"/>
  <c r="BW15" i="7"/>
  <c r="BK15" i="7"/>
  <c r="L39" i="27"/>
  <c r="H75" i="27" s="1"/>
  <c r="L37" i="27"/>
  <c r="C73" i="27" s="1"/>
  <c r="C78" i="27"/>
  <c r="J73" i="27"/>
  <c r="G76" i="27"/>
  <c r="I77" i="27"/>
  <c r="N74" i="27"/>
  <c r="AE63" i="27"/>
  <c r="F74" i="27"/>
  <c r="L78" i="27"/>
  <c r="H56" i="27"/>
  <c r="I57" i="27"/>
  <c r="K74" i="27"/>
  <c r="I11" i="27"/>
  <c r="I74" i="27"/>
  <c r="G56" i="27"/>
  <c r="J57" i="27"/>
  <c r="C76" i="27"/>
  <c r="J77" i="27"/>
  <c r="I78" i="27"/>
  <c r="F78" i="27"/>
  <c r="L74" i="27"/>
  <c r="C56" i="27"/>
  <c r="K56" i="27"/>
  <c r="C57" i="27"/>
  <c r="G74" i="27"/>
  <c r="H76" i="27"/>
  <c r="K76" i="27"/>
  <c r="K77" i="27"/>
  <c r="E78" i="27"/>
  <c r="D78" i="27"/>
  <c r="M78" i="27"/>
  <c r="E74" i="27"/>
  <c r="D74" i="27"/>
  <c r="M74" i="27"/>
  <c r="D56" i="27"/>
  <c r="L56" i="27"/>
  <c r="E56" i="27"/>
  <c r="I56" i="27"/>
  <c r="M56" i="27"/>
  <c r="H57" i="27"/>
  <c r="J78" i="27"/>
  <c r="F76" i="27"/>
  <c r="C77" i="27"/>
  <c r="F10" i="27"/>
  <c r="I10" i="27" s="1"/>
  <c r="J56" i="27"/>
  <c r="P54" i="27"/>
  <c r="AY56" i="27"/>
  <c r="AY57" i="27"/>
  <c r="AY58" i="27"/>
  <c r="AY59" i="27"/>
  <c r="AY60" i="27"/>
  <c r="AY61" i="27"/>
  <c r="AY62" i="27"/>
  <c r="AY63" i="27"/>
  <c r="AY64" i="27"/>
  <c r="AY65" i="27"/>
  <c r="AY66" i="27"/>
  <c r="AY67" i="27"/>
  <c r="AY68" i="27"/>
  <c r="AY69" i="27"/>
  <c r="AY70" i="27"/>
  <c r="AY71" i="27"/>
  <c r="AY72" i="27"/>
  <c r="AY73" i="27"/>
  <c r="AY74" i="27"/>
  <c r="AY75" i="27"/>
  <c r="AY76" i="27"/>
  <c r="AY77" i="27"/>
  <c r="AY78" i="27"/>
  <c r="O5" i="27"/>
  <c r="I20" i="27"/>
  <c r="L1" i="1"/>
  <c r="A15" i="1"/>
  <c r="F7" i="1"/>
  <c r="AC12" i="1" s="1"/>
  <c r="X1" i="1"/>
  <c r="A61" i="19"/>
  <c r="F14" i="1"/>
  <c r="J1" i="15"/>
  <c r="J1" i="16" s="1"/>
  <c r="A3" i="7"/>
  <c r="A6" i="6"/>
  <c r="A11" i="19"/>
  <c r="A35" i="19" s="1"/>
  <c r="V14" i="1"/>
  <c r="M57" i="27"/>
  <c r="F57" i="27"/>
  <c r="G57" i="27"/>
  <c r="L57" i="27"/>
  <c r="D57" i="27"/>
  <c r="E57" i="27"/>
  <c r="C74" i="27"/>
  <c r="H74" i="27"/>
  <c r="M76" i="27"/>
  <c r="I76" i="27"/>
  <c r="E76" i="27"/>
  <c r="J76" i="27"/>
  <c r="L76" i="27"/>
  <c r="D76" i="27"/>
  <c r="L77" i="27"/>
  <c r="H77" i="27"/>
  <c r="D77" i="27"/>
  <c r="G77" i="27"/>
  <c r="M77" i="27"/>
  <c r="E77" i="27"/>
  <c r="G78" i="27"/>
  <c r="H78" i="27"/>
  <c r="H20" i="27"/>
  <c r="P56" i="27" s="1"/>
  <c r="P72" i="27"/>
  <c r="P73" i="27"/>
  <c r="BH9" i="6"/>
  <c r="U12" i="1" s="1"/>
  <c r="P65" i="27"/>
  <c r="AE65" i="27"/>
  <c r="AE64" i="27"/>
  <c r="AE58" i="27"/>
  <c r="P59" i="27"/>
  <c r="P63" i="27"/>
  <c r="AE62" i="27"/>
  <c r="P62" i="27"/>
  <c r="AE61" i="27"/>
  <c r="P57" i="27"/>
  <c r="AE60" i="27"/>
  <c r="AE59" i="27"/>
  <c r="P60" i="27"/>
  <c r="E7" i="1"/>
  <c r="BJ13" i="7"/>
  <c r="AJ15" i="1"/>
  <c r="E8" i="1"/>
  <c r="K11" i="19" s="1"/>
  <c r="K35" i="19" s="1"/>
  <c r="AJ380" i="1"/>
  <c r="BM13" i="7"/>
  <c r="AB15" i="1"/>
  <c r="X15" i="1"/>
  <c r="A16" i="1"/>
  <c r="BV13" i="7"/>
  <c r="B13" i="7"/>
  <c r="L15" i="1" l="1"/>
  <c r="L23" i="1"/>
  <c r="L31" i="1"/>
  <c r="L39" i="1"/>
  <c r="L47" i="1"/>
  <c r="L55" i="1"/>
  <c r="L17" i="1"/>
  <c r="L25" i="1"/>
  <c r="L33" i="1"/>
  <c r="L41" i="1"/>
  <c r="L49" i="1"/>
  <c r="L57" i="1"/>
  <c r="L16" i="1"/>
  <c r="L20" i="1"/>
  <c r="L24" i="1"/>
  <c r="L28" i="1"/>
  <c r="L32" i="1"/>
  <c r="L36" i="1"/>
  <c r="L40" i="1"/>
  <c r="L44" i="1"/>
  <c r="L48" i="1"/>
  <c r="L52" i="1"/>
  <c r="L56" i="1"/>
  <c r="L60" i="1"/>
  <c r="L139" i="1"/>
  <c r="L171" i="1"/>
  <c r="L203" i="1"/>
  <c r="L261" i="1"/>
  <c r="L325" i="1"/>
  <c r="L130" i="1"/>
  <c r="L162" i="1"/>
  <c r="L194" i="1"/>
  <c r="L243" i="1"/>
  <c r="L307" i="1"/>
  <c r="L371" i="1"/>
  <c r="L236" i="1"/>
  <c r="L268" i="1"/>
  <c r="L300" i="1"/>
  <c r="L332" i="1"/>
  <c r="L364" i="1"/>
  <c r="N11" i="7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I11" i="7"/>
  <c r="AQ78" i="6"/>
  <c r="Q37" i="6"/>
  <c r="AP78" i="6"/>
  <c r="AR78" i="6" s="1"/>
  <c r="AS78" i="6" s="1"/>
  <c r="R37" i="6"/>
  <c r="AP171" i="6"/>
  <c r="AR171" i="6" s="1"/>
  <c r="AP82" i="6"/>
  <c r="AR82" i="6" s="1"/>
  <c r="AQ176" i="6"/>
  <c r="AP148" i="6"/>
  <c r="AR148" i="6" s="1"/>
  <c r="AP188" i="6"/>
  <c r="AR188" i="6" s="1"/>
  <c r="AP189" i="6"/>
  <c r="AR189" i="6" s="1"/>
  <c r="AP80" i="6"/>
  <c r="AR80" i="6" s="1"/>
  <c r="AP141" i="6"/>
  <c r="AR141" i="6" s="1"/>
  <c r="AP119" i="6"/>
  <c r="AR119" i="6" s="1"/>
  <c r="AQ122" i="6"/>
  <c r="AP138" i="6"/>
  <c r="AR138" i="6" s="1"/>
  <c r="AQ153" i="6"/>
  <c r="AQ87" i="6"/>
  <c r="AP169" i="6"/>
  <c r="AR169" i="6" s="1"/>
  <c r="AP165" i="6"/>
  <c r="AR165" i="6" s="1"/>
  <c r="AQ105" i="6"/>
  <c r="AQ146" i="6"/>
  <c r="AQ94" i="6"/>
  <c r="AQ164" i="6"/>
  <c r="AP116" i="6"/>
  <c r="AR116" i="6" s="1"/>
  <c r="AP95" i="6"/>
  <c r="AR95" i="6" s="1"/>
  <c r="AQ171" i="6"/>
  <c r="AP160" i="6"/>
  <c r="AR160" i="6" s="1"/>
  <c r="AQ150" i="6"/>
  <c r="AQ180" i="6"/>
  <c r="AP178" i="6"/>
  <c r="AR178" i="6" s="1"/>
  <c r="AQ123" i="6"/>
  <c r="AP164" i="6"/>
  <c r="AR164" i="6" s="1"/>
  <c r="AS164" i="6" s="1"/>
  <c r="AQ86" i="6"/>
  <c r="AQ114" i="6"/>
  <c r="AQ130" i="6"/>
  <c r="AQ155" i="6"/>
  <c r="AQ127" i="6"/>
  <c r="AQ141" i="6"/>
  <c r="AQ174" i="6"/>
  <c r="AQ149" i="6"/>
  <c r="AP107" i="6"/>
  <c r="AR107" i="6" s="1"/>
  <c r="AP103" i="6"/>
  <c r="AR103" i="6" s="1"/>
  <c r="AP98" i="6"/>
  <c r="AR98" i="6" s="1"/>
  <c r="AQ91" i="6"/>
  <c r="AP130" i="6"/>
  <c r="AR130" i="6" s="1"/>
  <c r="AS130" i="6" s="1"/>
  <c r="AQ117" i="6"/>
  <c r="AP162" i="6"/>
  <c r="AR162" i="6" s="1"/>
  <c r="AQ158" i="6"/>
  <c r="AP121" i="6"/>
  <c r="AR121" i="6" s="1"/>
  <c r="AQ133" i="6"/>
  <c r="AP173" i="6"/>
  <c r="AR173" i="6" s="1"/>
  <c r="AP93" i="6"/>
  <c r="AR93" i="6" s="1"/>
  <c r="AQ92" i="6"/>
  <c r="AQ124" i="6"/>
  <c r="AP92" i="6"/>
  <c r="AR92" i="6" s="1"/>
  <c r="AS92" i="6" s="1"/>
  <c r="AP177" i="6"/>
  <c r="AR177" i="6" s="1"/>
  <c r="AP85" i="6"/>
  <c r="AR85" i="6" s="1"/>
  <c r="AQ177" i="6"/>
  <c r="AP175" i="6"/>
  <c r="AR175" i="6" s="1"/>
  <c r="AQ119" i="6"/>
  <c r="AP131" i="6"/>
  <c r="AR131" i="6" s="1"/>
  <c r="AP142" i="6"/>
  <c r="AR142" i="6" s="1"/>
  <c r="AQ173" i="6"/>
  <c r="AQ152" i="6"/>
  <c r="AP150" i="6"/>
  <c r="AR150" i="6" s="1"/>
  <c r="AS150" i="6" s="1"/>
  <c r="AQ154" i="6"/>
  <c r="AP122" i="6"/>
  <c r="AR122" i="6" s="1"/>
  <c r="AS122" i="6" s="1"/>
  <c r="AP146" i="6"/>
  <c r="AR146" i="6" s="1"/>
  <c r="AS146" i="6" s="1"/>
  <c r="AP108" i="6"/>
  <c r="AR108" i="6" s="1"/>
  <c r="AP91" i="6"/>
  <c r="AR91" i="6" s="1"/>
  <c r="AS91" i="6" s="1"/>
  <c r="AP136" i="6"/>
  <c r="AR136" i="6" s="1"/>
  <c r="AS136" i="6" s="1"/>
  <c r="AQ136" i="6"/>
  <c r="AP87" i="6"/>
  <c r="AR87" i="6" s="1"/>
  <c r="AS87" i="6" s="1"/>
  <c r="AP89" i="6"/>
  <c r="AR89" i="6" s="1"/>
  <c r="AP157" i="6"/>
  <c r="AR157" i="6" s="1"/>
  <c r="AQ137" i="6"/>
  <c r="AQ116" i="6"/>
  <c r="AQ118" i="6"/>
  <c r="AP144" i="6"/>
  <c r="AR144" i="6" s="1"/>
  <c r="AQ102" i="6"/>
  <c r="AP187" i="6"/>
  <c r="AR187" i="6" s="1"/>
  <c r="AP94" i="6"/>
  <c r="AR94" i="6" s="1"/>
  <c r="AS94" i="6" s="1"/>
  <c r="AP155" i="6"/>
  <c r="AR155" i="6" s="1"/>
  <c r="AS155" i="6" s="1"/>
  <c r="AQ100" i="6"/>
  <c r="AQ187" i="6"/>
  <c r="AP117" i="6"/>
  <c r="AR117" i="6" s="1"/>
  <c r="AS117" i="6" s="1"/>
  <c r="AQ148" i="6"/>
  <c r="AP158" i="6"/>
  <c r="AR158" i="6" s="1"/>
  <c r="AS158" i="6" s="1"/>
  <c r="AP106" i="6"/>
  <c r="AR106" i="6" s="1"/>
  <c r="AP84" i="6"/>
  <c r="AR84" i="6" s="1"/>
  <c r="AQ172" i="6"/>
  <c r="AP170" i="6"/>
  <c r="AR170" i="6" s="1"/>
  <c r="AQ111" i="6"/>
  <c r="AQ90" i="6"/>
  <c r="AP114" i="6"/>
  <c r="AR114" i="6" s="1"/>
  <c r="AS114" i="6" s="1"/>
  <c r="AP111" i="6"/>
  <c r="AR111" i="6" s="1"/>
  <c r="AQ101" i="6"/>
  <c r="AQ182" i="6"/>
  <c r="AQ82" i="6"/>
  <c r="AQ142" i="6"/>
  <c r="AP133" i="6"/>
  <c r="AR133" i="6" s="1"/>
  <c r="AS133" i="6" s="1"/>
  <c r="AP180" i="6"/>
  <c r="AR180" i="6" s="1"/>
  <c r="AS180" i="6" s="1"/>
  <c r="AQ80" i="6"/>
  <c r="AP104" i="6"/>
  <c r="AR104" i="6" s="1"/>
  <c r="AP97" i="6"/>
  <c r="AR97" i="6" s="1"/>
  <c r="AP156" i="6"/>
  <c r="AR156" i="6" s="1"/>
  <c r="AP145" i="6"/>
  <c r="AR145" i="6" s="1"/>
  <c r="AS145" i="6" s="1"/>
  <c r="AQ145" i="6"/>
  <c r="AP166" i="6"/>
  <c r="AR166" i="6" s="1"/>
  <c r="AQ179" i="6"/>
  <c r="AQ125" i="6"/>
  <c r="AQ81" i="6"/>
  <c r="AP159" i="6"/>
  <c r="AR159" i="6" s="1"/>
  <c r="AP127" i="6"/>
  <c r="AR127" i="6" s="1"/>
  <c r="AS127" i="6" s="1"/>
  <c r="AP110" i="6"/>
  <c r="AR110" i="6" s="1"/>
  <c r="AQ95" i="6"/>
  <c r="AQ159" i="6"/>
  <c r="AP167" i="6"/>
  <c r="AR167" i="6" s="1"/>
  <c r="AP101" i="6"/>
  <c r="AR101" i="6" s="1"/>
  <c r="AS101" i="6" s="1"/>
  <c r="AQ170" i="6"/>
  <c r="AQ98" i="6"/>
  <c r="AQ178" i="6"/>
  <c r="AP86" i="6"/>
  <c r="AR86" i="6" s="1"/>
  <c r="AS86" i="6" s="1"/>
  <c r="AQ128" i="6"/>
  <c r="AQ140" i="6"/>
  <c r="AP186" i="6"/>
  <c r="AR186" i="6" s="1"/>
  <c r="AP139" i="6"/>
  <c r="AR139" i="6" s="1"/>
  <c r="AQ134" i="6"/>
  <c r="AP88" i="6"/>
  <c r="AR88" i="6" s="1"/>
  <c r="AQ113" i="6"/>
  <c r="AQ166" i="6"/>
  <c r="AP132" i="6"/>
  <c r="AR132" i="6" s="1"/>
  <c r="AP96" i="6"/>
  <c r="AR96" i="6" s="1"/>
  <c r="AP79" i="6"/>
  <c r="AR79" i="6" s="1"/>
  <c r="AP161" i="6"/>
  <c r="AR161" i="6" s="1"/>
  <c r="AQ85" i="6"/>
  <c r="AP99" i="6"/>
  <c r="AR99" i="6" s="1"/>
  <c r="AS99" i="6" s="1"/>
  <c r="AQ107" i="6"/>
  <c r="AP174" i="6"/>
  <c r="AR174" i="6" s="1"/>
  <c r="AS174" i="6" s="1"/>
  <c r="AQ132" i="6"/>
  <c r="AP81" i="6"/>
  <c r="AR81" i="6" s="1"/>
  <c r="AS81" i="6" s="1"/>
  <c r="AQ189" i="6"/>
  <c r="AQ93" i="6"/>
  <c r="AP151" i="6"/>
  <c r="AR151" i="6" s="1"/>
  <c r="AQ106" i="6"/>
  <c r="AQ160" i="6"/>
  <c r="AP105" i="6"/>
  <c r="AR105" i="6" s="1"/>
  <c r="AS105" i="6" s="1"/>
  <c r="AQ135" i="6"/>
  <c r="AQ162" i="6"/>
  <c r="AQ99" i="6"/>
  <c r="AP115" i="6"/>
  <c r="AR115" i="6" s="1"/>
  <c r="AP134" i="6"/>
  <c r="AR134" i="6" s="1"/>
  <c r="AS134" i="6" s="1"/>
  <c r="AP135" i="6"/>
  <c r="AR135" i="6" s="1"/>
  <c r="AS135" i="6" s="1"/>
  <c r="AP118" i="6"/>
  <c r="AR118" i="6" s="1"/>
  <c r="AS118" i="6" s="1"/>
  <c r="AQ181" i="6"/>
  <c r="AP147" i="6"/>
  <c r="AR147" i="6" s="1"/>
  <c r="AQ129" i="6"/>
  <c r="AQ175" i="6"/>
  <c r="AP181" i="6"/>
  <c r="AR181" i="6" s="1"/>
  <c r="AS181" i="6" s="1"/>
  <c r="AQ96" i="6"/>
  <c r="AQ103" i="6"/>
  <c r="AQ163" i="6"/>
  <c r="AP183" i="6"/>
  <c r="AR183" i="6" s="1"/>
  <c r="AP100" i="6"/>
  <c r="AR100" i="6" s="1"/>
  <c r="AS100" i="6" s="1"/>
  <c r="AQ184" i="6"/>
  <c r="AQ112" i="6"/>
  <c r="AP179" i="6"/>
  <c r="AR179" i="6" s="1"/>
  <c r="AS179" i="6" s="1"/>
  <c r="AP128" i="6"/>
  <c r="AR128" i="6" s="1"/>
  <c r="AS128" i="6" s="1"/>
  <c r="AP137" i="6"/>
  <c r="AR137" i="6" s="1"/>
  <c r="AS137" i="6" s="1"/>
  <c r="AP140" i="6"/>
  <c r="AR140" i="6" s="1"/>
  <c r="AS140" i="6" s="1"/>
  <c r="AP182" i="6"/>
  <c r="AR182" i="6" s="1"/>
  <c r="AS182" i="6" s="1"/>
  <c r="AQ108" i="6"/>
  <c r="AP163" i="6"/>
  <c r="AR163" i="6" s="1"/>
  <c r="AS163" i="6" s="1"/>
  <c r="AQ84" i="6"/>
  <c r="AQ79" i="6"/>
  <c r="AQ143" i="6"/>
  <c r="AP120" i="6"/>
  <c r="AR120" i="6" s="1"/>
  <c r="AS120" i="6" s="1"/>
  <c r="AP113" i="6"/>
  <c r="AR113" i="6" s="1"/>
  <c r="AS113" i="6" s="1"/>
  <c r="AP176" i="6"/>
  <c r="AR176" i="6" s="1"/>
  <c r="AS176" i="6" s="1"/>
  <c r="AQ168" i="6"/>
  <c r="AP102" i="6"/>
  <c r="AR102" i="6" s="1"/>
  <c r="AS102" i="6" s="1"/>
  <c r="AP124" i="6"/>
  <c r="AR124" i="6" s="1"/>
  <c r="AS124" i="6" s="1"/>
  <c r="AP125" i="6"/>
  <c r="AR125" i="6" s="1"/>
  <c r="AS125" i="6" s="1"/>
  <c r="AQ120" i="6"/>
  <c r="AQ186" i="6"/>
  <c r="AP143" i="6"/>
  <c r="AR143" i="6" s="1"/>
  <c r="AS143" i="6" s="1"/>
  <c r="AQ131" i="6"/>
  <c r="AP154" i="6"/>
  <c r="AR154" i="6" s="1"/>
  <c r="AS154" i="6" s="1"/>
  <c r="AQ167" i="6"/>
  <c r="AQ165" i="6"/>
  <c r="AQ115" i="6"/>
  <c r="AP149" i="6"/>
  <c r="AR149" i="6" s="1"/>
  <c r="AS149" i="6" s="1"/>
  <c r="AQ183" i="6"/>
  <c r="AQ89" i="6"/>
  <c r="AQ169" i="6"/>
  <c r="AQ121" i="6"/>
  <c r="AP152" i="6"/>
  <c r="AR152" i="6" s="1"/>
  <c r="AS152" i="6" s="1"/>
  <c r="AQ144" i="6"/>
  <c r="AQ138" i="6"/>
  <c r="AP184" i="6"/>
  <c r="AR184" i="6" s="1"/>
  <c r="AS184" i="6" s="1"/>
  <c r="AQ104" i="6"/>
  <c r="AP185" i="6"/>
  <c r="AR185" i="6" s="1"/>
  <c r="AQ83" i="6"/>
  <c r="AQ188" i="6"/>
  <c r="AP109" i="6"/>
  <c r="AR109" i="6" s="1"/>
  <c r="AP123" i="6"/>
  <c r="AR123" i="6" s="1"/>
  <c r="AS123" i="6" s="1"/>
  <c r="AQ97" i="6"/>
  <c r="AQ88" i="6"/>
  <c r="AP112" i="6"/>
  <c r="AR112" i="6" s="1"/>
  <c r="AS112" i="6" s="1"/>
  <c r="AQ151" i="6"/>
  <c r="AP126" i="6"/>
  <c r="AR126" i="6" s="1"/>
  <c r="AS126" i="6" s="1"/>
  <c r="AP168" i="6"/>
  <c r="AR168" i="6" s="1"/>
  <c r="AS168" i="6" s="1"/>
  <c r="AQ109" i="6"/>
  <c r="AP153" i="6"/>
  <c r="AR153" i="6" s="1"/>
  <c r="AS153" i="6" s="1"/>
  <c r="AQ161" i="6"/>
  <c r="AP90" i="6"/>
  <c r="AR90" i="6" s="1"/>
  <c r="AS90" i="6" s="1"/>
  <c r="AP129" i="6"/>
  <c r="AR129" i="6" s="1"/>
  <c r="AS129" i="6" s="1"/>
  <c r="AQ126" i="6"/>
  <c r="AQ156" i="6"/>
  <c r="AQ185" i="6"/>
  <c r="AP83" i="6"/>
  <c r="AR83" i="6" s="1"/>
  <c r="AS83" i="6" s="1"/>
  <c r="AQ139" i="6"/>
  <c r="AS139" i="6" s="1"/>
  <c r="AQ147" i="6"/>
  <c r="AQ110" i="6"/>
  <c r="AQ157" i="6"/>
  <c r="AP172" i="6"/>
  <c r="AR172" i="6" s="1"/>
  <c r="AS172" i="6" s="1"/>
  <c r="I305" i="6"/>
  <c r="I321" i="6"/>
  <c r="I213" i="6"/>
  <c r="I318" i="6"/>
  <c r="G13" i="6"/>
  <c r="AS339" i="6"/>
  <c r="AS323" i="6"/>
  <c r="AS315" i="6"/>
  <c r="AS337" i="6"/>
  <c r="AS354" i="6"/>
  <c r="M37" i="6"/>
  <c r="AP17" i="6"/>
  <c r="AR17" i="6" s="1"/>
  <c r="AQ19" i="6"/>
  <c r="AQ21" i="6"/>
  <c r="AP19" i="6"/>
  <c r="AR19" i="6" s="1"/>
  <c r="AS19" i="6" s="1"/>
  <c r="AP20" i="6"/>
  <c r="AR20" i="6" s="1"/>
  <c r="AP16" i="6"/>
  <c r="AR16" i="6" s="1"/>
  <c r="AS16" i="6" s="1"/>
  <c r="AQ16" i="6"/>
  <c r="AQ18" i="6"/>
  <c r="AQ15" i="6"/>
  <c r="AQ17" i="6"/>
  <c r="AQ20" i="6"/>
  <c r="AP15" i="6"/>
  <c r="AP18" i="6"/>
  <c r="AR18" i="6" s="1"/>
  <c r="AP21" i="6"/>
  <c r="AR21" i="6" s="1"/>
  <c r="AS21" i="6" s="1"/>
  <c r="R36" i="6"/>
  <c r="AS338" i="6"/>
  <c r="AS352" i="6"/>
  <c r="AS319" i="6"/>
  <c r="V52" i="6"/>
  <c r="AU260" i="6"/>
  <c r="AW260" i="6" s="1"/>
  <c r="AV279" i="6"/>
  <c r="AU294" i="6"/>
  <c r="AW294" i="6" s="1"/>
  <c r="AU266" i="6"/>
  <c r="AW266" i="6" s="1"/>
  <c r="AV263" i="6"/>
  <c r="AU261" i="6"/>
  <c r="AW261" i="6" s="1"/>
  <c r="AV315" i="6"/>
  <c r="AU279" i="6"/>
  <c r="AW279" i="6" s="1"/>
  <c r="AX279" i="6" s="1"/>
  <c r="AU302" i="6"/>
  <c r="AW302" i="6" s="1"/>
  <c r="AU281" i="6"/>
  <c r="AW281" i="6" s="1"/>
  <c r="AV291" i="6"/>
  <c r="AV304" i="6"/>
  <c r="AV297" i="6"/>
  <c r="AU315" i="6"/>
  <c r="AW315" i="6" s="1"/>
  <c r="AV264" i="6"/>
  <c r="AV308" i="6"/>
  <c r="AV276" i="6"/>
  <c r="AU254" i="6"/>
  <c r="AW254" i="6" s="1"/>
  <c r="AV220" i="6"/>
  <c r="AV210" i="6"/>
  <c r="AU211" i="6"/>
  <c r="AW211" i="6" s="1"/>
  <c r="AX211" i="6" s="1"/>
  <c r="AV237" i="6"/>
  <c r="AV208" i="6"/>
  <c r="AU234" i="6"/>
  <c r="AW234" i="6" s="1"/>
  <c r="AU244" i="6"/>
  <c r="AW244" i="6" s="1"/>
  <c r="AX244" i="6" s="1"/>
  <c r="AV244" i="6"/>
  <c r="AU249" i="6"/>
  <c r="AW249" i="6" s="1"/>
  <c r="AU221" i="6"/>
  <c r="AW221" i="6" s="1"/>
  <c r="AV238" i="6"/>
  <c r="AV206" i="6"/>
  <c r="AU248" i="6"/>
  <c r="AW248" i="6" s="1"/>
  <c r="AU224" i="6"/>
  <c r="AW224" i="6" s="1"/>
  <c r="AU206" i="6"/>
  <c r="AW206" i="6" s="1"/>
  <c r="AX206" i="6" s="1"/>
  <c r="AV241" i="6"/>
  <c r="AU228" i="6"/>
  <c r="AW228" i="6" s="1"/>
  <c r="AV211" i="6"/>
  <c r="AV232" i="6"/>
  <c r="AU233" i="6"/>
  <c r="AW233" i="6" s="1"/>
  <c r="AU210" i="6"/>
  <c r="AW210" i="6" s="1"/>
  <c r="AX210" i="6" s="1"/>
  <c r="AU217" i="6"/>
  <c r="AW217" i="6" s="1"/>
  <c r="AU253" i="6"/>
  <c r="AW253" i="6" s="1"/>
  <c r="AU231" i="6"/>
  <c r="AW231" i="6" s="1"/>
  <c r="AV229" i="6"/>
  <c r="AU251" i="6"/>
  <c r="AW251" i="6" s="1"/>
  <c r="AV218" i="6"/>
  <c r="AU223" i="6"/>
  <c r="AW223" i="6" s="1"/>
  <c r="AV250" i="6"/>
  <c r="AV256" i="6"/>
  <c r="AU290" i="6"/>
  <c r="AW290" i="6" s="1"/>
  <c r="AV267" i="6"/>
  <c r="AV286" i="6"/>
  <c r="AU292" i="6"/>
  <c r="AW292" i="6" s="1"/>
  <c r="AU296" i="6"/>
  <c r="AW296" i="6" s="1"/>
  <c r="AV300" i="6"/>
  <c r="AV295" i="6"/>
  <c r="AU230" i="6"/>
  <c r="AW230" i="6" s="1"/>
  <c r="AV214" i="6"/>
  <c r="AV251" i="6"/>
  <c r="AV247" i="6"/>
  <c r="AU243" i="6"/>
  <c r="AW243" i="6" s="1"/>
  <c r="AV249" i="6"/>
  <c r="AU245" i="6"/>
  <c r="AW245" i="6" s="1"/>
  <c r="AV252" i="6"/>
  <c r="AU205" i="6"/>
  <c r="AW205" i="6" s="1"/>
  <c r="AU229" i="6"/>
  <c r="AW229" i="6" s="1"/>
  <c r="AX229" i="6" s="1"/>
  <c r="AV234" i="6"/>
  <c r="AV282" i="6"/>
  <c r="AU280" i="6"/>
  <c r="AW280" i="6" s="1"/>
  <c r="AU288" i="6"/>
  <c r="AW288" i="6" s="1"/>
  <c r="AU270" i="6"/>
  <c r="AW270" i="6" s="1"/>
  <c r="AV296" i="6"/>
  <c r="AU265" i="6"/>
  <c r="AW265" i="6" s="1"/>
  <c r="AV280" i="6"/>
  <c r="AU278" i="6"/>
  <c r="AW278" i="6" s="1"/>
  <c r="AV303" i="6"/>
  <c r="AU287" i="6"/>
  <c r="AW287" i="6" s="1"/>
  <c r="AU308" i="6"/>
  <c r="AW308" i="6" s="1"/>
  <c r="AX308" i="6" s="1"/>
  <c r="AV262" i="6"/>
  <c r="AU299" i="6"/>
  <c r="AW299" i="6" s="1"/>
  <c r="AU277" i="6"/>
  <c r="AW277" i="6" s="1"/>
  <c r="AV269" i="6"/>
  <c r="AU222" i="6"/>
  <c r="AW222" i="6" s="1"/>
  <c r="AU259" i="6"/>
  <c r="AW259" i="6" s="1"/>
  <c r="AV236" i="6"/>
  <c r="AU240" i="6"/>
  <c r="AW240" i="6" s="1"/>
  <c r="AV224" i="6"/>
  <c r="AU213" i="6"/>
  <c r="AW213" i="6" s="1"/>
  <c r="AV235" i="6"/>
  <c r="AV222" i="6"/>
  <c r="AU250" i="6"/>
  <c r="AW250" i="6" s="1"/>
  <c r="AX250" i="6" s="1"/>
  <c r="AV205" i="6"/>
  <c r="AV246" i="6"/>
  <c r="AV239" i="6"/>
  <c r="AU220" i="6"/>
  <c r="AW220" i="6" s="1"/>
  <c r="AX220" i="6" s="1"/>
  <c r="AU232" i="6"/>
  <c r="AW232" i="6" s="1"/>
  <c r="AX232" i="6" s="1"/>
  <c r="AV230" i="6"/>
  <c r="AV226" i="6"/>
  <c r="AU227" i="6"/>
  <c r="AW227" i="6" s="1"/>
  <c r="AU258" i="6"/>
  <c r="AW258" i="6" s="1"/>
  <c r="AU238" i="6"/>
  <c r="AW238" i="6" s="1"/>
  <c r="AX238" i="6" s="1"/>
  <c r="AU225" i="6"/>
  <c r="AW225" i="6" s="1"/>
  <c r="AU209" i="6"/>
  <c r="AW209" i="6" s="1"/>
  <c r="AU246" i="6"/>
  <c r="AW246" i="6" s="1"/>
  <c r="AX246" i="6" s="1"/>
  <c r="AU219" i="6"/>
  <c r="AW219" i="6" s="1"/>
  <c r="AU247" i="6"/>
  <c r="AW247" i="6" s="1"/>
  <c r="AX247" i="6" s="1"/>
  <c r="AU208" i="6"/>
  <c r="AW208" i="6" s="1"/>
  <c r="AX208" i="6" s="1"/>
  <c r="AU214" i="6"/>
  <c r="AW214" i="6" s="1"/>
  <c r="AX214" i="6" s="1"/>
  <c r="AV233" i="6"/>
  <c r="AV223" i="6"/>
  <c r="AU235" i="6"/>
  <c r="AW235" i="6" s="1"/>
  <c r="AX235" i="6" s="1"/>
  <c r="AV298" i="6"/>
  <c r="AU271" i="6"/>
  <c r="AW271" i="6" s="1"/>
  <c r="AU310" i="6"/>
  <c r="AW310" i="6" s="1"/>
  <c r="AU293" i="6"/>
  <c r="AW293" i="6" s="1"/>
  <c r="AV306" i="6"/>
  <c r="AV290" i="6"/>
  <c r="AV307" i="6"/>
  <c r="AU291" i="6"/>
  <c r="AW291" i="6" s="1"/>
  <c r="AX291" i="6" s="1"/>
  <c r="AV278" i="6"/>
  <c r="AV261" i="6"/>
  <c r="AV272" i="6"/>
  <c r="AU282" i="6"/>
  <c r="AW282" i="6" s="1"/>
  <c r="AX282" i="6" s="1"/>
  <c r="AV309" i="6"/>
  <c r="AU301" i="6"/>
  <c r="AW301" i="6" s="1"/>
  <c r="AU283" i="6"/>
  <c r="AW283" i="6" s="1"/>
  <c r="AV268" i="6"/>
  <c r="AV266" i="6"/>
  <c r="AU286" i="6"/>
  <c r="AW286" i="6" s="1"/>
  <c r="AX286" i="6" s="1"/>
  <c r="AU262" i="6"/>
  <c r="AW262" i="6" s="1"/>
  <c r="AX262" i="6" s="1"/>
  <c r="AV299" i="6"/>
  <c r="AV311" i="6"/>
  <c r="AV288" i="6"/>
  <c r="AU275" i="6"/>
  <c r="AW275" i="6" s="1"/>
  <c r="AU297" i="6"/>
  <c r="AW297" i="6" s="1"/>
  <c r="AX297" i="6" s="1"/>
  <c r="AV312" i="6"/>
  <c r="AU284" i="6"/>
  <c r="AW284" i="6" s="1"/>
  <c r="AV281" i="6"/>
  <c r="AV314" i="6"/>
  <c r="AU312" i="6"/>
  <c r="AW312" i="6" s="1"/>
  <c r="AX312" i="6" s="1"/>
  <c r="AU285" i="6"/>
  <c r="AW285" i="6" s="1"/>
  <c r="AU212" i="6"/>
  <c r="AW212" i="6" s="1"/>
  <c r="AX212" i="6" s="1"/>
  <c r="AU207" i="6"/>
  <c r="AW207" i="6" s="1"/>
  <c r="AV215" i="6"/>
  <c r="AU257" i="6"/>
  <c r="AW257" i="6" s="1"/>
  <c r="AV217" i="6"/>
  <c r="AV209" i="6"/>
  <c r="AU256" i="6"/>
  <c r="AW256" i="6" s="1"/>
  <c r="AX256" i="6" s="1"/>
  <c r="AU298" i="6"/>
  <c r="AW298" i="6" s="1"/>
  <c r="AX298" i="6" s="1"/>
  <c r="AV293" i="6"/>
  <c r="AU269" i="6"/>
  <c r="AW269" i="6" s="1"/>
  <c r="AX269" i="6" s="1"/>
  <c r="AU274" i="6"/>
  <c r="AW274" i="6" s="1"/>
  <c r="AV271" i="6"/>
  <c r="AU276" i="6"/>
  <c r="AW276" i="6" s="1"/>
  <c r="AX276" i="6" s="1"/>
  <c r="AU226" i="6"/>
  <c r="AW226" i="6" s="1"/>
  <c r="AX226" i="6" s="1"/>
  <c r="AV243" i="6"/>
  <c r="AV258" i="6"/>
  <c r="AV213" i="6"/>
  <c r="AV228" i="6"/>
  <c r="AU241" i="6"/>
  <c r="AW241" i="6" s="1"/>
  <c r="AX241" i="6" s="1"/>
  <c r="AV212" i="6"/>
  <c r="AU237" i="6"/>
  <c r="AW237" i="6" s="1"/>
  <c r="AX237" i="6" s="1"/>
  <c r="AU255" i="6"/>
  <c r="AW255" i="6" s="1"/>
  <c r="AU215" i="6"/>
  <c r="AW215" i="6" s="1"/>
  <c r="AX215" i="6" s="1"/>
  <c r="AV257" i="6"/>
  <c r="AU252" i="6"/>
  <c r="AW252" i="6" s="1"/>
  <c r="AX252" i="6" s="1"/>
  <c r="AV219" i="6"/>
  <c r="AV310" i="6"/>
  <c r="AU304" i="6"/>
  <c r="AW304" i="6" s="1"/>
  <c r="AX304" i="6" s="1"/>
  <c r="AV289" i="6"/>
  <c r="AU309" i="6"/>
  <c r="AW309" i="6" s="1"/>
  <c r="AX309" i="6" s="1"/>
  <c r="AV260" i="6"/>
  <c r="AV284" i="6"/>
  <c r="AV305" i="6"/>
  <c r="AU300" i="6"/>
  <c r="AW300" i="6" s="1"/>
  <c r="AX300" i="6" s="1"/>
  <c r="AU311" i="6"/>
  <c r="AW311" i="6" s="1"/>
  <c r="AX311" i="6" s="1"/>
  <c r="AU295" i="6"/>
  <c r="AW295" i="6" s="1"/>
  <c r="AX295" i="6" s="1"/>
  <c r="AU273" i="6"/>
  <c r="AW273" i="6" s="1"/>
  <c r="AX273" i="6" s="1"/>
  <c r="AV302" i="6"/>
  <c r="AV287" i="6"/>
  <c r="AV265" i="6"/>
  <c r="AU307" i="6"/>
  <c r="AW307" i="6" s="1"/>
  <c r="AX307" i="6" s="1"/>
  <c r="AV273" i="6"/>
  <c r="AU305" i="6"/>
  <c r="AW305" i="6" s="1"/>
  <c r="AX305" i="6" s="1"/>
  <c r="AV277" i="6"/>
  <c r="AU242" i="6"/>
  <c r="AW242" i="6" s="1"/>
  <c r="AX242" i="6" s="1"/>
  <c r="AV253" i="6"/>
  <c r="AV216" i="6"/>
  <c r="AU239" i="6"/>
  <c r="AW239" i="6" s="1"/>
  <c r="AX239" i="6" s="1"/>
  <c r="AV207" i="6"/>
  <c r="AV227" i="6"/>
  <c r="AV275" i="6"/>
  <c r="AU303" i="6"/>
  <c r="AW303" i="6" s="1"/>
  <c r="AX303" i="6" s="1"/>
  <c r="AU263" i="6"/>
  <c r="AW263" i="6" s="1"/>
  <c r="AX263" i="6" s="1"/>
  <c r="AV285" i="6"/>
  <c r="AU313" i="6"/>
  <c r="AW313" i="6" s="1"/>
  <c r="AV225" i="6"/>
  <c r="AV254" i="6"/>
  <c r="AU236" i="6"/>
  <c r="AW236" i="6" s="1"/>
  <c r="AX236" i="6" s="1"/>
  <c r="AU218" i="6"/>
  <c r="AW218" i="6" s="1"/>
  <c r="AX218" i="6" s="1"/>
  <c r="AV231" i="6"/>
  <c r="AV245" i="6"/>
  <c r="AV221" i="6"/>
  <c r="AU216" i="6"/>
  <c r="AW216" i="6" s="1"/>
  <c r="AX216" i="6" s="1"/>
  <c r="AV242" i="6"/>
  <c r="AV240" i="6"/>
  <c r="AV255" i="6"/>
  <c r="AV248" i="6"/>
  <c r="AV259" i="6"/>
  <c r="AU267" i="6"/>
  <c r="AW267" i="6" s="1"/>
  <c r="AX267" i="6" s="1"/>
  <c r="AV283" i="6"/>
  <c r="AV270" i="6"/>
  <c r="AU272" i="6"/>
  <c r="AW272" i="6" s="1"/>
  <c r="AX272" i="6" s="1"/>
  <c r="AV313" i="6"/>
  <c r="AV292" i="6"/>
  <c r="AU268" i="6"/>
  <c r="AW268" i="6" s="1"/>
  <c r="AX268" i="6" s="1"/>
  <c r="AU306" i="6"/>
  <c r="AW306" i="6" s="1"/>
  <c r="AX306" i="6" s="1"/>
  <c r="AU289" i="6"/>
  <c r="AW289" i="6" s="1"/>
  <c r="AX289" i="6" s="1"/>
  <c r="AV274" i="6"/>
  <c r="AU264" i="6"/>
  <c r="AW264" i="6" s="1"/>
  <c r="AX264" i="6" s="1"/>
  <c r="AU314" i="6"/>
  <c r="AW314" i="6" s="1"/>
  <c r="AX314" i="6" s="1"/>
  <c r="AV294" i="6"/>
  <c r="AV301" i="6"/>
  <c r="I297" i="6"/>
  <c r="I295" i="6"/>
  <c r="I310" i="6"/>
  <c r="I338" i="6"/>
  <c r="I294" i="6"/>
  <c r="I302" i="6"/>
  <c r="I341" i="6"/>
  <c r="H16" i="6"/>
  <c r="F12" i="6"/>
  <c r="AS336" i="6"/>
  <c r="AS348" i="6"/>
  <c r="AS332" i="6"/>
  <c r="AS335" i="6"/>
  <c r="Q36" i="6"/>
  <c r="P51" i="6"/>
  <c r="P52" i="6"/>
  <c r="AU95" i="6"/>
  <c r="AW95" i="6" s="1"/>
  <c r="AV124" i="6"/>
  <c r="AV175" i="6"/>
  <c r="AV157" i="6"/>
  <c r="AU166" i="6"/>
  <c r="AW166" i="6" s="1"/>
  <c r="AU153" i="6"/>
  <c r="AW153" i="6" s="1"/>
  <c r="AV184" i="6"/>
  <c r="AU152" i="6"/>
  <c r="AW152" i="6" s="1"/>
  <c r="AV202" i="6"/>
  <c r="AV100" i="6"/>
  <c r="AU163" i="6"/>
  <c r="AW163" i="6" s="1"/>
  <c r="AV127" i="6"/>
  <c r="AU136" i="6"/>
  <c r="AW136" i="6" s="1"/>
  <c r="AU184" i="6"/>
  <c r="AW184" i="6" s="1"/>
  <c r="AV149" i="6"/>
  <c r="AU173" i="6"/>
  <c r="AW173" i="6" s="1"/>
  <c r="AV141" i="6"/>
  <c r="AV183" i="6"/>
  <c r="AV158" i="6"/>
  <c r="AU193" i="6"/>
  <c r="AW193" i="6" s="1"/>
  <c r="AU133" i="6"/>
  <c r="AW133" i="6" s="1"/>
  <c r="AV186" i="6"/>
  <c r="AU156" i="6"/>
  <c r="AW156" i="6" s="1"/>
  <c r="AV132" i="6"/>
  <c r="AU189" i="6"/>
  <c r="AW189" i="6" s="1"/>
  <c r="AU148" i="6"/>
  <c r="AW148" i="6" s="1"/>
  <c r="AU183" i="6"/>
  <c r="AW183" i="6" s="1"/>
  <c r="AX183" i="6" s="1"/>
  <c r="AV106" i="6"/>
  <c r="AU155" i="6"/>
  <c r="AW155" i="6" s="1"/>
  <c r="AV64" i="6"/>
  <c r="AU65" i="6"/>
  <c r="AW65" i="6" s="1"/>
  <c r="AX65" i="6" s="1"/>
  <c r="AV54" i="6"/>
  <c r="AU160" i="6"/>
  <c r="AW160" i="6" s="1"/>
  <c r="AV77" i="6"/>
  <c r="AU161" i="6"/>
  <c r="AW161" i="6" s="1"/>
  <c r="AV82" i="6"/>
  <c r="AV162" i="6"/>
  <c r="AU185" i="6"/>
  <c r="AW185" i="6" s="1"/>
  <c r="AU61" i="6"/>
  <c r="AW61" i="6" s="1"/>
  <c r="AV86" i="6"/>
  <c r="AU81" i="6"/>
  <c r="AW81" i="6" s="1"/>
  <c r="AV65" i="6"/>
  <c r="AV96" i="6"/>
  <c r="AU55" i="6"/>
  <c r="AW55" i="6" s="1"/>
  <c r="AU164" i="6"/>
  <c r="AW164" i="6" s="1"/>
  <c r="AU84" i="6"/>
  <c r="AW84" i="6" s="1"/>
  <c r="AU41" i="6"/>
  <c r="AW41" i="6" s="1"/>
  <c r="AU34" i="6"/>
  <c r="AW34" i="6" s="1"/>
  <c r="AU15" i="6"/>
  <c r="AU20" i="6"/>
  <c r="AW20" i="6" s="1"/>
  <c r="AV23" i="6"/>
  <c r="AV22" i="6"/>
  <c r="AV21" i="6"/>
  <c r="AV33" i="6"/>
  <c r="AU27" i="6"/>
  <c r="AW27" i="6" s="1"/>
  <c r="AU24" i="6"/>
  <c r="AW24" i="6" s="1"/>
  <c r="AV27" i="6"/>
  <c r="AV16" i="6"/>
  <c r="AU17" i="6"/>
  <c r="AW17" i="6" s="1"/>
  <c r="AU192" i="6"/>
  <c r="AW192" i="6" s="1"/>
  <c r="AV159" i="6"/>
  <c r="AV113" i="6"/>
  <c r="AV169" i="6"/>
  <c r="AV153" i="6"/>
  <c r="AV171" i="6"/>
  <c r="AV185" i="6"/>
  <c r="AV122" i="6"/>
  <c r="AV111" i="6"/>
  <c r="AV80" i="6"/>
  <c r="AU80" i="6"/>
  <c r="AW80" i="6" s="1"/>
  <c r="AV38" i="6"/>
  <c r="AU88" i="6"/>
  <c r="AW88" i="6" s="1"/>
  <c r="AV68" i="6"/>
  <c r="AV191" i="6"/>
  <c r="AV50" i="6"/>
  <c r="AU125" i="6"/>
  <c r="AW125" i="6" s="1"/>
  <c r="AU172" i="6"/>
  <c r="AW172" i="6" s="1"/>
  <c r="AU75" i="6"/>
  <c r="AW75" i="6" s="1"/>
  <c r="AU43" i="6"/>
  <c r="AW43" i="6" s="1"/>
  <c r="AV87" i="6"/>
  <c r="AV81" i="6"/>
  <c r="AU132" i="6"/>
  <c r="AW132" i="6" s="1"/>
  <c r="AX132" i="6" s="1"/>
  <c r="AV90" i="6"/>
  <c r="AU53" i="6"/>
  <c r="AW53" i="6" s="1"/>
  <c r="AU92" i="6"/>
  <c r="AW92" i="6" s="1"/>
  <c r="AV32" i="6"/>
  <c r="AU33" i="6"/>
  <c r="AW33" i="6" s="1"/>
  <c r="AX33" i="6" s="1"/>
  <c r="AU35" i="6"/>
  <c r="AW35" i="6" s="1"/>
  <c r="AV20" i="6"/>
  <c r="AV29" i="6"/>
  <c r="AV28" i="6"/>
  <c r="AV25" i="6"/>
  <c r="AV19" i="6"/>
  <c r="AU28" i="6"/>
  <c r="AW28" i="6" s="1"/>
  <c r="AV30" i="6"/>
  <c r="AU126" i="6"/>
  <c r="AW126" i="6" s="1"/>
  <c r="AU106" i="6"/>
  <c r="AW106" i="6" s="1"/>
  <c r="AX106" i="6" s="1"/>
  <c r="AU175" i="6"/>
  <c r="AW175" i="6" s="1"/>
  <c r="AX175" i="6" s="1"/>
  <c r="AV101" i="6"/>
  <c r="AV201" i="6"/>
  <c r="AV94" i="6"/>
  <c r="AU140" i="6"/>
  <c r="AW140" i="6" s="1"/>
  <c r="AU122" i="6"/>
  <c r="AW122" i="6" s="1"/>
  <c r="AX122" i="6" s="1"/>
  <c r="AU104" i="6"/>
  <c r="AW104" i="6" s="1"/>
  <c r="AV99" i="6"/>
  <c r="AV181" i="6"/>
  <c r="AV189" i="6"/>
  <c r="AV151" i="6"/>
  <c r="AU199" i="6"/>
  <c r="AW199" i="6" s="1"/>
  <c r="AU120" i="6"/>
  <c r="AW120" i="6" s="1"/>
  <c r="AU159" i="6"/>
  <c r="AW159" i="6" s="1"/>
  <c r="AX159" i="6" s="1"/>
  <c r="AV95" i="6"/>
  <c r="AU202" i="6"/>
  <c r="AW202" i="6" s="1"/>
  <c r="AX202" i="6" s="1"/>
  <c r="AV152" i="6"/>
  <c r="AV145" i="6"/>
  <c r="AU142" i="6"/>
  <c r="AW142" i="6" s="1"/>
  <c r="AV56" i="6"/>
  <c r="AU63" i="6"/>
  <c r="AW63" i="6" s="1"/>
  <c r="AV46" i="6"/>
  <c r="AV155" i="6"/>
  <c r="AV61" i="6"/>
  <c r="AU137" i="6"/>
  <c r="AW137" i="6" s="1"/>
  <c r="AU89" i="6"/>
  <c r="AW89" i="6" s="1"/>
  <c r="AU62" i="6"/>
  <c r="AW62" i="6" s="1"/>
  <c r="AU135" i="6"/>
  <c r="AW135" i="6" s="1"/>
  <c r="AV146" i="6"/>
  <c r="AV130" i="6"/>
  <c r="AV75" i="6"/>
  <c r="AU79" i="6"/>
  <c r="AW79" i="6" s="1"/>
  <c r="AX79" i="6" s="1"/>
  <c r="AV57" i="6"/>
  <c r="AV163" i="6"/>
  <c r="AU46" i="6"/>
  <c r="AW46" i="6" s="1"/>
  <c r="AV128" i="6"/>
  <c r="AU66" i="6"/>
  <c r="AW66" i="6" s="1"/>
  <c r="AV71" i="6"/>
  <c r="AU131" i="6"/>
  <c r="AW131" i="6" s="1"/>
  <c r="AU108" i="6"/>
  <c r="AW108" i="6" s="1"/>
  <c r="AU128" i="6"/>
  <c r="AW128" i="6" s="1"/>
  <c r="AU96" i="6"/>
  <c r="AW96" i="6" s="1"/>
  <c r="AX96" i="6" s="1"/>
  <c r="AV167" i="6"/>
  <c r="AU121" i="6"/>
  <c r="AW121" i="6" s="1"/>
  <c r="AV107" i="6"/>
  <c r="AU177" i="6"/>
  <c r="AW177" i="6" s="1"/>
  <c r="AX177" i="6" s="1"/>
  <c r="AU146" i="6"/>
  <c r="AW146" i="6" s="1"/>
  <c r="AX146" i="6" s="1"/>
  <c r="AU110" i="6"/>
  <c r="AW110" i="6" s="1"/>
  <c r="AX110" i="6" s="1"/>
  <c r="AV203" i="6"/>
  <c r="AU134" i="6"/>
  <c r="AW134" i="6" s="1"/>
  <c r="AV133" i="6"/>
  <c r="AV190" i="6"/>
  <c r="AU97" i="6"/>
  <c r="AW97" i="6" s="1"/>
  <c r="AV147" i="6"/>
  <c r="AV154" i="6"/>
  <c r="AU203" i="6"/>
  <c r="AW203" i="6" s="1"/>
  <c r="AX203" i="6" s="1"/>
  <c r="AV161" i="6"/>
  <c r="AU196" i="6"/>
  <c r="AW196" i="6" s="1"/>
  <c r="AU91" i="6"/>
  <c r="AW91" i="6" s="1"/>
  <c r="AU141" i="6"/>
  <c r="AW141" i="6" s="1"/>
  <c r="AX141" i="6" s="1"/>
  <c r="AU57" i="6"/>
  <c r="AW57" i="6" s="1"/>
  <c r="AX57" i="6" s="1"/>
  <c r="AV112" i="6"/>
  <c r="AV79" i="6"/>
  <c r="AV165" i="6"/>
  <c r="AU77" i="6"/>
  <c r="AW77" i="6" s="1"/>
  <c r="AX77" i="6" s="1"/>
  <c r="AV51" i="6"/>
  <c r="AV91" i="6"/>
  <c r="AV53" i="6"/>
  <c r="AU93" i="6"/>
  <c r="AW93" i="6" s="1"/>
  <c r="AU22" i="6"/>
  <c r="AW22" i="6" s="1"/>
  <c r="AX22" i="6" s="1"/>
  <c r="AV26" i="6"/>
  <c r="AV24" i="6"/>
  <c r="AU30" i="6"/>
  <c r="AW30" i="6" s="1"/>
  <c r="AX30" i="6" s="1"/>
  <c r="AV173" i="6"/>
  <c r="AV140" i="6"/>
  <c r="AU129" i="6"/>
  <c r="AW129" i="6" s="1"/>
  <c r="AV119" i="6"/>
  <c r="AU194" i="6"/>
  <c r="AW194" i="6" s="1"/>
  <c r="AV198" i="6"/>
  <c r="AU48" i="6"/>
  <c r="AW48" i="6" s="1"/>
  <c r="AV177" i="6"/>
  <c r="AV45" i="6"/>
  <c r="AU68" i="6"/>
  <c r="AW68" i="6" s="1"/>
  <c r="AX68" i="6" s="1"/>
  <c r="AV47" i="6"/>
  <c r="AU107" i="6"/>
  <c r="AW107" i="6" s="1"/>
  <c r="AX107" i="6" s="1"/>
  <c r="AU59" i="6"/>
  <c r="AW59" i="6" s="1"/>
  <c r="AU64" i="6"/>
  <c r="AW64" i="6" s="1"/>
  <c r="AX64" i="6" s="1"/>
  <c r="AV144" i="6"/>
  <c r="AU40" i="6"/>
  <c r="AW40" i="6" s="1"/>
  <c r="AV105" i="6"/>
  <c r="AV42" i="6"/>
  <c r="AU32" i="6"/>
  <c r="AW32" i="6" s="1"/>
  <c r="AX32" i="6" s="1"/>
  <c r="AU26" i="6"/>
  <c r="AW26" i="6" s="1"/>
  <c r="AX26" i="6" s="1"/>
  <c r="AV18" i="6"/>
  <c r="AU25" i="6"/>
  <c r="AW25" i="6" s="1"/>
  <c r="AX25" i="6" s="1"/>
  <c r="AV17" i="6"/>
  <c r="AV160" i="6"/>
  <c r="AV176" i="6"/>
  <c r="AV110" i="6"/>
  <c r="AV156" i="6"/>
  <c r="AV197" i="6"/>
  <c r="AV103" i="6"/>
  <c r="AU119" i="6"/>
  <c r="AW119" i="6" s="1"/>
  <c r="AX119" i="6" s="1"/>
  <c r="AV148" i="6"/>
  <c r="AU169" i="6"/>
  <c r="AW169" i="6" s="1"/>
  <c r="AX169" i="6" s="1"/>
  <c r="AV116" i="6"/>
  <c r="AU170" i="6"/>
  <c r="AW170" i="6" s="1"/>
  <c r="AU109" i="6"/>
  <c r="AW109" i="6" s="1"/>
  <c r="AU118" i="6"/>
  <c r="AW118" i="6" s="1"/>
  <c r="AV109" i="6"/>
  <c r="AV78" i="6"/>
  <c r="AU69" i="6"/>
  <c r="AW69" i="6" s="1"/>
  <c r="AV143" i="6"/>
  <c r="AV63" i="6"/>
  <c r="AU171" i="6"/>
  <c r="AW171" i="6" s="1"/>
  <c r="AX171" i="6" s="1"/>
  <c r="AU60" i="6"/>
  <c r="AW60" i="6" s="1"/>
  <c r="AV43" i="6"/>
  <c r="AV178" i="6"/>
  <c r="AV37" i="6"/>
  <c r="AV182" i="6"/>
  <c r="AV192" i="6"/>
  <c r="AV139" i="6"/>
  <c r="AU117" i="6"/>
  <c r="AW117" i="6" s="1"/>
  <c r="AV166" i="6"/>
  <c r="AV115" i="6"/>
  <c r="AU130" i="6"/>
  <c r="AW130" i="6" s="1"/>
  <c r="AX130" i="6" s="1"/>
  <c r="AU112" i="6"/>
  <c r="AW112" i="6" s="1"/>
  <c r="AX112" i="6" s="1"/>
  <c r="AU180" i="6"/>
  <c r="AW180" i="6" s="1"/>
  <c r="AX180" i="6" s="1"/>
  <c r="AU167" i="6"/>
  <c r="AW167" i="6" s="1"/>
  <c r="AX167" i="6" s="1"/>
  <c r="AU98" i="6"/>
  <c r="AW98" i="6" s="1"/>
  <c r="AX98" i="6" s="1"/>
  <c r="AV120" i="6"/>
  <c r="AU154" i="6"/>
  <c r="AW154" i="6" s="1"/>
  <c r="AX154" i="6" s="1"/>
  <c r="AU94" i="6"/>
  <c r="AW94" i="6" s="1"/>
  <c r="AX94" i="6" s="1"/>
  <c r="AV118" i="6"/>
  <c r="AU127" i="6"/>
  <c r="AW127" i="6" s="1"/>
  <c r="AX127" i="6" s="1"/>
  <c r="AV170" i="6"/>
  <c r="AV180" i="6"/>
  <c r="AU138" i="6"/>
  <c r="AW138" i="6" s="1"/>
  <c r="AU188" i="6"/>
  <c r="AW188" i="6" s="1"/>
  <c r="AV179" i="6"/>
  <c r="AV135" i="6"/>
  <c r="AV200" i="6"/>
  <c r="AV164" i="6"/>
  <c r="AV40" i="6"/>
  <c r="AU38" i="6"/>
  <c r="AW38" i="6" s="1"/>
  <c r="AX38" i="6" s="1"/>
  <c r="AV89" i="6"/>
  <c r="AU186" i="6"/>
  <c r="AW186" i="6" s="1"/>
  <c r="AX186" i="6" s="1"/>
  <c r="AU39" i="6"/>
  <c r="AW39" i="6" s="1"/>
  <c r="AU111" i="6"/>
  <c r="AW111" i="6" s="1"/>
  <c r="AX111" i="6" s="1"/>
  <c r="AV117" i="6"/>
  <c r="AV92" i="6"/>
  <c r="AV59" i="6"/>
  <c r="AU54" i="6"/>
  <c r="AW54" i="6" s="1"/>
  <c r="AX54" i="6" s="1"/>
  <c r="AV41" i="6"/>
  <c r="AV97" i="6"/>
  <c r="AU72" i="6"/>
  <c r="AW72" i="6" s="1"/>
  <c r="AU123" i="6"/>
  <c r="AW123" i="6" s="1"/>
  <c r="AU151" i="6"/>
  <c r="AW151" i="6" s="1"/>
  <c r="AX151" i="6" s="1"/>
  <c r="AU36" i="6"/>
  <c r="AW36" i="6" s="1"/>
  <c r="AU73" i="6"/>
  <c r="AW73" i="6" s="1"/>
  <c r="AU179" i="6"/>
  <c r="AW179" i="6" s="1"/>
  <c r="AU102" i="6"/>
  <c r="AW102" i="6" s="1"/>
  <c r="AV108" i="6"/>
  <c r="AU124" i="6"/>
  <c r="AW124" i="6" s="1"/>
  <c r="AX124" i="6" s="1"/>
  <c r="AV104" i="6"/>
  <c r="AV172" i="6"/>
  <c r="AV187" i="6"/>
  <c r="AV134" i="6"/>
  <c r="AU157" i="6"/>
  <c r="AW157" i="6" s="1"/>
  <c r="AX157" i="6" s="1"/>
  <c r="AU139" i="6"/>
  <c r="AW139" i="6" s="1"/>
  <c r="AX139" i="6" s="1"/>
  <c r="AV129" i="6"/>
  <c r="AV193" i="6"/>
  <c r="AU116" i="6"/>
  <c r="AW116" i="6" s="1"/>
  <c r="AX116" i="6" s="1"/>
  <c r="AV102" i="6"/>
  <c r="AV98" i="6"/>
  <c r="AV88" i="6"/>
  <c r="AU82" i="6"/>
  <c r="AW82" i="6" s="1"/>
  <c r="AX82" i="6" s="1"/>
  <c r="AV36" i="6"/>
  <c r="AU71" i="6"/>
  <c r="AW71" i="6" s="1"/>
  <c r="AX71" i="6" s="1"/>
  <c r="AU103" i="6"/>
  <c r="AW103" i="6" s="1"/>
  <c r="AX103" i="6" s="1"/>
  <c r="AU190" i="6"/>
  <c r="AW190" i="6" s="1"/>
  <c r="AX190" i="6" s="1"/>
  <c r="AU45" i="6"/>
  <c r="AW45" i="6" s="1"/>
  <c r="AX45" i="6" s="1"/>
  <c r="AU49" i="6"/>
  <c r="AW49" i="6" s="1"/>
  <c r="AU67" i="6"/>
  <c r="AW67" i="6" s="1"/>
  <c r="AV60" i="6"/>
  <c r="AV74" i="6"/>
  <c r="AV35" i="6"/>
  <c r="AV34" i="6"/>
  <c r="AU29" i="6"/>
  <c r="AW29" i="6" s="1"/>
  <c r="AX29" i="6" s="1"/>
  <c r="AU21" i="6"/>
  <c r="AW21" i="6" s="1"/>
  <c r="AX21" i="6" s="1"/>
  <c r="AU23" i="6"/>
  <c r="AW23" i="6" s="1"/>
  <c r="AX23" i="6" s="1"/>
  <c r="AU176" i="6"/>
  <c r="AW176" i="6" s="1"/>
  <c r="AX176" i="6" s="1"/>
  <c r="AU115" i="6"/>
  <c r="AW115" i="6" s="1"/>
  <c r="AX115" i="6" s="1"/>
  <c r="AU145" i="6"/>
  <c r="AW145" i="6" s="1"/>
  <c r="AX145" i="6" s="1"/>
  <c r="AV125" i="6"/>
  <c r="AV194" i="6"/>
  <c r="AV48" i="6"/>
  <c r="AV70" i="6"/>
  <c r="AU50" i="6"/>
  <c r="AW50" i="6" s="1"/>
  <c r="AX50" i="6" s="1"/>
  <c r="AU105" i="6"/>
  <c r="AW105" i="6" s="1"/>
  <c r="AX105" i="6" s="1"/>
  <c r="AU56" i="6"/>
  <c r="AW56" i="6" s="1"/>
  <c r="AX56" i="6" s="1"/>
  <c r="AU168" i="6"/>
  <c r="AW168" i="6" s="1"/>
  <c r="AV123" i="6"/>
  <c r="AV67" i="6"/>
  <c r="AV49" i="6"/>
  <c r="AU78" i="6"/>
  <c r="AW78" i="6" s="1"/>
  <c r="AX78" i="6" s="1"/>
  <c r="AU149" i="6"/>
  <c r="AW149" i="6" s="1"/>
  <c r="AX149" i="6" s="1"/>
  <c r="AV55" i="6"/>
  <c r="AU18" i="6"/>
  <c r="AW18" i="6" s="1"/>
  <c r="AX18" i="6" s="1"/>
  <c r="AV15" i="6"/>
  <c r="AU31" i="6"/>
  <c r="AW31" i="6" s="1"/>
  <c r="AU16" i="6"/>
  <c r="AW16" i="6" s="1"/>
  <c r="AX16" i="6" s="1"/>
  <c r="AV31" i="6"/>
  <c r="AU19" i="6"/>
  <c r="AW19" i="6" s="1"/>
  <c r="AX19" i="6" s="1"/>
  <c r="AU99" i="6"/>
  <c r="AW99" i="6" s="1"/>
  <c r="AX99" i="6" s="1"/>
  <c r="AV199" i="6"/>
  <c r="AU165" i="6"/>
  <c r="AW165" i="6" s="1"/>
  <c r="AX165" i="6" s="1"/>
  <c r="AV93" i="6"/>
  <c r="AU144" i="6"/>
  <c r="AW144" i="6" s="1"/>
  <c r="AX144" i="6" s="1"/>
  <c r="AU150" i="6"/>
  <c r="AW150" i="6" s="1"/>
  <c r="AX150" i="6" s="1"/>
  <c r="AU195" i="6"/>
  <c r="AW195" i="6" s="1"/>
  <c r="AV137" i="6"/>
  <c r="AV196" i="6"/>
  <c r="AU158" i="6"/>
  <c r="AW158" i="6" s="1"/>
  <c r="AX158" i="6" s="1"/>
  <c r="AU178" i="6"/>
  <c r="AW178" i="6" s="1"/>
  <c r="AX178" i="6" s="1"/>
  <c r="AV138" i="6"/>
  <c r="AV114" i="6"/>
  <c r="AU90" i="6"/>
  <c r="AW90" i="6" s="1"/>
  <c r="AX90" i="6" s="1"/>
  <c r="AU113" i="6"/>
  <c r="AW113" i="6" s="1"/>
  <c r="AX113" i="6" s="1"/>
  <c r="AV84" i="6"/>
  <c r="AV66" i="6"/>
  <c r="AU182" i="6"/>
  <c r="AW182" i="6" s="1"/>
  <c r="AX182" i="6" s="1"/>
  <c r="AU76" i="6"/>
  <c r="AW76" i="6" s="1"/>
  <c r="AU44" i="6"/>
  <c r="AW44" i="6" s="1"/>
  <c r="AX44" i="6" s="1"/>
  <c r="AU47" i="6"/>
  <c r="AW47" i="6" s="1"/>
  <c r="AX47" i="6" s="1"/>
  <c r="AU52" i="6"/>
  <c r="AW52" i="6" s="1"/>
  <c r="AX52" i="6" s="1"/>
  <c r="AV44" i="6"/>
  <c r="AV58" i="6"/>
  <c r="AV142" i="6"/>
  <c r="AV195" i="6"/>
  <c r="AV126" i="6"/>
  <c r="AV174" i="6"/>
  <c r="AV136" i="6"/>
  <c r="AV188" i="6"/>
  <c r="AU143" i="6"/>
  <c r="AW143" i="6" s="1"/>
  <c r="AX143" i="6" s="1"/>
  <c r="AU162" i="6"/>
  <c r="AW162" i="6" s="1"/>
  <c r="AX162" i="6" s="1"/>
  <c r="AU174" i="6"/>
  <c r="AW174" i="6" s="1"/>
  <c r="AU201" i="6"/>
  <c r="AW201" i="6" s="1"/>
  <c r="AX201" i="6" s="1"/>
  <c r="AU187" i="6"/>
  <c r="AW187" i="6" s="1"/>
  <c r="AX187" i="6" s="1"/>
  <c r="AU101" i="6"/>
  <c r="AW101" i="6" s="1"/>
  <c r="AX101" i="6" s="1"/>
  <c r="AV150" i="6"/>
  <c r="AV121" i="6"/>
  <c r="AU198" i="6"/>
  <c r="AW198" i="6" s="1"/>
  <c r="AX198" i="6" s="1"/>
  <c r="AV131" i="6"/>
  <c r="AV168" i="6"/>
  <c r="AU147" i="6"/>
  <c r="AW147" i="6" s="1"/>
  <c r="AX147" i="6" s="1"/>
  <c r="AU197" i="6"/>
  <c r="AW197" i="6" s="1"/>
  <c r="AX197" i="6" s="1"/>
  <c r="AV72" i="6"/>
  <c r="AU70" i="6"/>
  <c r="AW70" i="6" s="1"/>
  <c r="AX70" i="6" s="1"/>
  <c r="AV62" i="6"/>
  <c r="AU181" i="6"/>
  <c r="AW181" i="6" s="1"/>
  <c r="AX181" i="6" s="1"/>
  <c r="AU85" i="6"/>
  <c r="AW85" i="6" s="1"/>
  <c r="AU37" i="6"/>
  <c r="AW37" i="6" s="1"/>
  <c r="AX37" i="6" s="1"/>
  <c r="AU86" i="6"/>
  <c r="AW86" i="6" s="1"/>
  <c r="AX86" i="6" s="1"/>
  <c r="AV52" i="6"/>
  <c r="AU114" i="6"/>
  <c r="AW114" i="6" s="1"/>
  <c r="AX114" i="6" s="1"/>
  <c r="AU51" i="6"/>
  <c r="AW51" i="6" s="1"/>
  <c r="AX51" i="6" s="1"/>
  <c r="AV85" i="6"/>
  <c r="AV83" i="6"/>
  <c r="AU191" i="6"/>
  <c r="AW191" i="6" s="1"/>
  <c r="AX191" i="6" s="1"/>
  <c r="AU100" i="6"/>
  <c r="AW100" i="6" s="1"/>
  <c r="AX100" i="6" s="1"/>
  <c r="AU74" i="6"/>
  <c r="AW74" i="6" s="1"/>
  <c r="AX74" i="6" s="1"/>
  <c r="AU58" i="6"/>
  <c r="AW58" i="6" s="1"/>
  <c r="AU42" i="6"/>
  <c r="AW42" i="6" s="1"/>
  <c r="AX42" i="6" s="1"/>
  <c r="AU83" i="6"/>
  <c r="AW83" i="6" s="1"/>
  <c r="AX83" i="6" s="1"/>
  <c r="AV73" i="6"/>
  <c r="AU200" i="6"/>
  <c r="AW200" i="6" s="1"/>
  <c r="AX200" i="6" s="1"/>
  <c r="AV69" i="6"/>
  <c r="AV76" i="6"/>
  <c r="AU87" i="6"/>
  <c r="AW87" i="6" s="1"/>
  <c r="AX87" i="6" s="1"/>
  <c r="AV39" i="6"/>
  <c r="I30" i="6"/>
  <c r="BY13" i="7"/>
  <c r="AZ362" i="1"/>
  <c r="BA362" i="1" s="1"/>
  <c r="AZ370" i="1"/>
  <c r="BA370" i="1" s="1"/>
  <c r="BD370" i="1" s="1"/>
  <c r="AZ378" i="1"/>
  <c r="BA378" i="1" s="1"/>
  <c r="X24" i="6"/>
  <c r="X23" i="6" s="1"/>
  <c r="X25" i="6" s="1"/>
  <c r="V46" i="6"/>
  <c r="X31" i="6"/>
  <c r="M16" i="6"/>
  <c r="R24" i="6"/>
  <c r="R23" i="6" s="1"/>
  <c r="R25" i="6" s="1"/>
  <c r="N31" i="6"/>
  <c r="M44" i="6"/>
  <c r="N46" i="6" s="1"/>
  <c r="N35" i="6"/>
  <c r="N33" i="6"/>
  <c r="AD24" i="6"/>
  <c r="AD23" i="6" s="1"/>
  <c r="AD25" i="6" s="1"/>
  <c r="Z50" i="6"/>
  <c r="AC24" i="6"/>
  <c r="AC23" i="6" s="1"/>
  <c r="AC25" i="6" s="1"/>
  <c r="M18" i="6"/>
  <c r="O50" i="6"/>
  <c r="O33" i="6"/>
  <c r="N50" i="6"/>
  <c r="U24" i="6"/>
  <c r="U23" i="6" s="1"/>
  <c r="U25" i="6" s="1"/>
  <c r="M35" i="6"/>
  <c r="M39" i="6" s="1"/>
  <c r="M38" i="6" s="1"/>
  <c r="M40" i="6" s="1"/>
  <c r="Z54" i="6"/>
  <c r="Z53" i="6" s="1"/>
  <c r="Z55" i="6" s="1"/>
  <c r="P46" i="6"/>
  <c r="P54" i="6" s="1"/>
  <c r="P53" i="6" s="1"/>
  <c r="P55" i="6" s="1"/>
  <c r="N24" i="6"/>
  <c r="N23" i="6" s="1"/>
  <c r="N25" i="6" s="1"/>
  <c r="Y50" i="6"/>
  <c r="S25" i="6"/>
  <c r="J79" i="6" s="1"/>
  <c r="Y24" i="6"/>
  <c r="Y23" i="6" s="1"/>
  <c r="Y25" i="6" s="1"/>
  <c r="AN18" i="6"/>
  <c r="Q46" i="6"/>
  <c r="Y35" i="6"/>
  <c r="V24" i="6"/>
  <c r="V23" i="6" s="1"/>
  <c r="V25" i="6" s="1"/>
  <c r="M50" i="6"/>
  <c r="N48" i="6"/>
  <c r="O46" i="6"/>
  <c r="S46" i="6"/>
  <c r="Q50" i="6"/>
  <c r="Z31" i="6"/>
  <c r="X35" i="6"/>
  <c r="Y33" i="6"/>
  <c r="AA29" i="6"/>
  <c r="AA33" i="6" s="1"/>
  <c r="Z33" i="6"/>
  <c r="X33" i="6"/>
  <c r="W35" i="6"/>
  <c r="Y31" i="6"/>
  <c r="R54" i="6"/>
  <c r="R53" i="6" s="1"/>
  <c r="R55" i="6" s="1"/>
  <c r="AJ24" i="6"/>
  <c r="AJ23" i="6" s="1"/>
  <c r="AJ25" i="6" s="1"/>
  <c r="AH24" i="6"/>
  <c r="AH23" i="6" s="1"/>
  <c r="AH25" i="6" s="1"/>
  <c r="V31" i="6"/>
  <c r="T35" i="6"/>
  <c r="U33" i="6"/>
  <c r="S35" i="6"/>
  <c r="T33" i="6"/>
  <c r="U31" i="6"/>
  <c r="R35" i="6"/>
  <c r="S33" i="6"/>
  <c r="T31" i="6"/>
  <c r="T24" i="6"/>
  <c r="T23" i="6" s="1"/>
  <c r="P33" i="6"/>
  <c r="Q31" i="6"/>
  <c r="O35" i="6"/>
  <c r="P24" i="6"/>
  <c r="P23" i="6" s="1"/>
  <c r="P25" i="6" s="1"/>
  <c r="O24" i="6"/>
  <c r="O23" i="6" s="1"/>
  <c r="O25" i="6" s="1"/>
  <c r="V50" i="6"/>
  <c r="X46" i="6"/>
  <c r="W48" i="6"/>
  <c r="AE24" i="6"/>
  <c r="AE23" i="6" s="1"/>
  <c r="W46" i="6"/>
  <c r="U50" i="6"/>
  <c r="V48" i="6"/>
  <c r="AM24" i="6"/>
  <c r="AM23" i="6" s="1"/>
  <c r="AM25" i="6" s="1"/>
  <c r="AA54" i="6"/>
  <c r="AA53" i="6" s="1"/>
  <c r="AA24" i="6"/>
  <c r="AA23" i="6" s="1"/>
  <c r="W31" i="6"/>
  <c r="U35" i="6"/>
  <c r="V33" i="6"/>
  <c r="AB24" i="6"/>
  <c r="AB23" i="6" s="1"/>
  <c r="AB25" i="6" s="1"/>
  <c r="Z24" i="6"/>
  <c r="Z23" i="6" s="1"/>
  <c r="Z25" i="6" s="1"/>
  <c r="Q35" i="6"/>
  <c r="R33" i="6"/>
  <c r="S31" i="6"/>
  <c r="Q33" i="6"/>
  <c r="P35" i="6"/>
  <c r="R31" i="6"/>
  <c r="Q24" i="6"/>
  <c r="Q23" i="6" s="1"/>
  <c r="Q25" i="6" s="1"/>
  <c r="E13" i="6"/>
  <c r="W24" i="6"/>
  <c r="W23" i="6" s="1"/>
  <c r="AK24" i="6"/>
  <c r="AK23" i="6" s="1"/>
  <c r="X48" i="6"/>
  <c r="W50" i="6"/>
  <c r="Y46" i="6"/>
  <c r="AG24" i="6"/>
  <c r="AG23" i="6" s="1"/>
  <c r="T48" i="6"/>
  <c r="S50" i="6"/>
  <c r="U46" i="6"/>
  <c r="E12" i="6"/>
  <c r="AF24" i="6"/>
  <c r="AF23" i="6" s="1"/>
  <c r="AF25" i="6" s="1"/>
  <c r="AL24" i="6"/>
  <c r="AL23" i="6" s="1"/>
  <c r="AL25" i="6" s="1"/>
  <c r="N71" i="27"/>
  <c r="N72" i="27"/>
  <c r="AE72" i="27"/>
  <c r="AE69" i="27"/>
  <c r="N70" i="27"/>
  <c r="AE71" i="27"/>
  <c r="P67" i="27"/>
  <c r="AO57" i="27"/>
  <c r="AE70" i="27"/>
  <c r="AE66" i="27"/>
  <c r="J75" i="27"/>
  <c r="J17" i="27"/>
  <c r="L14" i="27" s="1"/>
  <c r="J18" i="27"/>
  <c r="L18" i="27" s="1"/>
  <c r="J36" i="27"/>
  <c r="L36" i="27" s="1"/>
  <c r="D72" i="27" s="1"/>
  <c r="J34" i="27"/>
  <c r="L34" i="27" s="1"/>
  <c r="I70" i="27" s="1"/>
  <c r="J32" i="27"/>
  <c r="L32" i="27" s="1"/>
  <c r="D68" i="27" s="1"/>
  <c r="J30" i="27"/>
  <c r="L30" i="27" s="1"/>
  <c r="G66" i="27" s="1"/>
  <c r="J28" i="27"/>
  <c r="L28" i="27" s="1"/>
  <c r="C64" i="27" s="1"/>
  <c r="J26" i="27"/>
  <c r="L26" i="27" s="1"/>
  <c r="G62" i="27" s="1"/>
  <c r="J24" i="27"/>
  <c r="L24" i="27" s="1"/>
  <c r="C60" i="27" s="1"/>
  <c r="J22" i="27"/>
  <c r="L22" i="27" s="1"/>
  <c r="J16" i="27"/>
  <c r="J35" i="27"/>
  <c r="L35" i="27" s="1"/>
  <c r="L71" i="27" s="1"/>
  <c r="J33" i="27"/>
  <c r="L33" i="27" s="1"/>
  <c r="G69" i="27" s="1"/>
  <c r="J31" i="27"/>
  <c r="L31" i="27" s="1"/>
  <c r="J67" i="27" s="1"/>
  <c r="J29" i="27"/>
  <c r="L29" i="27" s="1"/>
  <c r="J27" i="27"/>
  <c r="L27" i="27" s="1"/>
  <c r="H63" i="27" s="1"/>
  <c r="J25" i="27"/>
  <c r="L25" i="27" s="1"/>
  <c r="L61" i="27" s="1"/>
  <c r="J23" i="27"/>
  <c r="L23" i="27" s="1"/>
  <c r="F59" i="27" s="1"/>
  <c r="C75" i="27"/>
  <c r="M66" i="27"/>
  <c r="L60" i="27"/>
  <c r="G75" i="27"/>
  <c r="D73" i="27"/>
  <c r="K75" i="27"/>
  <c r="BD378" i="1"/>
  <c r="BD376" i="1"/>
  <c r="BD374" i="1"/>
  <c r="BD372" i="1"/>
  <c r="BD368" i="1"/>
  <c r="BD366" i="1"/>
  <c r="BD364" i="1"/>
  <c r="BD362" i="1"/>
  <c r="BD379" i="1"/>
  <c r="BD377" i="1"/>
  <c r="BD375" i="1"/>
  <c r="BD373" i="1"/>
  <c r="BD371" i="1"/>
  <c r="BD369" i="1"/>
  <c r="BD367" i="1"/>
  <c r="BD365" i="1"/>
  <c r="BD363" i="1"/>
  <c r="BF16" i="1"/>
  <c r="L12" i="1"/>
  <c r="BF15" i="1"/>
  <c r="J380" i="15"/>
  <c r="L1" i="15"/>
  <c r="L1" i="16"/>
  <c r="X1" i="16"/>
  <c r="J1" i="17"/>
  <c r="X1" i="17" s="1"/>
  <c r="C6" i="6"/>
  <c r="Y14" i="15"/>
  <c r="A12" i="19"/>
  <c r="A36" i="19" s="1"/>
  <c r="AC9" i="1"/>
  <c r="AI12" i="1"/>
  <c r="M75" i="27"/>
  <c r="M73" i="27"/>
  <c r="L73" i="27"/>
  <c r="K62" i="27"/>
  <c r="I73" i="27"/>
  <c r="M62" i="27"/>
  <c r="F69" i="27"/>
  <c r="F73" i="27"/>
  <c r="L69" i="27"/>
  <c r="E63" i="27"/>
  <c r="E75" i="27"/>
  <c r="F75" i="27"/>
  <c r="E73" i="27"/>
  <c r="G73" i="27"/>
  <c r="H73" i="27"/>
  <c r="G63" i="27"/>
  <c r="K73" i="27"/>
  <c r="I75" i="27"/>
  <c r="D62" i="27"/>
  <c r="L75" i="27"/>
  <c r="D75" i="27"/>
  <c r="K67" i="27"/>
  <c r="G37" i="27"/>
  <c r="G36" i="27"/>
  <c r="G26" i="27"/>
  <c r="G23" i="27"/>
  <c r="G20" i="27"/>
  <c r="AO56" i="27"/>
  <c r="AO78" i="27"/>
  <c r="AO76" i="27"/>
  <c r="AO74" i="27"/>
  <c r="AO72" i="27"/>
  <c r="AO70" i="27"/>
  <c r="AO68" i="27"/>
  <c r="AO66" i="27"/>
  <c r="AO64" i="27"/>
  <c r="AO62" i="27"/>
  <c r="AO60" i="27"/>
  <c r="AO58" i="27"/>
  <c r="AO79" i="27"/>
  <c r="AO77" i="27"/>
  <c r="AO75" i="27"/>
  <c r="AO73" i="27"/>
  <c r="AO71" i="27"/>
  <c r="AO69" i="27"/>
  <c r="AO67" i="27"/>
  <c r="AO65" i="27"/>
  <c r="AO63" i="27"/>
  <c r="AO61" i="27"/>
  <c r="AO59" i="27"/>
  <c r="B11" i="7"/>
  <c r="D11" i="7" s="1"/>
  <c r="U11" i="1" s="1"/>
  <c r="D15" i="1"/>
  <c r="K15" i="1"/>
  <c r="L11" i="15"/>
  <c r="B6" i="6"/>
  <c r="A15" i="15"/>
  <c r="F14" i="15"/>
  <c r="A62" i="19"/>
  <c r="G3" i="7"/>
  <c r="X1" i="15"/>
  <c r="V14" i="15"/>
  <c r="G35" i="27"/>
  <c r="AT56" i="27"/>
  <c r="AV56" i="27"/>
  <c r="AE56" i="27"/>
  <c r="AP56" i="27"/>
  <c r="AR56" i="27"/>
  <c r="AE73" i="27"/>
  <c r="BH10" i="6"/>
  <c r="AT2" i="7"/>
  <c r="F14" i="16"/>
  <c r="M3" i="7"/>
  <c r="A13" i="19"/>
  <c r="A37" i="19" s="1"/>
  <c r="V14" i="16"/>
  <c r="A15" i="16"/>
  <c r="A63" i="19"/>
  <c r="Y14" i="16"/>
  <c r="BW16" i="7"/>
  <c r="BK16" i="7"/>
  <c r="C16" i="7"/>
  <c r="BQ16" i="7"/>
  <c r="AB16" i="1"/>
  <c r="X16" i="1"/>
  <c r="AJ16" i="1"/>
  <c r="K16" i="1"/>
  <c r="D16" i="1"/>
  <c r="A17" i="1"/>
  <c r="AC16" i="1"/>
  <c r="A15" i="17"/>
  <c r="O10" i="1"/>
  <c r="AC10" i="1"/>
  <c r="AC15" i="1" s="1"/>
  <c r="L376" i="1" l="1"/>
  <c r="L368" i="1"/>
  <c r="L360" i="1"/>
  <c r="L352" i="1"/>
  <c r="L344" i="1"/>
  <c r="L336" i="1"/>
  <c r="L328" i="1"/>
  <c r="L320" i="1"/>
  <c r="L312" i="1"/>
  <c r="L304" i="1"/>
  <c r="L296" i="1"/>
  <c r="L288" i="1"/>
  <c r="L280" i="1"/>
  <c r="L272" i="1"/>
  <c r="L264" i="1"/>
  <c r="L256" i="1"/>
  <c r="L248" i="1"/>
  <c r="L240" i="1"/>
  <c r="L232" i="1"/>
  <c r="L224" i="1"/>
  <c r="L216" i="1"/>
  <c r="L379" i="1"/>
  <c r="B35" i="19" s="1"/>
  <c r="L363" i="1"/>
  <c r="L347" i="1"/>
  <c r="L331" i="1"/>
  <c r="L315" i="1"/>
  <c r="L299" i="1"/>
  <c r="L283" i="1"/>
  <c r="L267" i="1"/>
  <c r="L251" i="1"/>
  <c r="L219" i="1"/>
  <c r="L198" i="1"/>
  <c r="L182" i="1"/>
  <c r="L166" i="1"/>
  <c r="L150" i="1"/>
  <c r="L134" i="1"/>
  <c r="L365" i="1"/>
  <c r="L333" i="1"/>
  <c r="L301" i="1"/>
  <c r="L269" i="1"/>
  <c r="L237" i="1"/>
  <c r="L207" i="1"/>
  <c r="L191" i="1"/>
  <c r="L175" i="1"/>
  <c r="L159" i="1"/>
  <c r="L143" i="1"/>
  <c r="L127" i="1"/>
  <c r="L118" i="1"/>
  <c r="L110" i="1"/>
  <c r="L102" i="1"/>
  <c r="L94" i="1"/>
  <c r="L86" i="1"/>
  <c r="L78" i="1"/>
  <c r="L70" i="1"/>
  <c r="L62" i="1"/>
  <c r="L353" i="1"/>
  <c r="L297" i="1"/>
  <c r="L233" i="1"/>
  <c r="L189" i="1"/>
  <c r="L157" i="1"/>
  <c r="L125" i="1"/>
  <c r="L109" i="1"/>
  <c r="L93" i="1"/>
  <c r="L77" i="1"/>
  <c r="L289" i="1"/>
  <c r="L225" i="1"/>
  <c r="L185" i="1"/>
  <c r="L153" i="1"/>
  <c r="L123" i="1"/>
  <c r="L107" i="1"/>
  <c r="L91" i="1"/>
  <c r="L75" i="1"/>
  <c r="L235" i="1"/>
  <c r="L206" i="1"/>
  <c r="L190" i="1"/>
  <c r="L174" i="1"/>
  <c r="L158" i="1"/>
  <c r="L142" i="1"/>
  <c r="L126" i="1"/>
  <c r="L349" i="1"/>
  <c r="L317" i="1"/>
  <c r="L285" i="1"/>
  <c r="L253" i="1"/>
  <c r="L221" i="1"/>
  <c r="L199" i="1"/>
  <c r="L183" i="1"/>
  <c r="L167" i="1"/>
  <c r="L151" i="1"/>
  <c r="L135" i="1"/>
  <c r="L122" i="1"/>
  <c r="L114" i="1"/>
  <c r="L106" i="1"/>
  <c r="L98" i="1"/>
  <c r="L90" i="1"/>
  <c r="L82" i="1"/>
  <c r="L74" i="1"/>
  <c r="L66" i="1"/>
  <c r="L369" i="1"/>
  <c r="L329" i="1"/>
  <c r="L265" i="1"/>
  <c r="L205" i="1"/>
  <c r="L173" i="1"/>
  <c r="L141" i="1"/>
  <c r="L117" i="1"/>
  <c r="L101" i="1"/>
  <c r="L85" i="1"/>
  <c r="L69" i="1"/>
  <c r="L321" i="1"/>
  <c r="L257" i="1"/>
  <c r="L201" i="1"/>
  <c r="L169" i="1"/>
  <c r="L137" i="1"/>
  <c r="L115" i="1"/>
  <c r="L99" i="1"/>
  <c r="L83" i="1"/>
  <c r="L67" i="1"/>
  <c r="L374" i="1"/>
  <c r="L366" i="1"/>
  <c r="L358" i="1"/>
  <c r="L350" i="1"/>
  <c r="L342" i="1"/>
  <c r="L334" i="1"/>
  <c r="L326" i="1"/>
  <c r="L318" i="1"/>
  <c r="L310" i="1"/>
  <c r="L302" i="1"/>
  <c r="L294" i="1"/>
  <c r="L286" i="1"/>
  <c r="L278" i="1"/>
  <c r="L270" i="1"/>
  <c r="L262" i="1"/>
  <c r="L254" i="1"/>
  <c r="L246" i="1"/>
  <c r="L238" i="1"/>
  <c r="L230" i="1"/>
  <c r="L222" i="1"/>
  <c r="L214" i="1"/>
  <c r="L375" i="1"/>
  <c r="L359" i="1"/>
  <c r="L343" i="1"/>
  <c r="L327" i="1"/>
  <c r="L311" i="1"/>
  <c r="L295" i="1"/>
  <c r="L279" i="1"/>
  <c r="L263" i="1"/>
  <c r="L247" i="1"/>
  <c r="L231" i="1"/>
  <c r="L215" i="1"/>
  <c r="L204" i="1"/>
  <c r="L196" i="1"/>
  <c r="L188" i="1"/>
  <c r="L180" i="1"/>
  <c r="L172" i="1"/>
  <c r="L164" i="1"/>
  <c r="L156" i="1"/>
  <c r="L148" i="1"/>
  <c r="L140" i="1"/>
  <c r="L132" i="1"/>
  <c r="L63" i="1"/>
  <c r="L79" i="1"/>
  <c r="L95" i="1"/>
  <c r="L111" i="1"/>
  <c r="L129" i="1"/>
  <c r="L161" i="1"/>
  <c r="L193" i="1"/>
  <c r="L241" i="1"/>
  <c r="L305" i="1"/>
  <c r="L65" i="1"/>
  <c r="L81" i="1"/>
  <c r="L97" i="1"/>
  <c r="L113" i="1"/>
  <c r="L133" i="1"/>
  <c r="L165" i="1"/>
  <c r="L197" i="1"/>
  <c r="L249" i="1"/>
  <c r="L313" i="1"/>
  <c r="L361" i="1"/>
  <c r="L64" i="1"/>
  <c r="L72" i="1"/>
  <c r="L80" i="1"/>
  <c r="L88" i="1"/>
  <c r="L96" i="1"/>
  <c r="L104" i="1"/>
  <c r="L112" i="1"/>
  <c r="L120" i="1"/>
  <c r="L131" i="1"/>
  <c r="L147" i="1"/>
  <c r="L163" i="1"/>
  <c r="L179" i="1"/>
  <c r="L195" i="1"/>
  <c r="L213" i="1"/>
  <c r="L245" i="1"/>
  <c r="L277" i="1"/>
  <c r="L309" i="1"/>
  <c r="L341" i="1"/>
  <c r="L373" i="1"/>
  <c r="L138" i="1"/>
  <c r="L154" i="1"/>
  <c r="L170" i="1"/>
  <c r="L186" i="1"/>
  <c r="L202" i="1"/>
  <c r="L227" i="1"/>
  <c r="L259" i="1"/>
  <c r="L291" i="1"/>
  <c r="L323" i="1"/>
  <c r="L355" i="1"/>
  <c r="L212" i="1"/>
  <c r="L228" i="1"/>
  <c r="L244" i="1"/>
  <c r="L260" i="1"/>
  <c r="L276" i="1"/>
  <c r="L292" i="1"/>
  <c r="L308" i="1"/>
  <c r="L324" i="1"/>
  <c r="L340" i="1"/>
  <c r="L356" i="1"/>
  <c r="L372" i="1"/>
  <c r="L378" i="1"/>
  <c r="L370" i="1"/>
  <c r="L362" i="1"/>
  <c r="L354" i="1"/>
  <c r="L346" i="1"/>
  <c r="L338" i="1"/>
  <c r="L330" i="1"/>
  <c r="L322" i="1"/>
  <c r="L314" i="1"/>
  <c r="L306" i="1"/>
  <c r="L298" i="1"/>
  <c r="L290" i="1"/>
  <c r="L282" i="1"/>
  <c r="L274" i="1"/>
  <c r="L266" i="1"/>
  <c r="L258" i="1"/>
  <c r="L250" i="1"/>
  <c r="L242" i="1"/>
  <c r="L234" i="1"/>
  <c r="L226" i="1"/>
  <c r="L218" i="1"/>
  <c r="L210" i="1"/>
  <c r="L367" i="1"/>
  <c r="L351" i="1"/>
  <c r="L335" i="1"/>
  <c r="L319" i="1"/>
  <c r="L303" i="1"/>
  <c r="L287" i="1"/>
  <c r="L271" i="1"/>
  <c r="L255" i="1"/>
  <c r="L239" i="1"/>
  <c r="L223" i="1"/>
  <c r="L208" i="1"/>
  <c r="L200" i="1"/>
  <c r="L192" i="1"/>
  <c r="L184" i="1"/>
  <c r="L176" i="1"/>
  <c r="L168" i="1"/>
  <c r="L160" i="1"/>
  <c r="L152" i="1"/>
  <c r="L144" i="1"/>
  <c r="L136" i="1"/>
  <c r="L128" i="1"/>
  <c r="L71" i="1"/>
  <c r="L87" i="1"/>
  <c r="L103" i="1"/>
  <c r="L119" i="1"/>
  <c r="L145" i="1"/>
  <c r="L177" i="1"/>
  <c r="L209" i="1"/>
  <c r="L273" i="1"/>
  <c r="L337" i="1"/>
  <c r="L73" i="1"/>
  <c r="L89" i="1"/>
  <c r="L105" i="1"/>
  <c r="L121" i="1"/>
  <c r="L149" i="1"/>
  <c r="L181" i="1"/>
  <c r="L217" i="1"/>
  <c r="L281" i="1"/>
  <c r="L345" i="1"/>
  <c r="L377" i="1"/>
  <c r="L68" i="1"/>
  <c r="L76" i="1"/>
  <c r="L84" i="1"/>
  <c r="L92" i="1"/>
  <c r="L100" i="1"/>
  <c r="L108" i="1"/>
  <c r="L116" i="1"/>
  <c r="L348" i="1"/>
  <c r="L316" i="1"/>
  <c r="L284" i="1"/>
  <c r="L252" i="1"/>
  <c r="L220" i="1"/>
  <c r="L339" i="1"/>
  <c r="L275" i="1"/>
  <c r="L211" i="1"/>
  <c r="L178" i="1"/>
  <c r="L146" i="1"/>
  <c r="L357" i="1"/>
  <c r="L293" i="1"/>
  <c r="L229" i="1"/>
  <c r="L187" i="1"/>
  <c r="L155" i="1"/>
  <c r="L124" i="1"/>
  <c r="AX58" i="6"/>
  <c r="AX174" i="6"/>
  <c r="AX76" i="6"/>
  <c r="AX195" i="6"/>
  <c r="AX31" i="6"/>
  <c r="AX49" i="6"/>
  <c r="AX179" i="6"/>
  <c r="AX36" i="6"/>
  <c r="AX123" i="6"/>
  <c r="AX188" i="6"/>
  <c r="AX117" i="6"/>
  <c r="AX118" i="6"/>
  <c r="AX170" i="6"/>
  <c r="AX40" i="6"/>
  <c r="AX93" i="6"/>
  <c r="AX91" i="6"/>
  <c r="AX97" i="6"/>
  <c r="AX128" i="6"/>
  <c r="AX131" i="6"/>
  <c r="AX66" i="6"/>
  <c r="AX46" i="6"/>
  <c r="AX62" i="6"/>
  <c r="AX137" i="6"/>
  <c r="AX63" i="6"/>
  <c r="AX142" i="6"/>
  <c r="AX120" i="6"/>
  <c r="AX104" i="6"/>
  <c r="AX140" i="6"/>
  <c r="AX126" i="6"/>
  <c r="AX28" i="6"/>
  <c r="AX35" i="6"/>
  <c r="AX53" i="6"/>
  <c r="AX75" i="6"/>
  <c r="AX125" i="6"/>
  <c r="AX88" i="6"/>
  <c r="AX80" i="6"/>
  <c r="AX192" i="6"/>
  <c r="AX24" i="6"/>
  <c r="AX20" i="6"/>
  <c r="AX34" i="6"/>
  <c r="AX84" i="6"/>
  <c r="AX55" i="6"/>
  <c r="AX185" i="6"/>
  <c r="AX148" i="6"/>
  <c r="AX193" i="6"/>
  <c r="AX173" i="6"/>
  <c r="AX184" i="6"/>
  <c r="AX152" i="6"/>
  <c r="AX153" i="6"/>
  <c r="H13" i="6"/>
  <c r="I16" i="6"/>
  <c r="H12" i="6"/>
  <c r="AX255" i="6"/>
  <c r="AX257" i="6"/>
  <c r="AX207" i="6"/>
  <c r="AX285" i="6"/>
  <c r="AX284" i="6"/>
  <c r="AX301" i="6"/>
  <c r="AX293" i="6"/>
  <c r="AX271" i="6"/>
  <c r="AX219" i="6"/>
  <c r="AX209" i="6"/>
  <c r="AX227" i="6"/>
  <c r="AX222" i="6"/>
  <c r="AX277" i="6"/>
  <c r="AX287" i="6"/>
  <c r="AX278" i="6"/>
  <c r="AX265" i="6"/>
  <c r="AX270" i="6"/>
  <c r="AX280" i="6"/>
  <c r="AX205" i="6"/>
  <c r="AX245" i="6"/>
  <c r="AX243" i="6"/>
  <c r="AX230" i="6"/>
  <c r="AX292" i="6"/>
  <c r="AX223" i="6"/>
  <c r="AX251" i="6"/>
  <c r="AX231" i="6"/>
  <c r="AX217" i="6"/>
  <c r="AX233" i="6"/>
  <c r="AX224" i="6"/>
  <c r="AX221" i="6"/>
  <c r="AX234" i="6"/>
  <c r="AX254" i="6"/>
  <c r="AX315" i="6"/>
  <c r="AX281" i="6"/>
  <c r="AX261" i="6"/>
  <c r="AX266" i="6"/>
  <c r="AS18" i="6"/>
  <c r="AQ12" i="6"/>
  <c r="AQ13" i="6"/>
  <c r="AS20" i="6"/>
  <c r="AS17" i="6"/>
  <c r="AS185" i="6"/>
  <c r="AS147" i="6"/>
  <c r="AS151" i="6"/>
  <c r="AS79" i="6"/>
  <c r="AS132" i="6"/>
  <c r="AS186" i="6"/>
  <c r="AS167" i="6"/>
  <c r="AS156" i="6"/>
  <c r="AS104" i="6"/>
  <c r="AS111" i="6"/>
  <c r="AS170" i="6"/>
  <c r="AS84" i="6"/>
  <c r="AS89" i="6"/>
  <c r="AS142" i="6"/>
  <c r="AS177" i="6"/>
  <c r="AS93" i="6"/>
  <c r="AS103" i="6"/>
  <c r="AS178" i="6"/>
  <c r="AS116" i="6"/>
  <c r="AS169" i="6"/>
  <c r="AS141" i="6"/>
  <c r="AS189" i="6"/>
  <c r="AS148" i="6"/>
  <c r="AS82" i="6"/>
  <c r="AX85" i="6"/>
  <c r="AV13" i="6"/>
  <c r="AV12" i="6"/>
  <c r="AX168" i="6"/>
  <c r="AX67" i="6"/>
  <c r="AX102" i="6"/>
  <c r="AX73" i="6"/>
  <c r="AX72" i="6"/>
  <c r="AX39" i="6"/>
  <c r="AX138" i="6"/>
  <c r="AX60" i="6"/>
  <c r="AX69" i="6"/>
  <c r="AX109" i="6"/>
  <c r="AX59" i="6"/>
  <c r="AX48" i="6"/>
  <c r="AX194" i="6"/>
  <c r="AX129" i="6"/>
  <c r="AX196" i="6"/>
  <c r="AX134" i="6"/>
  <c r="AX121" i="6"/>
  <c r="AX108" i="6"/>
  <c r="AX135" i="6"/>
  <c r="AX89" i="6"/>
  <c r="AX199" i="6"/>
  <c r="AX92" i="6"/>
  <c r="AX43" i="6"/>
  <c r="AX172" i="6"/>
  <c r="AX17" i="6"/>
  <c r="AX27" i="6"/>
  <c r="AW15" i="6"/>
  <c r="AU13" i="6"/>
  <c r="AU12" i="6"/>
  <c r="AX41" i="6"/>
  <c r="AX164" i="6"/>
  <c r="AX81" i="6"/>
  <c r="AX61" i="6"/>
  <c r="AX161" i="6"/>
  <c r="AX160" i="6"/>
  <c r="AX155" i="6"/>
  <c r="AX189" i="6"/>
  <c r="AX156" i="6"/>
  <c r="AX133" i="6"/>
  <c r="AX136" i="6"/>
  <c r="AX163" i="6"/>
  <c r="AX166" i="6"/>
  <c r="AX95" i="6"/>
  <c r="AX313" i="6"/>
  <c r="AX274" i="6"/>
  <c r="AX275" i="6"/>
  <c r="AX283" i="6"/>
  <c r="AX310" i="6"/>
  <c r="AX225" i="6"/>
  <c r="AX258" i="6"/>
  <c r="AX213" i="6"/>
  <c r="AX240" i="6"/>
  <c r="AX259" i="6"/>
  <c r="AX299" i="6"/>
  <c r="AX288" i="6"/>
  <c r="AX296" i="6"/>
  <c r="AX290" i="6"/>
  <c r="AX253" i="6"/>
  <c r="AX228" i="6"/>
  <c r="AX248" i="6"/>
  <c r="AX249" i="6"/>
  <c r="AX302" i="6"/>
  <c r="AX294" i="6"/>
  <c r="AX260" i="6"/>
  <c r="AR15" i="6"/>
  <c r="AP12" i="6"/>
  <c r="AP13" i="6"/>
  <c r="AS109" i="6"/>
  <c r="AS183" i="6"/>
  <c r="AS115" i="6"/>
  <c r="AS161" i="6"/>
  <c r="AS96" i="6"/>
  <c r="AS88" i="6"/>
  <c r="AS110" i="6"/>
  <c r="AS159" i="6"/>
  <c r="AS166" i="6"/>
  <c r="AS97" i="6"/>
  <c r="AS106" i="6"/>
  <c r="AS187" i="6"/>
  <c r="AS144" i="6"/>
  <c r="AS157" i="6"/>
  <c r="AS108" i="6"/>
  <c r="AS131" i="6"/>
  <c r="AS175" i="6"/>
  <c r="AS85" i="6"/>
  <c r="AS173" i="6"/>
  <c r="AS121" i="6"/>
  <c r="AS162" i="6"/>
  <c r="AS98" i="6"/>
  <c r="AS107" i="6"/>
  <c r="AS160" i="6"/>
  <c r="AS95" i="6"/>
  <c r="AS165" i="6"/>
  <c r="AS138" i="6"/>
  <c r="AS119" i="6"/>
  <c r="AS80" i="6"/>
  <c r="AS188" i="6"/>
  <c r="AS171" i="6"/>
  <c r="Q54" i="6"/>
  <c r="Q53" i="6" s="1"/>
  <c r="M24" i="6"/>
  <c r="M23" i="6" s="1"/>
  <c r="M25" i="6" s="1"/>
  <c r="J20" i="6" s="1"/>
  <c r="M48" i="6"/>
  <c r="J91" i="6"/>
  <c r="J81" i="6"/>
  <c r="N39" i="6"/>
  <c r="N38" i="6" s="1"/>
  <c r="N40" i="6" s="1"/>
  <c r="J80" i="6"/>
  <c r="O54" i="6"/>
  <c r="O53" i="6" s="1"/>
  <c r="O55" i="6" s="1"/>
  <c r="AY69" i="6" s="1"/>
  <c r="Z35" i="6"/>
  <c r="Z39" i="6" s="1"/>
  <c r="Z38" i="6" s="1"/>
  <c r="Z40" i="6" s="1"/>
  <c r="J90" i="6"/>
  <c r="J78" i="6"/>
  <c r="J89" i="6"/>
  <c r="O39" i="6"/>
  <c r="O38" i="6" s="1"/>
  <c r="O40" i="6" s="1"/>
  <c r="Y39" i="6"/>
  <c r="Y38" i="6" s="1"/>
  <c r="Y40" i="6" s="1"/>
  <c r="J85" i="6"/>
  <c r="J87" i="6"/>
  <c r="M54" i="6"/>
  <c r="M53" i="6" s="1"/>
  <c r="M55" i="6" s="1"/>
  <c r="J83" i="6"/>
  <c r="J86" i="6"/>
  <c r="J82" i="6"/>
  <c r="J88" i="6"/>
  <c r="J84" i="6"/>
  <c r="AN24" i="6"/>
  <c r="AN23" i="6" s="1"/>
  <c r="Y54" i="6"/>
  <c r="Y53" i="6" s="1"/>
  <c r="Y55" i="6" s="1"/>
  <c r="V39" i="6"/>
  <c r="V38" i="6" s="1"/>
  <c r="V40" i="6" s="1"/>
  <c r="X39" i="6"/>
  <c r="X38" i="6" s="1"/>
  <c r="X40" i="6" s="1"/>
  <c r="X54" i="6"/>
  <c r="X53" i="6" s="1"/>
  <c r="X55" i="6" s="1"/>
  <c r="AT18" i="6"/>
  <c r="J327" i="6"/>
  <c r="J325" i="6"/>
  <c r="J329" i="6"/>
  <c r="J320" i="6"/>
  <c r="J326" i="6"/>
  <c r="S39" i="6"/>
  <c r="S38" i="6" s="1"/>
  <c r="J317" i="6"/>
  <c r="J319" i="6"/>
  <c r="J328" i="6"/>
  <c r="J318" i="6"/>
  <c r="Q39" i="6"/>
  <c r="Q38" i="6" s="1"/>
  <c r="AG25" i="6"/>
  <c r="J278" i="6" s="1"/>
  <c r="AK25" i="6"/>
  <c r="J340" i="6" s="1"/>
  <c r="AA25" i="6"/>
  <c r="J201" i="6" s="1"/>
  <c r="T25" i="6"/>
  <c r="J102" i="6" s="1"/>
  <c r="AT20" i="6"/>
  <c r="J310" i="6"/>
  <c r="J311" i="6"/>
  <c r="J309" i="6"/>
  <c r="J304" i="6"/>
  <c r="J305" i="6"/>
  <c r="J306" i="6"/>
  <c r="W25" i="6"/>
  <c r="J150" i="6" s="1"/>
  <c r="J227" i="6"/>
  <c r="AA55" i="6"/>
  <c r="AY378" i="6" s="1"/>
  <c r="AE25" i="6"/>
  <c r="J268" i="6" s="1"/>
  <c r="T54" i="6"/>
  <c r="T53" i="6" s="1"/>
  <c r="T55" i="6" s="1"/>
  <c r="R39" i="6"/>
  <c r="R38" i="6" s="1"/>
  <c r="R40" i="6" s="1"/>
  <c r="W39" i="6"/>
  <c r="W38" i="6" s="1"/>
  <c r="AA39" i="6"/>
  <c r="AA38" i="6" s="1"/>
  <c r="AA40" i="6" s="1"/>
  <c r="V54" i="6"/>
  <c r="V53" i="6" s="1"/>
  <c r="V55" i="6" s="1"/>
  <c r="W54" i="6"/>
  <c r="W53" i="6" s="1"/>
  <c r="P39" i="6"/>
  <c r="P38" i="6" s="1"/>
  <c r="P40" i="6" s="1"/>
  <c r="J237" i="6"/>
  <c r="J244" i="6"/>
  <c r="J218" i="6"/>
  <c r="J228" i="6"/>
  <c r="J236" i="6"/>
  <c r="J234" i="6"/>
  <c r="J219" i="6"/>
  <c r="J241" i="6"/>
  <c r="J221" i="6"/>
  <c r="J233" i="6"/>
  <c r="J235" i="6"/>
  <c r="J242" i="6"/>
  <c r="J220" i="6"/>
  <c r="J224" i="6"/>
  <c r="J322" i="6"/>
  <c r="J313" i="6"/>
  <c r="J312" i="6"/>
  <c r="J323" i="6"/>
  <c r="J315" i="6"/>
  <c r="J308" i="6"/>
  <c r="J324" i="6"/>
  <c r="J303" i="6"/>
  <c r="J316" i="6"/>
  <c r="J302" i="6"/>
  <c r="J321" i="6"/>
  <c r="J307" i="6"/>
  <c r="J314" i="6"/>
  <c r="Q55" i="6"/>
  <c r="AY95" i="6" s="1"/>
  <c r="N54" i="6"/>
  <c r="N53" i="6" s="1"/>
  <c r="S54" i="6"/>
  <c r="S53" i="6" s="1"/>
  <c r="S55" i="6" s="1"/>
  <c r="J73" i="6"/>
  <c r="J61" i="6"/>
  <c r="J57" i="6"/>
  <c r="J66" i="6"/>
  <c r="J58" i="6"/>
  <c r="J56" i="6"/>
  <c r="J69" i="6"/>
  <c r="J68" i="6"/>
  <c r="J53" i="6"/>
  <c r="J62" i="6"/>
  <c r="J54" i="6"/>
  <c r="J72" i="6"/>
  <c r="J64" i="6"/>
  <c r="J60" i="6"/>
  <c r="J65" i="6"/>
  <c r="J51" i="6"/>
  <c r="J76" i="6"/>
  <c r="J75" i="6"/>
  <c r="J63" i="6"/>
  <c r="J74" i="6"/>
  <c r="J55" i="6"/>
  <c r="J59" i="6"/>
  <c r="J71" i="6"/>
  <c r="J52" i="6"/>
  <c r="J70" i="6"/>
  <c r="J50" i="6"/>
  <c r="J77" i="6"/>
  <c r="J67" i="6"/>
  <c r="J171" i="6"/>
  <c r="J163" i="6"/>
  <c r="J165" i="6"/>
  <c r="J173" i="6"/>
  <c r="J162" i="6"/>
  <c r="J166" i="6"/>
  <c r="J179" i="6"/>
  <c r="J188" i="6"/>
  <c r="J164" i="6"/>
  <c r="J189" i="6"/>
  <c r="J174" i="6"/>
  <c r="J181" i="6"/>
  <c r="J175" i="6"/>
  <c r="J167" i="6"/>
  <c r="J187" i="6"/>
  <c r="J176" i="6"/>
  <c r="J168" i="6"/>
  <c r="J180" i="6"/>
  <c r="J182" i="6"/>
  <c r="J186" i="6"/>
  <c r="J169" i="6"/>
  <c r="J170" i="6"/>
  <c r="J177" i="6"/>
  <c r="J172" i="6"/>
  <c r="J185" i="6"/>
  <c r="J183" i="6"/>
  <c r="J184" i="6"/>
  <c r="J178" i="6"/>
  <c r="J365" i="6"/>
  <c r="J369" i="6"/>
  <c r="J358" i="6"/>
  <c r="J370" i="6"/>
  <c r="J363" i="6"/>
  <c r="J362" i="6"/>
  <c r="J371" i="6"/>
  <c r="J360" i="6"/>
  <c r="J364" i="6"/>
  <c r="J367" i="6"/>
  <c r="J359" i="6"/>
  <c r="J368" i="6"/>
  <c r="J361" i="6"/>
  <c r="J366" i="6"/>
  <c r="U54" i="6"/>
  <c r="U53" i="6" s="1"/>
  <c r="J30" i="6"/>
  <c r="J23" i="6"/>
  <c r="J31" i="6"/>
  <c r="J29" i="6"/>
  <c r="J22" i="6"/>
  <c r="J26" i="6"/>
  <c r="J25" i="6"/>
  <c r="J35" i="6"/>
  <c r="J38" i="6"/>
  <c r="J33" i="6"/>
  <c r="J27" i="6"/>
  <c r="J36" i="6"/>
  <c r="J40" i="6"/>
  <c r="J28" i="6"/>
  <c r="J43" i="6"/>
  <c r="J48" i="6"/>
  <c r="J41" i="6"/>
  <c r="J47" i="6"/>
  <c r="J37" i="6"/>
  <c r="J44" i="6"/>
  <c r="J34" i="6"/>
  <c r="J45" i="6"/>
  <c r="J42" i="6"/>
  <c r="J49" i="6"/>
  <c r="J39" i="6"/>
  <c r="J32" i="6"/>
  <c r="J24" i="6"/>
  <c r="J46" i="6"/>
  <c r="J128" i="6"/>
  <c r="J131" i="6"/>
  <c r="J123" i="6"/>
  <c r="J127" i="6"/>
  <c r="J132" i="6"/>
  <c r="J124" i="6"/>
  <c r="J122" i="6"/>
  <c r="J120" i="6"/>
  <c r="J133" i="6"/>
  <c r="J129" i="6"/>
  <c r="J126" i="6"/>
  <c r="J125" i="6"/>
  <c r="J121" i="6"/>
  <c r="J130" i="6"/>
  <c r="J119" i="6"/>
  <c r="T39" i="6"/>
  <c r="T38" i="6" s="1"/>
  <c r="T40" i="6" s="1"/>
  <c r="U39" i="6"/>
  <c r="U38" i="6" s="1"/>
  <c r="J222" i="6"/>
  <c r="J223" i="6"/>
  <c r="J226" i="6"/>
  <c r="J230" i="6"/>
  <c r="J240" i="6"/>
  <c r="J229" i="6"/>
  <c r="J243" i="6"/>
  <c r="J238" i="6"/>
  <c r="J245" i="6"/>
  <c r="J239" i="6"/>
  <c r="J232" i="6"/>
  <c r="J231" i="6"/>
  <c r="J225" i="6"/>
  <c r="C67" i="27"/>
  <c r="G67" i="27"/>
  <c r="H62" i="27"/>
  <c r="I63" i="27"/>
  <c r="C66" i="27"/>
  <c r="F66" i="27"/>
  <c r="I35" i="27"/>
  <c r="F64" i="27"/>
  <c r="L59" i="27"/>
  <c r="H67" i="27"/>
  <c r="L67" i="27"/>
  <c r="E67" i="27"/>
  <c r="M67" i="27"/>
  <c r="E62" i="27"/>
  <c r="M63" i="27"/>
  <c r="C63" i="27"/>
  <c r="L63" i="27"/>
  <c r="F63" i="27"/>
  <c r="J63" i="27"/>
  <c r="K63" i="27"/>
  <c r="D63" i="27"/>
  <c r="I67" i="27"/>
  <c r="J66" i="27"/>
  <c r="K66" i="27"/>
  <c r="E66" i="27"/>
  <c r="D67" i="27"/>
  <c r="F67" i="27"/>
  <c r="M59" i="27"/>
  <c r="I28" i="27"/>
  <c r="I22" i="27"/>
  <c r="I34" i="27"/>
  <c r="H71" i="27"/>
  <c r="E71" i="27"/>
  <c r="M71" i="27"/>
  <c r="I71" i="27"/>
  <c r="J71" i="27"/>
  <c r="J70" i="27"/>
  <c r="H70" i="27"/>
  <c r="D70" i="27"/>
  <c r="G70" i="27"/>
  <c r="I64" i="27"/>
  <c r="L64" i="27"/>
  <c r="D64" i="27"/>
  <c r="C68" i="27"/>
  <c r="L68" i="27"/>
  <c r="C69" i="27"/>
  <c r="I69" i="27"/>
  <c r="D69" i="27"/>
  <c r="H68" i="27"/>
  <c r="K61" i="27"/>
  <c r="K72" i="27"/>
  <c r="K71" i="27"/>
  <c r="F71" i="27"/>
  <c r="C71" i="27"/>
  <c r="G71" i="27"/>
  <c r="D71" i="27"/>
  <c r="E70" i="27"/>
  <c r="M70" i="27"/>
  <c r="L70" i="27"/>
  <c r="K60" i="27"/>
  <c r="F62" i="27"/>
  <c r="I66" i="27"/>
  <c r="H66" i="27"/>
  <c r="L66" i="27"/>
  <c r="D66" i="27"/>
  <c r="C62" i="27"/>
  <c r="I62" i="27"/>
  <c r="J62" i="27"/>
  <c r="L62" i="27"/>
  <c r="E59" i="27"/>
  <c r="J59" i="27"/>
  <c r="G59" i="27"/>
  <c r="D59" i="27"/>
  <c r="H59" i="27"/>
  <c r="AX56" i="27"/>
  <c r="I30" i="27"/>
  <c r="I24" i="27"/>
  <c r="I29" i="27"/>
  <c r="I26" i="27"/>
  <c r="I25" i="27"/>
  <c r="I32" i="27"/>
  <c r="I31" i="27"/>
  <c r="I23" i="27"/>
  <c r="G60" i="27"/>
  <c r="J60" i="27"/>
  <c r="D60" i="27"/>
  <c r="K64" i="27"/>
  <c r="K69" i="27"/>
  <c r="F68" i="27"/>
  <c r="I72" i="27"/>
  <c r="M68" i="27"/>
  <c r="I61" i="27"/>
  <c r="H61" i="27"/>
  <c r="C72" i="27"/>
  <c r="M60" i="27"/>
  <c r="I33" i="27"/>
  <c r="I27" i="27"/>
  <c r="E60" i="27"/>
  <c r="M64" i="27"/>
  <c r="H60" i="27"/>
  <c r="I60" i="27"/>
  <c r="G64" i="27"/>
  <c r="J64" i="27"/>
  <c r="E64" i="27"/>
  <c r="H64" i="27"/>
  <c r="F60" i="27"/>
  <c r="J69" i="27"/>
  <c r="G72" i="27"/>
  <c r="J68" i="27"/>
  <c r="E68" i="27"/>
  <c r="F72" i="27"/>
  <c r="H69" i="27"/>
  <c r="G68" i="27"/>
  <c r="H72" i="27"/>
  <c r="E69" i="27"/>
  <c r="J72" i="27"/>
  <c r="E72" i="27"/>
  <c r="M69" i="27"/>
  <c r="L72" i="27"/>
  <c r="F61" i="27"/>
  <c r="D61" i="27"/>
  <c r="G61" i="27"/>
  <c r="E61" i="27"/>
  <c r="C61" i="27"/>
  <c r="M61" i="27"/>
  <c r="M72" i="27"/>
  <c r="J61" i="27"/>
  <c r="K59" i="27"/>
  <c r="I59" i="27"/>
  <c r="C59" i="27"/>
  <c r="M58" i="27"/>
  <c r="I58" i="27"/>
  <c r="C58" i="27"/>
  <c r="F58" i="27"/>
  <c r="H58" i="27"/>
  <c r="G58" i="27"/>
  <c r="D58" i="27"/>
  <c r="K58" i="27"/>
  <c r="J58" i="27"/>
  <c r="L58" i="27"/>
  <c r="E58" i="27"/>
  <c r="F70" i="27"/>
  <c r="K70" i="27"/>
  <c r="C70" i="27"/>
  <c r="G65" i="27"/>
  <c r="M65" i="27"/>
  <c r="L65" i="27"/>
  <c r="I65" i="27"/>
  <c r="H65" i="27"/>
  <c r="F65" i="27"/>
  <c r="J65" i="27"/>
  <c r="K65" i="27"/>
  <c r="C65" i="27"/>
  <c r="E65" i="27"/>
  <c r="D65" i="27"/>
  <c r="K68" i="27"/>
  <c r="I68" i="27"/>
  <c r="O11" i="1"/>
  <c r="BX13" i="7" s="1"/>
  <c r="L1" i="17"/>
  <c r="A14" i="19"/>
  <c r="A38" i="19" s="1"/>
  <c r="BF17" i="1"/>
  <c r="A64" i="19"/>
  <c r="Y14" i="17"/>
  <c r="S3" i="7"/>
  <c r="V14" i="17"/>
  <c r="F14" i="17"/>
  <c r="D6" i="6"/>
  <c r="J1" i="18"/>
  <c r="E6" i="6" s="1"/>
  <c r="O9" i="15"/>
  <c r="AJ15" i="15" s="1"/>
  <c r="Q11" i="15"/>
  <c r="L12" i="15"/>
  <c r="L15" i="15" s="1"/>
  <c r="BL13" i="7"/>
  <c r="A16" i="15"/>
  <c r="AB15" i="15"/>
  <c r="K15" i="15"/>
  <c r="X15" i="15"/>
  <c r="L11" i="16"/>
  <c r="P11" i="1"/>
  <c r="B15" i="7"/>
  <c r="AE74" i="27"/>
  <c r="P75" i="27"/>
  <c r="G38" i="27" s="1"/>
  <c r="BH11" i="6"/>
  <c r="BH12" i="6" s="1"/>
  <c r="BH121" i="6" s="1"/>
  <c r="K15" i="16"/>
  <c r="AB15" i="16"/>
  <c r="A16" i="16"/>
  <c r="X15" i="16"/>
  <c r="C13" i="7"/>
  <c r="BW13" i="7"/>
  <c r="BQ13" i="7"/>
  <c r="BK13" i="7"/>
  <c r="A16" i="17"/>
  <c r="X15" i="17"/>
  <c r="K15" i="17"/>
  <c r="AB15" i="17"/>
  <c r="O16" i="1"/>
  <c r="E16" i="1" s="1"/>
  <c r="X17" i="1"/>
  <c r="AK17" i="1"/>
  <c r="D17" i="1"/>
  <c r="K17" i="1"/>
  <c r="AC17" i="1"/>
  <c r="A18" i="1"/>
  <c r="AJ17" i="1"/>
  <c r="AB17" i="1"/>
  <c r="V14" i="18"/>
  <c r="A15" i="18"/>
  <c r="J1" i="20"/>
  <c r="Y3" i="7"/>
  <c r="A65" i="19"/>
  <c r="X1" i="18"/>
  <c r="BH227" i="6" l="1"/>
  <c r="BH281" i="6"/>
  <c r="BH318" i="6"/>
  <c r="AS15" i="6"/>
  <c r="AR13" i="6"/>
  <c r="AR12" i="6"/>
  <c r="AW12" i="6"/>
  <c r="AX15" i="6"/>
  <c r="AW13" i="6"/>
  <c r="I12" i="6"/>
  <c r="I13" i="6"/>
  <c r="BH174" i="6"/>
  <c r="BH323" i="6"/>
  <c r="BH185" i="6"/>
  <c r="BH48" i="6"/>
  <c r="BH252" i="6"/>
  <c r="BH257" i="6"/>
  <c r="BH39" i="6"/>
  <c r="BH89" i="6"/>
  <c r="BH211" i="6"/>
  <c r="BH105" i="6"/>
  <c r="BH116" i="6"/>
  <c r="BH368" i="6"/>
  <c r="BH242" i="6"/>
  <c r="BH343" i="6"/>
  <c r="BH276" i="6"/>
  <c r="BH268" i="6"/>
  <c r="BH221" i="6"/>
  <c r="BH103" i="6"/>
  <c r="BH101" i="6"/>
  <c r="BH179" i="6"/>
  <c r="BH27" i="6"/>
  <c r="BH159" i="6"/>
  <c r="O15" i="1"/>
  <c r="E15" i="1" s="1"/>
  <c r="AT15" i="6"/>
  <c r="AT16" i="6"/>
  <c r="BH213" i="6"/>
  <c r="BH160" i="6"/>
  <c r="BH120" i="6"/>
  <c r="AT21" i="6"/>
  <c r="AT19" i="6"/>
  <c r="AT17" i="6"/>
  <c r="AY71" i="6"/>
  <c r="L20" i="15"/>
  <c r="AT330" i="6"/>
  <c r="AY67" i="6"/>
  <c r="J100" i="6"/>
  <c r="AY65" i="6"/>
  <c r="J114" i="6"/>
  <c r="J110" i="6"/>
  <c r="AT66" i="6"/>
  <c r="AY83" i="6"/>
  <c r="J94" i="6"/>
  <c r="AY73" i="6"/>
  <c r="AY84" i="6"/>
  <c r="AY90" i="6"/>
  <c r="AY64" i="6"/>
  <c r="AN25" i="6"/>
  <c r="J374" i="6" s="1"/>
  <c r="BB374" i="1" s="1"/>
  <c r="AY81" i="6"/>
  <c r="AY70" i="6"/>
  <c r="AY66" i="6"/>
  <c r="AY68" i="6"/>
  <c r="AY86" i="6"/>
  <c r="AY76" i="6"/>
  <c r="AY78" i="6"/>
  <c r="AY91" i="6"/>
  <c r="AY77" i="6"/>
  <c r="AY74" i="6"/>
  <c r="AY89" i="6"/>
  <c r="AY79" i="6"/>
  <c r="AY88" i="6"/>
  <c r="AY87" i="6"/>
  <c r="AY82" i="6"/>
  <c r="AY80" i="6"/>
  <c r="AY72" i="6"/>
  <c r="AY85" i="6"/>
  <c r="AY75" i="6"/>
  <c r="J109" i="6"/>
  <c r="J106" i="6"/>
  <c r="J118" i="6"/>
  <c r="J103" i="6"/>
  <c r="J92" i="6"/>
  <c r="AT54" i="6"/>
  <c r="AY372" i="6"/>
  <c r="AY380" i="6"/>
  <c r="AY379" i="6"/>
  <c r="J137" i="6"/>
  <c r="J149" i="6"/>
  <c r="J141" i="6"/>
  <c r="J156" i="6"/>
  <c r="J160" i="6"/>
  <c r="J157" i="6"/>
  <c r="J152" i="6"/>
  <c r="AT26" i="6"/>
  <c r="AT23" i="6"/>
  <c r="AT33" i="6"/>
  <c r="AT27" i="6"/>
  <c r="AT32" i="6"/>
  <c r="AT36" i="6"/>
  <c r="J192" i="6"/>
  <c r="J205" i="6"/>
  <c r="J206" i="6"/>
  <c r="J203" i="6"/>
  <c r="J215" i="6"/>
  <c r="J195" i="6"/>
  <c r="J191" i="6"/>
  <c r="J286" i="6"/>
  <c r="J287" i="6"/>
  <c r="J279" i="6"/>
  <c r="J296" i="6"/>
  <c r="J282" i="6"/>
  <c r="J284" i="6"/>
  <c r="J274" i="6"/>
  <c r="AY373" i="6"/>
  <c r="AY375" i="6"/>
  <c r="J153" i="6"/>
  <c r="J143" i="6"/>
  <c r="J158" i="6"/>
  <c r="J136" i="6"/>
  <c r="J159" i="6"/>
  <c r="J142" i="6"/>
  <c r="J146" i="6"/>
  <c r="AT46" i="6"/>
  <c r="AT25" i="6"/>
  <c r="AT34" i="6"/>
  <c r="AT24" i="6"/>
  <c r="AT41" i="6"/>
  <c r="AT42" i="6"/>
  <c r="J196" i="6"/>
  <c r="J194" i="6"/>
  <c r="J193" i="6"/>
  <c r="J217" i="6"/>
  <c r="J211" i="6"/>
  <c r="J202" i="6"/>
  <c r="J212" i="6"/>
  <c r="J289" i="6"/>
  <c r="J299" i="6"/>
  <c r="J275" i="6"/>
  <c r="J290" i="6"/>
  <c r="J285" i="6"/>
  <c r="J301" i="6"/>
  <c r="J295" i="6"/>
  <c r="U40" i="6"/>
  <c r="AT219" i="6" s="1"/>
  <c r="N55" i="6"/>
  <c r="AY46" i="6" s="1"/>
  <c r="W40" i="6"/>
  <c r="AT275" i="6" s="1"/>
  <c r="W55" i="6"/>
  <c r="AY297" i="6" s="1"/>
  <c r="BK366" i="1"/>
  <c r="BB366" i="1"/>
  <c r="BK368" i="1"/>
  <c r="BB368" i="1"/>
  <c r="BK367" i="1"/>
  <c r="BB367" i="1"/>
  <c r="BK362" i="1"/>
  <c r="BB362" i="1"/>
  <c r="BK365" i="1"/>
  <c r="BB365" i="1"/>
  <c r="AY114" i="6"/>
  <c r="AY143" i="6"/>
  <c r="AY105" i="6"/>
  <c r="AY113" i="6"/>
  <c r="AY140" i="6"/>
  <c r="AY107" i="6"/>
  <c r="AY109" i="6"/>
  <c r="AY144" i="6"/>
  <c r="AY104" i="6"/>
  <c r="AY134" i="6"/>
  <c r="AY135" i="6"/>
  <c r="AY116" i="6"/>
  <c r="AY128" i="6"/>
  <c r="AY136" i="6"/>
  <c r="AY133" i="6"/>
  <c r="AY132" i="6"/>
  <c r="AY108" i="6"/>
  <c r="AY147" i="6"/>
  <c r="AY130" i="6"/>
  <c r="AY119" i="6"/>
  <c r="AY100" i="6"/>
  <c r="AY126" i="6"/>
  <c r="AY102" i="6"/>
  <c r="AY129" i="6"/>
  <c r="AY131" i="6"/>
  <c r="AY101" i="6"/>
  <c r="AY92" i="6"/>
  <c r="AY125" i="6"/>
  <c r="AT314" i="6"/>
  <c r="AT357" i="6"/>
  <c r="AT303" i="6"/>
  <c r="AT319" i="6"/>
  <c r="AT351" i="6"/>
  <c r="AT320" i="6"/>
  <c r="AT322" i="6"/>
  <c r="AT328" i="6"/>
  <c r="AT340" i="6"/>
  <c r="AT356" i="6"/>
  <c r="AT306" i="6"/>
  <c r="AT348" i="6"/>
  <c r="AT333" i="6"/>
  <c r="AT312" i="6"/>
  <c r="AT323" i="6"/>
  <c r="AT324" i="6"/>
  <c r="AT326" i="6"/>
  <c r="AT318" i="6"/>
  <c r="AT342" i="6"/>
  <c r="AT355" i="6"/>
  <c r="AT309" i="6"/>
  <c r="AT311" i="6"/>
  <c r="AT302" i="6"/>
  <c r="AT329" i="6"/>
  <c r="AT307" i="6"/>
  <c r="AT339" i="6"/>
  <c r="AT337" i="6"/>
  <c r="AT343" i="6"/>
  <c r="J16" i="6"/>
  <c r="J19" i="6"/>
  <c r="J21" i="6"/>
  <c r="J252" i="6"/>
  <c r="J255" i="6"/>
  <c r="J265" i="6"/>
  <c r="J246" i="6"/>
  <c r="J257" i="6"/>
  <c r="J250" i="6"/>
  <c r="J248" i="6"/>
  <c r="J266" i="6"/>
  <c r="J270" i="6"/>
  <c r="J262" i="6"/>
  <c r="J253" i="6"/>
  <c r="J263" i="6"/>
  <c r="J272" i="6"/>
  <c r="J264" i="6"/>
  <c r="AT71" i="6"/>
  <c r="AT59" i="6"/>
  <c r="AT51" i="6"/>
  <c r="AT63" i="6"/>
  <c r="AT65" i="6"/>
  <c r="AT53" i="6"/>
  <c r="AT55" i="6"/>
  <c r="AT77" i="6"/>
  <c r="AT76" i="6"/>
  <c r="AT64" i="6"/>
  <c r="AT75" i="6"/>
  <c r="AT74" i="6"/>
  <c r="AT61" i="6"/>
  <c r="AT62" i="6"/>
  <c r="AT68" i="6"/>
  <c r="J95" i="6"/>
  <c r="J93" i="6"/>
  <c r="J105" i="6"/>
  <c r="J351" i="6"/>
  <c r="J353" i="6"/>
  <c r="J357" i="6"/>
  <c r="J342" i="6"/>
  <c r="J332" i="6"/>
  <c r="J356" i="6"/>
  <c r="J334" i="6"/>
  <c r="J347" i="6"/>
  <c r="J352" i="6"/>
  <c r="J335" i="6"/>
  <c r="J339" i="6"/>
  <c r="J349" i="6"/>
  <c r="J338" i="6"/>
  <c r="J336" i="6"/>
  <c r="J112" i="6"/>
  <c r="J116" i="6"/>
  <c r="J108" i="6"/>
  <c r="J113" i="6"/>
  <c r="J111" i="6"/>
  <c r="J107" i="6"/>
  <c r="J117" i="6"/>
  <c r="J115" i="6"/>
  <c r="Q40" i="6"/>
  <c r="AT83" i="6" s="1"/>
  <c r="BK364" i="1"/>
  <c r="BB364" i="1"/>
  <c r="BK371" i="1"/>
  <c r="BB371" i="1"/>
  <c r="BK363" i="1"/>
  <c r="BB363" i="1"/>
  <c r="BK370" i="1"/>
  <c r="BB370" i="1"/>
  <c r="BK369" i="1"/>
  <c r="BB369" i="1"/>
  <c r="S40" i="6"/>
  <c r="AT150" i="6" s="1"/>
  <c r="AY169" i="6"/>
  <c r="AY186" i="6"/>
  <c r="AY153" i="6"/>
  <c r="AY150" i="6"/>
  <c r="AY198" i="6"/>
  <c r="AY178" i="6"/>
  <c r="AY194" i="6"/>
  <c r="AY190" i="6"/>
  <c r="AY195" i="6"/>
  <c r="AY188" i="6"/>
  <c r="AY173" i="6"/>
  <c r="AY165" i="6"/>
  <c r="AY158" i="6"/>
  <c r="AY149" i="6"/>
  <c r="AY185" i="6"/>
  <c r="AY160" i="6"/>
  <c r="AY200" i="6"/>
  <c r="AY167" i="6"/>
  <c r="AY203" i="6"/>
  <c r="AY152" i="6"/>
  <c r="AY192" i="6"/>
  <c r="AY168" i="6"/>
  <c r="AY179" i="6"/>
  <c r="AY174" i="6"/>
  <c r="AY159" i="6"/>
  <c r="AY154" i="6"/>
  <c r="AY180" i="6"/>
  <c r="AY184" i="6"/>
  <c r="AY182" i="6"/>
  <c r="AY157" i="6"/>
  <c r="AY155" i="6"/>
  <c r="AY163" i="6"/>
  <c r="AY161" i="6"/>
  <c r="AY171" i="6"/>
  <c r="AY199" i="6"/>
  <c r="AY189" i="6"/>
  <c r="AY162" i="6"/>
  <c r="AY166" i="6"/>
  <c r="AY193" i="6"/>
  <c r="AY187" i="6"/>
  <c r="AY176" i="6"/>
  <c r="AY175" i="6"/>
  <c r="AY151" i="6"/>
  <c r="AY202" i="6"/>
  <c r="AY172" i="6"/>
  <c r="AY148" i="6"/>
  <c r="AY196" i="6"/>
  <c r="AY156" i="6"/>
  <c r="AY183" i="6"/>
  <c r="AY164" i="6"/>
  <c r="AY197" i="6"/>
  <c r="AY181" i="6"/>
  <c r="AY191" i="6"/>
  <c r="AY201" i="6"/>
  <c r="AY177" i="6"/>
  <c r="AY170" i="6"/>
  <c r="AT362" i="6"/>
  <c r="AT378" i="6"/>
  <c r="AZ378" i="6" s="1"/>
  <c r="AT380" i="6"/>
  <c r="AT363" i="6"/>
  <c r="AT364" i="6"/>
  <c r="AT374" i="6"/>
  <c r="AT371" i="6"/>
  <c r="AT373" i="6"/>
  <c r="AT379" i="6"/>
  <c r="AT368" i="6"/>
  <c r="AT365" i="6"/>
  <c r="AT376" i="6"/>
  <c r="AT361" i="6"/>
  <c r="AT359" i="6"/>
  <c r="AT366" i="6"/>
  <c r="AT375" i="6"/>
  <c r="AT360" i="6"/>
  <c r="AT369" i="6"/>
  <c r="AT377" i="6"/>
  <c r="AT372" i="6"/>
  <c r="AT367" i="6"/>
  <c r="AT358" i="6"/>
  <c r="AT370" i="6"/>
  <c r="AY364" i="6"/>
  <c r="AY366" i="6"/>
  <c r="AZ366" i="6" s="1"/>
  <c r="AY352" i="6"/>
  <c r="AY316" i="6"/>
  <c r="AY332" i="6"/>
  <c r="AY367" i="6"/>
  <c r="AZ367" i="6" s="1"/>
  <c r="AY365" i="6"/>
  <c r="AY334" i="6"/>
  <c r="AY362" i="6"/>
  <c r="AY328" i="6"/>
  <c r="AY349" i="6"/>
  <c r="AY371" i="6"/>
  <c r="AZ371" i="6" s="1"/>
  <c r="AY347" i="6"/>
  <c r="AY346" i="6"/>
  <c r="AY330" i="6"/>
  <c r="AY340" i="6"/>
  <c r="AY361" i="6"/>
  <c r="AY353" i="6"/>
  <c r="AY318" i="6"/>
  <c r="AY321" i="6"/>
  <c r="AY359" i="6"/>
  <c r="AZ359" i="6" s="1"/>
  <c r="AY339" i="6"/>
  <c r="AY370" i="6"/>
  <c r="AY358" i="6"/>
  <c r="AY331" i="6"/>
  <c r="AY345" i="6"/>
  <c r="AY360" i="6"/>
  <c r="AY333" i="6"/>
  <c r="AY343" i="6"/>
  <c r="AY322" i="6"/>
  <c r="AY355" i="6"/>
  <c r="AY357" i="6"/>
  <c r="AY326" i="6"/>
  <c r="AY351" i="6"/>
  <c r="AY369" i="6"/>
  <c r="AZ369" i="6" s="1"/>
  <c r="AY327" i="6"/>
  <c r="AY329" i="6"/>
  <c r="AY354" i="6"/>
  <c r="AY320" i="6"/>
  <c r="AY319" i="6"/>
  <c r="AY335" i="6"/>
  <c r="AY341" i="6"/>
  <c r="AY348" i="6"/>
  <c r="AY368" i="6"/>
  <c r="AY317" i="6"/>
  <c r="AY337" i="6"/>
  <c r="AY324" i="6"/>
  <c r="AY325" i="6"/>
  <c r="AY363" i="6"/>
  <c r="AZ363" i="6" s="1"/>
  <c r="AY336" i="6"/>
  <c r="AY356" i="6"/>
  <c r="AY338" i="6"/>
  <c r="AY342" i="6"/>
  <c r="AY350" i="6"/>
  <c r="AY323" i="6"/>
  <c r="AY344" i="6"/>
  <c r="U55" i="6"/>
  <c r="AY214" i="6" s="1"/>
  <c r="AY111" i="6"/>
  <c r="AY99" i="6"/>
  <c r="AY127" i="6"/>
  <c r="AY142" i="6"/>
  <c r="AY118" i="6"/>
  <c r="AY103" i="6"/>
  <c r="AY96" i="6"/>
  <c r="AY138" i="6"/>
  <c r="AY120" i="6"/>
  <c r="AY97" i="6"/>
  <c r="AY137" i="6"/>
  <c r="AY145" i="6"/>
  <c r="AY110" i="6"/>
  <c r="AY141" i="6"/>
  <c r="AY112" i="6"/>
  <c r="AY115" i="6"/>
  <c r="AY93" i="6"/>
  <c r="AY124" i="6"/>
  <c r="AY94" i="6"/>
  <c r="AY121" i="6"/>
  <c r="AY122" i="6"/>
  <c r="AY139" i="6"/>
  <c r="AY106" i="6"/>
  <c r="AY123" i="6"/>
  <c r="AY98" i="6"/>
  <c r="AY146" i="6"/>
  <c r="AY117" i="6"/>
  <c r="AT353" i="6"/>
  <c r="AT344" i="6"/>
  <c r="AT331" i="6"/>
  <c r="AT315" i="6"/>
  <c r="AT352" i="6"/>
  <c r="AT354" i="6"/>
  <c r="AT345" i="6"/>
  <c r="AT317" i="6"/>
  <c r="AT313" i="6"/>
  <c r="AT304" i="6"/>
  <c r="AT336" i="6"/>
  <c r="AT332" i="6"/>
  <c r="AT316" i="6"/>
  <c r="AT325" i="6"/>
  <c r="AT334" i="6"/>
  <c r="AT350" i="6"/>
  <c r="AT321" i="6"/>
  <c r="AT310" i="6"/>
  <c r="AT347" i="6"/>
  <c r="AT335" i="6"/>
  <c r="AT349" i="6"/>
  <c r="AT346" i="6"/>
  <c r="AT327" i="6"/>
  <c r="AT341" i="6"/>
  <c r="AT305" i="6"/>
  <c r="AT338" i="6"/>
  <c r="AT308" i="6"/>
  <c r="J15" i="6"/>
  <c r="J18" i="6"/>
  <c r="J17" i="6"/>
  <c r="J251" i="6"/>
  <c r="J258" i="6"/>
  <c r="J247" i="6"/>
  <c r="J256" i="6"/>
  <c r="J249" i="6"/>
  <c r="J259" i="6"/>
  <c r="J254" i="6"/>
  <c r="J271" i="6"/>
  <c r="J269" i="6"/>
  <c r="J260" i="6"/>
  <c r="J267" i="6"/>
  <c r="J261" i="6"/>
  <c r="J273" i="6"/>
  <c r="AY377" i="6"/>
  <c r="AZ377" i="6" s="1"/>
  <c r="AY376" i="6"/>
  <c r="AZ376" i="6" s="1"/>
  <c r="AY374" i="6"/>
  <c r="J154" i="6"/>
  <c r="J139" i="6"/>
  <c r="J135" i="6"/>
  <c r="J144" i="6"/>
  <c r="J161" i="6"/>
  <c r="J138" i="6"/>
  <c r="J155" i="6"/>
  <c r="J151" i="6"/>
  <c r="J145" i="6"/>
  <c r="J134" i="6"/>
  <c r="J140" i="6"/>
  <c r="J148" i="6"/>
  <c r="J147" i="6"/>
  <c r="AT30" i="6"/>
  <c r="AT50" i="6"/>
  <c r="AT31" i="6"/>
  <c r="AT43" i="6"/>
  <c r="AT69" i="6"/>
  <c r="AZ69" i="6" s="1"/>
  <c r="AT70" i="6"/>
  <c r="AT45" i="6"/>
  <c r="AT48" i="6"/>
  <c r="AT22" i="6"/>
  <c r="AT72" i="6"/>
  <c r="AT39" i="6"/>
  <c r="AT38" i="6"/>
  <c r="AT56" i="6"/>
  <c r="AT52" i="6"/>
  <c r="AT37" i="6"/>
  <c r="AT67" i="6"/>
  <c r="AT73" i="6"/>
  <c r="AT47" i="6"/>
  <c r="AT57" i="6"/>
  <c r="AT28" i="6"/>
  <c r="AT44" i="6"/>
  <c r="AT58" i="6"/>
  <c r="AT35" i="6"/>
  <c r="AT40" i="6"/>
  <c r="AT60" i="6"/>
  <c r="AT49" i="6"/>
  <c r="AT29" i="6"/>
  <c r="J99" i="6"/>
  <c r="J101" i="6"/>
  <c r="J98" i="6"/>
  <c r="J96" i="6"/>
  <c r="J104" i="6"/>
  <c r="J97" i="6"/>
  <c r="J210" i="6"/>
  <c r="J214" i="6"/>
  <c r="J209" i="6"/>
  <c r="J199" i="6"/>
  <c r="J204" i="6"/>
  <c r="J213" i="6"/>
  <c r="J200" i="6"/>
  <c r="J190" i="6"/>
  <c r="J198" i="6"/>
  <c r="J207" i="6"/>
  <c r="J197" i="6"/>
  <c r="J216" i="6"/>
  <c r="J208" i="6"/>
  <c r="J355" i="6"/>
  <c r="J346" i="6"/>
  <c r="J345" i="6"/>
  <c r="J341" i="6"/>
  <c r="J343" i="6"/>
  <c r="J330" i="6"/>
  <c r="J331" i="6"/>
  <c r="J337" i="6"/>
  <c r="J348" i="6"/>
  <c r="J354" i="6"/>
  <c r="J333" i="6"/>
  <c r="J344" i="6"/>
  <c r="J350" i="6"/>
  <c r="J293" i="6"/>
  <c r="J280" i="6"/>
  <c r="J281" i="6"/>
  <c r="J298" i="6"/>
  <c r="J288" i="6"/>
  <c r="J291" i="6"/>
  <c r="J283" i="6"/>
  <c r="J292" i="6"/>
  <c r="J277" i="6"/>
  <c r="J276" i="6"/>
  <c r="J297" i="6"/>
  <c r="J300" i="6"/>
  <c r="J294" i="6"/>
  <c r="BH188" i="6"/>
  <c r="BH228" i="6"/>
  <c r="BH361" i="6"/>
  <c r="BH161" i="6"/>
  <c r="BH158" i="6"/>
  <c r="BH34" i="6"/>
  <c r="BH200" i="6"/>
  <c r="BH15" i="6"/>
  <c r="BH240" i="6"/>
  <c r="BH51" i="6"/>
  <c r="BH223" i="6"/>
  <c r="BH286" i="6"/>
  <c r="BH107" i="6"/>
  <c r="BH326" i="6"/>
  <c r="BH98" i="6"/>
  <c r="BH20" i="6"/>
  <c r="BH310" i="6"/>
  <c r="BH192" i="6"/>
  <c r="BH278" i="6"/>
  <c r="BH290" i="6"/>
  <c r="BH232" i="6"/>
  <c r="BH379" i="6"/>
  <c r="BH331" i="6"/>
  <c r="BH272" i="6"/>
  <c r="BH319" i="6"/>
  <c r="BH195" i="6"/>
  <c r="BH102" i="6"/>
  <c r="BH88" i="6"/>
  <c r="BH265" i="6"/>
  <c r="BH313" i="6"/>
  <c r="BH18" i="6"/>
  <c r="BF18" i="1"/>
  <c r="F14" i="18"/>
  <c r="A15" i="19"/>
  <c r="A39" i="19" s="1"/>
  <c r="Y14" i="18"/>
  <c r="L1" i="18"/>
  <c r="O17" i="1"/>
  <c r="E17" i="1" s="1"/>
  <c r="O9" i="16"/>
  <c r="AJ16" i="16" s="1"/>
  <c r="BH263" i="6"/>
  <c r="BH35" i="6"/>
  <c r="BH136" i="6"/>
  <c r="BH212" i="6"/>
  <c r="BH117" i="6"/>
  <c r="BH375" i="6"/>
  <c r="BH177" i="6"/>
  <c r="BH99" i="6"/>
  <c r="BH289" i="6"/>
  <c r="BH181" i="6"/>
  <c r="BH316" i="6"/>
  <c r="BH153" i="6"/>
  <c r="BH64" i="6"/>
  <c r="BH353" i="6"/>
  <c r="BH266" i="6"/>
  <c r="BH90" i="6"/>
  <c r="BH251" i="6"/>
  <c r="BH31" i="6"/>
  <c r="BH332" i="6"/>
  <c r="BH167" i="6"/>
  <c r="BH75" i="6"/>
  <c r="BH93" i="6"/>
  <c r="BH171" i="6"/>
  <c r="BH208" i="6"/>
  <c r="BH33" i="6"/>
  <c r="BH325" i="6"/>
  <c r="BH82" i="6"/>
  <c r="BH348" i="6"/>
  <c r="BH110" i="6"/>
  <c r="BH338" i="6"/>
  <c r="BH95" i="6"/>
  <c r="BH112" i="6"/>
  <c r="BH374" i="6"/>
  <c r="BH16" i="6"/>
  <c r="BH191" i="6"/>
  <c r="BH138" i="6"/>
  <c r="BH253" i="6"/>
  <c r="BH309" i="6"/>
  <c r="BH222" i="6"/>
  <c r="BH141" i="6"/>
  <c r="BH320" i="6"/>
  <c r="BH28" i="6"/>
  <c r="BH296" i="6"/>
  <c r="BH151" i="6"/>
  <c r="BH271" i="6"/>
  <c r="BH166" i="6"/>
  <c r="BH150" i="6"/>
  <c r="BH108" i="6"/>
  <c r="BH219" i="6"/>
  <c r="BH233" i="6"/>
  <c r="BH206" i="6"/>
  <c r="BH302" i="6"/>
  <c r="BH145" i="6"/>
  <c r="BH94" i="6"/>
  <c r="BH354" i="6"/>
  <c r="BH295" i="6"/>
  <c r="BH357" i="6"/>
  <c r="BH168" i="6"/>
  <c r="BH372" i="6"/>
  <c r="D13" i="7"/>
  <c r="BR13" i="7"/>
  <c r="BH226" i="6"/>
  <c r="BH152" i="6"/>
  <c r="BH130" i="6"/>
  <c r="BH250" i="6"/>
  <c r="BH333" i="6"/>
  <c r="BH246" i="6"/>
  <c r="BH182" i="6"/>
  <c r="BH106" i="6"/>
  <c r="BH328" i="6"/>
  <c r="BH132" i="6"/>
  <c r="BH155" i="6"/>
  <c r="BH241" i="6"/>
  <c r="BH189" i="6"/>
  <c r="BH49" i="6"/>
  <c r="BH314" i="6"/>
  <c r="BH133" i="6"/>
  <c r="BH352" i="6"/>
  <c r="BH114" i="6"/>
  <c r="BH202" i="6"/>
  <c r="BH42" i="6"/>
  <c r="BH111" i="6"/>
  <c r="BH178" i="6"/>
  <c r="BH76" i="6"/>
  <c r="BH96" i="6"/>
  <c r="BH194" i="6"/>
  <c r="BH55" i="6"/>
  <c r="BH30" i="6"/>
  <c r="BH47" i="6"/>
  <c r="BH119" i="6"/>
  <c r="BH37" i="6"/>
  <c r="BH74" i="6"/>
  <c r="L12" i="16"/>
  <c r="L15" i="16" s="1"/>
  <c r="BH24" i="6"/>
  <c r="BH285" i="6"/>
  <c r="BH346" i="6"/>
  <c r="BH298" i="6"/>
  <c r="BH201" i="6"/>
  <c r="BH299" i="6"/>
  <c r="BH301" i="6"/>
  <c r="BH163" i="6"/>
  <c r="BH292" i="6"/>
  <c r="BH25" i="6"/>
  <c r="BH288" i="6"/>
  <c r="E7" i="15"/>
  <c r="L12" i="17"/>
  <c r="BH297" i="6"/>
  <c r="BH300" i="6"/>
  <c r="BH127" i="6"/>
  <c r="BH312" i="6"/>
  <c r="BH164" i="6"/>
  <c r="BH269" i="6"/>
  <c r="BH109" i="6"/>
  <c r="BH187" i="6"/>
  <c r="BH165" i="6"/>
  <c r="BH351" i="6"/>
  <c r="BH324" i="6"/>
  <c r="BH214" i="6"/>
  <c r="BH207" i="6"/>
  <c r="BH193" i="6"/>
  <c r="BH115" i="6"/>
  <c r="BH355" i="6"/>
  <c r="BH149" i="6"/>
  <c r="BH81" i="6"/>
  <c r="BH225" i="6"/>
  <c r="BH38" i="6"/>
  <c r="BH72" i="6"/>
  <c r="BH97" i="6"/>
  <c r="BH70" i="6"/>
  <c r="BH304" i="6"/>
  <c r="BH347" i="6"/>
  <c r="BH156" i="6"/>
  <c r="BH84" i="6"/>
  <c r="BH342" i="6"/>
  <c r="BH67" i="6"/>
  <c r="BH61" i="6"/>
  <c r="BH275" i="6"/>
  <c r="BH238" i="6"/>
  <c r="BH378" i="6"/>
  <c r="BH303" i="6"/>
  <c r="BH198" i="6"/>
  <c r="BH294" i="6"/>
  <c r="BH264" i="6"/>
  <c r="BH100" i="6"/>
  <c r="BH172" i="6"/>
  <c r="BH330" i="6"/>
  <c r="BH270" i="6"/>
  <c r="BH63" i="6"/>
  <c r="BH17" i="6"/>
  <c r="BH315" i="6"/>
  <c r="BH140" i="6"/>
  <c r="BH306" i="6"/>
  <c r="BH68" i="6"/>
  <c r="BH243" i="6"/>
  <c r="BH123" i="6"/>
  <c r="BH341" i="6"/>
  <c r="BH128" i="6"/>
  <c r="BH230" i="6"/>
  <c r="BH184" i="6"/>
  <c r="BH235" i="6"/>
  <c r="BH317" i="6"/>
  <c r="BH236" i="6"/>
  <c r="BH284" i="6"/>
  <c r="BH173" i="6"/>
  <c r="BH234" i="6"/>
  <c r="BH43" i="6"/>
  <c r="BH258" i="6"/>
  <c r="BH26" i="6"/>
  <c r="BH157" i="6"/>
  <c r="BH305" i="6"/>
  <c r="BH203" i="6"/>
  <c r="BH336" i="6"/>
  <c r="BH186" i="6"/>
  <c r="BH327" i="6"/>
  <c r="BH216" i="6"/>
  <c r="BH83" i="6"/>
  <c r="BH245" i="6"/>
  <c r="BH23" i="6"/>
  <c r="BH231" i="6"/>
  <c r="BH143" i="6"/>
  <c r="BH73" i="6"/>
  <c r="BH217" i="6"/>
  <c r="BH311" i="6"/>
  <c r="BH204" i="6"/>
  <c r="BH224" i="6"/>
  <c r="BH277" i="6"/>
  <c r="BH69" i="6"/>
  <c r="BH36" i="6"/>
  <c r="BH262" i="6"/>
  <c r="BH104" i="6"/>
  <c r="BH256" i="6"/>
  <c r="BH248" i="6"/>
  <c r="BH146" i="6"/>
  <c r="BH22" i="6"/>
  <c r="BH267" i="6"/>
  <c r="BH78" i="6"/>
  <c r="BH377" i="6"/>
  <c r="BH373" i="6"/>
  <c r="BH60" i="6"/>
  <c r="BH273" i="6"/>
  <c r="BH170" i="6"/>
  <c r="BH199" i="6"/>
  <c r="BH370" i="6"/>
  <c r="BH249" i="6"/>
  <c r="BH345" i="6"/>
  <c r="BH337" i="6"/>
  <c r="BH260" i="6"/>
  <c r="BH21" i="6"/>
  <c r="BH365" i="6"/>
  <c r="BH283" i="6"/>
  <c r="BH154" i="6"/>
  <c r="BH122" i="6"/>
  <c r="BH196" i="6"/>
  <c r="BH144" i="6"/>
  <c r="BH139" i="6"/>
  <c r="BH205" i="6"/>
  <c r="BH215" i="6"/>
  <c r="BH244" i="6"/>
  <c r="BH340" i="6"/>
  <c r="BH77" i="6"/>
  <c r="BH85" i="6"/>
  <c r="BH287" i="6"/>
  <c r="BH220" i="6"/>
  <c r="BH129" i="6"/>
  <c r="BH293" i="6"/>
  <c r="BH371" i="6"/>
  <c r="BH19" i="6"/>
  <c r="BH92" i="6"/>
  <c r="BH29" i="6"/>
  <c r="BH190" i="6"/>
  <c r="BH53" i="6"/>
  <c r="BH134" i="6"/>
  <c r="BH162" i="6"/>
  <c r="BH369" i="6"/>
  <c r="BH57" i="6"/>
  <c r="BH254" i="6"/>
  <c r="BH126" i="6"/>
  <c r="BH40" i="6"/>
  <c r="BH366" i="6"/>
  <c r="BH349" i="6"/>
  <c r="BH350" i="6"/>
  <c r="BH62" i="6"/>
  <c r="BH79" i="6"/>
  <c r="BH131" i="6"/>
  <c r="BH169" i="6"/>
  <c r="BH247" i="6"/>
  <c r="BH282" i="6"/>
  <c r="BH280" i="6"/>
  <c r="BH32" i="6"/>
  <c r="BH180" i="6"/>
  <c r="BH197" i="6"/>
  <c r="BH142" i="6"/>
  <c r="BH229" i="6"/>
  <c r="BH44" i="6"/>
  <c r="BH183" i="6"/>
  <c r="BH358" i="6"/>
  <c r="BH367" i="6"/>
  <c r="BH52" i="6"/>
  <c r="BH147" i="6"/>
  <c r="BH291" i="6"/>
  <c r="BH66" i="6"/>
  <c r="BH65" i="6"/>
  <c r="BH237" i="6"/>
  <c r="BH307" i="6"/>
  <c r="BH261" i="6"/>
  <c r="BH255" i="6"/>
  <c r="BH334" i="6"/>
  <c r="BH376" i="6"/>
  <c r="BH58" i="6"/>
  <c r="BH148" i="6"/>
  <c r="BH329" i="6"/>
  <c r="BH380" i="6"/>
  <c r="BH176" i="6"/>
  <c r="BH218" i="6"/>
  <c r="BH279" i="6"/>
  <c r="BH308" i="6"/>
  <c r="BH86" i="6"/>
  <c r="BH321" i="6"/>
  <c r="BH359" i="6"/>
  <c r="BH322" i="6"/>
  <c r="BH45" i="6"/>
  <c r="BH54" i="6"/>
  <c r="BH362" i="6"/>
  <c r="BH56" i="6"/>
  <c r="BH124" i="6"/>
  <c r="BH80" i="6"/>
  <c r="BH335" i="6"/>
  <c r="BH360" i="6"/>
  <c r="BH113" i="6"/>
  <c r="BH210" i="6"/>
  <c r="BH259" i="6"/>
  <c r="BH59" i="6"/>
  <c r="BH125" i="6"/>
  <c r="BH41" i="6"/>
  <c r="BH363" i="6"/>
  <c r="BH91" i="6"/>
  <c r="BH137" i="6"/>
  <c r="BH274" i="6"/>
  <c r="AK15" i="1"/>
  <c r="F8" i="1"/>
  <c r="AK380" i="1"/>
  <c r="P12" i="1"/>
  <c r="AK16" i="1"/>
  <c r="L11" i="17"/>
  <c r="L16" i="17" s="1"/>
  <c r="AJ380" i="15"/>
  <c r="F7" i="15"/>
  <c r="H13" i="7"/>
  <c r="BH46" i="6"/>
  <c r="BH135" i="6"/>
  <c r="BH209" i="6"/>
  <c r="BH50" i="6"/>
  <c r="BH87" i="6"/>
  <c r="BH339" i="6"/>
  <c r="BH118" i="6"/>
  <c r="BH356" i="6"/>
  <c r="BH175" i="6"/>
  <c r="BH71" i="6"/>
  <c r="BH239" i="6"/>
  <c r="BH344" i="6"/>
  <c r="BH364" i="6"/>
  <c r="A17" i="15"/>
  <c r="K16" i="15"/>
  <c r="AB16" i="15"/>
  <c r="X16" i="15"/>
  <c r="L16" i="15"/>
  <c r="AJ16" i="15"/>
  <c r="P11" i="15"/>
  <c r="H15" i="7"/>
  <c r="P76" i="27"/>
  <c r="G39" i="27" s="1"/>
  <c r="AE75" i="27"/>
  <c r="N15" i="7"/>
  <c r="P11" i="16"/>
  <c r="A17" i="16"/>
  <c r="X16" i="16"/>
  <c r="L16" i="16"/>
  <c r="AK16" i="16"/>
  <c r="AB16" i="16"/>
  <c r="K16" i="16"/>
  <c r="O11" i="7"/>
  <c r="Q11" i="16" s="1"/>
  <c r="Y14" i="20"/>
  <c r="AE3" i="7"/>
  <c r="A15" i="20"/>
  <c r="V14" i="20"/>
  <c r="F6" i="6"/>
  <c r="L1" i="20"/>
  <c r="J1" i="22"/>
  <c r="A16" i="19"/>
  <c r="A40" i="19" s="1"/>
  <c r="X1" i="20"/>
  <c r="F14" i="20"/>
  <c r="X15" i="18"/>
  <c r="AB15" i="18"/>
  <c r="K15" i="18"/>
  <c r="A16" i="18"/>
  <c r="K18" i="1"/>
  <c r="D18" i="1"/>
  <c r="A19" i="1"/>
  <c r="X18" i="1"/>
  <c r="AC18" i="1"/>
  <c r="AK18" i="1"/>
  <c r="AJ18" i="1"/>
  <c r="AB18" i="1"/>
  <c r="O18" i="1"/>
  <c r="AB16" i="17"/>
  <c r="K16" i="17"/>
  <c r="X16" i="17"/>
  <c r="A17" i="17"/>
  <c r="P11" i="17"/>
  <c r="AK16" i="17" s="1"/>
  <c r="E8" i="15"/>
  <c r="K12" i="19" s="1"/>
  <c r="K36" i="19" s="1"/>
  <c r="N13" i="7" l="1"/>
  <c r="AX12" i="6"/>
  <c r="AX13" i="6"/>
  <c r="AS12" i="6"/>
  <c r="AS13" i="6"/>
  <c r="AJ15" i="16"/>
  <c r="F7" i="16"/>
  <c r="AC12" i="16" s="1"/>
  <c r="AY21" i="6"/>
  <c r="AZ21" i="6" s="1"/>
  <c r="AY30" i="6"/>
  <c r="AZ30" i="6" s="1"/>
  <c r="AY22" i="6"/>
  <c r="AZ22" i="6" s="1"/>
  <c r="AY60" i="6"/>
  <c r="AY33" i="6"/>
  <c r="AY23" i="6"/>
  <c r="AZ23" i="6" s="1"/>
  <c r="AY63" i="6"/>
  <c r="AZ63" i="6" s="1"/>
  <c r="AY40" i="6"/>
  <c r="AZ40" i="6" s="1"/>
  <c r="AZ380" i="6"/>
  <c r="AZ71" i="6"/>
  <c r="AZ33" i="6"/>
  <c r="AZ65" i="6"/>
  <c r="AZ75" i="6"/>
  <c r="J375" i="6"/>
  <c r="BB375" i="1" s="1"/>
  <c r="AZ73" i="6"/>
  <c r="AZ379" i="6"/>
  <c r="AY29" i="6"/>
  <c r="AZ29" i="6" s="1"/>
  <c r="AY24" i="6"/>
  <c r="AY16" i="6"/>
  <c r="AZ16" i="6" s="1"/>
  <c r="AY32" i="6"/>
  <c r="AZ32" i="6" s="1"/>
  <c r="AY15" i="6"/>
  <c r="AZ15" i="6" s="1"/>
  <c r="AY62" i="6"/>
  <c r="AZ62" i="6" s="1"/>
  <c r="AY41" i="6"/>
  <c r="AZ41" i="6" s="1"/>
  <c r="AY49" i="6"/>
  <c r="AZ49" i="6" s="1"/>
  <c r="J372" i="6"/>
  <c r="BB372" i="1" s="1"/>
  <c r="AZ319" i="6"/>
  <c r="AZ357" i="6"/>
  <c r="AZ339" i="6"/>
  <c r="AZ328" i="6"/>
  <c r="AZ24" i="6"/>
  <c r="J379" i="6"/>
  <c r="J373" i="6"/>
  <c r="AZ67" i="6"/>
  <c r="AZ72" i="6"/>
  <c r="AY34" i="6"/>
  <c r="AZ34" i="6" s="1"/>
  <c r="AY17" i="6"/>
  <c r="AZ17" i="6" s="1"/>
  <c r="AY31" i="6"/>
  <c r="AZ31" i="6" s="1"/>
  <c r="AY19" i="6"/>
  <c r="AZ19" i="6" s="1"/>
  <c r="AY27" i="6"/>
  <c r="AZ27" i="6" s="1"/>
  <c r="AZ83" i="6"/>
  <c r="AZ77" i="6"/>
  <c r="AY25" i="6"/>
  <c r="AZ25" i="6" s="1"/>
  <c r="AY18" i="6"/>
  <c r="AZ18" i="6" s="1"/>
  <c r="AY26" i="6"/>
  <c r="AZ26" i="6" s="1"/>
  <c r="AY28" i="6"/>
  <c r="AZ28" i="6" s="1"/>
  <c r="AY35" i="6"/>
  <c r="AZ35" i="6" s="1"/>
  <c r="AY20" i="6"/>
  <c r="AZ20" i="6" s="1"/>
  <c r="AY37" i="6"/>
  <c r="AZ37" i="6" s="1"/>
  <c r="AY57" i="6"/>
  <c r="AZ57" i="6" s="1"/>
  <c r="AY44" i="6"/>
  <c r="AZ44" i="6" s="1"/>
  <c r="AY48" i="6"/>
  <c r="AZ48" i="6" s="1"/>
  <c r="AY61" i="6"/>
  <c r="AZ61" i="6" s="1"/>
  <c r="AY58" i="6"/>
  <c r="AZ58" i="6" s="1"/>
  <c r="AY47" i="6"/>
  <c r="AZ47" i="6" s="1"/>
  <c r="AY56" i="6"/>
  <c r="AZ56" i="6" s="1"/>
  <c r="J376" i="6"/>
  <c r="J380" i="6"/>
  <c r="J378" i="6"/>
  <c r="BB378" i="1" s="1"/>
  <c r="J377" i="6"/>
  <c r="BB377" i="1" s="1"/>
  <c r="E18" i="1"/>
  <c r="AZ66" i="6"/>
  <c r="AZ74" i="6"/>
  <c r="AZ330" i="6"/>
  <c r="AJ380" i="6" s="1"/>
  <c r="AJ381" i="6" s="1"/>
  <c r="AZ68" i="6"/>
  <c r="AZ76" i="6"/>
  <c r="BK374" i="1"/>
  <c r="AZ64" i="6"/>
  <c r="Q380" i="6" s="1"/>
  <c r="Q381" i="6" s="1"/>
  <c r="AZ70" i="6"/>
  <c r="AZ356" i="6"/>
  <c r="AZ324" i="6"/>
  <c r="AZ348" i="6"/>
  <c r="AZ320" i="6"/>
  <c r="AZ329" i="6"/>
  <c r="AZ355" i="6"/>
  <c r="AZ343" i="6"/>
  <c r="AZ318" i="6"/>
  <c r="AZ372" i="6"/>
  <c r="AM380" i="6" s="1"/>
  <c r="AM381" i="6" s="1"/>
  <c r="AZ373" i="6"/>
  <c r="AZ323" i="6"/>
  <c r="AZ342" i="6"/>
  <c r="AZ326" i="6"/>
  <c r="AZ360" i="6"/>
  <c r="AZ370" i="6"/>
  <c r="AZ361" i="6"/>
  <c r="AZ362" i="6"/>
  <c r="AZ365" i="6"/>
  <c r="AZ364" i="6"/>
  <c r="AZ375" i="6"/>
  <c r="AT258" i="6"/>
  <c r="AZ46" i="6"/>
  <c r="AY45" i="6"/>
  <c r="AZ45" i="6" s="1"/>
  <c r="AT129" i="6"/>
  <c r="AZ129" i="6" s="1"/>
  <c r="AT103" i="6"/>
  <c r="AZ103" i="6" s="1"/>
  <c r="AT106" i="6"/>
  <c r="AZ106" i="6" s="1"/>
  <c r="T380" i="6" s="1"/>
  <c r="T381" i="6" s="1"/>
  <c r="AT91" i="6"/>
  <c r="AZ91" i="6" s="1"/>
  <c r="AT108" i="6"/>
  <c r="AZ108" i="6" s="1"/>
  <c r="AT126" i="6"/>
  <c r="AZ126" i="6" s="1"/>
  <c r="AT128" i="6"/>
  <c r="AZ128" i="6" s="1"/>
  <c r="AT86" i="6"/>
  <c r="AZ86" i="6" s="1"/>
  <c r="AT80" i="6"/>
  <c r="AZ80" i="6" s="1"/>
  <c r="AT131" i="6"/>
  <c r="AZ131" i="6" s="1"/>
  <c r="AT96" i="6"/>
  <c r="AZ96" i="6" s="1"/>
  <c r="AT127" i="6"/>
  <c r="AZ127" i="6" s="1"/>
  <c r="AT122" i="6"/>
  <c r="AZ122" i="6" s="1"/>
  <c r="AT117" i="6"/>
  <c r="AZ117" i="6" s="1"/>
  <c r="AT279" i="6"/>
  <c r="AT253" i="6"/>
  <c r="AT278" i="6"/>
  <c r="AT297" i="6"/>
  <c r="AZ297" i="6" s="1"/>
  <c r="AT270" i="6"/>
  <c r="AT257" i="6"/>
  <c r="AT252" i="6"/>
  <c r="AT289" i="6"/>
  <c r="AT282" i="6"/>
  <c r="AT298" i="6"/>
  <c r="AT248" i="6"/>
  <c r="AT260" i="6"/>
  <c r="AT292" i="6"/>
  <c r="AT287" i="6"/>
  <c r="AY39" i="6"/>
  <c r="AZ39" i="6" s="1"/>
  <c r="AY43" i="6"/>
  <c r="AZ43" i="6" s="1"/>
  <c r="AY36" i="6"/>
  <c r="AZ36" i="6" s="1"/>
  <c r="O380" i="6" s="1"/>
  <c r="O381" i="6" s="1"/>
  <c r="AY38" i="6"/>
  <c r="AZ38" i="6" s="1"/>
  <c r="AT191" i="6"/>
  <c r="AZ191" i="6" s="1"/>
  <c r="AT203" i="6"/>
  <c r="AZ203" i="6" s="1"/>
  <c r="AT212" i="6"/>
  <c r="AT195" i="6"/>
  <c r="AZ195" i="6" s="1"/>
  <c r="AT205" i="6"/>
  <c r="AT207" i="6"/>
  <c r="AT208" i="6"/>
  <c r="AT204" i="6"/>
  <c r="AT230" i="6"/>
  <c r="AT238" i="6"/>
  <c r="AT236" i="6"/>
  <c r="AT221" i="6"/>
  <c r="AT224" i="6"/>
  <c r="AT235" i="6"/>
  <c r="AZ317" i="6"/>
  <c r="AZ335" i="6"/>
  <c r="AZ332" i="6"/>
  <c r="AT112" i="6"/>
  <c r="AZ112" i="6" s="1"/>
  <c r="AT97" i="6"/>
  <c r="AZ97" i="6" s="1"/>
  <c r="AT115" i="6"/>
  <c r="AZ115" i="6" s="1"/>
  <c r="AT99" i="6"/>
  <c r="AZ99" i="6" s="1"/>
  <c r="AT98" i="6"/>
  <c r="AZ98" i="6" s="1"/>
  <c r="AT94" i="6"/>
  <c r="AZ94" i="6" s="1"/>
  <c r="AT110" i="6"/>
  <c r="AZ110" i="6" s="1"/>
  <c r="AT78" i="6"/>
  <c r="AZ78" i="6" s="1"/>
  <c r="R380" i="6" s="1"/>
  <c r="R381" i="6" s="1"/>
  <c r="AT90" i="6"/>
  <c r="AZ90" i="6" s="1"/>
  <c r="AT102" i="6"/>
  <c r="AZ102" i="6" s="1"/>
  <c r="AT81" i="6"/>
  <c r="AZ81" i="6" s="1"/>
  <c r="AT105" i="6"/>
  <c r="AZ105" i="6" s="1"/>
  <c r="AT120" i="6"/>
  <c r="AZ120" i="6" s="1"/>
  <c r="U380" i="6" s="1"/>
  <c r="U381" i="6" s="1"/>
  <c r="AT113" i="6"/>
  <c r="AZ113" i="6" s="1"/>
  <c r="AT255" i="6"/>
  <c r="AT267" i="6"/>
  <c r="AT274" i="6"/>
  <c r="AT263" i="6"/>
  <c r="AT294" i="6"/>
  <c r="AT300" i="6"/>
  <c r="AT261" i="6"/>
  <c r="AT283" i="6"/>
  <c r="AT262" i="6"/>
  <c r="AT285" i="6"/>
  <c r="AT268" i="6"/>
  <c r="AT249" i="6"/>
  <c r="AT286" i="6"/>
  <c r="AY52" i="6"/>
  <c r="AZ52" i="6" s="1"/>
  <c r="AY51" i="6"/>
  <c r="AZ51" i="6" s="1"/>
  <c r="AT192" i="6"/>
  <c r="AZ192" i="6" s="1"/>
  <c r="AT199" i="6"/>
  <c r="AZ199" i="6" s="1"/>
  <c r="AT202" i="6"/>
  <c r="AZ202" i="6" s="1"/>
  <c r="AT215" i="6"/>
  <c r="AT237" i="6"/>
  <c r="AT210" i="6"/>
  <c r="AT193" i="6"/>
  <c r="AZ193" i="6" s="1"/>
  <c r="AT234" i="6"/>
  <c r="AT240" i="6"/>
  <c r="AT244" i="6"/>
  <c r="AT243" i="6"/>
  <c r="AT242" i="6"/>
  <c r="AT229" i="6"/>
  <c r="AT227" i="6"/>
  <c r="AZ331" i="6"/>
  <c r="AZ347" i="6"/>
  <c r="AZ349" i="6"/>
  <c r="AZ352" i="6"/>
  <c r="AZ150" i="6"/>
  <c r="AY212" i="6"/>
  <c r="AY227" i="6"/>
  <c r="AY211" i="6"/>
  <c r="AY209" i="6"/>
  <c r="AY228" i="6"/>
  <c r="AY233" i="6"/>
  <c r="AY229" i="6"/>
  <c r="AY213" i="6"/>
  <c r="AY250" i="6"/>
  <c r="AY208" i="6"/>
  <c r="AY256" i="6"/>
  <c r="AY206" i="6"/>
  <c r="AY217" i="6"/>
  <c r="AY218" i="6"/>
  <c r="AY232" i="6"/>
  <c r="AY205" i="6"/>
  <c r="AY242" i="6"/>
  <c r="AY245" i="6"/>
  <c r="AY243" i="6"/>
  <c r="AY238" i="6"/>
  <c r="AY219" i="6"/>
  <c r="AZ219" i="6" s="1"/>
  <c r="AY239" i="6"/>
  <c r="AY215" i="6"/>
  <c r="AY234" i="6"/>
  <c r="AY221" i="6"/>
  <c r="AY222" i="6"/>
  <c r="AY255" i="6"/>
  <c r="AY204" i="6"/>
  <c r="AT139" i="6"/>
  <c r="AZ139" i="6" s="1"/>
  <c r="AT184" i="6"/>
  <c r="AZ184" i="6" s="1"/>
  <c r="AT149" i="6"/>
  <c r="AZ149" i="6" s="1"/>
  <c r="AT169" i="6"/>
  <c r="AZ169" i="6" s="1"/>
  <c r="AT135" i="6"/>
  <c r="AZ135" i="6" s="1"/>
  <c r="AT146" i="6"/>
  <c r="AZ146" i="6" s="1"/>
  <c r="AT158" i="6"/>
  <c r="AZ158" i="6" s="1"/>
  <c r="AT148" i="6"/>
  <c r="AZ148" i="6" s="1"/>
  <c r="W380" i="6" s="1"/>
  <c r="W381" i="6" s="1"/>
  <c r="AT189" i="6"/>
  <c r="AZ189" i="6" s="1"/>
  <c r="AT177" i="6"/>
  <c r="AZ177" i="6" s="1"/>
  <c r="AT142" i="6"/>
  <c r="AZ142" i="6" s="1"/>
  <c r="AT157" i="6"/>
  <c r="AZ157" i="6" s="1"/>
  <c r="AT168" i="6"/>
  <c r="AZ168" i="6" s="1"/>
  <c r="AT182" i="6"/>
  <c r="AZ182" i="6" s="1"/>
  <c r="AT187" i="6"/>
  <c r="AZ187" i="6" s="1"/>
  <c r="AT165" i="6"/>
  <c r="AZ165" i="6" s="1"/>
  <c r="AT156" i="6"/>
  <c r="AZ156" i="6" s="1"/>
  <c r="AT180" i="6"/>
  <c r="AZ180" i="6" s="1"/>
  <c r="AT143" i="6"/>
  <c r="AZ143" i="6" s="1"/>
  <c r="AT152" i="6"/>
  <c r="AZ152" i="6" s="1"/>
  <c r="AT159" i="6"/>
  <c r="AZ159" i="6" s="1"/>
  <c r="AT162" i="6"/>
  <c r="AZ162" i="6" s="1"/>
  <c r="X380" i="6" s="1"/>
  <c r="X381" i="6" s="1"/>
  <c r="AT144" i="6"/>
  <c r="AZ144" i="6" s="1"/>
  <c r="AT145" i="6"/>
  <c r="AZ145" i="6" s="1"/>
  <c r="AT166" i="6"/>
  <c r="AZ166" i="6" s="1"/>
  <c r="AT137" i="6"/>
  <c r="AZ137" i="6" s="1"/>
  <c r="AT185" i="6"/>
  <c r="AZ185" i="6" s="1"/>
  <c r="AT160" i="6"/>
  <c r="AZ160" i="6" s="1"/>
  <c r="AY278" i="6"/>
  <c r="AY270" i="6"/>
  <c r="AY300" i="6"/>
  <c r="AY269" i="6"/>
  <c r="AY308" i="6"/>
  <c r="AZ308" i="6" s="1"/>
  <c r="AY261" i="6"/>
  <c r="AY279" i="6"/>
  <c r="AY271" i="6"/>
  <c r="AY299" i="6"/>
  <c r="AY306" i="6"/>
  <c r="AZ306" i="6" s="1"/>
  <c r="AY307" i="6"/>
  <c r="AZ307" i="6" s="1"/>
  <c r="AY280" i="6"/>
  <c r="AY294" i="6"/>
  <c r="AY266" i="6"/>
  <c r="AY289" i="6"/>
  <c r="AY283" i="6"/>
  <c r="AY274" i="6"/>
  <c r="AY282" i="6"/>
  <c r="AY260" i="6"/>
  <c r="AY288" i="6"/>
  <c r="AY275" i="6"/>
  <c r="AZ275" i="6" s="1"/>
  <c r="AY298" i="6"/>
  <c r="AY313" i="6"/>
  <c r="AZ313" i="6" s="1"/>
  <c r="AY302" i="6"/>
  <c r="AZ302" i="6" s="1"/>
  <c r="AH380" i="6" s="1"/>
  <c r="AH381" i="6" s="1"/>
  <c r="AY305" i="6"/>
  <c r="AZ305" i="6" s="1"/>
  <c r="AY285" i="6"/>
  <c r="AY304" i="6"/>
  <c r="AZ304" i="6" s="1"/>
  <c r="AY290" i="6"/>
  <c r="AZ374" i="6"/>
  <c r="AZ344" i="6"/>
  <c r="AK380" i="6" s="1"/>
  <c r="AK381" i="6" s="1"/>
  <c r="AZ350" i="6"/>
  <c r="AZ338" i="6"/>
  <c r="AZ336" i="6"/>
  <c r="AZ325" i="6"/>
  <c r="AZ337" i="6"/>
  <c r="AZ368" i="6"/>
  <c r="AZ341" i="6"/>
  <c r="AZ354" i="6"/>
  <c r="AZ327" i="6"/>
  <c r="AZ351" i="6"/>
  <c r="AZ322" i="6"/>
  <c r="AZ333" i="6"/>
  <c r="AZ345" i="6"/>
  <c r="AZ358" i="6"/>
  <c r="AL380" i="6" s="1"/>
  <c r="AL381" i="6" s="1"/>
  <c r="AZ321" i="6"/>
  <c r="AZ353" i="6"/>
  <c r="AZ340" i="6"/>
  <c r="AZ346" i="6"/>
  <c r="AZ334" i="6"/>
  <c r="AZ316" i="6"/>
  <c r="AI380" i="6" s="1"/>
  <c r="AI381" i="6" s="1"/>
  <c r="AY226" i="6"/>
  <c r="AY251" i="6"/>
  <c r="AY241" i="6"/>
  <c r="AY252" i="6"/>
  <c r="AY230" i="6"/>
  <c r="AY258" i="6"/>
  <c r="AY207" i="6"/>
  <c r="AY210" i="6"/>
  <c r="AY216" i="6"/>
  <c r="AY248" i="6"/>
  <c r="AY223" i="6"/>
  <c r="AY254" i="6"/>
  <c r="AY236" i="6"/>
  <c r="AY237" i="6"/>
  <c r="AY259" i="6"/>
  <c r="AY253" i="6"/>
  <c r="AY220" i="6"/>
  <c r="AY240" i="6"/>
  <c r="AY246" i="6"/>
  <c r="AY224" i="6"/>
  <c r="AY231" i="6"/>
  <c r="AY225" i="6"/>
  <c r="AY247" i="6"/>
  <c r="AY235" i="6"/>
  <c r="AY249" i="6"/>
  <c r="AY244" i="6"/>
  <c r="AY257" i="6"/>
  <c r="AT155" i="6"/>
  <c r="AZ155" i="6" s="1"/>
  <c r="AT163" i="6"/>
  <c r="AZ163" i="6" s="1"/>
  <c r="AT170" i="6"/>
  <c r="AZ170" i="6" s="1"/>
  <c r="AT161" i="6"/>
  <c r="AZ161" i="6" s="1"/>
  <c r="AT179" i="6"/>
  <c r="AZ179" i="6" s="1"/>
  <c r="AT183" i="6"/>
  <c r="AZ183" i="6" s="1"/>
  <c r="AT175" i="6"/>
  <c r="AZ175" i="6" s="1"/>
  <c r="AT141" i="6"/>
  <c r="AZ141" i="6" s="1"/>
  <c r="AT188" i="6"/>
  <c r="AZ188" i="6" s="1"/>
  <c r="AT186" i="6"/>
  <c r="AZ186" i="6" s="1"/>
  <c r="AT154" i="6"/>
  <c r="AZ154" i="6" s="1"/>
  <c r="AT151" i="6"/>
  <c r="AZ151" i="6" s="1"/>
  <c r="AT171" i="6"/>
  <c r="AZ171" i="6" s="1"/>
  <c r="AT178" i="6"/>
  <c r="AZ178" i="6" s="1"/>
  <c r="AT181" i="6"/>
  <c r="AZ181" i="6" s="1"/>
  <c r="AT164" i="6"/>
  <c r="AZ164" i="6" s="1"/>
  <c r="AT167" i="6"/>
  <c r="AZ167" i="6" s="1"/>
  <c r="AT147" i="6"/>
  <c r="AZ147" i="6" s="1"/>
  <c r="AT134" i="6"/>
  <c r="AZ134" i="6" s="1"/>
  <c r="V380" i="6" s="1"/>
  <c r="V381" i="6" s="1"/>
  <c r="AT136" i="6"/>
  <c r="AZ136" i="6" s="1"/>
  <c r="AT174" i="6"/>
  <c r="AZ174" i="6" s="1"/>
  <c r="AT153" i="6"/>
  <c r="AZ153" i="6" s="1"/>
  <c r="AT172" i="6"/>
  <c r="AZ172" i="6" s="1"/>
  <c r="AT138" i="6"/>
  <c r="AZ138" i="6" s="1"/>
  <c r="AT176" i="6"/>
  <c r="AZ176" i="6" s="1"/>
  <c r="Y380" i="6" s="1"/>
  <c r="Y381" i="6" s="1"/>
  <c r="AT173" i="6"/>
  <c r="AZ173" i="6" s="1"/>
  <c r="AT140" i="6"/>
  <c r="AZ140" i="6" s="1"/>
  <c r="AT125" i="6"/>
  <c r="AZ125" i="6" s="1"/>
  <c r="AT104" i="6"/>
  <c r="AZ104" i="6" s="1"/>
  <c r="AT88" i="6"/>
  <c r="AZ88" i="6" s="1"/>
  <c r="AT107" i="6"/>
  <c r="AZ107" i="6" s="1"/>
  <c r="AT100" i="6"/>
  <c r="AZ100" i="6" s="1"/>
  <c r="AT132" i="6"/>
  <c r="AZ132" i="6" s="1"/>
  <c r="AT119" i="6"/>
  <c r="AZ119" i="6" s="1"/>
  <c r="AT95" i="6"/>
  <c r="AZ95" i="6" s="1"/>
  <c r="AT89" i="6"/>
  <c r="AZ89" i="6" s="1"/>
  <c r="AT93" i="6"/>
  <c r="AZ93" i="6" s="1"/>
  <c r="AT133" i="6"/>
  <c r="AZ133" i="6" s="1"/>
  <c r="AT92" i="6"/>
  <c r="AZ92" i="6" s="1"/>
  <c r="S380" i="6" s="1"/>
  <c r="S381" i="6" s="1"/>
  <c r="AT118" i="6"/>
  <c r="AZ118" i="6" s="1"/>
  <c r="AT111" i="6"/>
  <c r="AZ111" i="6" s="1"/>
  <c r="AT84" i="6"/>
  <c r="AZ84" i="6" s="1"/>
  <c r="AT85" i="6"/>
  <c r="AZ85" i="6" s="1"/>
  <c r="AT82" i="6"/>
  <c r="AZ82" i="6" s="1"/>
  <c r="AT121" i="6"/>
  <c r="AZ121" i="6" s="1"/>
  <c r="AT79" i="6"/>
  <c r="AZ79" i="6" s="1"/>
  <c r="AT130" i="6"/>
  <c r="AZ130" i="6" s="1"/>
  <c r="AT116" i="6"/>
  <c r="AZ116" i="6" s="1"/>
  <c r="AT101" i="6"/>
  <c r="AZ101" i="6" s="1"/>
  <c r="AT87" i="6"/>
  <c r="AZ87" i="6" s="1"/>
  <c r="AT123" i="6"/>
  <c r="AZ123" i="6" s="1"/>
  <c r="AT109" i="6"/>
  <c r="AZ109" i="6" s="1"/>
  <c r="AT124" i="6"/>
  <c r="AZ124" i="6" s="1"/>
  <c r="AT114" i="6"/>
  <c r="AZ114" i="6" s="1"/>
  <c r="AY277" i="6"/>
  <c r="AY268" i="6"/>
  <c r="AY276" i="6"/>
  <c r="AY262" i="6"/>
  <c r="AY281" i="6"/>
  <c r="AY296" i="6"/>
  <c r="AY293" i="6"/>
  <c r="AY314" i="6"/>
  <c r="AZ314" i="6" s="1"/>
  <c r="AY286" i="6"/>
  <c r="AY284" i="6"/>
  <c r="AY311" i="6"/>
  <c r="AZ311" i="6" s="1"/>
  <c r="AY267" i="6"/>
  <c r="AY315" i="6"/>
  <c r="AZ315" i="6" s="1"/>
  <c r="AY303" i="6"/>
  <c r="AZ303" i="6" s="1"/>
  <c r="AY292" i="6"/>
  <c r="AY287" i="6"/>
  <c r="AY273" i="6"/>
  <c r="AY264" i="6"/>
  <c r="AY312" i="6"/>
  <c r="AZ312" i="6" s="1"/>
  <c r="AY291" i="6"/>
  <c r="AY301" i="6"/>
  <c r="AY265" i="6"/>
  <c r="AY309" i="6"/>
  <c r="AZ309" i="6" s="1"/>
  <c r="AY263" i="6"/>
  <c r="AY310" i="6"/>
  <c r="AZ310" i="6" s="1"/>
  <c r="AY295" i="6"/>
  <c r="AY272" i="6"/>
  <c r="AT264" i="6"/>
  <c r="AT259" i="6"/>
  <c r="AT296" i="6"/>
  <c r="AT299" i="6"/>
  <c r="AT266" i="6"/>
  <c r="AT277" i="6"/>
  <c r="AT290" i="6"/>
  <c r="AT273" i="6"/>
  <c r="AT254" i="6"/>
  <c r="AT269" i="6"/>
  <c r="AT295" i="6"/>
  <c r="AT281" i="6"/>
  <c r="AT256" i="6"/>
  <c r="AT251" i="6"/>
  <c r="AT246" i="6"/>
  <c r="AT288" i="6"/>
  <c r="AT276" i="6"/>
  <c r="AT271" i="6"/>
  <c r="AT272" i="6"/>
  <c r="AT301" i="6"/>
  <c r="AT280" i="6"/>
  <c r="AT265" i="6"/>
  <c r="AT247" i="6"/>
  <c r="AT250" i="6"/>
  <c r="AT284" i="6"/>
  <c r="AT293" i="6"/>
  <c r="AT291" i="6"/>
  <c r="AZ60" i="6"/>
  <c r="AY54" i="6"/>
  <c r="AZ54" i="6" s="1"/>
  <c r="AY50" i="6"/>
  <c r="AZ50" i="6" s="1"/>
  <c r="P380" i="6" s="1"/>
  <c r="P381" i="6" s="1"/>
  <c r="AY42" i="6"/>
  <c r="AZ42" i="6" s="1"/>
  <c r="AY55" i="6"/>
  <c r="AZ55" i="6" s="1"/>
  <c r="AY59" i="6"/>
  <c r="AZ59" i="6" s="1"/>
  <c r="AY53" i="6"/>
  <c r="AZ53" i="6" s="1"/>
  <c r="AT194" i="6"/>
  <c r="AZ194" i="6" s="1"/>
  <c r="AT197" i="6"/>
  <c r="AZ197" i="6" s="1"/>
  <c r="AT214" i="6"/>
  <c r="AZ214" i="6" s="1"/>
  <c r="AT190" i="6"/>
  <c r="AZ190" i="6" s="1"/>
  <c r="Z380" i="6" s="1"/>
  <c r="Z381" i="6" s="1"/>
  <c r="AT245" i="6"/>
  <c r="AT217" i="6"/>
  <c r="AT196" i="6"/>
  <c r="AZ196" i="6" s="1"/>
  <c r="AT216" i="6"/>
  <c r="AT200" i="6"/>
  <c r="AZ200" i="6" s="1"/>
  <c r="AT201" i="6"/>
  <c r="AZ201" i="6" s="1"/>
  <c r="AT206" i="6"/>
  <c r="AT213" i="6"/>
  <c r="AT211" i="6"/>
  <c r="AT209" i="6"/>
  <c r="AT198" i="6"/>
  <c r="AZ198" i="6" s="1"/>
  <c r="AT222" i="6"/>
  <c r="AT223" i="6"/>
  <c r="AT226" i="6"/>
  <c r="AT239" i="6"/>
  <c r="AT220" i="6"/>
  <c r="AT231" i="6"/>
  <c r="AT225" i="6"/>
  <c r="AT233" i="6"/>
  <c r="AT228" i="6"/>
  <c r="AT241" i="6"/>
  <c r="AT232" i="6"/>
  <c r="AT218" i="6"/>
  <c r="BF19" i="1"/>
  <c r="T15" i="7"/>
  <c r="L12" i="18"/>
  <c r="L15" i="17"/>
  <c r="F8" i="15"/>
  <c r="P12" i="15"/>
  <c r="AK380" i="15"/>
  <c r="AK15" i="15"/>
  <c r="AK16" i="15"/>
  <c r="L11" i="18"/>
  <c r="L11" i="19"/>
  <c r="P10" i="1"/>
  <c r="U10" i="1"/>
  <c r="AE11" i="1"/>
  <c r="Q10" i="1"/>
  <c r="AI11" i="1"/>
  <c r="AJ17" i="15"/>
  <c r="A18" i="15"/>
  <c r="K17" i="15"/>
  <c r="L17" i="15"/>
  <c r="X17" i="15"/>
  <c r="AB17" i="15"/>
  <c r="AK17" i="15"/>
  <c r="O11" i="15"/>
  <c r="J13" i="7" s="1"/>
  <c r="AC9" i="15"/>
  <c r="AC12" i="15"/>
  <c r="O12" i="15"/>
  <c r="K13" i="7" s="1"/>
  <c r="AE76" i="27"/>
  <c r="P77" i="27"/>
  <c r="G40" i="27" s="1"/>
  <c r="X17" i="16"/>
  <c r="A18" i="16"/>
  <c r="L17" i="16"/>
  <c r="AJ17" i="16"/>
  <c r="AB17" i="16"/>
  <c r="K17" i="16"/>
  <c r="AK17" i="16"/>
  <c r="F8" i="16"/>
  <c r="P12" i="16"/>
  <c r="AK15" i="16"/>
  <c r="U11" i="7"/>
  <c r="Q11" i="17" s="1"/>
  <c r="A18" i="17"/>
  <c r="K17" i="17"/>
  <c r="X17" i="17"/>
  <c r="L17" i="17"/>
  <c r="AB17" i="17"/>
  <c r="AK17" i="17"/>
  <c r="X16" i="18"/>
  <c r="A17" i="18"/>
  <c r="AB16" i="18"/>
  <c r="K16" i="18"/>
  <c r="A15" i="22"/>
  <c r="Y14" i="22"/>
  <c r="A17" i="19"/>
  <c r="A41" i="19" s="1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AC10" i="15"/>
  <c r="O10" i="15"/>
  <c r="P12" i="17"/>
  <c r="F8" i="17"/>
  <c r="AK380" i="17"/>
  <c r="AK15" i="17"/>
  <c r="AK19" i="1"/>
  <c r="D19" i="1"/>
  <c r="AJ19" i="1"/>
  <c r="AB19" i="1"/>
  <c r="A20" i="1"/>
  <c r="K19" i="1"/>
  <c r="O19" i="1"/>
  <c r="AC19" i="1"/>
  <c r="X19" i="1"/>
  <c r="AC17" i="15" l="1"/>
  <c r="AC9" i="16"/>
  <c r="N380" i="6"/>
  <c r="N381" i="6" s="1"/>
  <c r="AZ234" i="6"/>
  <c r="AZ227" i="6"/>
  <c r="AZ243" i="6"/>
  <c r="AZ229" i="6"/>
  <c r="AZ261" i="6"/>
  <c r="AZ255" i="6"/>
  <c r="BK375" i="1"/>
  <c r="BK372" i="1"/>
  <c r="BB373" i="1"/>
  <c r="BK373" i="1"/>
  <c r="J12" i="6"/>
  <c r="AZ300" i="6"/>
  <c r="BK378" i="1"/>
  <c r="BB379" i="1"/>
  <c r="BK379" i="1"/>
  <c r="J13" i="6"/>
  <c r="BK377" i="1"/>
  <c r="BB376" i="1"/>
  <c r="BK376" i="1"/>
  <c r="L15" i="18"/>
  <c r="E19" i="1"/>
  <c r="AZ263" i="6"/>
  <c r="AZ267" i="6"/>
  <c r="AZ249" i="6"/>
  <c r="AZ282" i="6"/>
  <c r="AZ270" i="6"/>
  <c r="AZ212" i="6"/>
  <c r="AZ287" i="6"/>
  <c r="AZ257" i="6"/>
  <c r="AZ207" i="6"/>
  <c r="AZ260" i="6"/>
  <c r="AE380" i="6" s="1"/>
  <c r="AE381" i="6" s="1"/>
  <c r="AZ289" i="6"/>
  <c r="AZ204" i="6"/>
  <c r="AA380" i="6" s="1"/>
  <c r="AA381" i="6" s="1"/>
  <c r="AZ238" i="6"/>
  <c r="AZ244" i="6"/>
  <c r="AZ235" i="6"/>
  <c r="AZ253" i="6"/>
  <c r="AZ210" i="6"/>
  <c r="AZ258" i="6"/>
  <c r="AZ285" i="6"/>
  <c r="AZ298" i="6"/>
  <c r="AZ283" i="6"/>
  <c r="AZ221" i="6"/>
  <c r="AZ215" i="6"/>
  <c r="AZ242" i="6"/>
  <c r="AZ292" i="6"/>
  <c r="AZ286" i="6"/>
  <c r="AZ224" i="6"/>
  <c r="AZ240" i="6"/>
  <c r="AZ237" i="6"/>
  <c r="AZ248" i="6"/>
  <c r="AZ252" i="6"/>
  <c r="AZ262" i="6"/>
  <c r="AZ268" i="6"/>
  <c r="AZ236" i="6"/>
  <c r="AZ230" i="6"/>
  <c r="AZ274" i="6"/>
  <c r="AF380" i="6" s="1"/>
  <c r="AF381" i="6" s="1"/>
  <c r="AZ294" i="6"/>
  <c r="AZ279" i="6"/>
  <c r="AZ278" i="6"/>
  <c r="AZ205" i="6"/>
  <c r="AZ208" i="6"/>
  <c r="AZ272" i="6"/>
  <c r="AZ276" i="6"/>
  <c r="AZ254" i="6"/>
  <c r="AZ290" i="6"/>
  <c r="AZ266" i="6"/>
  <c r="AZ280" i="6"/>
  <c r="AZ239" i="6"/>
  <c r="AZ245" i="6"/>
  <c r="AZ218" i="6"/>
  <c r="AB380" i="6" s="1"/>
  <c r="AB381" i="6" s="1"/>
  <c r="AZ206" i="6"/>
  <c r="AZ233" i="6"/>
  <c r="AZ301" i="6"/>
  <c r="AZ273" i="6"/>
  <c r="AZ293" i="6"/>
  <c r="AZ281" i="6"/>
  <c r="AZ277" i="6"/>
  <c r="AY13" i="6"/>
  <c r="AZ225" i="6"/>
  <c r="AZ251" i="6"/>
  <c r="AZ288" i="6"/>
  <c r="AG380" i="6" s="1"/>
  <c r="AG381" i="6" s="1"/>
  <c r="AZ271" i="6"/>
  <c r="AZ269" i="6"/>
  <c r="AT12" i="6"/>
  <c r="AZ222" i="6"/>
  <c r="AZ213" i="6"/>
  <c r="AZ209" i="6"/>
  <c r="AZ295" i="6"/>
  <c r="AZ265" i="6"/>
  <c r="AZ291" i="6"/>
  <c r="AZ264" i="6"/>
  <c r="AZ284" i="6"/>
  <c r="AZ296" i="6"/>
  <c r="AY12" i="6"/>
  <c r="AZ247" i="6"/>
  <c r="AZ231" i="6"/>
  <c r="AZ246" i="6"/>
  <c r="AD380" i="6" s="1"/>
  <c r="AD381" i="6" s="1"/>
  <c r="AZ220" i="6"/>
  <c r="AZ259" i="6"/>
  <c r="AZ223" i="6"/>
  <c r="AZ216" i="6"/>
  <c r="AZ241" i="6"/>
  <c r="AZ226" i="6"/>
  <c r="AZ299" i="6"/>
  <c r="AZ232" i="6"/>
  <c r="AC380" i="6" s="1"/>
  <c r="AC381" i="6" s="1"/>
  <c r="AZ217" i="6"/>
  <c r="AZ256" i="6"/>
  <c r="AZ250" i="6"/>
  <c r="AZ228" i="6"/>
  <c r="AZ211" i="6"/>
  <c r="AT13" i="6"/>
  <c r="O9" i="17"/>
  <c r="AJ18" i="17" s="1"/>
  <c r="BF20" i="1"/>
  <c r="Q19" i="1"/>
  <c r="U19" i="1"/>
  <c r="T19" i="1" s="1"/>
  <c r="S19" i="1" s="1"/>
  <c r="R19" i="1" s="1"/>
  <c r="O12" i="16"/>
  <c r="O11" i="16"/>
  <c r="L16" i="18"/>
  <c r="K18" i="15"/>
  <c r="AJ18" i="15"/>
  <c r="AK18" i="15"/>
  <c r="L18" i="15"/>
  <c r="AC18" i="15"/>
  <c r="AB18" i="15"/>
  <c r="A19" i="15"/>
  <c r="O19" i="15" s="1"/>
  <c r="X18" i="15"/>
  <c r="AE353" i="1"/>
  <c r="AE336" i="1"/>
  <c r="AE334" i="1"/>
  <c r="AE326" i="1"/>
  <c r="AE310" i="1"/>
  <c r="AE274" i="1"/>
  <c r="AE239" i="1"/>
  <c r="AE228" i="1"/>
  <c r="AE213" i="1"/>
  <c r="AE203" i="1"/>
  <c r="AE170" i="1"/>
  <c r="AE164" i="1"/>
  <c r="AE148" i="1"/>
  <c r="AE113" i="1"/>
  <c r="AE105" i="1"/>
  <c r="AE92" i="1"/>
  <c r="AE90" i="1"/>
  <c r="AE42" i="1"/>
  <c r="AE24" i="1"/>
  <c r="AE362" i="1"/>
  <c r="AE280" i="1"/>
  <c r="AE243" i="1"/>
  <c r="AE186" i="1"/>
  <c r="AE182" i="1"/>
  <c r="AE174" i="1"/>
  <c r="AE96" i="1"/>
  <c r="AE49" i="1"/>
  <c r="AE173" i="1"/>
  <c r="AE217" i="1"/>
  <c r="AE136" i="1"/>
  <c r="AE229" i="1"/>
  <c r="AE279" i="1"/>
  <c r="AE83" i="1"/>
  <c r="AE197" i="1"/>
  <c r="AE192" i="1"/>
  <c r="AE159" i="1"/>
  <c r="AE267" i="1"/>
  <c r="AE71" i="1"/>
  <c r="AE124" i="1"/>
  <c r="AE33" i="1"/>
  <c r="AE163" i="1"/>
  <c r="AE343" i="1"/>
  <c r="AE273" i="1"/>
  <c r="AE227" i="1"/>
  <c r="AE117" i="1"/>
  <c r="AE65" i="1"/>
  <c r="AE245" i="1"/>
  <c r="AE225" i="1"/>
  <c r="AE85" i="1"/>
  <c r="AE256" i="1"/>
  <c r="AE84" i="1"/>
  <c r="AE252" i="1"/>
  <c r="AE235" i="1"/>
  <c r="AE43" i="1"/>
  <c r="AE248" i="1"/>
  <c r="AE57" i="1"/>
  <c r="AE27" i="1"/>
  <c r="AE53" i="1"/>
  <c r="AE289" i="1"/>
  <c r="AE285" i="1"/>
  <c r="AE323" i="1"/>
  <c r="AE205" i="1"/>
  <c r="AE330" i="1"/>
  <c r="AE99" i="1"/>
  <c r="AE82" i="1"/>
  <c r="AE304" i="1"/>
  <c r="AE298" i="1"/>
  <c r="AE263" i="1"/>
  <c r="AE220" i="1"/>
  <c r="AE142" i="1"/>
  <c r="AE130" i="1"/>
  <c r="AE73" i="1"/>
  <c r="AE67" i="1"/>
  <c r="AE34" i="1"/>
  <c r="AE89" i="1"/>
  <c r="AE95" i="1"/>
  <c r="AE169" i="1"/>
  <c r="AE107" i="1"/>
  <c r="AE74" i="1"/>
  <c r="AE369" i="1"/>
  <c r="AE341" i="1"/>
  <c r="AE335" i="1"/>
  <c r="AE327" i="1"/>
  <c r="AE317" i="1"/>
  <c r="AE292" i="1"/>
  <c r="AE258" i="1"/>
  <c r="AE238" i="1"/>
  <c r="AE214" i="1"/>
  <c r="AE212" i="1"/>
  <c r="AE200" i="1"/>
  <c r="AE165" i="1"/>
  <c r="AE156" i="1"/>
  <c r="AE118" i="1"/>
  <c r="AE106" i="1"/>
  <c r="AE100" i="1"/>
  <c r="AE91" i="1"/>
  <c r="AE56" i="1"/>
  <c r="AE38" i="1"/>
  <c r="AE373" i="1"/>
  <c r="AE361" i="1"/>
  <c r="AE244" i="1"/>
  <c r="AE232" i="1"/>
  <c r="AE183" i="1"/>
  <c r="AE175" i="1"/>
  <c r="AE152" i="1"/>
  <c r="AE50" i="1"/>
  <c r="AE48" i="1"/>
  <c r="AE221" i="1"/>
  <c r="AE206" i="1"/>
  <c r="AE363" i="1"/>
  <c r="AE23" i="1"/>
  <c r="AE293" i="1"/>
  <c r="AE97" i="1"/>
  <c r="AE223" i="1"/>
  <c r="AE265" i="1"/>
  <c r="AE15" i="1"/>
  <c r="AE297" i="1"/>
  <c r="AE137" i="1"/>
  <c r="AE316" i="1"/>
  <c r="AE21" i="1"/>
  <c r="AE251" i="1"/>
  <c r="AE342" i="1"/>
  <c r="AE275" i="1"/>
  <c r="AE359" i="1"/>
  <c r="AE143" i="1"/>
  <c r="AE112" i="1"/>
  <c r="AE211" i="1"/>
  <c r="AE345" i="1"/>
  <c r="AE108" i="1"/>
  <c r="AE322" i="1"/>
  <c r="AE122" i="1"/>
  <c r="AE315" i="1"/>
  <c r="AE370" i="1"/>
  <c r="AE257" i="1"/>
  <c r="AE114" i="1"/>
  <c r="AE191" i="1"/>
  <c r="AE193" i="1"/>
  <c r="AE127" i="1"/>
  <c r="AE231" i="1"/>
  <c r="AE219" i="1"/>
  <c r="BY15" i="7"/>
  <c r="AE180" i="1"/>
  <c r="AE222" i="1"/>
  <c r="AE261" i="1"/>
  <c r="AE349" i="1"/>
  <c r="AE303" i="1"/>
  <c r="AE268" i="1"/>
  <c r="AE262" i="1"/>
  <c r="AE160" i="1"/>
  <c r="AE135" i="1"/>
  <c r="AE76" i="1"/>
  <c r="AE72" i="1"/>
  <c r="AE66" i="1"/>
  <c r="AE379" i="1"/>
  <c r="AE12" i="15" s="1"/>
  <c r="AE287" i="1"/>
  <c r="AE313" i="1"/>
  <c r="BM15" i="7"/>
  <c r="AE45" i="1"/>
  <c r="AE254" i="1"/>
  <c r="AE63" i="1"/>
  <c r="AE340" i="1"/>
  <c r="AE147" i="1"/>
  <c r="AE259" i="1"/>
  <c r="AE269" i="1"/>
  <c r="AE301" i="1"/>
  <c r="AE290" i="1"/>
  <c r="AE378" i="1"/>
  <c r="AE161" i="1"/>
  <c r="AE309" i="1"/>
  <c r="AE196" i="1"/>
  <c r="AE184" i="1"/>
  <c r="AE68" i="1"/>
  <c r="AE157" i="1"/>
  <c r="AE320" i="1"/>
  <c r="AE153" i="1"/>
  <c r="BS15" i="7"/>
  <c r="AE337" i="1"/>
  <c r="AE104" i="1"/>
  <c r="AE208" i="1"/>
  <c r="AE19" i="1"/>
  <c r="AE365" i="1"/>
  <c r="AE356" i="1"/>
  <c r="AE318" i="1"/>
  <c r="AE224" i="1"/>
  <c r="AE233" i="1"/>
  <c r="AE41" i="1"/>
  <c r="AE194" i="1"/>
  <c r="AE300" i="1"/>
  <c r="AE247" i="1"/>
  <c r="AE237" i="1"/>
  <c r="AE366" i="1"/>
  <c r="AE255" i="1"/>
  <c r="AE352" i="1"/>
  <c r="AE333" i="1"/>
  <c r="AE55" i="1"/>
  <c r="AE151" i="1"/>
  <c r="E15" i="7"/>
  <c r="AE176" i="1"/>
  <c r="AE149" i="1"/>
  <c r="AE51" i="1"/>
  <c r="AE358" i="1"/>
  <c r="AE126" i="1"/>
  <c r="AE123" i="1"/>
  <c r="AE75" i="1"/>
  <c r="AE125" i="1"/>
  <c r="AE328" i="1"/>
  <c r="AE195" i="1"/>
  <c r="AE69" i="1"/>
  <c r="AE187" i="1"/>
  <c r="AE16" i="1"/>
  <c r="AE314" i="1"/>
  <c r="AE240" i="1"/>
  <c r="AE199" i="1"/>
  <c r="AE286" i="1"/>
  <c r="AE129" i="1"/>
  <c r="AE79" i="1"/>
  <c r="AE374" i="1"/>
  <c r="AE141" i="1"/>
  <c r="AE134" i="1"/>
  <c r="AE348" i="1"/>
  <c r="AE17" i="1"/>
  <c r="AE29" i="1"/>
  <c r="AE46" i="1"/>
  <c r="AE70" i="1"/>
  <c r="AE58" i="1"/>
  <c r="AE110" i="1"/>
  <c r="AE140" i="1"/>
  <c r="AE260" i="1"/>
  <c r="AE319" i="1"/>
  <c r="AE371" i="1"/>
  <c r="AE115" i="1"/>
  <c r="AE189" i="1"/>
  <c r="AE276" i="1"/>
  <c r="AE367" i="1"/>
  <c r="AE22" i="1"/>
  <c r="AE61" i="1"/>
  <c r="AE103" i="1"/>
  <c r="AE132" i="1"/>
  <c r="AE162" i="1"/>
  <c r="AE190" i="1"/>
  <c r="AE250" i="1"/>
  <c r="AE295" i="1"/>
  <c r="AE249" i="1"/>
  <c r="AE145" i="1"/>
  <c r="AE281" i="1"/>
  <c r="AE272" i="1"/>
  <c r="AE264" i="1"/>
  <c r="AE215" i="1"/>
  <c r="AE305" i="1"/>
  <c r="AE355" i="1"/>
  <c r="AE64" i="1"/>
  <c r="AE25" i="1"/>
  <c r="AE185" i="1"/>
  <c r="AE344" i="1"/>
  <c r="AE312" i="1"/>
  <c r="AE47" i="1"/>
  <c r="AE302" i="1"/>
  <c r="AE216" i="1"/>
  <c r="AE202" i="1"/>
  <c r="AE101" i="1"/>
  <c r="AE360" i="1"/>
  <c r="AE35" i="1"/>
  <c r="AE131" i="1"/>
  <c r="AE242" i="1"/>
  <c r="AE40" i="1"/>
  <c r="AE234" i="1"/>
  <c r="AE138" i="1"/>
  <c r="AE198" i="1"/>
  <c r="AE253" i="1"/>
  <c r="AE321" i="1"/>
  <c r="AE144" i="1"/>
  <c r="AE80" i="1"/>
  <c r="AE346" i="1"/>
  <c r="AE155" i="1"/>
  <c r="AE181" i="1"/>
  <c r="AE78" i="1"/>
  <c r="AE271" i="1"/>
  <c r="AE20" i="1"/>
  <c r="AE77" i="1"/>
  <c r="AE204" i="1"/>
  <c r="AE109" i="1"/>
  <c r="AE59" i="1"/>
  <c r="AE209" i="1"/>
  <c r="AE354" i="1"/>
  <c r="AE282" i="1"/>
  <c r="AE331" i="1"/>
  <c r="AE81" i="1"/>
  <c r="AE201" i="1"/>
  <c r="AE283" i="1"/>
  <c r="AE266" i="1"/>
  <c r="AE311" i="1"/>
  <c r="AE171" i="1"/>
  <c r="AE246" i="1"/>
  <c r="AE119" i="1"/>
  <c r="AE291" i="1"/>
  <c r="AE166" i="1"/>
  <c r="AE37" i="1"/>
  <c r="AE325" i="1"/>
  <c r="AE30" i="1"/>
  <c r="AE60" i="1"/>
  <c r="AE350" i="1"/>
  <c r="AE299" i="1"/>
  <c r="AE93" i="1"/>
  <c r="AE179" i="1"/>
  <c r="AE284" i="1"/>
  <c r="AE18" i="1"/>
  <c r="AE26" i="1"/>
  <c r="AE39" i="1"/>
  <c r="AE54" i="1"/>
  <c r="AE28" i="1"/>
  <c r="AE87" i="1"/>
  <c r="AE128" i="1"/>
  <c r="AE167" i="1"/>
  <c r="AE296" i="1"/>
  <c r="AE347" i="1"/>
  <c r="AE44" i="1"/>
  <c r="AE172" i="1"/>
  <c r="AE230" i="1"/>
  <c r="AE338" i="1"/>
  <c r="AE375" i="1"/>
  <c r="AE36" i="1"/>
  <c r="AE88" i="1"/>
  <c r="AE116" i="1"/>
  <c r="AE146" i="1"/>
  <c r="AE177" i="1"/>
  <c r="AE226" i="1"/>
  <c r="AE277" i="1"/>
  <c r="AE308" i="1"/>
  <c r="AE351" i="1"/>
  <c r="AE376" i="1"/>
  <c r="AE62" i="1"/>
  <c r="AE120" i="1"/>
  <c r="AE158" i="1"/>
  <c r="AE294" i="1"/>
  <c r="AE329" i="1"/>
  <c r="AE150" i="1"/>
  <c r="AE207" i="1"/>
  <c r="AE278" i="1"/>
  <c r="AE377" i="1"/>
  <c r="AE31" i="1"/>
  <c r="AE86" i="1"/>
  <c r="AE111" i="1"/>
  <c r="AE139" i="1"/>
  <c r="AE168" i="1"/>
  <c r="AE210" i="1"/>
  <c r="AE270" i="1"/>
  <c r="AE306" i="1"/>
  <c r="AE339" i="1"/>
  <c r="AE332" i="1"/>
  <c r="AE368" i="1"/>
  <c r="AE32" i="1"/>
  <c r="AE102" i="1"/>
  <c r="AE133" i="1"/>
  <c r="AE218" i="1"/>
  <c r="AE307" i="1"/>
  <c r="AE94" i="1"/>
  <c r="AE178" i="1"/>
  <c r="AE241" i="1"/>
  <c r="AE357" i="1"/>
  <c r="AE372" i="1"/>
  <c r="AE52" i="1"/>
  <c r="AE98" i="1"/>
  <c r="AE121" i="1"/>
  <c r="AE154" i="1"/>
  <c r="AE188" i="1"/>
  <c r="AE236" i="1"/>
  <c r="AE288" i="1"/>
  <c r="AE324" i="1"/>
  <c r="AE364" i="1"/>
  <c r="AI66" i="1"/>
  <c r="AH66" i="1" s="1"/>
  <c r="AG66" i="1" s="1"/>
  <c r="AF66" i="1" s="1"/>
  <c r="AI302" i="1"/>
  <c r="AH302" i="1" s="1"/>
  <c r="AG302" i="1" s="1"/>
  <c r="AF302" i="1" s="1"/>
  <c r="AD302" i="1" s="1"/>
  <c r="AI119" i="1"/>
  <c r="AH119" i="1" s="1"/>
  <c r="AG119" i="1" s="1"/>
  <c r="AF119" i="1" s="1"/>
  <c r="AD119" i="1" s="1"/>
  <c r="AI198" i="1"/>
  <c r="AH198" i="1" s="1"/>
  <c r="AG198" i="1" s="1"/>
  <c r="AF198" i="1" s="1"/>
  <c r="AI293" i="1"/>
  <c r="AH293" i="1" s="1"/>
  <c r="AG293" i="1" s="1"/>
  <c r="AF293" i="1" s="1"/>
  <c r="AD293" i="1" s="1"/>
  <c r="AI213" i="1"/>
  <c r="AH213" i="1" s="1"/>
  <c r="AG213" i="1" s="1"/>
  <c r="AF213" i="1" s="1"/>
  <c r="AD213" i="1" s="1"/>
  <c r="AI224" i="1"/>
  <c r="AH224" i="1" s="1"/>
  <c r="AG224" i="1" s="1"/>
  <c r="AF224" i="1" s="1"/>
  <c r="AD224" i="1" s="1"/>
  <c r="AI355" i="1"/>
  <c r="AH355" i="1" s="1"/>
  <c r="AG355" i="1" s="1"/>
  <c r="AF355" i="1" s="1"/>
  <c r="AI311" i="1"/>
  <c r="AH311" i="1" s="1"/>
  <c r="AG311" i="1" s="1"/>
  <c r="AF311" i="1" s="1"/>
  <c r="AI148" i="1"/>
  <c r="AH148" i="1" s="1"/>
  <c r="AG148" i="1" s="1"/>
  <c r="AF148" i="1" s="1"/>
  <c r="AD148" i="1" s="1"/>
  <c r="AI351" i="1"/>
  <c r="AH351" i="1" s="1"/>
  <c r="AG351" i="1" s="1"/>
  <c r="AF351" i="1" s="1"/>
  <c r="AI151" i="1"/>
  <c r="AH151" i="1" s="1"/>
  <c r="AG151" i="1" s="1"/>
  <c r="AF151" i="1" s="1"/>
  <c r="AI317" i="1"/>
  <c r="AH317" i="1" s="1"/>
  <c r="AG317" i="1" s="1"/>
  <c r="AF317" i="1" s="1"/>
  <c r="AD317" i="1" s="1"/>
  <c r="AI138" i="1"/>
  <c r="AH138" i="1" s="1"/>
  <c r="AG138" i="1" s="1"/>
  <c r="AF138" i="1" s="1"/>
  <c r="AD138" i="1" s="1"/>
  <c r="AI354" i="1"/>
  <c r="AH354" i="1" s="1"/>
  <c r="AG354" i="1" s="1"/>
  <c r="AF354" i="1" s="1"/>
  <c r="AD354" i="1" s="1"/>
  <c r="AI139" i="1"/>
  <c r="AH139" i="1" s="1"/>
  <c r="AG139" i="1" s="1"/>
  <c r="AF139" i="1" s="1"/>
  <c r="AD139" i="1" s="1"/>
  <c r="AI272" i="1"/>
  <c r="AH272" i="1" s="1"/>
  <c r="AG272" i="1" s="1"/>
  <c r="AF272" i="1" s="1"/>
  <c r="AD272" i="1" s="1"/>
  <c r="AI321" i="1"/>
  <c r="AH321" i="1" s="1"/>
  <c r="AG321" i="1" s="1"/>
  <c r="AF321" i="1" s="1"/>
  <c r="AI117" i="1"/>
  <c r="AH117" i="1" s="1"/>
  <c r="AG117" i="1" s="1"/>
  <c r="AF117" i="1" s="1"/>
  <c r="AI284" i="1"/>
  <c r="AH284" i="1" s="1"/>
  <c r="AG284" i="1" s="1"/>
  <c r="AF284" i="1" s="1"/>
  <c r="AD284" i="1" s="1"/>
  <c r="AI143" i="1"/>
  <c r="AH143" i="1" s="1"/>
  <c r="AI37" i="1"/>
  <c r="AH37" i="1" s="1"/>
  <c r="AG37" i="1" s="1"/>
  <c r="AF37" i="1" s="1"/>
  <c r="AD37" i="1" s="1"/>
  <c r="AI346" i="1"/>
  <c r="AH346" i="1" s="1"/>
  <c r="AG346" i="1" s="1"/>
  <c r="AF346" i="1" s="1"/>
  <c r="AI74" i="1"/>
  <c r="AH74" i="1" s="1"/>
  <c r="AI370" i="1"/>
  <c r="AH370" i="1" s="1"/>
  <c r="AI83" i="1"/>
  <c r="AH83" i="1" s="1"/>
  <c r="AI39" i="1"/>
  <c r="AH39" i="1" s="1"/>
  <c r="AI330" i="1"/>
  <c r="AH330" i="1" s="1"/>
  <c r="AG330" i="1" s="1"/>
  <c r="AF330" i="1" s="1"/>
  <c r="AD330" i="1" s="1"/>
  <c r="AI27" i="1"/>
  <c r="AH27" i="1" s="1"/>
  <c r="AG27" i="1" s="1"/>
  <c r="AF27" i="1" s="1"/>
  <c r="AI214" i="1"/>
  <c r="AH214" i="1" s="1"/>
  <c r="AG214" i="1" s="1"/>
  <c r="AF214" i="1" s="1"/>
  <c r="AI276" i="1"/>
  <c r="AH276" i="1" s="1"/>
  <c r="AG276" i="1" s="1"/>
  <c r="AF276" i="1" s="1"/>
  <c r="AI199" i="1"/>
  <c r="AH199" i="1" s="1"/>
  <c r="AI52" i="1"/>
  <c r="AH52" i="1" s="1"/>
  <c r="AI116" i="1"/>
  <c r="AH116" i="1" s="1"/>
  <c r="AI359" i="1"/>
  <c r="AH359" i="1" s="1"/>
  <c r="AG359" i="1" s="1"/>
  <c r="AF359" i="1" s="1"/>
  <c r="AD359" i="1" s="1"/>
  <c r="AI57" i="1"/>
  <c r="AH57" i="1" s="1"/>
  <c r="AG57" i="1" s="1"/>
  <c r="AF57" i="1" s="1"/>
  <c r="AI331" i="1"/>
  <c r="AH331" i="1" s="1"/>
  <c r="AG331" i="1" s="1"/>
  <c r="AF331" i="1" s="1"/>
  <c r="AD331" i="1" s="1"/>
  <c r="AI368" i="1"/>
  <c r="AH368" i="1" s="1"/>
  <c r="AG368" i="1" s="1"/>
  <c r="AF368" i="1" s="1"/>
  <c r="AI73" i="1"/>
  <c r="AH73" i="1" s="1"/>
  <c r="AG73" i="1" s="1"/>
  <c r="AF73" i="1" s="1"/>
  <c r="AD73" i="1" s="1"/>
  <c r="AI195" i="1"/>
  <c r="AH195" i="1" s="1"/>
  <c r="AG195" i="1" s="1"/>
  <c r="AF195" i="1" s="1"/>
  <c r="AD195" i="1" s="1"/>
  <c r="AI241" i="1"/>
  <c r="AH241" i="1" s="1"/>
  <c r="AG241" i="1" s="1"/>
  <c r="AF241" i="1" s="1"/>
  <c r="AD241" i="1" s="1"/>
  <c r="AI340" i="1"/>
  <c r="AH340" i="1" s="1"/>
  <c r="AG340" i="1" s="1"/>
  <c r="AF340" i="1" s="1"/>
  <c r="AD340" i="1" s="1"/>
  <c r="AI56" i="1"/>
  <c r="AH56" i="1" s="1"/>
  <c r="AG56" i="1" s="1"/>
  <c r="AF56" i="1" s="1"/>
  <c r="AI163" i="1"/>
  <c r="AH163" i="1" s="1"/>
  <c r="AG163" i="1" s="1"/>
  <c r="AF163" i="1" s="1"/>
  <c r="AD163" i="1" s="1"/>
  <c r="AI180" i="1"/>
  <c r="AH180" i="1" s="1"/>
  <c r="AG180" i="1" s="1"/>
  <c r="AF180" i="1" s="1"/>
  <c r="AD180" i="1" s="1"/>
  <c r="AI258" i="1"/>
  <c r="AH258" i="1" s="1"/>
  <c r="AG258" i="1" s="1"/>
  <c r="AF258" i="1" s="1"/>
  <c r="AI275" i="1"/>
  <c r="AH275" i="1" s="1"/>
  <c r="AG275" i="1" s="1"/>
  <c r="AF275" i="1" s="1"/>
  <c r="AI182" i="1"/>
  <c r="AH182" i="1" s="1"/>
  <c r="AG182" i="1" s="1"/>
  <c r="AF182" i="1" s="1"/>
  <c r="AI206" i="1"/>
  <c r="AH206" i="1" s="1"/>
  <c r="AG206" i="1" s="1"/>
  <c r="AF206" i="1" s="1"/>
  <c r="AI88" i="1"/>
  <c r="AH88" i="1" s="1"/>
  <c r="AG88" i="1" s="1"/>
  <c r="AF88" i="1" s="1"/>
  <c r="AI144" i="1"/>
  <c r="AH144" i="1" s="1"/>
  <c r="AG144" i="1" s="1"/>
  <c r="AF144" i="1" s="1"/>
  <c r="AI150" i="1"/>
  <c r="AH150" i="1" s="1"/>
  <c r="AG150" i="1" s="1"/>
  <c r="AF150" i="1" s="1"/>
  <c r="AI145" i="1"/>
  <c r="AH145" i="1" s="1"/>
  <c r="AG145" i="1" s="1"/>
  <c r="AF145" i="1" s="1"/>
  <c r="AD145" i="1" s="1"/>
  <c r="AI217" i="1"/>
  <c r="AH217" i="1" s="1"/>
  <c r="AG217" i="1" s="1"/>
  <c r="AF217" i="1" s="1"/>
  <c r="AD217" i="1" s="1"/>
  <c r="AI373" i="1"/>
  <c r="AH373" i="1" s="1"/>
  <c r="AG373" i="1" s="1"/>
  <c r="AF373" i="1" s="1"/>
  <c r="AI326" i="1"/>
  <c r="AH326" i="1" s="1"/>
  <c r="AG326" i="1" s="1"/>
  <c r="AF326" i="1" s="1"/>
  <c r="AI286" i="1"/>
  <c r="AH286" i="1" s="1"/>
  <c r="AG286" i="1" s="1"/>
  <c r="AF286" i="1" s="1"/>
  <c r="AD286" i="1" s="1"/>
  <c r="AI282" i="1"/>
  <c r="AH282" i="1" s="1"/>
  <c r="AG282" i="1" s="1"/>
  <c r="AF282" i="1" s="1"/>
  <c r="AD282" i="1" s="1"/>
  <c r="AI130" i="1"/>
  <c r="AH130" i="1" s="1"/>
  <c r="AG130" i="1" s="1"/>
  <c r="AF130" i="1" s="1"/>
  <c r="AI352" i="1"/>
  <c r="AH352" i="1" s="1"/>
  <c r="AG352" i="1" s="1"/>
  <c r="AF352" i="1" s="1"/>
  <c r="AD352" i="1" s="1"/>
  <c r="AI16" i="1"/>
  <c r="AH16" i="1" s="1"/>
  <c r="AG16" i="1" s="1"/>
  <c r="AF16" i="1" s="1"/>
  <c r="AD16" i="1" s="1"/>
  <c r="AI207" i="1"/>
  <c r="AH207" i="1" s="1"/>
  <c r="AG207" i="1" s="1"/>
  <c r="AF207" i="1" s="1"/>
  <c r="AD207" i="1" s="1"/>
  <c r="AI158" i="1"/>
  <c r="AH158" i="1" s="1"/>
  <c r="AG158" i="1" s="1"/>
  <c r="AF158" i="1" s="1"/>
  <c r="AI261" i="1"/>
  <c r="AH261" i="1" s="1"/>
  <c r="AG261" i="1" s="1"/>
  <c r="AF261" i="1" s="1"/>
  <c r="AI374" i="1"/>
  <c r="AH374" i="1" s="1"/>
  <c r="AG374" i="1" s="1"/>
  <c r="AF374" i="1" s="1"/>
  <c r="AI53" i="1"/>
  <c r="AH53" i="1" s="1"/>
  <c r="AG53" i="1" s="1"/>
  <c r="AF53" i="1" s="1"/>
  <c r="AI249" i="1"/>
  <c r="AH249" i="1" s="1"/>
  <c r="AG249" i="1" s="1"/>
  <c r="AF249" i="1" s="1"/>
  <c r="AI42" i="1"/>
  <c r="AH42" i="1" s="1"/>
  <c r="AG42" i="1" s="1"/>
  <c r="AF42" i="1" s="1"/>
  <c r="AI377" i="1"/>
  <c r="AH377" i="1" s="1"/>
  <c r="AG377" i="1" s="1"/>
  <c r="AF377" i="1" s="1"/>
  <c r="AI379" i="1"/>
  <c r="AI79" i="1"/>
  <c r="AH79" i="1" s="1"/>
  <c r="AG79" i="1" s="1"/>
  <c r="AF79" i="1" s="1"/>
  <c r="AD79" i="1" s="1"/>
  <c r="AI189" i="1"/>
  <c r="AH189" i="1" s="1"/>
  <c r="AG189" i="1" s="1"/>
  <c r="AF189" i="1" s="1"/>
  <c r="AI44" i="1"/>
  <c r="AH44" i="1" s="1"/>
  <c r="AG44" i="1" s="1"/>
  <c r="AF44" i="1" s="1"/>
  <c r="AD44" i="1" s="1"/>
  <c r="AI266" i="1"/>
  <c r="AH266" i="1" s="1"/>
  <c r="AG266" i="1" s="1"/>
  <c r="AF266" i="1" s="1"/>
  <c r="AI184" i="1"/>
  <c r="AH184" i="1" s="1"/>
  <c r="AG184" i="1" s="1"/>
  <c r="AF184" i="1" s="1"/>
  <c r="AI307" i="1"/>
  <c r="AH307" i="1" s="1"/>
  <c r="AG307" i="1" s="1"/>
  <c r="AF307" i="1" s="1"/>
  <c r="AD307" i="1" s="1"/>
  <c r="AI253" i="1"/>
  <c r="AH253" i="1" s="1"/>
  <c r="AG253" i="1" s="1"/>
  <c r="AF253" i="1" s="1"/>
  <c r="AI101" i="1"/>
  <c r="AH101" i="1" s="1"/>
  <c r="AG101" i="1" s="1"/>
  <c r="AF101" i="1" s="1"/>
  <c r="AI280" i="1"/>
  <c r="AH280" i="1" s="1"/>
  <c r="AG280" i="1" s="1"/>
  <c r="AF280" i="1" s="1"/>
  <c r="AI22" i="1"/>
  <c r="AH22" i="1" s="1"/>
  <c r="AG22" i="1" s="1"/>
  <c r="AF22" i="1" s="1"/>
  <c r="AD22" i="1" s="1"/>
  <c r="AI197" i="1"/>
  <c r="AH197" i="1" s="1"/>
  <c r="AG197" i="1" s="1"/>
  <c r="AF197" i="1" s="1"/>
  <c r="AD197" i="1" s="1"/>
  <c r="AI90" i="1"/>
  <c r="AH90" i="1" s="1"/>
  <c r="AG90" i="1" s="1"/>
  <c r="AF90" i="1" s="1"/>
  <c r="AD90" i="1" s="1"/>
  <c r="AI187" i="1"/>
  <c r="AH187" i="1" s="1"/>
  <c r="AG187" i="1" s="1"/>
  <c r="AF187" i="1" s="1"/>
  <c r="AI72" i="1"/>
  <c r="AH72" i="1" s="1"/>
  <c r="AG72" i="1" s="1"/>
  <c r="AF72" i="1" s="1"/>
  <c r="AI107" i="1"/>
  <c r="AH107" i="1" s="1"/>
  <c r="AG107" i="1" s="1"/>
  <c r="AF107" i="1" s="1"/>
  <c r="AD107" i="1" s="1"/>
  <c r="AI196" i="1"/>
  <c r="AH196" i="1" s="1"/>
  <c r="AG196" i="1" s="1"/>
  <c r="AF196" i="1" s="1"/>
  <c r="AI193" i="1"/>
  <c r="AH193" i="1" s="1"/>
  <c r="AG193" i="1" s="1"/>
  <c r="AF193" i="1" s="1"/>
  <c r="AI262" i="1"/>
  <c r="AH262" i="1" s="1"/>
  <c r="AG262" i="1" s="1"/>
  <c r="AF262" i="1" s="1"/>
  <c r="AI243" i="1"/>
  <c r="AH243" i="1" s="1"/>
  <c r="AG243" i="1" s="1"/>
  <c r="AF243" i="1" s="1"/>
  <c r="AD243" i="1" s="1"/>
  <c r="AI18" i="1"/>
  <c r="AH18" i="1" s="1"/>
  <c r="AG18" i="1" s="1"/>
  <c r="AF18" i="1" s="1"/>
  <c r="BY16" i="7"/>
  <c r="AI291" i="1"/>
  <c r="AH291" i="1" s="1"/>
  <c r="AG291" i="1" s="1"/>
  <c r="AF291" i="1" s="1"/>
  <c r="AD291" i="1" s="1"/>
  <c r="AI313" i="1"/>
  <c r="AH313" i="1" s="1"/>
  <c r="AG313" i="1" s="1"/>
  <c r="AF313" i="1" s="1"/>
  <c r="AD313" i="1" s="1"/>
  <c r="AI202" i="1"/>
  <c r="AH202" i="1" s="1"/>
  <c r="AG202" i="1" s="1"/>
  <c r="AF202" i="1" s="1"/>
  <c r="AD202" i="1" s="1"/>
  <c r="AI223" i="1"/>
  <c r="AH223" i="1" s="1"/>
  <c r="AG223" i="1" s="1"/>
  <c r="AF223" i="1" s="1"/>
  <c r="AD223" i="1" s="1"/>
  <c r="AI314" i="1"/>
  <c r="AH314" i="1" s="1"/>
  <c r="AG314" i="1" s="1"/>
  <c r="AF314" i="1" s="1"/>
  <c r="AD314" i="1" s="1"/>
  <c r="AI219" i="1"/>
  <c r="AH219" i="1" s="1"/>
  <c r="AG219" i="1" s="1"/>
  <c r="AF219" i="1" s="1"/>
  <c r="AD219" i="1" s="1"/>
  <c r="AI289" i="1"/>
  <c r="AH289" i="1" s="1"/>
  <c r="AG289" i="1" s="1"/>
  <c r="AF289" i="1" s="1"/>
  <c r="AD289" i="1" s="1"/>
  <c r="AI364" i="1"/>
  <c r="AH364" i="1" s="1"/>
  <c r="AG364" i="1" s="1"/>
  <c r="AF364" i="1" s="1"/>
  <c r="AI132" i="1"/>
  <c r="AH132" i="1" s="1"/>
  <c r="AG132" i="1" s="1"/>
  <c r="AF132" i="1" s="1"/>
  <c r="AI335" i="1"/>
  <c r="AH335" i="1" s="1"/>
  <c r="AG335" i="1" s="1"/>
  <c r="AF335" i="1" s="1"/>
  <c r="AD335" i="1" s="1"/>
  <c r="AI203" i="1"/>
  <c r="AH203" i="1" s="1"/>
  <c r="AG203" i="1" s="1"/>
  <c r="AF203" i="1" s="1"/>
  <c r="AI31" i="1"/>
  <c r="AH31" i="1" s="1"/>
  <c r="AG31" i="1" s="1"/>
  <c r="AF31" i="1" s="1"/>
  <c r="AD31" i="1" s="1"/>
  <c r="AI303" i="1"/>
  <c r="AH303" i="1" s="1"/>
  <c r="AG303" i="1" s="1"/>
  <c r="AF303" i="1" s="1"/>
  <c r="AI183" i="1"/>
  <c r="AH183" i="1" s="1"/>
  <c r="AG183" i="1" s="1"/>
  <c r="AF183" i="1" s="1"/>
  <c r="AI63" i="1"/>
  <c r="AH63" i="1" s="1"/>
  <c r="AG63" i="1" s="1"/>
  <c r="AF63" i="1" s="1"/>
  <c r="AI113" i="1"/>
  <c r="AH113" i="1" s="1"/>
  <c r="AG113" i="1" s="1"/>
  <c r="AF113" i="1" s="1"/>
  <c r="AD113" i="1" s="1"/>
  <c r="AI70" i="1"/>
  <c r="AH70" i="1" s="1"/>
  <c r="AG70" i="1" s="1"/>
  <c r="AF70" i="1" s="1"/>
  <c r="AI310" i="1"/>
  <c r="AH310" i="1" s="1"/>
  <c r="AG310" i="1" s="1"/>
  <c r="AF310" i="1" s="1"/>
  <c r="AI19" i="1"/>
  <c r="AH19" i="1" s="1"/>
  <c r="AG19" i="1" s="1"/>
  <c r="AF19" i="1" s="1"/>
  <c r="AI33" i="1"/>
  <c r="AH33" i="1" s="1"/>
  <c r="AG33" i="1" s="1"/>
  <c r="AF33" i="1" s="1"/>
  <c r="AD33" i="1" s="1"/>
  <c r="AI260" i="1"/>
  <c r="AH260" i="1" s="1"/>
  <c r="AG260" i="1" s="1"/>
  <c r="AF260" i="1" s="1"/>
  <c r="AI350" i="1"/>
  <c r="AH350" i="1" s="1"/>
  <c r="AG350" i="1" s="1"/>
  <c r="AF350" i="1" s="1"/>
  <c r="AI279" i="1"/>
  <c r="AH279" i="1" s="1"/>
  <c r="AG279" i="1" s="1"/>
  <c r="AF279" i="1" s="1"/>
  <c r="AI175" i="1"/>
  <c r="AH175" i="1" s="1"/>
  <c r="AG175" i="1" s="1"/>
  <c r="AF175" i="1" s="1"/>
  <c r="AD175" i="1" s="1"/>
  <c r="AI285" i="1"/>
  <c r="AH285" i="1" s="1"/>
  <c r="AG285" i="1" s="1"/>
  <c r="AF285" i="1" s="1"/>
  <c r="AI105" i="1"/>
  <c r="AH105" i="1" s="1"/>
  <c r="AG105" i="1" s="1"/>
  <c r="AF105" i="1" s="1"/>
  <c r="AI15" i="1"/>
  <c r="AI188" i="1"/>
  <c r="AH188" i="1" s="1"/>
  <c r="AG188" i="1" s="1"/>
  <c r="AF188" i="1" s="1"/>
  <c r="AI155" i="1"/>
  <c r="AH155" i="1" s="1"/>
  <c r="AG155" i="1" s="1"/>
  <c r="AF155" i="1" s="1"/>
  <c r="AI336" i="1"/>
  <c r="AH336" i="1" s="1"/>
  <c r="AG336" i="1" s="1"/>
  <c r="AF336" i="1" s="1"/>
  <c r="AD336" i="1" s="1"/>
  <c r="AI156" i="1"/>
  <c r="AH156" i="1" s="1"/>
  <c r="AG156" i="1" s="1"/>
  <c r="AF156" i="1" s="1"/>
  <c r="AI137" i="1"/>
  <c r="AH137" i="1" s="1"/>
  <c r="AG137" i="1" s="1"/>
  <c r="AF137" i="1" s="1"/>
  <c r="AD137" i="1" s="1"/>
  <c r="AI164" i="1"/>
  <c r="AH164" i="1" s="1"/>
  <c r="AG164" i="1" s="1"/>
  <c r="AF164" i="1" s="1"/>
  <c r="AI25" i="1"/>
  <c r="AH25" i="1" s="1"/>
  <c r="AG25" i="1" s="1"/>
  <c r="AF25" i="1" s="1"/>
  <c r="AD25" i="1" s="1"/>
  <c r="AI194" i="1"/>
  <c r="AH194" i="1" s="1"/>
  <c r="AG194" i="1" s="1"/>
  <c r="AF194" i="1" s="1"/>
  <c r="AD194" i="1" s="1"/>
  <c r="AI250" i="1"/>
  <c r="AH250" i="1" s="1"/>
  <c r="AG250" i="1" s="1"/>
  <c r="AF250" i="1" s="1"/>
  <c r="AI334" i="1"/>
  <c r="AH334" i="1" s="1"/>
  <c r="AG334" i="1" s="1"/>
  <c r="AF334" i="1" s="1"/>
  <c r="AD334" i="1" s="1"/>
  <c r="AI149" i="1"/>
  <c r="AH149" i="1" s="1"/>
  <c r="AG149" i="1" s="1"/>
  <c r="AF149" i="1" s="1"/>
  <c r="AI238" i="1"/>
  <c r="AH238" i="1" s="1"/>
  <c r="AG238" i="1" s="1"/>
  <c r="AF238" i="1" s="1"/>
  <c r="AD238" i="1" s="1"/>
  <c r="AI372" i="1"/>
  <c r="AH372" i="1" s="1"/>
  <c r="AG372" i="1" s="1"/>
  <c r="AF372" i="1" s="1"/>
  <c r="AD372" i="1" s="1"/>
  <c r="AI264" i="1"/>
  <c r="AH264" i="1" s="1"/>
  <c r="AG264" i="1" s="1"/>
  <c r="AF264" i="1" s="1"/>
  <c r="AD264" i="1" s="1"/>
  <c r="AI287" i="1"/>
  <c r="AH287" i="1" s="1"/>
  <c r="AG287" i="1" s="1"/>
  <c r="AF287" i="1" s="1"/>
  <c r="AI102" i="1"/>
  <c r="AH102" i="1" s="1"/>
  <c r="AG102" i="1" s="1"/>
  <c r="AF102" i="1" s="1"/>
  <c r="AI125" i="1"/>
  <c r="AH125" i="1" s="1"/>
  <c r="AG125" i="1" s="1"/>
  <c r="AF125" i="1" s="1"/>
  <c r="AI308" i="1"/>
  <c r="AH308" i="1" s="1"/>
  <c r="AG308" i="1" s="1"/>
  <c r="AF308" i="1" s="1"/>
  <c r="AI54" i="1"/>
  <c r="AH54" i="1" s="1"/>
  <c r="AG54" i="1" s="1"/>
  <c r="AF54" i="1" s="1"/>
  <c r="AI216" i="1"/>
  <c r="AH216" i="1" s="1"/>
  <c r="AG216" i="1" s="1"/>
  <c r="AF216" i="1" s="1"/>
  <c r="AI322" i="1"/>
  <c r="AH322" i="1" s="1"/>
  <c r="AG322" i="1" s="1"/>
  <c r="AF322" i="1" s="1"/>
  <c r="AD322" i="1" s="1"/>
  <c r="AI246" i="1"/>
  <c r="AH246" i="1" s="1"/>
  <c r="AG246" i="1" s="1"/>
  <c r="AF246" i="1" s="1"/>
  <c r="AD246" i="1" s="1"/>
  <c r="AI221" i="1"/>
  <c r="AH221" i="1" s="1"/>
  <c r="AG221" i="1" s="1"/>
  <c r="AF221" i="1" s="1"/>
  <c r="AD221" i="1" s="1"/>
  <c r="AI65" i="1"/>
  <c r="AH65" i="1" s="1"/>
  <c r="AG65" i="1" s="1"/>
  <c r="AF65" i="1" s="1"/>
  <c r="AI304" i="1"/>
  <c r="AH304" i="1" s="1"/>
  <c r="AG304" i="1" s="1"/>
  <c r="AF304" i="1" s="1"/>
  <c r="AD304" i="1" s="1"/>
  <c r="AI298" i="1"/>
  <c r="AH298" i="1" s="1"/>
  <c r="AG298" i="1" s="1"/>
  <c r="AF298" i="1" s="1"/>
  <c r="AD298" i="1" s="1"/>
  <c r="AI267" i="1"/>
  <c r="AH267" i="1" s="1"/>
  <c r="AG267" i="1" s="1"/>
  <c r="AF267" i="1" s="1"/>
  <c r="AI200" i="1"/>
  <c r="AH200" i="1" s="1"/>
  <c r="AG200" i="1" s="1"/>
  <c r="AF200" i="1" s="1"/>
  <c r="AI371" i="1"/>
  <c r="AH371" i="1" s="1"/>
  <c r="AG371" i="1" s="1"/>
  <c r="AF371" i="1" s="1"/>
  <c r="AD371" i="1" s="1"/>
  <c r="AI299" i="1"/>
  <c r="AH299" i="1" s="1"/>
  <c r="AG299" i="1" s="1"/>
  <c r="AF299" i="1" s="1"/>
  <c r="AI106" i="1"/>
  <c r="AH106" i="1" s="1"/>
  <c r="AG106" i="1" s="1"/>
  <c r="AF106" i="1" s="1"/>
  <c r="AD106" i="1" s="1"/>
  <c r="AI122" i="1"/>
  <c r="AH122" i="1" s="1"/>
  <c r="AG122" i="1" s="1"/>
  <c r="AF122" i="1" s="1"/>
  <c r="AD122" i="1" s="1"/>
  <c r="AI84" i="1"/>
  <c r="AH84" i="1" s="1"/>
  <c r="AG84" i="1" s="1"/>
  <c r="AF84" i="1" s="1"/>
  <c r="AI124" i="1"/>
  <c r="AH124" i="1" s="1"/>
  <c r="AG124" i="1" s="1"/>
  <c r="AF124" i="1" s="1"/>
  <c r="AD124" i="1" s="1"/>
  <c r="AI329" i="1"/>
  <c r="AH329" i="1" s="1"/>
  <c r="AG329" i="1" s="1"/>
  <c r="AF329" i="1" s="1"/>
  <c r="AI252" i="1"/>
  <c r="AH252" i="1" s="1"/>
  <c r="AG252" i="1" s="1"/>
  <c r="AF252" i="1" s="1"/>
  <c r="AI230" i="1"/>
  <c r="AH230" i="1" s="1"/>
  <c r="AG230" i="1" s="1"/>
  <c r="AF230" i="1" s="1"/>
  <c r="AD230" i="1" s="1"/>
  <c r="AI338" i="1"/>
  <c r="AH338" i="1" s="1"/>
  <c r="AG338" i="1" s="1"/>
  <c r="AF338" i="1" s="1"/>
  <c r="AD338" i="1" s="1"/>
  <c r="AI353" i="1"/>
  <c r="AH353" i="1" s="1"/>
  <c r="AG353" i="1" s="1"/>
  <c r="AF353" i="1" s="1"/>
  <c r="AI229" i="1"/>
  <c r="AH229" i="1" s="1"/>
  <c r="AG229" i="1" s="1"/>
  <c r="AF229" i="1" s="1"/>
  <c r="AD229" i="1" s="1"/>
  <c r="AI94" i="1"/>
  <c r="AH94" i="1" s="1"/>
  <c r="AG94" i="1" s="1"/>
  <c r="AF94" i="1" s="1"/>
  <c r="AD94" i="1" s="1"/>
  <c r="AI357" i="1"/>
  <c r="AH357" i="1" s="1"/>
  <c r="AG357" i="1" s="1"/>
  <c r="AF357" i="1" s="1"/>
  <c r="AD357" i="1" s="1"/>
  <c r="AI323" i="1"/>
  <c r="AH323" i="1" s="1"/>
  <c r="AG323" i="1" s="1"/>
  <c r="AF323" i="1" s="1"/>
  <c r="AI133" i="1"/>
  <c r="AH133" i="1" s="1"/>
  <c r="AG133" i="1" s="1"/>
  <c r="AF133" i="1" s="1"/>
  <c r="AD133" i="1" s="1"/>
  <c r="AI215" i="1"/>
  <c r="AH215" i="1" s="1"/>
  <c r="AG215" i="1" s="1"/>
  <c r="AF215" i="1" s="1"/>
  <c r="AD215" i="1" s="1"/>
  <c r="AI211" i="1"/>
  <c r="AH211" i="1" s="1"/>
  <c r="AG211" i="1" s="1"/>
  <c r="AF211" i="1" s="1"/>
  <c r="AD211" i="1" s="1"/>
  <c r="AI170" i="1"/>
  <c r="AH170" i="1" s="1"/>
  <c r="AG170" i="1" s="1"/>
  <c r="AF170" i="1" s="1"/>
  <c r="AI168" i="1"/>
  <c r="AH168" i="1" s="1"/>
  <c r="AG168" i="1" s="1"/>
  <c r="AF168" i="1" s="1"/>
  <c r="AI93" i="1"/>
  <c r="AH93" i="1" s="1"/>
  <c r="AG93" i="1" s="1"/>
  <c r="AF93" i="1" s="1"/>
  <c r="AI26" i="1"/>
  <c r="AH26" i="1" s="1"/>
  <c r="AG26" i="1" s="1"/>
  <c r="AF26" i="1" s="1"/>
  <c r="AD26" i="1" s="1"/>
  <c r="AI115" i="1"/>
  <c r="AH115" i="1" s="1"/>
  <c r="AG115" i="1" s="1"/>
  <c r="AF115" i="1" s="1"/>
  <c r="AI32" i="1"/>
  <c r="AH32" i="1" s="1"/>
  <c r="AG32" i="1" s="1"/>
  <c r="AF32" i="1" s="1"/>
  <c r="AD32" i="1" s="1"/>
  <c r="AI29" i="1"/>
  <c r="AH29" i="1" s="1"/>
  <c r="AG29" i="1" s="1"/>
  <c r="AF29" i="1" s="1"/>
  <c r="AD29" i="1" s="1"/>
  <c r="AI269" i="1"/>
  <c r="AH269" i="1" s="1"/>
  <c r="AG269" i="1" s="1"/>
  <c r="AF269" i="1" s="1"/>
  <c r="AI324" i="1"/>
  <c r="AH324" i="1" s="1"/>
  <c r="AG324" i="1" s="1"/>
  <c r="AF324" i="1" s="1"/>
  <c r="AD324" i="1" s="1"/>
  <c r="AI86" i="1"/>
  <c r="AH86" i="1" s="1"/>
  <c r="AG86" i="1" s="1"/>
  <c r="AF86" i="1" s="1"/>
  <c r="AD86" i="1" s="1"/>
  <c r="AI263" i="1"/>
  <c r="AH263" i="1" s="1"/>
  <c r="AG263" i="1" s="1"/>
  <c r="AF263" i="1" s="1"/>
  <c r="AD263" i="1" s="1"/>
  <c r="AI235" i="1"/>
  <c r="AH235" i="1" s="1"/>
  <c r="AG235" i="1" s="1"/>
  <c r="AF235" i="1" s="1"/>
  <c r="AD235" i="1" s="1"/>
  <c r="AI343" i="1"/>
  <c r="AH343" i="1" s="1"/>
  <c r="AG343" i="1" s="1"/>
  <c r="AF343" i="1" s="1"/>
  <c r="AD343" i="1" s="1"/>
  <c r="AI131" i="1"/>
  <c r="AH131" i="1" s="1"/>
  <c r="AG131" i="1" s="1"/>
  <c r="AF131" i="1" s="1"/>
  <c r="AD131" i="1" s="1"/>
  <c r="AI59" i="1"/>
  <c r="AH59" i="1" s="1"/>
  <c r="AG59" i="1" s="1"/>
  <c r="AF59" i="1" s="1"/>
  <c r="AD59" i="1" s="1"/>
  <c r="AI348" i="1"/>
  <c r="AH348" i="1" s="1"/>
  <c r="AG348" i="1" s="1"/>
  <c r="AF348" i="1" s="1"/>
  <c r="AI265" i="1"/>
  <c r="AH265" i="1" s="1"/>
  <c r="AG265" i="1" s="1"/>
  <c r="AF265" i="1" s="1"/>
  <c r="AI126" i="1"/>
  <c r="AH126" i="1" s="1"/>
  <c r="AG126" i="1" s="1"/>
  <c r="AF126" i="1" s="1"/>
  <c r="AI205" i="1"/>
  <c r="AH205" i="1" s="1"/>
  <c r="AG205" i="1" s="1"/>
  <c r="AF205" i="1" s="1"/>
  <c r="AD205" i="1" s="1"/>
  <c r="AI48" i="1"/>
  <c r="AH48" i="1" s="1"/>
  <c r="AG48" i="1" s="1"/>
  <c r="AF48" i="1" s="1"/>
  <c r="AD48" i="1" s="1"/>
  <c r="AI242" i="1"/>
  <c r="AH242" i="1" s="1"/>
  <c r="AG242" i="1" s="1"/>
  <c r="AF242" i="1" s="1"/>
  <c r="AD242" i="1" s="1"/>
  <c r="AI91" i="1"/>
  <c r="AH91" i="1" s="1"/>
  <c r="AG91" i="1" s="1"/>
  <c r="AF91" i="1" s="1"/>
  <c r="AI76" i="1"/>
  <c r="AH76" i="1" s="1"/>
  <c r="AG76" i="1" s="1"/>
  <c r="AF76" i="1" s="1"/>
  <c r="AI100" i="1"/>
  <c r="AH100" i="1" s="1"/>
  <c r="AG100" i="1" s="1"/>
  <c r="AF100" i="1" s="1"/>
  <c r="AD100" i="1" s="1"/>
  <c r="AI278" i="1"/>
  <c r="AH278" i="1" s="1"/>
  <c r="AG278" i="1" s="1"/>
  <c r="AF278" i="1" s="1"/>
  <c r="AD278" i="1" s="1"/>
  <c r="AI35" i="1"/>
  <c r="AH35" i="1" s="1"/>
  <c r="AG35" i="1" s="1"/>
  <c r="AF35" i="1" s="1"/>
  <c r="AI256" i="1"/>
  <c r="AH256" i="1" s="1"/>
  <c r="AG256" i="1" s="1"/>
  <c r="AF256" i="1" s="1"/>
  <c r="AD256" i="1" s="1"/>
  <c r="AI162" i="1"/>
  <c r="AH162" i="1" s="1"/>
  <c r="AG162" i="1" s="1"/>
  <c r="AF162" i="1" s="1"/>
  <c r="AD162" i="1" s="1"/>
  <c r="AI166" i="1"/>
  <c r="AH166" i="1" s="1"/>
  <c r="AG166" i="1" s="1"/>
  <c r="AF166" i="1" s="1"/>
  <c r="AD166" i="1" s="1"/>
  <c r="AI239" i="1"/>
  <c r="AH239" i="1" s="1"/>
  <c r="AG239" i="1" s="1"/>
  <c r="AF239" i="1" s="1"/>
  <c r="AD239" i="1" s="1"/>
  <c r="AI77" i="1"/>
  <c r="AH77" i="1" s="1"/>
  <c r="AG77" i="1" s="1"/>
  <c r="AF77" i="1" s="1"/>
  <c r="AI342" i="1"/>
  <c r="AH342" i="1" s="1"/>
  <c r="AG342" i="1" s="1"/>
  <c r="AF342" i="1" s="1"/>
  <c r="AI62" i="1"/>
  <c r="AH62" i="1" s="1"/>
  <c r="AG62" i="1" s="1"/>
  <c r="AF62" i="1" s="1"/>
  <c r="AI152" i="1"/>
  <c r="AH152" i="1" s="1"/>
  <c r="AG152" i="1" s="1"/>
  <c r="AF152" i="1" s="1"/>
  <c r="AD152" i="1" s="1"/>
  <c r="AI332" i="1"/>
  <c r="AH332" i="1" s="1"/>
  <c r="AG332" i="1" s="1"/>
  <c r="AF332" i="1" s="1"/>
  <c r="AI349" i="1"/>
  <c r="AH349" i="1" s="1"/>
  <c r="AG349" i="1" s="1"/>
  <c r="AF349" i="1" s="1"/>
  <c r="AD349" i="1" s="1"/>
  <c r="AI316" i="1"/>
  <c r="AH316" i="1" s="1"/>
  <c r="AG316" i="1" s="1"/>
  <c r="AF316" i="1" s="1"/>
  <c r="AI240" i="1"/>
  <c r="AH240" i="1" s="1"/>
  <c r="AG240" i="1" s="1"/>
  <c r="AF240" i="1" s="1"/>
  <c r="E16" i="7"/>
  <c r="AI41" i="1"/>
  <c r="AH41" i="1" s="1"/>
  <c r="AG41" i="1" s="1"/>
  <c r="AF41" i="1" s="1"/>
  <c r="AI201" i="1"/>
  <c r="AH201" i="1" s="1"/>
  <c r="AG201" i="1" s="1"/>
  <c r="AF201" i="1" s="1"/>
  <c r="AD201" i="1" s="1"/>
  <c r="BS16" i="7"/>
  <c r="AI108" i="1"/>
  <c r="AH108" i="1" s="1"/>
  <c r="AG108" i="1" s="1"/>
  <c r="AF108" i="1" s="1"/>
  <c r="AI270" i="1"/>
  <c r="AH270" i="1" s="1"/>
  <c r="AG270" i="1" s="1"/>
  <c r="AF270" i="1" s="1"/>
  <c r="AI318" i="1"/>
  <c r="AH318" i="1" s="1"/>
  <c r="AG318" i="1" s="1"/>
  <c r="AF318" i="1" s="1"/>
  <c r="AI283" i="1"/>
  <c r="AH283" i="1" s="1"/>
  <c r="AG283" i="1" s="1"/>
  <c r="AF283" i="1" s="1"/>
  <c r="AD283" i="1" s="1"/>
  <c r="AI231" i="1"/>
  <c r="AH231" i="1" s="1"/>
  <c r="AG231" i="1" s="1"/>
  <c r="AF231" i="1" s="1"/>
  <c r="AI315" i="1"/>
  <c r="AH315" i="1" s="1"/>
  <c r="AG315" i="1" s="1"/>
  <c r="AF315" i="1" s="1"/>
  <c r="AI177" i="1"/>
  <c r="AH177" i="1" s="1"/>
  <c r="AG177" i="1" s="1"/>
  <c r="AF177" i="1" s="1"/>
  <c r="AI227" i="1"/>
  <c r="AH227" i="1" s="1"/>
  <c r="AG227" i="1" s="1"/>
  <c r="AF227" i="1" s="1"/>
  <c r="AI103" i="1"/>
  <c r="AH103" i="1" s="1"/>
  <c r="AG103" i="1" s="1"/>
  <c r="AF103" i="1" s="1"/>
  <c r="AI142" i="1"/>
  <c r="AH142" i="1" s="1"/>
  <c r="AG142" i="1" s="1"/>
  <c r="AF142" i="1" s="1"/>
  <c r="AI157" i="1"/>
  <c r="AH157" i="1" s="1"/>
  <c r="AG157" i="1" s="1"/>
  <c r="AF157" i="1" s="1"/>
  <c r="AI85" i="1"/>
  <c r="AH85" i="1" s="1"/>
  <c r="AG85" i="1" s="1"/>
  <c r="AF85" i="1" s="1"/>
  <c r="AD85" i="1" s="1"/>
  <c r="AI23" i="1"/>
  <c r="AH23" i="1" s="1"/>
  <c r="AG23" i="1" s="1"/>
  <c r="AF23" i="1" s="1"/>
  <c r="AI277" i="1"/>
  <c r="AH277" i="1" s="1"/>
  <c r="AG277" i="1" s="1"/>
  <c r="AF277" i="1" s="1"/>
  <c r="AD277" i="1" s="1"/>
  <c r="AI141" i="1"/>
  <c r="AH141" i="1" s="1"/>
  <c r="AG141" i="1" s="1"/>
  <c r="AF141" i="1" s="1"/>
  <c r="AD141" i="1" s="1"/>
  <c r="AI327" i="1"/>
  <c r="AH327" i="1" s="1"/>
  <c r="AG327" i="1" s="1"/>
  <c r="AF327" i="1" s="1"/>
  <c r="AD327" i="1" s="1"/>
  <c r="AI173" i="1"/>
  <c r="AH173" i="1" s="1"/>
  <c r="AG173" i="1" s="1"/>
  <c r="AF173" i="1" s="1"/>
  <c r="AD173" i="1" s="1"/>
  <c r="AI271" i="1"/>
  <c r="AH271" i="1" s="1"/>
  <c r="AG271" i="1" s="1"/>
  <c r="AF271" i="1" s="1"/>
  <c r="AD271" i="1" s="1"/>
  <c r="AI361" i="1"/>
  <c r="AH361" i="1" s="1"/>
  <c r="AG361" i="1" s="1"/>
  <c r="AF361" i="1" s="1"/>
  <c r="AD361" i="1" s="1"/>
  <c r="AI118" i="1"/>
  <c r="AH118" i="1" s="1"/>
  <c r="AG118" i="1" s="1"/>
  <c r="AF118" i="1" s="1"/>
  <c r="AD118" i="1" s="1"/>
  <c r="AI337" i="1"/>
  <c r="AH337" i="1" s="1"/>
  <c r="AG337" i="1" s="1"/>
  <c r="AF337" i="1" s="1"/>
  <c r="AI75" i="1"/>
  <c r="AH75" i="1" s="1"/>
  <c r="AG75" i="1" s="1"/>
  <c r="AF75" i="1" s="1"/>
  <c r="AI268" i="1"/>
  <c r="AH268" i="1" s="1"/>
  <c r="AG268" i="1" s="1"/>
  <c r="AF268" i="1" s="1"/>
  <c r="AI181" i="1"/>
  <c r="AH181" i="1" s="1"/>
  <c r="AG181" i="1" s="1"/>
  <c r="AF181" i="1" s="1"/>
  <c r="AD181" i="1" s="1"/>
  <c r="AI363" i="1"/>
  <c r="AH363" i="1" s="1"/>
  <c r="AG363" i="1" s="1"/>
  <c r="AF363" i="1" s="1"/>
  <c r="AD363" i="1" s="1"/>
  <c r="AI80" i="1"/>
  <c r="AH80" i="1" s="1"/>
  <c r="AG80" i="1" s="1"/>
  <c r="AF80" i="1" s="1"/>
  <c r="AI292" i="1"/>
  <c r="AH292" i="1" s="1"/>
  <c r="AG292" i="1" s="1"/>
  <c r="AF292" i="1" s="1"/>
  <c r="AI288" i="1"/>
  <c r="AH288" i="1" s="1"/>
  <c r="AG288" i="1" s="1"/>
  <c r="AF288" i="1" s="1"/>
  <c r="AD288" i="1" s="1"/>
  <c r="AI339" i="1"/>
  <c r="AH339" i="1" s="1"/>
  <c r="AG339" i="1" s="1"/>
  <c r="AF339" i="1" s="1"/>
  <c r="AD339" i="1" s="1"/>
  <c r="AI82" i="1"/>
  <c r="AH82" i="1" s="1"/>
  <c r="AG82" i="1" s="1"/>
  <c r="AF82" i="1" s="1"/>
  <c r="AD82" i="1" s="1"/>
  <c r="AI222" i="1"/>
  <c r="AH222" i="1" s="1"/>
  <c r="AG222" i="1" s="1"/>
  <c r="AF222" i="1" s="1"/>
  <c r="AI45" i="1"/>
  <c r="AH45" i="1" s="1"/>
  <c r="AG45" i="1" s="1"/>
  <c r="AF45" i="1" s="1"/>
  <c r="AI179" i="1"/>
  <c r="AH179" i="1" s="1"/>
  <c r="AG179" i="1" s="1"/>
  <c r="AF179" i="1" s="1"/>
  <c r="AD179" i="1" s="1"/>
  <c r="AI165" i="1"/>
  <c r="AH165" i="1" s="1"/>
  <c r="AG165" i="1" s="1"/>
  <c r="AF165" i="1" s="1"/>
  <c r="AD165" i="1" s="1"/>
  <c r="AI204" i="1"/>
  <c r="AH204" i="1" s="1"/>
  <c r="AG204" i="1" s="1"/>
  <c r="AF204" i="1" s="1"/>
  <c r="AD204" i="1" s="1"/>
  <c r="AI255" i="1"/>
  <c r="AH255" i="1" s="1"/>
  <c r="AG255" i="1" s="1"/>
  <c r="AF255" i="1" s="1"/>
  <c r="AI121" i="1"/>
  <c r="AH121" i="1" s="1"/>
  <c r="AG121" i="1" s="1"/>
  <c r="AF121" i="1" s="1"/>
  <c r="AI300" i="1"/>
  <c r="AH300" i="1" s="1"/>
  <c r="AG300" i="1" s="1"/>
  <c r="AF300" i="1" s="1"/>
  <c r="AI153" i="1"/>
  <c r="AH153" i="1" s="1"/>
  <c r="AG153" i="1" s="1"/>
  <c r="AF153" i="1" s="1"/>
  <c r="AI104" i="1"/>
  <c r="AH104" i="1" s="1"/>
  <c r="AG104" i="1" s="1"/>
  <c r="AF104" i="1" s="1"/>
  <c r="AI236" i="1"/>
  <c r="AH236" i="1" s="1"/>
  <c r="AG236" i="1" s="1"/>
  <c r="AF236" i="1" s="1"/>
  <c r="AD236" i="1" s="1"/>
  <c r="AI251" i="1"/>
  <c r="AH251" i="1" s="1"/>
  <c r="AG251" i="1" s="1"/>
  <c r="AF251" i="1" s="1"/>
  <c r="AD251" i="1" s="1"/>
  <c r="AI220" i="1"/>
  <c r="AH220" i="1" s="1"/>
  <c r="AG220" i="1" s="1"/>
  <c r="AF220" i="1" s="1"/>
  <c r="AI212" i="1"/>
  <c r="AH212" i="1" s="1"/>
  <c r="AG212" i="1" s="1"/>
  <c r="AF212" i="1" s="1"/>
  <c r="AD212" i="1" s="1"/>
  <c r="AI167" i="1"/>
  <c r="AH167" i="1" s="1"/>
  <c r="AG167" i="1" s="1"/>
  <c r="AF167" i="1" s="1"/>
  <c r="AI109" i="1"/>
  <c r="AH109" i="1" s="1"/>
  <c r="AG109" i="1" s="1"/>
  <c r="AF109" i="1" s="1"/>
  <c r="AD109" i="1" s="1"/>
  <c r="AI259" i="1"/>
  <c r="AH259" i="1" s="1"/>
  <c r="AG259" i="1" s="1"/>
  <c r="AF259" i="1" s="1"/>
  <c r="BM16" i="7"/>
  <c r="AI58" i="1"/>
  <c r="AH58" i="1" s="1"/>
  <c r="AG58" i="1" s="1"/>
  <c r="AF58" i="1" s="1"/>
  <c r="AI232" i="1"/>
  <c r="AH232" i="1" s="1"/>
  <c r="AG232" i="1" s="1"/>
  <c r="AF232" i="1" s="1"/>
  <c r="AI234" i="1"/>
  <c r="AH234" i="1" s="1"/>
  <c r="AG234" i="1" s="1"/>
  <c r="AF234" i="1" s="1"/>
  <c r="AD234" i="1" s="1"/>
  <c r="AI89" i="1"/>
  <c r="AH89" i="1" s="1"/>
  <c r="AG89" i="1" s="1"/>
  <c r="AF89" i="1" s="1"/>
  <c r="AD89" i="1" s="1"/>
  <c r="AI185" i="1"/>
  <c r="AH185" i="1" s="1"/>
  <c r="AG185" i="1" s="1"/>
  <c r="AF185" i="1" s="1"/>
  <c r="AI248" i="1"/>
  <c r="AH248" i="1" s="1"/>
  <c r="AG248" i="1" s="1"/>
  <c r="AF248" i="1" s="1"/>
  <c r="AD248" i="1" s="1"/>
  <c r="AI225" i="1"/>
  <c r="AH225" i="1" s="1"/>
  <c r="AG225" i="1" s="1"/>
  <c r="AF225" i="1" s="1"/>
  <c r="AD225" i="1" s="1"/>
  <c r="AI68" i="1"/>
  <c r="AH68" i="1" s="1"/>
  <c r="AG68" i="1" s="1"/>
  <c r="AF68" i="1" s="1"/>
  <c r="AI111" i="1"/>
  <c r="AH111" i="1" s="1"/>
  <c r="AG111" i="1" s="1"/>
  <c r="AF111" i="1" s="1"/>
  <c r="AD111" i="1" s="1"/>
  <c r="AI320" i="1"/>
  <c r="AH320" i="1" s="1"/>
  <c r="AG320" i="1" s="1"/>
  <c r="AF320" i="1" s="1"/>
  <c r="AI362" i="1"/>
  <c r="AH362" i="1" s="1"/>
  <c r="AG362" i="1" s="1"/>
  <c r="AF362" i="1" s="1"/>
  <c r="AD362" i="1" s="1"/>
  <c r="AI147" i="1"/>
  <c r="AH147" i="1" s="1"/>
  <c r="AG147" i="1" s="1"/>
  <c r="AF147" i="1" s="1"/>
  <c r="AI345" i="1"/>
  <c r="AH345" i="1" s="1"/>
  <c r="AG345" i="1" s="1"/>
  <c r="AF345" i="1" s="1"/>
  <c r="AD345" i="1" s="1"/>
  <c r="AI127" i="1"/>
  <c r="AH127" i="1" s="1"/>
  <c r="AG127" i="1" s="1"/>
  <c r="AF127" i="1" s="1"/>
  <c r="AI295" i="1"/>
  <c r="AH295" i="1" s="1"/>
  <c r="AG295" i="1" s="1"/>
  <c r="AF295" i="1" s="1"/>
  <c r="AD295" i="1" s="1"/>
  <c r="AI375" i="1"/>
  <c r="AH375" i="1" s="1"/>
  <c r="AG375" i="1" s="1"/>
  <c r="AF375" i="1" s="1"/>
  <c r="AI296" i="1"/>
  <c r="AH296" i="1" s="1"/>
  <c r="AG296" i="1" s="1"/>
  <c r="AF296" i="1" s="1"/>
  <c r="AD296" i="1" s="1"/>
  <c r="AI78" i="1"/>
  <c r="AH78" i="1" s="1"/>
  <c r="AG78" i="1" s="1"/>
  <c r="AF78" i="1" s="1"/>
  <c r="AI190" i="1"/>
  <c r="AH190" i="1" s="1"/>
  <c r="AG190" i="1" s="1"/>
  <c r="AF190" i="1" s="1"/>
  <c r="AD190" i="1" s="1"/>
  <c r="AI319" i="1"/>
  <c r="AH319" i="1" s="1"/>
  <c r="AG319" i="1" s="1"/>
  <c r="AF319" i="1" s="1"/>
  <c r="AD319" i="1" s="1"/>
  <c r="AI210" i="1"/>
  <c r="AH210" i="1" s="1"/>
  <c r="AG210" i="1" s="1"/>
  <c r="AF210" i="1" s="1"/>
  <c r="AI358" i="1"/>
  <c r="AH358" i="1" s="1"/>
  <c r="AG358" i="1" s="1"/>
  <c r="AF358" i="1" s="1"/>
  <c r="AD358" i="1" s="1"/>
  <c r="AI169" i="1"/>
  <c r="AH169" i="1" s="1"/>
  <c r="AG169" i="1" s="1"/>
  <c r="AF169" i="1" s="1"/>
  <c r="AI97" i="1"/>
  <c r="AH97" i="1" s="1"/>
  <c r="AG97" i="1" s="1"/>
  <c r="AF97" i="1" s="1"/>
  <c r="AD97" i="1" s="1"/>
  <c r="AI38" i="1"/>
  <c r="AH38" i="1" s="1"/>
  <c r="AG38" i="1" s="1"/>
  <c r="AF38" i="1" s="1"/>
  <c r="AD38" i="1" s="1"/>
  <c r="AI67" i="1"/>
  <c r="AH67" i="1" s="1"/>
  <c r="AG67" i="1" s="1"/>
  <c r="AF67" i="1" s="1"/>
  <c r="AD67" i="1" s="1"/>
  <c r="AI306" i="1"/>
  <c r="AH306" i="1" s="1"/>
  <c r="AG306" i="1" s="1"/>
  <c r="AF306" i="1" s="1"/>
  <c r="AI134" i="1"/>
  <c r="AH134" i="1" s="1"/>
  <c r="AG134" i="1" s="1"/>
  <c r="AF134" i="1" s="1"/>
  <c r="AD134" i="1" s="1"/>
  <c r="AI254" i="1"/>
  <c r="AH254" i="1" s="1"/>
  <c r="AG254" i="1" s="1"/>
  <c r="AF254" i="1" s="1"/>
  <c r="AI136" i="1"/>
  <c r="AH136" i="1" s="1"/>
  <c r="AG136" i="1" s="1"/>
  <c r="AF136" i="1" s="1"/>
  <c r="AI92" i="1"/>
  <c r="AH92" i="1" s="1"/>
  <c r="AG92" i="1" s="1"/>
  <c r="AF92" i="1" s="1"/>
  <c r="AD92" i="1" s="1"/>
  <c r="AI176" i="1"/>
  <c r="AH176" i="1" s="1"/>
  <c r="AG176" i="1" s="1"/>
  <c r="AF176" i="1" s="1"/>
  <c r="AI191" i="1"/>
  <c r="AH191" i="1" s="1"/>
  <c r="AG191" i="1" s="1"/>
  <c r="AF191" i="1" s="1"/>
  <c r="AD191" i="1" s="1"/>
  <c r="AI69" i="1"/>
  <c r="AH69" i="1" s="1"/>
  <c r="AG69" i="1" s="1"/>
  <c r="AF69" i="1" s="1"/>
  <c r="AI51" i="1"/>
  <c r="AH51" i="1" s="1"/>
  <c r="AG51" i="1" s="1"/>
  <c r="AF51" i="1" s="1"/>
  <c r="AD51" i="1" s="1"/>
  <c r="AI328" i="1"/>
  <c r="AH328" i="1" s="1"/>
  <c r="AG328" i="1" s="1"/>
  <c r="AF328" i="1" s="1"/>
  <c r="AI365" i="1"/>
  <c r="AH365" i="1" s="1"/>
  <c r="AG365" i="1" s="1"/>
  <c r="AF365" i="1" s="1"/>
  <c r="AI233" i="1"/>
  <c r="AH233" i="1" s="1"/>
  <c r="AG233" i="1" s="1"/>
  <c r="AF233" i="1" s="1"/>
  <c r="AD233" i="1" s="1"/>
  <c r="AI341" i="1"/>
  <c r="AH341" i="1" s="1"/>
  <c r="AG341" i="1" s="1"/>
  <c r="AF341" i="1" s="1"/>
  <c r="AI301" i="1"/>
  <c r="AH301" i="1" s="1"/>
  <c r="AG301" i="1" s="1"/>
  <c r="AF301" i="1" s="1"/>
  <c r="AD301" i="1" s="1"/>
  <c r="AI273" i="1"/>
  <c r="AH273" i="1" s="1"/>
  <c r="AG273" i="1" s="1"/>
  <c r="AF273" i="1" s="1"/>
  <c r="AI297" i="1"/>
  <c r="AH297" i="1" s="1"/>
  <c r="AG297" i="1" s="1"/>
  <c r="AF297" i="1" s="1"/>
  <c r="AD297" i="1" s="1"/>
  <c r="AI71" i="1"/>
  <c r="AH71" i="1" s="1"/>
  <c r="AG71" i="1" s="1"/>
  <c r="AF71" i="1" s="1"/>
  <c r="AD71" i="1" s="1"/>
  <c r="AI209" i="1"/>
  <c r="AH209" i="1" s="1"/>
  <c r="AG209" i="1" s="1"/>
  <c r="AF209" i="1" s="1"/>
  <c r="AD209" i="1" s="1"/>
  <c r="AI244" i="1"/>
  <c r="AH244" i="1" s="1"/>
  <c r="AG244" i="1" s="1"/>
  <c r="AF244" i="1" s="1"/>
  <c r="AI46" i="1"/>
  <c r="AH46" i="1" s="1"/>
  <c r="AG46" i="1" s="1"/>
  <c r="AF46" i="1" s="1"/>
  <c r="AD46" i="1" s="1"/>
  <c r="AI174" i="1"/>
  <c r="AH174" i="1" s="1"/>
  <c r="AG174" i="1" s="1"/>
  <c r="AF174" i="1" s="1"/>
  <c r="AI30" i="1"/>
  <c r="AH30" i="1" s="1"/>
  <c r="AG30" i="1" s="1"/>
  <c r="AF30" i="1" s="1"/>
  <c r="AD30" i="1" s="1"/>
  <c r="AI376" i="1"/>
  <c r="AH376" i="1" s="1"/>
  <c r="AG376" i="1" s="1"/>
  <c r="AF376" i="1" s="1"/>
  <c r="AD376" i="1" s="1"/>
  <c r="AI245" i="1"/>
  <c r="AH245" i="1" s="1"/>
  <c r="AG245" i="1" s="1"/>
  <c r="AF245" i="1" s="1"/>
  <c r="AD245" i="1" s="1"/>
  <c r="AI257" i="1"/>
  <c r="AH257" i="1" s="1"/>
  <c r="AG257" i="1" s="1"/>
  <c r="AF257" i="1" s="1"/>
  <c r="AD257" i="1" s="1"/>
  <c r="AI360" i="1"/>
  <c r="AH360" i="1" s="1"/>
  <c r="AG360" i="1" s="1"/>
  <c r="AF360" i="1" s="1"/>
  <c r="AD360" i="1" s="1"/>
  <c r="AI218" i="1"/>
  <c r="AH218" i="1" s="1"/>
  <c r="AG218" i="1" s="1"/>
  <c r="AF218" i="1" s="1"/>
  <c r="AD218" i="1" s="1"/>
  <c r="AI247" i="1"/>
  <c r="AH247" i="1" s="1"/>
  <c r="AG247" i="1" s="1"/>
  <c r="AF247" i="1" s="1"/>
  <c r="AD247" i="1" s="1"/>
  <c r="AI294" i="1"/>
  <c r="AH294" i="1" s="1"/>
  <c r="AG294" i="1" s="1"/>
  <c r="AF294" i="1" s="1"/>
  <c r="AD294" i="1" s="1"/>
  <c r="AI96" i="1"/>
  <c r="AH96" i="1" s="1"/>
  <c r="AG96" i="1" s="1"/>
  <c r="AF96" i="1" s="1"/>
  <c r="AI161" i="1"/>
  <c r="AH161" i="1" s="1"/>
  <c r="AG161" i="1" s="1"/>
  <c r="AF161" i="1" s="1"/>
  <c r="AD161" i="1" s="1"/>
  <c r="AI34" i="1"/>
  <c r="AH34" i="1" s="1"/>
  <c r="AG34" i="1" s="1"/>
  <c r="AF34" i="1" s="1"/>
  <c r="AI159" i="1"/>
  <c r="AH159" i="1" s="1"/>
  <c r="AG159" i="1" s="1"/>
  <c r="AF159" i="1" s="1"/>
  <c r="AD159" i="1" s="1"/>
  <c r="AI208" i="1"/>
  <c r="AH208" i="1" s="1"/>
  <c r="AG208" i="1" s="1"/>
  <c r="AF208" i="1" s="1"/>
  <c r="AD208" i="1" s="1"/>
  <c r="AI87" i="1"/>
  <c r="AH87" i="1" s="1"/>
  <c r="AG87" i="1" s="1"/>
  <c r="AF87" i="1" s="1"/>
  <c r="AI171" i="1"/>
  <c r="AH171" i="1" s="1"/>
  <c r="AG171" i="1" s="1"/>
  <c r="AF171" i="1" s="1"/>
  <c r="AI110" i="1"/>
  <c r="AH110" i="1" s="1"/>
  <c r="AG110" i="1" s="1"/>
  <c r="AF110" i="1" s="1"/>
  <c r="AD110" i="1" s="1"/>
  <c r="AI309" i="1"/>
  <c r="AH309" i="1" s="1"/>
  <c r="AG309" i="1" s="1"/>
  <c r="AF309" i="1" s="1"/>
  <c r="AD309" i="1" s="1"/>
  <c r="AI325" i="1"/>
  <c r="AH325" i="1" s="1"/>
  <c r="AG325" i="1" s="1"/>
  <c r="AF325" i="1" s="1"/>
  <c r="AD325" i="1" s="1"/>
  <c r="AI369" i="1"/>
  <c r="AH369" i="1" s="1"/>
  <c r="AG369" i="1" s="1"/>
  <c r="AF369" i="1" s="1"/>
  <c r="AI172" i="1"/>
  <c r="AH172" i="1" s="1"/>
  <c r="AG172" i="1" s="1"/>
  <c r="AF172" i="1" s="1"/>
  <c r="AI366" i="1"/>
  <c r="AH366" i="1" s="1"/>
  <c r="AG366" i="1" s="1"/>
  <c r="AF366" i="1" s="1"/>
  <c r="AD366" i="1" s="1"/>
  <c r="AI50" i="1"/>
  <c r="AH50" i="1" s="1"/>
  <c r="AG50" i="1" s="1"/>
  <c r="AF50" i="1" s="1"/>
  <c r="AD50" i="1" s="1"/>
  <c r="AI129" i="1"/>
  <c r="AH129" i="1" s="1"/>
  <c r="AG129" i="1" s="1"/>
  <c r="AF129" i="1" s="1"/>
  <c r="AD129" i="1" s="1"/>
  <c r="AI146" i="1"/>
  <c r="AH146" i="1" s="1"/>
  <c r="AG146" i="1" s="1"/>
  <c r="AF146" i="1" s="1"/>
  <c r="AD146" i="1" s="1"/>
  <c r="AI36" i="1"/>
  <c r="AH36" i="1" s="1"/>
  <c r="AG36" i="1" s="1"/>
  <c r="AF36" i="1" s="1"/>
  <c r="AD36" i="1" s="1"/>
  <c r="AI281" i="1"/>
  <c r="AH281" i="1" s="1"/>
  <c r="AG281" i="1" s="1"/>
  <c r="AF281" i="1" s="1"/>
  <c r="AI135" i="1"/>
  <c r="AH135" i="1" s="1"/>
  <c r="AG135" i="1" s="1"/>
  <c r="AF135" i="1" s="1"/>
  <c r="AI81" i="1"/>
  <c r="AH81" i="1" s="1"/>
  <c r="AG81" i="1" s="1"/>
  <c r="AF81" i="1" s="1"/>
  <c r="AI312" i="1"/>
  <c r="AH312" i="1" s="1"/>
  <c r="AG312" i="1" s="1"/>
  <c r="AF312" i="1" s="1"/>
  <c r="AD312" i="1" s="1"/>
  <c r="AI24" i="1"/>
  <c r="AH24" i="1" s="1"/>
  <c r="AG24" i="1" s="1"/>
  <c r="AF24" i="1" s="1"/>
  <c r="AI112" i="1"/>
  <c r="AH112" i="1" s="1"/>
  <c r="AG112" i="1" s="1"/>
  <c r="AF112" i="1" s="1"/>
  <c r="AI20" i="1"/>
  <c r="AH20" i="1" s="1"/>
  <c r="AG20" i="1" s="1"/>
  <c r="AF20" i="1" s="1"/>
  <c r="AD20" i="1" s="1"/>
  <c r="AI98" i="1"/>
  <c r="AH98" i="1" s="1"/>
  <c r="AG98" i="1" s="1"/>
  <c r="AF98" i="1" s="1"/>
  <c r="AI40" i="1"/>
  <c r="AH40" i="1" s="1"/>
  <c r="AG40" i="1" s="1"/>
  <c r="AF40" i="1" s="1"/>
  <c r="AI128" i="1"/>
  <c r="AH128" i="1" s="1"/>
  <c r="AG128" i="1" s="1"/>
  <c r="AF128" i="1" s="1"/>
  <c r="AI60" i="1"/>
  <c r="AH60" i="1" s="1"/>
  <c r="AG60" i="1" s="1"/>
  <c r="AF60" i="1" s="1"/>
  <c r="AD60" i="1" s="1"/>
  <c r="AI99" i="1"/>
  <c r="AH99" i="1" s="1"/>
  <c r="AG99" i="1" s="1"/>
  <c r="AF99" i="1" s="1"/>
  <c r="AI17" i="1"/>
  <c r="AI64" i="1"/>
  <c r="AH64" i="1" s="1"/>
  <c r="AG64" i="1" s="1"/>
  <c r="AF64" i="1" s="1"/>
  <c r="AD64" i="1" s="1"/>
  <c r="AI120" i="1"/>
  <c r="AH120" i="1" s="1"/>
  <c r="AG120" i="1" s="1"/>
  <c r="AF120" i="1" s="1"/>
  <c r="AD120" i="1" s="1"/>
  <c r="AI290" i="1"/>
  <c r="AH290" i="1" s="1"/>
  <c r="AG290" i="1" s="1"/>
  <c r="AF290" i="1" s="1"/>
  <c r="AI123" i="1"/>
  <c r="AH123" i="1" s="1"/>
  <c r="AG123" i="1" s="1"/>
  <c r="AF123" i="1" s="1"/>
  <c r="AI333" i="1"/>
  <c r="AH333" i="1" s="1"/>
  <c r="AG333" i="1" s="1"/>
  <c r="AF333" i="1" s="1"/>
  <c r="AI347" i="1"/>
  <c r="AH347" i="1" s="1"/>
  <c r="AG347" i="1" s="1"/>
  <c r="AF347" i="1" s="1"/>
  <c r="AI49" i="1"/>
  <c r="AH49" i="1" s="1"/>
  <c r="AG49" i="1" s="1"/>
  <c r="AF49" i="1" s="1"/>
  <c r="AD49" i="1" s="1"/>
  <c r="AI344" i="1"/>
  <c r="AH344" i="1" s="1"/>
  <c r="AG344" i="1" s="1"/>
  <c r="AF344" i="1" s="1"/>
  <c r="AD344" i="1" s="1"/>
  <c r="AI356" i="1"/>
  <c r="AH356" i="1" s="1"/>
  <c r="AG356" i="1" s="1"/>
  <c r="AF356" i="1" s="1"/>
  <c r="AI226" i="1"/>
  <c r="AH226" i="1" s="1"/>
  <c r="AG226" i="1" s="1"/>
  <c r="AF226" i="1" s="1"/>
  <c r="AD226" i="1" s="1"/>
  <c r="AI95" i="1"/>
  <c r="AH95" i="1" s="1"/>
  <c r="AG95" i="1" s="1"/>
  <c r="AF95" i="1" s="1"/>
  <c r="AI186" i="1"/>
  <c r="AH186" i="1" s="1"/>
  <c r="AG186" i="1" s="1"/>
  <c r="AF186" i="1" s="1"/>
  <c r="AI274" i="1"/>
  <c r="AH274" i="1" s="1"/>
  <c r="AG274" i="1" s="1"/>
  <c r="AF274" i="1" s="1"/>
  <c r="AI154" i="1"/>
  <c r="AH154" i="1" s="1"/>
  <c r="AG154" i="1" s="1"/>
  <c r="AF154" i="1" s="1"/>
  <c r="AD154" i="1" s="1"/>
  <c r="AI114" i="1"/>
  <c r="AH114" i="1" s="1"/>
  <c r="AG114" i="1" s="1"/>
  <c r="AF114" i="1" s="1"/>
  <c r="AD114" i="1" s="1"/>
  <c r="AI43" i="1"/>
  <c r="AH43" i="1" s="1"/>
  <c r="AG43" i="1" s="1"/>
  <c r="AF43" i="1" s="1"/>
  <c r="AD43" i="1" s="1"/>
  <c r="AI192" i="1"/>
  <c r="AH192" i="1" s="1"/>
  <c r="AG192" i="1" s="1"/>
  <c r="AF192" i="1" s="1"/>
  <c r="AD192" i="1" s="1"/>
  <c r="AI28" i="1"/>
  <c r="AH28" i="1" s="1"/>
  <c r="AG28" i="1" s="1"/>
  <c r="AF28" i="1" s="1"/>
  <c r="AD28" i="1" s="1"/>
  <c r="AI160" i="1"/>
  <c r="AH160" i="1" s="1"/>
  <c r="AG160" i="1" s="1"/>
  <c r="AF160" i="1" s="1"/>
  <c r="AD160" i="1" s="1"/>
  <c r="AI55" i="1"/>
  <c r="AH55" i="1" s="1"/>
  <c r="AG55" i="1" s="1"/>
  <c r="AF55" i="1" s="1"/>
  <c r="AI378" i="1"/>
  <c r="AH378" i="1" s="1"/>
  <c r="AG378" i="1" s="1"/>
  <c r="AF378" i="1" s="1"/>
  <c r="AD378" i="1" s="1"/>
  <c r="AI47" i="1"/>
  <c r="AH47" i="1" s="1"/>
  <c r="AG47" i="1" s="1"/>
  <c r="AF47" i="1" s="1"/>
  <c r="AD47" i="1" s="1"/>
  <c r="AI21" i="1"/>
  <c r="AH21" i="1" s="1"/>
  <c r="AG21" i="1" s="1"/>
  <c r="AF21" i="1" s="1"/>
  <c r="AI140" i="1"/>
  <c r="AH140" i="1" s="1"/>
  <c r="AG140" i="1" s="1"/>
  <c r="AF140" i="1" s="1"/>
  <c r="AI178" i="1"/>
  <c r="AH178" i="1" s="1"/>
  <c r="AG178" i="1" s="1"/>
  <c r="AF178" i="1" s="1"/>
  <c r="AD178" i="1" s="1"/>
  <c r="AI367" i="1"/>
  <c r="AH367" i="1" s="1"/>
  <c r="AG367" i="1" s="1"/>
  <c r="AF367" i="1" s="1"/>
  <c r="AD367" i="1" s="1"/>
  <c r="AI61" i="1"/>
  <c r="AH61" i="1" s="1"/>
  <c r="AG61" i="1" s="1"/>
  <c r="AF61" i="1" s="1"/>
  <c r="AI305" i="1"/>
  <c r="AH305" i="1" s="1"/>
  <c r="AG305" i="1" s="1"/>
  <c r="AF305" i="1" s="1"/>
  <c r="AI237" i="1"/>
  <c r="AH237" i="1" s="1"/>
  <c r="AG237" i="1" s="1"/>
  <c r="AF237" i="1" s="1"/>
  <c r="AI228" i="1"/>
  <c r="AH228" i="1" s="1"/>
  <c r="AG228" i="1" s="1"/>
  <c r="AF228" i="1" s="1"/>
  <c r="AD228" i="1" s="1"/>
  <c r="L11" i="20"/>
  <c r="AC16" i="15"/>
  <c r="AC15" i="15"/>
  <c r="Q17" i="1"/>
  <c r="Q18" i="1"/>
  <c r="U18" i="1"/>
  <c r="T18" i="1" s="1"/>
  <c r="S18" i="1" s="1"/>
  <c r="R18" i="1" s="1"/>
  <c r="U15" i="1"/>
  <c r="T15" i="1" s="1"/>
  <c r="S15" i="1" s="1"/>
  <c r="Q15" i="1"/>
  <c r="Q16" i="1"/>
  <c r="U16" i="1"/>
  <c r="T16" i="1" s="1"/>
  <c r="S16" i="1" s="1"/>
  <c r="R16" i="1" s="1"/>
  <c r="U17" i="1"/>
  <c r="T17" i="1" s="1"/>
  <c r="S17" i="1" s="1"/>
  <c r="R17" i="1" s="1"/>
  <c r="L12" i="19"/>
  <c r="P10" i="15"/>
  <c r="AE11" i="15"/>
  <c r="AI11" i="15"/>
  <c r="G42" i="27"/>
  <c r="AE77" i="27"/>
  <c r="P78" i="27"/>
  <c r="G41" i="27" s="1"/>
  <c r="AI11" i="16"/>
  <c r="AE11" i="16"/>
  <c r="L13" i="19"/>
  <c r="P10" i="16"/>
  <c r="A19" i="16"/>
  <c r="AB18" i="16"/>
  <c r="L18" i="16"/>
  <c r="AK18" i="16"/>
  <c r="K18" i="16"/>
  <c r="X18" i="16"/>
  <c r="AJ18" i="16"/>
  <c r="AA11" i="7"/>
  <c r="P11" i="20"/>
  <c r="AK16" i="20" s="1"/>
  <c r="AF15" i="7"/>
  <c r="L12" i="20"/>
  <c r="AC20" i="1"/>
  <c r="A21" i="1"/>
  <c r="X20" i="1"/>
  <c r="O20" i="1"/>
  <c r="AK20" i="1"/>
  <c r="AB20" i="1"/>
  <c r="Q20" i="1"/>
  <c r="AJ20" i="1"/>
  <c r="D20" i="1"/>
  <c r="K20" i="1"/>
  <c r="U20" i="1"/>
  <c r="T20" i="1" s="1"/>
  <c r="AI11" i="17"/>
  <c r="P10" i="17"/>
  <c r="L14" i="19"/>
  <c r="AE11" i="17"/>
  <c r="AC17" i="16"/>
  <c r="AC16" i="16"/>
  <c r="AC15" i="16"/>
  <c r="AC18" i="16"/>
  <c r="K16" i="20"/>
  <c r="AB16" i="20"/>
  <c r="X16" i="20"/>
  <c r="A17" i="20"/>
  <c r="K15" i="22"/>
  <c r="A16" i="22"/>
  <c r="X15" i="22"/>
  <c r="AB15" i="22"/>
  <c r="AB17" i="18"/>
  <c r="L17" i="18"/>
  <c r="A18" i="18"/>
  <c r="X17" i="18"/>
  <c r="K17" i="18"/>
  <c r="AK17" i="18"/>
  <c r="AB18" i="17"/>
  <c r="A19" i="17"/>
  <c r="L18" i="17"/>
  <c r="X18" i="17"/>
  <c r="K18" i="17"/>
  <c r="AK18" i="17"/>
  <c r="I13" i="7"/>
  <c r="O10" i="7" s="1"/>
  <c r="O16" i="15"/>
  <c r="O18" i="15"/>
  <c r="O15" i="15"/>
  <c r="O17" i="15"/>
  <c r="P12" i="18"/>
  <c r="F8" i="18"/>
  <c r="AK380" i="18"/>
  <c r="AK15" i="18"/>
  <c r="L1" i="23"/>
  <c r="J1" i="24"/>
  <c r="V14" i="23"/>
  <c r="A15" i="23"/>
  <c r="Y14" i="23"/>
  <c r="A18" i="19"/>
  <c r="A42" i="19" s="1"/>
  <c r="F14" i="23"/>
  <c r="H6" i="6"/>
  <c r="AQ3" i="7"/>
  <c r="X1" i="23"/>
  <c r="AD144" i="1" l="1"/>
  <c r="E20" i="1"/>
  <c r="AZ13" i="6"/>
  <c r="AZ12" i="6"/>
  <c r="AD320" i="1"/>
  <c r="AD348" i="1"/>
  <c r="P19" i="1"/>
  <c r="V19" i="1" s="1"/>
  <c r="AJ15" i="17"/>
  <c r="F7" i="17"/>
  <c r="O12" i="17" s="1"/>
  <c r="T13" i="7"/>
  <c r="AJ16" i="17"/>
  <c r="AJ380" i="17"/>
  <c r="AJ17" i="17"/>
  <c r="O9" i="18"/>
  <c r="AJ18" i="18" s="1"/>
  <c r="AD222" i="1"/>
  <c r="AD62" i="1"/>
  <c r="BF21" i="1"/>
  <c r="L16" i="20"/>
  <c r="AD332" i="1"/>
  <c r="AD276" i="1"/>
  <c r="L15" i="20"/>
  <c r="AD170" i="1"/>
  <c r="AD188" i="1"/>
  <c r="AD249" i="1"/>
  <c r="AD158" i="1"/>
  <c r="AD130" i="1"/>
  <c r="AD346" i="1"/>
  <c r="Q13" i="7"/>
  <c r="P13" i="7"/>
  <c r="AD300" i="1"/>
  <c r="AD237" i="1"/>
  <c r="AD61" i="1"/>
  <c r="AD21" i="1"/>
  <c r="AD274" i="1"/>
  <c r="AD95" i="1"/>
  <c r="AD356" i="1"/>
  <c r="AD333" i="1"/>
  <c r="AD290" i="1"/>
  <c r="AD99" i="1"/>
  <c r="AD128" i="1"/>
  <c r="AD98" i="1"/>
  <c r="AD112" i="1"/>
  <c r="AD135" i="1"/>
  <c r="AD369" i="1"/>
  <c r="AD171" i="1"/>
  <c r="AD34" i="1"/>
  <c r="AD96" i="1"/>
  <c r="AD328" i="1"/>
  <c r="AD69" i="1"/>
  <c r="AD176" i="1"/>
  <c r="AD136" i="1"/>
  <c r="AD78" i="1"/>
  <c r="AD375" i="1"/>
  <c r="AD127" i="1"/>
  <c r="AD147" i="1"/>
  <c r="AD68" i="1"/>
  <c r="AD232" i="1"/>
  <c r="AD104" i="1"/>
  <c r="AD255" i="1"/>
  <c r="AD45" i="1"/>
  <c r="AD80" i="1"/>
  <c r="AD75" i="1"/>
  <c r="AD142" i="1"/>
  <c r="AD227" i="1"/>
  <c r="AD315" i="1"/>
  <c r="AD270" i="1"/>
  <c r="AD41" i="1"/>
  <c r="AD240" i="1"/>
  <c r="AD342" i="1"/>
  <c r="AD35" i="1"/>
  <c r="AD91" i="1"/>
  <c r="AD126" i="1"/>
  <c r="AD269" i="1"/>
  <c r="AD168" i="1"/>
  <c r="AD252" i="1"/>
  <c r="AD299" i="1"/>
  <c r="AD200" i="1"/>
  <c r="AD65" i="1"/>
  <c r="AD216" i="1"/>
  <c r="AD308" i="1"/>
  <c r="AD102" i="1"/>
  <c r="AD164" i="1"/>
  <c r="AD156" i="1"/>
  <c r="AD155" i="1"/>
  <c r="AD285" i="1"/>
  <c r="AD279" i="1"/>
  <c r="AD260" i="1"/>
  <c r="AD19" i="1"/>
  <c r="AD70" i="1"/>
  <c r="AD63" i="1"/>
  <c r="AD303" i="1"/>
  <c r="AD203" i="1"/>
  <c r="AD132" i="1"/>
  <c r="AD18" i="1"/>
  <c r="AD262" i="1"/>
  <c r="AD196" i="1"/>
  <c r="AD72" i="1"/>
  <c r="AD101" i="1"/>
  <c r="AD266" i="1"/>
  <c r="AD189" i="1"/>
  <c r="AD42" i="1"/>
  <c r="AD53" i="1"/>
  <c r="AD261" i="1"/>
  <c r="AD326" i="1"/>
  <c r="AD150" i="1"/>
  <c r="AD88" i="1"/>
  <c r="AD182" i="1"/>
  <c r="AD258" i="1"/>
  <c r="AD368" i="1"/>
  <c r="AD57" i="1"/>
  <c r="AD214" i="1"/>
  <c r="AD321" i="1"/>
  <c r="AD151" i="1"/>
  <c r="AD355" i="1"/>
  <c r="AD198" i="1"/>
  <c r="AD206" i="1"/>
  <c r="P17" i="1"/>
  <c r="AD305" i="1"/>
  <c r="AD140" i="1"/>
  <c r="AD55" i="1"/>
  <c r="AD186" i="1"/>
  <c r="AD347" i="1"/>
  <c r="AD123" i="1"/>
  <c r="AD40" i="1"/>
  <c r="AD24" i="1"/>
  <c r="AD81" i="1"/>
  <c r="AD281" i="1"/>
  <c r="AD172" i="1"/>
  <c r="AD87" i="1"/>
  <c r="AD174" i="1"/>
  <c r="AD244" i="1"/>
  <c r="AD273" i="1"/>
  <c r="AD341" i="1"/>
  <c r="AD365" i="1"/>
  <c r="AD254" i="1"/>
  <c r="AD306" i="1"/>
  <c r="AD169" i="1"/>
  <c r="AD210" i="1"/>
  <c r="AD185" i="1"/>
  <c r="AD58" i="1"/>
  <c r="AD259" i="1"/>
  <c r="AD167" i="1"/>
  <c r="AD220" i="1"/>
  <c r="AD153" i="1"/>
  <c r="AD121" i="1"/>
  <c r="AD292" i="1"/>
  <c r="AD268" i="1"/>
  <c r="AD337" i="1"/>
  <c r="AD23" i="1"/>
  <c r="AD157" i="1"/>
  <c r="AD103" i="1"/>
  <c r="AD177" i="1"/>
  <c r="AD231" i="1"/>
  <c r="AD318" i="1"/>
  <c r="AD108" i="1"/>
  <c r="AD316" i="1"/>
  <c r="AD77" i="1"/>
  <c r="AD76" i="1"/>
  <c r="AD265" i="1"/>
  <c r="AD115" i="1"/>
  <c r="AD93" i="1"/>
  <c r="AD323" i="1"/>
  <c r="AD353" i="1"/>
  <c r="AD329" i="1"/>
  <c r="AD84" i="1"/>
  <c r="AD267" i="1"/>
  <c r="AD54" i="1"/>
  <c r="AD125" i="1"/>
  <c r="AD287" i="1"/>
  <c r="AD149" i="1"/>
  <c r="AD250" i="1"/>
  <c r="AD105" i="1"/>
  <c r="AD350" i="1"/>
  <c r="AD310" i="1"/>
  <c r="AD183" i="1"/>
  <c r="AD364" i="1"/>
  <c r="AD193" i="1"/>
  <c r="AD187" i="1"/>
  <c r="AD280" i="1"/>
  <c r="AD253" i="1"/>
  <c r="AD184" i="1"/>
  <c r="AD377" i="1"/>
  <c r="AD374" i="1"/>
  <c r="AD373" i="1"/>
  <c r="AD275" i="1"/>
  <c r="AD56" i="1"/>
  <c r="AD27" i="1"/>
  <c r="AD117" i="1"/>
  <c r="AD351" i="1"/>
  <c r="AD311" i="1"/>
  <c r="AD66" i="1"/>
  <c r="L11" i="22"/>
  <c r="AH17" i="1"/>
  <c r="AG52" i="1"/>
  <c r="AF52" i="1" s="1"/>
  <c r="AD52" i="1" s="1"/>
  <c r="AG39" i="1"/>
  <c r="AF39" i="1" s="1"/>
  <c r="AD39" i="1" s="1"/>
  <c r="AG370" i="1"/>
  <c r="AF370" i="1" s="1"/>
  <c r="AD370" i="1" s="1"/>
  <c r="AG143" i="1"/>
  <c r="AF143" i="1" s="1"/>
  <c r="AD143" i="1" s="1"/>
  <c r="AE381" i="1"/>
  <c r="AE382" i="1"/>
  <c r="AE383" i="1"/>
  <c r="P16" i="1"/>
  <c r="P18" i="1"/>
  <c r="AI381" i="1"/>
  <c r="AI382" i="1"/>
  <c r="AH15" i="1"/>
  <c r="AI383" i="1"/>
  <c r="AI12" i="15"/>
  <c r="AH379" i="1"/>
  <c r="AG379" i="1" s="1"/>
  <c r="AF379" i="1" s="1"/>
  <c r="AD379" i="1" s="1"/>
  <c r="AG116" i="1"/>
  <c r="AF116" i="1" s="1"/>
  <c r="AD116" i="1" s="1"/>
  <c r="AG199" i="1"/>
  <c r="AF199" i="1" s="1"/>
  <c r="AD199" i="1" s="1"/>
  <c r="AG83" i="1"/>
  <c r="AF83" i="1" s="1"/>
  <c r="AD83" i="1" s="1"/>
  <c r="AG74" i="1"/>
  <c r="AF74" i="1" s="1"/>
  <c r="AD74" i="1" s="1"/>
  <c r="AC19" i="15"/>
  <c r="A20" i="15"/>
  <c r="X19" i="15"/>
  <c r="K19" i="15"/>
  <c r="AB19" i="15"/>
  <c r="AK19" i="15"/>
  <c r="AJ19" i="15"/>
  <c r="L19" i="15"/>
  <c r="AR57" i="27"/>
  <c r="AP57" i="27"/>
  <c r="AE79" i="27"/>
  <c r="AV57" i="27"/>
  <c r="AT57" i="27"/>
  <c r="AE78" i="27"/>
  <c r="P79" i="27"/>
  <c r="Q11" i="18"/>
  <c r="AG11" i="7"/>
  <c r="Q11" i="20" s="1"/>
  <c r="AB19" i="16"/>
  <c r="AK19" i="16"/>
  <c r="K19" i="16"/>
  <c r="X19" i="16"/>
  <c r="AJ19" i="16"/>
  <c r="AC19" i="16"/>
  <c r="A20" i="16"/>
  <c r="L19" i="16"/>
  <c r="K15" i="23"/>
  <c r="A16" i="23"/>
  <c r="X15" i="23"/>
  <c r="AB15" i="23"/>
  <c r="A15" i="24"/>
  <c r="L1" i="24"/>
  <c r="J1" i="25"/>
  <c r="AW3" i="7"/>
  <c r="F14" i="24"/>
  <c r="A19" i="19"/>
  <c r="A43" i="19" s="1"/>
  <c r="V14" i="24"/>
  <c r="Y14" i="24"/>
  <c r="X1" i="24"/>
  <c r="I6" i="6"/>
  <c r="P10" i="18"/>
  <c r="AI11" i="18"/>
  <c r="AE11" i="18"/>
  <c r="L15" i="19"/>
  <c r="X19" i="17"/>
  <c r="AB19" i="17"/>
  <c r="L19" i="17"/>
  <c r="K19" i="17"/>
  <c r="A20" i="17"/>
  <c r="AK19" i="17"/>
  <c r="AJ19" i="17"/>
  <c r="AB16" i="22"/>
  <c r="A17" i="22"/>
  <c r="X16" i="22"/>
  <c r="K16" i="22"/>
  <c r="P11" i="22"/>
  <c r="AL15" i="7"/>
  <c r="X21" i="1"/>
  <c r="Q21" i="1"/>
  <c r="AK21" i="1"/>
  <c r="AB21" i="1"/>
  <c r="O21" i="1"/>
  <c r="K21" i="1"/>
  <c r="A22" i="1"/>
  <c r="AJ21" i="1"/>
  <c r="AC21" i="1"/>
  <c r="U21" i="1"/>
  <c r="L12" i="22"/>
  <c r="P12" i="20"/>
  <c r="AK380" i="20"/>
  <c r="F8" i="20"/>
  <c r="AK15" i="20"/>
  <c r="E8" i="16"/>
  <c r="K13" i="19" s="1"/>
  <c r="K37" i="19" s="1"/>
  <c r="E7" i="16"/>
  <c r="R15" i="1"/>
  <c r="X18" i="18"/>
  <c r="K18" i="18"/>
  <c r="L18" i="18"/>
  <c r="AB18" i="18"/>
  <c r="A19" i="18"/>
  <c r="AK18" i="18"/>
  <c r="K17" i="20"/>
  <c r="AB17" i="20"/>
  <c r="L17" i="20"/>
  <c r="A18" i="20"/>
  <c r="X17" i="20"/>
  <c r="AK17" i="20"/>
  <c r="S20" i="1"/>
  <c r="R20" i="1" s="1"/>
  <c r="P20" i="1" s="1"/>
  <c r="V20" i="1" s="1"/>
  <c r="O11" i="17" l="1"/>
  <c r="V13" i="7" s="1"/>
  <c r="F19" i="1"/>
  <c r="G19" i="1" s="1"/>
  <c r="BW19" i="6" s="1"/>
  <c r="F20" i="1"/>
  <c r="G20" i="1" s="1"/>
  <c r="BW20" i="6" s="1"/>
  <c r="AC12" i="17"/>
  <c r="AC9" i="17"/>
  <c r="O9" i="20"/>
  <c r="AJ18" i="20" s="1"/>
  <c r="AJ15" i="18"/>
  <c r="F7" i="18"/>
  <c r="AJ380" i="18"/>
  <c r="AJ16" i="18"/>
  <c r="Z13" i="7"/>
  <c r="AJ17" i="18"/>
  <c r="BF22" i="1"/>
  <c r="V16" i="1"/>
  <c r="V17" i="1"/>
  <c r="F17" i="1" s="1"/>
  <c r="W13" i="7"/>
  <c r="L15" i="22"/>
  <c r="AA19" i="1"/>
  <c r="Z19" i="1" s="1"/>
  <c r="Y19" i="1" s="1"/>
  <c r="AX57" i="27"/>
  <c r="AN57" i="27" s="1"/>
  <c r="AN58" i="27" s="1"/>
  <c r="AN59" i="27" s="1"/>
  <c r="AN60" i="27" s="1"/>
  <c r="AN61" i="27" s="1"/>
  <c r="AN62" i="27" s="1"/>
  <c r="AN63" i="27" s="1"/>
  <c r="AN64" i="27" s="1"/>
  <c r="AN65" i="27" s="1"/>
  <c r="AN66" i="27" s="1"/>
  <c r="AN67" i="27" s="1"/>
  <c r="AH381" i="1"/>
  <c r="AH382" i="1"/>
  <c r="AG15" i="1"/>
  <c r="AH383" i="1"/>
  <c r="L11" i="23"/>
  <c r="AB20" i="15"/>
  <c r="AJ20" i="15"/>
  <c r="AK20" i="15"/>
  <c r="AC20" i="15"/>
  <c r="X20" i="15"/>
  <c r="A21" i="15"/>
  <c r="K20" i="15"/>
  <c r="O20" i="15"/>
  <c r="V18" i="1"/>
  <c r="F18" i="1" s="1"/>
  <c r="G18" i="1" s="1"/>
  <c r="BW18" i="6" s="1"/>
  <c r="AG17" i="1"/>
  <c r="AF17" i="1" s="1"/>
  <c r="AD17" i="1" s="1"/>
  <c r="AN56" i="27"/>
  <c r="AM11" i="7"/>
  <c r="K20" i="16"/>
  <c r="A21" i="16"/>
  <c r="L20" i="16"/>
  <c r="AJ20" i="16"/>
  <c r="X20" i="16"/>
  <c r="AB20" i="16"/>
  <c r="AK20" i="16"/>
  <c r="AC20" i="16"/>
  <c r="K19" i="18"/>
  <c r="L19" i="18"/>
  <c r="AB19" i="18"/>
  <c r="A20" i="18"/>
  <c r="X19" i="18"/>
  <c r="AK19" i="18"/>
  <c r="AJ19" i="18"/>
  <c r="P15" i="1"/>
  <c r="O10" i="16"/>
  <c r="AC10" i="16"/>
  <c r="L12" i="23"/>
  <c r="A23" i="1"/>
  <c r="K22" i="1"/>
  <c r="Q22" i="1"/>
  <c r="AB22" i="1"/>
  <c r="X22" i="1"/>
  <c r="AK22" i="1"/>
  <c r="AJ22" i="1"/>
  <c r="O22" i="1"/>
  <c r="AC22" i="1"/>
  <c r="U22" i="1"/>
  <c r="T22" i="1" s="1"/>
  <c r="S22" i="1" s="1"/>
  <c r="R22" i="1" s="1"/>
  <c r="D21" i="1"/>
  <c r="F8" i="22"/>
  <c r="P12" i="22"/>
  <c r="AK15" i="22"/>
  <c r="AK16" i="22"/>
  <c r="A21" i="17"/>
  <c r="AB20" i="17"/>
  <c r="X20" i="17"/>
  <c r="L20" i="17"/>
  <c r="K20" i="17"/>
  <c r="AJ20" i="17"/>
  <c r="AK20" i="17"/>
  <c r="K16" i="23"/>
  <c r="AB16" i="23"/>
  <c r="X16" i="23"/>
  <c r="A17" i="23"/>
  <c r="A19" i="20"/>
  <c r="K18" i="20"/>
  <c r="AB18" i="20"/>
  <c r="X18" i="20"/>
  <c r="L18" i="20"/>
  <c r="AK18" i="20"/>
  <c r="AR15" i="7"/>
  <c r="P11" i="23"/>
  <c r="P10" i="20"/>
  <c r="L16" i="19"/>
  <c r="T21" i="1"/>
  <c r="L16" i="22"/>
  <c r="X17" i="22"/>
  <c r="L17" i="22"/>
  <c r="K17" i="22"/>
  <c r="AB17" i="22"/>
  <c r="A18" i="22"/>
  <c r="AK17" i="22"/>
  <c r="BC3" i="7"/>
  <c r="A20" i="19"/>
  <c r="A44" i="19" s="1"/>
  <c r="A15" i="25"/>
  <c r="L1" i="25"/>
  <c r="V14" i="25"/>
  <c r="J6" i="6"/>
  <c r="X1" i="25"/>
  <c r="F14" i="25"/>
  <c r="Y14" i="25"/>
  <c r="A16" i="24"/>
  <c r="K15" i="24"/>
  <c r="X15" i="24"/>
  <c r="AB15" i="24"/>
  <c r="P22" i="1" l="1"/>
  <c r="V22" i="1" s="1"/>
  <c r="AC20" i="17"/>
  <c r="I19" i="1"/>
  <c r="B19" i="6" s="1"/>
  <c r="G17" i="1"/>
  <c r="BW17" i="6" s="1"/>
  <c r="I17" i="1"/>
  <c r="B17" i="6" s="1"/>
  <c r="AA17" i="1"/>
  <c r="Z17" i="1" s="1"/>
  <c r="Y17" i="1" s="1"/>
  <c r="AC12" i="18"/>
  <c r="AC9" i="18"/>
  <c r="O11" i="18"/>
  <c r="AB13" i="7" s="1"/>
  <c r="O12" i="18"/>
  <c r="AC13" i="7" s="1"/>
  <c r="O9" i="22"/>
  <c r="AJ18" i="22" s="1"/>
  <c r="AJ16" i="20"/>
  <c r="AF13" i="7"/>
  <c r="F7" i="20"/>
  <c r="AJ380" i="20"/>
  <c r="AJ15" i="20"/>
  <c r="AJ17" i="20"/>
  <c r="F16" i="1"/>
  <c r="BF23" i="1"/>
  <c r="L15" i="23"/>
  <c r="AK57" i="27"/>
  <c r="I18" i="1"/>
  <c r="B18" i="6" s="1"/>
  <c r="AA18" i="1"/>
  <c r="Z18" i="1" s="1"/>
  <c r="Y18" i="1" s="1"/>
  <c r="L21" i="15"/>
  <c r="K21" i="15"/>
  <c r="AK21" i="15"/>
  <c r="AB21" i="15"/>
  <c r="O21" i="15"/>
  <c r="X21" i="15"/>
  <c r="AJ21" i="15"/>
  <c r="A22" i="15"/>
  <c r="AC21" i="15"/>
  <c r="L11" i="24"/>
  <c r="AG381" i="1"/>
  <c r="AG382" i="1"/>
  <c r="AG383" i="1"/>
  <c r="AF15" i="1"/>
  <c r="AK56" i="27"/>
  <c r="AK72" i="27"/>
  <c r="AK73" i="27"/>
  <c r="AK74" i="27"/>
  <c r="AK75" i="27"/>
  <c r="AK76" i="27"/>
  <c r="AK77" i="27"/>
  <c r="AK78" i="27"/>
  <c r="AN68" i="27"/>
  <c r="AN69" i="27" s="1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AK79" i="27"/>
  <c r="AC15" i="17"/>
  <c r="AC16" i="17"/>
  <c r="AC19" i="17"/>
  <c r="AC17" i="17"/>
  <c r="AC18" i="17"/>
  <c r="K21" i="16"/>
  <c r="L21" i="16"/>
  <c r="X21" i="16"/>
  <c r="AK21" i="16"/>
  <c r="AB21" i="16"/>
  <c r="A22" i="16"/>
  <c r="AJ21" i="16"/>
  <c r="AC21" i="16"/>
  <c r="Q11" i="22"/>
  <c r="AS11" i="7"/>
  <c r="Q11" i="23" s="1"/>
  <c r="A17" i="24"/>
  <c r="AB16" i="24"/>
  <c r="X16" i="24"/>
  <c r="K16" i="24"/>
  <c r="A19" i="22"/>
  <c r="X18" i="22"/>
  <c r="L18" i="22"/>
  <c r="K18" i="22"/>
  <c r="AB18" i="22"/>
  <c r="AK18" i="22"/>
  <c r="P11" i="24"/>
  <c r="AK16" i="24" s="1"/>
  <c r="AX15" i="7"/>
  <c r="A22" i="17"/>
  <c r="K21" i="17"/>
  <c r="AB21" i="17"/>
  <c r="L21" i="17"/>
  <c r="X21" i="17"/>
  <c r="AK21" i="17"/>
  <c r="AJ21" i="17"/>
  <c r="AC21" i="17"/>
  <c r="AK23" i="1"/>
  <c r="AJ23" i="1"/>
  <c r="O23" i="1"/>
  <c r="AC23" i="1"/>
  <c r="K23" i="1"/>
  <c r="AB23" i="1"/>
  <c r="A24" i="1"/>
  <c r="X23" i="1"/>
  <c r="Q23" i="1"/>
  <c r="U23" i="1"/>
  <c r="V15" i="1"/>
  <c r="F15" i="1" s="1"/>
  <c r="AB20" i="18"/>
  <c r="X20" i="18"/>
  <c r="K20" i="18"/>
  <c r="A21" i="18"/>
  <c r="L20" i="18"/>
  <c r="AK20" i="18"/>
  <c r="AJ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AK16" i="23"/>
  <c r="A18" i="23"/>
  <c r="K17" i="23"/>
  <c r="L17" i="23"/>
  <c r="X17" i="23"/>
  <c r="AB17" i="23"/>
  <c r="AK17" i="23"/>
  <c r="L16" i="23"/>
  <c r="AE11" i="22"/>
  <c r="AI11" i="22"/>
  <c r="P10" i="22"/>
  <c r="L17" i="19"/>
  <c r="E21" i="1"/>
  <c r="D22" i="1"/>
  <c r="L12" i="24"/>
  <c r="O17" i="16"/>
  <c r="O20" i="16"/>
  <c r="O13" i="7"/>
  <c r="U10" i="7" s="1"/>
  <c r="O19" i="16"/>
  <c r="O21" i="16"/>
  <c r="O18" i="16"/>
  <c r="O15" i="16"/>
  <c r="O16" i="16"/>
  <c r="O12" i="20" l="1"/>
  <c r="AI13" i="7" s="1"/>
  <c r="O11" i="20"/>
  <c r="AH13" i="7" s="1"/>
  <c r="AK71" i="27"/>
  <c r="AL71" i="27" s="1"/>
  <c r="AK70" i="27"/>
  <c r="AM70" i="27" s="1"/>
  <c r="AK60" i="27"/>
  <c r="AM60" i="27" s="1"/>
  <c r="AK63" i="27"/>
  <c r="AM63" i="27" s="1"/>
  <c r="AK61" i="27"/>
  <c r="AL61" i="27" s="1"/>
  <c r="AK69" i="27"/>
  <c r="AL69" i="27" s="1"/>
  <c r="AK68" i="27"/>
  <c r="AM68" i="27" s="1"/>
  <c r="AK67" i="27"/>
  <c r="AM67" i="27" s="1"/>
  <c r="AK59" i="27"/>
  <c r="AL59" i="27" s="1"/>
  <c r="AK58" i="27"/>
  <c r="AL58" i="27" s="1"/>
  <c r="AK62" i="27"/>
  <c r="AM62" i="27" s="1"/>
  <c r="AK65" i="27"/>
  <c r="AM65" i="27" s="1"/>
  <c r="AK66" i="27"/>
  <c r="AM66" i="27" s="1"/>
  <c r="AK64" i="27"/>
  <c r="AM64" i="27" s="1"/>
  <c r="G15" i="1"/>
  <c r="BW15" i="6" s="1"/>
  <c r="I15" i="1"/>
  <c r="B15" i="6" s="1"/>
  <c r="G16" i="1"/>
  <c r="BW16" i="6" s="1"/>
  <c r="I16" i="1"/>
  <c r="B16" i="6" s="1"/>
  <c r="AC12" i="20"/>
  <c r="AC9" i="20"/>
  <c r="AJ15" i="22"/>
  <c r="AJ16" i="22"/>
  <c r="F7" i="22"/>
  <c r="O12" i="22" s="1"/>
  <c r="AL13" i="7"/>
  <c r="AJ17" i="22"/>
  <c r="O9" i="23"/>
  <c r="AJ18" i="23" s="1"/>
  <c r="AA16" i="1"/>
  <c r="Z16" i="1" s="1"/>
  <c r="Y16" i="1" s="1"/>
  <c r="BF24" i="1"/>
  <c r="L15" i="24"/>
  <c r="E8" i="17"/>
  <c r="K14" i="19" s="1"/>
  <c r="K38" i="19" s="1"/>
  <c r="E7" i="17"/>
  <c r="AY11" i="7"/>
  <c r="Q11" i="24" s="1"/>
  <c r="AM59" i="27"/>
  <c r="AM57" i="27"/>
  <c r="AL57" i="27"/>
  <c r="AF381" i="1"/>
  <c r="AF383" i="1"/>
  <c r="AF382" i="1"/>
  <c r="AD15" i="1"/>
  <c r="AA15" i="1" s="1"/>
  <c r="Z15" i="1" s="1"/>
  <c r="L11" i="25"/>
  <c r="O22" i="15"/>
  <c r="L22" i="15"/>
  <c r="AK22" i="15"/>
  <c r="AJ22" i="15"/>
  <c r="AC22" i="15"/>
  <c r="A23" i="15"/>
  <c r="K22" i="15"/>
  <c r="X22" i="15"/>
  <c r="AB22" i="15"/>
  <c r="AM79" i="27"/>
  <c r="AL79" i="27"/>
  <c r="AM78" i="27"/>
  <c r="AL78" i="27"/>
  <c r="AM76" i="27"/>
  <c r="AL76" i="27"/>
  <c r="AM74" i="27"/>
  <c r="AL74" i="27"/>
  <c r="AM73" i="27"/>
  <c r="AL73" i="27"/>
  <c r="AM56" i="27"/>
  <c r="AL56" i="27"/>
  <c r="AM77" i="27"/>
  <c r="AL77" i="27"/>
  <c r="AL75" i="27"/>
  <c r="AM75" i="27"/>
  <c r="AM72" i="27"/>
  <c r="AL72" i="27"/>
  <c r="L16" i="24"/>
  <c r="R21" i="1"/>
  <c r="A23" i="16"/>
  <c r="L22" i="16"/>
  <c r="K22" i="16"/>
  <c r="AJ22" i="16"/>
  <c r="O22" i="16"/>
  <c r="AB22" i="16"/>
  <c r="X22" i="16"/>
  <c r="AK22" i="16"/>
  <c r="AC22" i="16"/>
  <c r="L12" i="25"/>
  <c r="AA20" i="1"/>
  <c r="Z20" i="1" s="1"/>
  <c r="Y20" i="1" s="1"/>
  <c r="I20" i="1"/>
  <c r="B20" i="6" s="1"/>
  <c r="A19" i="23"/>
  <c r="AB18" i="23"/>
  <c r="X18" i="23"/>
  <c r="K18" i="23"/>
  <c r="L18" i="23"/>
  <c r="AK18" i="23"/>
  <c r="A21" i="20"/>
  <c r="AB20" i="20"/>
  <c r="L20" i="20"/>
  <c r="X20" i="20"/>
  <c r="K20" i="20"/>
  <c r="AJ20" i="20"/>
  <c r="AK20" i="20"/>
  <c r="P10" i="23"/>
  <c r="L18" i="19"/>
  <c r="X21" i="18"/>
  <c r="K21" i="18"/>
  <c r="L21" i="18"/>
  <c r="A22" i="18"/>
  <c r="AB21" i="18"/>
  <c r="AJ21" i="18"/>
  <c r="AK21" i="18"/>
  <c r="K24" i="1"/>
  <c r="AB24" i="1"/>
  <c r="AJ24" i="1"/>
  <c r="A25" i="1"/>
  <c r="Q24" i="1"/>
  <c r="AC24" i="1"/>
  <c r="O24" i="1"/>
  <c r="X24" i="1"/>
  <c r="AK24" i="1"/>
  <c r="U24" i="1"/>
  <c r="D23" i="1"/>
  <c r="E23" i="1" s="1"/>
  <c r="A23" i="17"/>
  <c r="K22" i="17"/>
  <c r="X22" i="17"/>
  <c r="AB22" i="17"/>
  <c r="L22" i="17"/>
  <c r="AJ22" i="17"/>
  <c r="AK22" i="17"/>
  <c r="AC22" i="17"/>
  <c r="E22" i="1"/>
  <c r="P11" i="25"/>
  <c r="AK16" i="25" s="1"/>
  <c r="BD15" i="7"/>
  <c r="K16" i="25"/>
  <c r="A17" i="25"/>
  <c r="AB16" i="25"/>
  <c r="X16" i="25"/>
  <c r="T23" i="1"/>
  <c r="F8" i="24"/>
  <c r="P12" i="24"/>
  <c r="AK380" i="24"/>
  <c r="AK15" i="24"/>
  <c r="K19" i="22"/>
  <c r="L19" i="22"/>
  <c r="AB19" i="22"/>
  <c r="A20" i="22"/>
  <c r="X19" i="22"/>
  <c r="AJ19" i="22"/>
  <c r="AK19" i="22"/>
  <c r="K17" i="24"/>
  <c r="X17" i="24"/>
  <c r="L17" i="24"/>
  <c r="A18" i="24"/>
  <c r="AB17" i="24"/>
  <c r="AK17" i="24"/>
  <c r="O11" i="22" l="1"/>
  <c r="AN13" i="7" s="1"/>
  <c r="AM71" i="27"/>
  <c r="AL66" i="27"/>
  <c r="AJ66" i="27" s="1"/>
  <c r="AM61" i="27"/>
  <c r="AL70" i="27"/>
  <c r="AJ70" i="27" s="1"/>
  <c r="Q70" i="27" s="1"/>
  <c r="AL62" i="27"/>
  <c r="AL68" i="27"/>
  <c r="AL60" i="27"/>
  <c r="AL64" i="27"/>
  <c r="AJ64" i="27" s="1"/>
  <c r="Y64" i="27" s="1"/>
  <c r="AL65" i="27"/>
  <c r="AJ65" i="27" s="1"/>
  <c r="Y65" i="27" s="1"/>
  <c r="AM58" i="27"/>
  <c r="AL67" i="27"/>
  <c r="AJ67" i="27" s="1"/>
  <c r="AM69" i="27"/>
  <c r="AJ69" i="27" s="1"/>
  <c r="AL63" i="27"/>
  <c r="AJ63" i="27" s="1"/>
  <c r="V63" i="27" s="1"/>
  <c r="F7" i="23"/>
  <c r="O12" i="23" s="1"/>
  <c r="AR13" i="7"/>
  <c r="AJ15" i="23"/>
  <c r="AJ16" i="23"/>
  <c r="AJ380" i="23"/>
  <c r="AJ17" i="23"/>
  <c r="O9" i="24"/>
  <c r="AJ18" i="24" s="1"/>
  <c r="AC9" i="22"/>
  <c r="AC12" i="22"/>
  <c r="F22" i="1"/>
  <c r="G22" i="1" s="1"/>
  <c r="BW22" i="6" s="1"/>
  <c r="BF25" i="1"/>
  <c r="BE11" i="7"/>
  <c r="Q11" i="25" s="1"/>
  <c r="L15" i="25"/>
  <c r="L16" i="25"/>
  <c r="AO13" i="7"/>
  <c r="O10" i="17"/>
  <c r="AC10" i="17"/>
  <c r="AC22" i="18" s="1"/>
  <c r="AJ58" i="27"/>
  <c r="S58" i="27" s="1"/>
  <c r="AJ59" i="27"/>
  <c r="R59" i="27" s="1"/>
  <c r="AJ68" i="27"/>
  <c r="T68" i="27" s="1"/>
  <c r="AJ61" i="27"/>
  <c r="U61" i="27" s="1"/>
  <c r="AJ62" i="27"/>
  <c r="AJ57" i="27"/>
  <c r="AJ60" i="27"/>
  <c r="AJ72" i="27"/>
  <c r="W72" i="27" s="1"/>
  <c r="AJ71" i="27"/>
  <c r="X71" i="27" s="1"/>
  <c r="AJ77" i="27"/>
  <c r="X77" i="27" s="1"/>
  <c r="AJ56" i="27"/>
  <c r="R56" i="27" s="1"/>
  <c r="AJ73" i="27"/>
  <c r="AA73" i="27" s="1"/>
  <c r="AJ74" i="27"/>
  <c r="S74" i="27" s="1"/>
  <c r="AJ76" i="27"/>
  <c r="V76" i="27" s="1"/>
  <c r="AJ78" i="27"/>
  <c r="U78" i="27" s="1"/>
  <c r="AJ79" i="27"/>
  <c r="W79" i="27" s="1"/>
  <c r="AD383" i="1"/>
  <c r="AD381" i="1"/>
  <c r="AD382" i="1"/>
  <c r="L23" i="15"/>
  <c r="AK23" i="15"/>
  <c r="AB23" i="15"/>
  <c r="K23" i="15"/>
  <c r="O23" i="15"/>
  <c r="A24" i="15"/>
  <c r="AJ23" i="15"/>
  <c r="X23" i="15"/>
  <c r="AC23" i="15"/>
  <c r="AJ75" i="27"/>
  <c r="P21" i="1"/>
  <c r="K23" i="16"/>
  <c r="X23" i="16"/>
  <c r="AK23" i="16"/>
  <c r="AC23" i="16"/>
  <c r="AB23" i="16"/>
  <c r="A24" i="16"/>
  <c r="L23" i="16"/>
  <c r="AJ23" i="16"/>
  <c r="O23" i="16"/>
  <c r="X18" i="24"/>
  <c r="A19" i="24"/>
  <c r="L18" i="24"/>
  <c r="K18" i="24"/>
  <c r="AB18" i="24"/>
  <c r="AK18" i="24"/>
  <c r="S23" i="1"/>
  <c r="T24" i="1"/>
  <c r="O25" i="1"/>
  <c r="AB25" i="1"/>
  <c r="AJ25" i="1"/>
  <c r="AK25" i="1"/>
  <c r="K25" i="1"/>
  <c r="X25" i="1"/>
  <c r="A26" i="1"/>
  <c r="AC25" i="1"/>
  <c r="Q25" i="1"/>
  <c r="U25" i="1"/>
  <c r="D24" i="1"/>
  <c r="K19" i="23"/>
  <c r="X19" i="23"/>
  <c r="L19" i="23"/>
  <c r="AB19" i="23"/>
  <c r="A20" i="23"/>
  <c r="AK19" i="23"/>
  <c r="AJ19" i="23"/>
  <c r="AB20" i="22"/>
  <c r="L20" i="22"/>
  <c r="K20" i="22"/>
  <c r="X20" i="22"/>
  <c r="A21" i="22"/>
  <c r="AJ20" i="22"/>
  <c r="AK20" i="22"/>
  <c r="P10" i="24"/>
  <c r="AE11" i="24"/>
  <c r="L19" i="19"/>
  <c r="AI11" i="24"/>
  <c r="K17" i="25"/>
  <c r="L17" i="25"/>
  <c r="A18" i="25"/>
  <c r="X17" i="25"/>
  <c r="AB17" i="25"/>
  <c r="AK17" i="25"/>
  <c r="BK11" i="7"/>
  <c r="BL11" i="7"/>
  <c r="BJ15" i="7"/>
  <c r="AK380" i="25"/>
  <c r="F8" i="25"/>
  <c r="P12" i="25"/>
  <c r="AK15" i="25"/>
  <c r="K23" i="17"/>
  <c r="A24" i="17"/>
  <c r="L23" i="17"/>
  <c r="AB23" i="17"/>
  <c r="X23" i="17"/>
  <c r="AJ23" i="17"/>
  <c r="AK23" i="17"/>
  <c r="AC23" i="17"/>
  <c r="Y15" i="1"/>
  <c r="A23" i="18"/>
  <c r="L22" i="18"/>
  <c r="K22" i="18"/>
  <c r="X22" i="18"/>
  <c r="AB22" i="18"/>
  <c r="AJ22" i="18"/>
  <c r="AK22" i="18"/>
  <c r="X21" i="20"/>
  <c r="A22" i="20"/>
  <c r="AB21" i="20"/>
  <c r="L21" i="20"/>
  <c r="K21" i="20"/>
  <c r="AJ21" i="20"/>
  <c r="AK21" i="20"/>
  <c r="O11" i="23" l="1"/>
  <c r="AT13" i="7" s="1"/>
  <c r="W66" i="27"/>
  <c r="Z66" i="27"/>
  <c r="V58" i="27"/>
  <c r="V59" i="27"/>
  <c r="R65" i="27"/>
  <c r="U67" i="27"/>
  <c r="Z67" i="27"/>
  <c r="S78" i="27"/>
  <c r="R79" i="27"/>
  <c r="Z78" i="27"/>
  <c r="U56" i="27"/>
  <c r="W78" i="27"/>
  <c r="T56" i="27"/>
  <c r="Z56" i="27"/>
  <c r="X78" i="27"/>
  <c r="R78" i="27"/>
  <c r="T78" i="27"/>
  <c r="Q74" i="27"/>
  <c r="Q56" i="27"/>
  <c r="X56" i="27"/>
  <c r="AA56" i="27"/>
  <c r="AA70" i="27"/>
  <c r="Q58" i="27"/>
  <c r="S71" i="27"/>
  <c r="U70" i="27"/>
  <c r="AA61" i="27"/>
  <c r="W58" i="27"/>
  <c r="Z79" i="27"/>
  <c r="T79" i="27"/>
  <c r="R77" i="27"/>
  <c r="R67" i="27"/>
  <c r="Y58" i="27"/>
  <c r="Z58" i="27"/>
  <c r="X58" i="27"/>
  <c r="Y66" i="27"/>
  <c r="O9" i="25"/>
  <c r="AJ18" i="25" s="1"/>
  <c r="AJ15" i="24"/>
  <c r="F7" i="24"/>
  <c r="AX13" i="7"/>
  <c r="AJ16" i="24"/>
  <c r="AJ380" i="24"/>
  <c r="AJ17" i="24"/>
  <c r="AC12" i="23"/>
  <c r="AC9" i="23"/>
  <c r="BF26" i="1"/>
  <c r="AA22" i="1"/>
  <c r="Z22" i="1" s="1"/>
  <c r="Y22" i="1" s="1"/>
  <c r="I22" i="1"/>
  <c r="B22" i="6" s="1"/>
  <c r="AU13" i="7"/>
  <c r="V79" i="27"/>
  <c r="Y79" i="27"/>
  <c r="U79" i="27"/>
  <c r="AA77" i="27"/>
  <c r="Z77" i="27"/>
  <c r="W61" i="27"/>
  <c r="W67" i="27"/>
  <c r="AA58" i="27"/>
  <c r="R58" i="27"/>
  <c r="U58" i="27"/>
  <c r="T58" i="27"/>
  <c r="V66" i="27"/>
  <c r="U13" i="7"/>
  <c r="AA10" i="7" s="1"/>
  <c r="O20" i="17"/>
  <c r="O17" i="17"/>
  <c r="O15" i="17"/>
  <c r="O19" i="17"/>
  <c r="O21" i="17"/>
  <c r="O18" i="17"/>
  <c r="O16" i="17"/>
  <c r="O22" i="17"/>
  <c r="O23" i="17"/>
  <c r="AC18" i="18"/>
  <c r="AC19" i="18"/>
  <c r="AC20" i="18"/>
  <c r="AC15" i="18"/>
  <c r="AC16" i="18"/>
  <c r="AC17" i="18"/>
  <c r="AC21" i="18"/>
  <c r="V61" i="27"/>
  <c r="Z61" i="27"/>
  <c r="Q61" i="27"/>
  <c r="X67" i="27"/>
  <c r="S67" i="27"/>
  <c r="Q67" i="27"/>
  <c r="AA66" i="27"/>
  <c r="Q66" i="27"/>
  <c r="R66" i="27"/>
  <c r="AA76" i="27"/>
  <c r="S72" i="27"/>
  <c r="T63" i="27"/>
  <c r="Y68" i="27"/>
  <c r="W64" i="27"/>
  <c r="X74" i="27"/>
  <c r="Q71" i="27"/>
  <c r="Y70" i="27"/>
  <c r="Y63" i="27"/>
  <c r="V68" i="27"/>
  <c r="T59" i="27"/>
  <c r="X65" i="27"/>
  <c r="T64" i="27"/>
  <c r="R61" i="27"/>
  <c r="T61" i="27"/>
  <c r="X61" i="27"/>
  <c r="Y61" i="27"/>
  <c r="S61" i="27"/>
  <c r="AA67" i="27"/>
  <c r="Y67" i="27"/>
  <c r="V67" i="27"/>
  <c r="T67" i="27"/>
  <c r="X66" i="27"/>
  <c r="T66" i="27"/>
  <c r="U66" i="27"/>
  <c r="S66" i="27"/>
  <c r="T76" i="27"/>
  <c r="Y73" i="27"/>
  <c r="V72" i="27"/>
  <c r="R63" i="27"/>
  <c r="S63" i="27"/>
  <c r="U63" i="27"/>
  <c r="AA68" i="27"/>
  <c r="U68" i="27"/>
  <c r="W68" i="27"/>
  <c r="Q59" i="27"/>
  <c r="W59" i="27"/>
  <c r="AA59" i="27"/>
  <c r="V65" i="27"/>
  <c r="T65" i="27"/>
  <c r="Z65" i="27"/>
  <c r="V64" i="27"/>
  <c r="R64" i="27"/>
  <c r="Z64" i="27"/>
  <c r="S77" i="27"/>
  <c r="U77" i="27"/>
  <c r="V77" i="27"/>
  <c r="U76" i="27"/>
  <c r="T73" i="27"/>
  <c r="R73" i="27"/>
  <c r="Y72" i="27"/>
  <c r="Q63" i="27"/>
  <c r="W63" i="27"/>
  <c r="X63" i="27"/>
  <c r="AA63" i="27"/>
  <c r="Z63" i="27"/>
  <c r="Z68" i="27"/>
  <c r="Q68" i="27"/>
  <c r="R68" i="27"/>
  <c r="X68" i="27"/>
  <c r="S68" i="27"/>
  <c r="U59" i="27"/>
  <c r="S59" i="27"/>
  <c r="X59" i="27"/>
  <c r="Z59" i="27"/>
  <c r="Y59" i="27"/>
  <c r="Q65" i="27"/>
  <c r="W65" i="27"/>
  <c r="AA65" i="27"/>
  <c r="U65" i="27"/>
  <c r="S65" i="27"/>
  <c r="S64" i="27"/>
  <c r="X64" i="27"/>
  <c r="AA64" i="27"/>
  <c r="Q64" i="27"/>
  <c r="U64" i="27"/>
  <c r="AB67" i="27"/>
  <c r="AC67" i="27" s="1"/>
  <c r="T74" i="27"/>
  <c r="Z74" i="27"/>
  <c r="R74" i="27"/>
  <c r="R71" i="27"/>
  <c r="V71" i="27"/>
  <c r="AA71" i="27"/>
  <c r="R70" i="27"/>
  <c r="X70" i="27"/>
  <c r="S70" i="27"/>
  <c r="X76" i="27"/>
  <c r="S76" i="27"/>
  <c r="Y76" i="27"/>
  <c r="U73" i="27"/>
  <c r="S73" i="27"/>
  <c r="Z73" i="27"/>
  <c r="Q72" i="27"/>
  <c r="Z72" i="27"/>
  <c r="AA72" i="27"/>
  <c r="AB72" i="27" s="1"/>
  <c r="AC72" i="27" s="1"/>
  <c r="AD72" i="27" s="1"/>
  <c r="X60" i="27"/>
  <c r="Q60" i="27"/>
  <c r="W60" i="27"/>
  <c r="U60" i="27"/>
  <c r="AA60" i="27"/>
  <c r="AB60" i="27" s="1"/>
  <c r="AC60" i="27" s="1"/>
  <c r="V60" i="27"/>
  <c r="S60" i="27"/>
  <c r="T60" i="27"/>
  <c r="Y60" i="27"/>
  <c r="Z60" i="27"/>
  <c r="R60" i="27"/>
  <c r="T57" i="27"/>
  <c r="Q57" i="27"/>
  <c r="Z57" i="27"/>
  <c r="W57" i="27"/>
  <c r="S57" i="27"/>
  <c r="X57" i="27"/>
  <c r="AA57" i="27"/>
  <c r="R57" i="27"/>
  <c r="V57" i="27"/>
  <c r="Y57" i="27"/>
  <c r="U57" i="27"/>
  <c r="Y78" i="27"/>
  <c r="Q78" i="27"/>
  <c r="V78" i="27"/>
  <c r="AA78" i="27"/>
  <c r="W74" i="27"/>
  <c r="V74" i="27"/>
  <c r="AA74" i="27"/>
  <c r="AB73" i="27" s="1"/>
  <c r="AC73" i="27" s="1"/>
  <c r="AD73" i="27" s="1"/>
  <c r="U74" i="27"/>
  <c r="Y74" i="27"/>
  <c r="V56" i="27"/>
  <c r="W56" i="27"/>
  <c r="Y56" i="27"/>
  <c r="S56" i="27"/>
  <c r="Y71" i="27"/>
  <c r="Z71" i="27"/>
  <c r="W71" i="27"/>
  <c r="T71" i="27"/>
  <c r="U71" i="27"/>
  <c r="Z70" i="27"/>
  <c r="T70" i="27"/>
  <c r="V70" i="27"/>
  <c r="W70" i="27"/>
  <c r="X69" i="27"/>
  <c r="U69" i="27"/>
  <c r="S69" i="27"/>
  <c r="T69" i="27"/>
  <c r="Q69" i="27"/>
  <c r="R69" i="27"/>
  <c r="Y69" i="27"/>
  <c r="AA69" i="27"/>
  <c r="W69" i="27"/>
  <c r="Z69" i="27"/>
  <c r="V69" i="27"/>
  <c r="S62" i="27"/>
  <c r="T62" i="27"/>
  <c r="U62" i="27"/>
  <c r="AA62" i="27"/>
  <c r="Z62" i="27"/>
  <c r="Y62" i="27"/>
  <c r="R62" i="27"/>
  <c r="X62" i="27"/>
  <c r="Q62" i="27"/>
  <c r="W62" i="27"/>
  <c r="V62" i="27"/>
  <c r="X79" i="27"/>
  <c r="S79" i="27"/>
  <c r="Q79" i="27"/>
  <c r="AA79" i="27"/>
  <c r="AB79" i="27" s="1"/>
  <c r="AC79" i="27" s="1"/>
  <c r="AD79" i="27" s="1"/>
  <c r="R76" i="27"/>
  <c r="W76" i="27"/>
  <c r="Z76" i="27"/>
  <c r="Q76" i="27"/>
  <c r="Q73" i="27"/>
  <c r="V73" i="27"/>
  <c r="W73" i="27"/>
  <c r="X73" i="27"/>
  <c r="W77" i="27"/>
  <c r="Q77" i="27"/>
  <c r="Y77" i="27"/>
  <c r="T77" i="27"/>
  <c r="T72" i="27"/>
  <c r="U72" i="27"/>
  <c r="R72" i="27"/>
  <c r="X72" i="27"/>
  <c r="AB24" i="15"/>
  <c r="AK24" i="15"/>
  <c r="X24" i="15"/>
  <c r="A25" i="15"/>
  <c r="O24" i="15"/>
  <c r="L24" i="15"/>
  <c r="AJ24" i="15"/>
  <c r="K24" i="15"/>
  <c r="AC24" i="15"/>
  <c r="X75" i="27"/>
  <c r="AA75" i="27"/>
  <c r="U75" i="27"/>
  <c r="S75" i="27"/>
  <c r="T75" i="27"/>
  <c r="V75" i="27"/>
  <c r="W75" i="27"/>
  <c r="Q75" i="27"/>
  <c r="Z75" i="27"/>
  <c r="R75" i="27"/>
  <c r="Y75" i="27"/>
  <c r="R23" i="1"/>
  <c r="A25" i="16"/>
  <c r="L24" i="16"/>
  <c r="K24" i="16"/>
  <c r="AJ24" i="16"/>
  <c r="O24" i="16"/>
  <c r="AB24" i="16"/>
  <c r="AC24" i="16"/>
  <c r="X24" i="16"/>
  <c r="AK24" i="16"/>
  <c r="V21" i="1"/>
  <c r="X23" i="18"/>
  <c r="A24" i="18"/>
  <c r="L23" i="18"/>
  <c r="AB23" i="18"/>
  <c r="K23" i="18"/>
  <c r="AJ23" i="18"/>
  <c r="AK23" i="18"/>
  <c r="AC23" i="18"/>
  <c r="P10" i="25"/>
  <c r="L20" i="19"/>
  <c r="AI11" i="25"/>
  <c r="AE11" i="25"/>
  <c r="K20" i="23"/>
  <c r="X20" i="23"/>
  <c r="L20" i="23"/>
  <c r="AB20" i="23"/>
  <c r="A21" i="23"/>
  <c r="AJ20" i="23"/>
  <c r="AK20" i="23"/>
  <c r="AC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E24" i="1"/>
  <c r="X24" i="17"/>
  <c r="A25" i="17"/>
  <c r="L24" i="17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K18" i="25"/>
  <c r="K21" i="22"/>
  <c r="X21" i="22"/>
  <c r="A22" i="22"/>
  <c r="AB21" i="22"/>
  <c r="L21" i="22"/>
  <c r="AJ21" i="22"/>
  <c r="AK21" i="22"/>
  <c r="T25" i="1"/>
  <c r="D25" i="1"/>
  <c r="S24" i="1"/>
  <c r="R24" i="1" s="1"/>
  <c r="P24" i="1" s="1"/>
  <c r="A20" i="24"/>
  <c r="K19" i="24"/>
  <c r="AB19" i="24"/>
  <c r="L19" i="24"/>
  <c r="X19" i="24"/>
  <c r="AJ19" i="24"/>
  <c r="AK19" i="24"/>
  <c r="AB70" i="27" l="1"/>
  <c r="AC70" i="27" s="1"/>
  <c r="AB58" i="27"/>
  <c r="AC58" i="27" s="1"/>
  <c r="AB68" i="27"/>
  <c r="AC68" i="27" s="1"/>
  <c r="AB77" i="27"/>
  <c r="AC77" i="27" s="1"/>
  <c r="AD77" i="27" s="1"/>
  <c r="AB57" i="27"/>
  <c r="AC57" i="27" s="1"/>
  <c r="AC12" i="24"/>
  <c r="AC9" i="24"/>
  <c r="O11" i="24"/>
  <c r="AZ13" i="7" s="1"/>
  <c r="O12" i="24"/>
  <c r="BA13" i="7" s="1"/>
  <c r="AJ16" i="25"/>
  <c r="AJ380" i="25"/>
  <c r="AJ15" i="25"/>
  <c r="AJ17" i="25"/>
  <c r="F7" i="25"/>
  <c r="BD13" i="7"/>
  <c r="E25" i="1"/>
  <c r="V24" i="1"/>
  <c r="F24" i="1" s="1"/>
  <c r="BF27" i="1"/>
  <c r="AB65" i="27"/>
  <c r="AC65" i="27" s="1"/>
  <c r="AF66" i="27" s="1"/>
  <c r="P66" i="27" s="1"/>
  <c r="G30" i="27" s="1"/>
  <c r="AF69" i="27"/>
  <c r="P69" i="27" s="1"/>
  <c r="AF68" i="27"/>
  <c r="P68" i="27" s="1"/>
  <c r="G31" i="27" s="1"/>
  <c r="AF58" i="27"/>
  <c r="P58" i="27" s="1"/>
  <c r="G21" i="27" s="1"/>
  <c r="AD67" i="27"/>
  <c r="AB76" i="27"/>
  <c r="AC76" i="27" s="1"/>
  <c r="AD76" i="27" s="1"/>
  <c r="E7" i="18"/>
  <c r="E8" i="18"/>
  <c r="K15" i="19" s="1"/>
  <c r="AB66" i="27"/>
  <c r="AC66" i="27" s="1"/>
  <c r="AB75" i="27"/>
  <c r="AC75" i="27" s="1"/>
  <c r="AD75" i="27" s="1"/>
  <c r="AB59" i="27"/>
  <c r="AC59" i="27" s="1"/>
  <c r="AD59" i="27" s="1"/>
  <c r="AB62" i="27"/>
  <c r="AC62" i="27" s="1"/>
  <c r="AD62" i="27" s="1"/>
  <c r="AB64" i="27"/>
  <c r="AC64" i="27" s="1"/>
  <c r="AB63" i="27"/>
  <c r="AC63" i="27" s="1"/>
  <c r="AB69" i="27"/>
  <c r="AC69" i="27" s="1"/>
  <c r="AF70" i="27" s="1"/>
  <c r="P70" i="27" s="1"/>
  <c r="G34" i="27" s="1"/>
  <c r="AD70" i="27" s="1"/>
  <c r="AB71" i="27"/>
  <c r="AC71" i="27" s="1"/>
  <c r="AD71" i="27" s="1"/>
  <c r="AB56" i="27"/>
  <c r="AC56" i="27" s="1"/>
  <c r="AD56" i="27" s="1"/>
  <c r="G29" i="27"/>
  <c r="AD65" i="27" s="1"/>
  <c r="AB61" i="27"/>
  <c r="AC61" i="27" s="1"/>
  <c r="AB78" i="27"/>
  <c r="AC78" i="27" s="1"/>
  <c r="AD78" i="27" s="1"/>
  <c r="AJ25" i="15"/>
  <c r="L25" i="15"/>
  <c r="K25" i="15"/>
  <c r="AK25" i="15"/>
  <c r="O25" i="15"/>
  <c r="A26" i="15"/>
  <c r="AB25" i="15"/>
  <c r="X25" i="15"/>
  <c r="AC25" i="15"/>
  <c r="AB74" i="27"/>
  <c r="AC74" i="27" s="1"/>
  <c r="AD74" i="27" s="1"/>
  <c r="F21" i="1"/>
  <c r="P23" i="1"/>
  <c r="X25" i="16"/>
  <c r="L25" i="16"/>
  <c r="K25" i="16"/>
  <c r="AK25" i="16"/>
  <c r="O25" i="16"/>
  <c r="AB25" i="16"/>
  <c r="A26" i="16"/>
  <c r="AJ25" i="16"/>
  <c r="AC25" i="16"/>
  <c r="A21" i="24"/>
  <c r="K20" i="24"/>
  <c r="L20" i="24"/>
  <c r="AB20" i="24"/>
  <c r="X20" i="24"/>
  <c r="AJ20" i="24"/>
  <c r="AK20" i="24"/>
  <c r="S25" i="1"/>
  <c r="R25" i="1" s="1"/>
  <c r="P25" i="1" s="1"/>
  <c r="K19" i="25"/>
  <c r="L19" i="25"/>
  <c r="A20" i="25"/>
  <c r="X19" i="25"/>
  <c r="AB19" i="25"/>
  <c r="AJ19" i="25"/>
  <c r="AK19" i="25"/>
  <c r="BX11" i="7"/>
  <c r="BV15" i="7"/>
  <c r="BW11" i="7"/>
  <c r="A26" i="17"/>
  <c r="K25" i="17"/>
  <c r="AB25" i="17"/>
  <c r="X25" i="17"/>
  <c r="L25" i="17"/>
  <c r="AJ25" i="17"/>
  <c r="AK25" i="17"/>
  <c r="AC25" i="17"/>
  <c r="O25" i="17"/>
  <c r="D26" i="1"/>
  <c r="K22" i="22"/>
  <c r="L22" i="22"/>
  <c r="X22" i="22"/>
  <c r="AB22" i="22"/>
  <c r="A23" i="22"/>
  <c r="AJ22" i="22"/>
  <c r="AK22" i="22"/>
  <c r="AB23" i="20"/>
  <c r="K23" i="20"/>
  <c r="X23" i="20"/>
  <c r="L23" i="20"/>
  <c r="A24" i="20"/>
  <c r="AJ23" i="20"/>
  <c r="AK23" i="20"/>
  <c r="S26" i="1"/>
  <c r="R26" i="1" s="1"/>
  <c r="P26" i="1" s="1"/>
  <c r="V26" i="1" s="1"/>
  <c r="AB27" i="1"/>
  <c r="AC27" i="1"/>
  <c r="AJ27" i="1"/>
  <c r="X27" i="1"/>
  <c r="AK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AB24" i="18"/>
  <c r="X24" i="18"/>
  <c r="K24" i="18"/>
  <c r="A25" i="18"/>
  <c r="L24" i="18"/>
  <c r="AJ24" i="18"/>
  <c r="AK24" i="18"/>
  <c r="AC24" i="18"/>
  <c r="K39" i="19" l="1"/>
  <c r="O12" i="25"/>
  <c r="BG13" i="7" s="1"/>
  <c r="O11" i="25"/>
  <c r="BF13" i="7" s="1"/>
  <c r="AF64" i="27"/>
  <c r="P64" i="27" s="1"/>
  <c r="G32" i="27"/>
  <c r="AD68" i="27" s="1"/>
  <c r="AC12" i="25"/>
  <c r="AC9" i="25"/>
  <c r="E26" i="1"/>
  <c r="F26" i="1" s="1"/>
  <c r="V25" i="1"/>
  <c r="AA24" i="1"/>
  <c r="Z24" i="1" s="1"/>
  <c r="Y24" i="1" s="1"/>
  <c r="BF28" i="1"/>
  <c r="G24" i="1"/>
  <c r="BW24" i="6" s="1"/>
  <c r="G33" i="27"/>
  <c r="AD69" i="27" s="1"/>
  <c r="AF61" i="27"/>
  <c r="P61" i="27" s="1"/>
  <c r="AD57" i="27"/>
  <c r="G22" i="27"/>
  <c r="AD58" i="27" s="1"/>
  <c r="F25" i="1"/>
  <c r="O10" i="18"/>
  <c r="O25" i="18" s="1"/>
  <c r="AC10" i="18"/>
  <c r="I24" i="1"/>
  <c r="B24" i="6" s="1"/>
  <c r="AD66" i="27"/>
  <c r="X26" i="15"/>
  <c r="L26" i="15"/>
  <c r="AC26" i="15"/>
  <c r="K26" i="15"/>
  <c r="O26" i="15"/>
  <c r="AB26" i="15"/>
  <c r="AJ26" i="15"/>
  <c r="A27" i="15"/>
  <c r="AK26" i="15"/>
  <c r="V23" i="1"/>
  <c r="AB26" i="16"/>
  <c r="L26" i="16"/>
  <c r="AK26" i="16"/>
  <c r="AC26" i="16"/>
  <c r="A27" i="16"/>
  <c r="X26" i="16"/>
  <c r="K26" i="16"/>
  <c r="AJ26" i="16"/>
  <c r="O26" i="16"/>
  <c r="AA21" i="1"/>
  <c r="G21" i="1"/>
  <c r="BW21" i="6" s="1"/>
  <c r="I21" i="1"/>
  <c r="B21" i="6" s="1"/>
  <c r="AB22" i="23"/>
  <c r="X22" i="23"/>
  <c r="L22" i="23"/>
  <c r="A23" i="23"/>
  <c r="K22" i="23"/>
  <c r="AJ22" i="23"/>
  <c r="AK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X25" i="18"/>
  <c r="L25" i="18"/>
  <c r="A26" i="18"/>
  <c r="K25" i="18"/>
  <c r="AB25" i="18"/>
  <c r="AK25" i="18"/>
  <c r="AJ25" i="18"/>
  <c r="AC25" i="18"/>
  <c r="AJ28" i="1"/>
  <c r="A29" i="1"/>
  <c r="AC28" i="1"/>
  <c r="Q28" i="1"/>
  <c r="AK28" i="1"/>
  <c r="AB28" i="1"/>
  <c r="X28" i="1"/>
  <c r="O28" i="1"/>
  <c r="K28" i="1"/>
  <c r="U28" i="1"/>
  <c r="T28" i="1" s="1"/>
  <c r="D27" i="1"/>
  <c r="X24" i="20"/>
  <c r="K24" i="20"/>
  <c r="AB24" i="20"/>
  <c r="L24" i="20"/>
  <c r="A25" i="20"/>
  <c r="AJ24" i="20"/>
  <c r="AK24" i="20"/>
  <c r="A22" i="24"/>
  <c r="K21" i="24"/>
  <c r="X21" i="24"/>
  <c r="AB21" i="24"/>
  <c r="L21" i="24"/>
  <c r="AJ21" i="24"/>
  <c r="AK21" i="24"/>
  <c r="G28" i="27" l="1"/>
  <c r="AD64" i="27" s="1"/>
  <c r="G27" i="27"/>
  <c r="AD63" i="27" s="1"/>
  <c r="E27" i="1"/>
  <c r="BF29" i="1"/>
  <c r="AA25" i="1"/>
  <c r="Z25" i="1" s="1"/>
  <c r="Y25" i="1" s="1"/>
  <c r="I25" i="1"/>
  <c r="B25" i="6" s="1"/>
  <c r="G25" i="27"/>
  <c r="AD61" i="27" s="1"/>
  <c r="G24" i="27"/>
  <c r="AD60" i="27" s="1"/>
  <c r="A82" i="27" a="1"/>
  <c r="G25" i="1"/>
  <c r="BW25" i="6" s="1"/>
  <c r="AC16" i="20"/>
  <c r="AC19" i="20"/>
  <c r="AC20" i="20"/>
  <c r="AC15" i="20"/>
  <c r="AC17" i="20"/>
  <c r="AC18" i="20"/>
  <c r="AC21" i="20"/>
  <c r="AC22" i="20"/>
  <c r="AC23" i="20"/>
  <c r="AC24" i="20"/>
  <c r="AA13" i="7"/>
  <c r="AG10" i="7" s="1"/>
  <c r="O17" i="18"/>
  <c r="O15" i="18"/>
  <c r="O18" i="18"/>
  <c r="O16" i="18"/>
  <c r="O19" i="18"/>
  <c r="O20" i="18"/>
  <c r="O21" i="18"/>
  <c r="O22" i="18"/>
  <c r="O23" i="18"/>
  <c r="O24" i="18"/>
  <c r="K27" i="15"/>
  <c r="X27" i="15"/>
  <c r="A28" i="15"/>
  <c r="AK27" i="15"/>
  <c r="AC27" i="15"/>
  <c r="AB27" i="15"/>
  <c r="AJ27" i="15"/>
  <c r="L27" i="15"/>
  <c r="O27" i="15"/>
  <c r="F27" i="1"/>
  <c r="Z21" i="1"/>
  <c r="X27" i="16"/>
  <c r="L27" i="16"/>
  <c r="AJ27" i="16"/>
  <c r="AC27" i="16"/>
  <c r="A28" i="16"/>
  <c r="AB27" i="16"/>
  <c r="K27" i="16"/>
  <c r="AK27" i="16"/>
  <c r="O27" i="16"/>
  <c r="F23" i="1"/>
  <c r="L22" i="24"/>
  <c r="AB22" i="24"/>
  <c r="A23" i="24"/>
  <c r="X22" i="24"/>
  <c r="K22" i="24"/>
  <c r="AK22" i="24"/>
  <c r="AJ22" i="24"/>
  <c r="A30" i="1"/>
  <c r="AB29" i="1"/>
  <c r="X29" i="1"/>
  <c r="AK29" i="1"/>
  <c r="AC29" i="1"/>
  <c r="A20" i="7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X25" i="20"/>
  <c r="A26" i="20"/>
  <c r="K25" i="20"/>
  <c r="L25" i="20"/>
  <c r="AB25" i="20"/>
  <c r="AK25" i="20"/>
  <c r="AJ25" i="20"/>
  <c r="AC25" i="20"/>
  <c r="S28" i="1"/>
  <c r="R28" i="1" s="1"/>
  <c r="D28" i="1"/>
  <c r="X21" i="25"/>
  <c r="K21" i="25"/>
  <c r="AB21" i="25"/>
  <c r="A22" i="25"/>
  <c r="L21" i="25"/>
  <c r="AJ21" i="25"/>
  <c r="AK21" i="25"/>
  <c r="I26" i="1"/>
  <c r="B26" i="6" s="1"/>
  <c r="AA26" i="1"/>
  <c r="Z26" i="1" s="1"/>
  <c r="Y26" i="1" s="1"/>
  <c r="G26" i="1"/>
  <c r="BW26" i="6" s="1"/>
  <c r="A24" i="23"/>
  <c r="K23" i="23"/>
  <c r="L23" i="23"/>
  <c r="X23" i="23"/>
  <c r="AB23" i="23"/>
  <c r="AJ23" i="23"/>
  <c r="AK23" i="23"/>
  <c r="AA27" i="1" l="1"/>
  <c r="Z27" i="1" s="1"/>
  <c r="Y27" i="1" s="1"/>
  <c r="E28" i="1"/>
  <c r="BF30" i="1"/>
  <c r="Z84" i="27"/>
  <c r="L91" i="27"/>
  <c r="D93" i="27"/>
  <c r="K85" i="27"/>
  <c r="K92" i="27"/>
  <c r="Y94" i="27"/>
  <c r="J91" i="27"/>
  <c r="J93" i="27"/>
  <c r="P94" i="27"/>
  <c r="F90" i="27"/>
  <c r="F92" i="27"/>
  <c r="G91" i="27"/>
  <c r="G83" i="27"/>
  <c r="T93" i="27"/>
  <c r="G85" i="27"/>
  <c r="R87" i="27"/>
  <c r="N86" i="27"/>
  <c r="W84" i="27"/>
  <c r="C92" i="27"/>
  <c r="R92" i="27"/>
  <c r="T84" i="27"/>
  <c r="Z85" i="27"/>
  <c r="A88" i="27"/>
  <c r="C94" i="27"/>
  <c r="U94" i="27"/>
  <c r="L82" i="27"/>
  <c r="F93" i="27"/>
  <c r="K83" i="27"/>
  <c r="H86" i="27"/>
  <c r="I83" i="27"/>
  <c r="H92" i="27"/>
  <c r="Z87" i="27"/>
  <c r="M82" i="27"/>
  <c r="L90" i="27"/>
  <c r="A94" i="27"/>
  <c r="D94" i="27"/>
  <c r="D88" i="27"/>
  <c r="Q94" i="27"/>
  <c r="Y91" i="27"/>
  <c r="H89" i="27"/>
  <c r="H94" i="27"/>
  <c r="J89" i="27"/>
  <c r="O87" i="27"/>
  <c r="N85" i="27"/>
  <c r="I82" i="27"/>
  <c r="W83" i="27"/>
  <c r="L87" i="27"/>
  <c r="M86" i="27"/>
  <c r="U84" i="27"/>
  <c r="O84" i="27"/>
  <c r="O90" i="27"/>
  <c r="I88" i="27"/>
  <c r="G94" i="27"/>
  <c r="N82" i="27"/>
  <c r="R84" i="27"/>
  <c r="O91" i="27"/>
  <c r="R91" i="27"/>
  <c r="S82" i="27"/>
  <c r="B84" i="27"/>
  <c r="B94" i="27"/>
  <c r="I87" i="27"/>
  <c r="Z88" i="27"/>
  <c r="P87" i="27"/>
  <c r="O92" i="27"/>
  <c r="N94" i="27"/>
  <c r="U85" i="27"/>
  <c r="B83" i="27"/>
  <c r="S89" i="27"/>
  <c r="Y87" i="27"/>
  <c r="E94" i="27"/>
  <c r="Y84" i="27"/>
  <c r="B85" i="27"/>
  <c r="W82" i="27"/>
  <c r="K94" i="27"/>
  <c r="E89" i="27"/>
  <c r="D89" i="27"/>
  <c r="A87" i="27"/>
  <c r="P93" i="27"/>
  <c r="D87" i="27"/>
  <c r="Q85" i="27"/>
  <c r="N89" i="27"/>
  <c r="B91" i="27"/>
  <c r="Q90" i="27"/>
  <c r="G86" i="27"/>
  <c r="A90" i="27"/>
  <c r="B88" i="27"/>
  <c r="E93" i="27"/>
  <c r="G88" i="27"/>
  <c r="O83" i="27"/>
  <c r="S88" i="27"/>
  <c r="P86" i="27"/>
  <c r="S85" i="27"/>
  <c r="P85" i="27"/>
  <c r="L85" i="27"/>
  <c r="S91" i="27"/>
  <c r="C86" i="27"/>
  <c r="V94" i="27"/>
  <c r="Z86" i="27"/>
  <c r="S90" i="27"/>
  <c r="V88" i="27"/>
  <c r="B92" i="27"/>
  <c r="Z93" i="27"/>
  <c r="O93" i="27"/>
  <c r="E92" i="27"/>
  <c r="X86" i="27"/>
  <c r="K84" i="27"/>
  <c r="J92" i="27"/>
  <c r="T85" i="27"/>
  <c r="D91" i="27"/>
  <c r="K89" i="27"/>
  <c r="M90" i="27"/>
  <c r="F89" i="27"/>
  <c r="N84" i="27"/>
  <c r="H93" i="27"/>
  <c r="J94" i="27"/>
  <c r="V85" i="27"/>
  <c r="Y92" i="27"/>
  <c r="D86" i="27"/>
  <c r="Y85" i="27"/>
  <c r="A86" i="27"/>
  <c r="M92" i="27"/>
  <c r="K91" i="27"/>
  <c r="S84" i="27"/>
  <c r="D84" i="27"/>
  <c r="I85" i="27"/>
  <c r="N88" i="27"/>
  <c r="N93" i="27"/>
  <c r="G84" i="27"/>
  <c r="C89" i="27"/>
  <c r="P90" i="27"/>
  <c r="G82" i="27"/>
  <c r="B90" i="27"/>
  <c r="I93" i="27"/>
  <c r="P84" i="27"/>
  <c r="I89" i="27"/>
  <c r="D83" i="27"/>
  <c r="X85" i="27"/>
  <c r="Q83" i="27"/>
  <c r="W87" i="27"/>
  <c r="C84" i="27"/>
  <c r="E90" i="27"/>
  <c r="W92" i="27"/>
  <c r="T82" i="27"/>
  <c r="I86" i="27"/>
  <c r="V92" i="27"/>
  <c r="A91" i="27"/>
  <c r="L83" i="27"/>
  <c r="Z91" i="27"/>
  <c r="X88" i="27"/>
  <c r="R89" i="27"/>
  <c r="X89" i="27"/>
  <c r="U89" i="27"/>
  <c r="O89" i="27"/>
  <c r="Y90" i="27"/>
  <c r="Q91" i="27"/>
  <c r="L93" i="27"/>
  <c r="U87" i="27"/>
  <c r="H83" i="27"/>
  <c r="Z89" i="27"/>
  <c r="L86" i="27"/>
  <c r="T92" i="27"/>
  <c r="U88" i="27"/>
  <c r="G93" i="27"/>
  <c r="F87" i="27"/>
  <c r="Y83" i="27"/>
  <c r="M85" i="27"/>
  <c r="F83" i="27"/>
  <c r="X90" i="27"/>
  <c r="U91" i="27"/>
  <c r="F88" i="27"/>
  <c r="W93" i="27"/>
  <c r="V82" i="27"/>
  <c r="C90" i="27"/>
  <c r="J88" i="27"/>
  <c r="V93" i="27"/>
  <c r="F84" i="27"/>
  <c r="N87" i="27"/>
  <c r="T87" i="27"/>
  <c r="J85" i="27"/>
  <c r="T91" i="27"/>
  <c r="R83" i="27"/>
  <c r="X94" i="27"/>
  <c r="D85" i="27"/>
  <c r="O82" i="27"/>
  <c r="O94" i="27"/>
  <c r="F91" i="27"/>
  <c r="K87" i="27"/>
  <c r="S93" i="27"/>
  <c r="I90" i="27"/>
  <c r="Z90" i="27"/>
  <c r="G92" i="27"/>
  <c r="U92" i="27"/>
  <c r="E91" i="27"/>
  <c r="E87" i="27"/>
  <c r="C83" i="27"/>
  <c r="B86" i="27"/>
  <c r="K88" i="27"/>
  <c r="U83" i="27"/>
  <c r="B89" i="27"/>
  <c r="R93" i="27"/>
  <c r="Q87" i="27"/>
  <c r="O88" i="27"/>
  <c r="K86" i="27"/>
  <c r="C85" i="27"/>
  <c r="I91" i="27"/>
  <c r="Y86" i="27"/>
  <c r="I94" i="27"/>
  <c r="C91" i="27"/>
  <c r="R88" i="27"/>
  <c r="P91" i="27"/>
  <c r="U86" i="27"/>
  <c r="J84" i="27"/>
  <c r="S94" i="27"/>
  <c r="C82" i="27"/>
  <c r="K90" i="27"/>
  <c r="E85" i="27"/>
  <c r="P89" i="27"/>
  <c r="C93" i="27"/>
  <c r="M83" i="27"/>
  <c r="Y93" i="27"/>
  <c r="M91" i="27"/>
  <c r="F85" i="27"/>
  <c r="O85" i="27"/>
  <c r="V90" i="27"/>
  <c r="B87" i="27"/>
  <c r="Q93" i="27"/>
  <c r="R86" i="27"/>
  <c r="L92" i="27"/>
  <c r="M88" i="27"/>
  <c r="W90" i="27"/>
  <c r="O86" i="27"/>
  <c r="P88" i="27"/>
  <c r="Z82" i="27"/>
  <c r="W89" i="27"/>
  <c r="M84" i="27"/>
  <c r="L88" i="27"/>
  <c r="H90" i="27"/>
  <c r="L94" i="27"/>
  <c r="M89" i="27"/>
  <c r="A82" i="27"/>
  <c r="V86" i="27"/>
  <c r="J83" i="27"/>
  <c r="Q89" i="27"/>
  <c r="F82" i="27"/>
  <c r="T94" i="27"/>
  <c r="N91" i="27"/>
  <c r="D90" i="27"/>
  <c r="M87" i="27"/>
  <c r="G90" i="27"/>
  <c r="R85" i="27"/>
  <c r="X92" i="27"/>
  <c r="S92" i="27"/>
  <c r="G89" i="27"/>
  <c r="Q92" i="27"/>
  <c r="X87" i="27"/>
  <c r="H82" i="27"/>
  <c r="Z83" i="27"/>
  <c r="Q82" i="27"/>
  <c r="E83" i="27"/>
  <c r="K82" i="27"/>
  <c r="H87" i="27"/>
  <c r="Z94" i="27"/>
  <c r="W88" i="27"/>
  <c r="R82" i="27"/>
  <c r="H88" i="27"/>
  <c r="M94" i="27"/>
  <c r="N90" i="27"/>
  <c r="J90" i="27"/>
  <c r="V84" i="27"/>
  <c r="W94" i="27"/>
  <c r="R94" i="27"/>
  <c r="E82" i="27"/>
  <c r="C87" i="27"/>
  <c r="W85" i="27"/>
  <c r="F94" i="27"/>
  <c r="L84" i="27"/>
  <c r="W86" i="27"/>
  <c r="Y82" i="27"/>
  <c r="S87" i="27"/>
  <c r="R90" i="27"/>
  <c r="H84" i="27"/>
  <c r="Q86" i="27"/>
  <c r="T83" i="27"/>
  <c r="Q88" i="27"/>
  <c r="F86" i="27"/>
  <c r="P92" i="27"/>
  <c r="U90" i="27"/>
  <c r="U93" i="27"/>
  <c r="E88" i="27"/>
  <c r="U82" i="27"/>
  <c r="W91" i="27"/>
  <c r="G87" i="27"/>
  <c r="X93" i="27"/>
  <c r="A83" i="27"/>
  <c r="Y89" i="27"/>
  <c r="V91" i="27"/>
  <c r="A93" i="27"/>
  <c r="Z92" i="27"/>
  <c r="X83" i="27"/>
  <c r="B93" i="27"/>
  <c r="A89" i="27"/>
  <c r="T88" i="27"/>
  <c r="J82" i="27"/>
  <c r="V87" i="27"/>
  <c r="E84" i="27"/>
  <c r="P82" i="27"/>
  <c r="N83" i="27"/>
  <c r="X84" i="27"/>
  <c r="I84" i="27"/>
  <c r="C88" i="27"/>
  <c r="T89" i="27"/>
  <c r="A84" i="27"/>
  <c r="S86" i="27"/>
  <c r="N92" i="27"/>
  <c r="E86" i="27"/>
  <c r="I92" i="27"/>
  <c r="A92" i="27"/>
  <c r="A85" i="27"/>
  <c r="X82" i="27"/>
  <c r="H91" i="27"/>
  <c r="D92" i="27"/>
  <c r="Q84" i="27"/>
  <c r="K93" i="27"/>
  <c r="T86" i="27"/>
  <c r="H85" i="27"/>
  <c r="T90" i="27"/>
  <c r="B82" i="27"/>
  <c r="Y88" i="27"/>
  <c r="J86" i="27"/>
  <c r="D82" i="27"/>
  <c r="P83" i="27"/>
  <c r="L89" i="27"/>
  <c r="M93" i="27"/>
  <c r="J87" i="27"/>
  <c r="V83" i="27"/>
  <c r="S83" i="27"/>
  <c r="X91" i="27"/>
  <c r="V89" i="27"/>
  <c r="E8" i="20"/>
  <c r="K16" i="19" s="1"/>
  <c r="E7" i="20"/>
  <c r="G27" i="1"/>
  <c r="BW27" i="6" s="1"/>
  <c r="I27" i="1"/>
  <c r="B27" i="6" s="1"/>
  <c r="A29" i="15"/>
  <c r="K28" i="15"/>
  <c r="L28" i="15"/>
  <c r="AJ28" i="15"/>
  <c r="O28" i="15"/>
  <c r="X28" i="15"/>
  <c r="AK28" i="15"/>
  <c r="AB28" i="15"/>
  <c r="AC28" i="15"/>
  <c r="Y21" i="1"/>
  <c r="P28" i="1"/>
  <c r="I23" i="1"/>
  <c r="B23" i="6" s="1"/>
  <c r="G23" i="1"/>
  <c r="BW23" i="6" s="1"/>
  <c r="AA23" i="1"/>
  <c r="K28" i="16"/>
  <c r="L28" i="16"/>
  <c r="AJ28" i="16"/>
  <c r="AC28" i="16"/>
  <c r="A29" i="16"/>
  <c r="AB28" i="16"/>
  <c r="X28" i="16"/>
  <c r="AK28" i="16"/>
  <c r="O28" i="16"/>
  <c r="A25" i="23"/>
  <c r="K24" i="23"/>
  <c r="X24" i="23"/>
  <c r="L24" i="23"/>
  <c r="AB24" i="23"/>
  <c r="AK24" i="23"/>
  <c r="AJ24" i="23"/>
  <c r="K22" i="25"/>
  <c r="AB22" i="25"/>
  <c r="X22" i="25"/>
  <c r="A23" i="25"/>
  <c r="L22" i="25"/>
  <c r="AJ22" i="25"/>
  <c r="AK22" i="25"/>
  <c r="K26" i="20"/>
  <c r="AB26" i="20"/>
  <c r="X26" i="20"/>
  <c r="A27" i="20"/>
  <c r="L26" i="20"/>
  <c r="AK26" i="20"/>
  <c r="AJ26" i="20"/>
  <c r="AC26" i="20"/>
  <c r="A26" i="22"/>
  <c r="L25" i="22"/>
  <c r="X25" i="22"/>
  <c r="AB25" i="22"/>
  <c r="K25" i="22"/>
  <c r="AK25" i="22"/>
  <c r="AJ25" i="22"/>
  <c r="A29" i="17"/>
  <c r="L28" i="17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D29" i="1"/>
  <c r="B20" i="7"/>
  <c r="K30" i="1"/>
  <c r="AK30" i="1"/>
  <c r="A31" i="1"/>
  <c r="AB30" i="1"/>
  <c r="AJ30" i="1"/>
  <c r="O30" i="1"/>
  <c r="X30" i="1"/>
  <c r="Q30" i="1"/>
  <c r="AC30" i="1"/>
  <c r="U30" i="1"/>
  <c r="T30" i="1" s="1"/>
  <c r="K40" i="19" l="1"/>
  <c r="BF31" i="1"/>
  <c r="E29" i="1"/>
  <c r="O10" i="20"/>
  <c r="O27" i="20" s="1"/>
  <c r="AC10" i="20"/>
  <c r="AC26" i="22" s="1"/>
  <c r="A32" i="7"/>
  <c r="A30" i="15"/>
  <c r="AC29" i="15"/>
  <c r="L29" i="15"/>
  <c r="AK29" i="15"/>
  <c r="X29" i="15"/>
  <c r="AJ29" i="15"/>
  <c r="K29" i="15"/>
  <c r="AB29" i="15"/>
  <c r="O29" i="15"/>
  <c r="C32" i="7" s="1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S30" i="1"/>
  <c r="R30" i="1" s="1"/>
  <c r="P30" i="1" s="1"/>
  <c r="D30" i="1"/>
  <c r="A32" i="1"/>
  <c r="AK31" i="1"/>
  <c r="O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X27" i="20"/>
  <c r="A28" i="20"/>
  <c r="K27" i="20"/>
  <c r="L27" i="20"/>
  <c r="AB27" i="20"/>
  <c r="AJ27" i="20"/>
  <c r="AK27" i="20"/>
  <c r="AC27" i="20"/>
  <c r="A24" i="25"/>
  <c r="AB23" i="25"/>
  <c r="L23" i="25"/>
  <c r="X23" i="25"/>
  <c r="K23" i="25"/>
  <c r="AJ23" i="25"/>
  <c r="AK23" i="25"/>
  <c r="E30" i="1" l="1"/>
  <c r="BF32" i="1"/>
  <c r="AG13" i="7"/>
  <c r="AM10" i="7" s="1"/>
  <c r="O15" i="20"/>
  <c r="O16" i="20"/>
  <c r="O17" i="20"/>
  <c r="O18" i="20"/>
  <c r="O19" i="20"/>
  <c r="O20" i="20"/>
  <c r="O21" i="20"/>
  <c r="O22" i="20"/>
  <c r="O23" i="20"/>
  <c r="O24" i="20"/>
  <c r="O25" i="20"/>
  <c r="O26" i="20"/>
  <c r="F29" i="1"/>
  <c r="G29" i="1" s="1"/>
  <c r="BW29" i="6" s="1"/>
  <c r="AC19" i="22"/>
  <c r="AC15" i="22"/>
  <c r="AC18" i="22"/>
  <c r="AC20" i="22"/>
  <c r="AC17" i="22"/>
  <c r="AC16" i="22"/>
  <c r="AC21" i="22"/>
  <c r="AC22" i="22"/>
  <c r="AC23" i="22"/>
  <c r="AC24" i="22"/>
  <c r="AC25" i="22"/>
  <c r="B32" i="7"/>
  <c r="X30" i="15"/>
  <c r="K30" i="15"/>
  <c r="AC30" i="15"/>
  <c r="L30" i="15"/>
  <c r="O30" i="15"/>
  <c r="A31" i="15"/>
  <c r="AK30" i="15"/>
  <c r="AB30" i="15"/>
  <c r="AJ30" i="15"/>
  <c r="V30" i="1"/>
  <c r="X30" i="16"/>
  <c r="AB30" i="16"/>
  <c r="A31" i="16"/>
  <c r="AJ30" i="16"/>
  <c r="O30" i="16"/>
  <c r="K30" i="16"/>
  <c r="L30" i="16"/>
  <c r="AK30" i="16"/>
  <c r="AC30" i="16"/>
  <c r="F28" i="1"/>
  <c r="Y23" i="1"/>
  <c r="B44" i="7"/>
  <c r="X27" i="22"/>
  <c r="L27" i="22"/>
  <c r="A28" i="22"/>
  <c r="AB27" i="22"/>
  <c r="K27" i="22"/>
  <c r="AJ27" i="22"/>
  <c r="AK27" i="22"/>
  <c r="AC27" i="22"/>
  <c r="AB30" i="17"/>
  <c r="L30" i="17"/>
  <c r="X30" i="17"/>
  <c r="K30" i="17"/>
  <c r="A31" i="17"/>
  <c r="AJ30" i="17"/>
  <c r="AK30" i="17"/>
  <c r="AC30" i="17"/>
  <c r="O30" i="17"/>
  <c r="D31" i="1"/>
  <c r="AB26" i="23"/>
  <c r="X26" i="23"/>
  <c r="K26" i="23"/>
  <c r="A27" i="23"/>
  <c r="L26" i="23"/>
  <c r="AK26" i="23"/>
  <c r="AJ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A29" i="20"/>
  <c r="AB28" i="20"/>
  <c r="L28" i="20"/>
  <c r="X28" i="20"/>
  <c r="K28" i="20"/>
  <c r="AJ28" i="20"/>
  <c r="AK28" i="20"/>
  <c r="O28" i="20"/>
  <c r="AC28" i="20"/>
  <c r="B56" i="7"/>
  <c r="K25" i="24"/>
  <c r="A26" i="24"/>
  <c r="X25" i="24"/>
  <c r="AB25" i="24"/>
  <c r="L25" i="24"/>
  <c r="AJ25" i="24"/>
  <c r="AK25" i="24"/>
  <c r="T31" i="1"/>
  <c r="AJ32" i="1"/>
  <c r="A33" i="1"/>
  <c r="Q32" i="1"/>
  <c r="O32" i="1"/>
  <c r="K32" i="1"/>
  <c r="AK32" i="1"/>
  <c r="X32" i="1"/>
  <c r="AB32" i="1"/>
  <c r="AC32" i="1"/>
  <c r="U32" i="1"/>
  <c r="T32" i="1" s="1"/>
  <c r="E8" i="22" l="1"/>
  <c r="K17" i="19" s="1"/>
  <c r="K41" i="19" s="1"/>
  <c r="E7" i="22"/>
  <c r="BF33" i="1"/>
  <c r="E31" i="1"/>
  <c r="AA29" i="1"/>
  <c r="Z29" i="1" s="1"/>
  <c r="Y29" i="1" s="1"/>
  <c r="I29" i="1"/>
  <c r="B29" i="6" s="1"/>
  <c r="F30" i="1"/>
  <c r="AA30" i="1" s="1"/>
  <c r="Z30" i="1" s="1"/>
  <c r="Y30" i="1" s="1"/>
  <c r="K31" i="15"/>
  <c r="AJ31" i="15"/>
  <c r="AB31" i="15"/>
  <c r="AK31" i="15"/>
  <c r="L31" i="15"/>
  <c r="X31" i="15"/>
  <c r="AC31" i="15"/>
  <c r="A32" i="15"/>
  <c r="O31" i="15"/>
  <c r="I28" i="1"/>
  <c r="B28" i="6" s="1"/>
  <c r="G28" i="1"/>
  <c r="BW28" i="6" s="1"/>
  <c r="AA28" i="1"/>
  <c r="AB31" i="16"/>
  <c r="X31" i="16"/>
  <c r="K31" i="16"/>
  <c r="AJ31" i="16"/>
  <c r="O31" i="16"/>
  <c r="A32" i="16"/>
  <c r="L31" i="16"/>
  <c r="AK31" i="16"/>
  <c r="AC31" i="16"/>
  <c r="D32" i="1"/>
  <c r="A34" i="1"/>
  <c r="AK33" i="1"/>
  <c r="O33" i="1"/>
  <c r="AC33" i="1"/>
  <c r="X33" i="1"/>
  <c r="AJ33" i="1"/>
  <c r="AB33" i="1"/>
  <c r="K33" i="1"/>
  <c r="Q33" i="1"/>
  <c r="U33" i="1"/>
  <c r="T33" i="1" s="1"/>
  <c r="X26" i="24"/>
  <c r="K26" i="24"/>
  <c r="A27" i="24"/>
  <c r="AB26" i="24"/>
  <c r="L26" i="24"/>
  <c r="AJ26" i="24"/>
  <c r="AK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AK25" i="25"/>
  <c r="B68" i="7"/>
  <c r="X28" i="22"/>
  <c r="AB28" i="22"/>
  <c r="A29" i="22"/>
  <c r="K28" i="22"/>
  <c r="L28" i="22"/>
  <c r="AJ28" i="22"/>
  <c r="AK28" i="22"/>
  <c r="AC28" i="22"/>
  <c r="O10" i="22" l="1"/>
  <c r="AC10" i="22"/>
  <c r="AC28" i="23" s="1"/>
  <c r="BF34" i="1"/>
  <c r="I30" i="1"/>
  <c r="B30" i="6" s="1"/>
  <c r="E32" i="1"/>
  <c r="G30" i="1"/>
  <c r="BW30" i="6" s="1"/>
  <c r="K32" i="15"/>
  <c r="AB32" i="15"/>
  <c r="O32" i="15"/>
  <c r="A33" i="15"/>
  <c r="AC32" i="15"/>
  <c r="X32" i="15"/>
  <c r="AJ32" i="15"/>
  <c r="L32" i="15"/>
  <c r="AK32" i="15"/>
  <c r="Z28" i="1"/>
  <c r="A33" i="16"/>
  <c r="K32" i="16"/>
  <c r="AK32" i="16"/>
  <c r="AC32" i="16"/>
  <c r="X32" i="16"/>
  <c r="AB32" i="16"/>
  <c r="L32" i="16"/>
  <c r="AJ32" i="16"/>
  <c r="O32" i="16"/>
  <c r="V31" i="1"/>
  <c r="AE32" i="7"/>
  <c r="A30" i="22"/>
  <c r="K29" i="22"/>
  <c r="L29" i="22"/>
  <c r="AB29" i="22"/>
  <c r="X29" i="22"/>
  <c r="AJ29" i="22"/>
  <c r="AK29" i="22"/>
  <c r="O29" i="22"/>
  <c r="AG32" i="7" s="1"/>
  <c r="AC29" i="22"/>
  <c r="X26" i="25"/>
  <c r="L26" i="25"/>
  <c r="A27" i="25"/>
  <c r="K26" i="25"/>
  <c r="AB26" i="25"/>
  <c r="AJ26" i="25"/>
  <c r="AK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S33" i="1"/>
  <c r="R33" i="1" s="1"/>
  <c r="P33" i="1" s="1"/>
  <c r="V33" i="1" s="1"/>
  <c r="D33" i="1"/>
  <c r="AB34" i="1"/>
  <c r="AC34" i="1"/>
  <c r="AK34" i="1"/>
  <c r="X34" i="1"/>
  <c r="A35" i="1"/>
  <c r="AJ34" i="1"/>
  <c r="O34" i="1"/>
  <c r="K34" i="1"/>
  <c r="Q34" i="1"/>
  <c r="U34" i="1"/>
  <c r="T34" i="1" s="1"/>
  <c r="S34" i="1" s="1"/>
  <c r="R34" i="1" s="1"/>
  <c r="AF20" i="7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AC26" i="23" l="1"/>
  <c r="AC17" i="23"/>
  <c r="AC20" i="23"/>
  <c r="AC19" i="23"/>
  <c r="AC21" i="23"/>
  <c r="AC23" i="23"/>
  <c r="AC25" i="23"/>
  <c r="AC16" i="23"/>
  <c r="AC15" i="23"/>
  <c r="AC18" i="23"/>
  <c r="AC22" i="23"/>
  <c r="AC24" i="23"/>
  <c r="AC27" i="23"/>
  <c r="O27" i="22"/>
  <c r="O17" i="22"/>
  <c r="O18" i="22"/>
  <c r="O20" i="22"/>
  <c r="O22" i="22"/>
  <c r="O24" i="22"/>
  <c r="O26" i="22"/>
  <c r="O28" i="22"/>
  <c r="AM13" i="7"/>
  <c r="AS10" i="7" s="1"/>
  <c r="O15" i="22"/>
  <c r="O16" i="22"/>
  <c r="O19" i="22"/>
  <c r="O21" i="22"/>
  <c r="O23" i="22"/>
  <c r="O25" i="22"/>
  <c r="BF35" i="1"/>
  <c r="E33" i="1"/>
  <c r="F32" i="1"/>
  <c r="I32" i="1" s="1"/>
  <c r="B32" i="6" s="1"/>
  <c r="K33" i="15"/>
  <c r="AJ33" i="15"/>
  <c r="AB33" i="15"/>
  <c r="AK33" i="15"/>
  <c r="L33" i="15"/>
  <c r="X33" i="15"/>
  <c r="AC33" i="15"/>
  <c r="A34" i="15"/>
  <c r="O33" i="15"/>
  <c r="F31" i="1"/>
  <c r="K33" i="16"/>
  <c r="L33" i="16"/>
  <c r="AJ33" i="16"/>
  <c r="AC33" i="16"/>
  <c r="A34" i="16"/>
  <c r="X33" i="16"/>
  <c r="O33" i="16"/>
  <c r="AB33" i="16"/>
  <c r="AK33" i="16"/>
  <c r="Y28" i="1"/>
  <c r="L32" i="18"/>
  <c r="A33" i="18"/>
  <c r="AB32" i="18"/>
  <c r="X32" i="18"/>
  <c r="K32" i="18"/>
  <c r="O32" i="18"/>
  <c r="AK32" i="18"/>
  <c r="AJ32" i="18"/>
  <c r="AC32" i="18"/>
  <c r="O35" i="1"/>
  <c r="X35" i="1"/>
  <c r="A36" i="1"/>
  <c r="K35" i="1"/>
  <c r="AB35" i="1"/>
  <c r="AC35" i="1"/>
  <c r="Q35" i="1"/>
  <c r="AJ35" i="1"/>
  <c r="AK35" i="1"/>
  <c r="U35" i="1"/>
  <c r="T35" i="1" s="1"/>
  <c r="D34" i="1"/>
  <c r="AE44" i="7"/>
  <c r="L29" i="23"/>
  <c r="A30" i="23"/>
  <c r="AB29" i="23"/>
  <c r="K29" i="23"/>
  <c r="X29" i="23"/>
  <c r="AJ29" i="23"/>
  <c r="AK29" i="23"/>
  <c r="AC29" i="23"/>
  <c r="A34" i="17"/>
  <c r="K33" i="17"/>
  <c r="X33" i="17"/>
  <c r="L33" i="17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L28" i="24"/>
  <c r="A29" i="24"/>
  <c r="X28" i="24"/>
  <c r="AB28" i="24"/>
  <c r="K28" i="24"/>
  <c r="AK28" i="24"/>
  <c r="AJ28" i="24"/>
  <c r="P34" i="1"/>
  <c r="V34" i="1" s="1"/>
  <c r="F33" i="1"/>
  <c r="AF32" i="7"/>
  <c r="X30" i="22"/>
  <c r="L30" i="22"/>
  <c r="A31" i="22"/>
  <c r="K30" i="22"/>
  <c r="AB30" i="22"/>
  <c r="AK30" i="22"/>
  <c r="AJ30" i="22"/>
  <c r="O30" i="22"/>
  <c r="AC30" i="22"/>
  <c r="E7" i="23" l="1"/>
  <c r="E8" i="23"/>
  <c r="K18" i="19" s="1"/>
  <c r="K42" i="19" s="1"/>
  <c r="E34" i="1"/>
  <c r="F34" i="1" s="1"/>
  <c r="BF36" i="1"/>
  <c r="G31" i="1"/>
  <c r="BW31" i="6" s="1"/>
  <c r="G32" i="1"/>
  <c r="BW32" i="6" s="1"/>
  <c r="AA32" i="1"/>
  <c r="Z32" i="1" s="1"/>
  <c r="Y32" i="1" s="1"/>
  <c r="AA31" i="1"/>
  <c r="Z31" i="1" s="1"/>
  <c r="I31" i="1"/>
  <c r="B31" i="6" s="1"/>
  <c r="AB34" i="15"/>
  <c r="AK34" i="15"/>
  <c r="L34" i="15"/>
  <c r="K34" i="15"/>
  <c r="AC34" i="15"/>
  <c r="X34" i="15"/>
  <c r="O34" i="15"/>
  <c r="A35" i="15"/>
  <c r="AJ34" i="15"/>
  <c r="A35" i="16"/>
  <c r="X34" i="16"/>
  <c r="L34" i="16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AJ29" i="24"/>
  <c r="K28" i="25"/>
  <c r="AB28" i="25"/>
  <c r="A29" i="25"/>
  <c r="L28" i="25"/>
  <c r="X28" i="25"/>
  <c r="AJ28" i="25"/>
  <c r="AK28" i="25"/>
  <c r="K34" i="17"/>
  <c r="X34" i="17"/>
  <c r="L34" i="17"/>
  <c r="A35" i="17"/>
  <c r="AB34" i="17"/>
  <c r="AJ34" i="17"/>
  <c r="AK34" i="17"/>
  <c r="O34" i="17"/>
  <c r="AC34" i="17"/>
  <c r="AF44" i="7"/>
  <c r="S35" i="1"/>
  <c r="R35" i="1" s="1"/>
  <c r="P35" i="1" s="1"/>
  <c r="V35" i="1" s="1"/>
  <c r="D35" i="1"/>
  <c r="A34" i="18"/>
  <c r="K33" i="18"/>
  <c r="X33" i="18"/>
  <c r="AB33" i="18"/>
  <c r="L33" i="18"/>
  <c r="AK33" i="18"/>
  <c r="O33" i="18"/>
  <c r="AJ33" i="18"/>
  <c r="AC33" i="18"/>
  <c r="G33" i="1"/>
  <c r="BW33" i="6" s="1"/>
  <c r="AA33" i="1"/>
  <c r="Z33" i="1" s="1"/>
  <c r="Y33" i="1" s="1"/>
  <c r="I33" i="1"/>
  <c r="B33" i="6" s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AC30" i="23"/>
  <c r="AB36" i="1"/>
  <c r="A37" i="1"/>
  <c r="AK36" i="1"/>
  <c r="X36" i="1"/>
  <c r="O36" i="1"/>
  <c r="K36" i="1"/>
  <c r="AJ36" i="1"/>
  <c r="Q36" i="1"/>
  <c r="AC36" i="1"/>
  <c r="U36" i="1"/>
  <c r="O10" i="23" l="1"/>
  <c r="O31" i="23" s="1"/>
  <c r="AC10" i="23"/>
  <c r="AC30" i="24" s="1"/>
  <c r="BF37" i="1"/>
  <c r="E35" i="1"/>
  <c r="K35" i="15"/>
  <c r="AK35" i="15"/>
  <c r="A36" i="15"/>
  <c r="AB35" i="15"/>
  <c r="AC35" i="15"/>
  <c r="L35" i="15"/>
  <c r="O35" i="15"/>
  <c r="X35" i="15"/>
  <c r="AJ35" i="15"/>
  <c r="Y31" i="1"/>
  <c r="L35" i="16"/>
  <c r="K35" i="16"/>
  <c r="AK35" i="16"/>
  <c r="AC35" i="16"/>
  <c r="A36" i="16"/>
  <c r="AB35" i="16"/>
  <c r="X35" i="16"/>
  <c r="AJ35" i="16"/>
  <c r="O35" i="16"/>
  <c r="D36" i="1"/>
  <c r="G34" i="1"/>
  <c r="BW34" i="6" s="1"/>
  <c r="I34" i="1"/>
  <c r="B34" i="6" s="1"/>
  <c r="AA34" i="1"/>
  <c r="Z34" i="1" s="1"/>
  <c r="Y34" i="1" s="1"/>
  <c r="F35" i="1"/>
  <c r="X35" i="17"/>
  <c r="A36" i="17"/>
  <c r="L35" i="17"/>
  <c r="AB35" i="17"/>
  <c r="K35" i="17"/>
  <c r="AJ35" i="17"/>
  <c r="AK35" i="17"/>
  <c r="AC35" i="17"/>
  <c r="O35" i="17"/>
  <c r="K29" i="25"/>
  <c r="X29" i="25"/>
  <c r="AB29" i="25"/>
  <c r="L29" i="25"/>
  <c r="AE68" i="7"/>
  <c r="A30" i="25"/>
  <c r="AJ29" i="25"/>
  <c r="AK29" i="25"/>
  <c r="T36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A33" i="22"/>
  <c r="K32" i="22"/>
  <c r="AB32" i="22"/>
  <c r="X32" i="22"/>
  <c r="L32" i="22"/>
  <c r="AJ32" i="22"/>
  <c r="AK32" i="22"/>
  <c r="O32" i="22"/>
  <c r="AC32" i="22"/>
  <c r="AC28" i="24" l="1"/>
  <c r="AC17" i="24"/>
  <c r="AC15" i="24"/>
  <c r="AC23" i="24"/>
  <c r="AC18" i="24"/>
  <c r="AC16" i="24"/>
  <c r="AC24" i="24"/>
  <c r="AC27" i="24"/>
  <c r="AC20" i="24"/>
  <c r="AC21" i="24"/>
  <c r="AC25" i="24"/>
  <c r="AC19" i="24"/>
  <c r="AC22" i="24"/>
  <c r="AC26" i="24"/>
  <c r="AC29" i="24"/>
  <c r="O27" i="23"/>
  <c r="O17" i="23"/>
  <c r="O19" i="23"/>
  <c r="O23" i="23"/>
  <c r="O28" i="23"/>
  <c r="AS13" i="7"/>
  <c r="AY10" i="7" s="1"/>
  <c r="O15" i="23"/>
  <c r="O21" i="23"/>
  <c r="O25" i="23"/>
  <c r="O16" i="23"/>
  <c r="O24" i="23"/>
  <c r="O20" i="23"/>
  <c r="O29" i="23"/>
  <c r="AG44" i="7" s="1"/>
  <c r="O26" i="23"/>
  <c r="O22" i="23"/>
  <c r="O18" i="23"/>
  <c r="O30" i="23"/>
  <c r="E36" i="1"/>
  <c r="BF38" i="1"/>
  <c r="AB36" i="15"/>
  <c r="O36" i="15"/>
  <c r="L36" i="15"/>
  <c r="AJ36" i="15"/>
  <c r="A37" i="15"/>
  <c r="AK36" i="15"/>
  <c r="K36" i="15"/>
  <c r="X36" i="15"/>
  <c r="AC36" i="15"/>
  <c r="AB36" i="16"/>
  <c r="X36" i="16"/>
  <c r="AJ36" i="16"/>
  <c r="AC36" i="16"/>
  <c r="L36" i="16"/>
  <c r="AK36" i="16"/>
  <c r="K36" i="16"/>
  <c r="A37" i="16"/>
  <c r="O36" i="16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AC38" i="1"/>
  <c r="O38" i="1"/>
  <c r="U38" i="1"/>
  <c r="T38" i="1" s="1"/>
  <c r="D37" i="1"/>
  <c r="S36" i="1"/>
  <c r="R36" i="1" s="1"/>
  <c r="P36" i="1" s="1"/>
  <c r="A31" i="25"/>
  <c r="K30" i="25"/>
  <c r="X30" i="25"/>
  <c r="L30" i="25"/>
  <c r="AB30" i="25"/>
  <c r="AK30" i="25"/>
  <c r="AJ30" i="25"/>
  <c r="AF68" i="7"/>
  <c r="I35" i="1"/>
  <c r="B35" i="6" s="1"/>
  <c r="G35" i="1"/>
  <c r="BW35" i="6" s="1"/>
  <c r="AA35" i="1"/>
  <c r="Z35" i="1" s="1"/>
  <c r="Y35" i="1" s="1"/>
  <c r="E7" i="24" l="1"/>
  <c r="E8" i="24"/>
  <c r="K19" i="19" s="1"/>
  <c r="K43" i="19" s="1"/>
  <c r="E37" i="1"/>
  <c r="F37" i="1" s="1"/>
  <c r="V36" i="1"/>
  <c r="BF39" i="1"/>
  <c r="F36" i="1"/>
  <c r="L37" i="15"/>
  <c r="AJ37" i="15"/>
  <c r="AB37" i="15"/>
  <c r="AK37" i="15"/>
  <c r="K37" i="15"/>
  <c r="X37" i="15"/>
  <c r="AC37" i="15"/>
  <c r="A38" i="15"/>
  <c r="O37" i="15"/>
  <c r="X37" i="16"/>
  <c r="K37" i="16"/>
  <c r="A38" i="16"/>
  <c r="AJ37" i="16"/>
  <c r="O37" i="16"/>
  <c r="AB37" i="16"/>
  <c r="L37" i="16"/>
  <c r="AK37" i="16"/>
  <c r="AC37" i="16"/>
  <c r="X31" i="25"/>
  <c r="A32" i="25"/>
  <c r="K31" i="25"/>
  <c r="L31" i="25"/>
  <c r="AB31" i="25"/>
  <c r="AJ31" i="25"/>
  <c r="AK31" i="25"/>
  <c r="S38" i="1"/>
  <c r="R38" i="1" s="1"/>
  <c r="P38" i="1" s="1"/>
  <c r="V38" i="1" s="1"/>
  <c r="AJ39" i="1"/>
  <c r="A40" i="1"/>
  <c r="X39" i="1"/>
  <c r="K39" i="1"/>
  <c r="AK39" i="1"/>
  <c r="AB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AC32" i="24"/>
  <c r="X34" i="22"/>
  <c r="L34" i="22"/>
  <c r="AB34" i="22"/>
  <c r="A35" i="22"/>
  <c r="K34" i="22"/>
  <c r="AJ34" i="22"/>
  <c r="AK34" i="22"/>
  <c r="O34" i="22"/>
  <c r="AC34" i="22"/>
  <c r="D38" i="1"/>
  <c r="AC10" i="24" l="1"/>
  <c r="O10" i="24"/>
  <c r="I37" i="1"/>
  <c r="B37" i="6" s="1"/>
  <c r="AA36" i="1"/>
  <c r="Z36" i="1" s="1"/>
  <c r="Y36" i="1" s="1"/>
  <c r="E38" i="1"/>
  <c r="F38" i="1" s="1"/>
  <c r="BF40" i="1"/>
  <c r="I36" i="1"/>
  <c r="B36" i="6" s="1"/>
  <c r="G36" i="1"/>
  <c r="BW36" i="6" s="1"/>
  <c r="AA37" i="1"/>
  <c r="Z37" i="1" s="1"/>
  <c r="Y37" i="1" s="1"/>
  <c r="AB38" i="15"/>
  <c r="X38" i="15"/>
  <c r="O38" i="15"/>
  <c r="K38" i="15"/>
  <c r="AC38" i="15"/>
  <c r="L38" i="15"/>
  <c r="AK38" i="15"/>
  <c r="A39" i="15"/>
  <c r="AJ38" i="15"/>
  <c r="G37" i="1"/>
  <c r="BW37" i="6" s="1"/>
  <c r="P39" i="1"/>
  <c r="V39" i="1" s="1"/>
  <c r="A39" i="16"/>
  <c r="X38" i="16"/>
  <c r="AJ38" i="16"/>
  <c r="AC38" i="16"/>
  <c r="L38" i="16"/>
  <c r="AB38" i="16"/>
  <c r="K38" i="16"/>
  <c r="AK38" i="16"/>
  <c r="O38" i="16"/>
  <c r="X33" i="24"/>
  <c r="AB33" i="24"/>
  <c r="K33" i="24"/>
  <c r="L33" i="24"/>
  <c r="A34" i="24"/>
  <c r="AJ33" i="24"/>
  <c r="AK33" i="24"/>
  <c r="AC33" i="24"/>
  <c r="AB38" i="17"/>
  <c r="L38" i="17"/>
  <c r="K38" i="17"/>
  <c r="X38" i="17"/>
  <c r="A39" i="17"/>
  <c r="AJ38" i="17"/>
  <c r="AK38" i="17"/>
  <c r="AC38" i="17"/>
  <c r="O38" i="17"/>
  <c r="A37" i="20"/>
  <c r="X36" i="20"/>
  <c r="L36" i="20"/>
  <c r="AB36" i="20"/>
  <c r="K36" i="20"/>
  <c r="AJ36" i="20"/>
  <c r="AK36" i="20"/>
  <c r="O36" i="20"/>
  <c r="AC36" i="20"/>
  <c r="D39" i="1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AC32" i="25"/>
  <c r="O29" i="24" l="1"/>
  <c r="AG56" i="7" s="1"/>
  <c r="O18" i="24"/>
  <c r="O23" i="24"/>
  <c r="O27" i="24"/>
  <c r="O15" i="24"/>
  <c r="O20" i="24"/>
  <c r="O24" i="24"/>
  <c r="O28" i="24"/>
  <c r="O30" i="24"/>
  <c r="O17" i="24"/>
  <c r="O21" i="24"/>
  <c r="O25" i="24"/>
  <c r="O16" i="24"/>
  <c r="O19" i="24"/>
  <c r="O22" i="24"/>
  <c r="O26" i="24"/>
  <c r="O31" i="24"/>
  <c r="O32" i="24"/>
  <c r="O33" i="24"/>
  <c r="AY13" i="7"/>
  <c r="BE10" i="7" s="1"/>
  <c r="AC28" i="25"/>
  <c r="AC16" i="25"/>
  <c r="AC21" i="25"/>
  <c r="AC25" i="25"/>
  <c r="AC17" i="25"/>
  <c r="AC15" i="25"/>
  <c r="AC24" i="25"/>
  <c r="AC29" i="25"/>
  <c r="AC26" i="25"/>
  <c r="AC18" i="25"/>
  <c r="AC23" i="25"/>
  <c r="AC19" i="25"/>
  <c r="AC20" i="25"/>
  <c r="AC22" i="25"/>
  <c r="AC27" i="25"/>
  <c r="AC30" i="25"/>
  <c r="AC31" i="25"/>
  <c r="E39" i="1"/>
  <c r="BF41" i="1"/>
  <c r="F39" i="1"/>
  <c r="K39" i="15"/>
  <c r="AJ39" i="15"/>
  <c r="L39" i="15"/>
  <c r="AK39" i="15"/>
  <c r="X39" i="15"/>
  <c r="AB39" i="15"/>
  <c r="AC39" i="15"/>
  <c r="A40" i="15"/>
  <c r="O39" i="15"/>
  <c r="AB39" i="16"/>
  <c r="K39" i="16"/>
  <c r="X39" i="16"/>
  <c r="AJ39" i="16"/>
  <c r="O39" i="16"/>
  <c r="L39" i="16"/>
  <c r="A40" i="16"/>
  <c r="AK39" i="16"/>
  <c r="AC39" i="16"/>
  <c r="D40" i="1"/>
  <c r="Q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X37" i="20"/>
  <c r="K37" i="20"/>
  <c r="A38" i="20"/>
  <c r="AB37" i="20"/>
  <c r="L37" i="20"/>
  <c r="AJ37" i="20"/>
  <c r="AK37" i="20"/>
  <c r="O37" i="20"/>
  <c r="AC37" i="20"/>
  <c r="K33" i="25"/>
  <c r="A34" i="25"/>
  <c r="L33" i="25"/>
  <c r="AB33" i="25"/>
  <c r="X33" i="25"/>
  <c r="AJ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K39" i="17"/>
  <c r="L39" i="17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B38" i="6" s="1"/>
  <c r="G38" i="1"/>
  <c r="BW38" i="6" s="1"/>
  <c r="AA38" i="1"/>
  <c r="Z38" i="1" s="1"/>
  <c r="Y38" i="1" s="1"/>
  <c r="E7" i="25" l="1"/>
  <c r="E8" i="25"/>
  <c r="K20" i="19" s="1"/>
  <c r="K44" i="19" s="1"/>
  <c r="BF42" i="1"/>
  <c r="E40" i="1"/>
  <c r="G39" i="1"/>
  <c r="BW39" i="6" s="1"/>
  <c r="I39" i="1"/>
  <c r="B39" i="6" s="1"/>
  <c r="AA39" i="1"/>
  <c r="Z39" i="1" s="1"/>
  <c r="Y39" i="1" s="1"/>
  <c r="L40" i="15"/>
  <c r="AB40" i="15"/>
  <c r="AC40" i="15"/>
  <c r="X40" i="15"/>
  <c r="O40" i="15"/>
  <c r="K40" i="15"/>
  <c r="AJ40" i="15"/>
  <c r="A41" i="15"/>
  <c r="AK40" i="15"/>
  <c r="X40" i="16"/>
  <c r="K40" i="16"/>
  <c r="AK40" i="16"/>
  <c r="AC40" i="16"/>
  <c r="A41" i="16"/>
  <c r="L40" i="16"/>
  <c r="AB40" i="16"/>
  <c r="AJ40" i="16"/>
  <c r="O40" i="16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A41" i="17"/>
  <c r="L40" i="17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AK34" i="25"/>
  <c r="AC34" i="25"/>
  <c r="A43" i="1"/>
  <c r="O42" i="1"/>
  <c r="X42" i="1"/>
  <c r="K42" i="1"/>
  <c r="Q42" i="1"/>
  <c r="AB42" i="1"/>
  <c r="AJ42" i="1"/>
  <c r="AK42" i="1"/>
  <c r="AC42" i="1"/>
  <c r="U42" i="1"/>
  <c r="T42" i="1" s="1"/>
  <c r="D41" i="1"/>
  <c r="O10" i="25" l="1"/>
  <c r="AC10" i="25"/>
  <c r="BF43" i="1"/>
  <c r="E41" i="1"/>
  <c r="AB41" i="15"/>
  <c r="A42" i="15"/>
  <c r="AC41" i="15"/>
  <c r="X41" i="15"/>
  <c r="O41" i="15"/>
  <c r="K41" i="15"/>
  <c r="AJ41" i="15"/>
  <c r="L41" i="15"/>
  <c r="AK41" i="15"/>
  <c r="K41" i="16"/>
  <c r="L41" i="16"/>
  <c r="X41" i="16"/>
  <c r="AK41" i="16"/>
  <c r="O41" i="16"/>
  <c r="A42" i="16"/>
  <c r="AB41" i="16"/>
  <c r="AJ41" i="16"/>
  <c r="AC41" i="16"/>
  <c r="V40" i="1"/>
  <c r="X35" i="25"/>
  <c r="K35" i="25"/>
  <c r="L35" i="25"/>
  <c r="A36" i="25"/>
  <c r="AB35" i="25"/>
  <c r="AK35" i="25"/>
  <c r="AJ35" i="25"/>
  <c r="O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D42" i="1"/>
  <c r="K43" i="1"/>
  <c r="O43" i="1"/>
  <c r="AC43" i="1"/>
  <c r="Q43" i="1"/>
  <c r="A44" i="1"/>
  <c r="AK43" i="1"/>
  <c r="X43" i="1"/>
  <c r="AB43" i="1"/>
  <c r="AJ43" i="1"/>
  <c r="U43" i="1"/>
  <c r="T43" i="1" s="1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BE13" i="7" l="1"/>
  <c r="O15" i="25"/>
  <c r="O22" i="25"/>
  <c r="O26" i="25"/>
  <c r="O18" i="25"/>
  <c r="O17" i="25"/>
  <c r="O20" i="25"/>
  <c r="O24" i="25"/>
  <c r="O28" i="25"/>
  <c r="O25" i="25"/>
  <c r="O21" i="25"/>
  <c r="O16" i="25"/>
  <c r="O29" i="25"/>
  <c r="AG68" i="7" s="1"/>
  <c r="O23" i="25"/>
  <c r="O19" i="25"/>
  <c r="O30" i="25"/>
  <c r="O31" i="25"/>
  <c r="O32" i="25"/>
  <c r="O27" i="25"/>
  <c r="O33" i="25"/>
  <c r="O34" i="25"/>
  <c r="E42" i="1"/>
  <c r="F42" i="1" s="1"/>
  <c r="BF44" i="1"/>
  <c r="F41" i="1"/>
  <c r="AA41" i="1" s="1"/>
  <c r="Z41" i="1" s="1"/>
  <c r="Y41" i="1" s="1"/>
  <c r="F40" i="1"/>
  <c r="AB42" i="15"/>
  <c r="AK42" i="15"/>
  <c r="L42" i="15"/>
  <c r="AJ42" i="15"/>
  <c r="X42" i="15"/>
  <c r="A43" i="15"/>
  <c r="O42" i="15"/>
  <c r="K42" i="15"/>
  <c r="AC42" i="15"/>
  <c r="A43" i="16"/>
  <c r="AB42" i="16"/>
  <c r="L42" i="16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S43" i="1"/>
  <c r="R43" i="1" s="1"/>
  <c r="P43" i="1" s="1"/>
  <c r="V43" i="1" s="1"/>
  <c r="AC44" i="1"/>
  <c r="AB44" i="1"/>
  <c r="Q44" i="1"/>
  <c r="AK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B41" i="18"/>
  <c r="A42" i="18"/>
  <c r="K41" i="18"/>
  <c r="X41" i="18"/>
  <c r="L41" i="18"/>
  <c r="AK41" i="18"/>
  <c r="AJ41" i="18"/>
  <c r="O41" i="18"/>
  <c r="AC41" i="18"/>
  <c r="D43" i="1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BF45" i="1" l="1"/>
  <c r="I41" i="1"/>
  <c r="B41" i="6" s="1"/>
  <c r="G41" i="1"/>
  <c r="BW41" i="6" s="1"/>
  <c r="E43" i="1"/>
  <c r="F43" i="1" s="1"/>
  <c r="I42" i="1"/>
  <c r="B42" i="6" s="1"/>
  <c r="AA40" i="1"/>
  <c r="Z40" i="1" s="1"/>
  <c r="Y40" i="1" s="1"/>
  <c r="G40" i="1"/>
  <c r="BW40" i="6" s="1"/>
  <c r="I40" i="1"/>
  <c r="B40" i="6" s="1"/>
  <c r="G42" i="1"/>
  <c r="BW42" i="6" s="1"/>
  <c r="AA42" i="1"/>
  <c r="Z42" i="1" s="1"/>
  <c r="Y42" i="1" s="1"/>
  <c r="X43" i="15"/>
  <c r="AC43" i="15"/>
  <c r="A44" i="15"/>
  <c r="AJ43" i="15"/>
  <c r="AB43" i="15"/>
  <c r="AK43" i="15"/>
  <c r="L43" i="15"/>
  <c r="K43" i="15"/>
  <c r="O43" i="15"/>
  <c r="X43" i="16"/>
  <c r="L43" i="16"/>
  <c r="A44" i="16"/>
  <c r="AJ43" i="16"/>
  <c r="O43" i="16"/>
  <c r="AB43" i="16"/>
  <c r="K43" i="16"/>
  <c r="AK43" i="16"/>
  <c r="AC43" i="16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D44" i="1"/>
  <c r="E44" i="1" l="1"/>
  <c r="F44" i="1" s="1"/>
  <c r="I44" i="1" s="1"/>
  <c r="B44" i="6" s="1"/>
  <c r="BF46" i="1"/>
  <c r="AB44" i="15"/>
  <c r="AC44" i="15"/>
  <c r="L44" i="15"/>
  <c r="AJ44" i="15"/>
  <c r="A45" i="15"/>
  <c r="AK44" i="15"/>
  <c r="X44" i="15"/>
  <c r="K44" i="15"/>
  <c r="O44" i="15"/>
  <c r="L44" i="16"/>
  <c r="A45" i="16"/>
  <c r="AK44" i="16"/>
  <c r="AC44" i="16"/>
  <c r="AB44" i="16"/>
  <c r="K44" i="16"/>
  <c r="X44" i="16"/>
  <c r="AJ44" i="16"/>
  <c r="O44" i="16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A45" i="17"/>
  <c r="K44" i="17"/>
  <c r="L44" i="17"/>
  <c r="AB44" i="17"/>
  <c r="X44" i="17"/>
  <c r="AJ44" i="17"/>
  <c r="AK44" i="17"/>
  <c r="AC44" i="17"/>
  <c r="O44" i="17"/>
  <c r="D45" i="1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O46" i="1"/>
  <c r="AC46" i="1"/>
  <c r="AK46" i="1"/>
  <c r="AB46" i="1"/>
  <c r="A47" i="1"/>
  <c r="U46" i="1"/>
  <c r="Q46" i="1"/>
  <c r="I43" i="1"/>
  <c r="B43" i="6" s="1"/>
  <c r="AA43" i="1"/>
  <c r="Z43" i="1" s="1"/>
  <c r="Y43" i="1" s="1"/>
  <c r="G43" i="1"/>
  <c r="BW43" i="6" s="1"/>
  <c r="X41" i="22"/>
  <c r="K41" i="22"/>
  <c r="A42" i="22"/>
  <c r="L41" i="22"/>
  <c r="AB41" i="22"/>
  <c r="AK41" i="22"/>
  <c r="AJ41" i="22"/>
  <c r="O41" i="22"/>
  <c r="AC41" i="22"/>
  <c r="BF47" i="1" l="1"/>
  <c r="E45" i="1"/>
  <c r="F45" i="1" s="1"/>
  <c r="G44" i="1"/>
  <c r="BW44" i="6" s="1"/>
  <c r="AA44" i="1"/>
  <c r="Z44" i="1" s="1"/>
  <c r="Y44" i="1" s="1"/>
  <c r="K45" i="15"/>
  <c r="AK45" i="15"/>
  <c r="AB45" i="15"/>
  <c r="X45" i="15"/>
  <c r="O45" i="15"/>
  <c r="A46" i="15"/>
  <c r="AC45" i="15"/>
  <c r="L45" i="15"/>
  <c r="AJ45" i="15"/>
  <c r="X45" i="16"/>
  <c r="L45" i="16"/>
  <c r="AK45" i="16"/>
  <c r="AC45" i="16"/>
  <c r="AB45" i="16"/>
  <c r="A46" i="16"/>
  <c r="K45" i="16"/>
  <c r="AJ45" i="16"/>
  <c r="O45" i="16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U47" i="1"/>
  <c r="T47" i="1" s="1"/>
  <c r="AB39" i="25"/>
  <c r="K39" i="25"/>
  <c r="X39" i="25"/>
  <c r="A40" i="25"/>
  <c r="L39" i="25"/>
  <c r="AJ39" i="25"/>
  <c r="AK39" i="25"/>
  <c r="O39" i="25"/>
  <c r="AC39" i="25"/>
  <c r="X45" i="17"/>
  <c r="A46" i="17"/>
  <c r="AB45" i="17"/>
  <c r="L45" i="17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D46" i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E46" i="1" l="1"/>
  <c r="BF48" i="1"/>
  <c r="AB46" i="15"/>
  <c r="O46" i="15"/>
  <c r="L46" i="15"/>
  <c r="AK46" i="15"/>
  <c r="X46" i="15"/>
  <c r="AJ46" i="15"/>
  <c r="A47" i="15"/>
  <c r="K46" i="15"/>
  <c r="AC46" i="15"/>
  <c r="K46" i="16"/>
  <c r="AB46" i="16"/>
  <c r="X46" i="16"/>
  <c r="AJ46" i="16"/>
  <c r="O46" i="16"/>
  <c r="A47" i="16"/>
  <c r="L46" i="16"/>
  <c r="AK46" i="16"/>
  <c r="AC46" i="16"/>
  <c r="X42" i="23"/>
  <c r="AB42" i="23"/>
  <c r="A43" i="23"/>
  <c r="L42" i="23"/>
  <c r="K42" i="23"/>
  <c r="AJ42" i="23"/>
  <c r="AK42" i="23"/>
  <c r="O42" i="23"/>
  <c r="AC42" i="23"/>
  <c r="D47" i="1"/>
  <c r="AB48" i="1"/>
  <c r="AK48" i="1"/>
  <c r="K48" i="1"/>
  <c r="X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G45" i="1"/>
  <c r="BW45" i="6" s="1"/>
  <c r="AA45" i="1"/>
  <c r="Z45" i="1" s="1"/>
  <c r="Y45" i="1" s="1"/>
  <c r="I45" i="1"/>
  <c r="B45" i="6" s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BF49" i="1" l="1"/>
  <c r="E47" i="1"/>
  <c r="F47" i="1" s="1"/>
  <c r="L47" i="15"/>
  <c r="AJ47" i="15"/>
  <c r="A48" i="15"/>
  <c r="AK47" i="15"/>
  <c r="K47" i="15"/>
  <c r="X47" i="15"/>
  <c r="AC47" i="15"/>
  <c r="AB47" i="15"/>
  <c r="O47" i="15"/>
  <c r="K47" i="16"/>
  <c r="L47" i="16"/>
  <c r="AJ47" i="16"/>
  <c r="AC47" i="16"/>
  <c r="AB47" i="16"/>
  <c r="A48" i="16"/>
  <c r="X47" i="16"/>
  <c r="AK47" i="16"/>
  <c r="O47" i="16"/>
  <c r="V46" i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D48" i="1"/>
  <c r="E48" i="1" l="1"/>
  <c r="AA47" i="1"/>
  <c r="Z47" i="1" s="1"/>
  <c r="Y47" i="1" s="1"/>
  <c r="BF50" i="1"/>
  <c r="G47" i="1"/>
  <c r="BW47" i="6" s="1"/>
  <c r="I47" i="1"/>
  <c r="B47" i="6" s="1"/>
  <c r="F46" i="1"/>
  <c r="L48" i="15"/>
  <c r="O48" i="15"/>
  <c r="K48" i="15"/>
  <c r="AJ48" i="15"/>
  <c r="A49" i="15"/>
  <c r="AK48" i="15"/>
  <c r="AB48" i="15"/>
  <c r="X48" i="15"/>
  <c r="AC48" i="15"/>
  <c r="K48" i="16"/>
  <c r="X48" i="16"/>
  <c r="AK48" i="16"/>
  <c r="AC48" i="16"/>
  <c r="A49" i="16"/>
  <c r="L48" i="16"/>
  <c r="AB48" i="16"/>
  <c r="AJ48" i="16"/>
  <c r="O48" i="16"/>
  <c r="F48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D49" i="1"/>
  <c r="K43" i="24"/>
  <c r="A44" i="24"/>
  <c r="AB43" i="24"/>
  <c r="X43" i="24"/>
  <c r="L43" i="24"/>
  <c r="AJ43" i="24"/>
  <c r="AK43" i="24"/>
  <c r="O43" i="24"/>
  <c r="AC43" i="24"/>
  <c r="E49" i="1" l="1"/>
  <c r="BF51" i="1"/>
  <c r="AA46" i="1"/>
  <c r="Z46" i="1" s="1"/>
  <c r="Y46" i="1" s="1"/>
  <c r="I46" i="1"/>
  <c r="B46" i="6" s="1"/>
  <c r="G46" i="1"/>
  <c r="BW46" i="6" s="1"/>
  <c r="K49" i="15"/>
  <c r="AB49" i="15"/>
  <c r="O49" i="15"/>
  <c r="A50" i="15"/>
  <c r="AC49" i="15"/>
  <c r="L49" i="15"/>
  <c r="AJ49" i="15"/>
  <c r="X49" i="15"/>
  <c r="AK49" i="15"/>
  <c r="X49" i="16"/>
  <c r="AB49" i="16"/>
  <c r="K49" i="16"/>
  <c r="AK49" i="16"/>
  <c r="O49" i="16"/>
  <c r="A50" i="16"/>
  <c r="AJ49" i="16"/>
  <c r="AC49" i="16"/>
  <c r="L49" i="16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AJ49" i="17"/>
  <c r="AK49" i="17"/>
  <c r="AC49" i="17"/>
  <c r="O49" i="17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G48" i="1"/>
  <c r="BW48" i="6" s="1"/>
  <c r="AA48" i="1"/>
  <c r="Z48" i="1" s="1"/>
  <c r="Y48" i="1" s="1"/>
  <c r="I48" i="1"/>
  <c r="B48" i="6" s="1"/>
  <c r="X48" i="18"/>
  <c r="A49" i="18"/>
  <c r="AB48" i="18"/>
  <c r="L48" i="18"/>
  <c r="K48" i="18"/>
  <c r="AK48" i="18"/>
  <c r="O48" i="18"/>
  <c r="AJ48" i="18"/>
  <c r="AC48" i="18"/>
  <c r="D50" i="1"/>
  <c r="V50" i="1"/>
  <c r="A52" i="1"/>
  <c r="K51" i="1"/>
  <c r="AC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BF52" i="1" l="1"/>
  <c r="E50" i="1"/>
  <c r="AB50" i="15"/>
  <c r="AK50" i="15"/>
  <c r="L50" i="15"/>
  <c r="A51" i="15"/>
  <c r="AC50" i="15"/>
  <c r="K50" i="15"/>
  <c r="O50" i="15"/>
  <c r="X50" i="15"/>
  <c r="AJ50" i="15"/>
  <c r="F50" i="1"/>
  <c r="L50" i="16"/>
  <c r="AB50" i="16"/>
  <c r="A51" i="16"/>
  <c r="AJ50" i="16"/>
  <c r="O50" i="16"/>
  <c r="X50" i="16"/>
  <c r="K50" i="16"/>
  <c r="AK50" i="16"/>
  <c r="AC50" i="16"/>
  <c r="V49" i="1"/>
  <c r="D51" i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BF53" i="1" l="1"/>
  <c r="G50" i="1"/>
  <c r="BW50" i="6" s="1"/>
  <c r="E51" i="1"/>
  <c r="F51" i="1" s="1"/>
  <c r="F49" i="1"/>
  <c r="I50" i="1"/>
  <c r="B50" i="6" s="1"/>
  <c r="AA50" i="1"/>
  <c r="Z50" i="1" s="1"/>
  <c r="Y50" i="1" s="1"/>
  <c r="A52" i="15"/>
  <c r="O51" i="15"/>
  <c r="AB51" i="15"/>
  <c r="AJ51" i="15"/>
  <c r="K51" i="15"/>
  <c r="AK51" i="15"/>
  <c r="L51" i="15"/>
  <c r="X51" i="15"/>
  <c r="AC51" i="15"/>
  <c r="AB51" i="16"/>
  <c r="A52" i="16"/>
  <c r="AJ51" i="16"/>
  <c r="AC51" i="16"/>
  <c r="X51" i="16"/>
  <c r="L51" i="16"/>
  <c r="K51" i="16"/>
  <c r="AK51" i="16"/>
  <c r="O51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K49" i="20"/>
  <c r="A50" i="20"/>
  <c r="X49" i="20"/>
  <c r="L49" i="20"/>
  <c r="AB49" i="20"/>
  <c r="AJ49" i="20"/>
  <c r="AK49" i="20"/>
  <c r="O49" i="20"/>
  <c r="AC49" i="20"/>
  <c r="T52" i="1"/>
  <c r="D52" i="1"/>
  <c r="A47" i="24"/>
  <c r="X46" i="24"/>
  <c r="L46" i="24"/>
  <c r="K46" i="24"/>
  <c r="AB46" i="24"/>
  <c r="AJ46" i="24"/>
  <c r="AK46" i="24"/>
  <c r="O46" i="24"/>
  <c r="AC46" i="24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E52" i="1" l="1"/>
  <c r="BF54" i="1"/>
  <c r="I49" i="1"/>
  <c r="B49" i="6" s="1"/>
  <c r="AA49" i="1"/>
  <c r="Z49" i="1" s="1"/>
  <c r="Y49" i="1" s="1"/>
  <c r="G49" i="1"/>
  <c r="BW49" i="6" s="1"/>
  <c r="A53" i="15"/>
  <c r="O52" i="15"/>
  <c r="K52" i="15"/>
  <c r="AJ52" i="15"/>
  <c r="L52" i="15"/>
  <c r="AK52" i="15"/>
  <c r="AB52" i="15"/>
  <c r="X52" i="15"/>
  <c r="AC52" i="15"/>
  <c r="L52" i="16"/>
  <c r="X52" i="16"/>
  <c r="AK52" i="16"/>
  <c r="AC52" i="16"/>
  <c r="A53" i="16"/>
  <c r="K52" i="16"/>
  <c r="AB52" i="16"/>
  <c r="AJ52" i="16"/>
  <c r="O52" i="16"/>
  <c r="S52" i="1"/>
  <c r="R52" i="1" s="1"/>
  <c r="P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G51" i="1"/>
  <c r="BW51" i="6" s="1"/>
  <c r="I51" i="1"/>
  <c r="B51" i="6" s="1"/>
  <c r="X48" i="23"/>
  <c r="AB48" i="23"/>
  <c r="A49" i="23"/>
  <c r="L48" i="23"/>
  <c r="K48" i="23"/>
  <c r="AJ48" i="23"/>
  <c r="AK48" i="23"/>
  <c r="O48" i="23"/>
  <c r="AC48" i="23"/>
  <c r="K52" i="17"/>
  <c r="L52" i="17"/>
  <c r="AB52" i="17"/>
  <c r="X52" i="17"/>
  <c r="A53" i="17"/>
  <c r="AJ52" i="17"/>
  <c r="AK52" i="17"/>
  <c r="AC52" i="17"/>
  <c r="O52" i="17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X54" i="1"/>
  <c r="AJ54" i="1"/>
  <c r="AB54" i="1"/>
  <c r="U54" i="1"/>
  <c r="T54" i="1" s="1"/>
  <c r="Q54" i="1"/>
  <c r="D53" i="1"/>
  <c r="E53" i="1" l="1"/>
  <c r="F53" i="1" s="1"/>
  <c r="BF55" i="1"/>
  <c r="V52" i="1"/>
  <c r="F52" i="1" s="1"/>
  <c r="K53" i="15"/>
  <c r="O53" i="15"/>
  <c r="A54" i="15"/>
  <c r="AJ53" i="15"/>
  <c r="L53" i="15"/>
  <c r="AK53" i="15"/>
  <c r="AB53" i="15"/>
  <c r="X53" i="15"/>
  <c r="AC53" i="15"/>
  <c r="X53" i="16"/>
  <c r="L53" i="16"/>
  <c r="AB53" i="16"/>
  <c r="AJ53" i="16"/>
  <c r="O53" i="16"/>
  <c r="K53" i="16"/>
  <c r="A54" i="16"/>
  <c r="AK53" i="16"/>
  <c r="AC53" i="16"/>
  <c r="S54" i="1"/>
  <c r="R54" i="1" s="1"/>
  <c r="P54" i="1" s="1"/>
  <c r="V54" i="1" s="1"/>
  <c r="D54" i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A56" i="1"/>
  <c r="K55" i="1"/>
  <c r="X55" i="1"/>
  <c r="AB55" i="1"/>
  <c r="Q55" i="1"/>
  <c r="AJ55" i="1"/>
  <c r="AC55" i="1"/>
  <c r="O55" i="1"/>
  <c r="AK55" i="1"/>
  <c r="U55" i="1"/>
  <c r="T55" i="1" s="1"/>
  <c r="E54" i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G52" i="1" l="1"/>
  <c r="BW52" i="6" s="1"/>
  <c r="BF56" i="1"/>
  <c r="I52" i="1"/>
  <c r="B52" i="6" s="1"/>
  <c r="AA52" i="1"/>
  <c r="Z52" i="1" s="1"/>
  <c r="Y52" i="1" s="1"/>
  <c r="L54" i="15"/>
  <c r="AK54" i="15"/>
  <c r="X54" i="15"/>
  <c r="AJ54" i="15"/>
  <c r="AB54" i="15"/>
  <c r="K54" i="15"/>
  <c r="AC54" i="15"/>
  <c r="A55" i="15"/>
  <c r="O54" i="15"/>
  <c r="AB54" i="16"/>
  <c r="A55" i="16"/>
  <c r="L54" i="16"/>
  <c r="AK54" i="16"/>
  <c r="O54" i="16"/>
  <c r="K54" i="16"/>
  <c r="X54" i="16"/>
  <c r="AJ54" i="16"/>
  <c r="AC54" i="16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F54" i="1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D55" i="1"/>
  <c r="A57" i="1"/>
  <c r="AJ56" i="1"/>
  <c r="K56" i="1"/>
  <c r="Q56" i="1"/>
  <c r="X56" i="1"/>
  <c r="AC56" i="1"/>
  <c r="O56" i="1"/>
  <c r="AB56" i="1"/>
  <c r="AK56" i="1"/>
  <c r="U56" i="1"/>
  <c r="T56" i="1" s="1"/>
  <c r="S56" i="1" s="1"/>
  <c r="R56" i="1" s="1"/>
  <c r="X54" i="17"/>
  <c r="L54" i="17"/>
  <c r="AB54" i="17"/>
  <c r="A55" i="17"/>
  <c r="K54" i="17"/>
  <c r="AJ54" i="17"/>
  <c r="AK54" i="17"/>
  <c r="AC54" i="17"/>
  <c r="O54" i="17"/>
  <c r="G53" i="1"/>
  <c r="BW53" i="6" s="1"/>
  <c r="AA53" i="1"/>
  <c r="Z53" i="1" s="1"/>
  <c r="Y53" i="1" s="1"/>
  <c r="I53" i="1"/>
  <c r="B53" i="6" s="1"/>
  <c r="E55" i="1" l="1"/>
  <c r="F55" i="1" s="1"/>
  <c r="BF57" i="1"/>
  <c r="AB55" i="15"/>
  <c r="K55" i="15"/>
  <c r="AC55" i="15"/>
  <c r="A56" i="15"/>
  <c r="O55" i="15"/>
  <c r="L55" i="15"/>
  <c r="AK55" i="15"/>
  <c r="X55" i="15"/>
  <c r="AJ55" i="15"/>
  <c r="K55" i="16"/>
  <c r="A56" i="16"/>
  <c r="AJ55" i="16"/>
  <c r="AC55" i="16"/>
  <c r="L55" i="16"/>
  <c r="AB55" i="16"/>
  <c r="X55" i="16"/>
  <c r="AK55" i="16"/>
  <c r="O55" i="16"/>
  <c r="D56" i="1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B54" i="6" s="1"/>
  <c r="G54" i="1"/>
  <c r="BW54" i="6" s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P56" i="1"/>
  <c r="V56" i="1" s="1"/>
  <c r="A58" i="1"/>
  <c r="AB57" i="1"/>
  <c r="X57" i="1"/>
  <c r="AC57" i="1"/>
  <c r="Q57" i="1"/>
  <c r="O57" i="1"/>
  <c r="AK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BF58" i="1" l="1"/>
  <c r="E56" i="1"/>
  <c r="F56" i="1" s="1"/>
  <c r="X56" i="15"/>
  <c r="O56" i="15"/>
  <c r="L56" i="15"/>
  <c r="AJ56" i="15"/>
  <c r="AB56" i="15"/>
  <c r="AK56" i="15"/>
  <c r="A57" i="15"/>
  <c r="K56" i="15"/>
  <c r="AC56" i="15"/>
  <c r="K56" i="16"/>
  <c r="L56" i="16"/>
  <c r="A57" i="16"/>
  <c r="AJ56" i="16"/>
  <c r="O56" i="16"/>
  <c r="AB56" i="16"/>
  <c r="X56" i="16"/>
  <c r="AK56" i="16"/>
  <c r="AC56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X52" i="23"/>
  <c r="A53" i="23"/>
  <c r="L52" i="23"/>
  <c r="AB52" i="23"/>
  <c r="K52" i="23"/>
  <c r="AJ52" i="23"/>
  <c r="AK52" i="23"/>
  <c r="O52" i="23"/>
  <c r="AC52" i="23"/>
  <c r="D57" i="1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G55" i="1"/>
  <c r="BW55" i="6" s="1"/>
  <c r="AA55" i="1"/>
  <c r="Z55" i="1" s="1"/>
  <c r="Y55" i="1" s="1"/>
  <c r="I55" i="1"/>
  <c r="B55" i="6" s="1"/>
  <c r="E57" i="1" l="1"/>
  <c r="BF59" i="1"/>
  <c r="AB57" i="15"/>
  <c r="X57" i="15"/>
  <c r="AC57" i="15"/>
  <c r="A58" i="15"/>
  <c r="AK57" i="15"/>
  <c r="L57" i="15"/>
  <c r="AJ57" i="15"/>
  <c r="K57" i="15"/>
  <c r="O57" i="15"/>
  <c r="AC57" i="16"/>
  <c r="A58" i="16"/>
  <c r="L57" i="16"/>
  <c r="K57" i="16"/>
  <c r="AK57" i="16"/>
  <c r="O57" i="16"/>
  <c r="AB57" i="16"/>
  <c r="X57" i="16"/>
  <c r="AJ57" i="16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G56" i="1"/>
  <c r="BW56" i="6" s="1"/>
  <c r="I56" i="1"/>
  <c r="B56" i="6" s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F57" i="1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D58" i="1"/>
  <c r="AK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BF60" i="1" l="1"/>
  <c r="E58" i="1"/>
  <c r="F58" i="1" s="1"/>
  <c r="L58" i="15"/>
  <c r="O58" i="15"/>
  <c r="K58" i="15"/>
  <c r="AJ58" i="15"/>
  <c r="AB58" i="15"/>
  <c r="AK58" i="15"/>
  <c r="A59" i="15"/>
  <c r="X58" i="15"/>
  <c r="AC58" i="15"/>
  <c r="X58" i="16"/>
  <c r="AB58" i="16"/>
  <c r="AK58" i="16"/>
  <c r="AC58" i="16"/>
  <c r="K58" i="16"/>
  <c r="A59" i="16"/>
  <c r="L58" i="16"/>
  <c r="AJ58" i="16"/>
  <c r="O58" i="16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U60" i="1"/>
  <c r="T60" i="1" s="1"/>
  <c r="D59" i="1"/>
  <c r="AB58" i="17"/>
  <c r="A59" i="17"/>
  <c r="X58" i="17"/>
  <c r="K58" i="17"/>
  <c r="L58" i="17"/>
  <c r="AJ58" i="17"/>
  <c r="AK58" i="17"/>
  <c r="AC58" i="17"/>
  <c r="O58" i="17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I57" i="1"/>
  <c r="B57" i="6" s="1"/>
  <c r="G57" i="1"/>
  <c r="BW57" i="6" s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E59" i="1" l="1"/>
  <c r="BF61" i="1"/>
  <c r="A60" i="15"/>
  <c r="AJ59" i="15"/>
  <c r="X59" i="15"/>
  <c r="AK59" i="15"/>
  <c r="K59" i="15"/>
  <c r="AB59" i="15"/>
  <c r="AC59" i="15"/>
  <c r="L59" i="15"/>
  <c r="O59" i="15"/>
  <c r="X59" i="16"/>
  <c r="A60" i="16"/>
  <c r="AJ59" i="16"/>
  <c r="AC59" i="16"/>
  <c r="L59" i="16"/>
  <c r="AB59" i="16"/>
  <c r="O59" i="16"/>
  <c r="K59" i="16"/>
  <c r="AK59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G58" i="1"/>
  <c r="BW58" i="6" s="1"/>
  <c r="AA58" i="1"/>
  <c r="Z58" i="1" s="1"/>
  <c r="Y58" i="1" s="1"/>
  <c r="I58" i="1"/>
  <c r="B58" i="6" s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F59" i="1"/>
  <c r="B21" i="7"/>
  <c r="D60" i="1"/>
  <c r="K57" i="20"/>
  <c r="L57" i="20"/>
  <c r="AB57" i="20"/>
  <c r="A58" i="20"/>
  <c r="X57" i="20"/>
  <c r="AK57" i="20"/>
  <c r="AJ57" i="20"/>
  <c r="O57" i="20"/>
  <c r="AC57" i="20"/>
  <c r="E60" i="1" l="1"/>
  <c r="BF62" i="1"/>
  <c r="K60" i="15"/>
  <c r="L60" i="15"/>
  <c r="AC60" i="15"/>
  <c r="AB60" i="15"/>
  <c r="AJ60" i="15"/>
  <c r="X60" i="15"/>
  <c r="AK60" i="15"/>
  <c r="A33" i="7"/>
  <c r="A61" i="15"/>
  <c r="O60" i="15"/>
  <c r="C33" i="7" s="1"/>
  <c r="A61" i="16"/>
  <c r="A45" i="7"/>
  <c r="X60" i="16"/>
  <c r="AK60" i="16"/>
  <c r="O60" i="16"/>
  <c r="C45" i="7" s="1"/>
  <c r="AC60" i="16"/>
  <c r="K60" i="16"/>
  <c r="AB60" i="16"/>
  <c r="L60" i="16"/>
  <c r="AJ60" i="16"/>
  <c r="D21" i="7"/>
  <c r="V60" i="1"/>
  <c r="AA59" i="1"/>
  <c r="Z59" i="1" s="1"/>
  <c r="Y59" i="1" s="1"/>
  <c r="G59" i="1"/>
  <c r="BW59" i="6" s="1"/>
  <c r="I59" i="1"/>
  <c r="B59" i="6" s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AC62" i="1"/>
  <c r="K62" i="1"/>
  <c r="O62" i="1"/>
  <c r="AK62" i="1"/>
  <c r="Q62" i="1"/>
  <c r="U62" i="1"/>
  <c r="T62" i="1" s="1"/>
  <c r="S62" i="1" s="1"/>
  <c r="R62" i="1" s="1"/>
  <c r="D61" i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E61" i="1" l="1"/>
  <c r="BF63" i="1"/>
  <c r="F60" i="1"/>
  <c r="G60" i="1" s="1"/>
  <c r="BW60" i="6" s="1"/>
  <c r="P62" i="1"/>
  <c r="V62" i="1" s="1"/>
  <c r="B33" i="7"/>
  <c r="L61" i="15"/>
  <c r="A62" i="15"/>
  <c r="O61" i="15"/>
  <c r="X61" i="15"/>
  <c r="AC61" i="15"/>
  <c r="AB61" i="15"/>
  <c r="AK61" i="15"/>
  <c r="K61" i="15"/>
  <c r="AJ61" i="15"/>
  <c r="B45" i="7"/>
  <c r="AB61" i="16"/>
  <c r="K61" i="16"/>
  <c r="AK61" i="16"/>
  <c r="AC61" i="16"/>
  <c r="A62" i="16"/>
  <c r="L61" i="16"/>
  <c r="X61" i="16"/>
  <c r="AJ61" i="16"/>
  <c r="O61" i="16"/>
  <c r="F61" i="1"/>
  <c r="G61" i="1" s="1"/>
  <c r="BW61" i="6" s="1"/>
  <c r="B57" i="7"/>
  <c r="D62" i="1"/>
  <c r="AC63" i="1"/>
  <c r="AK63" i="1"/>
  <c r="Q63" i="1"/>
  <c r="AJ63" i="1"/>
  <c r="O63" i="1"/>
  <c r="K63" i="1"/>
  <c r="AB63" i="1"/>
  <c r="A64" i="1"/>
  <c r="X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BF64" i="1" l="1"/>
  <c r="E62" i="1"/>
  <c r="AA61" i="1"/>
  <c r="Z61" i="1" s="1"/>
  <c r="Y61" i="1" s="1"/>
  <c r="AA60" i="1"/>
  <c r="Z60" i="1" s="1"/>
  <c r="Y60" i="1" s="1"/>
  <c r="I60" i="1"/>
  <c r="B60" i="6" s="1"/>
  <c r="F62" i="1"/>
  <c r="AB62" i="15"/>
  <c r="O62" i="15"/>
  <c r="K62" i="15"/>
  <c r="AJ62" i="15"/>
  <c r="A63" i="15"/>
  <c r="AK62" i="15"/>
  <c r="L62" i="15"/>
  <c r="X62" i="15"/>
  <c r="AC62" i="15"/>
  <c r="I61" i="1"/>
  <c r="B61" i="6" s="1"/>
  <c r="A63" i="16"/>
  <c r="L62" i="16"/>
  <c r="AK62" i="16"/>
  <c r="AC62" i="16"/>
  <c r="X62" i="16"/>
  <c r="AB62" i="16"/>
  <c r="K62" i="16"/>
  <c r="AJ62" i="16"/>
  <c r="O62" i="16"/>
  <c r="G62" i="1"/>
  <c r="BW62" i="6" s="1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X62" i="17"/>
  <c r="K62" i="17"/>
  <c r="AB62" i="17"/>
  <c r="L62" i="17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D63" i="1"/>
  <c r="A65" i="1"/>
  <c r="AK64" i="1"/>
  <c r="K64" i="1"/>
  <c r="O64" i="1"/>
  <c r="X64" i="1"/>
  <c r="AB64" i="1"/>
  <c r="AJ64" i="1"/>
  <c r="AC64" i="1"/>
  <c r="Q64" i="1"/>
  <c r="U64" i="1"/>
  <c r="T64" i="1" s="1"/>
  <c r="BF65" i="1" l="1"/>
  <c r="AA62" i="1"/>
  <c r="Z62" i="1" s="1"/>
  <c r="Y62" i="1" s="1"/>
  <c r="E63" i="1"/>
  <c r="I62" i="1"/>
  <c r="B62" i="6" s="1"/>
  <c r="K63" i="15"/>
  <c r="AJ63" i="15"/>
  <c r="AB63" i="15"/>
  <c r="AK63" i="15"/>
  <c r="A64" i="15"/>
  <c r="L63" i="15"/>
  <c r="AC63" i="15"/>
  <c r="X63" i="15"/>
  <c r="O63" i="15"/>
  <c r="A64" i="16"/>
  <c r="L63" i="16"/>
  <c r="AB63" i="16"/>
  <c r="AK63" i="16"/>
  <c r="O63" i="16"/>
  <c r="K63" i="16"/>
  <c r="X63" i="16"/>
  <c r="AJ63" i="16"/>
  <c r="AC63" i="16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F63" i="1"/>
  <c r="S64" i="1"/>
  <c r="R64" i="1" s="1"/>
  <c r="P64" i="1" s="1"/>
  <c r="V64" i="1" s="1"/>
  <c r="D64" i="1"/>
  <c r="X65" i="1"/>
  <c r="AB65" i="1"/>
  <c r="A66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X63" i="17"/>
  <c r="L63" i="17"/>
  <c r="A64" i="17"/>
  <c r="K63" i="17"/>
  <c r="AB63" i="17"/>
  <c r="AJ63" i="17"/>
  <c r="AK63" i="17"/>
  <c r="O63" i="17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BF66" i="1" l="1"/>
  <c r="E64" i="1"/>
  <c r="L64" i="15"/>
  <c r="O64" i="15"/>
  <c r="X64" i="15"/>
  <c r="AJ64" i="15"/>
  <c r="AB64" i="15"/>
  <c r="AK64" i="15"/>
  <c r="K64" i="15"/>
  <c r="A65" i="15"/>
  <c r="AC64" i="15"/>
  <c r="X64" i="16"/>
  <c r="A65" i="16"/>
  <c r="L64" i="16"/>
  <c r="AK64" i="16"/>
  <c r="O64" i="16"/>
  <c r="AB64" i="16"/>
  <c r="AC64" i="16"/>
  <c r="K64" i="16"/>
  <c r="AJ64" i="16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D65" i="1"/>
  <c r="I63" i="1"/>
  <c r="B63" i="6" s="1"/>
  <c r="AA63" i="1"/>
  <c r="Z63" i="1" s="1"/>
  <c r="Y63" i="1" s="1"/>
  <c r="G63" i="1"/>
  <c r="BW63" i="6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E65" i="1" l="1"/>
  <c r="F65" i="1" s="1"/>
  <c r="I65" i="1" s="1"/>
  <c r="B65" i="6" s="1"/>
  <c r="BF67" i="1"/>
  <c r="F64" i="1"/>
  <c r="AA64" i="1" s="1"/>
  <c r="Z64" i="1" s="1"/>
  <c r="Y64" i="1" s="1"/>
  <c r="P66" i="1"/>
  <c r="V66" i="1" s="1"/>
  <c r="A66" i="15"/>
  <c r="AK65" i="15"/>
  <c r="X65" i="15"/>
  <c r="AB65" i="15"/>
  <c r="O65" i="15"/>
  <c r="L65" i="15"/>
  <c r="AC65" i="15"/>
  <c r="K65" i="15"/>
  <c r="AJ65" i="15"/>
  <c r="AB65" i="16"/>
  <c r="X65" i="16"/>
  <c r="K65" i="16"/>
  <c r="AJ65" i="16"/>
  <c r="O65" i="16"/>
  <c r="A66" i="16"/>
  <c r="L65" i="16"/>
  <c r="AK65" i="16"/>
  <c r="AC65" i="16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AC67" i="1"/>
  <c r="AJ67" i="1"/>
  <c r="AK67" i="1"/>
  <c r="U67" i="1"/>
  <c r="T67" i="1" s="1"/>
  <c r="D66" i="1"/>
  <c r="AB65" i="17"/>
  <c r="A66" i="17"/>
  <c r="X65" i="17"/>
  <c r="K65" i="17"/>
  <c r="L65" i="17"/>
  <c r="AJ65" i="17"/>
  <c r="AK65" i="17"/>
  <c r="AC65" i="17"/>
  <c r="O65" i="17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G64" i="1" l="1"/>
  <c r="BW64" i="6" s="1"/>
  <c r="E66" i="1"/>
  <c r="F66" i="1" s="1"/>
  <c r="BF68" i="1"/>
  <c r="AA65" i="1"/>
  <c r="Z65" i="1" s="1"/>
  <c r="Y65" i="1" s="1"/>
  <c r="I64" i="1"/>
  <c r="B64" i="6" s="1"/>
  <c r="AB66" i="15"/>
  <c r="AJ66" i="15"/>
  <c r="K66" i="15"/>
  <c r="X66" i="15"/>
  <c r="AC66" i="15"/>
  <c r="L66" i="15"/>
  <c r="O66" i="15"/>
  <c r="A67" i="15"/>
  <c r="AK66" i="15"/>
  <c r="G65" i="1"/>
  <c r="BW65" i="6" s="1"/>
  <c r="AB66" i="16"/>
  <c r="X66" i="16"/>
  <c r="AK66" i="16"/>
  <c r="AC66" i="16"/>
  <c r="A67" i="16"/>
  <c r="L66" i="16"/>
  <c r="K66" i="16"/>
  <c r="AJ66" i="16"/>
  <c r="O66" i="16"/>
  <c r="AF57" i="7"/>
  <c r="AB66" i="17"/>
  <c r="A67" i="17"/>
  <c r="K66" i="17"/>
  <c r="L66" i="17"/>
  <c r="X66" i="17"/>
  <c r="AJ66" i="17"/>
  <c r="AK66" i="17"/>
  <c r="O66" i="17"/>
  <c r="AC66" i="17"/>
  <c r="O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S67" i="1"/>
  <c r="R67" i="1" s="1"/>
  <c r="P67" i="1" s="1"/>
  <c r="V67" i="1" s="1"/>
  <c r="D67" i="1"/>
  <c r="K64" i="20"/>
  <c r="X64" i="20"/>
  <c r="AB64" i="20"/>
  <c r="L64" i="20"/>
  <c r="A65" i="20"/>
  <c r="AJ64" i="20"/>
  <c r="AK64" i="20"/>
  <c r="O64" i="20"/>
  <c r="AC64" i="20"/>
  <c r="E67" i="1" l="1"/>
  <c r="F67" i="1" s="1"/>
  <c r="BF69" i="1"/>
  <c r="L67" i="15"/>
  <c r="AJ67" i="15"/>
  <c r="K67" i="15"/>
  <c r="AK67" i="15"/>
  <c r="AB67" i="15"/>
  <c r="X67" i="15"/>
  <c r="O67" i="15"/>
  <c r="A68" i="15"/>
  <c r="AC67" i="15"/>
  <c r="X67" i="16"/>
  <c r="L67" i="16"/>
  <c r="AK67" i="16"/>
  <c r="AC67" i="16"/>
  <c r="AB67" i="16"/>
  <c r="A68" i="16"/>
  <c r="K67" i="16"/>
  <c r="AJ67" i="16"/>
  <c r="O67" i="16"/>
  <c r="K65" i="20"/>
  <c r="AB65" i="20"/>
  <c r="A66" i="20"/>
  <c r="L65" i="20"/>
  <c r="X65" i="20"/>
  <c r="AK65" i="20"/>
  <c r="AJ65" i="20"/>
  <c r="O65" i="20"/>
  <c r="AC65" i="20"/>
  <c r="I66" i="1"/>
  <c r="B66" i="6" s="1"/>
  <c r="G66" i="1"/>
  <c r="BW66" i="6" s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O69" i="1"/>
  <c r="A70" i="1"/>
  <c r="AJ69" i="1"/>
  <c r="AB69" i="1"/>
  <c r="AC69" i="1"/>
  <c r="U69" i="1"/>
  <c r="T69" i="1" s="1"/>
  <c r="D68" i="1"/>
  <c r="X67" i="17"/>
  <c r="AB67" i="17"/>
  <c r="A68" i="17"/>
  <c r="K67" i="17"/>
  <c r="L67" i="17"/>
  <c r="AJ67" i="17"/>
  <c r="AK67" i="17"/>
  <c r="O67" i="17"/>
  <c r="AC67" i="17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BF70" i="1" l="1"/>
  <c r="E68" i="1"/>
  <c r="F68" i="1" s="1"/>
  <c r="A69" i="15"/>
  <c r="K68" i="15"/>
  <c r="AC68" i="15"/>
  <c r="AB68" i="15"/>
  <c r="O68" i="15"/>
  <c r="L68" i="15"/>
  <c r="AK68" i="15"/>
  <c r="X68" i="15"/>
  <c r="AJ68" i="15"/>
  <c r="X68" i="16"/>
  <c r="A69" i="16"/>
  <c r="K68" i="16"/>
  <c r="AK68" i="16"/>
  <c r="O68" i="16"/>
  <c r="L68" i="16"/>
  <c r="AB68" i="16"/>
  <c r="AJ68" i="16"/>
  <c r="AC68" i="16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X70" i="1"/>
  <c r="AJ70" i="1"/>
  <c r="O70" i="1"/>
  <c r="AC70" i="1"/>
  <c r="A71" i="1"/>
  <c r="Q70" i="1"/>
  <c r="U70" i="1"/>
  <c r="T70" i="1" s="1"/>
  <c r="D69" i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B67" i="6" s="1"/>
  <c r="AA67" i="1"/>
  <c r="Z67" i="1" s="1"/>
  <c r="Y67" i="1" s="1"/>
  <c r="G67" i="1"/>
  <c r="BW67" i="6" s="1"/>
  <c r="E69" i="1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BF71" i="1" l="1"/>
  <c r="A70" i="15"/>
  <c r="AC69" i="15"/>
  <c r="L69" i="15"/>
  <c r="AJ69" i="15"/>
  <c r="AB69" i="15"/>
  <c r="AK69" i="15"/>
  <c r="K69" i="15"/>
  <c r="X69" i="15"/>
  <c r="O69" i="15"/>
  <c r="K69" i="16"/>
  <c r="X69" i="16"/>
  <c r="AJ69" i="16"/>
  <c r="AC69" i="16"/>
  <c r="AB69" i="16"/>
  <c r="L69" i="16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AJ69" i="17"/>
  <c r="AK69" i="17"/>
  <c r="O69" i="17"/>
  <c r="AC69" i="17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F69" i="1"/>
  <c r="D70" i="1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G68" i="1"/>
  <c r="BW68" i="6" s="1"/>
  <c r="I68" i="1"/>
  <c r="B68" i="6" s="1"/>
  <c r="BF72" i="1" l="1"/>
  <c r="E70" i="1"/>
  <c r="AB70" i="15"/>
  <c r="AJ70" i="15"/>
  <c r="K70" i="15"/>
  <c r="L70" i="15"/>
  <c r="O70" i="15"/>
  <c r="X70" i="15"/>
  <c r="AC70" i="15"/>
  <c r="A71" i="15"/>
  <c r="AK70" i="15"/>
  <c r="AB70" i="16"/>
  <c r="A71" i="16"/>
  <c r="AK70" i="16"/>
  <c r="AC70" i="16"/>
  <c r="X70" i="16"/>
  <c r="L70" i="16"/>
  <c r="K70" i="16"/>
  <c r="AJ70" i="16"/>
  <c r="O70" i="16"/>
  <c r="I69" i="1"/>
  <c r="B69" i="6" s="1"/>
  <c r="G69" i="1"/>
  <c r="BW69" i="6" s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AK70" i="17"/>
  <c r="AJ70" i="17"/>
  <c r="AC70" i="17"/>
  <c r="O70" i="17"/>
  <c r="S71" i="1"/>
  <c r="R71" i="1" s="1"/>
  <c r="P71" i="1" s="1"/>
  <c r="V71" i="1" s="1"/>
  <c r="AC72" i="1"/>
  <c r="AJ72" i="1"/>
  <c r="A73" i="1"/>
  <c r="O72" i="1"/>
  <c r="Q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F70" i="1"/>
  <c r="AB67" i="22"/>
  <c r="X67" i="22"/>
  <c r="A68" i="22"/>
  <c r="L67" i="22"/>
  <c r="K67" i="22"/>
  <c r="AK67" i="22"/>
  <c r="AJ67" i="22"/>
  <c r="O67" i="22"/>
  <c r="AC67" i="22"/>
  <c r="D71" i="1"/>
  <c r="AB68" i="20"/>
  <c r="A69" i="20"/>
  <c r="K68" i="20"/>
  <c r="X68" i="20"/>
  <c r="L68" i="20"/>
  <c r="AJ68" i="20"/>
  <c r="AK68" i="20"/>
  <c r="O68" i="20"/>
  <c r="AC68" i="20"/>
  <c r="E71" i="1" l="1"/>
  <c r="F71" i="1" s="1"/>
  <c r="I71" i="1" s="1"/>
  <c r="B71" i="6" s="1"/>
  <c r="BF73" i="1"/>
  <c r="L71" i="15"/>
  <c r="AJ71" i="15"/>
  <c r="A72" i="15"/>
  <c r="K71" i="15"/>
  <c r="AC71" i="15"/>
  <c r="AB71" i="15"/>
  <c r="O71" i="15"/>
  <c r="X71" i="15"/>
  <c r="AK71" i="15"/>
  <c r="K71" i="16"/>
  <c r="A72" i="16"/>
  <c r="AK71" i="16"/>
  <c r="AC71" i="16"/>
  <c r="L71" i="16"/>
  <c r="AB71" i="16"/>
  <c r="X71" i="16"/>
  <c r="AJ71" i="16"/>
  <c r="O71" i="16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B70" i="6" s="1"/>
  <c r="G70" i="1"/>
  <c r="BW70" i="6" s="1"/>
  <c r="AB70" i="18"/>
  <c r="K70" i="18"/>
  <c r="AJ70" i="18"/>
  <c r="X70" i="18"/>
  <c r="L70" i="18"/>
  <c r="A71" i="18"/>
  <c r="O70" i="18"/>
  <c r="AK70" i="18"/>
  <c r="AC70" i="18"/>
  <c r="D72" i="1"/>
  <c r="K71" i="17"/>
  <c r="AB71" i="17"/>
  <c r="X71" i="17"/>
  <c r="L71" i="17"/>
  <c r="A72" i="17"/>
  <c r="AJ71" i="17"/>
  <c r="AK71" i="17"/>
  <c r="AC71" i="17"/>
  <c r="O71" i="17"/>
  <c r="E72" i="1" l="1"/>
  <c r="BF74" i="1"/>
  <c r="AA71" i="1"/>
  <c r="Z71" i="1" s="1"/>
  <c r="Y71" i="1" s="1"/>
  <c r="G71" i="1"/>
  <c r="BW71" i="6" s="1"/>
  <c r="K72" i="15"/>
  <c r="AJ72" i="15"/>
  <c r="AB72" i="15"/>
  <c r="AK72" i="15"/>
  <c r="A73" i="15"/>
  <c r="L72" i="15"/>
  <c r="AC72" i="15"/>
  <c r="X72" i="15"/>
  <c r="O72" i="15"/>
  <c r="AB72" i="16"/>
  <c r="X72" i="16"/>
  <c r="AK72" i="16"/>
  <c r="AC72" i="16"/>
  <c r="L72" i="16"/>
  <c r="A73" i="16"/>
  <c r="K72" i="16"/>
  <c r="AJ72" i="16"/>
  <c r="O72" i="16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D73" i="1"/>
  <c r="X74" i="1"/>
  <c r="AC74" i="1"/>
  <c r="AK74" i="1"/>
  <c r="Q74" i="1"/>
  <c r="A75" i="1"/>
  <c r="AB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E73" i="1" l="1"/>
  <c r="F72" i="1"/>
  <c r="G72" i="1" s="1"/>
  <c r="BW72" i="6" s="1"/>
  <c r="BF75" i="1"/>
  <c r="X73" i="15"/>
  <c r="O73" i="15"/>
  <c r="L73" i="15"/>
  <c r="AK73" i="15"/>
  <c r="A74" i="15"/>
  <c r="AJ73" i="15"/>
  <c r="K73" i="15"/>
  <c r="AB73" i="15"/>
  <c r="AC73" i="15"/>
  <c r="A74" i="16"/>
  <c r="K73" i="16"/>
  <c r="X73" i="16"/>
  <c r="AK73" i="16"/>
  <c r="O73" i="16"/>
  <c r="L73" i="16"/>
  <c r="AB73" i="16"/>
  <c r="AJ73" i="16"/>
  <c r="AC73" i="16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S74" i="1"/>
  <c r="R74" i="1" s="1"/>
  <c r="P74" i="1" s="1"/>
  <c r="V74" i="1" s="1"/>
  <c r="D74" i="1"/>
  <c r="K75" i="1"/>
  <c r="A76" i="1"/>
  <c r="AC75" i="1"/>
  <c r="Q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A74" i="17"/>
  <c r="AJ73" i="17"/>
  <c r="AK73" i="17"/>
  <c r="AC73" i="17"/>
  <c r="O73" i="17"/>
  <c r="AA72" i="1" l="1"/>
  <c r="Z72" i="1" s="1"/>
  <c r="Y72" i="1" s="1"/>
  <c r="I72" i="1"/>
  <c r="B72" i="6" s="1"/>
  <c r="E74" i="1"/>
  <c r="F74" i="1" s="1"/>
  <c r="F73" i="1"/>
  <c r="AA73" i="1" s="1"/>
  <c r="Z73" i="1" s="1"/>
  <c r="Y73" i="1" s="1"/>
  <c r="BF76" i="1"/>
  <c r="G73" i="1"/>
  <c r="BW73" i="6" s="1"/>
  <c r="A75" i="15"/>
  <c r="O74" i="15"/>
  <c r="AB74" i="15"/>
  <c r="AJ74" i="15"/>
  <c r="K74" i="15"/>
  <c r="AK74" i="15"/>
  <c r="L74" i="15"/>
  <c r="X74" i="15"/>
  <c r="AC74" i="15"/>
  <c r="AB74" i="16"/>
  <c r="K74" i="16"/>
  <c r="A75" i="16"/>
  <c r="AJ74" i="16"/>
  <c r="O74" i="16"/>
  <c r="X74" i="16"/>
  <c r="L74" i="16"/>
  <c r="AK74" i="16"/>
  <c r="AC74" i="16"/>
  <c r="AB74" i="17"/>
  <c r="A75" i="17"/>
  <c r="L74" i="17"/>
  <c r="X74" i="17"/>
  <c r="K74" i="17"/>
  <c r="AJ74" i="17"/>
  <c r="AK74" i="17"/>
  <c r="AC74" i="17"/>
  <c r="O74" i="17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D75" i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BF77" i="1" l="1"/>
  <c r="E75" i="1"/>
  <c r="I73" i="1"/>
  <c r="B73" i="6" s="1"/>
  <c r="A76" i="15"/>
  <c r="AK75" i="15"/>
  <c r="AB75" i="15"/>
  <c r="X75" i="15"/>
  <c r="AC75" i="15"/>
  <c r="K75" i="15"/>
  <c r="O75" i="15"/>
  <c r="L75" i="15"/>
  <c r="AJ75" i="15"/>
  <c r="A76" i="16"/>
  <c r="L75" i="16"/>
  <c r="AJ75" i="16"/>
  <c r="AC75" i="16"/>
  <c r="K75" i="16"/>
  <c r="AB75" i="16"/>
  <c r="X75" i="16"/>
  <c r="AK75" i="16"/>
  <c r="O75" i="16"/>
  <c r="F75" i="1"/>
  <c r="X69" i="25"/>
  <c r="K69" i="25"/>
  <c r="AB69" i="25"/>
  <c r="L69" i="25"/>
  <c r="A70" i="25"/>
  <c r="AJ69" i="25"/>
  <c r="AK69" i="25"/>
  <c r="O69" i="25"/>
  <c r="AC69" i="25"/>
  <c r="I74" i="1"/>
  <c r="B74" i="6" s="1"/>
  <c r="G74" i="1"/>
  <c r="BW74" i="6" s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D76" i="1"/>
  <c r="AC77" i="1"/>
  <c r="K77" i="1"/>
  <c r="Q77" i="1"/>
  <c r="X77" i="1"/>
  <c r="AB77" i="1"/>
  <c r="AJ77" i="1"/>
  <c r="AK77" i="1"/>
  <c r="A78" i="1"/>
  <c r="O77" i="1"/>
  <c r="U77" i="1"/>
  <c r="T77" i="1" s="1"/>
  <c r="G75" i="1" l="1"/>
  <c r="BW75" i="6" s="1"/>
  <c r="E76" i="1"/>
  <c r="F76" i="1" s="1"/>
  <c r="BF78" i="1"/>
  <c r="I75" i="1"/>
  <c r="B75" i="6" s="1"/>
  <c r="L76" i="15"/>
  <c r="AK76" i="15"/>
  <c r="AB76" i="15"/>
  <c r="AJ76" i="15"/>
  <c r="A77" i="15"/>
  <c r="K76" i="15"/>
  <c r="AC76" i="15"/>
  <c r="X76" i="15"/>
  <c r="O76" i="15"/>
  <c r="AA75" i="1"/>
  <c r="Z75" i="1" s="1"/>
  <c r="Y75" i="1" s="1"/>
  <c r="AB76" i="16"/>
  <c r="X76" i="16"/>
  <c r="AJ76" i="16"/>
  <c r="AC76" i="16"/>
  <c r="K76" i="16"/>
  <c r="L76" i="16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O78" i="1"/>
  <c r="Q78" i="1"/>
  <c r="K78" i="1"/>
  <c r="U78" i="1"/>
  <c r="T78" i="1" s="1"/>
  <c r="AB76" i="17"/>
  <c r="X76" i="17"/>
  <c r="K76" i="17"/>
  <c r="L76" i="17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D77" i="1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X70" i="25"/>
  <c r="A71" i="25"/>
  <c r="K70" i="25"/>
  <c r="L70" i="25"/>
  <c r="AB70" i="25"/>
  <c r="AJ70" i="25"/>
  <c r="O70" i="25"/>
  <c r="AK70" i="25"/>
  <c r="AC70" i="25"/>
  <c r="E77" i="1" l="1"/>
  <c r="BF79" i="1"/>
  <c r="L77" i="15"/>
  <c r="O77" i="15"/>
  <c r="AB77" i="15"/>
  <c r="AJ77" i="15"/>
  <c r="K77" i="15"/>
  <c r="AK77" i="15"/>
  <c r="A78" i="15"/>
  <c r="X77" i="15"/>
  <c r="AC77" i="15"/>
  <c r="K77" i="16"/>
  <c r="X77" i="16"/>
  <c r="AK77" i="16"/>
  <c r="AC77" i="16"/>
  <c r="L77" i="16"/>
  <c r="A78" i="16"/>
  <c r="AB77" i="16"/>
  <c r="AJ77" i="16"/>
  <c r="O77" i="16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F77" i="1"/>
  <c r="AA76" i="1"/>
  <c r="Z76" i="1" s="1"/>
  <c r="Y76" i="1" s="1"/>
  <c r="G76" i="1"/>
  <c r="BW76" i="6" s="1"/>
  <c r="I76" i="1"/>
  <c r="B76" i="6" s="1"/>
  <c r="AB79" i="1"/>
  <c r="O79" i="1"/>
  <c r="AJ79" i="1"/>
  <c r="K79" i="1"/>
  <c r="AC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D78" i="1"/>
  <c r="E78" i="1" l="1"/>
  <c r="BF80" i="1"/>
  <c r="A79" i="15"/>
  <c r="O78" i="15"/>
  <c r="L78" i="15"/>
  <c r="AK78" i="15"/>
  <c r="X78" i="15"/>
  <c r="AJ78" i="15"/>
  <c r="K78" i="15"/>
  <c r="AB78" i="15"/>
  <c r="AC78" i="15"/>
  <c r="L78" i="16"/>
  <c r="A79" i="16"/>
  <c r="AB78" i="16"/>
  <c r="AJ78" i="16"/>
  <c r="O78" i="16"/>
  <c r="X78" i="16"/>
  <c r="K78" i="16"/>
  <c r="AK78" i="16"/>
  <c r="AC78" i="16"/>
  <c r="F78" i="1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O80" i="1"/>
  <c r="AJ80" i="1"/>
  <c r="AK80" i="1"/>
  <c r="AC80" i="1"/>
  <c r="AB80" i="1"/>
  <c r="X80" i="1"/>
  <c r="U80" i="1"/>
  <c r="T80" i="1" s="1"/>
  <c r="D79" i="1"/>
  <c r="AA77" i="1"/>
  <c r="Z77" i="1" s="1"/>
  <c r="Y77" i="1" s="1"/>
  <c r="I77" i="1"/>
  <c r="B77" i="6" s="1"/>
  <c r="G77" i="1"/>
  <c r="BW77" i="6" s="1"/>
  <c r="AB74" i="23"/>
  <c r="L74" i="23"/>
  <c r="A75" i="23"/>
  <c r="K74" i="23"/>
  <c r="X74" i="23"/>
  <c r="AJ74" i="23"/>
  <c r="AK74" i="23"/>
  <c r="O74" i="23"/>
  <c r="AC74" i="23"/>
  <c r="X78" i="17"/>
  <c r="L78" i="17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E79" i="1" l="1"/>
  <c r="F79" i="1" s="1"/>
  <c r="BF81" i="1"/>
  <c r="AB79" i="15"/>
  <c r="AK79" i="15"/>
  <c r="K79" i="15"/>
  <c r="X79" i="15"/>
  <c r="AC79" i="15"/>
  <c r="A80" i="15"/>
  <c r="O79" i="15"/>
  <c r="L79" i="15"/>
  <c r="AJ79" i="15"/>
  <c r="K79" i="16"/>
  <c r="A80" i="16"/>
  <c r="AJ79" i="16"/>
  <c r="AC79" i="16"/>
  <c r="X79" i="16"/>
  <c r="L79" i="16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D80" i="1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G78" i="1"/>
  <c r="BW78" i="6" s="1"/>
  <c r="I78" i="1"/>
  <c r="B78" i="6" s="1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E80" i="1"/>
  <c r="A82" i="1"/>
  <c r="AB81" i="1"/>
  <c r="AJ81" i="1"/>
  <c r="O81" i="1"/>
  <c r="AK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BF82" i="1" l="1"/>
  <c r="AB80" i="15"/>
  <c r="O80" i="15"/>
  <c r="L80" i="15"/>
  <c r="AJ80" i="15"/>
  <c r="K80" i="15"/>
  <c r="AK80" i="15"/>
  <c r="A81" i="15"/>
  <c r="X80" i="15"/>
  <c r="AC80" i="15"/>
  <c r="AB80" i="16"/>
  <c r="A81" i="16"/>
  <c r="X80" i="16"/>
  <c r="AJ80" i="16"/>
  <c r="O80" i="16"/>
  <c r="L80" i="16"/>
  <c r="K80" i="16"/>
  <c r="AK80" i="16"/>
  <c r="AC80" i="16"/>
  <c r="D81" i="1"/>
  <c r="F80" i="1"/>
  <c r="AB78" i="20"/>
  <c r="X78" i="20"/>
  <c r="L78" i="20"/>
  <c r="A79" i="20"/>
  <c r="K78" i="20"/>
  <c r="AJ78" i="20"/>
  <c r="AK78" i="20"/>
  <c r="O78" i="20"/>
  <c r="AC78" i="20"/>
  <c r="G79" i="1"/>
  <c r="BW79" i="6" s="1"/>
  <c r="AA79" i="1"/>
  <c r="Z79" i="1" s="1"/>
  <c r="Y79" i="1" s="1"/>
  <c r="I79" i="1"/>
  <c r="B79" i="6" s="1"/>
  <c r="AB80" i="17"/>
  <c r="K80" i="17"/>
  <c r="X80" i="17"/>
  <c r="A81" i="17"/>
  <c r="L80" i="17"/>
  <c r="AJ80" i="17"/>
  <c r="AK80" i="17"/>
  <c r="AC80" i="17"/>
  <c r="O80" i="17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E81" i="1" l="1"/>
  <c r="BF83" i="1"/>
  <c r="F81" i="1"/>
  <c r="A82" i="15"/>
  <c r="AC81" i="15"/>
  <c r="AB81" i="15"/>
  <c r="AK81" i="15"/>
  <c r="X81" i="15"/>
  <c r="AJ81" i="15"/>
  <c r="L81" i="15"/>
  <c r="K81" i="15"/>
  <c r="O81" i="15"/>
  <c r="L81" i="16"/>
  <c r="AB81" i="16"/>
  <c r="A82" i="16"/>
  <c r="AK81" i="16"/>
  <c r="O81" i="16"/>
  <c r="K81" i="16"/>
  <c r="X81" i="16"/>
  <c r="AJ81" i="16"/>
  <c r="AC81" i="16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O83" i="1"/>
  <c r="K83" i="1"/>
  <c r="U83" i="1"/>
  <c r="T83" i="1" s="1"/>
  <c r="G80" i="1"/>
  <c r="BW80" i="6" s="1"/>
  <c r="I80" i="1"/>
  <c r="B80" i="6" s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D82" i="1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E82" i="1" l="1"/>
  <c r="BF84" i="1"/>
  <c r="G81" i="1"/>
  <c r="BW81" i="6" s="1"/>
  <c r="I81" i="1"/>
  <c r="B81" i="6" s="1"/>
  <c r="AA81" i="1"/>
  <c r="Z81" i="1" s="1"/>
  <c r="Y81" i="1" s="1"/>
  <c r="L82" i="15"/>
  <c r="AK82" i="15"/>
  <c r="X82" i="15"/>
  <c r="K82" i="15"/>
  <c r="AC82" i="15"/>
  <c r="A83" i="15"/>
  <c r="O82" i="15"/>
  <c r="AB82" i="15"/>
  <c r="AJ82" i="15"/>
  <c r="F82" i="1"/>
  <c r="L82" i="16"/>
  <c r="X82" i="16"/>
  <c r="AJ82" i="16"/>
  <c r="AC82" i="16"/>
  <c r="K82" i="16"/>
  <c r="A83" i="16"/>
  <c r="AB82" i="16"/>
  <c r="AK82" i="16"/>
  <c r="O82" i="16"/>
  <c r="A81" i="20"/>
  <c r="L80" i="20"/>
  <c r="AB80" i="20"/>
  <c r="X80" i="20"/>
  <c r="K80" i="20"/>
  <c r="AJ80" i="20"/>
  <c r="AK80" i="20"/>
  <c r="O80" i="20"/>
  <c r="AC80" i="20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D83" i="1"/>
  <c r="X78" i="23"/>
  <c r="AB78" i="23"/>
  <c r="A79" i="23"/>
  <c r="K78" i="23"/>
  <c r="L78" i="23"/>
  <c r="AJ78" i="23"/>
  <c r="AK78" i="23"/>
  <c r="O78" i="23"/>
  <c r="AC78" i="23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BF85" i="1" l="1"/>
  <c r="E83" i="1"/>
  <c r="I82" i="1"/>
  <c r="B82" i="6" s="1"/>
  <c r="AA82" i="1"/>
  <c r="Z82" i="1" s="1"/>
  <c r="Y82" i="1" s="1"/>
  <c r="G82" i="1"/>
  <c r="BW82" i="6" s="1"/>
  <c r="AB83" i="15"/>
  <c r="AK83" i="15"/>
  <c r="A84" i="15"/>
  <c r="X83" i="15"/>
  <c r="AC83" i="15"/>
  <c r="K83" i="15"/>
  <c r="O83" i="15"/>
  <c r="L83" i="15"/>
  <c r="AJ83" i="15"/>
  <c r="AB83" i="16"/>
  <c r="L83" i="16"/>
  <c r="AK83" i="16"/>
  <c r="AC83" i="16"/>
  <c r="A84" i="16"/>
  <c r="K83" i="16"/>
  <c r="X83" i="16"/>
  <c r="AJ83" i="16"/>
  <c r="O83" i="16"/>
  <c r="F83" i="1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D84" i="1"/>
  <c r="K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A84" i="17"/>
  <c r="K83" i="17"/>
  <c r="AB83" i="17"/>
  <c r="AJ83" i="17"/>
  <c r="AK83" i="17"/>
  <c r="AC83" i="17"/>
  <c r="O83" i="17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E84" i="1" l="1"/>
  <c r="F84" i="1" s="1"/>
  <c r="AA83" i="1"/>
  <c r="Z83" i="1" s="1"/>
  <c r="Y83" i="1" s="1"/>
  <c r="BF86" i="1"/>
  <c r="X84" i="15"/>
  <c r="AK84" i="15"/>
  <c r="A85" i="15"/>
  <c r="L84" i="15"/>
  <c r="AC84" i="15"/>
  <c r="K84" i="15"/>
  <c r="O84" i="15"/>
  <c r="AB84" i="15"/>
  <c r="AJ84" i="15"/>
  <c r="G83" i="1"/>
  <c r="BW83" i="6" s="1"/>
  <c r="I83" i="1"/>
  <c r="B83" i="6" s="1"/>
  <c r="L84" i="16"/>
  <c r="X84" i="16"/>
  <c r="AK84" i="16"/>
  <c r="AC84" i="16"/>
  <c r="A85" i="16"/>
  <c r="AB84" i="16"/>
  <c r="K84" i="16"/>
  <c r="AJ84" i="16"/>
  <c r="O84" i="16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AJ84" i="17"/>
  <c r="AK84" i="17"/>
  <c r="AC84" i="17"/>
  <c r="O84" i="17"/>
  <c r="D85" i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G84" i="1" l="1"/>
  <c r="BW84" i="6" s="1"/>
  <c r="BF87" i="1"/>
  <c r="E85" i="1"/>
  <c r="F85" i="1" s="1"/>
  <c r="AA84" i="1"/>
  <c r="Z84" i="1" s="1"/>
  <c r="Y84" i="1" s="1"/>
  <c r="K85" i="15"/>
  <c r="AK85" i="15"/>
  <c r="AB85" i="15"/>
  <c r="A86" i="15"/>
  <c r="O85" i="15"/>
  <c r="L85" i="15"/>
  <c r="AC85" i="15"/>
  <c r="X85" i="15"/>
  <c r="AJ85" i="15"/>
  <c r="I84" i="1"/>
  <c r="B84" i="6" s="1"/>
  <c r="L85" i="16"/>
  <c r="X85" i="16"/>
  <c r="AJ85" i="16"/>
  <c r="AC85" i="16"/>
  <c r="AB85" i="16"/>
  <c r="K85" i="16"/>
  <c r="A86" i="16"/>
  <c r="AK85" i="16"/>
  <c r="O85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X87" i="1"/>
  <c r="K87" i="1"/>
  <c r="AK87" i="1"/>
  <c r="AB87" i="1"/>
  <c r="A88" i="1"/>
  <c r="O87" i="1"/>
  <c r="AJ87" i="1"/>
  <c r="Q87" i="1"/>
  <c r="AC87" i="1"/>
  <c r="U87" i="1"/>
  <c r="T87" i="1" s="1"/>
  <c r="D86" i="1"/>
  <c r="X79" i="25"/>
  <c r="AB79" i="25"/>
  <c r="K79" i="25"/>
  <c r="A80" i="25"/>
  <c r="L79" i="25"/>
  <c r="AJ79" i="25"/>
  <c r="AK79" i="25"/>
  <c r="O79" i="25"/>
  <c r="AC79" i="25"/>
  <c r="A86" i="17"/>
  <c r="K85" i="17"/>
  <c r="AB85" i="17"/>
  <c r="L85" i="17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E86" i="1" l="1"/>
  <c r="F86" i="1" s="1"/>
  <c r="BF88" i="1"/>
  <c r="L86" i="15"/>
  <c r="K86" i="15"/>
  <c r="AC86" i="15"/>
  <c r="AB86" i="15"/>
  <c r="O86" i="15"/>
  <c r="X86" i="15"/>
  <c r="AJ86" i="15"/>
  <c r="A87" i="15"/>
  <c r="AK86" i="15"/>
  <c r="AB86" i="16"/>
  <c r="L86" i="16"/>
  <c r="A87" i="16"/>
  <c r="AK86" i="16"/>
  <c r="O86" i="16"/>
  <c r="K86" i="16"/>
  <c r="X86" i="16"/>
  <c r="AJ86" i="16"/>
  <c r="AC86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G85" i="1"/>
  <c r="BW85" i="6" s="1"/>
  <c r="I85" i="1"/>
  <c r="B85" i="6" s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D87" i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X86" i="17"/>
  <c r="L86" i="17"/>
  <c r="K86" i="17"/>
  <c r="AB86" i="17"/>
  <c r="A87" i="17"/>
  <c r="AJ86" i="17"/>
  <c r="AK86" i="17"/>
  <c r="O86" i="17"/>
  <c r="AC86" i="17"/>
  <c r="AC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G86" i="1" l="1"/>
  <c r="BW86" i="6" s="1"/>
  <c r="BF89" i="1"/>
  <c r="E87" i="1"/>
  <c r="AB87" i="15"/>
  <c r="AK87" i="15"/>
  <c r="A88" i="15"/>
  <c r="K87" i="15"/>
  <c r="AC87" i="15"/>
  <c r="L87" i="15"/>
  <c r="O87" i="15"/>
  <c r="X87" i="15"/>
  <c r="AJ87" i="15"/>
  <c r="AA86" i="1"/>
  <c r="Z86" i="1" s="1"/>
  <c r="Y86" i="1" s="1"/>
  <c r="I86" i="1"/>
  <c r="B86" i="6" s="1"/>
  <c r="K87" i="16"/>
  <c r="L87" i="16"/>
  <c r="AK87" i="16"/>
  <c r="AC87" i="16"/>
  <c r="AB87" i="16"/>
  <c r="A88" i="16"/>
  <c r="X87" i="16"/>
  <c r="AJ87" i="16"/>
  <c r="O87" i="16"/>
  <c r="K89" i="1"/>
  <c r="O89" i="1"/>
  <c r="AK89" i="1"/>
  <c r="AB89" i="1"/>
  <c r="A90" i="1"/>
  <c r="X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F87" i="1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D88" i="1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E88" i="1" l="1"/>
  <c r="BF90" i="1"/>
  <c r="A89" i="15"/>
  <c r="AJ88" i="15"/>
  <c r="L88" i="15"/>
  <c r="X88" i="15"/>
  <c r="AC88" i="15"/>
  <c r="A34" i="7"/>
  <c r="AB88" i="15"/>
  <c r="O88" i="15"/>
  <c r="C34" i="7" s="1"/>
  <c r="K88" i="15"/>
  <c r="AK88" i="15"/>
  <c r="L88" i="16"/>
  <c r="X88" i="16"/>
  <c r="A89" i="16"/>
  <c r="AK88" i="16"/>
  <c r="AC88" i="16"/>
  <c r="K88" i="16"/>
  <c r="A46" i="7"/>
  <c r="AB88" i="16"/>
  <c r="AJ88" i="16"/>
  <c r="O88" i="16"/>
  <c r="C46" i="7" s="1"/>
  <c r="D22" i="7"/>
  <c r="V88" i="1"/>
  <c r="X83" i="24"/>
  <c r="K83" i="24"/>
  <c r="L83" i="24"/>
  <c r="AB83" i="24"/>
  <c r="A84" i="24"/>
  <c r="AJ83" i="24"/>
  <c r="AK83" i="24"/>
  <c r="O83" i="24"/>
  <c r="AC83" i="24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D89" i="1"/>
  <c r="X90" i="1"/>
  <c r="AB90" i="1"/>
  <c r="AC90" i="1"/>
  <c r="K90" i="1"/>
  <c r="O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G87" i="1"/>
  <c r="BW87" i="6" s="1"/>
  <c r="AA87" i="1"/>
  <c r="Z87" i="1" s="1"/>
  <c r="Y87" i="1" s="1"/>
  <c r="I87" i="1"/>
  <c r="B87" i="6" s="1"/>
  <c r="AB87" i="18"/>
  <c r="L87" i="18"/>
  <c r="A88" i="18"/>
  <c r="K87" i="18"/>
  <c r="X87" i="18"/>
  <c r="O87" i="18"/>
  <c r="AJ87" i="18"/>
  <c r="AK87" i="18"/>
  <c r="AC87" i="18"/>
  <c r="BF91" i="1" l="1"/>
  <c r="E89" i="1"/>
  <c r="F88" i="1"/>
  <c r="I88" i="1" s="1"/>
  <c r="B88" i="6" s="1"/>
  <c r="B34" i="7"/>
  <c r="L89" i="15"/>
  <c r="AJ89" i="15"/>
  <c r="X89" i="15"/>
  <c r="AK89" i="15"/>
  <c r="K89" i="15"/>
  <c r="A90" i="15"/>
  <c r="AC89" i="15"/>
  <c r="AB89" i="15"/>
  <c r="O89" i="15"/>
  <c r="F89" i="1"/>
  <c r="X89" i="16"/>
  <c r="K89" i="16"/>
  <c r="AB89" i="16"/>
  <c r="AK89" i="16"/>
  <c r="O89" i="16"/>
  <c r="A90" i="16"/>
  <c r="AJ89" i="16"/>
  <c r="AC89" i="16"/>
  <c r="L89" i="16"/>
  <c r="B46" i="7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Q91" i="1"/>
  <c r="U91" i="1"/>
  <c r="D90" i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X89" i="17"/>
  <c r="A90" i="17"/>
  <c r="L89" i="17"/>
  <c r="AB89" i="17"/>
  <c r="K89" i="17"/>
  <c r="AK89" i="17"/>
  <c r="AJ89" i="17"/>
  <c r="O89" i="17"/>
  <c r="AC89" i="17"/>
  <c r="P90" i="1"/>
  <c r="V90" i="1" s="1"/>
  <c r="E90" i="1"/>
  <c r="A85" i="24"/>
  <c r="L84" i="24"/>
  <c r="K84" i="24"/>
  <c r="AB84" i="24"/>
  <c r="X84" i="24"/>
  <c r="AJ84" i="24"/>
  <c r="AK84" i="24"/>
  <c r="O84" i="24"/>
  <c r="AC84" i="24"/>
  <c r="AA88" i="1" l="1"/>
  <c r="Z88" i="1" s="1"/>
  <c r="Y88" i="1" s="1"/>
  <c r="BF92" i="1"/>
  <c r="I89" i="1"/>
  <c r="B89" i="6" s="1"/>
  <c r="G88" i="1"/>
  <c r="BW88" i="6" s="1"/>
  <c r="G89" i="1"/>
  <c r="BW89" i="6" s="1"/>
  <c r="AA89" i="1"/>
  <c r="Z89" i="1" s="1"/>
  <c r="Y89" i="1" s="1"/>
  <c r="AB90" i="15"/>
  <c r="AK90" i="15"/>
  <c r="A91" i="15"/>
  <c r="X90" i="15"/>
  <c r="AJ90" i="15"/>
  <c r="K90" i="15"/>
  <c r="O90" i="15"/>
  <c r="AC90" i="15"/>
  <c r="L90" i="15"/>
  <c r="F90" i="1"/>
  <c r="K90" i="16"/>
  <c r="AB90" i="16"/>
  <c r="AJ90" i="16"/>
  <c r="AC90" i="16"/>
  <c r="X90" i="16"/>
  <c r="A91" i="16"/>
  <c r="L90" i="16"/>
  <c r="AK90" i="16"/>
  <c r="O90" i="16"/>
  <c r="AA90" i="1"/>
  <c r="Z90" i="1" s="1"/>
  <c r="Y90" i="1" s="1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D91" i="1"/>
  <c r="A93" i="1"/>
  <c r="AC92" i="1"/>
  <c r="AK92" i="1"/>
  <c r="K92" i="1"/>
  <c r="X92" i="1"/>
  <c r="AJ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A91" i="17"/>
  <c r="K90" i="17"/>
  <c r="AB90" i="17"/>
  <c r="L90" i="17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E91" i="1" l="1"/>
  <c r="BF93" i="1"/>
  <c r="I90" i="1"/>
  <c r="B90" i="6" s="1"/>
  <c r="G90" i="1"/>
  <c r="BW90" i="6" s="1"/>
  <c r="K91" i="15"/>
  <c r="AC91" i="15"/>
  <c r="L91" i="15"/>
  <c r="AJ91" i="15"/>
  <c r="X91" i="15"/>
  <c r="AK91" i="15"/>
  <c r="A92" i="15"/>
  <c r="AB91" i="15"/>
  <c r="O91" i="15"/>
  <c r="AB91" i="16"/>
  <c r="K91" i="16"/>
  <c r="L91" i="16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D92" i="1"/>
  <c r="AK93" i="1"/>
  <c r="AC93" i="1"/>
  <c r="Q93" i="1"/>
  <c r="A94" i="1"/>
  <c r="O93" i="1"/>
  <c r="AB93" i="1"/>
  <c r="X93" i="1"/>
  <c r="AJ93" i="1"/>
  <c r="K93" i="1"/>
  <c r="U93" i="1"/>
  <c r="T93" i="1" s="1"/>
  <c r="S91" i="1"/>
  <c r="R91" i="1" s="1"/>
  <c r="P91" i="1" s="1"/>
  <c r="AF22" i="7"/>
  <c r="K85" i="25"/>
  <c r="X85" i="25"/>
  <c r="A86" i="25"/>
  <c r="AB85" i="25"/>
  <c r="L85" i="25"/>
  <c r="AK85" i="25"/>
  <c r="AJ85" i="25"/>
  <c r="O85" i="25"/>
  <c r="AC85" i="25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BF94" i="1" l="1"/>
  <c r="V91" i="1"/>
  <c r="E92" i="1"/>
  <c r="K92" i="15"/>
  <c r="AK92" i="15"/>
  <c r="AB92" i="15"/>
  <c r="A93" i="15"/>
  <c r="AC92" i="15"/>
  <c r="X92" i="15"/>
  <c r="O92" i="15"/>
  <c r="L92" i="15"/>
  <c r="AJ92" i="15"/>
  <c r="X92" i="16"/>
  <c r="L92" i="16"/>
  <c r="A93" i="16"/>
  <c r="AJ92" i="16"/>
  <c r="O92" i="16"/>
  <c r="AB92" i="16"/>
  <c r="K92" i="16"/>
  <c r="AK92" i="16"/>
  <c r="AC92" i="16"/>
  <c r="K89" i="22"/>
  <c r="A90" i="22"/>
  <c r="L89" i="22"/>
  <c r="X89" i="22"/>
  <c r="AB89" i="22"/>
  <c r="AJ89" i="22"/>
  <c r="AK89" i="22"/>
  <c r="O89" i="22"/>
  <c r="AC89" i="22"/>
  <c r="D93" i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A95" i="1"/>
  <c r="AJ94" i="1"/>
  <c r="O94" i="1"/>
  <c r="X94" i="1"/>
  <c r="Q94" i="1"/>
  <c r="AK94" i="1"/>
  <c r="AB94" i="1"/>
  <c r="AC94" i="1"/>
  <c r="K94" i="1"/>
  <c r="U94" i="1"/>
  <c r="T94" i="1" s="1"/>
  <c r="E93" i="1" l="1"/>
  <c r="BF95" i="1"/>
  <c r="F92" i="1"/>
  <c r="G92" i="1" s="1"/>
  <c r="BW92" i="6" s="1"/>
  <c r="F91" i="1"/>
  <c r="AA91" i="1" s="1"/>
  <c r="Z91" i="1" s="1"/>
  <c r="Y91" i="1" s="1"/>
  <c r="F93" i="1"/>
  <c r="K93" i="15"/>
  <c r="O93" i="15"/>
  <c r="AB93" i="15"/>
  <c r="AK93" i="15"/>
  <c r="A94" i="15"/>
  <c r="AJ93" i="15"/>
  <c r="L93" i="15"/>
  <c r="X93" i="15"/>
  <c r="AC93" i="15"/>
  <c r="A94" i="16"/>
  <c r="L93" i="16"/>
  <c r="X93" i="16"/>
  <c r="AK93" i="16"/>
  <c r="O93" i="16"/>
  <c r="K93" i="16"/>
  <c r="AB93" i="16"/>
  <c r="AJ93" i="16"/>
  <c r="AC93" i="16"/>
  <c r="S94" i="1"/>
  <c r="R94" i="1" s="1"/>
  <c r="P94" i="1" s="1"/>
  <c r="V94" i="1" s="1"/>
  <c r="X95" i="1"/>
  <c r="AJ95" i="1"/>
  <c r="K95" i="1"/>
  <c r="AB95" i="1"/>
  <c r="O95" i="1"/>
  <c r="AC95" i="1"/>
  <c r="AK95" i="1"/>
  <c r="A96" i="1"/>
  <c r="Q95" i="1"/>
  <c r="U95" i="1"/>
  <c r="T95" i="1" s="1"/>
  <c r="S95" i="1" s="1"/>
  <c r="R95" i="1" s="1"/>
  <c r="AF46" i="7"/>
  <c r="D94" i="1"/>
  <c r="X87" i="25"/>
  <c r="L87" i="25"/>
  <c r="K87" i="25"/>
  <c r="AB87" i="25"/>
  <c r="A88" i="25"/>
  <c r="AJ87" i="25"/>
  <c r="O87" i="25"/>
  <c r="AK87" i="25"/>
  <c r="AC87" i="25"/>
  <c r="A94" i="17"/>
  <c r="K93" i="17"/>
  <c r="X93" i="17"/>
  <c r="AB93" i="17"/>
  <c r="L93" i="17"/>
  <c r="AJ93" i="17"/>
  <c r="AK93" i="17"/>
  <c r="AC93" i="17"/>
  <c r="O93" i="17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AB90" i="22"/>
  <c r="L90" i="22"/>
  <c r="K90" i="22"/>
  <c r="X90" i="22"/>
  <c r="A91" i="22"/>
  <c r="AK90" i="22"/>
  <c r="AJ90" i="22"/>
  <c r="O90" i="22"/>
  <c r="AC90" i="22"/>
  <c r="I92" i="1" l="1"/>
  <c r="B92" i="6" s="1"/>
  <c r="AA92" i="1"/>
  <c r="Z92" i="1" s="1"/>
  <c r="Y92" i="1" s="1"/>
  <c r="G91" i="1"/>
  <c r="BW91" i="6" s="1"/>
  <c r="I91" i="1"/>
  <c r="B91" i="6" s="1"/>
  <c r="E94" i="1"/>
  <c r="BF96" i="1"/>
  <c r="I93" i="1"/>
  <c r="B93" i="6" s="1"/>
  <c r="AA93" i="1"/>
  <c r="Z93" i="1" s="1"/>
  <c r="Y93" i="1" s="1"/>
  <c r="G93" i="1"/>
  <c r="BW93" i="6" s="1"/>
  <c r="AB94" i="15"/>
  <c r="O94" i="15"/>
  <c r="L94" i="15"/>
  <c r="AK94" i="15"/>
  <c r="K94" i="15"/>
  <c r="AJ94" i="15"/>
  <c r="X94" i="15"/>
  <c r="A95" i="15"/>
  <c r="AC94" i="15"/>
  <c r="X94" i="16"/>
  <c r="A95" i="16"/>
  <c r="K94" i="16"/>
  <c r="O94" i="16"/>
  <c r="L94" i="16"/>
  <c r="AB94" i="16"/>
  <c r="AK94" i="16"/>
  <c r="AC94" i="16"/>
  <c r="AJ94" i="16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AB96" i="1"/>
  <c r="AC96" i="1"/>
  <c r="X96" i="1"/>
  <c r="AK96" i="1"/>
  <c r="K96" i="1"/>
  <c r="AJ96" i="1"/>
  <c r="O96" i="1"/>
  <c r="Q96" i="1"/>
  <c r="U96" i="1"/>
  <c r="T96" i="1" s="1"/>
  <c r="D95" i="1"/>
  <c r="E95" i="1" l="1"/>
  <c r="F95" i="1" s="1"/>
  <c r="BF97" i="1"/>
  <c r="F94" i="1"/>
  <c r="AC95" i="15"/>
  <c r="L95" i="15"/>
  <c r="AJ95" i="15"/>
  <c r="A96" i="15"/>
  <c r="X95" i="15"/>
  <c r="AB95" i="15"/>
  <c r="K95" i="15"/>
  <c r="O95" i="15"/>
  <c r="AK95" i="15"/>
  <c r="AB95" i="16"/>
  <c r="A96" i="16"/>
  <c r="AK95" i="16"/>
  <c r="AC95" i="16"/>
  <c r="L95" i="16"/>
  <c r="K95" i="16"/>
  <c r="X95" i="16"/>
  <c r="AJ95" i="16"/>
  <c r="O95" i="16"/>
  <c r="S96" i="1"/>
  <c r="R96" i="1" s="1"/>
  <c r="P96" i="1" s="1"/>
  <c r="V96" i="1" s="1"/>
  <c r="AK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D96" i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BF98" i="1" l="1"/>
  <c r="E96" i="1"/>
  <c r="F96" i="1" s="1"/>
  <c r="AA96" i="1" s="1"/>
  <c r="Z96" i="1" s="1"/>
  <c r="Y96" i="1" s="1"/>
  <c r="AA94" i="1"/>
  <c r="Z94" i="1" s="1"/>
  <c r="Y94" i="1" s="1"/>
  <c r="I94" i="1"/>
  <c r="B94" i="6" s="1"/>
  <c r="G94" i="1"/>
  <c r="BW94" i="6" s="1"/>
  <c r="K96" i="15"/>
  <c r="A97" i="15"/>
  <c r="AC96" i="15"/>
  <c r="L96" i="15"/>
  <c r="O96" i="15"/>
  <c r="AB96" i="15"/>
  <c r="AJ96" i="15"/>
  <c r="X96" i="15"/>
  <c r="AK96" i="15"/>
  <c r="L96" i="16"/>
  <c r="A97" i="16"/>
  <c r="K96" i="16"/>
  <c r="AK96" i="16"/>
  <c r="O96" i="16"/>
  <c r="AB96" i="16"/>
  <c r="X96" i="16"/>
  <c r="AJ96" i="16"/>
  <c r="AC96" i="16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X96" i="17"/>
  <c r="K96" i="17"/>
  <c r="AJ96" i="17"/>
  <c r="AK96" i="17"/>
  <c r="AC96" i="17"/>
  <c r="O96" i="17"/>
  <c r="D97" i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G95" i="1"/>
  <c r="BW95" i="6" s="1"/>
  <c r="I95" i="1"/>
  <c r="B95" i="6" s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AJ98" i="1"/>
  <c r="X98" i="1"/>
  <c r="AB98" i="1"/>
  <c r="U98" i="1"/>
  <c r="T98" i="1" s="1"/>
  <c r="BF99" i="1" l="1"/>
  <c r="E97" i="1"/>
  <c r="G96" i="1"/>
  <c r="BW96" i="6" s="1"/>
  <c r="I96" i="1"/>
  <c r="B96" i="6" s="1"/>
  <c r="AB97" i="15"/>
  <c r="AJ97" i="15"/>
  <c r="X97" i="15"/>
  <c r="AK97" i="15"/>
  <c r="L97" i="15"/>
  <c r="K97" i="15"/>
  <c r="AC97" i="15"/>
  <c r="A98" i="15"/>
  <c r="O97" i="15"/>
  <c r="K97" i="16"/>
  <c r="A98" i="16"/>
  <c r="AK97" i="16"/>
  <c r="AC97" i="16"/>
  <c r="AB97" i="16"/>
  <c r="L97" i="16"/>
  <c r="X97" i="16"/>
  <c r="AJ97" i="16"/>
  <c r="O97" i="16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D98" i="1"/>
  <c r="K99" i="1"/>
  <c r="Q99" i="1"/>
  <c r="AJ99" i="1"/>
  <c r="AB99" i="1"/>
  <c r="A100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E98" i="1" l="1"/>
  <c r="F98" i="1" s="1"/>
  <c r="AA98" i="1" s="1"/>
  <c r="Z98" i="1" s="1"/>
  <c r="Y98" i="1" s="1"/>
  <c r="F97" i="1"/>
  <c r="G97" i="1" s="1"/>
  <c r="BW97" i="6" s="1"/>
  <c r="BF100" i="1"/>
  <c r="A99" i="15"/>
  <c r="AK98" i="15"/>
  <c r="AB98" i="15"/>
  <c r="AJ98" i="15"/>
  <c r="L98" i="15"/>
  <c r="K98" i="15"/>
  <c r="O98" i="15"/>
  <c r="X98" i="15"/>
  <c r="AC98" i="15"/>
  <c r="A99" i="16"/>
  <c r="L98" i="16"/>
  <c r="AJ98" i="16"/>
  <c r="AC98" i="16"/>
  <c r="X98" i="16"/>
  <c r="K98" i="16"/>
  <c r="AB98" i="16"/>
  <c r="AK98" i="16"/>
  <c r="O98" i="16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D99" i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AB98" i="17"/>
  <c r="K98" i="17"/>
  <c r="X98" i="17"/>
  <c r="A99" i="17"/>
  <c r="L98" i="17"/>
  <c r="AK98" i="17"/>
  <c r="AJ98" i="17"/>
  <c r="AC98" i="17"/>
  <c r="O98" i="17"/>
  <c r="E99" i="1" l="1"/>
  <c r="F99" i="1" s="1"/>
  <c r="G99" i="1" s="1"/>
  <c r="BW99" i="6" s="1"/>
  <c r="BF101" i="1"/>
  <c r="I98" i="1"/>
  <c r="B98" i="6" s="1"/>
  <c r="AA97" i="1"/>
  <c r="Z97" i="1" s="1"/>
  <c r="Y97" i="1" s="1"/>
  <c r="I97" i="1"/>
  <c r="B97" i="6" s="1"/>
  <c r="G98" i="1"/>
  <c r="BW98" i="6" s="1"/>
  <c r="K99" i="15"/>
  <c r="AJ99" i="15"/>
  <c r="L99" i="15"/>
  <c r="AK99" i="15"/>
  <c r="AB99" i="15"/>
  <c r="A100" i="15"/>
  <c r="AC99" i="15"/>
  <c r="X99" i="15"/>
  <c r="O99" i="15"/>
  <c r="A100" i="16"/>
  <c r="L99" i="16"/>
  <c r="X99" i="16"/>
  <c r="AJ99" i="16"/>
  <c r="O99" i="16"/>
  <c r="K99" i="16"/>
  <c r="AB99" i="16"/>
  <c r="AK99" i="16"/>
  <c r="AC99" i="16"/>
  <c r="S100" i="1"/>
  <c r="R100" i="1" s="1"/>
  <c r="P100" i="1" s="1"/>
  <c r="V100" i="1" s="1"/>
  <c r="D100" i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AJ99" i="17"/>
  <c r="AK99" i="17"/>
  <c r="AC99" i="17"/>
  <c r="O99" i="17"/>
  <c r="AB93" i="25"/>
  <c r="A94" i="25"/>
  <c r="X93" i="25"/>
  <c r="L93" i="25"/>
  <c r="K93" i="25"/>
  <c r="AK93" i="25"/>
  <c r="AJ93" i="25"/>
  <c r="O93" i="25"/>
  <c r="AC93" i="25"/>
  <c r="AK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BF102" i="1" l="1"/>
  <c r="E100" i="1"/>
  <c r="F100" i="1" s="1"/>
  <c r="I99" i="1"/>
  <c r="B99" i="6" s="1"/>
  <c r="AA99" i="1"/>
  <c r="Z99" i="1" s="1"/>
  <c r="Y99" i="1" s="1"/>
  <c r="A101" i="15"/>
  <c r="AK100" i="15"/>
  <c r="K100" i="15"/>
  <c r="X100" i="15"/>
  <c r="AC100" i="15"/>
  <c r="L100" i="15"/>
  <c r="O100" i="15"/>
  <c r="AB100" i="15"/>
  <c r="AJ100" i="15"/>
  <c r="L100" i="16"/>
  <c r="X100" i="16"/>
  <c r="K100" i="16"/>
  <c r="AJ100" i="16"/>
  <c r="O100" i="16"/>
  <c r="AB100" i="16"/>
  <c r="A101" i="16"/>
  <c r="AK100" i="16"/>
  <c r="AC100" i="16"/>
  <c r="K98" i="20"/>
  <c r="L98" i="20"/>
  <c r="AB98" i="20"/>
  <c r="A99" i="20"/>
  <c r="X98" i="20"/>
  <c r="AJ98" i="20"/>
  <c r="AK98" i="20"/>
  <c r="O98" i="20"/>
  <c r="AC98" i="20"/>
  <c r="AJ102" i="1"/>
  <c r="AB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D101" i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AB100" i="17"/>
  <c r="A101" i="17"/>
  <c r="AJ100" i="17"/>
  <c r="AK100" i="17"/>
  <c r="AC100" i="17"/>
  <c r="O100" i="17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E101" i="1" l="1"/>
  <c r="BF103" i="1"/>
  <c r="F101" i="1"/>
  <c r="I101" i="1" s="1"/>
  <c r="B101" i="6" s="1"/>
  <c r="P102" i="1"/>
  <c r="V102" i="1" s="1"/>
  <c r="K101" i="15"/>
  <c r="AK101" i="15"/>
  <c r="A102" i="15"/>
  <c r="AJ101" i="15"/>
  <c r="X101" i="15"/>
  <c r="L101" i="15"/>
  <c r="AC101" i="15"/>
  <c r="AB101" i="15"/>
  <c r="O101" i="15"/>
  <c r="L101" i="16"/>
  <c r="AB101" i="16"/>
  <c r="AK101" i="16"/>
  <c r="AC101" i="16"/>
  <c r="A102" i="16"/>
  <c r="K101" i="16"/>
  <c r="X101" i="16"/>
  <c r="AJ101" i="16"/>
  <c r="O101" i="16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D102" i="1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B100" i="6" s="1"/>
  <c r="G100" i="1"/>
  <c r="BW100" i="6" s="1"/>
  <c r="A104" i="1"/>
  <c r="AC103" i="1"/>
  <c r="AK103" i="1"/>
  <c r="AB103" i="1"/>
  <c r="AJ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G101" i="1" l="1"/>
  <c r="BW101" i="6" s="1"/>
  <c r="BF104" i="1"/>
  <c r="E102" i="1"/>
  <c r="F102" i="1" s="1"/>
  <c r="AA101" i="1"/>
  <c r="Z101" i="1" s="1"/>
  <c r="Y101" i="1" s="1"/>
  <c r="AB102" i="15"/>
  <c r="AC102" i="15"/>
  <c r="O102" i="15"/>
  <c r="L102" i="15"/>
  <c r="A103" i="15"/>
  <c r="AK102" i="15"/>
  <c r="X102" i="15"/>
  <c r="K102" i="15"/>
  <c r="AJ102" i="15"/>
  <c r="AB102" i="16"/>
  <c r="X102" i="16"/>
  <c r="AJ102" i="16"/>
  <c r="AC102" i="16"/>
  <c r="K102" i="16"/>
  <c r="L102" i="16"/>
  <c r="A103" i="16"/>
  <c r="AK102" i="16"/>
  <c r="O102" i="16"/>
  <c r="X100" i="20"/>
  <c r="L100" i="20"/>
  <c r="AB100" i="20"/>
  <c r="A101" i="20"/>
  <c r="K100" i="20"/>
  <c r="AJ100" i="20"/>
  <c r="AK100" i="20"/>
  <c r="O100" i="20"/>
  <c r="AC100" i="20"/>
  <c r="D103" i="1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U104" i="1"/>
  <c r="T104" i="1" s="1"/>
  <c r="K97" i="24"/>
  <c r="L97" i="24"/>
  <c r="X97" i="24"/>
  <c r="A98" i="24"/>
  <c r="AB97" i="24"/>
  <c r="AK97" i="24"/>
  <c r="AJ97" i="24"/>
  <c r="O97" i="24"/>
  <c r="AC97" i="24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BF105" i="1" l="1"/>
  <c r="E103" i="1"/>
  <c r="F103" i="1" s="1"/>
  <c r="AB103" i="15"/>
  <c r="K103" i="15"/>
  <c r="AC103" i="15"/>
  <c r="X103" i="15"/>
  <c r="O103" i="15"/>
  <c r="L103" i="15"/>
  <c r="AJ103" i="15"/>
  <c r="A104" i="15"/>
  <c r="AK103" i="15"/>
  <c r="A104" i="16"/>
  <c r="X103" i="16"/>
  <c r="L103" i="16"/>
  <c r="AJ103" i="16"/>
  <c r="O103" i="16"/>
  <c r="AB103" i="16"/>
  <c r="K103" i="16"/>
  <c r="AK103" i="16"/>
  <c r="AC103" i="16"/>
  <c r="AB103" i="17"/>
  <c r="X103" i="17"/>
  <c r="L103" i="17"/>
  <c r="K103" i="17"/>
  <c r="A104" i="17"/>
  <c r="AJ103" i="17"/>
  <c r="AK103" i="17"/>
  <c r="AC103" i="17"/>
  <c r="O103" i="17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G102" i="1"/>
  <c r="BW102" i="6" s="1"/>
  <c r="AA102" i="1"/>
  <c r="Z102" i="1" s="1"/>
  <c r="Y102" i="1" s="1"/>
  <c r="I102" i="1"/>
  <c r="B102" i="6" s="1"/>
  <c r="AB98" i="24"/>
  <c r="L98" i="24"/>
  <c r="A99" i="24"/>
  <c r="X98" i="24"/>
  <c r="K98" i="24"/>
  <c r="AK98" i="24"/>
  <c r="AJ98" i="24"/>
  <c r="O98" i="24"/>
  <c r="AC98" i="24"/>
  <c r="D104" i="1"/>
  <c r="X105" i="1"/>
  <c r="AC105" i="1"/>
  <c r="AJ105" i="1"/>
  <c r="AB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BF106" i="1" l="1"/>
  <c r="E104" i="1"/>
  <c r="AB104" i="15"/>
  <c r="A105" i="15"/>
  <c r="AC104" i="15"/>
  <c r="X104" i="15"/>
  <c r="O104" i="15"/>
  <c r="K104" i="15"/>
  <c r="AK104" i="15"/>
  <c r="L104" i="15"/>
  <c r="AJ104" i="15"/>
  <c r="F104" i="1"/>
  <c r="L104" i="16"/>
  <c r="AB104" i="16"/>
  <c r="AJ104" i="16"/>
  <c r="AC104" i="16"/>
  <c r="K104" i="16"/>
  <c r="X104" i="16"/>
  <c r="A105" i="16"/>
  <c r="AK104" i="16"/>
  <c r="O104" i="16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D105" i="1"/>
  <c r="K104" i="17"/>
  <c r="X104" i="17"/>
  <c r="L104" i="17"/>
  <c r="A105" i="17"/>
  <c r="AB104" i="17"/>
  <c r="AJ104" i="17"/>
  <c r="AK104" i="17"/>
  <c r="O104" i="17"/>
  <c r="AC104" i="17"/>
  <c r="AA103" i="1"/>
  <c r="Z103" i="1" s="1"/>
  <c r="Y103" i="1" s="1"/>
  <c r="G103" i="1"/>
  <c r="BW103" i="6" s="1"/>
  <c r="I103" i="1"/>
  <c r="B103" i="6" s="1"/>
  <c r="E105" i="1" l="1"/>
  <c r="BF107" i="1"/>
  <c r="I104" i="1"/>
  <c r="B104" i="6" s="1"/>
  <c r="G104" i="1"/>
  <c r="BW104" i="6" s="1"/>
  <c r="F105" i="1"/>
  <c r="AA104" i="1"/>
  <c r="Z104" i="1" s="1"/>
  <c r="Y104" i="1" s="1"/>
  <c r="AB105" i="15"/>
  <c r="O105" i="15"/>
  <c r="A106" i="15"/>
  <c r="AJ105" i="15"/>
  <c r="X105" i="15"/>
  <c r="AK105" i="15"/>
  <c r="L105" i="15"/>
  <c r="K105" i="15"/>
  <c r="AC105" i="15"/>
  <c r="AB105" i="16"/>
  <c r="K105" i="16"/>
  <c r="AJ105" i="16"/>
  <c r="AC105" i="16"/>
  <c r="L105" i="16"/>
  <c r="X105" i="16"/>
  <c r="A106" i="16"/>
  <c r="AK105" i="16"/>
  <c r="O105" i="16"/>
  <c r="A106" i="17"/>
  <c r="K105" i="17"/>
  <c r="L105" i="17"/>
  <c r="X105" i="17"/>
  <c r="AB105" i="17"/>
  <c r="AJ105" i="17"/>
  <c r="AK105" i="17"/>
  <c r="AC105" i="17"/>
  <c r="O105" i="17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D106" i="1"/>
  <c r="AK107" i="1"/>
  <c r="AJ107" i="1"/>
  <c r="AB107" i="1"/>
  <c r="AC107" i="1"/>
  <c r="K107" i="1"/>
  <c r="Q107" i="1"/>
  <c r="A108" i="1"/>
  <c r="X107" i="1"/>
  <c r="O107" i="1"/>
  <c r="U107" i="1"/>
  <c r="T107" i="1" s="1"/>
  <c r="S107" i="1" s="1"/>
  <c r="R107" i="1" s="1"/>
  <c r="BF108" i="1" l="1"/>
  <c r="E106" i="1"/>
  <c r="G105" i="1"/>
  <c r="BW105" i="6" s="1"/>
  <c r="I105" i="1"/>
  <c r="B105" i="6" s="1"/>
  <c r="AA105" i="1"/>
  <c r="Z105" i="1" s="1"/>
  <c r="Y105" i="1" s="1"/>
  <c r="P107" i="1"/>
  <c r="V107" i="1" s="1"/>
  <c r="A107" i="15"/>
  <c r="O106" i="15"/>
  <c r="AB106" i="15"/>
  <c r="AC106" i="15"/>
  <c r="L106" i="15"/>
  <c r="K106" i="15"/>
  <c r="X106" i="15"/>
  <c r="AK106" i="15"/>
  <c r="AJ106" i="15"/>
  <c r="F106" i="1"/>
  <c r="AB106" i="16"/>
  <c r="K106" i="16"/>
  <c r="AK106" i="16"/>
  <c r="AC106" i="16"/>
  <c r="X106" i="16"/>
  <c r="L106" i="16"/>
  <c r="A107" i="16"/>
  <c r="AJ106" i="16"/>
  <c r="O106" i="16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K106" i="17"/>
  <c r="X106" i="17"/>
  <c r="AB106" i="17"/>
  <c r="AJ106" i="17"/>
  <c r="AK106" i="17"/>
  <c r="O106" i="17"/>
  <c r="AC106" i="17"/>
  <c r="A109" i="1"/>
  <c r="AJ108" i="1"/>
  <c r="K108" i="1"/>
  <c r="X108" i="1"/>
  <c r="Q108" i="1"/>
  <c r="AK108" i="1"/>
  <c r="AB108" i="1"/>
  <c r="O108" i="1"/>
  <c r="AC108" i="1"/>
  <c r="U108" i="1"/>
  <c r="T108" i="1" s="1"/>
  <c r="D107" i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E107" i="1" l="1"/>
  <c r="G106" i="1"/>
  <c r="BW106" i="6" s="1"/>
  <c r="BF109" i="1"/>
  <c r="I106" i="1"/>
  <c r="B106" i="6" s="1"/>
  <c r="AA106" i="1"/>
  <c r="Z106" i="1" s="1"/>
  <c r="Y106" i="1" s="1"/>
  <c r="K107" i="15"/>
  <c r="AC107" i="15"/>
  <c r="AB107" i="15"/>
  <c r="AJ107" i="15"/>
  <c r="A108" i="15"/>
  <c r="AK107" i="15"/>
  <c r="L107" i="15"/>
  <c r="X107" i="15"/>
  <c r="O107" i="15"/>
  <c r="F107" i="1"/>
  <c r="AB107" i="16"/>
  <c r="L107" i="16"/>
  <c r="K107" i="16"/>
  <c r="AJ107" i="16"/>
  <c r="O107" i="16"/>
  <c r="X107" i="16"/>
  <c r="A108" i="16"/>
  <c r="AK107" i="16"/>
  <c r="AC107" i="16"/>
  <c r="G107" i="1"/>
  <c r="BW107" i="6" s="1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D108" i="1"/>
  <c r="K109" i="1"/>
  <c r="O109" i="1"/>
  <c r="AK109" i="1"/>
  <c r="AJ109" i="1"/>
  <c r="Q109" i="1"/>
  <c r="A110" i="1"/>
  <c r="AC109" i="1"/>
  <c r="X109" i="1"/>
  <c r="AB109" i="1"/>
  <c r="U109" i="1"/>
  <c r="T109" i="1" s="1"/>
  <c r="S109" i="1" s="1"/>
  <c r="R109" i="1" s="1"/>
  <c r="A108" i="17"/>
  <c r="K107" i="17"/>
  <c r="AB107" i="17"/>
  <c r="X107" i="17"/>
  <c r="L107" i="17"/>
  <c r="AJ107" i="17"/>
  <c r="AK107" i="17"/>
  <c r="AC107" i="17"/>
  <c r="O107" i="17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P109" i="1" l="1"/>
  <c r="V109" i="1" s="1"/>
  <c r="BF110" i="1"/>
  <c r="E108" i="1"/>
  <c r="F108" i="1" s="1"/>
  <c r="I107" i="1"/>
  <c r="B107" i="6" s="1"/>
  <c r="AA107" i="1"/>
  <c r="Z107" i="1" s="1"/>
  <c r="Y107" i="1" s="1"/>
  <c r="K108" i="15"/>
  <c r="X108" i="15"/>
  <c r="AC108" i="15"/>
  <c r="AB108" i="15"/>
  <c r="O108" i="15"/>
  <c r="L108" i="15"/>
  <c r="AK108" i="15"/>
  <c r="A109" i="15"/>
  <c r="AJ108" i="15"/>
  <c r="K108" i="16"/>
  <c r="O108" i="16"/>
  <c r="L108" i="16"/>
  <c r="A109" i="16"/>
  <c r="AJ108" i="16"/>
  <c r="AC108" i="16"/>
  <c r="X108" i="16"/>
  <c r="AB108" i="16"/>
  <c r="AK108" i="16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D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X110" i="1"/>
  <c r="AB110" i="1"/>
  <c r="AK110" i="1"/>
  <c r="O110" i="1"/>
  <c r="AJ110" i="1"/>
  <c r="A111" i="1"/>
  <c r="AC110" i="1"/>
  <c r="Q110" i="1"/>
  <c r="U110" i="1"/>
  <c r="T110" i="1" s="1"/>
  <c r="BF111" i="1" l="1"/>
  <c r="E109" i="1"/>
  <c r="AB109" i="15"/>
  <c r="O109" i="15"/>
  <c r="L109" i="15"/>
  <c r="AJ109" i="15"/>
  <c r="X109" i="15"/>
  <c r="AK109" i="15"/>
  <c r="A110" i="15"/>
  <c r="K109" i="15"/>
  <c r="AC109" i="15"/>
  <c r="F109" i="1"/>
  <c r="X109" i="16"/>
  <c r="K109" i="16"/>
  <c r="AB109" i="16"/>
  <c r="AK109" i="16"/>
  <c r="O109" i="16"/>
  <c r="L109" i="16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G108" i="1"/>
  <c r="BW108" i="6" s="1"/>
  <c r="AA108" i="1"/>
  <c r="Z108" i="1" s="1"/>
  <c r="Y108" i="1" s="1"/>
  <c r="I108" i="1"/>
  <c r="B108" i="6" s="1"/>
  <c r="A112" i="1"/>
  <c r="X111" i="1"/>
  <c r="AB111" i="1"/>
  <c r="AJ111" i="1"/>
  <c r="AC111" i="1"/>
  <c r="K111" i="1"/>
  <c r="O111" i="1"/>
  <c r="AK111" i="1"/>
  <c r="Q111" i="1"/>
  <c r="U111" i="1"/>
  <c r="T111" i="1" s="1"/>
  <c r="S111" i="1" s="1"/>
  <c r="R111" i="1" s="1"/>
  <c r="D110" i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E110" i="1" l="1"/>
  <c r="F110" i="1" s="1"/>
  <c r="BF112" i="1"/>
  <c r="G109" i="1"/>
  <c r="BW109" i="6" s="1"/>
  <c r="I109" i="1"/>
  <c r="B109" i="6" s="1"/>
  <c r="AA109" i="1"/>
  <c r="Z109" i="1" s="1"/>
  <c r="Y109" i="1" s="1"/>
  <c r="AB110" i="15"/>
  <c r="A111" i="15"/>
  <c r="O110" i="15"/>
  <c r="K110" i="15"/>
  <c r="AC110" i="15"/>
  <c r="L110" i="15"/>
  <c r="AJ110" i="15"/>
  <c r="X110" i="15"/>
  <c r="AK110" i="15"/>
  <c r="X110" i="16"/>
  <c r="L110" i="16"/>
  <c r="AJ110" i="16"/>
  <c r="AC110" i="16"/>
  <c r="K110" i="16"/>
  <c r="A111" i="16"/>
  <c r="AB110" i="16"/>
  <c r="AK110" i="16"/>
  <c r="O110" i="16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D111" i="1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P111" i="1"/>
  <c r="V111" i="1" s="1"/>
  <c r="X112" i="1"/>
  <c r="AC112" i="1"/>
  <c r="AK112" i="1"/>
  <c r="K112" i="1"/>
  <c r="A113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BF113" i="1" l="1"/>
  <c r="E111" i="1"/>
  <c r="F111" i="1" s="1"/>
  <c r="L111" i="15"/>
  <c r="AK111" i="15"/>
  <c r="AB111" i="15"/>
  <c r="K111" i="15"/>
  <c r="AC111" i="15"/>
  <c r="A112" i="15"/>
  <c r="O111" i="15"/>
  <c r="X111" i="15"/>
  <c r="AJ111" i="15"/>
  <c r="L111" i="16"/>
  <c r="A112" i="16"/>
  <c r="K111" i="16"/>
  <c r="AJ111" i="16"/>
  <c r="O111" i="16"/>
  <c r="X111" i="16"/>
  <c r="AB111" i="16"/>
  <c r="AK111" i="16"/>
  <c r="AC111" i="16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G110" i="1"/>
  <c r="BW110" i="6" s="1"/>
  <c r="I110" i="1"/>
  <c r="B110" i="6" s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2" i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E112" i="1" l="1"/>
  <c r="BF114" i="1"/>
  <c r="G111" i="1"/>
  <c r="BW111" i="6" s="1"/>
  <c r="AA111" i="1"/>
  <c r="Z111" i="1" s="1"/>
  <c r="Y111" i="1" s="1"/>
  <c r="I111" i="1"/>
  <c r="B111" i="6" s="1"/>
  <c r="A113" i="15"/>
  <c r="AJ112" i="15"/>
  <c r="L112" i="15"/>
  <c r="X112" i="15"/>
  <c r="AC112" i="15"/>
  <c r="K112" i="15"/>
  <c r="O112" i="15"/>
  <c r="AB112" i="15"/>
  <c r="AK112" i="15"/>
  <c r="L112" i="16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S112" i="1"/>
  <c r="R112" i="1" s="1"/>
  <c r="P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K112" i="17"/>
  <c r="X112" i="17"/>
  <c r="L112" i="17"/>
  <c r="A113" i="17"/>
  <c r="AB112" i="17"/>
  <c r="AK112" i="17"/>
  <c r="AJ112" i="17"/>
  <c r="O112" i="17"/>
  <c r="AC112" i="17"/>
  <c r="T113" i="1"/>
  <c r="D113" i="1"/>
  <c r="AJ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BF115" i="1" l="1"/>
  <c r="E113" i="1"/>
  <c r="V112" i="1"/>
  <c r="F112" i="1" s="1"/>
  <c r="K113" i="15"/>
  <c r="AJ113" i="15"/>
  <c r="A114" i="15"/>
  <c r="AK113" i="15"/>
  <c r="X113" i="15"/>
  <c r="AB113" i="15"/>
  <c r="O113" i="15"/>
  <c r="L113" i="15"/>
  <c r="AC113" i="15"/>
  <c r="A114" i="16"/>
  <c r="K113" i="16"/>
  <c r="X113" i="16"/>
  <c r="AK113" i="16"/>
  <c r="O113" i="16"/>
  <c r="AB113" i="16"/>
  <c r="L113" i="16"/>
  <c r="AJ113" i="16"/>
  <c r="AC113" i="16"/>
  <c r="AK115" i="1"/>
  <c r="Q115" i="1"/>
  <c r="A116" i="1"/>
  <c r="O115" i="1"/>
  <c r="K115" i="1"/>
  <c r="X115" i="1"/>
  <c r="AC115" i="1"/>
  <c r="AJ115" i="1"/>
  <c r="AB115" i="1"/>
  <c r="U115" i="1"/>
  <c r="T115" i="1" s="1"/>
  <c r="D114" i="1"/>
  <c r="E114" i="1" s="1"/>
  <c r="X113" i="17"/>
  <c r="K113" i="17"/>
  <c r="A114" i="17"/>
  <c r="L113" i="17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S113" i="1"/>
  <c r="R113" i="1" s="1"/>
  <c r="P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I112" i="1" l="1"/>
  <c r="B112" i="6" s="1"/>
  <c r="G112" i="1"/>
  <c r="BW112" i="6" s="1"/>
  <c r="BF116" i="1"/>
  <c r="V113" i="1"/>
  <c r="AA112" i="1"/>
  <c r="Z112" i="1" s="1"/>
  <c r="Y112" i="1" s="1"/>
  <c r="F113" i="1"/>
  <c r="X114" i="15"/>
  <c r="O114" i="15"/>
  <c r="L114" i="15"/>
  <c r="AJ114" i="15"/>
  <c r="A115" i="15"/>
  <c r="AK114" i="15"/>
  <c r="AB114" i="15"/>
  <c r="K114" i="15"/>
  <c r="AC114" i="15"/>
  <c r="X114" i="16"/>
  <c r="A115" i="16"/>
  <c r="AK114" i="16"/>
  <c r="AC114" i="16"/>
  <c r="AB114" i="16"/>
  <c r="L114" i="16"/>
  <c r="K114" i="16"/>
  <c r="AJ114" i="16"/>
  <c r="O114" i="16"/>
  <c r="A112" i="22"/>
  <c r="AB111" i="22"/>
  <c r="K111" i="22"/>
  <c r="L111" i="22"/>
  <c r="X111" i="22"/>
  <c r="AJ111" i="22"/>
  <c r="AK111" i="22"/>
  <c r="O111" i="22"/>
  <c r="AC111" i="22"/>
  <c r="I113" i="1"/>
  <c r="B113" i="6" s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F114" i="1"/>
  <c r="S115" i="1"/>
  <c r="R115" i="1" s="1"/>
  <c r="P115" i="1" s="1"/>
  <c r="V115" i="1" s="1"/>
  <c r="O116" i="1"/>
  <c r="K116" i="1"/>
  <c r="AC116" i="1"/>
  <c r="AK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D115" i="1"/>
  <c r="E115" i="1" l="1"/>
  <c r="F115" i="1" s="1"/>
  <c r="BF117" i="1"/>
  <c r="AA113" i="1"/>
  <c r="Z113" i="1" s="1"/>
  <c r="Y113" i="1" s="1"/>
  <c r="G113" i="1"/>
  <c r="BW113" i="6" s="1"/>
  <c r="AB115" i="15"/>
  <c r="AK115" i="15"/>
  <c r="K115" i="15"/>
  <c r="AJ115" i="15"/>
  <c r="L115" i="15"/>
  <c r="A116" i="15"/>
  <c r="AC115" i="15"/>
  <c r="X115" i="15"/>
  <c r="O115" i="15"/>
  <c r="AB115" i="16"/>
  <c r="L115" i="16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X117" i="1"/>
  <c r="O117" i="1"/>
  <c r="AB117" i="1"/>
  <c r="AJ117" i="1"/>
  <c r="Q117" i="1"/>
  <c r="U117" i="1"/>
  <c r="T117" i="1" s="1"/>
  <c r="G114" i="1"/>
  <c r="BW114" i="6" s="1"/>
  <c r="AA114" i="1"/>
  <c r="Z114" i="1" s="1"/>
  <c r="Y114" i="1" s="1"/>
  <c r="I114" i="1"/>
  <c r="B114" i="6" s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AB110" i="24"/>
  <c r="L110" i="24"/>
  <c r="K110" i="24"/>
  <c r="A111" i="24"/>
  <c r="X110" i="24"/>
  <c r="AJ110" i="24"/>
  <c r="AK110" i="24"/>
  <c r="O110" i="24"/>
  <c r="AC110" i="24"/>
  <c r="P116" i="1"/>
  <c r="V116" i="1" s="1"/>
  <c r="D116" i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BF118" i="1" l="1"/>
  <c r="E116" i="1"/>
  <c r="X116" i="15"/>
  <c r="AK116" i="15"/>
  <c r="L116" i="15"/>
  <c r="AJ116" i="15"/>
  <c r="AB116" i="15"/>
  <c r="K116" i="15"/>
  <c r="AC116" i="15"/>
  <c r="A117" i="15"/>
  <c r="O116" i="15"/>
  <c r="F116" i="1"/>
  <c r="A117" i="16"/>
  <c r="L116" i="16"/>
  <c r="AJ116" i="16"/>
  <c r="AC116" i="16"/>
  <c r="AB116" i="16"/>
  <c r="K116" i="16"/>
  <c r="AK116" i="16"/>
  <c r="O116" i="16"/>
  <c r="X116" i="16"/>
  <c r="A114" i="22"/>
  <c r="L113" i="22"/>
  <c r="X113" i="22"/>
  <c r="K113" i="22"/>
  <c r="AB113" i="22"/>
  <c r="AJ113" i="22"/>
  <c r="AK113" i="22"/>
  <c r="O113" i="22"/>
  <c r="AC113" i="22"/>
  <c r="X116" i="17"/>
  <c r="K116" i="17"/>
  <c r="A117" i="17"/>
  <c r="L116" i="17"/>
  <c r="AB116" i="17"/>
  <c r="AJ116" i="17"/>
  <c r="AK116" i="17"/>
  <c r="O116" i="17"/>
  <c r="AC116" i="17"/>
  <c r="AB111" i="24"/>
  <c r="A112" i="24"/>
  <c r="K111" i="24"/>
  <c r="L111" i="24"/>
  <c r="X111" i="24"/>
  <c r="AJ111" i="24"/>
  <c r="AK111" i="24"/>
  <c r="O111" i="24"/>
  <c r="AC111" i="24"/>
  <c r="G115" i="1"/>
  <c r="BW115" i="6" s="1"/>
  <c r="I115" i="1"/>
  <c r="B115" i="6" s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D117" i="1"/>
  <c r="O118" i="1"/>
  <c r="X118" i="1"/>
  <c r="Q118" i="1"/>
  <c r="AK118" i="1"/>
  <c r="AB118" i="1"/>
  <c r="AJ118" i="1"/>
  <c r="AC118" i="1"/>
  <c r="A119" i="1"/>
  <c r="K118" i="1"/>
  <c r="U118" i="1"/>
  <c r="T118" i="1" s="1"/>
  <c r="S118" i="1" s="1"/>
  <c r="R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P118" i="1" l="1"/>
  <c r="I116" i="1"/>
  <c r="B116" i="6" s="1"/>
  <c r="BF119" i="1"/>
  <c r="E117" i="1"/>
  <c r="F117" i="1" s="1"/>
  <c r="G116" i="1"/>
  <c r="BW116" i="6" s="1"/>
  <c r="AA116" i="1"/>
  <c r="Z116" i="1" s="1"/>
  <c r="Y116" i="1" s="1"/>
  <c r="K117" i="15"/>
  <c r="O117" i="15"/>
  <c r="AB117" i="15"/>
  <c r="AJ117" i="15"/>
  <c r="L117" i="15"/>
  <c r="AK117" i="15"/>
  <c r="X117" i="15"/>
  <c r="A118" i="15"/>
  <c r="AC117" i="15"/>
  <c r="A118" i="16"/>
  <c r="K117" i="16"/>
  <c r="AJ117" i="16"/>
  <c r="AC117" i="16"/>
  <c r="X117" i="16"/>
  <c r="AB117" i="16"/>
  <c r="L117" i="16"/>
  <c r="AK117" i="16"/>
  <c r="O117" i="16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D118" i="1"/>
  <c r="V118" i="1"/>
  <c r="AB119" i="1"/>
  <c r="AJ119" i="1"/>
  <c r="A120" i="1"/>
  <c r="X119" i="1"/>
  <c r="AC119" i="1"/>
  <c r="O119" i="1"/>
  <c r="C23" i="7" s="1"/>
  <c r="K119" i="1"/>
  <c r="Q119" i="1"/>
  <c r="AK119" i="1"/>
  <c r="A23" i="7"/>
  <c r="U119" i="1"/>
  <c r="T119" i="1" s="1"/>
  <c r="S119" i="1" s="1"/>
  <c r="R119" i="1" s="1"/>
  <c r="AB111" i="25"/>
  <c r="X111" i="25"/>
  <c r="A112" i="25"/>
  <c r="K111" i="25"/>
  <c r="L111" i="25"/>
  <c r="AJ111" i="25"/>
  <c r="O111" i="25"/>
  <c r="AK111" i="25"/>
  <c r="AC111" i="25"/>
  <c r="K114" i="22"/>
  <c r="AB114" i="22"/>
  <c r="A115" i="22"/>
  <c r="X114" i="22"/>
  <c r="L114" i="22"/>
  <c r="AK114" i="22"/>
  <c r="AJ114" i="22"/>
  <c r="O114" i="22"/>
  <c r="AC114" i="22"/>
  <c r="P119" i="1" l="1"/>
  <c r="D23" i="7" s="1"/>
  <c r="BF120" i="1"/>
  <c r="E118" i="1"/>
  <c r="I117" i="1"/>
  <c r="B117" i="6" s="1"/>
  <c r="G117" i="1"/>
  <c r="BW117" i="6" s="1"/>
  <c r="AA117" i="1"/>
  <c r="Z117" i="1" s="1"/>
  <c r="Y117" i="1" s="1"/>
  <c r="AB118" i="15"/>
  <c r="AK118" i="15"/>
  <c r="X118" i="15"/>
  <c r="A119" i="15"/>
  <c r="O118" i="15"/>
  <c r="L118" i="15"/>
  <c r="AC118" i="15"/>
  <c r="AJ118" i="15"/>
  <c r="K118" i="15"/>
  <c r="AB118" i="16"/>
  <c r="L118" i="16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D119" i="1"/>
  <c r="B23" i="7"/>
  <c r="V119" i="1"/>
  <c r="AJ120" i="1"/>
  <c r="AC120" i="1"/>
  <c r="K120" i="1"/>
  <c r="O120" i="1"/>
  <c r="A121" i="1"/>
  <c r="AK120" i="1"/>
  <c r="Q120" i="1"/>
  <c r="X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F118" i="1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BF121" i="1" l="1"/>
  <c r="E119" i="1"/>
  <c r="K119" i="15"/>
  <c r="AJ119" i="15"/>
  <c r="A120" i="15"/>
  <c r="L119" i="15"/>
  <c r="O119" i="15"/>
  <c r="C35" i="7" s="1"/>
  <c r="A35" i="7"/>
  <c r="X119" i="15"/>
  <c r="AC119" i="15"/>
  <c r="AB119" i="15"/>
  <c r="AK119" i="15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F119" i="1"/>
  <c r="I118" i="1"/>
  <c r="B118" i="6" s="1"/>
  <c r="AA118" i="1"/>
  <c r="Z118" i="1" s="1"/>
  <c r="Y118" i="1" s="1"/>
  <c r="G118" i="1"/>
  <c r="BW118" i="6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D120" i="1"/>
  <c r="X121" i="1"/>
  <c r="AC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BF122" i="1" l="1"/>
  <c r="E120" i="1"/>
  <c r="F120" i="1" s="1"/>
  <c r="B35" i="7"/>
  <c r="K120" i="15"/>
  <c r="AJ120" i="15"/>
  <c r="A121" i="15"/>
  <c r="AB120" i="15"/>
  <c r="O120" i="15"/>
  <c r="X120" i="15"/>
  <c r="AC120" i="15"/>
  <c r="L120" i="15"/>
  <c r="AK120" i="15"/>
  <c r="A121" i="16"/>
  <c r="AB120" i="16"/>
  <c r="AJ120" i="16"/>
  <c r="AC120" i="16"/>
  <c r="K120" i="16"/>
  <c r="L120" i="16"/>
  <c r="X120" i="16"/>
  <c r="AK120" i="16"/>
  <c r="O120" i="16"/>
  <c r="B47" i="7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D121" i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B119" i="6" s="1"/>
  <c r="AA119" i="1"/>
  <c r="Z119" i="1" s="1"/>
  <c r="Y119" i="1" s="1"/>
  <c r="G119" i="1"/>
  <c r="BW119" i="6" s="1"/>
  <c r="AB115" i="24"/>
  <c r="A116" i="24"/>
  <c r="L115" i="24"/>
  <c r="K115" i="24"/>
  <c r="X115" i="24"/>
  <c r="AJ115" i="24"/>
  <c r="AK115" i="24"/>
  <c r="O115" i="24"/>
  <c r="AC115" i="24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AB120" i="17"/>
  <c r="AJ120" i="17"/>
  <c r="AK120" i="17"/>
  <c r="AC120" i="17"/>
  <c r="O120" i="17"/>
  <c r="B59" i="7"/>
  <c r="BF123" i="1" l="1"/>
  <c r="E121" i="1"/>
  <c r="F121" i="1" s="1"/>
  <c r="I120" i="1"/>
  <c r="B120" i="6" s="1"/>
  <c r="AA120" i="1"/>
  <c r="Z120" i="1" s="1"/>
  <c r="Y120" i="1" s="1"/>
  <c r="A122" i="15"/>
  <c r="O121" i="15"/>
  <c r="X121" i="15"/>
  <c r="AJ121" i="15"/>
  <c r="L121" i="15"/>
  <c r="AK121" i="15"/>
  <c r="K121" i="15"/>
  <c r="AB121" i="15"/>
  <c r="AC121" i="15"/>
  <c r="G120" i="1"/>
  <c r="BW120" i="6" s="1"/>
  <c r="X121" i="16"/>
  <c r="L121" i="16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AC123" i="1"/>
  <c r="A124" i="1"/>
  <c r="O123" i="1"/>
  <c r="AK123" i="1"/>
  <c r="K123" i="1"/>
  <c r="Q123" i="1"/>
  <c r="AJ123" i="1"/>
  <c r="AB123" i="1"/>
  <c r="U123" i="1"/>
  <c r="T123" i="1" s="1"/>
  <c r="D122" i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E122" i="1" l="1"/>
  <c r="BF124" i="1"/>
  <c r="L122" i="15"/>
  <c r="O122" i="15"/>
  <c r="A123" i="15"/>
  <c r="AJ122" i="15"/>
  <c r="AB122" i="15"/>
  <c r="AK122" i="15"/>
  <c r="X122" i="15"/>
  <c r="K122" i="15"/>
  <c r="AC122" i="15"/>
  <c r="L122" i="16"/>
  <c r="X122" i="16"/>
  <c r="AJ122" i="16"/>
  <c r="AC122" i="16"/>
  <c r="AB122" i="16"/>
  <c r="A123" i="16"/>
  <c r="K122" i="16"/>
  <c r="AK122" i="16"/>
  <c r="O122" i="16"/>
  <c r="I121" i="1"/>
  <c r="B121" i="6" s="1"/>
  <c r="G121" i="1"/>
  <c r="BW121" i="6" s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A119" i="23"/>
  <c r="L118" i="23"/>
  <c r="AB118" i="23"/>
  <c r="K118" i="23"/>
  <c r="X118" i="23"/>
  <c r="AJ118" i="23"/>
  <c r="AK118" i="23"/>
  <c r="O118" i="23"/>
  <c r="AC118" i="23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AC124" i="1"/>
  <c r="AJ124" i="1"/>
  <c r="Q124" i="1"/>
  <c r="U124" i="1"/>
  <c r="T124" i="1" s="1"/>
  <c r="D123" i="1"/>
  <c r="L122" i="17"/>
  <c r="AB122" i="17"/>
  <c r="A123" i="17"/>
  <c r="X122" i="17"/>
  <c r="K122" i="17"/>
  <c r="AJ122" i="17"/>
  <c r="AK122" i="17"/>
  <c r="AC122" i="17"/>
  <c r="O122" i="17"/>
  <c r="AB116" i="25"/>
  <c r="K116" i="25"/>
  <c r="X116" i="25"/>
  <c r="A117" i="25"/>
  <c r="L116" i="25"/>
  <c r="AJ116" i="25"/>
  <c r="O116" i="25"/>
  <c r="AK116" i="25"/>
  <c r="AC116" i="25"/>
  <c r="BF125" i="1" l="1"/>
  <c r="E123" i="1"/>
  <c r="F123" i="1" s="1"/>
  <c r="V122" i="1"/>
  <c r="F122" i="1" s="1"/>
  <c r="X123" i="15"/>
  <c r="AK123" i="15"/>
  <c r="A124" i="15"/>
  <c r="AJ123" i="15"/>
  <c r="K123" i="15"/>
  <c r="AB123" i="15"/>
  <c r="O123" i="15"/>
  <c r="L123" i="15"/>
  <c r="AC123" i="15"/>
  <c r="L123" i="16"/>
  <c r="X123" i="16"/>
  <c r="AB123" i="16"/>
  <c r="AJ123" i="16"/>
  <c r="O123" i="16"/>
  <c r="K123" i="16"/>
  <c r="A124" i="16"/>
  <c r="AK123" i="16"/>
  <c r="AC123" i="16"/>
  <c r="S124" i="1"/>
  <c r="R124" i="1" s="1"/>
  <c r="P124" i="1" s="1"/>
  <c r="V124" i="1" s="1"/>
  <c r="D124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AB117" i="25"/>
  <c r="X117" i="25"/>
  <c r="K117" i="25"/>
  <c r="L117" i="25"/>
  <c r="A118" i="25"/>
  <c r="AJ117" i="25"/>
  <c r="O117" i="25"/>
  <c r="AK117" i="25"/>
  <c r="AC117" i="25"/>
  <c r="K123" i="17"/>
  <c r="L123" i="17"/>
  <c r="X123" i="17"/>
  <c r="A124" i="17"/>
  <c r="AB123" i="17"/>
  <c r="AJ123" i="17"/>
  <c r="AK123" i="17"/>
  <c r="O123" i="17"/>
  <c r="AC123" i="17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BF126" i="1" l="1"/>
  <c r="E124" i="1"/>
  <c r="K124" i="15"/>
  <c r="AB124" i="15"/>
  <c r="AC124" i="15"/>
  <c r="X124" i="15"/>
  <c r="O124" i="15"/>
  <c r="A125" i="15"/>
  <c r="AK124" i="15"/>
  <c r="L124" i="15"/>
  <c r="AJ124" i="15"/>
  <c r="X124" i="16"/>
  <c r="AB124" i="16"/>
  <c r="K124" i="16"/>
  <c r="L124" i="16"/>
  <c r="AK124" i="16"/>
  <c r="O124" i="16"/>
  <c r="A125" i="16"/>
  <c r="AJ124" i="16"/>
  <c r="AC124" i="16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B123" i="6" s="1"/>
  <c r="G123" i="1"/>
  <c r="BW123" i="6" s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D125" i="1"/>
  <c r="F124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B122" i="6" s="1"/>
  <c r="G122" i="1"/>
  <c r="BW122" i="6" s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AB126" i="1"/>
  <c r="O126" i="1"/>
  <c r="AJ126" i="1"/>
  <c r="AC126" i="1"/>
  <c r="K126" i="1"/>
  <c r="U126" i="1"/>
  <c r="BF127" i="1" l="1"/>
  <c r="E125" i="1"/>
  <c r="A126" i="15"/>
  <c r="AB125" i="15"/>
  <c r="AC125" i="15"/>
  <c r="X125" i="15"/>
  <c r="O125" i="15"/>
  <c r="L125" i="15"/>
  <c r="AJ125" i="15"/>
  <c r="K125" i="15"/>
  <c r="AK125" i="15"/>
  <c r="A126" i="16"/>
  <c r="L125" i="16"/>
  <c r="AK125" i="16"/>
  <c r="AC125" i="16"/>
  <c r="X125" i="16"/>
  <c r="AB125" i="16"/>
  <c r="K125" i="16"/>
  <c r="AJ125" i="16"/>
  <c r="O125" i="16"/>
  <c r="T126" i="1"/>
  <c r="D126" i="1"/>
  <c r="AJ127" i="1"/>
  <c r="O127" i="1"/>
  <c r="AB127" i="1"/>
  <c r="AC127" i="1"/>
  <c r="A128" i="1"/>
  <c r="K127" i="1"/>
  <c r="X127" i="1"/>
  <c r="AK127" i="1"/>
  <c r="Q127" i="1"/>
  <c r="U127" i="1"/>
  <c r="T127" i="1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B124" i="6" s="1"/>
  <c r="G124" i="1"/>
  <c r="BW124" i="6" s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BF128" i="1" l="1"/>
  <c r="V125" i="1"/>
  <c r="F125" i="1" s="1"/>
  <c r="E126" i="1"/>
  <c r="X126" i="15"/>
  <c r="O126" i="15"/>
  <c r="AB126" i="15"/>
  <c r="AJ126" i="15"/>
  <c r="K126" i="15"/>
  <c r="AK126" i="15"/>
  <c r="L126" i="15"/>
  <c r="A127" i="15"/>
  <c r="AC126" i="15"/>
  <c r="AB126" i="16"/>
  <c r="X126" i="16"/>
  <c r="L126" i="16"/>
  <c r="AK126" i="16"/>
  <c r="AC126" i="16"/>
  <c r="A127" i="16"/>
  <c r="K126" i="16"/>
  <c r="AJ126" i="16"/>
  <c r="O126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D127" i="1"/>
  <c r="AK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S126" i="1"/>
  <c r="R126" i="1" s="1"/>
  <c r="P126" i="1" s="1"/>
  <c r="E127" i="1" l="1"/>
  <c r="F127" i="1" s="1"/>
  <c r="V126" i="1"/>
  <c r="BF129" i="1"/>
  <c r="AB127" i="15"/>
  <c r="AC127" i="15"/>
  <c r="X127" i="15"/>
  <c r="AJ127" i="15"/>
  <c r="L127" i="15"/>
  <c r="AK127" i="15"/>
  <c r="A128" i="15"/>
  <c r="K127" i="15"/>
  <c r="O127" i="15"/>
  <c r="AB127" i="16"/>
  <c r="K127" i="16"/>
  <c r="X127" i="16"/>
  <c r="AK127" i="16"/>
  <c r="O127" i="16"/>
  <c r="L127" i="16"/>
  <c r="A128" i="16"/>
  <c r="AJ127" i="16"/>
  <c r="AC127" i="16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G125" i="1"/>
  <c r="BW125" i="6" s="1"/>
  <c r="I125" i="1"/>
  <c r="B125" i="6" s="1"/>
  <c r="AA125" i="1"/>
  <c r="Z125" i="1" s="1"/>
  <c r="Y125" i="1" s="1"/>
  <c r="D128" i="1"/>
  <c r="V128" i="1"/>
  <c r="E128" i="1" l="1"/>
  <c r="F126" i="1"/>
  <c r="G126" i="1" s="1"/>
  <c r="BW126" i="6" s="1"/>
  <c r="BF130" i="1"/>
  <c r="I127" i="1"/>
  <c r="B127" i="6" s="1"/>
  <c r="AA127" i="1"/>
  <c r="Z127" i="1" s="1"/>
  <c r="Y127" i="1" s="1"/>
  <c r="G127" i="1"/>
  <c r="BW127" i="6" s="1"/>
  <c r="X128" i="15"/>
  <c r="AJ128" i="15"/>
  <c r="K128" i="15"/>
  <c r="AB128" i="15"/>
  <c r="AC128" i="15"/>
  <c r="A129" i="15"/>
  <c r="O128" i="15"/>
  <c r="L128" i="15"/>
  <c r="AK128" i="15"/>
  <c r="X128" i="16"/>
  <c r="L128" i="16"/>
  <c r="K128" i="16"/>
  <c r="AK128" i="16"/>
  <c r="O128" i="16"/>
  <c r="A129" i="16"/>
  <c r="AB128" i="16"/>
  <c r="AJ128" i="16"/>
  <c r="AC128" i="16"/>
  <c r="F128" i="1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S129" i="1"/>
  <c r="R129" i="1" s="1"/>
  <c r="P129" i="1" s="1"/>
  <c r="V129" i="1" s="1"/>
  <c r="D129" i="1"/>
  <c r="A131" i="1"/>
  <c r="AK130" i="1"/>
  <c r="K130" i="1"/>
  <c r="AC130" i="1"/>
  <c r="O130" i="1"/>
  <c r="AJ130" i="1"/>
  <c r="AB130" i="1"/>
  <c r="X130" i="1"/>
  <c r="Q130" i="1"/>
  <c r="U130" i="1"/>
  <c r="T130" i="1" s="1"/>
  <c r="BF131" i="1" l="1"/>
  <c r="E129" i="1"/>
  <c r="AA126" i="1"/>
  <c r="Z126" i="1" s="1"/>
  <c r="Y126" i="1" s="1"/>
  <c r="I126" i="1"/>
  <c r="B126" i="6" s="1"/>
  <c r="L129" i="15"/>
  <c r="X129" i="15"/>
  <c r="AC129" i="15"/>
  <c r="A130" i="15"/>
  <c r="O129" i="15"/>
  <c r="AB129" i="15"/>
  <c r="AJ129" i="15"/>
  <c r="K129" i="15"/>
  <c r="AK129" i="15"/>
  <c r="X129" i="16"/>
  <c r="K129" i="16"/>
  <c r="L129" i="16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AC131" i="1"/>
  <c r="K131" i="1"/>
  <c r="AB131" i="1"/>
  <c r="O131" i="1"/>
  <c r="X131" i="1"/>
  <c r="AJ131" i="1"/>
  <c r="AK131" i="1"/>
  <c r="Q131" i="1"/>
  <c r="U131" i="1"/>
  <c r="T131" i="1" s="1"/>
  <c r="F129" i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B128" i="6" s="1"/>
  <c r="G128" i="1"/>
  <c r="BW128" i="6" s="1"/>
  <c r="D130" i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E130" i="1" l="1"/>
  <c r="BF132" i="1"/>
  <c r="F130" i="1"/>
  <c r="A131" i="15"/>
  <c r="AJ130" i="15"/>
  <c r="K130" i="15"/>
  <c r="X130" i="15"/>
  <c r="AC130" i="15"/>
  <c r="L130" i="15"/>
  <c r="O130" i="15"/>
  <c r="AB130" i="15"/>
  <c r="AK130" i="15"/>
  <c r="A131" i="16"/>
  <c r="AB130" i="16"/>
  <c r="X130" i="16"/>
  <c r="AJ130" i="16"/>
  <c r="O130" i="16"/>
  <c r="L130" i="16"/>
  <c r="K130" i="16"/>
  <c r="AK130" i="16"/>
  <c r="AC130" i="16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S131" i="1"/>
  <c r="R131" i="1" s="1"/>
  <c r="P131" i="1" s="1"/>
  <c r="V131" i="1" s="1"/>
  <c r="K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B129" i="6" s="1"/>
  <c r="G129" i="1"/>
  <c r="BW129" i="6" s="1"/>
  <c r="AA129" i="1"/>
  <c r="Z129" i="1" s="1"/>
  <c r="Y129" i="1" s="1"/>
  <c r="D131" i="1"/>
  <c r="E131" i="1" l="1"/>
  <c r="F131" i="1" s="1"/>
  <c r="BF133" i="1"/>
  <c r="AA130" i="1"/>
  <c r="Z130" i="1" s="1"/>
  <c r="Y130" i="1" s="1"/>
  <c r="G130" i="1"/>
  <c r="BW130" i="6" s="1"/>
  <c r="I130" i="1"/>
  <c r="B130" i="6" s="1"/>
  <c r="X131" i="15"/>
  <c r="O131" i="15"/>
  <c r="L131" i="15"/>
  <c r="AJ131" i="15"/>
  <c r="K131" i="15"/>
  <c r="AK131" i="15"/>
  <c r="A132" i="15"/>
  <c r="AB131" i="15"/>
  <c r="AC131" i="15"/>
  <c r="K131" i="16"/>
  <c r="X131" i="16"/>
  <c r="AJ131" i="16"/>
  <c r="AC131" i="16"/>
  <c r="L131" i="16"/>
  <c r="AB131" i="16"/>
  <c r="A132" i="16"/>
  <c r="AK131" i="16"/>
  <c r="O131" i="16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D132" i="1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BF134" i="1" l="1"/>
  <c r="E132" i="1"/>
  <c r="K132" i="15"/>
  <c r="O132" i="15"/>
  <c r="AB132" i="15"/>
  <c r="AJ132" i="15"/>
  <c r="A133" i="15"/>
  <c r="AK132" i="15"/>
  <c r="X132" i="15"/>
  <c r="L132" i="15"/>
  <c r="AC132" i="15"/>
  <c r="A133" i="16"/>
  <c r="L132" i="16"/>
  <c r="K132" i="16"/>
  <c r="AK132" i="16"/>
  <c r="O132" i="16"/>
  <c r="X132" i="16"/>
  <c r="AB132" i="16"/>
  <c r="AJ132" i="16"/>
  <c r="AC132" i="16"/>
  <c r="S133" i="1"/>
  <c r="R133" i="1" s="1"/>
  <c r="P133" i="1" s="1"/>
  <c r="V133" i="1" s="1"/>
  <c r="D133" i="1"/>
  <c r="S132" i="1"/>
  <c r="R132" i="1" s="1"/>
  <c r="P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B131" i="6" s="1"/>
  <c r="G131" i="1"/>
  <c r="BW131" i="6" s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A130" i="22"/>
  <c r="AB129" i="22"/>
  <c r="L129" i="22"/>
  <c r="K129" i="22"/>
  <c r="X129" i="22"/>
  <c r="AK129" i="22"/>
  <c r="AJ129" i="22"/>
  <c r="O129" i="22"/>
  <c r="AC129" i="22"/>
  <c r="BF135" i="1" l="1"/>
  <c r="V132" i="1"/>
  <c r="F132" i="1" s="1"/>
  <c r="E133" i="1"/>
  <c r="A134" i="15"/>
  <c r="K133" i="15"/>
  <c r="AB133" i="15"/>
  <c r="AC133" i="15"/>
  <c r="AK133" i="15"/>
  <c r="O133" i="15"/>
  <c r="L133" i="15"/>
  <c r="AJ133" i="15"/>
  <c r="X133" i="15"/>
  <c r="AB133" i="16"/>
  <c r="K133" i="16"/>
  <c r="X133" i="16"/>
  <c r="AJ133" i="16"/>
  <c r="O133" i="16"/>
  <c r="A134" i="16"/>
  <c r="L133" i="16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K135" i="1"/>
  <c r="O135" i="1"/>
  <c r="AJ135" i="1"/>
  <c r="U135" i="1"/>
  <c r="T135" i="1" s="1"/>
  <c r="D134" i="1"/>
  <c r="K132" i="18"/>
  <c r="L132" i="18"/>
  <c r="AB132" i="18"/>
  <c r="X132" i="18"/>
  <c r="A133" i="18"/>
  <c r="O132" i="18"/>
  <c r="AJ132" i="18"/>
  <c r="AK132" i="18"/>
  <c r="AC132" i="18"/>
  <c r="F133" i="1"/>
  <c r="E134" i="1" l="1"/>
  <c r="F134" i="1" s="1"/>
  <c r="I134" i="1" s="1"/>
  <c r="B134" i="6" s="1"/>
  <c r="BF136" i="1"/>
  <c r="K134" i="15"/>
  <c r="L134" i="15"/>
  <c r="O134" i="15"/>
  <c r="A135" i="15"/>
  <c r="AC134" i="15"/>
  <c r="AB134" i="15"/>
  <c r="AJ134" i="15"/>
  <c r="X134" i="15"/>
  <c r="AK134" i="15"/>
  <c r="A135" i="16"/>
  <c r="K134" i="16"/>
  <c r="AB134" i="16"/>
  <c r="AK134" i="16"/>
  <c r="O134" i="16"/>
  <c r="X134" i="16"/>
  <c r="L134" i="16"/>
  <c r="AJ134" i="16"/>
  <c r="AC134" i="16"/>
  <c r="I132" i="1"/>
  <c r="B132" i="6" s="1"/>
  <c r="G132" i="1"/>
  <c r="BW132" i="6" s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B133" i="6" s="1"/>
  <c r="G133" i="1"/>
  <c r="BW133" i="6" s="1"/>
  <c r="S135" i="1"/>
  <c r="R135" i="1" s="1"/>
  <c r="P135" i="1" s="1"/>
  <c r="V135" i="1" s="1"/>
  <c r="D135" i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E135" i="1" l="1"/>
  <c r="BF137" i="1"/>
  <c r="AA134" i="1"/>
  <c r="Z134" i="1" s="1"/>
  <c r="Y134" i="1" s="1"/>
  <c r="G134" i="1"/>
  <c r="BW134" i="6" s="1"/>
  <c r="L135" i="15"/>
  <c r="A136" i="15"/>
  <c r="X135" i="15"/>
  <c r="AC135" i="15"/>
  <c r="AJ135" i="15"/>
  <c r="O135" i="15"/>
  <c r="AB135" i="15"/>
  <c r="AK135" i="15"/>
  <c r="K135" i="15"/>
  <c r="X135" i="16"/>
  <c r="L135" i="16"/>
  <c r="AK135" i="16"/>
  <c r="AC135" i="16"/>
  <c r="AB135" i="16"/>
  <c r="K135" i="16"/>
  <c r="A136" i="16"/>
  <c r="AJ135" i="16"/>
  <c r="O135" i="16"/>
  <c r="F135" i="1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D136" i="1"/>
  <c r="AK137" i="1"/>
  <c r="K137" i="1"/>
  <c r="Q137" i="1"/>
  <c r="O137" i="1"/>
  <c r="AC137" i="1"/>
  <c r="X137" i="1"/>
  <c r="AB137" i="1"/>
  <c r="A138" i="1"/>
  <c r="AJ137" i="1"/>
  <c r="U137" i="1"/>
  <c r="T137" i="1" s="1"/>
  <c r="S137" i="1" s="1"/>
  <c r="R137" i="1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P137" i="1" l="1"/>
  <c r="BF138" i="1"/>
  <c r="E136" i="1"/>
  <c r="F136" i="1" s="1"/>
  <c r="L136" i="15"/>
  <c r="AB136" i="15"/>
  <c r="AC136" i="15"/>
  <c r="A137" i="15"/>
  <c r="O136" i="15"/>
  <c r="X136" i="15"/>
  <c r="AK136" i="15"/>
  <c r="K136" i="15"/>
  <c r="AJ136" i="15"/>
  <c r="X136" i="16"/>
  <c r="A137" i="16"/>
  <c r="L136" i="16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K138" i="1"/>
  <c r="AJ138" i="1"/>
  <c r="AK138" i="1"/>
  <c r="AB138" i="1"/>
  <c r="X138" i="1"/>
  <c r="O138" i="1"/>
  <c r="Q138" i="1"/>
  <c r="AC138" i="1"/>
  <c r="U138" i="1"/>
  <c r="T138" i="1" s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D137" i="1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I135" i="1"/>
  <c r="B135" i="6" s="1"/>
  <c r="AA135" i="1"/>
  <c r="Z135" i="1" s="1"/>
  <c r="Y135" i="1" s="1"/>
  <c r="G135" i="1"/>
  <c r="BW135" i="6" s="1"/>
  <c r="BF139" i="1" l="1"/>
  <c r="E137" i="1"/>
  <c r="F137" i="1" s="1"/>
  <c r="K137" i="15"/>
  <c r="A138" i="15"/>
  <c r="O137" i="15"/>
  <c r="AB137" i="15"/>
  <c r="AC137" i="15"/>
  <c r="L137" i="15"/>
  <c r="AJ137" i="15"/>
  <c r="X137" i="15"/>
  <c r="AK137" i="15"/>
  <c r="AB137" i="16"/>
  <c r="K137" i="16"/>
  <c r="AJ137" i="16"/>
  <c r="AC137" i="16"/>
  <c r="X137" i="16"/>
  <c r="L137" i="16"/>
  <c r="A138" i="16"/>
  <c r="AK137" i="16"/>
  <c r="O137" i="16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D138" i="1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AB132" i="24"/>
  <c r="A133" i="24"/>
  <c r="X132" i="24"/>
  <c r="K132" i="24"/>
  <c r="L132" i="24"/>
  <c r="AJ132" i="24"/>
  <c r="AK132" i="24"/>
  <c r="O132" i="24"/>
  <c r="AC132" i="24"/>
  <c r="I136" i="1"/>
  <c r="B136" i="6" s="1"/>
  <c r="AA136" i="1"/>
  <c r="Z136" i="1" s="1"/>
  <c r="Y136" i="1" s="1"/>
  <c r="G136" i="1"/>
  <c r="BW136" i="6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BF140" i="1" l="1"/>
  <c r="AA137" i="1"/>
  <c r="Z137" i="1" s="1"/>
  <c r="Y137" i="1" s="1"/>
  <c r="E138" i="1"/>
  <c r="F138" i="1" s="1"/>
  <c r="G137" i="1"/>
  <c r="BW137" i="6" s="1"/>
  <c r="K138" i="15"/>
  <c r="AC138" i="15"/>
  <c r="L138" i="15"/>
  <c r="AJ138" i="15"/>
  <c r="AB138" i="15"/>
  <c r="AK138" i="15"/>
  <c r="X138" i="15"/>
  <c r="A139" i="15"/>
  <c r="O138" i="15"/>
  <c r="I137" i="1"/>
  <c r="B137" i="6" s="1"/>
  <c r="A139" i="16"/>
  <c r="L138" i="16"/>
  <c r="K138" i="16"/>
  <c r="AK138" i="16"/>
  <c r="O138" i="16"/>
  <c r="X138" i="16"/>
  <c r="AB138" i="16"/>
  <c r="AJ138" i="16"/>
  <c r="AC138" i="16"/>
  <c r="A134" i="24"/>
  <c r="K133" i="24"/>
  <c r="X133" i="24"/>
  <c r="L133" i="24"/>
  <c r="AB133" i="24"/>
  <c r="AK133" i="24"/>
  <c r="O133" i="24"/>
  <c r="AJ133" i="24"/>
  <c r="AC133" i="24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D139" i="1"/>
  <c r="AK140" i="1"/>
  <c r="K140" i="1"/>
  <c r="A141" i="1"/>
  <c r="O140" i="1"/>
  <c r="AJ140" i="1"/>
  <c r="X140" i="1"/>
  <c r="Q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I138" i="1" l="1"/>
  <c r="B138" i="6" s="1"/>
  <c r="BF141" i="1"/>
  <c r="E139" i="1"/>
  <c r="F139" i="1" s="1"/>
  <c r="AA138" i="1"/>
  <c r="Z138" i="1" s="1"/>
  <c r="Y138" i="1" s="1"/>
  <c r="G138" i="1"/>
  <c r="BW138" i="6" s="1"/>
  <c r="AB139" i="15"/>
  <c r="AK139" i="15"/>
  <c r="X139" i="15"/>
  <c r="L139" i="15"/>
  <c r="AC139" i="15"/>
  <c r="A140" i="15"/>
  <c r="O139" i="15"/>
  <c r="K139" i="15"/>
  <c r="AJ139" i="15"/>
  <c r="A140" i="16"/>
  <c r="AB139" i="16"/>
  <c r="AJ139" i="16"/>
  <c r="AC139" i="16"/>
  <c r="K139" i="16"/>
  <c r="L139" i="16"/>
  <c r="X139" i="16"/>
  <c r="AK139" i="16"/>
  <c r="O139" i="16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D140" i="1"/>
  <c r="A138" i="20"/>
  <c r="K137" i="20"/>
  <c r="AB137" i="20"/>
  <c r="L137" i="20"/>
  <c r="X137" i="20"/>
  <c r="AJ137" i="20"/>
  <c r="AK137" i="20"/>
  <c r="O137" i="20"/>
  <c r="AC137" i="20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S140" i="1"/>
  <c r="R140" i="1" s="1"/>
  <c r="P140" i="1" s="1"/>
  <c r="V140" i="1" s="1"/>
  <c r="A142" i="1"/>
  <c r="O141" i="1"/>
  <c r="AB141" i="1"/>
  <c r="K141" i="1"/>
  <c r="AC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BF142" i="1" l="1"/>
  <c r="E140" i="1"/>
  <c r="F140" i="1" s="1"/>
  <c r="K140" i="15"/>
  <c r="O140" i="15"/>
  <c r="A141" i="15"/>
  <c r="AJ140" i="15"/>
  <c r="L140" i="15"/>
  <c r="AK140" i="15"/>
  <c r="AB140" i="15"/>
  <c r="X140" i="15"/>
  <c r="AC140" i="15"/>
  <c r="A141" i="16"/>
  <c r="K140" i="16"/>
  <c r="AJ140" i="16"/>
  <c r="AC140" i="16"/>
  <c r="X140" i="16"/>
  <c r="L140" i="16"/>
  <c r="AB140" i="16"/>
  <c r="AK140" i="16"/>
  <c r="O140" i="16"/>
  <c r="L139" i="18"/>
  <c r="X139" i="18"/>
  <c r="AB139" i="18"/>
  <c r="A140" i="18"/>
  <c r="K139" i="18"/>
  <c r="AJ139" i="18"/>
  <c r="O139" i="18"/>
  <c r="AK139" i="18"/>
  <c r="AC139" i="18"/>
  <c r="D141" i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B139" i="6" s="1"/>
  <c r="AA139" i="1"/>
  <c r="Z139" i="1" s="1"/>
  <c r="Y139" i="1" s="1"/>
  <c r="G139" i="1"/>
  <c r="BW139" i="6" s="1"/>
  <c r="A139" i="20"/>
  <c r="L138" i="20"/>
  <c r="X138" i="20"/>
  <c r="K138" i="20"/>
  <c r="AB138" i="20"/>
  <c r="AJ138" i="20"/>
  <c r="AK138" i="20"/>
  <c r="O138" i="20"/>
  <c r="AC138" i="20"/>
  <c r="BF143" i="1" l="1"/>
  <c r="E141" i="1"/>
  <c r="I140" i="1"/>
  <c r="B140" i="6" s="1"/>
  <c r="AA140" i="1"/>
  <c r="Z140" i="1" s="1"/>
  <c r="Y140" i="1" s="1"/>
  <c r="G140" i="1"/>
  <c r="BW140" i="6" s="1"/>
  <c r="P142" i="1"/>
  <c r="X141" i="15"/>
  <c r="AJ141" i="15"/>
  <c r="AB141" i="15"/>
  <c r="A142" i="15"/>
  <c r="O141" i="15"/>
  <c r="L141" i="15"/>
  <c r="AC141" i="15"/>
  <c r="K141" i="15"/>
  <c r="AK141" i="15"/>
  <c r="F141" i="1"/>
  <c r="A142" i="16"/>
  <c r="X141" i="16"/>
  <c r="AB141" i="16"/>
  <c r="AK141" i="16"/>
  <c r="O141" i="16"/>
  <c r="K141" i="16"/>
  <c r="L141" i="16"/>
  <c r="AJ141" i="16"/>
  <c r="AC141" i="16"/>
  <c r="AA141" i="1"/>
  <c r="Z141" i="1" s="1"/>
  <c r="Y141" i="1" s="1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D142" i="1"/>
  <c r="E142" i="1" s="1"/>
  <c r="V142" i="1"/>
  <c r="A139" i="22"/>
  <c r="AB138" i="22"/>
  <c r="L138" i="22"/>
  <c r="K138" i="22"/>
  <c r="X138" i="22"/>
  <c r="AJ138" i="22"/>
  <c r="AK138" i="22"/>
  <c r="O138" i="22"/>
  <c r="AC138" i="22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BF144" i="1" l="1"/>
  <c r="I141" i="1"/>
  <c r="B141" i="6" s="1"/>
  <c r="F142" i="1"/>
  <c r="G141" i="1"/>
  <c r="BW141" i="6" s="1"/>
  <c r="L142" i="15"/>
  <c r="O142" i="15"/>
  <c r="A143" i="15"/>
  <c r="K142" i="15"/>
  <c r="AB142" i="15"/>
  <c r="AK142" i="15"/>
  <c r="X142" i="15"/>
  <c r="AC142" i="15"/>
  <c r="AJ142" i="15"/>
  <c r="K142" i="16"/>
  <c r="A143" i="16"/>
  <c r="X142" i="16"/>
  <c r="AK142" i="16"/>
  <c r="O142" i="16"/>
  <c r="AB142" i="16"/>
  <c r="L142" i="16"/>
  <c r="AJ142" i="16"/>
  <c r="AC142" i="16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I142" i="1"/>
  <c r="B142" i="6" s="1"/>
  <c r="D143" i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S143" i="1"/>
  <c r="R143" i="1" s="1"/>
  <c r="P143" i="1" s="1"/>
  <c r="V143" i="1" s="1"/>
  <c r="O144" i="1"/>
  <c r="A145" i="1"/>
  <c r="AJ144" i="1"/>
  <c r="AC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E143" i="1" l="1"/>
  <c r="BF145" i="1"/>
  <c r="AA142" i="1"/>
  <c r="Z142" i="1" s="1"/>
  <c r="Y142" i="1" s="1"/>
  <c r="G142" i="1"/>
  <c r="BW142" i="6" s="1"/>
  <c r="AB143" i="15"/>
  <c r="AK143" i="15"/>
  <c r="X143" i="15"/>
  <c r="AJ143" i="15"/>
  <c r="L143" i="15"/>
  <c r="K143" i="15"/>
  <c r="AC143" i="15"/>
  <c r="A144" i="15"/>
  <c r="O143" i="15"/>
  <c r="AB143" i="16"/>
  <c r="A144" i="16"/>
  <c r="AJ143" i="16"/>
  <c r="AC143" i="16"/>
  <c r="X143" i="16"/>
  <c r="L143" i="16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D144" i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F143" i="1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BF146" i="1" l="1"/>
  <c r="E144" i="1"/>
  <c r="AB144" i="15"/>
  <c r="A145" i="15"/>
  <c r="AC144" i="15"/>
  <c r="L144" i="15"/>
  <c r="O144" i="15"/>
  <c r="K144" i="15"/>
  <c r="AJ144" i="15"/>
  <c r="X144" i="15"/>
  <c r="AK144" i="15"/>
  <c r="L144" i="16"/>
  <c r="AB144" i="16"/>
  <c r="K144" i="16"/>
  <c r="AJ144" i="16"/>
  <c r="O144" i="16"/>
  <c r="A145" i="16"/>
  <c r="X144" i="16"/>
  <c r="AK144" i="16"/>
  <c r="AC144" i="16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5" i="1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AJ146" i="1"/>
  <c r="Q146" i="1"/>
  <c r="X146" i="1"/>
  <c r="AC146" i="1"/>
  <c r="AK146" i="1"/>
  <c r="AB146" i="1"/>
  <c r="A147" i="1"/>
  <c r="K146" i="1"/>
  <c r="O146" i="1"/>
  <c r="U146" i="1"/>
  <c r="T146" i="1" s="1"/>
  <c r="I143" i="1"/>
  <c r="B143" i="6" s="1"/>
  <c r="G143" i="1"/>
  <c r="BW143" i="6" s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BF147" i="1" l="1"/>
  <c r="E145" i="1"/>
  <c r="F145" i="1" s="1"/>
  <c r="X145" i="15"/>
  <c r="L145" i="15"/>
  <c r="AC145" i="15"/>
  <c r="A146" i="15"/>
  <c r="O145" i="15"/>
  <c r="K145" i="15"/>
  <c r="AK145" i="15"/>
  <c r="AB145" i="15"/>
  <c r="AJ145" i="15"/>
  <c r="A146" i="16"/>
  <c r="L145" i="16"/>
  <c r="X145" i="16"/>
  <c r="AK145" i="16"/>
  <c r="O145" i="16"/>
  <c r="K145" i="16"/>
  <c r="AB145" i="16"/>
  <c r="AJ145" i="16"/>
  <c r="AC145" i="16"/>
  <c r="V144" i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AK147" i="1"/>
  <c r="A148" i="1"/>
  <c r="Q147" i="1"/>
  <c r="AC147" i="1"/>
  <c r="O147" i="1"/>
  <c r="K147" i="1"/>
  <c r="U147" i="1"/>
  <c r="T147" i="1" s="1"/>
  <c r="S147" i="1" s="1"/>
  <c r="R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S146" i="1"/>
  <c r="R146" i="1" s="1"/>
  <c r="P146" i="1" s="1"/>
  <c r="V146" i="1" s="1"/>
  <c r="D146" i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BF148" i="1" l="1"/>
  <c r="I145" i="1"/>
  <c r="B145" i="6" s="1"/>
  <c r="E146" i="1"/>
  <c r="F146" i="1" s="1"/>
  <c r="F144" i="1"/>
  <c r="AA145" i="1"/>
  <c r="Z145" i="1" s="1"/>
  <c r="Y145" i="1" s="1"/>
  <c r="G145" i="1"/>
  <c r="BW145" i="6" s="1"/>
  <c r="P147" i="1"/>
  <c r="V147" i="1" s="1"/>
  <c r="AB146" i="15"/>
  <c r="AJ146" i="15"/>
  <c r="L146" i="15"/>
  <c r="AK146" i="15"/>
  <c r="A147" i="15"/>
  <c r="X146" i="15"/>
  <c r="AC146" i="15"/>
  <c r="K146" i="15"/>
  <c r="O146" i="15"/>
  <c r="AJ146" i="16"/>
  <c r="K146" i="16"/>
  <c r="AB146" i="16"/>
  <c r="X146" i="16"/>
  <c r="AK146" i="16"/>
  <c r="O146" i="16"/>
  <c r="L146" i="16"/>
  <c r="A147" i="16"/>
  <c r="AC146" i="16"/>
  <c r="G144" i="1"/>
  <c r="BW144" i="6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A145" i="20"/>
  <c r="AB144" i="20"/>
  <c r="K144" i="20"/>
  <c r="X144" i="20"/>
  <c r="L144" i="20"/>
  <c r="AJ144" i="20"/>
  <c r="AK144" i="20"/>
  <c r="O144" i="20"/>
  <c r="AC144" i="20"/>
  <c r="K148" i="1"/>
  <c r="O148" i="1"/>
  <c r="AC148" i="1"/>
  <c r="AK148" i="1"/>
  <c r="AJ148" i="1"/>
  <c r="X148" i="1"/>
  <c r="Q148" i="1"/>
  <c r="A149" i="1"/>
  <c r="AB148" i="1"/>
  <c r="U148" i="1"/>
  <c r="D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E147" i="1" l="1"/>
  <c r="F147" i="1" s="1"/>
  <c r="I144" i="1"/>
  <c r="B144" i="6" s="1"/>
  <c r="BF149" i="1"/>
  <c r="AA144" i="1"/>
  <c r="Z144" i="1" s="1"/>
  <c r="Y144" i="1" s="1"/>
  <c r="K147" i="15"/>
  <c r="X147" i="15"/>
  <c r="AC147" i="15"/>
  <c r="L147" i="15"/>
  <c r="O147" i="15"/>
  <c r="A148" i="15"/>
  <c r="AK147" i="15"/>
  <c r="AB147" i="15"/>
  <c r="AJ147" i="15"/>
  <c r="AB147" i="16"/>
  <c r="K147" i="16"/>
  <c r="AK147" i="16"/>
  <c r="AC147" i="16"/>
  <c r="X147" i="16"/>
  <c r="L147" i="16"/>
  <c r="A148" i="16"/>
  <c r="AJ147" i="16"/>
  <c r="O147" i="16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Q149" i="1"/>
  <c r="AJ149" i="1"/>
  <c r="X149" i="1"/>
  <c r="K149" i="1"/>
  <c r="A24" i="7"/>
  <c r="AC149" i="1"/>
  <c r="O149" i="1"/>
  <c r="C24" i="7" s="1"/>
  <c r="AK149" i="1"/>
  <c r="U149" i="1"/>
  <c r="I146" i="1"/>
  <c r="B146" i="6" s="1"/>
  <c r="G146" i="1"/>
  <c r="BW146" i="6" s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A144" i="23"/>
  <c r="X143" i="23"/>
  <c r="AB143" i="23"/>
  <c r="L143" i="23"/>
  <c r="K143" i="23"/>
  <c r="AJ143" i="23"/>
  <c r="AK143" i="23"/>
  <c r="O143" i="23"/>
  <c r="AC143" i="23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D148" i="1"/>
  <c r="A146" i="20"/>
  <c r="K145" i="20"/>
  <c r="AB145" i="20"/>
  <c r="L145" i="20"/>
  <c r="X145" i="20"/>
  <c r="AJ145" i="20"/>
  <c r="AK145" i="20"/>
  <c r="O145" i="20"/>
  <c r="AC145" i="20"/>
  <c r="E148" i="1" l="1"/>
  <c r="BF150" i="1"/>
  <c r="A149" i="15"/>
  <c r="L148" i="15"/>
  <c r="AC148" i="15"/>
  <c r="X148" i="15"/>
  <c r="O148" i="15"/>
  <c r="AB148" i="15"/>
  <c r="AK148" i="15"/>
  <c r="K148" i="15"/>
  <c r="AJ148" i="15"/>
  <c r="AB148" i="16"/>
  <c r="K148" i="16"/>
  <c r="X148" i="16"/>
  <c r="AK148" i="16"/>
  <c r="O148" i="16"/>
  <c r="A149" i="16"/>
  <c r="L148" i="16"/>
  <c r="AJ148" i="16"/>
  <c r="AC148" i="16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D149" i="1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B147" i="6" s="1"/>
  <c r="G147" i="1"/>
  <c r="BW147" i="6" s="1"/>
  <c r="T149" i="1"/>
  <c r="A151" i="1"/>
  <c r="O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E149" i="1" l="1"/>
  <c r="BF151" i="1"/>
  <c r="K149" i="15"/>
  <c r="A150" i="15"/>
  <c r="O149" i="15"/>
  <c r="C36" i="7" s="1"/>
  <c r="X149" i="15"/>
  <c r="AJ149" i="15"/>
  <c r="L149" i="15"/>
  <c r="AK149" i="15"/>
  <c r="AB149" i="15"/>
  <c r="A36" i="7"/>
  <c r="AC149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D150" i="1"/>
  <c r="AJ151" i="1"/>
  <c r="Q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BF152" i="1" l="1"/>
  <c r="E150" i="1"/>
  <c r="F150" i="1" s="1"/>
  <c r="F148" i="1"/>
  <c r="AA148" i="1" s="1"/>
  <c r="Z148" i="1" s="1"/>
  <c r="Y148" i="1" s="1"/>
  <c r="B36" i="7"/>
  <c r="AB150" i="15"/>
  <c r="AK150" i="15"/>
  <c r="L150" i="15"/>
  <c r="K150" i="15"/>
  <c r="AC150" i="15"/>
  <c r="X150" i="15"/>
  <c r="O150" i="15"/>
  <c r="A151" i="15"/>
  <c r="AJ150" i="15"/>
  <c r="A151" i="16"/>
  <c r="X150" i="16"/>
  <c r="AJ150" i="16"/>
  <c r="AC150" i="16"/>
  <c r="K150" i="16"/>
  <c r="L150" i="16"/>
  <c r="AB150" i="16"/>
  <c r="AK150" i="16"/>
  <c r="O150" i="16"/>
  <c r="B48" i="7"/>
  <c r="D24" i="7"/>
  <c r="V149" i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AJ152" i="1"/>
  <c r="AK152" i="1"/>
  <c r="U152" i="1"/>
  <c r="T152" i="1" s="1"/>
  <c r="K144" i="25"/>
  <c r="A145" i="25"/>
  <c r="L144" i="25"/>
  <c r="X144" i="25"/>
  <c r="AB144" i="25"/>
  <c r="AJ144" i="25"/>
  <c r="O144" i="25"/>
  <c r="AK144" i="25"/>
  <c r="AC144" i="25"/>
  <c r="B60" i="7"/>
  <c r="AB150" i="17"/>
  <c r="X150" i="17"/>
  <c r="L150" i="17"/>
  <c r="A151" i="17"/>
  <c r="K150" i="17"/>
  <c r="AJ150" i="17"/>
  <c r="O150" i="17"/>
  <c r="AK150" i="17"/>
  <c r="AC150" i="17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D151" i="1"/>
  <c r="E151" i="1" l="1"/>
  <c r="F151" i="1" s="1"/>
  <c r="BF153" i="1"/>
  <c r="I148" i="1"/>
  <c r="B148" i="6" s="1"/>
  <c r="G148" i="1"/>
  <c r="BW148" i="6" s="1"/>
  <c r="F149" i="1"/>
  <c r="G149" i="1" s="1"/>
  <c r="BW149" i="6" s="1"/>
  <c r="K151" i="15"/>
  <c r="O151" i="15"/>
  <c r="AB151" i="15"/>
  <c r="AK151" i="15"/>
  <c r="L151" i="15"/>
  <c r="AJ151" i="15"/>
  <c r="X151" i="15"/>
  <c r="A152" i="15"/>
  <c r="AC151" i="15"/>
  <c r="K151" i="16"/>
  <c r="A152" i="16"/>
  <c r="AK151" i="16"/>
  <c r="AC151" i="16"/>
  <c r="AB151" i="16"/>
  <c r="L151" i="16"/>
  <c r="X151" i="16"/>
  <c r="AJ151" i="16"/>
  <c r="O151" i="16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G150" i="1"/>
  <c r="BW150" i="6" s="1"/>
  <c r="I150" i="1"/>
  <c r="B150" i="6" s="1"/>
  <c r="AA150" i="1"/>
  <c r="Z150" i="1" s="1"/>
  <c r="Y150" i="1" s="1"/>
  <c r="D152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K148" i="22"/>
  <c r="X148" i="22"/>
  <c r="L148" i="22"/>
  <c r="AB148" i="22"/>
  <c r="A149" i="22"/>
  <c r="AJ148" i="22"/>
  <c r="AK148" i="22"/>
  <c r="O148" i="22"/>
  <c r="AC148" i="22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BF154" i="1" l="1"/>
  <c r="E152" i="1"/>
  <c r="F152" i="1" s="1"/>
  <c r="AA149" i="1"/>
  <c r="Z149" i="1" s="1"/>
  <c r="Y149" i="1" s="1"/>
  <c r="I149" i="1"/>
  <c r="B149" i="6" s="1"/>
  <c r="X152" i="15"/>
  <c r="AJ152" i="15"/>
  <c r="AB152" i="15"/>
  <c r="AK152" i="15"/>
  <c r="A153" i="15"/>
  <c r="L152" i="15"/>
  <c r="O152" i="15"/>
  <c r="K152" i="15"/>
  <c r="AC152" i="15"/>
  <c r="AB152" i="16"/>
  <c r="X152" i="16"/>
  <c r="A153" i="16"/>
  <c r="AK152" i="16"/>
  <c r="O152" i="16"/>
  <c r="K152" i="16"/>
  <c r="L152" i="16"/>
  <c r="AJ152" i="16"/>
  <c r="AC152" i="16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AB151" i="18"/>
  <c r="A152" i="18"/>
  <c r="L151" i="18"/>
  <c r="X151" i="18"/>
  <c r="AJ151" i="18"/>
  <c r="K151" i="18"/>
  <c r="AK151" i="18"/>
  <c r="O151" i="18"/>
  <c r="AC151" i="18"/>
  <c r="T153" i="1"/>
  <c r="D153" i="1"/>
  <c r="A147" i="25"/>
  <c r="X146" i="25"/>
  <c r="L146" i="25"/>
  <c r="AB146" i="25"/>
  <c r="K146" i="25"/>
  <c r="AJ146" i="25"/>
  <c r="AK146" i="25"/>
  <c r="O146" i="25"/>
  <c r="AC146" i="25"/>
  <c r="K147" i="24"/>
  <c r="X147" i="24"/>
  <c r="L147" i="24"/>
  <c r="AB147" i="24"/>
  <c r="A148" i="24"/>
  <c r="AJ147" i="24"/>
  <c r="AK147" i="24"/>
  <c r="O147" i="24"/>
  <c r="AC147" i="24"/>
  <c r="G151" i="1"/>
  <c r="BW151" i="6" s="1"/>
  <c r="AA151" i="1"/>
  <c r="Z151" i="1" s="1"/>
  <c r="Y151" i="1" s="1"/>
  <c r="I151" i="1"/>
  <c r="B151" i="6" s="1"/>
  <c r="BF155" i="1" l="1"/>
  <c r="E153" i="1"/>
  <c r="L153" i="15"/>
  <c r="AK153" i="15"/>
  <c r="AB153" i="15"/>
  <c r="X153" i="15"/>
  <c r="O153" i="15"/>
  <c r="A154" i="15"/>
  <c r="AC153" i="15"/>
  <c r="K153" i="15"/>
  <c r="AJ153" i="15"/>
  <c r="A154" i="16"/>
  <c r="X153" i="16"/>
  <c r="AJ153" i="16"/>
  <c r="AC153" i="16"/>
  <c r="AB153" i="16"/>
  <c r="L153" i="16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A153" i="18"/>
  <c r="AB152" i="18"/>
  <c r="L152" i="18"/>
  <c r="X152" i="18"/>
  <c r="AJ152" i="18"/>
  <c r="K152" i="18"/>
  <c r="AK152" i="18"/>
  <c r="O152" i="18"/>
  <c r="AC152" i="18"/>
  <c r="G152" i="1"/>
  <c r="BW152" i="6" s="1"/>
  <c r="AA152" i="1"/>
  <c r="Z152" i="1" s="1"/>
  <c r="Y152" i="1" s="1"/>
  <c r="I152" i="1"/>
  <c r="B152" i="6" s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AK155" i="1"/>
  <c r="A156" i="1"/>
  <c r="X155" i="1"/>
  <c r="AC155" i="1"/>
  <c r="Q155" i="1"/>
  <c r="U155" i="1"/>
  <c r="T155" i="1" s="1"/>
  <c r="D154" i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BF156" i="1" l="1"/>
  <c r="E154" i="1"/>
  <c r="F154" i="1" s="1"/>
  <c r="V153" i="1"/>
  <c r="F153" i="1" s="1"/>
  <c r="X154" i="15"/>
  <c r="A155" i="15"/>
  <c r="AC154" i="15"/>
  <c r="AB154" i="15"/>
  <c r="O154" i="15"/>
  <c r="L154" i="15"/>
  <c r="AK154" i="15"/>
  <c r="K154" i="15"/>
  <c r="AJ154" i="15"/>
  <c r="L154" i="16"/>
  <c r="A155" i="16"/>
  <c r="AJ154" i="16"/>
  <c r="AC154" i="16"/>
  <c r="AB154" i="16"/>
  <c r="K154" i="16"/>
  <c r="X154" i="16"/>
  <c r="AK154" i="16"/>
  <c r="O154" i="16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U156" i="1"/>
  <c r="T156" i="1" s="1"/>
  <c r="S156" i="1" s="1"/>
  <c r="R156" i="1" s="1"/>
  <c r="D155" i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X148" i="25"/>
  <c r="A149" i="25"/>
  <c r="AB148" i="25"/>
  <c r="L148" i="25"/>
  <c r="K148" i="25"/>
  <c r="AJ148" i="25"/>
  <c r="AK148" i="25"/>
  <c r="O148" i="25"/>
  <c r="AC148" i="25"/>
  <c r="AF48" i="7"/>
  <c r="K152" i="20"/>
  <c r="L152" i="20"/>
  <c r="X152" i="20"/>
  <c r="A153" i="20"/>
  <c r="AB152" i="20"/>
  <c r="AJ152" i="20"/>
  <c r="AK152" i="20"/>
  <c r="O152" i="20"/>
  <c r="AC152" i="20"/>
  <c r="E155" i="1" l="1"/>
  <c r="F155" i="1" s="1"/>
  <c r="BF157" i="1"/>
  <c r="G154" i="1"/>
  <c r="BW154" i="6" s="1"/>
  <c r="I153" i="1"/>
  <c r="B153" i="6" s="1"/>
  <c r="AA153" i="1"/>
  <c r="Z153" i="1" s="1"/>
  <c r="Y153" i="1" s="1"/>
  <c r="G153" i="1"/>
  <c r="BW153" i="6" s="1"/>
  <c r="X155" i="15"/>
  <c r="AJ155" i="15"/>
  <c r="L155" i="15"/>
  <c r="O155" i="15"/>
  <c r="K155" i="15"/>
  <c r="A156" i="15"/>
  <c r="AB155" i="15"/>
  <c r="AK155" i="15"/>
  <c r="AC155" i="15"/>
  <c r="AA154" i="1"/>
  <c r="Z154" i="1" s="1"/>
  <c r="Y154" i="1" s="1"/>
  <c r="I154" i="1"/>
  <c r="B154" i="6" s="1"/>
  <c r="A156" i="16"/>
  <c r="K155" i="16"/>
  <c r="AK155" i="16"/>
  <c r="AC155" i="16"/>
  <c r="X155" i="16"/>
  <c r="L155" i="16"/>
  <c r="AB155" i="16"/>
  <c r="AJ155" i="16"/>
  <c r="O155" i="16"/>
  <c r="D156" i="1"/>
  <c r="AB157" i="1"/>
  <c r="AJ157" i="1"/>
  <c r="AC157" i="1"/>
  <c r="K157" i="1"/>
  <c r="X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AF60" i="7"/>
  <c r="BF158" i="1" l="1"/>
  <c r="E156" i="1"/>
  <c r="I155" i="1"/>
  <c r="B155" i="6" s="1"/>
  <c r="F156" i="1"/>
  <c r="G155" i="1"/>
  <c r="BW155" i="6" s="1"/>
  <c r="AA155" i="1"/>
  <c r="Z155" i="1" s="1"/>
  <c r="Y155" i="1" s="1"/>
  <c r="AB156" i="15"/>
  <c r="AK156" i="15"/>
  <c r="K156" i="15"/>
  <c r="A157" i="15"/>
  <c r="AC156" i="15"/>
  <c r="X156" i="15"/>
  <c r="O156" i="15"/>
  <c r="L156" i="15"/>
  <c r="AJ156" i="15"/>
  <c r="A157" i="16"/>
  <c r="X156" i="16"/>
  <c r="K156" i="16"/>
  <c r="AK156" i="16"/>
  <c r="O156" i="16"/>
  <c r="L156" i="16"/>
  <c r="AB156" i="16"/>
  <c r="AJ156" i="16"/>
  <c r="AC156" i="16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AC158" i="1"/>
  <c r="K158" i="1"/>
  <c r="X158" i="1"/>
  <c r="AK158" i="1"/>
  <c r="AJ158" i="1"/>
  <c r="O158" i="1"/>
  <c r="A159" i="1"/>
  <c r="AB158" i="1"/>
  <c r="Q158" i="1"/>
  <c r="U158" i="1"/>
  <c r="T158" i="1" s="1"/>
  <c r="D157" i="1"/>
  <c r="G156" i="1" l="1"/>
  <c r="BW156" i="6" s="1"/>
  <c r="E157" i="1"/>
  <c r="BF159" i="1"/>
  <c r="AA156" i="1"/>
  <c r="Z156" i="1" s="1"/>
  <c r="Y156" i="1" s="1"/>
  <c r="I156" i="1"/>
  <c r="B156" i="6" s="1"/>
  <c r="L157" i="15"/>
  <c r="AK157" i="15"/>
  <c r="AB157" i="15"/>
  <c r="AJ157" i="15"/>
  <c r="K157" i="15"/>
  <c r="X157" i="15"/>
  <c r="AC157" i="15"/>
  <c r="A158" i="15"/>
  <c r="O157" i="15"/>
  <c r="X157" i="16"/>
  <c r="A158" i="16"/>
  <c r="L157" i="16"/>
  <c r="AK157" i="16"/>
  <c r="O157" i="16"/>
  <c r="AB157" i="16"/>
  <c r="K157" i="16"/>
  <c r="AJ157" i="16"/>
  <c r="AC157" i="16"/>
  <c r="F157" i="1"/>
  <c r="K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8" i="1"/>
  <c r="E158" i="1" l="1"/>
  <c r="BF160" i="1"/>
  <c r="AB158" i="15"/>
  <c r="AK158" i="15"/>
  <c r="A159" i="15"/>
  <c r="AJ158" i="15"/>
  <c r="X158" i="15"/>
  <c r="K158" i="15"/>
  <c r="AC158" i="15"/>
  <c r="L158" i="15"/>
  <c r="O158" i="15"/>
  <c r="X158" i="16"/>
  <c r="A159" i="16"/>
  <c r="AJ158" i="16"/>
  <c r="AC158" i="16"/>
  <c r="K158" i="16"/>
  <c r="AB158" i="16"/>
  <c r="L158" i="16"/>
  <c r="AK158" i="16"/>
  <c r="O158" i="16"/>
  <c r="F158" i="1"/>
  <c r="K158" i="17"/>
  <c r="X158" i="17"/>
  <c r="A159" i="17"/>
  <c r="AB158" i="17"/>
  <c r="L158" i="17"/>
  <c r="O158" i="17"/>
  <c r="AJ158" i="17"/>
  <c r="AK158" i="17"/>
  <c r="AC158" i="17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D159" i="1"/>
  <c r="I157" i="1"/>
  <c r="B157" i="6" s="1"/>
  <c r="AA157" i="1"/>
  <c r="Z157" i="1" s="1"/>
  <c r="Y157" i="1" s="1"/>
  <c r="G157" i="1"/>
  <c r="BW157" i="6" s="1"/>
  <c r="E159" i="1" l="1"/>
  <c r="F159" i="1" s="1"/>
  <c r="BF161" i="1"/>
  <c r="AB159" i="15"/>
  <c r="AK159" i="15"/>
  <c r="K159" i="15"/>
  <c r="X159" i="15"/>
  <c r="AC159" i="15"/>
  <c r="A160" i="15"/>
  <c r="O159" i="15"/>
  <c r="L159" i="15"/>
  <c r="AJ159" i="15"/>
  <c r="L159" i="16"/>
  <c r="AB159" i="16"/>
  <c r="A160" i="16"/>
  <c r="AK159" i="16"/>
  <c r="O159" i="16"/>
  <c r="X159" i="16"/>
  <c r="K159" i="16"/>
  <c r="AJ159" i="16"/>
  <c r="AC159" i="16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A160" i="17"/>
  <c r="L159" i="17"/>
  <c r="X159" i="17"/>
  <c r="AB159" i="17"/>
  <c r="K159" i="17"/>
  <c r="AJ159" i="17"/>
  <c r="O159" i="17"/>
  <c r="AK159" i="17"/>
  <c r="AC159" i="17"/>
  <c r="G158" i="1"/>
  <c r="BW158" i="6" s="1"/>
  <c r="I158" i="1"/>
  <c r="B158" i="6" s="1"/>
  <c r="AA158" i="1"/>
  <c r="Z158" i="1" s="1"/>
  <c r="Y158" i="1" s="1"/>
  <c r="S160" i="1"/>
  <c r="R160" i="1" s="1"/>
  <c r="P160" i="1" s="1"/>
  <c r="V160" i="1" s="1"/>
  <c r="D160" i="1"/>
  <c r="A162" i="1"/>
  <c r="K161" i="1"/>
  <c r="AC161" i="1"/>
  <c r="AJ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E160" i="1" l="1"/>
  <c r="F160" i="1" s="1"/>
  <c r="AA159" i="1"/>
  <c r="Z159" i="1" s="1"/>
  <c r="Y159" i="1" s="1"/>
  <c r="BF162" i="1"/>
  <c r="I159" i="1"/>
  <c r="B159" i="6" s="1"/>
  <c r="G159" i="1"/>
  <c r="BW159" i="6" s="1"/>
  <c r="X160" i="15"/>
  <c r="O160" i="15"/>
  <c r="A161" i="15"/>
  <c r="AK160" i="15"/>
  <c r="AB160" i="15"/>
  <c r="AJ160" i="15"/>
  <c r="K160" i="15"/>
  <c r="L160" i="15"/>
  <c r="AC160" i="15"/>
  <c r="X160" i="16"/>
  <c r="K160" i="16"/>
  <c r="L160" i="16"/>
  <c r="AJ160" i="16"/>
  <c r="O160" i="16"/>
  <c r="A161" i="16"/>
  <c r="AB160" i="16"/>
  <c r="AK160" i="16"/>
  <c r="AC160" i="16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D161" i="1"/>
  <c r="E161" i="1" s="1"/>
  <c r="O162" i="1"/>
  <c r="AB162" i="1"/>
  <c r="AC162" i="1"/>
  <c r="X162" i="1"/>
  <c r="A163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BF163" i="1" l="1"/>
  <c r="X161" i="15"/>
  <c r="AK161" i="15"/>
  <c r="A162" i="15"/>
  <c r="AB161" i="15"/>
  <c r="AC161" i="15"/>
  <c r="L161" i="15"/>
  <c r="O161" i="15"/>
  <c r="K161" i="15"/>
  <c r="AJ161" i="15"/>
  <c r="F161" i="1"/>
  <c r="A162" i="16"/>
  <c r="K161" i="16"/>
  <c r="AJ161" i="16"/>
  <c r="AC161" i="16"/>
  <c r="AB161" i="16"/>
  <c r="L161" i="16"/>
  <c r="X161" i="16"/>
  <c r="AK161" i="16"/>
  <c r="O161" i="16"/>
  <c r="A159" i="22"/>
  <c r="X158" i="22"/>
  <c r="L158" i="22"/>
  <c r="AB158" i="22"/>
  <c r="K158" i="22"/>
  <c r="AK158" i="22"/>
  <c r="AJ158" i="22"/>
  <c r="O158" i="22"/>
  <c r="AC158" i="22"/>
  <c r="D162" i="1"/>
  <c r="E162" i="1" s="1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G160" i="1"/>
  <c r="BW160" i="6" s="1"/>
  <c r="I160" i="1"/>
  <c r="B160" i="6" s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U163" i="1"/>
  <c r="T163" i="1" s="1"/>
  <c r="I161" i="1" l="1"/>
  <c r="B161" i="6" s="1"/>
  <c r="BF164" i="1"/>
  <c r="G161" i="1"/>
  <c r="BW161" i="6" s="1"/>
  <c r="AA161" i="1"/>
  <c r="Z161" i="1" s="1"/>
  <c r="Y161" i="1" s="1"/>
  <c r="X162" i="15"/>
  <c r="AJ162" i="15"/>
  <c r="A163" i="15"/>
  <c r="AK162" i="15"/>
  <c r="AB162" i="15"/>
  <c r="K162" i="15"/>
  <c r="AC162" i="15"/>
  <c r="L162" i="15"/>
  <c r="O162" i="15"/>
  <c r="F162" i="1"/>
  <c r="AB162" i="16"/>
  <c r="L162" i="16"/>
  <c r="K162" i="16"/>
  <c r="AJ162" i="16"/>
  <c r="O162" i="16"/>
  <c r="A163" i="16"/>
  <c r="X162" i="16"/>
  <c r="AK162" i="16"/>
  <c r="AC162" i="16"/>
  <c r="G162" i="1"/>
  <c r="BW162" i="6" s="1"/>
  <c r="D163" i="1"/>
  <c r="O164" i="1"/>
  <c r="A165" i="1"/>
  <c r="Q164" i="1"/>
  <c r="AC164" i="1"/>
  <c r="K164" i="1"/>
  <c r="AK164" i="1"/>
  <c r="AB164" i="1"/>
  <c r="AJ164" i="1"/>
  <c r="X164" i="1"/>
  <c r="U164" i="1"/>
  <c r="T164" i="1" s="1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BF165" i="1" l="1"/>
  <c r="E163" i="1"/>
  <c r="AA162" i="1"/>
  <c r="Z162" i="1" s="1"/>
  <c r="Y162" i="1" s="1"/>
  <c r="I162" i="1"/>
  <c r="B162" i="6" s="1"/>
  <c r="X163" i="15"/>
  <c r="K163" i="15"/>
  <c r="O163" i="15"/>
  <c r="A164" i="15"/>
  <c r="AC163" i="15"/>
  <c r="L163" i="15"/>
  <c r="AJ163" i="15"/>
  <c r="AB163" i="15"/>
  <c r="AK163" i="15"/>
  <c r="L163" i="16"/>
  <c r="A164" i="16"/>
  <c r="AB163" i="16"/>
  <c r="AK163" i="16"/>
  <c r="O163" i="16"/>
  <c r="X163" i="16"/>
  <c r="K163" i="16"/>
  <c r="AJ163" i="16"/>
  <c r="AC163" i="16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D164" i="1"/>
  <c r="F163" i="1"/>
  <c r="A159" i="24"/>
  <c r="K158" i="24"/>
  <c r="AB158" i="24"/>
  <c r="X158" i="24"/>
  <c r="L158" i="24"/>
  <c r="AK158" i="24"/>
  <c r="AJ158" i="24"/>
  <c r="O158" i="24"/>
  <c r="AC158" i="24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AJ165" i="1"/>
  <c r="AC165" i="1"/>
  <c r="U165" i="1"/>
  <c r="T165" i="1" s="1"/>
  <c r="BF166" i="1" l="1"/>
  <c r="E164" i="1"/>
  <c r="AB164" i="15"/>
  <c r="AJ164" i="15"/>
  <c r="A165" i="15"/>
  <c r="AK164" i="15"/>
  <c r="X164" i="15"/>
  <c r="K164" i="15"/>
  <c r="O164" i="15"/>
  <c r="L164" i="15"/>
  <c r="AC164" i="15"/>
  <c r="F164" i="1"/>
  <c r="K164" i="16"/>
  <c r="A165" i="16"/>
  <c r="AJ164" i="16"/>
  <c r="AC164" i="16"/>
  <c r="L164" i="16"/>
  <c r="X164" i="16"/>
  <c r="AB164" i="16"/>
  <c r="AK164" i="16"/>
  <c r="O164" i="16"/>
  <c r="S165" i="1"/>
  <c r="R165" i="1" s="1"/>
  <c r="P165" i="1" s="1"/>
  <c r="V165" i="1" s="1"/>
  <c r="AK166" i="1"/>
  <c r="AJ166" i="1"/>
  <c r="A167" i="1"/>
  <c r="O166" i="1"/>
  <c r="AC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D165" i="1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G163" i="1"/>
  <c r="BW163" i="6" s="1"/>
  <c r="AA163" i="1"/>
  <c r="Z163" i="1" s="1"/>
  <c r="Y163" i="1" s="1"/>
  <c r="I163" i="1"/>
  <c r="B163" i="6" s="1"/>
  <c r="I164" i="1" l="1"/>
  <c r="B164" i="6" s="1"/>
  <c r="E165" i="1"/>
  <c r="F165" i="1" s="1"/>
  <c r="BF167" i="1"/>
  <c r="G164" i="1"/>
  <c r="BW164" i="6" s="1"/>
  <c r="AA164" i="1"/>
  <c r="Z164" i="1" s="1"/>
  <c r="Y164" i="1" s="1"/>
  <c r="A166" i="15"/>
  <c r="AK165" i="15"/>
  <c r="AB165" i="15"/>
  <c r="AJ165" i="15"/>
  <c r="X165" i="15"/>
  <c r="K165" i="15"/>
  <c r="AC165" i="15"/>
  <c r="L165" i="15"/>
  <c r="O165" i="15"/>
  <c r="L165" i="16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AB159" i="25"/>
  <c r="A160" i="25"/>
  <c r="X159" i="25"/>
  <c r="L159" i="25"/>
  <c r="K159" i="25"/>
  <c r="AJ159" i="25"/>
  <c r="O159" i="25"/>
  <c r="AK159" i="25"/>
  <c r="AC159" i="25"/>
  <c r="D166" i="1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K167" i="1"/>
  <c r="AC167" i="1"/>
  <c r="X167" i="1"/>
  <c r="Q167" i="1"/>
  <c r="U167" i="1"/>
  <c r="T167" i="1" s="1"/>
  <c r="BF168" i="1" l="1"/>
  <c r="E166" i="1"/>
  <c r="F166" i="1" s="1"/>
  <c r="L166" i="15"/>
  <c r="K166" i="15"/>
  <c r="O166" i="15"/>
  <c r="A167" i="15"/>
  <c r="AC166" i="15"/>
  <c r="X166" i="15"/>
  <c r="AK166" i="15"/>
  <c r="AB166" i="15"/>
  <c r="AJ166" i="15"/>
  <c r="X166" i="16"/>
  <c r="A167" i="16"/>
  <c r="AJ166" i="16"/>
  <c r="AC166" i="16"/>
  <c r="AB166" i="16"/>
  <c r="K166" i="16"/>
  <c r="L166" i="16"/>
  <c r="AK166" i="16"/>
  <c r="O166" i="16"/>
  <c r="S167" i="1"/>
  <c r="R167" i="1" s="1"/>
  <c r="P167" i="1" s="1"/>
  <c r="V167" i="1" s="1"/>
  <c r="O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B165" i="6" s="1"/>
  <c r="AA165" i="1"/>
  <c r="Z165" i="1" s="1"/>
  <c r="Y165" i="1" s="1"/>
  <c r="G165" i="1"/>
  <c r="BW165" i="6" s="1"/>
  <c r="D167" i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E167" i="1" l="1"/>
  <c r="BF169" i="1"/>
  <c r="L167" i="15"/>
  <c r="AK167" i="15"/>
  <c r="X167" i="15"/>
  <c r="A168" i="15"/>
  <c r="AC167" i="15"/>
  <c r="AB167" i="15"/>
  <c r="O167" i="15"/>
  <c r="K167" i="15"/>
  <c r="AJ167" i="15"/>
  <c r="X167" i="16"/>
  <c r="K167" i="16"/>
  <c r="AJ167" i="16"/>
  <c r="AC167" i="16"/>
  <c r="AB167" i="16"/>
  <c r="L167" i="16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F167" i="1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D168" i="1"/>
  <c r="G166" i="1"/>
  <c r="BW166" i="6" s="1"/>
  <c r="AA166" i="1"/>
  <c r="Z166" i="1" s="1"/>
  <c r="Y166" i="1" s="1"/>
  <c r="I166" i="1"/>
  <c r="B166" i="6" s="1"/>
  <c r="E168" i="1" l="1"/>
  <c r="BF170" i="1"/>
  <c r="K168" i="15"/>
  <c r="AK168" i="15"/>
  <c r="A169" i="15"/>
  <c r="X168" i="15"/>
  <c r="AC168" i="15"/>
  <c r="AB168" i="15"/>
  <c r="O168" i="15"/>
  <c r="L168" i="15"/>
  <c r="AJ168" i="15"/>
  <c r="L168" i="16"/>
  <c r="X168" i="16"/>
  <c r="K168" i="16"/>
  <c r="AK168" i="16"/>
  <c r="O168" i="16"/>
  <c r="AB168" i="16"/>
  <c r="A169" i="16"/>
  <c r="AJ168" i="16"/>
  <c r="AC168" i="16"/>
  <c r="F168" i="1"/>
  <c r="L163" i="24"/>
  <c r="K163" i="24"/>
  <c r="AB163" i="24"/>
  <c r="A164" i="24"/>
  <c r="X163" i="24"/>
  <c r="AK163" i="24"/>
  <c r="AJ163" i="24"/>
  <c r="O163" i="24"/>
  <c r="AC163" i="24"/>
  <c r="T169" i="1"/>
  <c r="D169" i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B167" i="6" s="1"/>
  <c r="G167" i="1"/>
  <c r="BW167" i="6" s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AB170" i="1"/>
  <c r="U170" i="1"/>
  <c r="T170" i="1" s="1"/>
  <c r="L162" i="25"/>
  <c r="K162" i="25"/>
  <c r="AB162" i="25"/>
  <c r="A163" i="25"/>
  <c r="X162" i="25"/>
  <c r="AJ162" i="25"/>
  <c r="AK162" i="25"/>
  <c r="O162" i="25"/>
  <c r="AC162" i="25"/>
  <c r="BF171" i="1" l="1"/>
  <c r="E169" i="1"/>
  <c r="AB169" i="15"/>
  <c r="L169" i="15"/>
  <c r="AC169" i="15"/>
  <c r="K169" i="15"/>
  <c r="O169" i="15"/>
  <c r="A170" i="15"/>
  <c r="AJ169" i="15"/>
  <c r="X169" i="15"/>
  <c r="AK169" i="15"/>
  <c r="A170" i="16"/>
  <c r="K169" i="16"/>
  <c r="AK169" i="16"/>
  <c r="AC169" i="16"/>
  <c r="L169" i="16"/>
  <c r="X169" i="16"/>
  <c r="AB169" i="16"/>
  <c r="AJ169" i="16"/>
  <c r="O169" i="16"/>
  <c r="AC171" i="1"/>
  <c r="A172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D170" i="1"/>
  <c r="K167" i="20"/>
  <c r="AB167" i="20"/>
  <c r="L167" i="20"/>
  <c r="A168" i="20"/>
  <c r="X167" i="20"/>
  <c r="AK167" i="20"/>
  <c r="AJ167" i="20"/>
  <c r="O167" i="20"/>
  <c r="AC167" i="20"/>
  <c r="S169" i="1"/>
  <c r="R169" i="1" s="1"/>
  <c r="P169" i="1" s="1"/>
  <c r="AB164" i="24"/>
  <c r="L164" i="24"/>
  <c r="X164" i="24"/>
  <c r="K164" i="24"/>
  <c r="A165" i="24"/>
  <c r="AK164" i="24"/>
  <c r="AJ164" i="24"/>
  <c r="O164" i="24"/>
  <c r="AC164" i="24"/>
  <c r="I168" i="1"/>
  <c r="B168" i="6" s="1"/>
  <c r="G168" i="1"/>
  <c r="BW168" i="6" s="1"/>
  <c r="AA168" i="1"/>
  <c r="Z168" i="1" s="1"/>
  <c r="Y168" i="1" s="1"/>
  <c r="V169" i="1" l="1"/>
  <c r="E170" i="1"/>
  <c r="BF172" i="1"/>
  <c r="K170" i="15"/>
  <c r="AB170" i="15"/>
  <c r="AC170" i="15"/>
  <c r="L170" i="15"/>
  <c r="O170" i="15"/>
  <c r="A171" i="15"/>
  <c r="AJ170" i="15"/>
  <c r="X170" i="15"/>
  <c r="AK170" i="15"/>
  <c r="F169" i="1"/>
  <c r="K170" i="16"/>
  <c r="L170" i="16"/>
  <c r="AJ170" i="16"/>
  <c r="AC170" i="16"/>
  <c r="A171" i="16"/>
  <c r="X170" i="16"/>
  <c r="AB170" i="16"/>
  <c r="AK170" i="16"/>
  <c r="O170" i="16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F170" i="1"/>
  <c r="A165" i="25"/>
  <c r="AB164" i="25"/>
  <c r="L164" i="25"/>
  <c r="X164" i="25"/>
  <c r="K164" i="25"/>
  <c r="AJ164" i="25"/>
  <c r="O164" i="25"/>
  <c r="AK164" i="25"/>
  <c r="AC164" i="25"/>
  <c r="K167" i="22"/>
  <c r="L167" i="22"/>
  <c r="AB167" i="22"/>
  <c r="X167" i="22"/>
  <c r="A168" i="22"/>
  <c r="AJ167" i="22"/>
  <c r="AK167" i="22"/>
  <c r="O167" i="22"/>
  <c r="AC167" i="22"/>
  <c r="T171" i="1"/>
  <c r="D171" i="1"/>
  <c r="E171" i="1" l="1"/>
  <c r="BF173" i="1"/>
  <c r="G169" i="1"/>
  <c r="BW169" i="6" s="1"/>
  <c r="P172" i="1"/>
  <c r="V172" i="1" s="1"/>
  <c r="AA169" i="1"/>
  <c r="Z169" i="1" s="1"/>
  <c r="Y169" i="1" s="1"/>
  <c r="I169" i="1"/>
  <c r="B169" i="6" s="1"/>
  <c r="K171" i="15"/>
  <c r="AB171" i="15"/>
  <c r="O171" i="15"/>
  <c r="X171" i="15"/>
  <c r="AC171" i="15"/>
  <c r="L171" i="15"/>
  <c r="AJ171" i="15"/>
  <c r="A172" i="15"/>
  <c r="AK171" i="15"/>
  <c r="A172" i="16"/>
  <c r="AB171" i="16"/>
  <c r="AK171" i="16"/>
  <c r="AC171" i="16"/>
  <c r="K171" i="16"/>
  <c r="L171" i="16"/>
  <c r="X171" i="16"/>
  <c r="AJ171" i="16"/>
  <c r="O171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D172" i="1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S171" i="1"/>
  <c r="R171" i="1" s="1"/>
  <c r="P171" i="1" s="1"/>
  <c r="I170" i="1"/>
  <c r="B170" i="6" s="1"/>
  <c r="G170" i="1"/>
  <c r="BW170" i="6" s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BF174" i="1" l="1"/>
  <c r="E172" i="1"/>
  <c r="F172" i="1" s="1"/>
  <c r="X172" i="15"/>
  <c r="O172" i="15"/>
  <c r="L172" i="15"/>
  <c r="AK172" i="15"/>
  <c r="A173" i="15"/>
  <c r="AJ172" i="15"/>
  <c r="AB172" i="15"/>
  <c r="K172" i="15"/>
  <c r="AC172" i="15"/>
  <c r="K172" i="16"/>
  <c r="X172" i="16"/>
  <c r="AJ172" i="16"/>
  <c r="L172" i="16"/>
  <c r="AB172" i="16"/>
  <c r="A173" i="16"/>
  <c r="AK172" i="16"/>
  <c r="O172" i="16"/>
  <c r="AC172" i="16"/>
  <c r="V171" i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D173" i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E173" i="1" l="1"/>
  <c r="BF175" i="1"/>
  <c r="G172" i="1"/>
  <c r="BW172" i="6" s="1"/>
  <c r="I172" i="1"/>
  <c r="B172" i="6" s="1"/>
  <c r="AA172" i="1"/>
  <c r="Z172" i="1" s="1"/>
  <c r="Y172" i="1" s="1"/>
  <c r="F171" i="1"/>
  <c r="I171" i="1" s="1"/>
  <c r="B171" i="6" s="1"/>
  <c r="A174" i="15"/>
  <c r="K173" i="15"/>
  <c r="AC173" i="15"/>
  <c r="L173" i="15"/>
  <c r="O173" i="15"/>
  <c r="X173" i="15"/>
  <c r="AJ173" i="15"/>
  <c r="AB173" i="15"/>
  <c r="AK173" i="15"/>
  <c r="L173" i="16"/>
  <c r="X173" i="16"/>
  <c r="A174" i="16"/>
  <c r="AK173" i="16"/>
  <c r="O173" i="16"/>
  <c r="AB173" i="16"/>
  <c r="K173" i="16"/>
  <c r="AJ173" i="16"/>
  <c r="AC173" i="16"/>
  <c r="F173" i="1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AB175" i="1"/>
  <c r="U175" i="1"/>
  <c r="A170" i="23"/>
  <c r="L169" i="23"/>
  <c r="K169" i="23"/>
  <c r="X169" i="23"/>
  <c r="AB169" i="23"/>
  <c r="AJ169" i="23"/>
  <c r="AK169" i="23"/>
  <c r="O169" i="23"/>
  <c r="AC169" i="23"/>
  <c r="A168" i="25"/>
  <c r="AB167" i="25"/>
  <c r="L167" i="25"/>
  <c r="K167" i="25"/>
  <c r="X167" i="25"/>
  <c r="AJ167" i="25"/>
  <c r="O167" i="25"/>
  <c r="AK167" i="25"/>
  <c r="AC167" i="25"/>
  <c r="D174" i="1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E174" i="1" l="1"/>
  <c r="F174" i="1" s="1"/>
  <c r="BF176" i="1"/>
  <c r="AA171" i="1"/>
  <c r="Z171" i="1" s="1"/>
  <c r="Y171" i="1" s="1"/>
  <c r="G171" i="1"/>
  <c r="BW171" i="6" s="1"/>
  <c r="A175" i="15"/>
  <c r="AJ174" i="15"/>
  <c r="AB174" i="15"/>
  <c r="K174" i="15"/>
  <c r="AC174" i="15"/>
  <c r="L174" i="15"/>
  <c r="O174" i="15"/>
  <c r="X174" i="15"/>
  <c r="AK174" i="15"/>
  <c r="X174" i="16"/>
  <c r="AB174" i="16"/>
  <c r="AK174" i="16"/>
  <c r="AC174" i="16"/>
  <c r="A175" i="16"/>
  <c r="L174" i="16"/>
  <c r="K174" i="16"/>
  <c r="AJ174" i="16"/>
  <c r="O174" i="16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D175" i="1"/>
  <c r="AJ176" i="1"/>
  <c r="X176" i="1"/>
  <c r="AC176" i="1"/>
  <c r="Q176" i="1"/>
  <c r="A177" i="1"/>
  <c r="AB176" i="1"/>
  <c r="O176" i="1"/>
  <c r="AK176" i="1"/>
  <c r="K176" i="1"/>
  <c r="U176" i="1"/>
  <c r="T176" i="1" s="1"/>
  <c r="G173" i="1"/>
  <c r="BW173" i="6" s="1"/>
  <c r="I173" i="1"/>
  <c r="B173" i="6" s="1"/>
  <c r="AA173" i="1"/>
  <c r="Z173" i="1" s="1"/>
  <c r="Y173" i="1" s="1"/>
  <c r="BF177" i="1" l="1"/>
  <c r="E175" i="1"/>
  <c r="F175" i="1" s="1"/>
  <c r="A176" i="15"/>
  <c r="AJ175" i="15"/>
  <c r="X175" i="15"/>
  <c r="AB175" i="15"/>
  <c r="L175" i="15"/>
  <c r="K175" i="15"/>
  <c r="AC175" i="15"/>
  <c r="O175" i="15"/>
  <c r="AK175" i="15"/>
  <c r="A176" i="16"/>
  <c r="K175" i="16"/>
  <c r="AB175" i="16"/>
  <c r="AK175" i="16"/>
  <c r="O175" i="16"/>
  <c r="L175" i="16"/>
  <c r="X175" i="16"/>
  <c r="AJ175" i="16"/>
  <c r="AC175" i="16"/>
  <c r="S176" i="1"/>
  <c r="R176" i="1" s="1"/>
  <c r="P176" i="1" s="1"/>
  <c r="V176" i="1" s="1"/>
  <c r="D176" i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AB177" i="1"/>
  <c r="U177" i="1"/>
  <c r="T177" i="1" s="1"/>
  <c r="S177" i="1" s="1"/>
  <c r="R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B174" i="6" s="1"/>
  <c r="G174" i="1"/>
  <c r="BW174" i="6" s="1"/>
  <c r="K169" i="25"/>
  <c r="X169" i="25"/>
  <c r="AB169" i="25"/>
  <c r="A170" i="25"/>
  <c r="L169" i="25"/>
  <c r="AJ169" i="25"/>
  <c r="O169" i="25"/>
  <c r="AK169" i="25"/>
  <c r="AC169" i="25"/>
  <c r="P177" i="1" l="1"/>
  <c r="V177" i="1" s="1"/>
  <c r="E176" i="1"/>
  <c r="BF178" i="1"/>
  <c r="L176" i="15"/>
  <c r="O176" i="15"/>
  <c r="A177" i="15"/>
  <c r="AK176" i="15"/>
  <c r="X176" i="15"/>
  <c r="AJ176" i="15"/>
  <c r="K176" i="15"/>
  <c r="AB176" i="15"/>
  <c r="AC176" i="15"/>
  <c r="L176" i="16"/>
  <c r="K176" i="16"/>
  <c r="AK176" i="16"/>
  <c r="AC176" i="16"/>
  <c r="X176" i="16"/>
  <c r="A177" i="16"/>
  <c r="AB176" i="16"/>
  <c r="AJ176" i="16"/>
  <c r="O176" i="16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F176" i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B175" i="6" s="1"/>
  <c r="G175" i="1"/>
  <c r="BW175" i="6" s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D177" i="1"/>
  <c r="E177" i="1"/>
  <c r="X178" i="1"/>
  <c r="O178" i="1"/>
  <c r="AC178" i="1"/>
  <c r="AK178" i="1"/>
  <c r="A179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BF179" i="1" l="1"/>
  <c r="A178" i="15"/>
  <c r="O177" i="15"/>
  <c r="L177" i="15"/>
  <c r="AJ177" i="15"/>
  <c r="X177" i="15"/>
  <c r="AK177" i="15"/>
  <c r="K177" i="15"/>
  <c r="AB177" i="15"/>
  <c r="AC177" i="15"/>
  <c r="AB177" i="16"/>
  <c r="L177" i="16"/>
  <c r="A178" i="16"/>
  <c r="AK177" i="16"/>
  <c r="O177" i="16"/>
  <c r="X177" i="16"/>
  <c r="K177" i="16"/>
  <c r="AJ177" i="16"/>
  <c r="AC177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AB179" i="1"/>
  <c r="O179" i="1"/>
  <c r="U179" i="1"/>
  <c r="T179" i="1" s="1"/>
  <c r="X177" i="17"/>
  <c r="K177" i="17"/>
  <c r="A178" i="17"/>
  <c r="L177" i="17"/>
  <c r="AB177" i="17"/>
  <c r="AJ177" i="17"/>
  <c r="AK177" i="17"/>
  <c r="O177" i="17"/>
  <c r="AC177" i="17"/>
  <c r="D178" i="1"/>
  <c r="V178" i="1"/>
  <c r="F177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B176" i="6" s="1"/>
  <c r="AA176" i="1"/>
  <c r="Z176" i="1" s="1"/>
  <c r="Y176" i="1" s="1"/>
  <c r="G176" i="1"/>
  <c r="BW176" i="6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E178" i="1" l="1"/>
  <c r="F178" i="1" s="1"/>
  <c r="BF180" i="1"/>
  <c r="L178" i="15"/>
  <c r="AC178" i="15"/>
  <c r="X178" i="15"/>
  <c r="AJ178" i="15"/>
  <c r="A179" i="15"/>
  <c r="AK178" i="15"/>
  <c r="K178" i="15"/>
  <c r="AB178" i="15"/>
  <c r="O178" i="15"/>
  <c r="K178" i="16"/>
  <c r="A179" i="16"/>
  <c r="L178" i="16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G177" i="1"/>
  <c r="BW177" i="6" s="1"/>
  <c r="AA177" i="1"/>
  <c r="Z177" i="1" s="1"/>
  <c r="Y177" i="1" s="1"/>
  <c r="I177" i="1"/>
  <c r="B177" i="6" s="1"/>
  <c r="S179" i="1"/>
  <c r="R179" i="1" s="1"/>
  <c r="P179" i="1" s="1"/>
  <c r="V179" i="1" s="1"/>
  <c r="A25" i="7"/>
  <c r="O180" i="1"/>
  <c r="C25" i="7" s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K178" i="17"/>
  <c r="X178" i="17"/>
  <c r="AB178" i="17"/>
  <c r="A179" i="17"/>
  <c r="L178" i="17"/>
  <c r="AJ178" i="17"/>
  <c r="O178" i="17"/>
  <c r="AK178" i="17"/>
  <c r="AC178" i="17"/>
  <c r="D179" i="1"/>
  <c r="E179" i="1" l="1"/>
  <c r="F179" i="1" s="1"/>
  <c r="BF181" i="1"/>
  <c r="G178" i="1"/>
  <c r="BW178" i="6" s="1"/>
  <c r="AA178" i="1"/>
  <c r="Z178" i="1" s="1"/>
  <c r="Y178" i="1" s="1"/>
  <c r="I178" i="1"/>
  <c r="B178" i="6" s="1"/>
  <c r="A180" i="15"/>
  <c r="AJ179" i="15"/>
  <c r="K179" i="15"/>
  <c r="X179" i="15"/>
  <c r="AC179" i="15"/>
  <c r="L179" i="15"/>
  <c r="O179" i="15"/>
  <c r="AB179" i="15"/>
  <c r="AK179" i="15"/>
  <c r="X179" i="16"/>
  <c r="K179" i="16"/>
  <c r="AJ179" i="16"/>
  <c r="AC179" i="16"/>
  <c r="A180" i="16"/>
  <c r="L179" i="16"/>
  <c r="AB179" i="16"/>
  <c r="AK179" i="16"/>
  <c r="O179" i="16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O181" i="1"/>
  <c r="U181" i="1"/>
  <c r="X176" i="22"/>
  <c r="K176" i="22"/>
  <c r="AB176" i="22"/>
  <c r="L176" i="22"/>
  <c r="A177" i="22"/>
  <c r="AJ176" i="22"/>
  <c r="AK176" i="22"/>
  <c r="O176" i="22"/>
  <c r="AC176" i="22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D180" i="1"/>
  <c r="AB174" i="24"/>
  <c r="A175" i="24"/>
  <c r="X174" i="24"/>
  <c r="L174" i="24"/>
  <c r="K174" i="24"/>
  <c r="AK174" i="24"/>
  <c r="O174" i="24"/>
  <c r="AJ174" i="24"/>
  <c r="AC174" i="24"/>
  <c r="E180" i="1" l="1"/>
  <c r="BF182" i="1"/>
  <c r="A181" i="15"/>
  <c r="L180" i="15"/>
  <c r="O180" i="15"/>
  <c r="C37" i="7" s="1"/>
  <c r="K180" i="15"/>
  <c r="AK180" i="15"/>
  <c r="AB180" i="15"/>
  <c r="AJ180" i="15"/>
  <c r="X180" i="15"/>
  <c r="A37" i="7"/>
  <c r="AC180" i="15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AB176" i="23"/>
  <c r="K176" i="23"/>
  <c r="A177" i="23"/>
  <c r="L176" i="23"/>
  <c r="X176" i="23"/>
  <c r="AJ176" i="23"/>
  <c r="AK176" i="23"/>
  <c r="O176" i="23"/>
  <c r="AC176" i="23"/>
  <c r="T181" i="1"/>
  <c r="D181" i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B179" i="6" s="1"/>
  <c r="G179" i="1"/>
  <c r="BW179" i="6" s="1"/>
  <c r="E181" i="1" l="1"/>
  <c r="BF183" i="1"/>
  <c r="F180" i="1"/>
  <c r="B37" i="7"/>
  <c r="O181" i="15"/>
  <c r="K181" i="15"/>
  <c r="AK181" i="15"/>
  <c r="L181" i="15"/>
  <c r="A182" i="15"/>
  <c r="AB181" i="15"/>
  <c r="X181" i="15"/>
  <c r="AC181" i="15"/>
  <c r="AJ181" i="15"/>
  <c r="B49" i="7"/>
  <c r="AB181" i="16"/>
  <c r="K181" i="16"/>
  <c r="AK181" i="16"/>
  <c r="AC181" i="16"/>
  <c r="X181" i="16"/>
  <c r="L181" i="16"/>
  <c r="A182" i="16"/>
  <c r="AJ181" i="16"/>
  <c r="O181" i="16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AK183" i="1"/>
  <c r="U183" i="1"/>
  <c r="T183" i="1" s="1"/>
  <c r="D182" i="1"/>
  <c r="K178" i="22"/>
  <c r="AB178" i="22"/>
  <c r="X178" i="22"/>
  <c r="A179" i="22"/>
  <c r="L178" i="22"/>
  <c r="AK178" i="22"/>
  <c r="AJ178" i="22"/>
  <c r="O178" i="22"/>
  <c r="AC178" i="22"/>
  <c r="BF184" i="1" l="1"/>
  <c r="V181" i="1"/>
  <c r="F181" i="1" s="1"/>
  <c r="E182" i="1"/>
  <c r="I180" i="1"/>
  <c r="B180" i="6" s="1"/>
  <c r="G180" i="1"/>
  <c r="BW180" i="6" s="1"/>
  <c r="AA180" i="1"/>
  <c r="Z180" i="1" s="1"/>
  <c r="Y180" i="1" s="1"/>
  <c r="L182" i="15"/>
  <c r="AK182" i="15"/>
  <c r="A183" i="15"/>
  <c r="AJ182" i="15"/>
  <c r="K182" i="15"/>
  <c r="X182" i="15"/>
  <c r="O182" i="15"/>
  <c r="AB182" i="15"/>
  <c r="AC182" i="15"/>
  <c r="A183" i="16"/>
  <c r="L182" i="16"/>
  <c r="AJ182" i="16"/>
  <c r="AC182" i="16"/>
  <c r="K182" i="16"/>
  <c r="AB182" i="16"/>
  <c r="X182" i="16"/>
  <c r="AK182" i="16"/>
  <c r="O182" i="16"/>
  <c r="F182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D183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BF185" i="1" l="1"/>
  <c r="E183" i="1"/>
  <c r="F183" i="1" s="1"/>
  <c r="I181" i="1"/>
  <c r="B181" i="6" s="1"/>
  <c r="G181" i="1"/>
  <c r="BW181" i="6" s="1"/>
  <c r="AA181" i="1"/>
  <c r="Z181" i="1" s="1"/>
  <c r="Y181" i="1" s="1"/>
  <c r="P184" i="1"/>
  <c r="V184" i="1" s="1"/>
  <c r="A184" i="15"/>
  <c r="X183" i="15"/>
  <c r="AC183" i="15"/>
  <c r="AB183" i="15"/>
  <c r="O183" i="15"/>
  <c r="L183" i="15"/>
  <c r="AJ183" i="15"/>
  <c r="K183" i="15"/>
  <c r="AK183" i="15"/>
  <c r="L183" i="16"/>
  <c r="AB183" i="16"/>
  <c r="X183" i="16"/>
  <c r="AK183" i="16"/>
  <c r="O183" i="16"/>
  <c r="A184" i="16"/>
  <c r="K183" i="16"/>
  <c r="AJ183" i="16"/>
  <c r="AC183" i="16"/>
  <c r="K181" i="20"/>
  <c r="AB181" i="20"/>
  <c r="L181" i="20"/>
  <c r="X181" i="20"/>
  <c r="A182" i="20"/>
  <c r="AJ181" i="20"/>
  <c r="AK181" i="20"/>
  <c r="O181" i="20"/>
  <c r="AC181" i="20"/>
  <c r="D184" i="1"/>
  <c r="AE37" i="7"/>
  <c r="AB180" i="22"/>
  <c r="A181" i="22"/>
  <c r="X180" i="22"/>
  <c r="K180" i="22"/>
  <c r="L180" i="22"/>
  <c r="AJ180" i="22"/>
  <c r="AK180" i="22"/>
  <c r="O180" i="22"/>
  <c r="AG37" i="7" s="1"/>
  <c r="AC180" i="22"/>
  <c r="K178" i="24"/>
  <c r="X178" i="24"/>
  <c r="AB178" i="24"/>
  <c r="A179" i="24"/>
  <c r="L178" i="24"/>
  <c r="AJ178" i="24"/>
  <c r="AK178" i="24"/>
  <c r="O178" i="24"/>
  <c r="AC178" i="24"/>
  <c r="I182" i="1"/>
  <c r="B182" i="6" s="1"/>
  <c r="AA182" i="1"/>
  <c r="Z182" i="1" s="1"/>
  <c r="Y182" i="1" s="1"/>
  <c r="G182" i="1"/>
  <c r="BW182" i="6" s="1"/>
  <c r="A183" i="18"/>
  <c r="L182" i="18"/>
  <c r="K182" i="18"/>
  <c r="AB182" i="18"/>
  <c r="X182" i="18"/>
  <c r="AJ182" i="18"/>
  <c r="O182" i="18"/>
  <c r="AK182" i="18"/>
  <c r="AC182" i="18"/>
  <c r="AF25" i="7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BF186" i="1" l="1"/>
  <c r="E184" i="1"/>
  <c r="F184" i="1" s="1"/>
  <c r="I183" i="1"/>
  <c r="B183" i="6" s="1"/>
  <c r="AA183" i="1"/>
  <c r="Z183" i="1" s="1"/>
  <c r="Y183" i="1" s="1"/>
  <c r="G183" i="1"/>
  <c r="BW183" i="6" s="1"/>
  <c r="K184" i="15"/>
  <c r="X184" i="15"/>
  <c r="AC184" i="15"/>
  <c r="AB184" i="15"/>
  <c r="O184" i="15"/>
  <c r="L184" i="15"/>
  <c r="AJ184" i="15"/>
  <c r="A185" i="15"/>
  <c r="AK184" i="15"/>
  <c r="AB184" i="16"/>
  <c r="K184" i="16"/>
  <c r="AK184" i="16"/>
  <c r="AC184" i="16"/>
  <c r="A185" i="16"/>
  <c r="L184" i="16"/>
  <c r="X184" i="16"/>
  <c r="AJ184" i="16"/>
  <c r="O184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K182" i="20"/>
  <c r="A183" i="20"/>
  <c r="L182" i="20"/>
  <c r="X182" i="20"/>
  <c r="AB182" i="20"/>
  <c r="AJ182" i="20"/>
  <c r="AK182" i="20"/>
  <c r="O182" i="20"/>
  <c r="AC182" i="20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AB186" i="1"/>
  <c r="X186" i="1"/>
  <c r="AJ186" i="1"/>
  <c r="K186" i="1"/>
  <c r="AK186" i="1"/>
  <c r="AC186" i="1"/>
  <c r="U186" i="1"/>
  <c r="D185" i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E185" i="1" l="1"/>
  <c r="F185" i="1" s="1"/>
  <c r="BF187" i="1"/>
  <c r="AA184" i="1"/>
  <c r="Z184" i="1" s="1"/>
  <c r="Y184" i="1" s="1"/>
  <c r="I184" i="1"/>
  <c r="B184" i="6" s="1"/>
  <c r="G184" i="1"/>
  <c r="BW184" i="6" s="1"/>
  <c r="AB185" i="15"/>
  <c r="AK185" i="15"/>
  <c r="A186" i="15"/>
  <c r="X185" i="15"/>
  <c r="O185" i="15"/>
  <c r="L185" i="15"/>
  <c r="AC185" i="15"/>
  <c r="K185" i="15"/>
  <c r="AJ185" i="15"/>
  <c r="K185" i="16"/>
  <c r="A186" i="16"/>
  <c r="L185" i="16"/>
  <c r="AK185" i="16"/>
  <c r="O185" i="16"/>
  <c r="X185" i="16"/>
  <c r="AB185" i="16"/>
  <c r="AJ185" i="16"/>
  <c r="AC185" i="16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D186" i="1"/>
  <c r="AB185" i="17"/>
  <c r="X185" i="17"/>
  <c r="L185" i="17"/>
  <c r="A186" i="17"/>
  <c r="K185" i="17"/>
  <c r="AJ185" i="17"/>
  <c r="O185" i="17"/>
  <c r="AK185" i="17"/>
  <c r="AC185" i="17"/>
  <c r="AF49" i="7"/>
  <c r="E186" i="1" l="1"/>
  <c r="BF188" i="1"/>
  <c r="AB186" i="15"/>
  <c r="AJ186" i="15"/>
  <c r="X186" i="15"/>
  <c r="AK186" i="15"/>
  <c r="L186" i="15"/>
  <c r="K186" i="15"/>
  <c r="O186" i="15"/>
  <c r="A187" i="15"/>
  <c r="AC186" i="15"/>
  <c r="A187" i="16"/>
  <c r="AB186" i="16"/>
  <c r="AJ186" i="16"/>
  <c r="AC186" i="16"/>
  <c r="X186" i="16"/>
  <c r="L186" i="16"/>
  <c r="K186" i="16"/>
  <c r="AK186" i="16"/>
  <c r="O186" i="16"/>
  <c r="G185" i="1"/>
  <c r="BW185" i="6" s="1"/>
  <c r="AA185" i="1"/>
  <c r="Z185" i="1" s="1"/>
  <c r="Y185" i="1" s="1"/>
  <c r="I185" i="1"/>
  <c r="B185" i="6" s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D187" i="1"/>
  <c r="AJ188" i="1"/>
  <c r="Q188" i="1"/>
  <c r="AK188" i="1"/>
  <c r="A189" i="1"/>
  <c r="X188" i="1"/>
  <c r="O188" i="1"/>
  <c r="AB188" i="1"/>
  <c r="AC188" i="1"/>
  <c r="K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BF189" i="1" l="1"/>
  <c r="E187" i="1"/>
  <c r="A188" i="15"/>
  <c r="K187" i="15"/>
  <c r="O187" i="15"/>
  <c r="AB187" i="15"/>
  <c r="AC187" i="15"/>
  <c r="X187" i="15"/>
  <c r="AK187" i="15"/>
  <c r="L187" i="15"/>
  <c r="AJ187" i="15"/>
  <c r="F187" i="1"/>
  <c r="A188" i="16"/>
  <c r="AB187" i="16"/>
  <c r="K187" i="16"/>
  <c r="AK187" i="16"/>
  <c r="O187" i="16"/>
  <c r="L187" i="16"/>
  <c r="X187" i="16"/>
  <c r="AJ187" i="16"/>
  <c r="AC187" i="16"/>
  <c r="V186" i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D188" i="1"/>
  <c r="AJ189" i="1"/>
  <c r="A190" i="1"/>
  <c r="AK189" i="1"/>
  <c r="Q189" i="1"/>
  <c r="K189" i="1"/>
  <c r="X189" i="1"/>
  <c r="AC189" i="1"/>
  <c r="AB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BF190" i="1" l="1"/>
  <c r="E188" i="1"/>
  <c r="F188" i="1" s="1"/>
  <c r="G187" i="1"/>
  <c r="BW187" i="6" s="1"/>
  <c r="F186" i="1"/>
  <c r="AA187" i="1"/>
  <c r="Z187" i="1" s="1"/>
  <c r="Y187" i="1" s="1"/>
  <c r="I187" i="1"/>
  <c r="B187" i="6" s="1"/>
  <c r="A189" i="15"/>
  <c r="K188" i="15"/>
  <c r="O188" i="15"/>
  <c r="AB188" i="15"/>
  <c r="AC188" i="15"/>
  <c r="L188" i="15"/>
  <c r="AJ188" i="15"/>
  <c r="X188" i="15"/>
  <c r="AK188" i="15"/>
  <c r="L188" i="16"/>
  <c r="K188" i="16"/>
  <c r="A189" i="16"/>
  <c r="AK188" i="16"/>
  <c r="O188" i="16"/>
  <c r="X188" i="16"/>
  <c r="AB188" i="16"/>
  <c r="AJ188" i="16"/>
  <c r="AC188" i="16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U190" i="1"/>
  <c r="T190" i="1" s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D189" i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BF191" i="1" l="1"/>
  <c r="I186" i="1"/>
  <c r="B186" i="6" s="1"/>
  <c r="E189" i="1"/>
  <c r="F189" i="1" s="1"/>
  <c r="G186" i="1"/>
  <c r="BW186" i="6" s="1"/>
  <c r="AA186" i="1"/>
  <c r="Z186" i="1" s="1"/>
  <c r="Y186" i="1" s="1"/>
  <c r="X189" i="15"/>
  <c r="K189" i="15"/>
  <c r="AC189" i="15"/>
  <c r="A190" i="15"/>
  <c r="O189" i="15"/>
  <c r="AB189" i="15"/>
  <c r="AK189" i="15"/>
  <c r="L189" i="15"/>
  <c r="AJ189" i="15"/>
  <c r="A190" i="16"/>
  <c r="L189" i="16"/>
  <c r="K189" i="16"/>
  <c r="AK189" i="16"/>
  <c r="O189" i="16"/>
  <c r="AB189" i="16"/>
  <c r="X189" i="16"/>
  <c r="AJ189" i="16"/>
  <c r="AC189" i="16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G188" i="1"/>
  <c r="BW188" i="6" s="1"/>
  <c r="I188" i="1"/>
  <c r="B188" i="6" s="1"/>
  <c r="AA188" i="1"/>
  <c r="Z188" i="1" s="1"/>
  <c r="Y188" i="1" s="1"/>
  <c r="D190" i="1"/>
  <c r="K191" i="1"/>
  <c r="AJ191" i="1"/>
  <c r="AB191" i="1"/>
  <c r="AK191" i="1"/>
  <c r="Q191" i="1"/>
  <c r="A192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X184" i="24"/>
  <c r="K184" i="24"/>
  <c r="A185" i="24"/>
  <c r="AB184" i="24"/>
  <c r="L184" i="24"/>
  <c r="AK184" i="24"/>
  <c r="AJ184" i="24"/>
  <c r="O184" i="24"/>
  <c r="AC184" i="24"/>
  <c r="BF192" i="1" l="1"/>
  <c r="E190" i="1"/>
  <c r="G189" i="1"/>
  <c r="BW189" i="6" s="1"/>
  <c r="F190" i="1"/>
  <c r="AA189" i="1"/>
  <c r="Z189" i="1" s="1"/>
  <c r="Y189" i="1" s="1"/>
  <c r="I189" i="1"/>
  <c r="B189" i="6" s="1"/>
  <c r="X190" i="15"/>
  <c r="L190" i="15"/>
  <c r="AC190" i="15"/>
  <c r="A191" i="15"/>
  <c r="O190" i="15"/>
  <c r="AB190" i="15"/>
  <c r="AK190" i="15"/>
  <c r="K190" i="15"/>
  <c r="AJ190" i="15"/>
  <c r="A191" i="16"/>
  <c r="L190" i="16"/>
  <c r="AK190" i="16"/>
  <c r="AC190" i="16"/>
  <c r="K190" i="16"/>
  <c r="X190" i="16"/>
  <c r="AB190" i="16"/>
  <c r="AJ190" i="16"/>
  <c r="O190" i="16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AC192" i="1"/>
  <c r="K192" i="1"/>
  <c r="U192" i="1"/>
  <c r="T192" i="1" s="1"/>
  <c r="S192" i="1" s="1"/>
  <c r="R192" i="1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D191" i="1"/>
  <c r="A191" i="17"/>
  <c r="K190" i="17"/>
  <c r="X190" i="17"/>
  <c r="L190" i="17"/>
  <c r="AB190" i="17"/>
  <c r="AJ190" i="17"/>
  <c r="O190" i="17"/>
  <c r="AK190" i="17"/>
  <c r="AC190" i="17"/>
  <c r="P192" i="1" l="1"/>
  <c r="G190" i="1"/>
  <c r="BW190" i="6" s="1"/>
  <c r="E191" i="1"/>
  <c r="F191" i="1" s="1"/>
  <c r="BF193" i="1"/>
  <c r="I190" i="1"/>
  <c r="B190" i="6" s="1"/>
  <c r="AA190" i="1"/>
  <c r="Z190" i="1" s="1"/>
  <c r="Y190" i="1" s="1"/>
  <c r="K191" i="15"/>
  <c r="AK191" i="15"/>
  <c r="L191" i="15"/>
  <c r="AB191" i="15"/>
  <c r="AC191" i="15"/>
  <c r="A192" i="15"/>
  <c r="O191" i="15"/>
  <c r="X191" i="15"/>
  <c r="AJ191" i="15"/>
  <c r="A192" i="16"/>
  <c r="L191" i="16"/>
  <c r="K191" i="16"/>
  <c r="AK191" i="16"/>
  <c r="O191" i="16"/>
  <c r="X191" i="16"/>
  <c r="AJ191" i="16"/>
  <c r="AB191" i="16"/>
  <c r="AC191" i="16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D192" i="1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AK193" i="1"/>
  <c r="X193" i="1"/>
  <c r="AB193" i="1"/>
  <c r="AJ193" i="1"/>
  <c r="AC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BF194" i="1" l="1"/>
  <c r="E192" i="1"/>
  <c r="F192" i="1" s="1"/>
  <c r="K192" i="15"/>
  <c r="AJ192" i="15"/>
  <c r="X192" i="15"/>
  <c r="AK192" i="15"/>
  <c r="L192" i="15"/>
  <c r="A193" i="15"/>
  <c r="AC192" i="15"/>
  <c r="AB192" i="15"/>
  <c r="O192" i="15"/>
  <c r="X192" i="16"/>
  <c r="AB192" i="16"/>
  <c r="A193" i="16"/>
  <c r="AJ192" i="16"/>
  <c r="O192" i="16"/>
  <c r="K192" i="16"/>
  <c r="L192" i="16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U194" i="1"/>
  <c r="T194" i="1" s="1"/>
  <c r="D193" i="1"/>
  <c r="G191" i="1"/>
  <c r="BW191" i="6" s="1"/>
  <c r="I191" i="1"/>
  <c r="B191" i="6" s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E193" i="1" l="1"/>
  <c r="BF195" i="1"/>
  <c r="X193" i="15"/>
  <c r="O193" i="15"/>
  <c r="K193" i="15"/>
  <c r="AJ193" i="15"/>
  <c r="L193" i="15"/>
  <c r="AK193" i="15"/>
  <c r="AB193" i="15"/>
  <c r="A194" i="15"/>
  <c r="AC193" i="15"/>
  <c r="X193" i="16"/>
  <c r="L193" i="16"/>
  <c r="A194" i="16"/>
  <c r="AK193" i="16"/>
  <c r="O193" i="16"/>
  <c r="AB193" i="16"/>
  <c r="K193" i="16"/>
  <c r="AJ193" i="16"/>
  <c r="AC193" i="16"/>
  <c r="F193" i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G192" i="1"/>
  <c r="BW192" i="6" s="1"/>
  <c r="I192" i="1"/>
  <c r="B192" i="6" s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K187" i="25"/>
  <c r="A188" i="25"/>
  <c r="L187" i="25"/>
  <c r="X187" i="25"/>
  <c r="AB187" i="25"/>
  <c r="AJ187" i="25"/>
  <c r="AK187" i="25"/>
  <c r="O187" i="25"/>
  <c r="AC187" i="25"/>
  <c r="D194" i="1"/>
  <c r="AK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BF196" i="1" l="1"/>
  <c r="E194" i="1"/>
  <c r="AA193" i="1"/>
  <c r="Z193" i="1" s="1"/>
  <c r="Y193" i="1" s="1"/>
  <c r="I193" i="1"/>
  <c r="B193" i="6" s="1"/>
  <c r="K194" i="15"/>
  <c r="O194" i="15"/>
  <c r="AB194" i="15"/>
  <c r="AJ194" i="15"/>
  <c r="L194" i="15"/>
  <c r="AK194" i="15"/>
  <c r="A195" i="15"/>
  <c r="X194" i="15"/>
  <c r="AC194" i="15"/>
  <c r="P195" i="1"/>
  <c r="V195" i="1" s="1"/>
  <c r="G193" i="1"/>
  <c r="BW193" i="6" s="1"/>
  <c r="F194" i="1"/>
  <c r="X194" i="16"/>
  <c r="AB194" i="16"/>
  <c r="AK194" i="16"/>
  <c r="AC194" i="16"/>
  <c r="K194" i="16"/>
  <c r="L194" i="16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U196" i="1"/>
  <c r="T196" i="1" s="1"/>
  <c r="S196" i="1" s="1"/>
  <c r="R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5" i="1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K194" i="17"/>
  <c r="L194" i="17"/>
  <c r="X194" i="17"/>
  <c r="A195" i="17"/>
  <c r="AB194" i="17"/>
  <c r="AJ194" i="17"/>
  <c r="O194" i="17"/>
  <c r="AK194" i="17"/>
  <c r="AC194" i="17"/>
  <c r="E195" i="1" l="1"/>
  <c r="F195" i="1" s="1"/>
  <c r="BF197" i="1"/>
  <c r="AA194" i="1"/>
  <c r="Z194" i="1" s="1"/>
  <c r="Y194" i="1" s="1"/>
  <c r="G61" i="19"/>
  <c r="P196" i="1"/>
  <c r="V196" i="1" s="1"/>
  <c r="A196" i="15"/>
  <c r="X195" i="15"/>
  <c r="AC195" i="15"/>
  <c r="L195" i="15"/>
  <c r="O195" i="15"/>
  <c r="AB195" i="15"/>
  <c r="AJ195" i="15"/>
  <c r="K195" i="15"/>
  <c r="AK195" i="15"/>
  <c r="G194" i="1"/>
  <c r="BW194" i="6" s="1"/>
  <c r="I194" i="1"/>
  <c r="B194" i="6" s="1"/>
  <c r="K195" i="16"/>
  <c r="AB195" i="16"/>
  <c r="A196" i="16"/>
  <c r="AK195" i="16"/>
  <c r="O195" i="16"/>
  <c r="L195" i="16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D196" i="1"/>
  <c r="A196" i="17"/>
  <c r="X195" i="17"/>
  <c r="L195" i="17"/>
  <c r="K195" i="17"/>
  <c r="AB195" i="17"/>
  <c r="AJ195" i="17"/>
  <c r="AK195" i="17"/>
  <c r="O195" i="17"/>
  <c r="AC195" i="17"/>
  <c r="A195" i="18"/>
  <c r="AJ194" i="18"/>
  <c r="AB194" i="18"/>
  <c r="K194" i="18"/>
  <c r="X194" i="18"/>
  <c r="L194" i="18"/>
  <c r="O194" i="18"/>
  <c r="AK194" i="18"/>
  <c r="AC194" i="18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K197" i="1"/>
  <c r="U197" i="1"/>
  <c r="T197" i="1" s="1"/>
  <c r="S197" i="1" s="1"/>
  <c r="R197" i="1" s="1"/>
  <c r="BF198" i="1" l="1"/>
  <c r="E196" i="1"/>
  <c r="P197" i="1"/>
  <c r="AB196" i="15"/>
  <c r="O196" i="15"/>
  <c r="X196" i="15"/>
  <c r="AK196" i="15"/>
  <c r="L196" i="15"/>
  <c r="AJ196" i="15"/>
  <c r="K196" i="15"/>
  <c r="A197" i="15"/>
  <c r="AC196" i="15"/>
  <c r="L196" i="16"/>
  <c r="AB196" i="16"/>
  <c r="A197" i="16"/>
  <c r="AJ196" i="16"/>
  <c r="O196" i="16"/>
  <c r="K196" i="16"/>
  <c r="X196" i="16"/>
  <c r="AK196" i="16"/>
  <c r="AC196" i="16"/>
  <c r="D197" i="1"/>
  <c r="V197" i="1"/>
  <c r="E197" i="1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B195" i="6" s="1"/>
  <c r="G195" i="1"/>
  <c r="BW195" i="6" s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K196" i="17"/>
  <c r="X196" i="17"/>
  <c r="A197" i="17"/>
  <c r="L196" i="17"/>
  <c r="AB196" i="17"/>
  <c r="O196" i="17"/>
  <c r="AJ196" i="17"/>
  <c r="AK196" i="17"/>
  <c r="AC196" i="17"/>
  <c r="F196" i="1"/>
  <c r="A193" i="23"/>
  <c r="L192" i="23"/>
  <c r="AB192" i="23"/>
  <c r="X192" i="23"/>
  <c r="K192" i="23"/>
  <c r="AJ192" i="23"/>
  <c r="AK192" i="23"/>
  <c r="O192" i="23"/>
  <c r="AC192" i="23"/>
  <c r="BF199" i="1" l="1"/>
  <c r="A198" i="15"/>
  <c r="AK197" i="15"/>
  <c r="K197" i="15"/>
  <c r="L197" i="15"/>
  <c r="AC197" i="15"/>
  <c r="X197" i="15"/>
  <c r="O197" i="15"/>
  <c r="AB197" i="15"/>
  <c r="AJ197" i="15"/>
  <c r="X197" i="16"/>
  <c r="L197" i="16"/>
  <c r="AJ197" i="16"/>
  <c r="AC197" i="16"/>
  <c r="A198" i="16"/>
  <c r="K197" i="16"/>
  <c r="AB197" i="16"/>
  <c r="AK197" i="16"/>
  <c r="O197" i="16"/>
  <c r="G196" i="1"/>
  <c r="BW196" i="6" s="1"/>
  <c r="AA196" i="1"/>
  <c r="Z196" i="1" s="1"/>
  <c r="Y196" i="1" s="1"/>
  <c r="I196" i="1"/>
  <c r="B196" i="6" s="1"/>
  <c r="S198" i="1"/>
  <c r="R198" i="1" s="1"/>
  <c r="P198" i="1" s="1"/>
  <c r="V198" i="1" s="1"/>
  <c r="D198" i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AK199" i="1"/>
  <c r="AC199" i="1"/>
  <c r="X199" i="1"/>
  <c r="A200" i="1"/>
  <c r="O199" i="1"/>
  <c r="AB199" i="1"/>
  <c r="U199" i="1"/>
  <c r="T199" i="1" s="1"/>
  <c r="S199" i="1" s="1"/>
  <c r="R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F197" i="1"/>
  <c r="P199" i="1" l="1"/>
  <c r="BF200" i="1"/>
  <c r="E198" i="1"/>
  <c r="F198" i="1" s="1"/>
  <c r="AB198" i="15"/>
  <c r="K198" i="15"/>
  <c r="AC198" i="15"/>
  <c r="L198" i="15"/>
  <c r="O198" i="15"/>
  <c r="X198" i="15"/>
  <c r="AK198" i="15"/>
  <c r="A199" i="15"/>
  <c r="AJ198" i="15"/>
  <c r="L198" i="16"/>
  <c r="K198" i="16"/>
  <c r="AK198" i="16"/>
  <c r="AC198" i="16"/>
  <c r="AB198" i="16"/>
  <c r="A199" i="16"/>
  <c r="X198" i="16"/>
  <c r="AJ198" i="16"/>
  <c r="O198" i="16"/>
  <c r="AB197" i="18"/>
  <c r="K197" i="18"/>
  <c r="AJ197" i="18"/>
  <c r="X197" i="18"/>
  <c r="L197" i="18"/>
  <c r="A198" i="18"/>
  <c r="O197" i="18"/>
  <c r="AK197" i="18"/>
  <c r="AC197" i="18"/>
  <c r="AA197" i="1"/>
  <c r="Z197" i="1" s="1"/>
  <c r="Y197" i="1" s="1"/>
  <c r="G197" i="1"/>
  <c r="BW197" i="6" s="1"/>
  <c r="I197" i="1"/>
  <c r="B197" i="6" s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AC200" i="1"/>
  <c r="O200" i="1"/>
  <c r="X200" i="1"/>
  <c r="Q200" i="1"/>
  <c r="AK200" i="1"/>
  <c r="AJ200" i="1"/>
  <c r="A201" i="1"/>
  <c r="K200" i="1"/>
  <c r="AB200" i="1"/>
  <c r="U200" i="1"/>
  <c r="T200" i="1" s="1"/>
  <c r="D199" i="1"/>
  <c r="V199" i="1"/>
  <c r="AB193" i="24"/>
  <c r="X193" i="24"/>
  <c r="A194" i="24"/>
  <c r="K193" i="24"/>
  <c r="L193" i="24"/>
  <c r="AJ193" i="24"/>
  <c r="AK193" i="24"/>
  <c r="O193" i="24"/>
  <c r="AC193" i="24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E199" i="1" l="1"/>
  <c r="F199" i="1" s="1"/>
  <c r="BF201" i="1"/>
  <c r="L199" i="15"/>
  <c r="AK199" i="15"/>
  <c r="X199" i="15"/>
  <c r="AJ199" i="15"/>
  <c r="A200" i="15"/>
  <c r="AB199" i="15"/>
  <c r="AC199" i="15"/>
  <c r="K199" i="15"/>
  <c r="O199" i="15"/>
  <c r="K199" i="16"/>
  <c r="X199" i="16"/>
  <c r="A200" i="16"/>
  <c r="AK199" i="16"/>
  <c r="O199" i="16"/>
  <c r="AB199" i="16"/>
  <c r="L199" i="16"/>
  <c r="AJ199" i="16"/>
  <c r="AC199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B198" i="6" s="1"/>
  <c r="G198" i="1"/>
  <c r="BW198" i="6" s="1"/>
  <c r="S200" i="1"/>
  <c r="R200" i="1" s="1"/>
  <c r="P200" i="1" s="1"/>
  <c r="V200" i="1" s="1"/>
  <c r="D200" i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E200" i="1" l="1"/>
  <c r="F200" i="1" s="1"/>
  <c r="AA200" i="1" s="1"/>
  <c r="Z200" i="1" s="1"/>
  <c r="Y200" i="1" s="1"/>
  <c r="BF202" i="1"/>
  <c r="X200" i="15"/>
  <c r="AK200" i="15"/>
  <c r="A201" i="15"/>
  <c r="K200" i="15"/>
  <c r="AC200" i="15"/>
  <c r="AB200" i="15"/>
  <c r="O200" i="15"/>
  <c r="L200" i="15"/>
  <c r="AJ200" i="15"/>
  <c r="AB200" i="16"/>
  <c r="X200" i="16"/>
  <c r="A201" i="16"/>
  <c r="AK200" i="16"/>
  <c r="O200" i="16"/>
  <c r="K200" i="16"/>
  <c r="L200" i="16"/>
  <c r="AJ200" i="16"/>
  <c r="AC200" i="16"/>
  <c r="A195" i="25"/>
  <c r="AB194" i="25"/>
  <c r="X194" i="25"/>
  <c r="L194" i="25"/>
  <c r="K194" i="25"/>
  <c r="AJ194" i="25"/>
  <c r="O194" i="25"/>
  <c r="AK194" i="25"/>
  <c r="AC194" i="25"/>
  <c r="I199" i="1"/>
  <c r="B199" i="6" s="1"/>
  <c r="AA199" i="1"/>
  <c r="Z199" i="1" s="1"/>
  <c r="Y199" i="1" s="1"/>
  <c r="G199" i="1"/>
  <c r="BW199" i="6" s="1"/>
  <c r="S201" i="1"/>
  <c r="R201" i="1" s="1"/>
  <c r="P201" i="1" s="1"/>
  <c r="V201" i="1" s="1"/>
  <c r="D201" i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K196" i="23"/>
  <c r="L196" i="23"/>
  <c r="A197" i="23"/>
  <c r="AB196" i="23"/>
  <c r="X196" i="23"/>
  <c r="AJ196" i="23"/>
  <c r="AK196" i="23"/>
  <c r="O196" i="23"/>
  <c r="AC196" i="23"/>
  <c r="BF203" i="1" l="1"/>
  <c r="E201" i="1"/>
  <c r="G200" i="1"/>
  <c r="BW200" i="6" s="1"/>
  <c r="I200" i="1"/>
  <c r="B200" i="6" s="1"/>
  <c r="A202" i="15"/>
  <c r="AB201" i="15"/>
  <c r="O201" i="15"/>
  <c r="L201" i="15"/>
  <c r="AC201" i="15"/>
  <c r="X201" i="15"/>
  <c r="AJ201" i="15"/>
  <c r="K201" i="15"/>
  <c r="AK201" i="15"/>
  <c r="AJ201" i="16"/>
  <c r="A202" i="16"/>
  <c r="AB201" i="16"/>
  <c r="X201" i="16"/>
  <c r="AK201" i="16"/>
  <c r="O201" i="16"/>
  <c r="K201" i="16"/>
  <c r="L201" i="16"/>
  <c r="AC201" i="16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Q203" i="1"/>
  <c r="AK203" i="1"/>
  <c r="AC203" i="1"/>
  <c r="AB203" i="1"/>
  <c r="O203" i="1"/>
  <c r="K203" i="1"/>
  <c r="X203" i="1"/>
  <c r="A204" i="1"/>
  <c r="U203" i="1"/>
  <c r="T203" i="1" s="1"/>
  <c r="D202" i="1"/>
  <c r="F201" i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E202" i="1" l="1"/>
  <c r="BF204" i="1"/>
  <c r="AB202" i="15"/>
  <c r="K202" i="15"/>
  <c r="O202" i="15"/>
  <c r="X202" i="15"/>
  <c r="AC202" i="15"/>
  <c r="A203" i="15"/>
  <c r="AK202" i="15"/>
  <c r="L202" i="15"/>
  <c r="AJ202" i="15"/>
  <c r="K202" i="16"/>
  <c r="L202" i="16"/>
  <c r="AB202" i="16"/>
  <c r="AJ202" i="16"/>
  <c r="O202" i="16"/>
  <c r="X202" i="16"/>
  <c r="A203" i="16"/>
  <c r="AK202" i="16"/>
  <c r="AC202" i="16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G201" i="1"/>
  <c r="BW201" i="6" s="1"/>
  <c r="I201" i="1"/>
  <c r="B201" i="6" s="1"/>
  <c r="X204" i="1"/>
  <c r="O204" i="1"/>
  <c r="Q204" i="1"/>
  <c r="A205" i="1"/>
  <c r="AB204" i="1"/>
  <c r="AC204" i="1"/>
  <c r="AJ204" i="1"/>
  <c r="K204" i="1"/>
  <c r="AK204" i="1"/>
  <c r="U204" i="1"/>
  <c r="T204" i="1" s="1"/>
  <c r="D203" i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E203" i="1" l="1"/>
  <c r="BF205" i="1"/>
  <c r="F202" i="1"/>
  <c r="A204" i="15"/>
  <c r="AK203" i="15"/>
  <c r="AB203" i="15"/>
  <c r="K203" i="15"/>
  <c r="AC203" i="15"/>
  <c r="X203" i="15"/>
  <c r="O203" i="15"/>
  <c r="L203" i="15"/>
  <c r="AJ203" i="15"/>
  <c r="A204" i="16"/>
  <c r="L203" i="16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F203" i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D204" i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O205" i="1"/>
  <c r="AB205" i="1"/>
  <c r="AC205" i="1"/>
  <c r="AK205" i="1"/>
  <c r="U205" i="1"/>
  <c r="T205" i="1" s="1"/>
  <c r="BF206" i="1" l="1"/>
  <c r="E204" i="1"/>
  <c r="F204" i="1" s="1"/>
  <c r="G202" i="1"/>
  <c r="BW202" i="6" s="1"/>
  <c r="AA202" i="1"/>
  <c r="Z202" i="1" s="1"/>
  <c r="Y202" i="1" s="1"/>
  <c r="I202" i="1"/>
  <c r="B202" i="6" s="1"/>
  <c r="A205" i="15"/>
  <c r="O204" i="15"/>
  <c r="X204" i="15"/>
  <c r="AJ204" i="15"/>
  <c r="AB204" i="15"/>
  <c r="AK204" i="15"/>
  <c r="L204" i="15"/>
  <c r="K204" i="15"/>
  <c r="AC204" i="15"/>
  <c r="A205" i="16"/>
  <c r="L204" i="16"/>
  <c r="AJ204" i="16"/>
  <c r="AC204" i="16"/>
  <c r="AB204" i="16"/>
  <c r="K204" i="16"/>
  <c r="X204" i="16"/>
  <c r="AK204" i="16"/>
  <c r="O204" i="16"/>
  <c r="S205" i="1"/>
  <c r="R205" i="1" s="1"/>
  <c r="P205" i="1" s="1"/>
  <c r="V205" i="1" s="1"/>
  <c r="AB206" i="1"/>
  <c r="X206" i="1"/>
  <c r="Q206" i="1"/>
  <c r="K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A205" i="17"/>
  <c r="AB204" i="17"/>
  <c r="K204" i="17"/>
  <c r="L204" i="17"/>
  <c r="X204" i="17"/>
  <c r="AK204" i="17"/>
  <c r="AJ204" i="17"/>
  <c r="O204" i="17"/>
  <c r="AC204" i="17"/>
  <c r="G203" i="1"/>
  <c r="BW203" i="6" s="1"/>
  <c r="AA203" i="1"/>
  <c r="Z203" i="1" s="1"/>
  <c r="Y203" i="1" s="1"/>
  <c r="I203" i="1"/>
  <c r="B203" i="6" s="1"/>
  <c r="AB203" i="18"/>
  <c r="K203" i="18"/>
  <c r="AJ203" i="18"/>
  <c r="A204" i="18"/>
  <c r="L203" i="18"/>
  <c r="X203" i="18"/>
  <c r="AK203" i="18"/>
  <c r="O203" i="18"/>
  <c r="AC203" i="18"/>
  <c r="D205" i="1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A203" i="20"/>
  <c r="X202" i="20"/>
  <c r="L202" i="20"/>
  <c r="AB202" i="20"/>
  <c r="K202" i="20"/>
  <c r="AJ202" i="20"/>
  <c r="AK202" i="20"/>
  <c r="O202" i="20"/>
  <c r="AC202" i="20"/>
  <c r="E205" i="1" l="1"/>
  <c r="F205" i="1" s="1"/>
  <c r="I205" i="1" s="1"/>
  <c r="B205" i="6" s="1"/>
  <c r="BF207" i="1"/>
  <c r="A206" i="15"/>
  <c r="AC205" i="15"/>
  <c r="K205" i="15"/>
  <c r="AK205" i="15"/>
  <c r="AB205" i="15"/>
  <c r="AJ205" i="15"/>
  <c r="L205" i="15"/>
  <c r="X205" i="15"/>
  <c r="O205" i="15"/>
  <c r="K205" i="16"/>
  <c r="L205" i="16"/>
  <c r="AB205" i="16"/>
  <c r="AJ205" i="16"/>
  <c r="O205" i="16"/>
  <c r="X205" i="16"/>
  <c r="A206" i="16"/>
  <c r="AK205" i="16"/>
  <c r="AC205" i="16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A201" i="24"/>
  <c r="X200" i="24"/>
  <c r="AB200" i="24"/>
  <c r="K200" i="24"/>
  <c r="L200" i="24"/>
  <c r="AK200" i="24"/>
  <c r="O200" i="24"/>
  <c r="AJ200" i="24"/>
  <c r="AC200" i="24"/>
  <c r="I204" i="1"/>
  <c r="B204" i="6" s="1"/>
  <c r="AA204" i="1"/>
  <c r="Z204" i="1" s="1"/>
  <c r="Y204" i="1" s="1"/>
  <c r="G204" i="1"/>
  <c r="BW204" i="6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D206" i="1"/>
  <c r="BF208" i="1" l="1"/>
  <c r="G205" i="1"/>
  <c r="BW205" i="6" s="1"/>
  <c r="E206" i="1"/>
  <c r="F206" i="1" s="1"/>
  <c r="AA205" i="1"/>
  <c r="Z205" i="1" s="1"/>
  <c r="Y205" i="1" s="1"/>
  <c r="L206" i="15"/>
  <c r="AK206" i="15"/>
  <c r="K206" i="15"/>
  <c r="AJ206" i="15"/>
  <c r="X206" i="15"/>
  <c r="AB206" i="15"/>
  <c r="AC206" i="15"/>
  <c r="A207" i="15"/>
  <c r="O206" i="15"/>
  <c r="AB206" i="16"/>
  <c r="A207" i="16"/>
  <c r="L206" i="16"/>
  <c r="AK206" i="16"/>
  <c r="O206" i="16"/>
  <c r="K206" i="16"/>
  <c r="X206" i="16"/>
  <c r="AJ206" i="16"/>
  <c r="AC206" i="16"/>
  <c r="AK208" i="1"/>
  <c r="A209" i="1"/>
  <c r="AJ208" i="1"/>
  <c r="AB208" i="1"/>
  <c r="X208" i="1"/>
  <c r="O208" i="1"/>
  <c r="AC208" i="1"/>
  <c r="K208" i="1"/>
  <c r="Q208" i="1"/>
  <c r="U208" i="1"/>
  <c r="T208" i="1" s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D207" i="1"/>
  <c r="V207" i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BF209" i="1" l="1"/>
  <c r="E207" i="1"/>
  <c r="AB207" i="15"/>
  <c r="K207" i="15"/>
  <c r="O207" i="15"/>
  <c r="X207" i="15"/>
  <c r="AC207" i="15"/>
  <c r="A208" i="15"/>
  <c r="AJ207" i="15"/>
  <c r="L207" i="15"/>
  <c r="AK207" i="15"/>
  <c r="K207" i="16"/>
  <c r="L207" i="16"/>
  <c r="X207" i="16"/>
  <c r="AK207" i="16"/>
  <c r="O207" i="16"/>
  <c r="AB207" i="16"/>
  <c r="A208" i="16"/>
  <c r="AJ207" i="16"/>
  <c r="AC207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B206" i="6" s="1"/>
  <c r="AA206" i="1"/>
  <c r="Z206" i="1" s="1"/>
  <c r="Y206" i="1" s="1"/>
  <c r="G206" i="1"/>
  <c r="BW206" i="6" s="1"/>
  <c r="S208" i="1"/>
  <c r="R208" i="1" s="1"/>
  <c r="P208" i="1" s="1"/>
  <c r="V208" i="1" s="1"/>
  <c r="D208" i="1"/>
  <c r="E208" i="1" l="1"/>
  <c r="F208" i="1" s="1"/>
  <c r="BF210" i="1"/>
  <c r="F207" i="1"/>
  <c r="I207" i="1" s="1"/>
  <c r="B207" i="6" s="1"/>
  <c r="L208" i="15"/>
  <c r="K208" i="15"/>
  <c r="A209" i="15"/>
  <c r="O208" i="15"/>
  <c r="AK208" i="15"/>
  <c r="AC208" i="15"/>
  <c r="AB208" i="15"/>
  <c r="AJ208" i="15"/>
  <c r="X208" i="15"/>
  <c r="L208" i="16"/>
  <c r="K208" i="16"/>
  <c r="X208" i="16"/>
  <c r="AK208" i="16"/>
  <c r="O208" i="16"/>
  <c r="A209" i="16"/>
  <c r="AB208" i="16"/>
  <c r="AJ208" i="16"/>
  <c r="AC208" i="16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A26" i="7"/>
  <c r="AK210" i="1"/>
  <c r="A211" i="1"/>
  <c r="Q210" i="1"/>
  <c r="AJ210" i="1"/>
  <c r="U210" i="1"/>
  <c r="D209" i="1"/>
  <c r="K204" i="23"/>
  <c r="A205" i="23"/>
  <c r="L204" i="23"/>
  <c r="AB204" i="23"/>
  <c r="X204" i="23"/>
  <c r="AK204" i="23"/>
  <c r="AJ204" i="23"/>
  <c r="O204" i="23"/>
  <c r="AC204" i="23"/>
  <c r="AA207" i="1" l="1"/>
  <c r="Z207" i="1" s="1"/>
  <c r="Y207" i="1" s="1"/>
  <c r="E209" i="1"/>
  <c r="BF211" i="1"/>
  <c r="G207" i="1"/>
  <c r="BW207" i="6" s="1"/>
  <c r="X209" i="15"/>
  <c r="AK209" i="15"/>
  <c r="K209" i="15"/>
  <c r="AJ209" i="15"/>
  <c r="AB209" i="15"/>
  <c r="L209" i="15"/>
  <c r="AC209" i="15"/>
  <c r="A210" i="15"/>
  <c r="O209" i="15"/>
  <c r="X209" i="16"/>
  <c r="A210" i="16"/>
  <c r="L209" i="16"/>
  <c r="AK209" i="16"/>
  <c r="O209" i="16"/>
  <c r="K209" i="16"/>
  <c r="AB209" i="16"/>
  <c r="AJ209" i="16"/>
  <c r="AC209" i="16"/>
  <c r="AB205" i="23"/>
  <c r="A206" i="23"/>
  <c r="K205" i="23"/>
  <c r="L205" i="23"/>
  <c r="X205" i="23"/>
  <c r="AJ205" i="23"/>
  <c r="AK205" i="23"/>
  <c r="O205" i="23"/>
  <c r="AC205" i="23"/>
  <c r="F209" i="1"/>
  <c r="K211" i="1"/>
  <c r="AK211" i="1"/>
  <c r="X211" i="1"/>
  <c r="Q211" i="1"/>
  <c r="AC211" i="1"/>
  <c r="AB211" i="1"/>
  <c r="AJ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K207" i="20"/>
  <c r="L207" i="20"/>
  <c r="AB207" i="20"/>
  <c r="X207" i="20"/>
  <c r="A208" i="20"/>
  <c r="AJ207" i="20"/>
  <c r="AK207" i="20"/>
  <c r="O207" i="20"/>
  <c r="AC207" i="20"/>
  <c r="T210" i="1"/>
  <c r="B26" i="7"/>
  <c r="D210" i="1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G208" i="1"/>
  <c r="BW208" i="6" s="1"/>
  <c r="AA208" i="1"/>
  <c r="Z208" i="1" s="1"/>
  <c r="Y208" i="1" s="1"/>
  <c r="I208" i="1"/>
  <c r="B208" i="6" s="1"/>
  <c r="BF212" i="1" l="1"/>
  <c r="E210" i="1"/>
  <c r="A38" i="7"/>
  <c r="AB210" i="15"/>
  <c r="X210" i="15"/>
  <c r="O210" i="15"/>
  <c r="C38" i="7" s="1"/>
  <c r="L210" i="15"/>
  <c r="AK210" i="15"/>
  <c r="A211" i="15"/>
  <c r="AJ210" i="15"/>
  <c r="K210" i="15"/>
  <c r="AC210" i="15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D211" i="1"/>
  <c r="I209" i="1"/>
  <c r="B209" i="6" s="1"/>
  <c r="G209" i="1"/>
  <c r="BW209" i="6" s="1"/>
  <c r="AA209" i="1"/>
  <c r="Z209" i="1" s="1"/>
  <c r="Y209" i="1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BF213" i="1" l="1"/>
  <c r="E211" i="1"/>
  <c r="L211" i="15"/>
  <c r="K211" i="15"/>
  <c r="AC211" i="15"/>
  <c r="X211" i="15"/>
  <c r="O211" i="15"/>
  <c r="A212" i="15"/>
  <c r="AJ211" i="15"/>
  <c r="AB211" i="15"/>
  <c r="AK211" i="15"/>
  <c r="B38" i="7"/>
  <c r="B50" i="7"/>
  <c r="K211" i="16"/>
  <c r="X211" i="16"/>
  <c r="AK211" i="16"/>
  <c r="AC211" i="16"/>
  <c r="AB211" i="16"/>
  <c r="L211" i="16"/>
  <c r="A212" i="16"/>
  <c r="AJ211" i="16"/>
  <c r="O211" i="16"/>
  <c r="D26" i="7"/>
  <c r="V210" i="1"/>
  <c r="D212" i="1"/>
  <c r="E212" i="1" s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F211" i="1"/>
  <c r="AB205" i="25"/>
  <c r="X205" i="25"/>
  <c r="L205" i="25"/>
  <c r="K205" i="25"/>
  <c r="A206" i="25"/>
  <c r="AK205" i="25"/>
  <c r="AJ205" i="25"/>
  <c r="O205" i="25"/>
  <c r="AC205" i="25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A214" i="1"/>
  <c r="AB213" i="1"/>
  <c r="O213" i="1"/>
  <c r="Q213" i="1"/>
  <c r="AK213" i="1"/>
  <c r="AC213" i="1"/>
  <c r="AJ213" i="1"/>
  <c r="X213" i="1"/>
  <c r="U213" i="1"/>
  <c r="T213" i="1" s="1"/>
  <c r="AB206" i="24"/>
  <c r="A207" i="24"/>
  <c r="K206" i="24"/>
  <c r="L206" i="24"/>
  <c r="X206" i="24"/>
  <c r="AK206" i="24"/>
  <c r="AJ206" i="24"/>
  <c r="O206" i="24"/>
  <c r="AC206" i="24"/>
  <c r="BF214" i="1" l="1"/>
  <c r="F210" i="1"/>
  <c r="A213" i="15"/>
  <c r="AK212" i="15"/>
  <c r="L212" i="15"/>
  <c r="AJ212" i="15"/>
  <c r="X212" i="15"/>
  <c r="AB212" i="15"/>
  <c r="AC212" i="15"/>
  <c r="K212" i="15"/>
  <c r="O212" i="15"/>
  <c r="L212" i="16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D213" i="1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G210" i="1"/>
  <c r="BW210" i="6" s="1"/>
  <c r="S213" i="1"/>
  <c r="R213" i="1" s="1"/>
  <c r="P213" i="1" s="1"/>
  <c r="V213" i="1" s="1"/>
  <c r="A215" i="1"/>
  <c r="X214" i="1"/>
  <c r="K214" i="1"/>
  <c r="AB214" i="1"/>
  <c r="Q214" i="1"/>
  <c r="AJ214" i="1"/>
  <c r="AK214" i="1"/>
  <c r="O214" i="1"/>
  <c r="AC214" i="1"/>
  <c r="U214" i="1"/>
  <c r="T214" i="1" s="1"/>
  <c r="S212" i="1"/>
  <c r="R212" i="1" s="1"/>
  <c r="P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B211" i="6" s="1"/>
  <c r="AA211" i="1"/>
  <c r="Z211" i="1" s="1"/>
  <c r="Y211" i="1" s="1"/>
  <c r="G211" i="1"/>
  <c r="BW211" i="6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V212" i="1" l="1"/>
  <c r="BF215" i="1"/>
  <c r="E213" i="1"/>
  <c r="F213" i="1" s="1"/>
  <c r="I210" i="1"/>
  <c r="B210" i="6" s="1"/>
  <c r="F212" i="1"/>
  <c r="AA210" i="1"/>
  <c r="Z210" i="1" s="1"/>
  <c r="Y210" i="1" s="1"/>
  <c r="AB213" i="15"/>
  <c r="O213" i="15"/>
  <c r="L213" i="15"/>
  <c r="AJ213" i="15"/>
  <c r="K213" i="15"/>
  <c r="AK213" i="15"/>
  <c r="A214" i="15"/>
  <c r="X213" i="15"/>
  <c r="AC213" i="15"/>
  <c r="K213" i="16"/>
  <c r="AB213" i="16"/>
  <c r="A214" i="16"/>
  <c r="AJ213" i="16"/>
  <c r="O213" i="16"/>
  <c r="L213" i="16"/>
  <c r="X213" i="16"/>
  <c r="AK213" i="16"/>
  <c r="AC213" i="16"/>
  <c r="AF26" i="7"/>
  <c r="K213" i="17"/>
  <c r="A214" i="17"/>
  <c r="X213" i="17"/>
  <c r="AB213" i="17"/>
  <c r="L213" i="17"/>
  <c r="O213" i="17"/>
  <c r="AK213" i="17"/>
  <c r="AJ213" i="17"/>
  <c r="AC213" i="17"/>
  <c r="G212" i="1"/>
  <c r="BW212" i="6" s="1"/>
  <c r="S214" i="1"/>
  <c r="R214" i="1" s="1"/>
  <c r="P214" i="1" s="1"/>
  <c r="V214" i="1" s="1"/>
  <c r="AC215" i="1"/>
  <c r="Q215" i="1"/>
  <c r="AK215" i="1"/>
  <c r="O215" i="1"/>
  <c r="AB215" i="1"/>
  <c r="K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4" i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E214" i="1" l="1"/>
  <c r="BF216" i="1"/>
  <c r="I212" i="1"/>
  <c r="B212" i="6" s="1"/>
  <c r="AA212" i="1"/>
  <c r="Z212" i="1" s="1"/>
  <c r="Y212" i="1" s="1"/>
  <c r="AB214" i="15"/>
  <c r="AJ214" i="15"/>
  <c r="X214" i="15"/>
  <c r="A215" i="15"/>
  <c r="AC214" i="15"/>
  <c r="L214" i="15"/>
  <c r="O214" i="15"/>
  <c r="K214" i="15"/>
  <c r="AK214" i="15"/>
  <c r="AB214" i="16"/>
  <c r="A215" i="16"/>
  <c r="L214" i="16"/>
  <c r="AK214" i="16"/>
  <c r="O214" i="16"/>
  <c r="K214" i="16"/>
  <c r="X214" i="16"/>
  <c r="AJ214" i="16"/>
  <c r="AC214" i="16"/>
  <c r="F214" i="1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AB216" i="1"/>
  <c r="O216" i="1"/>
  <c r="AK216" i="1"/>
  <c r="K216" i="1"/>
  <c r="A217" i="1"/>
  <c r="AJ216" i="1"/>
  <c r="U216" i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B213" i="6" s="1"/>
  <c r="AA213" i="1"/>
  <c r="Z213" i="1" s="1"/>
  <c r="Y213" i="1" s="1"/>
  <c r="G213" i="1"/>
  <c r="BW213" i="6" s="1"/>
  <c r="S215" i="1"/>
  <c r="R215" i="1" s="1"/>
  <c r="P215" i="1" s="1"/>
  <c r="V215" i="1" s="1"/>
  <c r="D215" i="1"/>
  <c r="AB214" i="17"/>
  <c r="K214" i="17"/>
  <c r="L214" i="17"/>
  <c r="A215" i="17"/>
  <c r="X214" i="17"/>
  <c r="AJ214" i="17"/>
  <c r="O214" i="17"/>
  <c r="AK214" i="17"/>
  <c r="AC214" i="17"/>
  <c r="E215" i="1" l="1"/>
  <c r="BF217" i="1"/>
  <c r="X215" i="15"/>
  <c r="L215" i="15"/>
  <c r="AB215" i="15"/>
  <c r="AK215" i="15"/>
  <c r="AC215" i="15"/>
  <c r="A216" i="15"/>
  <c r="AJ215" i="15"/>
  <c r="K215" i="15"/>
  <c r="O215" i="15"/>
  <c r="K215" i="16"/>
  <c r="AB215" i="16"/>
  <c r="L215" i="16"/>
  <c r="AK215" i="16"/>
  <c r="O215" i="16"/>
  <c r="A216" i="16"/>
  <c r="X215" i="16"/>
  <c r="AJ215" i="16"/>
  <c r="AC215" i="16"/>
  <c r="F215" i="1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AF50" i="7"/>
  <c r="D216" i="1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B214" i="6" s="1"/>
  <c r="G214" i="1"/>
  <c r="BW214" i="6" s="1"/>
  <c r="E216" i="1" l="1"/>
  <c r="BF218" i="1"/>
  <c r="K216" i="15"/>
  <c r="O216" i="15"/>
  <c r="A217" i="15"/>
  <c r="AJ216" i="15"/>
  <c r="X216" i="15"/>
  <c r="AK216" i="15"/>
  <c r="AB216" i="15"/>
  <c r="L216" i="15"/>
  <c r="AC216" i="15"/>
  <c r="X216" i="16"/>
  <c r="AB216" i="16"/>
  <c r="AJ216" i="16"/>
  <c r="AC216" i="16"/>
  <c r="L216" i="16"/>
  <c r="K216" i="16"/>
  <c r="A217" i="16"/>
  <c r="AK216" i="16"/>
  <c r="O216" i="16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G215" i="1"/>
  <c r="BW215" i="6" s="1"/>
  <c r="AA215" i="1"/>
  <c r="Z215" i="1" s="1"/>
  <c r="Y215" i="1" s="1"/>
  <c r="I215" i="1"/>
  <c r="B215" i="6" s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U218" i="1"/>
  <c r="T218" i="1" s="1"/>
  <c r="D217" i="1"/>
  <c r="S216" i="1"/>
  <c r="R216" i="1" s="1"/>
  <c r="P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K216" i="17"/>
  <c r="A217" i="17"/>
  <c r="L216" i="17"/>
  <c r="X216" i="17"/>
  <c r="AB216" i="17"/>
  <c r="AJ216" i="17"/>
  <c r="AK216" i="17"/>
  <c r="O216" i="17"/>
  <c r="AC216" i="17"/>
  <c r="E217" i="1" l="1"/>
  <c r="F217" i="1" s="1"/>
  <c r="V216" i="1"/>
  <c r="F216" i="1" s="1"/>
  <c r="BF219" i="1"/>
  <c r="X217" i="15"/>
  <c r="K217" i="15"/>
  <c r="O217" i="15"/>
  <c r="AB217" i="15"/>
  <c r="AK217" i="15"/>
  <c r="A218" i="15"/>
  <c r="AJ217" i="15"/>
  <c r="AC217" i="15"/>
  <c r="L217" i="15"/>
  <c r="A218" i="16"/>
  <c r="L217" i="16"/>
  <c r="K217" i="16"/>
  <c r="AK217" i="16"/>
  <c r="O217" i="16"/>
  <c r="AB217" i="16"/>
  <c r="X217" i="16"/>
  <c r="AJ217" i="16"/>
  <c r="AC217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A217" i="18"/>
  <c r="X216" i="18"/>
  <c r="AJ216" i="18"/>
  <c r="K216" i="18"/>
  <c r="L216" i="18"/>
  <c r="AB216" i="18"/>
  <c r="O216" i="18"/>
  <c r="AK216" i="18"/>
  <c r="AC216" i="18"/>
  <c r="AB213" i="23"/>
  <c r="K213" i="23"/>
  <c r="L213" i="23"/>
  <c r="X213" i="23"/>
  <c r="A214" i="23"/>
  <c r="AJ213" i="23"/>
  <c r="AK213" i="23"/>
  <c r="O213" i="23"/>
  <c r="AC213" i="23"/>
  <c r="D218" i="1"/>
  <c r="X211" i="25"/>
  <c r="L211" i="25"/>
  <c r="K211" i="25"/>
  <c r="AB211" i="25"/>
  <c r="A212" i="25"/>
  <c r="AJ211" i="25"/>
  <c r="AK211" i="25"/>
  <c r="O211" i="25"/>
  <c r="AC211" i="25"/>
  <c r="BF220" i="1" l="1"/>
  <c r="E218" i="1"/>
  <c r="F218" i="1" s="1"/>
  <c r="A219" i="15"/>
  <c r="O218" i="15"/>
  <c r="X218" i="15"/>
  <c r="AJ218" i="15"/>
  <c r="K218" i="15"/>
  <c r="AK218" i="15"/>
  <c r="L218" i="15"/>
  <c r="AB218" i="15"/>
  <c r="AC218" i="15"/>
  <c r="A219" i="16"/>
  <c r="L218" i="16"/>
  <c r="AJ218" i="16"/>
  <c r="AC218" i="16"/>
  <c r="K218" i="16"/>
  <c r="AB218" i="16"/>
  <c r="X218" i="16"/>
  <c r="AK218" i="16"/>
  <c r="O218" i="16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Q220" i="1"/>
  <c r="O220" i="1"/>
  <c r="K220" i="1"/>
  <c r="U220" i="1"/>
  <c r="T220" i="1" s="1"/>
  <c r="K212" i="25"/>
  <c r="AB212" i="25"/>
  <c r="A213" i="25"/>
  <c r="L212" i="25"/>
  <c r="X212" i="25"/>
  <c r="AK212" i="25"/>
  <c r="AJ212" i="25"/>
  <c r="O212" i="25"/>
  <c r="AC212" i="25"/>
  <c r="I216" i="1"/>
  <c r="B216" i="6" s="1"/>
  <c r="AA216" i="1"/>
  <c r="Z216" i="1" s="1"/>
  <c r="Y216" i="1" s="1"/>
  <c r="G216" i="1"/>
  <c r="BW216" i="6" s="1"/>
  <c r="G217" i="1"/>
  <c r="BW217" i="6" s="1"/>
  <c r="I217" i="1"/>
  <c r="B217" i="6" s="1"/>
  <c r="AA217" i="1"/>
  <c r="Z217" i="1" s="1"/>
  <c r="Y217" i="1" s="1"/>
  <c r="S219" i="1"/>
  <c r="R219" i="1" s="1"/>
  <c r="P219" i="1" s="1"/>
  <c r="V219" i="1" s="1"/>
  <c r="D219" i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E219" i="1" l="1"/>
  <c r="F219" i="1" s="1"/>
  <c r="BF221" i="1"/>
  <c r="I218" i="1"/>
  <c r="B218" i="6" s="1"/>
  <c r="AA218" i="1"/>
  <c r="Z218" i="1" s="1"/>
  <c r="Y218" i="1" s="1"/>
  <c r="L219" i="15"/>
  <c r="AK219" i="15"/>
  <c r="A220" i="15"/>
  <c r="AB219" i="15"/>
  <c r="AC219" i="15"/>
  <c r="K219" i="15"/>
  <c r="O219" i="15"/>
  <c r="X219" i="15"/>
  <c r="AJ219" i="15"/>
  <c r="G218" i="1"/>
  <c r="BW218" i="6" s="1"/>
  <c r="K219" i="16"/>
  <c r="AB219" i="16"/>
  <c r="AJ219" i="16"/>
  <c r="AC219" i="16"/>
  <c r="X219" i="16"/>
  <c r="A220" i="16"/>
  <c r="L219" i="16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X214" i="24"/>
  <c r="L214" i="24"/>
  <c r="AB214" i="24"/>
  <c r="K214" i="24"/>
  <c r="A215" i="24"/>
  <c r="AK214" i="24"/>
  <c r="AJ214" i="24"/>
  <c r="O214" i="24"/>
  <c r="AC214" i="24"/>
  <c r="S220" i="1"/>
  <c r="R220" i="1" s="1"/>
  <c r="P220" i="1" s="1"/>
  <c r="V220" i="1" s="1"/>
  <c r="D220" i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E220" i="1" l="1"/>
  <c r="BF222" i="1"/>
  <c r="AB220" i="15"/>
  <c r="AK220" i="15"/>
  <c r="X220" i="15"/>
  <c r="K220" i="15"/>
  <c r="AC220" i="15"/>
  <c r="A221" i="15"/>
  <c r="O220" i="15"/>
  <c r="L220" i="15"/>
  <c r="AJ220" i="15"/>
  <c r="X220" i="16"/>
  <c r="A221" i="16"/>
  <c r="L220" i="16"/>
  <c r="AJ220" i="16"/>
  <c r="O220" i="16"/>
  <c r="AB220" i="16"/>
  <c r="K220" i="16"/>
  <c r="AK220" i="16"/>
  <c r="AC220" i="16"/>
  <c r="F220" i="1"/>
  <c r="I219" i="1"/>
  <c r="B219" i="6" s="1"/>
  <c r="G219" i="1"/>
  <c r="BW219" i="6" s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K222" i="1"/>
  <c r="U222" i="1"/>
  <c r="T222" i="1" s="1"/>
  <c r="D221" i="1"/>
  <c r="V221" i="1"/>
  <c r="E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X220" i="17"/>
  <c r="L220" i="17"/>
  <c r="AB220" i="17"/>
  <c r="A221" i="17"/>
  <c r="K220" i="17"/>
  <c r="AK220" i="17"/>
  <c r="AJ220" i="17"/>
  <c r="O220" i="17"/>
  <c r="AC220" i="17"/>
  <c r="BF223" i="1" l="1"/>
  <c r="AB221" i="15"/>
  <c r="O221" i="15"/>
  <c r="L221" i="15"/>
  <c r="AK221" i="15"/>
  <c r="K221" i="15"/>
  <c r="AJ221" i="15"/>
  <c r="A222" i="15"/>
  <c r="X221" i="15"/>
  <c r="AC221" i="15"/>
  <c r="X221" i="16"/>
  <c r="L221" i="16"/>
  <c r="AJ221" i="16"/>
  <c r="AC221" i="16"/>
  <c r="AB221" i="16"/>
  <c r="K221" i="16"/>
  <c r="A222" i="16"/>
  <c r="AK221" i="16"/>
  <c r="O221" i="16"/>
  <c r="F221" i="1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O223" i="1"/>
  <c r="AJ223" i="1"/>
  <c r="AC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B220" i="6" s="1"/>
  <c r="G220" i="1"/>
  <c r="BW220" i="6" s="1"/>
  <c r="K221" i="17"/>
  <c r="L221" i="17"/>
  <c r="X221" i="17"/>
  <c r="A222" i="17"/>
  <c r="AB221" i="17"/>
  <c r="AJ221" i="17"/>
  <c r="O221" i="17"/>
  <c r="AK221" i="17"/>
  <c r="AC221" i="17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D222" i="1"/>
  <c r="AB219" i="20"/>
  <c r="K219" i="20"/>
  <c r="X219" i="20"/>
  <c r="A220" i="20"/>
  <c r="L219" i="20"/>
  <c r="AJ219" i="20"/>
  <c r="AK219" i="20"/>
  <c r="O219" i="20"/>
  <c r="AC219" i="20"/>
  <c r="BF224" i="1" l="1"/>
  <c r="E222" i="1"/>
  <c r="F222" i="1" s="1"/>
  <c r="I221" i="1"/>
  <c r="B221" i="6" s="1"/>
  <c r="AA221" i="1"/>
  <c r="Z221" i="1" s="1"/>
  <c r="Y221" i="1" s="1"/>
  <c r="G221" i="1"/>
  <c r="BW221" i="6" s="1"/>
  <c r="L222" i="15"/>
  <c r="AK222" i="15"/>
  <c r="K222" i="15"/>
  <c r="O222" i="15"/>
  <c r="AC222" i="15"/>
  <c r="AB222" i="15"/>
  <c r="A223" i="15"/>
  <c r="AJ222" i="15"/>
  <c r="X222" i="15"/>
  <c r="A223" i="16"/>
  <c r="AB222" i="16"/>
  <c r="L222" i="16"/>
  <c r="AJ222" i="16"/>
  <c r="O222" i="16"/>
  <c r="K222" i="16"/>
  <c r="X222" i="16"/>
  <c r="AK222" i="16"/>
  <c r="AC222" i="16"/>
  <c r="AB219" i="22"/>
  <c r="X219" i="22"/>
  <c r="A220" i="22"/>
  <c r="L219" i="22"/>
  <c r="K219" i="22"/>
  <c r="AJ219" i="22"/>
  <c r="AK219" i="22"/>
  <c r="O219" i="22"/>
  <c r="AC219" i="22"/>
  <c r="K224" i="1"/>
  <c r="AC224" i="1"/>
  <c r="Q224" i="1"/>
  <c r="A225" i="1"/>
  <c r="AK224" i="1"/>
  <c r="O224" i="1"/>
  <c r="AJ224" i="1"/>
  <c r="X224" i="1"/>
  <c r="AB224" i="1"/>
  <c r="U224" i="1"/>
  <c r="D223" i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A217" i="25"/>
  <c r="K216" i="25"/>
  <c r="L216" i="25"/>
  <c r="AB216" i="25"/>
  <c r="X216" i="25"/>
  <c r="AJ216" i="25"/>
  <c r="O216" i="25"/>
  <c r="AK216" i="25"/>
  <c r="AC216" i="25"/>
  <c r="BF225" i="1" l="1"/>
  <c r="E223" i="1"/>
  <c r="F223" i="1" s="1"/>
  <c r="AA222" i="1"/>
  <c r="Z222" i="1" s="1"/>
  <c r="Y222" i="1" s="1"/>
  <c r="G222" i="1"/>
  <c r="BW222" i="6" s="1"/>
  <c r="I222" i="1"/>
  <c r="B222" i="6" s="1"/>
  <c r="AB223" i="15"/>
  <c r="L223" i="15"/>
  <c r="AC223" i="15"/>
  <c r="X223" i="15"/>
  <c r="O223" i="15"/>
  <c r="A224" i="15"/>
  <c r="AJ223" i="15"/>
  <c r="K223" i="15"/>
  <c r="AK223" i="15"/>
  <c r="A224" i="16"/>
  <c r="AB223" i="16"/>
  <c r="AJ223" i="16"/>
  <c r="AC223" i="16"/>
  <c r="L223" i="16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D224" i="1"/>
  <c r="E224" i="1" l="1"/>
  <c r="BF226" i="1"/>
  <c r="X224" i="15"/>
  <c r="AJ224" i="15"/>
  <c r="L224" i="15"/>
  <c r="AK224" i="15"/>
  <c r="K224" i="15"/>
  <c r="AB224" i="15"/>
  <c r="AC224" i="15"/>
  <c r="A225" i="15"/>
  <c r="O224" i="15"/>
  <c r="AB224" i="16"/>
  <c r="X224" i="16"/>
  <c r="A225" i="16"/>
  <c r="AJ224" i="16"/>
  <c r="O224" i="16"/>
  <c r="L224" i="16"/>
  <c r="K224" i="16"/>
  <c r="AK224" i="16"/>
  <c r="AC224" i="16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D225" i="1"/>
  <c r="S224" i="1"/>
  <c r="R224" i="1" s="1"/>
  <c r="P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G223" i="1"/>
  <c r="BW223" i="6" s="1"/>
  <c r="I223" i="1"/>
  <c r="B223" i="6" s="1"/>
  <c r="AA223" i="1"/>
  <c r="Z223" i="1" s="1"/>
  <c r="Y223" i="1" s="1"/>
  <c r="S225" i="1"/>
  <c r="R225" i="1" s="1"/>
  <c r="P225" i="1" s="1"/>
  <c r="V225" i="1" s="1"/>
  <c r="AB226" i="1"/>
  <c r="Q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BF227" i="1" l="1"/>
  <c r="E225" i="1"/>
  <c r="V224" i="1"/>
  <c r="F224" i="1" s="1"/>
  <c r="F225" i="1"/>
  <c r="K225" i="15"/>
  <c r="AK225" i="15"/>
  <c r="L225" i="15"/>
  <c r="AJ225" i="15"/>
  <c r="A226" i="15"/>
  <c r="AB225" i="15"/>
  <c r="AC225" i="15"/>
  <c r="X225" i="15"/>
  <c r="O225" i="15"/>
  <c r="A226" i="16"/>
  <c r="X225" i="16"/>
  <c r="AK225" i="16"/>
  <c r="AC225" i="16"/>
  <c r="L225" i="16"/>
  <c r="AB225" i="16"/>
  <c r="K225" i="16"/>
  <c r="AJ225" i="16"/>
  <c r="O225" i="16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D226" i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G224" i="1" l="1"/>
  <c r="BW224" i="6" s="1"/>
  <c r="BF228" i="1"/>
  <c r="E226" i="1"/>
  <c r="AA225" i="1"/>
  <c r="Z225" i="1" s="1"/>
  <c r="Y225" i="1" s="1"/>
  <c r="I225" i="1"/>
  <c r="B225" i="6" s="1"/>
  <c r="AA224" i="1"/>
  <c r="Z224" i="1" s="1"/>
  <c r="Y224" i="1" s="1"/>
  <c r="I224" i="1"/>
  <c r="B224" i="6" s="1"/>
  <c r="G225" i="1"/>
  <c r="BW225" i="6" s="1"/>
  <c r="H61" i="19"/>
  <c r="X226" i="15"/>
  <c r="AJ226" i="15"/>
  <c r="K226" i="15"/>
  <c r="AB226" i="15"/>
  <c r="AC226" i="15"/>
  <c r="A227" i="15"/>
  <c r="O226" i="15"/>
  <c r="L226" i="15"/>
  <c r="AK226" i="15"/>
  <c r="P227" i="1"/>
  <c r="V227" i="1" s="1"/>
  <c r="X226" i="16"/>
  <c r="L226" i="16"/>
  <c r="K226" i="16"/>
  <c r="AK226" i="16"/>
  <c r="O226" i="16"/>
  <c r="AB226" i="16"/>
  <c r="A227" i="16"/>
  <c r="AJ226" i="16"/>
  <c r="AC226" i="16"/>
  <c r="F226" i="1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7" i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E227" i="1" l="1"/>
  <c r="F227" i="1" s="1"/>
  <c r="BF229" i="1"/>
  <c r="K227" i="15"/>
  <c r="AB227" i="15"/>
  <c r="AK227" i="15"/>
  <c r="A228" i="15"/>
  <c r="AC227" i="15"/>
  <c r="AJ227" i="15"/>
  <c r="L227" i="15"/>
  <c r="O227" i="15"/>
  <c r="X227" i="15"/>
  <c r="K227" i="16"/>
  <c r="L227" i="16"/>
  <c r="AJ227" i="16"/>
  <c r="AC227" i="16"/>
  <c r="X227" i="16"/>
  <c r="A228" i="16"/>
  <c r="AB227" i="16"/>
  <c r="AK227" i="16"/>
  <c r="O227" i="16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D228" i="1"/>
  <c r="AB227" i="17"/>
  <c r="L227" i="17"/>
  <c r="X227" i="17"/>
  <c r="K227" i="17"/>
  <c r="A228" i="17"/>
  <c r="AJ227" i="17"/>
  <c r="O227" i="17"/>
  <c r="AK227" i="17"/>
  <c r="AC227" i="17"/>
  <c r="AA226" i="1"/>
  <c r="Z226" i="1" s="1"/>
  <c r="Y226" i="1" s="1"/>
  <c r="G226" i="1"/>
  <c r="BW226" i="6" s="1"/>
  <c r="I226" i="1"/>
  <c r="B226" i="6" s="1"/>
  <c r="X224" i="22"/>
  <c r="A225" i="22"/>
  <c r="K224" i="22"/>
  <c r="AB224" i="22"/>
  <c r="L224" i="22"/>
  <c r="AJ224" i="22"/>
  <c r="AK224" i="22"/>
  <c r="O224" i="22"/>
  <c r="AC224" i="22"/>
  <c r="A230" i="1"/>
  <c r="Q229" i="1"/>
  <c r="AK229" i="1"/>
  <c r="AJ229" i="1"/>
  <c r="X229" i="1"/>
  <c r="AB229" i="1"/>
  <c r="K229" i="1"/>
  <c r="O229" i="1"/>
  <c r="AC229" i="1"/>
  <c r="U229" i="1"/>
  <c r="T229" i="1" s="1"/>
  <c r="E228" i="1" l="1"/>
  <c r="BF230" i="1"/>
  <c r="A229" i="15"/>
  <c r="AJ228" i="15"/>
  <c r="K228" i="15"/>
  <c r="AK228" i="15"/>
  <c r="L228" i="15"/>
  <c r="AB228" i="15"/>
  <c r="O228" i="15"/>
  <c r="X228" i="15"/>
  <c r="AC228" i="15"/>
  <c r="L228" i="16"/>
  <c r="X228" i="16"/>
  <c r="A229" i="16"/>
  <c r="AJ228" i="16"/>
  <c r="O228" i="16"/>
  <c r="AB228" i="16"/>
  <c r="K228" i="16"/>
  <c r="AK228" i="16"/>
  <c r="AC228" i="16"/>
  <c r="D229" i="1"/>
  <c r="S228" i="1"/>
  <c r="R228" i="1" s="1"/>
  <c r="P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G227" i="1"/>
  <c r="BW227" i="6" s="1"/>
  <c r="I227" i="1"/>
  <c r="B227" i="6" s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BF231" i="1" l="1"/>
  <c r="E229" i="1"/>
  <c r="F229" i="1" s="1"/>
  <c r="V228" i="1"/>
  <c r="AB229" i="15"/>
  <c r="AJ229" i="15"/>
  <c r="L229" i="15"/>
  <c r="X229" i="15"/>
  <c r="AC229" i="15"/>
  <c r="K229" i="15"/>
  <c r="O229" i="15"/>
  <c r="A230" i="15"/>
  <c r="AK229" i="15"/>
  <c r="F228" i="1"/>
  <c r="AA228" i="1" s="1"/>
  <c r="Z228" i="1" s="1"/>
  <c r="Y228" i="1" s="1"/>
  <c r="X229" i="16"/>
  <c r="L229" i="16"/>
  <c r="AJ229" i="16"/>
  <c r="AC229" i="16"/>
  <c r="A230" i="16"/>
  <c r="AB229" i="16"/>
  <c r="K229" i="16"/>
  <c r="AK229" i="16"/>
  <c r="O229" i="16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T230" i="1"/>
  <c r="D230" i="1"/>
  <c r="X224" i="24"/>
  <c r="AB224" i="24"/>
  <c r="A225" i="24"/>
  <c r="K224" i="24"/>
  <c r="L224" i="24"/>
  <c r="AJ224" i="24"/>
  <c r="AK224" i="24"/>
  <c r="O224" i="24"/>
  <c r="AC224" i="24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AJ231" i="1"/>
  <c r="AK231" i="1"/>
  <c r="X231" i="1"/>
  <c r="O231" i="1"/>
  <c r="K231" i="1"/>
  <c r="Q231" i="1"/>
  <c r="AB231" i="1"/>
  <c r="U231" i="1"/>
  <c r="T231" i="1" s="1"/>
  <c r="A224" i="25"/>
  <c r="X223" i="25"/>
  <c r="K223" i="25"/>
  <c r="AB223" i="25"/>
  <c r="L223" i="25"/>
  <c r="AJ223" i="25"/>
  <c r="AK223" i="25"/>
  <c r="O223" i="25"/>
  <c r="AC223" i="25"/>
  <c r="BF232" i="1" l="1"/>
  <c r="E230" i="1"/>
  <c r="G228" i="1"/>
  <c r="BW228" i="6" s="1"/>
  <c r="I228" i="1"/>
  <c r="B228" i="6" s="1"/>
  <c r="X230" i="15"/>
  <c r="AK230" i="15"/>
  <c r="AB230" i="15"/>
  <c r="AJ230" i="15"/>
  <c r="K230" i="15"/>
  <c r="A231" i="15"/>
  <c r="AC230" i="15"/>
  <c r="L230" i="15"/>
  <c r="O230" i="15"/>
  <c r="K230" i="16"/>
  <c r="L230" i="16"/>
  <c r="AJ230" i="16"/>
  <c r="AC230" i="16"/>
  <c r="X230" i="16"/>
  <c r="A231" i="16"/>
  <c r="AB230" i="16"/>
  <c r="AK230" i="16"/>
  <c r="O230" i="16"/>
  <c r="K227" i="22"/>
  <c r="AB227" i="22"/>
  <c r="A228" i="22"/>
  <c r="L227" i="22"/>
  <c r="X227" i="22"/>
  <c r="AJ227" i="22"/>
  <c r="AK227" i="22"/>
  <c r="O227" i="22"/>
  <c r="AC227" i="22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D231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G229" i="1"/>
  <c r="BW229" i="6" s="1"/>
  <c r="I229" i="1"/>
  <c r="B229" i="6" s="1"/>
  <c r="E231" i="1" l="1"/>
  <c r="F231" i="1" s="1"/>
  <c r="BF233" i="1"/>
  <c r="V230" i="1"/>
  <c r="F230" i="1" s="1"/>
  <c r="AB231" i="15"/>
  <c r="AC231" i="15"/>
  <c r="K231" i="15"/>
  <c r="L231" i="15"/>
  <c r="A232" i="15"/>
  <c r="AK231" i="15"/>
  <c r="X231" i="15"/>
  <c r="O231" i="15"/>
  <c r="AJ231" i="15"/>
  <c r="X231" i="16"/>
  <c r="K231" i="16"/>
  <c r="AJ231" i="16"/>
  <c r="AC231" i="16"/>
  <c r="L231" i="16"/>
  <c r="A232" i="16"/>
  <c r="AB231" i="16"/>
  <c r="AK231" i="16"/>
  <c r="O231" i="16"/>
  <c r="A231" i="18"/>
  <c r="AJ230" i="18"/>
  <c r="X230" i="18"/>
  <c r="AB230" i="18"/>
  <c r="K230" i="18"/>
  <c r="L230" i="18"/>
  <c r="AK230" i="18"/>
  <c r="O230" i="18"/>
  <c r="AC230" i="18"/>
  <c r="S232" i="1"/>
  <c r="R232" i="1" s="1"/>
  <c r="P232" i="1" s="1"/>
  <c r="V232" i="1" s="1"/>
  <c r="K233" i="1"/>
  <c r="AJ233" i="1"/>
  <c r="AB233" i="1"/>
  <c r="AK233" i="1"/>
  <c r="O233" i="1"/>
  <c r="Q233" i="1"/>
  <c r="X233" i="1"/>
  <c r="AC233" i="1"/>
  <c r="A234" i="1"/>
  <c r="U233" i="1"/>
  <c r="T233" i="1" s="1"/>
  <c r="D232" i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E232" i="1" l="1"/>
  <c r="F232" i="1" s="1"/>
  <c r="BF234" i="1"/>
  <c r="X232" i="15"/>
  <c r="AJ232" i="15"/>
  <c r="AB232" i="15"/>
  <c r="A233" i="15"/>
  <c r="AC232" i="15"/>
  <c r="K232" i="15"/>
  <c r="O232" i="15"/>
  <c r="L232" i="15"/>
  <c r="AK232" i="15"/>
  <c r="X232" i="16"/>
  <c r="L232" i="16"/>
  <c r="AJ232" i="16"/>
  <c r="AC232" i="16"/>
  <c r="K232" i="16"/>
  <c r="A233" i="16"/>
  <c r="AB232" i="16"/>
  <c r="AK232" i="16"/>
  <c r="O232" i="16"/>
  <c r="AA230" i="1"/>
  <c r="Z230" i="1" s="1"/>
  <c r="Y230" i="1" s="1"/>
  <c r="G230" i="1"/>
  <c r="BW230" i="6" s="1"/>
  <c r="I230" i="1"/>
  <c r="B230" i="6" s="1"/>
  <c r="A229" i="23"/>
  <c r="L228" i="23"/>
  <c r="X228" i="23"/>
  <c r="K228" i="23"/>
  <c r="AB228" i="23"/>
  <c r="AJ228" i="23"/>
  <c r="AK228" i="23"/>
  <c r="O228" i="23"/>
  <c r="AC228" i="23"/>
  <c r="L227" i="24"/>
  <c r="AB227" i="24"/>
  <c r="X227" i="24"/>
  <c r="A228" i="24"/>
  <c r="K227" i="24"/>
  <c r="AK227" i="24"/>
  <c r="AJ227" i="24"/>
  <c r="O227" i="24"/>
  <c r="AC227" i="24"/>
  <c r="AK234" i="1"/>
  <c r="X234" i="1"/>
  <c r="AB234" i="1"/>
  <c r="K234" i="1"/>
  <c r="AJ234" i="1"/>
  <c r="A235" i="1"/>
  <c r="AC234" i="1"/>
  <c r="O234" i="1"/>
  <c r="Q234" i="1"/>
  <c r="U234" i="1"/>
  <c r="T234" i="1" s="1"/>
  <c r="D233" i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G231" i="1"/>
  <c r="BW231" i="6" s="1"/>
  <c r="AA231" i="1"/>
  <c r="Z231" i="1" s="1"/>
  <c r="Y231" i="1" s="1"/>
  <c r="I231" i="1"/>
  <c r="B231" i="6" s="1"/>
  <c r="S233" i="1"/>
  <c r="R233" i="1" s="1"/>
  <c r="P233" i="1" s="1"/>
  <c r="V233" i="1" s="1"/>
  <c r="A232" i="18"/>
  <c r="AB231" i="18"/>
  <c r="L231" i="18"/>
  <c r="K231" i="18"/>
  <c r="AJ231" i="18"/>
  <c r="X231" i="18"/>
  <c r="AK231" i="18"/>
  <c r="O231" i="18"/>
  <c r="AC231" i="18"/>
  <c r="E233" i="1" l="1"/>
  <c r="F233" i="1" s="1"/>
  <c r="G232" i="1"/>
  <c r="BW232" i="6" s="1"/>
  <c r="BF235" i="1"/>
  <c r="I232" i="1"/>
  <c r="B232" i="6" s="1"/>
  <c r="AA232" i="1"/>
  <c r="Z232" i="1" s="1"/>
  <c r="Y232" i="1" s="1"/>
  <c r="A234" i="15"/>
  <c r="X233" i="15"/>
  <c r="AC233" i="15"/>
  <c r="L233" i="15"/>
  <c r="O233" i="15"/>
  <c r="K233" i="15"/>
  <c r="AJ233" i="15"/>
  <c r="AB233" i="15"/>
  <c r="AK233" i="15"/>
  <c r="L233" i="16"/>
  <c r="A234" i="16"/>
  <c r="AB233" i="16"/>
  <c r="AJ233" i="16"/>
  <c r="O233" i="16"/>
  <c r="X233" i="16"/>
  <c r="K233" i="16"/>
  <c r="AK233" i="16"/>
  <c r="AC233" i="16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AJ235" i="1"/>
  <c r="K235" i="1"/>
  <c r="Q235" i="1"/>
  <c r="O235" i="1"/>
  <c r="AC235" i="1"/>
  <c r="U235" i="1"/>
  <c r="T235" i="1" s="1"/>
  <c r="S235" i="1" s="1"/>
  <c r="R235" i="1" s="1"/>
  <c r="D234" i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AB228" i="24"/>
  <c r="K228" i="24"/>
  <c r="A229" i="24"/>
  <c r="X228" i="24"/>
  <c r="L228" i="24"/>
  <c r="AJ228" i="24"/>
  <c r="AK228" i="24"/>
  <c r="O228" i="24"/>
  <c r="AC228" i="24"/>
  <c r="I233" i="1" l="1"/>
  <c r="B233" i="6" s="1"/>
  <c r="BF236" i="1"/>
  <c r="E234" i="1"/>
  <c r="F234" i="1" s="1"/>
  <c r="AA233" i="1"/>
  <c r="Z233" i="1" s="1"/>
  <c r="Y233" i="1" s="1"/>
  <c r="G233" i="1"/>
  <c r="BW233" i="6" s="1"/>
  <c r="K234" i="15"/>
  <c r="AK234" i="15"/>
  <c r="A235" i="15"/>
  <c r="L234" i="15"/>
  <c r="O234" i="15"/>
  <c r="AB234" i="15"/>
  <c r="AC234" i="15"/>
  <c r="X234" i="15"/>
  <c r="AJ234" i="15"/>
  <c r="P235" i="1"/>
  <c r="V235" i="1" s="1"/>
  <c r="X234" i="16"/>
  <c r="K234" i="16"/>
  <c r="AJ234" i="16"/>
  <c r="AC234" i="16"/>
  <c r="AB234" i="16"/>
  <c r="L234" i="16"/>
  <c r="A235" i="16"/>
  <c r="AK234" i="16"/>
  <c r="O234" i="16"/>
  <c r="D235" i="1"/>
  <c r="AC236" i="1"/>
  <c r="AK236" i="1"/>
  <c r="AJ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BF237" i="1" l="1"/>
  <c r="E235" i="1"/>
  <c r="F235" i="1" s="1"/>
  <c r="I235" i="1" s="1"/>
  <c r="B235" i="6" s="1"/>
  <c r="I234" i="1"/>
  <c r="B234" i="6" s="1"/>
  <c r="G234" i="1"/>
  <c r="BW234" i="6" s="1"/>
  <c r="AA234" i="1"/>
  <c r="Z234" i="1" s="1"/>
  <c r="Y234" i="1" s="1"/>
  <c r="X235" i="15"/>
  <c r="AK235" i="15"/>
  <c r="A236" i="15"/>
  <c r="AB235" i="15"/>
  <c r="AC235" i="15"/>
  <c r="L235" i="15"/>
  <c r="O235" i="15"/>
  <c r="K235" i="15"/>
  <c r="AJ235" i="15"/>
  <c r="AK235" i="16"/>
  <c r="K235" i="16"/>
  <c r="L235" i="16"/>
  <c r="X235" i="16"/>
  <c r="AJ235" i="16"/>
  <c r="O235" i="16"/>
  <c r="A236" i="16"/>
  <c r="AB235" i="16"/>
  <c r="AC235" i="16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X237" i="1"/>
  <c r="O237" i="1"/>
  <c r="AK237" i="1"/>
  <c r="AB237" i="1"/>
  <c r="Q237" i="1"/>
  <c r="AJ237" i="1"/>
  <c r="K237" i="1"/>
  <c r="A238" i="1"/>
  <c r="AC237" i="1"/>
  <c r="U237" i="1"/>
  <c r="T237" i="1" s="1"/>
  <c r="D236" i="1"/>
  <c r="E236" i="1" l="1"/>
  <c r="F236" i="1" s="1"/>
  <c r="BF238" i="1"/>
  <c r="G235" i="1"/>
  <c r="BW235" i="6" s="1"/>
  <c r="AA235" i="1"/>
  <c r="Z235" i="1" s="1"/>
  <c r="Y235" i="1" s="1"/>
  <c r="A237" i="15"/>
  <c r="O236" i="15"/>
  <c r="AB236" i="15"/>
  <c r="AC236" i="15"/>
  <c r="K236" i="15"/>
  <c r="AJ236" i="15"/>
  <c r="L236" i="15"/>
  <c r="X236" i="15"/>
  <c r="AK236" i="15"/>
  <c r="X236" i="16"/>
  <c r="AB236" i="16"/>
  <c r="AJ236" i="16"/>
  <c r="AC236" i="16"/>
  <c r="A237" i="16"/>
  <c r="K236" i="16"/>
  <c r="L236" i="16"/>
  <c r="AK236" i="16"/>
  <c r="O236" i="16"/>
  <c r="S237" i="1"/>
  <c r="R237" i="1" s="1"/>
  <c r="P237" i="1" s="1"/>
  <c r="V237" i="1" s="1"/>
  <c r="A239" i="1"/>
  <c r="Q238" i="1"/>
  <c r="O238" i="1"/>
  <c r="AC238" i="1"/>
  <c r="AK238" i="1"/>
  <c r="AB238" i="1"/>
  <c r="K238" i="1"/>
  <c r="X238" i="1"/>
  <c r="AJ238" i="1"/>
  <c r="U238" i="1"/>
  <c r="T238" i="1" s="1"/>
  <c r="S238" i="1" s="1"/>
  <c r="R238" i="1" s="1"/>
  <c r="D237" i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E237" i="1" l="1"/>
  <c r="I236" i="1"/>
  <c r="B236" i="6" s="1"/>
  <c r="BF239" i="1"/>
  <c r="AA236" i="1"/>
  <c r="Z236" i="1" s="1"/>
  <c r="Y236" i="1" s="1"/>
  <c r="G236" i="1"/>
  <c r="BW236" i="6" s="1"/>
  <c r="A238" i="15"/>
  <c r="K237" i="15"/>
  <c r="O237" i="15"/>
  <c r="AB237" i="15"/>
  <c r="AC237" i="15"/>
  <c r="X237" i="15"/>
  <c r="AJ237" i="15"/>
  <c r="L237" i="15"/>
  <c r="AK237" i="15"/>
  <c r="P238" i="1"/>
  <c r="V238" i="1" s="1"/>
  <c r="AB237" i="16"/>
  <c r="A238" i="16"/>
  <c r="AJ237" i="16"/>
  <c r="AC237" i="16"/>
  <c r="X237" i="16"/>
  <c r="K237" i="16"/>
  <c r="L237" i="16"/>
  <c r="AK237" i="16"/>
  <c r="O237" i="16"/>
  <c r="F237" i="1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D238" i="1"/>
  <c r="K239" i="1"/>
  <c r="AK239" i="1"/>
  <c r="O239" i="1"/>
  <c r="AB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BF240" i="1" l="1"/>
  <c r="E238" i="1"/>
  <c r="F238" i="1" s="1"/>
  <c r="AB238" i="15"/>
  <c r="A239" i="15"/>
  <c r="AC238" i="15"/>
  <c r="L238" i="15"/>
  <c r="O238" i="15"/>
  <c r="K238" i="15"/>
  <c r="AJ238" i="15"/>
  <c r="X238" i="15"/>
  <c r="AK238" i="15"/>
  <c r="A239" i="16"/>
  <c r="X238" i="16"/>
  <c r="K238" i="16"/>
  <c r="AK238" i="16"/>
  <c r="O238" i="16"/>
  <c r="AJ238" i="16"/>
  <c r="L238" i="16"/>
  <c r="AB238" i="16"/>
  <c r="AC238" i="16"/>
  <c r="S239" i="1"/>
  <c r="R239" i="1" s="1"/>
  <c r="P239" i="1" s="1"/>
  <c r="V239" i="1" s="1"/>
  <c r="D239" i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B237" i="6" s="1"/>
  <c r="G237" i="1"/>
  <c r="BW237" i="6" s="1"/>
  <c r="AA237" i="1"/>
  <c r="Z237" i="1" s="1"/>
  <c r="Y237" i="1" s="1"/>
  <c r="BF241" i="1" l="1"/>
  <c r="E239" i="1"/>
  <c r="F239" i="1" s="1"/>
  <c r="AA239" i="1" s="1"/>
  <c r="Z239" i="1" s="1"/>
  <c r="Y239" i="1" s="1"/>
  <c r="AA238" i="1"/>
  <c r="Z238" i="1" s="1"/>
  <c r="Y238" i="1" s="1"/>
  <c r="I238" i="1"/>
  <c r="B238" i="6" s="1"/>
  <c r="G238" i="1"/>
  <c r="BW238" i="6" s="1"/>
  <c r="K239" i="15"/>
  <c r="AK239" i="15"/>
  <c r="L239" i="15"/>
  <c r="AJ239" i="15"/>
  <c r="AB239" i="15"/>
  <c r="A240" i="15"/>
  <c r="AC239" i="15"/>
  <c r="X239" i="15"/>
  <c r="O239" i="15"/>
  <c r="X239" i="16"/>
  <c r="A240" i="16"/>
  <c r="AJ239" i="16"/>
  <c r="AC239" i="16"/>
  <c r="K239" i="16"/>
  <c r="L239" i="16"/>
  <c r="AB239" i="16"/>
  <c r="AK239" i="16"/>
  <c r="O239" i="16"/>
  <c r="S240" i="1"/>
  <c r="R240" i="1" s="1"/>
  <c r="P240" i="1" s="1"/>
  <c r="V240" i="1" s="1"/>
  <c r="D240" i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K237" i="20"/>
  <c r="A238" i="20"/>
  <c r="L237" i="20"/>
  <c r="X237" i="20"/>
  <c r="AB237" i="20"/>
  <c r="AJ237" i="20"/>
  <c r="AK237" i="20"/>
  <c r="O237" i="20"/>
  <c r="AC237" i="20"/>
  <c r="AC241" i="1"/>
  <c r="O241" i="1"/>
  <c r="C27" i="7" s="1"/>
  <c r="K241" i="1"/>
  <c r="AJ241" i="1"/>
  <c r="Q241" i="1"/>
  <c r="A27" i="7"/>
  <c r="A242" i="1"/>
  <c r="AK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BF242" i="1" l="1"/>
  <c r="E240" i="1"/>
  <c r="F240" i="1" s="1"/>
  <c r="G239" i="1"/>
  <c r="BW239" i="6" s="1"/>
  <c r="I239" i="1"/>
  <c r="B239" i="6" s="1"/>
  <c r="AB240" i="15"/>
  <c r="X240" i="15"/>
  <c r="AC240" i="15"/>
  <c r="A241" i="15"/>
  <c r="O240" i="15"/>
  <c r="K240" i="15"/>
  <c r="AK240" i="15"/>
  <c r="L240" i="15"/>
  <c r="AJ240" i="15"/>
  <c r="L240" i="16"/>
  <c r="AB240" i="16"/>
  <c r="A241" i="16"/>
  <c r="AJ240" i="16"/>
  <c r="O240" i="16"/>
  <c r="X240" i="16"/>
  <c r="K240" i="16"/>
  <c r="AK240" i="16"/>
  <c r="AC240" i="16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A237" i="23"/>
  <c r="AB236" i="23"/>
  <c r="X236" i="23"/>
  <c r="L236" i="23"/>
  <c r="K236" i="23"/>
  <c r="AJ236" i="23"/>
  <c r="AK236" i="23"/>
  <c r="O236" i="23"/>
  <c r="AC236" i="23"/>
  <c r="B27" i="7"/>
  <c r="D241" i="1"/>
  <c r="AJ242" i="1"/>
  <c r="Q242" i="1"/>
  <c r="O242" i="1"/>
  <c r="X242" i="1"/>
  <c r="A243" i="1"/>
  <c r="AB242" i="1"/>
  <c r="K242" i="1"/>
  <c r="AK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E241" i="1" l="1"/>
  <c r="BF243" i="1"/>
  <c r="L241" i="15"/>
  <c r="AK241" i="15"/>
  <c r="K241" i="15"/>
  <c r="X241" i="15"/>
  <c r="AC241" i="15"/>
  <c r="A39" i="7"/>
  <c r="A242" i="15"/>
  <c r="O241" i="15"/>
  <c r="C39" i="7" s="1"/>
  <c r="AB241" i="15"/>
  <c r="AJ241" i="15"/>
  <c r="A51" i="7"/>
  <c r="AB241" i="16"/>
  <c r="L241" i="16"/>
  <c r="AK241" i="16"/>
  <c r="O241" i="16"/>
  <c r="C51" i="7" s="1"/>
  <c r="X241" i="16"/>
  <c r="A242" i="16"/>
  <c r="K241" i="16"/>
  <c r="AJ241" i="16"/>
  <c r="AC241" i="16"/>
  <c r="S242" i="1"/>
  <c r="R242" i="1" s="1"/>
  <c r="P242" i="1" s="1"/>
  <c r="V242" i="1" s="1"/>
  <c r="D242" i="1"/>
  <c r="AK243" i="1"/>
  <c r="K243" i="1"/>
  <c r="AB243" i="1"/>
  <c r="X243" i="1"/>
  <c r="O243" i="1"/>
  <c r="AJ243" i="1"/>
  <c r="A244" i="1"/>
  <c r="Q243" i="1"/>
  <c r="AC243" i="1"/>
  <c r="U243" i="1"/>
  <c r="T243" i="1" s="1"/>
  <c r="E242" i="1"/>
  <c r="A238" i="23"/>
  <c r="L237" i="23"/>
  <c r="X237" i="23"/>
  <c r="K237" i="23"/>
  <c r="AB237" i="23"/>
  <c r="AJ237" i="23"/>
  <c r="AK237" i="23"/>
  <c r="O237" i="23"/>
  <c r="AC237" i="23"/>
  <c r="G240" i="1"/>
  <c r="BW240" i="6" s="1"/>
  <c r="I240" i="1"/>
  <c r="B240" i="6" s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BF244" i="1" l="1"/>
  <c r="F241" i="1"/>
  <c r="AB242" i="15"/>
  <c r="AK242" i="15"/>
  <c r="L242" i="15"/>
  <c r="K242" i="15"/>
  <c r="AC242" i="15"/>
  <c r="A243" i="15"/>
  <c r="O242" i="15"/>
  <c r="X242" i="15"/>
  <c r="AJ242" i="15"/>
  <c r="B39" i="7"/>
  <c r="K242" i="16"/>
  <c r="A243" i="16"/>
  <c r="X242" i="16"/>
  <c r="AJ242" i="16"/>
  <c r="O242" i="16"/>
  <c r="AB242" i="16"/>
  <c r="AC242" i="16"/>
  <c r="L242" i="16"/>
  <c r="AK242" i="16"/>
  <c r="B51" i="7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F242" i="1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G241" i="1"/>
  <c r="BW241" i="6" s="1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D243" i="1"/>
  <c r="AK244" i="1"/>
  <c r="X244" i="1"/>
  <c r="O244" i="1"/>
  <c r="AC244" i="1"/>
  <c r="Q244" i="1"/>
  <c r="K244" i="1"/>
  <c r="AB244" i="1"/>
  <c r="AJ244" i="1"/>
  <c r="A245" i="1"/>
  <c r="U244" i="1"/>
  <c r="T244" i="1" s="1"/>
  <c r="S244" i="1" s="1"/>
  <c r="R244" i="1" s="1"/>
  <c r="P244" i="1" l="1"/>
  <c r="BF245" i="1"/>
  <c r="E243" i="1"/>
  <c r="F243" i="1" s="1"/>
  <c r="I241" i="1"/>
  <c r="B241" i="6" s="1"/>
  <c r="AA241" i="1"/>
  <c r="Z241" i="1" s="1"/>
  <c r="Y241" i="1" s="1"/>
  <c r="L243" i="15"/>
  <c r="AJ243" i="15"/>
  <c r="X243" i="15"/>
  <c r="AK243" i="15"/>
  <c r="AB243" i="15"/>
  <c r="K243" i="15"/>
  <c r="AC243" i="15"/>
  <c r="A244" i="15"/>
  <c r="O243" i="15"/>
  <c r="K243" i="16"/>
  <c r="AB243" i="16"/>
  <c r="AK243" i="16"/>
  <c r="AC243" i="16"/>
  <c r="L243" i="16"/>
  <c r="X243" i="16"/>
  <c r="A244" i="16"/>
  <c r="AJ243" i="16"/>
  <c r="O243" i="16"/>
  <c r="K237" i="25"/>
  <c r="L237" i="25"/>
  <c r="AB237" i="25"/>
  <c r="X237" i="25"/>
  <c r="A238" i="25"/>
  <c r="AJ237" i="25"/>
  <c r="O237" i="25"/>
  <c r="AK237" i="25"/>
  <c r="AC237" i="25"/>
  <c r="G242" i="1"/>
  <c r="BW242" i="6" s="1"/>
  <c r="AA242" i="1"/>
  <c r="Z242" i="1" s="1"/>
  <c r="Y242" i="1" s="1"/>
  <c r="I242" i="1"/>
  <c r="B242" i="6" s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K245" i="1"/>
  <c r="A246" i="1"/>
  <c r="AB245" i="1"/>
  <c r="AK245" i="1"/>
  <c r="X245" i="1"/>
  <c r="O245" i="1"/>
  <c r="Q245" i="1"/>
  <c r="AC245" i="1"/>
  <c r="AJ245" i="1"/>
  <c r="U245" i="1"/>
  <c r="T245" i="1" s="1"/>
  <c r="D244" i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E244" i="1" l="1"/>
  <c r="BF246" i="1"/>
  <c r="G243" i="1"/>
  <c r="BW243" i="6" s="1"/>
  <c r="AA243" i="1"/>
  <c r="Z243" i="1" s="1"/>
  <c r="Y243" i="1" s="1"/>
  <c r="I243" i="1"/>
  <c r="B243" i="6" s="1"/>
  <c r="A245" i="15"/>
  <c r="O244" i="15"/>
  <c r="X244" i="15"/>
  <c r="AJ244" i="15"/>
  <c r="K244" i="15"/>
  <c r="AK244" i="15"/>
  <c r="L244" i="15"/>
  <c r="AB244" i="15"/>
  <c r="AC244" i="15"/>
  <c r="K244" i="16"/>
  <c r="X244" i="16"/>
  <c r="AB244" i="16"/>
  <c r="AK244" i="16"/>
  <c r="O244" i="16"/>
  <c r="L244" i="16"/>
  <c r="A245" i="16"/>
  <c r="AJ244" i="16"/>
  <c r="AC244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F244" i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D245" i="1"/>
  <c r="AK246" i="1"/>
  <c r="AJ246" i="1"/>
  <c r="Q246" i="1"/>
  <c r="X246" i="1"/>
  <c r="O246" i="1"/>
  <c r="K246" i="1"/>
  <c r="A247" i="1"/>
  <c r="AC246" i="1"/>
  <c r="AB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BF247" i="1" l="1"/>
  <c r="E245" i="1"/>
  <c r="F245" i="1" s="1"/>
  <c r="L245" i="15"/>
  <c r="AC245" i="15"/>
  <c r="A246" i="15"/>
  <c r="AK245" i="15"/>
  <c r="X245" i="15"/>
  <c r="AJ245" i="15"/>
  <c r="K245" i="15"/>
  <c r="AB245" i="15"/>
  <c r="O245" i="15"/>
  <c r="K245" i="16"/>
  <c r="X245" i="16"/>
  <c r="AB245" i="16"/>
  <c r="AK245" i="16"/>
  <c r="O245" i="16"/>
  <c r="A246" i="16"/>
  <c r="L245" i="16"/>
  <c r="AJ245" i="16"/>
  <c r="AC245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D246" i="1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A243" i="22"/>
  <c r="X242" i="22"/>
  <c r="AB242" i="22"/>
  <c r="L242" i="22"/>
  <c r="K242" i="22"/>
  <c r="AJ242" i="22"/>
  <c r="AK242" i="22"/>
  <c r="O242" i="22"/>
  <c r="AC242" i="22"/>
  <c r="S246" i="1"/>
  <c r="R246" i="1" s="1"/>
  <c r="P246" i="1" s="1"/>
  <c r="V246" i="1" s="1"/>
  <c r="AK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B244" i="6" s="1"/>
  <c r="G244" i="1"/>
  <c r="BW244" i="6" s="1"/>
  <c r="AA244" i="1"/>
  <c r="Z244" i="1" s="1"/>
  <c r="Y244" i="1" s="1"/>
  <c r="AF39" i="7"/>
  <c r="E246" i="1" l="1"/>
  <c r="BF248" i="1"/>
  <c r="L246" i="15"/>
  <c r="AJ246" i="15"/>
  <c r="AB246" i="15"/>
  <c r="X246" i="15"/>
  <c r="O246" i="15"/>
  <c r="A247" i="15"/>
  <c r="AC246" i="15"/>
  <c r="K246" i="15"/>
  <c r="AK246" i="15"/>
  <c r="X246" i="16"/>
  <c r="K246" i="16"/>
  <c r="AK246" i="16"/>
  <c r="AC246" i="16"/>
  <c r="A247" i="16"/>
  <c r="L246" i="16"/>
  <c r="AB246" i="16"/>
  <c r="AJ246" i="16"/>
  <c r="O246" i="16"/>
  <c r="F246" i="1"/>
  <c r="AF51" i="7"/>
  <c r="AJ248" i="1"/>
  <c r="Q248" i="1"/>
  <c r="AB248" i="1"/>
  <c r="O248" i="1"/>
  <c r="AK248" i="1"/>
  <c r="X248" i="1"/>
  <c r="A249" i="1"/>
  <c r="K248" i="1"/>
  <c r="AC248" i="1"/>
  <c r="U248" i="1"/>
  <c r="T248" i="1" s="1"/>
  <c r="D247" i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G245" i="1"/>
  <c r="BW245" i="6" s="1"/>
  <c r="I245" i="1"/>
  <c r="B245" i="6" s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E247" i="1" l="1"/>
  <c r="F247" i="1" s="1"/>
  <c r="BF249" i="1"/>
  <c r="I246" i="1"/>
  <c r="B246" i="6" s="1"/>
  <c r="G246" i="1"/>
  <c r="BW246" i="6" s="1"/>
  <c r="K247" i="15"/>
  <c r="AK247" i="15"/>
  <c r="X247" i="15"/>
  <c r="AC247" i="15"/>
  <c r="AJ247" i="15"/>
  <c r="A248" i="15"/>
  <c r="O247" i="15"/>
  <c r="AB247" i="15"/>
  <c r="L247" i="15"/>
  <c r="AA246" i="1"/>
  <c r="Z246" i="1" s="1"/>
  <c r="Y246" i="1" s="1"/>
  <c r="K247" i="16"/>
  <c r="AB247" i="16"/>
  <c r="AJ247" i="16"/>
  <c r="AC247" i="16"/>
  <c r="X247" i="16"/>
  <c r="L247" i="16"/>
  <c r="A248" i="16"/>
  <c r="AK247" i="16"/>
  <c r="O247" i="16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AF63" i="7"/>
  <c r="D248" i="1"/>
  <c r="E248" i="1" l="1"/>
  <c r="BF250" i="1"/>
  <c r="K248" i="15"/>
  <c r="AJ248" i="15"/>
  <c r="X248" i="15"/>
  <c r="AK248" i="15"/>
  <c r="AB248" i="15"/>
  <c r="A249" i="15"/>
  <c r="O248" i="15"/>
  <c r="L248" i="15"/>
  <c r="AC248" i="15"/>
  <c r="P249" i="1"/>
  <c r="V249" i="1" s="1"/>
  <c r="F248" i="1"/>
  <c r="A249" i="16"/>
  <c r="AB248" i="16"/>
  <c r="AJ248" i="16"/>
  <c r="AC248" i="16"/>
  <c r="L248" i="16"/>
  <c r="X248" i="16"/>
  <c r="K248" i="16"/>
  <c r="AK248" i="16"/>
  <c r="O248" i="16"/>
  <c r="G248" i="1"/>
  <c r="BW248" i="6" s="1"/>
  <c r="AB244" i="23"/>
  <c r="K244" i="23"/>
  <c r="A245" i="23"/>
  <c r="L244" i="23"/>
  <c r="X244" i="23"/>
  <c r="AJ244" i="23"/>
  <c r="AK244" i="23"/>
  <c r="O244" i="23"/>
  <c r="AC244" i="23"/>
  <c r="AB250" i="1"/>
  <c r="A251" i="1"/>
  <c r="AJ250" i="1"/>
  <c r="Q250" i="1"/>
  <c r="X250" i="1"/>
  <c r="AC250" i="1"/>
  <c r="AK250" i="1"/>
  <c r="O250" i="1"/>
  <c r="K250" i="1"/>
  <c r="U250" i="1"/>
  <c r="T250" i="1" s="1"/>
  <c r="D249" i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B247" i="6" s="1"/>
  <c r="G247" i="1"/>
  <c r="BW247" i="6" s="1"/>
  <c r="E249" i="1" l="1"/>
  <c r="F249" i="1" s="1"/>
  <c r="BF251" i="1"/>
  <c r="AA248" i="1"/>
  <c r="Z248" i="1" s="1"/>
  <c r="Y248" i="1" s="1"/>
  <c r="I248" i="1"/>
  <c r="B248" i="6" s="1"/>
  <c r="A250" i="15"/>
  <c r="AK249" i="15"/>
  <c r="AB249" i="15"/>
  <c r="X249" i="15"/>
  <c r="AC249" i="15"/>
  <c r="K249" i="15"/>
  <c r="O249" i="15"/>
  <c r="L249" i="15"/>
  <c r="AJ249" i="15"/>
  <c r="L249" i="16"/>
  <c r="X249" i="16"/>
  <c r="AJ249" i="16"/>
  <c r="AC249" i="16"/>
  <c r="AB249" i="16"/>
  <c r="A250" i="16"/>
  <c r="K249" i="16"/>
  <c r="AK249" i="16"/>
  <c r="O249" i="16"/>
  <c r="D250" i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X251" i="1"/>
  <c r="Q251" i="1"/>
  <c r="K251" i="1"/>
  <c r="A252" i="1"/>
  <c r="O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E250" i="1" l="1"/>
  <c r="F250" i="1" s="1"/>
  <c r="AA249" i="1"/>
  <c r="Z249" i="1" s="1"/>
  <c r="Y249" i="1" s="1"/>
  <c r="BF252" i="1"/>
  <c r="I249" i="1"/>
  <c r="B249" i="6" s="1"/>
  <c r="G249" i="1"/>
  <c r="BW249" i="6" s="1"/>
  <c r="AB250" i="15"/>
  <c r="AJ250" i="15"/>
  <c r="L250" i="15"/>
  <c r="AK250" i="15"/>
  <c r="X250" i="15"/>
  <c r="K250" i="15"/>
  <c r="AC250" i="15"/>
  <c r="A251" i="15"/>
  <c r="O250" i="15"/>
  <c r="A251" i="16"/>
  <c r="AB250" i="16"/>
  <c r="K250" i="16"/>
  <c r="AJ250" i="16"/>
  <c r="O250" i="16"/>
  <c r="L250" i="16"/>
  <c r="X250" i="16"/>
  <c r="AK250" i="16"/>
  <c r="AC250" i="16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D251" i="1"/>
  <c r="AC252" i="1"/>
  <c r="K252" i="1"/>
  <c r="AK252" i="1"/>
  <c r="O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BF253" i="1" l="1"/>
  <c r="E251" i="1"/>
  <c r="F251" i="1" s="1"/>
  <c r="G251" i="1" s="1"/>
  <c r="BW251" i="6" s="1"/>
  <c r="I250" i="1"/>
  <c r="B250" i="6" s="1"/>
  <c r="AA250" i="1"/>
  <c r="Z250" i="1" s="1"/>
  <c r="Y250" i="1" s="1"/>
  <c r="G250" i="1"/>
  <c r="BW250" i="6" s="1"/>
  <c r="A252" i="15"/>
  <c r="AK251" i="15"/>
  <c r="L251" i="15"/>
  <c r="AJ251" i="15"/>
  <c r="X251" i="15"/>
  <c r="AB251" i="15"/>
  <c r="AC251" i="15"/>
  <c r="K251" i="15"/>
  <c r="O251" i="15"/>
  <c r="K251" i="16"/>
  <c r="AB251" i="16"/>
  <c r="X251" i="16"/>
  <c r="AK251" i="16"/>
  <c r="O251" i="16"/>
  <c r="L251" i="16"/>
  <c r="A252" i="16"/>
  <c r="AJ251" i="16"/>
  <c r="AC251" i="16"/>
  <c r="T252" i="1"/>
  <c r="D252" i="1"/>
  <c r="E252" i="1" s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U253" i="1"/>
  <c r="T253" i="1" s="1"/>
  <c r="S253" i="1" s="1"/>
  <c r="R253" i="1" s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P253" i="1" l="1"/>
  <c r="BF254" i="1"/>
  <c r="AA251" i="1"/>
  <c r="Z251" i="1" s="1"/>
  <c r="Y251" i="1" s="1"/>
  <c r="A253" i="15"/>
  <c r="AK252" i="15"/>
  <c r="AB252" i="15"/>
  <c r="X252" i="15"/>
  <c r="O252" i="15"/>
  <c r="L252" i="15"/>
  <c r="AC252" i="15"/>
  <c r="K252" i="15"/>
  <c r="AJ252" i="15"/>
  <c r="I251" i="1"/>
  <c r="B251" i="6" s="1"/>
  <c r="A253" i="16"/>
  <c r="AB252" i="16"/>
  <c r="K252" i="16"/>
  <c r="AK252" i="16"/>
  <c r="O252" i="16"/>
  <c r="X252" i="16"/>
  <c r="L252" i="16"/>
  <c r="AJ252" i="16"/>
  <c r="AC252" i="16"/>
  <c r="A248" i="24"/>
  <c r="X247" i="24"/>
  <c r="L247" i="24"/>
  <c r="K247" i="24"/>
  <c r="AB247" i="24"/>
  <c r="AJ247" i="24"/>
  <c r="AK247" i="24"/>
  <c r="O247" i="24"/>
  <c r="AC247" i="24"/>
  <c r="D253" i="1"/>
  <c r="V253" i="1"/>
  <c r="AJ254" i="1"/>
  <c r="Q254" i="1"/>
  <c r="A255" i="1"/>
  <c r="AK254" i="1"/>
  <c r="AC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BF255" i="1" l="1"/>
  <c r="E253" i="1"/>
  <c r="F253" i="1" s="1"/>
  <c r="V252" i="1"/>
  <c r="F252" i="1" s="1"/>
  <c r="AA252" i="1" s="1"/>
  <c r="Z252" i="1" s="1"/>
  <c r="Y252" i="1" s="1"/>
  <c r="X253" i="15"/>
  <c r="K253" i="15"/>
  <c r="AC253" i="15"/>
  <c r="L253" i="15"/>
  <c r="O253" i="15"/>
  <c r="AB253" i="15"/>
  <c r="AK253" i="15"/>
  <c r="A254" i="15"/>
  <c r="AJ253" i="15"/>
  <c r="A254" i="16"/>
  <c r="X253" i="16"/>
  <c r="AJ253" i="16"/>
  <c r="AC253" i="16"/>
  <c r="L253" i="16"/>
  <c r="AB253" i="16"/>
  <c r="K253" i="16"/>
  <c r="AK253" i="16"/>
  <c r="O253" i="16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D254" i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BF256" i="1" l="1"/>
  <c r="E254" i="1"/>
  <c r="G253" i="1"/>
  <c r="BW253" i="6" s="1"/>
  <c r="I252" i="1"/>
  <c r="B252" i="6" s="1"/>
  <c r="G252" i="1"/>
  <c r="BW252" i="6" s="1"/>
  <c r="I253" i="1"/>
  <c r="B253" i="6" s="1"/>
  <c r="AA253" i="1"/>
  <c r="Z253" i="1" s="1"/>
  <c r="Y253" i="1" s="1"/>
  <c r="L254" i="15"/>
  <c r="O254" i="15"/>
  <c r="A255" i="15"/>
  <c r="AJ254" i="15"/>
  <c r="AB254" i="15"/>
  <c r="AK254" i="15"/>
  <c r="X254" i="15"/>
  <c r="K254" i="15"/>
  <c r="AC254" i="15"/>
  <c r="K254" i="16"/>
  <c r="X254" i="16"/>
  <c r="L254" i="16"/>
  <c r="AK254" i="16"/>
  <c r="O254" i="16"/>
  <c r="A255" i="16"/>
  <c r="AB254" i="16"/>
  <c r="AJ254" i="16"/>
  <c r="AC254" i="16"/>
  <c r="F254" i="1"/>
  <c r="AJ256" i="1"/>
  <c r="A257" i="1"/>
  <c r="Q256" i="1"/>
  <c r="X256" i="1"/>
  <c r="AK256" i="1"/>
  <c r="AB256" i="1"/>
  <c r="AC256" i="1"/>
  <c r="O256" i="1"/>
  <c r="K256" i="1"/>
  <c r="U256" i="1"/>
  <c r="T256" i="1" s="1"/>
  <c r="S256" i="1" s="1"/>
  <c r="R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P256" i="1" l="1"/>
  <c r="BF257" i="1"/>
  <c r="G254" i="1"/>
  <c r="BW254" i="6" s="1"/>
  <c r="E255" i="1"/>
  <c r="I254" i="1"/>
  <c r="B254" i="6" s="1"/>
  <c r="X255" i="15"/>
  <c r="AJ255" i="15"/>
  <c r="K255" i="15"/>
  <c r="L255" i="15"/>
  <c r="AC255" i="15"/>
  <c r="AB255" i="15"/>
  <c r="O255" i="15"/>
  <c r="A256" i="15"/>
  <c r="AK255" i="15"/>
  <c r="AA254" i="1"/>
  <c r="Z254" i="1" s="1"/>
  <c r="Y254" i="1" s="1"/>
  <c r="F255" i="1"/>
  <c r="K255" i="16"/>
  <c r="L255" i="16"/>
  <c r="A256" i="16"/>
  <c r="AJ255" i="16"/>
  <c r="O255" i="16"/>
  <c r="AB255" i="16"/>
  <c r="X255" i="16"/>
  <c r="AK255" i="16"/>
  <c r="AC255" i="16"/>
  <c r="AA255" i="1"/>
  <c r="Z255" i="1" s="1"/>
  <c r="Y255" i="1" s="1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X257" i="1"/>
  <c r="AC257" i="1"/>
  <c r="AK257" i="1"/>
  <c r="AB257" i="1"/>
  <c r="U257" i="1"/>
  <c r="T257" i="1" s="1"/>
  <c r="S257" i="1" s="1"/>
  <c r="R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6" i="1"/>
  <c r="V256" i="1"/>
  <c r="P257" i="1" l="1"/>
  <c r="E256" i="1"/>
  <c r="F256" i="1" s="1"/>
  <c r="BF258" i="1"/>
  <c r="I255" i="1"/>
  <c r="B255" i="6" s="1"/>
  <c r="G255" i="1"/>
  <c r="BW255" i="6" s="1"/>
  <c r="AB256" i="15"/>
  <c r="AJ256" i="15"/>
  <c r="L256" i="15"/>
  <c r="AK256" i="15"/>
  <c r="X256" i="15"/>
  <c r="K256" i="15"/>
  <c r="AC256" i="15"/>
  <c r="A257" i="15"/>
  <c r="O256" i="15"/>
  <c r="AB256" i="16"/>
  <c r="X256" i="16"/>
  <c r="K256" i="16"/>
  <c r="AJ256" i="16"/>
  <c r="O256" i="16"/>
  <c r="L256" i="16"/>
  <c r="A257" i="16"/>
  <c r="AK256" i="16"/>
  <c r="AC256" i="16"/>
  <c r="D257" i="1"/>
  <c r="V257" i="1"/>
  <c r="AC258" i="1"/>
  <c r="Q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K250" i="25"/>
  <c r="L250" i="25"/>
  <c r="A251" i="25"/>
  <c r="X250" i="25"/>
  <c r="AB250" i="25"/>
  <c r="AJ250" i="25"/>
  <c r="O250" i="25"/>
  <c r="AK250" i="25"/>
  <c r="AC250" i="25"/>
  <c r="BF259" i="1" l="1"/>
  <c r="E257" i="1"/>
  <c r="I256" i="1"/>
  <c r="B256" i="6" s="1"/>
  <c r="F257" i="1"/>
  <c r="I61" i="19"/>
  <c r="AA256" i="1"/>
  <c r="Z256" i="1" s="1"/>
  <c r="Y256" i="1" s="1"/>
  <c r="G256" i="1"/>
  <c r="BW256" i="6" s="1"/>
  <c r="A258" i="15"/>
  <c r="K257" i="15"/>
  <c r="O257" i="15"/>
  <c r="X257" i="15"/>
  <c r="AC257" i="15"/>
  <c r="AB257" i="15"/>
  <c r="AJ257" i="15"/>
  <c r="L257" i="15"/>
  <c r="AK257" i="15"/>
  <c r="AB257" i="16"/>
  <c r="K257" i="16"/>
  <c r="AJ257" i="16"/>
  <c r="AC257" i="16"/>
  <c r="A258" i="16"/>
  <c r="L257" i="16"/>
  <c r="X257" i="16"/>
  <c r="AK257" i="16"/>
  <c r="O257" i="16"/>
  <c r="I257" i="1"/>
  <c r="B257" i="6" s="1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AB256" i="18"/>
  <c r="AJ256" i="18"/>
  <c r="X256" i="18"/>
  <c r="A257" i="18"/>
  <c r="K256" i="18"/>
  <c r="L256" i="18"/>
  <c r="AK256" i="18"/>
  <c r="O256" i="18"/>
  <c r="AC256" i="18"/>
  <c r="T258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l="1"/>
  <c r="BF260" i="1"/>
  <c r="AA257" i="1"/>
  <c r="Z257" i="1" s="1"/>
  <c r="Y257" i="1" s="1"/>
  <c r="G257" i="1"/>
  <c r="BW257" i="6" s="1"/>
  <c r="A259" i="15"/>
  <c r="AC258" i="15"/>
  <c r="AB258" i="15"/>
  <c r="AJ258" i="15"/>
  <c r="L258" i="15"/>
  <c r="AK258" i="15"/>
  <c r="X258" i="15"/>
  <c r="K258" i="15"/>
  <c r="O258" i="15"/>
  <c r="AB258" i="16"/>
  <c r="A259" i="16"/>
  <c r="AJ258" i="16"/>
  <c r="AC258" i="16"/>
  <c r="K258" i="16"/>
  <c r="X258" i="16"/>
  <c r="L258" i="16"/>
  <c r="AK258" i="16"/>
  <c r="O258" i="16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AB260" i="1"/>
  <c r="U260" i="1"/>
  <c r="D259" i="1"/>
  <c r="S258" i="1"/>
  <c r="R258" i="1" s="1"/>
  <c r="P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K255" i="22"/>
  <c r="A256" i="22"/>
  <c r="AB255" i="22"/>
  <c r="X255" i="22"/>
  <c r="L255" i="22"/>
  <c r="AJ255" i="22"/>
  <c r="AK255" i="22"/>
  <c r="O255" i="22"/>
  <c r="AC255" i="22"/>
  <c r="E259" i="1" l="1"/>
  <c r="V258" i="1"/>
  <c r="BF261" i="1"/>
  <c r="K259" i="15"/>
  <c r="O259" i="15"/>
  <c r="L259" i="15"/>
  <c r="AK259" i="15"/>
  <c r="AB259" i="15"/>
  <c r="AJ259" i="15"/>
  <c r="X259" i="15"/>
  <c r="A260" i="15"/>
  <c r="AC259" i="15"/>
  <c r="A260" i="16"/>
  <c r="L259" i="16"/>
  <c r="AB259" i="16"/>
  <c r="AK259" i="16"/>
  <c r="O259" i="16"/>
  <c r="X259" i="16"/>
  <c r="K259" i="16"/>
  <c r="AJ259" i="16"/>
  <c r="AC259" i="16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AB261" i="1"/>
  <c r="A262" i="1"/>
  <c r="AC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BF262" i="1" l="1"/>
  <c r="E260" i="1"/>
  <c r="F259" i="1"/>
  <c r="L260" i="15"/>
  <c r="X260" i="15"/>
  <c r="AC260" i="15"/>
  <c r="K260" i="15"/>
  <c r="O260" i="15"/>
  <c r="AB260" i="15"/>
  <c r="AK260" i="15"/>
  <c r="A261" i="15"/>
  <c r="AJ260" i="15"/>
  <c r="A261" i="16"/>
  <c r="K260" i="16"/>
  <c r="X260" i="16"/>
  <c r="AK260" i="16"/>
  <c r="O260" i="16"/>
  <c r="AB260" i="16"/>
  <c r="L260" i="16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I258" i="1"/>
  <c r="B258" i="6" s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61" i="1"/>
  <c r="AJ262" i="1"/>
  <c r="A263" i="1"/>
  <c r="O262" i="1"/>
  <c r="AC262" i="1"/>
  <c r="X262" i="1"/>
  <c r="AK262" i="1"/>
  <c r="K262" i="1"/>
  <c r="AB262" i="1"/>
  <c r="Q262" i="1"/>
  <c r="U262" i="1"/>
  <c r="T262" i="1" s="1"/>
  <c r="BF263" i="1" l="1"/>
  <c r="E261" i="1"/>
  <c r="F261" i="1" s="1"/>
  <c r="AA259" i="1"/>
  <c r="Z259" i="1" s="1"/>
  <c r="Y259" i="1" s="1"/>
  <c r="G259" i="1"/>
  <c r="BW259" i="6" s="1"/>
  <c r="I259" i="1"/>
  <c r="B259" i="6" s="1"/>
  <c r="V260" i="1"/>
  <c r="F260" i="1" s="1"/>
  <c r="L261" i="15"/>
  <c r="AC261" i="15"/>
  <c r="A262" i="15"/>
  <c r="AK261" i="15"/>
  <c r="AB261" i="15"/>
  <c r="AJ261" i="15"/>
  <c r="X261" i="15"/>
  <c r="K261" i="15"/>
  <c r="O261" i="15"/>
  <c r="K261" i="16"/>
  <c r="AB261" i="16"/>
  <c r="AJ261" i="16"/>
  <c r="AC261" i="16"/>
  <c r="L261" i="16"/>
  <c r="X261" i="16"/>
  <c r="AK261" i="16"/>
  <c r="A262" i="16"/>
  <c r="O261" i="16"/>
  <c r="A264" i="1"/>
  <c r="O263" i="1"/>
  <c r="AJ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E262" i="1" l="1"/>
  <c r="F262" i="1" s="1"/>
  <c r="BF264" i="1"/>
  <c r="L262" i="15"/>
  <c r="O262" i="15"/>
  <c r="AB262" i="15"/>
  <c r="AK262" i="15"/>
  <c r="K262" i="15"/>
  <c r="AJ262" i="15"/>
  <c r="A263" i="15"/>
  <c r="X262" i="15"/>
  <c r="AC262" i="15"/>
  <c r="K262" i="16"/>
  <c r="AB262" i="16"/>
  <c r="X262" i="16"/>
  <c r="AJ262" i="16"/>
  <c r="O262" i="16"/>
  <c r="L262" i="16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B260" i="6" s="1"/>
  <c r="X256" i="25"/>
  <c r="K256" i="25"/>
  <c r="AB256" i="25"/>
  <c r="A257" i="25"/>
  <c r="L256" i="25"/>
  <c r="AJ256" i="25"/>
  <c r="AK256" i="25"/>
  <c r="O256" i="25"/>
  <c r="AC256" i="25"/>
  <c r="I261" i="1"/>
  <c r="B261" i="6" s="1"/>
  <c r="G261" i="1"/>
  <c r="BW261" i="6" s="1"/>
  <c r="AA261" i="1"/>
  <c r="Z261" i="1" s="1"/>
  <c r="Y261" i="1" s="1"/>
  <c r="D263" i="1"/>
  <c r="E263" i="1" s="1"/>
  <c r="V263" i="1"/>
  <c r="AA262" i="1" l="1"/>
  <c r="Z262" i="1" s="1"/>
  <c r="Y262" i="1" s="1"/>
  <c r="BF265" i="1"/>
  <c r="G262" i="1"/>
  <c r="BW262" i="6" s="1"/>
  <c r="I262" i="1"/>
  <c r="B262" i="6" s="1"/>
  <c r="K263" i="15"/>
  <c r="O263" i="15"/>
  <c r="L263" i="15"/>
  <c r="AK263" i="15"/>
  <c r="AB263" i="15"/>
  <c r="AJ263" i="15"/>
  <c r="A264" i="15"/>
  <c r="X263" i="15"/>
  <c r="AC263" i="15"/>
  <c r="X263" i="16"/>
  <c r="K263" i="16"/>
  <c r="AJ263" i="16"/>
  <c r="AC263" i="16"/>
  <c r="A264" i="16"/>
  <c r="L263" i="16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A259" i="24"/>
  <c r="K258" i="24"/>
  <c r="X258" i="24"/>
  <c r="L258" i="24"/>
  <c r="AB258" i="24"/>
  <c r="AJ258" i="24"/>
  <c r="AK258" i="24"/>
  <c r="O258" i="24"/>
  <c r="AC258" i="24"/>
  <c r="BF266" i="1" l="1"/>
  <c r="E264" i="1"/>
  <c r="X264" i="15"/>
  <c r="AK264" i="15"/>
  <c r="L264" i="15"/>
  <c r="AB264" i="15"/>
  <c r="AC264" i="15"/>
  <c r="K264" i="15"/>
  <c r="O264" i="15"/>
  <c r="A265" i="15"/>
  <c r="AJ264" i="15"/>
  <c r="L264" i="16"/>
  <c r="X264" i="16"/>
  <c r="K264" i="16"/>
  <c r="AK264" i="16"/>
  <c r="O264" i="16"/>
  <c r="A265" i="16"/>
  <c r="AB264" i="16"/>
  <c r="AJ264" i="16"/>
  <c r="AC264" i="16"/>
  <c r="AB260" i="23"/>
  <c r="K260" i="23"/>
  <c r="L260" i="23"/>
  <c r="X260" i="23"/>
  <c r="A261" i="23"/>
  <c r="AJ260" i="23"/>
  <c r="AK260" i="23"/>
  <c r="O260" i="23"/>
  <c r="AC260" i="23"/>
  <c r="D265" i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B263" i="6" s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A259" i="25"/>
  <c r="L258" i="25"/>
  <c r="X258" i="25"/>
  <c r="K258" i="25"/>
  <c r="AB258" i="25"/>
  <c r="AJ258" i="25"/>
  <c r="O258" i="25"/>
  <c r="AK258" i="25"/>
  <c r="AC258" i="25"/>
  <c r="BF267" i="1" l="1"/>
  <c r="E265" i="1"/>
  <c r="F265" i="1" s="1"/>
  <c r="K265" i="15"/>
  <c r="AK265" i="15"/>
  <c r="X265" i="15"/>
  <c r="AJ265" i="15"/>
  <c r="L265" i="15"/>
  <c r="AB265" i="15"/>
  <c r="AC265" i="15"/>
  <c r="A266" i="15"/>
  <c r="O265" i="15"/>
  <c r="X265" i="16"/>
  <c r="K265" i="16"/>
  <c r="AJ265" i="16"/>
  <c r="AC265" i="16"/>
  <c r="AB265" i="16"/>
  <c r="L265" i="16"/>
  <c r="A266" i="16"/>
  <c r="AK265" i="16"/>
  <c r="O265" i="16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U267" i="1"/>
  <c r="T267" i="1" s="1"/>
  <c r="D266" i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B264" i="6" s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BF268" i="1" l="1"/>
  <c r="E266" i="1"/>
  <c r="F266" i="1" s="1"/>
  <c r="L266" i="15"/>
  <c r="AJ266" i="15"/>
  <c r="X266" i="15"/>
  <c r="AK266" i="15"/>
  <c r="A267" i="15"/>
  <c r="K266" i="15"/>
  <c r="AC266" i="15"/>
  <c r="AB266" i="15"/>
  <c r="O266" i="15"/>
  <c r="X266" i="16"/>
  <c r="L266" i="16"/>
  <c r="AJ266" i="16"/>
  <c r="AC266" i="16"/>
  <c r="AB266" i="16"/>
  <c r="A267" i="16"/>
  <c r="K266" i="16"/>
  <c r="AK266" i="16"/>
  <c r="O266" i="16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B265" i="6" s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l="1"/>
  <c r="F267" i="1" s="1"/>
  <c r="BF269" i="1"/>
  <c r="G266" i="1"/>
  <c r="BW266" i="6" s="1"/>
  <c r="A268" i="15"/>
  <c r="AB267" i="15"/>
  <c r="AC267" i="15"/>
  <c r="K267" i="15"/>
  <c r="O267" i="15"/>
  <c r="X267" i="15"/>
  <c r="AK267" i="15"/>
  <c r="L267" i="15"/>
  <c r="AJ267" i="15"/>
  <c r="AA266" i="1"/>
  <c r="Z266" i="1" s="1"/>
  <c r="Y266" i="1" s="1"/>
  <c r="A268" i="16"/>
  <c r="X267" i="16"/>
  <c r="L267" i="16"/>
  <c r="AK267" i="16"/>
  <c r="O267" i="16"/>
  <c r="K267" i="16"/>
  <c r="AB267" i="16"/>
  <c r="AJ267" i="16"/>
  <c r="AC267" i="16"/>
  <c r="I266" i="1"/>
  <c r="B266" i="6" s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K263" i="23"/>
  <c r="L263" i="23"/>
  <c r="AB263" i="23"/>
  <c r="A264" i="23"/>
  <c r="X263" i="23"/>
  <c r="AJ263" i="23"/>
  <c r="AK263" i="23"/>
  <c r="O263" i="23"/>
  <c r="AC263" i="23"/>
  <c r="I267" i="1" l="1"/>
  <c r="B267" i="6" s="1"/>
  <c r="E268" i="1"/>
  <c r="BF270" i="1"/>
  <c r="P269" i="1"/>
  <c r="V269" i="1" s="1"/>
  <c r="AA267" i="1"/>
  <c r="Z267" i="1" s="1"/>
  <c r="Y267" i="1" s="1"/>
  <c r="G267" i="1"/>
  <c r="BW267" i="6" s="1"/>
  <c r="A269" i="15"/>
  <c r="AJ268" i="15"/>
  <c r="X268" i="15"/>
  <c r="AB268" i="15"/>
  <c r="O268" i="15"/>
  <c r="K268" i="15"/>
  <c r="AC268" i="15"/>
  <c r="L268" i="15"/>
  <c r="AK268" i="15"/>
  <c r="AB268" i="16"/>
  <c r="K268" i="16"/>
  <c r="A269" i="16"/>
  <c r="AK268" i="16"/>
  <c r="O268" i="16"/>
  <c r="L268" i="16"/>
  <c r="X268" i="16"/>
  <c r="AJ268" i="16"/>
  <c r="AC268" i="16"/>
  <c r="X264" i="23"/>
  <c r="A265" i="23"/>
  <c r="L264" i="23"/>
  <c r="AB264" i="23"/>
  <c r="K264" i="23"/>
  <c r="AJ264" i="23"/>
  <c r="AK264" i="23"/>
  <c r="O264" i="23"/>
  <c r="AC264" i="23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BF271" i="1" l="1"/>
  <c r="E269" i="1"/>
  <c r="K269" i="15"/>
  <c r="O269" i="15"/>
  <c r="L269" i="15"/>
  <c r="AK269" i="15"/>
  <c r="X269" i="15"/>
  <c r="AJ269" i="15"/>
  <c r="AB269" i="15"/>
  <c r="A270" i="15"/>
  <c r="AC269" i="15"/>
  <c r="F269" i="1"/>
  <c r="A270" i="16"/>
  <c r="AB269" i="16"/>
  <c r="X269" i="16"/>
  <c r="AJ269" i="16"/>
  <c r="O269" i="16"/>
  <c r="K269" i="16"/>
  <c r="L269" i="16"/>
  <c r="AK269" i="16"/>
  <c r="AC269" i="16"/>
  <c r="AA269" i="1"/>
  <c r="Z269" i="1" s="1"/>
  <c r="Y269" i="1" s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G268" i="1"/>
  <c r="BW268" i="6" s="1"/>
  <c r="I268" i="1"/>
  <c r="B268" i="6" s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E270" i="1" l="1"/>
  <c r="BF272" i="1"/>
  <c r="G269" i="1"/>
  <c r="BW269" i="6" s="1"/>
  <c r="I269" i="1"/>
  <c r="B269" i="6" s="1"/>
  <c r="A271" i="15"/>
  <c r="AK270" i="15"/>
  <c r="L270" i="15"/>
  <c r="AJ270" i="15"/>
  <c r="AB270" i="15"/>
  <c r="K270" i="15"/>
  <c r="AC270" i="15"/>
  <c r="X270" i="15"/>
  <c r="O270" i="15"/>
  <c r="AB270" i="16"/>
  <c r="K270" i="16"/>
  <c r="AJ270" i="16"/>
  <c r="AC270" i="16"/>
  <c r="A271" i="16"/>
  <c r="L270" i="16"/>
  <c r="X270" i="16"/>
  <c r="AK270" i="16"/>
  <c r="O270" i="16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A28" i="7"/>
  <c r="A273" i="1"/>
  <c r="AJ272" i="1"/>
  <c r="U272" i="1"/>
  <c r="T272" i="1" s="1"/>
  <c r="S272" i="1" s="1"/>
  <c r="R272" i="1" s="1"/>
  <c r="BF273" i="1" l="1"/>
  <c r="E271" i="1"/>
  <c r="F271" i="1" s="1"/>
  <c r="X271" i="15"/>
  <c r="AK271" i="15"/>
  <c r="L271" i="15"/>
  <c r="AJ271" i="15"/>
  <c r="K271" i="15"/>
  <c r="AB271" i="15"/>
  <c r="AC271" i="15"/>
  <c r="A272" i="15"/>
  <c r="O271" i="15"/>
  <c r="K271" i="16"/>
  <c r="AB271" i="16"/>
  <c r="X271" i="16"/>
  <c r="AK271" i="16"/>
  <c r="O271" i="16"/>
  <c r="AJ271" i="16"/>
  <c r="AC271" i="16"/>
  <c r="L271" i="16"/>
  <c r="A272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X271" i="17"/>
  <c r="AB271" i="17"/>
  <c r="L271" i="17"/>
  <c r="A272" i="17"/>
  <c r="K271" i="17"/>
  <c r="O271" i="17"/>
  <c r="AK271" i="17"/>
  <c r="AJ271" i="17"/>
  <c r="AC271" i="17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B270" i="6" s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K273" i="1"/>
  <c r="O273" i="1"/>
  <c r="AB273" i="1"/>
  <c r="AK273" i="1"/>
  <c r="Q273" i="1"/>
  <c r="U273" i="1"/>
  <c r="T273" i="1" s="1"/>
  <c r="D272" i="1"/>
  <c r="B28" i="7"/>
  <c r="A271" i="18"/>
  <c r="L270" i="18"/>
  <c r="X270" i="18"/>
  <c r="K270" i="18"/>
  <c r="AB270" i="18"/>
  <c r="AJ270" i="18"/>
  <c r="O270" i="18"/>
  <c r="AK270" i="18"/>
  <c r="AC270" i="18"/>
  <c r="V272" i="1" l="1"/>
  <c r="E272" i="1"/>
  <c r="BF274" i="1"/>
  <c r="X272" i="15"/>
  <c r="AK272" i="15"/>
  <c r="O272" i="15"/>
  <c r="C40" i="7" s="1"/>
  <c r="A40" i="7"/>
  <c r="AJ272" i="15"/>
  <c r="AB272" i="15"/>
  <c r="A273" i="15"/>
  <c r="AC272" i="15"/>
  <c r="L272" i="15"/>
  <c r="K272" i="15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B271" i="6" s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X269" i="22"/>
  <c r="K269" i="22"/>
  <c r="AB269" i="22"/>
  <c r="A270" i="22"/>
  <c r="L269" i="22"/>
  <c r="AJ269" i="22"/>
  <c r="AK269" i="22"/>
  <c r="O269" i="22"/>
  <c r="AC269" i="22"/>
  <c r="F272" i="1" l="1"/>
  <c r="I272" i="1" s="1"/>
  <c r="B272" i="6" s="1"/>
  <c r="E273" i="1"/>
  <c r="BF275" i="1"/>
  <c r="F273" i="1"/>
  <c r="B40" i="7"/>
  <c r="X273" i="15"/>
  <c r="AB273" i="15"/>
  <c r="O273" i="15"/>
  <c r="K273" i="15"/>
  <c r="AC273" i="15"/>
  <c r="L273" i="15"/>
  <c r="AJ273" i="15"/>
  <c r="A274" i="15"/>
  <c r="AK273" i="15"/>
  <c r="L273" i="16"/>
  <c r="K273" i="16"/>
  <c r="O273" i="16"/>
  <c r="A274" i="16"/>
  <c r="AB273" i="16"/>
  <c r="AJ273" i="16"/>
  <c r="AC273" i="16"/>
  <c r="X273" i="16"/>
  <c r="AK273" i="16"/>
  <c r="B52" i="7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AJ275" i="1"/>
  <c r="O275" i="1"/>
  <c r="AB275" i="1"/>
  <c r="AC275" i="1"/>
  <c r="AK275" i="1"/>
  <c r="A276" i="1"/>
  <c r="K275" i="1"/>
  <c r="Q275" i="1"/>
  <c r="X275" i="1"/>
  <c r="U275" i="1"/>
  <c r="AA272" i="1" l="1"/>
  <c r="Z272" i="1" s="1"/>
  <c r="Y272" i="1" s="1"/>
  <c r="BF276" i="1"/>
  <c r="E274" i="1"/>
  <c r="G273" i="1"/>
  <c r="BW273" i="6" s="1"/>
  <c r="AA273" i="1"/>
  <c r="Z273" i="1" s="1"/>
  <c r="Y273" i="1" s="1"/>
  <c r="I273" i="1"/>
  <c r="B273" i="6" s="1"/>
  <c r="X274" i="15"/>
  <c r="AJ274" i="15"/>
  <c r="K274" i="15"/>
  <c r="A275" i="15"/>
  <c r="AC274" i="15"/>
  <c r="L274" i="15"/>
  <c r="O274" i="15"/>
  <c r="AB274" i="15"/>
  <c r="AK274" i="15"/>
  <c r="K274" i="16"/>
  <c r="X274" i="16"/>
  <c r="AJ274" i="16"/>
  <c r="AC274" i="16"/>
  <c r="L274" i="16"/>
  <c r="A275" i="16"/>
  <c r="AB274" i="16"/>
  <c r="AK274" i="16"/>
  <c r="O274" i="16"/>
  <c r="D275" i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T275" i="1"/>
  <c r="AB276" i="1"/>
  <c r="AK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V274" i="1" l="1"/>
  <c r="F274" i="1" s="1"/>
  <c r="BF277" i="1"/>
  <c r="E275" i="1"/>
  <c r="K275" i="15"/>
  <c r="AK275" i="15"/>
  <c r="A276" i="15"/>
  <c r="AB275" i="15"/>
  <c r="AC275" i="15"/>
  <c r="L275" i="15"/>
  <c r="O275" i="15"/>
  <c r="X275" i="15"/>
  <c r="AJ275" i="15"/>
  <c r="X275" i="16"/>
  <c r="K275" i="16"/>
  <c r="L275" i="16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S275" i="1"/>
  <c r="R275" i="1" s="1"/>
  <c r="P275" i="1" s="1"/>
  <c r="AB271" i="23"/>
  <c r="A272" i="23"/>
  <c r="L271" i="23"/>
  <c r="K271" i="23"/>
  <c r="X271" i="23"/>
  <c r="AK271" i="23"/>
  <c r="AJ271" i="23"/>
  <c r="O271" i="23"/>
  <c r="AC271" i="23"/>
  <c r="BF278" i="1" l="1"/>
  <c r="V275" i="1"/>
  <c r="E276" i="1"/>
  <c r="F275" i="1"/>
  <c r="F276" i="1"/>
  <c r="X276" i="15"/>
  <c r="AJ276" i="15"/>
  <c r="L276" i="15"/>
  <c r="K276" i="15"/>
  <c r="O276" i="15"/>
  <c r="A277" i="15"/>
  <c r="AC276" i="15"/>
  <c r="AB276" i="15"/>
  <c r="AK276" i="15"/>
  <c r="X276" i="16"/>
  <c r="L276" i="16"/>
  <c r="K276" i="16"/>
  <c r="AJ276" i="16"/>
  <c r="O276" i="16"/>
  <c r="AB276" i="16"/>
  <c r="A277" i="16"/>
  <c r="AK276" i="16"/>
  <c r="AC276" i="16"/>
  <c r="A273" i="23"/>
  <c r="AE52" i="7"/>
  <c r="L272" i="23"/>
  <c r="K272" i="23"/>
  <c r="X272" i="23"/>
  <c r="AB272" i="23"/>
  <c r="AJ272" i="23"/>
  <c r="AK272" i="23"/>
  <c r="O272" i="23"/>
  <c r="AG52" i="7" s="1"/>
  <c r="AC272" i="23"/>
  <c r="AA275" i="1"/>
  <c r="Z275" i="1" s="1"/>
  <c r="Y275" i="1" s="1"/>
  <c r="G274" i="1"/>
  <c r="BW274" i="6" s="1"/>
  <c r="I274" i="1"/>
  <c r="B274" i="6" s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K275" i="18"/>
  <c r="X275" i="18"/>
  <c r="AB275" i="18"/>
  <c r="A276" i="18"/>
  <c r="AJ275" i="18"/>
  <c r="L275" i="18"/>
  <c r="AK275" i="18"/>
  <c r="O275" i="18"/>
  <c r="AC275" i="18"/>
  <c r="D277" i="1"/>
  <c r="K278" i="1"/>
  <c r="X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E277" i="1" l="1"/>
  <c r="G275" i="1"/>
  <c r="BW275" i="6" s="1"/>
  <c r="BF279" i="1"/>
  <c r="I276" i="1"/>
  <c r="B276" i="6" s="1"/>
  <c r="I275" i="1"/>
  <c r="B275" i="6" s="1"/>
  <c r="AA276" i="1"/>
  <c r="Z276" i="1" s="1"/>
  <c r="Y276" i="1" s="1"/>
  <c r="G276" i="1"/>
  <c r="BW276" i="6" s="1"/>
  <c r="L277" i="15"/>
  <c r="O277" i="15"/>
  <c r="X277" i="15"/>
  <c r="AK277" i="15"/>
  <c r="AB277" i="15"/>
  <c r="AJ277" i="15"/>
  <c r="K277" i="15"/>
  <c r="A278" i="15"/>
  <c r="AC277" i="15"/>
  <c r="X277" i="16"/>
  <c r="L277" i="16"/>
  <c r="AB277" i="16"/>
  <c r="AK277" i="16"/>
  <c r="O277" i="16"/>
  <c r="K277" i="16"/>
  <c r="A278" i="16"/>
  <c r="AJ277" i="16"/>
  <c r="AC277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S278" i="1"/>
  <c r="R278" i="1" s="1"/>
  <c r="P278" i="1" s="1"/>
  <c r="V278" i="1" s="1"/>
  <c r="O279" i="1"/>
  <c r="AJ279" i="1"/>
  <c r="X279" i="1"/>
  <c r="AC279" i="1"/>
  <c r="A280" i="1"/>
  <c r="AK279" i="1"/>
  <c r="Q279" i="1"/>
  <c r="K279" i="1"/>
  <c r="AB279" i="1"/>
  <c r="U279" i="1"/>
  <c r="T279" i="1" s="1"/>
  <c r="D278" i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E278" i="1" l="1"/>
  <c r="F278" i="1" s="1"/>
  <c r="BF280" i="1"/>
  <c r="AB278" i="15"/>
  <c r="AK278" i="15"/>
  <c r="L278" i="15"/>
  <c r="AJ278" i="15"/>
  <c r="X278" i="15"/>
  <c r="A279" i="15"/>
  <c r="AC278" i="15"/>
  <c r="K278" i="15"/>
  <c r="O278" i="15"/>
  <c r="V277" i="1"/>
  <c r="X278" i="16"/>
  <c r="AB278" i="16"/>
  <c r="A279" i="16"/>
  <c r="AK278" i="16"/>
  <c r="O278" i="16"/>
  <c r="K278" i="16"/>
  <c r="L278" i="16"/>
  <c r="AJ278" i="16"/>
  <c r="AC278" i="16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E279" i="1" l="1"/>
  <c r="F279" i="1" s="1"/>
  <c r="BF281" i="1"/>
  <c r="F277" i="1"/>
  <c r="I277" i="1" s="1"/>
  <c r="B277" i="6" s="1"/>
  <c r="A280" i="15"/>
  <c r="AK279" i="15"/>
  <c r="K279" i="15"/>
  <c r="AJ279" i="15"/>
  <c r="X279" i="15"/>
  <c r="AB279" i="15"/>
  <c r="O279" i="15"/>
  <c r="L279" i="15"/>
  <c r="AC279" i="15"/>
  <c r="AB279" i="16"/>
  <c r="X279" i="16"/>
  <c r="L279" i="16"/>
  <c r="AK279" i="16"/>
  <c r="O279" i="16"/>
  <c r="A280" i="16"/>
  <c r="K279" i="16"/>
  <c r="AJ279" i="16"/>
  <c r="AC279" i="16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S280" i="1"/>
  <c r="R280" i="1" s="1"/>
  <c r="P280" i="1" s="1"/>
  <c r="V280" i="1" s="1"/>
  <c r="X281" i="1"/>
  <c r="K281" i="1"/>
  <c r="A282" i="1"/>
  <c r="AC281" i="1"/>
  <c r="AJ281" i="1"/>
  <c r="AB281" i="1"/>
  <c r="Q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AB273" i="25"/>
  <c r="X273" i="25"/>
  <c r="A274" i="25"/>
  <c r="L273" i="25"/>
  <c r="K273" i="25"/>
  <c r="AJ273" i="25"/>
  <c r="O273" i="25"/>
  <c r="AK273" i="25"/>
  <c r="AC273" i="25"/>
  <c r="AF76" i="7"/>
  <c r="I278" i="1"/>
  <c r="B278" i="6" s="1"/>
  <c r="AA278" i="1"/>
  <c r="Z278" i="1" s="1"/>
  <c r="Y278" i="1" s="1"/>
  <c r="G278" i="1"/>
  <c r="BW278" i="6" s="1"/>
  <c r="E280" i="1" l="1"/>
  <c r="F280" i="1" s="1"/>
  <c r="BF282" i="1"/>
  <c r="I279" i="1"/>
  <c r="B279" i="6" s="1"/>
  <c r="AA277" i="1"/>
  <c r="Z277" i="1" s="1"/>
  <c r="Y277" i="1" s="1"/>
  <c r="G277" i="1"/>
  <c r="BW277" i="6" s="1"/>
  <c r="G279" i="1"/>
  <c r="BW279" i="6" s="1"/>
  <c r="AA279" i="1"/>
  <c r="Z279" i="1" s="1"/>
  <c r="Y279" i="1" s="1"/>
  <c r="L280" i="15"/>
  <c r="AK280" i="15"/>
  <c r="AB280" i="15"/>
  <c r="AJ280" i="15"/>
  <c r="X280" i="15"/>
  <c r="A281" i="15"/>
  <c r="O280" i="15"/>
  <c r="K280" i="15"/>
  <c r="AC280" i="15"/>
  <c r="A281" i="16"/>
  <c r="K280" i="16"/>
  <c r="AJ280" i="16"/>
  <c r="AC280" i="16"/>
  <c r="L280" i="16"/>
  <c r="X280" i="16"/>
  <c r="AB280" i="16"/>
  <c r="AK280" i="16"/>
  <c r="O280" i="16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AK282" i="1"/>
  <c r="AC282" i="1"/>
  <c r="O282" i="1"/>
  <c r="A283" i="1"/>
  <c r="U282" i="1"/>
  <c r="K280" i="17"/>
  <c r="A281" i="17"/>
  <c r="X280" i="17"/>
  <c r="L280" i="17"/>
  <c r="AB280" i="17"/>
  <c r="AK280" i="17"/>
  <c r="AJ280" i="17"/>
  <c r="O280" i="17"/>
  <c r="AC280" i="17"/>
  <c r="D281" i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E281" i="1" l="1"/>
  <c r="BF283" i="1"/>
  <c r="AA280" i="1"/>
  <c r="Z280" i="1" s="1"/>
  <c r="Y280" i="1" s="1"/>
  <c r="K281" i="15"/>
  <c r="AJ281" i="15"/>
  <c r="A282" i="15"/>
  <c r="AK281" i="15"/>
  <c r="AB281" i="15"/>
  <c r="X281" i="15"/>
  <c r="AC281" i="15"/>
  <c r="L281" i="15"/>
  <c r="O281" i="15"/>
  <c r="G280" i="1"/>
  <c r="BW280" i="6" s="1"/>
  <c r="I280" i="1"/>
  <c r="B280" i="6" s="1"/>
  <c r="F281" i="1"/>
  <c r="AB281" i="16"/>
  <c r="X281" i="16"/>
  <c r="L281" i="16"/>
  <c r="AK281" i="16"/>
  <c r="O281" i="16"/>
  <c r="A282" i="16"/>
  <c r="K281" i="16"/>
  <c r="AJ281" i="16"/>
  <c r="AC281" i="16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U283" i="1"/>
  <c r="T283" i="1" s="1"/>
  <c r="D282" i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E282" i="1" l="1"/>
  <c r="BF284" i="1"/>
  <c r="AA281" i="1"/>
  <c r="Z281" i="1" s="1"/>
  <c r="Y281" i="1" s="1"/>
  <c r="I281" i="1"/>
  <c r="B281" i="6" s="1"/>
  <c r="X282" i="15"/>
  <c r="AB282" i="15"/>
  <c r="AJ282" i="15"/>
  <c r="A283" i="15"/>
  <c r="L282" i="15"/>
  <c r="AK282" i="15"/>
  <c r="K282" i="15"/>
  <c r="O282" i="15"/>
  <c r="AC282" i="15"/>
  <c r="G281" i="1"/>
  <c r="BW281" i="6" s="1"/>
  <c r="A283" i="16"/>
  <c r="AB282" i="16"/>
  <c r="AJ282" i="16"/>
  <c r="AC282" i="16"/>
  <c r="X282" i="16"/>
  <c r="K282" i="16"/>
  <c r="L282" i="16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E283" i="1" s="1"/>
  <c r="K284" i="1"/>
  <c r="AJ284" i="1"/>
  <c r="A285" i="1"/>
  <c r="Q284" i="1"/>
  <c r="AK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L282" i="17"/>
  <c r="K282" i="17"/>
  <c r="A283" i="17"/>
  <c r="AB282" i="17"/>
  <c r="X282" i="17"/>
  <c r="AJ282" i="17"/>
  <c r="O282" i="17"/>
  <c r="AK282" i="17"/>
  <c r="AC282" i="17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BF285" i="1" l="1"/>
  <c r="X283" i="15"/>
  <c r="O283" i="15"/>
  <c r="AB283" i="15"/>
  <c r="AK283" i="15"/>
  <c r="L283" i="15"/>
  <c r="AJ283" i="15"/>
  <c r="A284" i="15"/>
  <c r="K283" i="15"/>
  <c r="AC283" i="15"/>
  <c r="F283" i="1"/>
  <c r="X283" i="16"/>
  <c r="L283" i="16"/>
  <c r="A284" i="16"/>
  <c r="AK283" i="16"/>
  <c r="O283" i="16"/>
  <c r="K283" i="16"/>
  <c r="AB283" i="16"/>
  <c r="AJ283" i="16"/>
  <c r="AC283" i="16"/>
  <c r="V282" i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K278" i="24"/>
  <c r="A279" i="24"/>
  <c r="L278" i="24"/>
  <c r="AB278" i="24"/>
  <c r="X278" i="24"/>
  <c r="AK278" i="24"/>
  <c r="AJ278" i="24"/>
  <c r="O278" i="24"/>
  <c r="AC278" i="24"/>
  <c r="D284" i="1"/>
  <c r="BF286" i="1" l="1"/>
  <c r="E284" i="1"/>
  <c r="AA283" i="1"/>
  <c r="Z283" i="1" s="1"/>
  <c r="Y283" i="1" s="1"/>
  <c r="G283" i="1"/>
  <c r="BW283" i="6" s="1"/>
  <c r="F282" i="1"/>
  <c r="AA282" i="1" s="1"/>
  <c r="Z282" i="1" s="1"/>
  <c r="Y282" i="1" s="1"/>
  <c r="I283" i="1"/>
  <c r="B283" i="6" s="1"/>
  <c r="AB284" i="15"/>
  <c r="AJ284" i="15"/>
  <c r="L284" i="15"/>
  <c r="A285" i="15"/>
  <c r="AC284" i="15"/>
  <c r="K284" i="15"/>
  <c r="O284" i="15"/>
  <c r="X284" i="15"/>
  <c r="AK284" i="15"/>
  <c r="F284" i="1"/>
  <c r="A285" i="16"/>
  <c r="AB284" i="16"/>
  <c r="X284" i="16"/>
  <c r="AK284" i="16"/>
  <c r="O284" i="16"/>
  <c r="L284" i="16"/>
  <c r="K284" i="16"/>
  <c r="AJ284" i="16"/>
  <c r="AC284" i="16"/>
  <c r="A280" i="24"/>
  <c r="AB279" i="24"/>
  <c r="X279" i="24"/>
  <c r="K279" i="24"/>
  <c r="L279" i="24"/>
  <c r="AJ279" i="24"/>
  <c r="AK279" i="24"/>
  <c r="O279" i="24"/>
  <c r="AC279" i="24"/>
  <c r="A282" i="22"/>
  <c r="X281" i="22"/>
  <c r="AB281" i="22"/>
  <c r="K281" i="22"/>
  <c r="L281" i="22"/>
  <c r="AJ281" i="22"/>
  <c r="AK281" i="22"/>
  <c r="O281" i="22"/>
  <c r="AC281" i="22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AB286" i="1"/>
  <c r="K286" i="1"/>
  <c r="X286" i="1"/>
  <c r="A287" i="1"/>
  <c r="AK286" i="1"/>
  <c r="Q286" i="1"/>
  <c r="O286" i="1"/>
  <c r="U286" i="1"/>
  <c r="T286" i="1" s="1"/>
  <c r="D285" i="1"/>
  <c r="V285" i="1"/>
  <c r="A281" i="23"/>
  <c r="X280" i="23"/>
  <c r="L280" i="23"/>
  <c r="K280" i="23"/>
  <c r="AB280" i="23"/>
  <c r="AJ280" i="23"/>
  <c r="AK280" i="23"/>
  <c r="O280" i="23"/>
  <c r="AC280" i="23"/>
  <c r="E285" i="1" l="1"/>
  <c r="G284" i="1"/>
  <c r="BW284" i="6" s="1"/>
  <c r="BF287" i="1"/>
  <c r="I282" i="1"/>
  <c r="B282" i="6" s="1"/>
  <c r="G282" i="1"/>
  <c r="BW282" i="6" s="1"/>
  <c r="AA284" i="1"/>
  <c r="Z284" i="1" s="1"/>
  <c r="Y284" i="1" s="1"/>
  <c r="I284" i="1"/>
  <c r="B284" i="6" s="1"/>
  <c r="K285" i="15"/>
  <c r="O285" i="15"/>
  <c r="L285" i="15"/>
  <c r="AK285" i="15"/>
  <c r="A286" i="15"/>
  <c r="AJ285" i="15"/>
  <c r="X285" i="15"/>
  <c r="AB285" i="15"/>
  <c r="AC285" i="15"/>
  <c r="F285" i="1"/>
  <c r="G285" i="1" s="1"/>
  <c r="BW285" i="6" s="1"/>
  <c r="K285" i="16"/>
  <c r="A286" i="16"/>
  <c r="AK285" i="16"/>
  <c r="AC285" i="16"/>
  <c r="AB285" i="16"/>
  <c r="X285" i="16"/>
  <c r="L285" i="16"/>
  <c r="AJ285" i="16"/>
  <c r="O285" i="16"/>
  <c r="S286" i="1"/>
  <c r="R286" i="1" s="1"/>
  <c r="P286" i="1" s="1"/>
  <c r="V286" i="1" s="1"/>
  <c r="X287" i="1"/>
  <c r="O287" i="1"/>
  <c r="AK287" i="1"/>
  <c r="Q287" i="1"/>
  <c r="AB287" i="1"/>
  <c r="K287" i="1"/>
  <c r="AJ287" i="1"/>
  <c r="AC287" i="1"/>
  <c r="A288" i="1"/>
  <c r="U287" i="1"/>
  <c r="T287" i="1" s="1"/>
  <c r="D286" i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E286" i="1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AA285" i="1" l="1"/>
  <c r="Z285" i="1" s="1"/>
  <c r="Y285" i="1" s="1"/>
  <c r="BF288" i="1"/>
  <c r="I285" i="1"/>
  <c r="B285" i="6" s="1"/>
  <c r="K286" i="15"/>
  <c r="AJ286" i="15"/>
  <c r="X286" i="15"/>
  <c r="A287" i="15"/>
  <c r="AC286" i="15"/>
  <c r="AB286" i="15"/>
  <c r="O286" i="15"/>
  <c r="L286" i="15"/>
  <c r="AK286" i="15"/>
  <c r="A287" i="16"/>
  <c r="L286" i="16"/>
  <c r="AB286" i="16"/>
  <c r="AK286" i="16"/>
  <c r="O286" i="16"/>
  <c r="K286" i="16"/>
  <c r="X286" i="16"/>
  <c r="AJ286" i="16"/>
  <c r="AC286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X288" i="1"/>
  <c r="AJ288" i="1"/>
  <c r="Q288" i="1"/>
  <c r="O288" i="1"/>
  <c r="A289" i="1"/>
  <c r="K288" i="1"/>
  <c r="U288" i="1"/>
  <c r="D287" i="1"/>
  <c r="BF289" i="1" l="1"/>
  <c r="E287" i="1"/>
  <c r="X287" i="15"/>
  <c r="AK287" i="15"/>
  <c r="K287" i="15"/>
  <c r="AJ287" i="15"/>
  <c r="AB287" i="15"/>
  <c r="L287" i="15"/>
  <c r="O287" i="15"/>
  <c r="A288" i="15"/>
  <c r="AC287" i="15"/>
  <c r="F287" i="1"/>
  <c r="J61" i="19"/>
  <c r="X287" i="16"/>
  <c r="L287" i="16"/>
  <c r="K287" i="16"/>
  <c r="AK287" i="16"/>
  <c r="O287" i="16"/>
  <c r="A288" i="16"/>
  <c r="AB287" i="16"/>
  <c r="AJ287" i="16"/>
  <c r="AC287" i="16"/>
  <c r="D288" i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B286" i="6" s="1"/>
  <c r="G286" i="1"/>
  <c r="BW286" i="6" s="1"/>
  <c r="A283" i="24"/>
  <c r="AB282" i="24"/>
  <c r="K282" i="24"/>
  <c r="X282" i="24"/>
  <c r="L282" i="24"/>
  <c r="AJ282" i="24"/>
  <c r="AK282" i="24"/>
  <c r="O282" i="24"/>
  <c r="AC282" i="24"/>
  <c r="I287" i="1" l="1"/>
  <c r="B287" i="6" s="1"/>
  <c r="BF290" i="1"/>
  <c r="E288" i="1"/>
  <c r="G287" i="1"/>
  <c r="BW287" i="6" s="1"/>
  <c r="AA287" i="1"/>
  <c r="Z287" i="1" s="1"/>
  <c r="Y287" i="1" s="1"/>
  <c r="K288" i="15"/>
  <c r="AJ288" i="15"/>
  <c r="A289" i="15"/>
  <c r="L288" i="15"/>
  <c r="AC288" i="15"/>
  <c r="X288" i="15"/>
  <c r="O288" i="15"/>
  <c r="AB288" i="15"/>
  <c r="AK288" i="15"/>
  <c r="AB288" i="16"/>
  <c r="L288" i="16"/>
  <c r="K288" i="16"/>
  <c r="AK288" i="16"/>
  <c r="O288" i="16"/>
  <c r="A289" i="16"/>
  <c r="X288" i="16"/>
  <c r="AJ288" i="16"/>
  <c r="AC288" i="16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A283" i="25"/>
  <c r="X282" i="25"/>
  <c r="K282" i="25"/>
  <c r="AB282" i="25"/>
  <c r="L282" i="25"/>
  <c r="AJ282" i="25"/>
  <c r="O282" i="25"/>
  <c r="AK282" i="25"/>
  <c r="AC282" i="25"/>
  <c r="E289" i="1" l="1"/>
  <c r="BF291" i="1"/>
  <c r="AB289" i="15"/>
  <c r="X289" i="15"/>
  <c r="O289" i="15"/>
  <c r="K289" i="15"/>
  <c r="AC289" i="15"/>
  <c r="L289" i="15"/>
  <c r="AK289" i="15"/>
  <c r="A290" i="15"/>
  <c r="AJ289" i="15"/>
  <c r="AB289" i="16"/>
  <c r="L289" i="16"/>
  <c r="A290" i="16"/>
  <c r="AK289" i="16"/>
  <c r="O289" i="16"/>
  <c r="K289" i="16"/>
  <c r="X289" i="16"/>
  <c r="AJ289" i="16"/>
  <c r="AC289" i="16"/>
  <c r="V288" i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A292" i="1"/>
  <c r="K291" i="1"/>
  <c r="AK291" i="1"/>
  <c r="AC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E290" i="1" l="1"/>
  <c r="BF292" i="1"/>
  <c r="F288" i="1"/>
  <c r="I288" i="1" s="1"/>
  <c r="B288" i="6" s="1"/>
  <c r="K290" i="15"/>
  <c r="O290" i="15"/>
  <c r="A291" i="15"/>
  <c r="AJ290" i="15"/>
  <c r="L290" i="15"/>
  <c r="AK290" i="15"/>
  <c r="X290" i="15"/>
  <c r="AB290" i="15"/>
  <c r="AC290" i="15"/>
  <c r="K290" i="16"/>
  <c r="L290" i="16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E291" i="1" s="1"/>
  <c r="K292" i="1"/>
  <c r="O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B289" i="6" s="1"/>
  <c r="X289" i="18"/>
  <c r="AJ289" i="18"/>
  <c r="L289" i="18"/>
  <c r="AB289" i="18"/>
  <c r="K289" i="18"/>
  <c r="A290" i="18"/>
  <c r="O289" i="18"/>
  <c r="AK289" i="18"/>
  <c r="AC289" i="18"/>
  <c r="F290" i="1"/>
  <c r="BF293" i="1" l="1"/>
  <c r="G288" i="1"/>
  <c r="BW288" i="6" s="1"/>
  <c r="AA288" i="1"/>
  <c r="Z288" i="1" s="1"/>
  <c r="Y288" i="1" s="1"/>
  <c r="A292" i="15"/>
  <c r="O291" i="15"/>
  <c r="K291" i="15"/>
  <c r="AK291" i="15"/>
  <c r="AB291" i="15"/>
  <c r="AJ291" i="15"/>
  <c r="L291" i="15"/>
  <c r="X291" i="15"/>
  <c r="AC291" i="15"/>
  <c r="F291" i="1"/>
  <c r="L291" i="16"/>
  <c r="A292" i="16"/>
  <c r="AB291" i="16"/>
  <c r="AJ291" i="16"/>
  <c r="O291" i="16"/>
  <c r="K291" i="16"/>
  <c r="X291" i="16"/>
  <c r="AK291" i="16"/>
  <c r="AC291" i="16"/>
  <c r="AA291" i="1"/>
  <c r="Z291" i="1" s="1"/>
  <c r="Y291" i="1" s="1"/>
  <c r="K290" i="18"/>
  <c r="X290" i="18"/>
  <c r="AB290" i="18"/>
  <c r="L290" i="18"/>
  <c r="A291" i="18"/>
  <c r="AJ290" i="18"/>
  <c r="AK290" i="18"/>
  <c r="O290" i="18"/>
  <c r="AC290" i="18"/>
  <c r="I290" i="1"/>
  <c r="B290" i="6" s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T292" i="1"/>
  <c r="D292" i="1"/>
  <c r="E292" i="1" s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AJ293" i="1"/>
  <c r="A294" i="1"/>
  <c r="AB293" i="1"/>
  <c r="Q293" i="1"/>
  <c r="U293" i="1"/>
  <c r="T293" i="1" s="1"/>
  <c r="S293" i="1" s="1"/>
  <c r="R293" i="1" s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BF294" i="1" l="1"/>
  <c r="G291" i="1"/>
  <c r="BW291" i="6" s="1"/>
  <c r="I291" i="1"/>
  <c r="B291" i="6" s="1"/>
  <c r="X292" i="15"/>
  <c r="L292" i="15"/>
  <c r="AC292" i="15"/>
  <c r="AB292" i="15"/>
  <c r="O292" i="15"/>
  <c r="A293" i="15"/>
  <c r="AJ292" i="15"/>
  <c r="K292" i="15"/>
  <c r="AK292" i="15"/>
  <c r="A293" i="16"/>
  <c r="X292" i="16"/>
  <c r="L292" i="16"/>
  <c r="AK292" i="16"/>
  <c r="O292" i="16"/>
  <c r="AB292" i="16"/>
  <c r="K292" i="16"/>
  <c r="AJ292" i="16"/>
  <c r="AC292" i="16"/>
  <c r="P293" i="1"/>
  <c r="V293" i="1" s="1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AB294" i="1"/>
  <c r="A295" i="1"/>
  <c r="X294" i="1"/>
  <c r="AC294" i="1"/>
  <c r="AK294" i="1"/>
  <c r="O294" i="1"/>
  <c r="AJ294" i="1"/>
  <c r="Q294" i="1"/>
  <c r="U294" i="1"/>
  <c r="T294" i="1" s="1"/>
  <c r="D293" i="1"/>
  <c r="E293" i="1" s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V292" i="1" l="1"/>
  <c r="F292" i="1" s="1"/>
  <c r="BF295" i="1"/>
  <c r="K293" i="15"/>
  <c r="O293" i="15"/>
  <c r="AB293" i="15"/>
  <c r="AK293" i="15"/>
  <c r="L293" i="15"/>
  <c r="AJ293" i="15"/>
  <c r="A294" i="15"/>
  <c r="X293" i="15"/>
  <c r="AC293" i="15"/>
  <c r="AB293" i="16"/>
  <c r="A294" i="16"/>
  <c r="X293" i="16"/>
  <c r="AK293" i="16"/>
  <c r="O293" i="16"/>
  <c r="L293" i="16"/>
  <c r="K293" i="16"/>
  <c r="AJ293" i="16"/>
  <c r="AC293" i="16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X295" i="1"/>
  <c r="AC295" i="1"/>
  <c r="Q295" i="1"/>
  <c r="AJ295" i="1"/>
  <c r="AK295" i="1"/>
  <c r="K295" i="1"/>
  <c r="AB295" i="1"/>
  <c r="O295" i="1"/>
  <c r="A296" i="1"/>
  <c r="U295" i="1"/>
  <c r="T295" i="1" s="1"/>
  <c r="D294" i="1"/>
  <c r="E294" i="1" l="1"/>
  <c r="F294" i="1" s="1"/>
  <c r="BF296" i="1"/>
  <c r="G292" i="1"/>
  <c r="BW292" i="6" s="1"/>
  <c r="AA292" i="1"/>
  <c r="Z292" i="1" s="1"/>
  <c r="Y292" i="1" s="1"/>
  <c r="X294" i="15"/>
  <c r="AJ294" i="15"/>
  <c r="AB294" i="15"/>
  <c r="K294" i="15"/>
  <c r="O294" i="15"/>
  <c r="A295" i="15"/>
  <c r="AC294" i="15"/>
  <c r="L294" i="15"/>
  <c r="AK294" i="15"/>
  <c r="I292" i="1"/>
  <c r="B292" i="6" s="1"/>
  <c r="A295" i="16"/>
  <c r="K294" i="16"/>
  <c r="X294" i="16"/>
  <c r="AK294" i="16"/>
  <c r="O294" i="16"/>
  <c r="AB294" i="16"/>
  <c r="L294" i="16"/>
  <c r="AJ294" i="16"/>
  <c r="AC294" i="16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AK296" i="1"/>
  <c r="K296" i="1"/>
  <c r="O296" i="1"/>
  <c r="U296" i="1"/>
  <c r="T296" i="1" s="1"/>
  <c r="D295" i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B293" i="6" s="1"/>
  <c r="G293" i="1"/>
  <c r="BW293" i="6" s="1"/>
  <c r="BF297" i="1" l="1"/>
  <c r="I294" i="1"/>
  <c r="B294" i="6" s="1"/>
  <c r="E295" i="1"/>
  <c r="F295" i="1" s="1"/>
  <c r="G294" i="1"/>
  <c r="BW294" i="6" s="1"/>
  <c r="AA294" i="1"/>
  <c r="Z294" i="1" s="1"/>
  <c r="Y294" i="1" s="1"/>
  <c r="K295" i="15"/>
  <c r="AJ295" i="15"/>
  <c r="AB295" i="15"/>
  <c r="L295" i="15"/>
  <c r="AC295" i="15"/>
  <c r="X295" i="15"/>
  <c r="O295" i="15"/>
  <c r="A296" i="15"/>
  <c r="AK295" i="15"/>
  <c r="A296" i="16"/>
  <c r="X295" i="16"/>
  <c r="AK295" i="16"/>
  <c r="AC295" i="16"/>
  <c r="AB295" i="16"/>
  <c r="L295" i="16"/>
  <c r="K295" i="16"/>
  <c r="AJ295" i="16"/>
  <c r="O295" i="16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Q297" i="1"/>
  <c r="K297" i="1"/>
  <c r="A298" i="1"/>
  <c r="AB297" i="1"/>
  <c r="AJ297" i="1"/>
  <c r="AK297" i="1"/>
  <c r="O297" i="1"/>
  <c r="AC297" i="1"/>
  <c r="X297" i="1"/>
  <c r="U297" i="1"/>
  <c r="T297" i="1" s="1"/>
  <c r="S297" i="1" s="1"/>
  <c r="R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P297" i="1" l="1"/>
  <c r="V297" i="1" s="1"/>
  <c r="E296" i="1"/>
  <c r="BF298" i="1"/>
  <c r="A297" i="15"/>
  <c r="AK296" i="15"/>
  <c r="AC296" i="15"/>
  <c r="L296" i="15"/>
  <c r="K296" i="15"/>
  <c r="AB296" i="15"/>
  <c r="O296" i="15"/>
  <c r="X296" i="15"/>
  <c r="AJ296" i="15"/>
  <c r="K296" i="16"/>
  <c r="AB296" i="16"/>
  <c r="AJ296" i="16"/>
  <c r="AC296" i="16"/>
  <c r="L296" i="16"/>
  <c r="X296" i="16"/>
  <c r="A297" i="16"/>
  <c r="AK296" i="16"/>
  <c r="O296" i="16"/>
  <c r="F296" i="1"/>
  <c r="D297" i="1"/>
  <c r="A299" i="1"/>
  <c r="AJ298" i="1"/>
  <c r="O298" i="1"/>
  <c r="X298" i="1"/>
  <c r="K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B295" i="6" s="1"/>
  <c r="G295" i="1"/>
  <c r="BW295" i="6" s="1"/>
  <c r="AA295" i="1"/>
  <c r="Z295" i="1" s="1"/>
  <c r="Y295" i="1" s="1"/>
  <c r="BF299" i="1" l="1"/>
  <c r="E297" i="1"/>
  <c r="I296" i="1"/>
  <c r="B296" i="6" s="1"/>
  <c r="AB297" i="15"/>
  <c r="O297" i="15"/>
  <c r="L297" i="15"/>
  <c r="AK297" i="15"/>
  <c r="X297" i="15"/>
  <c r="AJ297" i="15"/>
  <c r="A298" i="15"/>
  <c r="K297" i="15"/>
  <c r="AC297" i="15"/>
  <c r="G296" i="1"/>
  <c r="BW296" i="6" s="1"/>
  <c r="AA296" i="1"/>
  <c r="Z296" i="1" s="1"/>
  <c r="Y296" i="1" s="1"/>
  <c r="X297" i="16"/>
  <c r="L297" i="16"/>
  <c r="AB297" i="16"/>
  <c r="AK297" i="16"/>
  <c r="O297" i="16"/>
  <c r="A298" i="16"/>
  <c r="K297" i="16"/>
  <c r="AJ297" i="16"/>
  <c r="AC297" i="16"/>
  <c r="F297" i="1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AB299" i="1"/>
  <c r="AC299" i="1"/>
  <c r="U299" i="1"/>
  <c r="T299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A295" i="22"/>
  <c r="K294" i="22"/>
  <c r="L294" i="22"/>
  <c r="X294" i="22"/>
  <c r="AB294" i="22"/>
  <c r="AJ294" i="22"/>
  <c r="AK294" i="22"/>
  <c r="O294" i="22"/>
  <c r="AC294" i="22"/>
  <c r="D298" i="1"/>
  <c r="BF300" i="1" l="1"/>
  <c r="E298" i="1"/>
  <c r="F298" i="1" s="1"/>
  <c r="I297" i="1"/>
  <c r="B297" i="6" s="1"/>
  <c r="G297" i="1"/>
  <c r="BW297" i="6" s="1"/>
  <c r="AA297" i="1"/>
  <c r="Z297" i="1" s="1"/>
  <c r="Y297" i="1" s="1"/>
  <c r="L298" i="15"/>
  <c r="AJ298" i="15"/>
  <c r="AB298" i="15"/>
  <c r="AK298" i="15"/>
  <c r="A299" i="15"/>
  <c r="X298" i="15"/>
  <c r="AC298" i="15"/>
  <c r="K298" i="15"/>
  <c r="O298" i="15"/>
  <c r="X298" i="16"/>
  <c r="AB298" i="16"/>
  <c r="K298" i="16"/>
  <c r="AJ298" i="16"/>
  <c r="O298" i="16"/>
  <c r="A299" i="16"/>
  <c r="L298" i="16"/>
  <c r="AK298" i="16"/>
  <c r="AC298" i="16"/>
  <c r="D299" i="1"/>
  <c r="X300" i="1"/>
  <c r="A301" i="1"/>
  <c r="O300" i="1"/>
  <c r="AC300" i="1"/>
  <c r="AB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BF301" i="1" l="1"/>
  <c r="E299" i="1"/>
  <c r="G298" i="1"/>
  <c r="BW298" i="6" s="1"/>
  <c r="I298" i="1"/>
  <c r="B298" i="6" s="1"/>
  <c r="AA298" i="1"/>
  <c r="Z298" i="1" s="1"/>
  <c r="Y298" i="1" s="1"/>
  <c r="AB299" i="15"/>
  <c r="AK299" i="15"/>
  <c r="K299" i="15"/>
  <c r="AJ299" i="15"/>
  <c r="A300" i="15"/>
  <c r="X299" i="15"/>
  <c r="AC299" i="15"/>
  <c r="L299" i="15"/>
  <c r="O299" i="15"/>
  <c r="P300" i="1"/>
  <c r="V300" i="1" s="1"/>
  <c r="AB299" i="16"/>
  <c r="X299" i="16"/>
  <c r="AJ299" i="16"/>
  <c r="AC299" i="16"/>
  <c r="L299" i="16"/>
  <c r="K299" i="16"/>
  <c r="A300" i="16"/>
  <c r="AK299" i="16"/>
  <c r="O299" i="16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AJ301" i="1"/>
  <c r="K301" i="1"/>
  <c r="Q301" i="1"/>
  <c r="X301" i="1"/>
  <c r="A302" i="1"/>
  <c r="O301" i="1"/>
  <c r="AB301" i="1"/>
  <c r="AK301" i="1"/>
  <c r="AC301" i="1"/>
  <c r="U301" i="1"/>
  <c r="T301" i="1" s="1"/>
  <c r="S301" i="1" s="1"/>
  <c r="R301" i="1" s="1"/>
  <c r="P301" i="1" l="1"/>
  <c r="V301" i="1" s="1"/>
  <c r="BF302" i="1"/>
  <c r="E300" i="1"/>
  <c r="K300" i="15"/>
  <c r="AK300" i="15"/>
  <c r="L300" i="15"/>
  <c r="AJ300" i="15"/>
  <c r="A301" i="15"/>
  <c r="X300" i="15"/>
  <c r="AC300" i="15"/>
  <c r="AB300" i="15"/>
  <c r="O300" i="15"/>
  <c r="F300" i="1"/>
  <c r="X300" i="16"/>
  <c r="A301" i="16"/>
  <c r="AB300" i="16"/>
  <c r="AJ300" i="16"/>
  <c r="O300" i="16"/>
  <c r="K300" i="16"/>
  <c r="L300" i="16"/>
  <c r="AK300" i="16"/>
  <c r="AC300" i="16"/>
  <c r="D301" i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E301" i="1"/>
  <c r="AK302" i="1"/>
  <c r="AB302" i="1"/>
  <c r="AC302" i="1"/>
  <c r="Q302" i="1"/>
  <c r="K302" i="1"/>
  <c r="X302" i="1"/>
  <c r="A303" i="1"/>
  <c r="AJ302" i="1"/>
  <c r="O302" i="1"/>
  <c r="C29" i="7" s="1"/>
  <c r="A29" i="7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B299" i="6" s="1"/>
  <c r="AB299" i="18"/>
  <c r="AJ299" i="18"/>
  <c r="L299" i="18"/>
  <c r="A300" i="18"/>
  <c r="K299" i="18"/>
  <c r="X299" i="18"/>
  <c r="AK299" i="18"/>
  <c r="O299" i="18"/>
  <c r="AC299" i="18"/>
  <c r="I300" i="1" l="1"/>
  <c r="B300" i="6" s="1"/>
  <c r="BF303" i="1"/>
  <c r="F301" i="1"/>
  <c r="AA300" i="1"/>
  <c r="Z300" i="1" s="1"/>
  <c r="Y300" i="1" s="1"/>
  <c r="G300" i="1"/>
  <c r="BW300" i="6" s="1"/>
  <c r="A302" i="15"/>
  <c r="O301" i="15"/>
  <c r="L301" i="15"/>
  <c r="AJ301" i="15"/>
  <c r="AB301" i="15"/>
  <c r="AK301" i="15"/>
  <c r="X301" i="15"/>
  <c r="K301" i="15"/>
  <c r="AC301" i="15"/>
  <c r="AB301" i="16"/>
  <c r="K301" i="16"/>
  <c r="AK301" i="16"/>
  <c r="AC301" i="16"/>
  <c r="X301" i="16"/>
  <c r="L301" i="16"/>
  <c r="A302" i="16"/>
  <c r="AJ301" i="16"/>
  <c r="O301" i="16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B29" i="7"/>
  <c r="X303" i="1"/>
  <c r="Q303" i="1"/>
  <c r="A304" i="1"/>
  <c r="O303" i="1"/>
  <c r="AC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BF304" i="1" l="1"/>
  <c r="E302" i="1"/>
  <c r="I301" i="1"/>
  <c r="B301" i="6" s="1"/>
  <c r="G301" i="1"/>
  <c r="BW301" i="6" s="1"/>
  <c r="AA301" i="1"/>
  <c r="Z301" i="1" s="1"/>
  <c r="Y301" i="1" s="1"/>
  <c r="A41" i="7"/>
  <c r="X302" i="15"/>
  <c r="O302" i="15"/>
  <c r="C41" i="7" s="1"/>
  <c r="K302" i="15"/>
  <c r="AJ302" i="15"/>
  <c r="L302" i="15"/>
  <c r="AK302" i="15"/>
  <c r="A303" i="15"/>
  <c r="AB302" i="15"/>
  <c r="AC302" i="15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3" i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BF305" i="1" l="1"/>
  <c r="E303" i="1"/>
  <c r="F302" i="1"/>
  <c r="AB303" i="15"/>
  <c r="AJ303" i="15"/>
  <c r="A304" i="15"/>
  <c r="K303" i="15"/>
  <c r="AC303" i="15"/>
  <c r="X303" i="15"/>
  <c r="O303" i="15"/>
  <c r="L303" i="15"/>
  <c r="AK303" i="15"/>
  <c r="B41" i="7"/>
  <c r="X303" i="16"/>
  <c r="K303" i="16"/>
  <c r="AB303" i="16"/>
  <c r="AK303" i="16"/>
  <c r="O303" i="16"/>
  <c r="A304" i="16"/>
  <c r="L303" i="16"/>
  <c r="AJ303" i="16"/>
  <c r="AC303" i="16"/>
  <c r="B53" i="7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X305" i="1"/>
  <c r="A306" i="1"/>
  <c r="Q305" i="1"/>
  <c r="AC305" i="1"/>
  <c r="O305" i="1"/>
  <c r="K305" i="1"/>
  <c r="AB305" i="1"/>
  <c r="AK305" i="1"/>
  <c r="AJ305" i="1"/>
  <c r="U305" i="1"/>
  <c r="T305" i="1" s="1"/>
  <c r="S305" i="1" s="1"/>
  <c r="R305" i="1" s="1"/>
  <c r="S303" i="1"/>
  <c r="R303" i="1" s="1"/>
  <c r="P303" i="1" s="1"/>
  <c r="AB299" i="23"/>
  <c r="L299" i="23"/>
  <c r="K299" i="23"/>
  <c r="X299" i="23"/>
  <c r="A300" i="23"/>
  <c r="AJ299" i="23"/>
  <c r="AK299" i="23"/>
  <c r="O299" i="23"/>
  <c r="AC299" i="23"/>
  <c r="B65" i="7"/>
  <c r="P305" i="1" l="1"/>
  <c r="V305" i="1" s="1"/>
  <c r="V303" i="1"/>
  <c r="F303" i="1" s="1"/>
  <c r="BF306" i="1"/>
  <c r="E304" i="1"/>
  <c r="F304" i="1" s="1"/>
  <c r="AA302" i="1"/>
  <c r="Z302" i="1" s="1"/>
  <c r="Y302" i="1" s="1"/>
  <c r="I302" i="1"/>
  <c r="B302" i="6" s="1"/>
  <c r="G302" i="1"/>
  <c r="BW302" i="6" s="1"/>
  <c r="AB304" i="15"/>
  <c r="O304" i="15"/>
  <c r="L304" i="15"/>
  <c r="AJ304" i="15"/>
  <c r="K304" i="15"/>
  <c r="AK304" i="15"/>
  <c r="X304" i="15"/>
  <c r="A305" i="15"/>
  <c r="AC304" i="15"/>
  <c r="L304" i="16"/>
  <c r="AB304" i="16"/>
  <c r="AJ304" i="16"/>
  <c r="AC304" i="16"/>
  <c r="X304" i="16"/>
  <c r="A305" i="16"/>
  <c r="K304" i="16"/>
  <c r="AK304" i="16"/>
  <c r="O304" i="16"/>
  <c r="A305" i="17"/>
  <c r="X304" i="17"/>
  <c r="AB304" i="17"/>
  <c r="L304" i="17"/>
  <c r="K304" i="17"/>
  <c r="O304" i="17"/>
  <c r="AK304" i="17"/>
  <c r="AJ304" i="17"/>
  <c r="AC304" i="17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X306" i="1"/>
  <c r="Q306" i="1"/>
  <c r="K306" i="1"/>
  <c r="AK306" i="1"/>
  <c r="AB306" i="1"/>
  <c r="A307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E305" i="1" l="1"/>
  <c r="F305" i="1" s="1"/>
  <c r="I304" i="1"/>
  <c r="B304" i="6" s="1"/>
  <c r="BF307" i="1"/>
  <c r="AA303" i="1"/>
  <c r="Z303" i="1" s="1"/>
  <c r="Y303" i="1" s="1"/>
  <c r="G303" i="1"/>
  <c r="BW303" i="6" s="1"/>
  <c r="G304" i="1"/>
  <c r="BW304" i="6" s="1"/>
  <c r="I303" i="1"/>
  <c r="B303" i="6" s="1"/>
  <c r="AA304" i="1"/>
  <c r="Z304" i="1" s="1"/>
  <c r="Y304" i="1" s="1"/>
  <c r="L305" i="15"/>
  <c r="X305" i="15"/>
  <c r="AC305" i="15"/>
  <c r="A306" i="15"/>
  <c r="O305" i="15"/>
  <c r="AB305" i="15"/>
  <c r="AK305" i="15"/>
  <c r="K305" i="15"/>
  <c r="AJ305" i="15"/>
  <c r="AB305" i="16"/>
  <c r="K305" i="16"/>
  <c r="AJ305" i="16"/>
  <c r="AC305" i="16"/>
  <c r="A306" i="16"/>
  <c r="X305" i="16"/>
  <c r="L305" i="16"/>
  <c r="AK305" i="16"/>
  <c r="O305" i="16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E306" i="1" l="1"/>
  <c r="F306" i="1" s="1"/>
  <c r="BF308" i="1"/>
  <c r="I305" i="1"/>
  <c r="B305" i="6" s="1"/>
  <c r="AA305" i="1"/>
  <c r="Z305" i="1" s="1"/>
  <c r="Y305" i="1" s="1"/>
  <c r="G305" i="1"/>
  <c r="BW305" i="6" s="1"/>
  <c r="L306" i="15"/>
  <c r="X306" i="15"/>
  <c r="O306" i="15"/>
  <c r="AB306" i="15"/>
  <c r="AC306" i="15"/>
  <c r="A307" i="15"/>
  <c r="AK306" i="15"/>
  <c r="K306" i="15"/>
  <c r="AJ306" i="15"/>
  <c r="X306" i="16"/>
  <c r="K306" i="16"/>
  <c r="AJ306" i="16"/>
  <c r="AC306" i="16"/>
  <c r="AB306" i="16"/>
  <c r="A307" i="16"/>
  <c r="L306" i="16"/>
  <c r="AK306" i="16"/>
  <c r="O306" i="16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T307" i="1"/>
  <c r="D307" i="1"/>
  <c r="O308" i="1"/>
  <c r="A309" i="1"/>
  <c r="K308" i="1"/>
  <c r="X308" i="1"/>
  <c r="AK308" i="1"/>
  <c r="AB308" i="1"/>
  <c r="AJ308" i="1"/>
  <c r="AC308" i="1"/>
  <c r="Q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BF309" i="1" l="1"/>
  <c r="E307" i="1"/>
  <c r="X307" i="15"/>
  <c r="O307" i="15"/>
  <c r="K307" i="15"/>
  <c r="AK307" i="15"/>
  <c r="L307" i="15"/>
  <c r="AJ307" i="15"/>
  <c r="AB307" i="15"/>
  <c r="A308" i="15"/>
  <c r="AC307" i="15"/>
  <c r="A308" i="16"/>
  <c r="X307" i="16"/>
  <c r="L307" i="16"/>
  <c r="AK307" i="16"/>
  <c r="O307" i="16"/>
  <c r="K307" i="16"/>
  <c r="AB307" i="16"/>
  <c r="AJ307" i="16"/>
  <c r="AC307" i="16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AC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B306" i="6" s="1"/>
  <c r="BF310" i="1" l="1"/>
  <c r="E308" i="1"/>
  <c r="F308" i="1" s="1"/>
  <c r="K308" i="15"/>
  <c r="AJ308" i="15"/>
  <c r="L308" i="15"/>
  <c r="AK308" i="15"/>
  <c r="A309" i="15"/>
  <c r="AB308" i="15"/>
  <c r="O308" i="15"/>
  <c r="X308" i="15"/>
  <c r="AC308" i="15"/>
  <c r="A309" i="16"/>
  <c r="K308" i="16"/>
  <c r="AB308" i="16"/>
  <c r="AK308" i="16"/>
  <c r="O308" i="16"/>
  <c r="X308" i="16"/>
  <c r="L308" i="16"/>
  <c r="AJ308" i="16"/>
  <c r="AC308" i="16"/>
  <c r="V307" i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AB310" i="1"/>
  <c r="AC310" i="1"/>
  <c r="U310" i="1"/>
  <c r="T310" i="1" s="1"/>
  <c r="D309" i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X302" i="25"/>
  <c r="AB302" i="25"/>
  <c r="K302" i="25"/>
  <c r="A303" i="25"/>
  <c r="AE77" i="7"/>
  <c r="L302" i="25"/>
  <c r="AK302" i="25"/>
  <c r="AJ302" i="25"/>
  <c r="O302" i="25"/>
  <c r="AG77" i="7" s="1"/>
  <c r="AC302" i="25"/>
  <c r="K303" i="24"/>
  <c r="A304" i="24"/>
  <c r="X303" i="24"/>
  <c r="AB303" i="24"/>
  <c r="L303" i="24"/>
  <c r="AJ303" i="24"/>
  <c r="AK303" i="24"/>
  <c r="O303" i="24"/>
  <c r="AC303" i="24"/>
  <c r="E309" i="1" l="1"/>
  <c r="F309" i="1" s="1"/>
  <c r="BF311" i="1"/>
  <c r="F307" i="1"/>
  <c r="AA307" i="1" s="1"/>
  <c r="Z307" i="1" s="1"/>
  <c r="Y307" i="1" s="1"/>
  <c r="L309" i="15"/>
  <c r="AJ309" i="15"/>
  <c r="A310" i="15"/>
  <c r="AB309" i="15"/>
  <c r="AC309" i="15"/>
  <c r="X309" i="15"/>
  <c r="O309" i="15"/>
  <c r="K309" i="15"/>
  <c r="AK309" i="15"/>
  <c r="X309" i="16"/>
  <c r="A310" i="16"/>
  <c r="AK309" i="16"/>
  <c r="AC309" i="16"/>
  <c r="AB309" i="16"/>
  <c r="L309" i="16"/>
  <c r="K309" i="16"/>
  <c r="AJ309" i="16"/>
  <c r="O309" i="16"/>
  <c r="K304" i="24"/>
  <c r="L304" i="24"/>
  <c r="A305" i="24"/>
  <c r="X304" i="24"/>
  <c r="AB304" i="24"/>
  <c r="AJ304" i="24"/>
  <c r="AK304" i="24"/>
  <c r="O304" i="24"/>
  <c r="AC304" i="24"/>
  <c r="AB309" i="17"/>
  <c r="X309" i="17"/>
  <c r="K309" i="17"/>
  <c r="L309" i="17"/>
  <c r="A310" i="17"/>
  <c r="O309" i="17"/>
  <c r="AJ309" i="17"/>
  <c r="AK309" i="17"/>
  <c r="AC309" i="17"/>
  <c r="D310" i="1"/>
  <c r="E310" i="1" s="1"/>
  <c r="X311" i="1"/>
  <c r="AC311" i="1"/>
  <c r="AJ311" i="1"/>
  <c r="K311" i="1"/>
  <c r="Q311" i="1"/>
  <c r="O311" i="1"/>
  <c r="AK311" i="1"/>
  <c r="A312" i="1"/>
  <c r="AB311" i="1"/>
  <c r="U311" i="1"/>
  <c r="T311" i="1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B308" i="6" s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A309" i="18"/>
  <c r="X308" i="18"/>
  <c r="AJ308" i="18"/>
  <c r="K308" i="18"/>
  <c r="L308" i="18"/>
  <c r="AB308" i="18"/>
  <c r="O308" i="18"/>
  <c r="AK308" i="18"/>
  <c r="AC308" i="18"/>
  <c r="BF312" i="1" l="1"/>
  <c r="I307" i="1"/>
  <c r="B307" i="6" s="1"/>
  <c r="G307" i="1"/>
  <c r="BW307" i="6" s="1"/>
  <c r="AB310" i="15"/>
  <c r="AC310" i="15"/>
  <c r="K310" i="15"/>
  <c r="AK310" i="15"/>
  <c r="X310" i="15"/>
  <c r="AJ310" i="15"/>
  <c r="L310" i="15"/>
  <c r="A311" i="15"/>
  <c r="O310" i="15"/>
  <c r="F310" i="1"/>
  <c r="X310" i="16"/>
  <c r="L310" i="16"/>
  <c r="K310" i="16"/>
  <c r="AK310" i="16"/>
  <c r="O310" i="16"/>
  <c r="A311" i="16"/>
  <c r="AB310" i="16"/>
  <c r="AJ310" i="16"/>
  <c r="AC310" i="16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AB312" i="1"/>
  <c r="AC312" i="1"/>
  <c r="O312" i="1"/>
  <c r="X312" i="1"/>
  <c r="AJ312" i="1"/>
  <c r="AK312" i="1"/>
  <c r="K312" i="1"/>
  <c r="A313" i="1"/>
  <c r="Q312" i="1"/>
  <c r="U312" i="1"/>
  <c r="I309" i="1"/>
  <c r="B309" i="6" s="1"/>
  <c r="AA309" i="1"/>
  <c r="Z309" i="1" s="1"/>
  <c r="Y309" i="1" s="1"/>
  <c r="G309" i="1"/>
  <c r="BW309" i="6" s="1"/>
  <c r="K305" i="24"/>
  <c r="A306" i="24"/>
  <c r="X305" i="24"/>
  <c r="AB305" i="24"/>
  <c r="L305" i="24"/>
  <c r="AJ305" i="24"/>
  <c r="AK305" i="24"/>
  <c r="O305" i="24"/>
  <c r="AC305" i="24"/>
  <c r="E311" i="1" l="1"/>
  <c r="F311" i="1" s="1"/>
  <c r="BF313" i="1"/>
  <c r="AA310" i="1"/>
  <c r="Z310" i="1" s="1"/>
  <c r="Y310" i="1" s="1"/>
  <c r="I310" i="1"/>
  <c r="B310" i="6" s="1"/>
  <c r="G310" i="1"/>
  <c r="BW310" i="6" s="1"/>
  <c r="K311" i="15"/>
  <c r="AK311" i="15"/>
  <c r="L311" i="15"/>
  <c r="AJ311" i="15"/>
  <c r="A312" i="15"/>
  <c r="AB311" i="15"/>
  <c r="AC311" i="15"/>
  <c r="X311" i="15"/>
  <c r="O311" i="15"/>
  <c r="AB311" i="16"/>
  <c r="L311" i="16"/>
  <c r="AJ311" i="16"/>
  <c r="AC311" i="16"/>
  <c r="A312" i="16"/>
  <c r="X311" i="16"/>
  <c r="K311" i="16"/>
  <c r="AK311" i="16"/>
  <c r="O311" i="16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BF314" i="1" l="1"/>
  <c r="E312" i="1"/>
  <c r="L312" i="15"/>
  <c r="K312" i="15"/>
  <c r="AC312" i="15"/>
  <c r="AB312" i="15"/>
  <c r="O312" i="15"/>
  <c r="X312" i="15"/>
  <c r="AK312" i="15"/>
  <c r="A313" i="15"/>
  <c r="AJ312" i="15"/>
  <c r="X312" i="16"/>
  <c r="A313" i="16"/>
  <c r="AJ312" i="16"/>
  <c r="AC312" i="16"/>
  <c r="AB312" i="16"/>
  <c r="K312" i="16"/>
  <c r="L312" i="16"/>
  <c r="AK312" i="16"/>
  <c r="O312" i="16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X307" i="24"/>
  <c r="L307" i="24"/>
  <c r="K307" i="24"/>
  <c r="AB307" i="24"/>
  <c r="A308" i="24"/>
  <c r="AJ307" i="24"/>
  <c r="AK307" i="24"/>
  <c r="O307" i="24"/>
  <c r="AC307" i="24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AA311" i="1"/>
  <c r="Z311" i="1" s="1"/>
  <c r="Y311" i="1" s="1"/>
  <c r="G311" i="1"/>
  <c r="BW311" i="6" s="1"/>
  <c r="I311" i="1"/>
  <c r="B311" i="6" s="1"/>
  <c r="E313" i="1" l="1"/>
  <c r="F313" i="1" s="1"/>
  <c r="V312" i="1"/>
  <c r="BF315" i="1"/>
  <c r="F312" i="1"/>
  <c r="G312" i="1" s="1"/>
  <c r="BW312" i="6" s="1"/>
  <c r="K313" i="15"/>
  <c r="AB313" i="15"/>
  <c r="AC313" i="15"/>
  <c r="X313" i="15"/>
  <c r="O313" i="15"/>
  <c r="L313" i="15"/>
  <c r="AJ313" i="15"/>
  <c r="A314" i="15"/>
  <c r="AK313" i="15"/>
  <c r="AB313" i="16"/>
  <c r="K313" i="16"/>
  <c r="X313" i="16"/>
  <c r="AK313" i="16"/>
  <c r="O313" i="16"/>
  <c r="L313" i="16"/>
  <c r="A314" i="16"/>
  <c r="AJ313" i="16"/>
  <c r="AC313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T314" i="1"/>
  <c r="S314" i="1" s="1"/>
  <c r="R314" i="1" s="1"/>
  <c r="P314" i="1" s="1"/>
  <c r="V314" i="1" s="1"/>
  <c r="D314" i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X308" i="24"/>
  <c r="L308" i="24"/>
  <c r="A309" i="24"/>
  <c r="K308" i="24"/>
  <c r="AB308" i="24"/>
  <c r="AJ308" i="24"/>
  <c r="AK308" i="24"/>
  <c r="O308" i="24"/>
  <c r="AC308" i="24"/>
  <c r="AB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E314" i="1" l="1"/>
  <c r="AA313" i="1"/>
  <c r="Z313" i="1" s="1"/>
  <c r="Y313" i="1" s="1"/>
  <c r="I312" i="1"/>
  <c r="B312" i="6" s="1"/>
  <c r="BF316" i="1"/>
  <c r="AA312" i="1"/>
  <c r="Z312" i="1" s="1"/>
  <c r="Y312" i="1" s="1"/>
  <c r="I313" i="1"/>
  <c r="B313" i="6" s="1"/>
  <c r="G313" i="1"/>
  <c r="BW313" i="6" s="1"/>
  <c r="K314" i="15"/>
  <c r="X314" i="15"/>
  <c r="AC314" i="15"/>
  <c r="A315" i="15"/>
  <c r="O314" i="15"/>
  <c r="AB314" i="15"/>
  <c r="AK314" i="15"/>
  <c r="L314" i="15"/>
  <c r="AJ314" i="15"/>
  <c r="F314" i="1"/>
  <c r="I314" i="1" s="1"/>
  <c r="B314" i="6" s="1"/>
  <c r="K314" i="16"/>
  <c r="A315" i="16"/>
  <c r="AJ314" i="16"/>
  <c r="AC314" i="16"/>
  <c r="X314" i="16"/>
  <c r="L314" i="16"/>
  <c r="AB314" i="16"/>
  <c r="AK314" i="16"/>
  <c r="O314" i="16"/>
  <c r="A313" i="20"/>
  <c r="L312" i="20"/>
  <c r="K312" i="20"/>
  <c r="X312" i="20"/>
  <c r="AB312" i="20"/>
  <c r="AK312" i="20"/>
  <c r="AJ312" i="20"/>
  <c r="O312" i="20"/>
  <c r="AC312" i="20"/>
  <c r="D315" i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X313" i="18"/>
  <c r="AJ313" i="18"/>
  <c r="A314" i="18"/>
  <c r="AB313" i="18"/>
  <c r="K313" i="18"/>
  <c r="L313" i="18"/>
  <c r="O313" i="18"/>
  <c r="AK313" i="18"/>
  <c r="AC313" i="18"/>
  <c r="BF317" i="1" l="1"/>
  <c r="E315" i="1"/>
  <c r="AA314" i="1"/>
  <c r="Z314" i="1" s="1"/>
  <c r="Y314" i="1" s="1"/>
  <c r="G314" i="1"/>
  <c r="BW314" i="6" s="1"/>
  <c r="K315" i="15"/>
  <c r="AK315" i="15"/>
  <c r="L315" i="15"/>
  <c r="AB315" i="15"/>
  <c r="AC315" i="15"/>
  <c r="A316" i="15"/>
  <c r="O315" i="15"/>
  <c r="X315" i="15"/>
  <c r="AJ315" i="15"/>
  <c r="F315" i="1"/>
  <c r="AB315" i="16"/>
  <c r="X315" i="16"/>
  <c r="AK315" i="16"/>
  <c r="AC315" i="16"/>
  <c r="K315" i="16"/>
  <c r="A316" i="16"/>
  <c r="L315" i="16"/>
  <c r="AJ315" i="16"/>
  <c r="O315" i="16"/>
  <c r="D316" i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AB317" i="1"/>
  <c r="AC317" i="1"/>
  <c r="X317" i="1"/>
  <c r="AJ317" i="1"/>
  <c r="U317" i="1"/>
  <c r="T317" i="1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BF318" i="1" l="1"/>
  <c r="E316" i="1"/>
  <c r="F316" i="1" s="1"/>
  <c r="I315" i="1"/>
  <c r="B315" i="6" s="1"/>
  <c r="AA315" i="1"/>
  <c r="Z315" i="1" s="1"/>
  <c r="Y315" i="1" s="1"/>
  <c r="G315" i="1"/>
  <c r="BW315" i="6" s="1"/>
  <c r="L316" i="15"/>
  <c r="X316" i="15"/>
  <c r="AC316" i="15"/>
  <c r="AB316" i="15"/>
  <c r="O316" i="15"/>
  <c r="A317" i="15"/>
  <c r="AK316" i="15"/>
  <c r="K316" i="15"/>
  <c r="AJ316" i="15"/>
  <c r="AB316" i="16"/>
  <c r="X316" i="16"/>
  <c r="AJ316" i="16"/>
  <c r="AC316" i="16"/>
  <c r="L316" i="16"/>
  <c r="A317" i="16"/>
  <c r="K316" i="16"/>
  <c r="AK316" i="16"/>
  <c r="O316" i="16"/>
  <c r="S317" i="1"/>
  <c r="R317" i="1" s="1"/>
  <c r="P317" i="1" s="1"/>
  <c r="V317" i="1" s="1"/>
  <c r="X318" i="1"/>
  <c r="K318" i="1"/>
  <c r="AK318" i="1"/>
  <c r="Q318" i="1"/>
  <c r="AC318" i="1"/>
  <c r="O318" i="1"/>
  <c r="AB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A317" i="17"/>
  <c r="X316" i="17"/>
  <c r="L316" i="17"/>
  <c r="AB316" i="17"/>
  <c r="K316" i="17"/>
  <c r="O316" i="17"/>
  <c r="AJ316" i="17"/>
  <c r="AK316" i="17"/>
  <c r="AC316" i="17"/>
  <c r="D317" i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E317" i="1" l="1"/>
  <c r="F317" i="1" s="1"/>
  <c r="BF319" i="1"/>
  <c r="AA316" i="1"/>
  <c r="Z316" i="1" s="1"/>
  <c r="Y316" i="1" s="1"/>
  <c r="G316" i="1"/>
  <c r="BW316" i="6" s="1"/>
  <c r="I316" i="1"/>
  <c r="B316" i="6" s="1"/>
  <c r="K317" i="15"/>
  <c r="O317" i="15"/>
  <c r="X317" i="15"/>
  <c r="AK317" i="15"/>
  <c r="L317" i="15"/>
  <c r="AJ317" i="15"/>
  <c r="A318" i="15"/>
  <c r="AB317" i="15"/>
  <c r="AC317" i="15"/>
  <c r="X317" i="16"/>
  <c r="AB317" i="16"/>
  <c r="A318" i="16"/>
  <c r="AK317" i="16"/>
  <c r="O317" i="16"/>
  <c r="K317" i="16"/>
  <c r="L317" i="16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Q319" i="1"/>
  <c r="O319" i="1"/>
  <c r="AB319" i="1"/>
  <c r="AC319" i="1"/>
  <c r="K319" i="1"/>
  <c r="AJ319" i="1"/>
  <c r="AK319" i="1"/>
  <c r="A320" i="1"/>
  <c r="X319" i="1"/>
  <c r="U319" i="1"/>
  <c r="D318" i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E318" i="1" l="1"/>
  <c r="BF320" i="1"/>
  <c r="K61" i="19"/>
  <c r="X318" i="15"/>
  <c r="AK318" i="15"/>
  <c r="K318" i="15"/>
  <c r="A319" i="15"/>
  <c r="AC318" i="15"/>
  <c r="AB318" i="15"/>
  <c r="O318" i="15"/>
  <c r="L318" i="15"/>
  <c r="AJ318" i="15"/>
  <c r="X318" i="16"/>
  <c r="A319" i="16"/>
  <c r="L318" i="16"/>
  <c r="AJ318" i="16"/>
  <c r="O318" i="16"/>
  <c r="K318" i="16"/>
  <c r="AB318" i="16"/>
  <c r="AK318" i="16"/>
  <c r="AC318" i="16"/>
  <c r="I317" i="1"/>
  <c r="B317" i="6" s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AK320" i="1"/>
  <c r="AB320" i="1"/>
  <c r="A321" i="1"/>
  <c r="AJ320" i="1"/>
  <c r="K320" i="1"/>
  <c r="Q320" i="1"/>
  <c r="U320" i="1"/>
  <c r="T320" i="1" s="1"/>
  <c r="D319" i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E319" i="1" l="1"/>
  <c r="BF321" i="1"/>
  <c r="K319" i="15"/>
  <c r="O319" i="15"/>
  <c r="X319" i="15"/>
  <c r="AK319" i="15"/>
  <c r="A320" i="15"/>
  <c r="AJ319" i="15"/>
  <c r="L319" i="15"/>
  <c r="AB319" i="15"/>
  <c r="AC319" i="15"/>
  <c r="AB319" i="16"/>
  <c r="L319" i="16"/>
  <c r="AJ319" i="16"/>
  <c r="AC319" i="16"/>
  <c r="A320" i="16"/>
  <c r="X319" i="16"/>
  <c r="K319" i="16"/>
  <c r="AK319" i="16"/>
  <c r="O319" i="16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B318" i="6" s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AB315" i="23"/>
  <c r="A316" i="23"/>
  <c r="X315" i="23"/>
  <c r="L315" i="23"/>
  <c r="K315" i="23"/>
  <c r="AJ315" i="23"/>
  <c r="AK315" i="23"/>
  <c r="O315" i="23"/>
  <c r="AC315" i="23"/>
  <c r="D320" i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BF322" i="1" l="1"/>
  <c r="E320" i="1"/>
  <c r="F320" i="1" s="1"/>
  <c r="X320" i="15"/>
  <c r="AK320" i="15"/>
  <c r="A321" i="15"/>
  <c r="AJ320" i="15"/>
  <c r="L320" i="15"/>
  <c r="K320" i="15"/>
  <c r="O320" i="15"/>
  <c r="AB320" i="15"/>
  <c r="AC320" i="15"/>
  <c r="K320" i="16"/>
  <c r="L320" i="16"/>
  <c r="A321" i="16"/>
  <c r="AJ320" i="16"/>
  <c r="O320" i="16"/>
  <c r="X320" i="16"/>
  <c r="AB320" i="16"/>
  <c r="AK320" i="16"/>
  <c r="AC320" i="16"/>
  <c r="V319" i="1"/>
  <c r="K322" i="1"/>
  <c r="AK322" i="1"/>
  <c r="O322" i="1"/>
  <c r="AC322" i="1"/>
  <c r="AB322" i="1"/>
  <c r="X322" i="1"/>
  <c r="Q322" i="1"/>
  <c r="A323" i="1"/>
  <c r="AJ322" i="1"/>
  <c r="U322" i="1"/>
  <c r="T322" i="1" s="1"/>
  <c r="S322" i="1" s="1"/>
  <c r="R322" i="1" s="1"/>
  <c r="D321" i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BF323" i="1" l="1"/>
  <c r="I320" i="1"/>
  <c r="B320" i="6" s="1"/>
  <c r="E321" i="1"/>
  <c r="F319" i="1"/>
  <c r="AA319" i="1" s="1"/>
  <c r="Z319" i="1" s="1"/>
  <c r="Y319" i="1" s="1"/>
  <c r="L321" i="15"/>
  <c r="AC321" i="15"/>
  <c r="K321" i="15"/>
  <c r="AK321" i="15"/>
  <c r="A322" i="15"/>
  <c r="AJ321" i="15"/>
  <c r="X321" i="15"/>
  <c r="AB321" i="15"/>
  <c r="O321" i="15"/>
  <c r="G320" i="1"/>
  <c r="BW320" i="6" s="1"/>
  <c r="AA320" i="1"/>
  <c r="Z320" i="1" s="1"/>
  <c r="Y320" i="1" s="1"/>
  <c r="P322" i="1"/>
  <c r="V322" i="1" s="1"/>
  <c r="L321" i="16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G319" i="1" l="1"/>
  <c r="BW319" i="6" s="1"/>
  <c r="E322" i="1"/>
  <c r="BF324" i="1"/>
  <c r="I319" i="1"/>
  <c r="B319" i="6" s="1"/>
  <c r="P323" i="1"/>
  <c r="V323" i="1" s="1"/>
  <c r="X322" i="15"/>
  <c r="O322" i="15"/>
  <c r="L322" i="15"/>
  <c r="AK322" i="15"/>
  <c r="AB322" i="15"/>
  <c r="AJ322" i="15"/>
  <c r="K322" i="15"/>
  <c r="A323" i="15"/>
  <c r="AC322" i="15"/>
  <c r="K322" i="16"/>
  <c r="X322" i="16"/>
  <c r="AJ322" i="16"/>
  <c r="AC322" i="16"/>
  <c r="A323" i="16"/>
  <c r="L322" i="16"/>
  <c r="AB322" i="16"/>
  <c r="AK322" i="16"/>
  <c r="O322" i="16"/>
  <c r="F322" i="1"/>
  <c r="I321" i="1"/>
  <c r="B321" i="6" s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K324" i="1"/>
  <c r="AK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E323" i="1" l="1"/>
  <c r="F323" i="1" s="1"/>
  <c r="BF325" i="1"/>
  <c r="L323" i="15"/>
  <c r="X323" i="15"/>
  <c r="AC323" i="15"/>
  <c r="AB323" i="15"/>
  <c r="O323" i="15"/>
  <c r="A324" i="15"/>
  <c r="AK323" i="15"/>
  <c r="K323" i="15"/>
  <c r="AJ323" i="15"/>
  <c r="AB323" i="16"/>
  <c r="L323" i="16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B322" i="6" s="1"/>
  <c r="AA322" i="1"/>
  <c r="Z322" i="1" s="1"/>
  <c r="Y322" i="1" s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A326" i="1"/>
  <c r="AC325" i="1"/>
  <c r="U325" i="1"/>
  <c r="T325" i="1" s="1"/>
  <c r="BF326" i="1" l="1"/>
  <c r="E324" i="1"/>
  <c r="F324" i="1" s="1"/>
  <c r="AB324" i="15"/>
  <c r="AK324" i="15"/>
  <c r="X324" i="15"/>
  <c r="AJ324" i="15"/>
  <c r="A325" i="15"/>
  <c r="L324" i="15"/>
  <c r="O324" i="15"/>
  <c r="K324" i="15"/>
  <c r="AC324" i="15"/>
  <c r="A325" i="16"/>
  <c r="L324" i="16"/>
  <c r="AK324" i="16"/>
  <c r="AC324" i="16"/>
  <c r="AB324" i="16"/>
  <c r="K324" i="16"/>
  <c r="X324" i="16"/>
  <c r="AJ324" i="16"/>
  <c r="O324" i="16"/>
  <c r="D325" i="1"/>
  <c r="K324" i="17"/>
  <c r="A325" i="17"/>
  <c r="L324" i="17"/>
  <c r="AB324" i="17"/>
  <c r="X324" i="17"/>
  <c r="AJ324" i="17"/>
  <c r="O324" i="17"/>
  <c r="AK324" i="17"/>
  <c r="AC324" i="17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K326" i="1"/>
  <c r="U326" i="1"/>
  <c r="T326" i="1" s="1"/>
  <c r="S326" i="1" s="1"/>
  <c r="R326" i="1" s="1"/>
  <c r="E325" i="1"/>
  <c r="G323" i="1"/>
  <c r="BW323" i="6" s="1"/>
  <c r="I323" i="1"/>
  <c r="B323" i="6" s="1"/>
  <c r="AA323" i="1"/>
  <c r="Z323" i="1" s="1"/>
  <c r="Y323" i="1" s="1"/>
  <c r="BF327" i="1" l="1"/>
  <c r="AB325" i="15"/>
  <c r="O325" i="15"/>
  <c r="X325" i="15"/>
  <c r="AJ325" i="15"/>
  <c r="K325" i="15"/>
  <c r="AK325" i="15"/>
  <c r="L325" i="15"/>
  <c r="A326" i="15"/>
  <c r="AC325" i="15"/>
  <c r="P326" i="1"/>
  <c r="V326" i="1" s="1"/>
  <c r="L325" i="16"/>
  <c r="K325" i="16"/>
  <c r="X325" i="16"/>
  <c r="AK325" i="16"/>
  <c r="O325" i="16"/>
  <c r="A326" i="16"/>
  <c r="AB325" i="16"/>
  <c r="AJ325" i="16"/>
  <c r="AC325" i="16"/>
  <c r="G324" i="1"/>
  <c r="BW324" i="6" s="1"/>
  <c r="I324" i="1"/>
  <c r="B324" i="6" s="1"/>
  <c r="AA324" i="1"/>
  <c r="Z324" i="1" s="1"/>
  <c r="Y324" i="1" s="1"/>
  <c r="F325" i="1"/>
  <c r="AK327" i="1"/>
  <c r="AC327" i="1"/>
  <c r="A328" i="1"/>
  <c r="AB327" i="1"/>
  <c r="O327" i="1"/>
  <c r="X327" i="1"/>
  <c r="AJ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6" i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E326" i="1" l="1"/>
  <c r="F326" i="1" s="1"/>
  <c r="BF328" i="1"/>
  <c r="L326" i="15"/>
  <c r="O326" i="15"/>
  <c r="AB326" i="15"/>
  <c r="AK326" i="15"/>
  <c r="X326" i="15"/>
  <c r="AJ326" i="15"/>
  <c r="K326" i="15"/>
  <c r="A327" i="15"/>
  <c r="AC326" i="15"/>
  <c r="X326" i="16"/>
  <c r="AB326" i="16"/>
  <c r="AJ326" i="16"/>
  <c r="AC326" i="16"/>
  <c r="K326" i="16"/>
  <c r="L326" i="16"/>
  <c r="A327" i="16"/>
  <c r="AK326" i="16"/>
  <c r="O326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AB321" i="24"/>
  <c r="L321" i="24"/>
  <c r="X321" i="24"/>
  <c r="K321" i="24"/>
  <c r="A322" i="24"/>
  <c r="AJ321" i="24"/>
  <c r="AK321" i="24"/>
  <c r="O321" i="24"/>
  <c r="AC321" i="24"/>
  <c r="D327" i="1"/>
  <c r="G325" i="1"/>
  <c r="BW325" i="6" s="1"/>
  <c r="I325" i="1"/>
  <c r="B325" i="6" s="1"/>
  <c r="AA325" i="1"/>
  <c r="Z325" i="1" s="1"/>
  <c r="Y325" i="1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A329" i="1"/>
  <c r="AK328" i="1"/>
  <c r="K328" i="1"/>
  <c r="O328" i="1"/>
  <c r="AC328" i="1"/>
  <c r="X328" i="1"/>
  <c r="Q328" i="1"/>
  <c r="AJ328" i="1"/>
  <c r="AB328" i="1"/>
  <c r="U328" i="1"/>
  <c r="T328" i="1" s="1"/>
  <c r="BF329" i="1" l="1"/>
  <c r="I326" i="1"/>
  <c r="B326" i="6" s="1"/>
  <c r="E327" i="1"/>
  <c r="F327" i="1" s="1"/>
  <c r="AA326" i="1"/>
  <c r="Z326" i="1" s="1"/>
  <c r="Y326" i="1" s="1"/>
  <c r="G326" i="1"/>
  <c r="BW326" i="6" s="1"/>
  <c r="A328" i="15"/>
  <c r="AJ327" i="15"/>
  <c r="X327" i="15"/>
  <c r="AB327" i="15"/>
  <c r="AC327" i="15"/>
  <c r="K327" i="15"/>
  <c r="O327" i="15"/>
  <c r="L327" i="15"/>
  <c r="AK327" i="15"/>
  <c r="X327" i="16"/>
  <c r="AB327" i="16"/>
  <c r="AK327" i="16"/>
  <c r="AC327" i="16"/>
  <c r="L327" i="16"/>
  <c r="K327" i="16"/>
  <c r="A328" i="16"/>
  <c r="AJ327" i="16"/>
  <c r="O327" i="16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S328" i="1"/>
  <c r="R328" i="1" s="1"/>
  <c r="P328" i="1" s="1"/>
  <c r="V328" i="1" s="1"/>
  <c r="D328" i="1"/>
  <c r="Q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P329" i="1" l="1"/>
  <c r="BF330" i="1"/>
  <c r="E328" i="1"/>
  <c r="K328" i="15"/>
  <c r="AK328" i="15"/>
  <c r="AB328" i="15"/>
  <c r="X328" i="15"/>
  <c r="AC328" i="15"/>
  <c r="L328" i="15"/>
  <c r="O328" i="15"/>
  <c r="A329" i="15"/>
  <c r="AJ328" i="15"/>
  <c r="F328" i="1"/>
  <c r="AB328" i="16"/>
  <c r="K328" i="16"/>
  <c r="X328" i="16"/>
  <c r="AK328" i="16"/>
  <c r="O328" i="16"/>
  <c r="L328" i="16"/>
  <c r="A329" i="16"/>
  <c r="AJ328" i="16"/>
  <c r="AC328" i="16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AJ330" i="1"/>
  <c r="X330" i="1"/>
  <c r="A331" i="1"/>
  <c r="Q330" i="1"/>
  <c r="AB330" i="1"/>
  <c r="U330" i="1"/>
  <c r="D329" i="1"/>
  <c r="V329" i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B327" i="6" s="1"/>
  <c r="G327" i="1"/>
  <c r="BW327" i="6" s="1"/>
  <c r="E329" i="1" l="1"/>
  <c r="BF331" i="1"/>
  <c r="I328" i="1"/>
  <c r="B328" i="6" s="1"/>
  <c r="AA328" i="1"/>
  <c r="Z328" i="1" s="1"/>
  <c r="Y328" i="1" s="1"/>
  <c r="G328" i="1"/>
  <c r="BW328" i="6" s="1"/>
  <c r="K329" i="15"/>
  <c r="AC329" i="15"/>
  <c r="A330" i="15"/>
  <c r="AK329" i="15"/>
  <c r="L329" i="15"/>
  <c r="AJ329" i="15"/>
  <c r="AB329" i="15"/>
  <c r="X329" i="15"/>
  <c r="O329" i="15"/>
  <c r="F329" i="1"/>
  <c r="AB329" i="16"/>
  <c r="K329" i="16"/>
  <c r="L329" i="16"/>
  <c r="AK329" i="16"/>
  <c r="O329" i="16"/>
  <c r="X329" i="16"/>
  <c r="A330" i="16"/>
  <c r="AJ329" i="16"/>
  <c r="AC329" i="16"/>
  <c r="AC331" i="1"/>
  <c r="Q331" i="1"/>
  <c r="AB331" i="1"/>
  <c r="X331" i="1"/>
  <c r="AK331" i="1"/>
  <c r="A332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L323" i="25"/>
  <c r="K323" i="25"/>
  <c r="X323" i="25"/>
  <c r="A324" i="25"/>
  <c r="AB323" i="25"/>
  <c r="AJ323" i="25"/>
  <c r="O323" i="25"/>
  <c r="AK323" i="25"/>
  <c r="AC323" i="25"/>
  <c r="E330" i="1" l="1"/>
  <c r="G329" i="1"/>
  <c r="BW329" i="6" s="1"/>
  <c r="BF332" i="1"/>
  <c r="AA329" i="1"/>
  <c r="Z329" i="1" s="1"/>
  <c r="Y329" i="1" s="1"/>
  <c r="K330" i="15"/>
  <c r="AJ330" i="15"/>
  <c r="A331" i="15"/>
  <c r="AB330" i="15"/>
  <c r="AC330" i="15"/>
  <c r="L330" i="15"/>
  <c r="O330" i="15"/>
  <c r="X330" i="15"/>
  <c r="AK330" i="15"/>
  <c r="I329" i="1"/>
  <c r="B329" i="6" s="1"/>
  <c r="X330" i="16"/>
  <c r="O330" i="16"/>
  <c r="AB330" i="16"/>
  <c r="K330" i="16"/>
  <c r="AK330" i="16"/>
  <c r="AC330" i="16"/>
  <c r="L330" i="16"/>
  <c r="A331" i="16"/>
  <c r="AJ330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O332" i="1"/>
  <c r="Q332" i="1"/>
  <c r="A333" i="1"/>
  <c r="K332" i="1"/>
  <c r="AC332" i="1"/>
  <c r="AB332" i="1"/>
  <c r="AJ332" i="1"/>
  <c r="X332" i="1"/>
  <c r="AK332" i="1"/>
  <c r="U332" i="1"/>
  <c r="T332" i="1" s="1"/>
  <c r="BF333" i="1" l="1"/>
  <c r="E331" i="1"/>
  <c r="F331" i="1" s="1"/>
  <c r="A332" i="15"/>
  <c r="O331" i="15"/>
  <c r="L331" i="15"/>
  <c r="AK331" i="15"/>
  <c r="AB331" i="15"/>
  <c r="AJ331" i="15"/>
  <c r="X331" i="15"/>
  <c r="K331" i="15"/>
  <c r="AC331" i="15"/>
  <c r="X331" i="16"/>
  <c r="L331" i="16"/>
  <c r="A332" i="16"/>
  <c r="AK331" i="16"/>
  <c r="O331" i="16"/>
  <c r="K331" i="16"/>
  <c r="AB331" i="16"/>
  <c r="AJ331" i="16"/>
  <c r="AC331" i="16"/>
  <c r="V330" i="1"/>
  <c r="S332" i="1"/>
  <c r="R332" i="1" s="1"/>
  <c r="P332" i="1" s="1"/>
  <c r="V332" i="1" s="1"/>
  <c r="D332" i="1"/>
  <c r="X327" i="23"/>
  <c r="K327" i="23"/>
  <c r="AB327" i="23"/>
  <c r="L327" i="23"/>
  <c r="A328" i="23"/>
  <c r="AK327" i="23"/>
  <c r="AJ327" i="23"/>
  <c r="O327" i="23"/>
  <c r="AC327" i="23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BF334" i="1" l="1"/>
  <c r="AA331" i="1"/>
  <c r="Z331" i="1" s="1"/>
  <c r="Y331" i="1" s="1"/>
  <c r="E332" i="1"/>
  <c r="F330" i="1"/>
  <c r="I331" i="1"/>
  <c r="B331" i="6" s="1"/>
  <c r="G331" i="1"/>
  <c r="BW331" i="6" s="1"/>
  <c r="F332" i="1"/>
  <c r="L332" i="15"/>
  <c r="A333" i="15"/>
  <c r="AC332" i="15"/>
  <c r="AB332" i="15"/>
  <c r="O332" i="15"/>
  <c r="K332" i="15"/>
  <c r="AK332" i="15"/>
  <c r="X332" i="15"/>
  <c r="AJ332" i="15"/>
  <c r="X332" i="16"/>
  <c r="AB332" i="16"/>
  <c r="AJ332" i="16"/>
  <c r="AC332" i="16"/>
  <c r="L332" i="16"/>
  <c r="A333" i="16"/>
  <c r="K332" i="16"/>
  <c r="AK332" i="16"/>
  <c r="O332" i="16"/>
  <c r="AA330" i="1"/>
  <c r="Z330" i="1" s="1"/>
  <c r="Y330" i="1" s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Q334" i="1"/>
  <c r="A335" i="1"/>
  <c r="X334" i="1"/>
  <c r="AB334" i="1"/>
  <c r="AJ334" i="1"/>
  <c r="O334" i="1"/>
  <c r="U334" i="1"/>
  <c r="T334" i="1" s="1"/>
  <c r="D333" i="1"/>
  <c r="B30" i="7"/>
  <c r="G330" i="1" l="1"/>
  <c r="BW330" i="6" s="1"/>
  <c r="E333" i="1"/>
  <c r="BF335" i="1"/>
  <c r="AA332" i="1"/>
  <c r="Z332" i="1" s="1"/>
  <c r="Y332" i="1" s="1"/>
  <c r="I330" i="1"/>
  <c r="B330" i="6" s="1"/>
  <c r="G332" i="1"/>
  <c r="BW332" i="6" s="1"/>
  <c r="I332" i="1"/>
  <c r="B332" i="6" s="1"/>
  <c r="AB333" i="15"/>
  <c r="A334" i="15"/>
  <c r="O333" i="15"/>
  <c r="C42" i="7" s="1"/>
  <c r="X333" i="15"/>
  <c r="AK333" i="15"/>
  <c r="K333" i="15"/>
  <c r="AJ333" i="15"/>
  <c r="L333" i="15"/>
  <c r="A42" i="7"/>
  <c r="AC333" i="15"/>
  <c r="V333" i="1"/>
  <c r="AB333" i="16"/>
  <c r="X333" i="16"/>
  <c r="A54" i="7"/>
  <c r="AJ333" i="16"/>
  <c r="AC333" i="16"/>
  <c r="K333" i="16"/>
  <c r="L333" i="16"/>
  <c r="A334" i="16"/>
  <c r="AK333" i="16"/>
  <c r="O333" i="16"/>
  <c r="C54" i="7" s="1"/>
  <c r="O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E334" i="1" l="1"/>
  <c r="F334" i="1" s="1"/>
  <c r="BF336" i="1"/>
  <c r="F333" i="1"/>
  <c r="AA333" i="1" s="1"/>
  <c r="Z333" i="1" s="1"/>
  <c r="Y333" i="1" s="1"/>
  <c r="B42" i="7"/>
  <c r="AB334" i="15"/>
  <c r="AK334" i="15"/>
  <c r="L334" i="15"/>
  <c r="AJ334" i="15"/>
  <c r="X334" i="15"/>
  <c r="A335" i="15"/>
  <c r="AC334" i="15"/>
  <c r="K334" i="15"/>
  <c r="O334" i="15"/>
  <c r="B54" i="7"/>
  <c r="X334" i="16"/>
  <c r="K334" i="16"/>
  <c r="AB334" i="16"/>
  <c r="AK334" i="16"/>
  <c r="O334" i="16"/>
  <c r="L334" i="16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V335" i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G333" i="1" l="1"/>
  <c r="BW333" i="6" s="1"/>
  <c r="E335" i="1"/>
  <c r="BF337" i="1"/>
  <c r="I333" i="1"/>
  <c r="B333" i="6" s="1"/>
  <c r="X335" i="15"/>
  <c r="AJ335" i="15"/>
  <c r="AB335" i="15"/>
  <c r="O335" i="15"/>
  <c r="A336" i="15"/>
  <c r="K335" i="15"/>
  <c r="L335" i="15"/>
  <c r="AK335" i="15"/>
  <c r="AC335" i="15"/>
  <c r="A336" i="16"/>
  <c r="AB335" i="16"/>
  <c r="X335" i="16"/>
  <c r="AJ335" i="16"/>
  <c r="O335" i="16"/>
  <c r="K335" i="16"/>
  <c r="L335" i="16"/>
  <c r="AK335" i="16"/>
  <c r="AC335" i="16"/>
  <c r="P336" i="1"/>
  <c r="V336" i="1" s="1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E336" i="1" s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AK337" i="1"/>
  <c r="AJ337" i="1"/>
  <c r="Q337" i="1"/>
  <c r="K337" i="1"/>
  <c r="A338" i="1"/>
  <c r="O337" i="1"/>
  <c r="AB337" i="1"/>
  <c r="X337" i="1"/>
  <c r="AC337" i="1"/>
  <c r="U337" i="1"/>
  <c r="I334" i="1"/>
  <c r="B334" i="6" s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BF338" i="1" l="1"/>
  <c r="A337" i="15"/>
  <c r="AJ336" i="15"/>
  <c r="L336" i="15"/>
  <c r="AB336" i="15"/>
  <c r="AC336" i="15"/>
  <c r="K336" i="15"/>
  <c r="O336" i="15"/>
  <c r="X336" i="15"/>
  <c r="AK336" i="15"/>
  <c r="AB336" i="16"/>
  <c r="X336" i="16"/>
  <c r="AK336" i="16"/>
  <c r="AC336" i="16"/>
  <c r="L336" i="16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F336" i="1"/>
  <c r="I335" i="1"/>
  <c r="B335" i="6" s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AC338" i="1"/>
  <c r="AJ338" i="1"/>
  <c r="AB338" i="1"/>
  <c r="Q338" i="1"/>
  <c r="O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BF339" i="1" l="1"/>
  <c r="E337" i="1"/>
  <c r="K337" i="15"/>
  <c r="AJ337" i="15"/>
  <c r="X337" i="15"/>
  <c r="A338" i="15"/>
  <c r="AC337" i="15"/>
  <c r="AB337" i="15"/>
  <c r="O337" i="15"/>
  <c r="L337" i="15"/>
  <c r="AK337" i="15"/>
  <c r="A338" i="16"/>
  <c r="L337" i="16"/>
  <c r="K337" i="16"/>
  <c r="AK337" i="16"/>
  <c r="O337" i="16"/>
  <c r="AB337" i="16"/>
  <c r="X337" i="16"/>
  <c r="AJ337" i="16"/>
  <c r="AC337" i="16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E338" i="1" s="1"/>
  <c r="S337" i="1"/>
  <c r="R337" i="1" s="1"/>
  <c r="P337" i="1" s="1"/>
  <c r="AA336" i="1"/>
  <c r="Z336" i="1" s="1"/>
  <c r="Y336" i="1" s="1"/>
  <c r="I336" i="1"/>
  <c r="B336" i="6" s="1"/>
  <c r="G336" i="1"/>
  <c r="BW336" i="6" s="1"/>
  <c r="K334" i="22"/>
  <c r="L334" i="22"/>
  <c r="X334" i="22"/>
  <c r="AB334" i="22"/>
  <c r="A335" i="22"/>
  <c r="AK334" i="22"/>
  <c r="AJ334" i="22"/>
  <c r="O334" i="22"/>
  <c r="AC334" i="22"/>
  <c r="S338" i="1"/>
  <c r="R338" i="1" s="1"/>
  <c r="P338" i="1" s="1"/>
  <c r="V338" i="1" s="1"/>
  <c r="AK339" i="1"/>
  <c r="K339" i="1"/>
  <c r="AB339" i="1"/>
  <c r="A340" i="1"/>
  <c r="AC339" i="1"/>
  <c r="AJ339" i="1"/>
  <c r="X339" i="1"/>
  <c r="O339" i="1"/>
  <c r="Q339" i="1"/>
  <c r="U339" i="1"/>
  <c r="T339" i="1" s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V337" i="1" l="1"/>
  <c r="F337" i="1" s="1"/>
  <c r="BF340" i="1"/>
  <c r="L338" i="15"/>
  <c r="AJ338" i="15"/>
  <c r="A339" i="15"/>
  <c r="AB338" i="15"/>
  <c r="AC338" i="15"/>
  <c r="X338" i="15"/>
  <c r="O338" i="15"/>
  <c r="K338" i="15"/>
  <c r="AK338" i="15"/>
  <c r="AB338" i="16"/>
  <c r="X338" i="16"/>
  <c r="AJ338" i="16"/>
  <c r="AC338" i="16"/>
  <c r="L338" i="16"/>
  <c r="A339" i="16"/>
  <c r="K338" i="16"/>
  <c r="AK338" i="16"/>
  <c r="O338" i="16"/>
  <c r="F338" i="1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K340" i="1"/>
  <c r="X340" i="1"/>
  <c r="A341" i="1"/>
  <c r="Q340" i="1"/>
  <c r="AK340" i="1"/>
  <c r="AC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BF341" i="1" l="1"/>
  <c r="G338" i="1"/>
  <c r="BW338" i="6" s="1"/>
  <c r="E339" i="1"/>
  <c r="L339" i="15"/>
  <c r="AK339" i="15"/>
  <c r="K339" i="15"/>
  <c r="AJ339" i="15"/>
  <c r="AB339" i="15"/>
  <c r="X339" i="15"/>
  <c r="O339" i="15"/>
  <c r="A340" i="15"/>
  <c r="AC339" i="15"/>
  <c r="AA338" i="1"/>
  <c r="Z338" i="1" s="1"/>
  <c r="Y338" i="1" s="1"/>
  <c r="I338" i="1"/>
  <c r="B338" i="6" s="1"/>
  <c r="K339" i="16"/>
  <c r="X339" i="16"/>
  <c r="AJ339" i="16"/>
  <c r="AC339" i="16"/>
  <c r="A340" i="16"/>
  <c r="L339" i="16"/>
  <c r="AB339" i="16"/>
  <c r="AK339" i="16"/>
  <c r="O339" i="16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I337" i="1"/>
  <c r="B337" i="6" s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D340" i="1"/>
  <c r="X341" i="1"/>
  <c r="AB341" i="1"/>
  <c r="O341" i="1"/>
  <c r="A342" i="1"/>
  <c r="Q341" i="1"/>
  <c r="AK341" i="1"/>
  <c r="AC341" i="1"/>
  <c r="K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F339" i="1" l="1"/>
  <c r="I339" i="1" s="1"/>
  <c r="B339" i="6" s="1"/>
  <c r="BF342" i="1"/>
  <c r="E340" i="1"/>
  <c r="F340" i="1" s="1"/>
  <c r="L340" i="15"/>
  <c r="AB340" i="15"/>
  <c r="AC340" i="15"/>
  <c r="X340" i="15"/>
  <c r="O340" i="15"/>
  <c r="K340" i="15"/>
  <c r="AK340" i="15"/>
  <c r="A341" i="15"/>
  <c r="AJ340" i="15"/>
  <c r="L340" i="16"/>
  <c r="AB340" i="16"/>
  <c r="AK340" i="16"/>
  <c r="AC340" i="16"/>
  <c r="A341" i="16"/>
  <c r="K340" i="16"/>
  <c r="X340" i="16"/>
  <c r="AJ340" i="16"/>
  <c r="O340" i="16"/>
  <c r="X342" i="1"/>
  <c r="A343" i="1"/>
  <c r="AK342" i="1"/>
  <c r="Q342" i="1"/>
  <c r="O342" i="1"/>
  <c r="AC342" i="1"/>
  <c r="AJ342" i="1"/>
  <c r="K342" i="1"/>
  <c r="AB342" i="1"/>
  <c r="U342" i="1"/>
  <c r="T342" i="1" s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AA339" i="1" l="1"/>
  <c r="Z339" i="1" s="1"/>
  <c r="Y339" i="1" s="1"/>
  <c r="BF343" i="1"/>
  <c r="E341" i="1"/>
  <c r="G339" i="1"/>
  <c r="BW339" i="6" s="1"/>
  <c r="F341" i="1"/>
  <c r="AB341" i="15"/>
  <c r="AJ341" i="15"/>
  <c r="K341" i="15"/>
  <c r="X341" i="15"/>
  <c r="AC341" i="15"/>
  <c r="L341" i="15"/>
  <c r="O341" i="15"/>
  <c r="A342" i="15"/>
  <c r="AK341" i="15"/>
  <c r="X341" i="16"/>
  <c r="K341" i="16"/>
  <c r="L341" i="16"/>
  <c r="AK341" i="16"/>
  <c r="O341" i="16"/>
  <c r="A342" i="16"/>
  <c r="AB341" i="16"/>
  <c r="AJ341" i="16"/>
  <c r="AC341" i="16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B340" i="6" s="1"/>
  <c r="D342" i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X343" i="1"/>
  <c r="O343" i="1"/>
  <c r="AC343" i="1"/>
  <c r="K343" i="1"/>
  <c r="AB343" i="1"/>
  <c r="AJ343" i="1"/>
  <c r="AK343" i="1"/>
  <c r="A344" i="1"/>
  <c r="Q343" i="1"/>
  <c r="U343" i="1"/>
  <c r="T343" i="1" s="1"/>
  <c r="E342" i="1" l="1"/>
  <c r="AA341" i="1"/>
  <c r="Z341" i="1" s="1"/>
  <c r="Y341" i="1" s="1"/>
  <c r="BF344" i="1"/>
  <c r="G341" i="1"/>
  <c r="BW341" i="6" s="1"/>
  <c r="F342" i="1"/>
  <c r="I341" i="1"/>
  <c r="B341" i="6" s="1"/>
  <c r="X342" i="15"/>
  <c r="AK342" i="15"/>
  <c r="A343" i="15"/>
  <c r="AB342" i="15"/>
  <c r="AC342" i="15"/>
  <c r="K342" i="15"/>
  <c r="O342" i="15"/>
  <c r="L342" i="15"/>
  <c r="AJ342" i="15"/>
  <c r="K342" i="16"/>
  <c r="A343" i="16"/>
  <c r="X342" i="16"/>
  <c r="AK342" i="16"/>
  <c r="O342" i="16"/>
  <c r="L342" i="16"/>
  <c r="AB342" i="16"/>
  <c r="AJ342" i="16"/>
  <c r="AC342" i="16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Q344" i="1"/>
  <c r="U344" i="1"/>
  <c r="D343" i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BF345" i="1" l="1"/>
  <c r="E343" i="1"/>
  <c r="F343" i="1" s="1"/>
  <c r="G343" i="1" s="1"/>
  <c r="BW343" i="6" s="1"/>
  <c r="G342" i="1"/>
  <c r="BW342" i="6" s="1"/>
  <c r="AA342" i="1"/>
  <c r="Z342" i="1" s="1"/>
  <c r="Y342" i="1" s="1"/>
  <c r="I342" i="1"/>
  <c r="B342" i="6" s="1"/>
  <c r="AB343" i="15"/>
  <c r="AJ343" i="15"/>
  <c r="X343" i="15"/>
  <c r="A344" i="15"/>
  <c r="AC343" i="15"/>
  <c r="K343" i="15"/>
  <c r="O343" i="15"/>
  <c r="L343" i="15"/>
  <c r="AK343" i="15"/>
  <c r="K343" i="16"/>
  <c r="AB343" i="16"/>
  <c r="X343" i="16"/>
  <c r="AK343" i="16"/>
  <c r="O343" i="16"/>
  <c r="A344" i="16"/>
  <c r="L343" i="16"/>
  <c r="AJ343" i="16"/>
  <c r="AC343" i="16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K341" i="20"/>
  <c r="AB341" i="20"/>
  <c r="L341" i="20"/>
  <c r="X341" i="20"/>
  <c r="A342" i="20"/>
  <c r="AJ341" i="20"/>
  <c r="AK341" i="20"/>
  <c r="O341" i="20"/>
  <c r="AC341" i="20"/>
  <c r="T344" i="1"/>
  <c r="D344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E344" i="1" l="1"/>
  <c r="BF346" i="1"/>
  <c r="AA343" i="1"/>
  <c r="Z343" i="1" s="1"/>
  <c r="Y343" i="1" s="1"/>
  <c r="I343" i="1"/>
  <c r="B343" i="6" s="1"/>
  <c r="A345" i="15"/>
  <c r="AC344" i="15"/>
  <c r="L344" i="15"/>
  <c r="AK344" i="15"/>
  <c r="AB344" i="15"/>
  <c r="AJ344" i="15"/>
  <c r="K344" i="15"/>
  <c r="X344" i="15"/>
  <c r="O344" i="15"/>
  <c r="X344" i="16"/>
  <c r="K344" i="16"/>
  <c r="AJ344" i="16"/>
  <c r="AC344" i="16"/>
  <c r="AB344" i="16"/>
  <c r="L344" i="16"/>
  <c r="A345" i="16"/>
  <c r="AK344" i="16"/>
  <c r="O344" i="16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A347" i="1"/>
  <c r="AJ346" i="1"/>
  <c r="Q346" i="1"/>
  <c r="AK346" i="1"/>
  <c r="K346" i="1"/>
  <c r="X346" i="1"/>
  <c r="U346" i="1"/>
  <c r="D345" i="1"/>
  <c r="S344" i="1"/>
  <c r="R344" i="1" s="1"/>
  <c r="P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V344" i="1" l="1"/>
  <c r="F344" i="1" s="1"/>
  <c r="BF347" i="1"/>
  <c r="E345" i="1"/>
  <c r="F345" i="1" s="1"/>
  <c r="X345" i="15"/>
  <c r="AK345" i="15"/>
  <c r="K345" i="15"/>
  <c r="AJ345" i="15"/>
  <c r="L345" i="15"/>
  <c r="AB345" i="15"/>
  <c r="AC345" i="15"/>
  <c r="A346" i="15"/>
  <c r="O345" i="15"/>
  <c r="K345" i="16"/>
  <c r="X345" i="16"/>
  <c r="AK345" i="16"/>
  <c r="AC345" i="16"/>
  <c r="A346" i="16"/>
  <c r="L345" i="16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D346" i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Q347" i="1"/>
  <c r="AC347" i="1"/>
  <c r="AK347" i="1"/>
  <c r="AB347" i="1"/>
  <c r="X347" i="1"/>
  <c r="A348" i="1"/>
  <c r="K347" i="1"/>
  <c r="O347" i="1"/>
  <c r="AJ347" i="1"/>
  <c r="U347" i="1"/>
  <c r="T347" i="1" s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BF348" i="1" l="1"/>
  <c r="E346" i="1"/>
  <c r="L346" i="15"/>
  <c r="K346" i="15"/>
  <c r="AC346" i="15"/>
  <c r="X346" i="15"/>
  <c r="O346" i="15"/>
  <c r="A347" i="15"/>
  <c r="AK346" i="15"/>
  <c r="AB346" i="15"/>
  <c r="AJ346" i="15"/>
  <c r="K346" i="16"/>
  <c r="A347" i="16"/>
  <c r="X346" i="16"/>
  <c r="AK346" i="16"/>
  <c r="O346" i="16"/>
  <c r="L346" i="16"/>
  <c r="AB346" i="16"/>
  <c r="AJ346" i="16"/>
  <c r="AC346" i="16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B344" i="6" s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A349" i="1"/>
  <c r="AB348" i="1"/>
  <c r="Q348" i="1"/>
  <c r="AJ348" i="1"/>
  <c r="K348" i="1"/>
  <c r="U348" i="1"/>
  <c r="T348" i="1" s="1"/>
  <c r="S348" i="1" s="1"/>
  <c r="R348" i="1" s="1"/>
  <c r="D347" i="1"/>
  <c r="S346" i="1"/>
  <c r="R346" i="1" s="1"/>
  <c r="P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B345" i="6" s="1"/>
  <c r="X340" i="25"/>
  <c r="A341" i="25"/>
  <c r="K340" i="25"/>
  <c r="L340" i="25"/>
  <c r="AB340" i="25"/>
  <c r="AJ340" i="25"/>
  <c r="AK340" i="25"/>
  <c r="O340" i="25"/>
  <c r="AC340" i="25"/>
  <c r="V346" i="1" l="1"/>
  <c r="F346" i="1" s="1"/>
  <c r="I346" i="1" s="1"/>
  <c r="B346" i="6" s="1"/>
  <c r="E347" i="1"/>
  <c r="F347" i="1" s="1"/>
  <c r="BF349" i="1"/>
  <c r="L347" i="15"/>
  <c r="O347" i="15"/>
  <c r="K347" i="15"/>
  <c r="AJ347" i="15"/>
  <c r="X347" i="15"/>
  <c r="AK347" i="15"/>
  <c r="A348" i="15"/>
  <c r="AB347" i="15"/>
  <c r="AC347" i="15"/>
  <c r="P348" i="1"/>
  <c r="V348" i="1" s="1"/>
  <c r="AB347" i="16"/>
  <c r="A348" i="16"/>
  <c r="AK347" i="16"/>
  <c r="AC347" i="16"/>
  <c r="X347" i="16"/>
  <c r="K347" i="16"/>
  <c r="L347" i="16"/>
  <c r="AJ347" i="16"/>
  <c r="O347" i="16"/>
  <c r="A346" i="20"/>
  <c r="L345" i="20"/>
  <c r="K345" i="20"/>
  <c r="AB345" i="20"/>
  <c r="AJ345" i="20"/>
  <c r="AK345" i="20"/>
  <c r="X345" i="20"/>
  <c r="O345" i="20"/>
  <c r="AC345" i="20"/>
  <c r="D348" i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BF350" i="1" l="1"/>
  <c r="AA347" i="1"/>
  <c r="Z347" i="1" s="1"/>
  <c r="Y347" i="1" s="1"/>
  <c r="AA346" i="1"/>
  <c r="Z346" i="1" s="1"/>
  <c r="Y346" i="1" s="1"/>
  <c r="E348" i="1"/>
  <c r="F348" i="1" s="1"/>
  <c r="G346" i="1"/>
  <c r="BW346" i="6" s="1"/>
  <c r="I347" i="1"/>
  <c r="B347" i="6" s="1"/>
  <c r="L348" i="15"/>
  <c r="AK348" i="15"/>
  <c r="A349" i="15"/>
  <c r="AJ348" i="15"/>
  <c r="AB348" i="15"/>
  <c r="X348" i="15"/>
  <c r="O348" i="15"/>
  <c r="K348" i="15"/>
  <c r="AC348" i="15"/>
  <c r="G347" i="1"/>
  <c r="BW347" i="6" s="1"/>
  <c r="L61" i="19"/>
  <c r="K348" i="16"/>
  <c r="AJ348" i="16"/>
  <c r="A349" i="16"/>
  <c r="AC348" i="16"/>
  <c r="X348" i="16"/>
  <c r="AB348" i="16"/>
  <c r="L348" i="16"/>
  <c r="AK348" i="16"/>
  <c r="O348" i="16"/>
  <c r="S349" i="1"/>
  <c r="R349" i="1" s="1"/>
  <c r="P349" i="1" s="1"/>
  <c r="V349" i="1" s="1"/>
  <c r="AK350" i="1"/>
  <c r="AC350" i="1"/>
  <c r="K350" i="1"/>
  <c r="AB350" i="1"/>
  <c r="Q350" i="1"/>
  <c r="X350" i="1"/>
  <c r="AJ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E349" i="1" l="1"/>
  <c r="BF351" i="1"/>
  <c r="I348" i="1"/>
  <c r="B348" i="6" s="1"/>
  <c r="G348" i="1"/>
  <c r="BW348" i="6" s="1"/>
  <c r="A350" i="15"/>
  <c r="AK349" i="15"/>
  <c r="X349" i="15"/>
  <c r="AJ349" i="15"/>
  <c r="L349" i="15"/>
  <c r="AB349" i="15"/>
  <c r="AC349" i="15"/>
  <c r="K349" i="15"/>
  <c r="O349" i="15"/>
  <c r="AA348" i="1"/>
  <c r="Z348" i="1" s="1"/>
  <c r="Y348" i="1" s="1"/>
  <c r="X349" i="16"/>
  <c r="AK349" i="16"/>
  <c r="L349" i="16"/>
  <c r="AC349" i="16"/>
  <c r="A350" i="16"/>
  <c r="K349" i="16"/>
  <c r="AB349" i="16"/>
  <c r="AJ349" i="16"/>
  <c r="O349" i="16"/>
  <c r="AB346" i="22"/>
  <c r="X346" i="22"/>
  <c r="K346" i="22"/>
  <c r="L346" i="22"/>
  <c r="AJ346" i="22"/>
  <c r="A347" i="22"/>
  <c r="AK346" i="22"/>
  <c r="O346" i="22"/>
  <c r="AC346" i="22"/>
  <c r="F349" i="1"/>
  <c r="D350" i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BF352" i="1" l="1"/>
  <c r="E350" i="1"/>
  <c r="F350" i="1" s="1"/>
  <c r="K350" i="15"/>
  <c r="AJ350" i="15"/>
  <c r="O350" i="15"/>
  <c r="A351" i="15"/>
  <c r="AC350" i="15"/>
  <c r="X350" i="15"/>
  <c r="L350" i="15"/>
  <c r="AB350" i="15"/>
  <c r="AK350" i="15"/>
  <c r="X350" i="16"/>
  <c r="K350" i="16"/>
  <c r="A351" i="16"/>
  <c r="AC350" i="16"/>
  <c r="AB350" i="16"/>
  <c r="L350" i="16"/>
  <c r="AJ350" i="16"/>
  <c r="AK350" i="16"/>
  <c r="O350" i="16"/>
  <c r="L349" i="18"/>
  <c r="X349" i="18"/>
  <c r="AJ349" i="18"/>
  <c r="A350" i="18"/>
  <c r="AB349" i="18"/>
  <c r="K349" i="18"/>
  <c r="AK349" i="18"/>
  <c r="O349" i="18"/>
  <c r="AC349" i="18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B349" i="6" s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AK352" i="1"/>
  <c r="AC352" i="1"/>
  <c r="AB352" i="1"/>
  <c r="U352" i="1"/>
  <c r="T352" i="1" s="1"/>
  <c r="S352" i="1" s="1"/>
  <c r="R352" i="1" s="1"/>
  <c r="D351" i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BF353" i="1" l="1"/>
  <c r="E351" i="1"/>
  <c r="F351" i="1" s="1"/>
  <c r="AA351" i="1" s="1"/>
  <c r="Z351" i="1" s="1"/>
  <c r="Y351" i="1" s="1"/>
  <c r="P352" i="1"/>
  <c r="V352" i="1" s="1"/>
  <c r="A352" i="15"/>
  <c r="L351" i="15"/>
  <c r="AB351" i="15"/>
  <c r="K351" i="15"/>
  <c r="AC351" i="15"/>
  <c r="AK351" i="15"/>
  <c r="O351" i="15"/>
  <c r="X351" i="15"/>
  <c r="AJ351" i="15"/>
  <c r="AB351" i="16"/>
  <c r="X351" i="16"/>
  <c r="L351" i="16"/>
  <c r="AC351" i="16"/>
  <c r="K351" i="16"/>
  <c r="A352" i="16"/>
  <c r="AK351" i="16"/>
  <c r="AJ351" i="16"/>
  <c r="O351" i="16"/>
  <c r="AB347" i="23"/>
  <c r="L347" i="23"/>
  <c r="X347" i="23"/>
  <c r="K347" i="23"/>
  <c r="A348" i="23"/>
  <c r="AJ347" i="23"/>
  <c r="AK347" i="23"/>
  <c r="O347" i="23"/>
  <c r="AC347" i="23"/>
  <c r="D352" i="1"/>
  <c r="A354" i="1"/>
  <c r="AJ353" i="1"/>
  <c r="AC353" i="1"/>
  <c r="K353" i="1"/>
  <c r="Q353" i="1"/>
  <c r="AK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B350" i="6" s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E352" i="1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I351" i="1" l="1"/>
  <c r="B351" i="6" s="1"/>
  <c r="BF354" i="1"/>
  <c r="G351" i="1"/>
  <c r="BW351" i="6" s="1"/>
  <c r="X352" i="15"/>
  <c r="AJ352" i="15"/>
  <c r="AC352" i="15"/>
  <c r="AB352" i="15"/>
  <c r="O352" i="15"/>
  <c r="K352" i="15"/>
  <c r="AK352" i="15"/>
  <c r="A353" i="15"/>
  <c r="L352" i="15"/>
  <c r="K352" i="16"/>
  <c r="AB352" i="16"/>
  <c r="L352" i="16"/>
  <c r="AC352" i="16"/>
  <c r="A353" i="16"/>
  <c r="X352" i="16"/>
  <c r="AJ352" i="16"/>
  <c r="AK352" i="16"/>
  <c r="O352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S353" i="1"/>
  <c r="R353" i="1" s="1"/>
  <c r="P353" i="1" s="1"/>
  <c r="V353" i="1" s="1"/>
  <c r="D353" i="1"/>
  <c r="O354" i="1"/>
  <c r="AC354" i="1"/>
  <c r="X354" i="1"/>
  <c r="K354" i="1"/>
  <c r="AJ354" i="1"/>
  <c r="A355" i="1"/>
  <c r="Q354" i="1"/>
  <c r="AB354" i="1"/>
  <c r="AK354" i="1"/>
  <c r="U354" i="1"/>
  <c r="T354" i="1" s="1"/>
  <c r="S354" i="1" s="1"/>
  <c r="R354" i="1" s="1"/>
  <c r="K348" i="23"/>
  <c r="L348" i="23"/>
  <c r="X348" i="23"/>
  <c r="AB348" i="23"/>
  <c r="AJ348" i="23"/>
  <c r="A349" i="23"/>
  <c r="AK348" i="23"/>
  <c r="O348" i="23"/>
  <c r="AC348" i="23"/>
  <c r="P354" i="1" l="1"/>
  <c r="V354" i="1" s="1"/>
  <c r="BF355" i="1"/>
  <c r="E353" i="1"/>
  <c r="F353" i="1" s="1"/>
  <c r="K353" i="15"/>
  <c r="O353" i="15"/>
  <c r="A354" i="15"/>
  <c r="AK353" i="15"/>
  <c r="AB353" i="15"/>
  <c r="AJ353" i="15"/>
  <c r="L353" i="15"/>
  <c r="X353" i="15"/>
  <c r="AC353" i="15"/>
  <c r="K353" i="16"/>
  <c r="X353" i="16"/>
  <c r="AB353" i="16"/>
  <c r="AK353" i="16"/>
  <c r="O353" i="16"/>
  <c r="AC353" i="16"/>
  <c r="A354" i="16"/>
  <c r="L353" i="16"/>
  <c r="AJ353" i="16"/>
  <c r="D354" i="1"/>
  <c r="O355" i="1"/>
  <c r="X355" i="1"/>
  <c r="Q355" i="1"/>
  <c r="A356" i="1"/>
  <c r="AJ355" i="1"/>
  <c r="AB355" i="1"/>
  <c r="AK355" i="1"/>
  <c r="AC355" i="1"/>
  <c r="K355" i="1"/>
  <c r="U355" i="1"/>
  <c r="T355" i="1" s="1"/>
  <c r="S355" i="1" s="1"/>
  <c r="R355" i="1" s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B352" i="6" s="1"/>
  <c r="G352" i="1"/>
  <c r="BW352" i="6" s="1"/>
  <c r="AA352" i="1"/>
  <c r="Z352" i="1" s="1"/>
  <c r="Y352" i="1" s="1"/>
  <c r="P355" i="1" l="1"/>
  <c r="E354" i="1"/>
  <c r="BF356" i="1"/>
  <c r="I353" i="1"/>
  <c r="B353" i="6" s="1"/>
  <c r="G353" i="1"/>
  <c r="BW353" i="6" s="1"/>
  <c r="AA353" i="1"/>
  <c r="Z353" i="1" s="1"/>
  <c r="Y353" i="1" s="1"/>
  <c r="A355" i="15"/>
  <c r="AB354" i="15"/>
  <c r="AC354" i="15"/>
  <c r="AJ354" i="15"/>
  <c r="O354" i="15"/>
  <c r="L354" i="15"/>
  <c r="AK354" i="15"/>
  <c r="X354" i="15"/>
  <c r="K354" i="15"/>
  <c r="F354" i="1"/>
  <c r="H354" i="1" s="1"/>
  <c r="AB354" i="16"/>
  <c r="K354" i="16"/>
  <c r="X354" i="16"/>
  <c r="AC354" i="16"/>
  <c r="A355" i="16"/>
  <c r="L354" i="16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V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O356" i="1"/>
  <c r="AB356" i="1"/>
  <c r="AC356" i="1"/>
  <c r="AJ356" i="1"/>
  <c r="X356" i="1"/>
  <c r="AK356" i="1"/>
  <c r="K356" i="1"/>
  <c r="A357" i="1"/>
  <c r="Q356" i="1"/>
  <c r="U356" i="1"/>
  <c r="T356" i="1" s="1"/>
  <c r="S356" i="1" s="1"/>
  <c r="R356" i="1" s="1"/>
  <c r="J354" i="1" l="1"/>
  <c r="I354" i="1"/>
  <c r="B354" i="6" s="1"/>
  <c r="BF357" i="1"/>
  <c r="E355" i="1"/>
  <c r="F355" i="1" s="1"/>
  <c r="H355" i="1" s="1"/>
  <c r="AA354" i="1"/>
  <c r="Z354" i="1" s="1"/>
  <c r="Y354" i="1" s="1"/>
  <c r="G354" i="1"/>
  <c r="BW354" i="6" s="1"/>
  <c r="P356" i="1"/>
  <c r="V356" i="1" s="1"/>
  <c r="AB355" i="15"/>
  <c r="AK355" i="15"/>
  <c r="O355" i="15"/>
  <c r="AJ355" i="15"/>
  <c r="AC355" i="15"/>
  <c r="K355" i="15"/>
  <c r="L355" i="15"/>
  <c r="A356" i="15"/>
  <c r="X355" i="15"/>
  <c r="A356" i="16"/>
  <c r="X355" i="16"/>
  <c r="AK355" i="16"/>
  <c r="K355" i="16"/>
  <c r="O355" i="16"/>
  <c r="L355" i="16"/>
  <c r="AB355" i="16"/>
  <c r="AJ355" i="16"/>
  <c r="AC355" i="16"/>
  <c r="D356" i="1"/>
  <c r="E356" i="1" s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AK357" i="1"/>
  <c r="Q357" i="1"/>
  <c r="K357" i="1"/>
  <c r="U357" i="1"/>
  <c r="T357" i="1" s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AA355" i="1" l="1"/>
  <c r="Z355" i="1" s="1"/>
  <c r="Y355" i="1" s="1"/>
  <c r="J355" i="1"/>
  <c r="I355" i="1"/>
  <c r="B355" i="6" s="1"/>
  <c r="BF358" i="1"/>
  <c r="G355" i="1"/>
  <c r="BW355" i="6" s="1"/>
  <c r="L356" i="15"/>
  <c r="A357" i="15"/>
  <c r="X356" i="15"/>
  <c r="AK356" i="15"/>
  <c r="AC356" i="15"/>
  <c r="AB356" i="15"/>
  <c r="O356" i="15"/>
  <c r="K356" i="15"/>
  <c r="AJ356" i="15"/>
  <c r="A357" i="16"/>
  <c r="K356" i="16"/>
  <c r="AJ356" i="16"/>
  <c r="AC356" i="16"/>
  <c r="L356" i="16"/>
  <c r="AB356" i="16"/>
  <c r="X356" i="16"/>
  <c r="AK356" i="16"/>
  <c r="O356" i="16"/>
  <c r="S357" i="1"/>
  <c r="R357" i="1" s="1"/>
  <c r="P357" i="1" s="1"/>
  <c r="V357" i="1" s="1"/>
  <c r="D357" i="1"/>
  <c r="E357" i="1" s="1"/>
  <c r="A359" i="1"/>
  <c r="AB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H356" i="1" s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I356" i="1" l="1"/>
  <c r="B356" i="6" s="1"/>
  <c r="J356" i="1"/>
  <c r="BF359" i="1"/>
  <c r="AB357" i="15"/>
  <c r="AC357" i="15"/>
  <c r="L357" i="15"/>
  <c r="X357" i="15"/>
  <c r="A358" i="15"/>
  <c r="AK357" i="15"/>
  <c r="K357" i="15"/>
  <c r="AJ357" i="15"/>
  <c r="O357" i="15"/>
  <c r="L357" i="16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H357" i="1" s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J357" i="1" l="1"/>
  <c r="I357" i="1"/>
  <c r="B357" i="6" s="1"/>
  <c r="BF360" i="1"/>
  <c r="E358" i="1"/>
  <c r="F358" i="1" s="1"/>
  <c r="H358" i="1" s="1"/>
  <c r="X358" i="15"/>
  <c r="AJ358" i="15"/>
  <c r="K358" i="15"/>
  <c r="L358" i="15"/>
  <c r="O358" i="15"/>
  <c r="AB358" i="15"/>
  <c r="AC358" i="15"/>
  <c r="A359" i="15"/>
  <c r="AK358" i="15"/>
  <c r="X358" i="16"/>
  <c r="AJ358" i="16"/>
  <c r="A359" i="16"/>
  <c r="AC358" i="16"/>
  <c r="AB358" i="16"/>
  <c r="L358" i="16"/>
  <c r="K358" i="16"/>
  <c r="AK358" i="16"/>
  <c r="O358" i="16"/>
  <c r="X357" i="18"/>
  <c r="K357" i="18"/>
  <c r="AJ357" i="18"/>
  <c r="O357" i="18"/>
  <c r="A358" i="18"/>
  <c r="L357" i="18"/>
  <c r="AB357" i="18"/>
  <c r="AK357" i="18"/>
  <c r="AC357" i="18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K360" i="1"/>
  <c r="O360" i="1"/>
  <c r="AK360" i="1"/>
  <c r="X360" i="1"/>
  <c r="U360" i="1"/>
  <c r="T360" i="1" s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AB356" i="20"/>
  <c r="L356" i="20"/>
  <c r="A357" i="20"/>
  <c r="AJ356" i="20"/>
  <c r="K356" i="20"/>
  <c r="X356" i="20"/>
  <c r="AK356" i="20"/>
  <c r="O356" i="20"/>
  <c r="AC356" i="20"/>
  <c r="I358" i="1" l="1"/>
  <c r="B358" i="6" s="1"/>
  <c r="J358" i="1"/>
  <c r="BF361" i="1"/>
  <c r="AA358" i="1"/>
  <c r="Z358" i="1" s="1"/>
  <c r="Y358" i="1" s="1"/>
  <c r="G358" i="1"/>
  <c r="BW358" i="6" s="1"/>
  <c r="A360" i="15"/>
  <c r="K359" i="15"/>
  <c r="AC359" i="15"/>
  <c r="AK359" i="15"/>
  <c r="O359" i="15"/>
  <c r="AB359" i="15"/>
  <c r="AJ359" i="15"/>
  <c r="L359" i="15"/>
  <c r="X359" i="15"/>
  <c r="F359" i="1"/>
  <c r="H359" i="1" s="1"/>
  <c r="AB359" i="16"/>
  <c r="A360" i="16"/>
  <c r="AJ359" i="16"/>
  <c r="AC359" i="16"/>
  <c r="K359" i="16"/>
  <c r="L359" i="16"/>
  <c r="X359" i="16"/>
  <c r="AK359" i="16"/>
  <c r="O359" i="16"/>
  <c r="X357" i="20"/>
  <c r="A358" i="20"/>
  <c r="AK357" i="20"/>
  <c r="AB357" i="20"/>
  <c r="K357" i="20"/>
  <c r="L357" i="20"/>
  <c r="AJ357" i="20"/>
  <c r="O357" i="20"/>
  <c r="AC357" i="20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X361" i="1"/>
  <c r="AC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J359" i="1" l="1"/>
  <c r="I359" i="1"/>
  <c r="B359" i="6" s="1"/>
  <c r="BF362" i="1"/>
  <c r="E360" i="1"/>
  <c r="G359" i="1"/>
  <c r="BW359" i="6" s="1"/>
  <c r="F360" i="1"/>
  <c r="H360" i="1" s="1"/>
  <c r="P361" i="1"/>
  <c r="V361" i="1" s="1"/>
  <c r="AA359" i="1"/>
  <c r="Z359" i="1" s="1"/>
  <c r="Y359" i="1" s="1"/>
  <c r="X360" i="15"/>
  <c r="O360" i="15"/>
  <c r="AJ360" i="15"/>
  <c r="AK360" i="15"/>
  <c r="AB360" i="15"/>
  <c r="K360" i="15"/>
  <c r="A361" i="15"/>
  <c r="L360" i="15"/>
  <c r="AC360" i="15"/>
  <c r="X360" i="16"/>
  <c r="AK360" i="16"/>
  <c r="A361" i="16"/>
  <c r="AC360" i="16"/>
  <c r="AB360" i="16"/>
  <c r="AJ360" i="16"/>
  <c r="L360" i="16"/>
  <c r="K360" i="16"/>
  <c r="O360" i="16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A358" i="22"/>
  <c r="X357" i="22"/>
  <c r="L357" i="22"/>
  <c r="AK357" i="22"/>
  <c r="AB357" i="22"/>
  <c r="K357" i="22"/>
  <c r="AJ357" i="22"/>
  <c r="O357" i="22"/>
  <c r="AC357" i="22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I360" i="1" l="1"/>
  <c r="B360" i="6" s="1"/>
  <c r="J360" i="1"/>
  <c r="BF363" i="1"/>
  <c r="G360" i="1"/>
  <c r="BW360" i="6" s="1"/>
  <c r="E361" i="1"/>
  <c r="AA360" i="1"/>
  <c r="Z360" i="1" s="1"/>
  <c r="Y360" i="1" s="1"/>
  <c r="AB361" i="15"/>
  <c r="K361" i="15"/>
  <c r="AC361" i="15"/>
  <c r="L361" i="15"/>
  <c r="O361" i="15"/>
  <c r="AJ361" i="15"/>
  <c r="AK361" i="15"/>
  <c r="A362" i="15"/>
  <c r="X361" i="15"/>
  <c r="X361" i="16"/>
  <c r="AJ361" i="16"/>
  <c r="A362" i="16"/>
  <c r="AC361" i="16"/>
  <c r="L361" i="16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356" i="25"/>
  <c r="AB355" i="25"/>
  <c r="K355" i="25"/>
  <c r="L355" i="25"/>
  <c r="X355" i="25"/>
  <c r="AJ355" i="25"/>
  <c r="AK355" i="25"/>
  <c r="O355" i="25"/>
  <c r="AC355" i="25"/>
  <c r="T362" i="1"/>
  <c r="A364" i="1"/>
  <c r="Q363" i="1"/>
  <c r="AK363" i="1"/>
  <c r="AB363" i="1"/>
  <c r="A31" i="7"/>
  <c r="X363" i="1"/>
  <c r="K363" i="1"/>
  <c r="AJ363" i="1"/>
  <c r="AC363" i="1"/>
  <c r="O363" i="1"/>
  <c r="U363" i="1"/>
  <c r="T363" i="1" s="1"/>
  <c r="K356" i="24"/>
  <c r="A357" i="24"/>
  <c r="L356" i="24"/>
  <c r="AJ356" i="24"/>
  <c r="X356" i="24"/>
  <c r="AB356" i="24"/>
  <c r="AK356" i="24"/>
  <c r="O356" i="24"/>
  <c r="AC356" i="24"/>
  <c r="BF364" i="1" l="1"/>
  <c r="F361" i="1"/>
  <c r="H361" i="1" s="1"/>
  <c r="AK362" i="15"/>
  <c r="AJ362" i="15"/>
  <c r="AB362" i="15"/>
  <c r="A363" i="15"/>
  <c r="K362" i="15"/>
  <c r="X362" i="15"/>
  <c r="AC362" i="15"/>
  <c r="L362" i="15"/>
  <c r="O362" i="15"/>
  <c r="A363" i="16"/>
  <c r="X362" i="16"/>
  <c r="AJ362" i="16"/>
  <c r="AC362" i="16"/>
  <c r="K362" i="16"/>
  <c r="L362" i="16"/>
  <c r="AB362" i="16"/>
  <c r="AK362" i="16"/>
  <c r="O362" i="16"/>
  <c r="S363" i="1"/>
  <c r="R363" i="1" s="1"/>
  <c r="P363" i="1" s="1"/>
  <c r="D31" i="7" s="1"/>
  <c r="B31" i="7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C31" i="7"/>
  <c r="O364" i="1"/>
  <c r="AK364" i="1"/>
  <c r="AC364" i="1"/>
  <c r="X364" i="1"/>
  <c r="U364" i="1"/>
  <c r="K364" i="1"/>
  <c r="A365" i="1"/>
  <c r="AJ364" i="1"/>
  <c r="Q364" i="1"/>
  <c r="AB364" i="1"/>
  <c r="S362" i="1"/>
  <c r="R362" i="1" s="1"/>
  <c r="P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J361" i="1" l="1"/>
  <c r="I361" i="1"/>
  <c r="B361" i="6" s="1"/>
  <c r="AA361" i="1"/>
  <c r="Z361" i="1" s="1"/>
  <c r="Y361" i="1" s="1"/>
  <c r="G361" i="1"/>
  <c r="BW361" i="6" s="1"/>
  <c r="V362" i="1"/>
  <c r="BF365" i="1"/>
  <c r="A43" i="7"/>
  <c r="X363" i="15"/>
  <c r="O363" i="15"/>
  <c r="C43" i="7" s="1"/>
  <c r="AJ363" i="15"/>
  <c r="AK363" i="15"/>
  <c r="A364" i="15"/>
  <c r="AB363" i="15"/>
  <c r="K363" i="15"/>
  <c r="L363" i="15"/>
  <c r="AC363" i="15"/>
  <c r="X363" i="16"/>
  <c r="AK363" i="16"/>
  <c r="A364" i="16"/>
  <c r="AJ363" i="16"/>
  <c r="O363" i="16"/>
  <c r="C55" i="7" s="1"/>
  <c r="K363" i="16"/>
  <c r="AB363" i="16"/>
  <c r="A55" i="7"/>
  <c r="L363" i="16"/>
  <c r="AC363" i="16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BF366" i="1" l="1"/>
  <c r="B43" i="7"/>
  <c r="X364" i="15"/>
  <c r="K364" i="15"/>
  <c r="AC364" i="15"/>
  <c r="L364" i="15"/>
  <c r="O364" i="15"/>
  <c r="AK364" i="15"/>
  <c r="AJ364" i="15"/>
  <c r="A365" i="15"/>
  <c r="AB364" i="15"/>
  <c r="B55" i="7"/>
  <c r="A365" i="16"/>
  <c r="AJ364" i="16"/>
  <c r="L364" i="16"/>
  <c r="AK364" i="16"/>
  <c r="O364" i="16"/>
  <c r="X364" i="16"/>
  <c r="AB364" i="16"/>
  <c r="K364" i="16"/>
  <c r="AC364" i="16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AJ366" i="1"/>
  <c r="K366" i="1"/>
  <c r="Q366" i="1"/>
  <c r="AB366" i="1"/>
  <c r="AC366" i="1"/>
  <c r="U366" i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D363" i="1" l="1"/>
  <c r="E363" i="1" s="1"/>
  <c r="F363" i="1" s="1"/>
  <c r="H363" i="1" s="1"/>
  <c r="J363" i="1" s="1"/>
  <c r="BF367" i="1"/>
  <c r="AJ365" i="15"/>
  <c r="AK365" i="15"/>
  <c r="K365" i="15"/>
  <c r="A366" i="15"/>
  <c r="X365" i="15"/>
  <c r="L365" i="15"/>
  <c r="AC365" i="15"/>
  <c r="AB365" i="15"/>
  <c r="O365" i="15"/>
  <c r="L365" i="16"/>
  <c r="AK365" i="16"/>
  <c r="AB365" i="16"/>
  <c r="AC365" i="16"/>
  <c r="K365" i="16"/>
  <c r="A366" i="16"/>
  <c r="X365" i="16"/>
  <c r="O365" i="16"/>
  <c r="AJ365" i="16"/>
  <c r="V364" i="1"/>
  <c r="K359" i="25"/>
  <c r="L359" i="25"/>
  <c r="X359" i="25"/>
  <c r="AJ359" i="25"/>
  <c r="AB359" i="25"/>
  <c r="A360" i="25"/>
  <c r="O359" i="25"/>
  <c r="AK359" i="25"/>
  <c r="AC359" i="25"/>
  <c r="T366" i="1"/>
  <c r="A368" i="1"/>
  <c r="AJ367" i="1"/>
  <c r="K367" i="1"/>
  <c r="AB367" i="1"/>
  <c r="X367" i="1"/>
  <c r="AC367" i="1"/>
  <c r="Q367" i="1"/>
  <c r="AK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AA363" i="1" l="1"/>
  <c r="Z363" i="1" s="1"/>
  <c r="Y363" i="1" s="1"/>
  <c r="G363" i="1"/>
  <c r="BW363" i="6" s="1"/>
  <c r="I363" i="1"/>
  <c r="B363" i="6" s="1"/>
  <c r="D365" i="1"/>
  <c r="E365" i="1" s="1"/>
  <c r="F365" i="1" s="1"/>
  <c r="H365" i="1" s="1"/>
  <c r="I365" i="1" s="1"/>
  <c r="B365" i="6" s="1"/>
  <c r="D364" i="1"/>
  <c r="E364" i="1" s="1"/>
  <c r="F364" i="1" s="1"/>
  <c r="H364" i="1" s="1"/>
  <c r="J365" i="1"/>
  <c r="BF368" i="1"/>
  <c r="G365" i="1"/>
  <c r="BW365" i="6" s="1"/>
  <c r="K366" i="15"/>
  <c r="L366" i="15"/>
  <c r="AC366" i="15"/>
  <c r="X366" i="15"/>
  <c r="O366" i="15"/>
  <c r="AK366" i="15"/>
  <c r="AJ366" i="15"/>
  <c r="A367" i="15"/>
  <c r="AB366" i="15"/>
  <c r="A367" i="16"/>
  <c r="AJ366" i="16"/>
  <c r="K366" i="16"/>
  <c r="AC366" i="16"/>
  <c r="L366" i="16"/>
  <c r="X366" i="16"/>
  <c r="AB366" i="16"/>
  <c r="AK366" i="16"/>
  <c r="O366" i="16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K368" i="1"/>
  <c r="Q368" i="1"/>
  <c r="X368" i="1"/>
  <c r="A369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S366" i="1"/>
  <c r="R366" i="1" s="1"/>
  <c r="P366" i="1" s="1"/>
  <c r="AB360" i="25"/>
  <c r="L360" i="25"/>
  <c r="X360" i="25"/>
  <c r="AK360" i="25"/>
  <c r="A361" i="25"/>
  <c r="K360" i="25"/>
  <c r="AJ360" i="25"/>
  <c r="O360" i="25"/>
  <c r="AC360" i="25"/>
  <c r="AA365" i="1" l="1"/>
  <c r="Z365" i="1" s="1"/>
  <c r="Y365" i="1" s="1"/>
  <c r="I364" i="1"/>
  <c r="B364" i="6" s="1"/>
  <c r="J364" i="1"/>
  <c r="BF369" i="1"/>
  <c r="G364" i="1"/>
  <c r="BW364" i="6" s="1"/>
  <c r="V366" i="1"/>
  <c r="AA364" i="1"/>
  <c r="Z364" i="1" s="1"/>
  <c r="Y364" i="1" s="1"/>
  <c r="L367" i="15"/>
  <c r="AJ367" i="15"/>
  <c r="A368" i="15"/>
  <c r="K367" i="15"/>
  <c r="AC367" i="15"/>
  <c r="AB367" i="15"/>
  <c r="O367" i="15"/>
  <c r="X367" i="15"/>
  <c r="AK367" i="15"/>
  <c r="K367" i="16"/>
  <c r="L367" i="16"/>
  <c r="X367" i="16"/>
  <c r="AK367" i="16"/>
  <c r="O367" i="16"/>
  <c r="AB367" i="16"/>
  <c r="A368" i="16"/>
  <c r="AJ367" i="16"/>
  <c r="AC367" i="16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X367" i="17"/>
  <c r="A368" i="17"/>
  <c r="AJ367" i="17"/>
  <c r="O367" i="17"/>
  <c r="AB367" i="17"/>
  <c r="L367" i="17"/>
  <c r="K367" i="17"/>
  <c r="AK367" i="17"/>
  <c r="AC367" i="17"/>
  <c r="AC369" i="1"/>
  <c r="A370" i="1"/>
  <c r="K369" i="1"/>
  <c r="AJ369" i="1"/>
  <c r="U369" i="1"/>
  <c r="T369" i="1" s="1"/>
  <c r="X369" i="1"/>
  <c r="AK369" i="1"/>
  <c r="O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D367" i="1" l="1"/>
  <c r="E367" i="1" s="1"/>
  <c r="F367" i="1" s="1"/>
  <c r="H367" i="1" s="1"/>
  <c r="I367" i="1" s="1"/>
  <c r="B367" i="6" s="1"/>
  <c r="D366" i="1"/>
  <c r="E366" i="1" s="1"/>
  <c r="F366" i="1" s="1"/>
  <c r="G366" i="1" s="1"/>
  <c r="BW366" i="6" s="1"/>
  <c r="BF370" i="1"/>
  <c r="L368" i="15"/>
  <c r="AB368" i="15"/>
  <c r="AC368" i="15"/>
  <c r="AJ368" i="15"/>
  <c r="O368" i="15"/>
  <c r="A369" i="15"/>
  <c r="AK368" i="15"/>
  <c r="X368" i="15"/>
  <c r="K368" i="15"/>
  <c r="K368" i="16"/>
  <c r="A369" i="16"/>
  <c r="L368" i="16"/>
  <c r="AC368" i="16"/>
  <c r="AB368" i="16"/>
  <c r="AK368" i="16"/>
  <c r="X368" i="16"/>
  <c r="AJ368" i="16"/>
  <c r="O368" i="16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U370" i="1"/>
  <c r="T370" i="1" s="1"/>
  <c r="X367" i="18"/>
  <c r="AB367" i="18"/>
  <c r="K367" i="18"/>
  <c r="L367" i="18"/>
  <c r="A368" i="18"/>
  <c r="AJ367" i="18"/>
  <c r="AK367" i="18"/>
  <c r="O367" i="18"/>
  <c r="AC367" i="18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S369" i="1"/>
  <c r="R369" i="1" s="1"/>
  <c r="P369" i="1" s="1"/>
  <c r="V369" i="1" s="1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AA367" i="1" l="1"/>
  <c r="Z367" i="1" s="1"/>
  <c r="Y367" i="1" s="1"/>
  <c r="J367" i="1"/>
  <c r="G367" i="1"/>
  <c r="BW367" i="6" s="1"/>
  <c r="D368" i="1"/>
  <c r="E368" i="1" s="1"/>
  <c r="F368" i="1" s="1"/>
  <c r="H368" i="1" s="1"/>
  <c r="I368" i="1" s="1"/>
  <c r="B368" i="6" s="1"/>
  <c r="H366" i="1"/>
  <c r="AA366" i="1"/>
  <c r="Z366" i="1" s="1"/>
  <c r="Y366" i="1" s="1"/>
  <c r="BF371" i="1"/>
  <c r="AJ369" i="15"/>
  <c r="O369" i="15"/>
  <c r="L369" i="15"/>
  <c r="AK369" i="15"/>
  <c r="K369" i="15"/>
  <c r="A370" i="15"/>
  <c r="AC369" i="15"/>
  <c r="AB369" i="15"/>
  <c r="X369" i="15"/>
  <c r="A370" i="16"/>
  <c r="AJ369" i="16"/>
  <c r="L369" i="16"/>
  <c r="K369" i="16"/>
  <c r="O369" i="16"/>
  <c r="X369" i="16"/>
  <c r="AK369" i="16"/>
  <c r="AB369" i="16"/>
  <c r="AC369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K369" i="17"/>
  <c r="A370" i="17"/>
  <c r="AJ369" i="17"/>
  <c r="O369" i="17"/>
  <c r="X369" i="17"/>
  <c r="AB369" i="17"/>
  <c r="L369" i="17"/>
  <c r="AK369" i="17"/>
  <c r="AC369" i="17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S370" i="1"/>
  <c r="R370" i="1" s="1"/>
  <c r="P370" i="1" s="1"/>
  <c r="V370" i="1" s="1"/>
  <c r="AJ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AA368" i="1" l="1"/>
  <c r="Z368" i="1" s="1"/>
  <c r="Y368" i="1" s="1"/>
  <c r="J368" i="1"/>
  <c r="D369" i="1"/>
  <c r="E369" i="1" s="1"/>
  <c r="F369" i="1" s="1"/>
  <c r="H369" i="1" s="1"/>
  <c r="I369" i="1" s="1"/>
  <c r="B369" i="6" s="1"/>
  <c r="I366" i="1"/>
  <c r="B366" i="6" s="1"/>
  <c r="J366" i="1"/>
  <c r="D370" i="1"/>
  <c r="E370" i="1" s="1"/>
  <c r="F370" i="1" s="1"/>
  <c r="H370" i="1" s="1"/>
  <c r="BF372" i="1"/>
  <c r="AJ370" i="15"/>
  <c r="X370" i="15"/>
  <c r="AC370" i="15"/>
  <c r="L370" i="15"/>
  <c r="AK370" i="15"/>
  <c r="A371" i="15"/>
  <c r="K370" i="15"/>
  <c r="AB370" i="15"/>
  <c r="O370" i="15"/>
  <c r="K370" i="16"/>
  <c r="A371" i="16"/>
  <c r="AJ370" i="16"/>
  <c r="AC370" i="16"/>
  <c r="L370" i="16"/>
  <c r="X370" i="16"/>
  <c r="AB370" i="16"/>
  <c r="AK370" i="16"/>
  <c r="O370" i="16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U372" i="1"/>
  <c r="T372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J369" i="1" l="1"/>
  <c r="G369" i="1"/>
  <c r="BW369" i="6" s="1"/>
  <c r="AA369" i="1"/>
  <c r="Z369" i="1" s="1"/>
  <c r="Y369" i="1" s="1"/>
  <c r="D371" i="1"/>
  <c r="E371" i="1" s="1"/>
  <c r="F371" i="1" s="1"/>
  <c r="H371" i="1" s="1"/>
  <c r="I370" i="1"/>
  <c r="B370" i="6" s="1"/>
  <c r="J370" i="1"/>
  <c r="BF373" i="1"/>
  <c r="G370" i="1"/>
  <c r="BW370" i="6" s="1"/>
  <c r="AA370" i="1"/>
  <c r="Z370" i="1" s="1"/>
  <c r="Y370" i="1" s="1"/>
  <c r="K371" i="15"/>
  <c r="A372" i="15"/>
  <c r="O371" i="15"/>
  <c r="AJ371" i="15"/>
  <c r="AC371" i="15"/>
  <c r="AB371" i="15"/>
  <c r="AK371" i="15"/>
  <c r="L371" i="15"/>
  <c r="X371" i="15"/>
  <c r="K371" i="16"/>
  <c r="AK371" i="16"/>
  <c r="L371" i="16"/>
  <c r="AC371" i="16"/>
  <c r="A372" i="16"/>
  <c r="AJ371" i="16"/>
  <c r="AB371" i="16"/>
  <c r="X371" i="16"/>
  <c r="O371" i="16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A374" i="1"/>
  <c r="X373" i="1"/>
  <c r="K373" i="1"/>
  <c r="AB373" i="1"/>
  <c r="O373" i="1"/>
  <c r="AJ373" i="1"/>
  <c r="Q373" i="1"/>
  <c r="AK373" i="1"/>
  <c r="AC373" i="1"/>
  <c r="U373" i="1"/>
  <c r="J371" i="1" l="1"/>
  <c r="I371" i="1"/>
  <c r="B371" i="6" s="1"/>
  <c r="BF374" i="1"/>
  <c r="A373" i="15"/>
  <c r="AK372" i="15"/>
  <c r="K372" i="15"/>
  <c r="AJ372" i="15"/>
  <c r="AB372" i="15"/>
  <c r="X372" i="15"/>
  <c r="AC372" i="15"/>
  <c r="L372" i="15"/>
  <c r="O372" i="15"/>
  <c r="X372" i="16"/>
  <c r="L372" i="16"/>
  <c r="K372" i="16"/>
  <c r="AC372" i="16"/>
  <c r="A373" i="16"/>
  <c r="AK372" i="16"/>
  <c r="AB372" i="16"/>
  <c r="AJ372" i="16"/>
  <c r="O372" i="16"/>
  <c r="K374" i="1"/>
  <c r="Q374" i="1"/>
  <c r="X374" i="1"/>
  <c r="AB374" i="1"/>
  <c r="AC374" i="1"/>
  <c r="A375" i="1"/>
  <c r="AJ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D372" i="1" l="1"/>
  <c r="E372" i="1" s="1"/>
  <c r="F372" i="1" s="1"/>
  <c r="H372" i="1" s="1"/>
  <c r="I372" i="1" s="1"/>
  <c r="B372" i="6" s="1"/>
  <c r="BF375" i="1"/>
  <c r="AK373" i="15"/>
  <c r="AC373" i="15"/>
  <c r="X373" i="15"/>
  <c r="AJ373" i="15"/>
  <c r="L373" i="15"/>
  <c r="K373" i="15"/>
  <c r="AB373" i="15"/>
  <c r="A374" i="15"/>
  <c r="O373" i="15"/>
  <c r="K373" i="16"/>
  <c r="L373" i="16"/>
  <c r="A374" i="16"/>
  <c r="AC373" i="16"/>
  <c r="AB373" i="16"/>
  <c r="AJ373" i="16"/>
  <c r="X373" i="16"/>
  <c r="AK373" i="16"/>
  <c r="O373" i="16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X371" i="20"/>
  <c r="A372" i="20"/>
  <c r="L371" i="20"/>
  <c r="AK371" i="20"/>
  <c r="AB371" i="20"/>
  <c r="K371" i="20"/>
  <c r="AJ371" i="20"/>
  <c r="O371" i="20"/>
  <c r="AC371" i="20"/>
  <c r="AJ375" i="1"/>
  <c r="Q375" i="1"/>
  <c r="AB375" i="1"/>
  <c r="A376" i="1"/>
  <c r="X375" i="1"/>
  <c r="K375" i="1"/>
  <c r="O375" i="1"/>
  <c r="AK375" i="1"/>
  <c r="AC375" i="1"/>
  <c r="U375" i="1"/>
  <c r="T375" i="1" s="1"/>
  <c r="S375" i="1" s="1"/>
  <c r="R375" i="1" s="1"/>
  <c r="G372" i="1" l="1"/>
  <c r="BW372" i="6" s="1"/>
  <c r="J372" i="1"/>
  <c r="AA372" i="1"/>
  <c r="Z372" i="1" s="1"/>
  <c r="Y372" i="1" s="1"/>
  <c r="BF376" i="1"/>
  <c r="V373" i="1"/>
  <c r="K374" i="15"/>
  <c r="A375" i="15"/>
  <c r="X374" i="15"/>
  <c r="AK374" i="15"/>
  <c r="AC374" i="15"/>
  <c r="AJ374" i="15"/>
  <c r="O374" i="15"/>
  <c r="L374" i="15"/>
  <c r="AB374" i="15"/>
  <c r="P375" i="1"/>
  <c r="V375" i="1" s="1"/>
  <c r="X374" i="16"/>
  <c r="AB374" i="16"/>
  <c r="AK374" i="16"/>
  <c r="L374" i="16"/>
  <c r="O374" i="16"/>
  <c r="K374" i="16"/>
  <c r="AJ374" i="16"/>
  <c r="A375" i="16"/>
  <c r="AC374" i="16"/>
  <c r="AJ376" i="1"/>
  <c r="AC376" i="1"/>
  <c r="K376" i="1"/>
  <c r="Q376" i="1"/>
  <c r="A377" i="1"/>
  <c r="AB376" i="1"/>
  <c r="AK376" i="1"/>
  <c r="O376" i="1"/>
  <c r="X376" i="1"/>
  <c r="U376" i="1"/>
  <c r="T376" i="1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D374" i="1" l="1"/>
  <c r="E374" i="1" s="1"/>
  <c r="F374" i="1" s="1"/>
  <c r="H374" i="1" s="1"/>
  <c r="I374" i="1" s="1"/>
  <c r="B374" i="6" s="1"/>
  <c r="BF377" i="1"/>
  <c r="A376" i="15"/>
  <c r="AC375" i="15"/>
  <c r="K375" i="15"/>
  <c r="AK375" i="15"/>
  <c r="AB375" i="15"/>
  <c r="AJ375" i="15"/>
  <c r="X375" i="15"/>
  <c r="L375" i="15"/>
  <c r="O375" i="15"/>
  <c r="AJ375" i="16"/>
  <c r="A376" i="16"/>
  <c r="K375" i="16"/>
  <c r="AB375" i="16"/>
  <c r="AK375" i="16"/>
  <c r="O375" i="16"/>
  <c r="X375" i="16"/>
  <c r="L375" i="16"/>
  <c r="AC375" i="16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A376" i="17"/>
  <c r="K375" i="17"/>
  <c r="L375" i="17"/>
  <c r="X375" i="17"/>
  <c r="AB375" i="17"/>
  <c r="AJ375" i="17"/>
  <c r="O375" i="17"/>
  <c r="AK375" i="17"/>
  <c r="AC375" i="17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AC377" i="1"/>
  <c r="O377" i="1"/>
  <c r="A378" i="1"/>
  <c r="AA374" i="1" l="1"/>
  <c r="Z374" i="1" s="1"/>
  <c r="Y374" i="1" s="1"/>
  <c r="J374" i="1"/>
  <c r="G374" i="1"/>
  <c r="BW374" i="6" s="1"/>
  <c r="D373" i="1"/>
  <c r="E373" i="1" s="1"/>
  <c r="F373" i="1" s="1"/>
  <c r="D375" i="1"/>
  <c r="E375" i="1" s="1"/>
  <c r="F375" i="1" s="1"/>
  <c r="H375" i="1" s="1"/>
  <c r="J375" i="1" s="1"/>
  <c r="BF378" i="1"/>
  <c r="AB376" i="15"/>
  <c r="X376" i="15"/>
  <c r="K376" i="15"/>
  <c r="L376" i="15"/>
  <c r="AC376" i="15"/>
  <c r="AK376" i="15"/>
  <c r="O376" i="15"/>
  <c r="AJ376" i="15"/>
  <c r="A377" i="15"/>
  <c r="K376" i="16"/>
  <c r="X376" i="16"/>
  <c r="A377" i="16"/>
  <c r="AC376" i="16"/>
  <c r="AB376" i="16"/>
  <c r="AJ376" i="16"/>
  <c r="L376" i="16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K375" i="18"/>
  <c r="L375" i="18"/>
  <c r="A376" i="18"/>
  <c r="O375" i="18"/>
  <c r="AK375" i="18"/>
  <c r="X375" i="18"/>
  <c r="AB375" i="18"/>
  <c r="AJ375" i="18"/>
  <c r="AC375" i="18"/>
  <c r="AA375" i="1" l="1"/>
  <c r="Z375" i="1" s="1"/>
  <c r="Y375" i="1" s="1"/>
  <c r="I375" i="1"/>
  <c r="B375" i="6" s="1"/>
  <c r="G375" i="1"/>
  <c r="BW375" i="6" s="1"/>
  <c r="H373" i="1"/>
  <c r="G373" i="1"/>
  <c r="BW373" i="6" s="1"/>
  <c r="AA373" i="1"/>
  <c r="Z373" i="1" s="1"/>
  <c r="Y373" i="1" s="1"/>
  <c r="D376" i="1"/>
  <c r="E376" i="1" s="1"/>
  <c r="BF379" i="1"/>
  <c r="F376" i="1"/>
  <c r="H376" i="1" s="1"/>
  <c r="X377" i="15"/>
  <c r="L377" i="15"/>
  <c r="AC377" i="15"/>
  <c r="AB377" i="15"/>
  <c r="O377" i="15"/>
  <c r="AK377" i="15"/>
  <c r="AJ377" i="15"/>
  <c r="A378" i="15"/>
  <c r="K377" i="15"/>
  <c r="K377" i="16"/>
  <c r="L377" i="16"/>
  <c r="A378" i="16"/>
  <c r="AC377" i="16"/>
  <c r="AB377" i="16"/>
  <c r="AK377" i="16"/>
  <c r="X377" i="16"/>
  <c r="AJ377" i="16"/>
  <c r="O377" i="16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X373" i="23"/>
  <c r="L373" i="23"/>
  <c r="K373" i="23"/>
  <c r="AK373" i="23"/>
  <c r="AB373" i="23"/>
  <c r="A374" i="23"/>
  <c r="AJ373" i="23"/>
  <c r="O373" i="23"/>
  <c r="AC373" i="23"/>
  <c r="AK379" i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X372" i="24"/>
  <c r="K372" i="24"/>
  <c r="L372" i="24"/>
  <c r="A373" i="24"/>
  <c r="AB372" i="24"/>
  <c r="AJ372" i="24"/>
  <c r="AK372" i="24"/>
  <c r="O372" i="24"/>
  <c r="AC372" i="24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I373" i="1" l="1"/>
  <c r="B373" i="6" s="1"/>
  <c r="J373" i="1"/>
  <c r="AA376" i="1"/>
  <c r="Z376" i="1" s="1"/>
  <c r="Y376" i="1" s="1"/>
  <c r="I376" i="1"/>
  <c r="B376" i="6" s="1"/>
  <c r="J376" i="1"/>
  <c r="V377" i="1"/>
  <c r="G376" i="1"/>
  <c r="BW376" i="6" s="1"/>
  <c r="BG382" i="1"/>
  <c r="BG383" i="1"/>
  <c r="BG381" i="1"/>
  <c r="BJ381" i="1"/>
  <c r="BJ383" i="1"/>
  <c r="BJ382" i="1"/>
  <c r="AB378" i="15"/>
  <c r="K378" i="15"/>
  <c r="AC378" i="15"/>
  <c r="A379" i="15"/>
  <c r="O378" i="15"/>
  <c r="AJ378" i="15"/>
  <c r="AK378" i="15"/>
  <c r="X378" i="15"/>
  <c r="L378" i="15"/>
  <c r="K378" i="16"/>
  <c r="AJ378" i="16"/>
  <c r="L378" i="16"/>
  <c r="AK378" i="16"/>
  <c r="O378" i="16"/>
  <c r="X378" i="16"/>
  <c r="AB378" i="16"/>
  <c r="A379" i="16"/>
  <c r="AC378" i="16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L383" i="1"/>
  <c r="L381" i="1"/>
  <c r="L382" i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7" i="1"/>
  <c r="AJ9" i="1"/>
  <c r="AJ5" i="1"/>
  <c r="AL7" i="1"/>
  <c r="AL9" i="1"/>
  <c r="AL5" i="1"/>
  <c r="AK7" i="1"/>
  <c r="AK11" i="1" s="1"/>
  <c r="AK9" i="1"/>
  <c r="AM7" i="1"/>
  <c r="AM11" i="1" s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L35" i="19" l="1"/>
  <c r="D378" i="1"/>
  <c r="E378" i="1" s="1"/>
  <c r="F378" i="1" s="1"/>
  <c r="AA378" i="1" s="1"/>
  <c r="Z378" i="1" s="1"/>
  <c r="Y378" i="1" s="1"/>
  <c r="AY382" i="1"/>
  <c r="AY381" i="1"/>
  <c r="AY383" i="1"/>
  <c r="AY9" i="1"/>
  <c r="AZ383" i="1"/>
  <c r="AZ382" i="1"/>
  <c r="AZ381" i="1"/>
  <c r="AZ9" i="1"/>
  <c r="AL11" i="1"/>
  <c r="AJ11" i="1"/>
  <c r="L379" i="15"/>
  <c r="O379" i="15"/>
  <c r="X379" i="15"/>
  <c r="AC379" i="15"/>
  <c r="AC382" i="15" s="1"/>
  <c r="K379" i="15"/>
  <c r="AB379" i="15"/>
  <c r="AJ379" i="15"/>
  <c r="AK379" i="15"/>
  <c r="AK5" i="15" s="1"/>
  <c r="L381" i="15"/>
  <c r="L382" i="15"/>
  <c r="U10" i="15"/>
  <c r="U34" i="15" s="1"/>
  <c r="T34" i="15" s="1"/>
  <c r="T383" i="1"/>
  <c r="T381" i="1"/>
  <c r="T382" i="1"/>
  <c r="AB379" i="16"/>
  <c r="AK379" i="16"/>
  <c r="X379" i="16"/>
  <c r="AC379" i="16"/>
  <c r="L379" i="16"/>
  <c r="B37" i="19" s="1"/>
  <c r="K379" i="16"/>
  <c r="A380" i="16"/>
  <c r="AJ379" i="16"/>
  <c r="O379" i="16"/>
  <c r="C37" i="19" s="1"/>
  <c r="K375" i="23"/>
  <c r="AB375" i="23"/>
  <c r="AJ375" i="23"/>
  <c r="A376" i="23"/>
  <c r="X375" i="23"/>
  <c r="L375" i="23"/>
  <c r="AK375" i="23"/>
  <c r="O375" i="23"/>
  <c r="AC375" i="23"/>
  <c r="AK3" i="1"/>
  <c r="Q11" i="19" s="1"/>
  <c r="I15" i="7"/>
  <c r="Q10" i="15"/>
  <c r="Q328" i="15" s="1"/>
  <c r="I16" i="7"/>
  <c r="U66" i="15"/>
  <c r="T66" i="15" s="1"/>
  <c r="S66" i="15" s="1"/>
  <c r="R66" i="15" s="1"/>
  <c r="U235" i="15"/>
  <c r="T235" i="15" s="1"/>
  <c r="S235" i="15" s="1"/>
  <c r="R235" i="15" s="1"/>
  <c r="U363" i="15"/>
  <c r="T363" i="15" s="1"/>
  <c r="S363" i="15" s="1"/>
  <c r="R363" i="15" s="1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C38" i="19" s="1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30" i="15"/>
  <c r="AI98" i="15"/>
  <c r="AH98" i="15" s="1"/>
  <c r="AI162" i="15"/>
  <c r="AH162" i="15" s="1"/>
  <c r="AI216" i="15"/>
  <c r="AH216" i="15" s="1"/>
  <c r="AI248" i="15"/>
  <c r="AI280" i="15"/>
  <c r="AH280" i="15" s="1"/>
  <c r="AI312" i="15"/>
  <c r="AI344" i="15"/>
  <c r="AH344" i="15" s="1"/>
  <c r="AI376" i="15"/>
  <c r="A374" i="25"/>
  <c r="L373" i="25"/>
  <c r="K373" i="25"/>
  <c r="AJ373" i="25"/>
  <c r="AK373" i="25"/>
  <c r="X373" i="25"/>
  <c r="AB373" i="25"/>
  <c r="O373" i="25"/>
  <c r="AC373" i="25"/>
  <c r="AI360" i="15" l="1"/>
  <c r="AH360" i="15" s="1"/>
  <c r="AI328" i="15"/>
  <c r="AI296" i="15"/>
  <c r="AI264" i="15"/>
  <c r="AH264" i="15" s="1"/>
  <c r="AI232" i="15"/>
  <c r="AI194" i="15"/>
  <c r="AI130" i="15"/>
  <c r="AH130" i="15" s="1"/>
  <c r="AI66" i="15"/>
  <c r="U299" i="15"/>
  <c r="T299" i="15" s="1"/>
  <c r="S299" i="15" s="1"/>
  <c r="R299" i="15" s="1"/>
  <c r="U171" i="15"/>
  <c r="T171" i="15" s="1"/>
  <c r="AI368" i="15"/>
  <c r="AH368" i="15" s="1"/>
  <c r="AI352" i="15"/>
  <c r="AH352" i="15" s="1"/>
  <c r="AI336" i="15"/>
  <c r="AH336" i="15" s="1"/>
  <c r="AI320" i="15"/>
  <c r="AH320" i="15" s="1"/>
  <c r="AI304" i="15"/>
  <c r="AI288" i="15"/>
  <c r="AH288" i="15" s="1"/>
  <c r="AG288" i="15" s="1"/>
  <c r="AF288" i="15" s="1"/>
  <c r="AI272" i="15"/>
  <c r="AI256" i="15"/>
  <c r="AH256" i="15" s="1"/>
  <c r="AI240" i="15"/>
  <c r="AH240" i="15" s="1"/>
  <c r="AI224" i="15"/>
  <c r="AH224" i="15" s="1"/>
  <c r="AG224" i="15" s="1"/>
  <c r="AF224" i="15" s="1"/>
  <c r="AI208" i="15"/>
  <c r="AI178" i="15"/>
  <c r="AH178" i="15" s="1"/>
  <c r="AI146" i="15"/>
  <c r="AI114" i="15"/>
  <c r="AI82" i="15"/>
  <c r="AI50" i="15"/>
  <c r="AH50" i="15" s="1"/>
  <c r="AG50" i="15" s="1"/>
  <c r="AF50" i="15" s="1"/>
  <c r="U331" i="15"/>
  <c r="T331" i="15" s="1"/>
  <c r="S331" i="15" s="1"/>
  <c r="R331" i="15" s="1"/>
  <c r="U267" i="15"/>
  <c r="T267" i="15" s="1"/>
  <c r="S267" i="15" s="1"/>
  <c r="R267" i="15" s="1"/>
  <c r="U203" i="15"/>
  <c r="T203" i="15" s="1"/>
  <c r="U130" i="15"/>
  <c r="T130" i="15" s="1"/>
  <c r="S130" i="15" s="1"/>
  <c r="R130" i="15" s="1"/>
  <c r="O381" i="15"/>
  <c r="C36" i="19"/>
  <c r="L383" i="15"/>
  <c r="B36" i="19"/>
  <c r="AI372" i="15"/>
  <c r="AI364" i="15"/>
  <c r="AH364" i="15" s="1"/>
  <c r="AI356" i="15"/>
  <c r="AH356" i="15" s="1"/>
  <c r="AG356" i="15" s="1"/>
  <c r="AF356" i="15" s="1"/>
  <c r="AI348" i="15"/>
  <c r="AH348" i="15" s="1"/>
  <c r="AI340" i="15"/>
  <c r="AH340" i="15" s="1"/>
  <c r="AI332" i="15"/>
  <c r="AH332" i="15" s="1"/>
  <c r="AI324" i="15"/>
  <c r="AH324" i="15" s="1"/>
  <c r="AG324" i="15" s="1"/>
  <c r="AF324" i="15" s="1"/>
  <c r="AI316" i="15"/>
  <c r="AH316" i="15" s="1"/>
  <c r="AG316" i="15" s="1"/>
  <c r="AF316" i="15" s="1"/>
  <c r="AI308" i="15"/>
  <c r="AI300" i="15"/>
  <c r="AH300" i="15" s="1"/>
  <c r="AI292" i="15"/>
  <c r="AH292" i="15" s="1"/>
  <c r="AI284" i="15"/>
  <c r="AH284" i="15" s="1"/>
  <c r="AI276" i="15"/>
  <c r="AI268" i="15"/>
  <c r="AH268" i="15" s="1"/>
  <c r="AI260" i="15"/>
  <c r="AH260" i="15" s="1"/>
  <c r="AI252" i="15"/>
  <c r="AH252" i="15" s="1"/>
  <c r="AI244" i="15"/>
  <c r="AH244" i="15" s="1"/>
  <c r="AI236" i="15"/>
  <c r="AH236" i="15" s="1"/>
  <c r="AG236" i="15" s="1"/>
  <c r="AF236" i="15" s="1"/>
  <c r="AI228" i="15"/>
  <c r="AH228" i="15" s="1"/>
  <c r="AI220" i="15"/>
  <c r="AH220" i="15" s="1"/>
  <c r="AG220" i="15" s="1"/>
  <c r="AF220" i="15" s="1"/>
  <c r="AI212" i="15"/>
  <c r="AI202" i="15"/>
  <c r="AH202" i="15" s="1"/>
  <c r="AG202" i="15" s="1"/>
  <c r="AF202" i="15" s="1"/>
  <c r="AI186" i="15"/>
  <c r="AH186" i="15" s="1"/>
  <c r="AI170" i="15"/>
  <c r="AH170" i="15" s="1"/>
  <c r="AG170" i="15" s="1"/>
  <c r="AF170" i="15" s="1"/>
  <c r="AI154" i="15"/>
  <c r="AH154" i="15" s="1"/>
  <c r="AI138" i="15"/>
  <c r="AH138" i="15" s="1"/>
  <c r="AG138" i="15" s="1"/>
  <c r="AF138" i="15" s="1"/>
  <c r="AI122" i="15"/>
  <c r="AH122" i="15" s="1"/>
  <c r="AI106" i="15"/>
  <c r="AH106" i="15" s="1"/>
  <c r="AI90" i="15"/>
  <c r="AI74" i="15"/>
  <c r="AH74" i="15" s="1"/>
  <c r="AI58" i="15"/>
  <c r="AH58" i="15" s="1"/>
  <c r="AG58" i="15" s="1"/>
  <c r="AF58" i="15" s="1"/>
  <c r="AI42" i="15"/>
  <c r="AH42" i="15" s="1"/>
  <c r="AG42" i="15" s="1"/>
  <c r="AF42" i="15" s="1"/>
  <c r="K16" i="7"/>
  <c r="U379" i="15"/>
  <c r="T379" i="15" s="1"/>
  <c r="S379" i="15" s="1"/>
  <c r="R379" i="15" s="1"/>
  <c r="U347" i="15"/>
  <c r="T347" i="15" s="1"/>
  <c r="S347" i="15" s="1"/>
  <c r="R347" i="15" s="1"/>
  <c r="U315" i="15"/>
  <c r="T315" i="15" s="1"/>
  <c r="S315" i="15" s="1"/>
  <c r="R315" i="15" s="1"/>
  <c r="U283" i="15"/>
  <c r="T283" i="15" s="1"/>
  <c r="S283" i="15" s="1"/>
  <c r="R283" i="15" s="1"/>
  <c r="U251" i="15"/>
  <c r="T251" i="15" s="1"/>
  <c r="S251" i="15" s="1"/>
  <c r="R251" i="15" s="1"/>
  <c r="U219" i="15"/>
  <c r="T219" i="15" s="1"/>
  <c r="S219" i="15" s="1"/>
  <c r="R219" i="15" s="1"/>
  <c r="U187" i="15"/>
  <c r="T187" i="15" s="1"/>
  <c r="S187" i="15" s="1"/>
  <c r="R187" i="15" s="1"/>
  <c r="U155" i="15"/>
  <c r="T155" i="15" s="1"/>
  <c r="S155" i="15" s="1"/>
  <c r="R155" i="15" s="1"/>
  <c r="U98" i="15"/>
  <c r="T98" i="15" s="1"/>
  <c r="S98" i="15" s="1"/>
  <c r="R98" i="15" s="1"/>
  <c r="Q204" i="15"/>
  <c r="Q296" i="15"/>
  <c r="Q360" i="15"/>
  <c r="U19" i="15"/>
  <c r="T19" i="15" s="1"/>
  <c r="S19" i="15" s="1"/>
  <c r="R19" i="15" s="1"/>
  <c r="U42" i="15"/>
  <c r="T42" i="15" s="1"/>
  <c r="S42" i="15" s="1"/>
  <c r="R42" i="15" s="1"/>
  <c r="U58" i="15"/>
  <c r="T58" i="15" s="1"/>
  <c r="S58" i="15" s="1"/>
  <c r="R58" i="15" s="1"/>
  <c r="U74" i="15"/>
  <c r="T74" i="15" s="1"/>
  <c r="S74" i="15" s="1"/>
  <c r="R74" i="15" s="1"/>
  <c r="U90" i="15"/>
  <c r="T90" i="15" s="1"/>
  <c r="S90" i="15" s="1"/>
  <c r="R90" i="15" s="1"/>
  <c r="U106" i="15"/>
  <c r="T106" i="15" s="1"/>
  <c r="S106" i="15" s="1"/>
  <c r="R106" i="15" s="1"/>
  <c r="U122" i="15"/>
  <c r="T122" i="15" s="1"/>
  <c r="S122" i="15" s="1"/>
  <c r="R122" i="15" s="1"/>
  <c r="U138" i="15"/>
  <c r="T138" i="15" s="1"/>
  <c r="U151" i="15"/>
  <c r="T151" i="15" s="1"/>
  <c r="S151" i="15" s="1"/>
  <c r="R151" i="15" s="1"/>
  <c r="U159" i="15"/>
  <c r="T159" i="15" s="1"/>
  <c r="S159" i="15" s="1"/>
  <c r="R159" i="15" s="1"/>
  <c r="U167" i="15"/>
  <c r="T167" i="15" s="1"/>
  <c r="S167" i="15" s="1"/>
  <c r="R167" i="15" s="1"/>
  <c r="U175" i="15"/>
  <c r="T175" i="15" s="1"/>
  <c r="S175" i="15" s="1"/>
  <c r="R175" i="15" s="1"/>
  <c r="U183" i="15"/>
  <c r="T183" i="15" s="1"/>
  <c r="S183" i="15" s="1"/>
  <c r="R183" i="15" s="1"/>
  <c r="U191" i="15"/>
  <c r="T191" i="15" s="1"/>
  <c r="S191" i="15" s="1"/>
  <c r="R191" i="15" s="1"/>
  <c r="U199" i="15"/>
  <c r="T199" i="15" s="1"/>
  <c r="S199" i="15" s="1"/>
  <c r="R199" i="15" s="1"/>
  <c r="U207" i="15"/>
  <c r="T207" i="15" s="1"/>
  <c r="S207" i="15" s="1"/>
  <c r="R207" i="15" s="1"/>
  <c r="U215" i="15"/>
  <c r="T215" i="15" s="1"/>
  <c r="S215" i="15" s="1"/>
  <c r="R215" i="15" s="1"/>
  <c r="U223" i="15"/>
  <c r="T223" i="15" s="1"/>
  <c r="U231" i="15"/>
  <c r="T231" i="15" s="1"/>
  <c r="S231" i="15" s="1"/>
  <c r="R231" i="15" s="1"/>
  <c r="U239" i="15"/>
  <c r="T239" i="15" s="1"/>
  <c r="S239" i="15" s="1"/>
  <c r="R239" i="15" s="1"/>
  <c r="U247" i="15"/>
  <c r="T247" i="15" s="1"/>
  <c r="S247" i="15" s="1"/>
  <c r="R247" i="15" s="1"/>
  <c r="U255" i="15"/>
  <c r="T255" i="15" s="1"/>
  <c r="S255" i="15" s="1"/>
  <c r="R255" i="15" s="1"/>
  <c r="U263" i="15"/>
  <c r="T263" i="15" s="1"/>
  <c r="S263" i="15" s="1"/>
  <c r="R263" i="15" s="1"/>
  <c r="U271" i="15"/>
  <c r="T271" i="15" s="1"/>
  <c r="S271" i="15" s="1"/>
  <c r="R271" i="15" s="1"/>
  <c r="U279" i="15"/>
  <c r="T279" i="15" s="1"/>
  <c r="S279" i="15" s="1"/>
  <c r="R279" i="15" s="1"/>
  <c r="U287" i="15"/>
  <c r="T287" i="15" s="1"/>
  <c r="S287" i="15" s="1"/>
  <c r="R287" i="15" s="1"/>
  <c r="U295" i="15"/>
  <c r="T295" i="15" s="1"/>
  <c r="S295" i="15" s="1"/>
  <c r="R295" i="15" s="1"/>
  <c r="U303" i="15"/>
  <c r="T303" i="15" s="1"/>
  <c r="S303" i="15" s="1"/>
  <c r="R303" i="15" s="1"/>
  <c r="U311" i="15"/>
  <c r="T311" i="15" s="1"/>
  <c r="S311" i="15" s="1"/>
  <c r="R311" i="15" s="1"/>
  <c r="U319" i="15"/>
  <c r="T319" i="15" s="1"/>
  <c r="S319" i="15" s="1"/>
  <c r="R319" i="15" s="1"/>
  <c r="U327" i="15"/>
  <c r="T327" i="15" s="1"/>
  <c r="S327" i="15" s="1"/>
  <c r="R327" i="15" s="1"/>
  <c r="U335" i="15"/>
  <c r="T335" i="15" s="1"/>
  <c r="S335" i="15" s="1"/>
  <c r="R335" i="15" s="1"/>
  <c r="U343" i="15"/>
  <c r="T343" i="15" s="1"/>
  <c r="S343" i="15" s="1"/>
  <c r="R343" i="15" s="1"/>
  <c r="U351" i="15"/>
  <c r="T351" i="15" s="1"/>
  <c r="S351" i="15" s="1"/>
  <c r="R351" i="15" s="1"/>
  <c r="U359" i="15"/>
  <c r="T359" i="15" s="1"/>
  <c r="S359" i="15" s="1"/>
  <c r="R359" i="15" s="1"/>
  <c r="U367" i="15"/>
  <c r="T367" i="15" s="1"/>
  <c r="S367" i="15" s="1"/>
  <c r="R367" i="15" s="1"/>
  <c r="U375" i="15"/>
  <c r="T375" i="15" s="1"/>
  <c r="S375" i="15" s="1"/>
  <c r="R375" i="15" s="1"/>
  <c r="AI18" i="15"/>
  <c r="AH18" i="15" s="1"/>
  <c r="AI16" i="15"/>
  <c r="AI34" i="15"/>
  <c r="AH34" i="15" s="1"/>
  <c r="AG34" i="15" s="1"/>
  <c r="AF34" i="15" s="1"/>
  <c r="AI40" i="15"/>
  <c r="AH40" i="15" s="1"/>
  <c r="AI44" i="15"/>
  <c r="AH44" i="15" s="1"/>
  <c r="AI48" i="15"/>
  <c r="AH48" i="15" s="1"/>
  <c r="AI52" i="15"/>
  <c r="AI56" i="15"/>
  <c r="AH56" i="15" s="1"/>
  <c r="AI60" i="15"/>
  <c r="AI64" i="15"/>
  <c r="AH64" i="15" s="1"/>
  <c r="AG64" i="15" s="1"/>
  <c r="AF64" i="15" s="1"/>
  <c r="AI68" i="15"/>
  <c r="AH68" i="15" s="1"/>
  <c r="AG68" i="15" s="1"/>
  <c r="AF68" i="15" s="1"/>
  <c r="AI72" i="15"/>
  <c r="AH72" i="15" s="1"/>
  <c r="AG72" i="15" s="1"/>
  <c r="AF72" i="15" s="1"/>
  <c r="AI76" i="15"/>
  <c r="AH76" i="15" s="1"/>
  <c r="AG76" i="15" s="1"/>
  <c r="AF76" i="15" s="1"/>
  <c r="AI80" i="15"/>
  <c r="AH80" i="15" s="1"/>
  <c r="AI84" i="15"/>
  <c r="AH84" i="15" s="1"/>
  <c r="AI88" i="15"/>
  <c r="AH88" i="15" s="1"/>
  <c r="AI92" i="15"/>
  <c r="AH92" i="15" s="1"/>
  <c r="AG92" i="15" s="1"/>
  <c r="AF92" i="15" s="1"/>
  <c r="AI96" i="15"/>
  <c r="AH96" i="15" s="1"/>
  <c r="AI100" i="15"/>
  <c r="AI104" i="15"/>
  <c r="AH104" i="15" s="1"/>
  <c r="AG104" i="15" s="1"/>
  <c r="AF104" i="15" s="1"/>
  <c r="AI108" i="15"/>
  <c r="AI112" i="15"/>
  <c r="AH112" i="15" s="1"/>
  <c r="AG112" i="15" s="1"/>
  <c r="AF112" i="15" s="1"/>
  <c r="AI116" i="15"/>
  <c r="AI120" i="15"/>
  <c r="AH120" i="15" s="1"/>
  <c r="AI124" i="15"/>
  <c r="AH124" i="15" s="1"/>
  <c r="AI128" i="15"/>
  <c r="AH128" i="15" s="1"/>
  <c r="AI132" i="15"/>
  <c r="AH132" i="15" s="1"/>
  <c r="AI136" i="15"/>
  <c r="AH136" i="15" s="1"/>
  <c r="AG136" i="15" s="1"/>
  <c r="AF136" i="15" s="1"/>
  <c r="AI140" i="15"/>
  <c r="AH140" i="15" s="1"/>
  <c r="AG140" i="15" s="1"/>
  <c r="AF140" i="15" s="1"/>
  <c r="AI144" i="15"/>
  <c r="AH144" i="15" s="1"/>
  <c r="AI148" i="15"/>
  <c r="AH148" i="15" s="1"/>
  <c r="AI152" i="15"/>
  <c r="AH152" i="15" s="1"/>
  <c r="AI156" i="15"/>
  <c r="AH156" i="15" s="1"/>
  <c r="AG156" i="15" s="1"/>
  <c r="AF156" i="15" s="1"/>
  <c r="AI160" i="15"/>
  <c r="AH160" i="15" s="1"/>
  <c r="AG160" i="15" s="1"/>
  <c r="AF160" i="15" s="1"/>
  <c r="AI164" i="15"/>
  <c r="AH164" i="15" s="1"/>
  <c r="AI168" i="15"/>
  <c r="AH168" i="15" s="1"/>
  <c r="AI172" i="15"/>
  <c r="AI176" i="15"/>
  <c r="AH176" i="15" s="1"/>
  <c r="AG176" i="15" s="1"/>
  <c r="AF176" i="15" s="1"/>
  <c r="AI180" i="15"/>
  <c r="AI184" i="15"/>
  <c r="AH184" i="15" s="1"/>
  <c r="AG184" i="15" s="1"/>
  <c r="AF184" i="15" s="1"/>
  <c r="AI188" i="15"/>
  <c r="AI192" i="15"/>
  <c r="AH192" i="15" s="1"/>
  <c r="AG192" i="15" s="1"/>
  <c r="AF192" i="15" s="1"/>
  <c r="AI196" i="15"/>
  <c r="AH196" i="15" s="1"/>
  <c r="AI200" i="15"/>
  <c r="AH200" i="15" s="1"/>
  <c r="AG200" i="15" s="1"/>
  <c r="AF200" i="15" s="1"/>
  <c r="AI204" i="15"/>
  <c r="AH204" i="15" s="1"/>
  <c r="AI378" i="15"/>
  <c r="AH378" i="15" s="1"/>
  <c r="AG378" i="15" s="1"/>
  <c r="AF378" i="15" s="1"/>
  <c r="AI374" i="15"/>
  <c r="AH374" i="15" s="1"/>
  <c r="AG374" i="15" s="1"/>
  <c r="AF374" i="15" s="1"/>
  <c r="AI370" i="15"/>
  <c r="AH370" i="15" s="1"/>
  <c r="AI366" i="15"/>
  <c r="AH366" i="15" s="1"/>
  <c r="AI362" i="15"/>
  <c r="AH362" i="15" s="1"/>
  <c r="AI358" i="15"/>
  <c r="AH358" i="15" s="1"/>
  <c r="AI354" i="15"/>
  <c r="AH354" i="15" s="1"/>
  <c r="AI350" i="15"/>
  <c r="AH350" i="15" s="1"/>
  <c r="AG350" i="15" s="1"/>
  <c r="AF350" i="15" s="1"/>
  <c r="AI346" i="15"/>
  <c r="AH346" i="15" s="1"/>
  <c r="AI342" i="15"/>
  <c r="AH342" i="15" s="1"/>
  <c r="AG342" i="15" s="1"/>
  <c r="AF342" i="15" s="1"/>
  <c r="AI338" i="15"/>
  <c r="AH338" i="15" s="1"/>
  <c r="AI334" i="15"/>
  <c r="AH334" i="15" s="1"/>
  <c r="AI330" i="15"/>
  <c r="AH330" i="15" s="1"/>
  <c r="AI326" i="15"/>
  <c r="AH326" i="15" s="1"/>
  <c r="AI322" i="15"/>
  <c r="AH322" i="15" s="1"/>
  <c r="AG322" i="15" s="1"/>
  <c r="AF322" i="15" s="1"/>
  <c r="AI318" i="15"/>
  <c r="AH318" i="15" s="1"/>
  <c r="AG318" i="15" s="1"/>
  <c r="AF318" i="15" s="1"/>
  <c r="AI314" i="15"/>
  <c r="AH314" i="15" s="1"/>
  <c r="AI310" i="15"/>
  <c r="AH310" i="15" s="1"/>
  <c r="AG310" i="15" s="1"/>
  <c r="AF310" i="15" s="1"/>
  <c r="AI306" i="15"/>
  <c r="AH306" i="15" s="1"/>
  <c r="AI302" i="15"/>
  <c r="AH302" i="15" s="1"/>
  <c r="AI298" i="15"/>
  <c r="AH298" i="15" s="1"/>
  <c r="AI294" i="15"/>
  <c r="AH294" i="15" s="1"/>
  <c r="AG294" i="15" s="1"/>
  <c r="AF294" i="15" s="1"/>
  <c r="AI290" i="15"/>
  <c r="AH290" i="15" s="1"/>
  <c r="AG290" i="15" s="1"/>
  <c r="AF290" i="15" s="1"/>
  <c r="AI286" i="15"/>
  <c r="AH286" i="15" s="1"/>
  <c r="AI282" i="15"/>
  <c r="AH282" i="15" s="1"/>
  <c r="AG282" i="15" s="1"/>
  <c r="AF282" i="15" s="1"/>
  <c r="AI278" i="15"/>
  <c r="AH278" i="15" s="1"/>
  <c r="AG278" i="15" s="1"/>
  <c r="AF278" i="15" s="1"/>
  <c r="AI274" i="15"/>
  <c r="AH274" i="15" s="1"/>
  <c r="AI270" i="15"/>
  <c r="AH270" i="15" s="1"/>
  <c r="AI266" i="15"/>
  <c r="AH266" i="15" s="1"/>
  <c r="AI262" i="15"/>
  <c r="AH262" i="15" s="1"/>
  <c r="AG262" i="15" s="1"/>
  <c r="AF262" i="15" s="1"/>
  <c r="AI258" i="15"/>
  <c r="AH258" i="15" s="1"/>
  <c r="AG258" i="15" s="1"/>
  <c r="AF258" i="15" s="1"/>
  <c r="AI254" i="15"/>
  <c r="AH254" i="15" s="1"/>
  <c r="AG254" i="15" s="1"/>
  <c r="AF254" i="15" s="1"/>
  <c r="AI250" i="15"/>
  <c r="AH250" i="15" s="1"/>
  <c r="AI246" i="15"/>
  <c r="AH246" i="15" s="1"/>
  <c r="AI242" i="15"/>
  <c r="AH242" i="15" s="1"/>
  <c r="AI238" i="15"/>
  <c r="AH238" i="15" s="1"/>
  <c r="AG238" i="15" s="1"/>
  <c r="AF238" i="15" s="1"/>
  <c r="AI234" i="15"/>
  <c r="AH234" i="15" s="1"/>
  <c r="AG234" i="15" s="1"/>
  <c r="AF234" i="15" s="1"/>
  <c r="AI230" i="15"/>
  <c r="AH230" i="15" s="1"/>
  <c r="AG230" i="15" s="1"/>
  <c r="AF230" i="15" s="1"/>
  <c r="AI226" i="15"/>
  <c r="AH226" i="15" s="1"/>
  <c r="AI222" i="15"/>
  <c r="AH222" i="15" s="1"/>
  <c r="AI218" i="15"/>
  <c r="AH218" i="15" s="1"/>
  <c r="AI214" i="15"/>
  <c r="AH214" i="15" s="1"/>
  <c r="AI210" i="15"/>
  <c r="AH210" i="15" s="1"/>
  <c r="AG210" i="15" s="1"/>
  <c r="AF210" i="15" s="1"/>
  <c r="AI206" i="15"/>
  <c r="AH206" i="15" s="1"/>
  <c r="AG206" i="15" s="1"/>
  <c r="AF206" i="15" s="1"/>
  <c r="AI198" i="15"/>
  <c r="AH198" i="15" s="1"/>
  <c r="AI190" i="15"/>
  <c r="AH190" i="15" s="1"/>
  <c r="AI182" i="15"/>
  <c r="AH182" i="15" s="1"/>
  <c r="AG182" i="15" s="1"/>
  <c r="AF182" i="15" s="1"/>
  <c r="AI174" i="15"/>
  <c r="AH174" i="15" s="1"/>
  <c r="AI166" i="15"/>
  <c r="AH166" i="15" s="1"/>
  <c r="AG166" i="15" s="1"/>
  <c r="AF166" i="15" s="1"/>
  <c r="AI158" i="15"/>
  <c r="AH158" i="15" s="1"/>
  <c r="AI150" i="15"/>
  <c r="AH150" i="15" s="1"/>
  <c r="AG150" i="15" s="1"/>
  <c r="AF150" i="15" s="1"/>
  <c r="AI142" i="15"/>
  <c r="AH142" i="15" s="1"/>
  <c r="AG142" i="15" s="1"/>
  <c r="AF142" i="15" s="1"/>
  <c r="AI134" i="15"/>
  <c r="AH134" i="15" s="1"/>
  <c r="AG134" i="15" s="1"/>
  <c r="AF134" i="15" s="1"/>
  <c r="AI126" i="15"/>
  <c r="AH126" i="15" s="1"/>
  <c r="AI118" i="15"/>
  <c r="AH118" i="15" s="1"/>
  <c r="AI110" i="15"/>
  <c r="AH110" i="15" s="1"/>
  <c r="AI102" i="15"/>
  <c r="AH102" i="15" s="1"/>
  <c r="AG102" i="15" s="1"/>
  <c r="AF102" i="15" s="1"/>
  <c r="AI94" i="15"/>
  <c r="AH94" i="15" s="1"/>
  <c r="AI86" i="15"/>
  <c r="AH86" i="15" s="1"/>
  <c r="AI78" i="15"/>
  <c r="AH78" i="15" s="1"/>
  <c r="AG78" i="15" s="1"/>
  <c r="AF78" i="15" s="1"/>
  <c r="AI70" i="15"/>
  <c r="AH70" i="15" s="1"/>
  <c r="AG70" i="15" s="1"/>
  <c r="AF70" i="15" s="1"/>
  <c r="AI62" i="15"/>
  <c r="AH62" i="15" s="1"/>
  <c r="AI54" i="15"/>
  <c r="AH54" i="15" s="1"/>
  <c r="AI46" i="15"/>
  <c r="AH46" i="15" s="1"/>
  <c r="AI38" i="15"/>
  <c r="AH38" i="15" s="1"/>
  <c r="AI28" i="15"/>
  <c r="AH28" i="15" s="1"/>
  <c r="U371" i="15"/>
  <c r="T371" i="15" s="1"/>
  <c r="S371" i="15" s="1"/>
  <c r="R371" i="15" s="1"/>
  <c r="U355" i="15"/>
  <c r="T355" i="15" s="1"/>
  <c r="S355" i="15" s="1"/>
  <c r="R355" i="15" s="1"/>
  <c r="U339" i="15"/>
  <c r="T339" i="15" s="1"/>
  <c r="S339" i="15" s="1"/>
  <c r="R339" i="15" s="1"/>
  <c r="U323" i="15"/>
  <c r="T323" i="15" s="1"/>
  <c r="S323" i="15" s="1"/>
  <c r="R323" i="15" s="1"/>
  <c r="U307" i="15"/>
  <c r="T307" i="15" s="1"/>
  <c r="S307" i="15" s="1"/>
  <c r="R307" i="15" s="1"/>
  <c r="U291" i="15"/>
  <c r="T291" i="15" s="1"/>
  <c r="S291" i="15" s="1"/>
  <c r="R291" i="15" s="1"/>
  <c r="U275" i="15"/>
  <c r="T275" i="15" s="1"/>
  <c r="S275" i="15" s="1"/>
  <c r="R275" i="15" s="1"/>
  <c r="U259" i="15"/>
  <c r="T259" i="15" s="1"/>
  <c r="S259" i="15" s="1"/>
  <c r="R259" i="15" s="1"/>
  <c r="U243" i="15"/>
  <c r="T243" i="15" s="1"/>
  <c r="S243" i="15" s="1"/>
  <c r="R243" i="15" s="1"/>
  <c r="U227" i="15"/>
  <c r="T227" i="15" s="1"/>
  <c r="S227" i="15" s="1"/>
  <c r="R227" i="15" s="1"/>
  <c r="U211" i="15"/>
  <c r="T211" i="15" s="1"/>
  <c r="S211" i="15" s="1"/>
  <c r="R211" i="15" s="1"/>
  <c r="U195" i="15"/>
  <c r="T195" i="15" s="1"/>
  <c r="S195" i="15" s="1"/>
  <c r="R195" i="15" s="1"/>
  <c r="U179" i="15"/>
  <c r="T179" i="15" s="1"/>
  <c r="S179" i="15" s="1"/>
  <c r="R179" i="15" s="1"/>
  <c r="U163" i="15"/>
  <c r="T163" i="15" s="1"/>
  <c r="S163" i="15" s="1"/>
  <c r="R163" i="15" s="1"/>
  <c r="U146" i="15"/>
  <c r="T146" i="15" s="1"/>
  <c r="S146" i="15" s="1"/>
  <c r="R146" i="15" s="1"/>
  <c r="U114" i="15"/>
  <c r="T114" i="15" s="1"/>
  <c r="S114" i="15" s="1"/>
  <c r="R114" i="15" s="1"/>
  <c r="U82" i="15"/>
  <c r="T82" i="15" s="1"/>
  <c r="S82" i="15" s="1"/>
  <c r="R82" i="15" s="1"/>
  <c r="U50" i="15"/>
  <c r="T50" i="15" s="1"/>
  <c r="S50" i="15" s="1"/>
  <c r="R50" i="15" s="1"/>
  <c r="Q264" i="15"/>
  <c r="Q92" i="15"/>
  <c r="Q128" i="15"/>
  <c r="Q160" i="15"/>
  <c r="Q192" i="15"/>
  <c r="Q212" i="15"/>
  <c r="Q228" i="15"/>
  <c r="Q244" i="15"/>
  <c r="Q260" i="15"/>
  <c r="Q268" i="15"/>
  <c r="Q276" i="15"/>
  <c r="Q284" i="15"/>
  <c r="Q292" i="15"/>
  <c r="Q300" i="15"/>
  <c r="Q308" i="15"/>
  <c r="Q316" i="15"/>
  <c r="Q324" i="15"/>
  <c r="Q332" i="15"/>
  <c r="Q340" i="15"/>
  <c r="Q348" i="15"/>
  <c r="Q356" i="15"/>
  <c r="Q364" i="15"/>
  <c r="Q372" i="15"/>
  <c r="Q112" i="15"/>
  <c r="Q176" i="15"/>
  <c r="Q220" i="15"/>
  <c r="Q252" i="15"/>
  <c r="Q272" i="15"/>
  <c r="Q288" i="15"/>
  <c r="Q304" i="15"/>
  <c r="Q320" i="15"/>
  <c r="Q336" i="15"/>
  <c r="Q352" i="15"/>
  <c r="Q368" i="15"/>
  <c r="U22" i="15"/>
  <c r="T22" i="15" s="1"/>
  <c r="S22" i="15" s="1"/>
  <c r="R22" i="15" s="1"/>
  <c r="U15" i="15"/>
  <c r="U26" i="15"/>
  <c r="T26" i="15" s="1"/>
  <c r="S26" i="15" s="1"/>
  <c r="R26" i="15" s="1"/>
  <c r="U29" i="15"/>
  <c r="T29" i="15" s="1"/>
  <c r="S29" i="15" s="1"/>
  <c r="R29" i="15" s="1"/>
  <c r="U31" i="15"/>
  <c r="T31" i="15" s="1"/>
  <c r="S31" i="15" s="1"/>
  <c r="R31" i="15" s="1"/>
  <c r="U33" i="15"/>
  <c r="T33" i="15" s="1"/>
  <c r="S33" i="15" s="1"/>
  <c r="R33" i="15" s="1"/>
  <c r="U35" i="15"/>
  <c r="T35" i="15" s="1"/>
  <c r="S35" i="15" s="1"/>
  <c r="R35" i="15" s="1"/>
  <c r="U37" i="15"/>
  <c r="T37" i="15" s="1"/>
  <c r="S37" i="15" s="1"/>
  <c r="R37" i="15" s="1"/>
  <c r="U39" i="15"/>
  <c r="T39" i="15" s="1"/>
  <c r="S39" i="15" s="1"/>
  <c r="R39" i="15" s="1"/>
  <c r="U41" i="15"/>
  <c r="T41" i="15" s="1"/>
  <c r="S41" i="15" s="1"/>
  <c r="R41" i="15" s="1"/>
  <c r="U43" i="15"/>
  <c r="T43" i="15" s="1"/>
  <c r="S43" i="15" s="1"/>
  <c r="R43" i="15" s="1"/>
  <c r="U45" i="15"/>
  <c r="T45" i="15" s="1"/>
  <c r="S45" i="15" s="1"/>
  <c r="R45" i="15" s="1"/>
  <c r="U47" i="15"/>
  <c r="T47" i="15" s="1"/>
  <c r="S47" i="15" s="1"/>
  <c r="R47" i="15" s="1"/>
  <c r="U49" i="15"/>
  <c r="T49" i="15" s="1"/>
  <c r="S49" i="15" s="1"/>
  <c r="R49" i="15" s="1"/>
  <c r="U51" i="15"/>
  <c r="T51" i="15" s="1"/>
  <c r="S51" i="15" s="1"/>
  <c r="R51" i="15" s="1"/>
  <c r="U53" i="15"/>
  <c r="T53" i="15" s="1"/>
  <c r="S53" i="15" s="1"/>
  <c r="R53" i="15" s="1"/>
  <c r="U55" i="15"/>
  <c r="T55" i="15" s="1"/>
  <c r="S55" i="15" s="1"/>
  <c r="R55" i="15" s="1"/>
  <c r="U57" i="15"/>
  <c r="T57" i="15" s="1"/>
  <c r="S57" i="15" s="1"/>
  <c r="R57" i="15" s="1"/>
  <c r="U59" i="15"/>
  <c r="T59" i="15" s="1"/>
  <c r="S59" i="15" s="1"/>
  <c r="R59" i="15" s="1"/>
  <c r="U61" i="15"/>
  <c r="T61" i="15" s="1"/>
  <c r="S61" i="15" s="1"/>
  <c r="R61" i="15" s="1"/>
  <c r="U63" i="15"/>
  <c r="T63" i="15" s="1"/>
  <c r="S63" i="15" s="1"/>
  <c r="R63" i="15" s="1"/>
  <c r="U65" i="15"/>
  <c r="T65" i="15" s="1"/>
  <c r="S65" i="15" s="1"/>
  <c r="R65" i="15" s="1"/>
  <c r="U67" i="15"/>
  <c r="T67" i="15" s="1"/>
  <c r="S67" i="15" s="1"/>
  <c r="R67" i="15" s="1"/>
  <c r="U69" i="15"/>
  <c r="T69" i="15" s="1"/>
  <c r="S69" i="15" s="1"/>
  <c r="R69" i="15" s="1"/>
  <c r="U71" i="15"/>
  <c r="T71" i="15" s="1"/>
  <c r="S71" i="15" s="1"/>
  <c r="R71" i="15" s="1"/>
  <c r="U73" i="15"/>
  <c r="T73" i="15" s="1"/>
  <c r="S73" i="15" s="1"/>
  <c r="R73" i="15" s="1"/>
  <c r="U75" i="15"/>
  <c r="T75" i="15" s="1"/>
  <c r="S75" i="15" s="1"/>
  <c r="R75" i="15" s="1"/>
  <c r="U77" i="15"/>
  <c r="T77" i="15" s="1"/>
  <c r="S77" i="15" s="1"/>
  <c r="R77" i="15" s="1"/>
  <c r="U79" i="15"/>
  <c r="T79" i="15" s="1"/>
  <c r="S79" i="15" s="1"/>
  <c r="R79" i="15" s="1"/>
  <c r="U81" i="15"/>
  <c r="T81" i="15" s="1"/>
  <c r="S81" i="15" s="1"/>
  <c r="R81" i="15" s="1"/>
  <c r="U83" i="15"/>
  <c r="T83" i="15" s="1"/>
  <c r="S83" i="15" s="1"/>
  <c r="R83" i="15" s="1"/>
  <c r="U85" i="15"/>
  <c r="T85" i="15" s="1"/>
  <c r="S85" i="15" s="1"/>
  <c r="R85" i="15" s="1"/>
  <c r="U87" i="15"/>
  <c r="T87" i="15" s="1"/>
  <c r="S87" i="15" s="1"/>
  <c r="R87" i="15" s="1"/>
  <c r="U89" i="15"/>
  <c r="T89" i="15" s="1"/>
  <c r="S89" i="15" s="1"/>
  <c r="R89" i="15" s="1"/>
  <c r="U91" i="15"/>
  <c r="T91" i="15" s="1"/>
  <c r="S91" i="15" s="1"/>
  <c r="R91" i="15" s="1"/>
  <c r="U93" i="15"/>
  <c r="T93" i="15" s="1"/>
  <c r="S93" i="15" s="1"/>
  <c r="R93" i="15" s="1"/>
  <c r="U95" i="15"/>
  <c r="T95" i="15" s="1"/>
  <c r="S95" i="15" s="1"/>
  <c r="R95" i="15" s="1"/>
  <c r="U97" i="15"/>
  <c r="T97" i="15" s="1"/>
  <c r="S97" i="15" s="1"/>
  <c r="R97" i="15" s="1"/>
  <c r="U99" i="15"/>
  <c r="T99" i="15" s="1"/>
  <c r="S99" i="15" s="1"/>
  <c r="R99" i="15" s="1"/>
  <c r="U101" i="15"/>
  <c r="T101" i="15" s="1"/>
  <c r="S101" i="15" s="1"/>
  <c r="R101" i="15" s="1"/>
  <c r="U103" i="15"/>
  <c r="T103" i="15" s="1"/>
  <c r="S103" i="15" s="1"/>
  <c r="R103" i="15" s="1"/>
  <c r="U105" i="15"/>
  <c r="T105" i="15" s="1"/>
  <c r="S105" i="15" s="1"/>
  <c r="R105" i="15" s="1"/>
  <c r="U107" i="15"/>
  <c r="T107" i="15" s="1"/>
  <c r="S107" i="15" s="1"/>
  <c r="R107" i="15" s="1"/>
  <c r="U109" i="15"/>
  <c r="T109" i="15" s="1"/>
  <c r="S109" i="15" s="1"/>
  <c r="R109" i="15" s="1"/>
  <c r="U111" i="15"/>
  <c r="T111" i="15" s="1"/>
  <c r="S111" i="15" s="1"/>
  <c r="R111" i="15" s="1"/>
  <c r="U113" i="15"/>
  <c r="T113" i="15" s="1"/>
  <c r="S113" i="15" s="1"/>
  <c r="R113" i="15" s="1"/>
  <c r="U115" i="15"/>
  <c r="T115" i="15" s="1"/>
  <c r="S115" i="15" s="1"/>
  <c r="R115" i="15" s="1"/>
  <c r="U117" i="15"/>
  <c r="T117" i="15" s="1"/>
  <c r="S117" i="15" s="1"/>
  <c r="R117" i="15" s="1"/>
  <c r="U119" i="15"/>
  <c r="T119" i="15" s="1"/>
  <c r="S119" i="15" s="1"/>
  <c r="R119" i="15" s="1"/>
  <c r="U121" i="15"/>
  <c r="T121" i="15" s="1"/>
  <c r="S121" i="15" s="1"/>
  <c r="R121" i="15" s="1"/>
  <c r="U123" i="15"/>
  <c r="T123" i="15" s="1"/>
  <c r="S123" i="15" s="1"/>
  <c r="R123" i="15" s="1"/>
  <c r="U125" i="15"/>
  <c r="T125" i="15" s="1"/>
  <c r="S125" i="15" s="1"/>
  <c r="R125" i="15" s="1"/>
  <c r="U127" i="15"/>
  <c r="T127" i="15" s="1"/>
  <c r="S127" i="15" s="1"/>
  <c r="R127" i="15" s="1"/>
  <c r="U129" i="15"/>
  <c r="T129" i="15" s="1"/>
  <c r="S129" i="15" s="1"/>
  <c r="R129" i="15" s="1"/>
  <c r="U131" i="15"/>
  <c r="T131" i="15" s="1"/>
  <c r="S131" i="15" s="1"/>
  <c r="R131" i="15" s="1"/>
  <c r="U133" i="15"/>
  <c r="T133" i="15" s="1"/>
  <c r="S133" i="15" s="1"/>
  <c r="R133" i="15" s="1"/>
  <c r="U135" i="15"/>
  <c r="T135" i="15" s="1"/>
  <c r="S135" i="15" s="1"/>
  <c r="R135" i="15" s="1"/>
  <c r="U137" i="15"/>
  <c r="T137" i="15" s="1"/>
  <c r="S137" i="15" s="1"/>
  <c r="R137" i="15" s="1"/>
  <c r="U139" i="15"/>
  <c r="T139" i="15" s="1"/>
  <c r="S139" i="15" s="1"/>
  <c r="R139" i="15" s="1"/>
  <c r="U141" i="15"/>
  <c r="T141" i="15" s="1"/>
  <c r="S141" i="15" s="1"/>
  <c r="R141" i="15" s="1"/>
  <c r="U143" i="15"/>
  <c r="T143" i="15" s="1"/>
  <c r="S143" i="15" s="1"/>
  <c r="R143" i="15" s="1"/>
  <c r="U145" i="15"/>
  <c r="T145" i="15" s="1"/>
  <c r="S145" i="15" s="1"/>
  <c r="R145" i="15" s="1"/>
  <c r="U147" i="15"/>
  <c r="T147" i="15" s="1"/>
  <c r="S147" i="15" s="1"/>
  <c r="R147" i="15" s="1"/>
  <c r="U18" i="15"/>
  <c r="T18" i="15" s="1"/>
  <c r="S18" i="15" s="1"/>
  <c r="R18" i="15" s="1"/>
  <c r="U28" i="15"/>
  <c r="T28" i="15" s="1"/>
  <c r="S28" i="15" s="1"/>
  <c r="R28" i="15" s="1"/>
  <c r="U32" i="15"/>
  <c r="T32" i="15" s="1"/>
  <c r="S32" i="15" s="1"/>
  <c r="R32" i="15" s="1"/>
  <c r="U36" i="15"/>
  <c r="T36" i="15" s="1"/>
  <c r="S36" i="15" s="1"/>
  <c r="R36" i="15" s="1"/>
  <c r="U40" i="15"/>
  <c r="T40" i="15" s="1"/>
  <c r="S40" i="15" s="1"/>
  <c r="R40" i="15" s="1"/>
  <c r="U44" i="15"/>
  <c r="T44" i="15" s="1"/>
  <c r="S44" i="15" s="1"/>
  <c r="R44" i="15" s="1"/>
  <c r="U48" i="15"/>
  <c r="T48" i="15" s="1"/>
  <c r="S48" i="15" s="1"/>
  <c r="R48" i="15" s="1"/>
  <c r="U52" i="15"/>
  <c r="T52" i="15" s="1"/>
  <c r="S52" i="15" s="1"/>
  <c r="R52" i="15" s="1"/>
  <c r="U56" i="15"/>
  <c r="T56" i="15" s="1"/>
  <c r="U60" i="15"/>
  <c r="T60" i="15" s="1"/>
  <c r="S60" i="15" s="1"/>
  <c r="R60" i="15" s="1"/>
  <c r="U64" i="15"/>
  <c r="T64" i="15" s="1"/>
  <c r="S64" i="15" s="1"/>
  <c r="R64" i="15" s="1"/>
  <c r="U68" i="15"/>
  <c r="T68" i="15" s="1"/>
  <c r="S68" i="15" s="1"/>
  <c r="R68" i="15" s="1"/>
  <c r="U72" i="15"/>
  <c r="T72" i="15" s="1"/>
  <c r="S72" i="15" s="1"/>
  <c r="R72" i="15" s="1"/>
  <c r="U76" i="15"/>
  <c r="T76" i="15" s="1"/>
  <c r="S76" i="15" s="1"/>
  <c r="R76" i="15" s="1"/>
  <c r="U80" i="15"/>
  <c r="T80" i="15" s="1"/>
  <c r="S80" i="15" s="1"/>
  <c r="R80" i="15" s="1"/>
  <c r="U84" i="15"/>
  <c r="T84" i="15" s="1"/>
  <c r="S84" i="15" s="1"/>
  <c r="R84" i="15" s="1"/>
  <c r="U88" i="15"/>
  <c r="T88" i="15" s="1"/>
  <c r="S88" i="15" s="1"/>
  <c r="R88" i="15" s="1"/>
  <c r="U92" i="15"/>
  <c r="T92" i="15" s="1"/>
  <c r="S92" i="15" s="1"/>
  <c r="R92" i="15" s="1"/>
  <c r="U96" i="15"/>
  <c r="T96" i="15" s="1"/>
  <c r="S96" i="15" s="1"/>
  <c r="R96" i="15" s="1"/>
  <c r="U100" i="15"/>
  <c r="T100" i="15" s="1"/>
  <c r="S100" i="15" s="1"/>
  <c r="R100" i="15" s="1"/>
  <c r="U104" i="15"/>
  <c r="T104" i="15" s="1"/>
  <c r="S104" i="15" s="1"/>
  <c r="R104" i="15" s="1"/>
  <c r="U108" i="15"/>
  <c r="T108" i="15" s="1"/>
  <c r="S108" i="15" s="1"/>
  <c r="R108" i="15" s="1"/>
  <c r="U112" i="15"/>
  <c r="T112" i="15" s="1"/>
  <c r="U116" i="15"/>
  <c r="T116" i="15" s="1"/>
  <c r="S116" i="15" s="1"/>
  <c r="R116" i="15" s="1"/>
  <c r="U120" i="15"/>
  <c r="T120" i="15" s="1"/>
  <c r="S120" i="15" s="1"/>
  <c r="R120" i="15" s="1"/>
  <c r="U124" i="15"/>
  <c r="T124" i="15" s="1"/>
  <c r="S124" i="15" s="1"/>
  <c r="R124" i="15" s="1"/>
  <c r="U128" i="15"/>
  <c r="T128" i="15" s="1"/>
  <c r="S128" i="15" s="1"/>
  <c r="R128" i="15" s="1"/>
  <c r="U132" i="15"/>
  <c r="T132" i="15" s="1"/>
  <c r="S132" i="15" s="1"/>
  <c r="R132" i="15" s="1"/>
  <c r="U136" i="15"/>
  <c r="T136" i="15" s="1"/>
  <c r="S136" i="15" s="1"/>
  <c r="R136" i="15" s="1"/>
  <c r="U140" i="15"/>
  <c r="T140" i="15" s="1"/>
  <c r="S140" i="15" s="1"/>
  <c r="R140" i="15" s="1"/>
  <c r="U144" i="15"/>
  <c r="T144" i="15" s="1"/>
  <c r="S144" i="15" s="1"/>
  <c r="R144" i="15" s="1"/>
  <c r="U148" i="15"/>
  <c r="T148" i="15" s="1"/>
  <c r="S148" i="15" s="1"/>
  <c r="R148" i="15" s="1"/>
  <c r="U150" i="15"/>
  <c r="T150" i="15" s="1"/>
  <c r="S150" i="15" s="1"/>
  <c r="R150" i="15" s="1"/>
  <c r="U152" i="15"/>
  <c r="T152" i="15" s="1"/>
  <c r="S152" i="15" s="1"/>
  <c r="R152" i="15" s="1"/>
  <c r="U154" i="15"/>
  <c r="T154" i="15" s="1"/>
  <c r="S154" i="15" s="1"/>
  <c r="R154" i="15" s="1"/>
  <c r="U156" i="15"/>
  <c r="T156" i="15" s="1"/>
  <c r="S156" i="15" s="1"/>
  <c r="R156" i="15" s="1"/>
  <c r="U158" i="15"/>
  <c r="T158" i="15" s="1"/>
  <c r="S158" i="15" s="1"/>
  <c r="R158" i="15" s="1"/>
  <c r="U160" i="15"/>
  <c r="T160" i="15" s="1"/>
  <c r="S160" i="15" s="1"/>
  <c r="R160" i="15" s="1"/>
  <c r="U162" i="15"/>
  <c r="T162" i="15" s="1"/>
  <c r="S162" i="15" s="1"/>
  <c r="R162" i="15" s="1"/>
  <c r="U164" i="15"/>
  <c r="T164" i="15" s="1"/>
  <c r="S164" i="15" s="1"/>
  <c r="R164" i="15" s="1"/>
  <c r="U166" i="15"/>
  <c r="T166" i="15" s="1"/>
  <c r="S166" i="15" s="1"/>
  <c r="R166" i="15" s="1"/>
  <c r="U168" i="15"/>
  <c r="T168" i="15" s="1"/>
  <c r="S168" i="15" s="1"/>
  <c r="R168" i="15" s="1"/>
  <c r="U170" i="15"/>
  <c r="T170" i="15" s="1"/>
  <c r="S170" i="15" s="1"/>
  <c r="R170" i="15" s="1"/>
  <c r="U172" i="15"/>
  <c r="T172" i="15" s="1"/>
  <c r="S172" i="15" s="1"/>
  <c r="R172" i="15" s="1"/>
  <c r="U174" i="15"/>
  <c r="T174" i="15" s="1"/>
  <c r="S174" i="15" s="1"/>
  <c r="R174" i="15" s="1"/>
  <c r="U176" i="15"/>
  <c r="T176" i="15" s="1"/>
  <c r="S176" i="15" s="1"/>
  <c r="R176" i="15" s="1"/>
  <c r="U178" i="15"/>
  <c r="T178" i="15" s="1"/>
  <c r="S178" i="15" s="1"/>
  <c r="R178" i="15" s="1"/>
  <c r="U180" i="15"/>
  <c r="T180" i="15" s="1"/>
  <c r="S180" i="15" s="1"/>
  <c r="R180" i="15" s="1"/>
  <c r="U182" i="15"/>
  <c r="T182" i="15" s="1"/>
  <c r="S182" i="15" s="1"/>
  <c r="R182" i="15" s="1"/>
  <c r="U184" i="15"/>
  <c r="T184" i="15" s="1"/>
  <c r="S184" i="15" s="1"/>
  <c r="R184" i="15" s="1"/>
  <c r="U186" i="15"/>
  <c r="T186" i="15" s="1"/>
  <c r="S186" i="15" s="1"/>
  <c r="R186" i="15" s="1"/>
  <c r="U188" i="15"/>
  <c r="T188" i="15" s="1"/>
  <c r="S188" i="15" s="1"/>
  <c r="R188" i="15" s="1"/>
  <c r="U190" i="15"/>
  <c r="T190" i="15" s="1"/>
  <c r="S190" i="15" s="1"/>
  <c r="R190" i="15" s="1"/>
  <c r="U192" i="15"/>
  <c r="T192" i="15" s="1"/>
  <c r="S192" i="15" s="1"/>
  <c r="R192" i="15" s="1"/>
  <c r="U194" i="15"/>
  <c r="T194" i="15" s="1"/>
  <c r="S194" i="15" s="1"/>
  <c r="R194" i="15" s="1"/>
  <c r="U196" i="15"/>
  <c r="T196" i="15" s="1"/>
  <c r="S196" i="15" s="1"/>
  <c r="R196" i="15" s="1"/>
  <c r="U198" i="15"/>
  <c r="T198" i="15" s="1"/>
  <c r="S198" i="15" s="1"/>
  <c r="R198" i="15" s="1"/>
  <c r="U200" i="15"/>
  <c r="T200" i="15" s="1"/>
  <c r="S200" i="15" s="1"/>
  <c r="R200" i="15" s="1"/>
  <c r="U202" i="15"/>
  <c r="T202" i="15" s="1"/>
  <c r="S202" i="15" s="1"/>
  <c r="R202" i="15" s="1"/>
  <c r="U204" i="15"/>
  <c r="T204" i="15" s="1"/>
  <c r="S204" i="15" s="1"/>
  <c r="R204" i="15" s="1"/>
  <c r="U206" i="15"/>
  <c r="T206" i="15" s="1"/>
  <c r="S206" i="15" s="1"/>
  <c r="R206" i="15" s="1"/>
  <c r="U208" i="15"/>
  <c r="T208" i="15" s="1"/>
  <c r="S208" i="15" s="1"/>
  <c r="R208" i="15" s="1"/>
  <c r="U210" i="15"/>
  <c r="T210" i="15" s="1"/>
  <c r="S210" i="15" s="1"/>
  <c r="R210" i="15" s="1"/>
  <c r="U212" i="15"/>
  <c r="T212" i="15" s="1"/>
  <c r="S212" i="15" s="1"/>
  <c r="R212" i="15" s="1"/>
  <c r="U214" i="15"/>
  <c r="T214" i="15" s="1"/>
  <c r="S214" i="15" s="1"/>
  <c r="R214" i="15" s="1"/>
  <c r="U216" i="15"/>
  <c r="T216" i="15" s="1"/>
  <c r="S216" i="15" s="1"/>
  <c r="R216" i="15" s="1"/>
  <c r="U218" i="15"/>
  <c r="T218" i="15" s="1"/>
  <c r="S218" i="15" s="1"/>
  <c r="R218" i="15" s="1"/>
  <c r="U220" i="15"/>
  <c r="T220" i="15" s="1"/>
  <c r="S220" i="15" s="1"/>
  <c r="R220" i="15" s="1"/>
  <c r="U222" i="15"/>
  <c r="T222" i="15" s="1"/>
  <c r="S222" i="15" s="1"/>
  <c r="R222" i="15" s="1"/>
  <c r="U224" i="15"/>
  <c r="T224" i="15" s="1"/>
  <c r="S224" i="15" s="1"/>
  <c r="R224" i="15" s="1"/>
  <c r="U226" i="15"/>
  <c r="T226" i="15" s="1"/>
  <c r="S226" i="15" s="1"/>
  <c r="R226" i="15" s="1"/>
  <c r="U228" i="15"/>
  <c r="T228" i="15" s="1"/>
  <c r="S228" i="15" s="1"/>
  <c r="R228" i="15" s="1"/>
  <c r="U230" i="15"/>
  <c r="T230" i="15" s="1"/>
  <c r="S230" i="15" s="1"/>
  <c r="R230" i="15" s="1"/>
  <c r="U232" i="15"/>
  <c r="T232" i="15" s="1"/>
  <c r="S232" i="15" s="1"/>
  <c r="R232" i="15" s="1"/>
  <c r="U234" i="15"/>
  <c r="T234" i="15" s="1"/>
  <c r="S234" i="15" s="1"/>
  <c r="R234" i="15" s="1"/>
  <c r="U236" i="15"/>
  <c r="T236" i="15" s="1"/>
  <c r="S236" i="15" s="1"/>
  <c r="R236" i="15" s="1"/>
  <c r="U238" i="15"/>
  <c r="T238" i="15" s="1"/>
  <c r="S238" i="15" s="1"/>
  <c r="R238" i="15" s="1"/>
  <c r="U240" i="15"/>
  <c r="T240" i="15" s="1"/>
  <c r="S240" i="15" s="1"/>
  <c r="R240" i="15" s="1"/>
  <c r="U242" i="15"/>
  <c r="T242" i="15" s="1"/>
  <c r="S242" i="15" s="1"/>
  <c r="R242" i="15" s="1"/>
  <c r="U244" i="15"/>
  <c r="T244" i="15" s="1"/>
  <c r="S244" i="15" s="1"/>
  <c r="R244" i="15" s="1"/>
  <c r="U246" i="15"/>
  <c r="T246" i="15" s="1"/>
  <c r="S246" i="15" s="1"/>
  <c r="R246" i="15" s="1"/>
  <c r="U248" i="15"/>
  <c r="T248" i="15" s="1"/>
  <c r="S248" i="15" s="1"/>
  <c r="R248" i="15" s="1"/>
  <c r="U250" i="15"/>
  <c r="T250" i="15" s="1"/>
  <c r="S250" i="15" s="1"/>
  <c r="R250" i="15" s="1"/>
  <c r="U252" i="15"/>
  <c r="T252" i="15" s="1"/>
  <c r="S252" i="15" s="1"/>
  <c r="R252" i="15" s="1"/>
  <c r="P252" i="15" s="1"/>
  <c r="V252" i="15" s="1"/>
  <c r="U254" i="15"/>
  <c r="T254" i="15" s="1"/>
  <c r="U256" i="15"/>
  <c r="T256" i="15" s="1"/>
  <c r="S256" i="15" s="1"/>
  <c r="R256" i="15" s="1"/>
  <c r="U258" i="15"/>
  <c r="T258" i="15" s="1"/>
  <c r="S258" i="15" s="1"/>
  <c r="R258" i="15" s="1"/>
  <c r="U260" i="15"/>
  <c r="T260" i="15" s="1"/>
  <c r="S260" i="15" s="1"/>
  <c r="R260" i="15" s="1"/>
  <c r="U262" i="15"/>
  <c r="T262" i="15" s="1"/>
  <c r="S262" i="15" s="1"/>
  <c r="R262" i="15" s="1"/>
  <c r="U264" i="15"/>
  <c r="T264" i="15" s="1"/>
  <c r="S264" i="15" s="1"/>
  <c r="R264" i="15" s="1"/>
  <c r="P264" i="15" s="1"/>
  <c r="U266" i="15"/>
  <c r="T266" i="15" s="1"/>
  <c r="U268" i="15"/>
  <c r="T268" i="15" s="1"/>
  <c r="S268" i="15" s="1"/>
  <c r="R268" i="15" s="1"/>
  <c r="U270" i="15"/>
  <c r="T270" i="15" s="1"/>
  <c r="S270" i="15" s="1"/>
  <c r="R270" i="15" s="1"/>
  <c r="U272" i="15"/>
  <c r="T272" i="15" s="1"/>
  <c r="S272" i="15" s="1"/>
  <c r="R272" i="15" s="1"/>
  <c r="U274" i="15"/>
  <c r="T274" i="15" s="1"/>
  <c r="U276" i="15"/>
  <c r="T276" i="15" s="1"/>
  <c r="S276" i="15" s="1"/>
  <c r="R276" i="15" s="1"/>
  <c r="P276" i="15" s="1"/>
  <c r="V276" i="15" s="1"/>
  <c r="U278" i="15"/>
  <c r="T278" i="15" s="1"/>
  <c r="S278" i="15" s="1"/>
  <c r="R278" i="15" s="1"/>
  <c r="U280" i="15"/>
  <c r="T280" i="15" s="1"/>
  <c r="S280" i="15" s="1"/>
  <c r="R280" i="15" s="1"/>
  <c r="U282" i="15"/>
  <c r="T282" i="15" s="1"/>
  <c r="S282" i="15" s="1"/>
  <c r="R282" i="15" s="1"/>
  <c r="U284" i="15"/>
  <c r="T284" i="15" s="1"/>
  <c r="S284" i="15" s="1"/>
  <c r="R284" i="15" s="1"/>
  <c r="U286" i="15"/>
  <c r="T286" i="15" s="1"/>
  <c r="S286" i="15" s="1"/>
  <c r="R286" i="15" s="1"/>
  <c r="U288" i="15"/>
  <c r="T288" i="15" s="1"/>
  <c r="S288" i="15" s="1"/>
  <c r="R288" i="15" s="1"/>
  <c r="U290" i="15"/>
  <c r="T290" i="15" s="1"/>
  <c r="U292" i="15"/>
  <c r="T292" i="15" s="1"/>
  <c r="S292" i="15" s="1"/>
  <c r="R292" i="15" s="1"/>
  <c r="U294" i="15"/>
  <c r="T294" i="15" s="1"/>
  <c r="U296" i="15"/>
  <c r="T296" i="15" s="1"/>
  <c r="S296" i="15" s="1"/>
  <c r="R296" i="15" s="1"/>
  <c r="U298" i="15"/>
  <c r="T298" i="15" s="1"/>
  <c r="S298" i="15" s="1"/>
  <c r="R298" i="15" s="1"/>
  <c r="U300" i="15"/>
  <c r="T300" i="15" s="1"/>
  <c r="S300" i="15" s="1"/>
  <c r="R300" i="15" s="1"/>
  <c r="U302" i="15"/>
  <c r="T302" i="15" s="1"/>
  <c r="S302" i="15" s="1"/>
  <c r="R302" i="15" s="1"/>
  <c r="U304" i="15"/>
  <c r="T304" i="15" s="1"/>
  <c r="S304" i="15" s="1"/>
  <c r="R304" i="15" s="1"/>
  <c r="U306" i="15"/>
  <c r="T306" i="15" s="1"/>
  <c r="S306" i="15" s="1"/>
  <c r="R306" i="15" s="1"/>
  <c r="U308" i="15"/>
  <c r="T308" i="15" s="1"/>
  <c r="S308" i="15" s="1"/>
  <c r="R308" i="15" s="1"/>
  <c r="U310" i="15"/>
  <c r="T310" i="15" s="1"/>
  <c r="S310" i="15" s="1"/>
  <c r="R310" i="15" s="1"/>
  <c r="U312" i="15"/>
  <c r="T312" i="15" s="1"/>
  <c r="S312" i="15" s="1"/>
  <c r="R312" i="15" s="1"/>
  <c r="U314" i="15"/>
  <c r="T314" i="15" s="1"/>
  <c r="S314" i="15" s="1"/>
  <c r="R314" i="15" s="1"/>
  <c r="U316" i="15"/>
  <c r="T316" i="15" s="1"/>
  <c r="S316" i="15" s="1"/>
  <c r="R316" i="15" s="1"/>
  <c r="U318" i="15"/>
  <c r="T318" i="15" s="1"/>
  <c r="U320" i="15"/>
  <c r="T320" i="15" s="1"/>
  <c r="S320" i="15" s="1"/>
  <c r="R320" i="15" s="1"/>
  <c r="P320" i="15" s="1"/>
  <c r="V320" i="15" s="1"/>
  <c r="U322" i="15"/>
  <c r="T322" i="15" s="1"/>
  <c r="S322" i="15" s="1"/>
  <c r="R322" i="15" s="1"/>
  <c r="U324" i="15"/>
  <c r="T324" i="15" s="1"/>
  <c r="S324" i="15" s="1"/>
  <c r="R324" i="15" s="1"/>
  <c r="P324" i="15" s="1"/>
  <c r="U326" i="15"/>
  <c r="T326" i="15" s="1"/>
  <c r="S326" i="15" s="1"/>
  <c r="R326" i="15" s="1"/>
  <c r="U328" i="15"/>
  <c r="T328" i="15" s="1"/>
  <c r="S328" i="15" s="1"/>
  <c r="R328" i="15" s="1"/>
  <c r="P328" i="15" s="1"/>
  <c r="V328" i="15" s="1"/>
  <c r="U330" i="15"/>
  <c r="T330" i="15" s="1"/>
  <c r="S330" i="15" s="1"/>
  <c r="R330" i="15" s="1"/>
  <c r="U332" i="15"/>
  <c r="T332" i="15" s="1"/>
  <c r="S332" i="15" s="1"/>
  <c r="R332" i="15" s="1"/>
  <c r="U334" i="15"/>
  <c r="T334" i="15" s="1"/>
  <c r="S334" i="15" s="1"/>
  <c r="R334" i="15" s="1"/>
  <c r="U336" i="15"/>
  <c r="T336" i="15" s="1"/>
  <c r="S336" i="15" s="1"/>
  <c r="R336" i="15" s="1"/>
  <c r="U338" i="15"/>
  <c r="T338" i="15" s="1"/>
  <c r="S338" i="15" s="1"/>
  <c r="R338" i="15" s="1"/>
  <c r="U340" i="15"/>
  <c r="T340" i="15" s="1"/>
  <c r="S340" i="15" s="1"/>
  <c r="R340" i="15" s="1"/>
  <c r="U342" i="15"/>
  <c r="T342" i="15" s="1"/>
  <c r="S342" i="15" s="1"/>
  <c r="R342" i="15" s="1"/>
  <c r="U344" i="15"/>
  <c r="T344" i="15" s="1"/>
  <c r="S344" i="15" s="1"/>
  <c r="R344" i="15" s="1"/>
  <c r="U346" i="15"/>
  <c r="T346" i="15" s="1"/>
  <c r="S346" i="15" s="1"/>
  <c r="R346" i="15" s="1"/>
  <c r="U348" i="15"/>
  <c r="T348" i="15" s="1"/>
  <c r="S348" i="15" s="1"/>
  <c r="R348" i="15" s="1"/>
  <c r="U350" i="15"/>
  <c r="T350" i="15" s="1"/>
  <c r="S350" i="15" s="1"/>
  <c r="R350" i="15" s="1"/>
  <c r="U352" i="15"/>
  <c r="T352" i="15" s="1"/>
  <c r="S352" i="15" s="1"/>
  <c r="R352" i="15" s="1"/>
  <c r="P352" i="15" s="1"/>
  <c r="V352" i="15" s="1"/>
  <c r="U354" i="15"/>
  <c r="T354" i="15" s="1"/>
  <c r="S354" i="15" s="1"/>
  <c r="R354" i="15" s="1"/>
  <c r="U356" i="15"/>
  <c r="T356" i="15" s="1"/>
  <c r="S356" i="15" s="1"/>
  <c r="R356" i="15" s="1"/>
  <c r="U358" i="15"/>
  <c r="T358" i="15" s="1"/>
  <c r="U360" i="15"/>
  <c r="T360" i="15" s="1"/>
  <c r="S360" i="15" s="1"/>
  <c r="R360" i="15" s="1"/>
  <c r="U362" i="15"/>
  <c r="T362" i="15" s="1"/>
  <c r="S362" i="15" s="1"/>
  <c r="R362" i="15" s="1"/>
  <c r="U364" i="15"/>
  <c r="T364" i="15" s="1"/>
  <c r="S364" i="15" s="1"/>
  <c r="R364" i="15" s="1"/>
  <c r="U366" i="15"/>
  <c r="T366" i="15" s="1"/>
  <c r="S366" i="15" s="1"/>
  <c r="R366" i="15" s="1"/>
  <c r="U368" i="15"/>
  <c r="T368" i="15" s="1"/>
  <c r="S368" i="15" s="1"/>
  <c r="R368" i="15" s="1"/>
  <c r="U370" i="15"/>
  <c r="T370" i="15" s="1"/>
  <c r="S370" i="15" s="1"/>
  <c r="R370" i="15" s="1"/>
  <c r="U372" i="15"/>
  <c r="T372" i="15" s="1"/>
  <c r="S372" i="15" s="1"/>
  <c r="R372" i="15" s="1"/>
  <c r="U374" i="15"/>
  <c r="T374" i="15" s="1"/>
  <c r="S374" i="15" s="1"/>
  <c r="R374" i="15" s="1"/>
  <c r="U376" i="15"/>
  <c r="T376" i="15" s="1"/>
  <c r="S376" i="15" s="1"/>
  <c r="R376" i="15" s="1"/>
  <c r="U378" i="15"/>
  <c r="T378" i="15" s="1"/>
  <c r="S378" i="15" s="1"/>
  <c r="R378" i="15" s="1"/>
  <c r="AI22" i="15"/>
  <c r="AH22" i="15" s="1"/>
  <c r="AG22" i="15" s="1"/>
  <c r="AF22" i="15" s="1"/>
  <c r="AI24" i="15"/>
  <c r="AH24" i="15" s="1"/>
  <c r="AG24" i="15" s="1"/>
  <c r="AF24" i="15" s="1"/>
  <c r="AI23" i="15"/>
  <c r="AH23" i="15" s="1"/>
  <c r="AI27" i="15"/>
  <c r="AH27" i="15" s="1"/>
  <c r="AG27" i="15" s="1"/>
  <c r="AF27" i="15" s="1"/>
  <c r="AI17" i="15"/>
  <c r="AH17" i="15" s="1"/>
  <c r="AI21" i="15"/>
  <c r="AH21" i="15" s="1"/>
  <c r="AI19" i="15"/>
  <c r="AH19" i="15" s="1"/>
  <c r="AI29" i="15"/>
  <c r="AH29" i="15" s="1"/>
  <c r="AG29" i="15" s="1"/>
  <c r="AF29" i="15" s="1"/>
  <c r="AI31" i="15"/>
  <c r="AH31" i="15" s="1"/>
  <c r="AG31" i="15" s="1"/>
  <c r="AF31" i="15" s="1"/>
  <c r="AI33" i="15"/>
  <c r="AH33" i="15" s="1"/>
  <c r="AI35" i="15"/>
  <c r="AH35" i="15" s="1"/>
  <c r="AG35" i="15" s="1"/>
  <c r="AF35" i="15" s="1"/>
  <c r="AI37" i="15"/>
  <c r="AH37" i="15" s="1"/>
  <c r="AG37" i="15" s="1"/>
  <c r="AF37" i="15" s="1"/>
  <c r="AI379" i="15"/>
  <c r="AH379" i="15" s="1"/>
  <c r="AI377" i="15"/>
  <c r="AH377" i="15" s="1"/>
  <c r="AI375" i="15"/>
  <c r="AH375" i="15" s="1"/>
  <c r="AG375" i="15" s="1"/>
  <c r="AF375" i="15" s="1"/>
  <c r="AI373" i="15"/>
  <c r="AH373" i="15" s="1"/>
  <c r="AG373" i="15" s="1"/>
  <c r="AF373" i="15" s="1"/>
  <c r="AI371" i="15"/>
  <c r="AH371" i="15" s="1"/>
  <c r="AI369" i="15"/>
  <c r="AH369" i="15" s="1"/>
  <c r="AI367" i="15"/>
  <c r="AH367" i="15" s="1"/>
  <c r="AG367" i="15" s="1"/>
  <c r="AF367" i="15" s="1"/>
  <c r="AI365" i="15"/>
  <c r="AH365" i="15" s="1"/>
  <c r="AG365" i="15" s="1"/>
  <c r="AF365" i="15" s="1"/>
  <c r="AI363" i="15"/>
  <c r="AH363" i="15" s="1"/>
  <c r="AI361" i="15"/>
  <c r="AI359" i="15"/>
  <c r="AH359" i="15" s="1"/>
  <c r="AG359" i="15" s="1"/>
  <c r="AF359" i="15" s="1"/>
  <c r="AI357" i="15"/>
  <c r="AH357" i="15" s="1"/>
  <c r="AG357" i="15" s="1"/>
  <c r="AF357" i="15" s="1"/>
  <c r="AI355" i="15"/>
  <c r="AH355" i="15" s="1"/>
  <c r="AI353" i="15"/>
  <c r="AH353" i="15" s="1"/>
  <c r="AG353" i="15" s="1"/>
  <c r="AF353" i="15" s="1"/>
  <c r="AI351" i="15"/>
  <c r="AH351" i="15" s="1"/>
  <c r="AG351" i="15" s="1"/>
  <c r="AF351" i="15" s="1"/>
  <c r="AI349" i="15"/>
  <c r="AH349" i="15" s="1"/>
  <c r="AG349" i="15" s="1"/>
  <c r="AF349" i="15" s="1"/>
  <c r="AI347" i="15"/>
  <c r="AH347" i="15" s="1"/>
  <c r="AG347" i="15" s="1"/>
  <c r="AF347" i="15" s="1"/>
  <c r="AI345" i="15"/>
  <c r="AH345" i="15" s="1"/>
  <c r="AG345" i="15" s="1"/>
  <c r="AF345" i="15" s="1"/>
  <c r="AI343" i="15"/>
  <c r="AH343" i="15" s="1"/>
  <c r="AI341" i="15"/>
  <c r="AH341" i="15" s="1"/>
  <c r="AG341" i="15" s="1"/>
  <c r="AF341" i="15" s="1"/>
  <c r="AI339" i="15"/>
  <c r="AH339" i="15" s="1"/>
  <c r="AI337" i="15"/>
  <c r="AH337" i="15" s="1"/>
  <c r="AG337" i="15" s="1"/>
  <c r="AF337" i="15" s="1"/>
  <c r="AI335" i="15"/>
  <c r="AH335" i="15" s="1"/>
  <c r="AI333" i="15"/>
  <c r="AH333" i="15" s="1"/>
  <c r="AG333" i="15" s="1"/>
  <c r="AF333" i="15" s="1"/>
  <c r="AI331" i="15"/>
  <c r="AH331" i="15" s="1"/>
  <c r="AI329" i="15"/>
  <c r="AH329" i="15" s="1"/>
  <c r="AI327" i="15"/>
  <c r="AH327" i="15" s="1"/>
  <c r="AI325" i="15"/>
  <c r="AH325" i="15" s="1"/>
  <c r="AI323" i="15"/>
  <c r="AH323" i="15" s="1"/>
  <c r="AI321" i="15"/>
  <c r="AH321" i="15" s="1"/>
  <c r="AI319" i="15"/>
  <c r="AH319" i="15" s="1"/>
  <c r="AI317" i="15"/>
  <c r="AH317" i="15" s="1"/>
  <c r="AG317" i="15" s="1"/>
  <c r="AF317" i="15" s="1"/>
  <c r="AI315" i="15"/>
  <c r="AH315" i="15" s="1"/>
  <c r="AG315" i="15" s="1"/>
  <c r="AF315" i="15" s="1"/>
  <c r="AI313" i="15"/>
  <c r="AH313" i="15" s="1"/>
  <c r="AG313" i="15" s="1"/>
  <c r="AF313" i="15" s="1"/>
  <c r="AI311" i="15"/>
  <c r="AH311" i="15" s="1"/>
  <c r="AG311" i="15" s="1"/>
  <c r="AF311" i="15" s="1"/>
  <c r="AI309" i="15"/>
  <c r="AH309" i="15" s="1"/>
  <c r="AG309" i="15" s="1"/>
  <c r="AF309" i="15" s="1"/>
  <c r="AI307" i="15"/>
  <c r="AH307" i="15" s="1"/>
  <c r="AG307" i="15" s="1"/>
  <c r="AF307" i="15" s="1"/>
  <c r="AI305" i="15"/>
  <c r="AH305" i="15" s="1"/>
  <c r="AI303" i="15"/>
  <c r="AH303" i="15" s="1"/>
  <c r="AG303" i="15" s="1"/>
  <c r="AF303" i="15" s="1"/>
  <c r="AI301" i="15"/>
  <c r="AH301" i="15" s="1"/>
  <c r="AG301" i="15" s="1"/>
  <c r="AF301" i="15" s="1"/>
  <c r="AI299" i="15"/>
  <c r="AH299" i="15" s="1"/>
  <c r="AG299" i="15" s="1"/>
  <c r="AF299" i="15" s="1"/>
  <c r="AI297" i="15"/>
  <c r="AI295" i="15"/>
  <c r="AH295" i="15" s="1"/>
  <c r="AI293" i="15"/>
  <c r="AH293" i="15" s="1"/>
  <c r="AI291" i="15"/>
  <c r="AH291" i="15" s="1"/>
  <c r="AG291" i="15" s="1"/>
  <c r="AF291" i="15" s="1"/>
  <c r="AI289" i="15"/>
  <c r="AH289" i="15" s="1"/>
  <c r="AG289" i="15" s="1"/>
  <c r="AF289" i="15" s="1"/>
  <c r="AI287" i="15"/>
  <c r="AH287" i="15" s="1"/>
  <c r="AI285" i="15"/>
  <c r="AH285" i="15" s="1"/>
  <c r="AG285" i="15" s="1"/>
  <c r="AF285" i="15" s="1"/>
  <c r="AI283" i="15"/>
  <c r="AH283" i="15" s="1"/>
  <c r="AG283" i="15" s="1"/>
  <c r="AF283" i="15" s="1"/>
  <c r="AI281" i="15"/>
  <c r="AH281" i="15" s="1"/>
  <c r="AG281" i="15" s="1"/>
  <c r="AF281" i="15" s="1"/>
  <c r="AI279" i="15"/>
  <c r="AH279" i="15" s="1"/>
  <c r="AG279" i="15" s="1"/>
  <c r="AF279" i="15" s="1"/>
  <c r="AI277" i="15"/>
  <c r="AH277" i="15" s="1"/>
  <c r="AG277" i="15" s="1"/>
  <c r="AF277" i="15" s="1"/>
  <c r="AI275" i="15"/>
  <c r="AH275" i="15" s="1"/>
  <c r="AI273" i="15"/>
  <c r="AH273" i="15" s="1"/>
  <c r="AG273" i="15" s="1"/>
  <c r="AF273" i="15" s="1"/>
  <c r="AI271" i="15"/>
  <c r="AH271" i="15" s="1"/>
  <c r="AG271" i="15" s="1"/>
  <c r="AF271" i="15" s="1"/>
  <c r="AI269" i="15"/>
  <c r="AH269" i="15" s="1"/>
  <c r="AG269" i="15" s="1"/>
  <c r="AF269" i="15" s="1"/>
  <c r="AI267" i="15"/>
  <c r="AH267" i="15" s="1"/>
  <c r="AG267" i="15" s="1"/>
  <c r="AF267" i="15" s="1"/>
  <c r="AI265" i="15"/>
  <c r="AH265" i="15" s="1"/>
  <c r="AG265" i="15" s="1"/>
  <c r="AF265" i="15" s="1"/>
  <c r="AI263" i="15"/>
  <c r="AH263" i="15" s="1"/>
  <c r="AG263" i="15" s="1"/>
  <c r="AF263" i="15" s="1"/>
  <c r="AI261" i="15"/>
  <c r="AH261" i="15" s="1"/>
  <c r="AG261" i="15" s="1"/>
  <c r="AF261" i="15" s="1"/>
  <c r="AI259" i="15"/>
  <c r="AH259" i="15" s="1"/>
  <c r="AG259" i="15" s="1"/>
  <c r="AF259" i="15" s="1"/>
  <c r="AI257" i="15"/>
  <c r="AH257" i="15" s="1"/>
  <c r="AG257" i="15" s="1"/>
  <c r="AF257" i="15" s="1"/>
  <c r="AI255" i="15"/>
  <c r="AH255" i="15" s="1"/>
  <c r="AG255" i="15" s="1"/>
  <c r="AF255" i="15" s="1"/>
  <c r="AI253" i="15"/>
  <c r="AH253" i="15" s="1"/>
  <c r="AG253" i="15" s="1"/>
  <c r="AF253" i="15" s="1"/>
  <c r="AI251" i="15"/>
  <c r="AH251" i="15" s="1"/>
  <c r="AG251" i="15" s="1"/>
  <c r="AF251" i="15" s="1"/>
  <c r="AI249" i="15"/>
  <c r="AH249" i="15" s="1"/>
  <c r="AG249" i="15" s="1"/>
  <c r="AF249" i="15" s="1"/>
  <c r="AI247" i="15"/>
  <c r="AH247" i="15" s="1"/>
  <c r="AI245" i="15"/>
  <c r="AH245" i="15" s="1"/>
  <c r="AI243" i="15"/>
  <c r="AH243" i="15" s="1"/>
  <c r="AI241" i="15"/>
  <c r="AH241" i="15" s="1"/>
  <c r="AG241" i="15" s="1"/>
  <c r="AF241" i="15" s="1"/>
  <c r="AI239" i="15"/>
  <c r="AH239" i="15" s="1"/>
  <c r="AG239" i="15" s="1"/>
  <c r="AF239" i="15" s="1"/>
  <c r="AI237" i="15"/>
  <c r="AH237" i="15" s="1"/>
  <c r="AG237" i="15" s="1"/>
  <c r="AF237" i="15" s="1"/>
  <c r="AI235" i="15"/>
  <c r="AH235" i="15" s="1"/>
  <c r="AG235" i="15" s="1"/>
  <c r="AF235" i="15" s="1"/>
  <c r="AI233" i="15"/>
  <c r="AI231" i="15"/>
  <c r="AH231" i="15" s="1"/>
  <c r="AG231" i="15" s="1"/>
  <c r="AF231" i="15" s="1"/>
  <c r="AI229" i="15"/>
  <c r="AH229" i="15" s="1"/>
  <c r="AI227" i="15"/>
  <c r="AH227" i="15" s="1"/>
  <c r="AG227" i="15" s="1"/>
  <c r="AF227" i="15" s="1"/>
  <c r="AI225" i="15"/>
  <c r="AH225" i="15" s="1"/>
  <c r="AI223" i="15"/>
  <c r="AH223" i="15" s="1"/>
  <c r="AI221" i="15"/>
  <c r="AH221" i="15" s="1"/>
  <c r="AG221" i="15" s="1"/>
  <c r="AF221" i="15" s="1"/>
  <c r="AI219" i="15"/>
  <c r="AH219" i="15" s="1"/>
  <c r="AG219" i="15" s="1"/>
  <c r="AF219" i="15" s="1"/>
  <c r="AI217" i="15"/>
  <c r="AH217" i="15" s="1"/>
  <c r="AG217" i="15" s="1"/>
  <c r="AF217" i="15" s="1"/>
  <c r="AI215" i="15"/>
  <c r="AH215" i="15" s="1"/>
  <c r="AG215" i="15" s="1"/>
  <c r="AF215" i="15" s="1"/>
  <c r="AI213" i="15"/>
  <c r="AH213" i="15" s="1"/>
  <c r="AG213" i="15" s="1"/>
  <c r="AF213" i="15" s="1"/>
  <c r="AI211" i="15"/>
  <c r="AH211" i="15" s="1"/>
  <c r="AG211" i="15" s="1"/>
  <c r="AF211" i="15" s="1"/>
  <c r="AI209" i="15"/>
  <c r="AH209" i="15" s="1"/>
  <c r="AI207" i="15"/>
  <c r="AH207" i="15" s="1"/>
  <c r="AG207" i="15" s="1"/>
  <c r="AF207" i="15" s="1"/>
  <c r="AI205" i="15"/>
  <c r="AH205" i="15" s="1"/>
  <c r="AI203" i="15"/>
  <c r="AH203" i="15" s="1"/>
  <c r="AI201" i="15"/>
  <c r="AH201" i="15" s="1"/>
  <c r="AG201" i="15" s="1"/>
  <c r="AF201" i="15" s="1"/>
  <c r="AI199" i="15"/>
  <c r="AH199" i="15" s="1"/>
  <c r="AG199" i="15" s="1"/>
  <c r="AF199" i="15" s="1"/>
  <c r="AI197" i="15"/>
  <c r="AH197" i="15" s="1"/>
  <c r="AG197" i="15" s="1"/>
  <c r="AF197" i="15" s="1"/>
  <c r="AI195" i="15"/>
  <c r="AH195" i="15" s="1"/>
  <c r="AG195" i="15" s="1"/>
  <c r="AF195" i="15" s="1"/>
  <c r="AI193" i="15"/>
  <c r="AH193" i="15" s="1"/>
  <c r="AI191" i="15"/>
  <c r="AH191" i="15" s="1"/>
  <c r="AI189" i="15"/>
  <c r="AH189" i="15" s="1"/>
  <c r="AG189" i="15" s="1"/>
  <c r="AF189" i="15" s="1"/>
  <c r="AI187" i="15"/>
  <c r="AH187" i="15" s="1"/>
  <c r="AG187" i="15" s="1"/>
  <c r="AF187" i="15" s="1"/>
  <c r="AI185" i="15"/>
  <c r="AH185" i="15" s="1"/>
  <c r="AI183" i="15"/>
  <c r="AH183" i="15" s="1"/>
  <c r="AG183" i="15" s="1"/>
  <c r="AF183" i="15" s="1"/>
  <c r="AI181" i="15"/>
  <c r="AH181" i="15" s="1"/>
  <c r="AI179" i="15"/>
  <c r="AH179" i="15" s="1"/>
  <c r="AI177" i="15"/>
  <c r="AH177" i="15" s="1"/>
  <c r="AG177" i="15" s="1"/>
  <c r="AF177" i="15" s="1"/>
  <c r="AI175" i="15"/>
  <c r="AH175" i="15" s="1"/>
  <c r="AG175" i="15" s="1"/>
  <c r="AF175" i="15" s="1"/>
  <c r="AI173" i="15"/>
  <c r="AH173" i="15" s="1"/>
  <c r="AI171" i="15"/>
  <c r="AH171" i="15" s="1"/>
  <c r="AG171" i="15" s="1"/>
  <c r="AF171" i="15" s="1"/>
  <c r="AI169" i="15"/>
  <c r="AH169" i="15" s="1"/>
  <c r="AI167" i="15"/>
  <c r="AH167" i="15" s="1"/>
  <c r="AI165" i="15"/>
  <c r="AH165" i="15" s="1"/>
  <c r="AI163" i="15"/>
  <c r="AH163" i="15" s="1"/>
  <c r="AG163" i="15" s="1"/>
  <c r="AF163" i="15" s="1"/>
  <c r="AI161" i="15"/>
  <c r="AH161" i="15" s="1"/>
  <c r="AG161" i="15" s="1"/>
  <c r="AF161" i="15" s="1"/>
  <c r="AI159" i="15"/>
  <c r="AH159" i="15" s="1"/>
  <c r="AI157" i="15"/>
  <c r="AH157" i="15" s="1"/>
  <c r="AI155" i="15"/>
  <c r="AH155" i="15" s="1"/>
  <c r="AI153" i="15"/>
  <c r="AH153" i="15" s="1"/>
  <c r="AG153" i="15" s="1"/>
  <c r="AF153" i="15" s="1"/>
  <c r="AI151" i="15"/>
  <c r="AH151" i="15" s="1"/>
  <c r="AI149" i="15"/>
  <c r="AH149" i="15" s="1"/>
  <c r="AI147" i="15"/>
  <c r="AH147" i="15" s="1"/>
  <c r="AI145" i="15"/>
  <c r="AH145" i="15" s="1"/>
  <c r="AG145" i="15" s="1"/>
  <c r="AF145" i="15" s="1"/>
  <c r="AI143" i="15"/>
  <c r="AH143" i="15" s="1"/>
  <c r="AG143" i="15" s="1"/>
  <c r="AF143" i="15" s="1"/>
  <c r="AI141" i="15"/>
  <c r="AH141" i="15" s="1"/>
  <c r="AI139" i="15"/>
  <c r="AH139" i="15" s="1"/>
  <c r="AG139" i="15" s="1"/>
  <c r="AF139" i="15" s="1"/>
  <c r="AI137" i="15"/>
  <c r="AH137" i="15" s="1"/>
  <c r="AI135" i="15"/>
  <c r="AH135" i="15" s="1"/>
  <c r="AG135" i="15" s="1"/>
  <c r="AF135" i="15" s="1"/>
  <c r="AI133" i="15"/>
  <c r="AH133" i="15" s="1"/>
  <c r="AI131" i="15"/>
  <c r="AH131" i="15" s="1"/>
  <c r="AI129" i="15"/>
  <c r="AH129" i="15" s="1"/>
  <c r="AG129" i="15" s="1"/>
  <c r="AF129" i="15" s="1"/>
  <c r="AI127" i="15"/>
  <c r="AH127" i="15" s="1"/>
  <c r="AI125" i="15"/>
  <c r="AH125" i="15" s="1"/>
  <c r="AG125" i="15" s="1"/>
  <c r="AF125" i="15" s="1"/>
  <c r="AI123" i="15"/>
  <c r="AH123" i="15" s="1"/>
  <c r="AG123" i="15" s="1"/>
  <c r="AF123" i="15" s="1"/>
  <c r="AI121" i="15"/>
  <c r="AI119" i="15"/>
  <c r="AH119" i="15" s="1"/>
  <c r="AG119" i="15" s="1"/>
  <c r="AF119" i="15" s="1"/>
  <c r="AI117" i="15"/>
  <c r="AH117" i="15" s="1"/>
  <c r="AI115" i="15"/>
  <c r="AH115" i="15" s="1"/>
  <c r="AI113" i="15"/>
  <c r="AH113" i="15" s="1"/>
  <c r="AI111" i="15"/>
  <c r="AH111" i="15" s="1"/>
  <c r="AI109" i="15"/>
  <c r="AH109" i="15" s="1"/>
  <c r="AG109" i="15" s="1"/>
  <c r="AF109" i="15" s="1"/>
  <c r="AI107" i="15"/>
  <c r="AH107" i="15" s="1"/>
  <c r="AI105" i="15"/>
  <c r="AH105" i="15" s="1"/>
  <c r="AG105" i="15" s="1"/>
  <c r="AF105" i="15" s="1"/>
  <c r="AI103" i="15"/>
  <c r="AH103" i="15" s="1"/>
  <c r="AG103" i="15" s="1"/>
  <c r="AF103" i="15" s="1"/>
  <c r="AI101" i="15"/>
  <c r="AH101" i="15" s="1"/>
  <c r="AG101" i="15" s="1"/>
  <c r="AF101" i="15" s="1"/>
  <c r="AI99" i="15"/>
  <c r="AH99" i="15" s="1"/>
  <c r="AI97" i="15"/>
  <c r="AH97" i="15" s="1"/>
  <c r="AG97" i="15" s="1"/>
  <c r="AF97" i="15" s="1"/>
  <c r="AI95" i="15"/>
  <c r="AH95" i="15" s="1"/>
  <c r="AG95" i="15" s="1"/>
  <c r="AF95" i="15" s="1"/>
  <c r="AI93" i="15"/>
  <c r="AH93" i="15" s="1"/>
  <c r="AI91" i="15"/>
  <c r="AH91" i="15" s="1"/>
  <c r="AI89" i="15"/>
  <c r="AH89" i="15" s="1"/>
  <c r="AI87" i="15"/>
  <c r="AH87" i="15" s="1"/>
  <c r="AI85" i="15"/>
  <c r="AH85" i="15" s="1"/>
  <c r="AG85" i="15" s="1"/>
  <c r="AF85" i="15" s="1"/>
  <c r="AI83" i="15"/>
  <c r="AH83" i="15" s="1"/>
  <c r="AI81" i="15"/>
  <c r="AH81" i="15" s="1"/>
  <c r="AI79" i="15"/>
  <c r="AH79" i="15" s="1"/>
  <c r="AG79" i="15" s="1"/>
  <c r="AF79" i="15" s="1"/>
  <c r="AI77" i="15"/>
  <c r="AH77" i="15" s="1"/>
  <c r="AG77" i="15" s="1"/>
  <c r="AF77" i="15" s="1"/>
  <c r="AI75" i="15"/>
  <c r="AH75" i="15" s="1"/>
  <c r="AI73" i="15"/>
  <c r="AH73" i="15" s="1"/>
  <c r="AG73" i="15" s="1"/>
  <c r="AF73" i="15" s="1"/>
  <c r="AI71" i="15"/>
  <c r="AH71" i="15" s="1"/>
  <c r="AG71" i="15" s="1"/>
  <c r="AF71" i="15" s="1"/>
  <c r="AI69" i="15"/>
  <c r="AH69" i="15" s="1"/>
  <c r="AG69" i="15" s="1"/>
  <c r="AF69" i="15" s="1"/>
  <c r="AI67" i="15"/>
  <c r="AH67" i="15" s="1"/>
  <c r="AG67" i="15" s="1"/>
  <c r="AF67" i="15" s="1"/>
  <c r="AI65" i="15"/>
  <c r="AH65" i="15" s="1"/>
  <c r="AG65" i="15" s="1"/>
  <c r="AF65" i="15" s="1"/>
  <c r="AI63" i="15"/>
  <c r="AH63" i="15" s="1"/>
  <c r="AI61" i="15"/>
  <c r="AH61" i="15" s="1"/>
  <c r="AI59" i="15"/>
  <c r="AH59" i="15" s="1"/>
  <c r="AG59" i="15" s="1"/>
  <c r="AF59" i="15" s="1"/>
  <c r="AI57" i="15"/>
  <c r="AH57" i="15" s="1"/>
  <c r="AI55" i="15"/>
  <c r="AH55" i="15" s="1"/>
  <c r="AI53" i="15"/>
  <c r="AH53" i="15" s="1"/>
  <c r="AG53" i="15" s="1"/>
  <c r="AF53" i="15" s="1"/>
  <c r="AI51" i="15"/>
  <c r="AH51" i="15" s="1"/>
  <c r="AI49" i="15"/>
  <c r="AH49" i="15" s="1"/>
  <c r="AG49" i="15" s="1"/>
  <c r="AF49" i="15" s="1"/>
  <c r="AI47" i="15"/>
  <c r="AH47" i="15" s="1"/>
  <c r="AG47" i="15" s="1"/>
  <c r="AF47" i="15" s="1"/>
  <c r="AI45" i="15"/>
  <c r="AH45" i="15" s="1"/>
  <c r="AG45" i="15" s="1"/>
  <c r="AF45" i="15" s="1"/>
  <c r="AI43" i="15"/>
  <c r="AH43" i="15" s="1"/>
  <c r="AG43" i="15" s="1"/>
  <c r="AF43" i="15" s="1"/>
  <c r="AI41" i="15"/>
  <c r="AH41" i="15" s="1"/>
  <c r="AI39" i="15"/>
  <c r="AH39" i="15" s="1"/>
  <c r="AI36" i="15"/>
  <c r="AH36" i="15" s="1"/>
  <c r="AI32" i="15"/>
  <c r="AH32" i="15" s="1"/>
  <c r="AI26" i="15"/>
  <c r="AH26" i="15" s="1"/>
  <c r="AI20" i="15"/>
  <c r="AH20" i="15" s="1"/>
  <c r="AG20" i="15" s="1"/>
  <c r="AF20" i="15" s="1"/>
  <c r="AI25" i="15"/>
  <c r="AH25" i="15" s="1"/>
  <c r="AG25" i="15" s="1"/>
  <c r="AF25" i="15" s="1"/>
  <c r="AI15" i="15"/>
  <c r="AH15" i="15" s="1"/>
  <c r="U377" i="15"/>
  <c r="T377" i="15" s="1"/>
  <c r="S377" i="15" s="1"/>
  <c r="R377" i="15" s="1"/>
  <c r="U373" i="15"/>
  <c r="T373" i="15" s="1"/>
  <c r="S373" i="15" s="1"/>
  <c r="R373" i="15" s="1"/>
  <c r="U369" i="15"/>
  <c r="T369" i="15" s="1"/>
  <c r="S369" i="15" s="1"/>
  <c r="R369" i="15" s="1"/>
  <c r="U365" i="15"/>
  <c r="T365" i="15" s="1"/>
  <c r="S365" i="15" s="1"/>
  <c r="R365" i="15" s="1"/>
  <c r="U361" i="15"/>
  <c r="T361" i="15" s="1"/>
  <c r="S361" i="15" s="1"/>
  <c r="R361" i="15" s="1"/>
  <c r="U357" i="15"/>
  <c r="T357" i="15" s="1"/>
  <c r="S357" i="15" s="1"/>
  <c r="R357" i="15" s="1"/>
  <c r="U353" i="15"/>
  <c r="T353" i="15" s="1"/>
  <c r="S353" i="15" s="1"/>
  <c r="R353" i="15" s="1"/>
  <c r="U349" i="15"/>
  <c r="T349" i="15" s="1"/>
  <c r="S349" i="15" s="1"/>
  <c r="R349" i="15" s="1"/>
  <c r="U345" i="15"/>
  <c r="T345" i="15" s="1"/>
  <c r="S345" i="15" s="1"/>
  <c r="R345" i="15" s="1"/>
  <c r="U341" i="15"/>
  <c r="T341" i="15" s="1"/>
  <c r="S341" i="15" s="1"/>
  <c r="R341" i="15" s="1"/>
  <c r="U337" i="15"/>
  <c r="T337" i="15" s="1"/>
  <c r="S337" i="15" s="1"/>
  <c r="R337" i="15" s="1"/>
  <c r="U333" i="15"/>
  <c r="T333" i="15" s="1"/>
  <c r="S333" i="15" s="1"/>
  <c r="R333" i="15" s="1"/>
  <c r="U329" i="15"/>
  <c r="T329" i="15" s="1"/>
  <c r="S329" i="15" s="1"/>
  <c r="R329" i="15" s="1"/>
  <c r="U325" i="15"/>
  <c r="T325" i="15" s="1"/>
  <c r="S325" i="15" s="1"/>
  <c r="R325" i="15" s="1"/>
  <c r="U321" i="15"/>
  <c r="T321" i="15" s="1"/>
  <c r="S321" i="15" s="1"/>
  <c r="R321" i="15" s="1"/>
  <c r="U317" i="15"/>
  <c r="T317" i="15" s="1"/>
  <c r="S317" i="15" s="1"/>
  <c r="R317" i="15" s="1"/>
  <c r="U313" i="15"/>
  <c r="T313" i="15" s="1"/>
  <c r="S313" i="15" s="1"/>
  <c r="R313" i="15" s="1"/>
  <c r="U309" i="15"/>
  <c r="T309" i="15" s="1"/>
  <c r="S309" i="15" s="1"/>
  <c r="R309" i="15" s="1"/>
  <c r="U305" i="15"/>
  <c r="T305" i="15" s="1"/>
  <c r="S305" i="15" s="1"/>
  <c r="R305" i="15" s="1"/>
  <c r="U301" i="15"/>
  <c r="T301" i="15" s="1"/>
  <c r="S301" i="15" s="1"/>
  <c r="R301" i="15" s="1"/>
  <c r="U297" i="15"/>
  <c r="T297" i="15" s="1"/>
  <c r="S297" i="15" s="1"/>
  <c r="R297" i="15" s="1"/>
  <c r="U293" i="15"/>
  <c r="T293" i="15" s="1"/>
  <c r="S293" i="15" s="1"/>
  <c r="R293" i="15" s="1"/>
  <c r="U289" i="15"/>
  <c r="T289" i="15" s="1"/>
  <c r="S289" i="15" s="1"/>
  <c r="R289" i="15" s="1"/>
  <c r="U285" i="15"/>
  <c r="T285" i="15" s="1"/>
  <c r="S285" i="15" s="1"/>
  <c r="R285" i="15" s="1"/>
  <c r="U281" i="15"/>
  <c r="T281" i="15" s="1"/>
  <c r="S281" i="15" s="1"/>
  <c r="R281" i="15" s="1"/>
  <c r="U277" i="15"/>
  <c r="T277" i="15" s="1"/>
  <c r="S277" i="15" s="1"/>
  <c r="R277" i="15" s="1"/>
  <c r="U273" i="15"/>
  <c r="T273" i="15" s="1"/>
  <c r="S273" i="15" s="1"/>
  <c r="R273" i="15" s="1"/>
  <c r="U269" i="15"/>
  <c r="T269" i="15" s="1"/>
  <c r="S269" i="15" s="1"/>
  <c r="R269" i="15" s="1"/>
  <c r="U265" i="15"/>
  <c r="T265" i="15" s="1"/>
  <c r="S265" i="15" s="1"/>
  <c r="R265" i="15" s="1"/>
  <c r="U261" i="15"/>
  <c r="T261" i="15" s="1"/>
  <c r="S261" i="15" s="1"/>
  <c r="R261" i="15" s="1"/>
  <c r="U257" i="15"/>
  <c r="T257" i="15" s="1"/>
  <c r="S257" i="15" s="1"/>
  <c r="R257" i="15" s="1"/>
  <c r="U253" i="15"/>
  <c r="T253" i="15" s="1"/>
  <c r="S253" i="15" s="1"/>
  <c r="R253" i="15" s="1"/>
  <c r="U249" i="15"/>
  <c r="T249" i="15" s="1"/>
  <c r="S249" i="15" s="1"/>
  <c r="R249" i="15" s="1"/>
  <c r="U245" i="15"/>
  <c r="T245" i="15" s="1"/>
  <c r="S245" i="15" s="1"/>
  <c r="R245" i="15" s="1"/>
  <c r="U241" i="15"/>
  <c r="T241" i="15" s="1"/>
  <c r="S241" i="15" s="1"/>
  <c r="R241" i="15" s="1"/>
  <c r="U237" i="15"/>
  <c r="T237" i="15" s="1"/>
  <c r="S237" i="15" s="1"/>
  <c r="R237" i="15" s="1"/>
  <c r="U233" i="15"/>
  <c r="T233" i="15" s="1"/>
  <c r="S233" i="15" s="1"/>
  <c r="R233" i="15" s="1"/>
  <c r="U229" i="15"/>
  <c r="T229" i="15" s="1"/>
  <c r="S229" i="15" s="1"/>
  <c r="R229" i="15" s="1"/>
  <c r="U225" i="15"/>
  <c r="T225" i="15" s="1"/>
  <c r="S225" i="15" s="1"/>
  <c r="R225" i="15" s="1"/>
  <c r="U221" i="15"/>
  <c r="T221" i="15" s="1"/>
  <c r="S221" i="15" s="1"/>
  <c r="R221" i="15" s="1"/>
  <c r="U217" i="15"/>
  <c r="T217" i="15" s="1"/>
  <c r="S217" i="15" s="1"/>
  <c r="R217" i="15" s="1"/>
  <c r="U213" i="15"/>
  <c r="T213" i="15" s="1"/>
  <c r="S213" i="15" s="1"/>
  <c r="R213" i="15" s="1"/>
  <c r="U209" i="15"/>
  <c r="T209" i="15" s="1"/>
  <c r="S209" i="15" s="1"/>
  <c r="R209" i="15" s="1"/>
  <c r="U205" i="15"/>
  <c r="T205" i="15" s="1"/>
  <c r="S205" i="15" s="1"/>
  <c r="R205" i="15" s="1"/>
  <c r="U201" i="15"/>
  <c r="T201" i="15" s="1"/>
  <c r="S201" i="15" s="1"/>
  <c r="R201" i="15" s="1"/>
  <c r="U197" i="15"/>
  <c r="T197" i="15" s="1"/>
  <c r="S197" i="15" s="1"/>
  <c r="R197" i="15" s="1"/>
  <c r="U193" i="15"/>
  <c r="T193" i="15" s="1"/>
  <c r="S193" i="15" s="1"/>
  <c r="R193" i="15" s="1"/>
  <c r="U189" i="15"/>
  <c r="T189" i="15" s="1"/>
  <c r="S189" i="15" s="1"/>
  <c r="R189" i="15" s="1"/>
  <c r="U185" i="15"/>
  <c r="T185" i="15" s="1"/>
  <c r="S185" i="15" s="1"/>
  <c r="R185" i="15" s="1"/>
  <c r="U181" i="15"/>
  <c r="T181" i="15" s="1"/>
  <c r="S181" i="15" s="1"/>
  <c r="R181" i="15" s="1"/>
  <c r="U177" i="15"/>
  <c r="T177" i="15" s="1"/>
  <c r="S177" i="15" s="1"/>
  <c r="R177" i="15" s="1"/>
  <c r="U173" i="15"/>
  <c r="T173" i="15" s="1"/>
  <c r="S173" i="15" s="1"/>
  <c r="R173" i="15" s="1"/>
  <c r="U169" i="15"/>
  <c r="T169" i="15" s="1"/>
  <c r="S169" i="15" s="1"/>
  <c r="R169" i="15" s="1"/>
  <c r="U165" i="15"/>
  <c r="T165" i="15" s="1"/>
  <c r="S165" i="15" s="1"/>
  <c r="R165" i="15" s="1"/>
  <c r="U161" i="15"/>
  <c r="T161" i="15" s="1"/>
  <c r="S161" i="15" s="1"/>
  <c r="R161" i="15" s="1"/>
  <c r="U157" i="15"/>
  <c r="T157" i="15" s="1"/>
  <c r="S157" i="15" s="1"/>
  <c r="R157" i="15" s="1"/>
  <c r="U153" i="15"/>
  <c r="T153" i="15" s="1"/>
  <c r="S153" i="15" s="1"/>
  <c r="R153" i="15" s="1"/>
  <c r="U149" i="15"/>
  <c r="T149" i="15" s="1"/>
  <c r="S149" i="15" s="1"/>
  <c r="R149" i="15" s="1"/>
  <c r="U142" i="15"/>
  <c r="T142" i="15" s="1"/>
  <c r="S142" i="15" s="1"/>
  <c r="R142" i="15" s="1"/>
  <c r="U134" i="15"/>
  <c r="T134" i="15" s="1"/>
  <c r="S134" i="15" s="1"/>
  <c r="R134" i="15" s="1"/>
  <c r="U126" i="15"/>
  <c r="T126" i="15" s="1"/>
  <c r="S126" i="15" s="1"/>
  <c r="R126" i="15" s="1"/>
  <c r="U118" i="15"/>
  <c r="T118" i="15" s="1"/>
  <c r="S118" i="15" s="1"/>
  <c r="R118" i="15" s="1"/>
  <c r="U110" i="15"/>
  <c r="T110" i="15" s="1"/>
  <c r="S110" i="15" s="1"/>
  <c r="R110" i="15" s="1"/>
  <c r="U102" i="15"/>
  <c r="T102" i="15" s="1"/>
  <c r="S102" i="15" s="1"/>
  <c r="R102" i="15" s="1"/>
  <c r="U94" i="15"/>
  <c r="T94" i="15" s="1"/>
  <c r="S94" i="15" s="1"/>
  <c r="R94" i="15" s="1"/>
  <c r="U86" i="15"/>
  <c r="T86" i="15" s="1"/>
  <c r="S86" i="15" s="1"/>
  <c r="R86" i="15" s="1"/>
  <c r="U78" i="15"/>
  <c r="T78" i="15" s="1"/>
  <c r="S78" i="15" s="1"/>
  <c r="R78" i="15" s="1"/>
  <c r="U70" i="15"/>
  <c r="T70" i="15" s="1"/>
  <c r="S70" i="15" s="1"/>
  <c r="R70" i="15" s="1"/>
  <c r="U62" i="15"/>
  <c r="T62" i="15" s="1"/>
  <c r="S62" i="15" s="1"/>
  <c r="R62" i="15" s="1"/>
  <c r="U54" i="15"/>
  <c r="T54" i="15" s="1"/>
  <c r="S54" i="15" s="1"/>
  <c r="R54" i="15" s="1"/>
  <c r="U46" i="15"/>
  <c r="T46" i="15" s="1"/>
  <c r="S46" i="15" s="1"/>
  <c r="R46" i="15" s="1"/>
  <c r="U38" i="15"/>
  <c r="T38" i="15" s="1"/>
  <c r="S38" i="15" s="1"/>
  <c r="R38" i="15" s="1"/>
  <c r="U30" i="15"/>
  <c r="T30" i="15" s="1"/>
  <c r="U17" i="15"/>
  <c r="T17" i="15" s="1"/>
  <c r="S17" i="15" s="1"/>
  <c r="R17" i="15" s="1"/>
  <c r="Q376" i="15"/>
  <c r="Q344" i="15"/>
  <c r="Q312" i="15"/>
  <c r="Q280" i="15"/>
  <c r="P280" i="15" s="1"/>
  <c r="V280" i="15" s="1"/>
  <c r="Q236" i="15"/>
  <c r="Q144" i="15"/>
  <c r="H378" i="1"/>
  <c r="G378" i="1"/>
  <c r="BW378" i="6" s="1"/>
  <c r="D377" i="1"/>
  <c r="AJ3" i="1"/>
  <c r="O11" i="19" s="1"/>
  <c r="AY11" i="1"/>
  <c r="AZ11" i="1"/>
  <c r="AM7" i="15"/>
  <c r="AM11" i="15" s="1"/>
  <c r="AK9" i="15"/>
  <c r="AK7" i="15"/>
  <c r="AK11" i="15" s="1"/>
  <c r="AM9" i="15"/>
  <c r="Q37" i="15"/>
  <c r="Q76" i="15"/>
  <c r="Q104" i="15"/>
  <c r="Q120" i="15"/>
  <c r="P120" i="15" s="1"/>
  <c r="V120" i="15" s="1"/>
  <c r="Q136" i="15"/>
  <c r="Q152" i="15"/>
  <c r="Q168" i="15"/>
  <c r="Q184" i="15"/>
  <c r="Q200" i="15"/>
  <c r="Q208" i="15"/>
  <c r="Q216" i="15"/>
  <c r="Q224" i="15"/>
  <c r="Q232" i="15"/>
  <c r="Q240" i="15"/>
  <c r="Q248" i="15"/>
  <c r="Q256" i="15"/>
  <c r="Q262" i="15"/>
  <c r="P262" i="15" s="1"/>
  <c r="V262" i="15" s="1"/>
  <c r="Q266" i="15"/>
  <c r="Q270" i="15"/>
  <c r="P270" i="15" s="1"/>
  <c r="V270" i="15" s="1"/>
  <c r="Q274" i="15"/>
  <c r="Q278" i="15"/>
  <c r="P278" i="15" s="1"/>
  <c r="V278" i="15" s="1"/>
  <c r="Q282" i="15"/>
  <c r="Q286" i="15"/>
  <c r="P286" i="15" s="1"/>
  <c r="V286" i="15" s="1"/>
  <c r="Q290" i="15"/>
  <c r="Q294" i="15"/>
  <c r="Q298" i="15"/>
  <c r="Q302" i="15"/>
  <c r="P302" i="15" s="1"/>
  <c r="Q306" i="15"/>
  <c r="Q310" i="15"/>
  <c r="P310" i="15" s="1"/>
  <c r="V310" i="15" s="1"/>
  <c r="Q314" i="15"/>
  <c r="Q318" i="15"/>
  <c r="Q322" i="15"/>
  <c r="Q326" i="15"/>
  <c r="Q330" i="15"/>
  <c r="Q334" i="15"/>
  <c r="P334" i="15" s="1"/>
  <c r="V334" i="15" s="1"/>
  <c r="Q338" i="15"/>
  <c r="Q342" i="15"/>
  <c r="P342" i="15" s="1"/>
  <c r="V342" i="15" s="1"/>
  <c r="Q346" i="15"/>
  <c r="Q350" i="15"/>
  <c r="P350" i="15" s="1"/>
  <c r="V350" i="15" s="1"/>
  <c r="Q354" i="15"/>
  <c r="Q358" i="15"/>
  <c r="Q362" i="15"/>
  <c r="Q366" i="15"/>
  <c r="P366" i="15" s="1"/>
  <c r="V366" i="15" s="1"/>
  <c r="Q370" i="15"/>
  <c r="Q374" i="15"/>
  <c r="P374" i="15" s="1"/>
  <c r="V374" i="15" s="1"/>
  <c r="Q378" i="15"/>
  <c r="AM5" i="15"/>
  <c r="P224" i="15"/>
  <c r="V224" i="15" s="1"/>
  <c r="Q196" i="15"/>
  <c r="Q188" i="15"/>
  <c r="Q180" i="15"/>
  <c r="Q172" i="15"/>
  <c r="Q164" i="15"/>
  <c r="Q156" i="15"/>
  <c r="Q148" i="15"/>
  <c r="Q140" i="15"/>
  <c r="Q132" i="15"/>
  <c r="Q124" i="15"/>
  <c r="Q116" i="15"/>
  <c r="Q108" i="15"/>
  <c r="Q100" i="15"/>
  <c r="Q84" i="15"/>
  <c r="Q68" i="15"/>
  <c r="Q96" i="15"/>
  <c r="Q88" i="15"/>
  <c r="Q80" i="15"/>
  <c r="Q72" i="15"/>
  <c r="Q53" i="15"/>
  <c r="Q258" i="15"/>
  <c r="Q254" i="15"/>
  <c r="Q250" i="15"/>
  <c r="Q246" i="15"/>
  <c r="Q242" i="15"/>
  <c r="Q238" i="15"/>
  <c r="Q234" i="15"/>
  <c r="Q230" i="15"/>
  <c r="Q226" i="15"/>
  <c r="Q222" i="15"/>
  <c r="Q218" i="15"/>
  <c r="Q214" i="15"/>
  <c r="Q210" i="15"/>
  <c r="Q206" i="15"/>
  <c r="Q202" i="15"/>
  <c r="Q198" i="15"/>
  <c r="Q194" i="15"/>
  <c r="Q190" i="15"/>
  <c r="Q186" i="15"/>
  <c r="Q182" i="15"/>
  <c r="Q178" i="15"/>
  <c r="Q174" i="15"/>
  <c r="Q170" i="15"/>
  <c r="Q166" i="15"/>
  <c r="Q162" i="15"/>
  <c r="Q158" i="15"/>
  <c r="Q154" i="15"/>
  <c r="Q150" i="15"/>
  <c r="Q146" i="15"/>
  <c r="Q142" i="15"/>
  <c r="Q138" i="15"/>
  <c r="Q134" i="15"/>
  <c r="Q130" i="15"/>
  <c r="Q126" i="15"/>
  <c r="Q122" i="15"/>
  <c r="Q118" i="15"/>
  <c r="Q114" i="15"/>
  <c r="Q110" i="15"/>
  <c r="Q106" i="15"/>
  <c r="Q102" i="15"/>
  <c r="Q98" i="15"/>
  <c r="Q94" i="15"/>
  <c r="Q90" i="15"/>
  <c r="Q86" i="15"/>
  <c r="Q82" i="15"/>
  <c r="Q78" i="15"/>
  <c r="Q74" i="15"/>
  <c r="Q70" i="15"/>
  <c r="Q65" i="15"/>
  <c r="Q19" i="15"/>
  <c r="Q29" i="15"/>
  <c r="Q45" i="15"/>
  <c r="Q61" i="15"/>
  <c r="Q67" i="15"/>
  <c r="Q69" i="15"/>
  <c r="Q71" i="15"/>
  <c r="Q73" i="15"/>
  <c r="Q75" i="15"/>
  <c r="Q77" i="15"/>
  <c r="Q79" i="15"/>
  <c r="Q81" i="15"/>
  <c r="Q83" i="15"/>
  <c r="Q85" i="15"/>
  <c r="Q87" i="15"/>
  <c r="Q89" i="15"/>
  <c r="Q91" i="15"/>
  <c r="Q93" i="15"/>
  <c r="Q95" i="15"/>
  <c r="Q97" i="15"/>
  <c r="Q99" i="15"/>
  <c r="Q101" i="15"/>
  <c r="Q103" i="15"/>
  <c r="Q105" i="15"/>
  <c r="Q107" i="15"/>
  <c r="Q109" i="15"/>
  <c r="Q111" i="15"/>
  <c r="Q113" i="15"/>
  <c r="Q115" i="15"/>
  <c r="Q117" i="15"/>
  <c r="Q119" i="15"/>
  <c r="Q121" i="15"/>
  <c r="Q123" i="15"/>
  <c r="Q125" i="15"/>
  <c r="Q127" i="15"/>
  <c r="Q129" i="15"/>
  <c r="Q131" i="15"/>
  <c r="Q133" i="15"/>
  <c r="Q135" i="15"/>
  <c r="Q137" i="15"/>
  <c r="Q139" i="15"/>
  <c r="Q141" i="15"/>
  <c r="Q143" i="15"/>
  <c r="Q145" i="15"/>
  <c r="Q147" i="15"/>
  <c r="Q149" i="15"/>
  <c r="Q151" i="15"/>
  <c r="Q153" i="15"/>
  <c r="Q155" i="15"/>
  <c r="P155" i="15" s="1"/>
  <c r="V155" i="15" s="1"/>
  <c r="Q157" i="15"/>
  <c r="Q159" i="15"/>
  <c r="P159" i="15" s="1"/>
  <c r="V159" i="15" s="1"/>
  <c r="Q161" i="15"/>
  <c r="Q163" i="15"/>
  <c r="Q165" i="15"/>
  <c r="Q167" i="15"/>
  <c r="Q169" i="15"/>
  <c r="Q171" i="15"/>
  <c r="Q173" i="15"/>
  <c r="Q175" i="15"/>
  <c r="P175" i="15" s="1"/>
  <c r="V175" i="15" s="1"/>
  <c r="Q177" i="15"/>
  <c r="Q179" i="15"/>
  <c r="Q181" i="15"/>
  <c r="Q183" i="15"/>
  <c r="Q185" i="15"/>
  <c r="Q187" i="15"/>
  <c r="Q189" i="15"/>
  <c r="Q191" i="15"/>
  <c r="P191" i="15" s="1"/>
  <c r="V191" i="15" s="1"/>
  <c r="Q193" i="15"/>
  <c r="Q195" i="15"/>
  <c r="Q197" i="15"/>
  <c r="Q199" i="15"/>
  <c r="Q201" i="15"/>
  <c r="Q203" i="15"/>
  <c r="Q205" i="15"/>
  <c r="Q207" i="15"/>
  <c r="Q209" i="15"/>
  <c r="Q211" i="15"/>
  <c r="Q213" i="15"/>
  <c r="Q215" i="15"/>
  <c r="Q217" i="15"/>
  <c r="Q219" i="15"/>
  <c r="P219" i="15" s="1"/>
  <c r="V219" i="15" s="1"/>
  <c r="Q221" i="15"/>
  <c r="Q223" i="15"/>
  <c r="Q225" i="15"/>
  <c r="Q227" i="15"/>
  <c r="Q229" i="15"/>
  <c r="Q231" i="15"/>
  <c r="Q233" i="15"/>
  <c r="Q235" i="15"/>
  <c r="P235" i="15" s="1"/>
  <c r="V235" i="15" s="1"/>
  <c r="Q237" i="15"/>
  <c r="Q239" i="15"/>
  <c r="P239" i="15" s="1"/>
  <c r="V239" i="15" s="1"/>
  <c r="Q241" i="15"/>
  <c r="Q243" i="15"/>
  <c r="Q245" i="15"/>
  <c r="Q247" i="15"/>
  <c r="Q249" i="15"/>
  <c r="Q251" i="15"/>
  <c r="Q253" i="15"/>
  <c r="Q255" i="15"/>
  <c r="P255" i="15" s="1"/>
  <c r="V255" i="15" s="1"/>
  <c r="Q257" i="15"/>
  <c r="Q259" i="15"/>
  <c r="Q261" i="15"/>
  <c r="Q263" i="15"/>
  <c r="Q265" i="15"/>
  <c r="Q267" i="15"/>
  <c r="Q269" i="15"/>
  <c r="Q271" i="15"/>
  <c r="Q273" i="15"/>
  <c r="Q275" i="15"/>
  <c r="Q277" i="15"/>
  <c r="Q279" i="15"/>
  <c r="Q281" i="15"/>
  <c r="Q283" i="15"/>
  <c r="P283" i="15" s="1"/>
  <c r="V283" i="15" s="1"/>
  <c r="Q285" i="15"/>
  <c r="Q287" i="15"/>
  <c r="P287" i="15" s="1"/>
  <c r="V287" i="15" s="1"/>
  <c r="Q289" i="15"/>
  <c r="Q291" i="15"/>
  <c r="Q293" i="15"/>
  <c r="Q295" i="15"/>
  <c r="Q297" i="15"/>
  <c r="Q299" i="15"/>
  <c r="P299" i="15" s="1"/>
  <c r="V299" i="15" s="1"/>
  <c r="Q301" i="15"/>
  <c r="Q303" i="15"/>
  <c r="P303" i="15" s="1"/>
  <c r="V303" i="15" s="1"/>
  <c r="Q305" i="15"/>
  <c r="Q307" i="15"/>
  <c r="Q309" i="15"/>
  <c r="Q311" i="15"/>
  <c r="Q313" i="15"/>
  <c r="Q315" i="15"/>
  <c r="Q317" i="15"/>
  <c r="Q319" i="15"/>
  <c r="P319" i="15" s="1"/>
  <c r="V319" i="15" s="1"/>
  <c r="Q321" i="15"/>
  <c r="Q323" i="15"/>
  <c r="Q325" i="15"/>
  <c r="Q327" i="15"/>
  <c r="Q329" i="15"/>
  <c r="Q331" i="15"/>
  <c r="P331" i="15" s="1"/>
  <c r="V331" i="15" s="1"/>
  <c r="Q333" i="15"/>
  <c r="Q335" i="15"/>
  <c r="P335" i="15" s="1"/>
  <c r="V335" i="15" s="1"/>
  <c r="Q337" i="15"/>
  <c r="Q339" i="15"/>
  <c r="Q341" i="15"/>
  <c r="Q343" i="15"/>
  <c r="Q345" i="15"/>
  <c r="Q347" i="15"/>
  <c r="P347" i="15" s="1"/>
  <c r="V347" i="15" s="1"/>
  <c r="Q349" i="15"/>
  <c r="Q351" i="15"/>
  <c r="P351" i="15" s="1"/>
  <c r="V351" i="15" s="1"/>
  <c r="Q353" i="15"/>
  <c r="Q355" i="15"/>
  <c r="Q357" i="15"/>
  <c r="Q359" i="15"/>
  <c r="Q361" i="15"/>
  <c r="Q363" i="15"/>
  <c r="P363" i="15" s="1"/>
  <c r="Q365" i="15"/>
  <c r="Q367" i="15"/>
  <c r="P367" i="15" s="1"/>
  <c r="V367" i="15" s="1"/>
  <c r="Q369" i="15"/>
  <c r="Q371" i="15"/>
  <c r="Q373" i="15"/>
  <c r="Q375" i="15"/>
  <c r="Q377" i="15"/>
  <c r="Q379" i="15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AC383" i="15"/>
  <c r="AC381" i="15"/>
  <c r="O382" i="15"/>
  <c r="O383" i="15"/>
  <c r="Q66" i="15"/>
  <c r="P66" i="15" s="1"/>
  <c r="V66" i="15" s="1"/>
  <c r="Q63" i="15"/>
  <c r="Q57" i="15"/>
  <c r="P57" i="15" s="1"/>
  <c r="V57" i="15" s="1"/>
  <c r="Q49" i="15"/>
  <c r="Q41" i="15"/>
  <c r="Q33" i="15"/>
  <c r="Q25" i="15"/>
  <c r="P25" i="15" s="1"/>
  <c r="V25" i="15" s="1"/>
  <c r="Q59" i="15"/>
  <c r="Q55" i="15"/>
  <c r="Q51" i="15"/>
  <c r="Q47" i="15"/>
  <c r="Q43" i="15"/>
  <c r="Q39" i="15"/>
  <c r="Q35" i="15"/>
  <c r="Q31" i="15"/>
  <c r="Q27" i="15"/>
  <c r="AC382" i="17"/>
  <c r="AC383" i="17"/>
  <c r="AC381" i="17"/>
  <c r="R379" i="1"/>
  <c r="S381" i="1"/>
  <c r="S382" i="1"/>
  <c r="S383" i="1"/>
  <c r="L380" i="16"/>
  <c r="AB380" i="16"/>
  <c r="AK380" i="16"/>
  <c r="O380" i="16"/>
  <c r="X380" i="16"/>
  <c r="K380" i="16"/>
  <c r="AJ380" i="16"/>
  <c r="AC380" i="16"/>
  <c r="AH376" i="15"/>
  <c r="AH372" i="15"/>
  <c r="AG368" i="15"/>
  <c r="AF368" i="15" s="1"/>
  <c r="AG360" i="15"/>
  <c r="AF360" i="15" s="1"/>
  <c r="AG344" i="15"/>
  <c r="AF344" i="15" s="1"/>
  <c r="AG340" i="15"/>
  <c r="AF340" i="15" s="1"/>
  <c r="AG336" i="15"/>
  <c r="AF336" i="15" s="1"/>
  <c r="AH328" i="15"/>
  <c r="AH312" i="15"/>
  <c r="AH308" i="15"/>
  <c r="AH304" i="15"/>
  <c r="AH296" i="15"/>
  <c r="AG280" i="15"/>
  <c r="AF280" i="15" s="1"/>
  <c r="AH276" i="15"/>
  <c r="AH272" i="15"/>
  <c r="AG264" i="15"/>
  <c r="AF264" i="15" s="1"/>
  <c r="AH248" i="15"/>
  <c r="AG244" i="15"/>
  <c r="AF244" i="15" s="1"/>
  <c r="AG240" i="15"/>
  <c r="AF240" i="15" s="1"/>
  <c r="AH232" i="15"/>
  <c r="AG216" i="15"/>
  <c r="AF216" i="15" s="1"/>
  <c r="AH212" i="15"/>
  <c r="AH208" i="15"/>
  <c r="AH194" i="15"/>
  <c r="AH188" i="15"/>
  <c r="AH180" i="15"/>
  <c r="AH172" i="15"/>
  <c r="AG164" i="15"/>
  <c r="AF164" i="15" s="1"/>
  <c r="AG162" i="15"/>
  <c r="AF162" i="15" s="1"/>
  <c r="AH146" i="15"/>
  <c r="AG130" i="15"/>
  <c r="AF130" i="15" s="1"/>
  <c r="AG124" i="15"/>
  <c r="AF124" i="15" s="1"/>
  <c r="AH116" i="15"/>
  <c r="AH114" i="15"/>
  <c r="AH108" i="15"/>
  <c r="AH100" i="15"/>
  <c r="AG98" i="15"/>
  <c r="AF98" i="15" s="1"/>
  <c r="AH90" i="15"/>
  <c r="AH82" i="15"/>
  <c r="AH66" i="15"/>
  <c r="AH60" i="15"/>
  <c r="AH52" i="15"/>
  <c r="AG44" i="15"/>
  <c r="AF44" i="15" s="1"/>
  <c r="AG36" i="15"/>
  <c r="AF36" i="15" s="1"/>
  <c r="AH30" i="15"/>
  <c r="AB378" i="20"/>
  <c r="X378" i="20"/>
  <c r="AK378" i="20"/>
  <c r="K378" i="20"/>
  <c r="A379" i="20"/>
  <c r="L378" i="20"/>
  <c r="AJ378" i="20"/>
  <c r="O378" i="20"/>
  <c r="AC378" i="20"/>
  <c r="AM5" i="17"/>
  <c r="AK5" i="17"/>
  <c r="AK7" i="17"/>
  <c r="AK11" i="17" s="1"/>
  <c r="AM9" i="17"/>
  <c r="AK9" i="17"/>
  <c r="AM7" i="17"/>
  <c r="AM11" i="17" s="1"/>
  <c r="L382" i="17"/>
  <c r="L381" i="17"/>
  <c r="L383" i="17"/>
  <c r="S223" i="15"/>
  <c r="R223" i="15" s="1"/>
  <c r="S203" i="15"/>
  <c r="R203" i="15" s="1"/>
  <c r="S171" i="15"/>
  <c r="R171" i="15" s="1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P18" i="15" s="1"/>
  <c r="Q15" i="15"/>
  <c r="Q20" i="15"/>
  <c r="P20" i="15" s="1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H361" i="15"/>
  <c r="AH297" i="15"/>
  <c r="AH233" i="15"/>
  <c r="AG169" i="15"/>
  <c r="AF169" i="15" s="1"/>
  <c r="AH121" i="15"/>
  <c r="AG89" i="15"/>
  <c r="AF89" i="15" s="1"/>
  <c r="AG57" i="15"/>
  <c r="AF57" i="15" s="1"/>
  <c r="AG21" i="15"/>
  <c r="AF21" i="15" s="1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C39" i="19" s="1"/>
  <c r="AC379" i="18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358" i="15"/>
  <c r="R358" i="15" s="1"/>
  <c r="S318" i="15"/>
  <c r="R318" i="15" s="1"/>
  <c r="S294" i="15"/>
  <c r="R294" i="15" s="1"/>
  <c r="S254" i="15"/>
  <c r="R254" i="15" s="1"/>
  <c r="S138" i="15"/>
  <c r="R138" i="15" s="1"/>
  <c r="S56" i="15"/>
  <c r="R56" i="15" s="1"/>
  <c r="S34" i="15"/>
  <c r="R34" i="15" s="1"/>
  <c r="S30" i="15"/>
  <c r="R30" i="15" s="1"/>
  <c r="T15" i="15"/>
  <c r="Q64" i="15"/>
  <c r="Q62" i="15"/>
  <c r="Q60" i="15"/>
  <c r="Q58" i="15"/>
  <c r="Q56" i="15"/>
  <c r="Q54" i="15"/>
  <c r="Q52" i="15"/>
  <c r="Q50" i="15"/>
  <c r="Q48" i="15"/>
  <c r="Q46" i="15"/>
  <c r="Q44" i="15"/>
  <c r="Q42" i="15"/>
  <c r="P42" i="15" s="1"/>
  <c r="Q40" i="15"/>
  <c r="Q38" i="15"/>
  <c r="Q36" i="15"/>
  <c r="Q34" i="15"/>
  <c r="Q32" i="15"/>
  <c r="Q30" i="15"/>
  <c r="Q28" i="15"/>
  <c r="Q26" i="15"/>
  <c r="Q16" i="15"/>
  <c r="Q22" i="15"/>
  <c r="Q23" i="15"/>
  <c r="Q24" i="15"/>
  <c r="Q21" i="15"/>
  <c r="P333" i="15" l="1"/>
  <c r="V333" i="15" s="1"/>
  <c r="U12" i="16"/>
  <c r="O16" i="7" s="1"/>
  <c r="P130" i="15"/>
  <c r="V130" i="15" s="1"/>
  <c r="B130" i="15" s="1"/>
  <c r="P36" i="15"/>
  <c r="V36" i="15" s="1"/>
  <c r="P44" i="15"/>
  <c r="V44" i="15" s="1"/>
  <c r="P52" i="15"/>
  <c r="V52" i="15" s="1"/>
  <c r="P60" i="15"/>
  <c r="J16" i="7"/>
  <c r="P11" i="7" s="1"/>
  <c r="U11" i="16" s="1"/>
  <c r="U10" i="16" s="1"/>
  <c r="AI12" i="16"/>
  <c r="P55" i="15"/>
  <c r="V55" i="15" s="1"/>
  <c r="B55" i="15" s="1"/>
  <c r="P31" i="15"/>
  <c r="V31" i="15" s="1"/>
  <c r="B31" i="15" s="1"/>
  <c r="P47" i="15"/>
  <c r="V47" i="15" s="1"/>
  <c r="B47" i="15" s="1"/>
  <c r="P371" i="15"/>
  <c r="V371" i="15" s="1"/>
  <c r="B371" i="15" s="1"/>
  <c r="P339" i="15"/>
  <c r="V339" i="15" s="1"/>
  <c r="B339" i="15" s="1"/>
  <c r="P315" i="15"/>
  <c r="V315" i="15" s="1"/>
  <c r="B315" i="15" s="1"/>
  <c r="P307" i="15"/>
  <c r="V307" i="15" s="1"/>
  <c r="B307" i="15" s="1"/>
  <c r="P275" i="15"/>
  <c r="V275" i="15" s="1"/>
  <c r="B275" i="15" s="1"/>
  <c r="P267" i="15"/>
  <c r="V267" i="15" s="1"/>
  <c r="B267" i="15" s="1"/>
  <c r="P251" i="15"/>
  <c r="V251" i="15" s="1"/>
  <c r="B251" i="15" s="1"/>
  <c r="P243" i="15"/>
  <c r="V243" i="15" s="1"/>
  <c r="B243" i="15" s="1"/>
  <c r="P211" i="15"/>
  <c r="V211" i="15" s="1"/>
  <c r="B211" i="15" s="1"/>
  <c r="P187" i="15"/>
  <c r="V187" i="15" s="1"/>
  <c r="B187" i="15" s="1"/>
  <c r="P179" i="15"/>
  <c r="V179" i="15" s="1"/>
  <c r="B179" i="15" s="1"/>
  <c r="P232" i="15"/>
  <c r="V232" i="15" s="1"/>
  <c r="B232" i="15" s="1"/>
  <c r="P216" i="15"/>
  <c r="V216" i="15" s="1"/>
  <c r="B216" i="15" s="1"/>
  <c r="P200" i="15"/>
  <c r="V200" i="15" s="1"/>
  <c r="B200" i="15" s="1"/>
  <c r="P168" i="15"/>
  <c r="V168" i="15" s="1"/>
  <c r="B168" i="15" s="1"/>
  <c r="P298" i="15"/>
  <c r="V298" i="15" s="1"/>
  <c r="P32" i="15"/>
  <c r="V32" i="15" s="1"/>
  <c r="P40" i="15"/>
  <c r="V40" i="15" s="1"/>
  <c r="P48" i="15"/>
  <c r="V48" i="15" s="1"/>
  <c r="P64" i="15"/>
  <c r="V64" i="15" s="1"/>
  <c r="P272" i="15"/>
  <c r="V272" i="15" s="1"/>
  <c r="P39" i="15"/>
  <c r="V39" i="15" s="1"/>
  <c r="B39" i="15" s="1"/>
  <c r="L36" i="19"/>
  <c r="P74" i="15"/>
  <c r="V74" i="15" s="1"/>
  <c r="B74" i="15" s="1"/>
  <c r="P106" i="15"/>
  <c r="V106" i="15" s="1"/>
  <c r="B106" i="15" s="1"/>
  <c r="P360" i="15"/>
  <c r="V360" i="15" s="1"/>
  <c r="B360" i="15" s="1"/>
  <c r="P345" i="15"/>
  <c r="V345" i="15" s="1"/>
  <c r="B345" i="15" s="1"/>
  <c r="P21" i="15"/>
  <c r="V21" i="15" s="1"/>
  <c r="P277" i="15"/>
  <c r="V277" i="15" s="1"/>
  <c r="B277" i="15" s="1"/>
  <c r="L38" i="19"/>
  <c r="P24" i="15"/>
  <c r="V24" i="15" s="1"/>
  <c r="P63" i="15"/>
  <c r="V63" i="15" s="1"/>
  <c r="B63" i="15" s="1"/>
  <c r="P373" i="15"/>
  <c r="V373" i="15" s="1"/>
  <c r="B373" i="15" s="1"/>
  <c r="P357" i="15"/>
  <c r="V357" i="15" s="1"/>
  <c r="B357" i="15" s="1"/>
  <c r="P349" i="15"/>
  <c r="V349" i="15" s="1"/>
  <c r="B349" i="15" s="1"/>
  <c r="P341" i="15"/>
  <c r="V341" i="15" s="1"/>
  <c r="B341" i="15" s="1"/>
  <c r="P325" i="15"/>
  <c r="V325" i="15" s="1"/>
  <c r="B325" i="15" s="1"/>
  <c r="P317" i="15"/>
  <c r="V317" i="15" s="1"/>
  <c r="B317" i="15" s="1"/>
  <c r="P309" i="15"/>
  <c r="V309" i="15" s="1"/>
  <c r="B309" i="15" s="1"/>
  <c r="P301" i="15"/>
  <c r="V301" i="15" s="1"/>
  <c r="B301" i="15" s="1"/>
  <c r="P293" i="15"/>
  <c r="V293" i="15" s="1"/>
  <c r="B293" i="15" s="1"/>
  <c r="P285" i="15"/>
  <c r="V285" i="15" s="1"/>
  <c r="B285" i="15" s="1"/>
  <c r="P261" i="15"/>
  <c r="V261" i="15" s="1"/>
  <c r="B261" i="15" s="1"/>
  <c r="P253" i="15"/>
  <c r="V253" i="15" s="1"/>
  <c r="B253" i="15" s="1"/>
  <c r="P245" i="15"/>
  <c r="V245" i="15" s="1"/>
  <c r="B245" i="15" s="1"/>
  <c r="P237" i="15"/>
  <c r="V237" i="15" s="1"/>
  <c r="B237" i="15" s="1"/>
  <c r="P229" i="15"/>
  <c r="V229" i="15" s="1"/>
  <c r="B229" i="15" s="1"/>
  <c r="P221" i="15"/>
  <c r="V221" i="15" s="1"/>
  <c r="B221" i="15" s="1"/>
  <c r="P213" i="15"/>
  <c r="V213" i="15" s="1"/>
  <c r="B213" i="15" s="1"/>
  <c r="P205" i="15"/>
  <c r="V205" i="15" s="1"/>
  <c r="B205" i="15" s="1"/>
  <c r="P189" i="15"/>
  <c r="V189" i="15" s="1"/>
  <c r="B189" i="15" s="1"/>
  <c r="P181" i="15"/>
  <c r="V181" i="15" s="1"/>
  <c r="B181" i="15" s="1"/>
  <c r="P173" i="15"/>
  <c r="V173" i="15" s="1"/>
  <c r="B173" i="15" s="1"/>
  <c r="P157" i="15"/>
  <c r="V157" i="15" s="1"/>
  <c r="B157" i="15" s="1"/>
  <c r="P149" i="15"/>
  <c r="V149" i="15" s="1"/>
  <c r="B149" i="15" s="1"/>
  <c r="P82" i="15"/>
  <c r="V82" i="15" s="1"/>
  <c r="B82" i="15" s="1"/>
  <c r="P98" i="15"/>
  <c r="V98" i="15" s="1"/>
  <c r="B98" i="15" s="1"/>
  <c r="P146" i="15"/>
  <c r="V146" i="15" s="1"/>
  <c r="B146" i="15" s="1"/>
  <c r="P68" i="15"/>
  <c r="V68" i="15" s="1"/>
  <c r="B68" i="15" s="1"/>
  <c r="P116" i="15"/>
  <c r="V116" i="15" s="1"/>
  <c r="B116" i="15" s="1"/>
  <c r="P132" i="15"/>
  <c r="V132" i="15" s="1"/>
  <c r="B132" i="15" s="1"/>
  <c r="P148" i="15"/>
  <c r="V148" i="15" s="1"/>
  <c r="B148" i="15" s="1"/>
  <c r="P164" i="15"/>
  <c r="V164" i="15" s="1"/>
  <c r="B164" i="15" s="1"/>
  <c r="P180" i="15"/>
  <c r="V180" i="15" s="1"/>
  <c r="B180" i="15" s="1"/>
  <c r="P196" i="15"/>
  <c r="V196" i="15" s="1"/>
  <c r="B196" i="15" s="1"/>
  <c r="P204" i="15"/>
  <c r="V204" i="15" s="1"/>
  <c r="B204" i="15" s="1"/>
  <c r="P268" i="15"/>
  <c r="V268" i="15" s="1"/>
  <c r="B268" i="15" s="1"/>
  <c r="P184" i="15"/>
  <c r="V184" i="15" s="1"/>
  <c r="B184" i="15" s="1"/>
  <c r="P364" i="15"/>
  <c r="V364" i="15" s="1"/>
  <c r="B364" i="15" s="1"/>
  <c r="P236" i="15"/>
  <c r="V236" i="15" s="1"/>
  <c r="B236" i="15" s="1"/>
  <c r="P193" i="15"/>
  <c r="V193" i="15" s="1"/>
  <c r="B193" i="15" s="1"/>
  <c r="P362" i="15"/>
  <c r="V362" i="15" s="1"/>
  <c r="P150" i="15"/>
  <c r="V150" i="15" s="1"/>
  <c r="B150" i="15" s="1"/>
  <c r="P45" i="15"/>
  <c r="V45" i="15" s="1"/>
  <c r="B45" i="15" s="1"/>
  <c r="U383" i="15"/>
  <c r="P348" i="15"/>
  <c r="V348" i="15" s="1"/>
  <c r="B348" i="15" s="1"/>
  <c r="P332" i="15"/>
  <c r="V332" i="15" s="1"/>
  <c r="B332" i="15" s="1"/>
  <c r="P300" i="15"/>
  <c r="V300" i="15" s="1"/>
  <c r="B300" i="15" s="1"/>
  <c r="P244" i="15"/>
  <c r="V244" i="15" s="1"/>
  <c r="B244" i="15" s="1"/>
  <c r="P212" i="15"/>
  <c r="V212" i="15" s="1"/>
  <c r="B212" i="15" s="1"/>
  <c r="P160" i="15"/>
  <c r="V160" i="15" s="1"/>
  <c r="B160" i="15" s="1"/>
  <c r="S290" i="15"/>
  <c r="R290" i="15" s="1"/>
  <c r="P290" i="15" s="1"/>
  <c r="V290" i="15" s="1"/>
  <c r="B290" i="15" s="1"/>
  <c r="S274" i="15"/>
  <c r="R274" i="15" s="1"/>
  <c r="P274" i="15" s="1"/>
  <c r="V274" i="15" s="1"/>
  <c r="B274" i="15" s="1"/>
  <c r="S266" i="15"/>
  <c r="R266" i="15" s="1"/>
  <c r="P266" i="15" s="1"/>
  <c r="V266" i="15" s="1"/>
  <c r="B266" i="15" s="1"/>
  <c r="S112" i="15"/>
  <c r="R112" i="15" s="1"/>
  <c r="P112" i="15" s="1"/>
  <c r="V112" i="15" s="1"/>
  <c r="B112" i="15" s="1"/>
  <c r="AI381" i="15"/>
  <c r="P46" i="15"/>
  <c r="V46" i="15" s="1"/>
  <c r="P50" i="15"/>
  <c r="V50" i="15" s="1"/>
  <c r="P58" i="15"/>
  <c r="V58" i="15" s="1"/>
  <c r="P62" i="15"/>
  <c r="V62" i="15" s="1"/>
  <c r="U382" i="15"/>
  <c r="P92" i="15"/>
  <c r="V92" i="15" s="1"/>
  <c r="B92" i="15" s="1"/>
  <c r="P284" i="15"/>
  <c r="V284" i="15" s="1"/>
  <c r="B284" i="15" s="1"/>
  <c r="P296" i="15"/>
  <c r="V296" i="15" s="1"/>
  <c r="B296" i="15" s="1"/>
  <c r="P316" i="15"/>
  <c r="V316" i="15" s="1"/>
  <c r="B316" i="15" s="1"/>
  <c r="AH16" i="15"/>
  <c r="AH383" i="15" s="1"/>
  <c r="P41" i="15"/>
  <c r="V41" i="15" s="1"/>
  <c r="B41" i="15" s="1"/>
  <c r="J15" i="7"/>
  <c r="Q12" i="16"/>
  <c r="Q10" i="16" s="1"/>
  <c r="Q23" i="16" s="1"/>
  <c r="P375" i="15"/>
  <c r="V375" i="15" s="1"/>
  <c r="B375" i="15" s="1"/>
  <c r="P359" i="15"/>
  <c r="V359" i="15" s="1"/>
  <c r="B359" i="15" s="1"/>
  <c r="P355" i="15"/>
  <c r="V355" i="15" s="1"/>
  <c r="B355" i="15" s="1"/>
  <c r="P343" i="15"/>
  <c r="V343" i="15" s="1"/>
  <c r="B343" i="15" s="1"/>
  <c r="P327" i="15"/>
  <c r="V327" i="15" s="1"/>
  <c r="B327" i="15" s="1"/>
  <c r="P323" i="15"/>
  <c r="V323" i="15" s="1"/>
  <c r="B323" i="15" s="1"/>
  <c r="P311" i="15"/>
  <c r="V311" i="15" s="1"/>
  <c r="B311" i="15" s="1"/>
  <c r="P295" i="15"/>
  <c r="V295" i="15" s="1"/>
  <c r="B295" i="15" s="1"/>
  <c r="P291" i="15"/>
  <c r="V291" i="15" s="1"/>
  <c r="B291" i="15" s="1"/>
  <c r="P279" i="15"/>
  <c r="V279" i="15" s="1"/>
  <c r="B279" i="15" s="1"/>
  <c r="P263" i="15"/>
  <c r="V263" i="15" s="1"/>
  <c r="B263" i="15" s="1"/>
  <c r="P259" i="15"/>
  <c r="V259" i="15" s="1"/>
  <c r="B259" i="15" s="1"/>
  <c r="P247" i="15"/>
  <c r="V247" i="15" s="1"/>
  <c r="B247" i="15" s="1"/>
  <c r="P215" i="15"/>
  <c r="V215" i="15" s="1"/>
  <c r="B215" i="15" s="1"/>
  <c r="P199" i="15"/>
  <c r="V199" i="15" s="1"/>
  <c r="B199" i="15" s="1"/>
  <c r="P195" i="15"/>
  <c r="V195" i="15" s="1"/>
  <c r="B195" i="15" s="1"/>
  <c r="P183" i="15"/>
  <c r="V183" i="15" s="1"/>
  <c r="B183" i="15" s="1"/>
  <c r="P167" i="15"/>
  <c r="V167" i="15" s="1"/>
  <c r="B167" i="15" s="1"/>
  <c r="P163" i="15"/>
  <c r="V163" i="15" s="1"/>
  <c r="B163" i="15" s="1"/>
  <c r="P151" i="15"/>
  <c r="V151" i="15" s="1"/>
  <c r="B151" i="15" s="1"/>
  <c r="P78" i="15"/>
  <c r="V78" i="15" s="1"/>
  <c r="B78" i="15" s="1"/>
  <c r="P94" i="15"/>
  <c r="V94" i="15" s="1"/>
  <c r="B94" i="15" s="1"/>
  <c r="P110" i="15"/>
  <c r="V110" i="15" s="1"/>
  <c r="B110" i="15" s="1"/>
  <c r="P126" i="15"/>
  <c r="V126" i="15" s="1"/>
  <c r="B126" i="15" s="1"/>
  <c r="P142" i="15"/>
  <c r="V142" i="15" s="1"/>
  <c r="B142" i="15" s="1"/>
  <c r="P158" i="15"/>
  <c r="V158" i="15" s="1"/>
  <c r="B158" i="15" s="1"/>
  <c r="P166" i="15"/>
  <c r="V166" i="15" s="1"/>
  <c r="B166" i="15" s="1"/>
  <c r="P174" i="15"/>
  <c r="V174" i="15" s="1"/>
  <c r="B174" i="15" s="1"/>
  <c r="P182" i="15"/>
  <c r="V182" i="15" s="1"/>
  <c r="B182" i="15" s="1"/>
  <c r="P190" i="15"/>
  <c r="V190" i="15" s="1"/>
  <c r="B190" i="15" s="1"/>
  <c r="P198" i="15"/>
  <c r="V198" i="15" s="1"/>
  <c r="B198" i="15" s="1"/>
  <c r="P206" i="15"/>
  <c r="V206" i="15" s="1"/>
  <c r="B206" i="15" s="1"/>
  <c r="P222" i="15"/>
  <c r="V222" i="15" s="1"/>
  <c r="B222" i="15" s="1"/>
  <c r="P230" i="15"/>
  <c r="V230" i="15" s="1"/>
  <c r="B230" i="15" s="1"/>
  <c r="P238" i="15"/>
  <c r="V238" i="15" s="1"/>
  <c r="B238" i="15" s="1"/>
  <c r="P246" i="15"/>
  <c r="V246" i="15" s="1"/>
  <c r="B246" i="15" s="1"/>
  <c r="P53" i="15"/>
  <c r="V53" i="15" s="1"/>
  <c r="B53" i="15" s="1"/>
  <c r="P80" i="15"/>
  <c r="V80" i="15" s="1"/>
  <c r="B80" i="15" s="1"/>
  <c r="P96" i="15"/>
  <c r="V96" i="15" s="1"/>
  <c r="B96" i="15" s="1"/>
  <c r="P104" i="15"/>
  <c r="V104" i="15" s="1"/>
  <c r="B104" i="15" s="1"/>
  <c r="P282" i="15"/>
  <c r="V282" i="15" s="1"/>
  <c r="B282" i="15" s="1"/>
  <c r="P143" i="15"/>
  <c r="V143" i="15" s="1"/>
  <c r="B143" i="15" s="1"/>
  <c r="P271" i="15"/>
  <c r="V271" i="15" s="1"/>
  <c r="B271" i="15" s="1"/>
  <c r="P33" i="15"/>
  <c r="V33" i="15" s="1"/>
  <c r="B33" i="15" s="1"/>
  <c r="P49" i="15"/>
  <c r="V49" i="15" s="1"/>
  <c r="B49" i="15" s="1"/>
  <c r="P377" i="15"/>
  <c r="V377" i="15" s="1"/>
  <c r="B377" i="15" s="1"/>
  <c r="P369" i="15"/>
  <c r="V369" i="15" s="1"/>
  <c r="B369" i="15" s="1"/>
  <c r="P361" i="15"/>
  <c r="V361" i="15" s="1"/>
  <c r="B361" i="15" s="1"/>
  <c r="P353" i="15"/>
  <c r="V353" i="15" s="1"/>
  <c r="B353" i="15" s="1"/>
  <c r="P329" i="15"/>
  <c r="V329" i="15" s="1"/>
  <c r="B329" i="15" s="1"/>
  <c r="P321" i="15"/>
  <c r="V321" i="15" s="1"/>
  <c r="B321" i="15" s="1"/>
  <c r="P313" i="15"/>
  <c r="V313" i="15" s="1"/>
  <c r="B313" i="15" s="1"/>
  <c r="P305" i="15"/>
  <c r="V305" i="15" s="1"/>
  <c r="B305" i="15" s="1"/>
  <c r="P289" i="15"/>
  <c r="V289" i="15" s="1"/>
  <c r="B289" i="15" s="1"/>
  <c r="P281" i="15"/>
  <c r="V281" i="15" s="1"/>
  <c r="B281" i="15" s="1"/>
  <c r="P273" i="15"/>
  <c r="V273" i="15" s="1"/>
  <c r="B273" i="15" s="1"/>
  <c r="P265" i="15"/>
  <c r="V265" i="15" s="1"/>
  <c r="B265" i="15" s="1"/>
  <c r="P257" i="15"/>
  <c r="V257" i="15" s="1"/>
  <c r="B257" i="15" s="1"/>
  <c r="P249" i="15"/>
  <c r="V249" i="15" s="1"/>
  <c r="B249" i="15" s="1"/>
  <c r="P241" i="15"/>
  <c r="D39" i="7" s="1"/>
  <c r="P225" i="15"/>
  <c r="V225" i="15" s="1"/>
  <c r="B225" i="15" s="1"/>
  <c r="P217" i="15"/>
  <c r="V217" i="15" s="1"/>
  <c r="B217" i="15" s="1"/>
  <c r="P209" i="15"/>
  <c r="V209" i="15" s="1"/>
  <c r="B209" i="15" s="1"/>
  <c r="P201" i="15"/>
  <c r="V201" i="15" s="1"/>
  <c r="B201" i="15" s="1"/>
  <c r="P185" i="15"/>
  <c r="V185" i="15" s="1"/>
  <c r="B185" i="15" s="1"/>
  <c r="P177" i="15"/>
  <c r="V177" i="15" s="1"/>
  <c r="B177" i="15" s="1"/>
  <c r="P169" i="15"/>
  <c r="V169" i="15" s="1"/>
  <c r="B169" i="15" s="1"/>
  <c r="P161" i="15"/>
  <c r="V161" i="15" s="1"/>
  <c r="B161" i="15" s="1"/>
  <c r="P153" i="15"/>
  <c r="V153" i="15" s="1"/>
  <c r="B153" i="15" s="1"/>
  <c r="P141" i="15"/>
  <c r="V141" i="15" s="1"/>
  <c r="B141" i="15" s="1"/>
  <c r="P133" i="15"/>
  <c r="V133" i="15" s="1"/>
  <c r="B133" i="15" s="1"/>
  <c r="P129" i="15"/>
  <c r="V129" i="15" s="1"/>
  <c r="B129" i="15" s="1"/>
  <c r="P125" i="15"/>
  <c r="V125" i="15" s="1"/>
  <c r="B125" i="15" s="1"/>
  <c r="P121" i="15"/>
  <c r="V121" i="15" s="1"/>
  <c r="B121" i="15" s="1"/>
  <c r="P117" i="15"/>
  <c r="V117" i="15" s="1"/>
  <c r="B117" i="15" s="1"/>
  <c r="P113" i="15"/>
  <c r="V113" i="15" s="1"/>
  <c r="B113" i="15" s="1"/>
  <c r="P109" i="15"/>
  <c r="V109" i="15" s="1"/>
  <c r="B109" i="15" s="1"/>
  <c r="P105" i="15"/>
  <c r="V105" i="15" s="1"/>
  <c r="B105" i="15" s="1"/>
  <c r="P97" i="15"/>
  <c r="V97" i="15" s="1"/>
  <c r="B97" i="15" s="1"/>
  <c r="P93" i="15"/>
  <c r="V93" i="15" s="1"/>
  <c r="B93" i="15" s="1"/>
  <c r="P89" i="15"/>
  <c r="V89" i="15" s="1"/>
  <c r="B89" i="15" s="1"/>
  <c r="P81" i="15"/>
  <c r="V81" i="15" s="1"/>
  <c r="B81" i="15" s="1"/>
  <c r="P77" i="15"/>
  <c r="V77" i="15" s="1"/>
  <c r="B77" i="15" s="1"/>
  <c r="P69" i="15"/>
  <c r="V69" i="15" s="1"/>
  <c r="B69" i="15" s="1"/>
  <c r="P61" i="15"/>
  <c r="V61" i="15" s="1"/>
  <c r="B61" i="15" s="1"/>
  <c r="P29" i="15"/>
  <c r="V29" i="15" s="1"/>
  <c r="B29" i="15" s="1"/>
  <c r="P65" i="15"/>
  <c r="V65" i="15" s="1"/>
  <c r="B65" i="15" s="1"/>
  <c r="P90" i="15"/>
  <c r="V90" i="15" s="1"/>
  <c r="B90" i="15" s="1"/>
  <c r="P114" i="15"/>
  <c r="V114" i="15" s="1"/>
  <c r="B114" i="15" s="1"/>
  <c r="P122" i="15"/>
  <c r="V122" i="15" s="1"/>
  <c r="B122" i="15" s="1"/>
  <c r="P154" i="15"/>
  <c r="V154" i="15" s="1"/>
  <c r="B154" i="15" s="1"/>
  <c r="P162" i="15"/>
  <c r="V162" i="15" s="1"/>
  <c r="B162" i="15" s="1"/>
  <c r="P170" i="15"/>
  <c r="V170" i="15" s="1"/>
  <c r="B170" i="15" s="1"/>
  <c r="P178" i="15"/>
  <c r="V178" i="15" s="1"/>
  <c r="B178" i="15" s="1"/>
  <c r="P186" i="15"/>
  <c r="V186" i="15" s="1"/>
  <c r="B186" i="15" s="1"/>
  <c r="P194" i="15"/>
  <c r="V194" i="15" s="1"/>
  <c r="B194" i="15" s="1"/>
  <c r="P202" i="15"/>
  <c r="V202" i="15" s="1"/>
  <c r="B202" i="15" s="1"/>
  <c r="P210" i="15"/>
  <c r="D38" i="7" s="1"/>
  <c r="P218" i="15"/>
  <c r="V218" i="15" s="1"/>
  <c r="B218" i="15" s="1"/>
  <c r="P226" i="15"/>
  <c r="V226" i="15" s="1"/>
  <c r="B226" i="15" s="1"/>
  <c r="P234" i="15"/>
  <c r="V234" i="15" s="1"/>
  <c r="B234" i="15" s="1"/>
  <c r="P242" i="15"/>
  <c r="V242" i="15" s="1"/>
  <c r="B242" i="15" s="1"/>
  <c r="P250" i="15"/>
  <c r="V250" i="15" s="1"/>
  <c r="B250" i="15" s="1"/>
  <c r="P258" i="15"/>
  <c r="V258" i="15" s="1"/>
  <c r="B258" i="15" s="1"/>
  <c r="P72" i="15"/>
  <c r="V72" i="15" s="1"/>
  <c r="B72" i="15" s="1"/>
  <c r="P88" i="15"/>
  <c r="V88" i="15" s="1"/>
  <c r="B88" i="15" s="1"/>
  <c r="P378" i="15"/>
  <c r="V378" i="15" s="1"/>
  <c r="B378" i="15" s="1"/>
  <c r="W378" i="15" s="1"/>
  <c r="P354" i="15"/>
  <c r="V354" i="15" s="1"/>
  <c r="B354" i="15" s="1"/>
  <c r="P346" i="15"/>
  <c r="V346" i="15" s="1"/>
  <c r="B346" i="15" s="1"/>
  <c r="P338" i="15"/>
  <c r="V338" i="15" s="1"/>
  <c r="B338" i="15" s="1"/>
  <c r="P330" i="15"/>
  <c r="V330" i="15" s="1"/>
  <c r="B330" i="15" s="1"/>
  <c r="P322" i="15"/>
  <c r="V322" i="15" s="1"/>
  <c r="B322" i="15" s="1"/>
  <c r="P314" i="15"/>
  <c r="V314" i="15" s="1"/>
  <c r="B314" i="15" s="1"/>
  <c r="P306" i="15"/>
  <c r="V306" i="15" s="1"/>
  <c r="B306" i="15" s="1"/>
  <c r="P144" i="15"/>
  <c r="V144" i="15" s="1"/>
  <c r="B144" i="15" s="1"/>
  <c r="AI383" i="15"/>
  <c r="P376" i="15"/>
  <c r="V376" i="15" s="1"/>
  <c r="B376" i="15" s="1"/>
  <c r="P368" i="15"/>
  <c r="V368" i="15" s="1"/>
  <c r="B368" i="15" s="1"/>
  <c r="P336" i="15"/>
  <c r="V336" i="15" s="1"/>
  <c r="B336" i="15" s="1"/>
  <c r="P304" i="15"/>
  <c r="V304" i="15" s="1"/>
  <c r="B304" i="15" s="1"/>
  <c r="P288" i="15"/>
  <c r="V288" i="15" s="1"/>
  <c r="B288" i="15" s="1"/>
  <c r="D288" i="15" s="1"/>
  <c r="E288" i="15" s="1"/>
  <c r="F288" i="15" s="1"/>
  <c r="P260" i="15"/>
  <c r="V260" i="15" s="1"/>
  <c r="B260" i="15" s="1"/>
  <c r="P128" i="15"/>
  <c r="V128" i="15" s="1"/>
  <c r="B128" i="15" s="1"/>
  <c r="P312" i="15"/>
  <c r="V312" i="15" s="1"/>
  <c r="B312" i="15" s="1"/>
  <c r="P100" i="15"/>
  <c r="V100" i="15" s="1"/>
  <c r="B100" i="15" s="1"/>
  <c r="P134" i="15"/>
  <c r="V134" i="15" s="1"/>
  <c r="B134" i="15" s="1"/>
  <c r="AD43" i="15"/>
  <c r="AD47" i="15"/>
  <c r="AD59" i="15"/>
  <c r="AD67" i="15"/>
  <c r="AD71" i="15"/>
  <c r="AD79" i="15"/>
  <c r="AD95" i="15"/>
  <c r="AD103" i="15"/>
  <c r="AD119" i="15"/>
  <c r="AD123" i="15"/>
  <c r="AD135" i="15"/>
  <c r="AD139" i="15"/>
  <c r="AD143" i="15"/>
  <c r="AD163" i="15"/>
  <c r="AD171" i="15"/>
  <c r="AD175" i="15"/>
  <c r="AD183" i="15"/>
  <c r="AD187" i="15"/>
  <c r="AD195" i="15"/>
  <c r="AD199" i="15"/>
  <c r="AD207" i="15"/>
  <c r="AD211" i="15"/>
  <c r="AD215" i="15"/>
  <c r="AD219" i="15"/>
  <c r="AD227" i="15"/>
  <c r="AD231" i="15"/>
  <c r="AD235" i="15"/>
  <c r="AD239" i="15"/>
  <c r="AD251" i="15"/>
  <c r="AD255" i="15"/>
  <c r="AD259" i="15"/>
  <c r="AD263" i="15"/>
  <c r="AD267" i="15"/>
  <c r="AD271" i="15"/>
  <c r="AD283" i="15"/>
  <c r="AD291" i="15"/>
  <c r="AD299" i="15"/>
  <c r="AD303" i="15"/>
  <c r="AD307" i="15"/>
  <c r="AD311" i="15"/>
  <c r="AD315" i="15"/>
  <c r="AD347" i="15"/>
  <c r="AD351" i="15"/>
  <c r="AD359" i="15"/>
  <c r="AD367" i="15"/>
  <c r="AD375" i="15"/>
  <c r="AD35" i="15"/>
  <c r="AD31" i="15"/>
  <c r="AD22" i="15"/>
  <c r="P172" i="15"/>
  <c r="V172" i="15" s="1"/>
  <c r="B172" i="15" s="1"/>
  <c r="P95" i="15"/>
  <c r="V95" i="15" s="1"/>
  <c r="B95" i="15" s="1"/>
  <c r="P75" i="15"/>
  <c r="V75" i="15" s="1"/>
  <c r="P71" i="15"/>
  <c r="V71" i="15" s="1"/>
  <c r="B71" i="15" s="1"/>
  <c r="P19" i="15"/>
  <c r="V19" i="15" s="1"/>
  <c r="B19" i="15" s="1"/>
  <c r="P108" i="15"/>
  <c r="V108" i="15" s="1"/>
  <c r="P214" i="15"/>
  <c r="V214" i="15" s="1"/>
  <c r="B214" i="15" s="1"/>
  <c r="P254" i="15"/>
  <c r="V254" i="15" s="1"/>
  <c r="B254" i="15" s="1"/>
  <c r="P370" i="15"/>
  <c r="V370" i="15" s="1"/>
  <c r="B370" i="15" s="1"/>
  <c r="P171" i="15"/>
  <c r="V171" i="15" s="1"/>
  <c r="P203" i="15"/>
  <c r="V203" i="15" s="1"/>
  <c r="B203" i="15" s="1"/>
  <c r="P223" i="15"/>
  <c r="V223" i="15" s="1"/>
  <c r="B223" i="15" s="1"/>
  <c r="P231" i="15"/>
  <c r="V231" i="15" s="1"/>
  <c r="B231" i="15" s="1"/>
  <c r="P344" i="15"/>
  <c r="V344" i="15" s="1"/>
  <c r="B344" i="15" s="1"/>
  <c r="P22" i="15"/>
  <c r="V22" i="15" s="1"/>
  <c r="P26" i="15"/>
  <c r="V26" i="15" s="1"/>
  <c r="P38" i="15"/>
  <c r="V38" i="15" s="1"/>
  <c r="P54" i="15"/>
  <c r="V54" i="15" s="1"/>
  <c r="P17" i="15"/>
  <c r="V17" i="15" s="1"/>
  <c r="P138" i="15"/>
  <c r="V138" i="15" s="1"/>
  <c r="B138" i="15" s="1"/>
  <c r="P294" i="15"/>
  <c r="V294" i="15" s="1"/>
  <c r="B294" i="15" s="1"/>
  <c r="P37" i="15"/>
  <c r="V37" i="15" s="1"/>
  <c r="B37" i="15" s="1"/>
  <c r="P297" i="15"/>
  <c r="V297" i="15" s="1"/>
  <c r="AI382" i="15"/>
  <c r="P27" i="15"/>
  <c r="V27" i="15" s="1"/>
  <c r="B27" i="15" s="1"/>
  <c r="P43" i="15"/>
  <c r="V43" i="15" s="1"/>
  <c r="B43" i="15" s="1"/>
  <c r="P59" i="15"/>
  <c r="V59" i="15" s="1"/>
  <c r="B59" i="15" s="1"/>
  <c r="P147" i="15"/>
  <c r="V147" i="15" s="1"/>
  <c r="B147" i="15" s="1"/>
  <c r="P139" i="15"/>
  <c r="V139" i="15" s="1"/>
  <c r="B139" i="15" s="1"/>
  <c r="P135" i="15"/>
  <c r="V135" i="15" s="1"/>
  <c r="B135" i="15" s="1"/>
  <c r="P131" i="15"/>
  <c r="V131" i="15" s="1"/>
  <c r="B131" i="15" s="1"/>
  <c r="P127" i="15"/>
  <c r="V127" i="15" s="1"/>
  <c r="B127" i="15" s="1"/>
  <c r="P123" i="15"/>
  <c r="V123" i="15" s="1"/>
  <c r="B123" i="15" s="1"/>
  <c r="P119" i="15"/>
  <c r="V119" i="15" s="1"/>
  <c r="B119" i="15" s="1"/>
  <c r="P115" i="15"/>
  <c r="V115" i="15" s="1"/>
  <c r="B115" i="15" s="1"/>
  <c r="P111" i="15"/>
  <c r="V111" i="15" s="1"/>
  <c r="B111" i="15" s="1"/>
  <c r="P107" i="15"/>
  <c r="V107" i="15" s="1"/>
  <c r="B107" i="15" s="1"/>
  <c r="P103" i="15"/>
  <c r="V103" i="15" s="1"/>
  <c r="B103" i="15" s="1"/>
  <c r="P99" i="15"/>
  <c r="V99" i="15" s="1"/>
  <c r="B99" i="15" s="1"/>
  <c r="P91" i="15"/>
  <c r="V91" i="15" s="1"/>
  <c r="B91" i="15" s="1"/>
  <c r="P87" i="15"/>
  <c r="V87" i="15" s="1"/>
  <c r="B87" i="15" s="1"/>
  <c r="P83" i="15"/>
  <c r="V83" i="15" s="1"/>
  <c r="B83" i="15" s="1"/>
  <c r="P79" i="15"/>
  <c r="V79" i="15" s="1"/>
  <c r="B79" i="15" s="1"/>
  <c r="P67" i="15"/>
  <c r="V67" i="15" s="1"/>
  <c r="B67" i="15" s="1"/>
  <c r="P70" i="15"/>
  <c r="V70" i="15" s="1"/>
  <c r="B70" i="15" s="1"/>
  <c r="P86" i="15"/>
  <c r="V86" i="15" s="1"/>
  <c r="B86" i="15" s="1"/>
  <c r="P102" i="15"/>
  <c r="V102" i="15" s="1"/>
  <c r="B102" i="15" s="1"/>
  <c r="P118" i="15"/>
  <c r="V118" i="15" s="1"/>
  <c r="B118" i="15" s="1"/>
  <c r="P84" i="15"/>
  <c r="V84" i="15" s="1"/>
  <c r="B84" i="15" s="1"/>
  <c r="P124" i="15"/>
  <c r="V124" i="15" s="1"/>
  <c r="B124" i="15" s="1"/>
  <c r="P140" i="15"/>
  <c r="V140" i="15" s="1"/>
  <c r="B140" i="15" s="1"/>
  <c r="P156" i="15"/>
  <c r="V156" i="15" s="1"/>
  <c r="B156" i="15" s="1"/>
  <c r="P188" i="15"/>
  <c r="V188" i="15" s="1"/>
  <c r="B188" i="15" s="1"/>
  <c r="P76" i="15"/>
  <c r="V76" i="15" s="1"/>
  <c r="B76" i="15" s="1"/>
  <c r="P152" i="15"/>
  <c r="V152" i="15" s="1"/>
  <c r="B152" i="15" s="1"/>
  <c r="P176" i="15"/>
  <c r="V176" i="15" s="1"/>
  <c r="B176" i="15" s="1"/>
  <c r="P192" i="15"/>
  <c r="V192" i="15" s="1"/>
  <c r="B192" i="15" s="1"/>
  <c r="P208" i="15"/>
  <c r="V208" i="15" s="1"/>
  <c r="B208" i="15" s="1"/>
  <c r="P220" i="15"/>
  <c r="V220" i="15" s="1"/>
  <c r="B220" i="15" s="1"/>
  <c r="P228" i="15"/>
  <c r="V228" i="15" s="1"/>
  <c r="B228" i="15" s="1"/>
  <c r="P240" i="15"/>
  <c r="V240" i="15" s="1"/>
  <c r="B240" i="15" s="1"/>
  <c r="P256" i="15"/>
  <c r="V256" i="15" s="1"/>
  <c r="B256" i="15" s="1"/>
  <c r="P292" i="15"/>
  <c r="V292" i="15" s="1"/>
  <c r="B292" i="15" s="1"/>
  <c r="P308" i="15"/>
  <c r="V308" i="15" s="1"/>
  <c r="B308" i="15" s="1"/>
  <c r="P340" i="15"/>
  <c r="V340" i="15" s="1"/>
  <c r="B340" i="15" s="1"/>
  <c r="P356" i="15"/>
  <c r="V356" i="15" s="1"/>
  <c r="B356" i="15" s="1"/>
  <c r="P372" i="15"/>
  <c r="V372" i="15" s="1"/>
  <c r="B372" i="15" s="1"/>
  <c r="P207" i="15"/>
  <c r="V207" i="15" s="1"/>
  <c r="B207" i="15" s="1"/>
  <c r="P227" i="15"/>
  <c r="V227" i="15" s="1"/>
  <c r="B227" i="15" s="1"/>
  <c r="P379" i="15"/>
  <c r="AD279" i="15"/>
  <c r="J378" i="1"/>
  <c r="I378" i="1"/>
  <c r="B378" i="6" s="1"/>
  <c r="D35" i="7"/>
  <c r="E377" i="1"/>
  <c r="AK3" i="15"/>
  <c r="Q12" i="19" s="1"/>
  <c r="D41" i="7"/>
  <c r="V302" i="15"/>
  <c r="B302" i="15" s="1"/>
  <c r="P23" i="15"/>
  <c r="V23" i="15" s="1"/>
  <c r="P16" i="15"/>
  <c r="V16" i="15" s="1"/>
  <c r="U381" i="15"/>
  <c r="P136" i="15"/>
  <c r="V136" i="15" s="1"/>
  <c r="P248" i="15"/>
  <c r="V248" i="15" s="1"/>
  <c r="B248" i="15" s="1"/>
  <c r="P318" i="15"/>
  <c r="V318" i="15" s="1"/>
  <c r="B318" i="15" s="1"/>
  <c r="P326" i="15"/>
  <c r="V326" i="15" s="1"/>
  <c r="B326" i="15" s="1"/>
  <c r="P358" i="15"/>
  <c r="V358" i="15" s="1"/>
  <c r="B358" i="15" s="1"/>
  <c r="P73" i="15"/>
  <c r="V73" i="15" s="1"/>
  <c r="B73" i="15" s="1"/>
  <c r="P85" i="15"/>
  <c r="V85" i="15" s="1"/>
  <c r="B85" i="15" s="1"/>
  <c r="P145" i="15"/>
  <c r="V145" i="15" s="1"/>
  <c r="B145" i="15" s="1"/>
  <c r="P165" i="15"/>
  <c r="V165" i="15" s="1"/>
  <c r="B165" i="15" s="1"/>
  <c r="B120" i="15"/>
  <c r="B224" i="15"/>
  <c r="B262" i="15"/>
  <c r="B270" i="15"/>
  <c r="B278" i="15"/>
  <c r="B286" i="15"/>
  <c r="B320" i="15"/>
  <c r="B328" i="15"/>
  <c r="B352" i="15"/>
  <c r="B283" i="15"/>
  <c r="B25" i="15"/>
  <c r="B57" i="15"/>
  <c r="B66" i="15"/>
  <c r="B367" i="15"/>
  <c r="B351" i="15"/>
  <c r="B347" i="15"/>
  <c r="B335" i="15"/>
  <c r="B331" i="15"/>
  <c r="B319" i="15"/>
  <c r="B303" i="15"/>
  <c r="B239" i="15"/>
  <c r="B235" i="15"/>
  <c r="B219" i="15"/>
  <c r="B191" i="15"/>
  <c r="B175" i="15"/>
  <c r="B159" i="15"/>
  <c r="B155" i="15"/>
  <c r="B252" i="15"/>
  <c r="B276" i="15"/>
  <c r="B280" i="15"/>
  <c r="B310" i="15"/>
  <c r="B334" i="15"/>
  <c r="B342" i="15"/>
  <c r="B350" i="15"/>
  <c r="B366" i="15"/>
  <c r="B374" i="15"/>
  <c r="B255" i="15"/>
  <c r="B287" i="15"/>
  <c r="B299" i="15"/>
  <c r="AD24" i="15"/>
  <c r="AD29" i="15"/>
  <c r="AD37" i="15"/>
  <c r="AD45" i="15"/>
  <c r="AD49" i="15"/>
  <c r="AD53" i="15"/>
  <c r="AD57" i="15"/>
  <c r="AD65" i="15"/>
  <c r="AD69" i="15"/>
  <c r="AD73" i="15"/>
  <c r="AD77" i="15"/>
  <c r="AD85" i="15"/>
  <c r="AD89" i="15"/>
  <c r="AD97" i="15"/>
  <c r="AD101" i="15"/>
  <c r="AD105" i="15"/>
  <c r="AD109" i="15"/>
  <c r="AD125" i="15"/>
  <c r="AD129" i="15"/>
  <c r="AD145" i="15"/>
  <c r="AD153" i="15"/>
  <c r="AD161" i="15"/>
  <c r="AD169" i="15"/>
  <c r="AD177" i="15"/>
  <c r="AD189" i="15"/>
  <c r="AD197" i="15"/>
  <c r="AD201" i="15"/>
  <c r="AD213" i="15"/>
  <c r="AD217" i="15"/>
  <c r="AD221" i="15"/>
  <c r="AD237" i="15"/>
  <c r="AD241" i="15"/>
  <c r="AD249" i="15"/>
  <c r="AD253" i="15"/>
  <c r="AD257" i="15"/>
  <c r="AD261" i="15"/>
  <c r="AD265" i="15"/>
  <c r="AD269" i="15"/>
  <c r="AD273" i="15"/>
  <c r="AD277" i="15"/>
  <c r="AD281" i="15"/>
  <c r="AD285" i="15"/>
  <c r="AD289" i="15"/>
  <c r="AD301" i="15"/>
  <c r="AD309" i="15"/>
  <c r="AD313" i="15"/>
  <c r="AD317" i="15"/>
  <c r="AD333" i="15"/>
  <c r="AD337" i="15"/>
  <c r="AD341" i="15"/>
  <c r="AD345" i="15"/>
  <c r="AD349" i="15"/>
  <c r="AD353" i="15"/>
  <c r="AD357" i="15"/>
  <c r="P101" i="15"/>
  <c r="V101" i="15" s="1"/>
  <c r="P137" i="15"/>
  <c r="V137" i="15" s="1"/>
  <c r="P197" i="15"/>
  <c r="V197" i="15" s="1"/>
  <c r="P233" i="15"/>
  <c r="V233" i="15" s="1"/>
  <c r="P269" i="15"/>
  <c r="V269" i="15" s="1"/>
  <c r="P337" i="15"/>
  <c r="V337" i="15" s="1"/>
  <c r="P365" i="15"/>
  <c r="V365" i="15" s="1"/>
  <c r="V363" i="15"/>
  <c r="D43" i="7"/>
  <c r="P56" i="15"/>
  <c r="V56" i="15" s="1"/>
  <c r="AD365" i="15"/>
  <c r="AD373" i="15"/>
  <c r="AD27" i="15"/>
  <c r="AD21" i="15"/>
  <c r="P35" i="15"/>
  <c r="V35" i="15" s="1"/>
  <c r="P51" i="15"/>
  <c r="V51" i="15" s="1"/>
  <c r="B51" i="15" s="1"/>
  <c r="P28" i="15"/>
  <c r="V28" i="15" s="1"/>
  <c r="P34" i="15"/>
  <c r="V34" i="15" s="1"/>
  <c r="AC381" i="18"/>
  <c r="AC382" i="18"/>
  <c r="AC383" i="18"/>
  <c r="P30" i="15"/>
  <c r="V30" i="15" s="1"/>
  <c r="AD25" i="15"/>
  <c r="AD20" i="15"/>
  <c r="AD36" i="15"/>
  <c r="AD44" i="15"/>
  <c r="AD64" i="15"/>
  <c r="AD68" i="15"/>
  <c r="AD72" i="15"/>
  <c r="AD76" i="15"/>
  <c r="AD92" i="15"/>
  <c r="AD104" i="15"/>
  <c r="AD112" i="15"/>
  <c r="AD124" i="15"/>
  <c r="AD136" i="15"/>
  <c r="AD140" i="15"/>
  <c r="AD156" i="15"/>
  <c r="AD160" i="15"/>
  <c r="AD164" i="15"/>
  <c r="AD176" i="15"/>
  <c r="AD184" i="15"/>
  <c r="AD192" i="15"/>
  <c r="AD200" i="15"/>
  <c r="AD216" i="15"/>
  <c r="AD220" i="15"/>
  <c r="AD224" i="15"/>
  <c r="AD236" i="15"/>
  <c r="AD240" i="15"/>
  <c r="AD244" i="15"/>
  <c r="AD264" i="15"/>
  <c r="AD280" i="15"/>
  <c r="AD288" i="15"/>
  <c r="AD316" i="15"/>
  <c r="AD324" i="15"/>
  <c r="AD336" i="15"/>
  <c r="AD340" i="15"/>
  <c r="AD344" i="15"/>
  <c r="AD356" i="15"/>
  <c r="AD360" i="15"/>
  <c r="AD368" i="15"/>
  <c r="AK5" i="16"/>
  <c r="AM5" i="16"/>
  <c r="AK9" i="16"/>
  <c r="AM7" i="16"/>
  <c r="AM11" i="16" s="1"/>
  <c r="AK7" i="16"/>
  <c r="AK11" i="16" s="1"/>
  <c r="AM9" i="16"/>
  <c r="L382" i="16"/>
  <c r="L381" i="16"/>
  <c r="L383" i="16"/>
  <c r="R383" i="1"/>
  <c r="R382" i="1"/>
  <c r="R381" i="1"/>
  <c r="P379" i="1"/>
  <c r="D35" i="19" s="1"/>
  <c r="O381" i="18"/>
  <c r="O382" i="18"/>
  <c r="O383" i="18"/>
  <c r="L39" i="19" s="1"/>
  <c r="AD34" i="15"/>
  <c r="AD42" i="15"/>
  <c r="AD50" i="15"/>
  <c r="AD58" i="15"/>
  <c r="AD70" i="15"/>
  <c r="AD78" i="15"/>
  <c r="AD98" i="15"/>
  <c r="AD102" i="15"/>
  <c r="AD130" i="15"/>
  <c r="AD134" i="15"/>
  <c r="AD138" i="15"/>
  <c r="AD142" i="15"/>
  <c r="AD150" i="15"/>
  <c r="AD162" i="15"/>
  <c r="AD166" i="15"/>
  <c r="AD170" i="15"/>
  <c r="AD182" i="15"/>
  <c r="AD202" i="15"/>
  <c r="AD206" i="15"/>
  <c r="AD210" i="15"/>
  <c r="AD230" i="15"/>
  <c r="AD234" i="15"/>
  <c r="AD238" i="15"/>
  <c r="AD254" i="15"/>
  <c r="AD258" i="15"/>
  <c r="AD262" i="15"/>
  <c r="AD278" i="15"/>
  <c r="AD282" i="15"/>
  <c r="AD290" i="15"/>
  <c r="AD294" i="15"/>
  <c r="AD310" i="15"/>
  <c r="AD318" i="15"/>
  <c r="AD322" i="15"/>
  <c r="AD342" i="15"/>
  <c r="AD350" i="15"/>
  <c r="AD374" i="15"/>
  <c r="AD378" i="15"/>
  <c r="AC382" i="16"/>
  <c r="AC381" i="16"/>
  <c r="AC383" i="16"/>
  <c r="O383" i="16"/>
  <c r="O382" i="16"/>
  <c r="O381" i="16"/>
  <c r="V264" i="15"/>
  <c r="B264" i="15" s="1"/>
  <c r="V20" i="15"/>
  <c r="V42" i="15"/>
  <c r="V18" i="15"/>
  <c r="V324" i="15"/>
  <c r="B324" i="15" s="1"/>
  <c r="K378" i="22"/>
  <c r="X378" i="22"/>
  <c r="A379" i="22"/>
  <c r="AB378" i="22"/>
  <c r="L378" i="22"/>
  <c r="AJ378" i="22"/>
  <c r="AK378" i="22"/>
  <c r="O378" i="22"/>
  <c r="AC378" i="22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AK3" i="17"/>
  <c r="Q14" i="19" s="1"/>
  <c r="AG15" i="15"/>
  <c r="AG379" i="15"/>
  <c r="AF379" i="15" s="1"/>
  <c r="AD379" i="15" s="1"/>
  <c r="T382" i="15"/>
  <c r="T381" i="15"/>
  <c r="T383" i="15"/>
  <c r="S15" i="15"/>
  <c r="AM9" i="18"/>
  <c r="AK7" i="18"/>
  <c r="AK11" i="18" s="1"/>
  <c r="AK5" i="18"/>
  <c r="AK9" i="18"/>
  <c r="AM5" i="18"/>
  <c r="AM7" i="18"/>
  <c r="AM11" i="18" s="1"/>
  <c r="AG23" i="15"/>
  <c r="AF23" i="15" s="1"/>
  <c r="AD23" i="15" s="1"/>
  <c r="AG17" i="15"/>
  <c r="AG19" i="15"/>
  <c r="AF19" i="15" s="1"/>
  <c r="AD19" i="15" s="1"/>
  <c r="AG33" i="15"/>
  <c r="AF33" i="15" s="1"/>
  <c r="AD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G61" i="15"/>
  <c r="AF61" i="15" s="1"/>
  <c r="AD61" i="15" s="1"/>
  <c r="AG63" i="15"/>
  <c r="AF63" i="15" s="1"/>
  <c r="AD63" i="15" s="1"/>
  <c r="AG75" i="15"/>
  <c r="AF75" i="15" s="1"/>
  <c r="AD75" i="15" s="1"/>
  <c r="AG81" i="15"/>
  <c r="AF81" i="15" s="1"/>
  <c r="AD81" i="15" s="1"/>
  <c r="AG83" i="15"/>
  <c r="AF83" i="15" s="1"/>
  <c r="AD83" i="15" s="1"/>
  <c r="AG87" i="15"/>
  <c r="AF87" i="15" s="1"/>
  <c r="AD87" i="15" s="1"/>
  <c r="AG91" i="15"/>
  <c r="AF91" i="15" s="1"/>
  <c r="AD91" i="15" s="1"/>
  <c r="AG93" i="15"/>
  <c r="AF93" i="15" s="1"/>
  <c r="AD93" i="15" s="1"/>
  <c r="AG99" i="15"/>
  <c r="AF99" i="15" s="1"/>
  <c r="AD99" i="15" s="1"/>
  <c r="AG107" i="15"/>
  <c r="AF107" i="15" s="1"/>
  <c r="AD107" i="15" s="1"/>
  <c r="AG111" i="15"/>
  <c r="AF111" i="15" s="1"/>
  <c r="AD111" i="15" s="1"/>
  <c r="AG113" i="15"/>
  <c r="AF113" i="15" s="1"/>
  <c r="AD113" i="15" s="1"/>
  <c r="AG115" i="15"/>
  <c r="AF115" i="15" s="1"/>
  <c r="AD115" i="15" s="1"/>
  <c r="AG117" i="15"/>
  <c r="AF117" i="15" s="1"/>
  <c r="AD117" i="15" s="1"/>
  <c r="AG121" i="15"/>
  <c r="AF121" i="15" s="1"/>
  <c r="AD121" i="15" s="1"/>
  <c r="AG127" i="15"/>
  <c r="AF127" i="15" s="1"/>
  <c r="AD127" i="15" s="1"/>
  <c r="AG131" i="15"/>
  <c r="AF131" i="15" s="1"/>
  <c r="AD131" i="15" s="1"/>
  <c r="AG133" i="15"/>
  <c r="AF133" i="15" s="1"/>
  <c r="AD133" i="15" s="1"/>
  <c r="AG137" i="15"/>
  <c r="AF137" i="15" s="1"/>
  <c r="AD137" i="15" s="1"/>
  <c r="AG141" i="15"/>
  <c r="AF141" i="15" s="1"/>
  <c r="AD141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G159" i="15"/>
  <c r="AF159" i="15" s="1"/>
  <c r="AD159" i="15" s="1"/>
  <c r="AG165" i="15"/>
  <c r="AF165" i="15" s="1"/>
  <c r="AD165" i="15" s="1"/>
  <c r="AG167" i="15"/>
  <c r="AF167" i="15" s="1"/>
  <c r="AD167" i="15" s="1"/>
  <c r="AG173" i="15"/>
  <c r="AF173" i="15" s="1"/>
  <c r="AD173" i="15" s="1"/>
  <c r="AG179" i="15"/>
  <c r="AF179" i="15" s="1"/>
  <c r="AD179" i="15" s="1"/>
  <c r="AG181" i="15"/>
  <c r="AF181" i="15" s="1"/>
  <c r="AD181" i="15" s="1"/>
  <c r="AG185" i="15"/>
  <c r="AF185" i="15" s="1"/>
  <c r="AD185" i="15" s="1"/>
  <c r="AG191" i="15"/>
  <c r="AF191" i="15" s="1"/>
  <c r="AD191" i="15" s="1"/>
  <c r="AG193" i="15"/>
  <c r="AF193" i="15" s="1"/>
  <c r="AD193" i="15" s="1"/>
  <c r="AG203" i="15"/>
  <c r="AF203" i="15" s="1"/>
  <c r="AD203" i="15" s="1"/>
  <c r="AG205" i="15"/>
  <c r="AF205" i="15" s="1"/>
  <c r="AD205" i="15" s="1"/>
  <c r="AG209" i="15"/>
  <c r="AF209" i="15" s="1"/>
  <c r="AD209" i="15" s="1"/>
  <c r="AG223" i="15"/>
  <c r="AF223" i="15" s="1"/>
  <c r="AD223" i="15" s="1"/>
  <c r="AG225" i="15"/>
  <c r="AF225" i="15" s="1"/>
  <c r="AD225" i="15" s="1"/>
  <c r="AG229" i="15"/>
  <c r="AF229" i="15" s="1"/>
  <c r="AD229" i="15" s="1"/>
  <c r="AG233" i="15"/>
  <c r="AF233" i="15" s="1"/>
  <c r="AD233" i="15" s="1"/>
  <c r="AG243" i="15"/>
  <c r="AF243" i="15" s="1"/>
  <c r="AD243" i="15" s="1"/>
  <c r="AG245" i="15"/>
  <c r="AF245" i="15" s="1"/>
  <c r="AD245" i="15" s="1"/>
  <c r="AG247" i="15"/>
  <c r="AF247" i="15" s="1"/>
  <c r="AD247" i="15" s="1"/>
  <c r="AG275" i="15"/>
  <c r="AF275" i="15" s="1"/>
  <c r="AD275" i="15" s="1"/>
  <c r="AG287" i="15"/>
  <c r="AF287" i="15" s="1"/>
  <c r="AD287" i="15" s="1"/>
  <c r="AG293" i="15"/>
  <c r="AF293" i="15" s="1"/>
  <c r="AD293" i="15" s="1"/>
  <c r="AG295" i="15"/>
  <c r="AF295" i="15" s="1"/>
  <c r="AD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G321" i="15"/>
  <c r="AF321" i="15" s="1"/>
  <c r="AD321" i="15" s="1"/>
  <c r="AG323" i="15"/>
  <c r="AF323" i="15" s="1"/>
  <c r="AD323" i="15" s="1"/>
  <c r="AG325" i="15"/>
  <c r="AF325" i="15" s="1"/>
  <c r="AD325" i="15" s="1"/>
  <c r="AG327" i="15"/>
  <c r="AF327" i="15" s="1"/>
  <c r="AD327" i="15" s="1"/>
  <c r="AG329" i="15"/>
  <c r="AF329" i="15" s="1"/>
  <c r="AD329" i="15" s="1"/>
  <c r="AG331" i="15"/>
  <c r="AF331" i="15" s="1"/>
  <c r="AD331" i="15" s="1"/>
  <c r="AG335" i="15"/>
  <c r="AF335" i="15" s="1"/>
  <c r="AD335" i="15" s="1"/>
  <c r="AG339" i="15"/>
  <c r="AF339" i="15" s="1"/>
  <c r="AD339" i="15" s="1"/>
  <c r="AG343" i="15"/>
  <c r="AF343" i="15" s="1"/>
  <c r="AD343" i="15" s="1"/>
  <c r="AG355" i="15"/>
  <c r="AF355" i="15" s="1"/>
  <c r="AD355" i="15" s="1"/>
  <c r="AG361" i="15"/>
  <c r="AF361" i="15" s="1"/>
  <c r="AD361" i="15" s="1"/>
  <c r="AG363" i="15"/>
  <c r="AF363" i="15" s="1"/>
  <c r="AD363" i="15" s="1"/>
  <c r="AG369" i="15"/>
  <c r="AF369" i="15" s="1"/>
  <c r="AD369" i="15" s="1"/>
  <c r="AG371" i="15"/>
  <c r="AF371" i="15" s="1"/>
  <c r="AD371" i="15" s="1"/>
  <c r="AG377" i="15"/>
  <c r="AF377" i="15" s="1"/>
  <c r="AD377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X379" i="20"/>
  <c r="K379" i="20"/>
  <c r="AJ379" i="20"/>
  <c r="AK379" i="20"/>
  <c r="AB379" i="20"/>
  <c r="L379" i="20"/>
  <c r="B40" i="19" s="1"/>
  <c r="O379" i="20"/>
  <c r="C40" i="19" s="1"/>
  <c r="AC379" i="20"/>
  <c r="AG18" i="15"/>
  <c r="AF18" i="15" s="1"/>
  <c r="AD18" i="15" s="1"/>
  <c r="AG28" i="15"/>
  <c r="AF28" i="15" s="1"/>
  <c r="AD28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G82" i="15"/>
  <c r="AF82" i="15" s="1"/>
  <c r="AD82" i="15" s="1"/>
  <c r="AG84" i="15"/>
  <c r="AF84" i="15" s="1"/>
  <c r="AD84" i="15" s="1"/>
  <c r="AG86" i="15"/>
  <c r="AF86" i="15" s="1"/>
  <c r="AD86" i="15" s="1"/>
  <c r="AG88" i="15"/>
  <c r="AF88" i="15" s="1"/>
  <c r="AD88" i="15" s="1"/>
  <c r="AG90" i="15"/>
  <c r="AF90" i="15" s="1"/>
  <c r="AD90" i="15" s="1"/>
  <c r="AG94" i="15"/>
  <c r="AF94" i="15" s="1"/>
  <c r="AD94" i="15" s="1"/>
  <c r="AG96" i="15"/>
  <c r="AF96" i="15" s="1"/>
  <c r="AD96" i="15" s="1"/>
  <c r="AG100" i="15"/>
  <c r="AF100" i="15" s="1"/>
  <c r="AD100" i="15" s="1"/>
  <c r="AG106" i="15"/>
  <c r="AF106" i="15" s="1"/>
  <c r="AD106" i="15" s="1"/>
  <c r="AG108" i="15"/>
  <c r="AF108" i="15" s="1"/>
  <c r="AD108" i="15" s="1"/>
  <c r="AG110" i="15"/>
  <c r="AF110" i="15" s="1"/>
  <c r="AD110" i="15" s="1"/>
  <c r="AG114" i="15"/>
  <c r="AF114" i="15" s="1"/>
  <c r="AD114" i="15" s="1"/>
  <c r="AG116" i="15"/>
  <c r="AF116" i="15" s="1"/>
  <c r="AD116" i="15" s="1"/>
  <c r="AG118" i="15"/>
  <c r="AF118" i="15" s="1"/>
  <c r="AD118" i="15" s="1"/>
  <c r="AG120" i="15"/>
  <c r="AF120" i="15" s="1"/>
  <c r="AD120" i="15" s="1"/>
  <c r="AG122" i="15"/>
  <c r="AF122" i="15" s="1"/>
  <c r="AD122" i="15" s="1"/>
  <c r="AG126" i="15"/>
  <c r="AF126" i="15" s="1"/>
  <c r="AD126" i="15" s="1"/>
  <c r="AG128" i="15"/>
  <c r="AF128" i="15" s="1"/>
  <c r="AD128" i="15" s="1"/>
  <c r="AG132" i="15"/>
  <c r="AF132" i="15" s="1"/>
  <c r="AD132" i="15" s="1"/>
  <c r="AG144" i="15"/>
  <c r="AF144" i="15" s="1"/>
  <c r="AD144" i="15" s="1"/>
  <c r="AG146" i="15"/>
  <c r="AF146" i="15" s="1"/>
  <c r="AD146" i="15" s="1"/>
  <c r="AG148" i="15"/>
  <c r="AF148" i="15" s="1"/>
  <c r="AD148" i="15" s="1"/>
  <c r="AG152" i="15"/>
  <c r="AF152" i="15" s="1"/>
  <c r="AD152" i="15" s="1"/>
  <c r="AG154" i="15"/>
  <c r="AF154" i="15" s="1"/>
  <c r="AD154" i="15" s="1"/>
  <c r="AG158" i="15"/>
  <c r="AF158" i="15" s="1"/>
  <c r="AD158" i="15" s="1"/>
  <c r="AG168" i="15"/>
  <c r="AF168" i="15" s="1"/>
  <c r="AD168" i="15" s="1"/>
  <c r="AG172" i="15"/>
  <c r="AF172" i="15" s="1"/>
  <c r="AD172" i="15" s="1"/>
  <c r="AG174" i="15"/>
  <c r="AF174" i="15" s="1"/>
  <c r="AD174" i="15" s="1"/>
  <c r="AG178" i="15"/>
  <c r="AF178" i="15" s="1"/>
  <c r="AD178" i="15" s="1"/>
  <c r="AG180" i="15"/>
  <c r="AF180" i="15" s="1"/>
  <c r="AD180" i="15" s="1"/>
  <c r="AG186" i="15"/>
  <c r="AF186" i="15" s="1"/>
  <c r="AD186" i="15" s="1"/>
  <c r="AG188" i="15"/>
  <c r="AF188" i="15" s="1"/>
  <c r="AD188" i="15" s="1"/>
  <c r="AG190" i="15"/>
  <c r="AF190" i="15" s="1"/>
  <c r="AD190" i="15" s="1"/>
  <c r="AG194" i="15"/>
  <c r="AF194" i="15" s="1"/>
  <c r="AD194" i="15" s="1"/>
  <c r="AG196" i="15"/>
  <c r="AF196" i="15" s="1"/>
  <c r="AD196" i="15" s="1"/>
  <c r="AG198" i="15"/>
  <c r="AF198" i="15" s="1"/>
  <c r="AD198" i="15" s="1"/>
  <c r="AG204" i="15"/>
  <c r="AF204" i="15" s="1"/>
  <c r="AD204" i="15" s="1"/>
  <c r="AG208" i="15"/>
  <c r="AF208" i="15" s="1"/>
  <c r="AD208" i="15" s="1"/>
  <c r="AG212" i="15"/>
  <c r="AF212" i="15" s="1"/>
  <c r="AD212" i="15" s="1"/>
  <c r="AG214" i="15"/>
  <c r="AF214" i="15" s="1"/>
  <c r="AD214" i="15" s="1"/>
  <c r="AG218" i="15"/>
  <c r="AF218" i="15" s="1"/>
  <c r="AD218" i="15" s="1"/>
  <c r="AG222" i="15"/>
  <c r="AF222" i="15" s="1"/>
  <c r="AD222" i="15" s="1"/>
  <c r="AG226" i="15"/>
  <c r="AF226" i="15" s="1"/>
  <c r="AD226" i="15" s="1"/>
  <c r="AG228" i="15"/>
  <c r="AF228" i="15" s="1"/>
  <c r="AD228" i="15" s="1"/>
  <c r="AG232" i="15"/>
  <c r="AF232" i="15" s="1"/>
  <c r="AD232" i="15" s="1"/>
  <c r="AG242" i="15"/>
  <c r="AF242" i="15" s="1"/>
  <c r="AD242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6" i="15"/>
  <c r="AF256" i="15" s="1"/>
  <c r="AD256" i="15" s="1"/>
  <c r="AG260" i="15"/>
  <c r="AF260" i="15" s="1"/>
  <c r="AD260" i="15" s="1"/>
  <c r="AG266" i="15"/>
  <c r="AF266" i="15" s="1"/>
  <c r="AD266" i="15" s="1"/>
  <c r="AG268" i="15"/>
  <c r="AF268" i="15" s="1"/>
  <c r="AD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84" i="15"/>
  <c r="AF284" i="15" s="1"/>
  <c r="AD284" i="15" s="1"/>
  <c r="AG286" i="15"/>
  <c r="AF286" i="15" s="1"/>
  <c r="AD286" i="15" s="1"/>
  <c r="AG292" i="15"/>
  <c r="AF292" i="15" s="1"/>
  <c r="AD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G306" i="15"/>
  <c r="AF306" i="15" s="1"/>
  <c r="AD306" i="15" s="1"/>
  <c r="AG308" i="15"/>
  <c r="AF308" i="15" s="1"/>
  <c r="AD308" i="15" s="1"/>
  <c r="AG312" i="15"/>
  <c r="AF312" i="15" s="1"/>
  <c r="AD312" i="15" s="1"/>
  <c r="AG314" i="15"/>
  <c r="AF314" i="15" s="1"/>
  <c r="AD314" i="15" s="1"/>
  <c r="AG320" i="15"/>
  <c r="AF320" i="15" s="1"/>
  <c r="AD320" i="15" s="1"/>
  <c r="AG326" i="15"/>
  <c r="AF326" i="15" s="1"/>
  <c r="AD326" i="15" s="1"/>
  <c r="AG328" i="15"/>
  <c r="AF328" i="15" s="1"/>
  <c r="AD328" i="15" s="1"/>
  <c r="AG330" i="15"/>
  <c r="AF330" i="15" s="1"/>
  <c r="AD330" i="15" s="1"/>
  <c r="AG332" i="15"/>
  <c r="AF332" i="15" s="1"/>
  <c r="AD332" i="15" s="1"/>
  <c r="AG334" i="15"/>
  <c r="AF334" i="15" s="1"/>
  <c r="AD334" i="15" s="1"/>
  <c r="AG338" i="15"/>
  <c r="AF338" i="15" s="1"/>
  <c r="AD338" i="15" s="1"/>
  <c r="AG346" i="15"/>
  <c r="AF346" i="15" s="1"/>
  <c r="AD346" i="15" s="1"/>
  <c r="AG348" i="15"/>
  <c r="AF348" i="15" s="1"/>
  <c r="AD348" i="15" s="1"/>
  <c r="AG352" i="15"/>
  <c r="AF352" i="15" s="1"/>
  <c r="AD352" i="15" s="1"/>
  <c r="AG354" i="15"/>
  <c r="AF354" i="15" s="1"/>
  <c r="AD354" i="15" s="1"/>
  <c r="AG358" i="15"/>
  <c r="AF358" i="15" s="1"/>
  <c r="AD358" i="15" s="1"/>
  <c r="AG362" i="15"/>
  <c r="AF362" i="15" s="1"/>
  <c r="AD362" i="15" s="1"/>
  <c r="AG364" i="15"/>
  <c r="AF364" i="15" s="1"/>
  <c r="AD364" i="15" s="1"/>
  <c r="AG366" i="15"/>
  <c r="AF366" i="15" s="1"/>
  <c r="AD366" i="15" s="1"/>
  <c r="AG370" i="15"/>
  <c r="AF370" i="15" s="1"/>
  <c r="AD370" i="15" s="1"/>
  <c r="AG372" i="15"/>
  <c r="AF372" i="15" s="1"/>
  <c r="AD372" i="15" s="1"/>
  <c r="AG376" i="15"/>
  <c r="AF376" i="15" s="1"/>
  <c r="AD376" i="15" s="1"/>
  <c r="O15" i="7" l="1"/>
  <c r="D42" i="7"/>
  <c r="U36" i="16"/>
  <c r="T36" i="16" s="1"/>
  <c r="S36" i="16" s="1"/>
  <c r="R36" i="16" s="1"/>
  <c r="U100" i="16"/>
  <c r="T100" i="16" s="1"/>
  <c r="S100" i="16" s="1"/>
  <c r="R100" i="16" s="1"/>
  <c r="U164" i="16"/>
  <c r="T164" i="16" s="1"/>
  <c r="S164" i="16" s="1"/>
  <c r="R164" i="16" s="1"/>
  <c r="U197" i="16"/>
  <c r="T197" i="16" s="1"/>
  <c r="U229" i="16"/>
  <c r="T229" i="16" s="1"/>
  <c r="S229" i="16" s="1"/>
  <c r="R229" i="16" s="1"/>
  <c r="U261" i="16"/>
  <c r="T261" i="16" s="1"/>
  <c r="S261" i="16" s="1"/>
  <c r="R261" i="16" s="1"/>
  <c r="U293" i="16"/>
  <c r="T293" i="16" s="1"/>
  <c r="S293" i="16" s="1"/>
  <c r="R293" i="16" s="1"/>
  <c r="U325" i="16"/>
  <c r="T325" i="16" s="1"/>
  <c r="U357" i="16"/>
  <c r="T357" i="16" s="1"/>
  <c r="S357" i="16" s="1"/>
  <c r="R357" i="16" s="1"/>
  <c r="AI22" i="16"/>
  <c r="AH22" i="16" s="1"/>
  <c r="AG22" i="16" s="1"/>
  <c r="AF22" i="16" s="1"/>
  <c r="AI48" i="16"/>
  <c r="AH48" i="16" s="1"/>
  <c r="AG48" i="16" s="1"/>
  <c r="AF48" i="16" s="1"/>
  <c r="AI63" i="16"/>
  <c r="AH63" i="16" s="1"/>
  <c r="AI71" i="16"/>
  <c r="AH71" i="16" s="1"/>
  <c r="AG71" i="16" s="1"/>
  <c r="AF71" i="16" s="1"/>
  <c r="AI79" i="16"/>
  <c r="AH79" i="16" s="1"/>
  <c r="AG79" i="16" s="1"/>
  <c r="AF79" i="16" s="1"/>
  <c r="AI87" i="16"/>
  <c r="AH87" i="16" s="1"/>
  <c r="AG87" i="16" s="1"/>
  <c r="AF87" i="16" s="1"/>
  <c r="AI95" i="16"/>
  <c r="AH95" i="16" s="1"/>
  <c r="AG95" i="16" s="1"/>
  <c r="AF95" i="16" s="1"/>
  <c r="AI103" i="16"/>
  <c r="AH103" i="16" s="1"/>
  <c r="AG103" i="16" s="1"/>
  <c r="AF103" i="16" s="1"/>
  <c r="AI111" i="16"/>
  <c r="AH111" i="16" s="1"/>
  <c r="AI119" i="16"/>
  <c r="AH119" i="16" s="1"/>
  <c r="AG119" i="16" s="1"/>
  <c r="AF119" i="16" s="1"/>
  <c r="AI127" i="16"/>
  <c r="AH127" i="16" s="1"/>
  <c r="AG127" i="16" s="1"/>
  <c r="AF127" i="16" s="1"/>
  <c r="AI135" i="16"/>
  <c r="AH135" i="16" s="1"/>
  <c r="AG135" i="16" s="1"/>
  <c r="AF135" i="16" s="1"/>
  <c r="AI143" i="16"/>
  <c r="AH143" i="16" s="1"/>
  <c r="AI151" i="16"/>
  <c r="AH151" i="16" s="1"/>
  <c r="AG151" i="16" s="1"/>
  <c r="AF151" i="16" s="1"/>
  <c r="AI159" i="16"/>
  <c r="AH159" i="16" s="1"/>
  <c r="AI167" i="16"/>
  <c r="AH167" i="16" s="1"/>
  <c r="AG167" i="16" s="1"/>
  <c r="AF167" i="16" s="1"/>
  <c r="AI175" i="16"/>
  <c r="AH175" i="16" s="1"/>
  <c r="AI183" i="16"/>
  <c r="AH183" i="16" s="1"/>
  <c r="AG183" i="16" s="1"/>
  <c r="AF183" i="16" s="1"/>
  <c r="AI191" i="16"/>
  <c r="AH191" i="16" s="1"/>
  <c r="AG191" i="16" s="1"/>
  <c r="AF191" i="16" s="1"/>
  <c r="AI199" i="16"/>
  <c r="AH199" i="16" s="1"/>
  <c r="AG199" i="16" s="1"/>
  <c r="AF199" i="16" s="1"/>
  <c r="AI207" i="16"/>
  <c r="AH207" i="16" s="1"/>
  <c r="AI215" i="16"/>
  <c r="AH215" i="16" s="1"/>
  <c r="AG215" i="16" s="1"/>
  <c r="AF215" i="16" s="1"/>
  <c r="AI223" i="16"/>
  <c r="AH223" i="16" s="1"/>
  <c r="AI231" i="16"/>
  <c r="AH231" i="16" s="1"/>
  <c r="AG231" i="16" s="1"/>
  <c r="AF231" i="16" s="1"/>
  <c r="AI239" i="16"/>
  <c r="AH239" i="16" s="1"/>
  <c r="AG239" i="16" s="1"/>
  <c r="AF239" i="16" s="1"/>
  <c r="AI247" i="16"/>
  <c r="AH247" i="16" s="1"/>
  <c r="AG247" i="16" s="1"/>
  <c r="AF247" i="16" s="1"/>
  <c r="AI255" i="16"/>
  <c r="AH255" i="16" s="1"/>
  <c r="AI263" i="16"/>
  <c r="AH263" i="16" s="1"/>
  <c r="AG263" i="16" s="1"/>
  <c r="AF263" i="16" s="1"/>
  <c r="AI271" i="16"/>
  <c r="AH271" i="16" s="1"/>
  <c r="AG271" i="16" s="1"/>
  <c r="AF271" i="16" s="1"/>
  <c r="AI279" i="16"/>
  <c r="AH279" i="16" s="1"/>
  <c r="AG279" i="16" s="1"/>
  <c r="AF279" i="16" s="1"/>
  <c r="AI287" i="16"/>
  <c r="AH287" i="16" s="1"/>
  <c r="AI295" i="16"/>
  <c r="AH295" i="16" s="1"/>
  <c r="AG295" i="16" s="1"/>
  <c r="AF295" i="16" s="1"/>
  <c r="AI303" i="16"/>
  <c r="AH303" i="16" s="1"/>
  <c r="AG303" i="16" s="1"/>
  <c r="AF303" i="16" s="1"/>
  <c r="AI311" i="16"/>
  <c r="AH311" i="16" s="1"/>
  <c r="AG311" i="16" s="1"/>
  <c r="AF311" i="16" s="1"/>
  <c r="AI315" i="16"/>
  <c r="AH315" i="16" s="1"/>
  <c r="AG315" i="16" s="1"/>
  <c r="AF315" i="16" s="1"/>
  <c r="AI319" i="16"/>
  <c r="AH319" i="16" s="1"/>
  <c r="AG319" i="16" s="1"/>
  <c r="AF319" i="16" s="1"/>
  <c r="AI323" i="16"/>
  <c r="AH323" i="16" s="1"/>
  <c r="AI327" i="16"/>
  <c r="AH327" i="16" s="1"/>
  <c r="AI331" i="16"/>
  <c r="AH331" i="16" s="1"/>
  <c r="AI335" i="16"/>
  <c r="AH335" i="16" s="1"/>
  <c r="AG335" i="16" s="1"/>
  <c r="AF335" i="16" s="1"/>
  <c r="AI343" i="16"/>
  <c r="AH343" i="16" s="1"/>
  <c r="AG343" i="16" s="1"/>
  <c r="AF343" i="16" s="1"/>
  <c r="AI351" i="16"/>
  <c r="AH351" i="16" s="1"/>
  <c r="AG351" i="16" s="1"/>
  <c r="AF351" i="16" s="1"/>
  <c r="AI359" i="16"/>
  <c r="AH359" i="16" s="1"/>
  <c r="AG359" i="16" s="1"/>
  <c r="AF359" i="16" s="1"/>
  <c r="AI367" i="16"/>
  <c r="AH367" i="16" s="1"/>
  <c r="AG367" i="16" s="1"/>
  <c r="AF367" i="16" s="1"/>
  <c r="AI375" i="16"/>
  <c r="AH375" i="16" s="1"/>
  <c r="AG375" i="16" s="1"/>
  <c r="AF375" i="16" s="1"/>
  <c r="U68" i="16"/>
  <c r="T68" i="16" s="1"/>
  <c r="S68" i="16" s="1"/>
  <c r="R68" i="16" s="1"/>
  <c r="U132" i="16"/>
  <c r="T132" i="16" s="1"/>
  <c r="S132" i="16" s="1"/>
  <c r="R132" i="16" s="1"/>
  <c r="U181" i="16"/>
  <c r="T181" i="16" s="1"/>
  <c r="S181" i="16" s="1"/>
  <c r="R181" i="16" s="1"/>
  <c r="U213" i="16"/>
  <c r="T213" i="16" s="1"/>
  <c r="U245" i="16"/>
  <c r="T245" i="16" s="1"/>
  <c r="S245" i="16" s="1"/>
  <c r="R245" i="16" s="1"/>
  <c r="U277" i="16"/>
  <c r="T277" i="16" s="1"/>
  <c r="S277" i="16" s="1"/>
  <c r="R277" i="16" s="1"/>
  <c r="U309" i="16"/>
  <c r="T309" i="16" s="1"/>
  <c r="S309" i="16" s="1"/>
  <c r="R309" i="16" s="1"/>
  <c r="U341" i="16"/>
  <c r="T341" i="16" s="1"/>
  <c r="U373" i="16"/>
  <c r="T373" i="16" s="1"/>
  <c r="S373" i="16" s="1"/>
  <c r="R373" i="16" s="1"/>
  <c r="AI38" i="16"/>
  <c r="AH38" i="16" s="1"/>
  <c r="AG38" i="16" s="1"/>
  <c r="AF38" i="16" s="1"/>
  <c r="AI56" i="16"/>
  <c r="AH56" i="16" s="1"/>
  <c r="AG56" i="16" s="1"/>
  <c r="AF56" i="16" s="1"/>
  <c r="AI67" i="16"/>
  <c r="AH67" i="16" s="1"/>
  <c r="AG67" i="16" s="1"/>
  <c r="AF67" i="16" s="1"/>
  <c r="AI75" i="16"/>
  <c r="AH75" i="16" s="1"/>
  <c r="AG75" i="16" s="1"/>
  <c r="AF75" i="16" s="1"/>
  <c r="AI83" i="16"/>
  <c r="AH83" i="16" s="1"/>
  <c r="AI91" i="16"/>
  <c r="AH91" i="16" s="1"/>
  <c r="AG91" i="16" s="1"/>
  <c r="AF91" i="16" s="1"/>
  <c r="AI99" i="16"/>
  <c r="AH99" i="16" s="1"/>
  <c r="AI107" i="16"/>
  <c r="AH107" i="16" s="1"/>
  <c r="AG107" i="16" s="1"/>
  <c r="AF107" i="16" s="1"/>
  <c r="AI115" i="16"/>
  <c r="AH115" i="16" s="1"/>
  <c r="AI123" i="16"/>
  <c r="AH123" i="16" s="1"/>
  <c r="AG123" i="16" s="1"/>
  <c r="AF123" i="16" s="1"/>
  <c r="AI131" i="16"/>
  <c r="AH131" i="16" s="1"/>
  <c r="AI139" i="16"/>
  <c r="AH139" i="16" s="1"/>
  <c r="AG139" i="16" s="1"/>
  <c r="AF139" i="16" s="1"/>
  <c r="AI147" i="16"/>
  <c r="AH147" i="16" s="1"/>
  <c r="AI155" i="16"/>
  <c r="AH155" i="16" s="1"/>
  <c r="AG155" i="16" s="1"/>
  <c r="AF155" i="16" s="1"/>
  <c r="AI163" i="16"/>
  <c r="AH163" i="16" s="1"/>
  <c r="AG163" i="16" s="1"/>
  <c r="AF163" i="16" s="1"/>
  <c r="AI171" i="16"/>
  <c r="AH171" i="16" s="1"/>
  <c r="AG171" i="16" s="1"/>
  <c r="AF171" i="16" s="1"/>
  <c r="AI179" i="16"/>
  <c r="AH179" i="16" s="1"/>
  <c r="AG179" i="16" s="1"/>
  <c r="AF179" i="16" s="1"/>
  <c r="AI187" i="16"/>
  <c r="AH187" i="16" s="1"/>
  <c r="AG187" i="16" s="1"/>
  <c r="AF187" i="16" s="1"/>
  <c r="AI195" i="16"/>
  <c r="AH195" i="16" s="1"/>
  <c r="AG195" i="16" s="1"/>
  <c r="AF195" i="16" s="1"/>
  <c r="AI203" i="16"/>
  <c r="AH203" i="16" s="1"/>
  <c r="AG203" i="16" s="1"/>
  <c r="AF203" i="16" s="1"/>
  <c r="AI211" i="16"/>
  <c r="AH211" i="16" s="1"/>
  <c r="AI219" i="16"/>
  <c r="AH219" i="16" s="1"/>
  <c r="AG219" i="16" s="1"/>
  <c r="AF219" i="16" s="1"/>
  <c r="AI227" i="16"/>
  <c r="AH227" i="16" s="1"/>
  <c r="AI235" i="16"/>
  <c r="AH235" i="16" s="1"/>
  <c r="AG235" i="16" s="1"/>
  <c r="AF235" i="16" s="1"/>
  <c r="AI243" i="16"/>
  <c r="AH243" i="16" s="1"/>
  <c r="AG243" i="16" s="1"/>
  <c r="AF243" i="16" s="1"/>
  <c r="AI251" i="16"/>
  <c r="AH251" i="16" s="1"/>
  <c r="AG251" i="16" s="1"/>
  <c r="AF251" i="16" s="1"/>
  <c r="AI259" i="16"/>
  <c r="AH259" i="16" s="1"/>
  <c r="AI267" i="16"/>
  <c r="AH267" i="16" s="1"/>
  <c r="AI275" i="16"/>
  <c r="AH275" i="16" s="1"/>
  <c r="AI283" i="16"/>
  <c r="AH283" i="16" s="1"/>
  <c r="AG283" i="16" s="1"/>
  <c r="AF283" i="16" s="1"/>
  <c r="AI291" i="16"/>
  <c r="AH291" i="16" s="1"/>
  <c r="AG291" i="16" s="1"/>
  <c r="AF291" i="16" s="1"/>
  <c r="AI299" i="16"/>
  <c r="AH299" i="16" s="1"/>
  <c r="AG299" i="16" s="1"/>
  <c r="AF299" i="16" s="1"/>
  <c r="AI307" i="16"/>
  <c r="AH307" i="16" s="1"/>
  <c r="AG307" i="16" s="1"/>
  <c r="AF307" i="16" s="1"/>
  <c r="AI313" i="16"/>
  <c r="AH313" i="16" s="1"/>
  <c r="AG313" i="16" s="1"/>
  <c r="AF313" i="16" s="1"/>
  <c r="AI317" i="16"/>
  <c r="AH317" i="16" s="1"/>
  <c r="AG317" i="16" s="1"/>
  <c r="AF317" i="16" s="1"/>
  <c r="AI321" i="16"/>
  <c r="AH321" i="16" s="1"/>
  <c r="AG321" i="16" s="1"/>
  <c r="AF321" i="16" s="1"/>
  <c r="AI325" i="16"/>
  <c r="AH325" i="16" s="1"/>
  <c r="AG325" i="16" s="1"/>
  <c r="AF325" i="16" s="1"/>
  <c r="AI329" i="16"/>
  <c r="AH329" i="16" s="1"/>
  <c r="AG329" i="16" s="1"/>
  <c r="AF329" i="16" s="1"/>
  <c r="AI333" i="16"/>
  <c r="AH333" i="16" s="1"/>
  <c r="AI337" i="16"/>
  <c r="AH337" i="16" s="1"/>
  <c r="AG337" i="16" s="1"/>
  <c r="AF337" i="16" s="1"/>
  <c r="AI341" i="16"/>
  <c r="AH341" i="16" s="1"/>
  <c r="AI345" i="16"/>
  <c r="AH345" i="16" s="1"/>
  <c r="AG345" i="16" s="1"/>
  <c r="AF345" i="16" s="1"/>
  <c r="AI349" i="16"/>
  <c r="AH349" i="16" s="1"/>
  <c r="AI353" i="16"/>
  <c r="AH353" i="16" s="1"/>
  <c r="AG353" i="16" s="1"/>
  <c r="AF353" i="16" s="1"/>
  <c r="AI357" i="16"/>
  <c r="AH357" i="16" s="1"/>
  <c r="AG357" i="16" s="1"/>
  <c r="AF357" i="16" s="1"/>
  <c r="AI361" i="16"/>
  <c r="AH361" i="16" s="1"/>
  <c r="AG361" i="16" s="1"/>
  <c r="AF361" i="16" s="1"/>
  <c r="AI365" i="16"/>
  <c r="AH365" i="16" s="1"/>
  <c r="AG365" i="16" s="1"/>
  <c r="AF365" i="16" s="1"/>
  <c r="AI369" i="16"/>
  <c r="AH369" i="16" s="1"/>
  <c r="AG369" i="16" s="1"/>
  <c r="AF369" i="16" s="1"/>
  <c r="AI373" i="16"/>
  <c r="AH373" i="16" s="1"/>
  <c r="AI377" i="16"/>
  <c r="AH377" i="16" s="1"/>
  <c r="AG377" i="16" s="1"/>
  <c r="AF377" i="16" s="1"/>
  <c r="AI339" i="16"/>
  <c r="AH339" i="16" s="1"/>
  <c r="AI347" i="16"/>
  <c r="AH347" i="16" s="1"/>
  <c r="AG347" i="16" s="1"/>
  <c r="AF347" i="16" s="1"/>
  <c r="AI355" i="16"/>
  <c r="AH355" i="16" s="1"/>
  <c r="AI363" i="16"/>
  <c r="AH363" i="16" s="1"/>
  <c r="AG363" i="16" s="1"/>
  <c r="AF363" i="16" s="1"/>
  <c r="AI371" i="16"/>
  <c r="AH371" i="16" s="1"/>
  <c r="AG371" i="16" s="1"/>
  <c r="AF371" i="16" s="1"/>
  <c r="AI379" i="16"/>
  <c r="AI12" i="17" s="1"/>
  <c r="U17" i="16"/>
  <c r="T17" i="16" s="1"/>
  <c r="U24" i="16"/>
  <c r="T24" i="16" s="1"/>
  <c r="S24" i="16" s="1"/>
  <c r="R24" i="16" s="1"/>
  <c r="U32" i="16"/>
  <c r="T32" i="16" s="1"/>
  <c r="S32" i="16" s="1"/>
  <c r="R32" i="16" s="1"/>
  <c r="U40" i="16"/>
  <c r="T40" i="16" s="1"/>
  <c r="S40" i="16" s="1"/>
  <c r="R40" i="16" s="1"/>
  <c r="U48" i="16"/>
  <c r="T48" i="16" s="1"/>
  <c r="S48" i="16" s="1"/>
  <c r="R48" i="16" s="1"/>
  <c r="U56" i="16"/>
  <c r="T56" i="16" s="1"/>
  <c r="S56" i="16" s="1"/>
  <c r="R56" i="16" s="1"/>
  <c r="U64" i="16"/>
  <c r="T64" i="16" s="1"/>
  <c r="S64" i="16" s="1"/>
  <c r="R64" i="16" s="1"/>
  <c r="U72" i="16"/>
  <c r="T72" i="16" s="1"/>
  <c r="S72" i="16" s="1"/>
  <c r="R72" i="16" s="1"/>
  <c r="U80" i="16"/>
  <c r="T80" i="16" s="1"/>
  <c r="S80" i="16" s="1"/>
  <c r="R80" i="16" s="1"/>
  <c r="U88" i="16"/>
  <c r="T88" i="16" s="1"/>
  <c r="U96" i="16"/>
  <c r="T96" i="16" s="1"/>
  <c r="S96" i="16" s="1"/>
  <c r="R96" i="16" s="1"/>
  <c r="U104" i="16"/>
  <c r="T104" i="16" s="1"/>
  <c r="S104" i="16" s="1"/>
  <c r="R104" i="16" s="1"/>
  <c r="U112" i="16"/>
  <c r="T112" i="16" s="1"/>
  <c r="U120" i="16"/>
  <c r="T120" i="16" s="1"/>
  <c r="S120" i="16" s="1"/>
  <c r="R120" i="16" s="1"/>
  <c r="U128" i="16"/>
  <c r="T128" i="16" s="1"/>
  <c r="S128" i="16" s="1"/>
  <c r="R128" i="16" s="1"/>
  <c r="U136" i="16"/>
  <c r="T136" i="16" s="1"/>
  <c r="S136" i="16" s="1"/>
  <c r="R136" i="16" s="1"/>
  <c r="U144" i="16"/>
  <c r="T144" i="16" s="1"/>
  <c r="S144" i="16" s="1"/>
  <c r="R144" i="16" s="1"/>
  <c r="U152" i="16"/>
  <c r="T152" i="16" s="1"/>
  <c r="S152" i="16" s="1"/>
  <c r="R152" i="16" s="1"/>
  <c r="U160" i="16"/>
  <c r="T160" i="16" s="1"/>
  <c r="S160" i="16" s="1"/>
  <c r="R160" i="16" s="1"/>
  <c r="U167" i="16"/>
  <c r="T167" i="16" s="1"/>
  <c r="S167" i="16" s="1"/>
  <c r="R167" i="16" s="1"/>
  <c r="U171" i="16"/>
  <c r="T171" i="16" s="1"/>
  <c r="S171" i="16" s="1"/>
  <c r="R171" i="16" s="1"/>
  <c r="U175" i="16"/>
  <c r="T175" i="16" s="1"/>
  <c r="S175" i="16" s="1"/>
  <c r="R175" i="16" s="1"/>
  <c r="U179" i="16"/>
  <c r="T179" i="16" s="1"/>
  <c r="S179" i="16" s="1"/>
  <c r="R179" i="16" s="1"/>
  <c r="U183" i="16"/>
  <c r="T183" i="16" s="1"/>
  <c r="S183" i="16" s="1"/>
  <c r="R183" i="16" s="1"/>
  <c r="U187" i="16"/>
  <c r="T187" i="16" s="1"/>
  <c r="S187" i="16" s="1"/>
  <c r="R187" i="16" s="1"/>
  <c r="U191" i="16"/>
  <c r="T191" i="16" s="1"/>
  <c r="S191" i="16" s="1"/>
  <c r="R191" i="16" s="1"/>
  <c r="U195" i="16"/>
  <c r="T195" i="16" s="1"/>
  <c r="S195" i="16" s="1"/>
  <c r="R195" i="16" s="1"/>
  <c r="U199" i="16"/>
  <c r="T199" i="16" s="1"/>
  <c r="S199" i="16" s="1"/>
  <c r="R199" i="16" s="1"/>
  <c r="U203" i="16"/>
  <c r="T203" i="16" s="1"/>
  <c r="S203" i="16" s="1"/>
  <c r="R203" i="16" s="1"/>
  <c r="U207" i="16"/>
  <c r="T207" i="16" s="1"/>
  <c r="S207" i="16" s="1"/>
  <c r="R207" i="16" s="1"/>
  <c r="U211" i="16"/>
  <c r="T211" i="16" s="1"/>
  <c r="S211" i="16" s="1"/>
  <c r="R211" i="16" s="1"/>
  <c r="U215" i="16"/>
  <c r="T215" i="16" s="1"/>
  <c r="S215" i="16" s="1"/>
  <c r="R215" i="16" s="1"/>
  <c r="U219" i="16"/>
  <c r="T219" i="16" s="1"/>
  <c r="U223" i="16"/>
  <c r="T223" i="16" s="1"/>
  <c r="S223" i="16" s="1"/>
  <c r="R223" i="16" s="1"/>
  <c r="U227" i="16"/>
  <c r="T227" i="16" s="1"/>
  <c r="S227" i="16" s="1"/>
  <c r="R227" i="16" s="1"/>
  <c r="U231" i="16"/>
  <c r="T231" i="16" s="1"/>
  <c r="S231" i="16" s="1"/>
  <c r="R231" i="16" s="1"/>
  <c r="U235" i="16"/>
  <c r="T235" i="16" s="1"/>
  <c r="S235" i="16" s="1"/>
  <c r="R235" i="16" s="1"/>
  <c r="U239" i="16"/>
  <c r="T239" i="16" s="1"/>
  <c r="S239" i="16" s="1"/>
  <c r="R239" i="16" s="1"/>
  <c r="U243" i="16"/>
  <c r="T243" i="16" s="1"/>
  <c r="U247" i="16"/>
  <c r="T247" i="16" s="1"/>
  <c r="S247" i="16" s="1"/>
  <c r="R247" i="16" s="1"/>
  <c r="U251" i="16"/>
  <c r="T251" i="16" s="1"/>
  <c r="S251" i="16" s="1"/>
  <c r="R251" i="16" s="1"/>
  <c r="U255" i="16"/>
  <c r="T255" i="16" s="1"/>
  <c r="S255" i="16" s="1"/>
  <c r="R255" i="16" s="1"/>
  <c r="U259" i="16"/>
  <c r="T259" i="16" s="1"/>
  <c r="S259" i="16" s="1"/>
  <c r="R259" i="16" s="1"/>
  <c r="U263" i="16"/>
  <c r="T263" i="16" s="1"/>
  <c r="S263" i="16" s="1"/>
  <c r="R263" i="16" s="1"/>
  <c r="U267" i="16"/>
  <c r="T267" i="16" s="1"/>
  <c r="S267" i="16" s="1"/>
  <c r="R267" i="16" s="1"/>
  <c r="U271" i="16"/>
  <c r="T271" i="16" s="1"/>
  <c r="S271" i="16" s="1"/>
  <c r="R271" i="16" s="1"/>
  <c r="U275" i="16"/>
  <c r="T275" i="16" s="1"/>
  <c r="U279" i="16"/>
  <c r="T279" i="16" s="1"/>
  <c r="S279" i="16" s="1"/>
  <c r="R279" i="16" s="1"/>
  <c r="U283" i="16"/>
  <c r="T283" i="16" s="1"/>
  <c r="S283" i="16" s="1"/>
  <c r="R283" i="16" s="1"/>
  <c r="U287" i="16"/>
  <c r="T287" i="16" s="1"/>
  <c r="S287" i="16" s="1"/>
  <c r="R287" i="16" s="1"/>
  <c r="U291" i="16"/>
  <c r="T291" i="16" s="1"/>
  <c r="S291" i="16" s="1"/>
  <c r="R291" i="16" s="1"/>
  <c r="U295" i="16"/>
  <c r="T295" i="16" s="1"/>
  <c r="S295" i="16" s="1"/>
  <c r="R295" i="16" s="1"/>
  <c r="U299" i="16"/>
  <c r="T299" i="16" s="1"/>
  <c r="U303" i="16"/>
  <c r="T303" i="16" s="1"/>
  <c r="S303" i="16" s="1"/>
  <c r="R303" i="16" s="1"/>
  <c r="U307" i="16"/>
  <c r="T307" i="16" s="1"/>
  <c r="U311" i="16"/>
  <c r="T311" i="16" s="1"/>
  <c r="S311" i="16" s="1"/>
  <c r="R311" i="16" s="1"/>
  <c r="U315" i="16"/>
  <c r="T315" i="16" s="1"/>
  <c r="U319" i="16"/>
  <c r="T319" i="16" s="1"/>
  <c r="S319" i="16" s="1"/>
  <c r="R319" i="16" s="1"/>
  <c r="U323" i="16"/>
  <c r="T323" i="16" s="1"/>
  <c r="S323" i="16" s="1"/>
  <c r="R323" i="16" s="1"/>
  <c r="U327" i="16"/>
  <c r="T327" i="16" s="1"/>
  <c r="S327" i="16" s="1"/>
  <c r="R327" i="16" s="1"/>
  <c r="U331" i="16"/>
  <c r="T331" i="16" s="1"/>
  <c r="S331" i="16" s="1"/>
  <c r="R331" i="16" s="1"/>
  <c r="U335" i="16"/>
  <c r="T335" i="16" s="1"/>
  <c r="S335" i="16" s="1"/>
  <c r="R335" i="16" s="1"/>
  <c r="U339" i="16"/>
  <c r="T339" i="16" s="1"/>
  <c r="S339" i="16" s="1"/>
  <c r="R339" i="16" s="1"/>
  <c r="U343" i="16"/>
  <c r="T343" i="16" s="1"/>
  <c r="S343" i="16" s="1"/>
  <c r="R343" i="16" s="1"/>
  <c r="U347" i="16"/>
  <c r="T347" i="16" s="1"/>
  <c r="U351" i="16"/>
  <c r="T351" i="16" s="1"/>
  <c r="S351" i="16" s="1"/>
  <c r="R351" i="16" s="1"/>
  <c r="U355" i="16"/>
  <c r="T355" i="16" s="1"/>
  <c r="U359" i="16"/>
  <c r="T359" i="16" s="1"/>
  <c r="S359" i="16" s="1"/>
  <c r="R359" i="16" s="1"/>
  <c r="U363" i="16"/>
  <c r="T363" i="16" s="1"/>
  <c r="U367" i="16"/>
  <c r="T367" i="16" s="1"/>
  <c r="S367" i="16" s="1"/>
  <c r="R367" i="16" s="1"/>
  <c r="U371" i="16"/>
  <c r="T371" i="16" s="1"/>
  <c r="S371" i="16" s="1"/>
  <c r="R371" i="16" s="1"/>
  <c r="U375" i="16"/>
  <c r="T375" i="16" s="1"/>
  <c r="S375" i="16" s="1"/>
  <c r="R375" i="16" s="1"/>
  <c r="U379" i="16"/>
  <c r="U12" i="17" s="1"/>
  <c r="U28" i="16"/>
  <c r="T28" i="16" s="1"/>
  <c r="S28" i="16" s="1"/>
  <c r="R28" i="16" s="1"/>
  <c r="U44" i="16"/>
  <c r="T44" i="16" s="1"/>
  <c r="S44" i="16" s="1"/>
  <c r="R44" i="16" s="1"/>
  <c r="U60" i="16"/>
  <c r="T60" i="16" s="1"/>
  <c r="S60" i="16" s="1"/>
  <c r="R60" i="16" s="1"/>
  <c r="U76" i="16"/>
  <c r="T76" i="16" s="1"/>
  <c r="S76" i="16" s="1"/>
  <c r="R76" i="16" s="1"/>
  <c r="U92" i="16"/>
  <c r="T92" i="16" s="1"/>
  <c r="U108" i="16"/>
  <c r="T108" i="16" s="1"/>
  <c r="U124" i="16"/>
  <c r="T124" i="16" s="1"/>
  <c r="S124" i="16" s="1"/>
  <c r="R124" i="16" s="1"/>
  <c r="U140" i="16"/>
  <c r="T140" i="16" s="1"/>
  <c r="U156" i="16"/>
  <c r="T156" i="16" s="1"/>
  <c r="S156" i="16" s="1"/>
  <c r="R156" i="16" s="1"/>
  <c r="U169" i="16"/>
  <c r="T169" i="16" s="1"/>
  <c r="S169" i="16" s="1"/>
  <c r="R169" i="16" s="1"/>
  <c r="U177" i="16"/>
  <c r="T177" i="16" s="1"/>
  <c r="S177" i="16" s="1"/>
  <c r="R177" i="16" s="1"/>
  <c r="U185" i="16"/>
  <c r="T185" i="16" s="1"/>
  <c r="U193" i="16"/>
  <c r="T193" i="16" s="1"/>
  <c r="S193" i="16" s="1"/>
  <c r="R193" i="16" s="1"/>
  <c r="U201" i="16"/>
  <c r="T201" i="16" s="1"/>
  <c r="S201" i="16" s="1"/>
  <c r="R201" i="16" s="1"/>
  <c r="U209" i="16"/>
  <c r="T209" i="16" s="1"/>
  <c r="S209" i="16" s="1"/>
  <c r="R209" i="16" s="1"/>
  <c r="U217" i="16"/>
  <c r="T217" i="16" s="1"/>
  <c r="U225" i="16"/>
  <c r="T225" i="16" s="1"/>
  <c r="S225" i="16" s="1"/>
  <c r="R225" i="16" s="1"/>
  <c r="U233" i="16"/>
  <c r="T233" i="16" s="1"/>
  <c r="U241" i="16"/>
  <c r="T241" i="16" s="1"/>
  <c r="S241" i="16" s="1"/>
  <c r="R241" i="16" s="1"/>
  <c r="U249" i="16"/>
  <c r="T249" i="16" s="1"/>
  <c r="S249" i="16" s="1"/>
  <c r="R249" i="16" s="1"/>
  <c r="U257" i="16"/>
  <c r="T257" i="16" s="1"/>
  <c r="S257" i="16" s="1"/>
  <c r="R257" i="16" s="1"/>
  <c r="U265" i="16"/>
  <c r="T265" i="16" s="1"/>
  <c r="S265" i="16" s="1"/>
  <c r="R265" i="16" s="1"/>
  <c r="U273" i="16"/>
  <c r="T273" i="16" s="1"/>
  <c r="S273" i="16" s="1"/>
  <c r="R273" i="16" s="1"/>
  <c r="U281" i="16"/>
  <c r="T281" i="16" s="1"/>
  <c r="S281" i="16" s="1"/>
  <c r="R281" i="16" s="1"/>
  <c r="U289" i="16"/>
  <c r="T289" i="16" s="1"/>
  <c r="S289" i="16" s="1"/>
  <c r="R289" i="16" s="1"/>
  <c r="U297" i="16"/>
  <c r="T297" i="16" s="1"/>
  <c r="S297" i="16" s="1"/>
  <c r="R297" i="16" s="1"/>
  <c r="U305" i="16"/>
  <c r="T305" i="16" s="1"/>
  <c r="S305" i="16" s="1"/>
  <c r="R305" i="16" s="1"/>
  <c r="U313" i="16"/>
  <c r="T313" i="16" s="1"/>
  <c r="S313" i="16" s="1"/>
  <c r="R313" i="16" s="1"/>
  <c r="U321" i="16"/>
  <c r="T321" i="16" s="1"/>
  <c r="S321" i="16" s="1"/>
  <c r="R321" i="16" s="1"/>
  <c r="U329" i="16"/>
  <c r="T329" i="16" s="1"/>
  <c r="S329" i="16" s="1"/>
  <c r="R329" i="16" s="1"/>
  <c r="U337" i="16"/>
  <c r="T337" i="16" s="1"/>
  <c r="S337" i="16" s="1"/>
  <c r="R337" i="16" s="1"/>
  <c r="U345" i="16"/>
  <c r="T345" i="16" s="1"/>
  <c r="S345" i="16" s="1"/>
  <c r="R345" i="16" s="1"/>
  <c r="U353" i="16"/>
  <c r="T353" i="16" s="1"/>
  <c r="S353" i="16" s="1"/>
  <c r="R353" i="16" s="1"/>
  <c r="U361" i="16"/>
  <c r="T361" i="16" s="1"/>
  <c r="S361" i="16" s="1"/>
  <c r="R361" i="16" s="1"/>
  <c r="U369" i="16"/>
  <c r="T369" i="16" s="1"/>
  <c r="S369" i="16" s="1"/>
  <c r="R369" i="16" s="1"/>
  <c r="U377" i="16"/>
  <c r="T377" i="16" s="1"/>
  <c r="S377" i="16" s="1"/>
  <c r="R377" i="16" s="1"/>
  <c r="AI15" i="16"/>
  <c r="AH15" i="16" s="1"/>
  <c r="AI20" i="16"/>
  <c r="AH20" i="16" s="1"/>
  <c r="AI24" i="16"/>
  <c r="AH24" i="16" s="1"/>
  <c r="AG24" i="16" s="1"/>
  <c r="AF24" i="16" s="1"/>
  <c r="AI28" i="16"/>
  <c r="AH28" i="16" s="1"/>
  <c r="AG28" i="16" s="1"/>
  <c r="AF28" i="16" s="1"/>
  <c r="AI32" i="16"/>
  <c r="AH32" i="16" s="1"/>
  <c r="AG32" i="16" s="1"/>
  <c r="AF32" i="16" s="1"/>
  <c r="AI36" i="16"/>
  <c r="AH36" i="16" s="1"/>
  <c r="AG36" i="16" s="1"/>
  <c r="AF36" i="16" s="1"/>
  <c r="AI40" i="16"/>
  <c r="AH40" i="16" s="1"/>
  <c r="AG40" i="16" s="1"/>
  <c r="AF40" i="16" s="1"/>
  <c r="AI17" i="16"/>
  <c r="AH17" i="16" s="1"/>
  <c r="AG17" i="16" s="1"/>
  <c r="AF17" i="16" s="1"/>
  <c r="AI26" i="16"/>
  <c r="AH26" i="16" s="1"/>
  <c r="AG26" i="16" s="1"/>
  <c r="AF26" i="16" s="1"/>
  <c r="AI34" i="16"/>
  <c r="AH34" i="16" s="1"/>
  <c r="AG34" i="16" s="1"/>
  <c r="AF34" i="16" s="1"/>
  <c r="AI42" i="16"/>
  <c r="AH42" i="16" s="1"/>
  <c r="AG42" i="16" s="1"/>
  <c r="AF42" i="16" s="1"/>
  <c r="AI46" i="16"/>
  <c r="AH46" i="16" s="1"/>
  <c r="AG46" i="16" s="1"/>
  <c r="AF46" i="16" s="1"/>
  <c r="AI50" i="16"/>
  <c r="AH50" i="16" s="1"/>
  <c r="AG50" i="16" s="1"/>
  <c r="AF50" i="16" s="1"/>
  <c r="AI54" i="16"/>
  <c r="AH54" i="16" s="1"/>
  <c r="AI58" i="16"/>
  <c r="AH58" i="16" s="1"/>
  <c r="AG58" i="16" s="1"/>
  <c r="AF58" i="16" s="1"/>
  <c r="AI62" i="16"/>
  <c r="AH62" i="16" s="1"/>
  <c r="AG62" i="16" s="1"/>
  <c r="AF62" i="16" s="1"/>
  <c r="AI64" i="16"/>
  <c r="AH64" i="16" s="1"/>
  <c r="AG64" i="16" s="1"/>
  <c r="AF64" i="16" s="1"/>
  <c r="AI66" i="16"/>
  <c r="AH66" i="16" s="1"/>
  <c r="AG66" i="16" s="1"/>
  <c r="AF66" i="16" s="1"/>
  <c r="AI68" i="16"/>
  <c r="AH68" i="16" s="1"/>
  <c r="AG68" i="16" s="1"/>
  <c r="AF68" i="16" s="1"/>
  <c r="AI70" i="16"/>
  <c r="AH70" i="16" s="1"/>
  <c r="AG70" i="16" s="1"/>
  <c r="AF70" i="16" s="1"/>
  <c r="AI72" i="16"/>
  <c r="AH72" i="16" s="1"/>
  <c r="AG72" i="16" s="1"/>
  <c r="AF72" i="16" s="1"/>
  <c r="AI74" i="16"/>
  <c r="AH74" i="16" s="1"/>
  <c r="AI76" i="16"/>
  <c r="AH76" i="16" s="1"/>
  <c r="AG76" i="16" s="1"/>
  <c r="AF76" i="16" s="1"/>
  <c r="AI78" i="16"/>
  <c r="AH78" i="16" s="1"/>
  <c r="AG78" i="16" s="1"/>
  <c r="AF78" i="16" s="1"/>
  <c r="AI80" i="16"/>
  <c r="AH80" i="16" s="1"/>
  <c r="AG80" i="16" s="1"/>
  <c r="AF80" i="16" s="1"/>
  <c r="AI82" i="16"/>
  <c r="AH82" i="16" s="1"/>
  <c r="AG82" i="16" s="1"/>
  <c r="AF82" i="16" s="1"/>
  <c r="AI84" i="16"/>
  <c r="AH84" i="16" s="1"/>
  <c r="AG84" i="16" s="1"/>
  <c r="AF84" i="16" s="1"/>
  <c r="AI86" i="16"/>
  <c r="AH86" i="16" s="1"/>
  <c r="AG86" i="16" s="1"/>
  <c r="AF86" i="16" s="1"/>
  <c r="AI88" i="16"/>
  <c r="AH88" i="16" s="1"/>
  <c r="AG88" i="16" s="1"/>
  <c r="AF88" i="16" s="1"/>
  <c r="AI90" i="16"/>
  <c r="AH90" i="16" s="1"/>
  <c r="AI92" i="16"/>
  <c r="AH92" i="16" s="1"/>
  <c r="AG92" i="16" s="1"/>
  <c r="AF92" i="16" s="1"/>
  <c r="AI94" i="16"/>
  <c r="AH94" i="16" s="1"/>
  <c r="AG94" i="16" s="1"/>
  <c r="AF94" i="16" s="1"/>
  <c r="AI96" i="16"/>
  <c r="AH96" i="16" s="1"/>
  <c r="AG96" i="16" s="1"/>
  <c r="AF96" i="16" s="1"/>
  <c r="AI98" i="16"/>
  <c r="AH98" i="16" s="1"/>
  <c r="AG98" i="16" s="1"/>
  <c r="AF98" i="16" s="1"/>
  <c r="AI100" i="16"/>
  <c r="AH100" i="16" s="1"/>
  <c r="AG100" i="16" s="1"/>
  <c r="AF100" i="16" s="1"/>
  <c r="AI102" i="16"/>
  <c r="AH102" i="16" s="1"/>
  <c r="AG102" i="16" s="1"/>
  <c r="AF102" i="16" s="1"/>
  <c r="AI104" i="16"/>
  <c r="AH104" i="16" s="1"/>
  <c r="AG104" i="16" s="1"/>
  <c r="AF104" i="16" s="1"/>
  <c r="AI106" i="16"/>
  <c r="AH106" i="16" s="1"/>
  <c r="AG106" i="16" s="1"/>
  <c r="AF106" i="16" s="1"/>
  <c r="AI108" i="16"/>
  <c r="AH108" i="16" s="1"/>
  <c r="AG108" i="16" s="1"/>
  <c r="AF108" i="16" s="1"/>
  <c r="AI110" i="16"/>
  <c r="AH110" i="16" s="1"/>
  <c r="AI112" i="16"/>
  <c r="AH112" i="16" s="1"/>
  <c r="AG112" i="16" s="1"/>
  <c r="AF112" i="16" s="1"/>
  <c r="AI114" i="16"/>
  <c r="AH114" i="16" s="1"/>
  <c r="AG114" i="16" s="1"/>
  <c r="AF114" i="16" s="1"/>
  <c r="AI116" i="16"/>
  <c r="AH116" i="16" s="1"/>
  <c r="AG116" i="16" s="1"/>
  <c r="AF116" i="16" s="1"/>
  <c r="AI118" i="16"/>
  <c r="AH118" i="16" s="1"/>
  <c r="AG118" i="16" s="1"/>
  <c r="AF118" i="16" s="1"/>
  <c r="AI120" i="16"/>
  <c r="AH120" i="16" s="1"/>
  <c r="AG120" i="16" s="1"/>
  <c r="AF120" i="16" s="1"/>
  <c r="AI122" i="16"/>
  <c r="AH122" i="16" s="1"/>
  <c r="AG122" i="16" s="1"/>
  <c r="AF122" i="16" s="1"/>
  <c r="AI124" i="16"/>
  <c r="AH124" i="16" s="1"/>
  <c r="AG124" i="16" s="1"/>
  <c r="AF124" i="16" s="1"/>
  <c r="AI126" i="16"/>
  <c r="AH126" i="16" s="1"/>
  <c r="AG126" i="16" s="1"/>
  <c r="AF126" i="16" s="1"/>
  <c r="AI128" i="16"/>
  <c r="AH128" i="16" s="1"/>
  <c r="AG128" i="16" s="1"/>
  <c r="AF128" i="16" s="1"/>
  <c r="AI130" i="16"/>
  <c r="AH130" i="16" s="1"/>
  <c r="AG130" i="16" s="1"/>
  <c r="AF130" i="16" s="1"/>
  <c r="AI132" i="16"/>
  <c r="AH132" i="16" s="1"/>
  <c r="AG132" i="16" s="1"/>
  <c r="AF132" i="16" s="1"/>
  <c r="AI134" i="16"/>
  <c r="AH134" i="16" s="1"/>
  <c r="AG134" i="16" s="1"/>
  <c r="AF134" i="16" s="1"/>
  <c r="AI136" i="16"/>
  <c r="AH136" i="16" s="1"/>
  <c r="AG136" i="16" s="1"/>
  <c r="AF136" i="16" s="1"/>
  <c r="AI138" i="16"/>
  <c r="AH138" i="16" s="1"/>
  <c r="AG138" i="16" s="1"/>
  <c r="AF138" i="16" s="1"/>
  <c r="AI140" i="16"/>
  <c r="AH140" i="16" s="1"/>
  <c r="AG140" i="16" s="1"/>
  <c r="AF140" i="16" s="1"/>
  <c r="AI142" i="16"/>
  <c r="AH142" i="16" s="1"/>
  <c r="AG142" i="16" s="1"/>
  <c r="AF142" i="16" s="1"/>
  <c r="AI144" i="16"/>
  <c r="AH144" i="16" s="1"/>
  <c r="AG144" i="16" s="1"/>
  <c r="AF144" i="16" s="1"/>
  <c r="AI146" i="16"/>
  <c r="AH146" i="16" s="1"/>
  <c r="AI148" i="16"/>
  <c r="AH148" i="16" s="1"/>
  <c r="AG148" i="16" s="1"/>
  <c r="AF148" i="16" s="1"/>
  <c r="AI150" i="16"/>
  <c r="AH150" i="16" s="1"/>
  <c r="AG150" i="16" s="1"/>
  <c r="AF150" i="16" s="1"/>
  <c r="AI152" i="16"/>
  <c r="AH152" i="16" s="1"/>
  <c r="AG152" i="16" s="1"/>
  <c r="AF152" i="16" s="1"/>
  <c r="AI154" i="16"/>
  <c r="AH154" i="16" s="1"/>
  <c r="AG154" i="16" s="1"/>
  <c r="AF154" i="16" s="1"/>
  <c r="AI156" i="16"/>
  <c r="AH156" i="16" s="1"/>
  <c r="AG156" i="16" s="1"/>
  <c r="AF156" i="16" s="1"/>
  <c r="AI158" i="16"/>
  <c r="AH158" i="16" s="1"/>
  <c r="AG158" i="16" s="1"/>
  <c r="AF158" i="16" s="1"/>
  <c r="AI160" i="16"/>
  <c r="AH160" i="16" s="1"/>
  <c r="AG160" i="16" s="1"/>
  <c r="AF160" i="16" s="1"/>
  <c r="AI162" i="16"/>
  <c r="AH162" i="16" s="1"/>
  <c r="AG162" i="16" s="1"/>
  <c r="AF162" i="16" s="1"/>
  <c r="AI164" i="16"/>
  <c r="AH164" i="16" s="1"/>
  <c r="AG164" i="16" s="1"/>
  <c r="AF164" i="16" s="1"/>
  <c r="AI166" i="16"/>
  <c r="AH166" i="16" s="1"/>
  <c r="AG166" i="16" s="1"/>
  <c r="AF166" i="16" s="1"/>
  <c r="AI168" i="16"/>
  <c r="AH168" i="16" s="1"/>
  <c r="AG168" i="16" s="1"/>
  <c r="AF168" i="16" s="1"/>
  <c r="AI170" i="16"/>
  <c r="AH170" i="16" s="1"/>
  <c r="AG170" i="16" s="1"/>
  <c r="AF170" i="16" s="1"/>
  <c r="AI172" i="16"/>
  <c r="AH172" i="16" s="1"/>
  <c r="AG172" i="16" s="1"/>
  <c r="AF172" i="16" s="1"/>
  <c r="AI174" i="16"/>
  <c r="AH174" i="16" s="1"/>
  <c r="AG174" i="16" s="1"/>
  <c r="AF174" i="16" s="1"/>
  <c r="AI176" i="16"/>
  <c r="AH176" i="16" s="1"/>
  <c r="AI178" i="16"/>
  <c r="AH178" i="16" s="1"/>
  <c r="AG178" i="16" s="1"/>
  <c r="AF178" i="16" s="1"/>
  <c r="AI180" i="16"/>
  <c r="AH180" i="16" s="1"/>
  <c r="AG180" i="16" s="1"/>
  <c r="AF180" i="16" s="1"/>
  <c r="AI182" i="16"/>
  <c r="AH182" i="16" s="1"/>
  <c r="AG182" i="16" s="1"/>
  <c r="AF182" i="16" s="1"/>
  <c r="AI184" i="16"/>
  <c r="AH184" i="16" s="1"/>
  <c r="AG184" i="16" s="1"/>
  <c r="AF184" i="16" s="1"/>
  <c r="AI186" i="16"/>
  <c r="AH186" i="16" s="1"/>
  <c r="AI188" i="16"/>
  <c r="AH188" i="16" s="1"/>
  <c r="AG188" i="16" s="1"/>
  <c r="AF188" i="16" s="1"/>
  <c r="AI190" i="16"/>
  <c r="AH190" i="16" s="1"/>
  <c r="AG190" i="16" s="1"/>
  <c r="AF190" i="16" s="1"/>
  <c r="AI192" i="16"/>
  <c r="AH192" i="16" s="1"/>
  <c r="AI194" i="16"/>
  <c r="AH194" i="16" s="1"/>
  <c r="AG194" i="16" s="1"/>
  <c r="AF194" i="16" s="1"/>
  <c r="AI196" i="16"/>
  <c r="AH196" i="16" s="1"/>
  <c r="AG196" i="16" s="1"/>
  <c r="AF196" i="16" s="1"/>
  <c r="AI198" i="16"/>
  <c r="AH198" i="16" s="1"/>
  <c r="AG198" i="16" s="1"/>
  <c r="AF198" i="16" s="1"/>
  <c r="AI200" i="16"/>
  <c r="AH200" i="16" s="1"/>
  <c r="AG200" i="16" s="1"/>
  <c r="AF200" i="16" s="1"/>
  <c r="AI202" i="16"/>
  <c r="AH202" i="16" s="1"/>
  <c r="AG202" i="16" s="1"/>
  <c r="AF202" i="16" s="1"/>
  <c r="AI204" i="16"/>
  <c r="AH204" i="16" s="1"/>
  <c r="AG204" i="16" s="1"/>
  <c r="AF204" i="16" s="1"/>
  <c r="AI206" i="16"/>
  <c r="AH206" i="16" s="1"/>
  <c r="AG206" i="16" s="1"/>
  <c r="AF206" i="16" s="1"/>
  <c r="AI208" i="16"/>
  <c r="AH208" i="16" s="1"/>
  <c r="AG208" i="16" s="1"/>
  <c r="AF208" i="16" s="1"/>
  <c r="AI210" i="16"/>
  <c r="AH210" i="16" s="1"/>
  <c r="AG210" i="16" s="1"/>
  <c r="AF210" i="16" s="1"/>
  <c r="AI212" i="16"/>
  <c r="AH212" i="16" s="1"/>
  <c r="AG212" i="16" s="1"/>
  <c r="AF212" i="16" s="1"/>
  <c r="AI214" i="16"/>
  <c r="AH214" i="16" s="1"/>
  <c r="AG214" i="16" s="1"/>
  <c r="AF214" i="16" s="1"/>
  <c r="AI216" i="16"/>
  <c r="AH216" i="16" s="1"/>
  <c r="AG216" i="16" s="1"/>
  <c r="AF216" i="16" s="1"/>
  <c r="AI218" i="16"/>
  <c r="AH218" i="16" s="1"/>
  <c r="AG218" i="16" s="1"/>
  <c r="AF218" i="16" s="1"/>
  <c r="AI220" i="16"/>
  <c r="AH220" i="16" s="1"/>
  <c r="AG220" i="16" s="1"/>
  <c r="AF220" i="16" s="1"/>
  <c r="AI222" i="16"/>
  <c r="AH222" i="16" s="1"/>
  <c r="AI224" i="16"/>
  <c r="AH224" i="16" s="1"/>
  <c r="AG224" i="16" s="1"/>
  <c r="AF224" i="16" s="1"/>
  <c r="AI226" i="16"/>
  <c r="AH226" i="16" s="1"/>
  <c r="AG226" i="16" s="1"/>
  <c r="AF226" i="16" s="1"/>
  <c r="AI228" i="16"/>
  <c r="AH228" i="16" s="1"/>
  <c r="AG228" i="16" s="1"/>
  <c r="AF228" i="16" s="1"/>
  <c r="AI230" i="16"/>
  <c r="AH230" i="16" s="1"/>
  <c r="AG230" i="16" s="1"/>
  <c r="AF230" i="16" s="1"/>
  <c r="AI232" i="16"/>
  <c r="AH232" i="16" s="1"/>
  <c r="AG232" i="16" s="1"/>
  <c r="AF232" i="16" s="1"/>
  <c r="AI234" i="16"/>
  <c r="AH234" i="16" s="1"/>
  <c r="AG234" i="16" s="1"/>
  <c r="AF234" i="16" s="1"/>
  <c r="AI236" i="16"/>
  <c r="AH236" i="16" s="1"/>
  <c r="AG236" i="16" s="1"/>
  <c r="AF236" i="16" s="1"/>
  <c r="AI238" i="16"/>
  <c r="AH238" i="16" s="1"/>
  <c r="AG238" i="16" s="1"/>
  <c r="AF238" i="16" s="1"/>
  <c r="AI240" i="16"/>
  <c r="AH240" i="16" s="1"/>
  <c r="AG240" i="16" s="1"/>
  <c r="AF240" i="16" s="1"/>
  <c r="AI242" i="16"/>
  <c r="AH242" i="16" s="1"/>
  <c r="AI244" i="16"/>
  <c r="AH244" i="16" s="1"/>
  <c r="AG244" i="16" s="1"/>
  <c r="AF244" i="16" s="1"/>
  <c r="AI246" i="16"/>
  <c r="AH246" i="16" s="1"/>
  <c r="AG246" i="16" s="1"/>
  <c r="AF246" i="16" s="1"/>
  <c r="AI248" i="16"/>
  <c r="AH248" i="16" s="1"/>
  <c r="AG248" i="16" s="1"/>
  <c r="AF248" i="16" s="1"/>
  <c r="AI250" i="16"/>
  <c r="AH250" i="16" s="1"/>
  <c r="AG250" i="16" s="1"/>
  <c r="AF250" i="16" s="1"/>
  <c r="AI252" i="16"/>
  <c r="AH252" i="16" s="1"/>
  <c r="AG252" i="16" s="1"/>
  <c r="AF252" i="16" s="1"/>
  <c r="AI254" i="16"/>
  <c r="AH254" i="16" s="1"/>
  <c r="AG254" i="16" s="1"/>
  <c r="AF254" i="16" s="1"/>
  <c r="AI256" i="16"/>
  <c r="AH256" i="16" s="1"/>
  <c r="AG256" i="16" s="1"/>
  <c r="AF256" i="16" s="1"/>
  <c r="AI258" i="16"/>
  <c r="AH258" i="16" s="1"/>
  <c r="AG258" i="16" s="1"/>
  <c r="AF258" i="16" s="1"/>
  <c r="AI260" i="16"/>
  <c r="AH260" i="16" s="1"/>
  <c r="AG260" i="16" s="1"/>
  <c r="AF260" i="16" s="1"/>
  <c r="AI262" i="16"/>
  <c r="AH262" i="16" s="1"/>
  <c r="AG262" i="16" s="1"/>
  <c r="AF262" i="16" s="1"/>
  <c r="AI264" i="16"/>
  <c r="AH264" i="16" s="1"/>
  <c r="AG264" i="16" s="1"/>
  <c r="AF264" i="16" s="1"/>
  <c r="AI266" i="16"/>
  <c r="AH266" i="16" s="1"/>
  <c r="AG266" i="16" s="1"/>
  <c r="AF266" i="16" s="1"/>
  <c r="AI268" i="16"/>
  <c r="AH268" i="16" s="1"/>
  <c r="AG268" i="16" s="1"/>
  <c r="AF268" i="16" s="1"/>
  <c r="AI270" i="16"/>
  <c r="AH270" i="16" s="1"/>
  <c r="AG270" i="16" s="1"/>
  <c r="AF270" i="16" s="1"/>
  <c r="AI272" i="16"/>
  <c r="AH272" i="16" s="1"/>
  <c r="AG272" i="16" s="1"/>
  <c r="AF272" i="16" s="1"/>
  <c r="AI274" i="16"/>
  <c r="AH274" i="16" s="1"/>
  <c r="AI276" i="16"/>
  <c r="AH276" i="16" s="1"/>
  <c r="AG276" i="16" s="1"/>
  <c r="AF276" i="16" s="1"/>
  <c r="AI278" i="16"/>
  <c r="AH278" i="16" s="1"/>
  <c r="AG278" i="16" s="1"/>
  <c r="AF278" i="16" s="1"/>
  <c r="AI280" i="16"/>
  <c r="AH280" i="16" s="1"/>
  <c r="AG280" i="16" s="1"/>
  <c r="AF280" i="16" s="1"/>
  <c r="AI282" i="16"/>
  <c r="AH282" i="16" s="1"/>
  <c r="AG282" i="16" s="1"/>
  <c r="AF282" i="16" s="1"/>
  <c r="AI284" i="16"/>
  <c r="AH284" i="16" s="1"/>
  <c r="AG284" i="16" s="1"/>
  <c r="AF284" i="16" s="1"/>
  <c r="AI286" i="16"/>
  <c r="AH286" i="16" s="1"/>
  <c r="AG286" i="16" s="1"/>
  <c r="AF286" i="16" s="1"/>
  <c r="AI288" i="16"/>
  <c r="AH288" i="16" s="1"/>
  <c r="AG288" i="16" s="1"/>
  <c r="AF288" i="16" s="1"/>
  <c r="AI290" i="16"/>
  <c r="AH290" i="16" s="1"/>
  <c r="AG290" i="16" s="1"/>
  <c r="AF290" i="16" s="1"/>
  <c r="AI292" i="16"/>
  <c r="AH292" i="16" s="1"/>
  <c r="AG292" i="16" s="1"/>
  <c r="AF292" i="16" s="1"/>
  <c r="AI294" i="16"/>
  <c r="AH294" i="16" s="1"/>
  <c r="AG294" i="16" s="1"/>
  <c r="AF294" i="16" s="1"/>
  <c r="AI296" i="16"/>
  <c r="AH296" i="16" s="1"/>
  <c r="AG296" i="16" s="1"/>
  <c r="AF296" i="16" s="1"/>
  <c r="AI298" i="16"/>
  <c r="AH298" i="16" s="1"/>
  <c r="AG298" i="16" s="1"/>
  <c r="AF298" i="16" s="1"/>
  <c r="AI300" i="16"/>
  <c r="AH300" i="16" s="1"/>
  <c r="AG300" i="16" s="1"/>
  <c r="AF300" i="16" s="1"/>
  <c r="AI302" i="16"/>
  <c r="AH302" i="16" s="1"/>
  <c r="AG302" i="16" s="1"/>
  <c r="AF302" i="16" s="1"/>
  <c r="AI304" i="16"/>
  <c r="AH304" i="16" s="1"/>
  <c r="AG304" i="16" s="1"/>
  <c r="AF304" i="16" s="1"/>
  <c r="AI306" i="16"/>
  <c r="AH306" i="16" s="1"/>
  <c r="AG306" i="16" s="1"/>
  <c r="AF306" i="16" s="1"/>
  <c r="AI308" i="16"/>
  <c r="AH308" i="16" s="1"/>
  <c r="AG308" i="16" s="1"/>
  <c r="AF308" i="16" s="1"/>
  <c r="AI310" i="16"/>
  <c r="AH310" i="16" s="1"/>
  <c r="AG310" i="16" s="1"/>
  <c r="AF310" i="16" s="1"/>
  <c r="AI380" i="16"/>
  <c r="AH380" i="16" s="1"/>
  <c r="AG380" i="16" s="1"/>
  <c r="AF380" i="16" s="1"/>
  <c r="AI378" i="16"/>
  <c r="AH378" i="16" s="1"/>
  <c r="AG378" i="16" s="1"/>
  <c r="AF378" i="16" s="1"/>
  <c r="AI376" i="16"/>
  <c r="AH376" i="16" s="1"/>
  <c r="AG376" i="16" s="1"/>
  <c r="AF376" i="16" s="1"/>
  <c r="AI374" i="16"/>
  <c r="AH374" i="16" s="1"/>
  <c r="AG374" i="16" s="1"/>
  <c r="AF374" i="16" s="1"/>
  <c r="AI372" i="16"/>
  <c r="AH372" i="16" s="1"/>
  <c r="AG372" i="16" s="1"/>
  <c r="AF372" i="16" s="1"/>
  <c r="AI370" i="16"/>
  <c r="AH370" i="16" s="1"/>
  <c r="AG370" i="16" s="1"/>
  <c r="AF370" i="16" s="1"/>
  <c r="AI368" i="16"/>
  <c r="AH368" i="16" s="1"/>
  <c r="AG368" i="16" s="1"/>
  <c r="AF368" i="16" s="1"/>
  <c r="AI366" i="16"/>
  <c r="AH366" i="16" s="1"/>
  <c r="AI364" i="16"/>
  <c r="AH364" i="16" s="1"/>
  <c r="AG364" i="16" s="1"/>
  <c r="AF364" i="16" s="1"/>
  <c r="AI362" i="16"/>
  <c r="AH362" i="16" s="1"/>
  <c r="AG362" i="16" s="1"/>
  <c r="AF362" i="16" s="1"/>
  <c r="AI360" i="16"/>
  <c r="AH360" i="16" s="1"/>
  <c r="AG360" i="16" s="1"/>
  <c r="AF360" i="16" s="1"/>
  <c r="AI358" i="16"/>
  <c r="AH358" i="16" s="1"/>
  <c r="AG358" i="16" s="1"/>
  <c r="AF358" i="16" s="1"/>
  <c r="AI356" i="16"/>
  <c r="AH356" i="16" s="1"/>
  <c r="AG356" i="16" s="1"/>
  <c r="AF356" i="16" s="1"/>
  <c r="AI354" i="16"/>
  <c r="AH354" i="16" s="1"/>
  <c r="AG354" i="16" s="1"/>
  <c r="AF354" i="16" s="1"/>
  <c r="AI352" i="16"/>
  <c r="AH352" i="16" s="1"/>
  <c r="AG352" i="16" s="1"/>
  <c r="AF352" i="16" s="1"/>
  <c r="AI350" i="16"/>
  <c r="AH350" i="16" s="1"/>
  <c r="AG350" i="16" s="1"/>
  <c r="AF350" i="16" s="1"/>
  <c r="AI348" i="16"/>
  <c r="AH348" i="16" s="1"/>
  <c r="AG348" i="16" s="1"/>
  <c r="AF348" i="16" s="1"/>
  <c r="AI346" i="16"/>
  <c r="AH346" i="16" s="1"/>
  <c r="AG346" i="16" s="1"/>
  <c r="AF346" i="16" s="1"/>
  <c r="AI344" i="16"/>
  <c r="AH344" i="16" s="1"/>
  <c r="AG344" i="16" s="1"/>
  <c r="AF344" i="16" s="1"/>
  <c r="AI342" i="16"/>
  <c r="AH342" i="16" s="1"/>
  <c r="AG342" i="16" s="1"/>
  <c r="AF342" i="16" s="1"/>
  <c r="AI340" i="16"/>
  <c r="AH340" i="16" s="1"/>
  <c r="AG340" i="16" s="1"/>
  <c r="AF340" i="16" s="1"/>
  <c r="AI338" i="16"/>
  <c r="AH338" i="16" s="1"/>
  <c r="AG338" i="16" s="1"/>
  <c r="AF338" i="16" s="1"/>
  <c r="AI336" i="16"/>
  <c r="AH336" i="16" s="1"/>
  <c r="AG336" i="16" s="1"/>
  <c r="AF336" i="16" s="1"/>
  <c r="AI334" i="16"/>
  <c r="AH334" i="16" s="1"/>
  <c r="AG334" i="16" s="1"/>
  <c r="AF334" i="16" s="1"/>
  <c r="AI332" i="16"/>
  <c r="AH332" i="16" s="1"/>
  <c r="AG332" i="16" s="1"/>
  <c r="AF332" i="16" s="1"/>
  <c r="AI330" i="16"/>
  <c r="AH330" i="16" s="1"/>
  <c r="AG330" i="16" s="1"/>
  <c r="AF330" i="16" s="1"/>
  <c r="AI328" i="16"/>
  <c r="AH328" i="16" s="1"/>
  <c r="AG328" i="16" s="1"/>
  <c r="AF328" i="16" s="1"/>
  <c r="AI326" i="16"/>
  <c r="AH326" i="16" s="1"/>
  <c r="AG326" i="16" s="1"/>
  <c r="AF326" i="16" s="1"/>
  <c r="AI324" i="16"/>
  <c r="AH324" i="16" s="1"/>
  <c r="AG324" i="16" s="1"/>
  <c r="AF324" i="16" s="1"/>
  <c r="AI322" i="16"/>
  <c r="AH322" i="16" s="1"/>
  <c r="AG322" i="16" s="1"/>
  <c r="AF322" i="16" s="1"/>
  <c r="AI320" i="16"/>
  <c r="AH320" i="16" s="1"/>
  <c r="AG320" i="16" s="1"/>
  <c r="AF320" i="16" s="1"/>
  <c r="AI318" i="16"/>
  <c r="AH318" i="16" s="1"/>
  <c r="AG318" i="16" s="1"/>
  <c r="AF318" i="16" s="1"/>
  <c r="AI316" i="16"/>
  <c r="AH316" i="16" s="1"/>
  <c r="AG316" i="16" s="1"/>
  <c r="AF316" i="16" s="1"/>
  <c r="AI314" i="16"/>
  <c r="AH314" i="16" s="1"/>
  <c r="AG314" i="16" s="1"/>
  <c r="AF314" i="16" s="1"/>
  <c r="AI312" i="16"/>
  <c r="AH312" i="16" s="1"/>
  <c r="AG312" i="16" s="1"/>
  <c r="AF312" i="16" s="1"/>
  <c r="AI309" i="16"/>
  <c r="AH309" i="16" s="1"/>
  <c r="AG309" i="16" s="1"/>
  <c r="AF309" i="16" s="1"/>
  <c r="AI305" i="16"/>
  <c r="AH305" i="16" s="1"/>
  <c r="AG305" i="16" s="1"/>
  <c r="AF305" i="16" s="1"/>
  <c r="AI301" i="16"/>
  <c r="AH301" i="16" s="1"/>
  <c r="AG301" i="16" s="1"/>
  <c r="AF301" i="16" s="1"/>
  <c r="AI297" i="16"/>
  <c r="AH297" i="16" s="1"/>
  <c r="AG297" i="16" s="1"/>
  <c r="AF297" i="16" s="1"/>
  <c r="AI293" i="16"/>
  <c r="AH293" i="16" s="1"/>
  <c r="AG293" i="16" s="1"/>
  <c r="AF293" i="16" s="1"/>
  <c r="AI289" i="16"/>
  <c r="AH289" i="16" s="1"/>
  <c r="AG289" i="16" s="1"/>
  <c r="AF289" i="16" s="1"/>
  <c r="AI285" i="16"/>
  <c r="AH285" i="16" s="1"/>
  <c r="AG285" i="16" s="1"/>
  <c r="AF285" i="16" s="1"/>
  <c r="AI281" i="16"/>
  <c r="AH281" i="16" s="1"/>
  <c r="AG281" i="16" s="1"/>
  <c r="AF281" i="16" s="1"/>
  <c r="AI277" i="16"/>
  <c r="AH277" i="16" s="1"/>
  <c r="AG277" i="16" s="1"/>
  <c r="AF277" i="16" s="1"/>
  <c r="AI273" i="16"/>
  <c r="AH273" i="16" s="1"/>
  <c r="AG273" i="16" s="1"/>
  <c r="AF273" i="16" s="1"/>
  <c r="AI269" i="16"/>
  <c r="AH269" i="16" s="1"/>
  <c r="AG269" i="16" s="1"/>
  <c r="AF269" i="16" s="1"/>
  <c r="AI265" i="16"/>
  <c r="AH265" i="16" s="1"/>
  <c r="AG265" i="16" s="1"/>
  <c r="AF265" i="16" s="1"/>
  <c r="AI261" i="16"/>
  <c r="AH261" i="16" s="1"/>
  <c r="AG261" i="16" s="1"/>
  <c r="AF261" i="16" s="1"/>
  <c r="AI257" i="16"/>
  <c r="AH257" i="16" s="1"/>
  <c r="AG257" i="16" s="1"/>
  <c r="AF257" i="16" s="1"/>
  <c r="AI253" i="16"/>
  <c r="AH253" i="16" s="1"/>
  <c r="AG253" i="16" s="1"/>
  <c r="AF253" i="16" s="1"/>
  <c r="AI249" i="16"/>
  <c r="AH249" i="16" s="1"/>
  <c r="AG249" i="16" s="1"/>
  <c r="AF249" i="16" s="1"/>
  <c r="AI245" i="16"/>
  <c r="AH245" i="16" s="1"/>
  <c r="AG245" i="16" s="1"/>
  <c r="AF245" i="16" s="1"/>
  <c r="AI241" i="16"/>
  <c r="AH241" i="16" s="1"/>
  <c r="AG241" i="16" s="1"/>
  <c r="AF241" i="16" s="1"/>
  <c r="AI237" i="16"/>
  <c r="AH237" i="16" s="1"/>
  <c r="AI233" i="16"/>
  <c r="AH233" i="16" s="1"/>
  <c r="AG233" i="16" s="1"/>
  <c r="AF233" i="16" s="1"/>
  <c r="AI229" i="16"/>
  <c r="AH229" i="16" s="1"/>
  <c r="AI225" i="16"/>
  <c r="AH225" i="16" s="1"/>
  <c r="AG225" i="16" s="1"/>
  <c r="AF225" i="16" s="1"/>
  <c r="AI221" i="16"/>
  <c r="AH221" i="16" s="1"/>
  <c r="AG221" i="16" s="1"/>
  <c r="AF221" i="16" s="1"/>
  <c r="AI217" i="16"/>
  <c r="AH217" i="16" s="1"/>
  <c r="AG217" i="16" s="1"/>
  <c r="AF217" i="16" s="1"/>
  <c r="AI213" i="16"/>
  <c r="AH213" i="16" s="1"/>
  <c r="AG213" i="16" s="1"/>
  <c r="AF213" i="16" s="1"/>
  <c r="AI209" i="16"/>
  <c r="AH209" i="16" s="1"/>
  <c r="AG209" i="16" s="1"/>
  <c r="AF209" i="16" s="1"/>
  <c r="AI205" i="16"/>
  <c r="AH205" i="16" s="1"/>
  <c r="AG205" i="16" s="1"/>
  <c r="AF205" i="16" s="1"/>
  <c r="AI201" i="16"/>
  <c r="AH201" i="16" s="1"/>
  <c r="AG201" i="16" s="1"/>
  <c r="AF201" i="16" s="1"/>
  <c r="AI197" i="16"/>
  <c r="AH197" i="16" s="1"/>
  <c r="AG197" i="16" s="1"/>
  <c r="AF197" i="16" s="1"/>
  <c r="AI193" i="16"/>
  <c r="AH193" i="16" s="1"/>
  <c r="AG193" i="16" s="1"/>
  <c r="AF193" i="16" s="1"/>
  <c r="AI189" i="16"/>
  <c r="AH189" i="16" s="1"/>
  <c r="AG189" i="16" s="1"/>
  <c r="AF189" i="16" s="1"/>
  <c r="AI185" i="16"/>
  <c r="AH185" i="16" s="1"/>
  <c r="AG185" i="16" s="1"/>
  <c r="AF185" i="16" s="1"/>
  <c r="AI181" i="16"/>
  <c r="AH181" i="16" s="1"/>
  <c r="AG181" i="16" s="1"/>
  <c r="AF181" i="16" s="1"/>
  <c r="AI177" i="16"/>
  <c r="AH177" i="16" s="1"/>
  <c r="AG177" i="16" s="1"/>
  <c r="AF177" i="16" s="1"/>
  <c r="AI173" i="16"/>
  <c r="AH173" i="16" s="1"/>
  <c r="AG173" i="16" s="1"/>
  <c r="AF173" i="16" s="1"/>
  <c r="AI169" i="16"/>
  <c r="AH169" i="16" s="1"/>
  <c r="AG169" i="16" s="1"/>
  <c r="AF169" i="16" s="1"/>
  <c r="AI165" i="16"/>
  <c r="AH165" i="16" s="1"/>
  <c r="AI161" i="16"/>
  <c r="AH161" i="16" s="1"/>
  <c r="AG161" i="16" s="1"/>
  <c r="AF161" i="16" s="1"/>
  <c r="AI157" i="16"/>
  <c r="AH157" i="16" s="1"/>
  <c r="AG157" i="16" s="1"/>
  <c r="AF157" i="16" s="1"/>
  <c r="AI153" i="16"/>
  <c r="AH153" i="16" s="1"/>
  <c r="AG153" i="16" s="1"/>
  <c r="AF153" i="16" s="1"/>
  <c r="AI149" i="16"/>
  <c r="AH149" i="16" s="1"/>
  <c r="AG149" i="16" s="1"/>
  <c r="AF149" i="16" s="1"/>
  <c r="AI145" i="16"/>
  <c r="AH145" i="16" s="1"/>
  <c r="AG145" i="16" s="1"/>
  <c r="AF145" i="16" s="1"/>
  <c r="AI141" i="16"/>
  <c r="AH141" i="16" s="1"/>
  <c r="AG141" i="16" s="1"/>
  <c r="AF141" i="16" s="1"/>
  <c r="AI137" i="16"/>
  <c r="AH137" i="16" s="1"/>
  <c r="AG137" i="16" s="1"/>
  <c r="AF137" i="16" s="1"/>
  <c r="AI133" i="16"/>
  <c r="AH133" i="16" s="1"/>
  <c r="AG133" i="16" s="1"/>
  <c r="AF133" i="16" s="1"/>
  <c r="AI129" i="16"/>
  <c r="AH129" i="16" s="1"/>
  <c r="AG129" i="16" s="1"/>
  <c r="AF129" i="16" s="1"/>
  <c r="AI125" i="16"/>
  <c r="AH125" i="16" s="1"/>
  <c r="AG125" i="16" s="1"/>
  <c r="AF125" i="16" s="1"/>
  <c r="AI121" i="16"/>
  <c r="AH121" i="16" s="1"/>
  <c r="AG121" i="16" s="1"/>
  <c r="AF121" i="16" s="1"/>
  <c r="AI117" i="16"/>
  <c r="AH117" i="16" s="1"/>
  <c r="AG117" i="16" s="1"/>
  <c r="AF117" i="16" s="1"/>
  <c r="AI113" i="16"/>
  <c r="AH113" i="16" s="1"/>
  <c r="AG113" i="16" s="1"/>
  <c r="AF113" i="16" s="1"/>
  <c r="AI109" i="16"/>
  <c r="AH109" i="16" s="1"/>
  <c r="AG109" i="16" s="1"/>
  <c r="AF109" i="16" s="1"/>
  <c r="AI105" i="16"/>
  <c r="AH105" i="16" s="1"/>
  <c r="AG105" i="16" s="1"/>
  <c r="AF105" i="16" s="1"/>
  <c r="AI101" i="16"/>
  <c r="AH101" i="16" s="1"/>
  <c r="AG101" i="16" s="1"/>
  <c r="AF101" i="16" s="1"/>
  <c r="AI97" i="16"/>
  <c r="AH97" i="16" s="1"/>
  <c r="AG97" i="16" s="1"/>
  <c r="AF97" i="16" s="1"/>
  <c r="AI93" i="16"/>
  <c r="AH93" i="16" s="1"/>
  <c r="AG93" i="16" s="1"/>
  <c r="AF93" i="16" s="1"/>
  <c r="AI89" i="16"/>
  <c r="AH89" i="16" s="1"/>
  <c r="AG89" i="16" s="1"/>
  <c r="AF89" i="16" s="1"/>
  <c r="AI85" i="16"/>
  <c r="AH85" i="16" s="1"/>
  <c r="AG85" i="16" s="1"/>
  <c r="AF85" i="16" s="1"/>
  <c r="AI81" i="16"/>
  <c r="AH81" i="16" s="1"/>
  <c r="AG81" i="16" s="1"/>
  <c r="AF81" i="16" s="1"/>
  <c r="AI77" i="16"/>
  <c r="AH77" i="16" s="1"/>
  <c r="AG77" i="16" s="1"/>
  <c r="AF77" i="16" s="1"/>
  <c r="AI73" i="16"/>
  <c r="AH73" i="16" s="1"/>
  <c r="AG73" i="16" s="1"/>
  <c r="AF73" i="16" s="1"/>
  <c r="AI69" i="16"/>
  <c r="AH69" i="16" s="1"/>
  <c r="AI65" i="16"/>
  <c r="AH65" i="16" s="1"/>
  <c r="AG65" i="16" s="1"/>
  <c r="AF65" i="16" s="1"/>
  <c r="AI60" i="16"/>
  <c r="AH60" i="16" s="1"/>
  <c r="AG60" i="16" s="1"/>
  <c r="AF60" i="16" s="1"/>
  <c r="AI52" i="16"/>
  <c r="AH52" i="16" s="1"/>
  <c r="AG52" i="16" s="1"/>
  <c r="AF52" i="16" s="1"/>
  <c r="AI44" i="16"/>
  <c r="AH44" i="16" s="1"/>
  <c r="AG44" i="16" s="1"/>
  <c r="AF44" i="16" s="1"/>
  <c r="AI30" i="16"/>
  <c r="AH30" i="16" s="1"/>
  <c r="AG30" i="16" s="1"/>
  <c r="AF30" i="16" s="1"/>
  <c r="AH382" i="15"/>
  <c r="U365" i="16"/>
  <c r="T365" i="16" s="1"/>
  <c r="S365" i="16" s="1"/>
  <c r="R365" i="16" s="1"/>
  <c r="U349" i="16"/>
  <c r="T349" i="16" s="1"/>
  <c r="S349" i="16" s="1"/>
  <c r="R349" i="16" s="1"/>
  <c r="U333" i="16"/>
  <c r="T333" i="16" s="1"/>
  <c r="S333" i="16" s="1"/>
  <c r="R333" i="16" s="1"/>
  <c r="U317" i="16"/>
  <c r="T317" i="16" s="1"/>
  <c r="S317" i="16" s="1"/>
  <c r="R317" i="16" s="1"/>
  <c r="U301" i="16"/>
  <c r="T301" i="16" s="1"/>
  <c r="S301" i="16" s="1"/>
  <c r="R301" i="16" s="1"/>
  <c r="U285" i="16"/>
  <c r="T285" i="16" s="1"/>
  <c r="S285" i="16" s="1"/>
  <c r="R285" i="16" s="1"/>
  <c r="U269" i="16"/>
  <c r="T269" i="16" s="1"/>
  <c r="S269" i="16" s="1"/>
  <c r="R269" i="16" s="1"/>
  <c r="U253" i="16"/>
  <c r="T253" i="16" s="1"/>
  <c r="S253" i="16" s="1"/>
  <c r="R253" i="16" s="1"/>
  <c r="U237" i="16"/>
  <c r="T237" i="16" s="1"/>
  <c r="S237" i="16" s="1"/>
  <c r="R237" i="16" s="1"/>
  <c r="U221" i="16"/>
  <c r="T221" i="16" s="1"/>
  <c r="S221" i="16" s="1"/>
  <c r="R221" i="16" s="1"/>
  <c r="U205" i="16"/>
  <c r="T205" i="16" s="1"/>
  <c r="S205" i="16" s="1"/>
  <c r="R205" i="16" s="1"/>
  <c r="U189" i="16"/>
  <c r="T189" i="16" s="1"/>
  <c r="S189" i="16" s="1"/>
  <c r="R189" i="16" s="1"/>
  <c r="U173" i="16"/>
  <c r="T173" i="16" s="1"/>
  <c r="S173" i="16" s="1"/>
  <c r="R173" i="16" s="1"/>
  <c r="U148" i="16"/>
  <c r="T148" i="16" s="1"/>
  <c r="S148" i="16" s="1"/>
  <c r="R148" i="16" s="1"/>
  <c r="U116" i="16"/>
  <c r="T116" i="16" s="1"/>
  <c r="S116" i="16" s="1"/>
  <c r="R116" i="16" s="1"/>
  <c r="U84" i="16"/>
  <c r="T84" i="16" s="1"/>
  <c r="S84" i="16" s="1"/>
  <c r="R84" i="16" s="1"/>
  <c r="U52" i="16"/>
  <c r="T52" i="16" s="1"/>
  <c r="S52" i="16" s="1"/>
  <c r="R52" i="16" s="1"/>
  <c r="U20" i="16"/>
  <c r="T20" i="16" s="1"/>
  <c r="S20" i="16" s="1"/>
  <c r="R20" i="16" s="1"/>
  <c r="Q16" i="7"/>
  <c r="U15" i="16"/>
  <c r="U18" i="16"/>
  <c r="T18" i="16" s="1"/>
  <c r="S18" i="16" s="1"/>
  <c r="R18" i="16" s="1"/>
  <c r="U19" i="16"/>
  <c r="T19" i="16" s="1"/>
  <c r="S19" i="16" s="1"/>
  <c r="R19" i="16" s="1"/>
  <c r="U21" i="16"/>
  <c r="T21" i="16" s="1"/>
  <c r="U23" i="16"/>
  <c r="T23" i="16" s="1"/>
  <c r="S23" i="16" s="1"/>
  <c r="R23" i="16" s="1"/>
  <c r="U25" i="16"/>
  <c r="T25" i="16" s="1"/>
  <c r="S25" i="16" s="1"/>
  <c r="R25" i="16" s="1"/>
  <c r="U27" i="16"/>
  <c r="T27" i="16" s="1"/>
  <c r="S27" i="16" s="1"/>
  <c r="R27" i="16" s="1"/>
  <c r="U29" i="16"/>
  <c r="T29" i="16" s="1"/>
  <c r="S29" i="16" s="1"/>
  <c r="R29" i="16" s="1"/>
  <c r="U31" i="16"/>
  <c r="T31" i="16" s="1"/>
  <c r="U33" i="16"/>
  <c r="T33" i="16" s="1"/>
  <c r="U35" i="16"/>
  <c r="T35" i="16" s="1"/>
  <c r="S35" i="16" s="1"/>
  <c r="R35" i="16" s="1"/>
  <c r="U37" i="16"/>
  <c r="T37" i="16" s="1"/>
  <c r="S37" i="16" s="1"/>
  <c r="R37" i="16" s="1"/>
  <c r="U39" i="16"/>
  <c r="T39" i="16" s="1"/>
  <c r="S39" i="16" s="1"/>
  <c r="R39" i="16" s="1"/>
  <c r="U41" i="16"/>
  <c r="T41" i="16" s="1"/>
  <c r="S41" i="16" s="1"/>
  <c r="R41" i="16" s="1"/>
  <c r="U43" i="16"/>
  <c r="T43" i="16" s="1"/>
  <c r="S43" i="16" s="1"/>
  <c r="R43" i="16" s="1"/>
  <c r="U45" i="16"/>
  <c r="T45" i="16" s="1"/>
  <c r="S45" i="16" s="1"/>
  <c r="R45" i="16" s="1"/>
  <c r="U47" i="16"/>
  <c r="T47" i="16" s="1"/>
  <c r="S47" i="16" s="1"/>
  <c r="R47" i="16" s="1"/>
  <c r="U49" i="16"/>
  <c r="T49" i="16" s="1"/>
  <c r="S49" i="16" s="1"/>
  <c r="R49" i="16" s="1"/>
  <c r="U51" i="16"/>
  <c r="T51" i="16" s="1"/>
  <c r="S51" i="16" s="1"/>
  <c r="R51" i="16" s="1"/>
  <c r="U53" i="16"/>
  <c r="T53" i="16" s="1"/>
  <c r="S53" i="16" s="1"/>
  <c r="R53" i="16" s="1"/>
  <c r="U55" i="16"/>
  <c r="T55" i="16" s="1"/>
  <c r="S55" i="16" s="1"/>
  <c r="R55" i="16" s="1"/>
  <c r="U57" i="16"/>
  <c r="T57" i="16" s="1"/>
  <c r="S57" i="16" s="1"/>
  <c r="R57" i="16" s="1"/>
  <c r="U59" i="16"/>
  <c r="T59" i="16" s="1"/>
  <c r="S59" i="16" s="1"/>
  <c r="R59" i="16" s="1"/>
  <c r="U61" i="16"/>
  <c r="T61" i="16" s="1"/>
  <c r="S61" i="16" s="1"/>
  <c r="R61" i="16" s="1"/>
  <c r="U63" i="16"/>
  <c r="T63" i="16" s="1"/>
  <c r="S63" i="16" s="1"/>
  <c r="R63" i="16" s="1"/>
  <c r="U65" i="16"/>
  <c r="T65" i="16" s="1"/>
  <c r="S65" i="16" s="1"/>
  <c r="R65" i="16" s="1"/>
  <c r="U67" i="16"/>
  <c r="T67" i="16" s="1"/>
  <c r="U69" i="16"/>
  <c r="T69" i="16" s="1"/>
  <c r="S69" i="16" s="1"/>
  <c r="R69" i="16" s="1"/>
  <c r="U71" i="16"/>
  <c r="T71" i="16" s="1"/>
  <c r="S71" i="16" s="1"/>
  <c r="R71" i="16" s="1"/>
  <c r="U73" i="16"/>
  <c r="T73" i="16" s="1"/>
  <c r="S73" i="16" s="1"/>
  <c r="R73" i="16" s="1"/>
  <c r="U75" i="16"/>
  <c r="T75" i="16" s="1"/>
  <c r="U77" i="16"/>
  <c r="T77" i="16" s="1"/>
  <c r="S77" i="16" s="1"/>
  <c r="R77" i="16" s="1"/>
  <c r="U79" i="16"/>
  <c r="T79" i="16" s="1"/>
  <c r="S79" i="16" s="1"/>
  <c r="R79" i="16" s="1"/>
  <c r="U81" i="16"/>
  <c r="T81" i="16" s="1"/>
  <c r="S81" i="16" s="1"/>
  <c r="R81" i="16" s="1"/>
  <c r="U83" i="16"/>
  <c r="T83" i="16" s="1"/>
  <c r="S83" i="16" s="1"/>
  <c r="R83" i="16" s="1"/>
  <c r="U85" i="16"/>
  <c r="T85" i="16" s="1"/>
  <c r="S85" i="16" s="1"/>
  <c r="R85" i="16" s="1"/>
  <c r="U87" i="16"/>
  <c r="T87" i="16" s="1"/>
  <c r="S87" i="16" s="1"/>
  <c r="R87" i="16" s="1"/>
  <c r="U89" i="16"/>
  <c r="T89" i="16" s="1"/>
  <c r="S89" i="16" s="1"/>
  <c r="R89" i="16" s="1"/>
  <c r="U91" i="16"/>
  <c r="T91" i="16" s="1"/>
  <c r="S91" i="16" s="1"/>
  <c r="R91" i="16" s="1"/>
  <c r="U93" i="16"/>
  <c r="T93" i="16" s="1"/>
  <c r="S93" i="16" s="1"/>
  <c r="R93" i="16" s="1"/>
  <c r="U95" i="16"/>
  <c r="T95" i="16" s="1"/>
  <c r="S95" i="16" s="1"/>
  <c r="R95" i="16" s="1"/>
  <c r="U97" i="16"/>
  <c r="T97" i="16" s="1"/>
  <c r="S97" i="16" s="1"/>
  <c r="R97" i="16" s="1"/>
  <c r="U99" i="16"/>
  <c r="T99" i="16" s="1"/>
  <c r="S99" i="16" s="1"/>
  <c r="R99" i="16" s="1"/>
  <c r="U101" i="16"/>
  <c r="T101" i="16" s="1"/>
  <c r="U103" i="16"/>
  <c r="T103" i="16" s="1"/>
  <c r="S103" i="16" s="1"/>
  <c r="R103" i="16" s="1"/>
  <c r="U105" i="16"/>
  <c r="T105" i="16" s="1"/>
  <c r="S105" i="16" s="1"/>
  <c r="R105" i="16" s="1"/>
  <c r="U107" i="16"/>
  <c r="T107" i="16" s="1"/>
  <c r="S107" i="16" s="1"/>
  <c r="R107" i="16" s="1"/>
  <c r="U109" i="16"/>
  <c r="T109" i="16" s="1"/>
  <c r="S109" i="16" s="1"/>
  <c r="R109" i="16" s="1"/>
  <c r="U111" i="16"/>
  <c r="T111" i="16" s="1"/>
  <c r="S111" i="16" s="1"/>
  <c r="R111" i="16" s="1"/>
  <c r="U113" i="16"/>
  <c r="T113" i="16" s="1"/>
  <c r="S113" i="16" s="1"/>
  <c r="R113" i="16" s="1"/>
  <c r="U115" i="16"/>
  <c r="T115" i="16" s="1"/>
  <c r="S115" i="16" s="1"/>
  <c r="R115" i="16" s="1"/>
  <c r="U117" i="16"/>
  <c r="T117" i="16" s="1"/>
  <c r="S117" i="16" s="1"/>
  <c r="R117" i="16" s="1"/>
  <c r="U119" i="16"/>
  <c r="T119" i="16" s="1"/>
  <c r="U121" i="16"/>
  <c r="T121" i="16" s="1"/>
  <c r="U123" i="16"/>
  <c r="T123" i="16" s="1"/>
  <c r="U125" i="16"/>
  <c r="T125" i="16" s="1"/>
  <c r="S125" i="16" s="1"/>
  <c r="R125" i="16" s="1"/>
  <c r="U127" i="16"/>
  <c r="T127" i="16" s="1"/>
  <c r="S127" i="16" s="1"/>
  <c r="R127" i="16" s="1"/>
  <c r="U129" i="16"/>
  <c r="T129" i="16" s="1"/>
  <c r="S129" i="16" s="1"/>
  <c r="R129" i="16" s="1"/>
  <c r="U131" i="16"/>
  <c r="T131" i="16" s="1"/>
  <c r="S131" i="16" s="1"/>
  <c r="R131" i="16" s="1"/>
  <c r="U133" i="16"/>
  <c r="T133" i="16" s="1"/>
  <c r="S133" i="16" s="1"/>
  <c r="R133" i="16" s="1"/>
  <c r="U135" i="16"/>
  <c r="T135" i="16" s="1"/>
  <c r="S135" i="16" s="1"/>
  <c r="R135" i="16" s="1"/>
  <c r="U137" i="16"/>
  <c r="T137" i="16" s="1"/>
  <c r="S137" i="16" s="1"/>
  <c r="R137" i="16" s="1"/>
  <c r="U139" i="16"/>
  <c r="T139" i="16" s="1"/>
  <c r="S139" i="16" s="1"/>
  <c r="R139" i="16" s="1"/>
  <c r="U141" i="16"/>
  <c r="T141" i="16" s="1"/>
  <c r="S141" i="16" s="1"/>
  <c r="R141" i="16" s="1"/>
  <c r="U143" i="16"/>
  <c r="T143" i="16" s="1"/>
  <c r="S143" i="16" s="1"/>
  <c r="R143" i="16" s="1"/>
  <c r="U145" i="16"/>
  <c r="T145" i="16" s="1"/>
  <c r="S145" i="16" s="1"/>
  <c r="R145" i="16" s="1"/>
  <c r="U147" i="16"/>
  <c r="T147" i="16" s="1"/>
  <c r="S147" i="16" s="1"/>
  <c r="R147" i="16" s="1"/>
  <c r="U149" i="16"/>
  <c r="T149" i="16" s="1"/>
  <c r="S149" i="16" s="1"/>
  <c r="R149" i="16" s="1"/>
  <c r="U151" i="16"/>
  <c r="T151" i="16" s="1"/>
  <c r="S151" i="16" s="1"/>
  <c r="R151" i="16" s="1"/>
  <c r="U153" i="16"/>
  <c r="T153" i="16" s="1"/>
  <c r="S153" i="16" s="1"/>
  <c r="R153" i="16" s="1"/>
  <c r="U155" i="16"/>
  <c r="T155" i="16" s="1"/>
  <c r="S155" i="16" s="1"/>
  <c r="R155" i="16" s="1"/>
  <c r="U157" i="16"/>
  <c r="T157" i="16" s="1"/>
  <c r="S157" i="16" s="1"/>
  <c r="R157" i="16" s="1"/>
  <c r="U159" i="16"/>
  <c r="T159" i="16" s="1"/>
  <c r="S159" i="16" s="1"/>
  <c r="R159" i="16" s="1"/>
  <c r="U161" i="16"/>
  <c r="T161" i="16" s="1"/>
  <c r="S161" i="16" s="1"/>
  <c r="R161" i="16" s="1"/>
  <c r="U163" i="16"/>
  <c r="T163" i="16" s="1"/>
  <c r="S163" i="16" s="1"/>
  <c r="R163" i="16" s="1"/>
  <c r="U165" i="16"/>
  <c r="T165" i="16" s="1"/>
  <c r="S165" i="16" s="1"/>
  <c r="R165" i="16" s="1"/>
  <c r="U16" i="16"/>
  <c r="T16" i="16" s="1"/>
  <c r="S16" i="16" s="1"/>
  <c r="R16" i="16" s="1"/>
  <c r="U22" i="16"/>
  <c r="T22" i="16" s="1"/>
  <c r="S22" i="16" s="1"/>
  <c r="R22" i="16" s="1"/>
  <c r="U26" i="16"/>
  <c r="T26" i="16" s="1"/>
  <c r="S26" i="16" s="1"/>
  <c r="R26" i="16" s="1"/>
  <c r="U30" i="16"/>
  <c r="T30" i="16" s="1"/>
  <c r="S30" i="16" s="1"/>
  <c r="R30" i="16" s="1"/>
  <c r="U34" i="16"/>
  <c r="T34" i="16" s="1"/>
  <c r="S34" i="16" s="1"/>
  <c r="R34" i="16" s="1"/>
  <c r="U38" i="16"/>
  <c r="T38" i="16" s="1"/>
  <c r="U42" i="16"/>
  <c r="T42" i="16" s="1"/>
  <c r="S42" i="16" s="1"/>
  <c r="R42" i="16" s="1"/>
  <c r="U46" i="16"/>
  <c r="T46" i="16" s="1"/>
  <c r="S46" i="16" s="1"/>
  <c r="R46" i="16" s="1"/>
  <c r="U50" i="16"/>
  <c r="T50" i="16" s="1"/>
  <c r="S50" i="16" s="1"/>
  <c r="R50" i="16" s="1"/>
  <c r="U54" i="16"/>
  <c r="T54" i="16" s="1"/>
  <c r="U58" i="16"/>
  <c r="T58" i="16" s="1"/>
  <c r="S58" i="16" s="1"/>
  <c r="R58" i="16" s="1"/>
  <c r="U62" i="16"/>
  <c r="T62" i="16" s="1"/>
  <c r="S62" i="16" s="1"/>
  <c r="R62" i="16" s="1"/>
  <c r="U66" i="16"/>
  <c r="T66" i="16" s="1"/>
  <c r="S66" i="16" s="1"/>
  <c r="R66" i="16" s="1"/>
  <c r="U70" i="16"/>
  <c r="T70" i="16" s="1"/>
  <c r="U74" i="16"/>
  <c r="T74" i="16" s="1"/>
  <c r="S74" i="16" s="1"/>
  <c r="R74" i="16" s="1"/>
  <c r="U78" i="16"/>
  <c r="T78" i="16" s="1"/>
  <c r="S78" i="16" s="1"/>
  <c r="R78" i="16" s="1"/>
  <c r="U82" i="16"/>
  <c r="T82" i="16" s="1"/>
  <c r="S82" i="16" s="1"/>
  <c r="R82" i="16" s="1"/>
  <c r="U86" i="16"/>
  <c r="T86" i="16" s="1"/>
  <c r="S86" i="16" s="1"/>
  <c r="R86" i="16" s="1"/>
  <c r="U90" i="16"/>
  <c r="T90" i="16" s="1"/>
  <c r="S90" i="16" s="1"/>
  <c r="R90" i="16" s="1"/>
  <c r="U94" i="16"/>
  <c r="T94" i="16" s="1"/>
  <c r="S94" i="16" s="1"/>
  <c r="R94" i="16" s="1"/>
  <c r="U98" i="16"/>
  <c r="T98" i="16" s="1"/>
  <c r="S98" i="16" s="1"/>
  <c r="R98" i="16" s="1"/>
  <c r="U102" i="16"/>
  <c r="T102" i="16" s="1"/>
  <c r="S102" i="16" s="1"/>
  <c r="R102" i="16" s="1"/>
  <c r="U106" i="16"/>
  <c r="T106" i="16" s="1"/>
  <c r="S106" i="16" s="1"/>
  <c r="R106" i="16" s="1"/>
  <c r="U110" i="16"/>
  <c r="T110" i="16" s="1"/>
  <c r="S110" i="16" s="1"/>
  <c r="R110" i="16" s="1"/>
  <c r="U114" i="16"/>
  <c r="T114" i="16" s="1"/>
  <c r="S114" i="16" s="1"/>
  <c r="R114" i="16" s="1"/>
  <c r="U118" i="16"/>
  <c r="T118" i="16" s="1"/>
  <c r="U122" i="16"/>
  <c r="T122" i="16" s="1"/>
  <c r="S122" i="16" s="1"/>
  <c r="R122" i="16" s="1"/>
  <c r="U126" i="16"/>
  <c r="T126" i="16" s="1"/>
  <c r="S126" i="16" s="1"/>
  <c r="R126" i="16" s="1"/>
  <c r="U130" i="16"/>
  <c r="T130" i="16" s="1"/>
  <c r="S130" i="16" s="1"/>
  <c r="R130" i="16" s="1"/>
  <c r="U134" i="16"/>
  <c r="T134" i="16" s="1"/>
  <c r="S134" i="16" s="1"/>
  <c r="R134" i="16" s="1"/>
  <c r="U138" i="16"/>
  <c r="T138" i="16" s="1"/>
  <c r="S138" i="16" s="1"/>
  <c r="R138" i="16" s="1"/>
  <c r="U142" i="16"/>
  <c r="T142" i="16" s="1"/>
  <c r="S142" i="16" s="1"/>
  <c r="R142" i="16" s="1"/>
  <c r="U146" i="16"/>
  <c r="T146" i="16" s="1"/>
  <c r="S146" i="16" s="1"/>
  <c r="R146" i="16" s="1"/>
  <c r="U150" i="16"/>
  <c r="T150" i="16" s="1"/>
  <c r="S150" i="16" s="1"/>
  <c r="R150" i="16" s="1"/>
  <c r="U154" i="16"/>
  <c r="T154" i="16" s="1"/>
  <c r="S154" i="16" s="1"/>
  <c r="R154" i="16" s="1"/>
  <c r="U158" i="16"/>
  <c r="T158" i="16" s="1"/>
  <c r="S158" i="16" s="1"/>
  <c r="R158" i="16" s="1"/>
  <c r="U162" i="16"/>
  <c r="T162" i="16" s="1"/>
  <c r="S162" i="16" s="1"/>
  <c r="R162" i="16" s="1"/>
  <c r="U166" i="16"/>
  <c r="T166" i="16" s="1"/>
  <c r="S166" i="16" s="1"/>
  <c r="R166" i="16" s="1"/>
  <c r="U168" i="16"/>
  <c r="T168" i="16" s="1"/>
  <c r="S168" i="16" s="1"/>
  <c r="R168" i="16" s="1"/>
  <c r="U170" i="16"/>
  <c r="T170" i="16" s="1"/>
  <c r="S170" i="16" s="1"/>
  <c r="R170" i="16" s="1"/>
  <c r="U172" i="16"/>
  <c r="T172" i="16" s="1"/>
  <c r="S172" i="16" s="1"/>
  <c r="R172" i="16" s="1"/>
  <c r="U174" i="16"/>
  <c r="T174" i="16" s="1"/>
  <c r="S174" i="16" s="1"/>
  <c r="R174" i="16" s="1"/>
  <c r="U176" i="16"/>
  <c r="T176" i="16" s="1"/>
  <c r="U178" i="16"/>
  <c r="T178" i="16" s="1"/>
  <c r="S178" i="16" s="1"/>
  <c r="R178" i="16" s="1"/>
  <c r="U180" i="16"/>
  <c r="T180" i="16" s="1"/>
  <c r="S180" i="16" s="1"/>
  <c r="R180" i="16" s="1"/>
  <c r="U182" i="16"/>
  <c r="T182" i="16" s="1"/>
  <c r="S182" i="16" s="1"/>
  <c r="R182" i="16" s="1"/>
  <c r="U184" i="16"/>
  <c r="T184" i="16" s="1"/>
  <c r="S184" i="16" s="1"/>
  <c r="R184" i="16" s="1"/>
  <c r="U186" i="16"/>
  <c r="T186" i="16" s="1"/>
  <c r="S186" i="16" s="1"/>
  <c r="R186" i="16" s="1"/>
  <c r="U188" i="16"/>
  <c r="T188" i="16" s="1"/>
  <c r="S188" i="16" s="1"/>
  <c r="R188" i="16" s="1"/>
  <c r="U190" i="16"/>
  <c r="T190" i="16" s="1"/>
  <c r="S190" i="16" s="1"/>
  <c r="R190" i="16" s="1"/>
  <c r="U192" i="16"/>
  <c r="T192" i="16" s="1"/>
  <c r="S192" i="16" s="1"/>
  <c r="R192" i="16" s="1"/>
  <c r="U194" i="16"/>
  <c r="T194" i="16" s="1"/>
  <c r="S194" i="16" s="1"/>
  <c r="R194" i="16" s="1"/>
  <c r="U196" i="16"/>
  <c r="T196" i="16" s="1"/>
  <c r="S196" i="16" s="1"/>
  <c r="R196" i="16" s="1"/>
  <c r="U198" i="16"/>
  <c r="T198" i="16" s="1"/>
  <c r="S198" i="16" s="1"/>
  <c r="R198" i="16" s="1"/>
  <c r="U200" i="16"/>
  <c r="T200" i="16" s="1"/>
  <c r="S200" i="16" s="1"/>
  <c r="R200" i="16" s="1"/>
  <c r="U202" i="16"/>
  <c r="T202" i="16" s="1"/>
  <c r="S202" i="16" s="1"/>
  <c r="R202" i="16" s="1"/>
  <c r="U204" i="16"/>
  <c r="T204" i="16" s="1"/>
  <c r="S204" i="16" s="1"/>
  <c r="R204" i="16" s="1"/>
  <c r="U206" i="16"/>
  <c r="T206" i="16" s="1"/>
  <c r="S206" i="16" s="1"/>
  <c r="R206" i="16" s="1"/>
  <c r="U208" i="16"/>
  <c r="T208" i="16" s="1"/>
  <c r="U210" i="16"/>
  <c r="T210" i="16" s="1"/>
  <c r="S210" i="16" s="1"/>
  <c r="R210" i="16" s="1"/>
  <c r="U212" i="16"/>
  <c r="T212" i="16" s="1"/>
  <c r="S212" i="16" s="1"/>
  <c r="R212" i="16" s="1"/>
  <c r="U214" i="16"/>
  <c r="T214" i="16" s="1"/>
  <c r="S214" i="16" s="1"/>
  <c r="R214" i="16" s="1"/>
  <c r="U216" i="16"/>
  <c r="T216" i="16" s="1"/>
  <c r="S216" i="16" s="1"/>
  <c r="R216" i="16" s="1"/>
  <c r="U218" i="16"/>
  <c r="T218" i="16" s="1"/>
  <c r="S218" i="16" s="1"/>
  <c r="R218" i="16" s="1"/>
  <c r="U220" i="16"/>
  <c r="T220" i="16" s="1"/>
  <c r="S220" i="16" s="1"/>
  <c r="R220" i="16" s="1"/>
  <c r="U222" i="16"/>
  <c r="T222" i="16" s="1"/>
  <c r="S222" i="16" s="1"/>
  <c r="R222" i="16" s="1"/>
  <c r="U224" i="16"/>
  <c r="T224" i="16" s="1"/>
  <c r="S224" i="16" s="1"/>
  <c r="R224" i="16" s="1"/>
  <c r="U226" i="16"/>
  <c r="T226" i="16" s="1"/>
  <c r="S226" i="16" s="1"/>
  <c r="R226" i="16" s="1"/>
  <c r="U228" i="16"/>
  <c r="T228" i="16" s="1"/>
  <c r="S228" i="16" s="1"/>
  <c r="R228" i="16" s="1"/>
  <c r="U230" i="16"/>
  <c r="T230" i="16" s="1"/>
  <c r="S230" i="16" s="1"/>
  <c r="R230" i="16" s="1"/>
  <c r="U232" i="16"/>
  <c r="T232" i="16" s="1"/>
  <c r="S232" i="16" s="1"/>
  <c r="R232" i="16" s="1"/>
  <c r="U234" i="16"/>
  <c r="T234" i="16" s="1"/>
  <c r="S234" i="16" s="1"/>
  <c r="R234" i="16" s="1"/>
  <c r="U236" i="16"/>
  <c r="T236" i="16" s="1"/>
  <c r="S236" i="16" s="1"/>
  <c r="R236" i="16" s="1"/>
  <c r="U238" i="16"/>
  <c r="T238" i="16" s="1"/>
  <c r="U240" i="16"/>
  <c r="T240" i="16" s="1"/>
  <c r="S240" i="16" s="1"/>
  <c r="R240" i="16" s="1"/>
  <c r="U242" i="16"/>
  <c r="T242" i="16" s="1"/>
  <c r="S242" i="16" s="1"/>
  <c r="R242" i="16" s="1"/>
  <c r="U244" i="16"/>
  <c r="T244" i="16" s="1"/>
  <c r="S244" i="16" s="1"/>
  <c r="R244" i="16" s="1"/>
  <c r="U246" i="16"/>
  <c r="T246" i="16" s="1"/>
  <c r="S246" i="16" s="1"/>
  <c r="R246" i="16" s="1"/>
  <c r="U248" i="16"/>
  <c r="T248" i="16" s="1"/>
  <c r="S248" i="16" s="1"/>
  <c r="R248" i="16" s="1"/>
  <c r="U250" i="16"/>
  <c r="T250" i="16" s="1"/>
  <c r="S250" i="16" s="1"/>
  <c r="R250" i="16" s="1"/>
  <c r="U252" i="16"/>
  <c r="T252" i="16" s="1"/>
  <c r="S252" i="16" s="1"/>
  <c r="R252" i="16" s="1"/>
  <c r="U254" i="16"/>
  <c r="T254" i="16" s="1"/>
  <c r="S254" i="16" s="1"/>
  <c r="R254" i="16" s="1"/>
  <c r="U256" i="16"/>
  <c r="T256" i="16" s="1"/>
  <c r="U258" i="16"/>
  <c r="T258" i="16" s="1"/>
  <c r="S258" i="16" s="1"/>
  <c r="R258" i="16" s="1"/>
  <c r="U260" i="16"/>
  <c r="T260" i="16" s="1"/>
  <c r="S260" i="16" s="1"/>
  <c r="R260" i="16" s="1"/>
  <c r="U262" i="16"/>
  <c r="T262" i="16" s="1"/>
  <c r="S262" i="16" s="1"/>
  <c r="R262" i="16" s="1"/>
  <c r="U264" i="16"/>
  <c r="T264" i="16" s="1"/>
  <c r="S264" i="16" s="1"/>
  <c r="R264" i="16" s="1"/>
  <c r="U266" i="16"/>
  <c r="T266" i="16" s="1"/>
  <c r="S266" i="16" s="1"/>
  <c r="R266" i="16" s="1"/>
  <c r="U268" i="16"/>
  <c r="T268" i="16" s="1"/>
  <c r="S268" i="16" s="1"/>
  <c r="R268" i="16" s="1"/>
  <c r="U270" i="16"/>
  <c r="T270" i="16" s="1"/>
  <c r="S270" i="16" s="1"/>
  <c r="R270" i="16" s="1"/>
  <c r="U272" i="16"/>
  <c r="T272" i="16" s="1"/>
  <c r="S272" i="16" s="1"/>
  <c r="R272" i="16" s="1"/>
  <c r="U274" i="16"/>
  <c r="T274" i="16" s="1"/>
  <c r="S274" i="16" s="1"/>
  <c r="R274" i="16" s="1"/>
  <c r="U276" i="16"/>
  <c r="T276" i="16" s="1"/>
  <c r="S276" i="16" s="1"/>
  <c r="R276" i="16" s="1"/>
  <c r="U278" i="16"/>
  <c r="T278" i="16" s="1"/>
  <c r="S278" i="16" s="1"/>
  <c r="R278" i="16" s="1"/>
  <c r="U280" i="16"/>
  <c r="T280" i="16" s="1"/>
  <c r="S280" i="16" s="1"/>
  <c r="R280" i="16" s="1"/>
  <c r="U282" i="16"/>
  <c r="T282" i="16" s="1"/>
  <c r="S282" i="16" s="1"/>
  <c r="R282" i="16" s="1"/>
  <c r="U284" i="16"/>
  <c r="T284" i="16" s="1"/>
  <c r="S284" i="16" s="1"/>
  <c r="R284" i="16" s="1"/>
  <c r="U286" i="16"/>
  <c r="T286" i="16" s="1"/>
  <c r="S286" i="16" s="1"/>
  <c r="R286" i="16" s="1"/>
  <c r="U288" i="16"/>
  <c r="T288" i="16" s="1"/>
  <c r="S288" i="16" s="1"/>
  <c r="R288" i="16" s="1"/>
  <c r="U290" i="16"/>
  <c r="T290" i="16" s="1"/>
  <c r="S290" i="16" s="1"/>
  <c r="R290" i="16" s="1"/>
  <c r="U292" i="16"/>
  <c r="T292" i="16" s="1"/>
  <c r="S292" i="16" s="1"/>
  <c r="R292" i="16" s="1"/>
  <c r="U294" i="16"/>
  <c r="T294" i="16" s="1"/>
  <c r="S294" i="16" s="1"/>
  <c r="R294" i="16" s="1"/>
  <c r="U296" i="16"/>
  <c r="T296" i="16" s="1"/>
  <c r="U298" i="16"/>
  <c r="T298" i="16" s="1"/>
  <c r="S298" i="16" s="1"/>
  <c r="R298" i="16" s="1"/>
  <c r="U300" i="16"/>
  <c r="T300" i="16" s="1"/>
  <c r="S300" i="16" s="1"/>
  <c r="R300" i="16" s="1"/>
  <c r="U302" i="16"/>
  <c r="T302" i="16" s="1"/>
  <c r="S302" i="16" s="1"/>
  <c r="R302" i="16" s="1"/>
  <c r="U304" i="16"/>
  <c r="T304" i="16" s="1"/>
  <c r="S304" i="16" s="1"/>
  <c r="R304" i="16" s="1"/>
  <c r="U306" i="16"/>
  <c r="T306" i="16" s="1"/>
  <c r="S306" i="16" s="1"/>
  <c r="R306" i="16" s="1"/>
  <c r="U308" i="16"/>
  <c r="T308" i="16" s="1"/>
  <c r="S308" i="16" s="1"/>
  <c r="R308" i="16" s="1"/>
  <c r="U310" i="16"/>
  <c r="T310" i="16" s="1"/>
  <c r="S310" i="16" s="1"/>
  <c r="R310" i="16" s="1"/>
  <c r="U312" i="16"/>
  <c r="T312" i="16" s="1"/>
  <c r="S312" i="16" s="1"/>
  <c r="R312" i="16" s="1"/>
  <c r="U314" i="16"/>
  <c r="T314" i="16" s="1"/>
  <c r="U316" i="16"/>
  <c r="T316" i="16" s="1"/>
  <c r="U318" i="16"/>
  <c r="T318" i="16" s="1"/>
  <c r="S318" i="16" s="1"/>
  <c r="R318" i="16" s="1"/>
  <c r="U320" i="16"/>
  <c r="T320" i="16" s="1"/>
  <c r="S320" i="16" s="1"/>
  <c r="R320" i="16" s="1"/>
  <c r="U322" i="16"/>
  <c r="T322" i="16" s="1"/>
  <c r="S322" i="16" s="1"/>
  <c r="R322" i="16" s="1"/>
  <c r="U324" i="16"/>
  <c r="T324" i="16" s="1"/>
  <c r="S324" i="16" s="1"/>
  <c r="R324" i="16" s="1"/>
  <c r="U326" i="16"/>
  <c r="T326" i="16" s="1"/>
  <c r="S326" i="16" s="1"/>
  <c r="R326" i="16" s="1"/>
  <c r="U328" i="16"/>
  <c r="T328" i="16" s="1"/>
  <c r="S328" i="16" s="1"/>
  <c r="R328" i="16" s="1"/>
  <c r="U330" i="16"/>
  <c r="T330" i="16" s="1"/>
  <c r="S330" i="16" s="1"/>
  <c r="R330" i="16" s="1"/>
  <c r="U332" i="16"/>
  <c r="T332" i="16" s="1"/>
  <c r="S332" i="16" s="1"/>
  <c r="R332" i="16" s="1"/>
  <c r="U334" i="16"/>
  <c r="T334" i="16" s="1"/>
  <c r="S334" i="16" s="1"/>
  <c r="R334" i="16" s="1"/>
  <c r="U336" i="16"/>
  <c r="T336" i="16" s="1"/>
  <c r="S336" i="16" s="1"/>
  <c r="R336" i="16" s="1"/>
  <c r="U338" i="16"/>
  <c r="T338" i="16" s="1"/>
  <c r="S338" i="16" s="1"/>
  <c r="R338" i="16" s="1"/>
  <c r="U340" i="16"/>
  <c r="T340" i="16" s="1"/>
  <c r="S340" i="16" s="1"/>
  <c r="R340" i="16" s="1"/>
  <c r="U342" i="16"/>
  <c r="T342" i="16" s="1"/>
  <c r="S342" i="16" s="1"/>
  <c r="R342" i="16" s="1"/>
  <c r="U344" i="16"/>
  <c r="T344" i="16" s="1"/>
  <c r="S344" i="16" s="1"/>
  <c r="R344" i="16" s="1"/>
  <c r="U346" i="16"/>
  <c r="T346" i="16" s="1"/>
  <c r="S346" i="16" s="1"/>
  <c r="R346" i="16" s="1"/>
  <c r="U348" i="16"/>
  <c r="T348" i="16" s="1"/>
  <c r="S348" i="16" s="1"/>
  <c r="R348" i="16" s="1"/>
  <c r="U350" i="16"/>
  <c r="T350" i="16" s="1"/>
  <c r="S350" i="16" s="1"/>
  <c r="R350" i="16" s="1"/>
  <c r="U352" i="16"/>
  <c r="T352" i="16" s="1"/>
  <c r="S352" i="16" s="1"/>
  <c r="R352" i="16" s="1"/>
  <c r="U354" i="16"/>
  <c r="T354" i="16" s="1"/>
  <c r="S354" i="16" s="1"/>
  <c r="R354" i="16" s="1"/>
  <c r="U356" i="16"/>
  <c r="T356" i="16" s="1"/>
  <c r="S356" i="16" s="1"/>
  <c r="R356" i="16" s="1"/>
  <c r="U358" i="16"/>
  <c r="T358" i="16" s="1"/>
  <c r="S358" i="16" s="1"/>
  <c r="R358" i="16" s="1"/>
  <c r="U360" i="16"/>
  <c r="T360" i="16" s="1"/>
  <c r="S360" i="16" s="1"/>
  <c r="R360" i="16" s="1"/>
  <c r="U362" i="16"/>
  <c r="T362" i="16" s="1"/>
  <c r="S362" i="16" s="1"/>
  <c r="R362" i="16" s="1"/>
  <c r="U364" i="16"/>
  <c r="T364" i="16" s="1"/>
  <c r="U366" i="16"/>
  <c r="T366" i="16" s="1"/>
  <c r="S366" i="16" s="1"/>
  <c r="R366" i="16" s="1"/>
  <c r="U368" i="16"/>
  <c r="T368" i="16" s="1"/>
  <c r="S368" i="16" s="1"/>
  <c r="R368" i="16" s="1"/>
  <c r="U370" i="16"/>
  <c r="T370" i="16" s="1"/>
  <c r="S370" i="16" s="1"/>
  <c r="R370" i="16" s="1"/>
  <c r="U372" i="16"/>
  <c r="T372" i="16" s="1"/>
  <c r="S372" i="16" s="1"/>
  <c r="R372" i="16" s="1"/>
  <c r="U374" i="16"/>
  <c r="T374" i="16" s="1"/>
  <c r="S374" i="16" s="1"/>
  <c r="R374" i="16" s="1"/>
  <c r="U376" i="16"/>
  <c r="T376" i="16" s="1"/>
  <c r="S376" i="16" s="1"/>
  <c r="R376" i="16" s="1"/>
  <c r="U378" i="16"/>
  <c r="T378" i="16" s="1"/>
  <c r="S378" i="16" s="1"/>
  <c r="R378" i="16" s="1"/>
  <c r="U380" i="16"/>
  <c r="T380" i="16" s="1"/>
  <c r="S380" i="16" s="1"/>
  <c r="R380" i="16" s="1"/>
  <c r="AI18" i="16"/>
  <c r="AH18" i="16" s="1"/>
  <c r="AG18" i="16" s="1"/>
  <c r="AF18" i="16" s="1"/>
  <c r="AI16" i="16"/>
  <c r="AI19" i="16"/>
  <c r="AH19" i="16" s="1"/>
  <c r="AG19" i="16" s="1"/>
  <c r="AF19" i="16" s="1"/>
  <c r="AI21" i="16"/>
  <c r="AH21" i="16" s="1"/>
  <c r="AG21" i="16" s="1"/>
  <c r="AF21" i="16" s="1"/>
  <c r="AI23" i="16"/>
  <c r="AH23" i="16" s="1"/>
  <c r="AG23" i="16" s="1"/>
  <c r="AF23" i="16" s="1"/>
  <c r="AI25" i="16"/>
  <c r="AH25" i="16" s="1"/>
  <c r="AG25" i="16" s="1"/>
  <c r="AF25" i="16" s="1"/>
  <c r="AI27" i="16"/>
  <c r="AH27" i="16" s="1"/>
  <c r="AG27" i="16" s="1"/>
  <c r="AF27" i="16" s="1"/>
  <c r="AI29" i="16"/>
  <c r="AH29" i="16" s="1"/>
  <c r="AI31" i="16"/>
  <c r="AH31" i="16" s="1"/>
  <c r="AG31" i="16" s="1"/>
  <c r="AF31" i="16" s="1"/>
  <c r="AI33" i="16"/>
  <c r="AH33" i="16" s="1"/>
  <c r="AG33" i="16" s="1"/>
  <c r="AF33" i="16" s="1"/>
  <c r="AI35" i="16"/>
  <c r="AH35" i="16" s="1"/>
  <c r="AG35" i="16" s="1"/>
  <c r="AF35" i="16" s="1"/>
  <c r="AI37" i="16"/>
  <c r="AH37" i="16" s="1"/>
  <c r="AG37" i="16" s="1"/>
  <c r="AF37" i="16" s="1"/>
  <c r="AI39" i="16"/>
  <c r="AH39" i="16" s="1"/>
  <c r="AG39" i="16" s="1"/>
  <c r="AF39" i="16" s="1"/>
  <c r="AI41" i="16"/>
  <c r="AH41" i="16" s="1"/>
  <c r="AG41" i="16" s="1"/>
  <c r="AF41" i="16" s="1"/>
  <c r="AI43" i="16"/>
  <c r="AH43" i="16" s="1"/>
  <c r="AG43" i="16" s="1"/>
  <c r="AF43" i="16" s="1"/>
  <c r="AI45" i="16"/>
  <c r="AH45" i="16" s="1"/>
  <c r="AG45" i="16" s="1"/>
  <c r="AF45" i="16" s="1"/>
  <c r="AI47" i="16"/>
  <c r="AH47" i="16" s="1"/>
  <c r="AG47" i="16" s="1"/>
  <c r="AF47" i="16" s="1"/>
  <c r="AI49" i="16"/>
  <c r="AH49" i="16" s="1"/>
  <c r="AG49" i="16" s="1"/>
  <c r="AF49" i="16" s="1"/>
  <c r="AI51" i="16"/>
  <c r="AH51" i="16" s="1"/>
  <c r="AG51" i="16" s="1"/>
  <c r="AF51" i="16" s="1"/>
  <c r="AI53" i="16"/>
  <c r="AH53" i="16" s="1"/>
  <c r="AI55" i="16"/>
  <c r="AH55" i="16" s="1"/>
  <c r="AG55" i="16" s="1"/>
  <c r="AF55" i="16" s="1"/>
  <c r="AI57" i="16"/>
  <c r="AH57" i="16" s="1"/>
  <c r="AG57" i="16" s="1"/>
  <c r="AF57" i="16" s="1"/>
  <c r="AI59" i="16"/>
  <c r="AH59" i="16" s="1"/>
  <c r="AG59" i="16" s="1"/>
  <c r="AF59" i="16" s="1"/>
  <c r="AI61" i="16"/>
  <c r="AH61" i="16" s="1"/>
  <c r="AG61" i="16" s="1"/>
  <c r="AF61" i="16" s="1"/>
  <c r="D33" i="7"/>
  <c r="V60" i="15"/>
  <c r="D40" i="7"/>
  <c r="D378" i="15"/>
  <c r="E378" i="15" s="1"/>
  <c r="F378" i="15" s="1"/>
  <c r="D37" i="7"/>
  <c r="D36" i="7"/>
  <c r="V210" i="15"/>
  <c r="B210" i="15" s="1"/>
  <c r="W210" i="15" s="1"/>
  <c r="D34" i="7"/>
  <c r="V241" i="15"/>
  <c r="B241" i="15" s="1"/>
  <c r="D32" i="7"/>
  <c r="W288" i="15"/>
  <c r="L37" i="19"/>
  <c r="V379" i="15"/>
  <c r="M62" i="19" s="1"/>
  <c r="D36" i="19"/>
  <c r="AG16" i="15"/>
  <c r="AF16" i="15" s="1"/>
  <c r="AD16" i="15" s="1"/>
  <c r="AH381" i="15"/>
  <c r="Q324" i="16"/>
  <c r="Q356" i="16"/>
  <c r="P356" i="16" s="1"/>
  <c r="V356" i="16" s="1"/>
  <c r="B356" i="16" s="1"/>
  <c r="Q292" i="16"/>
  <c r="Q372" i="16"/>
  <c r="Q340" i="16"/>
  <c r="Q308" i="16"/>
  <c r="Q276" i="16"/>
  <c r="F377" i="1"/>
  <c r="Q380" i="16"/>
  <c r="Q364" i="16"/>
  <c r="Q348" i="16"/>
  <c r="Q332" i="16"/>
  <c r="P332" i="16" s="1"/>
  <c r="V332" i="16" s="1"/>
  <c r="Q316" i="16"/>
  <c r="Q300" i="16"/>
  <c r="Q284" i="16"/>
  <c r="Q264" i="16"/>
  <c r="P264" i="16" s="1"/>
  <c r="V264" i="16" s="1"/>
  <c r="B264" i="16" s="1"/>
  <c r="Q376" i="16"/>
  <c r="Q368" i="16"/>
  <c r="Q360" i="16"/>
  <c r="Q352" i="16"/>
  <c r="Q344" i="16"/>
  <c r="Q336" i="16"/>
  <c r="P336" i="16" s="1"/>
  <c r="V336" i="16" s="1"/>
  <c r="Q328" i="16"/>
  <c r="Q320" i="16"/>
  <c r="P320" i="16" s="1"/>
  <c r="V320" i="16" s="1"/>
  <c r="B320" i="16" s="1"/>
  <c r="Q312" i="16"/>
  <c r="Q304" i="16"/>
  <c r="Q296" i="16"/>
  <c r="Q288" i="16"/>
  <c r="P288" i="16" s="1"/>
  <c r="V288" i="16" s="1"/>
  <c r="Q280" i="16"/>
  <c r="Q272" i="16"/>
  <c r="P272" i="16" s="1"/>
  <c r="D52" i="7" s="1"/>
  <c r="Q254" i="16"/>
  <c r="P352" i="16"/>
  <c r="V352" i="16" s="1"/>
  <c r="B352" i="16" s="1"/>
  <c r="Q378" i="16"/>
  <c r="Q374" i="16"/>
  <c r="Q370" i="16"/>
  <c r="P370" i="16" s="1"/>
  <c r="V370" i="16" s="1"/>
  <c r="B370" i="16" s="1"/>
  <c r="Q366" i="16"/>
  <c r="Q362" i="16"/>
  <c r="Q358" i="16"/>
  <c r="Q354" i="16"/>
  <c r="P354" i="16" s="1"/>
  <c r="V354" i="16" s="1"/>
  <c r="Q350" i="16"/>
  <c r="Q346" i="16"/>
  <c r="Q342" i="16"/>
  <c r="Q338" i="16"/>
  <c r="Q334" i="16"/>
  <c r="Q330" i="16"/>
  <c r="Q326" i="16"/>
  <c r="Q322" i="16"/>
  <c r="Q318" i="16"/>
  <c r="Q314" i="16"/>
  <c r="Q310" i="16"/>
  <c r="Q306" i="16"/>
  <c r="Q302" i="16"/>
  <c r="Q298" i="16"/>
  <c r="Q294" i="16"/>
  <c r="Q290" i="16"/>
  <c r="Q286" i="16"/>
  <c r="Q282" i="16"/>
  <c r="Q278" i="16"/>
  <c r="Q274" i="16"/>
  <c r="Q268" i="16"/>
  <c r="P268" i="16" s="1"/>
  <c r="V268" i="16" s="1"/>
  <c r="Q260" i="16"/>
  <c r="Q239" i="16"/>
  <c r="Q270" i="16"/>
  <c r="Q266" i="16"/>
  <c r="Q262" i="16"/>
  <c r="Q258" i="16"/>
  <c r="Q247" i="16"/>
  <c r="Q215" i="16"/>
  <c r="Q379" i="16"/>
  <c r="P15" i="7" s="1"/>
  <c r="Q377" i="16"/>
  <c r="P377" i="16" s="1"/>
  <c r="V377" i="16" s="1"/>
  <c r="B377" i="16" s="1"/>
  <c r="Q375" i="16"/>
  <c r="Q373" i="16"/>
  <c r="Q371" i="16"/>
  <c r="Q369" i="16"/>
  <c r="Q367" i="16"/>
  <c r="P367" i="16" s="1"/>
  <c r="V367" i="16" s="1"/>
  <c r="B367" i="16" s="1"/>
  <c r="Q365" i="16"/>
  <c r="Q363" i="16"/>
  <c r="Q361" i="16"/>
  <c r="P361" i="16" s="1"/>
  <c r="V361" i="16" s="1"/>
  <c r="B361" i="16" s="1"/>
  <c r="Q359" i="16"/>
  <c r="Q357" i="16"/>
  <c r="Q355" i="16"/>
  <c r="Q353" i="16"/>
  <c r="Q351" i="16"/>
  <c r="P351" i="16" s="1"/>
  <c r="V351" i="16" s="1"/>
  <c r="Q349" i="16"/>
  <c r="P349" i="16" s="1"/>
  <c r="V349" i="16" s="1"/>
  <c r="B349" i="16" s="1"/>
  <c r="Q347" i="16"/>
  <c r="Q345" i="16"/>
  <c r="P345" i="16" s="1"/>
  <c r="V345" i="16" s="1"/>
  <c r="B345" i="16" s="1"/>
  <c r="Q343" i="16"/>
  <c r="P343" i="16" s="1"/>
  <c r="V343" i="16" s="1"/>
  <c r="Q341" i="16"/>
  <c r="Q339" i="16"/>
  <c r="Q337" i="16"/>
  <c r="Q335" i="16"/>
  <c r="P335" i="16" s="1"/>
  <c r="V335" i="16" s="1"/>
  <c r="B335" i="16" s="1"/>
  <c r="Q333" i="16"/>
  <c r="Q331" i="16"/>
  <c r="Q329" i="16"/>
  <c r="P329" i="16" s="1"/>
  <c r="V329" i="16" s="1"/>
  <c r="B329" i="16" s="1"/>
  <c r="Q327" i="16"/>
  <c r="P327" i="16" s="1"/>
  <c r="V327" i="16" s="1"/>
  <c r="B327" i="16" s="1"/>
  <c r="Q325" i="16"/>
  <c r="Q323" i="16"/>
  <c r="Q321" i="16"/>
  <c r="Q319" i="16"/>
  <c r="P319" i="16" s="1"/>
  <c r="V319" i="16" s="1"/>
  <c r="B319" i="16" s="1"/>
  <c r="Q317" i="16"/>
  <c r="P317" i="16" s="1"/>
  <c r="V317" i="16" s="1"/>
  <c r="B317" i="16" s="1"/>
  <c r="Q315" i="16"/>
  <c r="Q313" i="16"/>
  <c r="Q311" i="16"/>
  <c r="P311" i="16" s="1"/>
  <c r="V311" i="16" s="1"/>
  <c r="B311" i="16" s="1"/>
  <c r="Q309" i="16"/>
  <c r="Q307" i="16"/>
  <c r="Q305" i="16"/>
  <c r="Q303" i="16"/>
  <c r="P303" i="16" s="1"/>
  <c r="V303" i="16" s="1"/>
  <c r="B303" i="16" s="1"/>
  <c r="Q301" i="16"/>
  <c r="Q299" i="16"/>
  <c r="Q297" i="16"/>
  <c r="Q295" i="16"/>
  <c r="P295" i="16" s="1"/>
  <c r="V295" i="16" s="1"/>
  <c r="B295" i="16" s="1"/>
  <c r="Q293" i="16"/>
  <c r="Q291" i="16"/>
  <c r="Q289" i="16"/>
  <c r="Q287" i="16"/>
  <c r="Q285" i="16"/>
  <c r="P285" i="16" s="1"/>
  <c r="V285" i="16" s="1"/>
  <c r="Q283" i="16"/>
  <c r="Q281" i="16"/>
  <c r="P281" i="16" s="1"/>
  <c r="V281" i="16" s="1"/>
  <c r="B281" i="16" s="1"/>
  <c r="Q279" i="16"/>
  <c r="P279" i="16" s="1"/>
  <c r="V279" i="16" s="1"/>
  <c r="B279" i="16" s="1"/>
  <c r="Q277" i="16"/>
  <c r="P277" i="16" s="1"/>
  <c r="V277" i="16" s="1"/>
  <c r="B277" i="16" s="1"/>
  <c r="Q275" i="16"/>
  <c r="Q273" i="16"/>
  <c r="Q271" i="16"/>
  <c r="Q269" i="16"/>
  <c r="Q267" i="16"/>
  <c r="Q265" i="16"/>
  <c r="P265" i="16" s="1"/>
  <c r="V265" i="16" s="1"/>
  <c r="B265" i="16" s="1"/>
  <c r="Q263" i="16"/>
  <c r="P263" i="16" s="1"/>
  <c r="V263" i="16" s="1"/>
  <c r="B263" i="16" s="1"/>
  <c r="Q261" i="16"/>
  <c r="P261" i="16" s="1"/>
  <c r="V261" i="16" s="1"/>
  <c r="B261" i="16" s="1"/>
  <c r="Q259" i="16"/>
  <c r="Q256" i="16"/>
  <c r="Q251" i="16"/>
  <c r="Q243" i="16"/>
  <c r="Q231" i="16"/>
  <c r="Q191" i="16"/>
  <c r="Q235" i="16"/>
  <c r="Q223" i="16"/>
  <c r="Q207" i="16"/>
  <c r="Q149" i="16"/>
  <c r="P375" i="16"/>
  <c r="V375" i="16" s="1"/>
  <c r="B375" i="16" s="1"/>
  <c r="Q227" i="16"/>
  <c r="P227" i="16" s="1"/>
  <c r="V227" i="16" s="1"/>
  <c r="B227" i="16" s="1"/>
  <c r="Q219" i="16"/>
  <c r="Q211" i="16"/>
  <c r="P211" i="16" s="1"/>
  <c r="V211" i="16" s="1"/>
  <c r="B211" i="16" s="1"/>
  <c r="Q199" i="16"/>
  <c r="Q181" i="16"/>
  <c r="Q117" i="16"/>
  <c r="Q203" i="16"/>
  <c r="P203" i="16" s="1"/>
  <c r="V203" i="16" s="1"/>
  <c r="B203" i="16" s="1"/>
  <c r="Q195" i="16"/>
  <c r="Q187" i="16"/>
  <c r="P187" i="16" s="1"/>
  <c r="V187" i="16" s="1"/>
  <c r="B187" i="16" s="1"/>
  <c r="Q165" i="16"/>
  <c r="Q133" i="16"/>
  <c r="Q97" i="16"/>
  <c r="Q173" i="16"/>
  <c r="Q157" i="16"/>
  <c r="Q141" i="16"/>
  <c r="Q125" i="16"/>
  <c r="Q109" i="16"/>
  <c r="Q81" i="16"/>
  <c r="Q257" i="16"/>
  <c r="Q255" i="16"/>
  <c r="Q253" i="16"/>
  <c r="Q249" i="16"/>
  <c r="Q245" i="16"/>
  <c r="Q241" i="16"/>
  <c r="Q237" i="16"/>
  <c r="Q233" i="16"/>
  <c r="Q229" i="16"/>
  <c r="Q225" i="16"/>
  <c r="Q221" i="16"/>
  <c r="Q217" i="16"/>
  <c r="Q213" i="16"/>
  <c r="Q209" i="16"/>
  <c r="Q205" i="16"/>
  <c r="Q201" i="16"/>
  <c r="Q197" i="16"/>
  <c r="Q193" i="16"/>
  <c r="Q189" i="16"/>
  <c r="Q185" i="16"/>
  <c r="Q177" i="16"/>
  <c r="Q169" i="16"/>
  <c r="Q161" i="16"/>
  <c r="Q153" i="16"/>
  <c r="Q145" i="16"/>
  <c r="Q137" i="16"/>
  <c r="Q129" i="16"/>
  <c r="Q121" i="16"/>
  <c r="Q113" i="16"/>
  <c r="Q105" i="16"/>
  <c r="Q89" i="16"/>
  <c r="Q59" i="16"/>
  <c r="B52" i="15"/>
  <c r="B36" i="15"/>
  <c r="G62" i="19"/>
  <c r="B171" i="15"/>
  <c r="B75" i="15"/>
  <c r="W358" i="15"/>
  <c r="D358" i="15"/>
  <c r="E358" i="15" s="1"/>
  <c r="F358" i="15" s="1"/>
  <c r="W324" i="15"/>
  <c r="D324" i="15"/>
  <c r="E324" i="15" s="1"/>
  <c r="F324" i="15" s="1"/>
  <c r="B40" i="15"/>
  <c r="B48" i="15"/>
  <c r="B233" i="15"/>
  <c r="W227" i="15"/>
  <c r="D227" i="15"/>
  <c r="E227" i="15" s="1"/>
  <c r="F227" i="15" s="1"/>
  <c r="B197" i="15"/>
  <c r="B101" i="15"/>
  <c r="W51" i="15"/>
  <c r="D51" i="15"/>
  <c r="E51" i="15" s="1"/>
  <c r="F51" i="15" s="1"/>
  <c r="Q101" i="16"/>
  <c r="Q93" i="16"/>
  <c r="Q85" i="16"/>
  <c r="Q75" i="16"/>
  <c r="Q43" i="16"/>
  <c r="B17" i="15"/>
  <c r="B298" i="15"/>
  <c r="B62" i="15"/>
  <c r="B42" i="15"/>
  <c r="B333" i="15"/>
  <c r="B297" i="15"/>
  <c r="B272" i="15"/>
  <c r="W264" i="15"/>
  <c r="D264" i="15"/>
  <c r="E264" i="15" s="1"/>
  <c r="F264" i="15" s="1"/>
  <c r="B64" i="15"/>
  <c r="B16" i="15"/>
  <c r="B21" i="15"/>
  <c r="F62" i="19"/>
  <c r="B136" i="15"/>
  <c r="B28" i="15"/>
  <c r="B50" i="15"/>
  <c r="B38" i="15"/>
  <c r="B24" i="15"/>
  <c r="B35" i="15"/>
  <c r="B56" i="15"/>
  <c r="B363" i="15"/>
  <c r="B337" i="15"/>
  <c r="W65" i="15"/>
  <c r="D65" i="15"/>
  <c r="E65" i="15" s="1"/>
  <c r="F65" i="15" s="1"/>
  <c r="W29" i="15"/>
  <c r="D29" i="15"/>
  <c r="E29" i="15" s="1"/>
  <c r="F29" i="15" s="1"/>
  <c r="W61" i="15"/>
  <c r="D61" i="15"/>
  <c r="E61" i="15" s="1"/>
  <c r="F61" i="15" s="1"/>
  <c r="W69" i="15"/>
  <c r="D69" i="15"/>
  <c r="E69" i="15" s="1"/>
  <c r="F69" i="15" s="1"/>
  <c r="W77" i="15"/>
  <c r="D77" i="15"/>
  <c r="E77" i="15" s="1"/>
  <c r="F77" i="15" s="1"/>
  <c r="W81" i="15"/>
  <c r="D81" i="15"/>
  <c r="E81" i="15" s="1"/>
  <c r="F81" i="15" s="1"/>
  <c r="W89" i="15"/>
  <c r="D89" i="15"/>
  <c r="E89" i="15" s="1"/>
  <c r="F89" i="15" s="1"/>
  <c r="W93" i="15"/>
  <c r="D93" i="15"/>
  <c r="E93" i="15" s="1"/>
  <c r="F93" i="15" s="1"/>
  <c r="W97" i="15"/>
  <c r="D97" i="15"/>
  <c r="E97" i="15" s="1"/>
  <c r="F97" i="15" s="1"/>
  <c r="W105" i="15"/>
  <c r="D105" i="15"/>
  <c r="E105" i="15" s="1"/>
  <c r="F105" i="15" s="1"/>
  <c r="W109" i="15"/>
  <c r="D109" i="15"/>
  <c r="E109" i="15" s="1"/>
  <c r="F109" i="15" s="1"/>
  <c r="W117" i="15"/>
  <c r="D117" i="15"/>
  <c r="E117" i="15" s="1"/>
  <c r="F117" i="15" s="1"/>
  <c r="W121" i="15"/>
  <c r="D121" i="15"/>
  <c r="E121" i="15" s="1"/>
  <c r="F121" i="15" s="1"/>
  <c r="W125" i="15"/>
  <c r="D125" i="15"/>
  <c r="E125" i="15" s="1"/>
  <c r="F125" i="15" s="1"/>
  <c r="W129" i="15"/>
  <c r="D129" i="15"/>
  <c r="E129" i="15" s="1"/>
  <c r="F129" i="15" s="1"/>
  <c r="W133" i="15"/>
  <c r="D133" i="15"/>
  <c r="E133" i="15" s="1"/>
  <c r="F133" i="15" s="1"/>
  <c r="W141" i="15"/>
  <c r="D141" i="15"/>
  <c r="E141" i="15" s="1"/>
  <c r="F141" i="15" s="1"/>
  <c r="W149" i="15"/>
  <c r="D149" i="15"/>
  <c r="E149" i="15" s="1"/>
  <c r="F149" i="15" s="1"/>
  <c r="W153" i="15"/>
  <c r="D153" i="15"/>
  <c r="E153" i="15" s="1"/>
  <c r="F153" i="15" s="1"/>
  <c r="W161" i="15"/>
  <c r="D161" i="15"/>
  <c r="E161" i="15" s="1"/>
  <c r="F161" i="15" s="1"/>
  <c r="W169" i="15"/>
  <c r="D169" i="15"/>
  <c r="E169" i="15" s="1"/>
  <c r="F169" i="15" s="1"/>
  <c r="W173" i="15"/>
  <c r="D173" i="15"/>
  <c r="E173" i="15" s="1"/>
  <c r="F173" i="15" s="1"/>
  <c r="W177" i="15"/>
  <c r="D177" i="15"/>
  <c r="E177" i="15" s="1"/>
  <c r="F177" i="15" s="1"/>
  <c r="W181" i="15"/>
  <c r="D181" i="15"/>
  <c r="E181" i="15" s="1"/>
  <c r="F181" i="15" s="1"/>
  <c r="W189" i="15"/>
  <c r="D189" i="15"/>
  <c r="E189" i="15" s="1"/>
  <c r="F189" i="15" s="1"/>
  <c r="W201" i="15"/>
  <c r="D201" i="15"/>
  <c r="E201" i="15" s="1"/>
  <c r="F201" i="15" s="1"/>
  <c r="W205" i="15"/>
  <c r="D205" i="15"/>
  <c r="E205" i="15" s="1"/>
  <c r="F205" i="15" s="1"/>
  <c r="W209" i="15"/>
  <c r="D209" i="15"/>
  <c r="E209" i="15" s="1"/>
  <c r="F209" i="15" s="1"/>
  <c r="W213" i="15"/>
  <c r="D213" i="15"/>
  <c r="E213" i="15" s="1"/>
  <c r="F213" i="15" s="1"/>
  <c r="W221" i="15"/>
  <c r="D221" i="15"/>
  <c r="E221" i="15" s="1"/>
  <c r="F221" i="15" s="1"/>
  <c r="W225" i="15"/>
  <c r="D225" i="15"/>
  <c r="E225" i="15" s="1"/>
  <c r="F225" i="15" s="1"/>
  <c r="W229" i="15"/>
  <c r="D229" i="15"/>
  <c r="E229" i="15" s="1"/>
  <c r="F229" i="15" s="1"/>
  <c r="W237" i="15"/>
  <c r="D237" i="15"/>
  <c r="E237" i="15" s="1"/>
  <c r="F237" i="15" s="1"/>
  <c r="W245" i="15"/>
  <c r="D245" i="15"/>
  <c r="E245" i="15" s="1"/>
  <c r="F245" i="15" s="1"/>
  <c r="W249" i="15"/>
  <c r="D249" i="15"/>
  <c r="E249" i="15" s="1"/>
  <c r="F249" i="15" s="1"/>
  <c r="W253" i="15"/>
  <c r="D253" i="15"/>
  <c r="E253" i="15" s="1"/>
  <c r="F253" i="15" s="1"/>
  <c r="W257" i="15"/>
  <c r="D257" i="15"/>
  <c r="E257" i="15" s="1"/>
  <c r="F257" i="15" s="1"/>
  <c r="W261" i="15"/>
  <c r="D261" i="15"/>
  <c r="E261" i="15" s="1"/>
  <c r="F261" i="15" s="1"/>
  <c r="W265" i="15"/>
  <c r="D265" i="15"/>
  <c r="E265" i="15" s="1"/>
  <c r="F265" i="15" s="1"/>
  <c r="W273" i="15"/>
  <c r="D273" i="15"/>
  <c r="E273" i="15" s="1"/>
  <c r="F273" i="15" s="1"/>
  <c r="W281" i="15"/>
  <c r="D281" i="15"/>
  <c r="E281" i="15" s="1"/>
  <c r="F281" i="15" s="1"/>
  <c r="W285" i="15"/>
  <c r="D285" i="15"/>
  <c r="E285" i="15" s="1"/>
  <c r="F285" i="15" s="1"/>
  <c r="W289" i="15"/>
  <c r="D289" i="15"/>
  <c r="E289" i="15" s="1"/>
  <c r="F289" i="15" s="1"/>
  <c r="W293" i="15"/>
  <c r="D293" i="15"/>
  <c r="E293" i="15" s="1"/>
  <c r="F293" i="15" s="1"/>
  <c r="W301" i="15"/>
  <c r="D301" i="15"/>
  <c r="E301" i="15" s="1"/>
  <c r="F301" i="15" s="1"/>
  <c r="W305" i="15"/>
  <c r="D305" i="15"/>
  <c r="E305" i="15" s="1"/>
  <c r="F305" i="15" s="1"/>
  <c r="W309" i="15"/>
  <c r="D309" i="15"/>
  <c r="E309" i="15" s="1"/>
  <c r="F309" i="15" s="1"/>
  <c r="W313" i="15"/>
  <c r="D313" i="15"/>
  <c r="E313" i="15" s="1"/>
  <c r="F313" i="15" s="1"/>
  <c r="W317" i="15"/>
  <c r="D317" i="15"/>
  <c r="E317" i="15" s="1"/>
  <c r="F317" i="15" s="1"/>
  <c r="W321" i="15"/>
  <c r="D321" i="15"/>
  <c r="E321" i="15" s="1"/>
  <c r="F321" i="15" s="1"/>
  <c r="W325" i="15"/>
  <c r="D325" i="15"/>
  <c r="E325" i="15" s="1"/>
  <c r="F325" i="15" s="1"/>
  <c r="AA325" i="15" s="1"/>
  <c r="Z325" i="15" s="1"/>
  <c r="Y325" i="15" s="1"/>
  <c r="W329" i="15"/>
  <c r="D329" i="15"/>
  <c r="E329" i="15" s="1"/>
  <c r="F329" i="15" s="1"/>
  <c r="W341" i="15"/>
  <c r="D341" i="15"/>
  <c r="E341" i="15" s="1"/>
  <c r="F341" i="15" s="1"/>
  <c r="W349" i="15"/>
  <c r="D349" i="15"/>
  <c r="E349" i="15" s="1"/>
  <c r="F349" i="15" s="1"/>
  <c r="W353" i="15"/>
  <c r="D353" i="15"/>
  <c r="E353" i="15" s="1"/>
  <c r="F353" i="15" s="1"/>
  <c r="W357" i="15"/>
  <c r="D357" i="15"/>
  <c r="E357" i="15" s="1"/>
  <c r="F357" i="15" s="1"/>
  <c r="W361" i="15"/>
  <c r="D361" i="15"/>
  <c r="E361" i="15" s="1"/>
  <c r="F361" i="15" s="1"/>
  <c r="AA361" i="15" s="1"/>
  <c r="Z361" i="15" s="1"/>
  <c r="Y361" i="15" s="1"/>
  <c r="W369" i="15"/>
  <c r="D369" i="15"/>
  <c r="E369" i="15" s="1"/>
  <c r="F369" i="15" s="1"/>
  <c r="W373" i="15"/>
  <c r="D373" i="15"/>
  <c r="E373" i="15" s="1"/>
  <c r="F373" i="15" s="1"/>
  <c r="W377" i="15"/>
  <c r="D377" i="15"/>
  <c r="E377" i="15" s="1"/>
  <c r="F377" i="15" s="1"/>
  <c r="W63" i="15"/>
  <c r="D63" i="15"/>
  <c r="E63" i="15" s="1"/>
  <c r="F63" i="15" s="1"/>
  <c r="AA63" i="15" s="1"/>
  <c r="Z63" i="15" s="1"/>
  <c r="Y63" i="15" s="1"/>
  <c r="W49" i="15"/>
  <c r="D49" i="15"/>
  <c r="E49" i="15" s="1"/>
  <c r="F49" i="15" s="1"/>
  <c r="W33" i="15"/>
  <c r="D33" i="15"/>
  <c r="E33" i="15" s="1"/>
  <c r="F33" i="15" s="1"/>
  <c r="W41" i="15"/>
  <c r="D41" i="15"/>
  <c r="E41" i="15" s="1"/>
  <c r="F41" i="15" s="1"/>
  <c r="W59" i="15"/>
  <c r="D59" i="15"/>
  <c r="E59" i="15" s="1"/>
  <c r="F59" i="15" s="1"/>
  <c r="W43" i="15"/>
  <c r="D43" i="15"/>
  <c r="E43" i="15" s="1"/>
  <c r="F43" i="15" s="1"/>
  <c r="W27" i="15"/>
  <c r="D27" i="15"/>
  <c r="E27" i="15" s="1"/>
  <c r="F27" i="15" s="1"/>
  <c r="AA27" i="15" s="1"/>
  <c r="Z27" i="15" s="1"/>
  <c r="Y27" i="15" s="1"/>
  <c r="W31" i="15"/>
  <c r="D31" i="15"/>
  <c r="E31" i="15" s="1"/>
  <c r="F31" i="15" s="1"/>
  <c r="W299" i="15"/>
  <c r="D299" i="15"/>
  <c r="E299" i="15" s="1"/>
  <c r="F299" i="15" s="1"/>
  <c r="W295" i="15"/>
  <c r="D295" i="15"/>
  <c r="E295" i="15" s="1"/>
  <c r="F295" i="15" s="1"/>
  <c r="W287" i="15"/>
  <c r="D287" i="15"/>
  <c r="E287" i="15" s="1"/>
  <c r="F287" i="15" s="1"/>
  <c r="AA287" i="15" s="1"/>
  <c r="Z287" i="15" s="1"/>
  <c r="Y287" i="15" s="1"/>
  <c r="W279" i="15"/>
  <c r="D279" i="15"/>
  <c r="E279" i="15" s="1"/>
  <c r="F279" i="15" s="1"/>
  <c r="W275" i="15"/>
  <c r="D275" i="15"/>
  <c r="E275" i="15" s="1"/>
  <c r="F275" i="15" s="1"/>
  <c r="W263" i="15"/>
  <c r="D263" i="15"/>
  <c r="E263" i="15" s="1"/>
  <c r="F263" i="15" s="1"/>
  <c r="W255" i="15"/>
  <c r="D255" i="15"/>
  <c r="E255" i="15" s="1"/>
  <c r="F255" i="15" s="1"/>
  <c r="W247" i="15"/>
  <c r="D247" i="15"/>
  <c r="E247" i="15" s="1"/>
  <c r="F247" i="15" s="1"/>
  <c r="W217" i="15"/>
  <c r="D217" i="15"/>
  <c r="E217" i="15" s="1"/>
  <c r="F217" i="15" s="1"/>
  <c r="W203" i="15"/>
  <c r="D203" i="15"/>
  <c r="E203" i="15" s="1"/>
  <c r="F203" i="15" s="1"/>
  <c r="W193" i="15"/>
  <c r="D193" i="15"/>
  <c r="E193" i="15" s="1"/>
  <c r="F193" i="15" s="1"/>
  <c r="AA193" i="15" s="1"/>
  <c r="Z193" i="15" s="1"/>
  <c r="Y193" i="15" s="1"/>
  <c r="W157" i="15"/>
  <c r="D157" i="15"/>
  <c r="E157" i="15" s="1"/>
  <c r="F157" i="15" s="1"/>
  <c r="W145" i="15"/>
  <c r="D145" i="15"/>
  <c r="E145" i="15" s="1"/>
  <c r="F145" i="15" s="1"/>
  <c r="W139" i="15"/>
  <c r="D139" i="15"/>
  <c r="E139" i="15" s="1"/>
  <c r="F139" i="15" s="1"/>
  <c r="W135" i="15"/>
  <c r="D135" i="15"/>
  <c r="E135" i="15" s="1"/>
  <c r="F135" i="15" s="1"/>
  <c r="W127" i="15"/>
  <c r="D127" i="15"/>
  <c r="E127" i="15" s="1"/>
  <c r="F127" i="15" s="1"/>
  <c r="W85" i="15"/>
  <c r="D85" i="15"/>
  <c r="E85" i="15" s="1"/>
  <c r="F85" i="15" s="1"/>
  <c r="W73" i="15"/>
  <c r="D73" i="15"/>
  <c r="E73" i="15" s="1"/>
  <c r="F73" i="15" s="1"/>
  <c r="W53" i="15"/>
  <c r="D53" i="15"/>
  <c r="E53" i="15" s="1"/>
  <c r="F53" i="15" s="1"/>
  <c r="W45" i="15"/>
  <c r="D45" i="15"/>
  <c r="E45" i="15" s="1"/>
  <c r="F45" i="15" s="1"/>
  <c r="W37" i="15"/>
  <c r="D37" i="15"/>
  <c r="E37" i="15" s="1"/>
  <c r="F37" i="15" s="1"/>
  <c r="W284" i="15"/>
  <c r="D284" i="15"/>
  <c r="E284" i="15" s="1"/>
  <c r="F284" i="15" s="1"/>
  <c r="W280" i="15"/>
  <c r="D280" i="15"/>
  <c r="E280" i="15" s="1"/>
  <c r="F280" i="15" s="1"/>
  <c r="AA280" i="15" s="1"/>
  <c r="Z280" i="15" s="1"/>
  <c r="Y280" i="15" s="1"/>
  <c r="W276" i="15"/>
  <c r="D276" i="15"/>
  <c r="E276" i="15" s="1"/>
  <c r="F276" i="15" s="1"/>
  <c r="W268" i="15"/>
  <c r="D268" i="15"/>
  <c r="E268" i="15" s="1"/>
  <c r="F268" i="15" s="1"/>
  <c r="AA268" i="15" s="1"/>
  <c r="Z268" i="15" s="1"/>
  <c r="Y268" i="15" s="1"/>
  <c r="W260" i="15"/>
  <c r="D260" i="15"/>
  <c r="E260" i="15" s="1"/>
  <c r="F260" i="15" s="1"/>
  <c r="W256" i="15"/>
  <c r="D256" i="15"/>
  <c r="E256" i="15" s="1"/>
  <c r="F256" i="15" s="1"/>
  <c r="W252" i="15"/>
  <c r="D252" i="15"/>
  <c r="E252" i="15" s="1"/>
  <c r="F252" i="15" s="1"/>
  <c r="W67" i="15"/>
  <c r="D67" i="15"/>
  <c r="E67" i="15" s="1"/>
  <c r="F67" i="15" s="1"/>
  <c r="W79" i="15"/>
  <c r="D79" i="15"/>
  <c r="E79" i="15" s="1"/>
  <c r="F79" i="15" s="1"/>
  <c r="W83" i="15"/>
  <c r="D83" i="15"/>
  <c r="E83" i="15" s="1"/>
  <c r="F83" i="15" s="1"/>
  <c r="AA83" i="15" s="1"/>
  <c r="Z83" i="15" s="1"/>
  <c r="Y83" i="15" s="1"/>
  <c r="W87" i="15"/>
  <c r="D87" i="15"/>
  <c r="E87" i="15" s="1"/>
  <c r="F87" i="15" s="1"/>
  <c r="W91" i="15"/>
  <c r="D91" i="15"/>
  <c r="E91" i="15" s="1"/>
  <c r="F91" i="15" s="1"/>
  <c r="W99" i="15"/>
  <c r="D99" i="15"/>
  <c r="E99" i="15" s="1"/>
  <c r="F99" i="15" s="1"/>
  <c r="W103" i="15"/>
  <c r="D103" i="15"/>
  <c r="E103" i="15" s="1"/>
  <c r="F103" i="15" s="1"/>
  <c r="W107" i="15"/>
  <c r="D107" i="15"/>
  <c r="E107" i="15" s="1"/>
  <c r="F107" i="15" s="1"/>
  <c r="W111" i="15"/>
  <c r="D111" i="15"/>
  <c r="E111" i="15" s="1"/>
  <c r="F111" i="15" s="1"/>
  <c r="W115" i="15"/>
  <c r="D115" i="15"/>
  <c r="E115" i="15" s="1"/>
  <c r="F115" i="15" s="1"/>
  <c r="W119" i="15"/>
  <c r="D119" i="15"/>
  <c r="E119" i="15" s="1"/>
  <c r="F119" i="15" s="1"/>
  <c r="W151" i="15"/>
  <c r="D151" i="15"/>
  <c r="E151" i="15" s="1"/>
  <c r="F151" i="15" s="1"/>
  <c r="W155" i="15"/>
  <c r="D155" i="15"/>
  <c r="E155" i="15" s="1"/>
  <c r="F155" i="15" s="1"/>
  <c r="W159" i="15"/>
  <c r="D159" i="15"/>
  <c r="E159" i="15" s="1"/>
  <c r="F159" i="15" s="1"/>
  <c r="W163" i="15"/>
  <c r="D163" i="15"/>
  <c r="E163" i="15" s="1"/>
  <c r="F163" i="15" s="1"/>
  <c r="W167" i="15"/>
  <c r="D167" i="15"/>
  <c r="E167" i="15" s="1"/>
  <c r="F167" i="15" s="1"/>
  <c r="W175" i="15"/>
  <c r="D175" i="15"/>
  <c r="E175" i="15" s="1"/>
  <c r="F175" i="15" s="1"/>
  <c r="W179" i="15"/>
  <c r="D179" i="15"/>
  <c r="E179" i="15" s="1"/>
  <c r="F179" i="15" s="1"/>
  <c r="W183" i="15"/>
  <c r="D183" i="15"/>
  <c r="E183" i="15" s="1"/>
  <c r="F183" i="15" s="1"/>
  <c r="W187" i="15"/>
  <c r="D187" i="15"/>
  <c r="E187" i="15" s="1"/>
  <c r="F187" i="15" s="1"/>
  <c r="W191" i="15"/>
  <c r="D191" i="15"/>
  <c r="E191" i="15" s="1"/>
  <c r="F191" i="15" s="1"/>
  <c r="AA191" i="15" s="1"/>
  <c r="Z191" i="15" s="1"/>
  <c r="Y191" i="15" s="1"/>
  <c r="W195" i="15"/>
  <c r="D195" i="15"/>
  <c r="E195" i="15" s="1"/>
  <c r="F195" i="15" s="1"/>
  <c r="W199" i="15"/>
  <c r="D199" i="15"/>
  <c r="E199" i="15" s="1"/>
  <c r="F199" i="15" s="1"/>
  <c r="W211" i="15"/>
  <c r="D211" i="15"/>
  <c r="E211" i="15" s="1"/>
  <c r="F211" i="15" s="1"/>
  <c r="W215" i="15"/>
  <c r="D215" i="15"/>
  <c r="E215" i="15" s="1"/>
  <c r="F215" i="15" s="1"/>
  <c r="W219" i="15"/>
  <c r="D219" i="15"/>
  <c r="E219" i="15" s="1"/>
  <c r="F219" i="15" s="1"/>
  <c r="W235" i="15"/>
  <c r="D235" i="15"/>
  <c r="E235" i="15" s="1"/>
  <c r="F235" i="15" s="1"/>
  <c r="W239" i="15"/>
  <c r="D239" i="15"/>
  <c r="E239" i="15" s="1"/>
  <c r="F239" i="15" s="1"/>
  <c r="W303" i="15"/>
  <c r="D303" i="15"/>
  <c r="E303" i="15" s="1"/>
  <c r="F303" i="15" s="1"/>
  <c r="W307" i="15"/>
  <c r="D307" i="15"/>
  <c r="E307" i="15" s="1"/>
  <c r="F307" i="15" s="1"/>
  <c r="W311" i="15"/>
  <c r="D311" i="15"/>
  <c r="E311" i="15" s="1"/>
  <c r="F311" i="15" s="1"/>
  <c r="W315" i="15"/>
  <c r="D315" i="15"/>
  <c r="E315" i="15" s="1"/>
  <c r="F315" i="15" s="1"/>
  <c r="W319" i="15"/>
  <c r="D319" i="15"/>
  <c r="E319" i="15" s="1"/>
  <c r="F319" i="15" s="1"/>
  <c r="W323" i="15"/>
  <c r="D323" i="15"/>
  <c r="E323" i="15" s="1"/>
  <c r="F323" i="15" s="1"/>
  <c r="W327" i="15"/>
  <c r="D327" i="15"/>
  <c r="E327" i="15" s="1"/>
  <c r="F327" i="15" s="1"/>
  <c r="W331" i="15"/>
  <c r="D331" i="15"/>
  <c r="E331" i="15" s="1"/>
  <c r="F331" i="15" s="1"/>
  <c r="W335" i="15"/>
  <c r="D335" i="15"/>
  <c r="E335" i="15" s="1"/>
  <c r="F335" i="15" s="1"/>
  <c r="AA335" i="15" s="1"/>
  <c r="Z335" i="15" s="1"/>
  <c r="Y335" i="15" s="1"/>
  <c r="W339" i="15"/>
  <c r="D339" i="15"/>
  <c r="E339" i="15" s="1"/>
  <c r="F339" i="15" s="1"/>
  <c r="W343" i="15"/>
  <c r="D343" i="15"/>
  <c r="E343" i="15" s="1"/>
  <c r="F343" i="15" s="1"/>
  <c r="W347" i="15"/>
  <c r="D347" i="15"/>
  <c r="E347" i="15" s="1"/>
  <c r="F347" i="15" s="1"/>
  <c r="W351" i="15"/>
  <c r="D351" i="15"/>
  <c r="E351" i="15" s="1"/>
  <c r="F351" i="15" s="1"/>
  <c r="W355" i="15"/>
  <c r="D355" i="15"/>
  <c r="E355" i="15" s="1"/>
  <c r="F355" i="15" s="1"/>
  <c r="W359" i="15"/>
  <c r="D359" i="15"/>
  <c r="E359" i="15" s="1"/>
  <c r="F359" i="15" s="1"/>
  <c r="W367" i="15"/>
  <c r="D367" i="15"/>
  <c r="E367" i="15" s="1"/>
  <c r="F367" i="15" s="1"/>
  <c r="W371" i="15"/>
  <c r="D371" i="15"/>
  <c r="E371" i="15" s="1"/>
  <c r="F371" i="15" s="1"/>
  <c r="W375" i="15"/>
  <c r="D375" i="15"/>
  <c r="E375" i="15" s="1"/>
  <c r="F375" i="15" s="1"/>
  <c r="W66" i="15"/>
  <c r="D66" i="15"/>
  <c r="E66" i="15" s="1"/>
  <c r="F66" i="15" s="1"/>
  <c r="W57" i="15"/>
  <c r="D57" i="15"/>
  <c r="E57" i="15" s="1"/>
  <c r="F57" i="15" s="1"/>
  <c r="W25" i="15"/>
  <c r="D25" i="15"/>
  <c r="E25" i="15" s="1"/>
  <c r="F25" i="15" s="1"/>
  <c r="W47" i="15"/>
  <c r="D47" i="15"/>
  <c r="E47" i="15" s="1"/>
  <c r="F47" i="15" s="1"/>
  <c r="W55" i="15"/>
  <c r="D55" i="15"/>
  <c r="E55" i="15" s="1"/>
  <c r="F55" i="15" s="1"/>
  <c r="W345" i="15"/>
  <c r="D345" i="15"/>
  <c r="E345" i="15" s="1"/>
  <c r="F345" i="15" s="1"/>
  <c r="W291" i="15"/>
  <c r="D291" i="15"/>
  <c r="E291" i="15" s="1"/>
  <c r="F291" i="15" s="1"/>
  <c r="W283" i="15"/>
  <c r="D283" i="15"/>
  <c r="E283" i="15" s="1"/>
  <c r="F283" i="15" s="1"/>
  <c r="W277" i="15"/>
  <c r="D277" i="15"/>
  <c r="E277" i="15" s="1"/>
  <c r="F277" i="15" s="1"/>
  <c r="W271" i="15"/>
  <c r="D271" i="15"/>
  <c r="E271" i="15" s="1"/>
  <c r="F271" i="15" s="1"/>
  <c r="W267" i="15"/>
  <c r="D267" i="15"/>
  <c r="E267" i="15" s="1"/>
  <c r="F267" i="15" s="1"/>
  <c r="W259" i="15"/>
  <c r="D259" i="15"/>
  <c r="E259" i="15" s="1"/>
  <c r="F259" i="15" s="1"/>
  <c r="W251" i="15"/>
  <c r="D251" i="15"/>
  <c r="E251" i="15" s="1"/>
  <c r="F251" i="15" s="1"/>
  <c r="W243" i="15"/>
  <c r="D243" i="15"/>
  <c r="E243" i="15" s="1"/>
  <c r="F243" i="15" s="1"/>
  <c r="W231" i="15"/>
  <c r="D231" i="15"/>
  <c r="E231" i="15" s="1"/>
  <c r="F231" i="15" s="1"/>
  <c r="W223" i="15"/>
  <c r="D223" i="15"/>
  <c r="E223" i="15" s="1"/>
  <c r="F223" i="15" s="1"/>
  <c r="W207" i="15"/>
  <c r="D207" i="15"/>
  <c r="E207" i="15" s="1"/>
  <c r="F207" i="15" s="1"/>
  <c r="W185" i="15"/>
  <c r="D185" i="15"/>
  <c r="E185" i="15" s="1"/>
  <c r="F185" i="15" s="1"/>
  <c r="W165" i="15"/>
  <c r="D165" i="15"/>
  <c r="E165" i="15" s="1"/>
  <c r="F165" i="15" s="1"/>
  <c r="W147" i="15"/>
  <c r="D147" i="15"/>
  <c r="E147" i="15" s="1"/>
  <c r="F147" i="15" s="1"/>
  <c r="W143" i="15"/>
  <c r="D143" i="15"/>
  <c r="E143" i="15" s="1"/>
  <c r="F143" i="15" s="1"/>
  <c r="W131" i="15"/>
  <c r="D131" i="15"/>
  <c r="E131" i="15" s="1"/>
  <c r="F131" i="15" s="1"/>
  <c r="W123" i="15"/>
  <c r="D123" i="15"/>
  <c r="E123" i="15" s="1"/>
  <c r="F123" i="15" s="1"/>
  <c r="W113" i="15"/>
  <c r="D113" i="15"/>
  <c r="E113" i="15" s="1"/>
  <c r="F113" i="15" s="1"/>
  <c r="W95" i="15"/>
  <c r="D95" i="15"/>
  <c r="E95" i="15" s="1"/>
  <c r="F95" i="15" s="1"/>
  <c r="W71" i="15"/>
  <c r="D71" i="15"/>
  <c r="E71" i="15" s="1"/>
  <c r="F71" i="15" s="1"/>
  <c r="W39" i="15"/>
  <c r="D39" i="15"/>
  <c r="E39" i="15" s="1"/>
  <c r="F39" i="15" s="1"/>
  <c r="AA39" i="15" s="1"/>
  <c r="Z39" i="15" s="1"/>
  <c r="Y39" i="15" s="1"/>
  <c r="W376" i="15"/>
  <c r="D376" i="15"/>
  <c r="E376" i="15" s="1"/>
  <c r="F376" i="15" s="1"/>
  <c r="W372" i="15"/>
  <c r="D372" i="15"/>
  <c r="E372" i="15" s="1"/>
  <c r="F372" i="15" s="1"/>
  <c r="W368" i="15"/>
  <c r="D368" i="15"/>
  <c r="E368" i="15" s="1"/>
  <c r="F368" i="15" s="1"/>
  <c r="AA368" i="15" s="1"/>
  <c r="Z368" i="15" s="1"/>
  <c r="Y368" i="15" s="1"/>
  <c r="W364" i="15"/>
  <c r="D364" i="15"/>
  <c r="E364" i="15" s="1"/>
  <c r="F364" i="15" s="1"/>
  <c r="W360" i="15"/>
  <c r="D360" i="15"/>
  <c r="E360" i="15" s="1"/>
  <c r="F360" i="15" s="1"/>
  <c r="W356" i="15"/>
  <c r="D356" i="15"/>
  <c r="E356" i="15" s="1"/>
  <c r="F356" i="15" s="1"/>
  <c r="W352" i="15"/>
  <c r="D352" i="15"/>
  <c r="E352" i="15" s="1"/>
  <c r="F352" i="15" s="1"/>
  <c r="W348" i="15"/>
  <c r="D348" i="15"/>
  <c r="E348" i="15" s="1"/>
  <c r="F348" i="15" s="1"/>
  <c r="AA348" i="15" s="1"/>
  <c r="Z348" i="15" s="1"/>
  <c r="Y348" i="15" s="1"/>
  <c r="W344" i="15"/>
  <c r="D344" i="15"/>
  <c r="E344" i="15" s="1"/>
  <c r="F344" i="15" s="1"/>
  <c r="W340" i="15"/>
  <c r="D340" i="15"/>
  <c r="E340" i="15" s="1"/>
  <c r="F340" i="15" s="1"/>
  <c r="W336" i="15"/>
  <c r="D336" i="15"/>
  <c r="E336" i="15" s="1"/>
  <c r="F336" i="15" s="1"/>
  <c r="W332" i="15"/>
  <c r="D332" i="15"/>
  <c r="E332" i="15" s="1"/>
  <c r="F332" i="15" s="1"/>
  <c r="AA332" i="15" s="1"/>
  <c r="Z332" i="15" s="1"/>
  <c r="Y332" i="15" s="1"/>
  <c r="W328" i="15"/>
  <c r="D328" i="15"/>
  <c r="E328" i="15" s="1"/>
  <c r="F328" i="15" s="1"/>
  <c r="W320" i="15"/>
  <c r="D320" i="15"/>
  <c r="E320" i="15" s="1"/>
  <c r="F320" i="15" s="1"/>
  <c r="AA320" i="15" s="1"/>
  <c r="Z320" i="15" s="1"/>
  <c r="Y320" i="15" s="1"/>
  <c r="W316" i="15"/>
  <c r="D316" i="15"/>
  <c r="E316" i="15" s="1"/>
  <c r="F316" i="15" s="1"/>
  <c r="W312" i="15"/>
  <c r="D312" i="15"/>
  <c r="E312" i="15" s="1"/>
  <c r="F312" i="15" s="1"/>
  <c r="W308" i="15"/>
  <c r="D308" i="15"/>
  <c r="E308" i="15" s="1"/>
  <c r="F308" i="15" s="1"/>
  <c r="W304" i="15"/>
  <c r="D304" i="15"/>
  <c r="E304" i="15" s="1"/>
  <c r="F304" i="15" s="1"/>
  <c r="W302" i="15"/>
  <c r="D302" i="15"/>
  <c r="E302" i="15" s="1"/>
  <c r="F302" i="15" s="1"/>
  <c r="W294" i="15"/>
  <c r="D294" i="15"/>
  <c r="E294" i="15" s="1"/>
  <c r="F294" i="15" s="1"/>
  <c r="W290" i="15"/>
  <c r="D290" i="15"/>
  <c r="E290" i="15" s="1"/>
  <c r="F290" i="15" s="1"/>
  <c r="AA290" i="15" s="1"/>
  <c r="Z290" i="15" s="1"/>
  <c r="Y290" i="15" s="1"/>
  <c r="W286" i="15"/>
  <c r="D286" i="15"/>
  <c r="E286" i="15" s="1"/>
  <c r="F286" i="15" s="1"/>
  <c r="AA286" i="15" s="1"/>
  <c r="Z286" i="15" s="1"/>
  <c r="Y286" i="15" s="1"/>
  <c r="W282" i="15"/>
  <c r="D282" i="15"/>
  <c r="E282" i="15" s="1"/>
  <c r="F282" i="15" s="1"/>
  <c r="W278" i="15"/>
  <c r="D278" i="15"/>
  <c r="E278" i="15" s="1"/>
  <c r="F278" i="15" s="1"/>
  <c r="W274" i="15"/>
  <c r="D274" i="15"/>
  <c r="E274" i="15" s="1"/>
  <c r="F274" i="15" s="1"/>
  <c r="W270" i="15"/>
  <c r="D270" i="15"/>
  <c r="E270" i="15" s="1"/>
  <c r="F270" i="15" s="1"/>
  <c r="W266" i="15"/>
  <c r="D266" i="15"/>
  <c r="E266" i="15" s="1"/>
  <c r="F266" i="15" s="1"/>
  <c r="W262" i="15"/>
  <c r="D262" i="15"/>
  <c r="E262" i="15" s="1"/>
  <c r="F262" i="15" s="1"/>
  <c r="AA262" i="15" s="1"/>
  <c r="Z262" i="15" s="1"/>
  <c r="Y262" i="15" s="1"/>
  <c r="W258" i="15"/>
  <c r="D258" i="15"/>
  <c r="E258" i="15" s="1"/>
  <c r="F258" i="15" s="1"/>
  <c r="AA258" i="15" s="1"/>
  <c r="Z258" i="15" s="1"/>
  <c r="Y258" i="15" s="1"/>
  <c r="W254" i="15"/>
  <c r="D254" i="15"/>
  <c r="E254" i="15" s="1"/>
  <c r="F254" i="15" s="1"/>
  <c r="W250" i="15"/>
  <c r="D250" i="15"/>
  <c r="E250" i="15" s="1"/>
  <c r="F250" i="15" s="1"/>
  <c r="W246" i="15"/>
  <c r="D246" i="15"/>
  <c r="E246" i="15" s="1"/>
  <c r="F246" i="15" s="1"/>
  <c r="W242" i="15"/>
  <c r="D242" i="15"/>
  <c r="E242" i="15" s="1"/>
  <c r="F242" i="15" s="1"/>
  <c r="W238" i="15"/>
  <c r="D238" i="15"/>
  <c r="E238" i="15" s="1"/>
  <c r="F238" i="15" s="1"/>
  <c r="AA238" i="15" s="1"/>
  <c r="Z238" i="15" s="1"/>
  <c r="Y238" i="15" s="1"/>
  <c r="W234" i="15"/>
  <c r="D234" i="15"/>
  <c r="E234" i="15" s="1"/>
  <c r="F234" i="15" s="1"/>
  <c r="W230" i="15"/>
  <c r="D230" i="15"/>
  <c r="E230" i="15" s="1"/>
  <c r="F230" i="15" s="1"/>
  <c r="AA230" i="15" s="1"/>
  <c r="Z230" i="15" s="1"/>
  <c r="Y230" i="15" s="1"/>
  <c r="W226" i="15"/>
  <c r="D226" i="15"/>
  <c r="E226" i="15" s="1"/>
  <c r="F226" i="15" s="1"/>
  <c r="W222" i="15"/>
  <c r="D222" i="15"/>
  <c r="E222" i="15" s="1"/>
  <c r="F222" i="15" s="1"/>
  <c r="AA222" i="15" s="1"/>
  <c r="Z222" i="15" s="1"/>
  <c r="Y222" i="15" s="1"/>
  <c r="W218" i="15"/>
  <c r="D218" i="15"/>
  <c r="E218" i="15" s="1"/>
  <c r="F218" i="15" s="1"/>
  <c r="W214" i="15"/>
  <c r="D214" i="15"/>
  <c r="E214" i="15" s="1"/>
  <c r="F214" i="15" s="1"/>
  <c r="W208" i="15"/>
  <c r="D208" i="15"/>
  <c r="E208" i="15" s="1"/>
  <c r="F208" i="15" s="1"/>
  <c r="W204" i="15"/>
  <c r="D204" i="15"/>
  <c r="E204" i="15" s="1"/>
  <c r="F204" i="15" s="1"/>
  <c r="AA204" i="15" s="1"/>
  <c r="Z204" i="15" s="1"/>
  <c r="Y204" i="15" s="1"/>
  <c r="W200" i="15"/>
  <c r="D200" i="15"/>
  <c r="E200" i="15" s="1"/>
  <c r="F200" i="15" s="1"/>
  <c r="W196" i="15"/>
  <c r="D196" i="15"/>
  <c r="E196" i="15" s="1"/>
  <c r="F196" i="15" s="1"/>
  <c r="W192" i="15"/>
  <c r="D192" i="15"/>
  <c r="E192" i="15" s="1"/>
  <c r="F192" i="15" s="1"/>
  <c r="AA192" i="15" s="1"/>
  <c r="Z192" i="15" s="1"/>
  <c r="Y192" i="15" s="1"/>
  <c r="W188" i="15"/>
  <c r="D188" i="15"/>
  <c r="E188" i="15" s="1"/>
  <c r="F188" i="15" s="1"/>
  <c r="W184" i="15"/>
  <c r="D184" i="15"/>
  <c r="E184" i="15" s="1"/>
  <c r="F184" i="15" s="1"/>
  <c r="W178" i="15"/>
  <c r="D178" i="15"/>
  <c r="E178" i="15" s="1"/>
  <c r="F178" i="15" s="1"/>
  <c r="AA178" i="15" s="1"/>
  <c r="Z178" i="15" s="1"/>
  <c r="Y178" i="15" s="1"/>
  <c r="W174" i="15"/>
  <c r="D174" i="15"/>
  <c r="E174" i="15" s="1"/>
  <c r="F174" i="15" s="1"/>
  <c r="W170" i="15"/>
  <c r="D170" i="15"/>
  <c r="E170" i="15" s="1"/>
  <c r="F170" i="15" s="1"/>
  <c r="W166" i="15"/>
  <c r="D166" i="15"/>
  <c r="E166" i="15" s="1"/>
  <c r="F166" i="15" s="1"/>
  <c r="AA166" i="15" s="1"/>
  <c r="Z166" i="15" s="1"/>
  <c r="Y166" i="15" s="1"/>
  <c r="W162" i="15"/>
  <c r="D162" i="15"/>
  <c r="E162" i="15" s="1"/>
  <c r="F162" i="15" s="1"/>
  <c r="AA162" i="15" s="1"/>
  <c r="Z162" i="15" s="1"/>
  <c r="Y162" i="15" s="1"/>
  <c r="W158" i="15"/>
  <c r="D158" i="15"/>
  <c r="E158" i="15" s="1"/>
  <c r="F158" i="15" s="1"/>
  <c r="W154" i="15"/>
  <c r="D154" i="15"/>
  <c r="E154" i="15" s="1"/>
  <c r="F154" i="15" s="1"/>
  <c r="W150" i="15"/>
  <c r="D150" i="15"/>
  <c r="E150" i="15" s="1"/>
  <c r="F150" i="15" s="1"/>
  <c r="W146" i="15"/>
  <c r="D146" i="15"/>
  <c r="E146" i="15" s="1"/>
  <c r="F146" i="15" s="1"/>
  <c r="AA146" i="15" s="1"/>
  <c r="Z146" i="15" s="1"/>
  <c r="Y146" i="15" s="1"/>
  <c r="W142" i="15"/>
  <c r="D142" i="15"/>
  <c r="E142" i="15" s="1"/>
  <c r="F142" i="15" s="1"/>
  <c r="W138" i="15"/>
  <c r="D138" i="15"/>
  <c r="E138" i="15" s="1"/>
  <c r="F138" i="15" s="1"/>
  <c r="W134" i="15"/>
  <c r="D134" i="15"/>
  <c r="E134" i="15" s="1"/>
  <c r="F134" i="15" s="1"/>
  <c r="W130" i="15"/>
  <c r="D130" i="15"/>
  <c r="E130" i="15" s="1"/>
  <c r="F130" i="15" s="1"/>
  <c r="AA130" i="15" s="1"/>
  <c r="Z130" i="15" s="1"/>
  <c r="Y130" i="15" s="1"/>
  <c r="W126" i="15"/>
  <c r="D126" i="15"/>
  <c r="E126" i="15" s="1"/>
  <c r="F126" i="15" s="1"/>
  <c r="W122" i="15"/>
  <c r="D122" i="15"/>
  <c r="E122" i="15" s="1"/>
  <c r="F122" i="15" s="1"/>
  <c r="W118" i="15"/>
  <c r="D118" i="15"/>
  <c r="E118" i="15" s="1"/>
  <c r="F118" i="15" s="1"/>
  <c r="W114" i="15"/>
  <c r="D114" i="15"/>
  <c r="E114" i="15" s="1"/>
  <c r="F114" i="15" s="1"/>
  <c r="W110" i="15"/>
  <c r="D110" i="15"/>
  <c r="E110" i="15" s="1"/>
  <c r="F110" i="15" s="1"/>
  <c r="W106" i="15"/>
  <c r="D106" i="15"/>
  <c r="E106" i="15" s="1"/>
  <c r="F106" i="15" s="1"/>
  <c r="AA106" i="15" s="1"/>
  <c r="Z106" i="15" s="1"/>
  <c r="Y106" i="15" s="1"/>
  <c r="W102" i="15"/>
  <c r="D102" i="15"/>
  <c r="E102" i="15" s="1"/>
  <c r="F102" i="15" s="1"/>
  <c r="W98" i="15"/>
  <c r="D98" i="15"/>
  <c r="E98" i="15" s="1"/>
  <c r="F98" i="15" s="1"/>
  <c r="AA98" i="15" s="1"/>
  <c r="Z98" i="15" s="1"/>
  <c r="Y98" i="15" s="1"/>
  <c r="W94" i="15"/>
  <c r="D94" i="15"/>
  <c r="E94" i="15" s="1"/>
  <c r="F94" i="15" s="1"/>
  <c r="W90" i="15"/>
  <c r="D90" i="15"/>
  <c r="E90" i="15" s="1"/>
  <c r="F90" i="15" s="1"/>
  <c r="AA90" i="15" s="1"/>
  <c r="Z90" i="15" s="1"/>
  <c r="Y90" i="15" s="1"/>
  <c r="W88" i="15"/>
  <c r="D88" i="15"/>
  <c r="E88" i="15" s="1"/>
  <c r="F88" i="15" s="1"/>
  <c r="W84" i="15"/>
  <c r="D84" i="15"/>
  <c r="E84" i="15" s="1"/>
  <c r="F84" i="15" s="1"/>
  <c r="W80" i="15"/>
  <c r="D80" i="15"/>
  <c r="E80" i="15" s="1"/>
  <c r="F80" i="15" s="1"/>
  <c r="W76" i="15"/>
  <c r="D76" i="15"/>
  <c r="E76" i="15" s="1"/>
  <c r="F76" i="15" s="1"/>
  <c r="AA76" i="15" s="1"/>
  <c r="Z76" i="15" s="1"/>
  <c r="Y76" i="15" s="1"/>
  <c r="W72" i="15"/>
  <c r="D72" i="15"/>
  <c r="E72" i="15" s="1"/>
  <c r="F72" i="15" s="1"/>
  <c r="W68" i="15"/>
  <c r="D68" i="15"/>
  <c r="E68" i="15" s="1"/>
  <c r="F68" i="15" s="1"/>
  <c r="AA68" i="15" s="1"/>
  <c r="Z68" i="15" s="1"/>
  <c r="Y68" i="15" s="1"/>
  <c r="W248" i="15"/>
  <c r="D248" i="15"/>
  <c r="E248" i="15" s="1"/>
  <c r="F248" i="15" s="1"/>
  <c r="W244" i="15"/>
  <c r="D244" i="15"/>
  <c r="E244" i="15" s="1"/>
  <c r="F244" i="15" s="1"/>
  <c r="W240" i="15"/>
  <c r="D240" i="15"/>
  <c r="E240" i="15" s="1"/>
  <c r="F240" i="15" s="1"/>
  <c r="W236" i="15"/>
  <c r="D236" i="15"/>
  <c r="E236" i="15" s="1"/>
  <c r="F236" i="15" s="1"/>
  <c r="W232" i="15"/>
  <c r="D232" i="15"/>
  <c r="E232" i="15" s="1"/>
  <c r="F232" i="15" s="1"/>
  <c r="W228" i="15"/>
  <c r="D228" i="15"/>
  <c r="E228" i="15" s="1"/>
  <c r="F228" i="15" s="1"/>
  <c r="W224" i="15"/>
  <c r="D224" i="15"/>
  <c r="E224" i="15" s="1"/>
  <c r="F224" i="15" s="1"/>
  <c r="W220" i="15"/>
  <c r="D220" i="15"/>
  <c r="E220" i="15" s="1"/>
  <c r="F220" i="15" s="1"/>
  <c r="AA220" i="15" s="1"/>
  <c r="Z220" i="15" s="1"/>
  <c r="Y220" i="15" s="1"/>
  <c r="W216" i="15"/>
  <c r="D216" i="15"/>
  <c r="E216" i="15" s="1"/>
  <c r="F216" i="15" s="1"/>
  <c r="AA216" i="15" s="1"/>
  <c r="Z216" i="15" s="1"/>
  <c r="Y216" i="15" s="1"/>
  <c r="W212" i="15"/>
  <c r="D212" i="15"/>
  <c r="E212" i="15" s="1"/>
  <c r="F212" i="15" s="1"/>
  <c r="W206" i="15"/>
  <c r="D206" i="15"/>
  <c r="E206" i="15" s="1"/>
  <c r="F206" i="15" s="1"/>
  <c r="W202" i="15"/>
  <c r="D202" i="15"/>
  <c r="E202" i="15" s="1"/>
  <c r="F202" i="15" s="1"/>
  <c r="W198" i="15"/>
  <c r="D198" i="15"/>
  <c r="E198" i="15" s="1"/>
  <c r="F198" i="15" s="1"/>
  <c r="W194" i="15"/>
  <c r="D194" i="15"/>
  <c r="E194" i="15" s="1"/>
  <c r="F194" i="15" s="1"/>
  <c r="W190" i="15"/>
  <c r="D190" i="15"/>
  <c r="E190" i="15" s="1"/>
  <c r="F190" i="15" s="1"/>
  <c r="AA190" i="15" s="1"/>
  <c r="Z190" i="15" s="1"/>
  <c r="Y190" i="15" s="1"/>
  <c r="W186" i="15"/>
  <c r="D186" i="15"/>
  <c r="E186" i="15" s="1"/>
  <c r="F186" i="15" s="1"/>
  <c r="W182" i="15"/>
  <c r="D182" i="15"/>
  <c r="E182" i="15" s="1"/>
  <c r="F182" i="15" s="1"/>
  <c r="W180" i="15"/>
  <c r="D180" i="15"/>
  <c r="E180" i="15" s="1"/>
  <c r="F180" i="15" s="1"/>
  <c r="W176" i="15"/>
  <c r="D176" i="15"/>
  <c r="E176" i="15" s="1"/>
  <c r="F176" i="15" s="1"/>
  <c r="AA176" i="15" s="1"/>
  <c r="Z176" i="15" s="1"/>
  <c r="Y176" i="15" s="1"/>
  <c r="W172" i="15"/>
  <c r="D172" i="15"/>
  <c r="E172" i="15" s="1"/>
  <c r="F172" i="15" s="1"/>
  <c r="W168" i="15"/>
  <c r="D168" i="15"/>
  <c r="E168" i="15" s="1"/>
  <c r="F168" i="15" s="1"/>
  <c r="AA168" i="15" s="1"/>
  <c r="Z168" i="15" s="1"/>
  <c r="Y168" i="15" s="1"/>
  <c r="W164" i="15"/>
  <c r="D164" i="15"/>
  <c r="E164" i="15" s="1"/>
  <c r="F164" i="15" s="1"/>
  <c r="W160" i="15"/>
  <c r="D160" i="15"/>
  <c r="E160" i="15" s="1"/>
  <c r="F160" i="15" s="1"/>
  <c r="AA160" i="15" s="1"/>
  <c r="Z160" i="15" s="1"/>
  <c r="Y160" i="15" s="1"/>
  <c r="W156" i="15"/>
  <c r="D156" i="15"/>
  <c r="E156" i="15" s="1"/>
  <c r="F156" i="15" s="1"/>
  <c r="W152" i="15"/>
  <c r="D152" i="15"/>
  <c r="E152" i="15" s="1"/>
  <c r="F152" i="15" s="1"/>
  <c r="W148" i="15"/>
  <c r="D148" i="15"/>
  <c r="E148" i="15" s="1"/>
  <c r="F148" i="15" s="1"/>
  <c r="W144" i="15"/>
  <c r="D144" i="15"/>
  <c r="E144" i="15" s="1"/>
  <c r="F144" i="15" s="1"/>
  <c r="W140" i="15"/>
  <c r="D140" i="15"/>
  <c r="E140" i="15" s="1"/>
  <c r="F140" i="15" s="1"/>
  <c r="AA140" i="15" s="1"/>
  <c r="Z140" i="15" s="1"/>
  <c r="Y140" i="15" s="1"/>
  <c r="W132" i="15"/>
  <c r="D132" i="15"/>
  <c r="E132" i="15" s="1"/>
  <c r="F132" i="15" s="1"/>
  <c r="W128" i="15"/>
  <c r="D128" i="15"/>
  <c r="E128" i="15" s="1"/>
  <c r="F128" i="15" s="1"/>
  <c r="W124" i="15"/>
  <c r="D124" i="15"/>
  <c r="E124" i="15" s="1"/>
  <c r="F124" i="15" s="1"/>
  <c r="AA124" i="15" s="1"/>
  <c r="Z124" i="15" s="1"/>
  <c r="Y124" i="15" s="1"/>
  <c r="W120" i="15"/>
  <c r="D120" i="15"/>
  <c r="E120" i="15" s="1"/>
  <c r="F120" i="15" s="1"/>
  <c r="W116" i="15"/>
  <c r="D116" i="15"/>
  <c r="E116" i="15" s="1"/>
  <c r="F116" i="15" s="1"/>
  <c r="AA116" i="15" s="1"/>
  <c r="Z116" i="15" s="1"/>
  <c r="Y116" i="15" s="1"/>
  <c r="W112" i="15"/>
  <c r="D112" i="15"/>
  <c r="E112" i="15" s="1"/>
  <c r="F112" i="15" s="1"/>
  <c r="W104" i="15"/>
  <c r="D104" i="15"/>
  <c r="E104" i="15" s="1"/>
  <c r="F104" i="15" s="1"/>
  <c r="AA104" i="15" s="1"/>
  <c r="Z104" i="15" s="1"/>
  <c r="Y104" i="15" s="1"/>
  <c r="W100" i="15"/>
  <c r="D100" i="15"/>
  <c r="E100" i="15" s="1"/>
  <c r="F100" i="15" s="1"/>
  <c r="W96" i="15"/>
  <c r="D96" i="15"/>
  <c r="E96" i="15" s="1"/>
  <c r="F96" i="15" s="1"/>
  <c r="W92" i="15"/>
  <c r="D92" i="15"/>
  <c r="E92" i="15" s="1"/>
  <c r="F92" i="15" s="1"/>
  <c r="W86" i="15"/>
  <c r="D86" i="15"/>
  <c r="E86" i="15" s="1"/>
  <c r="F86" i="15" s="1"/>
  <c r="W82" i="15"/>
  <c r="D82" i="15"/>
  <c r="E82" i="15" s="1"/>
  <c r="F82" i="15" s="1"/>
  <c r="W78" i="15"/>
  <c r="D78" i="15"/>
  <c r="E78" i="15" s="1"/>
  <c r="F78" i="15" s="1"/>
  <c r="AA78" i="15" s="1"/>
  <c r="Z78" i="15" s="1"/>
  <c r="Y78" i="15" s="1"/>
  <c r="W74" i="15"/>
  <c r="D74" i="15"/>
  <c r="E74" i="15" s="1"/>
  <c r="F74" i="15" s="1"/>
  <c r="W70" i="15"/>
  <c r="D70" i="15"/>
  <c r="E70" i="15" s="1"/>
  <c r="F70" i="15" s="1"/>
  <c r="AA70" i="15" s="1"/>
  <c r="Z70" i="15" s="1"/>
  <c r="Y70" i="15" s="1"/>
  <c r="W19" i="15"/>
  <c r="D19" i="15"/>
  <c r="E19" i="15" s="1"/>
  <c r="F19" i="15" s="1"/>
  <c r="B44" i="15"/>
  <c r="B18" i="15"/>
  <c r="B54" i="15"/>
  <c r="B22" i="15"/>
  <c r="B20" i="15"/>
  <c r="B32" i="15"/>
  <c r="B23" i="15"/>
  <c r="E62" i="19"/>
  <c r="B108" i="15"/>
  <c r="B58" i="15"/>
  <c r="B46" i="15"/>
  <c r="B26" i="15"/>
  <c r="B30" i="15"/>
  <c r="B34" i="15"/>
  <c r="B365" i="15"/>
  <c r="B269" i="15"/>
  <c r="B137" i="15"/>
  <c r="W374" i="15"/>
  <c r="D374" i="15"/>
  <c r="E374" i="15" s="1"/>
  <c r="F374" i="15" s="1"/>
  <c r="W370" i="15"/>
  <c r="D370" i="15"/>
  <c r="E370" i="15" s="1"/>
  <c r="F370" i="15" s="1"/>
  <c r="AA370" i="15" s="1"/>
  <c r="Z370" i="15" s="1"/>
  <c r="Y370" i="15" s="1"/>
  <c r="W366" i="15"/>
  <c r="D366" i="15"/>
  <c r="E366" i="15" s="1"/>
  <c r="F366" i="15" s="1"/>
  <c r="W354" i="15"/>
  <c r="D354" i="15"/>
  <c r="E354" i="15" s="1"/>
  <c r="F354" i="15" s="1"/>
  <c r="W350" i="15"/>
  <c r="D350" i="15"/>
  <c r="E350" i="15" s="1"/>
  <c r="F350" i="15" s="1"/>
  <c r="AA350" i="15" s="1"/>
  <c r="Z350" i="15" s="1"/>
  <c r="Y350" i="15" s="1"/>
  <c r="W346" i="15"/>
  <c r="D346" i="15"/>
  <c r="E346" i="15" s="1"/>
  <c r="F346" i="15" s="1"/>
  <c r="W342" i="15"/>
  <c r="D342" i="15"/>
  <c r="E342" i="15" s="1"/>
  <c r="F342" i="15" s="1"/>
  <c r="W338" i="15"/>
  <c r="D338" i="15"/>
  <c r="E338" i="15" s="1"/>
  <c r="F338" i="15" s="1"/>
  <c r="W334" i="15"/>
  <c r="D334" i="15"/>
  <c r="E334" i="15" s="1"/>
  <c r="F334" i="15" s="1"/>
  <c r="W330" i="15"/>
  <c r="D330" i="15"/>
  <c r="E330" i="15" s="1"/>
  <c r="F330" i="15" s="1"/>
  <c r="W326" i="15"/>
  <c r="D326" i="15"/>
  <c r="E326" i="15" s="1"/>
  <c r="F326" i="15" s="1"/>
  <c r="W322" i="15"/>
  <c r="D322" i="15"/>
  <c r="E322" i="15" s="1"/>
  <c r="F322" i="15" s="1"/>
  <c r="W318" i="15"/>
  <c r="D318" i="15"/>
  <c r="E318" i="15" s="1"/>
  <c r="F318" i="15" s="1"/>
  <c r="W314" i="15"/>
  <c r="D314" i="15"/>
  <c r="E314" i="15" s="1"/>
  <c r="F314" i="15" s="1"/>
  <c r="W310" i="15"/>
  <c r="D310" i="15"/>
  <c r="E310" i="15" s="1"/>
  <c r="F310" i="15" s="1"/>
  <c r="W306" i="15"/>
  <c r="D306" i="15"/>
  <c r="E306" i="15" s="1"/>
  <c r="F306" i="15" s="1"/>
  <c r="AA306" i="15" s="1"/>
  <c r="Z306" i="15" s="1"/>
  <c r="Y306" i="15" s="1"/>
  <c r="W300" i="15"/>
  <c r="D300" i="15"/>
  <c r="E300" i="15" s="1"/>
  <c r="F300" i="15" s="1"/>
  <c r="W296" i="15"/>
  <c r="D296" i="15"/>
  <c r="E296" i="15" s="1"/>
  <c r="F296" i="15" s="1"/>
  <c r="W292" i="15"/>
  <c r="D292" i="15"/>
  <c r="E292" i="15" s="1"/>
  <c r="F292" i="15" s="1"/>
  <c r="Q67" i="16"/>
  <c r="Q51" i="16"/>
  <c r="Q31" i="16"/>
  <c r="Q252" i="16"/>
  <c r="Q250" i="16"/>
  <c r="Q248" i="16"/>
  <c r="Q246" i="16"/>
  <c r="Q244" i="16"/>
  <c r="Q242" i="16"/>
  <c r="Q240" i="16"/>
  <c r="Q238" i="16"/>
  <c r="Q236" i="16"/>
  <c r="Q234" i="16"/>
  <c r="Q232" i="16"/>
  <c r="Q230" i="16"/>
  <c r="Q228" i="16"/>
  <c r="Q226" i="16"/>
  <c r="Q224" i="16"/>
  <c r="Q222" i="16"/>
  <c r="Q220" i="16"/>
  <c r="Q218" i="16"/>
  <c r="Q216" i="16"/>
  <c r="Q214" i="16"/>
  <c r="Q212" i="16"/>
  <c r="Q210" i="16"/>
  <c r="Q208" i="16"/>
  <c r="Q206" i="16"/>
  <c r="Q204" i="16"/>
  <c r="Q202" i="16"/>
  <c r="Q200" i="16"/>
  <c r="Q198" i="16"/>
  <c r="Q196" i="16"/>
  <c r="Q194" i="16"/>
  <c r="Q192" i="16"/>
  <c r="Q190" i="16"/>
  <c r="Q188" i="16"/>
  <c r="Q186" i="16"/>
  <c r="Q183" i="16"/>
  <c r="Q179" i="16"/>
  <c r="Q175" i="16"/>
  <c r="Q171" i="16"/>
  <c r="Q167" i="16"/>
  <c r="Q163" i="16"/>
  <c r="Q159" i="16"/>
  <c r="Q155" i="16"/>
  <c r="Q151" i="16"/>
  <c r="Q147" i="16"/>
  <c r="Q143" i="16"/>
  <c r="Q139" i="16"/>
  <c r="Q135" i="16"/>
  <c r="Q131" i="16"/>
  <c r="Q127" i="16"/>
  <c r="Q123" i="16"/>
  <c r="Q119" i="16"/>
  <c r="Q115" i="16"/>
  <c r="Q111" i="16"/>
  <c r="Q107" i="16"/>
  <c r="Q103" i="16"/>
  <c r="Q99" i="16"/>
  <c r="Q95" i="16"/>
  <c r="Q91" i="16"/>
  <c r="Q87" i="16"/>
  <c r="Q83" i="16"/>
  <c r="Q79" i="16"/>
  <c r="Q71" i="16"/>
  <c r="Q63" i="16"/>
  <c r="Q55" i="16"/>
  <c r="Q47" i="16"/>
  <c r="Q39" i="16"/>
  <c r="P282" i="16"/>
  <c r="V282" i="16" s="1"/>
  <c r="Q15" i="7"/>
  <c r="Q19" i="16"/>
  <c r="Q27" i="16"/>
  <c r="Q35" i="16"/>
  <c r="Q41" i="16"/>
  <c r="Q45" i="16"/>
  <c r="Q49" i="16"/>
  <c r="Q53" i="16"/>
  <c r="Q57" i="16"/>
  <c r="Q61" i="16"/>
  <c r="Q65" i="16"/>
  <c r="Q69" i="16"/>
  <c r="Q73" i="16"/>
  <c r="Q77" i="16"/>
  <c r="Q80" i="16"/>
  <c r="P80" i="16" s="1"/>
  <c r="V80" i="16" s="1"/>
  <c r="Q82" i="16"/>
  <c r="Q84" i="16"/>
  <c r="Q86" i="16"/>
  <c r="Q88" i="16"/>
  <c r="Q90" i="16"/>
  <c r="Q92" i="16"/>
  <c r="Q94" i="16"/>
  <c r="Q96" i="16"/>
  <c r="P96" i="16" s="1"/>
  <c r="V96" i="16" s="1"/>
  <c r="Q98" i="16"/>
  <c r="Q100" i="16"/>
  <c r="P100" i="16" s="1"/>
  <c r="V100" i="16" s="1"/>
  <c r="B100" i="16" s="1"/>
  <c r="Q102" i="16"/>
  <c r="Q104" i="16"/>
  <c r="Q106" i="16"/>
  <c r="Q108" i="16"/>
  <c r="Q110" i="16"/>
  <c r="Q112" i="16"/>
  <c r="Q114" i="16"/>
  <c r="Q116" i="16"/>
  <c r="Q118" i="16"/>
  <c r="Q120" i="16"/>
  <c r="Q122" i="16"/>
  <c r="Q124" i="16"/>
  <c r="Q126" i="16"/>
  <c r="Q128" i="16"/>
  <c r="P128" i="16" s="1"/>
  <c r="V128" i="16" s="1"/>
  <c r="B128" i="16" s="1"/>
  <c r="Q130" i="16"/>
  <c r="Q132" i="16"/>
  <c r="P132" i="16" s="1"/>
  <c r="V132" i="16" s="1"/>
  <c r="Q134" i="16"/>
  <c r="Q136" i="16"/>
  <c r="Q138" i="16"/>
  <c r="Q140" i="16"/>
  <c r="Q142" i="16"/>
  <c r="Q144" i="16"/>
  <c r="P144" i="16" s="1"/>
  <c r="V144" i="16" s="1"/>
  <c r="Q146" i="16"/>
  <c r="Q148" i="16"/>
  <c r="Q150" i="16"/>
  <c r="Q152" i="16"/>
  <c r="Q154" i="16"/>
  <c r="Q156" i="16"/>
  <c r="Q158" i="16"/>
  <c r="Q160" i="16"/>
  <c r="P160" i="16" s="1"/>
  <c r="V160" i="16" s="1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L62" i="19"/>
  <c r="AC383" i="20"/>
  <c r="AC382" i="20"/>
  <c r="AC381" i="20"/>
  <c r="Q37" i="16"/>
  <c r="Q33" i="16"/>
  <c r="Q29" i="16"/>
  <c r="Q25" i="16"/>
  <c r="Q21" i="16"/>
  <c r="Q17" i="16"/>
  <c r="J62" i="19"/>
  <c r="V379" i="1"/>
  <c r="P382" i="1"/>
  <c r="P381" i="1"/>
  <c r="P383" i="1"/>
  <c r="AK3" i="16"/>
  <c r="Q13" i="19" s="1"/>
  <c r="K62" i="19"/>
  <c r="O381" i="20"/>
  <c r="O383" i="20"/>
  <c r="O382" i="20"/>
  <c r="D62" i="19"/>
  <c r="AG373" i="16"/>
  <c r="AF373" i="16" s="1"/>
  <c r="AG341" i="16"/>
  <c r="AF341" i="16" s="1"/>
  <c r="AG333" i="16"/>
  <c r="AF333" i="16" s="1"/>
  <c r="AG323" i="16"/>
  <c r="AF323" i="16" s="1"/>
  <c r="AG366" i="16"/>
  <c r="AF366" i="16" s="1"/>
  <c r="AG274" i="16"/>
  <c r="AF274" i="16" s="1"/>
  <c r="AG242" i="16"/>
  <c r="AF242" i="16" s="1"/>
  <c r="AG222" i="16"/>
  <c r="AF222" i="16" s="1"/>
  <c r="AG192" i="16"/>
  <c r="AF192" i="16" s="1"/>
  <c r="AG186" i="16"/>
  <c r="AF186" i="16" s="1"/>
  <c r="AG176" i="16"/>
  <c r="AF176" i="16" s="1"/>
  <c r="AG146" i="16"/>
  <c r="AF146" i="16" s="1"/>
  <c r="AG110" i="16"/>
  <c r="AF110" i="16" s="1"/>
  <c r="AG90" i="16"/>
  <c r="AF90" i="16" s="1"/>
  <c r="AG74" i="16"/>
  <c r="AF74" i="16" s="1"/>
  <c r="AG54" i="16"/>
  <c r="AF54" i="16" s="1"/>
  <c r="AG20" i="16"/>
  <c r="AF20" i="1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AK3" i="18"/>
  <c r="Q15" i="19" s="1"/>
  <c r="AA288" i="15"/>
  <c r="Z288" i="15" s="1"/>
  <c r="Y288" i="15" s="1"/>
  <c r="G288" i="15"/>
  <c r="BX288" i="6" s="1"/>
  <c r="H288" i="15"/>
  <c r="AF15" i="15"/>
  <c r="P16" i="7"/>
  <c r="T379" i="16"/>
  <c r="S363" i="16"/>
  <c r="R363" i="16" s="1"/>
  <c r="S355" i="16"/>
  <c r="R355" i="16" s="1"/>
  <c r="S347" i="16"/>
  <c r="R347" i="16" s="1"/>
  <c r="S341" i="16"/>
  <c r="R341" i="16" s="1"/>
  <c r="S325" i="16"/>
  <c r="R325" i="16" s="1"/>
  <c r="S315" i="16"/>
  <c r="R315" i="16" s="1"/>
  <c r="S307" i="16"/>
  <c r="R307" i="16" s="1"/>
  <c r="S299" i="16"/>
  <c r="R299" i="16" s="1"/>
  <c r="S275" i="16"/>
  <c r="R275" i="16" s="1"/>
  <c r="S243" i="16"/>
  <c r="R243" i="16" s="1"/>
  <c r="S233" i="16"/>
  <c r="R233" i="16" s="1"/>
  <c r="S219" i="16"/>
  <c r="R219" i="16" s="1"/>
  <c r="S217" i="16"/>
  <c r="R217" i="16" s="1"/>
  <c r="S213" i="16"/>
  <c r="R213" i="16" s="1"/>
  <c r="S197" i="16"/>
  <c r="R197" i="16" s="1"/>
  <c r="S185" i="16"/>
  <c r="R185" i="16" s="1"/>
  <c r="S123" i="16"/>
  <c r="R123" i="16" s="1"/>
  <c r="S121" i="16"/>
  <c r="R121" i="16" s="1"/>
  <c r="S119" i="16"/>
  <c r="R119" i="16" s="1"/>
  <c r="S101" i="16"/>
  <c r="R101" i="16" s="1"/>
  <c r="S75" i="16"/>
  <c r="R75" i="16" s="1"/>
  <c r="S67" i="16"/>
  <c r="R67" i="16" s="1"/>
  <c r="S33" i="16"/>
  <c r="R33" i="16" s="1"/>
  <c r="S31" i="16"/>
  <c r="R31" i="16" s="1"/>
  <c r="S21" i="16"/>
  <c r="R21" i="16" s="1"/>
  <c r="AE379" i="16"/>
  <c r="AE12" i="17" s="1"/>
  <c r="AE377" i="16"/>
  <c r="AE375" i="16"/>
  <c r="AD375" i="16" s="1"/>
  <c r="AE373" i="16"/>
  <c r="AE371" i="16"/>
  <c r="AD371" i="16" s="1"/>
  <c r="AE369" i="16"/>
  <c r="AE367" i="16"/>
  <c r="AE365" i="16"/>
  <c r="AD365" i="16" s="1"/>
  <c r="AE363" i="16"/>
  <c r="AE361" i="16"/>
  <c r="AE359" i="16"/>
  <c r="AD359" i="16" s="1"/>
  <c r="AE357" i="16"/>
  <c r="AD357" i="16" s="1"/>
  <c r="AE355" i="16"/>
  <c r="AE353" i="16"/>
  <c r="AE351" i="16"/>
  <c r="AE349" i="16"/>
  <c r="AE347" i="16"/>
  <c r="AE345" i="16"/>
  <c r="AE343" i="16"/>
  <c r="AD343" i="16" s="1"/>
  <c r="AE341" i="16"/>
  <c r="AE339" i="16"/>
  <c r="AE337" i="16"/>
  <c r="AE335" i="16"/>
  <c r="AE333" i="16"/>
  <c r="AE331" i="16"/>
  <c r="AE329" i="16"/>
  <c r="AE327" i="16"/>
  <c r="AE325" i="16"/>
  <c r="AD325" i="16" s="1"/>
  <c r="AE323" i="16"/>
  <c r="AE321" i="16"/>
  <c r="AE319" i="16"/>
  <c r="AE317" i="16"/>
  <c r="AD317" i="16" s="1"/>
  <c r="AE315" i="16"/>
  <c r="AD315" i="16" s="1"/>
  <c r="AE313" i="16"/>
  <c r="AE311" i="16"/>
  <c r="AE309" i="16"/>
  <c r="AE307" i="16"/>
  <c r="AD307" i="16" s="1"/>
  <c r="AE305" i="16"/>
  <c r="AE303" i="16"/>
  <c r="AE301" i="16"/>
  <c r="AE299" i="16"/>
  <c r="AE297" i="16"/>
  <c r="AE295" i="16"/>
  <c r="AE293" i="16"/>
  <c r="AE291" i="16"/>
  <c r="AD291" i="16" s="1"/>
  <c r="AE289" i="16"/>
  <c r="AE287" i="16"/>
  <c r="AE285" i="16"/>
  <c r="AE283" i="16"/>
  <c r="AE281" i="16"/>
  <c r="AE279" i="16"/>
  <c r="AE277" i="16"/>
  <c r="AE275" i="16"/>
  <c r="AE273" i="16"/>
  <c r="AE271" i="16"/>
  <c r="AD271" i="16" s="1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D243" i="16" s="1"/>
  <c r="AE241" i="16"/>
  <c r="AE239" i="16"/>
  <c r="AD239" i="16" s="1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D195" i="16" s="1"/>
  <c r="AE193" i="16"/>
  <c r="AE191" i="16"/>
  <c r="AD191" i="16" s="1"/>
  <c r="AE189" i="16"/>
  <c r="AE187" i="16"/>
  <c r="AE185" i="16"/>
  <c r="AE183" i="16"/>
  <c r="AE181" i="16"/>
  <c r="AE179" i="16"/>
  <c r="AD179" i="16" s="1"/>
  <c r="AE177" i="16"/>
  <c r="AE175" i="16"/>
  <c r="AE173" i="16"/>
  <c r="AE171" i="16"/>
  <c r="AE169" i="16"/>
  <c r="AE167" i="16"/>
  <c r="AE165" i="16"/>
  <c r="AE163" i="16"/>
  <c r="AD163" i="16" s="1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D127" i="16" s="1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D95" i="16" s="1"/>
  <c r="AE93" i="16"/>
  <c r="AE91" i="16"/>
  <c r="AE89" i="16"/>
  <c r="AE87" i="16"/>
  <c r="AE85" i="16"/>
  <c r="AE83" i="16"/>
  <c r="AE81" i="16"/>
  <c r="AE79" i="16"/>
  <c r="AD79" i="16" s="1"/>
  <c r="AE77" i="16"/>
  <c r="AE75" i="16"/>
  <c r="AE73" i="16"/>
  <c r="AE71" i="16"/>
  <c r="AE69" i="16"/>
  <c r="AE67" i="16"/>
  <c r="AD67" i="16" s="1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B379" i="22"/>
  <c r="K379" i="22"/>
  <c r="AJ379" i="22"/>
  <c r="X379" i="22"/>
  <c r="L379" i="22"/>
  <c r="B41" i="19" s="1"/>
  <c r="A380" i="22"/>
  <c r="AK379" i="22"/>
  <c r="O379" i="22"/>
  <c r="C41" i="19" s="1"/>
  <c r="AC379" i="22"/>
  <c r="AG355" i="16"/>
  <c r="AF355" i="16" s="1"/>
  <c r="AG349" i="16"/>
  <c r="AF349" i="16" s="1"/>
  <c r="AG339" i="16"/>
  <c r="AF339" i="16" s="1"/>
  <c r="AG331" i="16"/>
  <c r="AF331" i="16" s="1"/>
  <c r="AG327" i="16"/>
  <c r="AF327" i="16" s="1"/>
  <c r="AD303" i="16"/>
  <c r="AG287" i="16"/>
  <c r="AF287" i="16" s="1"/>
  <c r="AG275" i="16"/>
  <c r="AF275" i="16" s="1"/>
  <c r="AG267" i="16"/>
  <c r="AF267" i="16" s="1"/>
  <c r="AG259" i="16"/>
  <c r="AF259" i="16" s="1"/>
  <c r="AG255" i="16"/>
  <c r="AF255" i="16" s="1"/>
  <c r="AG237" i="16"/>
  <c r="AF237" i="16" s="1"/>
  <c r="AG229" i="16"/>
  <c r="AF229" i="16" s="1"/>
  <c r="AG227" i="16"/>
  <c r="AF227" i="16" s="1"/>
  <c r="AG223" i="16"/>
  <c r="AF223" i="16" s="1"/>
  <c r="AG211" i="16"/>
  <c r="AF211" i="16" s="1"/>
  <c r="AG207" i="16"/>
  <c r="AF207" i="16" s="1"/>
  <c r="AG175" i="16"/>
  <c r="AF175" i="16" s="1"/>
  <c r="AG165" i="16"/>
  <c r="AF165" i="16" s="1"/>
  <c r="AG159" i="16"/>
  <c r="AF159" i="16" s="1"/>
  <c r="AG147" i="16"/>
  <c r="AF147" i="16" s="1"/>
  <c r="AG143" i="16"/>
  <c r="AF143" i="16" s="1"/>
  <c r="AG131" i="16"/>
  <c r="AF131" i="16" s="1"/>
  <c r="AG115" i="16"/>
  <c r="AF115" i="16" s="1"/>
  <c r="AG111" i="16"/>
  <c r="AF111" i="16" s="1"/>
  <c r="AG99" i="16"/>
  <c r="AF99" i="16" s="1"/>
  <c r="AG83" i="16"/>
  <c r="AF83" i="16" s="1"/>
  <c r="AG69" i="16"/>
  <c r="AF69" i="16" s="1"/>
  <c r="AG63" i="16"/>
  <c r="AF63" i="16" s="1"/>
  <c r="AG53" i="16"/>
  <c r="AF53" i="16" s="1"/>
  <c r="AG29" i="16"/>
  <c r="AF29" i="16" s="1"/>
  <c r="AF17" i="15"/>
  <c r="S382" i="15"/>
  <c r="S383" i="15"/>
  <c r="S381" i="15"/>
  <c r="R15" i="15"/>
  <c r="S364" i="16"/>
  <c r="R364" i="16" s="1"/>
  <c r="P364" i="16" s="1"/>
  <c r="V364" i="16" s="1"/>
  <c r="S316" i="16"/>
  <c r="R316" i="16" s="1"/>
  <c r="S296" i="16"/>
  <c r="R296" i="16" s="1"/>
  <c r="S238" i="16"/>
  <c r="R238" i="16" s="1"/>
  <c r="S208" i="16"/>
  <c r="R208" i="16" s="1"/>
  <c r="S176" i="16"/>
  <c r="R176" i="16" s="1"/>
  <c r="S140" i="16"/>
  <c r="R140" i="16" s="1"/>
  <c r="S118" i="16"/>
  <c r="R118" i="16" s="1"/>
  <c r="P118" i="16" s="1"/>
  <c r="S112" i="16"/>
  <c r="R112" i="16" s="1"/>
  <c r="S108" i="16"/>
  <c r="R108" i="16" s="1"/>
  <c r="S92" i="16"/>
  <c r="R92" i="16" s="1"/>
  <c r="S88" i="16"/>
  <c r="R88" i="16" s="1"/>
  <c r="S70" i="16"/>
  <c r="R70" i="16" s="1"/>
  <c r="S54" i="16"/>
  <c r="R54" i="16" s="1"/>
  <c r="S38" i="16"/>
  <c r="R38" i="16" s="1"/>
  <c r="S17" i="16"/>
  <c r="R17" i="16" s="1"/>
  <c r="Q78" i="16"/>
  <c r="Q76" i="16"/>
  <c r="P76" i="16" s="1"/>
  <c r="V76" i="16" s="1"/>
  <c r="Q74" i="16"/>
  <c r="Q72" i="16"/>
  <c r="Q70" i="16"/>
  <c r="Q68" i="16"/>
  <c r="Q66" i="16"/>
  <c r="Q64" i="16"/>
  <c r="P64" i="16" s="1"/>
  <c r="V64" i="16" s="1"/>
  <c r="Q62" i="16"/>
  <c r="Q60" i="16"/>
  <c r="Q58" i="16"/>
  <c r="Q56" i="16"/>
  <c r="Q54" i="16"/>
  <c r="Q52" i="16"/>
  <c r="Q50" i="16"/>
  <c r="Q48" i="16"/>
  <c r="P48" i="16" s="1"/>
  <c r="Q46" i="16"/>
  <c r="Q44" i="16"/>
  <c r="P44" i="16" s="1"/>
  <c r="V44" i="16" s="1"/>
  <c r="Q42" i="16"/>
  <c r="Q40" i="16"/>
  <c r="Q38" i="16"/>
  <c r="Q36" i="16"/>
  <c r="Q34" i="16"/>
  <c r="Q32" i="16"/>
  <c r="P32" i="16" s="1"/>
  <c r="V32" i="16" s="1"/>
  <c r="Q30" i="16"/>
  <c r="Q28" i="16"/>
  <c r="Q26" i="16"/>
  <c r="Q24" i="16"/>
  <c r="Q22" i="16"/>
  <c r="Q20" i="16"/>
  <c r="P20" i="16" s="1"/>
  <c r="V20" i="16" s="1"/>
  <c r="Q18" i="16"/>
  <c r="Q16" i="16"/>
  <c r="Q15" i="16"/>
  <c r="AE380" i="16"/>
  <c r="AE378" i="16"/>
  <c r="AD378" i="16" s="1"/>
  <c r="AE376" i="16"/>
  <c r="AE374" i="16"/>
  <c r="AD374" i="16" s="1"/>
  <c r="AE372" i="16"/>
  <c r="AE370" i="16"/>
  <c r="AE368" i="16"/>
  <c r="AE366" i="16"/>
  <c r="AE364" i="16"/>
  <c r="AE362" i="16"/>
  <c r="AD362" i="16" s="1"/>
  <c r="AE360" i="16"/>
  <c r="AE358" i="16"/>
  <c r="AE356" i="16"/>
  <c r="AE354" i="16"/>
  <c r="AD354" i="16" s="1"/>
  <c r="AE352" i="16"/>
  <c r="AE350" i="16"/>
  <c r="AD350" i="16" s="1"/>
  <c r="AE348" i="16"/>
  <c r="AE346" i="16"/>
  <c r="AE344" i="16"/>
  <c r="AE342" i="16"/>
  <c r="AE340" i="16"/>
  <c r="AE338" i="16"/>
  <c r="AE336" i="16"/>
  <c r="AE334" i="16"/>
  <c r="AD334" i="16" s="1"/>
  <c r="AE332" i="16"/>
  <c r="AE330" i="16"/>
  <c r="AD330" i="16" s="1"/>
  <c r="AE328" i="16"/>
  <c r="AE326" i="16"/>
  <c r="AD326" i="16" s="1"/>
  <c r="AE324" i="16"/>
  <c r="AE322" i="16"/>
  <c r="AD322" i="16" s="1"/>
  <c r="AE320" i="16"/>
  <c r="AE318" i="16"/>
  <c r="AE316" i="16"/>
  <c r="AE314" i="16"/>
  <c r="AD314" i="16" s="1"/>
  <c r="AE312" i="16"/>
  <c r="AE310" i="16"/>
  <c r="AD310" i="16" s="1"/>
  <c r="AE308" i="16"/>
  <c r="AE306" i="16"/>
  <c r="AE304" i="16"/>
  <c r="AE302" i="16"/>
  <c r="AE300" i="16"/>
  <c r="AE298" i="16"/>
  <c r="AE296" i="16"/>
  <c r="AE294" i="16"/>
  <c r="AD294" i="16" s="1"/>
  <c r="AE292" i="16"/>
  <c r="AE290" i="16"/>
  <c r="AD290" i="16" s="1"/>
  <c r="AE288" i="16"/>
  <c r="AE286" i="16"/>
  <c r="AE284" i="16"/>
  <c r="AE282" i="16"/>
  <c r="AD282" i="16" s="1"/>
  <c r="AE280" i="16"/>
  <c r="AE278" i="16"/>
  <c r="AD278" i="16" s="1"/>
  <c r="AE276" i="16"/>
  <c r="AE274" i="16"/>
  <c r="AE272" i="16"/>
  <c r="AE270" i="16"/>
  <c r="AE268" i="16"/>
  <c r="AE266" i="16"/>
  <c r="AD266" i="16" s="1"/>
  <c r="AE264" i="16"/>
  <c r="AE262" i="16"/>
  <c r="AD262" i="16" s="1"/>
  <c r="AE260" i="16"/>
  <c r="AE258" i="16"/>
  <c r="AD258" i="16" s="1"/>
  <c r="AE256" i="16"/>
  <c r="AE254" i="16"/>
  <c r="AE252" i="16"/>
  <c r="AE250" i="16"/>
  <c r="AE248" i="16"/>
  <c r="AE246" i="16"/>
  <c r="AE244" i="16"/>
  <c r="AE242" i="16"/>
  <c r="AE240" i="16"/>
  <c r="AE238" i="16"/>
  <c r="AD238" i="16" s="1"/>
  <c r="AE236" i="16"/>
  <c r="AE234" i="16"/>
  <c r="AD234" i="16" s="1"/>
  <c r="AE232" i="16"/>
  <c r="AE230" i="16"/>
  <c r="AD230" i="16" s="1"/>
  <c r="AE228" i="16"/>
  <c r="AE226" i="16"/>
  <c r="AD226" i="16" s="1"/>
  <c r="AE224" i="16"/>
  <c r="AE222" i="16"/>
  <c r="AE220" i="16"/>
  <c r="AE218" i="16"/>
  <c r="AD218" i="16" s="1"/>
  <c r="AE216" i="16"/>
  <c r="AE214" i="16"/>
  <c r="AD214" i="16" s="1"/>
  <c r="AE212" i="16"/>
  <c r="AE210" i="16"/>
  <c r="AD210" i="16" s="1"/>
  <c r="AE208" i="16"/>
  <c r="AE206" i="16"/>
  <c r="AE204" i="16"/>
  <c r="AE202" i="16"/>
  <c r="AD202" i="16" s="1"/>
  <c r="AE200" i="16"/>
  <c r="AE198" i="16"/>
  <c r="AD198" i="16" s="1"/>
  <c r="AE196" i="16"/>
  <c r="AE194" i="16"/>
  <c r="AD194" i="16" s="1"/>
  <c r="AE192" i="16"/>
  <c r="AE190" i="16"/>
  <c r="AD190" i="16" s="1"/>
  <c r="AE188" i="16"/>
  <c r="AE186" i="16"/>
  <c r="AE184" i="16"/>
  <c r="AE182" i="16"/>
  <c r="AD182" i="16" s="1"/>
  <c r="AE180" i="16"/>
  <c r="AE178" i="16"/>
  <c r="AD178" i="16" s="1"/>
  <c r="AE176" i="16"/>
  <c r="AE174" i="16"/>
  <c r="AD174" i="16" s="1"/>
  <c r="AE172" i="16"/>
  <c r="AE170" i="16"/>
  <c r="AD170" i="16" s="1"/>
  <c r="AE168" i="16"/>
  <c r="AE166" i="16"/>
  <c r="AD166" i="16" s="1"/>
  <c r="AE164" i="16"/>
  <c r="AE162" i="16"/>
  <c r="AD162" i="16" s="1"/>
  <c r="AE160" i="16"/>
  <c r="AE158" i="16"/>
  <c r="AD158" i="16" s="1"/>
  <c r="AE156" i="16"/>
  <c r="AE154" i="16"/>
  <c r="AD154" i="16" s="1"/>
  <c r="AE152" i="16"/>
  <c r="AE150" i="16"/>
  <c r="AD150" i="16" s="1"/>
  <c r="AE148" i="16"/>
  <c r="AE146" i="16"/>
  <c r="AE144" i="16"/>
  <c r="AE142" i="16"/>
  <c r="AE140" i="16"/>
  <c r="AE138" i="16"/>
  <c r="AD138" i="16" s="1"/>
  <c r="AE136" i="16"/>
  <c r="AE134" i="16"/>
  <c r="AD134" i="16" s="1"/>
  <c r="AE132" i="16"/>
  <c r="AE130" i="16"/>
  <c r="AD130" i="16" s="1"/>
  <c r="AE128" i="16"/>
  <c r="AE126" i="16"/>
  <c r="AE124" i="16"/>
  <c r="AE122" i="16"/>
  <c r="AD122" i="16" s="1"/>
  <c r="AE120" i="16"/>
  <c r="AE118" i="16"/>
  <c r="AD118" i="16" s="1"/>
  <c r="AE116" i="16"/>
  <c r="AE114" i="16"/>
  <c r="AE112" i="16"/>
  <c r="AE110" i="16"/>
  <c r="AE108" i="16"/>
  <c r="AE106" i="16"/>
  <c r="AD106" i="16" s="1"/>
  <c r="AE104" i="16"/>
  <c r="AE102" i="16"/>
  <c r="AE100" i="16"/>
  <c r="AE98" i="16"/>
  <c r="AD98" i="16" s="1"/>
  <c r="AE96" i="16"/>
  <c r="AE94" i="16"/>
  <c r="AE92" i="16"/>
  <c r="AE90" i="16"/>
  <c r="AE88" i="16"/>
  <c r="AE86" i="16"/>
  <c r="AD86" i="16" s="1"/>
  <c r="AE84" i="16"/>
  <c r="AE82" i="16"/>
  <c r="AD82" i="16" s="1"/>
  <c r="AE80" i="16"/>
  <c r="AE78" i="16"/>
  <c r="AD78" i="16" s="1"/>
  <c r="AE76" i="16"/>
  <c r="AE74" i="16"/>
  <c r="AE72" i="16"/>
  <c r="AE70" i="16"/>
  <c r="AD70" i="16" s="1"/>
  <c r="AE68" i="16"/>
  <c r="AE66" i="16"/>
  <c r="AD66" i="16" s="1"/>
  <c r="AE64" i="16"/>
  <c r="AE62" i="16"/>
  <c r="AD62" i="16" s="1"/>
  <c r="AE60" i="16"/>
  <c r="AE58" i="16"/>
  <c r="AE56" i="16"/>
  <c r="AE54" i="16"/>
  <c r="AE52" i="16"/>
  <c r="AE50" i="16"/>
  <c r="AE48" i="16"/>
  <c r="AE46" i="16"/>
  <c r="AD46" i="16" s="1"/>
  <c r="AE44" i="16"/>
  <c r="AE42" i="16"/>
  <c r="AE40" i="16"/>
  <c r="AE38" i="16"/>
  <c r="AD38" i="16" s="1"/>
  <c r="AE36" i="16"/>
  <c r="AD36" i="16" s="1"/>
  <c r="AE34" i="16"/>
  <c r="AD34" i="16" s="1"/>
  <c r="AE32" i="16"/>
  <c r="AE30" i="16"/>
  <c r="AE28" i="16"/>
  <c r="AD28" i="16" s="1"/>
  <c r="AE26" i="16"/>
  <c r="AE24" i="16"/>
  <c r="AE22" i="16"/>
  <c r="AD22" i="16" s="1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P372" i="16" l="1"/>
  <c r="AD25" i="16"/>
  <c r="AD45" i="16"/>
  <c r="AD57" i="16"/>
  <c r="AD85" i="16"/>
  <c r="AD101" i="16"/>
  <c r="AD117" i="16"/>
  <c r="AD141" i="16"/>
  <c r="AD149" i="16"/>
  <c r="AD157" i="16"/>
  <c r="AD181" i="16"/>
  <c r="AD189" i="16"/>
  <c r="AD197" i="16"/>
  <c r="AD213" i="16"/>
  <c r="AD245" i="16"/>
  <c r="AD261" i="16"/>
  <c r="AD269" i="16"/>
  <c r="AD285" i="16"/>
  <c r="AD293" i="16"/>
  <c r="P39" i="16"/>
  <c r="V39" i="16" s="1"/>
  <c r="P55" i="16"/>
  <c r="V55" i="16" s="1"/>
  <c r="P99" i="16"/>
  <c r="V99" i="16" s="1"/>
  <c r="B99" i="16" s="1"/>
  <c r="P107" i="16"/>
  <c r="V107" i="16" s="1"/>
  <c r="B107" i="16" s="1"/>
  <c r="P115" i="16"/>
  <c r="V115" i="16" s="1"/>
  <c r="B115" i="16" s="1"/>
  <c r="P131" i="16"/>
  <c r="V131" i="16" s="1"/>
  <c r="B131" i="16" s="1"/>
  <c r="P155" i="16"/>
  <c r="V155" i="16" s="1"/>
  <c r="P163" i="16"/>
  <c r="V163" i="16" s="1"/>
  <c r="P171" i="16"/>
  <c r="V171" i="16" s="1"/>
  <c r="P179" i="16"/>
  <c r="V179" i="16" s="1"/>
  <c r="B179" i="16" s="1"/>
  <c r="P23" i="16"/>
  <c r="V23" i="16" s="1"/>
  <c r="P201" i="16"/>
  <c r="V201" i="16" s="1"/>
  <c r="B201" i="16" s="1"/>
  <c r="P249" i="16"/>
  <c r="V249" i="16" s="1"/>
  <c r="B249" i="16" s="1"/>
  <c r="P195" i="16"/>
  <c r="V195" i="16" s="1"/>
  <c r="B195" i="16" s="1"/>
  <c r="P235" i="16"/>
  <c r="V235" i="16" s="1"/>
  <c r="B235" i="16" s="1"/>
  <c r="P251" i="16"/>
  <c r="V251" i="16" s="1"/>
  <c r="B251" i="16" s="1"/>
  <c r="P259" i="16"/>
  <c r="V259" i="16" s="1"/>
  <c r="B259" i="16" s="1"/>
  <c r="P267" i="16"/>
  <c r="V267" i="16" s="1"/>
  <c r="B267" i="16" s="1"/>
  <c r="P283" i="16"/>
  <c r="V283" i="16" s="1"/>
  <c r="B283" i="16" s="1"/>
  <c r="P291" i="16"/>
  <c r="V291" i="16" s="1"/>
  <c r="P323" i="16"/>
  <c r="V323" i="16" s="1"/>
  <c r="B323" i="16" s="1"/>
  <c r="P331" i="16"/>
  <c r="V331" i="16" s="1"/>
  <c r="B331" i="16" s="1"/>
  <c r="P339" i="16"/>
  <c r="V339" i="16" s="1"/>
  <c r="B339" i="16" s="1"/>
  <c r="P371" i="16"/>
  <c r="V371" i="16" s="1"/>
  <c r="B371" i="16" s="1"/>
  <c r="AD32" i="16"/>
  <c r="AD40" i="16"/>
  <c r="AD64" i="16"/>
  <c r="AD72" i="16"/>
  <c r="AD76" i="16"/>
  <c r="AD80" i="16"/>
  <c r="AD92" i="16"/>
  <c r="AD100" i="16"/>
  <c r="AD104" i="16"/>
  <c r="AD108" i="16"/>
  <c r="AD112" i="16"/>
  <c r="AD124" i="16"/>
  <c r="AD136" i="16"/>
  <c r="AD148" i="16"/>
  <c r="AD152" i="16"/>
  <c r="AD160" i="16"/>
  <c r="AD172" i="16"/>
  <c r="AD180" i="16"/>
  <c r="AD204" i="16"/>
  <c r="AD216" i="16"/>
  <c r="AD228" i="16"/>
  <c r="AD236" i="16"/>
  <c r="AD240" i="16"/>
  <c r="AD252" i="16"/>
  <c r="AD264" i="16"/>
  <c r="AD268" i="16"/>
  <c r="AD272" i="16"/>
  <c r="AD276" i="16"/>
  <c r="AD280" i="16"/>
  <c r="AD284" i="16"/>
  <c r="AD288" i="16"/>
  <c r="AD292" i="16"/>
  <c r="AD296" i="16"/>
  <c r="AD300" i="16"/>
  <c r="AD308" i="16"/>
  <c r="AD312" i="16"/>
  <c r="AD316" i="16"/>
  <c r="AD320" i="16"/>
  <c r="AD332" i="16"/>
  <c r="AD336" i="16"/>
  <c r="AD348" i="16"/>
  <c r="AD352" i="16"/>
  <c r="P98" i="16"/>
  <c r="V98" i="16" s="1"/>
  <c r="P299" i="16"/>
  <c r="P363" i="16"/>
  <c r="V11" i="7"/>
  <c r="U11" i="17" s="1"/>
  <c r="AG381" i="15"/>
  <c r="P330" i="16"/>
  <c r="V330" i="16" s="1"/>
  <c r="B330" i="16" s="1"/>
  <c r="D330" i="16" s="1"/>
  <c r="E330" i="16" s="1"/>
  <c r="F330" i="16" s="1"/>
  <c r="P208" i="16"/>
  <c r="V208" i="16" s="1"/>
  <c r="P276" i="16"/>
  <c r="V276" i="16" s="1"/>
  <c r="P340" i="16"/>
  <c r="V340" i="16" s="1"/>
  <c r="P292" i="16"/>
  <c r="V292" i="16" s="1"/>
  <c r="B292" i="16" s="1"/>
  <c r="P322" i="16"/>
  <c r="P266" i="16"/>
  <c r="P153" i="16"/>
  <c r="V153" i="16" s="1"/>
  <c r="P287" i="16"/>
  <c r="V287" i="16" s="1"/>
  <c r="B287" i="16" s="1"/>
  <c r="P271" i="16"/>
  <c r="V271" i="16" s="1"/>
  <c r="B271" i="16" s="1"/>
  <c r="AD295" i="16"/>
  <c r="S314" i="16"/>
  <c r="R314" i="16" s="1"/>
  <c r="P314" i="16" s="1"/>
  <c r="V314" i="16" s="1"/>
  <c r="B314" i="16" s="1"/>
  <c r="AD81" i="16"/>
  <c r="AD89" i="16"/>
  <c r="AD97" i="16"/>
  <c r="AD113" i="16"/>
  <c r="AD121" i="16"/>
  <c r="AD129" i="16"/>
  <c r="AD137" i="16"/>
  <c r="AD145" i="16"/>
  <c r="AD161" i="16"/>
  <c r="AD169" i="16"/>
  <c r="AD177" i="16"/>
  <c r="AD193" i="16"/>
  <c r="AD201" i="16"/>
  <c r="AD209" i="16"/>
  <c r="AD241" i="16"/>
  <c r="AD257" i="16"/>
  <c r="AD265" i="16"/>
  <c r="AD273" i="16"/>
  <c r="AD281" i="16"/>
  <c r="AD289" i="16"/>
  <c r="AD297" i="16"/>
  <c r="AD313" i="16"/>
  <c r="AD321" i="16"/>
  <c r="AD337" i="16"/>
  <c r="AD353" i="16"/>
  <c r="AD361" i="16"/>
  <c r="AD377" i="16"/>
  <c r="Q12" i="17"/>
  <c r="Q10" i="17" s="1"/>
  <c r="Q31" i="17" s="1"/>
  <c r="AH379" i="16"/>
  <c r="AG379" i="16" s="1"/>
  <c r="AF379" i="16" s="1"/>
  <c r="P164" i="16"/>
  <c r="V164" i="16" s="1"/>
  <c r="B164" i="16" s="1"/>
  <c r="W164" i="16" s="1"/>
  <c r="P156" i="16"/>
  <c r="V156" i="16" s="1"/>
  <c r="B156" i="16" s="1"/>
  <c r="D156" i="16" s="1"/>
  <c r="E156" i="16" s="1"/>
  <c r="F156" i="16" s="1"/>
  <c r="G156" i="16" s="1"/>
  <c r="BY156" i="6" s="1"/>
  <c r="P136" i="16"/>
  <c r="V136" i="16" s="1"/>
  <c r="B136" i="16" s="1"/>
  <c r="P124" i="16"/>
  <c r="V124" i="16" s="1"/>
  <c r="B124" i="16" s="1"/>
  <c r="P120" i="16"/>
  <c r="V120" i="16" s="1"/>
  <c r="B120" i="16" s="1"/>
  <c r="W120" i="16" s="1"/>
  <c r="P116" i="16"/>
  <c r="V116" i="16" s="1"/>
  <c r="B116" i="16" s="1"/>
  <c r="P104" i="16"/>
  <c r="V104" i="16" s="1"/>
  <c r="B104" i="16" s="1"/>
  <c r="P65" i="16"/>
  <c r="V65" i="16" s="1"/>
  <c r="B65" i="16" s="1"/>
  <c r="P49" i="16"/>
  <c r="V49" i="16" s="1"/>
  <c r="B49" i="16" s="1"/>
  <c r="W49" i="16" s="1"/>
  <c r="P41" i="16"/>
  <c r="V41" i="16" s="1"/>
  <c r="B41" i="16" s="1"/>
  <c r="D41" i="16" s="1"/>
  <c r="E41" i="16" s="1"/>
  <c r="F41" i="16" s="1"/>
  <c r="G41" i="16" s="1"/>
  <c r="BY41" i="6" s="1"/>
  <c r="P306" i="16"/>
  <c r="V306" i="16" s="1"/>
  <c r="B306" i="16" s="1"/>
  <c r="P346" i="16"/>
  <c r="V346" i="16" s="1"/>
  <c r="P167" i="16"/>
  <c r="V167" i="16" s="1"/>
  <c r="P175" i="16"/>
  <c r="V175" i="16" s="1"/>
  <c r="B175" i="16" s="1"/>
  <c r="P183" i="16"/>
  <c r="V183" i="16" s="1"/>
  <c r="B183" i="16" s="1"/>
  <c r="P85" i="16"/>
  <c r="V85" i="16" s="1"/>
  <c r="P113" i="16"/>
  <c r="V113" i="16" s="1"/>
  <c r="B113" i="16" s="1"/>
  <c r="W113" i="16" s="1"/>
  <c r="P129" i="16"/>
  <c r="V129" i="16" s="1"/>
  <c r="B129" i="16" s="1"/>
  <c r="D129" i="16" s="1"/>
  <c r="E129" i="16" s="1"/>
  <c r="F129" i="16" s="1"/>
  <c r="G129" i="16" s="1"/>
  <c r="BY129" i="6" s="1"/>
  <c r="P145" i="16"/>
  <c r="V145" i="16" s="1"/>
  <c r="B145" i="16" s="1"/>
  <c r="D145" i="16" s="1"/>
  <c r="E145" i="16" s="1"/>
  <c r="F145" i="16" s="1"/>
  <c r="G145" i="16" s="1"/>
  <c r="BY145" i="6" s="1"/>
  <c r="P177" i="16"/>
  <c r="V177" i="16" s="1"/>
  <c r="B177" i="16" s="1"/>
  <c r="D177" i="16" s="1"/>
  <c r="E177" i="16" s="1"/>
  <c r="F177" i="16" s="1"/>
  <c r="G177" i="16" s="1"/>
  <c r="BY177" i="6" s="1"/>
  <c r="P205" i="16"/>
  <c r="V205" i="16" s="1"/>
  <c r="B205" i="16" s="1"/>
  <c r="P229" i="16"/>
  <c r="V229" i="16" s="1"/>
  <c r="B229" i="16" s="1"/>
  <c r="W229" i="16" s="1"/>
  <c r="P245" i="16"/>
  <c r="V245" i="16" s="1"/>
  <c r="B245" i="16" s="1"/>
  <c r="W245" i="16" s="1"/>
  <c r="P109" i="16"/>
  <c r="V109" i="16" s="1"/>
  <c r="B109" i="16" s="1"/>
  <c r="P133" i="16"/>
  <c r="V133" i="16" s="1"/>
  <c r="B133" i="16" s="1"/>
  <c r="D133" i="16" s="1"/>
  <c r="E133" i="16" s="1"/>
  <c r="F133" i="16" s="1"/>
  <c r="G133" i="16" s="1"/>
  <c r="BY133" i="6" s="1"/>
  <c r="P181" i="16"/>
  <c r="V181" i="16" s="1"/>
  <c r="B181" i="16" s="1"/>
  <c r="W181" i="16" s="1"/>
  <c r="AD356" i="16"/>
  <c r="AD364" i="16"/>
  <c r="P24" i="16"/>
  <c r="V24" i="16" s="1"/>
  <c r="B24" i="16" s="1"/>
  <c r="P28" i="16"/>
  <c r="P52" i="16"/>
  <c r="V52" i="16" s="1"/>
  <c r="B52" i="16" s="1"/>
  <c r="P60" i="16"/>
  <c r="P68" i="16"/>
  <c r="V68" i="16" s="1"/>
  <c r="B68" i="16" s="1"/>
  <c r="P72" i="16"/>
  <c r="V72" i="16" s="1"/>
  <c r="B72" i="16" s="1"/>
  <c r="P316" i="16"/>
  <c r="V316" i="16" s="1"/>
  <c r="B316" i="16" s="1"/>
  <c r="P328" i="16"/>
  <c r="V328" i="16" s="1"/>
  <c r="B328" i="16" s="1"/>
  <c r="AD71" i="16"/>
  <c r="AD119" i="16"/>
  <c r="AD155" i="16"/>
  <c r="AD167" i="16"/>
  <c r="AD171" i="16"/>
  <c r="AD187" i="16"/>
  <c r="AD199" i="16"/>
  <c r="AD215" i="16"/>
  <c r="AD219" i="16"/>
  <c r="AD231" i="16"/>
  <c r="AD235" i="16"/>
  <c r="AD279" i="16"/>
  <c r="AD283" i="16"/>
  <c r="AD299" i="16"/>
  <c r="AD311" i="16"/>
  <c r="AD319" i="16"/>
  <c r="AD335" i="16"/>
  <c r="AD347" i="16"/>
  <c r="AD351" i="16"/>
  <c r="P307" i="16"/>
  <c r="V307" i="16" s="1"/>
  <c r="B307" i="16" s="1"/>
  <c r="D307" i="16" s="1"/>
  <c r="E307" i="16" s="1"/>
  <c r="F307" i="16" s="1"/>
  <c r="P355" i="16"/>
  <c r="V355" i="16" s="1"/>
  <c r="B355" i="16" s="1"/>
  <c r="W355" i="16" s="1"/>
  <c r="P29" i="16"/>
  <c r="V29" i="16" s="1"/>
  <c r="B29" i="16" s="1"/>
  <c r="W29" i="16" s="1"/>
  <c r="P357" i="16"/>
  <c r="V357" i="16" s="1"/>
  <c r="B357" i="16" s="1"/>
  <c r="D357" i="16" s="1"/>
  <c r="E357" i="16" s="1"/>
  <c r="F357" i="16" s="1"/>
  <c r="G357" i="16" s="1"/>
  <c r="BY357" i="6" s="1"/>
  <c r="P373" i="16"/>
  <c r="V373" i="16" s="1"/>
  <c r="B373" i="16" s="1"/>
  <c r="W373" i="16" s="1"/>
  <c r="P224" i="16"/>
  <c r="V224" i="16" s="1"/>
  <c r="B224" i="16" s="1"/>
  <c r="P376" i="16"/>
  <c r="V376" i="16" s="1"/>
  <c r="B376" i="16" s="1"/>
  <c r="P308" i="16"/>
  <c r="V308" i="16" s="1"/>
  <c r="P300" i="16"/>
  <c r="V300" i="16" s="1"/>
  <c r="B300" i="16" s="1"/>
  <c r="P260" i="16"/>
  <c r="V260" i="16" s="1"/>
  <c r="B260" i="16" s="1"/>
  <c r="P228" i="16"/>
  <c r="P212" i="16"/>
  <c r="G378" i="15"/>
  <c r="BX378" i="6" s="1"/>
  <c r="AA378" i="15"/>
  <c r="Z378" i="15" s="1"/>
  <c r="Y378" i="15" s="1"/>
  <c r="AH16" i="16"/>
  <c r="AG16" i="16" s="1"/>
  <c r="AF16" i="16" s="1"/>
  <c r="AI382" i="16"/>
  <c r="S256" i="16"/>
  <c r="R256" i="16" s="1"/>
  <c r="P256" i="16"/>
  <c r="V256" i="16" s="1"/>
  <c r="B256" i="16" s="1"/>
  <c r="D256" i="16" s="1"/>
  <c r="E256" i="16" s="1"/>
  <c r="F256" i="16" s="1"/>
  <c r="G256" i="16" s="1"/>
  <c r="BY256" i="6" s="1"/>
  <c r="P59" i="16"/>
  <c r="V59" i="16" s="1"/>
  <c r="B59" i="16" s="1"/>
  <c r="U381" i="16"/>
  <c r="U382" i="16"/>
  <c r="P313" i="16"/>
  <c r="V313" i="16" s="1"/>
  <c r="B313" i="16" s="1"/>
  <c r="P169" i="16"/>
  <c r="V169" i="16" s="1"/>
  <c r="B169" i="16" s="1"/>
  <c r="B60" i="15"/>
  <c r="D60" i="15" s="1"/>
  <c r="E60" i="15" s="1"/>
  <c r="F60" i="15" s="1"/>
  <c r="C62" i="19"/>
  <c r="AD222" i="16"/>
  <c r="AD366" i="16"/>
  <c r="AD370" i="16"/>
  <c r="P26" i="16"/>
  <c r="V26" i="16" s="1"/>
  <c r="B26" i="16" s="1"/>
  <c r="P34" i="16"/>
  <c r="V34" i="16" s="1"/>
  <c r="B34" i="16" s="1"/>
  <c r="P66" i="16"/>
  <c r="V66" i="16" s="1"/>
  <c r="B66" i="16" s="1"/>
  <c r="P74" i="16"/>
  <c r="V74" i="16" s="1"/>
  <c r="P278" i="16"/>
  <c r="V278" i="16" s="1"/>
  <c r="B278" i="16" s="1"/>
  <c r="P294" i="16"/>
  <c r="V294" i="16" s="1"/>
  <c r="B294" i="16" s="1"/>
  <c r="P358" i="16"/>
  <c r="V358" i="16" s="1"/>
  <c r="B358" i="16" s="1"/>
  <c r="T15" i="16"/>
  <c r="T383" i="16" s="1"/>
  <c r="P93" i="16"/>
  <c r="V93" i="16" s="1"/>
  <c r="P149" i="16"/>
  <c r="V149" i="16" s="1"/>
  <c r="P185" i="16"/>
  <c r="V185" i="16" s="1"/>
  <c r="B185" i="16" s="1"/>
  <c r="W185" i="16" s="1"/>
  <c r="P199" i="16"/>
  <c r="V199" i="16" s="1"/>
  <c r="P233" i="16"/>
  <c r="V233" i="16" s="1"/>
  <c r="P293" i="16"/>
  <c r="V293" i="16" s="1"/>
  <c r="B293" i="16" s="1"/>
  <c r="P341" i="16"/>
  <c r="V341" i="16" s="1"/>
  <c r="AI381" i="16"/>
  <c r="P180" i="16"/>
  <c r="D49" i="7" s="1"/>
  <c r="P168" i="16"/>
  <c r="V168" i="16" s="1"/>
  <c r="B168" i="16" s="1"/>
  <c r="P148" i="16"/>
  <c r="V148" i="16" s="1"/>
  <c r="B148" i="16" s="1"/>
  <c r="D148" i="16" s="1"/>
  <c r="E148" i="16" s="1"/>
  <c r="F148" i="16" s="1"/>
  <c r="G148" i="16" s="1"/>
  <c r="BY148" i="6" s="1"/>
  <c r="P121" i="16"/>
  <c r="V121" i="16" s="1"/>
  <c r="B121" i="16" s="1"/>
  <c r="P219" i="16"/>
  <c r="V219" i="16" s="1"/>
  <c r="B219" i="16" s="1"/>
  <c r="W219" i="16" s="1"/>
  <c r="P243" i="16"/>
  <c r="V243" i="16" s="1"/>
  <c r="B243" i="16" s="1"/>
  <c r="D243" i="16" s="1"/>
  <c r="E243" i="16" s="1"/>
  <c r="F243" i="16" s="1"/>
  <c r="P321" i="16"/>
  <c r="V321" i="16" s="1"/>
  <c r="B321" i="16" s="1"/>
  <c r="D321" i="16" s="1"/>
  <c r="E321" i="16" s="1"/>
  <c r="F321" i="16" s="1"/>
  <c r="AA321" i="16" s="1"/>
  <c r="Z321" i="16" s="1"/>
  <c r="Y321" i="16" s="1"/>
  <c r="P333" i="16"/>
  <c r="D54" i="7" s="1"/>
  <c r="P162" i="16"/>
  <c r="V162" i="16" s="1"/>
  <c r="B162" i="16" s="1"/>
  <c r="P154" i="16"/>
  <c r="V154" i="16" s="1"/>
  <c r="B154" i="16" s="1"/>
  <c r="P146" i="16"/>
  <c r="V146" i="16" s="1"/>
  <c r="B146" i="16" s="1"/>
  <c r="P130" i="16"/>
  <c r="V130" i="16" s="1"/>
  <c r="B130" i="16" s="1"/>
  <c r="P122" i="16"/>
  <c r="V122" i="16" s="1"/>
  <c r="B122" i="16" s="1"/>
  <c r="P106" i="16"/>
  <c r="V106" i="16" s="1"/>
  <c r="B106" i="16" s="1"/>
  <c r="P82" i="16"/>
  <c r="V82" i="16" s="1"/>
  <c r="B82" i="16" s="1"/>
  <c r="P35" i="16"/>
  <c r="V35" i="16" s="1"/>
  <c r="B35" i="16" s="1"/>
  <c r="P47" i="16"/>
  <c r="V47" i="16" s="1"/>
  <c r="P63" i="16"/>
  <c r="V63" i="16" s="1"/>
  <c r="B63" i="16" s="1"/>
  <c r="P95" i="16"/>
  <c r="V95" i="16" s="1"/>
  <c r="B95" i="16" s="1"/>
  <c r="P159" i="16"/>
  <c r="V159" i="16" s="1"/>
  <c r="B159" i="16" s="1"/>
  <c r="P192" i="16"/>
  <c r="V192" i="16" s="1"/>
  <c r="B192" i="16" s="1"/>
  <c r="P196" i="16"/>
  <c r="V196" i="16" s="1"/>
  <c r="B196" i="16" s="1"/>
  <c r="P204" i="16"/>
  <c r="V204" i="16" s="1"/>
  <c r="B204" i="16" s="1"/>
  <c r="P216" i="16"/>
  <c r="V216" i="16" s="1"/>
  <c r="B216" i="16" s="1"/>
  <c r="P220" i="16"/>
  <c r="V220" i="16" s="1"/>
  <c r="B220" i="16" s="1"/>
  <c r="P232" i="16"/>
  <c r="V232" i="16" s="1"/>
  <c r="B232" i="16" s="1"/>
  <c r="P236" i="16"/>
  <c r="V236" i="16" s="1"/>
  <c r="B236" i="16" s="1"/>
  <c r="P240" i="16"/>
  <c r="V240" i="16" s="1"/>
  <c r="B240" i="16" s="1"/>
  <c r="P244" i="16"/>
  <c r="V244" i="16" s="1"/>
  <c r="B244" i="16" s="1"/>
  <c r="P248" i="16"/>
  <c r="V248" i="16" s="1"/>
  <c r="B248" i="16" s="1"/>
  <c r="P252" i="16"/>
  <c r="V252" i="16" s="1"/>
  <c r="B252" i="16" s="1"/>
  <c r="P43" i="16"/>
  <c r="V43" i="16" s="1"/>
  <c r="B43" i="16" s="1"/>
  <c r="P189" i="16"/>
  <c r="V189" i="16" s="1"/>
  <c r="B189" i="16" s="1"/>
  <c r="D189" i="16" s="1"/>
  <c r="E189" i="16" s="1"/>
  <c r="F189" i="16" s="1"/>
  <c r="G189" i="16" s="1"/>
  <c r="BY189" i="6" s="1"/>
  <c r="P221" i="16"/>
  <c r="V221" i="16" s="1"/>
  <c r="B221" i="16" s="1"/>
  <c r="W221" i="16" s="1"/>
  <c r="P253" i="16"/>
  <c r="V253" i="16" s="1"/>
  <c r="B253" i="16" s="1"/>
  <c r="W253" i="16" s="1"/>
  <c r="P280" i="16"/>
  <c r="V280" i="16" s="1"/>
  <c r="B280" i="16" s="1"/>
  <c r="P312" i="16"/>
  <c r="V312" i="16" s="1"/>
  <c r="B312" i="16" s="1"/>
  <c r="D312" i="16" s="1"/>
  <c r="E312" i="16" s="1"/>
  <c r="F312" i="16" s="1"/>
  <c r="AA312" i="16" s="1"/>
  <c r="Z312" i="16" s="1"/>
  <c r="Y312" i="16" s="1"/>
  <c r="P344" i="16"/>
  <c r="V344" i="16" s="1"/>
  <c r="B344" i="16" s="1"/>
  <c r="P360" i="16"/>
  <c r="V360" i="16" s="1"/>
  <c r="B360" i="16" s="1"/>
  <c r="P348" i="16"/>
  <c r="V348" i="16" s="1"/>
  <c r="B348" i="16" s="1"/>
  <c r="D348" i="16" s="1"/>
  <c r="E348" i="16" s="1"/>
  <c r="F348" i="16" s="1"/>
  <c r="G348" i="16" s="1"/>
  <c r="BY348" i="6" s="1"/>
  <c r="P380" i="16"/>
  <c r="V380" i="16" s="1"/>
  <c r="P324" i="16"/>
  <c r="V324" i="16" s="1"/>
  <c r="B324" i="16" s="1"/>
  <c r="P378" i="16"/>
  <c r="V378" i="16" s="1"/>
  <c r="P362" i="16"/>
  <c r="V362" i="16" s="1"/>
  <c r="P274" i="16"/>
  <c r="V274" i="16" s="1"/>
  <c r="P262" i="16"/>
  <c r="V262" i="16" s="1"/>
  <c r="B262" i="16" s="1"/>
  <c r="P237" i="16"/>
  <c r="V237" i="16" s="1"/>
  <c r="B237" i="16" s="1"/>
  <c r="P359" i="16"/>
  <c r="V359" i="16" s="1"/>
  <c r="B359" i="16" s="1"/>
  <c r="P247" i="16"/>
  <c r="V247" i="16" s="1"/>
  <c r="B247" i="16" s="1"/>
  <c r="W247" i="16" s="1"/>
  <c r="P231" i="16"/>
  <c r="V231" i="16" s="1"/>
  <c r="B231" i="16" s="1"/>
  <c r="P207" i="16"/>
  <c r="V207" i="16" s="1"/>
  <c r="B207" i="16" s="1"/>
  <c r="AD26" i="16"/>
  <c r="AD42" i="16"/>
  <c r="AD50" i="16"/>
  <c r="AD58" i="16"/>
  <c r="P22" i="16"/>
  <c r="V22" i="16" s="1"/>
  <c r="B22" i="16" s="1"/>
  <c r="P46" i="16"/>
  <c r="V46" i="16" s="1"/>
  <c r="B46" i="16" s="1"/>
  <c r="P78" i="16"/>
  <c r="V78" i="16" s="1"/>
  <c r="P284" i="16"/>
  <c r="V284" i="16" s="1"/>
  <c r="B284" i="16" s="1"/>
  <c r="P296" i="16"/>
  <c r="V296" i="16" s="1"/>
  <c r="AG382" i="15"/>
  <c r="AD31" i="16"/>
  <c r="AD39" i="16"/>
  <c r="AD47" i="16"/>
  <c r="AD59" i="16"/>
  <c r="U383" i="16"/>
  <c r="P197" i="16"/>
  <c r="V197" i="16" s="1"/>
  <c r="P275" i="16"/>
  <c r="V275" i="16" s="1"/>
  <c r="P315" i="16"/>
  <c r="V315" i="16" s="1"/>
  <c r="B315" i="16" s="1"/>
  <c r="W315" i="16" s="1"/>
  <c r="P347" i="16"/>
  <c r="V347" i="16" s="1"/>
  <c r="B347" i="16" s="1"/>
  <c r="D347" i="16" s="1"/>
  <c r="E347" i="16" s="1"/>
  <c r="F347" i="16" s="1"/>
  <c r="G347" i="16" s="1"/>
  <c r="BY347" i="6" s="1"/>
  <c r="AG383" i="15"/>
  <c r="AI383" i="16"/>
  <c r="P174" i="16"/>
  <c r="V174" i="16" s="1"/>
  <c r="B174" i="16" s="1"/>
  <c r="P170" i="16"/>
  <c r="V170" i="16" s="1"/>
  <c r="B170" i="16" s="1"/>
  <c r="P166" i="16"/>
  <c r="V166" i="16" s="1"/>
  <c r="B166" i="16" s="1"/>
  <c r="P158" i="16"/>
  <c r="V158" i="16" s="1"/>
  <c r="B158" i="16" s="1"/>
  <c r="P150" i="16"/>
  <c r="V150" i="16" s="1"/>
  <c r="B150" i="16" s="1"/>
  <c r="P142" i="16"/>
  <c r="V142" i="16" s="1"/>
  <c r="B142" i="16" s="1"/>
  <c r="P134" i="16"/>
  <c r="V134" i="16" s="1"/>
  <c r="B134" i="16" s="1"/>
  <c r="P126" i="16"/>
  <c r="V126" i="16" s="1"/>
  <c r="B126" i="16" s="1"/>
  <c r="P110" i="16"/>
  <c r="V110" i="16" s="1"/>
  <c r="B110" i="16" s="1"/>
  <c r="P102" i="16"/>
  <c r="V102" i="16" s="1"/>
  <c r="B102" i="16" s="1"/>
  <c r="P86" i="16"/>
  <c r="V86" i="16" s="1"/>
  <c r="B86" i="16" s="1"/>
  <c r="P77" i="16"/>
  <c r="V77" i="16" s="1"/>
  <c r="B77" i="16" s="1"/>
  <c r="P61" i="16"/>
  <c r="V61" i="16" s="1"/>
  <c r="B61" i="16" s="1"/>
  <c r="P254" i="16"/>
  <c r="V254" i="16" s="1"/>
  <c r="B254" i="16" s="1"/>
  <c r="P270" i="16"/>
  <c r="V270" i="16" s="1"/>
  <c r="B270" i="16" s="1"/>
  <c r="W270" i="16" s="1"/>
  <c r="P290" i="16"/>
  <c r="V290" i="16" s="1"/>
  <c r="B290" i="16" s="1"/>
  <c r="P298" i="16"/>
  <c r="V298" i="16" s="1"/>
  <c r="B298" i="16" s="1"/>
  <c r="P338" i="16"/>
  <c r="V338" i="16" s="1"/>
  <c r="B338" i="16" s="1"/>
  <c r="D338" i="16" s="1"/>
  <c r="E338" i="16" s="1"/>
  <c r="F338" i="16" s="1"/>
  <c r="G338" i="16" s="1"/>
  <c r="BY338" i="6" s="1"/>
  <c r="P186" i="16"/>
  <c r="V186" i="16" s="1"/>
  <c r="B186" i="16" s="1"/>
  <c r="P190" i="16"/>
  <c r="V190" i="16" s="1"/>
  <c r="B190" i="16" s="1"/>
  <c r="P194" i="16"/>
  <c r="V194" i="16" s="1"/>
  <c r="B194" i="16" s="1"/>
  <c r="P202" i="16"/>
  <c r="V202" i="16" s="1"/>
  <c r="B202" i="16" s="1"/>
  <c r="D202" i="16" s="1"/>
  <c r="E202" i="16" s="1"/>
  <c r="F202" i="16" s="1"/>
  <c r="G202" i="16" s="1"/>
  <c r="BY202" i="6" s="1"/>
  <c r="P206" i="16"/>
  <c r="V206" i="16" s="1"/>
  <c r="B206" i="16" s="1"/>
  <c r="P214" i="16"/>
  <c r="V214" i="16" s="1"/>
  <c r="B214" i="16" s="1"/>
  <c r="D214" i="16" s="1"/>
  <c r="E214" i="16" s="1"/>
  <c r="F214" i="16" s="1"/>
  <c r="G214" i="16" s="1"/>
  <c r="BY214" i="6" s="1"/>
  <c r="P218" i="16"/>
  <c r="V218" i="16" s="1"/>
  <c r="B218" i="16" s="1"/>
  <c r="P234" i="16"/>
  <c r="V234" i="16" s="1"/>
  <c r="B234" i="16" s="1"/>
  <c r="P246" i="16"/>
  <c r="V246" i="16" s="1"/>
  <c r="B246" i="16" s="1"/>
  <c r="P250" i="16"/>
  <c r="V250" i="16" s="1"/>
  <c r="B250" i="16" s="1"/>
  <c r="P105" i="16"/>
  <c r="V105" i="16" s="1"/>
  <c r="B105" i="16" s="1"/>
  <c r="W105" i="16" s="1"/>
  <c r="P137" i="16"/>
  <c r="V137" i="16" s="1"/>
  <c r="B137" i="16" s="1"/>
  <c r="P193" i="16"/>
  <c r="V193" i="16" s="1"/>
  <c r="B193" i="16" s="1"/>
  <c r="W193" i="16" s="1"/>
  <c r="P209" i="16"/>
  <c r="V209" i="16" s="1"/>
  <c r="B209" i="16" s="1"/>
  <c r="P225" i="16"/>
  <c r="V225" i="16" s="1"/>
  <c r="B225" i="16" s="1"/>
  <c r="W225" i="16" s="1"/>
  <c r="P241" i="16"/>
  <c r="V241" i="16" s="1"/>
  <c r="B241" i="16" s="1"/>
  <c r="P255" i="16"/>
  <c r="V255" i="16" s="1"/>
  <c r="B255" i="16" s="1"/>
  <c r="W255" i="16" s="1"/>
  <c r="P125" i="16"/>
  <c r="V125" i="16" s="1"/>
  <c r="B125" i="16" s="1"/>
  <c r="P157" i="16"/>
  <c r="V157" i="16" s="1"/>
  <c r="B157" i="16" s="1"/>
  <c r="D157" i="16" s="1"/>
  <c r="E157" i="16" s="1"/>
  <c r="F157" i="16" s="1"/>
  <c r="G157" i="16" s="1"/>
  <c r="BY157" i="6" s="1"/>
  <c r="P165" i="16"/>
  <c r="V165" i="16" s="1"/>
  <c r="B165" i="16" s="1"/>
  <c r="D165" i="16" s="1"/>
  <c r="E165" i="16" s="1"/>
  <c r="F165" i="16" s="1"/>
  <c r="G165" i="16" s="1"/>
  <c r="BY165" i="6" s="1"/>
  <c r="P117" i="16"/>
  <c r="V117" i="16" s="1"/>
  <c r="B117" i="16" s="1"/>
  <c r="D117" i="16" s="1"/>
  <c r="E117" i="16" s="1"/>
  <c r="F117" i="16" s="1"/>
  <c r="G117" i="16" s="1"/>
  <c r="BY117" i="6" s="1"/>
  <c r="P223" i="16"/>
  <c r="V223" i="16" s="1"/>
  <c r="B223" i="16" s="1"/>
  <c r="D223" i="16" s="1"/>
  <c r="E223" i="16" s="1"/>
  <c r="F223" i="16" s="1"/>
  <c r="G223" i="16" s="1"/>
  <c r="BY223" i="6" s="1"/>
  <c r="P191" i="16"/>
  <c r="V191" i="16" s="1"/>
  <c r="B191" i="16" s="1"/>
  <c r="P273" i="16"/>
  <c r="V273" i="16" s="1"/>
  <c r="B273" i="16" s="1"/>
  <c r="D273" i="16" s="1"/>
  <c r="E273" i="16" s="1"/>
  <c r="F273" i="16" s="1"/>
  <c r="G273" i="16" s="1"/>
  <c r="BY273" i="6" s="1"/>
  <c r="P301" i="16"/>
  <c r="V301" i="16" s="1"/>
  <c r="B301" i="16" s="1"/>
  <c r="W301" i="16" s="1"/>
  <c r="P353" i="16"/>
  <c r="V353" i="16" s="1"/>
  <c r="B353" i="16" s="1"/>
  <c r="D353" i="16" s="1"/>
  <c r="E353" i="16" s="1"/>
  <c r="F353" i="16" s="1"/>
  <c r="G353" i="16" s="1"/>
  <c r="BY353" i="6" s="1"/>
  <c r="P365" i="16"/>
  <c r="V365" i="16" s="1"/>
  <c r="B365" i="16" s="1"/>
  <c r="P215" i="16"/>
  <c r="V215" i="16" s="1"/>
  <c r="B215" i="16" s="1"/>
  <c r="W215" i="16" s="1"/>
  <c r="P258" i="16"/>
  <c r="V258" i="16" s="1"/>
  <c r="B258" i="16" s="1"/>
  <c r="P239" i="16"/>
  <c r="V239" i="16" s="1"/>
  <c r="B239" i="16" s="1"/>
  <c r="D239" i="16" s="1"/>
  <c r="E239" i="16" s="1"/>
  <c r="F239" i="16" s="1"/>
  <c r="G239" i="16" s="1"/>
  <c r="BY239" i="6" s="1"/>
  <c r="P286" i="16"/>
  <c r="V286" i="16" s="1"/>
  <c r="B286" i="16" s="1"/>
  <c r="P302" i="16"/>
  <c r="V302" i="16" s="1"/>
  <c r="B302" i="16" s="1"/>
  <c r="P334" i="16"/>
  <c r="V334" i="16" s="1"/>
  <c r="B334" i="16" s="1"/>
  <c r="P350" i="16"/>
  <c r="V350" i="16" s="1"/>
  <c r="B350" i="16" s="1"/>
  <c r="D350" i="16" s="1"/>
  <c r="E350" i="16" s="1"/>
  <c r="F350" i="16" s="1"/>
  <c r="AA350" i="16" s="1"/>
  <c r="Z350" i="16" s="1"/>
  <c r="Y350" i="16" s="1"/>
  <c r="P366" i="16"/>
  <c r="V366" i="16" s="1"/>
  <c r="B366" i="16" s="1"/>
  <c r="D210" i="15"/>
  <c r="E210" i="15" s="1"/>
  <c r="F210" i="15" s="1"/>
  <c r="H210" i="15" s="1"/>
  <c r="H62" i="19"/>
  <c r="I62" i="19"/>
  <c r="P33" i="16"/>
  <c r="V33" i="16" s="1"/>
  <c r="B33" i="16" s="1"/>
  <c r="P73" i="16"/>
  <c r="V73" i="16" s="1"/>
  <c r="P79" i="16"/>
  <c r="V79" i="16" s="1"/>
  <c r="B79" i="16" s="1"/>
  <c r="D79" i="16" s="1"/>
  <c r="E79" i="16" s="1"/>
  <c r="F79" i="16" s="1"/>
  <c r="P127" i="16"/>
  <c r="V127" i="16" s="1"/>
  <c r="B127" i="16" s="1"/>
  <c r="D127" i="16" s="1"/>
  <c r="E127" i="16" s="1"/>
  <c r="F127" i="16" s="1"/>
  <c r="G127" i="16" s="1"/>
  <c r="BY127" i="6" s="1"/>
  <c r="P178" i="16"/>
  <c r="V178" i="16" s="1"/>
  <c r="B178" i="16" s="1"/>
  <c r="AD27" i="16"/>
  <c r="AD35" i="16"/>
  <c r="AD99" i="16"/>
  <c r="AD115" i="16"/>
  <c r="AD139" i="16"/>
  <c r="AD147" i="16"/>
  <c r="AD183" i="16"/>
  <c r="AD203" i="16"/>
  <c r="AD207" i="16"/>
  <c r="AD327" i="16"/>
  <c r="AD331" i="16"/>
  <c r="AD75" i="16"/>
  <c r="AD87" i="16"/>
  <c r="AD247" i="16"/>
  <c r="AD251" i="16"/>
  <c r="AD255" i="16"/>
  <c r="AD263" i="16"/>
  <c r="AD275" i="16"/>
  <c r="AD287" i="16"/>
  <c r="AD339" i="16"/>
  <c r="AD363" i="16"/>
  <c r="L40" i="19"/>
  <c r="P188" i="16"/>
  <c r="V188" i="16" s="1"/>
  <c r="B188" i="16" s="1"/>
  <c r="P200" i="16"/>
  <c r="V200" i="16" s="1"/>
  <c r="B200" i="16" s="1"/>
  <c r="P304" i="16"/>
  <c r="V304" i="16" s="1"/>
  <c r="B304" i="16" s="1"/>
  <c r="P310" i="16"/>
  <c r="V310" i="16" s="1"/>
  <c r="P318" i="16"/>
  <c r="V318" i="16" s="1"/>
  <c r="B318" i="16" s="1"/>
  <c r="P326" i="16"/>
  <c r="V326" i="16" s="1"/>
  <c r="B326" i="16" s="1"/>
  <c r="P342" i="16"/>
  <c r="V342" i="16" s="1"/>
  <c r="P368" i="16"/>
  <c r="V368" i="16" s="1"/>
  <c r="B368" i="16" s="1"/>
  <c r="P374" i="16"/>
  <c r="V374" i="16" s="1"/>
  <c r="P75" i="16"/>
  <c r="V75" i="16" s="1"/>
  <c r="B75" i="16" s="1"/>
  <c r="P81" i="16"/>
  <c r="V81" i="16" s="1"/>
  <c r="B81" i="16" s="1"/>
  <c r="P97" i="16"/>
  <c r="V97" i="16" s="1"/>
  <c r="P217" i="16"/>
  <c r="V217" i="16" s="1"/>
  <c r="P269" i="16"/>
  <c r="V269" i="16" s="1"/>
  <c r="B269" i="16" s="1"/>
  <c r="P289" i="16"/>
  <c r="V289" i="16" s="1"/>
  <c r="P297" i="16"/>
  <c r="V297" i="16" s="1"/>
  <c r="B297" i="16" s="1"/>
  <c r="P305" i="16"/>
  <c r="V305" i="16" s="1"/>
  <c r="B305" i="16" s="1"/>
  <c r="P309" i="16"/>
  <c r="V309" i="16" s="1"/>
  <c r="B309" i="16" s="1"/>
  <c r="P325" i="16"/>
  <c r="V325" i="16" s="1"/>
  <c r="B325" i="16" s="1"/>
  <c r="P337" i="16"/>
  <c r="V337" i="16" s="1"/>
  <c r="B337" i="16" s="1"/>
  <c r="P369" i="16"/>
  <c r="V369" i="16" s="1"/>
  <c r="B369" i="16" s="1"/>
  <c r="P31" i="16"/>
  <c r="V31" i="16" s="1"/>
  <c r="P67" i="16"/>
  <c r="V67" i="16" s="1"/>
  <c r="B67" i="16" s="1"/>
  <c r="P87" i="16"/>
  <c r="V87" i="16" s="1"/>
  <c r="P103" i="16"/>
  <c r="V103" i="16" s="1"/>
  <c r="P119" i="16"/>
  <c r="D47" i="7" s="1"/>
  <c r="P90" i="16"/>
  <c r="V90" i="16" s="1"/>
  <c r="B90" i="16" s="1"/>
  <c r="P94" i="16"/>
  <c r="V94" i="16" s="1"/>
  <c r="B94" i="16" s="1"/>
  <c r="P210" i="16"/>
  <c r="V210" i="16" s="1"/>
  <c r="P222" i="16"/>
  <c r="V222" i="16" s="1"/>
  <c r="P226" i="16"/>
  <c r="V226" i="16" s="1"/>
  <c r="B226" i="16" s="1"/>
  <c r="P230" i="16"/>
  <c r="V230" i="16" s="1"/>
  <c r="B230" i="16" s="1"/>
  <c r="P242" i="16"/>
  <c r="V242" i="16" s="1"/>
  <c r="B242" i="16" s="1"/>
  <c r="AD19" i="16"/>
  <c r="AD23" i="16"/>
  <c r="AD43" i="16"/>
  <c r="AD51" i="16"/>
  <c r="AD55" i="16"/>
  <c r="AD63" i="16"/>
  <c r="AD83" i="16"/>
  <c r="AD91" i="16"/>
  <c r="AD103" i="16"/>
  <c r="AD107" i="16"/>
  <c r="AD111" i="16"/>
  <c r="AD123" i="16"/>
  <c r="AD131" i="16"/>
  <c r="AD135" i="16"/>
  <c r="AD143" i="16"/>
  <c r="AD151" i="16"/>
  <c r="AD159" i="16"/>
  <c r="AD175" i="16"/>
  <c r="AD211" i="16"/>
  <c r="AD223" i="16"/>
  <c r="AD227" i="16"/>
  <c r="AD259" i="16"/>
  <c r="AD267" i="16"/>
  <c r="AD355" i="16"/>
  <c r="P21" i="16"/>
  <c r="V21" i="16" s="1"/>
  <c r="P45" i="16"/>
  <c r="V45" i="16" s="1"/>
  <c r="B45" i="16" s="1"/>
  <c r="D45" i="16" s="1"/>
  <c r="E45" i="16" s="1"/>
  <c r="F45" i="16" s="1"/>
  <c r="P53" i="16"/>
  <c r="V53" i="16" s="1"/>
  <c r="P69" i="16"/>
  <c r="V69" i="16" s="1"/>
  <c r="B69" i="16" s="1"/>
  <c r="D69" i="16" s="1"/>
  <c r="E69" i="16" s="1"/>
  <c r="F69" i="16" s="1"/>
  <c r="G69" i="16" s="1"/>
  <c r="BY69" i="6" s="1"/>
  <c r="P83" i="16"/>
  <c r="V83" i="16" s="1"/>
  <c r="B83" i="16" s="1"/>
  <c r="P89" i="16"/>
  <c r="V89" i="16" s="1"/>
  <c r="B89" i="16" s="1"/>
  <c r="P101" i="16"/>
  <c r="V101" i="16" s="1"/>
  <c r="B101" i="16" s="1"/>
  <c r="P139" i="16"/>
  <c r="V139" i="16" s="1"/>
  <c r="B379" i="15"/>
  <c r="D379" i="15" s="1"/>
  <c r="E379" i="15" s="1"/>
  <c r="F379" i="15" s="1"/>
  <c r="D379" i="1"/>
  <c r="H377" i="1"/>
  <c r="AA377" i="1"/>
  <c r="Z377" i="1" s="1"/>
  <c r="Y377" i="1" s="1"/>
  <c r="G377" i="1"/>
  <c r="BW377" i="6" s="1"/>
  <c r="AD369" i="16"/>
  <c r="P114" i="16"/>
  <c r="V114" i="16" s="1"/>
  <c r="B114" i="16" s="1"/>
  <c r="P138" i="16"/>
  <c r="V138" i="16" s="1"/>
  <c r="B138" i="16" s="1"/>
  <c r="P182" i="16"/>
  <c r="V182" i="16" s="1"/>
  <c r="B182" i="16" s="1"/>
  <c r="AD323" i="16"/>
  <c r="P19" i="16"/>
  <c r="V19" i="16" s="1"/>
  <c r="B19" i="16" s="1"/>
  <c r="W19" i="16" s="1"/>
  <c r="P37" i="16"/>
  <c r="V37" i="16" s="1"/>
  <c r="B37" i="16" s="1"/>
  <c r="BK381" i="1"/>
  <c r="BK383" i="1"/>
  <c r="BK382" i="1"/>
  <c r="P17" i="16"/>
  <c r="V17" i="16" s="1"/>
  <c r="B17" i="16" s="1"/>
  <c r="P184" i="16"/>
  <c r="V184" i="16" s="1"/>
  <c r="P198" i="16"/>
  <c r="V198" i="16" s="1"/>
  <c r="B198" i="16" s="1"/>
  <c r="P238" i="16"/>
  <c r="V238" i="16" s="1"/>
  <c r="B238" i="16" s="1"/>
  <c r="P25" i="16"/>
  <c r="V25" i="16" s="1"/>
  <c r="B25" i="16" s="1"/>
  <c r="P51" i="16"/>
  <c r="V51" i="16" s="1"/>
  <c r="B51" i="16" s="1"/>
  <c r="P71" i="16"/>
  <c r="V71" i="16" s="1"/>
  <c r="B71" i="16" s="1"/>
  <c r="P91" i="16"/>
  <c r="V91" i="16" s="1"/>
  <c r="B91" i="16" s="1"/>
  <c r="P123" i="16"/>
  <c r="V123" i="16" s="1"/>
  <c r="B123" i="16" s="1"/>
  <c r="P141" i="16"/>
  <c r="V141" i="16" s="1"/>
  <c r="B141" i="16" s="1"/>
  <c r="P147" i="16"/>
  <c r="V147" i="16" s="1"/>
  <c r="B147" i="16" s="1"/>
  <c r="P161" i="16"/>
  <c r="V161" i="16" s="1"/>
  <c r="B161" i="16" s="1"/>
  <c r="W161" i="16" s="1"/>
  <c r="P173" i="16"/>
  <c r="V173" i="16" s="1"/>
  <c r="P213" i="16"/>
  <c r="V213" i="16" s="1"/>
  <c r="B213" i="16" s="1"/>
  <c r="P257" i="16"/>
  <c r="V257" i="16" s="1"/>
  <c r="B257" i="16" s="1"/>
  <c r="AD128" i="16"/>
  <c r="AD184" i="16"/>
  <c r="AD248" i="16"/>
  <c r="AD340" i="16"/>
  <c r="AD344" i="16"/>
  <c r="AD376" i="16"/>
  <c r="V272" i="16"/>
  <c r="B272" i="16" s="1"/>
  <c r="B208" i="16"/>
  <c r="B276" i="16"/>
  <c r="B354" i="16"/>
  <c r="W263" i="16"/>
  <c r="D263" i="16"/>
  <c r="E263" i="16" s="1"/>
  <c r="F263" i="16" s="1"/>
  <c r="W271" i="16"/>
  <c r="D271" i="16"/>
  <c r="E271" i="16" s="1"/>
  <c r="F271" i="16" s="1"/>
  <c r="D29" i="16"/>
  <c r="E29" i="16" s="1"/>
  <c r="F29" i="16" s="1"/>
  <c r="B76" i="16"/>
  <c r="B98" i="16"/>
  <c r="B364" i="16"/>
  <c r="W259" i="16"/>
  <c r="D259" i="16"/>
  <c r="E259" i="16" s="1"/>
  <c r="F259" i="16" s="1"/>
  <c r="W295" i="16"/>
  <c r="D295" i="16"/>
  <c r="E295" i="16" s="1"/>
  <c r="F295" i="16" s="1"/>
  <c r="AA295" i="16" s="1"/>
  <c r="Z295" i="16" s="1"/>
  <c r="Y295" i="16" s="1"/>
  <c r="W321" i="16"/>
  <c r="W339" i="16"/>
  <c r="D339" i="16"/>
  <c r="E339" i="16" s="1"/>
  <c r="F339" i="16" s="1"/>
  <c r="D164" i="16"/>
  <c r="E164" i="16" s="1"/>
  <c r="F164" i="16" s="1"/>
  <c r="G164" i="16" s="1"/>
  <c r="BY164" i="6" s="1"/>
  <c r="W156" i="16"/>
  <c r="W128" i="16"/>
  <c r="D128" i="16"/>
  <c r="E128" i="16" s="1"/>
  <c r="F128" i="16" s="1"/>
  <c r="W100" i="16"/>
  <c r="D100" i="16"/>
  <c r="E100" i="16" s="1"/>
  <c r="F100" i="16" s="1"/>
  <c r="G100" i="16" s="1"/>
  <c r="BY100" i="6" s="1"/>
  <c r="W264" i="16"/>
  <c r="D264" i="16"/>
  <c r="E264" i="16" s="1"/>
  <c r="F264" i="16" s="1"/>
  <c r="W320" i="16"/>
  <c r="D320" i="16"/>
  <c r="E320" i="16" s="1"/>
  <c r="F320" i="16" s="1"/>
  <c r="G320" i="16" s="1"/>
  <c r="BY320" i="6" s="1"/>
  <c r="W99" i="16"/>
  <c r="D99" i="16"/>
  <c r="E99" i="16" s="1"/>
  <c r="F99" i="16" s="1"/>
  <c r="G99" i="16" s="1"/>
  <c r="BY99" i="6" s="1"/>
  <c r="W107" i="16"/>
  <c r="D107" i="16"/>
  <c r="E107" i="16" s="1"/>
  <c r="F107" i="16" s="1"/>
  <c r="G107" i="16" s="1"/>
  <c r="BY107" i="6" s="1"/>
  <c r="W115" i="16"/>
  <c r="D115" i="16"/>
  <c r="E115" i="16" s="1"/>
  <c r="F115" i="16" s="1"/>
  <c r="W131" i="16"/>
  <c r="D131" i="16"/>
  <c r="E131" i="16" s="1"/>
  <c r="F131" i="16" s="1"/>
  <c r="G131" i="16" s="1"/>
  <c r="BY131" i="6" s="1"/>
  <c r="W179" i="16"/>
  <c r="D179" i="16"/>
  <c r="E179" i="16" s="1"/>
  <c r="F179" i="16" s="1"/>
  <c r="G179" i="16" s="1"/>
  <c r="BY179" i="6" s="1"/>
  <c r="B85" i="16"/>
  <c r="AD29" i="16"/>
  <c r="AD37" i="16"/>
  <c r="H292" i="15"/>
  <c r="G292" i="15"/>
  <c r="BX292" i="6" s="1"/>
  <c r="G300" i="15"/>
  <c r="BX300" i="6" s="1"/>
  <c r="H300" i="15"/>
  <c r="H310" i="15"/>
  <c r="G310" i="15"/>
  <c r="BX310" i="6" s="1"/>
  <c r="AA310" i="15"/>
  <c r="Z310" i="15" s="1"/>
  <c r="Y310" i="15" s="1"/>
  <c r="H318" i="15"/>
  <c r="G318" i="15"/>
  <c r="BX318" i="6" s="1"/>
  <c r="G326" i="15"/>
  <c r="BX326" i="6" s="1"/>
  <c r="H326" i="15"/>
  <c r="G334" i="15"/>
  <c r="BX334" i="6" s="1"/>
  <c r="H334" i="15"/>
  <c r="H342" i="15"/>
  <c r="G342" i="15"/>
  <c r="BX342" i="6" s="1"/>
  <c r="B346" i="16"/>
  <c r="G350" i="15"/>
  <c r="BX350" i="6" s="1"/>
  <c r="H350" i="15"/>
  <c r="G366" i="15"/>
  <c r="BX366" i="6" s="1"/>
  <c r="W370" i="16"/>
  <c r="D370" i="16"/>
  <c r="E370" i="16" s="1"/>
  <c r="F370" i="16" s="1"/>
  <c r="G370" i="16" s="1"/>
  <c r="BY370" i="6" s="1"/>
  <c r="G374" i="15"/>
  <c r="BX374" i="6" s="1"/>
  <c r="W26" i="15"/>
  <c r="D26" i="15"/>
  <c r="E26" i="15" s="1"/>
  <c r="F26" i="15" s="1"/>
  <c r="W46" i="15"/>
  <c r="D46" i="15"/>
  <c r="E46" i="15" s="1"/>
  <c r="F46" i="15" s="1"/>
  <c r="W58" i="15"/>
  <c r="D58" i="15"/>
  <c r="E58" i="15" s="1"/>
  <c r="F58" i="15" s="1"/>
  <c r="W108" i="15"/>
  <c r="D108" i="15"/>
  <c r="E108" i="15" s="1"/>
  <c r="F108" i="15" s="1"/>
  <c r="G108" i="15" s="1"/>
  <c r="BX108" i="6" s="1"/>
  <c r="B23" i="16"/>
  <c r="W23" i="15"/>
  <c r="D23" i="15"/>
  <c r="E23" i="15" s="1"/>
  <c r="F23" i="15" s="1"/>
  <c r="W32" i="15"/>
  <c r="B32" i="16"/>
  <c r="D32" i="15"/>
  <c r="E32" i="15" s="1"/>
  <c r="F32" i="15" s="1"/>
  <c r="W20" i="15"/>
  <c r="B20" i="16"/>
  <c r="D20" i="15"/>
  <c r="E20" i="15" s="1"/>
  <c r="F20" i="15" s="1"/>
  <c r="W22" i="15"/>
  <c r="D22" i="15"/>
  <c r="E22" i="15" s="1"/>
  <c r="F22" i="15" s="1"/>
  <c r="W54" i="15"/>
  <c r="D54" i="15"/>
  <c r="E54" i="15" s="1"/>
  <c r="F54" i="15" s="1"/>
  <c r="W18" i="15"/>
  <c r="D18" i="15"/>
  <c r="E18" i="15" s="1"/>
  <c r="F18" i="15" s="1"/>
  <c r="W44" i="15"/>
  <c r="B44" i="16"/>
  <c r="D44" i="15"/>
  <c r="E44" i="15" s="1"/>
  <c r="F44" i="15" s="1"/>
  <c r="H19" i="15"/>
  <c r="G19" i="15"/>
  <c r="BX19" i="6" s="1"/>
  <c r="H74" i="15"/>
  <c r="G74" i="15"/>
  <c r="BX74" i="6" s="1"/>
  <c r="G82" i="15"/>
  <c r="BX82" i="6" s="1"/>
  <c r="H82" i="15"/>
  <c r="H92" i="15"/>
  <c r="G92" i="15"/>
  <c r="BX92" i="6" s="1"/>
  <c r="G100" i="15"/>
  <c r="BX100" i="6" s="1"/>
  <c r="H100" i="15"/>
  <c r="H112" i="15"/>
  <c r="G112" i="15"/>
  <c r="BX112" i="6" s="1"/>
  <c r="H120" i="15"/>
  <c r="G120" i="15"/>
  <c r="BX120" i="6" s="1"/>
  <c r="G128" i="15"/>
  <c r="BX128" i="6" s="1"/>
  <c r="H128" i="15"/>
  <c r="G140" i="15"/>
  <c r="BX140" i="6" s="1"/>
  <c r="H140" i="15"/>
  <c r="H148" i="15"/>
  <c r="G148" i="15"/>
  <c r="BX148" i="6" s="1"/>
  <c r="G156" i="15"/>
  <c r="BX156" i="6" s="1"/>
  <c r="H156" i="15"/>
  <c r="G164" i="15"/>
  <c r="BX164" i="6" s="1"/>
  <c r="H164" i="15"/>
  <c r="G172" i="15"/>
  <c r="BX172" i="6" s="1"/>
  <c r="H172" i="15"/>
  <c r="G180" i="15"/>
  <c r="BX180" i="6" s="1"/>
  <c r="H180" i="15"/>
  <c r="H186" i="15"/>
  <c r="G186" i="15"/>
  <c r="BX186" i="6" s="1"/>
  <c r="G194" i="15"/>
  <c r="BX194" i="6" s="1"/>
  <c r="H194" i="15"/>
  <c r="G202" i="15"/>
  <c r="BX202" i="6" s="1"/>
  <c r="H202" i="15"/>
  <c r="H216" i="15"/>
  <c r="G216" i="15"/>
  <c r="BX216" i="6" s="1"/>
  <c r="AA224" i="15"/>
  <c r="Z224" i="15" s="1"/>
  <c r="Y224" i="15" s="1"/>
  <c r="H224" i="15"/>
  <c r="G224" i="15"/>
  <c r="BX224" i="6" s="1"/>
  <c r="H232" i="15"/>
  <c r="G232" i="15"/>
  <c r="BX232" i="6" s="1"/>
  <c r="AA240" i="15"/>
  <c r="Z240" i="15" s="1"/>
  <c r="Y240" i="15" s="1"/>
  <c r="G240" i="15"/>
  <c r="BX240" i="6" s="1"/>
  <c r="H240" i="15"/>
  <c r="H248" i="15"/>
  <c r="G248" i="15"/>
  <c r="BX248" i="6" s="1"/>
  <c r="H72" i="15"/>
  <c r="AA72" i="15"/>
  <c r="Z72" i="15" s="1"/>
  <c r="Y72" i="15" s="1"/>
  <c r="G72" i="15"/>
  <c r="BX72" i="6" s="1"/>
  <c r="G80" i="15"/>
  <c r="BX80" i="6" s="1"/>
  <c r="H80" i="15"/>
  <c r="H88" i="15"/>
  <c r="G88" i="15"/>
  <c r="BX88" i="6" s="1"/>
  <c r="G94" i="15"/>
  <c r="BX94" i="6" s="1"/>
  <c r="H94" i="15"/>
  <c r="G102" i="15"/>
  <c r="BX102" i="6" s="1"/>
  <c r="H102" i="15"/>
  <c r="G110" i="15"/>
  <c r="BX110" i="6" s="1"/>
  <c r="H110" i="15"/>
  <c r="G118" i="15"/>
  <c r="BX118" i="6" s="1"/>
  <c r="H118" i="15"/>
  <c r="G126" i="15"/>
  <c r="BX126" i="6" s="1"/>
  <c r="H126" i="15"/>
  <c r="G134" i="15"/>
  <c r="BX134" i="6" s="1"/>
  <c r="H134" i="15"/>
  <c r="H142" i="15"/>
  <c r="G142" i="15"/>
  <c r="BX142" i="6" s="1"/>
  <c r="AA150" i="15"/>
  <c r="Z150" i="15" s="1"/>
  <c r="Y150" i="15" s="1"/>
  <c r="G150" i="15"/>
  <c r="BX150" i="6" s="1"/>
  <c r="H150" i="15"/>
  <c r="G158" i="15"/>
  <c r="BX158" i="6" s="1"/>
  <c r="H158" i="15"/>
  <c r="G166" i="15"/>
  <c r="BX166" i="6" s="1"/>
  <c r="H166" i="15"/>
  <c r="H174" i="15"/>
  <c r="G174" i="15"/>
  <c r="BX174" i="6" s="1"/>
  <c r="H184" i="15"/>
  <c r="G184" i="15"/>
  <c r="BX184" i="6" s="1"/>
  <c r="H192" i="15"/>
  <c r="G192" i="15"/>
  <c r="BX192" i="6" s="1"/>
  <c r="H200" i="15"/>
  <c r="G200" i="15"/>
  <c r="BX200" i="6" s="1"/>
  <c r="G208" i="15"/>
  <c r="BX208" i="6" s="1"/>
  <c r="H208" i="15"/>
  <c r="G218" i="15"/>
  <c r="BX218" i="6" s="1"/>
  <c r="H218" i="15"/>
  <c r="H226" i="15"/>
  <c r="G226" i="15"/>
  <c r="BX226" i="6" s="1"/>
  <c r="G234" i="15"/>
  <c r="BX234" i="6" s="1"/>
  <c r="H234" i="15"/>
  <c r="G242" i="15"/>
  <c r="BX242" i="6" s="1"/>
  <c r="H242" i="15"/>
  <c r="G250" i="15"/>
  <c r="BX250" i="6" s="1"/>
  <c r="H250" i="15"/>
  <c r="H258" i="15"/>
  <c r="G258" i="15"/>
  <c r="BX258" i="6" s="1"/>
  <c r="G266" i="15"/>
  <c r="BX266" i="6" s="1"/>
  <c r="H266" i="15"/>
  <c r="G274" i="15"/>
  <c r="BX274" i="6" s="1"/>
  <c r="H274" i="15"/>
  <c r="AA282" i="15"/>
  <c r="Z282" i="15" s="1"/>
  <c r="Y282" i="15" s="1"/>
  <c r="G282" i="15"/>
  <c r="BX282" i="6" s="1"/>
  <c r="H282" i="15"/>
  <c r="H290" i="15"/>
  <c r="G290" i="15"/>
  <c r="BX290" i="6" s="1"/>
  <c r="H302" i="15"/>
  <c r="G302" i="15"/>
  <c r="BX302" i="6" s="1"/>
  <c r="G308" i="15"/>
  <c r="BX308" i="6" s="1"/>
  <c r="H308" i="15"/>
  <c r="G316" i="15"/>
  <c r="BX316" i="6" s="1"/>
  <c r="H316" i="15"/>
  <c r="G328" i="15"/>
  <c r="BX328" i="6" s="1"/>
  <c r="H328" i="15"/>
  <c r="B332" i="16"/>
  <c r="AA336" i="15"/>
  <c r="Z336" i="15" s="1"/>
  <c r="Y336" i="15" s="1"/>
  <c r="G336" i="15"/>
  <c r="BX336" i="6" s="1"/>
  <c r="H336" i="15"/>
  <c r="B340" i="16"/>
  <c r="G344" i="15"/>
  <c r="BX344" i="6" s="1"/>
  <c r="H344" i="15"/>
  <c r="G352" i="15"/>
  <c r="BX352" i="6" s="1"/>
  <c r="H352" i="15"/>
  <c r="W356" i="16"/>
  <c r="D356" i="16"/>
  <c r="E356" i="16" s="1"/>
  <c r="F356" i="16" s="1"/>
  <c r="G356" i="16" s="1"/>
  <c r="BY356" i="6" s="1"/>
  <c r="G360" i="15"/>
  <c r="BX360" i="6" s="1"/>
  <c r="G368" i="15"/>
  <c r="BX368" i="6" s="1"/>
  <c r="G376" i="15"/>
  <c r="BX376" i="6" s="1"/>
  <c r="AA71" i="15"/>
  <c r="Z71" i="15" s="1"/>
  <c r="Y71" i="15" s="1"/>
  <c r="G71" i="15"/>
  <c r="BX71" i="6" s="1"/>
  <c r="H71" i="15"/>
  <c r="H113" i="15"/>
  <c r="G113" i="15"/>
  <c r="BX113" i="6" s="1"/>
  <c r="H131" i="15"/>
  <c r="G131" i="15"/>
  <c r="BX131" i="6" s="1"/>
  <c r="G147" i="15"/>
  <c r="BX147" i="6" s="1"/>
  <c r="H147" i="15"/>
  <c r="H185" i="15"/>
  <c r="G185" i="15"/>
  <c r="BX185" i="6" s="1"/>
  <c r="G223" i="15"/>
  <c r="BX223" i="6" s="1"/>
  <c r="H223" i="15"/>
  <c r="G243" i="15"/>
  <c r="BX243" i="6" s="1"/>
  <c r="H243" i="15"/>
  <c r="AA259" i="15"/>
  <c r="Z259" i="15" s="1"/>
  <c r="Y259" i="15" s="1"/>
  <c r="G259" i="15"/>
  <c r="BX259" i="6" s="1"/>
  <c r="H259" i="15"/>
  <c r="AA271" i="15"/>
  <c r="Z271" i="15" s="1"/>
  <c r="Y271" i="15" s="1"/>
  <c r="H271" i="15"/>
  <c r="G271" i="15"/>
  <c r="BX271" i="6" s="1"/>
  <c r="AA283" i="15"/>
  <c r="Z283" i="15" s="1"/>
  <c r="Y283" i="15" s="1"/>
  <c r="H283" i="15"/>
  <c r="G283" i="15"/>
  <c r="BX283" i="6" s="1"/>
  <c r="W283" i="16"/>
  <c r="D283" i="16"/>
  <c r="E283" i="16" s="1"/>
  <c r="F283" i="16" s="1"/>
  <c r="G283" i="16" s="1"/>
  <c r="BY283" i="6" s="1"/>
  <c r="AA345" i="15"/>
  <c r="Z345" i="15" s="1"/>
  <c r="Y345" i="15" s="1"/>
  <c r="G345" i="15"/>
  <c r="BX345" i="6" s="1"/>
  <c r="H345" i="15"/>
  <c r="W345" i="16"/>
  <c r="D345" i="16"/>
  <c r="E345" i="16" s="1"/>
  <c r="F345" i="16" s="1"/>
  <c r="G345" i="16" s="1"/>
  <c r="BY345" i="6" s="1"/>
  <c r="AA47" i="15"/>
  <c r="Z47" i="15" s="1"/>
  <c r="Y47" i="15" s="1"/>
  <c r="H47" i="15"/>
  <c r="G47" i="15"/>
  <c r="BX47" i="6" s="1"/>
  <c r="B47" i="16"/>
  <c r="AA57" i="15"/>
  <c r="Z57" i="15" s="1"/>
  <c r="Y57" i="15" s="1"/>
  <c r="H57" i="15"/>
  <c r="G57" i="15"/>
  <c r="BX57" i="6" s="1"/>
  <c r="G375" i="15"/>
  <c r="BX375" i="6" s="1"/>
  <c r="AA375" i="15"/>
  <c r="Z375" i="15" s="1"/>
  <c r="Y375" i="15" s="1"/>
  <c r="W375" i="16"/>
  <c r="D375" i="16"/>
  <c r="E375" i="16" s="1"/>
  <c r="F375" i="16" s="1"/>
  <c r="G375" i="16" s="1"/>
  <c r="BY375" i="6" s="1"/>
  <c r="AA367" i="15"/>
  <c r="Z367" i="15" s="1"/>
  <c r="Y367" i="15" s="1"/>
  <c r="G367" i="15"/>
  <c r="BX367" i="6" s="1"/>
  <c r="W367" i="16"/>
  <c r="D367" i="16"/>
  <c r="E367" i="16" s="1"/>
  <c r="F367" i="16" s="1"/>
  <c r="G367" i="16" s="1"/>
  <c r="BY367" i="6" s="1"/>
  <c r="G355" i="15"/>
  <c r="BX355" i="6" s="1"/>
  <c r="AA347" i="15"/>
  <c r="Z347" i="15" s="1"/>
  <c r="Y347" i="15" s="1"/>
  <c r="H347" i="15"/>
  <c r="G347" i="15"/>
  <c r="BX347" i="6" s="1"/>
  <c r="G339" i="15"/>
  <c r="BX339" i="6" s="1"/>
  <c r="H339" i="15"/>
  <c r="H331" i="15"/>
  <c r="G331" i="15"/>
  <c r="BX331" i="6" s="1"/>
  <c r="W331" i="16"/>
  <c r="D331" i="16"/>
  <c r="E331" i="16" s="1"/>
  <c r="F331" i="16" s="1"/>
  <c r="G331" i="16" s="1"/>
  <c r="BY331" i="6" s="1"/>
  <c r="H323" i="15"/>
  <c r="G323" i="15"/>
  <c r="BX323" i="6" s="1"/>
  <c r="W323" i="16"/>
  <c r="D323" i="16"/>
  <c r="E323" i="16" s="1"/>
  <c r="F323" i="16" s="1"/>
  <c r="G323" i="16" s="1"/>
  <c r="BY323" i="6" s="1"/>
  <c r="AA315" i="15"/>
  <c r="Z315" i="15" s="1"/>
  <c r="Y315" i="15" s="1"/>
  <c r="G315" i="15"/>
  <c r="BX315" i="6" s="1"/>
  <c r="H315" i="15"/>
  <c r="H307" i="15"/>
  <c r="AA307" i="15"/>
  <c r="Z307" i="15" s="1"/>
  <c r="Y307" i="15" s="1"/>
  <c r="G307" i="15"/>
  <c r="BX307" i="6" s="1"/>
  <c r="G239" i="15"/>
  <c r="BX239" i="6" s="1"/>
  <c r="H239" i="15"/>
  <c r="AA239" i="15"/>
  <c r="Z239" i="15" s="1"/>
  <c r="Y239" i="15" s="1"/>
  <c r="G219" i="15"/>
  <c r="BX219" i="6" s="1"/>
  <c r="H219" i="15"/>
  <c r="AA219" i="15"/>
  <c r="Z219" i="15" s="1"/>
  <c r="Y219" i="15" s="1"/>
  <c r="G211" i="15"/>
  <c r="BX211" i="6" s="1"/>
  <c r="H211" i="15"/>
  <c r="AA211" i="15"/>
  <c r="Z211" i="15" s="1"/>
  <c r="Y211" i="15" s="1"/>
  <c r="W211" i="16"/>
  <c r="D211" i="16"/>
  <c r="E211" i="16" s="1"/>
  <c r="F211" i="16" s="1"/>
  <c r="G211" i="16" s="1"/>
  <c r="BY211" i="6" s="1"/>
  <c r="H195" i="15"/>
  <c r="G195" i="15"/>
  <c r="BX195" i="6" s="1"/>
  <c r="AA195" i="15"/>
  <c r="Z195" i="15" s="1"/>
  <c r="Y195" i="15" s="1"/>
  <c r="W195" i="16"/>
  <c r="D195" i="16"/>
  <c r="E195" i="16" s="1"/>
  <c r="F195" i="16" s="1"/>
  <c r="G195" i="16" s="1"/>
  <c r="BY195" i="6" s="1"/>
  <c r="AA187" i="15"/>
  <c r="Z187" i="15" s="1"/>
  <c r="Y187" i="15" s="1"/>
  <c r="G187" i="15"/>
  <c r="BX187" i="6" s="1"/>
  <c r="H187" i="15"/>
  <c r="W187" i="16"/>
  <c r="D187" i="16"/>
  <c r="E187" i="16" s="1"/>
  <c r="F187" i="16" s="1"/>
  <c r="G187" i="16" s="1"/>
  <c r="BY187" i="6" s="1"/>
  <c r="G179" i="15"/>
  <c r="BX179" i="6" s="1"/>
  <c r="H179" i="15"/>
  <c r="H167" i="15"/>
  <c r="G167" i="15"/>
  <c r="BX167" i="6" s="1"/>
  <c r="G159" i="15"/>
  <c r="BX159" i="6" s="1"/>
  <c r="H159" i="15"/>
  <c r="H151" i="15"/>
  <c r="G151" i="15"/>
  <c r="BX151" i="6" s="1"/>
  <c r="H115" i="15"/>
  <c r="G115" i="15"/>
  <c r="BX115" i="6" s="1"/>
  <c r="H107" i="15"/>
  <c r="G107" i="15"/>
  <c r="BX107" i="6" s="1"/>
  <c r="G99" i="15"/>
  <c r="BX99" i="6" s="1"/>
  <c r="H99" i="15"/>
  <c r="G87" i="15"/>
  <c r="BX87" i="6" s="1"/>
  <c r="H87" i="15"/>
  <c r="AA79" i="15"/>
  <c r="Z79" i="15" s="1"/>
  <c r="Y79" i="15" s="1"/>
  <c r="G79" i="15"/>
  <c r="BX79" i="6" s="1"/>
  <c r="H79" i="15"/>
  <c r="H252" i="15"/>
  <c r="G252" i="15"/>
  <c r="BX252" i="6" s="1"/>
  <c r="G260" i="15"/>
  <c r="BX260" i="6" s="1"/>
  <c r="H260" i="15"/>
  <c r="B268" i="16"/>
  <c r="G276" i="15"/>
  <c r="BX276" i="6" s="1"/>
  <c r="H276" i="15"/>
  <c r="G284" i="15"/>
  <c r="BX284" i="6" s="1"/>
  <c r="H284" i="15"/>
  <c r="AA45" i="15"/>
  <c r="Z45" i="15" s="1"/>
  <c r="Y45" i="15" s="1"/>
  <c r="G45" i="15"/>
  <c r="BX45" i="6" s="1"/>
  <c r="H45" i="15"/>
  <c r="AA73" i="15"/>
  <c r="Z73" i="15" s="1"/>
  <c r="Y73" i="15" s="1"/>
  <c r="G73" i="15"/>
  <c r="BX73" i="6" s="1"/>
  <c r="H73" i="15"/>
  <c r="H127" i="15"/>
  <c r="G127" i="15"/>
  <c r="BX127" i="6" s="1"/>
  <c r="G139" i="15"/>
  <c r="BX139" i="6" s="1"/>
  <c r="AA139" i="15"/>
  <c r="Z139" i="15" s="1"/>
  <c r="Y139" i="15" s="1"/>
  <c r="H139" i="15"/>
  <c r="G157" i="15"/>
  <c r="BX157" i="6" s="1"/>
  <c r="H157" i="15"/>
  <c r="H203" i="15"/>
  <c r="G203" i="15"/>
  <c r="BX203" i="6" s="1"/>
  <c r="W203" i="16"/>
  <c r="D203" i="16"/>
  <c r="E203" i="16" s="1"/>
  <c r="F203" i="16" s="1"/>
  <c r="G203" i="16" s="1"/>
  <c r="BY203" i="6" s="1"/>
  <c r="G247" i="15"/>
  <c r="BX247" i="6" s="1"/>
  <c r="H247" i="15"/>
  <c r="AA263" i="15"/>
  <c r="Z263" i="15" s="1"/>
  <c r="Y263" i="15" s="1"/>
  <c r="H263" i="15"/>
  <c r="G263" i="15"/>
  <c r="BX263" i="6" s="1"/>
  <c r="G279" i="15"/>
  <c r="BX279" i="6" s="1"/>
  <c r="AA279" i="15"/>
  <c r="Z279" i="15" s="1"/>
  <c r="Y279" i="15" s="1"/>
  <c r="H279" i="15"/>
  <c r="W279" i="16"/>
  <c r="D279" i="16"/>
  <c r="E279" i="16" s="1"/>
  <c r="F279" i="16" s="1"/>
  <c r="G279" i="16" s="1"/>
  <c r="BY279" i="6" s="1"/>
  <c r="G295" i="15"/>
  <c r="BX295" i="6" s="1"/>
  <c r="H295" i="15"/>
  <c r="AA31" i="15"/>
  <c r="Z31" i="15" s="1"/>
  <c r="Y31" i="15" s="1"/>
  <c r="G31" i="15"/>
  <c r="BX31" i="6" s="1"/>
  <c r="H31" i="15"/>
  <c r="AA43" i="15"/>
  <c r="Z43" i="15" s="1"/>
  <c r="Y43" i="15" s="1"/>
  <c r="H43" i="15"/>
  <c r="G43" i="15"/>
  <c r="BX43" i="6" s="1"/>
  <c r="G41" i="15"/>
  <c r="BX41" i="6" s="1"/>
  <c r="H41" i="15"/>
  <c r="G49" i="15"/>
  <c r="BX49" i="6" s="1"/>
  <c r="H49" i="15"/>
  <c r="AA49" i="15"/>
  <c r="Z49" i="15" s="1"/>
  <c r="Y49" i="15" s="1"/>
  <c r="G377" i="15"/>
  <c r="BX377" i="6" s="1"/>
  <c r="W377" i="16"/>
  <c r="D377" i="16"/>
  <c r="E377" i="16" s="1"/>
  <c r="F377" i="16" s="1"/>
  <c r="G377" i="16" s="1"/>
  <c r="BY377" i="6" s="1"/>
  <c r="G369" i="15"/>
  <c r="BX369" i="6" s="1"/>
  <c r="G357" i="15"/>
  <c r="BX357" i="6" s="1"/>
  <c r="AA357" i="15"/>
  <c r="Z357" i="15" s="1"/>
  <c r="Y357" i="15" s="1"/>
  <c r="H349" i="15"/>
  <c r="AA349" i="15"/>
  <c r="Z349" i="15" s="1"/>
  <c r="Y349" i="15" s="1"/>
  <c r="G349" i="15"/>
  <c r="BX349" i="6" s="1"/>
  <c r="W349" i="16"/>
  <c r="D349" i="16"/>
  <c r="E349" i="16" s="1"/>
  <c r="F349" i="16" s="1"/>
  <c r="G349" i="16" s="1"/>
  <c r="BY349" i="6" s="1"/>
  <c r="G329" i="15"/>
  <c r="BX329" i="6" s="1"/>
  <c r="H329" i="15"/>
  <c r="W329" i="16"/>
  <c r="D329" i="16"/>
  <c r="E329" i="16" s="1"/>
  <c r="F329" i="16" s="1"/>
  <c r="G329" i="16" s="1"/>
  <c r="BY329" i="6" s="1"/>
  <c r="G321" i="15"/>
  <c r="BX321" i="6" s="1"/>
  <c r="H321" i="15"/>
  <c r="AA313" i="15"/>
  <c r="Z313" i="15" s="1"/>
  <c r="Y313" i="15" s="1"/>
  <c r="G313" i="15"/>
  <c r="BX313" i="6" s="1"/>
  <c r="H313" i="15"/>
  <c r="G305" i="15"/>
  <c r="BX305" i="6" s="1"/>
  <c r="H305" i="15"/>
  <c r="H293" i="15"/>
  <c r="G293" i="15"/>
  <c r="BX293" i="6" s="1"/>
  <c r="G285" i="15"/>
  <c r="BX285" i="6" s="1"/>
  <c r="AA285" i="15"/>
  <c r="Z285" i="15" s="1"/>
  <c r="Y285" i="15" s="1"/>
  <c r="H285" i="15"/>
  <c r="B285" i="16"/>
  <c r="G273" i="15"/>
  <c r="BX273" i="6" s="1"/>
  <c r="H273" i="15"/>
  <c r="AA273" i="15"/>
  <c r="Z273" i="15" s="1"/>
  <c r="Y273" i="15" s="1"/>
  <c r="H261" i="15"/>
  <c r="AA261" i="15"/>
  <c r="Z261" i="15" s="1"/>
  <c r="Y261" i="15" s="1"/>
  <c r="G261" i="15"/>
  <c r="BX261" i="6" s="1"/>
  <c r="W261" i="16"/>
  <c r="D261" i="16"/>
  <c r="E261" i="16" s="1"/>
  <c r="F261" i="16" s="1"/>
  <c r="G261" i="16" s="1"/>
  <c r="BY261" i="6" s="1"/>
  <c r="H253" i="15"/>
  <c r="G253" i="15"/>
  <c r="BX253" i="6" s="1"/>
  <c r="AA253" i="15"/>
  <c r="Z253" i="15" s="1"/>
  <c r="Y253" i="15" s="1"/>
  <c r="G245" i="15"/>
  <c r="BX245" i="6" s="1"/>
  <c r="H245" i="15"/>
  <c r="H229" i="15"/>
  <c r="G229" i="15"/>
  <c r="BX229" i="6" s="1"/>
  <c r="AA221" i="15"/>
  <c r="Z221" i="15" s="1"/>
  <c r="Y221" i="15" s="1"/>
  <c r="G221" i="15"/>
  <c r="BX221" i="6" s="1"/>
  <c r="H221" i="15"/>
  <c r="G209" i="15"/>
  <c r="BX209" i="6" s="1"/>
  <c r="H209" i="15"/>
  <c r="G201" i="15"/>
  <c r="BX201" i="6" s="1"/>
  <c r="H201" i="15"/>
  <c r="AA201" i="15"/>
  <c r="Z201" i="15" s="1"/>
  <c r="Y201" i="15" s="1"/>
  <c r="W201" i="16"/>
  <c r="D201" i="16"/>
  <c r="E201" i="16" s="1"/>
  <c r="F201" i="16" s="1"/>
  <c r="G201" i="16" s="1"/>
  <c r="BY201" i="6" s="1"/>
  <c r="G181" i="15"/>
  <c r="BX181" i="6" s="1"/>
  <c r="H181" i="15"/>
  <c r="H173" i="15"/>
  <c r="G173" i="15"/>
  <c r="BX173" i="6" s="1"/>
  <c r="AA161" i="15"/>
  <c r="Z161" i="15" s="1"/>
  <c r="Y161" i="15" s="1"/>
  <c r="H161" i="15"/>
  <c r="G161" i="15"/>
  <c r="BX161" i="6" s="1"/>
  <c r="H149" i="15"/>
  <c r="G149" i="15"/>
  <c r="BX149" i="6" s="1"/>
  <c r="H133" i="15"/>
  <c r="G133" i="15"/>
  <c r="BX133" i="6" s="1"/>
  <c r="H125" i="15"/>
  <c r="G125" i="15"/>
  <c r="BX125" i="6" s="1"/>
  <c r="AA125" i="15"/>
  <c r="Z125" i="15" s="1"/>
  <c r="Y125" i="15" s="1"/>
  <c r="G117" i="15"/>
  <c r="BX117" i="6" s="1"/>
  <c r="H117" i="15"/>
  <c r="H105" i="15"/>
  <c r="G105" i="15"/>
  <c r="BX105" i="6" s="1"/>
  <c r="AA105" i="15"/>
  <c r="Z105" i="15" s="1"/>
  <c r="Y105" i="15" s="1"/>
  <c r="H93" i="15"/>
  <c r="G93" i="15"/>
  <c r="BX93" i="6" s="1"/>
  <c r="H81" i="15"/>
  <c r="G81" i="15"/>
  <c r="BX81" i="6" s="1"/>
  <c r="AA69" i="15"/>
  <c r="Z69" i="15" s="1"/>
  <c r="Y69" i="15" s="1"/>
  <c r="H69" i="15"/>
  <c r="G69" i="15"/>
  <c r="BX69" i="6" s="1"/>
  <c r="AA29" i="15"/>
  <c r="Z29" i="15" s="1"/>
  <c r="Y29" i="15" s="1"/>
  <c r="H29" i="15"/>
  <c r="G29" i="15"/>
  <c r="BX29" i="6" s="1"/>
  <c r="W241" i="15"/>
  <c r="D241" i="15"/>
  <c r="E241" i="15" s="1"/>
  <c r="F241" i="15" s="1"/>
  <c r="W337" i="15"/>
  <c r="D337" i="15"/>
  <c r="E337" i="15" s="1"/>
  <c r="F337" i="15" s="1"/>
  <c r="W363" i="15"/>
  <c r="D363" i="15"/>
  <c r="E363" i="15" s="1"/>
  <c r="F363" i="15" s="1"/>
  <c r="W56" i="15"/>
  <c r="D56" i="15"/>
  <c r="E56" i="15" s="1"/>
  <c r="F56" i="15" s="1"/>
  <c r="AA92" i="15"/>
  <c r="Z92" i="15" s="1"/>
  <c r="Y92" i="15" s="1"/>
  <c r="AA156" i="15"/>
  <c r="Z156" i="15" s="1"/>
  <c r="Y156" i="15" s="1"/>
  <c r="AA184" i="15"/>
  <c r="Z184" i="15" s="1"/>
  <c r="Y184" i="15" s="1"/>
  <c r="AA344" i="15"/>
  <c r="Z344" i="15" s="1"/>
  <c r="Y344" i="15" s="1"/>
  <c r="AA134" i="15"/>
  <c r="Z134" i="15" s="1"/>
  <c r="Y134" i="15" s="1"/>
  <c r="AA202" i="15"/>
  <c r="Z202" i="15" s="1"/>
  <c r="Y202" i="15" s="1"/>
  <c r="AA234" i="15"/>
  <c r="Z234" i="15" s="1"/>
  <c r="Y234" i="15" s="1"/>
  <c r="AA318" i="15"/>
  <c r="Z318" i="15" s="1"/>
  <c r="Y318" i="15" s="1"/>
  <c r="AA374" i="15"/>
  <c r="Z374" i="15" s="1"/>
  <c r="Y374" i="15" s="1"/>
  <c r="W272" i="15"/>
  <c r="D272" i="15"/>
  <c r="E272" i="15" s="1"/>
  <c r="F272" i="15" s="1"/>
  <c r="W297" i="15"/>
  <c r="D297" i="15"/>
  <c r="E297" i="15" s="1"/>
  <c r="F297" i="15" s="1"/>
  <c r="W333" i="15"/>
  <c r="D333" i="15"/>
  <c r="E333" i="15" s="1"/>
  <c r="F333" i="15" s="1"/>
  <c r="W42" i="15"/>
  <c r="D42" i="15"/>
  <c r="E42" i="15" s="1"/>
  <c r="F42" i="15" s="1"/>
  <c r="W62" i="15"/>
  <c r="D62" i="15"/>
  <c r="E62" i="15" s="1"/>
  <c r="F62" i="15" s="1"/>
  <c r="W298" i="15"/>
  <c r="D298" i="15"/>
  <c r="E298" i="15" s="1"/>
  <c r="F298" i="15" s="1"/>
  <c r="W17" i="15"/>
  <c r="D17" i="15"/>
  <c r="E17" i="15" s="1"/>
  <c r="F17" i="15" s="1"/>
  <c r="W101" i="15"/>
  <c r="D101" i="15"/>
  <c r="E101" i="15" s="1"/>
  <c r="F101" i="15" s="1"/>
  <c r="W197" i="15"/>
  <c r="D197" i="15"/>
  <c r="E197" i="15" s="1"/>
  <c r="F197" i="15" s="1"/>
  <c r="G197" i="15" s="1"/>
  <c r="BX197" i="6" s="1"/>
  <c r="W227" i="16"/>
  <c r="D227" i="16"/>
  <c r="E227" i="16" s="1"/>
  <c r="F227" i="16" s="1"/>
  <c r="G227" i="16" s="1"/>
  <c r="BY227" i="6" s="1"/>
  <c r="AA41" i="15"/>
  <c r="Z41" i="15" s="1"/>
  <c r="Y41" i="15" s="1"/>
  <c r="AA87" i="15"/>
  <c r="Z87" i="15" s="1"/>
  <c r="Y87" i="15" s="1"/>
  <c r="AA107" i="15"/>
  <c r="Z107" i="15" s="1"/>
  <c r="Y107" i="15" s="1"/>
  <c r="AA117" i="15"/>
  <c r="Z117" i="15" s="1"/>
  <c r="Y117" i="15" s="1"/>
  <c r="AA133" i="15"/>
  <c r="Z133" i="15" s="1"/>
  <c r="Y133" i="15" s="1"/>
  <c r="AA149" i="15"/>
  <c r="Z149" i="15" s="1"/>
  <c r="Y149" i="15" s="1"/>
  <c r="AA159" i="15"/>
  <c r="Z159" i="15" s="1"/>
  <c r="Y159" i="15" s="1"/>
  <c r="AA179" i="15"/>
  <c r="Z179" i="15" s="1"/>
  <c r="Y179" i="15" s="1"/>
  <c r="AA223" i="15"/>
  <c r="Z223" i="15" s="1"/>
  <c r="Y223" i="15" s="1"/>
  <c r="AA243" i="15"/>
  <c r="Z243" i="15" s="1"/>
  <c r="Y243" i="15" s="1"/>
  <c r="AA305" i="15"/>
  <c r="Z305" i="15" s="1"/>
  <c r="Y305" i="15" s="1"/>
  <c r="AA377" i="15"/>
  <c r="Z377" i="15" s="1"/>
  <c r="Y377" i="15" s="1"/>
  <c r="AA82" i="15"/>
  <c r="Z82" i="15" s="1"/>
  <c r="Y82" i="15" s="1"/>
  <c r="AA126" i="15"/>
  <c r="Z126" i="15" s="1"/>
  <c r="Y126" i="15" s="1"/>
  <c r="AA158" i="15"/>
  <c r="Z158" i="15" s="1"/>
  <c r="Y158" i="15" s="1"/>
  <c r="AA218" i="15"/>
  <c r="Z218" i="15" s="1"/>
  <c r="Y218" i="15" s="1"/>
  <c r="AA232" i="15"/>
  <c r="Z232" i="15" s="1"/>
  <c r="Y232" i="15" s="1"/>
  <c r="AA250" i="15"/>
  <c r="Z250" i="15" s="1"/>
  <c r="Y250" i="15" s="1"/>
  <c r="AA266" i="15"/>
  <c r="Z266" i="15" s="1"/>
  <c r="Y266" i="15" s="1"/>
  <c r="AA274" i="15"/>
  <c r="Z274" i="15" s="1"/>
  <c r="Y274" i="15" s="1"/>
  <c r="AA292" i="15"/>
  <c r="Z292" i="15" s="1"/>
  <c r="Y292" i="15" s="1"/>
  <c r="AA366" i="15"/>
  <c r="Z366" i="15" s="1"/>
  <c r="Y366" i="15" s="1"/>
  <c r="W40" i="15"/>
  <c r="D40" i="15"/>
  <c r="E40" i="15" s="1"/>
  <c r="F40" i="15" s="1"/>
  <c r="W75" i="15"/>
  <c r="D75" i="15"/>
  <c r="E75" i="15" s="1"/>
  <c r="F75" i="15" s="1"/>
  <c r="B171" i="16"/>
  <c r="W171" i="15"/>
  <c r="D171" i="15"/>
  <c r="E171" i="15" s="1"/>
  <c r="F171" i="15" s="1"/>
  <c r="AA171" i="15" s="1"/>
  <c r="Z171" i="15" s="1"/>
  <c r="Y171" i="15" s="1"/>
  <c r="AA99" i="15"/>
  <c r="Z99" i="15" s="1"/>
  <c r="Y99" i="15" s="1"/>
  <c r="AA115" i="15"/>
  <c r="Z115" i="15" s="1"/>
  <c r="Y115" i="15" s="1"/>
  <c r="AA131" i="15"/>
  <c r="Z131" i="15" s="1"/>
  <c r="Y131" i="15" s="1"/>
  <c r="AA147" i="15"/>
  <c r="Z147" i="15" s="1"/>
  <c r="Y147" i="15" s="1"/>
  <c r="AA157" i="15"/>
  <c r="Z157" i="15" s="1"/>
  <c r="Y157" i="15" s="1"/>
  <c r="AA173" i="15"/>
  <c r="Z173" i="15" s="1"/>
  <c r="Y173" i="15" s="1"/>
  <c r="AA209" i="15"/>
  <c r="Z209" i="15" s="1"/>
  <c r="Y209" i="15" s="1"/>
  <c r="AA245" i="15"/>
  <c r="Z245" i="15" s="1"/>
  <c r="Y245" i="15" s="1"/>
  <c r="AA293" i="15"/>
  <c r="Z293" i="15" s="1"/>
  <c r="Y293" i="15" s="1"/>
  <c r="AA323" i="15"/>
  <c r="Z323" i="15" s="1"/>
  <c r="Y323" i="15" s="1"/>
  <c r="AA331" i="15"/>
  <c r="Z331" i="15" s="1"/>
  <c r="Y331" i="15" s="1"/>
  <c r="AA355" i="15"/>
  <c r="Z355" i="15" s="1"/>
  <c r="Y355" i="15" s="1"/>
  <c r="AA80" i="15"/>
  <c r="Z80" i="15" s="1"/>
  <c r="Y80" i="15" s="1"/>
  <c r="AA88" i="15"/>
  <c r="Z88" i="15" s="1"/>
  <c r="Y88" i="15" s="1"/>
  <c r="AA100" i="15"/>
  <c r="Z100" i="15" s="1"/>
  <c r="Y100" i="15" s="1"/>
  <c r="AA118" i="15"/>
  <c r="Z118" i="15" s="1"/>
  <c r="Y118" i="15" s="1"/>
  <c r="AA128" i="15"/>
  <c r="Z128" i="15" s="1"/>
  <c r="Y128" i="15" s="1"/>
  <c r="AA148" i="15"/>
  <c r="Z148" i="15" s="1"/>
  <c r="Y148" i="15" s="1"/>
  <c r="AA180" i="15"/>
  <c r="Z180" i="15" s="1"/>
  <c r="Y180" i="15" s="1"/>
  <c r="AA194" i="15"/>
  <c r="Z194" i="15" s="1"/>
  <c r="Y194" i="15" s="1"/>
  <c r="AA208" i="15"/>
  <c r="Z208" i="15" s="1"/>
  <c r="Y208" i="15" s="1"/>
  <c r="AA242" i="15"/>
  <c r="Z242" i="15" s="1"/>
  <c r="Y242" i="15" s="1"/>
  <c r="AA252" i="15"/>
  <c r="Z252" i="15" s="1"/>
  <c r="Y252" i="15" s="1"/>
  <c r="AA300" i="15"/>
  <c r="Z300" i="15" s="1"/>
  <c r="Y300" i="15" s="1"/>
  <c r="AA308" i="15"/>
  <c r="Z308" i="15" s="1"/>
  <c r="Y308" i="15" s="1"/>
  <c r="AA326" i="15"/>
  <c r="Z326" i="15" s="1"/>
  <c r="Y326" i="15" s="1"/>
  <c r="AA334" i="15"/>
  <c r="Z334" i="15" s="1"/>
  <c r="Y334" i="15" s="1"/>
  <c r="AA352" i="15"/>
  <c r="Z352" i="15" s="1"/>
  <c r="Y352" i="15" s="1"/>
  <c r="B288" i="16"/>
  <c r="H296" i="15"/>
  <c r="G296" i="15"/>
  <c r="BX296" i="6" s="1"/>
  <c r="H306" i="15"/>
  <c r="G306" i="15"/>
  <c r="BX306" i="6" s="1"/>
  <c r="H314" i="15"/>
  <c r="G314" i="15"/>
  <c r="BX314" i="6" s="1"/>
  <c r="H322" i="15"/>
  <c r="AA322" i="15"/>
  <c r="Z322" i="15" s="1"/>
  <c r="Y322" i="15" s="1"/>
  <c r="G322" i="15"/>
  <c r="BX322" i="6" s="1"/>
  <c r="H330" i="15"/>
  <c r="G330" i="15"/>
  <c r="BX330" i="6" s="1"/>
  <c r="G338" i="15"/>
  <c r="BX338" i="6" s="1"/>
  <c r="H338" i="15"/>
  <c r="H346" i="15"/>
  <c r="G346" i="15"/>
  <c r="BX346" i="6" s="1"/>
  <c r="G354" i="15"/>
  <c r="BX354" i="6" s="1"/>
  <c r="G370" i="15"/>
  <c r="BX370" i="6" s="1"/>
  <c r="W137" i="15"/>
  <c r="D137" i="15"/>
  <c r="E137" i="15" s="1"/>
  <c r="F137" i="15" s="1"/>
  <c r="W269" i="15"/>
  <c r="D269" i="15"/>
  <c r="E269" i="15" s="1"/>
  <c r="F269" i="15" s="1"/>
  <c r="W365" i="15"/>
  <c r="D365" i="15"/>
  <c r="E365" i="15" s="1"/>
  <c r="F365" i="15" s="1"/>
  <c r="W34" i="15"/>
  <c r="D34" i="15"/>
  <c r="E34" i="15" s="1"/>
  <c r="F34" i="15" s="1"/>
  <c r="W30" i="15"/>
  <c r="D30" i="15"/>
  <c r="E30" i="15" s="1"/>
  <c r="F30" i="15" s="1"/>
  <c r="H70" i="15"/>
  <c r="G70" i="15"/>
  <c r="BX70" i="6" s="1"/>
  <c r="H78" i="15"/>
  <c r="G78" i="15"/>
  <c r="BX78" i="6" s="1"/>
  <c r="H86" i="15"/>
  <c r="G86" i="15"/>
  <c r="BX86" i="6" s="1"/>
  <c r="H96" i="15"/>
  <c r="G96" i="15"/>
  <c r="BX96" i="6" s="1"/>
  <c r="B96" i="16"/>
  <c r="G104" i="15"/>
  <c r="BX104" i="6" s="1"/>
  <c r="H104" i="15"/>
  <c r="H116" i="15"/>
  <c r="G116" i="15"/>
  <c r="BX116" i="6" s="1"/>
  <c r="H124" i="15"/>
  <c r="G124" i="15"/>
  <c r="BX124" i="6" s="1"/>
  <c r="H132" i="15"/>
  <c r="G132" i="15"/>
  <c r="BX132" i="6" s="1"/>
  <c r="B132" i="16"/>
  <c r="G144" i="15"/>
  <c r="BX144" i="6" s="1"/>
  <c r="H144" i="15"/>
  <c r="B144" i="16"/>
  <c r="H152" i="15"/>
  <c r="G152" i="15"/>
  <c r="BX152" i="6" s="1"/>
  <c r="G160" i="15"/>
  <c r="BX160" i="6" s="1"/>
  <c r="H160" i="15"/>
  <c r="B160" i="16"/>
  <c r="G168" i="15"/>
  <c r="BX168" i="6" s="1"/>
  <c r="H168" i="15"/>
  <c r="H176" i="15"/>
  <c r="G176" i="15"/>
  <c r="BX176" i="6" s="1"/>
  <c r="H182" i="15"/>
  <c r="AA182" i="15"/>
  <c r="Z182" i="15" s="1"/>
  <c r="Y182" i="15" s="1"/>
  <c r="G182" i="15"/>
  <c r="BX182" i="6" s="1"/>
  <c r="G190" i="15"/>
  <c r="BX190" i="6" s="1"/>
  <c r="H190" i="15"/>
  <c r="H198" i="15"/>
  <c r="G198" i="15"/>
  <c r="BX198" i="6" s="1"/>
  <c r="G206" i="15"/>
  <c r="BX206" i="6" s="1"/>
  <c r="H206" i="15"/>
  <c r="AA206" i="15"/>
  <c r="Z206" i="15" s="1"/>
  <c r="Y206" i="15" s="1"/>
  <c r="G212" i="15"/>
  <c r="BX212" i="6" s="1"/>
  <c r="H212" i="15"/>
  <c r="H220" i="15"/>
  <c r="G220" i="15"/>
  <c r="BX220" i="6" s="1"/>
  <c r="H228" i="15"/>
  <c r="G228" i="15"/>
  <c r="BX228" i="6" s="1"/>
  <c r="AA236" i="15"/>
  <c r="Z236" i="15" s="1"/>
  <c r="Y236" i="15" s="1"/>
  <c r="G236" i="15"/>
  <c r="BX236" i="6" s="1"/>
  <c r="H236" i="15"/>
  <c r="G244" i="15"/>
  <c r="BX244" i="6" s="1"/>
  <c r="H244" i="15"/>
  <c r="H68" i="15"/>
  <c r="G68" i="15"/>
  <c r="BX68" i="6" s="1"/>
  <c r="H76" i="15"/>
  <c r="G76" i="15"/>
  <c r="BX76" i="6" s="1"/>
  <c r="B80" i="16"/>
  <c r="H84" i="15"/>
  <c r="G84" i="15"/>
  <c r="BX84" i="6" s="1"/>
  <c r="G90" i="15"/>
  <c r="BX90" i="6" s="1"/>
  <c r="H90" i="15"/>
  <c r="G98" i="15"/>
  <c r="BX98" i="6" s="1"/>
  <c r="H98" i="15"/>
  <c r="G106" i="15"/>
  <c r="BX106" i="6" s="1"/>
  <c r="H106" i="15"/>
  <c r="H114" i="15"/>
  <c r="G114" i="15"/>
  <c r="BX114" i="6" s="1"/>
  <c r="G122" i="15"/>
  <c r="BX122" i="6" s="1"/>
  <c r="H122" i="15"/>
  <c r="G130" i="15"/>
  <c r="BX130" i="6" s="1"/>
  <c r="H130" i="15"/>
  <c r="AA138" i="15"/>
  <c r="Z138" i="15" s="1"/>
  <c r="Y138" i="15" s="1"/>
  <c r="H138" i="15"/>
  <c r="G138" i="15"/>
  <c r="BX138" i="6" s="1"/>
  <c r="H146" i="15"/>
  <c r="G146" i="15"/>
  <c r="BX146" i="6" s="1"/>
  <c r="H154" i="15"/>
  <c r="G154" i="15"/>
  <c r="BX154" i="6" s="1"/>
  <c r="G162" i="15"/>
  <c r="BX162" i="6" s="1"/>
  <c r="H162" i="15"/>
  <c r="H170" i="15"/>
  <c r="G170" i="15"/>
  <c r="BX170" i="6" s="1"/>
  <c r="G178" i="15"/>
  <c r="BX178" i="6" s="1"/>
  <c r="H178" i="15"/>
  <c r="H188" i="15"/>
  <c r="G188" i="15"/>
  <c r="BX188" i="6" s="1"/>
  <c r="H196" i="15"/>
  <c r="G196" i="15"/>
  <c r="BX196" i="6" s="1"/>
  <c r="H204" i="15"/>
  <c r="G204" i="15"/>
  <c r="BX204" i="6" s="1"/>
  <c r="H214" i="15"/>
  <c r="G214" i="15"/>
  <c r="BX214" i="6" s="1"/>
  <c r="G222" i="15"/>
  <c r="BX222" i="6" s="1"/>
  <c r="H222" i="15"/>
  <c r="G230" i="15"/>
  <c r="BX230" i="6" s="1"/>
  <c r="H230" i="15"/>
  <c r="H238" i="15"/>
  <c r="G238" i="15"/>
  <c r="BX238" i="6" s="1"/>
  <c r="H246" i="15"/>
  <c r="G246" i="15"/>
  <c r="BX246" i="6" s="1"/>
  <c r="G254" i="15"/>
  <c r="BX254" i="6" s="1"/>
  <c r="H254" i="15"/>
  <c r="H262" i="15"/>
  <c r="G262" i="15"/>
  <c r="BX262" i="6" s="1"/>
  <c r="H270" i="15"/>
  <c r="G270" i="15"/>
  <c r="BX270" i="6" s="1"/>
  <c r="AA278" i="15"/>
  <c r="Z278" i="15" s="1"/>
  <c r="Y278" i="15" s="1"/>
  <c r="H278" i="15"/>
  <c r="G278" i="15"/>
  <c r="BX278" i="6" s="1"/>
  <c r="B282" i="16"/>
  <c r="G286" i="15"/>
  <c r="BX286" i="6" s="1"/>
  <c r="H286" i="15"/>
  <c r="G294" i="15"/>
  <c r="BX294" i="6" s="1"/>
  <c r="H294" i="15"/>
  <c r="G304" i="15"/>
  <c r="BX304" i="6" s="1"/>
  <c r="H304" i="15"/>
  <c r="H312" i="15"/>
  <c r="G312" i="15"/>
  <c r="BX312" i="6" s="1"/>
  <c r="G320" i="15"/>
  <c r="BX320" i="6" s="1"/>
  <c r="H320" i="15"/>
  <c r="G332" i="15"/>
  <c r="BX332" i="6" s="1"/>
  <c r="H332" i="15"/>
  <c r="B336" i="16"/>
  <c r="AA340" i="15"/>
  <c r="Z340" i="15" s="1"/>
  <c r="Y340" i="15" s="1"/>
  <c r="G340" i="15"/>
  <c r="BX340" i="6" s="1"/>
  <c r="H340" i="15"/>
  <c r="G348" i="15"/>
  <c r="BX348" i="6" s="1"/>
  <c r="H348" i="15"/>
  <c r="W352" i="16"/>
  <c r="D352" i="16"/>
  <c r="E352" i="16" s="1"/>
  <c r="F352" i="16" s="1"/>
  <c r="G352" i="16" s="1"/>
  <c r="BY352" i="6" s="1"/>
  <c r="AA356" i="15"/>
  <c r="Z356" i="15" s="1"/>
  <c r="Y356" i="15" s="1"/>
  <c r="G356" i="15"/>
  <c r="BX356" i="6" s="1"/>
  <c r="G364" i="15"/>
  <c r="BX364" i="6" s="1"/>
  <c r="G372" i="15"/>
  <c r="BX372" i="6" s="1"/>
  <c r="G39" i="15"/>
  <c r="BX39" i="6" s="1"/>
  <c r="H39" i="15"/>
  <c r="B39" i="16"/>
  <c r="AA95" i="15"/>
  <c r="Z95" i="15" s="1"/>
  <c r="Y95" i="15" s="1"/>
  <c r="H95" i="15"/>
  <c r="G95" i="15"/>
  <c r="BX95" i="6" s="1"/>
  <c r="H123" i="15"/>
  <c r="AA123" i="15"/>
  <c r="Z123" i="15" s="1"/>
  <c r="Y123" i="15" s="1"/>
  <c r="G123" i="15"/>
  <c r="BX123" i="6" s="1"/>
  <c r="G143" i="15"/>
  <c r="BX143" i="6" s="1"/>
  <c r="AA143" i="15"/>
  <c r="Z143" i="15" s="1"/>
  <c r="Y143" i="15" s="1"/>
  <c r="H143" i="15"/>
  <c r="G165" i="15"/>
  <c r="BX165" i="6" s="1"/>
  <c r="H165" i="15"/>
  <c r="G207" i="15"/>
  <c r="BX207" i="6" s="1"/>
  <c r="AA207" i="15"/>
  <c r="Z207" i="15" s="1"/>
  <c r="Y207" i="15" s="1"/>
  <c r="H207" i="15"/>
  <c r="G231" i="15"/>
  <c r="BX231" i="6" s="1"/>
  <c r="H231" i="15"/>
  <c r="AA231" i="15"/>
  <c r="Z231" i="15" s="1"/>
  <c r="Y231" i="15" s="1"/>
  <c r="H251" i="15"/>
  <c r="AA251" i="15"/>
  <c r="Z251" i="15" s="1"/>
  <c r="Y251" i="15" s="1"/>
  <c r="G251" i="15"/>
  <c r="BX251" i="6" s="1"/>
  <c r="W251" i="16"/>
  <c r="D251" i="16"/>
  <c r="E251" i="16" s="1"/>
  <c r="F251" i="16" s="1"/>
  <c r="G251" i="16" s="1"/>
  <c r="BY251" i="6" s="1"/>
  <c r="H267" i="15"/>
  <c r="G267" i="15"/>
  <c r="BX267" i="6" s="1"/>
  <c r="AA267" i="15"/>
  <c r="Z267" i="15" s="1"/>
  <c r="Y267" i="15" s="1"/>
  <c r="W267" i="16"/>
  <c r="D267" i="16"/>
  <c r="E267" i="16" s="1"/>
  <c r="F267" i="16" s="1"/>
  <c r="G267" i="16" s="1"/>
  <c r="BY267" i="6" s="1"/>
  <c r="AA277" i="15"/>
  <c r="Z277" i="15" s="1"/>
  <c r="Y277" i="15" s="1"/>
  <c r="G277" i="15"/>
  <c r="BX277" i="6" s="1"/>
  <c r="H277" i="15"/>
  <c r="W277" i="16"/>
  <c r="D277" i="16"/>
  <c r="E277" i="16" s="1"/>
  <c r="F277" i="16" s="1"/>
  <c r="G277" i="16" s="1"/>
  <c r="BY277" i="6" s="1"/>
  <c r="AA291" i="15"/>
  <c r="Z291" i="15" s="1"/>
  <c r="Y291" i="15" s="1"/>
  <c r="G291" i="15"/>
  <c r="BX291" i="6" s="1"/>
  <c r="H291" i="15"/>
  <c r="B291" i="16"/>
  <c r="G55" i="15"/>
  <c r="BX55" i="6" s="1"/>
  <c r="H55" i="15"/>
  <c r="B55" i="16"/>
  <c r="H25" i="15"/>
  <c r="G25" i="15"/>
  <c r="BX25" i="6" s="1"/>
  <c r="G66" i="15"/>
  <c r="BX66" i="6" s="1"/>
  <c r="H66" i="15"/>
  <c r="G371" i="15"/>
  <c r="BX371" i="6" s="1"/>
  <c r="W371" i="16"/>
  <c r="D371" i="16"/>
  <c r="E371" i="16" s="1"/>
  <c r="F371" i="16" s="1"/>
  <c r="G371" i="16" s="1"/>
  <c r="BY371" i="6" s="1"/>
  <c r="AA359" i="15"/>
  <c r="Z359" i="15" s="1"/>
  <c r="Y359" i="15" s="1"/>
  <c r="G359" i="15"/>
  <c r="BX359" i="6" s="1"/>
  <c r="AA351" i="15"/>
  <c r="Z351" i="15" s="1"/>
  <c r="Y351" i="15" s="1"/>
  <c r="H351" i="15"/>
  <c r="G351" i="15"/>
  <c r="BX351" i="6" s="1"/>
  <c r="B351" i="16"/>
  <c r="H343" i="15"/>
  <c r="G343" i="15"/>
  <c r="BX343" i="6" s="1"/>
  <c r="B343" i="16"/>
  <c r="H335" i="15"/>
  <c r="G335" i="15"/>
  <c r="BX335" i="6" s="1"/>
  <c r="W335" i="16"/>
  <c r="D335" i="16"/>
  <c r="E335" i="16" s="1"/>
  <c r="F335" i="16" s="1"/>
  <c r="G335" i="16" s="1"/>
  <c r="BY335" i="6" s="1"/>
  <c r="H327" i="15"/>
  <c r="G327" i="15"/>
  <c r="BX327" i="6" s="1"/>
  <c r="W327" i="16"/>
  <c r="D327" i="16"/>
  <c r="E327" i="16" s="1"/>
  <c r="F327" i="16" s="1"/>
  <c r="G327" i="16" s="1"/>
  <c r="BY327" i="6" s="1"/>
  <c r="H319" i="15"/>
  <c r="G319" i="15"/>
  <c r="BX319" i="6" s="1"/>
  <c r="W319" i="16"/>
  <c r="D319" i="16"/>
  <c r="E319" i="16" s="1"/>
  <c r="F319" i="16" s="1"/>
  <c r="G319" i="16" s="1"/>
  <c r="BY319" i="6" s="1"/>
  <c r="H311" i="15"/>
  <c r="G311" i="15"/>
  <c r="BX311" i="6" s="1"/>
  <c r="AA311" i="15"/>
  <c r="Z311" i="15" s="1"/>
  <c r="Y311" i="15" s="1"/>
  <c r="W311" i="16"/>
  <c r="D311" i="16"/>
  <c r="E311" i="16" s="1"/>
  <c r="F311" i="16" s="1"/>
  <c r="G311" i="16" s="1"/>
  <c r="BY311" i="6" s="1"/>
  <c r="AA303" i="15"/>
  <c r="Z303" i="15" s="1"/>
  <c r="Y303" i="15" s="1"/>
  <c r="G303" i="15"/>
  <c r="BX303" i="6" s="1"/>
  <c r="H303" i="15"/>
  <c r="W303" i="16"/>
  <c r="D303" i="16"/>
  <c r="E303" i="16" s="1"/>
  <c r="F303" i="16" s="1"/>
  <c r="G303" i="16" s="1"/>
  <c r="BY303" i="6" s="1"/>
  <c r="G235" i="15"/>
  <c r="BX235" i="6" s="1"/>
  <c r="AA235" i="15"/>
  <c r="Z235" i="15" s="1"/>
  <c r="Y235" i="15" s="1"/>
  <c r="H235" i="15"/>
  <c r="W235" i="16"/>
  <c r="D235" i="16"/>
  <c r="E235" i="16" s="1"/>
  <c r="F235" i="16" s="1"/>
  <c r="G235" i="16" s="1"/>
  <c r="BY235" i="6" s="1"/>
  <c r="AA215" i="15"/>
  <c r="Z215" i="15" s="1"/>
  <c r="Y215" i="15" s="1"/>
  <c r="G215" i="15"/>
  <c r="BX215" i="6" s="1"/>
  <c r="H215" i="15"/>
  <c r="H199" i="15"/>
  <c r="G199" i="15"/>
  <c r="BX199" i="6" s="1"/>
  <c r="AA199" i="15"/>
  <c r="Z199" i="15" s="1"/>
  <c r="Y199" i="15" s="1"/>
  <c r="H191" i="15"/>
  <c r="G191" i="15"/>
  <c r="BX191" i="6" s="1"/>
  <c r="G183" i="15"/>
  <c r="BX183" i="6" s="1"/>
  <c r="AA183" i="15"/>
  <c r="Z183" i="15" s="1"/>
  <c r="Y183" i="15" s="1"/>
  <c r="H183" i="15"/>
  <c r="G175" i="15"/>
  <c r="BX175" i="6" s="1"/>
  <c r="H175" i="15"/>
  <c r="AA175" i="15"/>
  <c r="Z175" i="15" s="1"/>
  <c r="Y175" i="15" s="1"/>
  <c r="H163" i="15"/>
  <c r="G163" i="15"/>
  <c r="BX163" i="6" s="1"/>
  <c r="AA163" i="15"/>
  <c r="Z163" i="15" s="1"/>
  <c r="Y163" i="15" s="1"/>
  <c r="B163" i="16"/>
  <c r="G155" i="15"/>
  <c r="BX155" i="6" s="1"/>
  <c r="H155" i="15"/>
  <c r="B155" i="16"/>
  <c r="G119" i="15"/>
  <c r="BX119" i="6" s="1"/>
  <c r="H119" i="15"/>
  <c r="AA119" i="15"/>
  <c r="Z119" i="15" s="1"/>
  <c r="Y119" i="15" s="1"/>
  <c r="H111" i="15"/>
  <c r="G111" i="15"/>
  <c r="BX111" i="6" s="1"/>
  <c r="G103" i="15"/>
  <c r="BX103" i="6" s="1"/>
  <c r="H103" i="15"/>
  <c r="AA103" i="15"/>
  <c r="Z103" i="15" s="1"/>
  <c r="Y103" i="15" s="1"/>
  <c r="G91" i="15"/>
  <c r="BX91" i="6" s="1"/>
  <c r="H91" i="15"/>
  <c r="G83" i="15"/>
  <c r="BX83" i="6" s="1"/>
  <c r="H83" i="15"/>
  <c r="G67" i="15"/>
  <c r="BX67" i="6" s="1"/>
  <c r="AA67" i="15"/>
  <c r="Z67" i="15" s="1"/>
  <c r="Y67" i="15" s="1"/>
  <c r="H67" i="15"/>
  <c r="H256" i="15"/>
  <c r="G256" i="15"/>
  <c r="BX256" i="6" s="1"/>
  <c r="G268" i="15"/>
  <c r="BX268" i="6" s="1"/>
  <c r="H268" i="15"/>
  <c r="H280" i="15"/>
  <c r="G280" i="15"/>
  <c r="BX280" i="6" s="1"/>
  <c r="G37" i="15"/>
  <c r="BX37" i="6" s="1"/>
  <c r="AA37" i="15"/>
  <c r="Z37" i="15" s="1"/>
  <c r="Y37" i="15" s="1"/>
  <c r="H37" i="15"/>
  <c r="G53" i="15"/>
  <c r="BX53" i="6" s="1"/>
  <c r="H53" i="15"/>
  <c r="AA53" i="15"/>
  <c r="Z53" i="15" s="1"/>
  <c r="Y53" i="15" s="1"/>
  <c r="AA85" i="15"/>
  <c r="Z85" i="15" s="1"/>
  <c r="Y85" i="15" s="1"/>
  <c r="H85" i="15"/>
  <c r="G85" i="15"/>
  <c r="BX85" i="6" s="1"/>
  <c r="AA135" i="15"/>
  <c r="Z135" i="15" s="1"/>
  <c r="Y135" i="15" s="1"/>
  <c r="G135" i="15"/>
  <c r="BX135" i="6" s="1"/>
  <c r="H135" i="15"/>
  <c r="H145" i="15"/>
  <c r="G145" i="15"/>
  <c r="BX145" i="6" s="1"/>
  <c r="AA145" i="15"/>
  <c r="Z145" i="15" s="1"/>
  <c r="Y145" i="15" s="1"/>
  <c r="G193" i="15"/>
  <c r="BX193" i="6" s="1"/>
  <c r="H193" i="15"/>
  <c r="H217" i="15"/>
  <c r="G217" i="15"/>
  <c r="BX217" i="6" s="1"/>
  <c r="AA217" i="15"/>
  <c r="Z217" i="15" s="1"/>
  <c r="Y217" i="15" s="1"/>
  <c r="G255" i="15"/>
  <c r="BX255" i="6" s="1"/>
  <c r="H255" i="15"/>
  <c r="AA255" i="15"/>
  <c r="Z255" i="15" s="1"/>
  <c r="Y255" i="15" s="1"/>
  <c r="G275" i="15"/>
  <c r="BX275" i="6" s="1"/>
  <c r="H275" i="15"/>
  <c r="G287" i="15"/>
  <c r="BX287" i="6" s="1"/>
  <c r="H287" i="15"/>
  <c r="G299" i="15"/>
  <c r="BX299" i="6" s="1"/>
  <c r="H299" i="15"/>
  <c r="AA299" i="15"/>
  <c r="Z299" i="15" s="1"/>
  <c r="Y299" i="15" s="1"/>
  <c r="H27" i="15"/>
  <c r="G27" i="15"/>
  <c r="BX27" i="6" s="1"/>
  <c r="AA59" i="15"/>
  <c r="Z59" i="15" s="1"/>
  <c r="Y59" i="15" s="1"/>
  <c r="G59" i="15"/>
  <c r="BX59" i="6" s="1"/>
  <c r="H59" i="15"/>
  <c r="H33" i="15"/>
  <c r="G33" i="15"/>
  <c r="BX33" i="6" s="1"/>
  <c r="G63" i="15"/>
  <c r="BX63" i="6" s="1"/>
  <c r="H63" i="15"/>
  <c r="AA373" i="15"/>
  <c r="Z373" i="15" s="1"/>
  <c r="Y373" i="15" s="1"/>
  <c r="G373" i="15"/>
  <c r="BX373" i="6" s="1"/>
  <c r="D373" i="16"/>
  <c r="E373" i="16" s="1"/>
  <c r="F373" i="16" s="1"/>
  <c r="G373" i="16" s="1"/>
  <c r="BY373" i="6" s="1"/>
  <c r="G361" i="15"/>
  <c r="BX361" i="6" s="1"/>
  <c r="W361" i="16"/>
  <c r="D361" i="16"/>
  <c r="E361" i="16" s="1"/>
  <c r="F361" i="16" s="1"/>
  <c r="G361" i="16" s="1"/>
  <c r="BY361" i="6" s="1"/>
  <c r="G353" i="15"/>
  <c r="BX353" i="6" s="1"/>
  <c r="H353" i="15"/>
  <c r="AA353" i="15"/>
  <c r="Z353" i="15" s="1"/>
  <c r="Y353" i="15" s="1"/>
  <c r="H341" i="15"/>
  <c r="G341" i="15"/>
  <c r="BX341" i="6" s="1"/>
  <c r="AA341" i="15"/>
  <c r="Z341" i="15" s="1"/>
  <c r="Y341" i="15" s="1"/>
  <c r="G325" i="15"/>
  <c r="BX325" i="6" s="1"/>
  <c r="H325" i="15"/>
  <c r="AA317" i="15"/>
  <c r="Z317" i="15" s="1"/>
  <c r="Y317" i="15" s="1"/>
  <c r="G317" i="15"/>
  <c r="BX317" i="6" s="1"/>
  <c r="H317" i="15"/>
  <c r="W317" i="16"/>
  <c r="D317" i="16"/>
  <c r="E317" i="16" s="1"/>
  <c r="F317" i="16" s="1"/>
  <c r="G317" i="16" s="1"/>
  <c r="BY317" i="6" s="1"/>
  <c r="H309" i="15"/>
  <c r="G309" i="15"/>
  <c r="BX309" i="6" s="1"/>
  <c r="AA309" i="15"/>
  <c r="Z309" i="15" s="1"/>
  <c r="Y309" i="15" s="1"/>
  <c r="AA301" i="15"/>
  <c r="Z301" i="15" s="1"/>
  <c r="Y301" i="15" s="1"/>
  <c r="H301" i="15"/>
  <c r="G301" i="15"/>
  <c r="BX301" i="6" s="1"/>
  <c r="G289" i="15"/>
  <c r="BX289" i="6" s="1"/>
  <c r="AA289" i="15"/>
  <c r="Z289" i="15" s="1"/>
  <c r="Y289" i="15" s="1"/>
  <c r="H289" i="15"/>
  <c r="AA281" i="15"/>
  <c r="Z281" i="15" s="1"/>
  <c r="Y281" i="15" s="1"/>
  <c r="G281" i="15"/>
  <c r="BX281" i="6" s="1"/>
  <c r="H281" i="15"/>
  <c r="W281" i="16"/>
  <c r="D281" i="16"/>
  <c r="E281" i="16" s="1"/>
  <c r="F281" i="16" s="1"/>
  <c r="G281" i="16" s="1"/>
  <c r="BY281" i="6" s="1"/>
  <c r="AA265" i="15"/>
  <c r="Z265" i="15" s="1"/>
  <c r="Y265" i="15" s="1"/>
  <c r="G265" i="15"/>
  <c r="BX265" i="6" s="1"/>
  <c r="H265" i="15"/>
  <c r="W265" i="16"/>
  <c r="D265" i="16"/>
  <c r="E265" i="16" s="1"/>
  <c r="F265" i="16" s="1"/>
  <c r="G265" i="16" s="1"/>
  <c r="BY265" i="6" s="1"/>
  <c r="AA257" i="15"/>
  <c r="Z257" i="15" s="1"/>
  <c r="Y257" i="15" s="1"/>
  <c r="H257" i="15"/>
  <c r="G257" i="15"/>
  <c r="BX257" i="6" s="1"/>
  <c r="G249" i="15"/>
  <c r="BX249" i="6" s="1"/>
  <c r="AA249" i="15"/>
  <c r="Z249" i="15" s="1"/>
  <c r="Y249" i="15" s="1"/>
  <c r="H249" i="15"/>
  <c r="W249" i="16"/>
  <c r="D249" i="16"/>
  <c r="E249" i="16" s="1"/>
  <c r="F249" i="16" s="1"/>
  <c r="G249" i="16" s="1"/>
  <c r="BY249" i="6" s="1"/>
  <c r="G237" i="15"/>
  <c r="BX237" i="6" s="1"/>
  <c r="H237" i="15"/>
  <c r="AA237" i="15"/>
  <c r="Z237" i="15" s="1"/>
  <c r="Y237" i="15" s="1"/>
  <c r="G225" i="15"/>
  <c r="BX225" i="6" s="1"/>
  <c r="H225" i="15"/>
  <c r="G213" i="15"/>
  <c r="BX213" i="6" s="1"/>
  <c r="AA213" i="15"/>
  <c r="Z213" i="15" s="1"/>
  <c r="Y213" i="15" s="1"/>
  <c r="H213" i="15"/>
  <c r="H205" i="15"/>
  <c r="G205" i="15"/>
  <c r="BX205" i="6" s="1"/>
  <c r="AA189" i="15"/>
  <c r="Z189" i="15" s="1"/>
  <c r="Y189" i="15" s="1"/>
  <c r="H189" i="15"/>
  <c r="G189" i="15"/>
  <c r="BX189" i="6" s="1"/>
  <c r="H177" i="15"/>
  <c r="AA177" i="15"/>
  <c r="Z177" i="15" s="1"/>
  <c r="Y177" i="15" s="1"/>
  <c r="G177" i="15"/>
  <c r="BX177" i="6" s="1"/>
  <c r="W177" i="16"/>
  <c r="AA169" i="15"/>
  <c r="Z169" i="15" s="1"/>
  <c r="Y169" i="15" s="1"/>
  <c r="G169" i="15"/>
  <c r="BX169" i="6" s="1"/>
  <c r="H169" i="15"/>
  <c r="H153" i="15"/>
  <c r="AA153" i="15"/>
  <c r="Z153" i="15" s="1"/>
  <c r="Y153" i="15" s="1"/>
  <c r="G153" i="15"/>
  <c r="BX153" i="6" s="1"/>
  <c r="B153" i="16"/>
  <c r="H141" i="15"/>
  <c r="G141" i="15"/>
  <c r="BX141" i="6" s="1"/>
  <c r="G129" i="15"/>
  <c r="BX129" i="6" s="1"/>
  <c r="H129" i="15"/>
  <c r="AA129" i="15"/>
  <c r="Z129" i="15" s="1"/>
  <c r="Y129" i="15" s="1"/>
  <c r="G121" i="15"/>
  <c r="BX121" i="6" s="1"/>
  <c r="H121" i="15"/>
  <c r="G109" i="15"/>
  <c r="BX109" i="6" s="1"/>
  <c r="AA109" i="15"/>
  <c r="Z109" i="15" s="1"/>
  <c r="Y109" i="15" s="1"/>
  <c r="H109" i="15"/>
  <c r="H97" i="15"/>
  <c r="AA97" i="15"/>
  <c r="Z97" i="15" s="1"/>
  <c r="Y97" i="15" s="1"/>
  <c r="G97" i="15"/>
  <c r="BX97" i="6" s="1"/>
  <c r="H89" i="15"/>
  <c r="AA89" i="15"/>
  <c r="Z89" i="15" s="1"/>
  <c r="Y89" i="15" s="1"/>
  <c r="G89" i="15"/>
  <c r="BX89" i="6" s="1"/>
  <c r="AA77" i="15"/>
  <c r="Z77" i="15" s="1"/>
  <c r="Y77" i="15" s="1"/>
  <c r="G77" i="15"/>
  <c r="BX77" i="6" s="1"/>
  <c r="H77" i="15"/>
  <c r="G61" i="15"/>
  <c r="BX61" i="6" s="1"/>
  <c r="H61" i="15"/>
  <c r="H65" i="15"/>
  <c r="AA65" i="15"/>
  <c r="Z65" i="15" s="1"/>
  <c r="Y65" i="15" s="1"/>
  <c r="G65" i="15"/>
  <c r="BX65" i="6" s="1"/>
  <c r="W35" i="15"/>
  <c r="D35" i="15"/>
  <c r="E35" i="15" s="1"/>
  <c r="F35" i="15" s="1"/>
  <c r="AA25" i="15"/>
  <c r="Z25" i="15" s="1"/>
  <c r="Y25" i="15" s="1"/>
  <c r="AA112" i="15"/>
  <c r="Z112" i="15" s="1"/>
  <c r="Y112" i="15" s="1"/>
  <c r="AA164" i="15"/>
  <c r="Z164" i="15" s="1"/>
  <c r="Y164" i="15" s="1"/>
  <c r="AA200" i="15"/>
  <c r="Z200" i="15" s="1"/>
  <c r="Y200" i="15" s="1"/>
  <c r="AA244" i="15"/>
  <c r="Z244" i="15" s="1"/>
  <c r="Y244" i="15" s="1"/>
  <c r="AA316" i="15"/>
  <c r="Z316" i="15" s="1"/>
  <c r="Y316" i="15" s="1"/>
  <c r="AA360" i="15"/>
  <c r="Z360" i="15" s="1"/>
  <c r="Y360" i="15" s="1"/>
  <c r="AA102" i="15"/>
  <c r="Z102" i="15" s="1"/>
  <c r="Y102" i="15" s="1"/>
  <c r="AA142" i="15"/>
  <c r="Z142" i="15" s="1"/>
  <c r="Y142" i="15" s="1"/>
  <c r="AA170" i="15"/>
  <c r="Z170" i="15" s="1"/>
  <c r="Y170" i="15" s="1"/>
  <c r="AA254" i="15"/>
  <c r="Z254" i="15" s="1"/>
  <c r="Y254" i="15" s="1"/>
  <c r="AA294" i="15"/>
  <c r="Z294" i="15" s="1"/>
  <c r="Y294" i="15" s="1"/>
  <c r="AA342" i="15"/>
  <c r="Z342" i="15" s="1"/>
  <c r="Y342" i="15" s="1"/>
  <c r="W24" i="15"/>
  <c r="D24" i="15"/>
  <c r="E24" i="15" s="1"/>
  <c r="F24" i="15" s="1"/>
  <c r="W38" i="15"/>
  <c r="D38" i="15"/>
  <c r="E38" i="15" s="1"/>
  <c r="F38" i="15" s="1"/>
  <c r="W50" i="15"/>
  <c r="D50" i="15"/>
  <c r="E50" i="15" s="1"/>
  <c r="F50" i="15" s="1"/>
  <c r="W28" i="15"/>
  <c r="D28" i="15"/>
  <c r="E28" i="15" s="1"/>
  <c r="F28" i="15" s="1"/>
  <c r="W136" i="15"/>
  <c r="D136" i="15"/>
  <c r="E136" i="15" s="1"/>
  <c r="F136" i="15" s="1"/>
  <c r="G136" i="15" s="1"/>
  <c r="BX136" i="6" s="1"/>
  <c r="W21" i="15"/>
  <c r="D21" i="15"/>
  <c r="E21" i="15" s="1"/>
  <c r="F21" i="15" s="1"/>
  <c r="W16" i="15"/>
  <c r="D16" i="15"/>
  <c r="E16" i="15" s="1"/>
  <c r="F16" i="15" s="1"/>
  <c r="W64" i="15"/>
  <c r="B64" i="16"/>
  <c r="D64" i="15"/>
  <c r="E64" i="15" s="1"/>
  <c r="F64" i="15" s="1"/>
  <c r="W233" i="15"/>
  <c r="D233" i="15"/>
  <c r="E233" i="15" s="1"/>
  <c r="F233" i="15" s="1"/>
  <c r="W48" i="15"/>
  <c r="D48" i="15"/>
  <c r="E48" i="15" s="1"/>
  <c r="F48" i="15" s="1"/>
  <c r="AA33" i="15"/>
  <c r="Z33" i="15" s="1"/>
  <c r="Y33" i="15" s="1"/>
  <c r="AA55" i="15"/>
  <c r="Z55" i="15" s="1"/>
  <c r="Y55" i="15" s="1"/>
  <c r="AA81" i="15"/>
  <c r="Z81" i="15" s="1"/>
  <c r="Y81" i="15" s="1"/>
  <c r="AA93" i="15"/>
  <c r="Z93" i="15" s="1"/>
  <c r="Y93" i="15" s="1"/>
  <c r="AA113" i="15"/>
  <c r="Z113" i="15" s="1"/>
  <c r="Y113" i="15" s="1"/>
  <c r="AA127" i="15"/>
  <c r="Z127" i="15" s="1"/>
  <c r="Y127" i="15" s="1"/>
  <c r="AA141" i="15"/>
  <c r="Z141" i="15" s="1"/>
  <c r="Y141" i="15" s="1"/>
  <c r="AA155" i="15"/>
  <c r="Z155" i="15" s="1"/>
  <c r="Y155" i="15" s="1"/>
  <c r="AA167" i="15"/>
  <c r="Z167" i="15" s="1"/>
  <c r="Y167" i="15" s="1"/>
  <c r="AA185" i="15"/>
  <c r="Z185" i="15" s="1"/>
  <c r="Y185" i="15" s="1"/>
  <c r="AA205" i="15"/>
  <c r="Z205" i="15" s="1"/>
  <c r="Y205" i="15" s="1"/>
  <c r="AA229" i="15"/>
  <c r="Z229" i="15" s="1"/>
  <c r="Y229" i="15" s="1"/>
  <c r="AA247" i="15"/>
  <c r="Z247" i="15" s="1"/>
  <c r="Y247" i="15" s="1"/>
  <c r="AA295" i="15"/>
  <c r="Z295" i="15" s="1"/>
  <c r="Y295" i="15" s="1"/>
  <c r="AA321" i="15"/>
  <c r="Z321" i="15" s="1"/>
  <c r="Y321" i="15" s="1"/>
  <c r="AA329" i="15"/>
  <c r="Z329" i="15" s="1"/>
  <c r="Y329" i="15" s="1"/>
  <c r="AA343" i="15"/>
  <c r="Z343" i="15" s="1"/>
  <c r="Y343" i="15" s="1"/>
  <c r="AA369" i="15"/>
  <c r="Z369" i="15" s="1"/>
  <c r="Y369" i="15" s="1"/>
  <c r="AA74" i="15"/>
  <c r="Z74" i="15" s="1"/>
  <c r="Y74" i="15" s="1"/>
  <c r="AA86" i="15"/>
  <c r="Z86" i="15" s="1"/>
  <c r="Y86" i="15" s="1"/>
  <c r="AA96" i="15"/>
  <c r="Z96" i="15" s="1"/>
  <c r="Y96" i="15" s="1"/>
  <c r="AA110" i="15"/>
  <c r="Z110" i="15" s="1"/>
  <c r="Y110" i="15" s="1"/>
  <c r="AA120" i="15"/>
  <c r="Z120" i="15" s="1"/>
  <c r="Y120" i="15" s="1"/>
  <c r="AA132" i="15"/>
  <c r="Z132" i="15" s="1"/>
  <c r="Y132" i="15" s="1"/>
  <c r="AA152" i="15"/>
  <c r="Z152" i="15" s="1"/>
  <c r="Y152" i="15" s="1"/>
  <c r="AA172" i="15"/>
  <c r="Z172" i="15" s="1"/>
  <c r="Y172" i="15" s="1"/>
  <c r="AA186" i="15"/>
  <c r="Z186" i="15" s="1"/>
  <c r="Y186" i="15" s="1"/>
  <c r="AA196" i="15"/>
  <c r="Z196" i="15" s="1"/>
  <c r="Y196" i="15" s="1"/>
  <c r="AA212" i="15"/>
  <c r="Z212" i="15" s="1"/>
  <c r="Y212" i="15" s="1"/>
  <c r="AA226" i="15"/>
  <c r="Z226" i="15" s="1"/>
  <c r="Y226" i="15" s="1"/>
  <c r="AA246" i="15"/>
  <c r="Z246" i="15" s="1"/>
  <c r="Y246" i="15" s="1"/>
  <c r="AA256" i="15"/>
  <c r="Z256" i="15" s="1"/>
  <c r="Y256" i="15" s="1"/>
  <c r="AA270" i="15"/>
  <c r="Z270" i="15" s="1"/>
  <c r="Y270" i="15" s="1"/>
  <c r="AA284" i="15"/>
  <c r="Z284" i="15" s="1"/>
  <c r="Y284" i="15" s="1"/>
  <c r="AA302" i="15"/>
  <c r="Z302" i="15" s="1"/>
  <c r="Y302" i="15" s="1"/>
  <c r="AA312" i="15"/>
  <c r="Z312" i="15" s="1"/>
  <c r="Y312" i="15" s="1"/>
  <c r="AA328" i="15"/>
  <c r="Z328" i="15" s="1"/>
  <c r="Y328" i="15" s="1"/>
  <c r="AA338" i="15"/>
  <c r="Z338" i="15" s="1"/>
  <c r="Y338" i="15" s="1"/>
  <c r="AA354" i="15"/>
  <c r="Z354" i="15" s="1"/>
  <c r="Y354" i="15" s="1"/>
  <c r="AA372" i="15"/>
  <c r="Z372" i="15" s="1"/>
  <c r="Y372" i="15" s="1"/>
  <c r="W36" i="15"/>
  <c r="D36" i="15"/>
  <c r="E36" i="15" s="1"/>
  <c r="F36" i="15" s="1"/>
  <c r="W52" i="15"/>
  <c r="D52" i="15"/>
  <c r="E52" i="15" s="1"/>
  <c r="F52" i="15" s="1"/>
  <c r="AA19" i="15"/>
  <c r="Z19" i="15" s="1"/>
  <c r="Y19" i="15" s="1"/>
  <c r="AA61" i="15"/>
  <c r="Z61" i="15" s="1"/>
  <c r="Y61" i="15" s="1"/>
  <c r="AA91" i="15"/>
  <c r="Z91" i="15" s="1"/>
  <c r="Y91" i="15" s="1"/>
  <c r="AA111" i="15"/>
  <c r="Z111" i="15" s="1"/>
  <c r="Y111" i="15" s="1"/>
  <c r="AA121" i="15"/>
  <c r="Z121" i="15" s="1"/>
  <c r="Y121" i="15" s="1"/>
  <c r="AA151" i="15"/>
  <c r="Z151" i="15" s="1"/>
  <c r="Y151" i="15" s="1"/>
  <c r="AA165" i="15"/>
  <c r="Z165" i="15" s="1"/>
  <c r="Y165" i="15" s="1"/>
  <c r="AA181" i="15"/>
  <c r="Z181" i="15" s="1"/>
  <c r="Y181" i="15" s="1"/>
  <c r="AA203" i="15"/>
  <c r="Z203" i="15" s="1"/>
  <c r="Y203" i="15" s="1"/>
  <c r="AA225" i="15"/>
  <c r="Z225" i="15" s="1"/>
  <c r="Y225" i="15" s="1"/>
  <c r="AA275" i="15"/>
  <c r="Z275" i="15" s="1"/>
  <c r="Y275" i="15" s="1"/>
  <c r="AA319" i="15"/>
  <c r="Z319" i="15" s="1"/>
  <c r="Y319" i="15" s="1"/>
  <c r="AA327" i="15"/>
  <c r="Z327" i="15" s="1"/>
  <c r="Y327" i="15" s="1"/>
  <c r="AA339" i="15"/>
  <c r="Z339" i="15" s="1"/>
  <c r="Y339" i="15" s="1"/>
  <c r="AA371" i="15"/>
  <c r="Z371" i="15" s="1"/>
  <c r="Y371" i="15" s="1"/>
  <c r="AA66" i="15"/>
  <c r="Z66" i="15" s="1"/>
  <c r="Y66" i="15" s="1"/>
  <c r="AA84" i="15"/>
  <c r="Z84" i="15" s="1"/>
  <c r="Y84" i="15" s="1"/>
  <c r="AA94" i="15"/>
  <c r="Z94" i="15" s="1"/>
  <c r="Y94" i="15" s="1"/>
  <c r="AA114" i="15"/>
  <c r="Z114" i="15" s="1"/>
  <c r="Y114" i="15" s="1"/>
  <c r="AA122" i="15"/>
  <c r="Z122" i="15" s="1"/>
  <c r="Y122" i="15" s="1"/>
  <c r="AA144" i="15"/>
  <c r="Z144" i="15" s="1"/>
  <c r="Y144" i="15" s="1"/>
  <c r="AA154" i="15"/>
  <c r="Z154" i="15" s="1"/>
  <c r="Y154" i="15" s="1"/>
  <c r="AA174" i="15"/>
  <c r="Z174" i="15" s="1"/>
  <c r="Y174" i="15" s="1"/>
  <c r="AA188" i="15"/>
  <c r="Z188" i="15" s="1"/>
  <c r="Y188" i="15" s="1"/>
  <c r="AA198" i="15"/>
  <c r="Z198" i="15" s="1"/>
  <c r="Y198" i="15" s="1"/>
  <c r="AA214" i="15"/>
  <c r="Z214" i="15" s="1"/>
  <c r="Y214" i="15" s="1"/>
  <c r="AA228" i="15"/>
  <c r="Z228" i="15" s="1"/>
  <c r="Y228" i="15" s="1"/>
  <c r="AA248" i="15"/>
  <c r="Z248" i="15" s="1"/>
  <c r="Y248" i="15" s="1"/>
  <c r="AA260" i="15"/>
  <c r="Z260" i="15" s="1"/>
  <c r="Y260" i="15" s="1"/>
  <c r="AA276" i="15"/>
  <c r="Z276" i="15" s="1"/>
  <c r="Y276" i="15" s="1"/>
  <c r="AA296" i="15"/>
  <c r="Z296" i="15" s="1"/>
  <c r="Y296" i="15" s="1"/>
  <c r="AA304" i="15"/>
  <c r="Z304" i="15" s="1"/>
  <c r="Y304" i="15" s="1"/>
  <c r="AA314" i="15"/>
  <c r="Z314" i="15" s="1"/>
  <c r="Y314" i="15" s="1"/>
  <c r="AA330" i="15"/>
  <c r="Z330" i="15" s="1"/>
  <c r="Y330" i="15" s="1"/>
  <c r="AA346" i="15"/>
  <c r="Z346" i="15" s="1"/>
  <c r="Y346" i="15" s="1"/>
  <c r="AA364" i="15"/>
  <c r="Z364" i="15" s="1"/>
  <c r="Y364" i="15" s="1"/>
  <c r="AA376" i="15"/>
  <c r="Z376" i="15" s="1"/>
  <c r="Y376" i="15" s="1"/>
  <c r="AD277" i="16"/>
  <c r="AD90" i="16"/>
  <c r="AD126" i="16"/>
  <c r="AD142" i="16"/>
  <c r="AD186" i="16"/>
  <c r="AD246" i="16"/>
  <c r="AD338" i="16"/>
  <c r="AD342" i="16"/>
  <c r="P18" i="16"/>
  <c r="V18" i="16" s="1"/>
  <c r="B18" i="16" s="1"/>
  <c r="P57" i="16"/>
  <c r="V57" i="16" s="1"/>
  <c r="P111" i="16"/>
  <c r="V111" i="16" s="1"/>
  <c r="P135" i="16"/>
  <c r="V135" i="16" s="1"/>
  <c r="P143" i="16"/>
  <c r="V143" i="16" s="1"/>
  <c r="P151" i="16"/>
  <c r="V151" i="16" s="1"/>
  <c r="AD52" i="16"/>
  <c r="AD208" i="16"/>
  <c r="AD324" i="16"/>
  <c r="AD360" i="16"/>
  <c r="AD368" i="16"/>
  <c r="AD372" i="16"/>
  <c r="P84" i="16"/>
  <c r="V84" i="16" s="1"/>
  <c r="P88" i="16"/>
  <c r="V88" i="16" s="1"/>
  <c r="P92" i="16"/>
  <c r="V92" i="16" s="1"/>
  <c r="P108" i="16"/>
  <c r="V108" i="16" s="1"/>
  <c r="B108" i="16" s="1"/>
  <c r="P112" i="16"/>
  <c r="V112" i="16" s="1"/>
  <c r="P140" i="16"/>
  <c r="V140" i="16" s="1"/>
  <c r="P152" i="16"/>
  <c r="V152" i="16" s="1"/>
  <c r="P172" i="16"/>
  <c r="V172" i="16" s="1"/>
  <c r="B172" i="16" s="1"/>
  <c r="P176" i="16"/>
  <c r="V176" i="16" s="1"/>
  <c r="AD125" i="16"/>
  <c r="AD133" i="16"/>
  <c r="AD173" i="16"/>
  <c r="AD185" i="16"/>
  <c r="AD249" i="16"/>
  <c r="AD253" i="16"/>
  <c r="AD309" i="16"/>
  <c r="AD329" i="16"/>
  <c r="AD349" i="16"/>
  <c r="P27" i="16"/>
  <c r="V27" i="16" s="1"/>
  <c r="P38" i="16"/>
  <c r="V38" i="16" s="1"/>
  <c r="P54" i="16"/>
  <c r="V54" i="16" s="1"/>
  <c r="P40" i="16"/>
  <c r="V40" i="16" s="1"/>
  <c r="P56" i="16"/>
  <c r="V56" i="16" s="1"/>
  <c r="B56" i="16" s="1"/>
  <c r="AD61" i="16"/>
  <c r="AD65" i="16"/>
  <c r="AD93" i="16"/>
  <c r="AD205" i="16"/>
  <c r="AD217" i="16"/>
  <c r="AD233" i="16"/>
  <c r="AD237" i="16"/>
  <c r="AD301" i="16"/>
  <c r="AD305" i="16"/>
  <c r="P36" i="16"/>
  <c r="V36" i="16" s="1"/>
  <c r="P30" i="16"/>
  <c r="V30" i="16" s="1"/>
  <c r="P42" i="16"/>
  <c r="V42" i="16" s="1"/>
  <c r="P58" i="16"/>
  <c r="V58" i="16" s="1"/>
  <c r="P70" i="16"/>
  <c r="V70" i="16" s="1"/>
  <c r="P50" i="16"/>
  <c r="V50" i="16" s="1"/>
  <c r="P62" i="16"/>
  <c r="V62" i="16" s="1"/>
  <c r="B62" i="16" s="1"/>
  <c r="AD49" i="16"/>
  <c r="AD53" i="16"/>
  <c r="AD73" i="16"/>
  <c r="AD109" i="16"/>
  <c r="AD165" i="16"/>
  <c r="AD17" i="16"/>
  <c r="AD56" i="16"/>
  <c r="AD132" i="16"/>
  <c r="AD164" i="16"/>
  <c r="AD176" i="16"/>
  <c r="AD192" i="16"/>
  <c r="AD260" i="16"/>
  <c r="D44" i="7"/>
  <c r="P16" i="16"/>
  <c r="V16" i="16" s="1"/>
  <c r="AD16" i="16"/>
  <c r="AD18" i="16"/>
  <c r="AD21" i="16"/>
  <c r="AD33" i="16"/>
  <c r="AD41" i="16"/>
  <c r="AD69" i="16"/>
  <c r="AD77" i="16"/>
  <c r="AD105" i="16"/>
  <c r="AD153" i="16"/>
  <c r="AD221" i="16"/>
  <c r="AD225" i="16"/>
  <c r="AD229" i="16"/>
  <c r="AD20" i="16"/>
  <c r="AD30" i="16"/>
  <c r="AD44" i="16"/>
  <c r="AD48" i="16"/>
  <c r="AD54" i="16"/>
  <c r="AD74" i="16"/>
  <c r="AD88" i="16"/>
  <c r="AD94" i="16"/>
  <c r="AD102" i="16"/>
  <c r="AD114" i="16"/>
  <c r="AD120" i="16"/>
  <c r="AD146" i="16"/>
  <c r="AD156" i="16"/>
  <c r="AD188" i="16"/>
  <c r="AD200" i="16"/>
  <c r="AD212" i="16"/>
  <c r="AD220" i="16"/>
  <c r="AD224" i="16"/>
  <c r="AD242" i="16"/>
  <c r="AD254" i="16"/>
  <c r="AD286" i="16"/>
  <c r="AD298" i="16"/>
  <c r="AD304" i="16"/>
  <c r="AD318" i="16"/>
  <c r="AD346" i="16"/>
  <c r="AD380" i="16"/>
  <c r="AD333" i="16"/>
  <c r="AD345" i="16"/>
  <c r="V382" i="1"/>
  <c r="V383" i="1"/>
  <c r="V381" i="1"/>
  <c r="M61" i="19"/>
  <c r="AD24" i="16"/>
  <c r="AD60" i="16"/>
  <c r="AD68" i="16"/>
  <c r="AD84" i="16"/>
  <c r="AD96" i="16"/>
  <c r="AD110" i="16"/>
  <c r="AD116" i="16"/>
  <c r="AD140" i="16"/>
  <c r="AD144" i="16"/>
  <c r="AD168" i="16"/>
  <c r="AD196" i="16"/>
  <c r="AD206" i="16"/>
  <c r="AD232" i="16"/>
  <c r="AD244" i="16"/>
  <c r="AD250" i="16"/>
  <c r="AD256" i="16"/>
  <c r="AD270" i="16"/>
  <c r="AD274" i="16"/>
  <c r="AD302" i="16"/>
  <c r="AD306" i="16"/>
  <c r="AD328" i="16"/>
  <c r="AD358" i="16"/>
  <c r="AD341" i="16"/>
  <c r="AD367" i="16"/>
  <c r="AD373" i="16"/>
  <c r="V48" i="16"/>
  <c r="D45" i="7"/>
  <c r="V60" i="16"/>
  <c r="V118" i="16"/>
  <c r="V266" i="16"/>
  <c r="B266" i="16" s="1"/>
  <c r="V299" i="16"/>
  <c r="V212" i="16"/>
  <c r="G264" i="15"/>
  <c r="BX264" i="6" s="1"/>
  <c r="AA264" i="15"/>
  <c r="Z264" i="15" s="1"/>
  <c r="Y264" i="15" s="1"/>
  <c r="H264" i="15"/>
  <c r="Q381" i="16"/>
  <c r="Q383" i="16"/>
  <c r="Q382" i="16"/>
  <c r="AF381" i="15"/>
  <c r="AD17" i="15"/>
  <c r="K380" i="22"/>
  <c r="L380" i="22"/>
  <c r="AJ380" i="22"/>
  <c r="AB380" i="22"/>
  <c r="X380" i="22"/>
  <c r="AK380" i="22"/>
  <c r="O380" i="22"/>
  <c r="AC380" i="22"/>
  <c r="D55" i="7"/>
  <c r="V363" i="16"/>
  <c r="U16" i="7"/>
  <c r="AH381" i="16"/>
  <c r="AG15" i="16"/>
  <c r="AH382" i="16"/>
  <c r="AH383" i="16"/>
  <c r="AD379" i="16"/>
  <c r="A378" i="25"/>
  <c r="L377" i="25"/>
  <c r="K377" i="25"/>
  <c r="AJ377" i="25"/>
  <c r="AB377" i="25"/>
  <c r="X377" i="25"/>
  <c r="AK377" i="25"/>
  <c r="O377" i="25"/>
  <c r="AC377" i="25"/>
  <c r="V28" i="16"/>
  <c r="B28" i="16" s="1"/>
  <c r="V228" i="16"/>
  <c r="B228" i="16" s="1"/>
  <c r="V322" i="16"/>
  <c r="V372" i="16"/>
  <c r="R382" i="15"/>
  <c r="R381" i="15"/>
  <c r="R383" i="15"/>
  <c r="P15" i="15"/>
  <c r="G358" i="15"/>
  <c r="BX358" i="6" s="1"/>
  <c r="AA358" i="15"/>
  <c r="Z358" i="15" s="1"/>
  <c r="Y358" i="15" s="1"/>
  <c r="AE382" i="16"/>
  <c r="AE383" i="16"/>
  <c r="AE381" i="16"/>
  <c r="T382" i="16"/>
  <c r="S15" i="16"/>
  <c r="AF382" i="15"/>
  <c r="AF383" i="15"/>
  <c r="AD15" i="15"/>
  <c r="J288" i="15"/>
  <c r="I288" i="15"/>
  <c r="G51" i="15"/>
  <c r="BX51" i="6" s="1"/>
  <c r="AA51" i="15"/>
  <c r="Z51" i="15" s="1"/>
  <c r="Y51" i="15" s="1"/>
  <c r="H51" i="15"/>
  <c r="AA227" i="15"/>
  <c r="Z227" i="15" s="1"/>
  <c r="Y227" i="15" s="1"/>
  <c r="G227" i="15"/>
  <c r="BX227" i="6" s="1"/>
  <c r="H227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U15" i="7"/>
  <c r="S379" i="16"/>
  <c r="R379" i="16" s="1"/>
  <c r="P379" i="16" s="1"/>
  <c r="U10" i="17"/>
  <c r="AI15" i="17" s="1"/>
  <c r="K379" i="23"/>
  <c r="L379" i="23"/>
  <c r="B42" i="19" s="1"/>
  <c r="AK379" i="23"/>
  <c r="AB379" i="23"/>
  <c r="X379" i="23"/>
  <c r="AJ379" i="23"/>
  <c r="O379" i="23"/>
  <c r="C42" i="19" s="1"/>
  <c r="AC379" i="23"/>
  <c r="W157" i="16" l="1"/>
  <c r="D181" i="16"/>
  <c r="E181" i="16" s="1"/>
  <c r="F181" i="16" s="1"/>
  <c r="G181" i="16" s="1"/>
  <c r="BY181" i="6" s="1"/>
  <c r="W330" i="16"/>
  <c r="W129" i="16"/>
  <c r="D229" i="16"/>
  <c r="E229" i="16" s="1"/>
  <c r="F229" i="16" s="1"/>
  <c r="G229" i="16" s="1"/>
  <c r="BY229" i="6" s="1"/>
  <c r="W41" i="16"/>
  <c r="W307" i="16"/>
  <c r="W145" i="16"/>
  <c r="W133" i="16"/>
  <c r="D245" i="16"/>
  <c r="E245" i="16" s="1"/>
  <c r="F245" i="16" s="1"/>
  <c r="G245" i="16" s="1"/>
  <c r="BY245" i="6" s="1"/>
  <c r="W357" i="16"/>
  <c r="D113" i="16"/>
  <c r="E113" i="16" s="1"/>
  <c r="F113" i="16" s="1"/>
  <c r="G113" i="16" s="1"/>
  <c r="BY113" i="6" s="1"/>
  <c r="D49" i="16"/>
  <c r="E49" i="16" s="1"/>
  <c r="F49" i="16" s="1"/>
  <c r="G49" i="16" s="1"/>
  <c r="BY49" i="6" s="1"/>
  <c r="W243" i="16"/>
  <c r="W350" i="16"/>
  <c r="D120" i="16"/>
  <c r="E120" i="16" s="1"/>
  <c r="F120" i="16" s="1"/>
  <c r="G120" i="16" s="1"/>
  <c r="BY120" i="6" s="1"/>
  <c r="D355" i="16"/>
  <c r="E355" i="16" s="1"/>
  <c r="F355" i="16" s="1"/>
  <c r="AA355" i="16" s="1"/>
  <c r="Z355" i="16" s="1"/>
  <c r="Y355" i="16" s="1"/>
  <c r="T381" i="16"/>
  <c r="W348" i="16"/>
  <c r="V180" i="16"/>
  <c r="B180" i="16" s="1"/>
  <c r="D219" i="16"/>
  <c r="E219" i="16" s="1"/>
  <c r="F219" i="16" s="1"/>
  <c r="AA219" i="16" s="1"/>
  <c r="Z219" i="16" s="1"/>
  <c r="Y219" i="16" s="1"/>
  <c r="W312" i="16"/>
  <c r="D48" i="7"/>
  <c r="D221" i="16"/>
  <c r="E221" i="16" s="1"/>
  <c r="F221" i="16" s="1"/>
  <c r="G221" i="16" s="1"/>
  <c r="BY221" i="6" s="1"/>
  <c r="W273" i="16"/>
  <c r="W60" i="15"/>
  <c r="V333" i="16"/>
  <c r="L63" i="19" s="1"/>
  <c r="W353" i="16"/>
  <c r="D215" i="16"/>
  <c r="E215" i="16" s="1"/>
  <c r="F215" i="16" s="1"/>
  <c r="G215" i="16" s="1"/>
  <c r="BY215" i="6" s="1"/>
  <c r="W223" i="16"/>
  <c r="W256" i="16"/>
  <c r="W347" i="16"/>
  <c r="AA210" i="15"/>
  <c r="Z210" i="15" s="1"/>
  <c r="Y210" i="15" s="1"/>
  <c r="W165" i="16"/>
  <c r="W239" i="16"/>
  <c r="G210" i="15"/>
  <c r="BX210" i="6" s="1"/>
  <c r="W202" i="16"/>
  <c r="W189" i="16"/>
  <c r="D225" i="16"/>
  <c r="E225" i="16" s="1"/>
  <c r="F225" i="16" s="1"/>
  <c r="G225" i="16" s="1"/>
  <c r="BY225" i="6" s="1"/>
  <c r="D193" i="16"/>
  <c r="E193" i="16" s="1"/>
  <c r="F193" i="16" s="1"/>
  <c r="G193" i="16" s="1"/>
  <c r="BY193" i="6" s="1"/>
  <c r="D253" i="16"/>
  <c r="E253" i="16" s="1"/>
  <c r="F253" i="16" s="1"/>
  <c r="G253" i="16" s="1"/>
  <c r="BY253" i="6" s="1"/>
  <c r="W148" i="16"/>
  <c r="D185" i="16"/>
  <c r="E185" i="16" s="1"/>
  <c r="F185" i="16" s="1"/>
  <c r="G185" i="16" s="1"/>
  <c r="BY185" i="6" s="1"/>
  <c r="D247" i="16"/>
  <c r="E247" i="16" s="1"/>
  <c r="F247" i="16" s="1"/>
  <c r="AA247" i="16" s="1"/>
  <c r="Z247" i="16" s="1"/>
  <c r="Y247" i="16" s="1"/>
  <c r="W338" i="16"/>
  <c r="W214" i="16"/>
  <c r="D51" i="7"/>
  <c r="B60" i="16"/>
  <c r="W60" i="16" s="1"/>
  <c r="D53" i="7"/>
  <c r="AI296" i="17"/>
  <c r="AH296" i="17" s="1"/>
  <c r="D315" i="16"/>
  <c r="E315" i="16" s="1"/>
  <c r="F315" i="16" s="1"/>
  <c r="G315" i="16" s="1"/>
  <c r="BY315" i="6" s="1"/>
  <c r="D301" i="16"/>
  <c r="E301" i="16" s="1"/>
  <c r="F301" i="16" s="1"/>
  <c r="G301" i="16" s="1"/>
  <c r="BY301" i="6" s="1"/>
  <c r="D255" i="16"/>
  <c r="E255" i="16" s="1"/>
  <c r="F255" i="16" s="1"/>
  <c r="G255" i="16" s="1"/>
  <c r="BY255" i="6" s="1"/>
  <c r="D105" i="16"/>
  <c r="E105" i="16" s="1"/>
  <c r="F105" i="16" s="1"/>
  <c r="G105" i="16" s="1"/>
  <c r="BY105" i="6" s="1"/>
  <c r="W117" i="16"/>
  <c r="D270" i="16"/>
  <c r="E270" i="16" s="1"/>
  <c r="F270" i="16" s="1"/>
  <c r="G270" i="16" s="1"/>
  <c r="BY270" i="6" s="1"/>
  <c r="W79" i="16"/>
  <c r="AI168" i="17"/>
  <c r="AH168" i="17" s="1"/>
  <c r="AG168" i="17" s="1"/>
  <c r="AF168" i="17" s="1"/>
  <c r="W127" i="16"/>
  <c r="AI360" i="17"/>
  <c r="AH360" i="17" s="1"/>
  <c r="AI232" i="17"/>
  <c r="AH232" i="17" s="1"/>
  <c r="AG232" i="17" s="1"/>
  <c r="AF232" i="17" s="1"/>
  <c r="AI79" i="17"/>
  <c r="AH79" i="17" s="1"/>
  <c r="AG79" i="17" s="1"/>
  <c r="AF79" i="17" s="1"/>
  <c r="W45" i="16"/>
  <c r="V379" i="16"/>
  <c r="B379" i="16" s="1"/>
  <c r="W379" i="16" s="1"/>
  <c r="D37" i="19"/>
  <c r="AI328" i="17"/>
  <c r="AH328" i="17" s="1"/>
  <c r="AG328" i="17" s="1"/>
  <c r="AF328" i="17" s="1"/>
  <c r="AI264" i="17"/>
  <c r="AH264" i="17" s="1"/>
  <c r="AG264" i="17" s="1"/>
  <c r="AF264" i="17" s="1"/>
  <c r="AI200" i="17"/>
  <c r="AH200" i="17" s="1"/>
  <c r="AG200" i="17" s="1"/>
  <c r="AF200" i="17" s="1"/>
  <c r="AI136" i="17"/>
  <c r="AH136" i="17" s="1"/>
  <c r="AG136" i="17" s="1"/>
  <c r="AF136" i="17" s="1"/>
  <c r="AI18" i="17"/>
  <c r="AH18" i="17" s="1"/>
  <c r="AG18" i="17" s="1"/>
  <c r="AF18" i="17" s="1"/>
  <c r="V119" i="16"/>
  <c r="E63" i="19" s="1"/>
  <c r="D50" i="7"/>
  <c r="W69" i="16"/>
  <c r="AA117" i="16"/>
  <c r="Z117" i="16" s="1"/>
  <c r="Y117" i="16" s="1"/>
  <c r="AA277" i="16"/>
  <c r="Z277" i="16" s="1"/>
  <c r="Y277" i="16" s="1"/>
  <c r="W379" i="15"/>
  <c r="G171" i="15"/>
  <c r="BX171" i="6" s="1"/>
  <c r="E379" i="1"/>
  <c r="H171" i="15"/>
  <c r="J171" i="15" s="1"/>
  <c r="AA329" i="16"/>
  <c r="Z329" i="16" s="1"/>
  <c r="Y329" i="16" s="1"/>
  <c r="J377" i="1"/>
  <c r="I377" i="1"/>
  <c r="B377" i="6" s="1"/>
  <c r="AA225" i="16"/>
  <c r="Z225" i="16" s="1"/>
  <c r="Y225" i="16" s="1"/>
  <c r="AA164" i="16"/>
  <c r="Z164" i="16" s="1"/>
  <c r="Y164" i="16" s="1"/>
  <c r="AA108" i="15"/>
  <c r="Z108" i="15" s="1"/>
  <c r="Y108" i="15" s="1"/>
  <c r="G247" i="16"/>
  <c r="BY247" i="6" s="1"/>
  <c r="G295" i="16"/>
  <c r="BY295" i="6" s="1"/>
  <c r="AA320" i="16"/>
  <c r="Z320" i="16" s="1"/>
  <c r="Y320" i="16" s="1"/>
  <c r="AA157" i="16"/>
  <c r="Z157" i="16" s="1"/>
  <c r="Y157" i="16" s="1"/>
  <c r="D161" i="16"/>
  <c r="E161" i="16" s="1"/>
  <c r="F161" i="16" s="1"/>
  <c r="AA161" i="16" s="1"/>
  <c r="Z161" i="16" s="1"/>
  <c r="Y161" i="16" s="1"/>
  <c r="D19" i="16"/>
  <c r="E19" i="16" s="1"/>
  <c r="F19" i="16" s="1"/>
  <c r="G19" i="16" s="1"/>
  <c r="BY19" i="6" s="1"/>
  <c r="AA202" i="16"/>
  <c r="Z202" i="16" s="1"/>
  <c r="Y202" i="16" s="1"/>
  <c r="AA261" i="16"/>
  <c r="Z261" i="16" s="1"/>
  <c r="Y261" i="16" s="1"/>
  <c r="AA263" i="16"/>
  <c r="Z263" i="16" s="1"/>
  <c r="Y263" i="16" s="1"/>
  <c r="G263" i="16"/>
  <c r="BY263" i="6" s="1"/>
  <c r="AI376" i="17"/>
  <c r="AH376" i="17" s="1"/>
  <c r="AG376" i="17" s="1"/>
  <c r="AF376" i="17" s="1"/>
  <c r="AI344" i="17"/>
  <c r="AH344" i="17" s="1"/>
  <c r="AG344" i="17" s="1"/>
  <c r="AF344" i="17" s="1"/>
  <c r="AI312" i="17"/>
  <c r="AH312" i="17" s="1"/>
  <c r="AG312" i="17" s="1"/>
  <c r="AF312" i="17" s="1"/>
  <c r="AI280" i="17"/>
  <c r="AH280" i="17" s="1"/>
  <c r="AG280" i="17" s="1"/>
  <c r="AF280" i="17" s="1"/>
  <c r="AI248" i="17"/>
  <c r="AH248" i="17" s="1"/>
  <c r="AG248" i="17" s="1"/>
  <c r="AF248" i="17" s="1"/>
  <c r="AI216" i="17"/>
  <c r="AH216" i="17" s="1"/>
  <c r="AG216" i="17" s="1"/>
  <c r="AF216" i="17" s="1"/>
  <c r="AI184" i="17"/>
  <c r="AH184" i="17" s="1"/>
  <c r="AG184" i="17" s="1"/>
  <c r="AF184" i="17" s="1"/>
  <c r="AI152" i="17"/>
  <c r="AH152" i="17" s="1"/>
  <c r="AG152" i="17" s="1"/>
  <c r="AF152" i="17" s="1"/>
  <c r="AI111" i="17"/>
  <c r="AH111" i="17" s="1"/>
  <c r="AG111" i="17" s="1"/>
  <c r="AF111" i="17" s="1"/>
  <c r="AI47" i="17"/>
  <c r="AH47" i="17" s="1"/>
  <c r="AG47" i="17" s="1"/>
  <c r="AF47" i="17" s="1"/>
  <c r="AA17" i="15"/>
  <c r="Z17" i="15" s="1"/>
  <c r="Y17" i="15" s="1"/>
  <c r="AA165" i="16"/>
  <c r="Z165" i="16" s="1"/>
  <c r="Y165" i="16" s="1"/>
  <c r="AA131" i="16"/>
  <c r="Z131" i="16" s="1"/>
  <c r="Y131" i="16" s="1"/>
  <c r="AA338" i="16"/>
  <c r="Z338" i="16" s="1"/>
  <c r="Y338" i="16" s="1"/>
  <c r="BA9" i="1"/>
  <c r="BA11" i="1" s="1"/>
  <c r="BA383" i="1"/>
  <c r="BA382" i="1"/>
  <c r="BA381" i="1"/>
  <c r="Q280" i="17"/>
  <c r="D46" i="7"/>
  <c r="AA347" i="16"/>
  <c r="Z347" i="16" s="1"/>
  <c r="Y347" i="16" s="1"/>
  <c r="H197" i="15"/>
  <c r="J197" i="15" s="1"/>
  <c r="AA367" i="16"/>
  <c r="Z367" i="16" s="1"/>
  <c r="Y367" i="16" s="1"/>
  <c r="AA256" i="16"/>
  <c r="Z256" i="16" s="1"/>
  <c r="Y256" i="16" s="1"/>
  <c r="AA357" i="16"/>
  <c r="Z357" i="16" s="1"/>
  <c r="Y357" i="16" s="1"/>
  <c r="Q348" i="17"/>
  <c r="Q152" i="17"/>
  <c r="G115" i="16"/>
  <c r="BY115" i="6" s="1"/>
  <c r="AA115" i="16"/>
  <c r="Z115" i="16" s="1"/>
  <c r="Y115" i="16" s="1"/>
  <c r="G330" i="16"/>
  <c r="BY330" i="6" s="1"/>
  <c r="AA330" i="16"/>
  <c r="Z330" i="16" s="1"/>
  <c r="Y330" i="16" s="1"/>
  <c r="G264" i="16"/>
  <c r="BY264" i="6" s="1"/>
  <c r="AA264" i="16"/>
  <c r="Z264" i="16" s="1"/>
  <c r="Y264" i="16" s="1"/>
  <c r="G128" i="16"/>
  <c r="BY128" i="6" s="1"/>
  <c r="AA128" i="16"/>
  <c r="Z128" i="16" s="1"/>
  <c r="Y128" i="16" s="1"/>
  <c r="G339" i="16"/>
  <c r="BY339" i="6" s="1"/>
  <c r="AA339" i="16"/>
  <c r="Z339" i="16" s="1"/>
  <c r="Y339" i="16" s="1"/>
  <c r="AA307" i="16"/>
  <c r="Z307" i="16" s="1"/>
  <c r="Y307" i="16" s="1"/>
  <c r="G307" i="16"/>
  <c r="BY307" i="6" s="1"/>
  <c r="AA259" i="16"/>
  <c r="Z259" i="16" s="1"/>
  <c r="Y259" i="16" s="1"/>
  <c r="G259" i="16"/>
  <c r="BY259" i="6" s="1"/>
  <c r="AA29" i="16"/>
  <c r="Z29" i="16" s="1"/>
  <c r="Y29" i="16" s="1"/>
  <c r="G29" i="16"/>
  <c r="BY29" i="6" s="1"/>
  <c r="AA271" i="16"/>
  <c r="Z271" i="16" s="1"/>
  <c r="Y271" i="16" s="1"/>
  <c r="G271" i="16"/>
  <c r="BY271" i="6" s="1"/>
  <c r="G243" i="16"/>
  <c r="BY243" i="6" s="1"/>
  <c r="AA243" i="16"/>
  <c r="Z243" i="16" s="1"/>
  <c r="Y243" i="16" s="1"/>
  <c r="AA156" i="16"/>
  <c r="Z156" i="16" s="1"/>
  <c r="Y156" i="16" s="1"/>
  <c r="AA41" i="16"/>
  <c r="Z41" i="16" s="1"/>
  <c r="Y41" i="16" s="1"/>
  <c r="AI368" i="17"/>
  <c r="AH368" i="17" s="1"/>
  <c r="AG368" i="17" s="1"/>
  <c r="AF368" i="17" s="1"/>
  <c r="AI352" i="17"/>
  <c r="AH352" i="17" s="1"/>
  <c r="AG352" i="17" s="1"/>
  <c r="AF352" i="17" s="1"/>
  <c r="AI336" i="17"/>
  <c r="AH336" i="17" s="1"/>
  <c r="AG336" i="17" s="1"/>
  <c r="AF336" i="17" s="1"/>
  <c r="AI320" i="17"/>
  <c r="AH320" i="17" s="1"/>
  <c r="AG320" i="17" s="1"/>
  <c r="AF320" i="17" s="1"/>
  <c r="AI304" i="17"/>
  <c r="AH304" i="17" s="1"/>
  <c r="AG304" i="17" s="1"/>
  <c r="AF304" i="17" s="1"/>
  <c r="AI288" i="17"/>
  <c r="AH288" i="17" s="1"/>
  <c r="AG288" i="17" s="1"/>
  <c r="AF288" i="17" s="1"/>
  <c r="AI272" i="17"/>
  <c r="AH272" i="17" s="1"/>
  <c r="AG272" i="17" s="1"/>
  <c r="AF272" i="17" s="1"/>
  <c r="AI256" i="17"/>
  <c r="AH256" i="17" s="1"/>
  <c r="AG256" i="17" s="1"/>
  <c r="AF256" i="17" s="1"/>
  <c r="AI240" i="17"/>
  <c r="AH240" i="17" s="1"/>
  <c r="AG240" i="17" s="1"/>
  <c r="AF240" i="17" s="1"/>
  <c r="AI224" i="17"/>
  <c r="AH224" i="17" s="1"/>
  <c r="AG224" i="17" s="1"/>
  <c r="AF224" i="17" s="1"/>
  <c r="AI208" i="17"/>
  <c r="AH208" i="17" s="1"/>
  <c r="AG208" i="17" s="1"/>
  <c r="AF208" i="17" s="1"/>
  <c r="AI192" i="17"/>
  <c r="AH192" i="17" s="1"/>
  <c r="AG192" i="17" s="1"/>
  <c r="AF192" i="17" s="1"/>
  <c r="AI176" i="17"/>
  <c r="AH176" i="17" s="1"/>
  <c r="AG176" i="17" s="1"/>
  <c r="AF176" i="17" s="1"/>
  <c r="AI160" i="17"/>
  <c r="AH160" i="17" s="1"/>
  <c r="AG160" i="17" s="1"/>
  <c r="AF160" i="17" s="1"/>
  <c r="AI144" i="17"/>
  <c r="AH144" i="17" s="1"/>
  <c r="AG144" i="17" s="1"/>
  <c r="AF144" i="17" s="1"/>
  <c r="AI127" i="17"/>
  <c r="AH127" i="17" s="1"/>
  <c r="AI95" i="17"/>
  <c r="AH95" i="17" s="1"/>
  <c r="AG95" i="17" s="1"/>
  <c r="AF95" i="17" s="1"/>
  <c r="AI63" i="17"/>
  <c r="AH63" i="17" s="1"/>
  <c r="AG63" i="17" s="1"/>
  <c r="AF63" i="17" s="1"/>
  <c r="AI31" i="17"/>
  <c r="AH31" i="17" s="1"/>
  <c r="AG31" i="17" s="1"/>
  <c r="AF31" i="17" s="1"/>
  <c r="Q316" i="17"/>
  <c r="Q216" i="17"/>
  <c r="Q88" i="17"/>
  <c r="AA127" i="16"/>
  <c r="Z127" i="16" s="1"/>
  <c r="Y127" i="16" s="1"/>
  <c r="AA373" i="16"/>
  <c r="Z373" i="16" s="1"/>
  <c r="Y373" i="16" s="1"/>
  <c r="AA133" i="16"/>
  <c r="Z133" i="16" s="1"/>
  <c r="Y133" i="16" s="1"/>
  <c r="AA148" i="16"/>
  <c r="Z148" i="16" s="1"/>
  <c r="Y148" i="16" s="1"/>
  <c r="H108" i="15"/>
  <c r="AA107" i="16"/>
  <c r="Z107" i="16" s="1"/>
  <c r="Y107" i="16" s="1"/>
  <c r="AA377" i="16"/>
  <c r="Z377" i="16" s="1"/>
  <c r="Y377" i="16" s="1"/>
  <c r="AA273" i="16"/>
  <c r="Z273" i="16" s="1"/>
  <c r="Y273" i="16" s="1"/>
  <c r="Q364" i="17"/>
  <c r="Q332" i="17"/>
  <c r="Q300" i="17"/>
  <c r="Q248" i="17"/>
  <c r="Q184" i="17"/>
  <c r="Q120" i="17"/>
  <c r="Q56" i="17"/>
  <c r="Q372" i="17"/>
  <c r="Q356" i="17"/>
  <c r="Q340" i="17"/>
  <c r="Q324" i="17"/>
  <c r="Q308" i="17"/>
  <c r="Q292" i="17"/>
  <c r="Q264" i="17"/>
  <c r="Q232" i="17"/>
  <c r="Q200" i="17"/>
  <c r="Q168" i="17"/>
  <c r="Q136" i="17"/>
  <c r="Q104" i="17"/>
  <c r="Q72" i="17"/>
  <c r="Q40" i="17"/>
  <c r="AA201" i="16"/>
  <c r="Z201" i="16" s="1"/>
  <c r="Y201" i="16" s="1"/>
  <c r="AA69" i="16"/>
  <c r="Z69" i="16" s="1"/>
  <c r="Y69" i="16" s="1"/>
  <c r="G79" i="16"/>
  <c r="BY79" i="6" s="1"/>
  <c r="AA79" i="16"/>
  <c r="Z79" i="16" s="1"/>
  <c r="Y79" i="16" s="1"/>
  <c r="G45" i="16"/>
  <c r="BY45" i="6" s="1"/>
  <c r="AA45" i="16"/>
  <c r="Z45" i="16" s="1"/>
  <c r="Y45" i="16" s="1"/>
  <c r="AA197" i="15"/>
  <c r="Z197" i="15" s="1"/>
  <c r="Y197" i="15" s="1"/>
  <c r="AA345" i="16"/>
  <c r="Z345" i="16" s="1"/>
  <c r="Y345" i="16" s="1"/>
  <c r="AA349" i="16"/>
  <c r="Z349" i="16" s="1"/>
  <c r="Y349" i="16" s="1"/>
  <c r="AA249" i="16"/>
  <c r="Z249" i="16" s="1"/>
  <c r="Y249" i="16" s="1"/>
  <c r="AA100" i="16"/>
  <c r="Z100" i="16" s="1"/>
  <c r="Y100" i="16" s="1"/>
  <c r="AA179" i="16"/>
  <c r="Z179" i="16" s="1"/>
  <c r="Y179" i="16" s="1"/>
  <c r="AA99" i="16"/>
  <c r="Z99" i="16" s="1"/>
  <c r="Y99" i="16" s="1"/>
  <c r="AA181" i="16"/>
  <c r="Z181" i="16" s="1"/>
  <c r="Y181" i="16" s="1"/>
  <c r="W28" i="16"/>
  <c r="D28" i="16"/>
  <c r="E28" i="16" s="1"/>
  <c r="F28" i="16" s="1"/>
  <c r="W62" i="16"/>
  <c r="D62" i="16"/>
  <c r="E62" i="16" s="1"/>
  <c r="F62" i="16" s="1"/>
  <c r="W56" i="16"/>
  <c r="D56" i="16"/>
  <c r="E56" i="16" s="1"/>
  <c r="F56" i="16" s="1"/>
  <c r="G56" i="16" s="1"/>
  <c r="BY56" i="6" s="1"/>
  <c r="W52" i="16"/>
  <c r="D52" i="16"/>
  <c r="E52" i="16" s="1"/>
  <c r="F52" i="16" s="1"/>
  <c r="AA52" i="16" s="1"/>
  <c r="Z52" i="16" s="1"/>
  <c r="Y52" i="16" s="1"/>
  <c r="W75" i="16"/>
  <c r="D75" i="16"/>
  <c r="E75" i="16" s="1"/>
  <c r="F75" i="16" s="1"/>
  <c r="G75" i="16" s="1"/>
  <c r="BY75" i="6" s="1"/>
  <c r="W46" i="16"/>
  <c r="D46" i="16"/>
  <c r="E46" i="16" s="1"/>
  <c r="F46" i="16" s="1"/>
  <c r="W108" i="16"/>
  <c r="D108" i="16"/>
  <c r="E108" i="16" s="1"/>
  <c r="F108" i="16" s="1"/>
  <c r="W18" i="16"/>
  <c r="D18" i="16"/>
  <c r="E18" i="16" s="1"/>
  <c r="F18" i="16" s="1"/>
  <c r="G18" i="16" s="1"/>
  <c r="BY18" i="6" s="1"/>
  <c r="B199" i="16"/>
  <c r="B93" i="16"/>
  <c r="B73" i="16"/>
  <c r="B374" i="16"/>
  <c r="B274" i="16"/>
  <c r="W228" i="16"/>
  <c r="D228" i="16"/>
  <c r="E228" i="16" s="1"/>
  <c r="F228" i="16" s="1"/>
  <c r="B222" i="16"/>
  <c r="B88" i="16"/>
  <c r="B31" i="16"/>
  <c r="B296" i="16"/>
  <c r="B275" i="16"/>
  <c r="B78" i="16"/>
  <c r="B173" i="16"/>
  <c r="B111" i="16"/>
  <c r="B210" i="16"/>
  <c r="B118" i="16"/>
  <c r="B176" i="16"/>
  <c r="B152" i="16"/>
  <c r="B112" i="16"/>
  <c r="B92" i="16"/>
  <c r="B84" i="16"/>
  <c r="B143" i="16"/>
  <c r="G36" i="15"/>
  <c r="BX36" i="6" s="1"/>
  <c r="AA36" i="15"/>
  <c r="Z36" i="15" s="1"/>
  <c r="Y36" i="15" s="1"/>
  <c r="H36" i="15"/>
  <c r="H48" i="15"/>
  <c r="G48" i="15"/>
  <c r="BX48" i="6" s="1"/>
  <c r="AA48" i="15"/>
  <c r="Z48" i="15" s="1"/>
  <c r="Y48" i="15" s="1"/>
  <c r="W51" i="16"/>
  <c r="D51" i="16"/>
  <c r="E51" i="16" s="1"/>
  <c r="F51" i="16" s="1"/>
  <c r="W64" i="16"/>
  <c r="D64" i="16"/>
  <c r="E64" i="16" s="1"/>
  <c r="F64" i="16" s="1"/>
  <c r="H16" i="15"/>
  <c r="AA16" i="15"/>
  <c r="Z16" i="15" s="1"/>
  <c r="Y16" i="15" s="1"/>
  <c r="G16" i="15"/>
  <c r="BX16" i="6" s="1"/>
  <c r="AA136" i="15"/>
  <c r="Z136" i="15" s="1"/>
  <c r="Y136" i="15" s="1"/>
  <c r="H136" i="15"/>
  <c r="W136" i="16"/>
  <c r="D136" i="16"/>
  <c r="E136" i="16" s="1"/>
  <c r="F136" i="16" s="1"/>
  <c r="G50" i="15"/>
  <c r="BX50" i="6" s="1"/>
  <c r="AA50" i="15"/>
  <c r="Z50" i="15" s="1"/>
  <c r="Y50" i="15" s="1"/>
  <c r="H50" i="15"/>
  <c r="B38" i="16"/>
  <c r="H24" i="15"/>
  <c r="G24" i="15"/>
  <c r="BX24" i="6" s="1"/>
  <c r="AA24" i="15"/>
  <c r="Z24" i="15" s="1"/>
  <c r="Y24" i="15" s="1"/>
  <c r="W65" i="16"/>
  <c r="D65" i="16"/>
  <c r="E65" i="16" s="1"/>
  <c r="F65" i="16" s="1"/>
  <c r="AA65" i="16" s="1"/>
  <c r="Z65" i="16" s="1"/>
  <c r="Y65" i="16" s="1"/>
  <c r="W61" i="16"/>
  <c r="D61" i="16"/>
  <c r="E61" i="16" s="1"/>
  <c r="F61" i="16" s="1"/>
  <c r="J77" i="15"/>
  <c r="I77" i="15"/>
  <c r="I89" i="15"/>
  <c r="J89" i="15"/>
  <c r="W109" i="16"/>
  <c r="D109" i="16"/>
  <c r="E109" i="16" s="1"/>
  <c r="F109" i="16" s="1"/>
  <c r="W121" i="16"/>
  <c r="D121" i="16"/>
  <c r="E121" i="16" s="1"/>
  <c r="F121" i="16" s="1"/>
  <c r="W153" i="16"/>
  <c r="D153" i="16"/>
  <c r="E153" i="16" s="1"/>
  <c r="F153" i="16" s="1"/>
  <c r="W169" i="16"/>
  <c r="D169" i="16"/>
  <c r="E169" i="16" s="1"/>
  <c r="F169" i="16" s="1"/>
  <c r="I189" i="15"/>
  <c r="H189" i="16" s="1"/>
  <c r="J189" i="15"/>
  <c r="W205" i="16"/>
  <c r="D205" i="16"/>
  <c r="E205" i="16" s="1"/>
  <c r="F205" i="16" s="1"/>
  <c r="J205" i="15"/>
  <c r="I205" i="15"/>
  <c r="J213" i="15"/>
  <c r="I213" i="15"/>
  <c r="J225" i="15"/>
  <c r="I225" i="15"/>
  <c r="J249" i="15"/>
  <c r="I249" i="15"/>
  <c r="H249" i="16" s="1"/>
  <c r="I265" i="15"/>
  <c r="H265" i="16" s="1"/>
  <c r="J265" i="15"/>
  <c r="J281" i="15"/>
  <c r="I281" i="15"/>
  <c r="H281" i="16" s="1"/>
  <c r="I301" i="15"/>
  <c r="J301" i="15"/>
  <c r="W309" i="16"/>
  <c r="D309" i="16"/>
  <c r="E309" i="16" s="1"/>
  <c r="F309" i="16" s="1"/>
  <c r="W325" i="16"/>
  <c r="D325" i="16"/>
  <c r="E325" i="16" s="1"/>
  <c r="F325" i="16" s="1"/>
  <c r="I353" i="15"/>
  <c r="H353" i="16" s="1"/>
  <c r="J353" i="15"/>
  <c r="J63" i="15"/>
  <c r="I63" i="15"/>
  <c r="W33" i="16"/>
  <c r="D33" i="16"/>
  <c r="E33" i="16" s="1"/>
  <c r="F33" i="16" s="1"/>
  <c r="J33" i="15"/>
  <c r="I33" i="15"/>
  <c r="J59" i="15"/>
  <c r="I59" i="15"/>
  <c r="I27" i="15"/>
  <c r="J27" i="15"/>
  <c r="I299" i="15"/>
  <c r="J299" i="15"/>
  <c r="W287" i="16"/>
  <c r="D287" i="16"/>
  <c r="E287" i="16" s="1"/>
  <c r="F287" i="16" s="1"/>
  <c r="I145" i="15"/>
  <c r="H145" i="16" s="1"/>
  <c r="J145" i="15"/>
  <c r="J53" i="15"/>
  <c r="I53" i="15"/>
  <c r="W37" i="16"/>
  <c r="D37" i="16"/>
  <c r="E37" i="16" s="1"/>
  <c r="F37" i="16" s="1"/>
  <c r="I268" i="15"/>
  <c r="J268" i="15"/>
  <c r="W252" i="16"/>
  <c r="D252" i="16"/>
  <c r="E252" i="16" s="1"/>
  <c r="F252" i="16" s="1"/>
  <c r="I67" i="15"/>
  <c r="J67" i="15"/>
  <c r="J83" i="15"/>
  <c r="I83" i="15"/>
  <c r="W91" i="16"/>
  <c r="D91" i="16"/>
  <c r="E91" i="16" s="1"/>
  <c r="F91" i="16" s="1"/>
  <c r="J103" i="15"/>
  <c r="I103" i="15"/>
  <c r="J155" i="15"/>
  <c r="I155" i="15"/>
  <c r="W163" i="16"/>
  <c r="D163" i="16"/>
  <c r="E163" i="16" s="1"/>
  <c r="F163" i="16" s="1"/>
  <c r="W175" i="16"/>
  <c r="D175" i="16"/>
  <c r="E175" i="16" s="1"/>
  <c r="F175" i="16" s="1"/>
  <c r="I175" i="15"/>
  <c r="J175" i="15"/>
  <c r="W183" i="16"/>
  <c r="D183" i="16"/>
  <c r="E183" i="16" s="1"/>
  <c r="F183" i="16" s="1"/>
  <c r="W191" i="16"/>
  <c r="D191" i="16"/>
  <c r="E191" i="16" s="1"/>
  <c r="F191" i="16" s="1"/>
  <c r="I191" i="15"/>
  <c r="J191" i="15"/>
  <c r="J319" i="15"/>
  <c r="I319" i="15"/>
  <c r="H319" i="16" s="1"/>
  <c r="J335" i="15"/>
  <c r="I335" i="15"/>
  <c r="H335" i="16" s="1"/>
  <c r="W351" i="16"/>
  <c r="D351" i="16"/>
  <c r="E351" i="16" s="1"/>
  <c r="F351" i="16" s="1"/>
  <c r="I351" i="15"/>
  <c r="J351" i="15"/>
  <c r="W359" i="16"/>
  <c r="D359" i="16"/>
  <c r="E359" i="16" s="1"/>
  <c r="F359" i="16" s="1"/>
  <c r="W55" i="16"/>
  <c r="D55" i="16"/>
  <c r="E55" i="16" s="1"/>
  <c r="F55" i="16" s="1"/>
  <c r="I291" i="15"/>
  <c r="J291" i="15"/>
  <c r="I277" i="15"/>
  <c r="H277" i="16" s="1"/>
  <c r="J277" i="15"/>
  <c r="J267" i="15"/>
  <c r="I267" i="15"/>
  <c r="H267" i="16" s="1"/>
  <c r="I251" i="15"/>
  <c r="H251" i="16" s="1"/>
  <c r="J251" i="15"/>
  <c r="J207" i="15"/>
  <c r="I207" i="15"/>
  <c r="J165" i="15"/>
  <c r="I165" i="15"/>
  <c r="H165" i="16" s="1"/>
  <c r="J143" i="15"/>
  <c r="I143" i="15"/>
  <c r="J123" i="15"/>
  <c r="I123" i="15"/>
  <c r="I39" i="15"/>
  <c r="J39" i="15"/>
  <c r="J348" i="15"/>
  <c r="I348" i="15"/>
  <c r="H348" i="16" s="1"/>
  <c r="W344" i="16"/>
  <c r="D344" i="16"/>
  <c r="E344" i="16" s="1"/>
  <c r="F344" i="16" s="1"/>
  <c r="W336" i="16"/>
  <c r="D336" i="16"/>
  <c r="E336" i="16" s="1"/>
  <c r="F336" i="16" s="1"/>
  <c r="I312" i="15"/>
  <c r="H312" i="16" s="1"/>
  <c r="J312" i="15"/>
  <c r="I294" i="15"/>
  <c r="J294" i="15"/>
  <c r="W290" i="16"/>
  <c r="D290" i="16"/>
  <c r="E290" i="16" s="1"/>
  <c r="F290" i="16" s="1"/>
  <c r="J270" i="15"/>
  <c r="I270" i="15"/>
  <c r="I262" i="15"/>
  <c r="J262" i="15"/>
  <c r="I254" i="15"/>
  <c r="J254" i="15"/>
  <c r="W250" i="16"/>
  <c r="D250" i="16"/>
  <c r="E250" i="16" s="1"/>
  <c r="F250" i="16" s="1"/>
  <c r="G250" i="16" s="1"/>
  <c r="BY250" i="6" s="1"/>
  <c r="I246" i="15"/>
  <c r="J246" i="15"/>
  <c r="I238" i="15"/>
  <c r="J238" i="15"/>
  <c r="I230" i="15"/>
  <c r="J230" i="15"/>
  <c r="J222" i="15"/>
  <c r="I222" i="15"/>
  <c r="W218" i="16"/>
  <c r="D218" i="16"/>
  <c r="E218" i="16" s="1"/>
  <c r="F218" i="16" s="1"/>
  <c r="I214" i="15"/>
  <c r="H214" i="16" s="1"/>
  <c r="J214" i="15"/>
  <c r="W196" i="16"/>
  <c r="D196" i="16"/>
  <c r="E196" i="16" s="1"/>
  <c r="F196" i="16" s="1"/>
  <c r="AA196" i="16" s="1"/>
  <c r="Z196" i="16" s="1"/>
  <c r="Y196" i="16" s="1"/>
  <c r="I196" i="15"/>
  <c r="J196" i="15"/>
  <c r="J188" i="15"/>
  <c r="I188" i="15"/>
  <c r="W162" i="16"/>
  <c r="D162" i="16"/>
  <c r="E162" i="16" s="1"/>
  <c r="F162" i="16" s="1"/>
  <c r="W146" i="16"/>
  <c r="D146" i="16"/>
  <c r="E146" i="16" s="1"/>
  <c r="F146" i="16" s="1"/>
  <c r="AA146" i="16" s="1"/>
  <c r="Z146" i="16" s="1"/>
  <c r="Y146" i="16" s="1"/>
  <c r="J146" i="15"/>
  <c r="I146" i="15"/>
  <c r="J138" i="15"/>
  <c r="I138" i="15"/>
  <c r="W130" i="16"/>
  <c r="D130" i="16"/>
  <c r="E130" i="16" s="1"/>
  <c r="F130" i="16" s="1"/>
  <c r="I122" i="15"/>
  <c r="J122" i="15"/>
  <c r="W106" i="16"/>
  <c r="D106" i="16"/>
  <c r="E106" i="16" s="1"/>
  <c r="F106" i="16" s="1"/>
  <c r="J84" i="15"/>
  <c r="I84" i="15"/>
  <c r="W248" i="16"/>
  <c r="D248" i="16"/>
  <c r="E248" i="16" s="1"/>
  <c r="F248" i="16" s="1"/>
  <c r="I236" i="15"/>
  <c r="J236" i="15"/>
  <c r="W216" i="16"/>
  <c r="D216" i="16"/>
  <c r="E216" i="16" s="1"/>
  <c r="F216" i="16" s="1"/>
  <c r="J198" i="15"/>
  <c r="I198" i="15"/>
  <c r="I190" i="15"/>
  <c r="J190" i="15"/>
  <c r="J182" i="15"/>
  <c r="I182" i="15"/>
  <c r="I176" i="15"/>
  <c r="J176" i="15"/>
  <c r="I168" i="15"/>
  <c r="J168" i="15"/>
  <c r="W160" i="16"/>
  <c r="D160" i="16"/>
  <c r="E160" i="16" s="1"/>
  <c r="F160" i="16" s="1"/>
  <c r="J152" i="15"/>
  <c r="I152" i="15"/>
  <c r="I144" i="15"/>
  <c r="J144" i="15"/>
  <c r="W132" i="16"/>
  <c r="D132" i="16"/>
  <c r="E132" i="16" s="1"/>
  <c r="F132" i="16" s="1"/>
  <c r="AA132" i="16" s="1"/>
  <c r="Z132" i="16" s="1"/>
  <c r="Y132" i="16" s="1"/>
  <c r="J132" i="15"/>
  <c r="I132" i="15"/>
  <c r="W116" i="16"/>
  <c r="D116" i="16"/>
  <c r="E116" i="16" s="1"/>
  <c r="F116" i="16" s="1"/>
  <c r="AA116" i="16" s="1"/>
  <c r="Z116" i="16" s="1"/>
  <c r="Y116" i="16" s="1"/>
  <c r="J116" i="15"/>
  <c r="I116" i="15"/>
  <c r="J104" i="15"/>
  <c r="I104" i="15"/>
  <c r="W96" i="16"/>
  <c r="D96" i="16"/>
  <c r="E96" i="16" s="1"/>
  <c r="F96" i="16" s="1"/>
  <c r="AA96" i="16" s="1"/>
  <c r="Z96" i="16" s="1"/>
  <c r="Y96" i="16" s="1"/>
  <c r="I96" i="15"/>
  <c r="J96" i="15"/>
  <c r="W82" i="16"/>
  <c r="D82" i="16"/>
  <c r="E82" i="16" s="1"/>
  <c r="F82" i="16" s="1"/>
  <c r="J78" i="15"/>
  <c r="I78" i="15"/>
  <c r="I70" i="15"/>
  <c r="J70" i="15"/>
  <c r="B30" i="16"/>
  <c r="G34" i="15"/>
  <c r="BX34" i="6" s="1"/>
  <c r="H34" i="15"/>
  <c r="AA34" i="15"/>
  <c r="Z34" i="15" s="1"/>
  <c r="Y34" i="15" s="1"/>
  <c r="AA269" i="15"/>
  <c r="Z269" i="15" s="1"/>
  <c r="Y269" i="15" s="1"/>
  <c r="G269" i="15"/>
  <c r="BX269" i="6" s="1"/>
  <c r="H269" i="15"/>
  <c r="W269" i="16"/>
  <c r="D269" i="16"/>
  <c r="E269" i="16" s="1"/>
  <c r="F269" i="16" s="1"/>
  <c r="I338" i="15"/>
  <c r="H338" i="16" s="1"/>
  <c r="J338" i="15"/>
  <c r="W334" i="16"/>
  <c r="D334" i="16"/>
  <c r="E334" i="16" s="1"/>
  <c r="F334" i="16" s="1"/>
  <c r="I330" i="15"/>
  <c r="H330" i="16" s="1"/>
  <c r="J330" i="15"/>
  <c r="AA379" i="15"/>
  <c r="Z379" i="15" s="1"/>
  <c r="Y379" i="15" s="1"/>
  <c r="G379" i="15"/>
  <c r="BX379" i="6" s="1"/>
  <c r="AA361" i="16"/>
  <c r="Z361" i="16" s="1"/>
  <c r="Y361" i="16" s="1"/>
  <c r="AA353" i="16"/>
  <c r="Z353" i="16" s="1"/>
  <c r="Y353" i="16" s="1"/>
  <c r="AA281" i="16"/>
  <c r="Z281" i="16" s="1"/>
  <c r="Y281" i="16" s="1"/>
  <c r="AA265" i="16"/>
  <c r="Z265" i="16" s="1"/>
  <c r="Y265" i="16" s="1"/>
  <c r="AA129" i="16"/>
  <c r="Z129" i="16" s="1"/>
  <c r="Y129" i="16" s="1"/>
  <c r="W171" i="16"/>
  <c r="D171" i="16"/>
  <c r="E171" i="16" s="1"/>
  <c r="F171" i="16" s="1"/>
  <c r="H40" i="15"/>
  <c r="G40" i="15"/>
  <c r="BX40" i="6" s="1"/>
  <c r="AA40" i="15"/>
  <c r="Z40" i="15" s="1"/>
  <c r="Y40" i="15" s="1"/>
  <c r="B197" i="16"/>
  <c r="G298" i="15"/>
  <c r="BX298" i="6" s="1"/>
  <c r="H298" i="15"/>
  <c r="AA298" i="15"/>
  <c r="Z298" i="15" s="1"/>
  <c r="Y298" i="15" s="1"/>
  <c r="AA42" i="15"/>
  <c r="Z42" i="15" s="1"/>
  <c r="Y42" i="15" s="1"/>
  <c r="G42" i="15"/>
  <c r="BX42" i="6" s="1"/>
  <c r="H42" i="15"/>
  <c r="AA297" i="15"/>
  <c r="Z297" i="15" s="1"/>
  <c r="Y297" i="15" s="1"/>
  <c r="H297" i="15"/>
  <c r="G297" i="15"/>
  <c r="BX297" i="6" s="1"/>
  <c r="W297" i="16"/>
  <c r="D297" i="16"/>
  <c r="E297" i="16" s="1"/>
  <c r="F297" i="16" s="1"/>
  <c r="W272" i="16"/>
  <c r="D272" i="16"/>
  <c r="E272" i="16" s="1"/>
  <c r="F272" i="16" s="1"/>
  <c r="G363" i="15"/>
  <c r="BX363" i="6" s="1"/>
  <c r="AA363" i="15"/>
  <c r="Z363" i="15" s="1"/>
  <c r="Y363" i="15" s="1"/>
  <c r="B363" i="16"/>
  <c r="AA241" i="15"/>
  <c r="Z241" i="15" s="1"/>
  <c r="Y241" i="15" s="1"/>
  <c r="H241" i="15"/>
  <c r="G241" i="15"/>
  <c r="BX241" i="6" s="1"/>
  <c r="W241" i="16"/>
  <c r="D241" i="16"/>
  <c r="E241" i="16" s="1"/>
  <c r="F241" i="16" s="1"/>
  <c r="J29" i="15"/>
  <c r="I29" i="15"/>
  <c r="H29" i="16" s="1"/>
  <c r="J125" i="15"/>
  <c r="I125" i="15"/>
  <c r="I173" i="15"/>
  <c r="J173" i="15"/>
  <c r="J181" i="15"/>
  <c r="I181" i="15"/>
  <c r="H181" i="16" s="1"/>
  <c r="I201" i="15"/>
  <c r="H201" i="16" s="1"/>
  <c r="J201" i="15"/>
  <c r="W209" i="16"/>
  <c r="D209" i="16"/>
  <c r="E209" i="16" s="1"/>
  <c r="F209" i="16" s="1"/>
  <c r="J221" i="15"/>
  <c r="I221" i="15"/>
  <c r="J253" i="15"/>
  <c r="I253" i="15"/>
  <c r="I261" i="15"/>
  <c r="H261" i="16" s="1"/>
  <c r="J261" i="15"/>
  <c r="J285" i="15"/>
  <c r="I285" i="15"/>
  <c r="W305" i="16"/>
  <c r="D305" i="16"/>
  <c r="E305" i="16" s="1"/>
  <c r="F305" i="16" s="1"/>
  <c r="J313" i="15"/>
  <c r="I313" i="15"/>
  <c r="J329" i="15"/>
  <c r="I329" i="15"/>
  <c r="H329" i="16" s="1"/>
  <c r="W369" i="16"/>
  <c r="D369" i="16"/>
  <c r="E369" i="16" s="1"/>
  <c r="F369" i="16" s="1"/>
  <c r="J43" i="15"/>
  <c r="I43" i="15"/>
  <c r="I31" i="15"/>
  <c r="J31" i="15"/>
  <c r="I279" i="15"/>
  <c r="H279" i="16" s="1"/>
  <c r="J279" i="15"/>
  <c r="I263" i="15"/>
  <c r="H263" i="16" s="1"/>
  <c r="J263" i="15"/>
  <c r="I247" i="15"/>
  <c r="J247" i="15"/>
  <c r="J203" i="15"/>
  <c r="I203" i="15"/>
  <c r="H203" i="16" s="1"/>
  <c r="J157" i="15"/>
  <c r="I157" i="15"/>
  <c r="H157" i="16" s="1"/>
  <c r="J139" i="15"/>
  <c r="I139" i="15"/>
  <c r="J127" i="15"/>
  <c r="I127" i="15"/>
  <c r="H127" i="16" s="1"/>
  <c r="I45" i="15"/>
  <c r="H45" i="16" s="1"/>
  <c r="I45" i="16" s="1"/>
  <c r="J45" i="15"/>
  <c r="I276" i="15"/>
  <c r="J276" i="15"/>
  <c r="W268" i="16"/>
  <c r="D268" i="16"/>
  <c r="E268" i="16" s="1"/>
  <c r="F268" i="16" s="1"/>
  <c r="I252" i="15"/>
  <c r="J252" i="15"/>
  <c r="J87" i="15"/>
  <c r="I87" i="15"/>
  <c r="J99" i="15"/>
  <c r="I99" i="15"/>
  <c r="H99" i="16" s="1"/>
  <c r="W159" i="16"/>
  <c r="D159" i="16"/>
  <c r="E159" i="16" s="1"/>
  <c r="F159" i="16" s="1"/>
  <c r="I167" i="15"/>
  <c r="J167" i="15"/>
  <c r="I187" i="15"/>
  <c r="H187" i="16" s="1"/>
  <c r="J187" i="15"/>
  <c r="J195" i="15"/>
  <c r="I195" i="15"/>
  <c r="H195" i="16" s="1"/>
  <c r="I219" i="15"/>
  <c r="J219" i="15"/>
  <c r="I239" i="15"/>
  <c r="H239" i="16" s="1"/>
  <c r="J239" i="15"/>
  <c r="J307" i="15"/>
  <c r="I307" i="15"/>
  <c r="H307" i="16" s="1"/>
  <c r="I307" i="16" s="1"/>
  <c r="I323" i="15"/>
  <c r="H323" i="16" s="1"/>
  <c r="J323" i="15"/>
  <c r="I339" i="15"/>
  <c r="H339" i="16" s="1"/>
  <c r="J339" i="15"/>
  <c r="J57" i="15"/>
  <c r="I57" i="15"/>
  <c r="W47" i="16"/>
  <c r="D47" i="16"/>
  <c r="E47" i="16" s="1"/>
  <c r="F47" i="16" s="1"/>
  <c r="I47" i="15"/>
  <c r="J47" i="15"/>
  <c r="J283" i="15"/>
  <c r="I283" i="15"/>
  <c r="H283" i="16" s="1"/>
  <c r="J243" i="15"/>
  <c r="I243" i="15"/>
  <c r="H243" i="16" s="1"/>
  <c r="J185" i="15"/>
  <c r="I185" i="15"/>
  <c r="J147" i="15"/>
  <c r="I147" i="15"/>
  <c r="I113" i="15"/>
  <c r="J113" i="15"/>
  <c r="I71" i="15"/>
  <c r="J71" i="15"/>
  <c r="J352" i="15"/>
  <c r="I352" i="15"/>
  <c r="H352" i="16" s="1"/>
  <c r="I336" i="15"/>
  <c r="J336" i="15"/>
  <c r="I328" i="15"/>
  <c r="J328" i="15"/>
  <c r="J316" i="15"/>
  <c r="I316" i="15"/>
  <c r="J308" i="15"/>
  <c r="I308" i="15"/>
  <c r="W286" i="16"/>
  <c r="D286" i="16"/>
  <c r="E286" i="16" s="1"/>
  <c r="F286" i="16" s="1"/>
  <c r="I274" i="15"/>
  <c r="J274" i="15"/>
  <c r="I266" i="15"/>
  <c r="J266" i="15"/>
  <c r="W254" i="16"/>
  <c r="D254" i="16"/>
  <c r="E254" i="16" s="1"/>
  <c r="F254" i="16" s="1"/>
  <c r="AA254" i="16" s="1"/>
  <c r="Z254" i="16" s="1"/>
  <c r="Y254" i="16" s="1"/>
  <c r="I226" i="15"/>
  <c r="J226" i="15"/>
  <c r="I200" i="15"/>
  <c r="J200" i="15"/>
  <c r="W174" i="16"/>
  <c r="D174" i="16"/>
  <c r="E174" i="16" s="1"/>
  <c r="F174" i="16" s="1"/>
  <c r="I174" i="15"/>
  <c r="J174" i="15"/>
  <c r="I166" i="15"/>
  <c r="J166" i="15"/>
  <c r="W158" i="16"/>
  <c r="D158" i="16"/>
  <c r="E158" i="16" s="1"/>
  <c r="F158" i="16" s="1"/>
  <c r="I150" i="15"/>
  <c r="J150" i="15"/>
  <c r="W134" i="16"/>
  <c r="D134" i="16"/>
  <c r="E134" i="16" s="1"/>
  <c r="F134" i="16" s="1"/>
  <c r="I126" i="15"/>
  <c r="J126" i="15"/>
  <c r="I118" i="15"/>
  <c r="J118" i="15"/>
  <c r="W110" i="16"/>
  <c r="D110" i="16"/>
  <c r="E110" i="16" s="1"/>
  <c r="F110" i="16" s="1"/>
  <c r="J102" i="15"/>
  <c r="I102" i="15"/>
  <c r="I94" i="15"/>
  <c r="J94" i="15"/>
  <c r="I80" i="15"/>
  <c r="J80" i="15"/>
  <c r="I72" i="15"/>
  <c r="J72" i="15"/>
  <c r="J248" i="15"/>
  <c r="I248" i="15"/>
  <c r="J240" i="15"/>
  <c r="I240" i="15"/>
  <c r="J202" i="15"/>
  <c r="I202" i="15"/>
  <c r="H202" i="16" s="1"/>
  <c r="W194" i="16"/>
  <c r="D194" i="16"/>
  <c r="E194" i="16" s="1"/>
  <c r="F194" i="16" s="1"/>
  <c r="J180" i="15"/>
  <c r="I180" i="15"/>
  <c r="J172" i="15"/>
  <c r="I172" i="15"/>
  <c r="J164" i="15"/>
  <c r="I164" i="15"/>
  <c r="H164" i="16" s="1"/>
  <c r="I164" i="16" s="1"/>
  <c r="I156" i="15"/>
  <c r="H156" i="16" s="1"/>
  <c r="I156" i="16" s="1"/>
  <c r="J156" i="15"/>
  <c r="I140" i="15"/>
  <c r="J140" i="15"/>
  <c r="J128" i="15"/>
  <c r="I128" i="15"/>
  <c r="H128" i="16" s="1"/>
  <c r="I128" i="16" s="1"/>
  <c r="I100" i="15"/>
  <c r="H100" i="16" s="1"/>
  <c r="I100" i="16" s="1"/>
  <c r="J100" i="15"/>
  <c r="I82" i="15"/>
  <c r="J82" i="15"/>
  <c r="H44" i="15"/>
  <c r="AA44" i="15"/>
  <c r="Z44" i="15" s="1"/>
  <c r="Y44" i="15" s="1"/>
  <c r="G44" i="15"/>
  <c r="BX44" i="6" s="1"/>
  <c r="AA54" i="15"/>
  <c r="Z54" i="15" s="1"/>
  <c r="Y54" i="15" s="1"/>
  <c r="H54" i="15"/>
  <c r="G54" i="15"/>
  <c r="BX54" i="6" s="1"/>
  <c r="W22" i="16"/>
  <c r="D22" i="16"/>
  <c r="E22" i="16" s="1"/>
  <c r="F22" i="16" s="1"/>
  <c r="G20" i="15"/>
  <c r="BX20" i="6" s="1"/>
  <c r="AA20" i="15"/>
  <c r="Z20" i="15" s="1"/>
  <c r="Y20" i="15" s="1"/>
  <c r="H20" i="15"/>
  <c r="G32" i="15"/>
  <c r="BX32" i="6" s="1"/>
  <c r="AA32" i="15"/>
  <c r="Z32" i="15" s="1"/>
  <c r="Y32" i="15" s="1"/>
  <c r="H32" i="15"/>
  <c r="B58" i="16"/>
  <c r="G46" i="15"/>
  <c r="BX46" i="6" s="1"/>
  <c r="H46" i="15"/>
  <c r="AA46" i="15"/>
  <c r="Z46" i="15" s="1"/>
  <c r="Y46" i="15" s="1"/>
  <c r="W26" i="16"/>
  <c r="D26" i="16"/>
  <c r="E26" i="16" s="1"/>
  <c r="F26" i="16" s="1"/>
  <c r="I334" i="15"/>
  <c r="J334" i="15"/>
  <c r="I326" i="15"/>
  <c r="J326" i="15"/>
  <c r="W314" i="16"/>
  <c r="D314" i="16"/>
  <c r="E314" i="16" s="1"/>
  <c r="F314" i="16" s="1"/>
  <c r="J300" i="15"/>
  <c r="I300" i="15"/>
  <c r="AA371" i="16"/>
  <c r="Z371" i="16" s="1"/>
  <c r="Y371" i="16" s="1"/>
  <c r="AA283" i="16"/>
  <c r="Z283" i="16" s="1"/>
  <c r="Y283" i="16" s="1"/>
  <c r="AA239" i="16"/>
  <c r="Z239" i="16" s="1"/>
  <c r="Y239" i="16" s="1"/>
  <c r="AA195" i="16"/>
  <c r="Z195" i="16" s="1"/>
  <c r="Y195" i="16" s="1"/>
  <c r="AA335" i="16"/>
  <c r="Z335" i="16" s="1"/>
  <c r="Y335" i="16" s="1"/>
  <c r="AA311" i="16"/>
  <c r="Z311" i="16" s="1"/>
  <c r="Y311" i="16" s="1"/>
  <c r="AA227" i="16"/>
  <c r="Z227" i="16" s="1"/>
  <c r="Y227" i="16" s="1"/>
  <c r="AA211" i="16"/>
  <c r="Z211" i="16" s="1"/>
  <c r="Y211" i="16" s="1"/>
  <c r="W376" i="16"/>
  <c r="D376" i="16"/>
  <c r="E376" i="16" s="1"/>
  <c r="F376" i="16" s="1"/>
  <c r="W368" i="16"/>
  <c r="D368" i="16"/>
  <c r="E368" i="16" s="1"/>
  <c r="F368" i="16" s="1"/>
  <c r="W364" i="16"/>
  <c r="D364" i="16"/>
  <c r="E364" i="16" s="1"/>
  <c r="F364" i="16" s="1"/>
  <c r="W360" i="16"/>
  <c r="D360" i="16"/>
  <c r="E360" i="16" s="1"/>
  <c r="F360" i="16" s="1"/>
  <c r="W328" i="16"/>
  <c r="D328" i="16"/>
  <c r="E328" i="16" s="1"/>
  <c r="F328" i="16" s="1"/>
  <c r="W318" i="16"/>
  <c r="D318" i="16"/>
  <c r="E318" i="16" s="1"/>
  <c r="F318" i="16" s="1"/>
  <c r="W304" i="16"/>
  <c r="D304" i="16"/>
  <c r="E304" i="16" s="1"/>
  <c r="F304" i="16" s="1"/>
  <c r="AA304" i="16" s="1"/>
  <c r="Z304" i="16" s="1"/>
  <c r="Y304" i="16" s="1"/>
  <c r="W292" i="16"/>
  <c r="D292" i="16"/>
  <c r="E292" i="16" s="1"/>
  <c r="F292" i="16" s="1"/>
  <c r="W278" i="16"/>
  <c r="D278" i="16"/>
  <c r="E278" i="16" s="1"/>
  <c r="F278" i="16" s="1"/>
  <c r="W260" i="16"/>
  <c r="D260" i="16"/>
  <c r="E260" i="16" s="1"/>
  <c r="F260" i="16" s="1"/>
  <c r="W242" i="16"/>
  <c r="D242" i="16"/>
  <c r="E242" i="16" s="1"/>
  <c r="F242" i="16" s="1"/>
  <c r="W230" i="16"/>
  <c r="D230" i="16"/>
  <c r="E230" i="16" s="1"/>
  <c r="F230" i="16" s="1"/>
  <c r="W226" i="16"/>
  <c r="D226" i="16"/>
  <c r="E226" i="16" s="1"/>
  <c r="F226" i="16" s="1"/>
  <c r="W198" i="16"/>
  <c r="D198" i="16"/>
  <c r="E198" i="16" s="1"/>
  <c r="F198" i="16" s="1"/>
  <c r="W178" i="16"/>
  <c r="D178" i="16"/>
  <c r="E178" i="16" s="1"/>
  <c r="F178" i="16" s="1"/>
  <c r="W98" i="16"/>
  <c r="D98" i="16"/>
  <c r="E98" i="16" s="1"/>
  <c r="F98" i="16" s="1"/>
  <c r="AA356" i="16"/>
  <c r="Z356" i="16" s="1"/>
  <c r="Y356" i="16" s="1"/>
  <c r="AA348" i="16"/>
  <c r="Z348" i="16" s="1"/>
  <c r="Y348" i="16" s="1"/>
  <c r="AA327" i="16"/>
  <c r="Z327" i="16" s="1"/>
  <c r="Y327" i="16" s="1"/>
  <c r="AA235" i="16"/>
  <c r="Z235" i="16" s="1"/>
  <c r="Y235" i="16" s="1"/>
  <c r="W366" i="16"/>
  <c r="D366" i="16"/>
  <c r="E366" i="16" s="1"/>
  <c r="F366" i="16" s="1"/>
  <c r="W326" i="16"/>
  <c r="D326" i="16"/>
  <c r="E326" i="16" s="1"/>
  <c r="F326" i="16" s="1"/>
  <c r="W316" i="16"/>
  <c r="D316" i="16"/>
  <c r="E316" i="16" s="1"/>
  <c r="F316" i="16" s="1"/>
  <c r="W306" i="16"/>
  <c r="D306" i="16"/>
  <c r="E306" i="16" s="1"/>
  <c r="F306" i="16" s="1"/>
  <c r="W300" i="16"/>
  <c r="D300" i="16"/>
  <c r="E300" i="16" s="1"/>
  <c r="F300" i="16" s="1"/>
  <c r="W294" i="16"/>
  <c r="D294" i="16"/>
  <c r="E294" i="16" s="1"/>
  <c r="F294" i="16" s="1"/>
  <c r="W284" i="16"/>
  <c r="D284" i="16"/>
  <c r="E284" i="16" s="1"/>
  <c r="F284" i="16" s="1"/>
  <c r="W276" i="16"/>
  <c r="D276" i="16"/>
  <c r="E276" i="16" s="1"/>
  <c r="F276" i="16" s="1"/>
  <c r="AA370" i="16"/>
  <c r="Z370" i="16" s="1"/>
  <c r="Y370" i="16" s="1"/>
  <c r="B217" i="16"/>
  <c r="B149" i="16"/>
  <c r="B378" i="16"/>
  <c r="B372" i="16"/>
  <c r="B342" i="16"/>
  <c r="B322" i="16"/>
  <c r="B308" i="16"/>
  <c r="B184" i="16"/>
  <c r="B97" i="16"/>
  <c r="B87" i="16"/>
  <c r="B310" i="16"/>
  <c r="B289" i="16"/>
  <c r="B103" i="16"/>
  <c r="B57" i="16"/>
  <c r="B212" i="16"/>
  <c r="W172" i="16"/>
  <c r="D172" i="16"/>
  <c r="E172" i="16" s="1"/>
  <c r="F172" i="16" s="1"/>
  <c r="G172" i="16" s="1"/>
  <c r="BY172" i="6" s="1"/>
  <c r="B74" i="16"/>
  <c r="B341" i="16"/>
  <c r="B299" i="16"/>
  <c r="B139" i="16"/>
  <c r="B53" i="16"/>
  <c r="W266" i="16"/>
  <c r="D266" i="16"/>
  <c r="E266" i="16" s="1"/>
  <c r="F266" i="16" s="1"/>
  <c r="AA266" i="16" s="1"/>
  <c r="Z266" i="16" s="1"/>
  <c r="Y266" i="16" s="1"/>
  <c r="B70" i="16"/>
  <c r="B27" i="16"/>
  <c r="B140" i="16"/>
  <c r="B167" i="16"/>
  <c r="B151" i="16"/>
  <c r="B135" i="16"/>
  <c r="AA52" i="15"/>
  <c r="Z52" i="15" s="1"/>
  <c r="Y52" i="15" s="1"/>
  <c r="G52" i="15"/>
  <c r="BX52" i="6" s="1"/>
  <c r="H52" i="15"/>
  <c r="B36" i="16"/>
  <c r="W324" i="16"/>
  <c r="D324" i="16"/>
  <c r="E324" i="16" s="1"/>
  <c r="F324" i="16" s="1"/>
  <c r="G324" i="16" s="1"/>
  <c r="BY324" i="6" s="1"/>
  <c r="B48" i="16"/>
  <c r="AA233" i="15"/>
  <c r="Z233" i="15" s="1"/>
  <c r="Y233" i="15" s="1"/>
  <c r="G233" i="15"/>
  <c r="BX233" i="6" s="1"/>
  <c r="H233" i="15"/>
  <c r="B233" i="16"/>
  <c r="G64" i="15"/>
  <c r="BX64" i="6" s="1"/>
  <c r="H64" i="15"/>
  <c r="AA64" i="15"/>
  <c r="Z64" i="15" s="1"/>
  <c r="Y64" i="15" s="1"/>
  <c r="B16" i="16"/>
  <c r="G21" i="15"/>
  <c r="BX21" i="6" s="1"/>
  <c r="AA21" i="15"/>
  <c r="Z21" i="15" s="1"/>
  <c r="Y21" i="15" s="1"/>
  <c r="H21" i="15"/>
  <c r="B21" i="16"/>
  <c r="AA28" i="15"/>
  <c r="Z28" i="15" s="1"/>
  <c r="Y28" i="15" s="1"/>
  <c r="G28" i="15"/>
  <c r="BX28" i="6" s="1"/>
  <c r="H28" i="15"/>
  <c r="B50" i="16"/>
  <c r="G38" i="15"/>
  <c r="BX38" i="6" s="1"/>
  <c r="AA38" i="15"/>
  <c r="Z38" i="15" s="1"/>
  <c r="Y38" i="15" s="1"/>
  <c r="H38" i="15"/>
  <c r="W24" i="16"/>
  <c r="D24" i="16"/>
  <c r="E24" i="16" s="1"/>
  <c r="F24" i="16" s="1"/>
  <c r="G24" i="16" s="1"/>
  <c r="BY24" i="6" s="1"/>
  <c r="AA35" i="15"/>
  <c r="Z35" i="15" s="1"/>
  <c r="Y35" i="15" s="1"/>
  <c r="G35" i="15"/>
  <c r="BX35" i="6" s="1"/>
  <c r="H35" i="15"/>
  <c r="W35" i="16"/>
  <c r="D35" i="16"/>
  <c r="E35" i="16" s="1"/>
  <c r="F35" i="16" s="1"/>
  <c r="J65" i="15"/>
  <c r="I65" i="15"/>
  <c r="J61" i="15"/>
  <c r="I61" i="15"/>
  <c r="W77" i="16"/>
  <c r="D77" i="16"/>
  <c r="E77" i="16" s="1"/>
  <c r="F77" i="16" s="1"/>
  <c r="W89" i="16"/>
  <c r="D89" i="16"/>
  <c r="E89" i="16" s="1"/>
  <c r="F89" i="16" s="1"/>
  <c r="J97" i="15"/>
  <c r="I97" i="15"/>
  <c r="J109" i="15"/>
  <c r="I109" i="15"/>
  <c r="I121" i="15"/>
  <c r="J121" i="15"/>
  <c r="J129" i="15"/>
  <c r="I129" i="15"/>
  <c r="H129" i="16" s="1"/>
  <c r="W141" i="16"/>
  <c r="D141" i="16"/>
  <c r="E141" i="16" s="1"/>
  <c r="F141" i="16" s="1"/>
  <c r="J141" i="15"/>
  <c r="I141" i="15"/>
  <c r="I153" i="15"/>
  <c r="J153" i="15"/>
  <c r="J169" i="15"/>
  <c r="I169" i="15"/>
  <c r="J177" i="15"/>
  <c r="I177" i="15"/>
  <c r="H177" i="16" s="1"/>
  <c r="W213" i="16"/>
  <c r="D213" i="16"/>
  <c r="E213" i="16" s="1"/>
  <c r="F213" i="16" s="1"/>
  <c r="J237" i="15"/>
  <c r="I237" i="15"/>
  <c r="W257" i="16"/>
  <c r="D257" i="16"/>
  <c r="E257" i="16" s="1"/>
  <c r="F257" i="16" s="1"/>
  <c r="J257" i="15"/>
  <c r="I257" i="15"/>
  <c r="I289" i="15"/>
  <c r="J289" i="15"/>
  <c r="J309" i="15"/>
  <c r="I309" i="15"/>
  <c r="J317" i="15"/>
  <c r="I317" i="15"/>
  <c r="H317" i="16" s="1"/>
  <c r="I325" i="15"/>
  <c r="J325" i="15"/>
  <c r="I341" i="15"/>
  <c r="J341" i="15"/>
  <c r="W63" i="16"/>
  <c r="D63" i="16"/>
  <c r="E63" i="16" s="1"/>
  <c r="F63" i="16" s="1"/>
  <c r="W59" i="16"/>
  <c r="D59" i="16"/>
  <c r="E59" i="16" s="1"/>
  <c r="F59" i="16" s="1"/>
  <c r="I287" i="15"/>
  <c r="J287" i="15"/>
  <c r="J275" i="15"/>
  <c r="I275" i="15"/>
  <c r="J255" i="15"/>
  <c r="I255" i="15"/>
  <c r="J217" i="15"/>
  <c r="I217" i="15"/>
  <c r="J193" i="15"/>
  <c r="I193" i="15"/>
  <c r="J135" i="15"/>
  <c r="I135" i="15"/>
  <c r="J85" i="15"/>
  <c r="I85" i="15"/>
  <c r="I37" i="15"/>
  <c r="J37" i="15"/>
  <c r="I280" i="15"/>
  <c r="J280" i="15"/>
  <c r="J256" i="15"/>
  <c r="I256" i="15"/>
  <c r="H256" i="16" s="1"/>
  <c r="I256" i="16" s="1"/>
  <c r="W67" i="16"/>
  <c r="D67" i="16"/>
  <c r="E67" i="16" s="1"/>
  <c r="F67" i="16" s="1"/>
  <c r="W83" i="16"/>
  <c r="D83" i="16"/>
  <c r="E83" i="16" s="1"/>
  <c r="F83" i="16" s="1"/>
  <c r="J91" i="15"/>
  <c r="I91" i="15"/>
  <c r="I111" i="15"/>
  <c r="J111" i="15"/>
  <c r="I119" i="15"/>
  <c r="J119" i="15"/>
  <c r="W155" i="16"/>
  <c r="D155" i="16"/>
  <c r="E155" i="16" s="1"/>
  <c r="F155" i="16" s="1"/>
  <c r="I163" i="15"/>
  <c r="J163" i="15"/>
  <c r="I183" i="15"/>
  <c r="J183" i="15"/>
  <c r="J199" i="15"/>
  <c r="I199" i="15"/>
  <c r="J215" i="15"/>
  <c r="I215" i="15"/>
  <c r="J235" i="15"/>
  <c r="I235" i="15"/>
  <c r="H235" i="16" s="1"/>
  <c r="I303" i="15"/>
  <c r="H303" i="16" s="1"/>
  <c r="J303" i="15"/>
  <c r="I311" i="15"/>
  <c r="H311" i="16" s="1"/>
  <c r="J311" i="15"/>
  <c r="J327" i="15"/>
  <c r="I327" i="15"/>
  <c r="H327" i="16" s="1"/>
  <c r="W343" i="16"/>
  <c r="D343" i="16"/>
  <c r="E343" i="16" s="1"/>
  <c r="F343" i="16" s="1"/>
  <c r="I343" i="15"/>
  <c r="J343" i="15"/>
  <c r="J66" i="15"/>
  <c r="I66" i="15"/>
  <c r="W25" i="16"/>
  <c r="D25" i="16"/>
  <c r="E25" i="16" s="1"/>
  <c r="F25" i="16" s="1"/>
  <c r="J25" i="15"/>
  <c r="I25" i="15"/>
  <c r="J55" i="15"/>
  <c r="I55" i="15"/>
  <c r="W291" i="16"/>
  <c r="D291" i="16"/>
  <c r="E291" i="16" s="1"/>
  <c r="F291" i="16" s="1"/>
  <c r="W231" i="16"/>
  <c r="D231" i="16"/>
  <c r="E231" i="16" s="1"/>
  <c r="F231" i="16" s="1"/>
  <c r="J231" i="15"/>
  <c r="I231" i="15"/>
  <c r="W207" i="16"/>
  <c r="D207" i="16"/>
  <c r="E207" i="16" s="1"/>
  <c r="F207" i="16" s="1"/>
  <c r="W123" i="16"/>
  <c r="D123" i="16"/>
  <c r="E123" i="16" s="1"/>
  <c r="F123" i="16" s="1"/>
  <c r="W95" i="16"/>
  <c r="D95" i="16"/>
  <c r="E95" i="16" s="1"/>
  <c r="F95" i="16" s="1"/>
  <c r="J95" i="15"/>
  <c r="I95" i="15"/>
  <c r="W39" i="16"/>
  <c r="D39" i="16"/>
  <c r="E39" i="16" s="1"/>
  <c r="F39" i="16" s="1"/>
  <c r="J340" i="15"/>
  <c r="I340" i="15"/>
  <c r="J332" i="15"/>
  <c r="I332" i="15"/>
  <c r="I320" i="15"/>
  <c r="H320" i="16" s="1"/>
  <c r="J320" i="15"/>
  <c r="J304" i="15"/>
  <c r="I304" i="15"/>
  <c r="W302" i="16"/>
  <c r="D302" i="16"/>
  <c r="E302" i="16" s="1"/>
  <c r="F302" i="16" s="1"/>
  <c r="J286" i="15"/>
  <c r="I286" i="15"/>
  <c r="W282" i="16"/>
  <c r="D282" i="16"/>
  <c r="E282" i="16" s="1"/>
  <c r="F282" i="16" s="1"/>
  <c r="I278" i="15"/>
  <c r="J278" i="15"/>
  <c r="W258" i="16"/>
  <c r="D258" i="16"/>
  <c r="E258" i="16" s="1"/>
  <c r="F258" i="16" s="1"/>
  <c r="W234" i="16"/>
  <c r="D234" i="16"/>
  <c r="E234" i="16" s="1"/>
  <c r="F234" i="16" s="1"/>
  <c r="W204" i="16"/>
  <c r="D204" i="16"/>
  <c r="E204" i="16" s="1"/>
  <c r="F204" i="16" s="1"/>
  <c r="J204" i="15"/>
  <c r="I204" i="15"/>
  <c r="J178" i="15"/>
  <c r="I178" i="15"/>
  <c r="W170" i="16"/>
  <c r="D170" i="16"/>
  <c r="E170" i="16" s="1"/>
  <c r="F170" i="16" s="1"/>
  <c r="I170" i="15"/>
  <c r="J170" i="15"/>
  <c r="J162" i="15"/>
  <c r="I162" i="15"/>
  <c r="W154" i="16"/>
  <c r="D154" i="16"/>
  <c r="E154" i="16" s="1"/>
  <c r="F154" i="16" s="1"/>
  <c r="I154" i="15"/>
  <c r="J154" i="15"/>
  <c r="J130" i="15"/>
  <c r="I130" i="15"/>
  <c r="W122" i="16"/>
  <c r="D122" i="16"/>
  <c r="E122" i="16" s="1"/>
  <c r="F122" i="16" s="1"/>
  <c r="J114" i="15"/>
  <c r="I114" i="15"/>
  <c r="J106" i="15"/>
  <c r="I106" i="15"/>
  <c r="I98" i="15"/>
  <c r="J98" i="15"/>
  <c r="J90" i="15"/>
  <c r="I90" i="15"/>
  <c r="W80" i="16"/>
  <c r="D80" i="16"/>
  <c r="E80" i="16" s="1"/>
  <c r="F80" i="16" s="1"/>
  <c r="I76" i="15"/>
  <c r="J76" i="15"/>
  <c r="I68" i="15"/>
  <c r="J68" i="15"/>
  <c r="J244" i="15"/>
  <c r="I244" i="15"/>
  <c r="W240" i="16"/>
  <c r="D240" i="16"/>
  <c r="E240" i="16" s="1"/>
  <c r="F240" i="16" s="1"/>
  <c r="W232" i="16"/>
  <c r="D232" i="16"/>
  <c r="E232" i="16" s="1"/>
  <c r="F232" i="16" s="1"/>
  <c r="I228" i="15"/>
  <c r="J228" i="15"/>
  <c r="I220" i="15"/>
  <c r="J220" i="15"/>
  <c r="J212" i="15"/>
  <c r="I212" i="15"/>
  <c r="W206" i="16"/>
  <c r="D206" i="16"/>
  <c r="E206" i="16" s="1"/>
  <c r="F206" i="16" s="1"/>
  <c r="AA206" i="16" s="1"/>
  <c r="Z206" i="16" s="1"/>
  <c r="Y206" i="16" s="1"/>
  <c r="I206" i="15"/>
  <c r="J206" i="15"/>
  <c r="W190" i="16"/>
  <c r="D190" i="16"/>
  <c r="E190" i="16" s="1"/>
  <c r="F190" i="16" s="1"/>
  <c r="W168" i="16"/>
  <c r="D168" i="16"/>
  <c r="E168" i="16" s="1"/>
  <c r="F168" i="16" s="1"/>
  <c r="J160" i="15"/>
  <c r="I160" i="15"/>
  <c r="W144" i="16"/>
  <c r="D144" i="16"/>
  <c r="E144" i="16" s="1"/>
  <c r="F144" i="16" s="1"/>
  <c r="W124" i="16"/>
  <c r="D124" i="16"/>
  <c r="E124" i="16" s="1"/>
  <c r="F124" i="16" s="1"/>
  <c r="I124" i="15"/>
  <c r="J124" i="15"/>
  <c r="W104" i="16"/>
  <c r="D104" i="16"/>
  <c r="E104" i="16" s="1"/>
  <c r="F104" i="16" s="1"/>
  <c r="W86" i="16"/>
  <c r="D86" i="16"/>
  <c r="E86" i="16" s="1"/>
  <c r="F86" i="16" s="1"/>
  <c r="J86" i="15"/>
  <c r="I86" i="15"/>
  <c r="G30" i="15"/>
  <c r="BX30" i="6" s="1"/>
  <c r="AA30" i="15"/>
  <c r="Z30" i="15" s="1"/>
  <c r="Y30" i="15" s="1"/>
  <c r="H30" i="15"/>
  <c r="W34" i="16"/>
  <c r="D34" i="16"/>
  <c r="E34" i="16" s="1"/>
  <c r="F34" i="16" s="1"/>
  <c r="G365" i="15"/>
  <c r="BX365" i="6" s="1"/>
  <c r="AA365" i="15"/>
  <c r="Z365" i="15" s="1"/>
  <c r="Y365" i="15" s="1"/>
  <c r="W365" i="16"/>
  <c r="D365" i="16"/>
  <c r="E365" i="16" s="1"/>
  <c r="F365" i="16" s="1"/>
  <c r="H137" i="15"/>
  <c r="G137" i="15"/>
  <c r="BX137" i="6" s="1"/>
  <c r="AA137" i="15"/>
  <c r="Z137" i="15" s="1"/>
  <c r="Y137" i="15" s="1"/>
  <c r="W137" i="16"/>
  <c r="D137" i="16"/>
  <c r="E137" i="16" s="1"/>
  <c r="F137" i="16" s="1"/>
  <c r="J346" i="15"/>
  <c r="I346" i="15"/>
  <c r="I322" i="15"/>
  <c r="J322" i="15"/>
  <c r="J314" i="15"/>
  <c r="I314" i="15"/>
  <c r="I306" i="15"/>
  <c r="J306" i="15"/>
  <c r="J296" i="15"/>
  <c r="I296" i="15"/>
  <c r="G312" i="16"/>
  <c r="BY312" i="6" s="1"/>
  <c r="W288" i="16"/>
  <c r="D288" i="16"/>
  <c r="E288" i="16" s="1"/>
  <c r="F288" i="16" s="1"/>
  <c r="AA317" i="16"/>
  <c r="Z317" i="16" s="1"/>
  <c r="Y317" i="16" s="1"/>
  <c r="AA189" i="16"/>
  <c r="Z189" i="16" s="1"/>
  <c r="Y189" i="16" s="1"/>
  <c r="AA177" i="16"/>
  <c r="Z177" i="16" s="1"/>
  <c r="Y177" i="16" s="1"/>
  <c r="AA145" i="16"/>
  <c r="Z145" i="16" s="1"/>
  <c r="Y145" i="16" s="1"/>
  <c r="AA75" i="15"/>
  <c r="Z75" i="15" s="1"/>
  <c r="Y75" i="15" s="1"/>
  <c r="H75" i="15"/>
  <c r="G75" i="15"/>
  <c r="BX75" i="6" s="1"/>
  <c r="B40" i="16"/>
  <c r="H101" i="15"/>
  <c r="AA101" i="15"/>
  <c r="Z101" i="15" s="1"/>
  <c r="Y101" i="15" s="1"/>
  <c r="G101" i="15"/>
  <c r="BX101" i="6" s="1"/>
  <c r="W101" i="16"/>
  <c r="D101" i="16"/>
  <c r="E101" i="16" s="1"/>
  <c r="F101" i="16" s="1"/>
  <c r="H17" i="15"/>
  <c r="G17" i="15"/>
  <c r="BX17" i="6" s="1"/>
  <c r="W17" i="16"/>
  <c r="D17" i="16"/>
  <c r="E17" i="16" s="1"/>
  <c r="F17" i="16" s="1"/>
  <c r="G17" i="16" s="1"/>
  <c r="BY17" i="6" s="1"/>
  <c r="W298" i="16"/>
  <c r="D298" i="16"/>
  <c r="E298" i="16" s="1"/>
  <c r="F298" i="16" s="1"/>
  <c r="G298" i="16" s="1"/>
  <c r="BY298" i="6" s="1"/>
  <c r="AA62" i="15"/>
  <c r="Z62" i="15" s="1"/>
  <c r="Y62" i="15" s="1"/>
  <c r="G62" i="15"/>
  <c r="BX62" i="6" s="1"/>
  <c r="H62" i="15"/>
  <c r="B42" i="16"/>
  <c r="AA333" i="15"/>
  <c r="Z333" i="15" s="1"/>
  <c r="Y333" i="15" s="1"/>
  <c r="H333" i="15"/>
  <c r="G333" i="15"/>
  <c r="BX333" i="6" s="1"/>
  <c r="H272" i="15"/>
  <c r="AA272" i="15"/>
  <c r="Z272" i="15" s="1"/>
  <c r="Y272" i="15" s="1"/>
  <c r="G272" i="15"/>
  <c r="BX272" i="6" s="1"/>
  <c r="G56" i="15"/>
  <c r="BX56" i="6" s="1"/>
  <c r="AA56" i="15"/>
  <c r="Z56" i="15" s="1"/>
  <c r="Y56" i="15" s="1"/>
  <c r="H56" i="15"/>
  <c r="H337" i="15"/>
  <c r="G337" i="15"/>
  <c r="BX337" i="6" s="1"/>
  <c r="AA337" i="15"/>
  <c r="Z337" i="15" s="1"/>
  <c r="Y337" i="15" s="1"/>
  <c r="W337" i="16"/>
  <c r="D337" i="16"/>
  <c r="E337" i="16" s="1"/>
  <c r="F337" i="16" s="1"/>
  <c r="J69" i="15"/>
  <c r="I69" i="15"/>
  <c r="H69" i="16" s="1"/>
  <c r="I69" i="16" s="1"/>
  <c r="W81" i="16"/>
  <c r="D81" i="16"/>
  <c r="E81" i="16" s="1"/>
  <c r="F81" i="16" s="1"/>
  <c r="J81" i="15"/>
  <c r="I81" i="15"/>
  <c r="I93" i="15"/>
  <c r="J93" i="15"/>
  <c r="J105" i="15"/>
  <c r="I105" i="15"/>
  <c r="J117" i="15"/>
  <c r="I117" i="15"/>
  <c r="H117" i="16" s="1"/>
  <c r="W125" i="16"/>
  <c r="D125" i="16"/>
  <c r="E125" i="16" s="1"/>
  <c r="F125" i="16" s="1"/>
  <c r="I133" i="15"/>
  <c r="H133" i="16" s="1"/>
  <c r="J133" i="15"/>
  <c r="J149" i="15"/>
  <c r="I149" i="15"/>
  <c r="I161" i="15"/>
  <c r="J161" i="15"/>
  <c r="I209" i="15"/>
  <c r="J209" i="15"/>
  <c r="I229" i="15"/>
  <c r="J229" i="15"/>
  <c r="J245" i="15"/>
  <c r="I245" i="15"/>
  <c r="J273" i="15"/>
  <c r="I273" i="15"/>
  <c r="H273" i="16" s="1"/>
  <c r="W285" i="16"/>
  <c r="D285" i="16"/>
  <c r="E285" i="16" s="1"/>
  <c r="F285" i="16" s="1"/>
  <c r="W293" i="16"/>
  <c r="D293" i="16"/>
  <c r="E293" i="16" s="1"/>
  <c r="F293" i="16" s="1"/>
  <c r="J293" i="15"/>
  <c r="I293" i="15"/>
  <c r="J305" i="15"/>
  <c r="I305" i="15"/>
  <c r="W313" i="16"/>
  <c r="D313" i="16"/>
  <c r="E313" i="16" s="1"/>
  <c r="F313" i="16" s="1"/>
  <c r="J321" i="15"/>
  <c r="I321" i="15"/>
  <c r="H321" i="16" s="1"/>
  <c r="I321" i="16" s="1"/>
  <c r="I349" i="15"/>
  <c r="H349" i="16" s="1"/>
  <c r="J349" i="15"/>
  <c r="I49" i="15"/>
  <c r="J49" i="15"/>
  <c r="J41" i="15"/>
  <c r="I41" i="15"/>
  <c r="H41" i="16" s="1"/>
  <c r="I41" i="16" s="1"/>
  <c r="J295" i="15"/>
  <c r="I295" i="15"/>
  <c r="H295" i="16" s="1"/>
  <c r="I295" i="16" s="1"/>
  <c r="J73" i="15"/>
  <c r="I73" i="15"/>
  <c r="J284" i="15"/>
  <c r="I284" i="15"/>
  <c r="W280" i="16"/>
  <c r="D280" i="16"/>
  <c r="E280" i="16" s="1"/>
  <c r="F280" i="16" s="1"/>
  <c r="J260" i="15"/>
  <c r="I260" i="15"/>
  <c r="I79" i="15"/>
  <c r="H79" i="16" s="1"/>
  <c r="I79" i="16" s="1"/>
  <c r="J79" i="15"/>
  <c r="J107" i="15"/>
  <c r="I107" i="15"/>
  <c r="H107" i="16" s="1"/>
  <c r="J115" i="15"/>
  <c r="I115" i="15"/>
  <c r="H115" i="16" s="1"/>
  <c r="I151" i="15"/>
  <c r="J151" i="15"/>
  <c r="I159" i="15"/>
  <c r="J159" i="15"/>
  <c r="I179" i="15"/>
  <c r="H179" i="16" s="1"/>
  <c r="I179" i="16" s="1"/>
  <c r="J179" i="15"/>
  <c r="J211" i="15"/>
  <c r="I211" i="15"/>
  <c r="H211" i="16" s="1"/>
  <c r="I315" i="15"/>
  <c r="J315" i="15"/>
  <c r="I331" i="15"/>
  <c r="H331" i="16" s="1"/>
  <c r="J331" i="15"/>
  <c r="J347" i="15"/>
  <c r="I347" i="15"/>
  <c r="H347" i="16" s="1"/>
  <c r="I347" i="16" s="1"/>
  <c r="J345" i="15"/>
  <c r="I345" i="15"/>
  <c r="H345" i="16" s="1"/>
  <c r="J271" i="15"/>
  <c r="I271" i="15"/>
  <c r="H271" i="16" s="1"/>
  <c r="J259" i="15"/>
  <c r="I259" i="15"/>
  <c r="H259" i="16" s="1"/>
  <c r="J223" i="15"/>
  <c r="I223" i="15"/>
  <c r="H223" i="16" s="1"/>
  <c r="W147" i="16"/>
  <c r="D147" i="16"/>
  <c r="E147" i="16" s="1"/>
  <c r="F147" i="16" s="1"/>
  <c r="I131" i="15"/>
  <c r="H131" i="16" s="1"/>
  <c r="I131" i="16" s="1"/>
  <c r="J131" i="15"/>
  <c r="W71" i="16"/>
  <c r="D71" i="16"/>
  <c r="E71" i="16" s="1"/>
  <c r="F71" i="16" s="1"/>
  <c r="I344" i="15"/>
  <c r="J344" i="15"/>
  <c r="W340" i="16"/>
  <c r="D340" i="16"/>
  <c r="E340" i="16" s="1"/>
  <c r="F340" i="16" s="1"/>
  <c r="W332" i="16"/>
  <c r="D332" i="16"/>
  <c r="E332" i="16" s="1"/>
  <c r="F332" i="16" s="1"/>
  <c r="J302" i="15"/>
  <c r="I302" i="15"/>
  <c r="J290" i="15"/>
  <c r="I290" i="15"/>
  <c r="J282" i="15"/>
  <c r="I282" i="15"/>
  <c r="J258" i="15"/>
  <c r="I258" i="15"/>
  <c r="J250" i="15"/>
  <c r="I250" i="15"/>
  <c r="J242" i="15"/>
  <c r="I242" i="15"/>
  <c r="J234" i="15"/>
  <c r="I234" i="15"/>
  <c r="I218" i="15"/>
  <c r="J218" i="15"/>
  <c r="I208" i="15"/>
  <c r="J208" i="15"/>
  <c r="W192" i="16"/>
  <c r="D192" i="16"/>
  <c r="E192" i="16" s="1"/>
  <c r="F192" i="16" s="1"/>
  <c r="I192" i="15"/>
  <c r="J192" i="15"/>
  <c r="I184" i="15"/>
  <c r="J184" i="15"/>
  <c r="W166" i="16"/>
  <c r="D166" i="16"/>
  <c r="E166" i="16" s="1"/>
  <c r="F166" i="16" s="1"/>
  <c r="I158" i="15"/>
  <c r="J158" i="15"/>
  <c r="W150" i="16"/>
  <c r="D150" i="16"/>
  <c r="E150" i="16" s="1"/>
  <c r="F150" i="16" s="1"/>
  <c r="W142" i="16"/>
  <c r="D142" i="16"/>
  <c r="E142" i="16" s="1"/>
  <c r="F142" i="16" s="1"/>
  <c r="I142" i="15"/>
  <c r="J142" i="15"/>
  <c r="J134" i="15"/>
  <c r="I134" i="15"/>
  <c r="W126" i="16"/>
  <c r="D126" i="16"/>
  <c r="E126" i="16" s="1"/>
  <c r="F126" i="16" s="1"/>
  <c r="I110" i="15"/>
  <c r="J110" i="15"/>
  <c r="W102" i="16"/>
  <c r="D102" i="16"/>
  <c r="E102" i="16" s="1"/>
  <c r="F102" i="16" s="1"/>
  <c r="AA102" i="16" s="1"/>
  <c r="Z102" i="16" s="1"/>
  <c r="Y102" i="16" s="1"/>
  <c r="I88" i="15"/>
  <c r="J88" i="15"/>
  <c r="W244" i="16"/>
  <c r="D244" i="16"/>
  <c r="E244" i="16" s="1"/>
  <c r="F244" i="16" s="1"/>
  <c r="W236" i="16"/>
  <c r="D236" i="16"/>
  <c r="E236" i="16" s="1"/>
  <c r="F236" i="16" s="1"/>
  <c r="I232" i="15"/>
  <c r="J232" i="15"/>
  <c r="I224" i="15"/>
  <c r="J224" i="15"/>
  <c r="W220" i="16"/>
  <c r="D220" i="16"/>
  <c r="E220" i="16" s="1"/>
  <c r="F220" i="16" s="1"/>
  <c r="J216" i="15"/>
  <c r="I216" i="15"/>
  <c r="I210" i="15"/>
  <c r="J210" i="15"/>
  <c r="I194" i="15"/>
  <c r="J194" i="15"/>
  <c r="W186" i="16"/>
  <c r="D186" i="16"/>
  <c r="E186" i="16" s="1"/>
  <c r="F186" i="16" s="1"/>
  <c r="AA186" i="16" s="1"/>
  <c r="Z186" i="16" s="1"/>
  <c r="Y186" i="16" s="1"/>
  <c r="J186" i="15"/>
  <c r="I186" i="15"/>
  <c r="J148" i="15"/>
  <c r="I148" i="15"/>
  <c r="H148" i="16" s="1"/>
  <c r="I120" i="15"/>
  <c r="J120" i="15"/>
  <c r="I112" i="15"/>
  <c r="J112" i="15"/>
  <c r="I92" i="15"/>
  <c r="J92" i="15"/>
  <c r="J74" i="15"/>
  <c r="I74" i="15"/>
  <c r="J19" i="15"/>
  <c r="I19" i="15"/>
  <c r="W44" i="16"/>
  <c r="D44" i="16"/>
  <c r="E44" i="16" s="1"/>
  <c r="F44" i="16" s="1"/>
  <c r="G44" i="16" s="1"/>
  <c r="BY44" i="6" s="1"/>
  <c r="AA18" i="15"/>
  <c r="Z18" i="15" s="1"/>
  <c r="Y18" i="15" s="1"/>
  <c r="G18" i="15"/>
  <c r="BX18" i="6" s="1"/>
  <c r="H18" i="15"/>
  <c r="B54" i="16"/>
  <c r="AA22" i="15"/>
  <c r="Z22" i="15" s="1"/>
  <c r="Y22" i="15" s="1"/>
  <c r="H22" i="15"/>
  <c r="G22" i="15"/>
  <c r="BX22" i="6" s="1"/>
  <c r="W20" i="16"/>
  <c r="D20" i="16"/>
  <c r="E20" i="16" s="1"/>
  <c r="F20" i="16" s="1"/>
  <c r="H60" i="15"/>
  <c r="G60" i="15"/>
  <c r="BX60" i="6" s="1"/>
  <c r="AA60" i="15"/>
  <c r="Z60" i="15" s="1"/>
  <c r="Y60" i="15" s="1"/>
  <c r="W32" i="16"/>
  <c r="D32" i="16"/>
  <c r="E32" i="16" s="1"/>
  <c r="F32" i="16" s="1"/>
  <c r="H23" i="15"/>
  <c r="G23" i="15"/>
  <c r="BX23" i="6" s="1"/>
  <c r="AA23" i="15"/>
  <c r="Z23" i="15" s="1"/>
  <c r="Y23" i="15" s="1"/>
  <c r="W23" i="16"/>
  <c r="D23" i="16"/>
  <c r="E23" i="16" s="1"/>
  <c r="F23" i="16" s="1"/>
  <c r="H58" i="15"/>
  <c r="AA58" i="15"/>
  <c r="Z58" i="15" s="1"/>
  <c r="Y58" i="15" s="1"/>
  <c r="G58" i="15"/>
  <c r="BX58" i="6" s="1"/>
  <c r="G26" i="15"/>
  <c r="BX26" i="6" s="1"/>
  <c r="H26" i="15"/>
  <c r="AA26" i="15"/>
  <c r="Z26" i="15" s="1"/>
  <c r="Y26" i="15" s="1"/>
  <c r="I350" i="15"/>
  <c r="H350" i="16" s="1"/>
  <c r="J350" i="15"/>
  <c r="W346" i="16"/>
  <c r="D346" i="16"/>
  <c r="E346" i="16" s="1"/>
  <c r="F346" i="16" s="1"/>
  <c r="J342" i="15"/>
  <c r="I342" i="15"/>
  <c r="J318" i="15"/>
  <c r="I318" i="15"/>
  <c r="I310" i="15"/>
  <c r="J310" i="15"/>
  <c r="J292" i="15"/>
  <c r="I292" i="15"/>
  <c r="AA375" i="16"/>
  <c r="Z375" i="16" s="1"/>
  <c r="Y375" i="16" s="1"/>
  <c r="AA323" i="16"/>
  <c r="Z323" i="16" s="1"/>
  <c r="Y323" i="16" s="1"/>
  <c r="AA279" i="16"/>
  <c r="Z279" i="16" s="1"/>
  <c r="Y279" i="16" s="1"/>
  <c r="AA187" i="16"/>
  <c r="Z187" i="16" s="1"/>
  <c r="Y187" i="16" s="1"/>
  <c r="AA319" i="16"/>
  <c r="Z319" i="16" s="1"/>
  <c r="Y319" i="16" s="1"/>
  <c r="AA267" i="16"/>
  <c r="Z267" i="16" s="1"/>
  <c r="Y267" i="16" s="1"/>
  <c r="AA223" i="16"/>
  <c r="Z223" i="16" s="1"/>
  <c r="Y223" i="16" s="1"/>
  <c r="W85" i="16"/>
  <c r="D85" i="16"/>
  <c r="E85" i="16" s="1"/>
  <c r="F85" i="16" s="1"/>
  <c r="W43" i="16"/>
  <c r="D43" i="16"/>
  <c r="E43" i="16" s="1"/>
  <c r="F43" i="16" s="1"/>
  <c r="W237" i="16"/>
  <c r="D237" i="16"/>
  <c r="E237" i="16" s="1"/>
  <c r="F237" i="16" s="1"/>
  <c r="W76" i="16"/>
  <c r="D76" i="16"/>
  <c r="E76" i="16" s="1"/>
  <c r="F76" i="16" s="1"/>
  <c r="W72" i="16"/>
  <c r="D72" i="16"/>
  <c r="E72" i="16" s="1"/>
  <c r="F72" i="16" s="1"/>
  <c r="W68" i="16"/>
  <c r="D68" i="16"/>
  <c r="E68" i="16" s="1"/>
  <c r="F68" i="16" s="1"/>
  <c r="AA68" i="16" s="1"/>
  <c r="Z68" i="16" s="1"/>
  <c r="Y68" i="16" s="1"/>
  <c r="AA352" i="16"/>
  <c r="Z352" i="16" s="1"/>
  <c r="Y352" i="16" s="1"/>
  <c r="AA331" i="16"/>
  <c r="Z331" i="16" s="1"/>
  <c r="Y331" i="16" s="1"/>
  <c r="AA303" i="16"/>
  <c r="Z303" i="16" s="1"/>
  <c r="Y303" i="16" s="1"/>
  <c r="AA251" i="16"/>
  <c r="Z251" i="16" s="1"/>
  <c r="Y251" i="16" s="1"/>
  <c r="AA203" i="16"/>
  <c r="Z203" i="16" s="1"/>
  <c r="Y203" i="16" s="1"/>
  <c r="W358" i="16"/>
  <c r="D358" i="16"/>
  <c r="E358" i="16" s="1"/>
  <c r="F358" i="16" s="1"/>
  <c r="G358" i="16" s="1"/>
  <c r="BY358" i="6" s="1"/>
  <c r="W354" i="16"/>
  <c r="D354" i="16"/>
  <c r="E354" i="16" s="1"/>
  <c r="F354" i="16" s="1"/>
  <c r="W262" i="16"/>
  <c r="D262" i="16"/>
  <c r="E262" i="16" s="1"/>
  <c r="F262" i="16" s="1"/>
  <c r="W246" i="16"/>
  <c r="D246" i="16"/>
  <c r="E246" i="16" s="1"/>
  <c r="F246" i="16" s="1"/>
  <c r="W238" i="16"/>
  <c r="D238" i="16"/>
  <c r="E238" i="16" s="1"/>
  <c r="F238" i="16" s="1"/>
  <c r="W224" i="16"/>
  <c r="D224" i="16"/>
  <c r="E224" i="16" s="1"/>
  <c r="F224" i="16" s="1"/>
  <c r="W208" i="16"/>
  <c r="D208" i="16"/>
  <c r="E208" i="16" s="1"/>
  <c r="F208" i="16" s="1"/>
  <c r="W200" i="16"/>
  <c r="D200" i="16"/>
  <c r="E200" i="16" s="1"/>
  <c r="F200" i="16" s="1"/>
  <c r="W188" i="16"/>
  <c r="D188" i="16"/>
  <c r="E188" i="16" s="1"/>
  <c r="F188" i="16" s="1"/>
  <c r="AA188" i="16" s="1"/>
  <c r="Z188" i="16" s="1"/>
  <c r="Y188" i="16" s="1"/>
  <c r="W182" i="16"/>
  <c r="D182" i="16"/>
  <c r="E182" i="16" s="1"/>
  <c r="F182" i="16" s="1"/>
  <c r="W138" i="16"/>
  <c r="D138" i="16"/>
  <c r="E138" i="16" s="1"/>
  <c r="F138" i="16" s="1"/>
  <c r="W114" i="16"/>
  <c r="D114" i="16"/>
  <c r="E114" i="16" s="1"/>
  <c r="F114" i="16" s="1"/>
  <c r="W94" i="16"/>
  <c r="D94" i="16"/>
  <c r="E94" i="16" s="1"/>
  <c r="F94" i="16" s="1"/>
  <c r="W90" i="16"/>
  <c r="D90" i="16"/>
  <c r="E90" i="16" s="1"/>
  <c r="F90" i="16" s="1"/>
  <c r="W66" i="16"/>
  <c r="D66" i="16"/>
  <c r="E66" i="16" s="1"/>
  <c r="F66" i="16" s="1"/>
  <c r="AA214" i="16"/>
  <c r="Z214" i="16" s="1"/>
  <c r="Y214" i="16" s="1"/>
  <c r="G350" i="16"/>
  <c r="BY350" i="6" s="1"/>
  <c r="Q376" i="17"/>
  <c r="Q368" i="17"/>
  <c r="Q360" i="17"/>
  <c r="Q352" i="17"/>
  <c r="Q344" i="17"/>
  <c r="Q336" i="17"/>
  <c r="Q328" i="17"/>
  <c r="Q320" i="17"/>
  <c r="Q312" i="17"/>
  <c r="Q304" i="17"/>
  <c r="Q296" i="17"/>
  <c r="Q288" i="17"/>
  <c r="Q272" i="17"/>
  <c r="Q256" i="17"/>
  <c r="Q240" i="17"/>
  <c r="Q224" i="17"/>
  <c r="Q208" i="17"/>
  <c r="Q192" i="17"/>
  <c r="Q176" i="17"/>
  <c r="Q160" i="17"/>
  <c r="Q144" i="17"/>
  <c r="Q128" i="17"/>
  <c r="Q112" i="17"/>
  <c r="Q96" i="17"/>
  <c r="Q80" i="17"/>
  <c r="Q64" i="17"/>
  <c r="Q48" i="17"/>
  <c r="AI372" i="17"/>
  <c r="AH372" i="17" s="1"/>
  <c r="AG372" i="17" s="1"/>
  <c r="AF372" i="17" s="1"/>
  <c r="AI364" i="17"/>
  <c r="AH364" i="17" s="1"/>
  <c r="AG364" i="17" s="1"/>
  <c r="AF364" i="17" s="1"/>
  <c r="AI356" i="17"/>
  <c r="AH356" i="17" s="1"/>
  <c r="AG356" i="17" s="1"/>
  <c r="AF356" i="17" s="1"/>
  <c r="AI348" i="17"/>
  <c r="AH348" i="17" s="1"/>
  <c r="AG348" i="17" s="1"/>
  <c r="AF348" i="17" s="1"/>
  <c r="AI340" i="17"/>
  <c r="AH340" i="17" s="1"/>
  <c r="AG340" i="17" s="1"/>
  <c r="AF340" i="17" s="1"/>
  <c r="AI332" i="17"/>
  <c r="AH332" i="17" s="1"/>
  <c r="AG332" i="17" s="1"/>
  <c r="AF332" i="17" s="1"/>
  <c r="AI324" i="17"/>
  <c r="AH324" i="17" s="1"/>
  <c r="AG324" i="17" s="1"/>
  <c r="AF324" i="17" s="1"/>
  <c r="AI316" i="17"/>
  <c r="AH316" i="17" s="1"/>
  <c r="AG316" i="17" s="1"/>
  <c r="AF316" i="17" s="1"/>
  <c r="AI308" i="17"/>
  <c r="AH308" i="17" s="1"/>
  <c r="AG308" i="17" s="1"/>
  <c r="AF308" i="17" s="1"/>
  <c r="AI300" i="17"/>
  <c r="AH300" i="17" s="1"/>
  <c r="AG300" i="17" s="1"/>
  <c r="AF300" i="17" s="1"/>
  <c r="AI292" i="17"/>
  <c r="AH292" i="17" s="1"/>
  <c r="AG292" i="17" s="1"/>
  <c r="AF292" i="17" s="1"/>
  <c r="AI284" i="17"/>
  <c r="AH284" i="17" s="1"/>
  <c r="AG284" i="17" s="1"/>
  <c r="AF284" i="17" s="1"/>
  <c r="AI276" i="17"/>
  <c r="AH276" i="17" s="1"/>
  <c r="AG276" i="17" s="1"/>
  <c r="AF276" i="17" s="1"/>
  <c r="AI268" i="17"/>
  <c r="AH268" i="17" s="1"/>
  <c r="AG268" i="17" s="1"/>
  <c r="AF268" i="17" s="1"/>
  <c r="AI260" i="17"/>
  <c r="AH260" i="17" s="1"/>
  <c r="AG260" i="17" s="1"/>
  <c r="AF260" i="17" s="1"/>
  <c r="AI252" i="17"/>
  <c r="AH252" i="17" s="1"/>
  <c r="AG252" i="17" s="1"/>
  <c r="AF252" i="17" s="1"/>
  <c r="AI244" i="17"/>
  <c r="AH244" i="17" s="1"/>
  <c r="AG244" i="17" s="1"/>
  <c r="AF244" i="17" s="1"/>
  <c r="AI236" i="17"/>
  <c r="AH236" i="17" s="1"/>
  <c r="AI228" i="17"/>
  <c r="AH228" i="17" s="1"/>
  <c r="AG228" i="17" s="1"/>
  <c r="AF228" i="17" s="1"/>
  <c r="AI220" i="17"/>
  <c r="AH220" i="17" s="1"/>
  <c r="AG220" i="17" s="1"/>
  <c r="AF220" i="17" s="1"/>
  <c r="AI212" i="17"/>
  <c r="AH212" i="17" s="1"/>
  <c r="AG212" i="17" s="1"/>
  <c r="AF212" i="17" s="1"/>
  <c r="AI204" i="17"/>
  <c r="AH204" i="17" s="1"/>
  <c r="AG204" i="17" s="1"/>
  <c r="AF204" i="17" s="1"/>
  <c r="AI196" i="17"/>
  <c r="AH196" i="17" s="1"/>
  <c r="AG196" i="17" s="1"/>
  <c r="AF196" i="17" s="1"/>
  <c r="AI188" i="17"/>
  <c r="AH188" i="17" s="1"/>
  <c r="AI180" i="17"/>
  <c r="AH180" i="17" s="1"/>
  <c r="AG180" i="17" s="1"/>
  <c r="AF180" i="17" s="1"/>
  <c r="AI172" i="17"/>
  <c r="AH172" i="17" s="1"/>
  <c r="AG172" i="17" s="1"/>
  <c r="AF172" i="17" s="1"/>
  <c r="AI164" i="17"/>
  <c r="AH164" i="17" s="1"/>
  <c r="AG164" i="17" s="1"/>
  <c r="AF164" i="17" s="1"/>
  <c r="AI156" i="17"/>
  <c r="AH156" i="17" s="1"/>
  <c r="AG156" i="17" s="1"/>
  <c r="AF156" i="17" s="1"/>
  <c r="AI148" i="17"/>
  <c r="AH148" i="17" s="1"/>
  <c r="AG148" i="17" s="1"/>
  <c r="AF148" i="17" s="1"/>
  <c r="AI140" i="17"/>
  <c r="AH140" i="17" s="1"/>
  <c r="AG140" i="17" s="1"/>
  <c r="AF140" i="17" s="1"/>
  <c r="AI132" i="17"/>
  <c r="AH132" i="17" s="1"/>
  <c r="AG132" i="17" s="1"/>
  <c r="AF132" i="17" s="1"/>
  <c r="AI119" i="17"/>
  <c r="AH119" i="17" s="1"/>
  <c r="AG119" i="17" s="1"/>
  <c r="AF119" i="17" s="1"/>
  <c r="AI103" i="17"/>
  <c r="AH103" i="17" s="1"/>
  <c r="AG103" i="17" s="1"/>
  <c r="AF103" i="17" s="1"/>
  <c r="AI87" i="17"/>
  <c r="AH87" i="17" s="1"/>
  <c r="AG87" i="17" s="1"/>
  <c r="AF87" i="17" s="1"/>
  <c r="AI71" i="17"/>
  <c r="AH71" i="17" s="1"/>
  <c r="AG71" i="17" s="1"/>
  <c r="AF71" i="17" s="1"/>
  <c r="AI55" i="17"/>
  <c r="AH55" i="17" s="1"/>
  <c r="AG55" i="17" s="1"/>
  <c r="AF55" i="17" s="1"/>
  <c r="AI39" i="17"/>
  <c r="AH39" i="17" s="1"/>
  <c r="AG39" i="17" s="1"/>
  <c r="AF39" i="17" s="1"/>
  <c r="AI23" i="17"/>
  <c r="AH23" i="17" s="1"/>
  <c r="AG23" i="17" s="1"/>
  <c r="AF23" i="17" s="1"/>
  <c r="AI378" i="17"/>
  <c r="AH378" i="17" s="1"/>
  <c r="AG378" i="17" s="1"/>
  <c r="AF378" i="17" s="1"/>
  <c r="AI374" i="17"/>
  <c r="AH374" i="17" s="1"/>
  <c r="AI370" i="17"/>
  <c r="AH370" i="17" s="1"/>
  <c r="AG370" i="17" s="1"/>
  <c r="AF370" i="17" s="1"/>
  <c r="AI366" i="17"/>
  <c r="AH366" i="17" s="1"/>
  <c r="AG366" i="17" s="1"/>
  <c r="AF366" i="17" s="1"/>
  <c r="AI362" i="17"/>
  <c r="AH362" i="17" s="1"/>
  <c r="AG362" i="17" s="1"/>
  <c r="AF362" i="17" s="1"/>
  <c r="AI358" i="17"/>
  <c r="AH358" i="17" s="1"/>
  <c r="AG358" i="17" s="1"/>
  <c r="AF358" i="17" s="1"/>
  <c r="AI354" i="17"/>
  <c r="AH354" i="17" s="1"/>
  <c r="AG354" i="17" s="1"/>
  <c r="AF354" i="17" s="1"/>
  <c r="AI350" i="17"/>
  <c r="AH350" i="17" s="1"/>
  <c r="AI346" i="17"/>
  <c r="AH346" i="17" s="1"/>
  <c r="AG346" i="17" s="1"/>
  <c r="AF346" i="17" s="1"/>
  <c r="AI342" i="17"/>
  <c r="AH342" i="17" s="1"/>
  <c r="AG342" i="17" s="1"/>
  <c r="AF342" i="17" s="1"/>
  <c r="AI338" i="17"/>
  <c r="AH338" i="17" s="1"/>
  <c r="AG338" i="17" s="1"/>
  <c r="AF338" i="17" s="1"/>
  <c r="AI334" i="17"/>
  <c r="AH334" i="17" s="1"/>
  <c r="AG334" i="17" s="1"/>
  <c r="AF334" i="17" s="1"/>
  <c r="AI330" i="17"/>
  <c r="AH330" i="17" s="1"/>
  <c r="AG330" i="17" s="1"/>
  <c r="AF330" i="17" s="1"/>
  <c r="AI326" i="17"/>
  <c r="AH326" i="17" s="1"/>
  <c r="AG326" i="17" s="1"/>
  <c r="AF326" i="17" s="1"/>
  <c r="AI322" i="17"/>
  <c r="AH322" i="17" s="1"/>
  <c r="AG322" i="17" s="1"/>
  <c r="AF322" i="17" s="1"/>
  <c r="AI318" i="17"/>
  <c r="AH318" i="17" s="1"/>
  <c r="AG318" i="17" s="1"/>
  <c r="AF318" i="17" s="1"/>
  <c r="AI314" i="17"/>
  <c r="AH314" i="17" s="1"/>
  <c r="AG314" i="17" s="1"/>
  <c r="AF314" i="17" s="1"/>
  <c r="AI310" i="17"/>
  <c r="AH310" i="17" s="1"/>
  <c r="AG310" i="17" s="1"/>
  <c r="AF310" i="17" s="1"/>
  <c r="AI306" i="17"/>
  <c r="AH306" i="17" s="1"/>
  <c r="AG306" i="17" s="1"/>
  <c r="AF306" i="17" s="1"/>
  <c r="AI302" i="17"/>
  <c r="AH302" i="17" s="1"/>
  <c r="AG302" i="17" s="1"/>
  <c r="AF302" i="17" s="1"/>
  <c r="AI298" i="17"/>
  <c r="AH298" i="17" s="1"/>
  <c r="AG298" i="17" s="1"/>
  <c r="AF298" i="17" s="1"/>
  <c r="AI294" i="17"/>
  <c r="AH294" i="17" s="1"/>
  <c r="AG294" i="17" s="1"/>
  <c r="AF294" i="17" s="1"/>
  <c r="AI290" i="17"/>
  <c r="AH290" i="17" s="1"/>
  <c r="AG290" i="17" s="1"/>
  <c r="AF290" i="17" s="1"/>
  <c r="AI286" i="17"/>
  <c r="AH286" i="17" s="1"/>
  <c r="AG286" i="17" s="1"/>
  <c r="AF286" i="17" s="1"/>
  <c r="AI282" i="17"/>
  <c r="AH282" i="17" s="1"/>
  <c r="AG282" i="17" s="1"/>
  <c r="AF282" i="17" s="1"/>
  <c r="AI278" i="17"/>
  <c r="AH278" i="17" s="1"/>
  <c r="AG278" i="17" s="1"/>
  <c r="AF278" i="17" s="1"/>
  <c r="AI274" i="17"/>
  <c r="AH274" i="17" s="1"/>
  <c r="AG274" i="17" s="1"/>
  <c r="AF274" i="17" s="1"/>
  <c r="AI270" i="17"/>
  <c r="AH270" i="17" s="1"/>
  <c r="AI266" i="17"/>
  <c r="AH266" i="17" s="1"/>
  <c r="AG266" i="17" s="1"/>
  <c r="AF266" i="17" s="1"/>
  <c r="AI262" i="17"/>
  <c r="AH262" i="17" s="1"/>
  <c r="AG262" i="17" s="1"/>
  <c r="AF262" i="17" s="1"/>
  <c r="AI258" i="17"/>
  <c r="AH258" i="17" s="1"/>
  <c r="AG258" i="17" s="1"/>
  <c r="AF258" i="17" s="1"/>
  <c r="AI254" i="17"/>
  <c r="AH254" i="17" s="1"/>
  <c r="AG254" i="17" s="1"/>
  <c r="AF254" i="17" s="1"/>
  <c r="AI250" i="17"/>
  <c r="AH250" i="17" s="1"/>
  <c r="AG250" i="17" s="1"/>
  <c r="AF250" i="17" s="1"/>
  <c r="AI246" i="17"/>
  <c r="AH246" i="17" s="1"/>
  <c r="AG246" i="17" s="1"/>
  <c r="AF246" i="17" s="1"/>
  <c r="AI242" i="17"/>
  <c r="AH242" i="17" s="1"/>
  <c r="AG242" i="17" s="1"/>
  <c r="AF242" i="17" s="1"/>
  <c r="AI238" i="17"/>
  <c r="AH238" i="17" s="1"/>
  <c r="AG238" i="17" s="1"/>
  <c r="AF238" i="17" s="1"/>
  <c r="AI234" i="17"/>
  <c r="AH234" i="17" s="1"/>
  <c r="AG234" i="17" s="1"/>
  <c r="AF234" i="17" s="1"/>
  <c r="AI230" i="17"/>
  <c r="AH230" i="17" s="1"/>
  <c r="AI226" i="17"/>
  <c r="AH226" i="17" s="1"/>
  <c r="AG226" i="17" s="1"/>
  <c r="AF226" i="17" s="1"/>
  <c r="AI222" i="17"/>
  <c r="AH222" i="17" s="1"/>
  <c r="AG222" i="17" s="1"/>
  <c r="AF222" i="17" s="1"/>
  <c r="AI218" i="17"/>
  <c r="AH218" i="17" s="1"/>
  <c r="AG218" i="17" s="1"/>
  <c r="AF218" i="17" s="1"/>
  <c r="AI214" i="17"/>
  <c r="AH214" i="17" s="1"/>
  <c r="AG214" i="17" s="1"/>
  <c r="AF214" i="17" s="1"/>
  <c r="AI210" i="17"/>
  <c r="AH210" i="17" s="1"/>
  <c r="AG210" i="17" s="1"/>
  <c r="AF210" i="17" s="1"/>
  <c r="AI206" i="17"/>
  <c r="AH206" i="17" s="1"/>
  <c r="AG206" i="17" s="1"/>
  <c r="AF206" i="17" s="1"/>
  <c r="AI202" i="17"/>
  <c r="AH202" i="17" s="1"/>
  <c r="AG202" i="17" s="1"/>
  <c r="AF202" i="17" s="1"/>
  <c r="AI198" i="17"/>
  <c r="AH198" i="17" s="1"/>
  <c r="AG198" i="17" s="1"/>
  <c r="AF198" i="17" s="1"/>
  <c r="AI194" i="17"/>
  <c r="AH194" i="17" s="1"/>
  <c r="AG194" i="17" s="1"/>
  <c r="AF194" i="17" s="1"/>
  <c r="AI190" i="17"/>
  <c r="AH190" i="17" s="1"/>
  <c r="AG190" i="17" s="1"/>
  <c r="AF190" i="17" s="1"/>
  <c r="AI186" i="17"/>
  <c r="AH186" i="17" s="1"/>
  <c r="AG186" i="17" s="1"/>
  <c r="AF186" i="17" s="1"/>
  <c r="AI182" i="17"/>
  <c r="AH182" i="17" s="1"/>
  <c r="AG182" i="17" s="1"/>
  <c r="AF182" i="17" s="1"/>
  <c r="AI178" i="17"/>
  <c r="AH178" i="17" s="1"/>
  <c r="AG178" i="17" s="1"/>
  <c r="AF178" i="17" s="1"/>
  <c r="AI174" i="17"/>
  <c r="AH174" i="17" s="1"/>
  <c r="AG174" i="17" s="1"/>
  <c r="AF174" i="17" s="1"/>
  <c r="AI170" i="17"/>
  <c r="AH170" i="17" s="1"/>
  <c r="AG170" i="17" s="1"/>
  <c r="AF170" i="17" s="1"/>
  <c r="AI166" i="17"/>
  <c r="AH166" i="17" s="1"/>
  <c r="AG166" i="17" s="1"/>
  <c r="AF166" i="17" s="1"/>
  <c r="AI162" i="17"/>
  <c r="AH162" i="17" s="1"/>
  <c r="AG162" i="17" s="1"/>
  <c r="AF162" i="17" s="1"/>
  <c r="AI158" i="17"/>
  <c r="AH158" i="17" s="1"/>
  <c r="AG158" i="17" s="1"/>
  <c r="AF158" i="17" s="1"/>
  <c r="AI154" i="17"/>
  <c r="AH154" i="17" s="1"/>
  <c r="AG154" i="17" s="1"/>
  <c r="AF154" i="17" s="1"/>
  <c r="AI150" i="17"/>
  <c r="AH150" i="17" s="1"/>
  <c r="AG150" i="17" s="1"/>
  <c r="AF150" i="17" s="1"/>
  <c r="AI146" i="17"/>
  <c r="AH146" i="17" s="1"/>
  <c r="AG146" i="17" s="1"/>
  <c r="AF146" i="17" s="1"/>
  <c r="AI142" i="17"/>
  <c r="AH142" i="17" s="1"/>
  <c r="AI138" i="17"/>
  <c r="AH138" i="17" s="1"/>
  <c r="AG138" i="17" s="1"/>
  <c r="AF138" i="17" s="1"/>
  <c r="AI134" i="17"/>
  <c r="AH134" i="17" s="1"/>
  <c r="AG134" i="17" s="1"/>
  <c r="AF134" i="17" s="1"/>
  <c r="AI130" i="17"/>
  <c r="AH130" i="17" s="1"/>
  <c r="AG130" i="17" s="1"/>
  <c r="AF130" i="17" s="1"/>
  <c r="AI123" i="17"/>
  <c r="AH123" i="17" s="1"/>
  <c r="AG123" i="17" s="1"/>
  <c r="AF123" i="17" s="1"/>
  <c r="AI115" i="17"/>
  <c r="AH115" i="17" s="1"/>
  <c r="AG115" i="17" s="1"/>
  <c r="AF115" i="17" s="1"/>
  <c r="AI107" i="17"/>
  <c r="AH107" i="17" s="1"/>
  <c r="AG107" i="17" s="1"/>
  <c r="AF107" i="17" s="1"/>
  <c r="AI99" i="17"/>
  <c r="AH99" i="17" s="1"/>
  <c r="AG99" i="17" s="1"/>
  <c r="AF99" i="17" s="1"/>
  <c r="AI91" i="17"/>
  <c r="AH91" i="17" s="1"/>
  <c r="AG91" i="17" s="1"/>
  <c r="AF91" i="17" s="1"/>
  <c r="AI83" i="17"/>
  <c r="AH83" i="17" s="1"/>
  <c r="AG83" i="17" s="1"/>
  <c r="AF83" i="17" s="1"/>
  <c r="AI75" i="17"/>
  <c r="AH75" i="17" s="1"/>
  <c r="AG75" i="17" s="1"/>
  <c r="AF75" i="17" s="1"/>
  <c r="AI67" i="17"/>
  <c r="AH67" i="17" s="1"/>
  <c r="AG67" i="17" s="1"/>
  <c r="AF67" i="17" s="1"/>
  <c r="AI59" i="17"/>
  <c r="AH59" i="17" s="1"/>
  <c r="AI51" i="17"/>
  <c r="AH51" i="17" s="1"/>
  <c r="AG51" i="17" s="1"/>
  <c r="AF51" i="17" s="1"/>
  <c r="AI43" i="17"/>
  <c r="AH43" i="17" s="1"/>
  <c r="AG43" i="17" s="1"/>
  <c r="AF43" i="17" s="1"/>
  <c r="AI35" i="17"/>
  <c r="AH35" i="17" s="1"/>
  <c r="AG35" i="17" s="1"/>
  <c r="AF35" i="17" s="1"/>
  <c r="AI27" i="17"/>
  <c r="AH27" i="17" s="1"/>
  <c r="AG27" i="17" s="1"/>
  <c r="AF27" i="17" s="1"/>
  <c r="I63" i="19"/>
  <c r="W16" i="7"/>
  <c r="AI17" i="17"/>
  <c r="AH17" i="17" s="1"/>
  <c r="AG17" i="17" s="1"/>
  <c r="AF17" i="17" s="1"/>
  <c r="AI16" i="17"/>
  <c r="AH16" i="17" s="1"/>
  <c r="AG16" i="17" s="1"/>
  <c r="AF16" i="17" s="1"/>
  <c r="AI20" i="17"/>
  <c r="AH20" i="17" s="1"/>
  <c r="AG20" i="17" s="1"/>
  <c r="AF20" i="17" s="1"/>
  <c r="AI22" i="17"/>
  <c r="AH22" i="17" s="1"/>
  <c r="AG22" i="17" s="1"/>
  <c r="AF22" i="17" s="1"/>
  <c r="AI24" i="17"/>
  <c r="AH24" i="17" s="1"/>
  <c r="AG24" i="17" s="1"/>
  <c r="AF24" i="17" s="1"/>
  <c r="AI26" i="17"/>
  <c r="AH26" i="17" s="1"/>
  <c r="AG26" i="17" s="1"/>
  <c r="AF26" i="17" s="1"/>
  <c r="AI28" i="17"/>
  <c r="AH28" i="17" s="1"/>
  <c r="AG28" i="17" s="1"/>
  <c r="AF28" i="17" s="1"/>
  <c r="AI30" i="17"/>
  <c r="AH30" i="17" s="1"/>
  <c r="AG30" i="17" s="1"/>
  <c r="AF30" i="17" s="1"/>
  <c r="AI32" i="17"/>
  <c r="AH32" i="17" s="1"/>
  <c r="AG32" i="17" s="1"/>
  <c r="AF32" i="17" s="1"/>
  <c r="AI34" i="17"/>
  <c r="AH34" i="17" s="1"/>
  <c r="AG34" i="17" s="1"/>
  <c r="AF34" i="17" s="1"/>
  <c r="AI36" i="17"/>
  <c r="AH36" i="17" s="1"/>
  <c r="AG36" i="17" s="1"/>
  <c r="AF36" i="17" s="1"/>
  <c r="AI38" i="17"/>
  <c r="AH38" i="17" s="1"/>
  <c r="AG38" i="17" s="1"/>
  <c r="AF38" i="17" s="1"/>
  <c r="AI40" i="17"/>
  <c r="AH40" i="17" s="1"/>
  <c r="AG40" i="17" s="1"/>
  <c r="AF40" i="17" s="1"/>
  <c r="AI42" i="17"/>
  <c r="AH42" i="17" s="1"/>
  <c r="AG42" i="17" s="1"/>
  <c r="AF42" i="17" s="1"/>
  <c r="AI44" i="17"/>
  <c r="AH44" i="17" s="1"/>
  <c r="AG44" i="17" s="1"/>
  <c r="AF44" i="17" s="1"/>
  <c r="AI46" i="17"/>
  <c r="AH46" i="17" s="1"/>
  <c r="AG46" i="17" s="1"/>
  <c r="AF46" i="17" s="1"/>
  <c r="AI48" i="17"/>
  <c r="AH48" i="17" s="1"/>
  <c r="AG48" i="17" s="1"/>
  <c r="AF48" i="17" s="1"/>
  <c r="AI50" i="17"/>
  <c r="AH50" i="17" s="1"/>
  <c r="AG50" i="17" s="1"/>
  <c r="AF50" i="17" s="1"/>
  <c r="AI52" i="17"/>
  <c r="AH52" i="17" s="1"/>
  <c r="AG52" i="17" s="1"/>
  <c r="AF52" i="17" s="1"/>
  <c r="AI54" i="17"/>
  <c r="AH54" i="17" s="1"/>
  <c r="AG54" i="17" s="1"/>
  <c r="AF54" i="17" s="1"/>
  <c r="AI56" i="17"/>
  <c r="AH56" i="17" s="1"/>
  <c r="AG56" i="17" s="1"/>
  <c r="AF56" i="17" s="1"/>
  <c r="AI58" i="17"/>
  <c r="AH58" i="17" s="1"/>
  <c r="AG58" i="17" s="1"/>
  <c r="AF58" i="17" s="1"/>
  <c r="AI60" i="17"/>
  <c r="AH60" i="17" s="1"/>
  <c r="AG60" i="17" s="1"/>
  <c r="AF60" i="17" s="1"/>
  <c r="AI62" i="17"/>
  <c r="AH62" i="17" s="1"/>
  <c r="AG62" i="17" s="1"/>
  <c r="AF62" i="17" s="1"/>
  <c r="AI64" i="17"/>
  <c r="AH64" i="17" s="1"/>
  <c r="AG64" i="17" s="1"/>
  <c r="AF64" i="17" s="1"/>
  <c r="AI66" i="17"/>
  <c r="AH66" i="17" s="1"/>
  <c r="AG66" i="17" s="1"/>
  <c r="AF66" i="17" s="1"/>
  <c r="AI68" i="17"/>
  <c r="AH68" i="17" s="1"/>
  <c r="AG68" i="17" s="1"/>
  <c r="AF68" i="17" s="1"/>
  <c r="AI70" i="17"/>
  <c r="AH70" i="17" s="1"/>
  <c r="AG70" i="17" s="1"/>
  <c r="AF70" i="17" s="1"/>
  <c r="AI72" i="17"/>
  <c r="AH72" i="17" s="1"/>
  <c r="AG72" i="17" s="1"/>
  <c r="AF72" i="17" s="1"/>
  <c r="AI74" i="17"/>
  <c r="AH74" i="17" s="1"/>
  <c r="AG74" i="17" s="1"/>
  <c r="AF74" i="17" s="1"/>
  <c r="AI76" i="17"/>
  <c r="AH76" i="17" s="1"/>
  <c r="AG76" i="17" s="1"/>
  <c r="AF76" i="17" s="1"/>
  <c r="AI78" i="17"/>
  <c r="AH78" i="17" s="1"/>
  <c r="AG78" i="17" s="1"/>
  <c r="AF78" i="17" s="1"/>
  <c r="AI80" i="17"/>
  <c r="AH80" i="17" s="1"/>
  <c r="AG80" i="17" s="1"/>
  <c r="AF80" i="17" s="1"/>
  <c r="AI82" i="17"/>
  <c r="AH82" i="17" s="1"/>
  <c r="AG82" i="17" s="1"/>
  <c r="AF82" i="17" s="1"/>
  <c r="AI84" i="17"/>
  <c r="AH84" i="17" s="1"/>
  <c r="AG84" i="17" s="1"/>
  <c r="AF84" i="17" s="1"/>
  <c r="AI86" i="17"/>
  <c r="AH86" i="17" s="1"/>
  <c r="AG86" i="17" s="1"/>
  <c r="AF86" i="17" s="1"/>
  <c r="AI88" i="17"/>
  <c r="AH88" i="17" s="1"/>
  <c r="AG88" i="17" s="1"/>
  <c r="AF88" i="17" s="1"/>
  <c r="AI90" i="17"/>
  <c r="AH90" i="17" s="1"/>
  <c r="AG90" i="17" s="1"/>
  <c r="AF90" i="17" s="1"/>
  <c r="AI92" i="17"/>
  <c r="AH92" i="17" s="1"/>
  <c r="AG92" i="17" s="1"/>
  <c r="AF92" i="17" s="1"/>
  <c r="AI94" i="17"/>
  <c r="AH94" i="17" s="1"/>
  <c r="AG94" i="17" s="1"/>
  <c r="AF94" i="17" s="1"/>
  <c r="AI96" i="17"/>
  <c r="AH96" i="17" s="1"/>
  <c r="AG96" i="17" s="1"/>
  <c r="AF96" i="17" s="1"/>
  <c r="AI98" i="17"/>
  <c r="AH98" i="17" s="1"/>
  <c r="AG98" i="17" s="1"/>
  <c r="AF98" i="17" s="1"/>
  <c r="AI100" i="17"/>
  <c r="AH100" i="17" s="1"/>
  <c r="AG100" i="17" s="1"/>
  <c r="AF100" i="17" s="1"/>
  <c r="AI102" i="17"/>
  <c r="AH102" i="17" s="1"/>
  <c r="AG102" i="17" s="1"/>
  <c r="AF102" i="17" s="1"/>
  <c r="AI104" i="17"/>
  <c r="AH104" i="17" s="1"/>
  <c r="AG104" i="17" s="1"/>
  <c r="AF104" i="17" s="1"/>
  <c r="AI106" i="17"/>
  <c r="AH106" i="17" s="1"/>
  <c r="AG106" i="17" s="1"/>
  <c r="AF106" i="17" s="1"/>
  <c r="AI108" i="17"/>
  <c r="AH108" i="17" s="1"/>
  <c r="AG108" i="17" s="1"/>
  <c r="AF108" i="17" s="1"/>
  <c r="AI110" i="17"/>
  <c r="AH110" i="17" s="1"/>
  <c r="AG110" i="17" s="1"/>
  <c r="AF110" i="17" s="1"/>
  <c r="AI112" i="17"/>
  <c r="AH112" i="17" s="1"/>
  <c r="AG112" i="17" s="1"/>
  <c r="AF112" i="17" s="1"/>
  <c r="AI114" i="17"/>
  <c r="AH114" i="17" s="1"/>
  <c r="AG114" i="17" s="1"/>
  <c r="AF114" i="17" s="1"/>
  <c r="AI116" i="17"/>
  <c r="AH116" i="17" s="1"/>
  <c r="AG116" i="17" s="1"/>
  <c r="AF116" i="17" s="1"/>
  <c r="AI118" i="17"/>
  <c r="AH118" i="17" s="1"/>
  <c r="AG118" i="17" s="1"/>
  <c r="AF118" i="17" s="1"/>
  <c r="AI120" i="17"/>
  <c r="AH120" i="17" s="1"/>
  <c r="AG120" i="17" s="1"/>
  <c r="AF120" i="17" s="1"/>
  <c r="AI122" i="17"/>
  <c r="AH122" i="17" s="1"/>
  <c r="AG122" i="17" s="1"/>
  <c r="AF122" i="17" s="1"/>
  <c r="AI124" i="17"/>
  <c r="AH124" i="17" s="1"/>
  <c r="AG124" i="17" s="1"/>
  <c r="AF124" i="17" s="1"/>
  <c r="AI126" i="17"/>
  <c r="AH126" i="17" s="1"/>
  <c r="AG126" i="17" s="1"/>
  <c r="AF126" i="17" s="1"/>
  <c r="AI128" i="17"/>
  <c r="AH128" i="17" s="1"/>
  <c r="AG128" i="17" s="1"/>
  <c r="AF128" i="17" s="1"/>
  <c r="W15" i="7"/>
  <c r="Q17" i="17"/>
  <c r="Q21" i="17"/>
  <c r="Q25" i="17"/>
  <c r="Q29" i="17"/>
  <c r="Q33" i="17"/>
  <c r="Q35" i="17"/>
  <c r="Q37" i="17"/>
  <c r="Q39" i="17"/>
  <c r="Q41" i="17"/>
  <c r="Q43" i="17"/>
  <c r="Q45" i="17"/>
  <c r="Q47" i="17"/>
  <c r="Q49" i="17"/>
  <c r="Q51" i="17"/>
  <c r="Q53" i="17"/>
  <c r="Q55" i="17"/>
  <c r="Q57" i="17"/>
  <c r="Q59" i="17"/>
  <c r="Q61" i="17"/>
  <c r="Q63" i="17"/>
  <c r="Q65" i="17"/>
  <c r="Q67" i="17"/>
  <c r="Q69" i="17"/>
  <c r="Q71" i="17"/>
  <c r="Q73" i="17"/>
  <c r="Q75" i="17"/>
  <c r="Q77" i="17"/>
  <c r="Q79" i="17"/>
  <c r="Q81" i="17"/>
  <c r="Q83" i="17"/>
  <c r="Q85" i="17"/>
  <c r="Q87" i="17"/>
  <c r="Q89" i="17"/>
  <c r="Q91" i="17"/>
  <c r="Q93" i="17"/>
  <c r="Q95" i="17"/>
  <c r="Q97" i="17"/>
  <c r="Q99" i="17"/>
  <c r="Q101" i="17"/>
  <c r="Q103" i="17"/>
  <c r="Q105" i="17"/>
  <c r="Q107" i="17"/>
  <c r="Q109" i="17"/>
  <c r="Q111" i="17"/>
  <c r="Q113" i="17"/>
  <c r="Q115" i="17"/>
  <c r="Q117" i="17"/>
  <c r="Q119" i="17"/>
  <c r="Q121" i="17"/>
  <c r="Q123" i="17"/>
  <c r="Q125" i="17"/>
  <c r="Q127" i="17"/>
  <c r="Q129" i="17"/>
  <c r="Q131" i="17"/>
  <c r="Q133" i="17"/>
  <c r="Q135" i="17"/>
  <c r="Q137" i="17"/>
  <c r="Q139" i="17"/>
  <c r="Q141" i="17"/>
  <c r="Q143" i="17"/>
  <c r="Q145" i="17"/>
  <c r="Q147" i="17"/>
  <c r="Q149" i="17"/>
  <c r="Q151" i="17"/>
  <c r="Q153" i="17"/>
  <c r="Q155" i="17"/>
  <c r="Q157" i="17"/>
  <c r="Q159" i="17"/>
  <c r="Q161" i="17"/>
  <c r="Q163" i="17"/>
  <c r="Q165" i="17"/>
  <c r="Q167" i="17"/>
  <c r="Q169" i="17"/>
  <c r="Q171" i="17"/>
  <c r="Q173" i="17"/>
  <c r="Q175" i="17"/>
  <c r="Q177" i="17"/>
  <c r="Q179" i="17"/>
  <c r="Q181" i="17"/>
  <c r="Q183" i="17"/>
  <c r="Q185" i="17"/>
  <c r="Q187" i="17"/>
  <c r="Q189" i="17"/>
  <c r="Q191" i="17"/>
  <c r="Q193" i="17"/>
  <c r="Q195" i="17"/>
  <c r="Q197" i="17"/>
  <c r="Q199" i="17"/>
  <c r="Q201" i="17"/>
  <c r="Q203" i="17"/>
  <c r="Q205" i="17"/>
  <c r="Q207" i="17"/>
  <c r="Q209" i="17"/>
  <c r="Q211" i="17"/>
  <c r="Q213" i="17"/>
  <c r="Q215" i="17"/>
  <c r="Q217" i="17"/>
  <c r="Q219" i="17"/>
  <c r="Q221" i="17"/>
  <c r="Q223" i="17"/>
  <c r="Q225" i="17"/>
  <c r="Q227" i="17"/>
  <c r="Q229" i="17"/>
  <c r="Q231" i="17"/>
  <c r="Q233" i="17"/>
  <c r="Q235" i="17"/>
  <c r="Q237" i="17"/>
  <c r="Q239" i="17"/>
  <c r="Q241" i="17"/>
  <c r="Q243" i="17"/>
  <c r="Q245" i="17"/>
  <c r="Q247" i="17"/>
  <c r="Q249" i="17"/>
  <c r="Q251" i="17"/>
  <c r="Q253" i="17"/>
  <c r="Q255" i="17"/>
  <c r="Q257" i="17"/>
  <c r="Q259" i="17"/>
  <c r="Q261" i="17"/>
  <c r="Q263" i="17"/>
  <c r="Q265" i="17"/>
  <c r="Q267" i="17"/>
  <c r="Q269" i="17"/>
  <c r="Q271" i="17"/>
  <c r="Q273" i="17"/>
  <c r="Q275" i="17"/>
  <c r="Q277" i="17"/>
  <c r="Q279" i="17"/>
  <c r="Q281" i="17"/>
  <c r="Q283" i="17"/>
  <c r="Q285" i="17"/>
  <c r="Q287" i="17"/>
  <c r="Q15" i="17"/>
  <c r="Q27" i="17"/>
  <c r="Q34" i="17"/>
  <c r="Q38" i="17"/>
  <c r="Q42" i="17"/>
  <c r="Q46" i="17"/>
  <c r="Q50" i="17"/>
  <c r="Q54" i="17"/>
  <c r="Q58" i="17"/>
  <c r="Q62" i="17"/>
  <c r="Q66" i="17"/>
  <c r="Q70" i="17"/>
  <c r="Q74" i="17"/>
  <c r="Q78" i="17"/>
  <c r="Q82" i="17"/>
  <c r="Q86" i="17"/>
  <c r="Q90" i="17"/>
  <c r="Q94" i="17"/>
  <c r="Q98" i="17"/>
  <c r="Q102" i="17"/>
  <c r="Q106" i="17"/>
  <c r="Q110" i="17"/>
  <c r="Q114" i="17"/>
  <c r="Q118" i="17"/>
  <c r="Q122" i="17"/>
  <c r="Q126" i="17"/>
  <c r="Q130" i="17"/>
  <c r="Q134" i="17"/>
  <c r="Q138" i="17"/>
  <c r="Q142" i="17"/>
  <c r="Q146" i="17"/>
  <c r="Q150" i="17"/>
  <c r="Q154" i="17"/>
  <c r="Q158" i="17"/>
  <c r="Q162" i="17"/>
  <c r="Q166" i="17"/>
  <c r="Q170" i="17"/>
  <c r="Q174" i="17"/>
  <c r="Q178" i="17"/>
  <c r="Q182" i="17"/>
  <c r="Q186" i="17"/>
  <c r="Q190" i="17"/>
  <c r="Q194" i="17"/>
  <c r="Q198" i="17"/>
  <c r="Q202" i="17"/>
  <c r="Q206" i="17"/>
  <c r="Q210" i="17"/>
  <c r="Q214" i="17"/>
  <c r="Q218" i="17"/>
  <c r="Q222" i="17"/>
  <c r="Q226" i="17"/>
  <c r="Q230" i="17"/>
  <c r="Q234" i="17"/>
  <c r="Q238" i="17"/>
  <c r="Q242" i="17"/>
  <c r="Q246" i="17"/>
  <c r="Q250" i="17"/>
  <c r="Q254" i="17"/>
  <c r="Q258" i="17"/>
  <c r="Q262" i="17"/>
  <c r="Q266" i="17"/>
  <c r="Q270" i="17"/>
  <c r="Q274" i="17"/>
  <c r="Q278" i="17"/>
  <c r="Q282" i="17"/>
  <c r="Q286" i="17"/>
  <c r="Q289" i="17"/>
  <c r="Q291" i="17"/>
  <c r="Q293" i="17"/>
  <c r="Q295" i="17"/>
  <c r="Q297" i="17"/>
  <c r="Q299" i="17"/>
  <c r="Q301" i="17"/>
  <c r="Q303" i="17"/>
  <c r="Q305" i="17"/>
  <c r="Q307" i="17"/>
  <c r="Q309" i="17"/>
  <c r="Q311" i="17"/>
  <c r="Q313" i="17"/>
  <c r="Q315" i="17"/>
  <c r="Q317" i="17"/>
  <c r="Q319" i="17"/>
  <c r="Q321" i="17"/>
  <c r="Q323" i="17"/>
  <c r="Q325" i="17"/>
  <c r="Q327" i="17"/>
  <c r="Q329" i="17"/>
  <c r="Q331" i="17"/>
  <c r="Q333" i="17"/>
  <c r="Q335" i="17"/>
  <c r="Q337" i="17"/>
  <c r="Q339" i="17"/>
  <c r="Q341" i="17"/>
  <c r="Q343" i="17"/>
  <c r="Q345" i="17"/>
  <c r="Q347" i="17"/>
  <c r="Q349" i="17"/>
  <c r="Q351" i="17"/>
  <c r="Q353" i="17"/>
  <c r="Q355" i="17"/>
  <c r="Q357" i="17"/>
  <c r="Q359" i="17"/>
  <c r="Q361" i="17"/>
  <c r="Q363" i="17"/>
  <c r="Q365" i="17"/>
  <c r="Q367" i="17"/>
  <c r="Q369" i="17"/>
  <c r="Q371" i="17"/>
  <c r="Q373" i="17"/>
  <c r="Q375" i="17"/>
  <c r="Q377" i="17"/>
  <c r="Q379" i="17"/>
  <c r="V15" i="7" s="1"/>
  <c r="AI379" i="17"/>
  <c r="AI12" i="18" s="1"/>
  <c r="AI377" i="17"/>
  <c r="AH377" i="17" s="1"/>
  <c r="AG377" i="17" s="1"/>
  <c r="AF377" i="17" s="1"/>
  <c r="AI375" i="17"/>
  <c r="AH375" i="17" s="1"/>
  <c r="AG375" i="17" s="1"/>
  <c r="AF375" i="17" s="1"/>
  <c r="AI373" i="17"/>
  <c r="AH373" i="17" s="1"/>
  <c r="AG373" i="17" s="1"/>
  <c r="AF373" i="17" s="1"/>
  <c r="AI371" i="17"/>
  <c r="AH371" i="17" s="1"/>
  <c r="AG371" i="17" s="1"/>
  <c r="AF371" i="17" s="1"/>
  <c r="AI369" i="17"/>
  <c r="AH369" i="17" s="1"/>
  <c r="AG369" i="17" s="1"/>
  <c r="AF369" i="17" s="1"/>
  <c r="AI367" i="17"/>
  <c r="AH367" i="17" s="1"/>
  <c r="AG367" i="17" s="1"/>
  <c r="AF367" i="17" s="1"/>
  <c r="AI365" i="17"/>
  <c r="AH365" i="17" s="1"/>
  <c r="AI363" i="17"/>
  <c r="AH363" i="17" s="1"/>
  <c r="AG363" i="17" s="1"/>
  <c r="AF363" i="17" s="1"/>
  <c r="AI361" i="17"/>
  <c r="AH361" i="17" s="1"/>
  <c r="AG361" i="17" s="1"/>
  <c r="AF361" i="17" s="1"/>
  <c r="AI359" i="17"/>
  <c r="AH359" i="17" s="1"/>
  <c r="AG359" i="17" s="1"/>
  <c r="AF359" i="17" s="1"/>
  <c r="AI357" i="17"/>
  <c r="AH357" i="17" s="1"/>
  <c r="AG357" i="17" s="1"/>
  <c r="AF357" i="17" s="1"/>
  <c r="AI355" i="17"/>
  <c r="AH355" i="17" s="1"/>
  <c r="AG355" i="17" s="1"/>
  <c r="AF355" i="17" s="1"/>
  <c r="AI353" i="17"/>
  <c r="AH353" i="17" s="1"/>
  <c r="AG353" i="17" s="1"/>
  <c r="AF353" i="17" s="1"/>
  <c r="AI351" i="17"/>
  <c r="AH351" i="17" s="1"/>
  <c r="AG351" i="17" s="1"/>
  <c r="AF351" i="17" s="1"/>
  <c r="AI349" i="17"/>
  <c r="AH349" i="17" s="1"/>
  <c r="AG349" i="17" s="1"/>
  <c r="AF349" i="17" s="1"/>
  <c r="AI347" i="17"/>
  <c r="AH347" i="17" s="1"/>
  <c r="AG347" i="17" s="1"/>
  <c r="AF347" i="17" s="1"/>
  <c r="AI345" i="17"/>
  <c r="AH345" i="17" s="1"/>
  <c r="AG345" i="17" s="1"/>
  <c r="AF345" i="17" s="1"/>
  <c r="AI343" i="17"/>
  <c r="AH343" i="17" s="1"/>
  <c r="AG343" i="17" s="1"/>
  <c r="AF343" i="17" s="1"/>
  <c r="AI341" i="17"/>
  <c r="AH341" i="17" s="1"/>
  <c r="AG341" i="17" s="1"/>
  <c r="AF341" i="17" s="1"/>
  <c r="AI339" i="17"/>
  <c r="AH339" i="17" s="1"/>
  <c r="AG339" i="17" s="1"/>
  <c r="AF339" i="17" s="1"/>
  <c r="AI337" i="17"/>
  <c r="AH337" i="17" s="1"/>
  <c r="AG337" i="17" s="1"/>
  <c r="AF337" i="17" s="1"/>
  <c r="AI335" i="17"/>
  <c r="AH335" i="17" s="1"/>
  <c r="AG335" i="17" s="1"/>
  <c r="AF335" i="17" s="1"/>
  <c r="AI333" i="17"/>
  <c r="AH333" i="17" s="1"/>
  <c r="AG333" i="17" s="1"/>
  <c r="AF333" i="17" s="1"/>
  <c r="AI331" i="17"/>
  <c r="AH331" i="17" s="1"/>
  <c r="AG331" i="17" s="1"/>
  <c r="AF331" i="17" s="1"/>
  <c r="AI329" i="17"/>
  <c r="AH329" i="17" s="1"/>
  <c r="AG329" i="17" s="1"/>
  <c r="AF329" i="17" s="1"/>
  <c r="AI327" i="17"/>
  <c r="AH327" i="17" s="1"/>
  <c r="AG327" i="17" s="1"/>
  <c r="AF327" i="17" s="1"/>
  <c r="AI325" i="17"/>
  <c r="AH325" i="17" s="1"/>
  <c r="AG325" i="17" s="1"/>
  <c r="AF325" i="17" s="1"/>
  <c r="AI323" i="17"/>
  <c r="AH323" i="17" s="1"/>
  <c r="AG323" i="17" s="1"/>
  <c r="AF323" i="17" s="1"/>
  <c r="AI321" i="17"/>
  <c r="AH321" i="17" s="1"/>
  <c r="AG321" i="17" s="1"/>
  <c r="AF321" i="17" s="1"/>
  <c r="AI319" i="17"/>
  <c r="AH319" i="17" s="1"/>
  <c r="AG319" i="17" s="1"/>
  <c r="AF319" i="17" s="1"/>
  <c r="AI317" i="17"/>
  <c r="AH317" i="17" s="1"/>
  <c r="AG317" i="17" s="1"/>
  <c r="AF317" i="17" s="1"/>
  <c r="AI315" i="17"/>
  <c r="AH315" i="17" s="1"/>
  <c r="AG315" i="17" s="1"/>
  <c r="AF315" i="17" s="1"/>
  <c r="AI313" i="17"/>
  <c r="AH313" i="17" s="1"/>
  <c r="AG313" i="17" s="1"/>
  <c r="AF313" i="17" s="1"/>
  <c r="AI311" i="17"/>
  <c r="AH311" i="17" s="1"/>
  <c r="AG311" i="17" s="1"/>
  <c r="AF311" i="17" s="1"/>
  <c r="AI309" i="17"/>
  <c r="AH309" i="17" s="1"/>
  <c r="AG309" i="17" s="1"/>
  <c r="AF309" i="17" s="1"/>
  <c r="AI307" i="17"/>
  <c r="AH307" i="17" s="1"/>
  <c r="AG307" i="17" s="1"/>
  <c r="AF307" i="17" s="1"/>
  <c r="AI305" i="17"/>
  <c r="AH305" i="17" s="1"/>
  <c r="AG305" i="17" s="1"/>
  <c r="AF305" i="17" s="1"/>
  <c r="AI303" i="17"/>
  <c r="AH303" i="17" s="1"/>
  <c r="AG303" i="17" s="1"/>
  <c r="AF303" i="17" s="1"/>
  <c r="AI301" i="17"/>
  <c r="AH301" i="17" s="1"/>
  <c r="AG301" i="17" s="1"/>
  <c r="AF301" i="17" s="1"/>
  <c r="AI299" i="17"/>
  <c r="AH299" i="17" s="1"/>
  <c r="AG299" i="17" s="1"/>
  <c r="AF299" i="17" s="1"/>
  <c r="AI297" i="17"/>
  <c r="AH297" i="17" s="1"/>
  <c r="AG297" i="17" s="1"/>
  <c r="AF297" i="17" s="1"/>
  <c r="AI295" i="17"/>
  <c r="AH295" i="17" s="1"/>
  <c r="AG295" i="17" s="1"/>
  <c r="AF295" i="17" s="1"/>
  <c r="AI293" i="17"/>
  <c r="AH293" i="17" s="1"/>
  <c r="AG293" i="17" s="1"/>
  <c r="AF293" i="17" s="1"/>
  <c r="AI291" i="17"/>
  <c r="AH291" i="17" s="1"/>
  <c r="AG291" i="17" s="1"/>
  <c r="AF291" i="17" s="1"/>
  <c r="AI289" i="17"/>
  <c r="AH289" i="17" s="1"/>
  <c r="AG289" i="17" s="1"/>
  <c r="AF289" i="17" s="1"/>
  <c r="AI287" i="17"/>
  <c r="AH287" i="17" s="1"/>
  <c r="AG287" i="17" s="1"/>
  <c r="AF287" i="17" s="1"/>
  <c r="AI285" i="17"/>
  <c r="AH285" i="17" s="1"/>
  <c r="AG285" i="17" s="1"/>
  <c r="AF285" i="17" s="1"/>
  <c r="AI283" i="17"/>
  <c r="AH283" i="17" s="1"/>
  <c r="AG283" i="17" s="1"/>
  <c r="AF283" i="17" s="1"/>
  <c r="AI281" i="17"/>
  <c r="AH281" i="17" s="1"/>
  <c r="AG281" i="17" s="1"/>
  <c r="AF281" i="17" s="1"/>
  <c r="AI279" i="17"/>
  <c r="AH279" i="17" s="1"/>
  <c r="AG279" i="17" s="1"/>
  <c r="AF279" i="17" s="1"/>
  <c r="AI277" i="17"/>
  <c r="AH277" i="17" s="1"/>
  <c r="AG277" i="17" s="1"/>
  <c r="AF277" i="17" s="1"/>
  <c r="AI275" i="17"/>
  <c r="AH275" i="17" s="1"/>
  <c r="AG275" i="17" s="1"/>
  <c r="AF275" i="17" s="1"/>
  <c r="AI273" i="17"/>
  <c r="AH273" i="17" s="1"/>
  <c r="AG273" i="17" s="1"/>
  <c r="AF273" i="17" s="1"/>
  <c r="AI271" i="17"/>
  <c r="AH271" i="17" s="1"/>
  <c r="AG271" i="17" s="1"/>
  <c r="AF271" i="17" s="1"/>
  <c r="AI269" i="17"/>
  <c r="AH269" i="17" s="1"/>
  <c r="AG269" i="17" s="1"/>
  <c r="AF269" i="17" s="1"/>
  <c r="AI267" i="17"/>
  <c r="AH267" i="17" s="1"/>
  <c r="AG267" i="17" s="1"/>
  <c r="AF267" i="17" s="1"/>
  <c r="AI265" i="17"/>
  <c r="AH265" i="17" s="1"/>
  <c r="AI263" i="17"/>
  <c r="AH263" i="17" s="1"/>
  <c r="AG263" i="17" s="1"/>
  <c r="AF263" i="17" s="1"/>
  <c r="AI261" i="17"/>
  <c r="AH261" i="17" s="1"/>
  <c r="AG261" i="17" s="1"/>
  <c r="AF261" i="17" s="1"/>
  <c r="AI259" i="17"/>
  <c r="AH259" i="17" s="1"/>
  <c r="AG259" i="17" s="1"/>
  <c r="AF259" i="17" s="1"/>
  <c r="AI257" i="17"/>
  <c r="AH257" i="17" s="1"/>
  <c r="AG257" i="17" s="1"/>
  <c r="AF257" i="17" s="1"/>
  <c r="AI255" i="17"/>
  <c r="AH255" i="17" s="1"/>
  <c r="AG255" i="17" s="1"/>
  <c r="AF255" i="17" s="1"/>
  <c r="AI253" i="17"/>
  <c r="AH253" i="17" s="1"/>
  <c r="AG253" i="17" s="1"/>
  <c r="AF253" i="17" s="1"/>
  <c r="AI251" i="17"/>
  <c r="AH251" i="17" s="1"/>
  <c r="AG251" i="17" s="1"/>
  <c r="AF251" i="17" s="1"/>
  <c r="AI249" i="17"/>
  <c r="AH249" i="17" s="1"/>
  <c r="AG249" i="17" s="1"/>
  <c r="AF249" i="17" s="1"/>
  <c r="AI247" i="17"/>
  <c r="AH247" i="17" s="1"/>
  <c r="AG247" i="17" s="1"/>
  <c r="AF247" i="17" s="1"/>
  <c r="AI245" i="17"/>
  <c r="AH245" i="17" s="1"/>
  <c r="AG245" i="17" s="1"/>
  <c r="AF245" i="17" s="1"/>
  <c r="AI243" i="17"/>
  <c r="AH243" i="17" s="1"/>
  <c r="AG243" i="17" s="1"/>
  <c r="AF243" i="17" s="1"/>
  <c r="AI241" i="17"/>
  <c r="AH241" i="17" s="1"/>
  <c r="AG241" i="17" s="1"/>
  <c r="AF241" i="17" s="1"/>
  <c r="AI239" i="17"/>
  <c r="AH239" i="17" s="1"/>
  <c r="AG239" i="17" s="1"/>
  <c r="AF239" i="17" s="1"/>
  <c r="AI237" i="17"/>
  <c r="AH237" i="17" s="1"/>
  <c r="AG237" i="17" s="1"/>
  <c r="AF237" i="17" s="1"/>
  <c r="AI235" i="17"/>
  <c r="AH235" i="17" s="1"/>
  <c r="AG235" i="17" s="1"/>
  <c r="AF235" i="17" s="1"/>
  <c r="AI233" i="17"/>
  <c r="AH233" i="17" s="1"/>
  <c r="AG233" i="17" s="1"/>
  <c r="AF233" i="17" s="1"/>
  <c r="AI231" i="17"/>
  <c r="AH231" i="17" s="1"/>
  <c r="AG231" i="17" s="1"/>
  <c r="AF231" i="17" s="1"/>
  <c r="AI229" i="17"/>
  <c r="AH229" i="17" s="1"/>
  <c r="AG229" i="17" s="1"/>
  <c r="AF229" i="17" s="1"/>
  <c r="AI227" i="17"/>
  <c r="AH227" i="17" s="1"/>
  <c r="AG227" i="17" s="1"/>
  <c r="AF227" i="17" s="1"/>
  <c r="AI225" i="17"/>
  <c r="AH225" i="17" s="1"/>
  <c r="AG225" i="17" s="1"/>
  <c r="AF225" i="17" s="1"/>
  <c r="AI223" i="17"/>
  <c r="AH223" i="17" s="1"/>
  <c r="AG223" i="17" s="1"/>
  <c r="AF223" i="17" s="1"/>
  <c r="AI221" i="17"/>
  <c r="AH221" i="17" s="1"/>
  <c r="AG221" i="17" s="1"/>
  <c r="AF221" i="17" s="1"/>
  <c r="AI219" i="17"/>
  <c r="AH219" i="17" s="1"/>
  <c r="AG219" i="17" s="1"/>
  <c r="AF219" i="17" s="1"/>
  <c r="AI217" i="17"/>
  <c r="AH217" i="17" s="1"/>
  <c r="AG217" i="17" s="1"/>
  <c r="AF217" i="17" s="1"/>
  <c r="AI215" i="17"/>
  <c r="AH215" i="17" s="1"/>
  <c r="AG215" i="17" s="1"/>
  <c r="AF215" i="17" s="1"/>
  <c r="AI213" i="17"/>
  <c r="AH213" i="17" s="1"/>
  <c r="AG213" i="17" s="1"/>
  <c r="AF213" i="17" s="1"/>
  <c r="AI211" i="17"/>
  <c r="AH211" i="17" s="1"/>
  <c r="AG211" i="17" s="1"/>
  <c r="AF211" i="17" s="1"/>
  <c r="AI209" i="17"/>
  <c r="AH209" i="17" s="1"/>
  <c r="AG209" i="17" s="1"/>
  <c r="AF209" i="17" s="1"/>
  <c r="AI207" i="17"/>
  <c r="AH207" i="17" s="1"/>
  <c r="AG207" i="17" s="1"/>
  <c r="AF207" i="17" s="1"/>
  <c r="AI205" i="17"/>
  <c r="AH205" i="17" s="1"/>
  <c r="AG205" i="17" s="1"/>
  <c r="AF205" i="17" s="1"/>
  <c r="AI203" i="17"/>
  <c r="AH203" i="17" s="1"/>
  <c r="AG203" i="17" s="1"/>
  <c r="AF203" i="17" s="1"/>
  <c r="AI201" i="17"/>
  <c r="AH201" i="17" s="1"/>
  <c r="AG201" i="17" s="1"/>
  <c r="AF201" i="17" s="1"/>
  <c r="AI199" i="17"/>
  <c r="AH199" i="17" s="1"/>
  <c r="AG199" i="17" s="1"/>
  <c r="AF199" i="17" s="1"/>
  <c r="AI197" i="17"/>
  <c r="AH197" i="17" s="1"/>
  <c r="AG197" i="17" s="1"/>
  <c r="AF197" i="17" s="1"/>
  <c r="AI195" i="17"/>
  <c r="AH195" i="17" s="1"/>
  <c r="AG195" i="17" s="1"/>
  <c r="AF195" i="17" s="1"/>
  <c r="AI193" i="17"/>
  <c r="AH193" i="17" s="1"/>
  <c r="AG193" i="17" s="1"/>
  <c r="AF193" i="17" s="1"/>
  <c r="AI191" i="17"/>
  <c r="AH191" i="17" s="1"/>
  <c r="AG191" i="17" s="1"/>
  <c r="AF191" i="17" s="1"/>
  <c r="AI189" i="17"/>
  <c r="AH189" i="17" s="1"/>
  <c r="AG189" i="17" s="1"/>
  <c r="AF189" i="17" s="1"/>
  <c r="AI187" i="17"/>
  <c r="AH187" i="17" s="1"/>
  <c r="AG187" i="17" s="1"/>
  <c r="AF187" i="17" s="1"/>
  <c r="AI185" i="17"/>
  <c r="AH185" i="17" s="1"/>
  <c r="AG185" i="17" s="1"/>
  <c r="AF185" i="17" s="1"/>
  <c r="AI183" i="17"/>
  <c r="AH183" i="17" s="1"/>
  <c r="AG183" i="17" s="1"/>
  <c r="AF183" i="17" s="1"/>
  <c r="AI181" i="17"/>
  <c r="AH181" i="17" s="1"/>
  <c r="AG181" i="17" s="1"/>
  <c r="AF181" i="17" s="1"/>
  <c r="AI179" i="17"/>
  <c r="AH179" i="17" s="1"/>
  <c r="AG179" i="17" s="1"/>
  <c r="AF179" i="17" s="1"/>
  <c r="AI177" i="17"/>
  <c r="AH177" i="17" s="1"/>
  <c r="AG177" i="17" s="1"/>
  <c r="AF177" i="17" s="1"/>
  <c r="AI175" i="17"/>
  <c r="AH175" i="17" s="1"/>
  <c r="AG175" i="17" s="1"/>
  <c r="AF175" i="17" s="1"/>
  <c r="AI173" i="17"/>
  <c r="AH173" i="17" s="1"/>
  <c r="AG173" i="17" s="1"/>
  <c r="AF173" i="17" s="1"/>
  <c r="AI171" i="17"/>
  <c r="AH171" i="17" s="1"/>
  <c r="AG171" i="17" s="1"/>
  <c r="AF171" i="17" s="1"/>
  <c r="AI169" i="17"/>
  <c r="AH169" i="17" s="1"/>
  <c r="AG169" i="17" s="1"/>
  <c r="AF169" i="17" s="1"/>
  <c r="AI167" i="17"/>
  <c r="AH167" i="17" s="1"/>
  <c r="AG167" i="17" s="1"/>
  <c r="AF167" i="17" s="1"/>
  <c r="AI165" i="17"/>
  <c r="AH165" i="17" s="1"/>
  <c r="AG165" i="17" s="1"/>
  <c r="AF165" i="17" s="1"/>
  <c r="AI163" i="17"/>
  <c r="AH163" i="17" s="1"/>
  <c r="AG163" i="17" s="1"/>
  <c r="AF163" i="17" s="1"/>
  <c r="AI161" i="17"/>
  <c r="AH161" i="17" s="1"/>
  <c r="AG161" i="17" s="1"/>
  <c r="AF161" i="17" s="1"/>
  <c r="AI159" i="17"/>
  <c r="AH159" i="17" s="1"/>
  <c r="AG159" i="17" s="1"/>
  <c r="AF159" i="17" s="1"/>
  <c r="AI157" i="17"/>
  <c r="AH157" i="17" s="1"/>
  <c r="AG157" i="17" s="1"/>
  <c r="AF157" i="17" s="1"/>
  <c r="AI155" i="17"/>
  <c r="AH155" i="17" s="1"/>
  <c r="AG155" i="17" s="1"/>
  <c r="AF155" i="17" s="1"/>
  <c r="AI153" i="17"/>
  <c r="AH153" i="17" s="1"/>
  <c r="AG153" i="17" s="1"/>
  <c r="AF153" i="17" s="1"/>
  <c r="AI151" i="17"/>
  <c r="AH151" i="17" s="1"/>
  <c r="AG151" i="17" s="1"/>
  <c r="AF151" i="17" s="1"/>
  <c r="AI149" i="17"/>
  <c r="AH149" i="17" s="1"/>
  <c r="AG149" i="17" s="1"/>
  <c r="AF149" i="17" s="1"/>
  <c r="AI147" i="17"/>
  <c r="AH147" i="17" s="1"/>
  <c r="AG147" i="17" s="1"/>
  <c r="AF147" i="17" s="1"/>
  <c r="AI145" i="17"/>
  <c r="AH145" i="17" s="1"/>
  <c r="AG145" i="17" s="1"/>
  <c r="AF145" i="17" s="1"/>
  <c r="AI143" i="17"/>
  <c r="AH143" i="17" s="1"/>
  <c r="AG143" i="17" s="1"/>
  <c r="AF143" i="17" s="1"/>
  <c r="AI141" i="17"/>
  <c r="AH141" i="17" s="1"/>
  <c r="AG141" i="17" s="1"/>
  <c r="AF141" i="17" s="1"/>
  <c r="AI139" i="17"/>
  <c r="AH139" i="17" s="1"/>
  <c r="AG139" i="17" s="1"/>
  <c r="AF139" i="17" s="1"/>
  <c r="AI137" i="17"/>
  <c r="AH137" i="17" s="1"/>
  <c r="AG137" i="17" s="1"/>
  <c r="AF137" i="17" s="1"/>
  <c r="AI135" i="17"/>
  <c r="AH135" i="17" s="1"/>
  <c r="AG135" i="17" s="1"/>
  <c r="AF135" i="17" s="1"/>
  <c r="AI133" i="17"/>
  <c r="AH133" i="17" s="1"/>
  <c r="AG133" i="17" s="1"/>
  <c r="AF133" i="17" s="1"/>
  <c r="AI131" i="17"/>
  <c r="AH131" i="17" s="1"/>
  <c r="AG131" i="17" s="1"/>
  <c r="AF131" i="17" s="1"/>
  <c r="AI129" i="17"/>
  <c r="AH129" i="17" s="1"/>
  <c r="AG129" i="17" s="1"/>
  <c r="AF129" i="17" s="1"/>
  <c r="AI125" i="17"/>
  <c r="AH125" i="17" s="1"/>
  <c r="AG125" i="17" s="1"/>
  <c r="AF125" i="17" s="1"/>
  <c r="AI121" i="17"/>
  <c r="AH121" i="17" s="1"/>
  <c r="AG121" i="17" s="1"/>
  <c r="AF121" i="17" s="1"/>
  <c r="AI117" i="17"/>
  <c r="AH117" i="17" s="1"/>
  <c r="AG117" i="17" s="1"/>
  <c r="AF117" i="17" s="1"/>
  <c r="AI113" i="17"/>
  <c r="AH113" i="17" s="1"/>
  <c r="AG113" i="17" s="1"/>
  <c r="AF113" i="17" s="1"/>
  <c r="AI109" i="17"/>
  <c r="AH109" i="17" s="1"/>
  <c r="AG109" i="17" s="1"/>
  <c r="AF109" i="17" s="1"/>
  <c r="AI105" i="17"/>
  <c r="AH105" i="17" s="1"/>
  <c r="AG105" i="17" s="1"/>
  <c r="AF105" i="17" s="1"/>
  <c r="AI101" i="17"/>
  <c r="AH101" i="17" s="1"/>
  <c r="AG101" i="17" s="1"/>
  <c r="AF101" i="17" s="1"/>
  <c r="AI97" i="17"/>
  <c r="AH97" i="17" s="1"/>
  <c r="AG97" i="17" s="1"/>
  <c r="AF97" i="17" s="1"/>
  <c r="AI93" i="17"/>
  <c r="AH93" i="17" s="1"/>
  <c r="AG93" i="17" s="1"/>
  <c r="AF93" i="17" s="1"/>
  <c r="AI89" i="17"/>
  <c r="AH89" i="17" s="1"/>
  <c r="AG89" i="17" s="1"/>
  <c r="AF89" i="17" s="1"/>
  <c r="AI85" i="17"/>
  <c r="AH85" i="17" s="1"/>
  <c r="AG85" i="17" s="1"/>
  <c r="AF85" i="17" s="1"/>
  <c r="AI81" i="17"/>
  <c r="AH81" i="17" s="1"/>
  <c r="AG81" i="17" s="1"/>
  <c r="AF81" i="17" s="1"/>
  <c r="AI77" i="17"/>
  <c r="AH77" i="17" s="1"/>
  <c r="AG77" i="17" s="1"/>
  <c r="AF77" i="17" s="1"/>
  <c r="AI73" i="17"/>
  <c r="AH73" i="17" s="1"/>
  <c r="AG73" i="17" s="1"/>
  <c r="AF73" i="17" s="1"/>
  <c r="AI69" i="17"/>
  <c r="AH69" i="17" s="1"/>
  <c r="AG69" i="17" s="1"/>
  <c r="AF69" i="17" s="1"/>
  <c r="AI65" i="17"/>
  <c r="AH65" i="17" s="1"/>
  <c r="AG65" i="17" s="1"/>
  <c r="AF65" i="17" s="1"/>
  <c r="AI61" i="17"/>
  <c r="AH61" i="17" s="1"/>
  <c r="AG61" i="17" s="1"/>
  <c r="AF61" i="17" s="1"/>
  <c r="AI57" i="17"/>
  <c r="AH57" i="17" s="1"/>
  <c r="AG57" i="17" s="1"/>
  <c r="AF57" i="17" s="1"/>
  <c r="AI53" i="17"/>
  <c r="AH53" i="17" s="1"/>
  <c r="AG53" i="17" s="1"/>
  <c r="AF53" i="17" s="1"/>
  <c r="AI49" i="17"/>
  <c r="AH49" i="17" s="1"/>
  <c r="AG49" i="17" s="1"/>
  <c r="AF49" i="17" s="1"/>
  <c r="AI45" i="17"/>
  <c r="AH45" i="17" s="1"/>
  <c r="AG45" i="17" s="1"/>
  <c r="AF45" i="17" s="1"/>
  <c r="AI41" i="17"/>
  <c r="AH41" i="17" s="1"/>
  <c r="AG41" i="17" s="1"/>
  <c r="AF41" i="17" s="1"/>
  <c r="AI37" i="17"/>
  <c r="AH37" i="17" s="1"/>
  <c r="AG37" i="17" s="1"/>
  <c r="AF37" i="17" s="1"/>
  <c r="AI33" i="17"/>
  <c r="AH33" i="17" s="1"/>
  <c r="AG33" i="17" s="1"/>
  <c r="AF33" i="17" s="1"/>
  <c r="AI29" i="17"/>
  <c r="AH29" i="17" s="1"/>
  <c r="AG29" i="17" s="1"/>
  <c r="AF29" i="17" s="1"/>
  <c r="AI25" i="17"/>
  <c r="AH25" i="17" s="1"/>
  <c r="AG25" i="17" s="1"/>
  <c r="AF25" i="17" s="1"/>
  <c r="AI21" i="17"/>
  <c r="AH21" i="17" s="1"/>
  <c r="AG21" i="17" s="1"/>
  <c r="AF21" i="17" s="1"/>
  <c r="AI19" i="17"/>
  <c r="AH19" i="17" s="1"/>
  <c r="AG19" i="17" s="1"/>
  <c r="AF19" i="17" s="1"/>
  <c r="Q378" i="17"/>
  <c r="Q374" i="17"/>
  <c r="Q370" i="17"/>
  <c r="Q366" i="17"/>
  <c r="Q362" i="17"/>
  <c r="Q358" i="17"/>
  <c r="Q354" i="17"/>
  <c r="Q350" i="17"/>
  <c r="Q346" i="17"/>
  <c r="Q342" i="17"/>
  <c r="Q338" i="17"/>
  <c r="Q334" i="17"/>
  <c r="Q330" i="17"/>
  <c r="Q326" i="17"/>
  <c r="Q322" i="17"/>
  <c r="Q318" i="17"/>
  <c r="Q314" i="17"/>
  <c r="Q310" i="17"/>
  <c r="Q306" i="17"/>
  <c r="Q302" i="17"/>
  <c r="Q298" i="17"/>
  <c r="Q294" i="17"/>
  <c r="Q290" i="17"/>
  <c r="Q284" i="17"/>
  <c r="Q276" i="17"/>
  <c r="Q268" i="17"/>
  <c r="Q260" i="17"/>
  <c r="Q252" i="17"/>
  <c r="Q244" i="17"/>
  <c r="Q236" i="17"/>
  <c r="Q228" i="17"/>
  <c r="Q220" i="17"/>
  <c r="Q212" i="17"/>
  <c r="Q204" i="17"/>
  <c r="Q196" i="17"/>
  <c r="Q188" i="17"/>
  <c r="Q180" i="17"/>
  <c r="Q172" i="17"/>
  <c r="Q164" i="17"/>
  <c r="Q156" i="17"/>
  <c r="Q148" i="17"/>
  <c r="Q140" i="17"/>
  <c r="Q132" i="17"/>
  <c r="Q124" i="17"/>
  <c r="Q116" i="17"/>
  <c r="Q108" i="17"/>
  <c r="Q100" i="17"/>
  <c r="Q92" i="17"/>
  <c r="Q84" i="17"/>
  <c r="Q76" i="17"/>
  <c r="Q68" i="17"/>
  <c r="Q60" i="17"/>
  <c r="Q52" i="17"/>
  <c r="Q44" i="17"/>
  <c r="Q36" i="17"/>
  <c r="Q23" i="17"/>
  <c r="G321" i="16"/>
  <c r="BY321" i="6" s="1"/>
  <c r="J63" i="19"/>
  <c r="O381" i="23"/>
  <c r="O382" i="23"/>
  <c r="O383" i="23"/>
  <c r="L42" i="19" s="1"/>
  <c r="D63" i="19"/>
  <c r="AC383" i="22"/>
  <c r="AC381" i="22"/>
  <c r="AC382" i="22"/>
  <c r="C63" i="19"/>
  <c r="N61" i="19"/>
  <c r="AC382" i="23"/>
  <c r="AC381" i="23"/>
  <c r="AC383" i="23"/>
  <c r="Q32" i="17"/>
  <c r="Q30" i="17"/>
  <c r="Q28" i="17"/>
  <c r="Q26" i="17"/>
  <c r="Q24" i="17"/>
  <c r="Q22" i="17"/>
  <c r="Q20" i="17"/>
  <c r="Q16" i="17"/>
  <c r="Q19" i="17"/>
  <c r="Q18" i="17"/>
  <c r="H63" i="19"/>
  <c r="O382" i="22"/>
  <c r="O383" i="22"/>
  <c r="O381" i="22"/>
  <c r="K63" i="19"/>
  <c r="F63" i="19"/>
  <c r="AG365" i="17"/>
  <c r="AF365" i="17" s="1"/>
  <c r="AG265" i="17"/>
  <c r="AF265" i="17" s="1"/>
  <c r="AG374" i="17"/>
  <c r="AF374" i="17" s="1"/>
  <c r="AG360" i="17"/>
  <c r="AF360" i="17" s="1"/>
  <c r="AG350" i="17"/>
  <c r="AF350" i="17" s="1"/>
  <c r="AG296" i="17"/>
  <c r="AF296" i="17" s="1"/>
  <c r="AG270" i="17"/>
  <c r="AF270" i="17" s="1"/>
  <c r="AG236" i="17"/>
  <c r="AF236" i="17" s="1"/>
  <c r="AG230" i="17"/>
  <c r="AF230" i="17" s="1"/>
  <c r="AG188" i="17"/>
  <c r="AF188" i="17" s="1"/>
  <c r="AG142" i="17"/>
  <c r="AF142" i="17" s="1"/>
  <c r="L382" i="23"/>
  <c r="L381" i="23"/>
  <c r="L383" i="23"/>
  <c r="L379" i="24"/>
  <c r="B43" i="19" s="1"/>
  <c r="K379" i="24"/>
  <c r="AB379" i="24"/>
  <c r="X379" i="24"/>
  <c r="AJ379" i="24"/>
  <c r="AK379" i="24"/>
  <c r="O379" i="24"/>
  <c r="C43" i="19" s="1"/>
  <c r="AC379" i="24"/>
  <c r="AG383" i="16"/>
  <c r="AG381" i="16"/>
  <c r="AG382" i="16"/>
  <c r="AF15" i="16"/>
  <c r="U379" i="17"/>
  <c r="U377" i="17"/>
  <c r="T377" i="17" s="1"/>
  <c r="U375" i="17"/>
  <c r="T375" i="17" s="1"/>
  <c r="U373" i="17"/>
  <c r="T373" i="17" s="1"/>
  <c r="U371" i="17"/>
  <c r="T371" i="17" s="1"/>
  <c r="U369" i="17"/>
  <c r="T369" i="17" s="1"/>
  <c r="U367" i="17"/>
  <c r="T367" i="17" s="1"/>
  <c r="S367" i="17" s="1"/>
  <c r="R367" i="17" s="1"/>
  <c r="U365" i="17"/>
  <c r="T365" i="17" s="1"/>
  <c r="S365" i="17" s="1"/>
  <c r="R365" i="17" s="1"/>
  <c r="U363" i="17"/>
  <c r="T363" i="17" s="1"/>
  <c r="S363" i="17" s="1"/>
  <c r="R363" i="17" s="1"/>
  <c r="U361" i="17"/>
  <c r="T361" i="17" s="1"/>
  <c r="U359" i="17"/>
  <c r="T359" i="17" s="1"/>
  <c r="U357" i="17"/>
  <c r="T357" i="17" s="1"/>
  <c r="S357" i="17" s="1"/>
  <c r="R357" i="17" s="1"/>
  <c r="U355" i="17"/>
  <c r="T355" i="17" s="1"/>
  <c r="U353" i="17"/>
  <c r="T353" i="17" s="1"/>
  <c r="U351" i="17"/>
  <c r="T351" i="17" s="1"/>
  <c r="S351" i="17" s="1"/>
  <c r="R351" i="17" s="1"/>
  <c r="U349" i="17"/>
  <c r="T349" i="17" s="1"/>
  <c r="S349" i="17" s="1"/>
  <c r="R349" i="17" s="1"/>
  <c r="U347" i="17"/>
  <c r="T347" i="17" s="1"/>
  <c r="S347" i="17" s="1"/>
  <c r="R347" i="17" s="1"/>
  <c r="U345" i="17"/>
  <c r="T345" i="17" s="1"/>
  <c r="S345" i="17" s="1"/>
  <c r="R345" i="17" s="1"/>
  <c r="U343" i="17"/>
  <c r="T343" i="17" s="1"/>
  <c r="U341" i="17"/>
  <c r="T341" i="17" s="1"/>
  <c r="U339" i="17"/>
  <c r="T339" i="17" s="1"/>
  <c r="U337" i="17"/>
  <c r="T337" i="17" s="1"/>
  <c r="U335" i="17"/>
  <c r="T335" i="17" s="1"/>
  <c r="U333" i="17"/>
  <c r="T333" i="17" s="1"/>
  <c r="S333" i="17" s="1"/>
  <c r="R333" i="17" s="1"/>
  <c r="U331" i="17"/>
  <c r="T331" i="17" s="1"/>
  <c r="U329" i="17"/>
  <c r="T329" i="17" s="1"/>
  <c r="U327" i="17"/>
  <c r="T327" i="17" s="1"/>
  <c r="U325" i="17"/>
  <c r="T325" i="17" s="1"/>
  <c r="U323" i="17"/>
  <c r="T323" i="17" s="1"/>
  <c r="S323" i="17" s="1"/>
  <c r="R323" i="17" s="1"/>
  <c r="U321" i="17"/>
  <c r="T321" i="17" s="1"/>
  <c r="S321" i="17" s="1"/>
  <c r="R321" i="17" s="1"/>
  <c r="U319" i="17"/>
  <c r="T319" i="17" s="1"/>
  <c r="U317" i="17"/>
  <c r="T317" i="17" s="1"/>
  <c r="U315" i="17"/>
  <c r="T315" i="17" s="1"/>
  <c r="U313" i="17"/>
  <c r="T313" i="17" s="1"/>
  <c r="U311" i="17"/>
  <c r="T311" i="17" s="1"/>
  <c r="U309" i="17"/>
  <c r="T309" i="17" s="1"/>
  <c r="U307" i="17"/>
  <c r="T307" i="17" s="1"/>
  <c r="S307" i="17" s="1"/>
  <c r="R307" i="17" s="1"/>
  <c r="U305" i="17"/>
  <c r="T305" i="17" s="1"/>
  <c r="S305" i="17" s="1"/>
  <c r="R305" i="17" s="1"/>
  <c r="U303" i="17"/>
  <c r="T303" i="17" s="1"/>
  <c r="S303" i="17" s="1"/>
  <c r="R303" i="17" s="1"/>
  <c r="U301" i="17"/>
  <c r="T301" i="17" s="1"/>
  <c r="U299" i="17"/>
  <c r="T299" i="17" s="1"/>
  <c r="U297" i="17"/>
  <c r="T297" i="17" s="1"/>
  <c r="U295" i="17"/>
  <c r="T295" i="17" s="1"/>
  <c r="S295" i="17" s="1"/>
  <c r="R295" i="17" s="1"/>
  <c r="U293" i="17"/>
  <c r="T293" i="17" s="1"/>
  <c r="U291" i="17"/>
  <c r="T291" i="17" s="1"/>
  <c r="S291" i="17" s="1"/>
  <c r="R291" i="17" s="1"/>
  <c r="U289" i="17"/>
  <c r="T289" i="17" s="1"/>
  <c r="S289" i="17" s="1"/>
  <c r="R289" i="17" s="1"/>
  <c r="U287" i="17"/>
  <c r="T287" i="17" s="1"/>
  <c r="U285" i="17"/>
  <c r="T285" i="17" s="1"/>
  <c r="U283" i="17"/>
  <c r="T283" i="17" s="1"/>
  <c r="U281" i="17"/>
  <c r="T281" i="17" s="1"/>
  <c r="U279" i="17"/>
  <c r="T279" i="17" s="1"/>
  <c r="U277" i="17"/>
  <c r="T277" i="17" s="1"/>
  <c r="S277" i="17" s="1"/>
  <c r="R277" i="17" s="1"/>
  <c r="U275" i="17"/>
  <c r="T275" i="17" s="1"/>
  <c r="S275" i="17" s="1"/>
  <c r="R275" i="17" s="1"/>
  <c r="U273" i="17"/>
  <c r="T273" i="17" s="1"/>
  <c r="S273" i="17" s="1"/>
  <c r="R273" i="17" s="1"/>
  <c r="U271" i="17"/>
  <c r="T271" i="17" s="1"/>
  <c r="U269" i="17"/>
  <c r="T269" i="17" s="1"/>
  <c r="S269" i="17" s="1"/>
  <c r="R269" i="17" s="1"/>
  <c r="U267" i="17"/>
  <c r="T267" i="17" s="1"/>
  <c r="S267" i="17" s="1"/>
  <c r="R267" i="17" s="1"/>
  <c r="U265" i="17"/>
  <c r="T265" i="17" s="1"/>
  <c r="S265" i="17" s="1"/>
  <c r="R265" i="17" s="1"/>
  <c r="U263" i="17"/>
  <c r="T263" i="17" s="1"/>
  <c r="U261" i="17"/>
  <c r="T261" i="17" s="1"/>
  <c r="S261" i="17" s="1"/>
  <c r="R261" i="17" s="1"/>
  <c r="U259" i="17"/>
  <c r="T259" i="17" s="1"/>
  <c r="U257" i="17"/>
  <c r="T257" i="17" s="1"/>
  <c r="S257" i="17" s="1"/>
  <c r="R257" i="17" s="1"/>
  <c r="U255" i="17"/>
  <c r="T255" i="17" s="1"/>
  <c r="U253" i="17"/>
  <c r="T253" i="17" s="1"/>
  <c r="U251" i="17"/>
  <c r="T251" i="17" s="1"/>
  <c r="S251" i="17" s="1"/>
  <c r="R251" i="17" s="1"/>
  <c r="U249" i="17"/>
  <c r="T249" i="17" s="1"/>
  <c r="U247" i="17"/>
  <c r="T247" i="17" s="1"/>
  <c r="U245" i="17"/>
  <c r="T245" i="17" s="1"/>
  <c r="S245" i="17" s="1"/>
  <c r="R245" i="17" s="1"/>
  <c r="U243" i="17"/>
  <c r="T243" i="17" s="1"/>
  <c r="S243" i="17" s="1"/>
  <c r="R243" i="17" s="1"/>
  <c r="U241" i="17"/>
  <c r="T241" i="17" s="1"/>
  <c r="U239" i="17"/>
  <c r="T239" i="17" s="1"/>
  <c r="S239" i="17" s="1"/>
  <c r="R239" i="17" s="1"/>
  <c r="U237" i="17"/>
  <c r="T237" i="17" s="1"/>
  <c r="U235" i="17"/>
  <c r="T235" i="17" s="1"/>
  <c r="S235" i="17" s="1"/>
  <c r="R235" i="17" s="1"/>
  <c r="U233" i="17"/>
  <c r="T233" i="17" s="1"/>
  <c r="S233" i="17" s="1"/>
  <c r="R233" i="17" s="1"/>
  <c r="U231" i="17"/>
  <c r="T231" i="17" s="1"/>
  <c r="S231" i="17" s="1"/>
  <c r="R231" i="17" s="1"/>
  <c r="U229" i="17"/>
  <c r="T229" i="17" s="1"/>
  <c r="U227" i="17"/>
  <c r="T227" i="17" s="1"/>
  <c r="S227" i="17" s="1"/>
  <c r="R227" i="17" s="1"/>
  <c r="U225" i="17"/>
  <c r="T225" i="17" s="1"/>
  <c r="U223" i="17"/>
  <c r="T223" i="17" s="1"/>
  <c r="S223" i="17" s="1"/>
  <c r="R223" i="17" s="1"/>
  <c r="U221" i="17"/>
  <c r="T221" i="17" s="1"/>
  <c r="S221" i="17" s="1"/>
  <c r="R221" i="17" s="1"/>
  <c r="U219" i="17"/>
  <c r="T219" i="17" s="1"/>
  <c r="U217" i="17"/>
  <c r="T217" i="17" s="1"/>
  <c r="U215" i="17"/>
  <c r="T215" i="17" s="1"/>
  <c r="U213" i="17"/>
  <c r="T213" i="17" s="1"/>
  <c r="S213" i="17" s="1"/>
  <c r="R213" i="17" s="1"/>
  <c r="U211" i="17"/>
  <c r="T211" i="17" s="1"/>
  <c r="U209" i="17"/>
  <c r="T209" i="17" s="1"/>
  <c r="U207" i="17"/>
  <c r="T207" i="17" s="1"/>
  <c r="S207" i="17" s="1"/>
  <c r="R207" i="17" s="1"/>
  <c r="U205" i="17"/>
  <c r="T205" i="17" s="1"/>
  <c r="S205" i="17" s="1"/>
  <c r="R205" i="17" s="1"/>
  <c r="U203" i="17"/>
  <c r="T203" i="17" s="1"/>
  <c r="U201" i="17"/>
  <c r="T201" i="17" s="1"/>
  <c r="S201" i="17" s="1"/>
  <c r="R201" i="17" s="1"/>
  <c r="U199" i="17"/>
  <c r="T199" i="17" s="1"/>
  <c r="U197" i="17"/>
  <c r="T197" i="17" s="1"/>
  <c r="S197" i="17" s="1"/>
  <c r="R197" i="17" s="1"/>
  <c r="U195" i="17"/>
  <c r="T195" i="17" s="1"/>
  <c r="U193" i="17"/>
  <c r="T193" i="17" s="1"/>
  <c r="U191" i="17"/>
  <c r="T191" i="17" s="1"/>
  <c r="U189" i="17"/>
  <c r="T189" i="17" s="1"/>
  <c r="S189" i="17" s="1"/>
  <c r="R189" i="17" s="1"/>
  <c r="U187" i="17"/>
  <c r="T187" i="17" s="1"/>
  <c r="U185" i="17"/>
  <c r="T185" i="17" s="1"/>
  <c r="S185" i="17" s="1"/>
  <c r="R185" i="17" s="1"/>
  <c r="U183" i="17"/>
  <c r="T183" i="17" s="1"/>
  <c r="S183" i="17" s="1"/>
  <c r="R183" i="17" s="1"/>
  <c r="U181" i="17"/>
  <c r="T181" i="17" s="1"/>
  <c r="U179" i="17"/>
  <c r="T179" i="17" s="1"/>
  <c r="S179" i="17" s="1"/>
  <c r="R179" i="17" s="1"/>
  <c r="U177" i="17"/>
  <c r="T177" i="17" s="1"/>
  <c r="S177" i="17" s="1"/>
  <c r="R177" i="17" s="1"/>
  <c r="U175" i="17"/>
  <c r="T175" i="17" s="1"/>
  <c r="U173" i="17"/>
  <c r="T173" i="17" s="1"/>
  <c r="S173" i="17" s="1"/>
  <c r="R173" i="17" s="1"/>
  <c r="U171" i="17"/>
  <c r="T171" i="17" s="1"/>
  <c r="S171" i="17" s="1"/>
  <c r="R171" i="17" s="1"/>
  <c r="U169" i="17"/>
  <c r="T169" i="17" s="1"/>
  <c r="S169" i="17" s="1"/>
  <c r="R169" i="17" s="1"/>
  <c r="U167" i="17"/>
  <c r="T167" i="17" s="1"/>
  <c r="U165" i="17"/>
  <c r="T165" i="17" s="1"/>
  <c r="S165" i="17" s="1"/>
  <c r="R165" i="17" s="1"/>
  <c r="U163" i="17"/>
  <c r="T163" i="17" s="1"/>
  <c r="S163" i="17" s="1"/>
  <c r="R163" i="17" s="1"/>
  <c r="U161" i="17"/>
  <c r="T161" i="17" s="1"/>
  <c r="U159" i="17"/>
  <c r="T159" i="17" s="1"/>
  <c r="S159" i="17" s="1"/>
  <c r="R159" i="17" s="1"/>
  <c r="U157" i="17"/>
  <c r="T157" i="17" s="1"/>
  <c r="U155" i="17"/>
  <c r="T155" i="17" s="1"/>
  <c r="S155" i="17" s="1"/>
  <c r="R155" i="17" s="1"/>
  <c r="U153" i="17"/>
  <c r="T153" i="17" s="1"/>
  <c r="S153" i="17" s="1"/>
  <c r="R153" i="17" s="1"/>
  <c r="U151" i="17"/>
  <c r="T151" i="17" s="1"/>
  <c r="U149" i="17"/>
  <c r="T149" i="17" s="1"/>
  <c r="S149" i="17" s="1"/>
  <c r="R149" i="17" s="1"/>
  <c r="U147" i="17"/>
  <c r="T147" i="17" s="1"/>
  <c r="S147" i="17" s="1"/>
  <c r="R147" i="17" s="1"/>
  <c r="U145" i="17"/>
  <c r="T145" i="17" s="1"/>
  <c r="S145" i="17" s="1"/>
  <c r="R145" i="17" s="1"/>
  <c r="U143" i="17"/>
  <c r="T143" i="17" s="1"/>
  <c r="S143" i="17" s="1"/>
  <c r="R143" i="17" s="1"/>
  <c r="U141" i="17"/>
  <c r="T141" i="17" s="1"/>
  <c r="U139" i="17"/>
  <c r="T139" i="17" s="1"/>
  <c r="U137" i="17"/>
  <c r="T137" i="17" s="1"/>
  <c r="S137" i="17" s="1"/>
  <c r="R137" i="17" s="1"/>
  <c r="U135" i="17"/>
  <c r="T135" i="17" s="1"/>
  <c r="S135" i="17" s="1"/>
  <c r="R135" i="17" s="1"/>
  <c r="U133" i="17"/>
  <c r="T133" i="17" s="1"/>
  <c r="S133" i="17" s="1"/>
  <c r="R133" i="17" s="1"/>
  <c r="U131" i="17"/>
  <c r="T131" i="17" s="1"/>
  <c r="S131" i="17" s="1"/>
  <c r="R131" i="17" s="1"/>
  <c r="U129" i="17"/>
  <c r="T129" i="17" s="1"/>
  <c r="U127" i="17"/>
  <c r="T127" i="17" s="1"/>
  <c r="U125" i="17"/>
  <c r="T125" i="17" s="1"/>
  <c r="S125" i="17" s="1"/>
  <c r="R125" i="17" s="1"/>
  <c r="U123" i="17"/>
  <c r="T123" i="17" s="1"/>
  <c r="U121" i="17"/>
  <c r="T121" i="17" s="1"/>
  <c r="S121" i="17" s="1"/>
  <c r="R121" i="17" s="1"/>
  <c r="U119" i="17"/>
  <c r="T119" i="17" s="1"/>
  <c r="S119" i="17" s="1"/>
  <c r="R119" i="17" s="1"/>
  <c r="U117" i="17"/>
  <c r="T117" i="17" s="1"/>
  <c r="U115" i="17"/>
  <c r="T115" i="17" s="1"/>
  <c r="S115" i="17" s="1"/>
  <c r="R115" i="17" s="1"/>
  <c r="U113" i="17"/>
  <c r="T113" i="17" s="1"/>
  <c r="U111" i="17"/>
  <c r="T111" i="17" s="1"/>
  <c r="S111" i="17" s="1"/>
  <c r="R111" i="17" s="1"/>
  <c r="U109" i="17"/>
  <c r="T109" i="17" s="1"/>
  <c r="S109" i="17" s="1"/>
  <c r="R109" i="17" s="1"/>
  <c r="U107" i="17"/>
  <c r="T107" i="17" s="1"/>
  <c r="U105" i="17"/>
  <c r="T105" i="17" s="1"/>
  <c r="U103" i="17"/>
  <c r="T103" i="17" s="1"/>
  <c r="U101" i="17"/>
  <c r="T101" i="17" s="1"/>
  <c r="S101" i="17" s="1"/>
  <c r="R101" i="17" s="1"/>
  <c r="U99" i="17"/>
  <c r="T99" i="17" s="1"/>
  <c r="U97" i="17"/>
  <c r="T97" i="17" s="1"/>
  <c r="S97" i="17" s="1"/>
  <c r="R97" i="17" s="1"/>
  <c r="U95" i="17"/>
  <c r="T95" i="17" s="1"/>
  <c r="S95" i="17" s="1"/>
  <c r="R95" i="17" s="1"/>
  <c r="U93" i="17"/>
  <c r="T93" i="17" s="1"/>
  <c r="U91" i="17"/>
  <c r="T91" i="17" s="1"/>
  <c r="S91" i="17" s="1"/>
  <c r="R91" i="17" s="1"/>
  <c r="U89" i="17"/>
  <c r="T89" i="17" s="1"/>
  <c r="U87" i="17"/>
  <c r="T87" i="17" s="1"/>
  <c r="S87" i="17" s="1"/>
  <c r="R87" i="17" s="1"/>
  <c r="U85" i="17"/>
  <c r="T85" i="17" s="1"/>
  <c r="U83" i="17"/>
  <c r="T83" i="17" s="1"/>
  <c r="U81" i="17"/>
  <c r="T81" i="17" s="1"/>
  <c r="S81" i="17" s="1"/>
  <c r="R81" i="17" s="1"/>
  <c r="U79" i="17"/>
  <c r="T79" i="17" s="1"/>
  <c r="S79" i="17" s="1"/>
  <c r="R79" i="17" s="1"/>
  <c r="U77" i="17"/>
  <c r="T77" i="17" s="1"/>
  <c r="S77" i="17" s="1"/>
  <c r="R77" i="17" s="1"/>
  <c r="U75" i="17"/>
  <c r="T75" i="17" s="1"/>
  <c r="S75" i="17" s="1"/>
  <c r="R75" i="17" s="1"/>
  <c r="U73" i="17"/>
  <c r="T73" i="17" s="1"/>
  <c r="U71" i="17"/>
  <c r="T71" i="17" s="1"/>
  <c r="S71" i="17" s="1"/>
  <c r="R71" i="17" s="1"/>
  <c r="U69" i="17"/>
  <c r="T69" i="17" s="1"/>
  <c r="U67" i="17"/>
  <c r="T67" i="17" s="1"/>
  <c r="U65" i="17"/>
  <c r="T65" i="17" s="1"/>
  <c r="U63" i="17"/>
  <c r="T63" i="17" s="1"/>
  <c r="U61" i="17"/>
  <c r="T61" i="17" s="1"/>
  <c r="U59" i="17"/>
  <c r="T59" i="17" s="1"/>
  <c r="S59" i="17" s="1"/>
  <c r="R59" i="17" s="1"/>
  <c r="U57" i="17"/>
  <c r="T57" i="17" s="1"/>
  <c r="S57" i="17" s="1"/>
  <c r="R57" i="17" s="1"/>
  <c r="U55" i="17"/>
  <c r="T55" i="17" s="1"/>
  <c r="S55" i="17" s="1"/>
  <c r="R55" i="17" s="1"/>
  <c r="U53" i="17"/>
  <c r="T53" i="17" s="1"/>
  <c r="S53" i="17" s="1"/>
  <c r="R53" i="17" s="1"/>
  <c r="U51" i="17"/>
  <c r="T51" i="17" s="1"/>
  <c r="S51" i="17" s="1"/>
  <c r="R51" i="17" s="1"/>
  <c r="U49" i="17"/>
  <c r="T49" i="17" s="1"/>
  <c r="U47" i="17"/>
  <c r="T47" i="17" s="1"/>
  <c r="U45" i="17"/>
  <c r="T45" i="17" s="1"/>
  <c r="U43" i="17"/>
  <c r="T43" i="17" s="1"/>
  <c r="S43" i="17" s="1"/>
  <c r="R43" i="17" s="1"/>
  <c r="U41" i="17"/>
  <c r="T41" i="17" s="1"/>
  <c r="S41" i="17" s="1"/>
  <c r="R41" i="17" s="1"/>
  <c r="U39" i="17"/>
  <c r="T39" i="17" s="1"/>
  <c r="U37" i="17"/>
  <c r="T37" i="17" s="1"/>
  <c r="S37" i="17" s="1"/>
  <c r="R37" i="17" s="1"/>
  <c r="U35" i="17"/>
  <c r="T35" i="17" s="1"/>
  <c r="U33" i="17"/>
  <c r="T33" i="17" s="1"/>
  <c r="U31" i="17"/>
  <c r="T31" i="17" s="1"/>
  <c r="S31" i="17" s="1"/>
  <c r="R31" i="17" s="1"/>
  <c r="P31" i="17" s="1"/>
  <c r="V31" i="17" s="1"/>
  <c r="U29" i="17"/>
  <c r="T29" i="17" s="1"/>
  <c r="S29" i="17" s="1"/>
  <c r="R29" i="17" s="1"/>
  <c r="U27" i="17"/>
  <c r="T27" i="17" s="1"/>
  <c r="S27" i="17" s="1"/>
  <c r="R27" i="17" s="1"/>
  <c r="U25" i="17"/>
  <c r="T25" i="17" s="1"/>
  <c r="U23" i="17"/>
  <c r="T23" i="17" s="1"/>
  <c r="U21" i="17"/>
  <c r="T21" i="17" s="1"/>
  <c r="U15" i="17"/>
  <c r="U16" i="17"/>
  <c r="T16" i="17" s="1"/>
  <c r="S16" i="17" s="1"/>
  <c r="R16" i="17" s="1"/>
  <c r="U19" i="17"/>
  <c r="T19" i="17" s="1"/>
  <c r="AE378" i="17"/>
  <c r="AE376" i="17"/>
  <c r="AE374" i="17"/>
  <c r="AE372" i="17"/>
  <c r="AE370" i="17"/>
  <c r="AE368" i="17"/>
  <c r="AE366" i="17"/>
  <c r="AE364" i="17"/>
  <c r="AD364" i="17" s="1"/>
  <c r="AE362" i="17"/>
  <c r="AE360" i="17"/>
  <c r="AE358" i="17"/>
  <c r="AE356" i="17"/>
  <c r="AE354" i="17"/>
  <c r="AE352" i="17"/>
  <c r="AE350" i="17"/>
  <c r="AE348" i="17"/>
  <c r="AD348" i="17" s="1"/>
  <c r="AE346" i="17"/>
  <c r="AE344" i="17"/>
  <c r="AE342" i="17"/>
  <c r="AE340" i="17"/>
  <c r="AE338" i="17"/>
  <c r="AE336" i="17"/>
  <c r="AE334" i="17"/>
  <c r="AE332" i="17"/>
  <c r="AD332" i="17" s="1"/>
  <c r="AE330" i="17"/>
  <c r="AE328" i="17"/>
  <c r="AD328" i="17" s="1"/>
  <c r="AE326" i="17"/>
  <c r="AE324" i="17"/>
  <c r="AE322" i="17"/>
  <c r="AE320" i="17"/>
  <c r="AE318" i="17"/>
  <c r="AE316" i="17"/>
  <c r="AD316" i="17" s="1"/>
  <c r="AE314" i="17"/>
  <c r="AE312" i="17"/>
  <c r="AD312" i="17" s="1"/>
  <c r="AE310" i="17"/>
  <c r="AE308" i="17"/>
  <c r="AE306" i="17"/>
  <c r="AE304" i="17"/>
  <c r="AE302" i="17"/>
  <c r="AE300" i="17"/>
  <c r="AD300" i="17" s="1"/>
  <c r="AE298" i="17"/>
  <c r="AE296" i="17"/>
  <c r="AE294" i="17"/>
  <c r="AE292" i="17"/>
  <c r="AE290" i="17"/>
  <c r="AE288" i="17"/>
  <c r="AE286" i="17"/>
  <c r="AE284" i="17"/>
  <c r="AD284" i="17" s="1"/>
  <c r="AE282" i="17"/>
  <c r="AE280" i="17"/>
  <c r="AE278" i="17"/>
  <c r="AE276" i="17"/>
  <c r="AE274" i="17"/>
  <c r="AE272" i="17"/>
  <c r="AE270" i="17"/>
  <c r="AE268" i="17"/>
  <c r="AE266" i="17"/>
  <c r="AE264" i="17"/>
  <c r="AE262" i="17"/>
  <c r="AE260" i="17"/>
  <c r="AE258" i="17"/>
  <c r="AE256" i="17"/>
  <c r="AE254" i="17"/>
  <c r="AE252" i="17"/>
  <c r="AE250" i="17"/>
  <c r="AE248" i="17"/>
  <c r="AD248" i="17" s="1"/>
  <c r="AE246" i="17"/>
  <c r="AE244" i="17"/>
  <c r="AE242" i="17"/>
  <c r="AE240" i="17"/>
  <c r="AE238" i="17"/>
  <c r="AE236" i="17"/>
  <c r="AE234" i="17"/>
  <c r="AE232" i="17"/>
  <c r="AE230" i="17"/>
  <c r="AE228" i="17"/>
  <c r="AE226" i="17"/>
  <c r="AE224" i="17"/>
  <c r="AE222" i="17"/>
  <c r="AE220" i="17"/>
  <c r="AD220" i="17" s="1"/>
  <c r="AE218" i="17"/>
  <c r="AE216" i="17"/>
  <c r="AE214" i="17"/>
  <c r="AE212" i="17"/>
  <c r="AE210" i="17"/>
  <c r="AE208" i="17"/>
  <c r="AE206" i="17"/>
  <c r="AE204" i="17"/>
  <c r="AE202" i="17"/>
  <c r="AE200" i="17"/>
  <c r="AD200" i="17" s="1"/>
  <c r="AE198" i="17"/>
  <c r="AE196" i="17"/>
  <c r="AE194" i="17"/>
  <c r="AE192" i="17"/>
  <c r="AE190" i="17"/>
  <c r="AE188" i="17"/>
  <c r="AE186" i="17"/>
  <c r="AE184" i="17"/>
  <c r="AD184" i="17" s="1"/>
  <c r="AE182" i="17"/>
  <c r="AE180" i="17"/>
  <c r="AE178" i="17"/>
  <c r="AE176" i="17"/>
  <c r="AE174" i="17"/>
  <c r="AE172" i="17"/>
  <c r="AD172" i="17" s="1"/>
  <c r="AE170" i="17"/>
  <c r="AE168" i="17"/>
  <c r="AD168" i="17" s="1"/>
  <c r="AE166" i="17"/>
  <c r="AE164" i="17"/>
  <c r="AE162" i="17"/>
  <c r="AE160" i="17"/>
  <c r="AE158" i="17"/>
  <c r="AE156" i="17"/>
  <c r="AE154" i="17"/>
  <c r="AE152" i="17"/>
  <c r="AE150" i="17"/>
  <c r="AE148" i="17"/>
  <c r="AE146" i="17"/>
  <c r="AE144" i="17"/>
  <c r="AE142" i="17"/>
  <c r="AE140" i="17"/>
  <c r="AD140" i="17" s="1"/>
  <c r="AE138" i="17"/>
  <c r="AE136" i="17"/>
  <c r="AE134" i="17"/>
  <c r="AE132" i="17"/>
  <c r="AE130" i="17"/>
  <c r="AE128" i="17"/>
  <c r="AE126" i="17"/>
  <c r="AE124" i="17"/>
  <c r="AE122" i="17"/>
  <c r="AE120" i="17"/>
  <c r="AE118" i="17"/>
  <c r="AE116" i="17"/>
  <c r="AE114" i="17"/>
  <c r="AE112" i="17"/>
  <c r="AE110" i="17"/>
  <c r="AE108" i="17"/>
  <c r="AE106" i="17"/>
  <c r="AE104" i="17"/>
  <c r="AE102" i="17"/>
  <c r="AE100" i="17"/>
  <c r="AE98" i="17"/>
  <c r="AE96" i="17"/>
  <c r="AE94" i="17"/>
  <c r="AE92" i="17"/>
  <c r="AE90" i="17"/>
  <c r="AE88" i="17"/>
  <c r="AE86" i="17"/>
  <c r="AE84" i="17"/>
  <c r="AE82" i="17"/>
  <c r="AE80" i="17"/>
  <c r="AE78" i="17"/>
  <c r="AE76" i="17"/>
  <c r="AE74" i="17"/>
  <c r="AE72" i="17"/>
  <c r="AE70" i="17"/>
  <c r="AE68" i="17"/>
  <c r="AE66" i="17"/>
  <c r="AE64" i="17"/>
  <c r="AE62" i="17"/>
  <c r="AE60" i="17"/>
  <c r="AE58" i="17"/>
  <c r="AE56" i="17"/>
  <c r="AE54" i="17"/>
  <c r="AE52" i="17"/>
  <c r="AE50" i="17"/>
  <c r="AE48" i="17"/>
  <c r="AE46" i="17"/>
  <c r="AE44" i="17"/>
  <c r="AE42" i="17"/>
  <c r="AE40" i="17"/>
  <c r="AE38" i="17"/>
  <c r="AE36" i="17"/>
  <c r="AE34" i="17"/>
  <c r="AE32" i="17"/>
  <c r="AE30" i="17"/>
  <c r="AE28" i="17"/>
  <c r="AE26" i="17"/>
  <c r="AE24" i="17"/>
  <c r="AE22" i="17"/>
  <c r="AE20" i="17"/>
  <c r="AE19" i="17"/>
  <c r="AE17" i="17"/>
  <c r="AM9" i="22"/>
  <c r="AM5" i="22"/>
  <c r="AK5" i="22"/>
  <c r="AM7" i="22"/>
  <c r="AM11" i="22" s="1"/>
  <c r="AK9" i="22"/>
  <c r="AK7" i="22"/>
  <c r="AK11" i="22" s="1"/>
  <c r="L382" i="22"/>
  <c r="L381" i="22"/>
  <c r="L383" i="22"/>
  <c r="AG127" i="17"/>
  <c r="AF127" i="17" s="1"/>
  <c r="AG59" i="17"/>
  <c r="AF59" i="17" s="1"/>
  <c r="AH15" i="17"/>
  <c r="Q12" i="18"/>
  <c r="I324" i="15"/>
  <c r="J324" i="15"/>
  <c r="I227" i="15"/>
  <c r="H227" i="16" s="1"/>
  <c r="J227" i="15"/>
  <c r="I51" i="15"/>
  <c r="J51" i="15"/>
  <c r="AD381" i="15"/>
  <c r="AD382" i="15"/>
  <c r="AD383" i="15"/>
  <c r="S382" i="16"/>
  <c r="S383" i="16"/>
  <c r="S381" i="16"/>
  <c r="R15" i="16"/>
  <c r="P383" i="15"/>
  <c r="P381" i="15"/>
  <c r="V15" i="15"/>
  <c r="B15" i="15" s="1"/>
  <c r="AJ5" i="15" s="1"/>
  <c r="P382" i="15"/>
  <c r="X378" i="25"/>
  <c r="L378" i="25"/>
  <c r="AB378" i="25"/>
  <c r="AJ378" i="25"/>
  <c r="K378" i="25"/>
  <c r="A379" i="25"/>
  <c r="AK378" i="25"/>
  <c r="O378" i="25"/>
  <c r="AC378" i="25"/>
  <c r="U378" i="17"/>
  <c r="T378" i="17" s="1"/>
  <c r="U376" i="17"/>
  <c r="T376" i="17" s="1"/>
  <c r="S376" i="17" s="1"/>
  <c r="R376" i="17" s="1"/>
  <c r="P376" i="17" s="1"/>
  <c r="V376" i="17" s="1"/>
  <c r="B376" i="17" s="1"/>
  <c r="U374" i="17"/>
  <c r="T374" i="17" s="1"/>
  <c r="U372" i="17"/>
  <c r="T372" i="17" s="1"/>
  <c r="S372" i="17" s="1"/>
  <c r="R372" i="17" s="1"/>
  <c r="U370" i="17"/>
  <c r="T370" i="17" s="1"/>
  <c r="U368" i="17"/>
  <c r="T368" i="17" s="1"/>
  <c r="U366" i="17"/>
  <c r="T366" i="17" s="1"/>
  <c r="S366" i="17" s="1"/>
  <c r="R366" i="17" s="1"/>
  <c r="U364" i="17"/>
  <c r="T364" i="17" s="1"/>
  <c r="S364" i="17" s="1"/>
  <c r="R364" i="17" s="1"/>
  <c r="P364" i="17" s="1"/>
  <c r="V364" i="17" s="1"/>
  <c r="B364" i="17" s="1"/>
  <c r="U362" i="17"/>
  <c r="T362" i="17" s="1"/>
  <c r="U360" i="17"/>
  <c r="T360" i="17" s="1"/>
  <c r="S360" i="17" s="1"/>
  <c r="R360" i="17" s="1"/>
  <c r="P360" i="17" s="1"/>
  <c r="V360" i="17" s="1"/>
  <c r="B360" i="17" s="1"/>
  <c r="U358" i="17"/>
  <c r="T358" i="17" s="1"/>
  <c r="U356" i="17"/>
  <c r="T356" i="17" s="1"/>
  <c r="S356" i="17" s="1"/>
  <c r="R356" i="17" s="1"/>
  <c r="P356" i="17" s="1"/>
  <c r="V356" i="17" s="1"/>
  <c r="B356" i="17" s="1"/>
  <c r="U354" i="17"/>
  <c r="T354" i="17" s="1"/>
  <c r="S354" i="17" s="1"/>
  <c r="R354" i="17" s="1"/>
  <c r="U352" i="17"/>
  <c r="T352" i="17" s="1"/>
  <c r="U350" i="17"/>
  <c r="T350" i="17" s="1"/>
  <c r="S350" i="17" s="1"/>
  <c r="R350" i="17" s="1"/>
  <c r="U348" i="17"/>
  <c r="T348" i="17" s="1"/>
  <c r="U346" i="17"/>
  <c r="T346" i="17" s="1"/>
  <c r="S346" i="17" s="1"/>
  <c r="R346" i="17" s="1"/>
  <c r="U344" i="17"/>
  <c r="T344" i="17" s="1"/>
  <c r="U342" i="17"/>
  <c r="T342" i="17" s="1"/>
  <c r="U340" i="17"/>
  <c r="T340" i="17" s="1"/>
  <c r="U338" i="17"/>
  <c r="T338" i="17" s="1"/>
  <c r="U336" i="17"/>
  <c r="T336" i="17" s="1"/>
  <c r="S336" i="17" s="1"/>
  <c r="R336" i="17" s="1"/>
  <c r="U334" i="17"/>
  <c r="T334" i="17" s="1"/>
  <c r="S334" i="17" s="1"/>
  <c r="R334" i="17" s="1"/>
  <c r="U332" i="17"/>
  <c r="T332" i="17" s="1"/>
  <c r="S332" i="17" s="1"/>
  <c r="R332" i="17" s="1"/>
  <c r="U330" i="17"/>
  <c r="T330" i="17" s="1"/>
  <c r="S330" i="17" s="1"/>
  <c r="R330" i="17" s="1"/>
  <c r="U328" i="17"/>
  <c r="T328" i="17" s="1"/>
  <c r="U326" i="17"/>
  <c r="T326" i="17" s="1"/>
  <c r="S326" i="17" s="1"/>
  <c r="R326" i="17" s="1"/>
  <c r="U324" i="17"/>
  <c r="T324" i="17" s="1"/>
  <c r="U322" i="17"/>
  <c r="T322" i="17" s="1"/>
  <c r="S322" i="17" s="1"/>
  <c r="R322" i="17" s="1"/>
  <c r="U320" i="17"/>
  <c r="T320" i="17" s="1"/>
  <c r="U318" i="17"/>
  <c r="T318" i="17" s="1"/>
  <c r="S318" i="17" s="1"/>
  <c r="R318" i="17" s="1"/>
  <c r="U316" i="17"/>
  <c r="T316" i="17" s="1"/>
  <c r="S316" i="17" s="1"/>
  <c r="R316" i="17" s="1"/>
  <c r="U314" i="17"/>
  <c r="T314" i="17" s="1"/>
  <c r="U312" i="17"/>
  <c r="T312" i="17" s="1"/>
  <c r="S312" i="17" s="1"/>
  <c r="R312" i="17" s="1"/>
  <c r="P312" i="17" s="1"/>
  <c r="U310" i="17"/>
  <c r="T310" i="17" s="1"/>
  <c r="U308" i="17"/>
  <c r="T308" i="17" s="1"/>
  <c r="S308" i="17" s="1"/>
  <c r="R308" i="17" s="1"/>
  <c r="U306" i="17"/>
  <c r="T306" i="17" s="1"/>
  <c r="U304" i="17"/>
  <c r="T304" i="17" s="1"/>
  <c r="U302" i="17"/>
  <c r="T302" i="17" s="1"/>
  <c r="U300" i="17"/>
  <c r="T300" i="17" s="1"/>
  <c r="S300" i="17" s="1"/>
  <c r="R300" i="17" s="1"/>
  <c r="P300" i="17" s="1"/>
  <c r="V300" i="17" s="1"/>
  <c r="B300" i="17" s="1"/>
  <c r="U298" i="17"/>
  <c r="T298" i="17" s="1"/>
  <c r="U296" i="17"/>
  <c r="T296" i="17" s="1"/>
  <c r="S296" i="17" s="1"/>
  <c r="R296" i="17" s="1"/>
  <c r="P296" i="17" s="1"/>
  <c r="U294" i="17"/>
  <c r="T294" i="17" s="1"/>
  <c r="U292" i="17"/>
  <c r="T292" i="17" s="1"/>
  <c r="S292" i="17" s="1"/>
  <c r="R292" i="17" s="1"/>
  <c r="P292" i="17" s="1"/>
  <c r="V292" i="17" s="1"/>
  <c r="B292" i="17" s="1"/>
  <c r="U290" i="17"/>
  <c r="T290" i="17" s="1"/>
  <c r="U288" i="17"/>
  <c r="T288" i="17" s="1"/>
  <c r="U286" i="17"/>
  <c r="T286" i="17" s="1"/>
  <c r="U284" i="17"/>
  <c r="T284" i="17" s="1"/>
  <c r="S284" i="17" s="1"/>
  <c r="R284" i="17" s="1"/>
  <c r="P284" i="17" s="1"/>
  <c r="U282" i="17"/>
  <c r="T282" i="17" s="1"/>
  <c r="S282" i="17" s="1"/>
  <c r="R282" i="17" s="1"/>
  <c r="U280" i="17"/>
  <c r="T280" i="17" s="1"/>
  <c r="S280" i="17" s="1"/>
  <c r="R280" i="17" s="1"/>
  <c r="P280" i="17" s="1"/>
  <c r="V280" i="17" s="1"/>
  <c r="B280" i="17" s="1"/>
  <c r="U278" i="17"/>
  <c r="T278" i="17" s="1"/>
  <c r="U276" i="17"/>
  <c r="T276" i="17" s="1"/>
  <c r="S276" i="17" s="1"/>
  <c r="R276" i="17" s="1"/>
  <c r="U274" i="17"/>
  <c r="T274" i="17" s="1"/>
  <c r="U272" i="17"/>
  <c r="T272" i="17" s="1"/>
  <c r="S272" i="17" s="1"/>
  <c r="R272" i="17" s="1"/>
  <c r="P272" i="17" s="1"/>
  <c r="U270" i="17"/>
  <c r="T270" i="17" s="1"/>
  <c r="U268" i="17"/>
  <c r="T268" i="17" s="1"/>
  <c r="S268" i="17" s="1"/>
  <c r="R268" i="17" s="1"/>
  <c r="P268" i="17" s="1"/>
  <c r="V268" i="17" s="1"/>
  <c r="B268" i="17" s="1"/>
  <c r="U266" i="17"/>
  <c r="T266" i="17" s="1"/>
  <c r="S266" i="17" s="1"/>
  <c r="R266" i="17" s="1"/>
  <c r="U264" i="17"/>
  <c r="T264" i="17" s="1"/>
  <c r="U262" i="17"/>
  <c r="T262" i="17" s="1"/>
  <c r="S262" i="17" s="1"/>
  <c r="R262" i="17" s="1"/>
  <c r="U260" i="17"/>
  <c r="T260" i="17" s="1"/>
  <c r="S260" i="17" s="1"/>
  <c r="R260" i="17" s="1"/>
  <c r="U258" i="17"/>
  <c r="T258" i="17" s="1"/>
  <c r="U256" i="17"/>
  <c r="T256" i="17" s="1"/>
  <c r="S256" i="17" s="1"/>
  <c r="R256" i="17" s="1"/>
  <c r="U254" i="17"/>
  <c r="T254" i="17" s="1"/>
  <c r="U252" i="17"/>
  <c r="T252" i="17" s="1"/>
  <c r="U250" i="17"/>
  <c r="T250" i="17" s="1"/>
  <c r="U248" i="17"/>
  <c r="T248" i="17" s="1"/>
  <c r="S248" i="17" s="1"/>
  <c r="R248" i="17" s="1"/>
  <c r="U246" i="17"/>
  <c r="T246" i="17" s="1"/>
  <c r="S246" i="17" s="1"/>
  <c r="R246" i="17" s="1"/>
  <c r="U244" i="17"/>
  <c r="T244" i="17" s="1"/>
  <c r="U242" i="17"/>
  <c r="T242" i="17" s="1"/>
  <c r="U240" i="17"/>
  <c r="T240" i="17" s="1"/>
  <c r="U238" i="17"/>
  <c r="T238" i="17" s="1"/>
  <c r="U236" i="17"/>
  <c r="T236" i="17" s="1"/>
  <c r="S236" i="17" s="1"/>
  <c r="R236" i="17" s="1"/>
  <c r="P236" i="17" s="1"/>
  <c r="U234" i="17"/>
  <c r="T234" i="17" s="1"/>
  <c r="S234" i="17" s="1"/>
  <c r="R234" i="17" s="1"/>
  <c r="U232" i="17"/>
  <c r="T232" i="17" s="1"/>
  <c r="U230" i="17"/>
  <c r="T230" i="17" s="1"/>
  <c r="U228" i="17"/>
  <c r="T228" i="17" s="1"/>
  <c r="S228" i="17" s="1"/>
  <c r="R228" i="17" s="1"/>
  <c r="U226" i="17"/>
  <c r="T226" i="17" s="1"/>
  <c r="U224" i="17"/>
  <c r="T224" i="17" s="1"/>
  <c r="U222" i="17"/>
  <c r="T222" i="17" s="1"/>
  <c r="U220" i="17"/>
  <c r="T220" i="17" s="1"/>
  <c r="S220" i="17" s="1"/>
  <c r="R220" i="17" s="1"/>
  <c r="P220" i="17" s="1"/>
  <c r="V220" i="17" s="1"/>
  <c r="B220" i="17" s="1"/>
  <c r="U218" i="17"/>
  <c r="T218" i="17" s="1"/>
  <c r="S218" i="17" s="1"/>
  <c r="R218" i="17" s="1"/>
  <c r="U216" i="17"/>
  <c r="T216" i="17" s="1"/>
  <c r="S216" i="17" s="1"/>
  <c r="R216" i="17" s="1"/>
  <c r="P216" i="17" s="1"/>
  <c r="V216" i="17" s="1"/>
  <c r="B216" i="17" s="1"/>
  <c r="U214" i="17"/>
  <c r="T214" i="17" s="1"/>
  <c r="U212" i="17"/>
  <c r="T212" i="17" s="1"/>
  <c r="U210" i="17"/>
  <c r="T210" i="17" s="1"/>
  <c r="S210" i="17" s="1"/>
  <c r="R210" i="17" s="1"/>
  <c r="U208" i="17"/>
  <c r="T208" i="17" s="1"/>
  <c r="S208" i="17" s="1"/>
  <c r="R208" i="17" s="1"/>
  <c r="P208" i="17" s="1"/>
  <c r="V208" i="17" s="1"/>
  <c r="B208" i="17" s="1"/>
  <c r="U206" i="17"/>
  <c r="T206" i="17" s="1"/>
  <c r="S206" i="17" s="1"/>
  <c r="R206" i="17" s="1"/>
  <c r="U204" i="17"/>
  <c r="T204" i="17" s="1"/>
  <c r="S204" i="17" s="1"/>
  <c r="R204" i="17" s="1"/>
  <c r="P204" i="17" s="1"/>
  <c r="U202" i="17"/>
  <c r="T202" i="17" s="1"/>
  <c r="S202" i="17" s="1"/>
  <c r="R202" i="17" s="1"/>
  <c r="U200" i="17"/>
  <c r="T200" i="17" s="1"/>
  <c r="S200" i="17" s="1"/>
  <c r="R200" i="17" s="1"/>
  <c r="U198" i="17"/>
  <c r="T198" i="17" s="1"/>
  <c r="S198" i="17" s="1"/>
  <c r="R198" i="17" s="1"/>
  <c r="U196" i="17"/>
  <c r="T196" i="17" s="1"/>
  <c r="S196" i="17" s="1"/>
  <c r="R196" i="17" s="1"/>
  <c r="U194" i="17"/>
  <c r="T194" i="17" s="1"/>
  <c r="U192" i="17"/>
  <c r="T192" i="17" s="1"/>
  <c r="U190" i="17"/>
  <c r="T190" i="17" s="1"/>
  <c r="S190" i="17" s="1"/>
  <c r="R190" i="17" s="1"/>
  <c r="U188" i="17"/>
  <c r="T188" i="17" s="1"/>
  <c r="U186" i="17"/>
  <c r="T186" i="17" s="1"/>
  <c r="U184" i="17"/>
  <c r="T184" i="17" s="1"/>
  <c r="U182" i="17"/>
  <c r="T182" i="17" s="1"/>
  <c r="S182" i="17" s="1"/>
  <c r="R182" i="17" s="1"/>
  <c r="U180" i="17"/>
  <c r="T180" i="17" s="1"/>
  <c r="U178" i="17"/>
  <c r="T178" i="17" s="1"/>
  <c r="S178" i="17" s="1"/>
  <c r="R178" i="17" s="1"/>
  <c r="U176" i="17"/>
  <c r="T176" i="17" s="1"/>
  <c r="S176" i="17" s="1"/>
  <c r="R176" i="17" s="1"/>
  <c r="P176" i="17" s="1"/>
  <c r="V176" i="17" s="1"/>
  <c r="U174" i="17"/>
  <c r="T174" i="17" s="1"/>
  <c r="S174" i="17" s="1"/>
  <c r="R174" i="17" s="1"/>
  <c r="U172" i="17"/>
  <c r="T172" i="17" s="1"/>
  <c r="U170" i="17"/>
  <c r="T170" i="17" s="1"/>
  <c r="U168" i="17"/>
  <c r="T168" i="17" s="1"/>
  <c r="U166" i="17"/>
  <c r="T166" i="17" s="1"/>
  <c r="S166" i="17" s="1"/>
  <c r="R166" i="17" s="1"/>
  <c r="U164" i="17"/>
  <c r="T164" i="17" s="1"/>
  <c r="U162" i="17"/>
  <c r="T162" i="17" s="1"/>
  <c r="U160" i="17"/>
  <c r="T160" i="17" s="1"/>
  <c r="U158" i="17"/>
  <c r="T158" i="17" s="1"/>
  <c r="S158" i="17" s="1"/>
  <c r="R158" i="17" s="1"/>
  <c r="U156" i="17"/>
  <c r="T156" i="17" s="1"/>
  <c r="S156" i="17" s="1"/>
  <c r="R156" i="17" s="1"/>
  <c r="P156" i="17" s="1"/>
  <c r="V156" i="17" s="1"/>
  <c r="B156" i="17" s="1"/>
  <c r="U154" i="17"/>
  <c r="T154" i="17" s="1"/>
  <c r="U152" i="17"/>
  <c r="T152" i="17" s="1"/>
  <c r="S152" i="17" s="1"/>
  <c r="R152" i="17" s="1"/>
  <c r="U150" i="17"/>
  <c r="T150" i="17" s="1"/>
  <c r="U148" i="17"/>
  <c r="T148" i="17" s="1"/>
  <c r="U146" i="17"/>
  <c r="T146" i="17" s="1"/>
  <c r="S146" i="17" s="1"/>
  <c r="R146" i="17" s="1"/>
  <c r="U144" i="17"/>
  <c r="T144" i="17" s="1"/>
  <c r="U142" i="17"/>
  <c r="T142" i="17" s="1"/>
  <c r="U140" i="17"/>
  <c r="T140" i="17" s="1"/>
  <c r="U138" i="17"/>
  <c r="T138" i="17" s="1"/>
  <c r="S138" i="17" s="1"/>
  <c r="R138" i="17" s="1"/>
  <c r="U136" i="17"/>
  <c r="T136" i="17" s="1"/>
  <c r="S136" i="17" s="1"/>
  <c r="R136" i="17" s="1"/>
  <c r="U134" i="17"/>
  <c r="T134" i="17" s="1"/>
  <c r="U132" i="17"/>
  <c r="T132" i="17" s="1"/>
  <c r="U130" i="17"/>
  <c r="T130" i="17" s="1"/>
  <c r="S130" i="17" s="1"/>
  <c r="R130" i="17" s="1"/>
  <c r="U128" i="17"/>
  <c r="T128" i="17" s="1"/>
  <c r="S128" i="17" s="1"/>
  <c r="R128" i="17" s="1"/>
  <c r="U126" i="17"/>
  <c r="T126" i="17" s="1"/>
  <c r="S126" i="17" s="1"/>
  <c r="R126" i="17" s="1"/>
  <c r="U124" i="17"/>
  <c r="T124" i="17" s="1"/>
  <c r="U122" i="17"/>
  <c r="T122" i="17" s="1"/>
  <c r="U120" i="17"/>
  <c r="T120" i="17" s="1"/>
  <c r="U118" i="17"/>
  <c r="T118" i="17" s="1"/>
  <c r="S118" i="17" s="1"/>
  <c r="R118" i="17" s="1"/>
  <c r="U116" i="17"/>
  <c r="T116" i="17" s="1"/>
  <c r="S116" i="17" s="1"/>
  <c r="R116" i="17" s="1"/>
  <c r="U114" i="17"/>
  <c r="T114" i="17" s="1"/>
  <c r="S114" i="17" s="1"/>
  <c r="R114" i="17" s="1"/>
  <c r="U112" i="17"/>
  <c r="T112" i="17" s="1"/>
  <c r="U110" i="17"/>
  <c r="T110" i="17" s="1"/>
  <c r="S110" i="17" s="1"/>
  <c r="R110" i="17" s="1"/>
  <c r="U108" i="17"/>
  <c r="T108" i="17" s="1"/>
  <c r="S108" i="17" s="1"/>
  <c r="R108" i="17" s="1"/>
  <c r="P108" i="17" s="1"/>
  <c r="U106" i="17"/>
  <c r="T106" i="17" s="1"/>
  <c r="U104" i="17"/>
  <c r="T104" i="17" s="1"/>
  <c r="U102" i="17"/>
  <c r="T102" i="17" s="1"/>
  <c r="S102" i="17" s="1"/>
  <c r="R102" i="17" s="1"/>
  <c r="U100" i="17"/>
  <c r="T100" i="17" s="1"/>
  <c r="U98" i="17"/>
  <c r="T98" i="17" s="1"/>
  <c r="U96" i="17"/>
  <c r="T96" i="17" s="1"/>
  <c r="U94" i="17"/>
  <c r="T94" i="17" s="1"/>
  <c r="S94" i="17" s="1"/>
  <c r="R94" i="17" s="1"/>
  <c r="U92" i="17"/>
  <c r="T92" i="17" s="1"/>
  <c r="S92" i="17" s="1"/>
  <c r="R92" i="17" s="1"/>
  <c r="P92" i="17" s="1"/>
  <c r="U90" i="17"/>
  <c r="T90" i="17" s="1"/>
  <c r="U88" i="17"/>
  <c r="T88" i="17" s="1"/>
  <c r="S88" i="17" s="1"/>
  <c r="R88" i="17" s="1"/>
  <c r="U86" i="17"/>
  <c r="T86" i="17" s="1"/>
  <c r="U84" i="17"/>
  <c r="T84" i="17" s="1"/>
  <c r="U82" i="17"/>
  <c r="T82" i="17" s="1"/>
  <c r="S82" i="17" s="1"/>
  <c r="R82" i="17" s="1"/>
  <c r="U80" i="17"/>
  <c r="T80" i="17" s="1"/>
  <c r="U78" i="17"/>
  <c r="T78" i="17" s="1"/>
  <c r="U76" i="17"/>
  <c r="T76" i="17" s="1"/>
  <c r="U74" i="17"/>
  <c r="T74" i="17" s="1"/>
  <c r="U72" i="17"/>
  <c r="T72" i="17" s="1"/>
  <c r="S72" i="17" s="1"/>
  <c r="R72" i="17" s="1"/>
  <c r="U70" i="17"/>
  <c r="T70" i="17" s="1"/>
  <c r="U68" i="17"/>
  <c r="T68" i="17" s="1"/>
  <c r="S68" i="17" s="1"/>
  <c r="R68" i="17" s="1"/>
  <c r="U66" i="17"/>
  <c r="T66" i="17" s="1"/>
  <c r="U64" i="17"/>
  <c r="T64" i="17" s="1"/>
  <c r="S64" i="17" s="1"/>
  <c r="R64" i="17" s="1"/>
  <c r="U62" i="17"/>
  <c r="T62" i="17" s="1"/>
  <c r="U60" i="17"/>
  <c r="T60" i="17" s="1"/>
  <c r="U58" i="17"/>
  <c r="T58" i="17" s="1"/>
  <c r="U56" i="17"/>
  <c r="T56" i="17" s="1"/>
  <c r="S56" i="17" s="1"/>
  <c r="R56" i="17" s="1"/>
  <c r="P56" i="17" s="1"/>
  <c r="V56" i="17" s="1"/>
  <c r="B56" i="17" s="1"/>
  <c r="U54" i="17"/>
  <c r="T54" i="17" s="1"/>
  <c r="S54" i="17" s="1"/>
  <c r="R54" i="17" s="1"/>
  <c r="U52" i="17"/>
  <c r="T52" i="17" s="1"/>
  <c r="U50" i="17"/>
  <c r="T50" i="17" s="1"/>
  <c r="U48" i="17"/>
  <c r="T48" i="17" s="1"/>
  <c r="S48" i="17" s="1"/>
  <c r="R48" i="17" s="1"/>
  <c r="P48" i="17" s="1"/>
  <c r="U46" i="17"/>
  <c r="T46" i="17" s="1"/>
  <c r="S46" i="17" s="1"/>
  <c r="R46" i="17" s="1"/>
  <c r="U44" i="17"/>
  <c r="T44" i="17" s="1"/>
  <c r="S44" i="17" s="1"/>
  <c r="R44" i="17" s="1"/>
  <c r="P44" i="17" s="1"/>
  <c r="U42" i="17"/>
  <c r="T42" i="17" s="1"/>
  <c r="S42" i="17" s="1"/>
  <c r="R42" i="17" s="1"/>
  <c r="U40" i="17"/>
  <c r="T40" i="17" s="1"/>
  <c r="U38" i="17"/>
  <c r="T38" i="17" s="1"/>
  <c r="S38" i="17" s="1"/>
  <c r="R38" i="17" s="1"/>
  <c r="U36" i="17"/>
  <c r="T36" i="17" s="1"/>
  <c r="S36" i="17" s="1"/>
  <c r="R36" i="17" s="1"/>
  <c r="U34" i="17"/>
  <c r="T34" i="17" s="1"/>
  <c r="U32" i="17"/>
  <c r="T32" i="17" s="1"/>
  <c r="S32" i="17" s="1"/>
  <c r="R32" i="17" s="1"/>
  <c r="U30" i="17"/>
  <c r="T30" i="17" s="1"/>
  <c r="S30" i="17" s="1"/>
  <c r="R30" i="17" s="1"/>
  <c r="U28" i="17"/>
  <c r="T28" i="17" s="1"/>
  <c r="U26" i="17"/>
  <c r="T26" i="17" s="1"/>
  <c r="S26" i="17" s="1"/>
  <c r="R26" i="17" s="1"/>
  <c r="U24" i="17"/>
  <c r="T24" i="17" s="1"/>
  <c r="U22" i="17"/>
  <c r="T22" i="17" s="1"/>
  <c r="S22" i="17" s="1"/>
  <c r="R22" i="17" s="1"/>
  <c r="U20" i="17"/>
  <c r="T20" i="17" s="1"/>
  <c r="U17" i="17"/>
  <c r="T17" i="17" s="1"/>
  <c r="U18" i="17"/>
  <c r="T18" i="17" s="1"/>
  <c r="AE379" i="17"/>
  <c r="AE12" i="18" s="1"/>
  <c r="AE377" i="17"/>
  <c r="AD377" i="17" s="1"/>
  <c r="AE375" i="17"/>
  <c r="AE373" i="17"/>
  <c r="AD373" i="17" s="1"/>
  <c r="AE371" i="17"/>
  <c r="AE369" i="17"/>
  <c r="AD369" i="17" s="1"/>
  <c r="AE367" i="17"/>
  <c r="AE365" i="17"/>
  <c r="AE363" i="17"/>
  <c r="AE361" i="17"/>
  <c r="AE359" i="17"/>
  <c r="AE357" i="17"/>
  <c r="AE355" i="17"/>
  <c r="AE353" i="17"/>
  <c r="AD353" i="17" s="1"/>
  <c r="AE351" i="17"/>
  <c r="AE349" i="17"/>
  <c r="AD349" i="17" s="1"/>
  <c r="AE347" i="17"/>
  <c r="AE345" i="17"/>
  <c r="AD345" i="17" s="1"/>
  <c r="AE343" i="17"/>
  <c r="AE341" i="17"/>
  <c r="AE339" i="17"/>
  <c r="AE337" i="17"/>
  <c r="AD337" i="17" s="1"/>
  <c r="AE335" i="17"/>
  <c r="AE333" i="17"/>
  <c r="AD333" i="17" s="1"/>
  <c r="AE331" i="17"/>
  <c r="AE329" i="17"/>
  <c r="AD329" i="17" s="1"/>
  <c r="AE327" i="17"/>
  <c r="AE325" i="17"/>
  <c r="AD325" i="17" s="1"/>
  <c r="AE323" i="17"/>
  <c r="AE321" i="17"/>
  <c r="AD321" i="17" s="1"/>
  <c r="AE319" i="17"/>
  <c r="AE317" i="17"/>
  <c r="AD317" i="17" s="1"/>
  <c r="AE315" i="17"/>
  <c r="AE313" i="17"/>
  <c r="AD313" i="17" s="1"/>
  <c r="AE311" i="17"/>
  <c r="AE309" i="17"/>
  <c r="AD309" i="17" s="1"/>
  <c r="AE307" i="17"/>
  <c r="AE305" i="17"/>
  <c r="AD305" i="17" s="1"/>
  <c r="AE303" i="17"/>
  <c r="AE301" i="17"/>
  <c r="AD301" i="17" s="1"/>
  <c r="AE299" i="17"/>
  <c r="AE297" i="17"/>
  <c r="AD297" i="17" s="1"/>
  <c r="AE295" i="17"/>
  <c r="AE293" i="17"/>
  <c r="AE291" i="17"/>
  <c r="AE289" i="17"/>
  <c r="AD289" i="17" s="1"/>
  <c r="AE287" i="17"/>
  <c r="AE285" i="17"/>
  <c r="AE283" i="17"/>
  <c r="AE281" i="17"/>
  <c r="AE279" i="17"/>
  <c r="AE277" i="17"/>
  <c r="AD277" i="17" s="1"/>
  <c r="AE275" i="17"/>
  <c r="AE273" i="17"/>
  <c r="AD273" i="17" s="1"/>
  <c r="AE271" i="17"/>
  <c r="AE269" i="17"/>
  <c r="AD269" i="17" s="1"/>
  <c r="AE267" i="17"/>
  <c r="AE265" i="17"/>
  <c r="AD265" i="17" s="1"/>
  <c r="AE263" i="17"/>
  <c r="AE261" i="17"/>
  <c r="AD261" i="17" s="1"/>
  <c r="AE259" i="17"/>
  <c r="AE257" i="17"/>
  <c r="AD257" i="17" s="1"/>
  <c r="AE255" i="17"/>
  <c r="AE253" i="17"/>
  <c r="AD253" i="17" s="1"/>
  <c r="AE251" i="17"/>
  <c r="AE249" i="17"/>
  <c r="AD249" i="17" s="1"/>
  <c r="AE247" i="17"/>
  <c r="AE245" i="17"/>
  <c r="AD245" i="17" s="1"/>
  <c r="AE243" i="17"/>
  <c r="AE241" i="17"/>
  <c r="AD241" i="17" s="1"/>
  <c r="AE239" i="17"/>
  <c r="AE237" i="17"/>
  <c r="AE235" i="17"/>
  <c r="AE233" i="17"/>
  <c r="AD233" i="17" s="1"/>
  <c r="AE231" i="17"/>
  <c r="AE229" i="17"/>
  <c r="AD229" i="17" s="1"/>
  <c r="AE227" i="17"/>
  <c r="AE225" i="17"/>
  <c r="AD225" i="17" s="1"/>
  <c r="AE223" i="17"/>
  <c r="AE221" i="17"/>
  <c r="AD221" i="17" s="1"/>
  <c r="AE219" i="17"/>
  <c r="AE217" i="17"/>
  <c r="AD217" i="17" s="1"/>
  <c r="AE215" i="17"/>
  <c r="AE213" i="17"/>
  <c r="AD213" i="17" s="1"/>
  <c r="AE211" i="17"/>
  <c r="AE209" i="17"/>
  <c r="AD209" i="17" s="1"/>
  <c r="AE207" i="17"/>
  <c r="AE205" i="17"/>
  <c r="AD205" i="17" s="1"/>
  <c r="AE203" i="17"/>
  <c r="AE201" i="17"/>
  <c r="AE199" i="17"/>
  <c r="AE197" i="17"/>
  <c r="AD197" i="17" s="1"/>
  <c r="AE195" i="17"/>
  <c r="AE193" i="17"/>
  <c r="AD193" i="17" s="1"/>
  <c r="AE191" i="17"/>
  <c r="AE189" i="17"/>
  <c r="AD189" i="17" s="1"/>
  <c r="AE187" i="17"/>
  <c r="AE185" i="17"/>
  <c r="AD185" i="17" s="1"/>
  <c r="AE183" i="17"/>
  <c r="AE181" i="17"/>
  <c r="AE179" i="17"/>
  <c r="AE177" i="17"/>
  <c r="AD177" i="17" s="1"/>
  <c r="AE175" i="17"/>
  <c r="AE173" i="17"/>
  <c r="AD173" i="17" s="1"/>
  <c r="AE171" i="17"/>
  <c r="AE169" i="17"/>
  <c r="AD169" i="17" s="1"/>
  <c r="AE167" i="17"/>
  <c r="AE165" i="17"/>
  <c r="AE163" i="17"/>
  <c r="AE161" i="17"/>
  <c r="AD161" i="17" s="1"/>
  <c r="AE159" i="17"/>
  <c r="AE157" i="17"/>
  <c r="AD157" i="17" s="1"/>
  <c r="AE155" i="17"/>
  <c r="AE153" i="17"/>
  <c r="AE151" i="17"/>
  <c r="AE149" i="17"/>
  <c r="AD149" i="17" s="1"/>
  <c r="AE147" i="17"/>
  <c r="AE145" i="17"/>
  <c r="AD145" i="17" s="1"/>
  <c r="AE143" i="17"/>
  <c r="AE141" i="17"/>
  <c r="AD141" i="17" s="1"/>
  <c r="AE139" i="17"/>
  <c r="AE137" i="17"/>
  <c r="AD137" i="17" s="1"/>
  <c r="AE135" i="17"/>
  <c r="AE133" i="17"/>
  <c r="AD133" i="17" s="1"/>
  <c r="AE131" i="17"/>
  <c r="AE129" i="17"/>
  <c r="AD129" i="17" s="1"/>
  <c r="AE127" i="17"/>
  <c r="AE125" i="17"/>
  <c r="AE123" i="17"/>
  <c r="AE121" i="17"/>
  <c r="AE119" i="17"/>
  <c r="AE117" i="17"/>
  <c r="AE115" i="17"/>
  <c r="AE113" i="17"/>
  <c r="AD113" i="17" s="1"/>
  <c r="AE111" i="17"/>
  <c r="AE109" i="17"/>
  <c r="AE107" i="17"/>
  <c r="AE105" i="17"/>
  <c r="AE103" i="17"/>
  <c r="AE101" i="17"/>
  <c r="AE99" i="17"/>
  <c r="AE97" i="17"/>
  <c r="AD97" i="17" s="1"/>
  <c r="AE95" i="17"/>
  <c r="AE93" i="17"/>
  <c r="AE91" i="17"/>
  <c r="AE89" i="17"/>
  <c r="AD89" i="17" s="1"/>
  <c r="AE87" i="17"/>
  <c r="AE85" i="17"/>
  <c r="AE83" i="17"/>
  <c r="AE81" i="17"/>
  <c r="AD81" i="17" s="1"/>
  <c r="AE79" i="17"/>
  <c r="AD79" i="17" s="1"/>
  <c r="AE77" i="17"/>
  <c r="AE75" i="17"/>
  <c r="AE73" i="17"/>
  <c r="AD73" i="17" s="1"/>
  <c r="AE71" i="17"/>
  <c r="AE69" i="17"/>
  <c r="AE67" i="17"/>
  <c r="AE65" i="17"/>
  <c r="AD65" i="17" s="1"/>
  <c r="AE63" i="17"/>
  <c r="AE61" i="17"/>
  <c r="AE59" i="17"/>
  <c r="AE57" i="17"/>
  <c r="AE55" i="17"/>
  <c r="AE53" i="17"/>
  <c r="AE51" i="17"/>
  <c r="AE49" i="17"/>
  <c r="AD49" i="17" s="1"/>
  <c r="AE47" i="17"/>
  <c r="AE45" i="17"/>
  <c r="AE43" i="17"/>
  <c r="AE41" i="17"/>
  <c r="AD41" i="17" s="1"/>
  <c r="AE39" i="17"/>
  <c r="AE37" i="17"/>
  <c r="AE35" i="17"/>
  <c r="AE33" i="17"/>
  <c r="AD33" i="17" s="1"/>
  <c r="AE31" i="17"/>
  <c r="AE29" i="17"/>
  <c r="AE27" i="17"/>
  <c r="AE25" i="17"/>
  <c r="AE23" i="17"/>
  <c r="AE21" i="17"/>
  <c r="AE16" i="17"/>
  <c r="AE15" i="17"/>
  <c r="AE18" i="17"/>
  <c r="AD18" i="17" s="1"/>
  <c r="I264" i="15"/>
  <c r="H264" i="16" s="1"/>
  <c r="J264" i="15"/>
  <c r="AD21" i="17" l="1"/>
  <c r="AD45" i="17"/>
  <c r="AD53" i="17"/>
  <c r="AD61" i="17"/>
  <c r="AD69" i="17"/>
  <c r="AD77" i="17"/>
  <c r="AD85" i="17"/>
  <c r="AD101" i="17"/>
  <c r="AD109" i="17"/>
  <c r="AD117" i="17"/>
  <c r="P32" i="17"/>
  <c r="V32" i="17" s="1"/>
  <c r="B32" i="17" s="1"/>
  <c r="H229" i="16"/>
  <c r="AA229" i="16"/>
  <c r="Z229" i="16" s="1"/>
  <c r="Y229" i="16" s="1"/>
  <c r="AA315" i="16"/>
  <c r="Z315" i="16" s="1"/>
  <c r="Y315" i="16" s="1"/>
  <c r="H245" i="16"/>
  <c r="AA245" i="16"/>
  <c r="Z245" i="16" s="1"/>
  <c r="Y245" i="16" s="1"/>
  <c r="AA113" i="16"/>
  <c r="Z113" i="16" s="1"/>
  <c r="Y113" i="16" s="1"/>
  <c r="H120" i="16"/>
  <c r="I120" i="16" s="1"/>
  <c r="H113" i="16"/>
  <c r="AA120" i="16"/>
  <c r="Z120" i="16" s="1"/>
  <c r="Y120" i="16" s="1"/>
  <c r="H49" i="16"/>
  <c r="AA49" i="16"/>
  <c r="Z49" i="16" s="1"/>
  <c r="Y49" i="16" s="1"/>
  <c r="G355" i="16"/>
  <c r="BY355" i="6" s="1"/>
  <c r="H219" i="16"/>
  <c r="I219" i="16" s="1"/>
  <c r="H225" i="16"/>
  <c r="I225" i="16" s="1"/>
  <c r="G219" i="16"/>
  <c r="BY219" i="6" s="1"/>
  <c r="H221" i="16"/>
  <c r="J221" i="16" s="1"/>
  <c r="AA221" i="16"/>
  <c r="Z221" i="16" s="1"/>
  <c r="Y221" i="16" s="1"/>
  <c r="AA215" i="16"/>
  <c r="Z215" i="16" s="1"/>
  <c r="Y215" i="16" s="1"/>
  <c r="B333" i="16"/>
  <c r="W333" i="16" s="1"/>
  <c r="H215" i="16"/>
  <c r="I215" i="16" s="1"/>
  <c r="AA253" i="16"/>
  <c r="Z253" i="16" s="1"/>
  <c r="Y253" i="16" s="1"/>
  <c r="AA185" i="16"/>
  <c r="Z185" i="16" s="1"/>
  <c r="Y185" i="16" s="1"/>
  <c r="G63" i="19"/>
  <c r="D60" i="16"/>
  <c r="E60" i="16" s="1"/>
  <c r="F60" i="16" s="1"/>
  <c r="AA60" i="16" s="1"/>
  <c r="Z60" i="16" s="1"/>
  <c r="Y60" i="16" s="1"/>
  <c r="H185" i="16"/>
  <c r="I185" i="16" s="1"/>
  <c r="H253" i="16"/>
  <c r="J253" i="16" s="1"/>
  <c r="H193" i="16"/>
  <c r="I193" i="16" s="1"/>
  <c r="H247" i="16"/>
  <c r="I247" i="16" s="1"/>
  <c r="AA193" i="16"/>
  <c r="Z193" i="16" s="1"/>
  <c r="Y193" i="16" s="1"/>
  <c r="H105" i="16"/>
  <c r="J105" i="16" s="1"/>
  <c r="AA105" i="16"/>
  <c r="Z105" i="16" s="1"/>
  <c r="Y105" i="16" s="1"/>
  <c r="H270" i="16"/>
  <c r="I270" i="16" s="1"/>
  <c r="AA270" i="16"/>
  <c r="Z270" i="16" s="1"/>
  <c r="Y270" i="16" s="1"/>
  <c r="H315" i="16"/>
  <c r="J315" i="16" s="1"/>
  <c r="H255" i="16"/>
  <c r="I255" i="16" s="1"/>
  <c r="AA255" i="16"/>
  <c r="Z255" i="16" s="1"/>
  <c r="Y255" i="16" s="1"/>
  <c r="J330" i="16"/>
  <c r="J338" i="16"/>
  <c r="J320" i="16"/>
  <c r="H301" i="16"/>
  <c r="J301" i="16" s="1"/>
  <c r="AA301" i="16"/>
  <c r="Z301" i="16" s="1"/>
  <c r="Y301" i="16" s="1"/>
  <c r="AD20" i="17"/>
  <c r="AD24" i="17"/>
  <c r="AD28" i="17"/>
  <c r="AD32" i="17"/>
  <c r="AD36" i="17"/>
  <c r="AD40" i="17"/>
  <c r="AD44" i="17"/>
  <c r="AD48" i="17"/>
  <c r="AD52" i="17"/>
  <c r="AD56" i="17"/>
  <c r="AD72" i="17"/>
  <c r="AD80" i="17"/>
  <c r="AD84" i="17"/>
  <c r="AD88" i="17"/>
  <c r="AD92" i="17"/>
  <c r="AD104" i="17"/>
  <c r="AD108" i="17"/>
  <c r="AD136" i="17"/>
  <c r="AD144" i="17"/>
  <c r="AD152" i="17"/>
  <c r="AD176" i="17"/>
  <c r="AD208" i="17"/>
  <c r="AD240" i="17"/>
  <c r="AD272" i="17"/>
  <c r="AD280" i="17"/>
  <c r="AD336" i="17"/>
  <c r="AD344" i="17"/>
  <c r="AD368" i="17"/>
  <c r="B119" i="16"/>
  <c r="W119" i="16" s="1"/>
  <c r="M63" i="19"/>
  <c r="AI383" i="17"/>
  <c r="AD216" i="17"/>
  <c r="L41" i="19"/>
  <c r="AD105" i="17"/>
  <c r="AD111" i="17"/>
  <c r="AD165" i="17"/>
  <c r="AD23" i="17"/>
  <c r="AD43" i="17"/>
  <c r="AD75" i="17"/>
  <c r="AD91" i="17"/>
  <c r="AD107" i="17"/>
  <c r="AD123" i="17"/>
  <c r="AD134" i="17"/>
  <c r="AD150" i="17"/>
  <c r="AD166" i="17"/>
  <c r="AD182" i="17"/>
  <c r="AD190" i="17"/>
  <c r="AD198" i="17"/>
  <c r="AD206" i="17"/>
  <c r="AD238" i="17"/>
  <c r="AD246" i="17"/>
  <c r="AD254" i="17"/>
  <c r="AD262" i="17"/>
  <c r="AD294" i="17"/>
  <c r="AD302" i="17"/>
  <c r="AD310" i="17"/>
  <c r="AD318" i="17"/>
  <c r="AD326" i="17"/>
  <c r="AD342" i="17"/>
  <c r="AD358" i="17"/>
  <c r="AD366" i="17"/>
  <c r="P16" i="17"/>
  <c r="V16" i="17" s="1"/>
  <c r="B16" i="17" s="1"/>
  <c r="P29" i="17"/>
  <c r="D56" i="7" s="1"/>
  <c r="AD47" i="17"/>
  <c r="P42" i="17"/>
  <c r="V42" i="17" s="1"/>
  <c r="B42" i="17" s="1"/>
  <c r="P82" i="17"/>
  <c r="V82" i="17" s="1"/>
  <c r="B82" i="17" s="1"/>
  <c r="P114" i="17"/>
  <c r="V114" i="17" s="1"/>
  <c r="B114" i="17" s="1"/>
  <c r="P130" i="17"/>
  <c r="V130" i="17" s="1"/>
  <c r="B130" i="17" s="1"/>
  <c r="P138" i="17"/>
  <c r="V138" i="17" s="1"/>
  <c r="B138" i="17" s="1"/>
  <c r="P146" i="17"/>
  <c r="V146" i="17" s="1"/>
  <c r="B146" i="17" s="1"/>
  <c r="P178" i="17"/>
  <c r="V178" i="17" s="1"/>
  <c r="B178" i="17" s="1"/>
  <c r="P202" i="17"/>
  <c r="V202" i="17" s="1"/>
  <c r="B202" i="17" s="1"/>
  <c r="P210" i="17"/>
  <c r="D62" i="7" s="1"/>
  <c r="P218" i="17"/>
  <c r="V218" i="17" s="1"/>
  <c r="B218" i="17" s="1"/>
  <c r="P234" i="17"/>
  <c r="V234" i="17" s="1"/>
  <c r="B234" i="17" s="1"/>
  <c r="P266" i="17"/>
  <c r="V266" i="17" s="1"/>
  <c r="B266" i="17" s="1"/>
  <c r="P282" i="17"/>
  <c r="V282" i="17" s="1"/>
  <c r="B282" i="17" s="1"/>
  <c r="P322" i="17"/>
  <c r="V322" i="17" s="1"/>
  <c r="B322" i="17" s="1"/>
  <c r="P330" i="17"/>
  <c r="V330" i="17" s="1"/>
  <c r="B330" i="17" s="1"/>
  <c r="P346" i="17"/>
  <c r="V346" i="17" s="1"/>
  <c r="B346" i="17" s="1"/>
  <c r="P354" i="17"/>
  <c r="V354" i="17" s="1"/>
  <c r="B354" i="17" s="1"/>
  <c r="AD142" i="17"/>
  <c r="AD158" i="17"/>
  <c r="AD214" i="17"/>
  <c r="AD230" i="17"/>
  <c r="AD270" i="17"/>
  <c r="AD286" i="17"/>
  <c r="AD334" i="17"/>
  <c r="AH379" i="17"/>
  <c r="AG379" i="17" s="1"/>
  <c r="AF379" i="17" s="1"/>
  <c r="J120" i="16"/>
  <c r="J148" i="16"/>
  <c r="J259" i="16"/>
  <c r="J271" i="16"/>
  <c r="J115" i="16"/>
  <c r="J107" i="16"/>
  <c r="J185" i="16"/>
  <c r="J243" i="16"/>
  <c r="J127" i="16"/>
  <c r="I171" i="15"/>
  <c r="H171" i="16" s="1"/>
  <c r="J171" i="16" s="1"/>
  <c r="J219" i="16"/>
  <c r="J263" i="16"/>
  <c r="D379" i="16"/>
  <c r="E379" i="16" s="1"/>
  <c r="F379" i="16" s="1"/>
  <c r="G379" i="16" s="1"/>
  <c r="BY379" i="6" s="1"/>
  <c r="J49" i="16"/>
  <c r="G161" i="16"/>
  <c r="BY161" i="6" s="1"/>
  <c r="I197" i="15"/>
  <c r="H19" i="16"/>
  <c r="I19" i="16" s="1"/>
  <c r="AA19" i="16"/>
  <c r="Z19" i="16" s="1"/>
  <c r="Y19" i="16" s="1"/>
  <c r="I320" i="16"/>
  <c r="H161" i="16"/>
  <c r="I161" i="16" s="1"/>
  <c r="F379" i="1"/>
  <c r="J161" i="16"/>
  <c r="J79" i="16"/>
  <c r="I315" i="16"/>
  <c r="J307" i="16"/>
  <c r="I330" i="16"/>
  <c r="H250" i="16"/>
  <c r="J250" i="16" s="1"/>
  <c r="H234" i="16"/>
  <c r="I234" i="16" s="1"/>
  <c r="I243" i="16"/>
  <c r="I127" i="16"/>
  <c r="AA250" i="16"/>
  <c r="Z250" i="16" s="1"/>
  <c r="Y250" i="16" s="1"/>
  <c r="J41" i="16"/>
  <c r="BD382" i="1"/>
  <c r="BD383" i="1"/>
  <c r="BD381" i="1"/>
  <c r="BB383" i="1"/>
  <c r="BB12" i="1" s="1"/>
  <c r="BB382" i="1"/>
  <c r="BB381" i="1"/>
  <c r="AA62" i="16"/>
  <c r="Z62" i="16" s="1"/>
  <c r="Y62" i="16" s="1"/>
  <c r="G62" i="16"/>
  <c r="BY62" i="6" s="1"/>
  <c r="G60" i="16"/>
  <c r="BY60" i="6" s="1"/>
  <c r="G28" i="16"/>
  <c r="BY28" i="6" s="1"/>
  <c r="AA28" i="16"/>
  <c r="Z28" i="16" s="1"/>
  <c r="Y28" i="16" s="1"/>
  <c r="AD93" i="17"/>
  <c r="AD125" i="17"/>
  <c r="I339" i="16"/>
  <c r="J339" i="16"/>
  <c r="I263" i="16"/>
  <c r="J45" i="16"/>
  <c r="AD63" i="17"/>
  <c r="AD87" i="17"/>
  <c r="AD139" i="17"/>
  <c r="AD147" i="17"/>
  <c r="AD151" i="17"/>
  <c r="AD155" i="17"/>
  <c r="AD159" i="17"/>
  <c r="AD163" i="17"/>
  <c r="AD167" i="17"/>
  <c r="AD171" i="17"/>
  <c r="AD175" i="17"/>
  <c r="AD179" i="17"/>
  <c r="AD183" i="17"/>
  <c r="AD187" i="17"/>
  <c r="AD191" i="17"/>
  <c r="AD195" i="17"/>
  <c r="AD199" i="17"/>
  <c r="AD203" i="17"/>
  <c r="AD207" i="17"/>
  <c r="AD211" i="17"/>
  <c r="AD215" i="17"/>
  <c r="AD219" i="17"/>
  <c r="AD223" i="17"/>
  <c r="AD227" i="17"/>
  <c r="AD231" i="17"/>
  <c r="AD235" i="17"/>
  <c r="AD239" i="17"/>
  <c r="AD243" i="17"/>
  <c r="AD251" i="17"/>
  <c r="AD255" i="17"/>
  <c r="AD259" i="17"/>
  <c r="AD263" i="17"/>
  <c r="AD267" i="17"/>
  <c r="AD275" i="17"/>
  <c r="AD279" i="17"/>
  <c r="AD283" i="17"/>
  <c r="AD287" i="17"/>
  <c r="AD299" i="17"/>
  <c r="AD303" i="17"/>
  <c r="AD307" i="17"/>
  <c r="AD315" i="17"/>
  <c r="AD319" i="17"/>
  <c r="AD327" i="17"/>
  <c r="AD331" i="17"/>
  <c r="AD335" i="17"/>
  <c r="AD339" i="17"/>
  <c r="AD343" i="17"/>
  <c r="AD347" i="17"/>
  <c r="AD351" i="17"/>
  <c r="AD359" i="17"/>
  <c r="AD363" i="17"/>
  <c r="AD367" i="17"/>
  <c r="AD371" i="17"/>
  <c r="AD375" i="17"/>
  <c r="P36" i="17"/>
  <c r="V36" i="17" s="1"/>
  <c r="B36" i="17" s="1"/>
  <c r="P64" i="17"/>
  <c r="V64" i="17" s="1"/>
  <c r="B64" i="17" s="1"/>
  <c r="P68" i="17"/>
  <c r="V68" i="17" s="1"/>
  <c r="B68" i="17" s="1"/>
  <c r="P72" i="17"/>
  <c r="V72" i="17" s="1"/>
  <c r="B72" i="17" s="1"/>
  <c r="P88" i="17"/>
  <c r="V88" i="17" s="1"/>
  <c r="B88" i="17" s="1"/>
  <c r="P116" i="17"/>
  <c r="V116" i="17" s="1"/>
  <c r="B116" i="17" s="1"/>
  <c r="P128" i="17"/>
  <c r="V128" i="17" s="1"/>
  <c r="B128" i="17" s="1"/>
  <c r="P136" i="17"/>
  <c r="V136" i="17" s="1"/>
  <c r="B136" i="17" s="1"/>
  <c r="P152" i="17"/>
  <c r="V152" i="17" s="1"/>
  <c r="B152" i="17" s="1"/>
  <c r="P196" i="17"/>
  <c r="V196" i="17" s="1"/>
  <c r="B196" i="17" s="1"/>
  <c r="P200" i="17"/>
  <c r="V200" i="17" s="1"/>
  <c r="B200" i="17" s="1"/>
  <c r="P228" i="17"/>
  <c r="V228" i="17" s="1"/>
  <c r="B228" i="17" s="1"/>
  <c r="P248" i="17"/>
  <c r="V248" i="17" s="1"/>
  <c r="B248" i="17" s="1"/>
  <c r="P256" i="17"/>
  <c r="V256" i="17" s="1"/>
  <c r="B256" i="17" s="1"/>
  <c r="P260" i="17"/>
  <c r="V260" i="17" s="1"/>
  <c r="B260" i="17" s="1"/>
  <c r="P276" i="17"/>
  <c r="V276" i="17" s="1"/>
  <c r="B276" i="17" s="1"/>
  <c r="P308" i="17"/>
  <c r="V308" i="17" s="1"/>
  <c r="B308" i="17" s="1"/>
  <c r="P316" i="17"/>
  <c r="V316" i="17" s="1"/>
  <c r="B316" i="17" s="1"/>
  <c r="P332" i="17"/>
  <c r="V332" i="17" s="1"/>
  <c r="B332" i="17" s="1"/>
  <c r="P336" i="17"/>
  <c r="V336" i="17" s="1"/>
  <c r="B336" i="17" s="1"/>
  <c r="P372" i="17"/>
  <c r="V372" i="17" s="1"/>
  <c r="B372" i="17" s="1"/>
  <c r="AD350" i="17"/>
  <c r="AD374" i="17"/>
  <c r="AD124" i="17"/>
  <c r="AD128" i="17"/>
  <c r="AD148" i="17"/>
  <c r="AD164" i="17"/>
  <c r="AD192" i="17"/>
  <c r="AD256" i="17"/>
  <c r="AD276" i="17"/>
  <c r="AD292" i="17"/>
  <c r="AD308" i="17"/>
  <c r="AD320" i="17"/>
  <c r="AD340" i="17"/>
  <c r="AD352" i="17"/>
  <c r="AD356" i="17"/>
  <c r="AD372" i="17"/>
  <c r="P37" i="17"/>
  <c r="V37" i="17" s="1"/>
  <c r="B37" i="17" s="1"/>
  <c r="P41" i="17"/>
  <c r="V41" i="17" s="1"/>
  <c r="B41" i="17" s="1"/>
  <c r="P53" i="17"/>
  <c r="V53" i="17" s="1"/>
  <c r="B53" i="17" s="1"/>
  <c r="P57" i="17"/>
  <c r="V57" i="17" s="1"/>
  <c r="B57" i="17" s="1"/>
  <c r="P77" i="17"/>
  <c r="V77" i="17" s="1"/>
  <c r="B77" i="17" s="1"/>
  <c r="P81" i="17"/>
  <c r="V81" i="17" s="1"/>
  <c r="B81" i="17" s="1"/>
  <c r="P97" i="17"/>
  <c r="V97" i="17" s="1"/>
  <c r="B97" i="17" s="1"/>
  <c r="P101" i="17"/>
  <c r="V101" i="17" s="1"/>
  <c r="B101" i="17" s="1"/>
  <c r="P109" i="17"/>
  <c r="V109" i="17" s="1"/>
  <c r="B109" i="17" s="1"/>
  <c r="P121" i="17"/>
  <c r="V121" i="17" s="1"/>
  <c r="B121" i="17" s="1"/>
  <c r="P125" i="17"/>
  <c r="V125" i="17" s="1"/>
  <c r="B125" i="17" s="1"/>
  <c r="P133" i="17"/>
  <c r="V133" i="17" s="1"/>
  <c r="B133" i="17" s="1"/>
  <c r="P137" i="17"/>
  <c r="V137" i="17" s="1"/>
  <c r="B137" i="17" s="1"/>
  <c r="P145" i="17"/>
  <c r="V145" i="17" s="1"/>
  <c r="B145" i="17" s="1"/>
  <c r="P149" i="17"/>
  <c r="D60" i="7" s="1"/>
  <c r="P153" i="17"/>
  <c r="V153" i="17" s="1"/>
  <c r="B153" i="17" s="1"/>
  <c r="P165" i="17"/>
  <c r="V165" i="17" s="1"/>
  <c r="B165" i="17" s="1"/>
  <c r="P169" i="17"/>
  <c r="V169" i="17" s="1"/>
  <c r="B169" i="17" s="1"/>
  <c r="P173" i="17"/>
  <c r="V173" i="17" s="1"/>
  <c r="B173" i="17" s="1"/>
  <c r="P177" i="17"/>
  <c r="V177" i="17" s="1"/>
  <c r="B177" i="17" s="1"/>
  <c r="P185" i="17"/>
  <c r="V185" i="17" s="1"/>
  <c r="B185" i="17" s="1"/>
  <c r="P189" i="17"/>
  <c r="V189" i="17" s="1"/>
  <c r="B189" i="17" s="1"/>
  <c r="P197" i="17"/>
  <c r="V197" i="17" s="1"/>
  <c r="B197" i="17" s="1"/>
  <c r="P201" i="17"/>
  <c r="V201" i="17" s="1"/>
  <c r="B201" i="17" s="1"/>
  <c r="P205" i="17"/>
  <c r="V205" i="17" s="1"/>
  <c r="B205" i="17" s="1"/>
  <c r="P213" i="17"/>
  <c r="V213" i="17" s="1"/>
  <c r="B213" i="17" s="1"/>
  <c r="P221" i="17"/>
  <c r="V221" i="17" s="1"/>
  <c r="B221" i="17" s="1"/>
  <c r="P233" i="17"/>
  <c r="V233" i="17" s="1"/>
  <c r="B233" i="17" s="1"/>
  <c r="P245" i="17"/>
  <c r="V245" i="17" s="1"/>
  <c r="B245" i="17" s="1"/>
  <c r="P257" i="17"/>
  <c r="V257" i="17" s="1"/>
  <c r="B257" i="17" s="1"/>
  <c r="P261" i="17"/>
  <c r="V261" i="17" s="1"/>
  <c r="B261" i="17" s="1"/>
  <c r="P265" i="17"/>
  <c r="V265" i="17" s="1"/>
  <c r="B265" i="17" s="1"/>
  <c r="P269" i="17"/>
  <c r="V269" i="17" s="1"/>
  <c r="B269" i="17" s="1"/>
  <c r="P273" i="17"/>
  <c r="V273" i="17" s="1"/>
  <c r="B273" i="17" s="1"/>
  <c r="P277" i="17"/>
  <c r="V277" i="17" s="1"/>
  <c r="B277" i="17" s="1"/>
  <c r="P289" i="17"/>
  <c r="V289" i="17" s="1"/>
  <c r="B289" i="17" s="1"/>
  <c r="P305" i="17"/>
  <c r="V305" i="17" s="1"/>
  <c r="B305" i="17" s="1"/>
  <c r="P321" i="17"/>
  <c r="V321" i="17" s="1"/>
  <c r="B321" i="17" s="1"/>
  <c r="P333" i="17"/>
  <c r="D66" i="7" s="1"/>
  <c r="P345" i="17"/>
  <c r="V345" i="17" s="1"/>
  <c r="B345" i="17" s="1"/>
  <c r="P349" i="17"/>
  <c r="V349" i="17" s="1"/>
  <c r="B349" i="17" s="1"/>
  <c r="P357" i="17"/>
  <c r="V357" i="17" s="1"/>
  <c r="B357" i="17" s="1"/>
  <c r="P365" i="17"/>
  <c r="V365" i="17" s="1"/>
  <c r="B365" i="17" s="1"/>
  <c r="Q382" i="17"/>
  <c r="AD201" i="17"/>
  <c r="AD16" i="17"/>
  <c r="AD31" i="17"/>
  <c r="AD39" i="17"/>
  <c r="AD51" i="17"/>
  <c r="AD67" i="17"/>
  <c r="AD71" i="17"/>
  <c r="AD83" i="17"/>
  <c r="AD95" i="17"/>
  <c r="AD99" i="17"/>
  <c r="AD103" i="17"/>
  <c r="AD115" i="17"/>
  <c r="AD271" i="17"/>
  <c r="AD311" i="17"/>
  <c r="AD355" i="17"/>
  <c r="I271" i="16"/>
  <c r="P22" i="17"/>
  <c r="V22" i="17" s="1"/>
  <c r="B22" i="17" s="1"/>
  <c r="P26" i="17"/>
  <c r="V26" i="17" s="1"/>
  <c r="B26" i="17" s="1"/>
  <c r="P30" i="17"/>
  <c r="V30" i="17" s="1"/>
  <c r="B30" i="17" s="1"/>
  <c r="P38" i="17"/>
  <c r="V38" i="17" s="1"/>
  <c r="B38" i="17" s="1"/>
  <c r="P46" i="17"/>
  <c r="V46" i="17" s="1"/>
  <c r="B46" i="17" s="1"/>
  <c r="P54" i="17"/>
  <c r="V54" i="17" s="1"/>
  <c r="B54" i="17" s="1"/>
  <c r="P94" i="17"/>
  <c r="V94" i="17" s="1"/>
  <c r="B94" i="17" s="1"/>
  <c r="P102" i="17"/>
  <c r="V102" i="17" s="1"/>
  <c r="B102" i="17" s="1"/>
  <c r="P110" i="17"/>
  <c r="V110" i="17" s="1"/>
  <c r="B110" i="17" s="1"/>
  <c r="P118" i="17"/>
  <c r="V118" i="17" s="1"/>
  <c r="B118" i="17" s="1"/>
  <c r="P126" i="17"/>
  <c r="V126" i="17" s="1"/>
  <c r="B126" i="17" s="1"/>
  <c r="P158" i="17"/>
  <c r="V158" i="17" s="1"/>
  <c r="B158" i="17" s="1"/>
  <c r="P166" i="17"/>
  <c r="V166" i="17" s="1"/>
  <c r="B166" i="17" s="1"/>
  <c r="P174" i="17"/>
  <c r="V174" i="17" s="1"/>
  <c r="B174" i="17" s="1"/>
  <c r="P182" i="17"/>
  <c r="V182" i="17" s="1"/>
  <c r="B182" i="17" s="1"/>
  <c r="P190" i="17"/>
  <c r="V190" i="17" s="1"/>
  <c r="B190" i="17" s="1"/>
  <c r="P198" i="17"/>
  <c r="V198" i="17" s="1"/>
  <c r="B198" i="17" s="1"/>
  <c r="P206" i="17"/>
  <c r="V206" i="17" s="1"/>
  <c r="B206" i="17" s="1"/>
  <c r="P246" i="17"/>
  <c r="V246" i="17" s="1"/>
  <c r="B246" i="17" s="1"/>
  <c r="P262" i="17"/>
  <c r="V262" i="17" s="1"/>
  <c r="B262" i="17" s="1"/>
  <c r="P318" i="17"/>
  <c r="V318" i="17" s="1"/>
  <c r="B318" i="17" s="1"/>
  <c r="P326" i="17"/>
  <c r="V326" i="17" s="1"/>
  <c r="B326" i="17" s="1"/>
  <c r="P334" i="17"/>
  <c r="V334" i="17" s="1"/>
  <c r="B334" i="17" s="1"/>
  <c r="P350" i="17"/>
  <c r="V350" i="17" s="1"/>
  <c r="B350" i="17" s="1"/>
  <c r="P366" i="17"/>
  <c r="V366" i="17" s="1"/>
  <c r="B366" i="17" s="1"/>
  <c r="J295" i="16"/>
  <c r="AI382" i="17"/>
  <c r="H266" i="16"/>
  <c r="I266" i="16" s="1"/>
  <c r="J128" i="16"/>
  <c r="AD19" i="17"/>
  <c r="AD22" i="17"/>
  <c r="AD26" i="17"/>
  <c r="AD30" i="17"/>
  <c r="AD34" i="17"/>
  <c r="AD38" i="17"/>
  <c r="AD42" i="17"/>
  <c r="AD50" i="17"/>
  <c r="AD54" i="17"/>
  <c r="AD66" i="17"/>
  <c r="AD70" i="17"/>
  <c r="AD74" i="17"/>
  <c r="AD86" i="17"/>
  <c r="AD94" i="17"/>
  <c r="AD98" i="17"/>
  <c r="AD102" i="17"/>
  <c r="AD110" i="17"/>
  <c r="AD114" i="17"/>
  <c r="AD118" i="17"/>
  <c r="AD126" i="17"/>
  <c r="AD130" i="17"/>
  <c r="AD154" i="17"/>
  <c r="AD162" i="17"/>
  <c r="AD170" i="17"/>
  <c r="AD178" i="17"/>
  <c r="AD186" i="17"/>
  <c r="AD194" i="17"/>
  <c r="AD202" i="17"/>
  <c r="AD210" i="17"/>
  <c r="AD218" i="17"/>
  <c r="AD226" i="17"/>
  <c r="AD234" i="17"/>
  <c r="AD258" i="17"/>
  <c r="AD266" i="17"/>
  <c r="AD274" i="17"/>
  <c r="AD282" i="17"/>
  <c r="AD290" i="17"/>
  <c r="AD298" i="17"/>
  <c r="AD306" i="17"/>
  <c r="AD314" i="17"/>
  <c r="AD346" i="17"/>
  <c r="AD354" i="17"/>
  <c r="AD362" i="17"/>
  <c r="AD370" i="17"/>
  <c r="AD378" i="17"/>
  <c r="G52" i="16"/>
  <c r="BY52" i="6" s="1"/>
  <c r="AA56" i="16"/>
  <c r="Z56" i="16" s="1"/>
  <c r="Y56" i="16" s="1"/>
  <c r="J256" i="16"/>
  <c r="I338" i="16"/>
  <c r="J108" i="15"/>
  <c r="I108" i="15"/>
  <c r="H108" i="16" s="1"/>
  <c r="AD127" i="17"/>
  <c r="AD135" i="17"/>
  <c r="J347" i="16"/>
  <c r="I259" i="16"/>
  <c r="J69" i="16"/>
  <c r="I107" i="16"/>
  <c r="J100" i="16"/>
  <c r="J179" i="16"/>
  <c r="I49" i="16"/>
  <c r="J131" i="16"/>
  <c r="J156" i="16"/>
  <c r="J29" i="16"/>
  <c r="I29" i="16"/>
  <c r="H51" i="16"/>
  <c r="I51" i="16" s="1"/>
  <c r="H324" i="16"/>
  <c r="J324" i="16" s="1"/>
  <c r="I115" i="16"/>
  <c r="I148" i="16"/>
  <c r="J164" i="16"/>
  <c r="I350" i="16"/>
  <c r="J350" i="16"/>
  <c r="Q383" i="17"/>
  <c r="G90" i="16"/>
  <c r="BY90" i="6" s="1"/>
  <c r="AA90" i="16"/>
  <c r="Z90" i="16" s="1"/>
  <c r="Y90" i="16" s="1"/>
  <c r="H90" i="16"/>
  <c r="H114" i="16"/>
  <c r="AA114" i="16"/>
  <c r="Z114" i="16" s="1"/>
  <c r="Y114" i="16" s="1"/>
  <c r="G114" i="16"/>
  <c r="BY114" i="6" s="1"/>
  <c r="AA182" i="16"/>
  <c r="Z182" i="16" s="1"/>
  <c r="Y182" i="16" s="1"/>
  <c r="H182" i="16"/>
  <c r="G182" i="16"/>
  <c r="BY182" i="6" s="1"/>
  <c r="G200" i="16"/>
  <c r="BY200" i="6" s="1"/>
  <c r="H200" i="16"/>
  <c r="H224" i="16"/>
  <c r="G224" i="16"/>
  <c r="BY224" i="6" s="1"/>
  <c r="AA224" i="16"/>
  <c r="Z224" i="16" s="1"/>
  <c r="Y224" i="16" s="1"/>
  <c r="H246" i="16"/>
  <c r="AA246" i="16"/>
  <c r="Z246" i="16" s="1"/>
  <c r="Y246" i="16" s="1"/>
  <c r="G246" i="16"/>
  <c r="BY246" i="6" s="1"/>
  <c r="G354" i="16"/>
  <c r="BY354" i="6" s="1"/>
  <c r="AA354" i="16"/>
  <c r="Z354" i="16" s="1"/>
  <c r="Y354" i="16" s="1"/>
  <c r="G72" i="16"/>
  <c r="BY72" i="6" s="1"/>
  <c r="AA72" i="16"/>
  <c r="Z72" i="16" s="1"/>
  <c r="Y72" i="16" s="1"/>
  <c r="H72" i="16"/>
  <c r="G237" i="16"/>
  <c r="BY237" i="6" s="1"/>
  <c r="AA237" i="16"/>
  <c r="Z237" i="16" s="1"/>
  <c r="Y237" i="16" s="1"/>
  <c r="H237" i="16"/>
  <c r="G85" i="16"/>
  <c r="BY85" i="6" s="1"/>
  <c r="AA85" i="16"/>
  <c r="Z85" i="16" s="1"/>
  <c r="Y85" i="16" s="1"/>
  <c r="G23" i="16"/>
  <c r="BY23" i="6" s="1"/>
  <c r="AA23" i="16"/>
  <c r="Z23" i="16" s="1"/>
  <c r="Y23" i="16" s="1"/>
  <c r="G32" i="16"/>
  <c r="BY32" i="6" s="1"/>
  <c r="AA32" i="16"/>
  <c r="Z32" i="16" s="1"/>
  <c r="Y32" i="16" s="1"/>
  <c r="AA20" i="16"/>
  <c r="Z20" i="16" s="1"/>
  <c r="Y20" i="16" s="1"/>
  <c r="G20" i="16"/>
  <c r="BY20" i="6" s="1"/>
  <c r="I22" i="15"/>
  <c r="H22" i="16" s="1"/>
  <c r="J22" i="15"/>
  <c r="W54" i="16"/>
  <c r="D54" i="16"/>
  <c r="E54" i="16" s="1"/>
  <c r="F54" i="16" s="1"/>
  <c r="G220" i="16"/>
  <c r="BY220" i="6" s="1"/>
  <c r="H220" i="16"/>
  <c r="G244" i="16"/>
  <c r="BY244" i="6" s="1"/>
  <c r="H244" i="16"/>
  <c r="G126" i="16"/>
  <c r="BY126" i="6" s="1"/>
  <c r="H126" i="16"/>
  <c r="G150" i="16"/>
  <c r="BY150" i="6" s="1"/>
  <c r="H150" i="16"/>
  <c r="AA150" i="16"/>
  <c r="Z150" i="16" s="1"/>
  <c r="Y150" i="16" s="1"/>
  <c r="G192" i="16"/>
  <c r="BY192" i="6" s="1"/>
  <c r="H192" i="16"/>
  <c r="G340" i="16"/>
  <c r="BY340" i="6" s="1"/>
  <c r="H340" i="16"/>
  <c r="AA340" i="16"/>
  <c r="Z340" i="16" s="1"/>
  <c r="Y340" i="16" s="1"/>
  <c r="AA147" i="16"/>
  <c r="Z147" i="16" s="1"/>
  <c r="Y147" i="16" s="1"/>
  <c r="G147" i="16"/>
  <c r="BY147" i="6" s="1"/>
  <c r="H147" i="16"/>
  <c r="I331" i="16"/>
  <c r="J331" i="16"/>
  <c r="H313" i="16"/>
  <c r="AA313" i="16"/>
  <c r="Z313" i="16" s="1"/>
  <c r="Y313" i="16" s="1"/>
  <c r="G313" i="16"/>
  <c r="BY313" i="6" s="1"/>
  <c r="G285" i="16"/>
  <c r="BY285" i="6" s="1"/>
  <c r="H285" i="16"/>
  <c r="AA285" i="16"/>
  <c r="Z285" i="16" s="1"/>
  <c r="Y285" i="16" s="1"/>
  <c r="I229" i="16"/>
  <c r="J229" i="16"/>
  <c r="J133" i="16"/>
  <c r="I133" i="16"/>
  <c r="J117" i="16"/>
  <c r="I117" i="16"/>
  <c r="G81" i="16"/>
  <c r="BY81" i="6" s="1"/>
  <c r="AA81" i="16"/>
  <c r="Z81" i="16" s="1"/>
  <c r="Y81" i="16" s="1"/>
  <c r="H81" i="16"/>
  <c r="J337" i="15"/>
  <c r="I337" i="15"/>
  <c r="H337" i="16" s="1"/>
  <c r="J272" i="15"/>
  <c r="I272" i="15"/>
  <c r="H272" i="16" s="1"/>
  <c r="I62" i="15"/>
  <c r="H62" i="16" s="1"/>
  <c r="J62" i="15"/>
  <c r="J17" i="15"/>
  <c r="I17" i="15"/>
  <c r="H17" i="16" s="1"/>
  <c r="AA101" i="16"/>
  <c r="Z101" i="16" s="1"/>
  <c r="Y101" i="16" s="1"/>
  <c r="G101" i="16"/>
  <c r="BY101" i="6" s="1"/>
  <c r="W40" i="16"/>
  <c r="D40" i="16"/>
  <c r="E40" i="16" s="1"/>
  <c r="F40" i="16" s="1"/>
  <c r="I75" i="15"/>
  <c r="H75" i="16" s="1"/>
  <c r="I75" i="16" s="1"/>
  <c r="J75" i="15"/>
  <c r="G288" i="16"/>
  <c r="BY288" i="6" s="1"/>
  <c r="AA288" i="16"/>
  <c r="Z288" i="16" s="1"/>
  <c r="Y288" i="16" s="1"/>
  <c r="I137" i="15"/>
  <c r="H137" i="16" s="1"/>
  <c r="J137" i="15"/>
  <c r="I30" i="15"/>
  <c r="J30" i="15"/>
  <c r="G104" i="16"/>
  <c r="BY104" i="6" s="1"/>
  <c r="H104" i="16"/>
  <c r="AA104" i="16"/>
  <c r="Z104" i="16" s="1"/>
  <c r="Y104" i="16" s="1"/>
  <c r="G144" i="16"/>
  <c r="BY144" i="6" s="1"/>
  <c r="H144" i="16"/>
  <c r="G190" i="16"/>
  <c r="BY190" i="6" s="1"/>
  <c r="H190" i="16"/>
  <c r="AA190" i="16"/>
  <c r="Z190" i="16" s="1"/>
  <c r="Y190" i="16" s="1"/>
  <c r="G232" i="16"/>
  <c r="BY232" i="6" s="1"/>
  <c r="H232" i="16"/>
  <c r="G80" i="16"/>
  <c r="BY80" i="6" s="1"/>
  <c r="AA80" i="16"/>
  <c r="Z80" i="16" s="1"/>
  <c r="Y80" i="16" s="1"/>
  <c r="H80" i="16"/>
  <c r="G154" i="16"/>
  <c r="BY154" i="6" s="1"/>
  <c r="AA154" i="16"/>
  <c r="Z154" i="16" s="1"/>
  <c r="Y154" i="16" s="1"/>
  <c r="H154" i="16"/>
  <c r="H204" i="16"/>
  <c r="AA204" i="16"/>
  <c r="Z204" i="16" s="1"/>
  <c r="Y204" i="16" s="1"/>
  <c r="G204" i="16"/>
  <c r="BY204" i="6" s="1"/>
  <c r="G258" i="16"/>
  <c r="BY258" i="6" s="1"/>
  <c r="H258" i="16"/>
  <c r="AA258" i="16"/>
  <c r="Z258" i="16" s="1"/>
  <c r="Y258" i="16" s="1"/>
  <c r="G302" i="16"/>
  <c r="BY302" i="6" s="1"/>
  <c r="H302" i="16"/>
  <c r="G95" i="16"/>
  <c r="BY95" i="6" s="1"/>
  <c r="H95" i="16"/>
  <c r="AA95" i="16"/>
  <c r="Z95" i="16" s="1"/>
  <c r="Y95" i="16" s="1"/>
  <c r="AA207" i="16"/>
  <c r="Z207" i="16" s="1"/>
  <c r="Y207" i="16" s="1"/>
  <c r="H207" i="16"/>
  <c r="G207" i="16"/>
  <c r="BY207" i="6" s="1"/>
  <c r="AA291" i="16"/>
  <c r="Z291" i="16" s="1"/>
  <c r="Y291" i="16" s="1"/>
  <c r="G291" i="16"/>
  <c r="BY291" i="6" s="1"/>
  <c r="H291" i="16"/>
  <c r="AA343" i="16"/>
  <c r="Z343" i="16" s="1"/>
  <c r="Y343" i="16" s="1"/>
  <c r="H343" i="16"/>
  <c r="G343" i="16"/>
  <c r="BY343" i="6" s="1"/>
  <c r="J311" i="16"/>
  <c r="I311" i="16"/>
  <c r="I303" i="16"/>
  <c r="J303" i="16"/>
  <c r="G83" i="16"/>
  <c r="BY83" i="6" s="1"/>
  <c r="AA83" i="16"/>
  <c r="Z83" i="16" s="1"/>
  <c r="Y83" i="16" s="1"/>
  <c r="H83" i="16"/>
  <c r="H85" i="16"/>
  <c r="H59" i="16"/>
  <c r="G59" i="16"/>
  <c r="BY59" i="6" s="1"/>
  <c r="AA59" i="16"/>
  <c r="Z59" i="16" s="1"/>
  <c r="Y59" i="16" s="1"/>
  <c r="J317" i="16"/>
  <c r="I317" i="16"/>
  <c r="AA257" i="16"/>
  <c r="Z257" i="16" s="1"/>
  <c r="Y257" i="16" s="1"/>
  <c r="H257" i="16"/>
  <c r="G257" i="16"/>
  <c r="BY257" i="6" s="1"/>
  <c r="I177" i="16"/>
  <c r="J177" i="16"/>
  <c r="G141" i="16"/>
  <c r="BY141" i="6" s="1"/>
  <c r="AA141" i="16"/>
  <c r="Z141" i="16" s="1"/>
  <c r="Y141" i="16" s="1"/>
  <c r="H141" i="16"/>
  <c r="G77" i="16"/>
  <c r="BY77" i="6" s="1"/>
  <c r="H77" i="16"/>
  <c r="J35" i="15"/>
  <c r="I35" i="15"/>
  <c r="H35" i="16" s="1"/>
  <c r="J38" i="15"/>
  <c r="I38" i="15"/>
  <c r="J28" i="15"/>
  <c r="I28" i="15"/>
  <c r="H28" i="16" s="1"/>
  <c r="I28" i="16" s="1"/>
  <c r="J21" i="15"/>
  <c r="I21" i="15"/>
  <c r="J233" i="15"/>
  <c r="I233" i="15"/>
  <c r="J52" i="15"/>
  <c r="I52" i="15"/>
  <c r="H52" i="16" s="1"/>
  <c r="I52" i="16" s="1"/>
  <c r="W135" i="16"/>
  <c r="D135" i="16"/>
  <c r="E135" i="16" s="1"/>
  <c r="F135" i="16" s="1"/>
  <c r="W151" i="16"/>
  <c r="D151" i="16"/>
  <c r="E151" i="16" s="1"/>
  <c r="F151" i="16" s="1"/>
  <c r="W167" i="16"/>
  <c r="D167" i="16"/>
  <c r="E167" i="16" s="1"/>
  <c r="F167" i="16" s="1"/>
  <c r="W180" i="16"/>
  <c r="D180" i="16"/>
  <c r="E180" i="16" s="1"/>
  <c r="F180" i="16" s="1"/>
  <c r="AA108" i="16"/>
  <c r="Z108" i="16" s="1"/>
  <c r="Y108" i="16" s="1"/>
  <c r="G108" i="16"/>
  <c r="BY108" i="6" s="1"/>
  <c r="W70" i="16"/>
  <c r="D70" i="16"/>
  <c r="E70" i="16" s="1"/>
  <c r="F70" i="16" s="1"/>
  <c r="AA17" i="16"/>
  <c r="Z17" i="16" s="1"/>
  <c r="Y17" i="16" s="1"/>
  <c r="AA18" i="16"/>
  <c r="Z18" i="16" s="1"/>
  <c r="Y18" i="16" s="1"/>
  <c r="AA298" i="16"/>
  <c r="Z298" i="16" s="1"/>
  <c r="Y298" i="16" s="1"/>
  <c r="W212" i="16"/>
  <c r="D212" i="16"/>
  <c r="E212" i="16" s="1"/>
  <c r="F212" i="16" s="1"/>
  <c r="W57" i="16"/>
  <c r="D57" i="16"/>
  <c r="E57" i="16" s="1"/>
  <c r="F57" i="16" s="1"/>
  <c r="W103" i="16"/>
  <c r="D103" i="16"/>
  <c r="E103" i="16" s="1"/>
  <c r="F103" i="16" s="1"/>
  <c r="W289" i="16"/>
  <c r="D289" i="16"/>
  <c r="E289" i="16" s="1"/>
  <c r="F289" i="16" s="1"/>
  <c r="W310" i="16"/>
  <c r="D310" i="16"/>
  <c r="E310" i="16" s="1"/>
  <c r="F310" i="16" s="1"/>
  <c r="AA276" i="16"/>
  <c r="Z276" i="16" s="1"/>
  <c r="Y276" i="16" s="1"/>
  <c r="G276" i="16"/>
  <c r="BY276" i="6" s="1"/>
  <c r="H276" i="16"/>
  <c r="H294" i="16"/>
  <c r="G294" i="16"/>
  <c r="BY294" i="6" s="1"/>
  <c r="AA294" i="16"/>
  <c r="Z294" i="16" s="1"/>
  <c r="Y294" i="16" s="1"/>
  <c r="H306" i="16"/>
  <c r="G306" i="16"/>
  <c r="BY306" i="6" s="1"/>
  <c r="H326" i="16"/>
  <c r="AA326" i="16"/>
  <c r="Z326" i="16" s="1"/>
  <c r="Y326" i="16" s="1"/>
  <c r="G326" i="16"/>
  <c r="BY326" i="6" s="1"/>
  <c r="H98" i="16"/>
  <c r="AA98" i="16"/>
  <c r="Z98" i="16" s="1"/>
  <c r="Y98" i="16" s="1"/>
  <c r="G98" i="16"/>
  <c r="BY98" i="6" s="1"/>
  <c r="G198" i="16"/>
  <c r="BY198" i="6" s="1"/>
  <c r="AA198" i="16"/>
  <c r="Z198" i="16" s="1"/>
  <c r="Y198" i="16" s="1"/>
  <c r="H198" i="16"/>
  <c r="AA230" i="16"/>
  <c r="Z230" i="16" s="1"/>
  <c r="Y230" i="16" s="1"/>
  <c r="G230" i="16"/>
  <c r="BY230" i="6" s="1"/>
  <c r="H230" i="16"/>
  <c r="G260" i="16"/>
  <c r="BY260" i="6" s="1"/>
  <c r="H260" i="16"/>
  <c r="AA260" i="16"/>
  <c r="Z260" i="16" s="1"/>
  <c r="Y260" i="16" s="1"/>
  <c r="H292" i="16"/>
  <c r="G292" i="16"/>
  <c r="BY292" i="6" s="1"/>
  <c r="AA292" i="16"/>
  <c r="Z292" i="16" s="1"/>
  <c r="Y292" i="16" s="1"/>
  <c r="H318" i="16"/>
  <c r="AA318" i="16"/>
  <c r="Z318" i="16" s="1"/>
  <c r="Y318" i="16" s="1"/>
  <c r="G318" i="16"/>
  <c r="BY318" i="6" s="1"/>
  <c r="G360" i="16"/>
  <c r="BY360" i="6" s="1"/>
  <c r="AA360" i="16"/>
  <c r="Z360" i="16" s="1"/>
  <c r="Y360" i="16" s="1"/>
  <c r="AA368" i="16"/>
  <c r="Z368" i="16" s="1"/>
  <c r="Y368" i="16" s="1"/>
  <c r="G368" i="16"/>
  <c r="BY368" i="6" s="1"/>
  <c r="G314" i="16"/>
  <c r="BY314" i="6" s="1"/>
  <c r="H314" i="16"/>
  <c r="AA314" i="16"/>
  <c r="Z314" i="16" s="1"/>
  <c r="Y314" i="16" s="1"/>
  <c r="I32" i="15"/>
  <c r="H32" i="16" s="1"/>
  <c r="J32" i="15"/>
  <c r="AA22" i="16"/>
  <c r="Z22" i="16" s="1"/>
  <c r="Y22" i="16" s="1"/>
  <c r="G22" i="16"/>
  <c r="BY22" i="6" s="1"/>
  <c r="J54" i="15"/>
  <c r="I54" i="15"/>
  <c r="J44" i="15"/>
  <c r="I44" i="15"/>
  <c r="H44" i="16" s="1"/>
  <c r="J202" i="16"/>
  <c r="I202" i="16"/>
  <c r="G110" i="16"/>
  <c r="BY110" i="6" s="1"/>
  <c r="H110" i="16"/>
  <c r="H158" i="16"/>
  <c r="AA158" i="16"/>
  <c r="Z158" i="16" s="1"/>
  <c r="Y158" i="16" s="1"/>
  <c r="G158" i="16"/>
  <c r="BY158" i="6" s="1"/>
  <c r="G254" i="16"/>
  <c r="BY254" i="6" s="1"/>
  <c r="H254" i="16"/>
  <c r="I352" i="16"/>
  <c r="J352" i="16"/>
  <c r="I283" i="16"/>
  <c r="J283" i="16"/>
  <c r="G47" i="16"/>
  <c r="BY47" i="6" s="1"/>
  <c r="AA47" i="16"/>
  <c r="Z47" i="16" s="1"/>
  <c r="Y47" i="16" s="1"/>
  <c r="H47" i="16"/>
  <c r="J323" i="16"/>
  <c r="I323" i="16"/>
  <c r="J239" i="16"/>
  <c r="I239" i="16"/>
  <c r="I187" i="16"/>
  <c r="J187" i="16"/>
  <c r="I99" i="16"/>
  <c r="J99" i="16"/>
  <c r="G268" i="16"/>
  <c r="BY268" i="6" s="1"/>
  <c r="AA268" i="16"/>
  <c r="Z268" i="16" s="1"/>
  <c r="Y268" i="16" s="1"/>
  <c r="H268" i="16"/>
  <c r="J279" i="16"/>
  <c r="I279" i="16"/>
  <c r="J329" i="16"/>
  <c r="I329" i="16"/>
  <c r="G305" i="16"/>
  <c r="BY305" i="6" s="1"/>
  <c r="AA305" i="16"/>
  <c r="Z305" i="16" s="1"/>
  <c r="Y305" i="16" s="1"/>
  <c r="H305" i="16"/>
  <c r="I261" i="16"/>
  <c r="J261" i="16"/>
  <c r="I181" i="16"/>
  <c r="J181" i="16"/>
  <c r="G241" i="16"/>
  <c r="BY241" i="6" s="1"/>
  <c r="AA241" i="16"/>
  <c r="Z241" i="16" s="1"/>
  <c r="Y241" i="16" s="1"/>
  <c r="J241" i="15"/>
  <c r="I241" i="15"/>
  <c r="H241" i="16" s="1"/>
  <c r="W363" i="16"/>
  <c r="D363" i="16"/>
  <c r="E363" i="16" s="1"/>
  <c r="F363" i="16" s="1"/>
  <c r="AA272" i="16"/>
  <c r="Z272" i="16" s="1"/>
  <c r="Y272" i="16" s="1"/>
  <c r="G272" i="16"/>
  <c r="BY272" i="6" s="1"/>
  <c r="W197" i="16"/>
  <c r="D197" i="16"/>
  <c r="E197" i="16" s="1"/>
  <c r="F197" i="16" s="1"/>
  <c r="G171" i="16"/>
  <c r="BY171" i="6" s="1"/>
  <c r="AA171" i="16"/>
  <c r="Z171" i="16" s="1"/>
  <c r="Y171" i="16" s="1"/>
  <c r="G269" i="16"/>
  <c r="BY269" i="6" s="1"/>
  <c r="AA269" i="16"/>
  <c r="Z269" i="16" s="1"/>
  <c r="Y269" i="16" s="1"/>
  <c r="G82" i="16"/>
  <c r="BY82" i="6" s="1"/>
  <c r="AA82" i="16"/>
  <c r="Z82" i="16" s="1"/>
  <c r="Y82" i="16" s="1"/>
  <c r="H82" i="16"/>
  <c r="G116" i="16"/>
  <c r="BY116" i="6" s="1"/>
  <c r="H116" i="16"/>
  <c r="G160" i="16"/>
  <c r="BY160" i="6" s="1"/>
  <c r="AA160" i="16"/>
  <c r="Z160" i="16" s="1"/>
  <c r="Y160" i="16" s="1"/>
  <c r="H160" i="16"/>
  <c r="G248" i="16"/>
  <c r="BY248" i="6" s="1"/>
  <c r="H248" i="16"/>
  <c r="AA248" i="16"/>
  <c r="Z248" i="16" s="1"/>
  <c r="Y248" i="16" s="1"/>
  <c r="H130" i="16"/>
  <c r="AA130" i="16"/>
  <c r="Z130" i="16" s="1"/>
  <c r="Y130" i="16" s="1"/>
  <c r="G130" i="16"/>
  <c r="BY130" i="6" s="1"/>
  <c r="H162" i="16"/>
  <c r="G162" i="16"/>
  <c r="BY162" i="6" s="1"/>
  <c r="AA162" i="16"/>
  <c r="Z162" i="16" s="1"/>
  <c r="Y162" i="16" s="1"/>
  <c r="AA218" i="16"/>
  <c r="Z218" i="16" s="1"/>
  <c r="Y218" i="16" s="1"/>
  <c r="G218" i="16"/>
  <c r="BY218" i="6" s="1"/>
  <c r="H218" i="16"/>
  <c r="G290" i="16"/>
  <c r="BY290" i="6" s="1"/>
  <c r="H290" i="16"/>
  <c r="AA290" i="16"/>
  <c r="Z290" i="16" s="1"/>
  <c r="Y290" i="16" s="1"/>
  <c r="G344" i="16"/>
  <c r="BY344" i="6" s="1"/>
  <c r="AA344" i="16"/>
  <c r="Z344" i="16" s="1"/>
  <c r="Y344" i="16" s="1"/>
  <c r="H344" i="16"/>
  <c r="J251" i="16"/>
  <c r="I251" i="16"/>
  <c r="I277" i="16"/>
  <c r="J277" i="16"/>
  <c r="G359" i="16"/>
  <c r="BY359" i="6" s="1"/>
  <c r="AA359" i="16"/>
  <c r="Z359" i="16" s="1"/>
  <c r="Y359" i="16" s="1"/>
  <c r="J335" i="16"/>
  <c r="I335" i="16"/>
  <c r="I319" i="16"/>
  <c r="J319" i="16"/>
  <c r="AA191" i="16"/>
  <c r="Z191" i="16" s="1"/>
  <c r="Y191" i="16" s="1"/>
  <c r="G191" i="16"/>
  <c r="BY191" i="6" s="1"/>
  <c r="H191" i="16"/>
  <c r="G175" i="16"/>
  <c r="BY175" i="6" s="1"/>
  <c r="H175" i="16"/>
  <c r="AA175" i="16"/>
  <c r="Z175" i="16" s="1"/>
  <c r="Y175" i="16" s="1"/>
  <c r="H91" i="16"/>
  <c r="AA91" i="16"/>
  <c r="Z91" i="16" s="1"/>
  <c r="Y91" i="16" s="1"/>
  <c r="G91" i="16"/>
  <c r="BY91" i="6" s="1"/>
  <c r="G37" i="16"/>
  <c r="BY37" i="6" s="1"/>
  <c r="H37" i="16"/>
  <c r="AA37" i="16"/>
  <c r="Z37" i="16" s="1"/>
  <c r="Y37" i="16" s="1"/>
  <c r="J145" i="16"/>
  <c r="I145" i="16"/>
  <c r="H33" i="16"/>
  <c r="AA33" i="16"/>
  <c r="Z33" i="16" s="1"/>
  <c r="Y33" i="16" s="1"/>
  <c r="G33" i="16"/>
  <c r="BY33" i="6" s="1"/>
  <c r="J353" i="16"/>
  <c r="I353" i="16"/>
  <c r="G309" i="16"/>
  <c r="BY309" i="6" s="1"/>
  <c r="H309" i="16"/>
  <c r="I265" i="16"/>
  <c r="J265" i="16"/>
  <c r="H169" i="16"/>
  <c r="AA169" i="16"/>
  <c r="Z169" i="16" s="1"/>
  <c r="Y169" i="16" s="1"/>
  <c r="G169" i="16"/>
  <c r="BY169" i="6" s="1"/>
  <c r="AA121" i="16"/>
  <c r="Z121" i="16" s="1"/>
  <c r="Y121" i="16" s="1"/>
  <c r="G121" i="16"/>
  <c r="BY121" i="6" s="1"/>
  <c r="H121" i="16"/>
  <c r="H61" i="16"/>
  <c r="G61" i="16"/>
  <c r="BY61" i="6" s="1"/>
  <c r="AA61" i="16"/>
  <c r="Z61" i="16" s="1"/>
  <c r="Y61" i="16" s="1"/>
  <c r="I24" i="15"/>
  <c r="H24" i="16" s="1"/>
  <c r="J24" i="15"/>
  <c r="J50" i="15"/>
  <c r="I50" i="15"/>
  <c r="J136" i="15"/>
  <c r="I136" i="15"/>
  <c r="H136" i="16" s="1"/>
  <c r="I136" i="16" s="1"/>
  <c r="I16" i="15"/>
  <c r="J16" i="15"/>
  <c r="AA51" i="16"/>
  <c r="Z51" i="16" s="1"/>
  <c r="Y51" i="16" s="1"/>
  <c r="G51" i="16"/>
  <c r="BY51" i="6" s="1"/>
  <c r="I36" i="15"/>
  <c r="J36" i="15"/>
  <c r="AA324" i="16"/>
  <c r="Z324" i="16" s="1"/>
  <c r="Y324" i="16" s="1"/>
  <c r="AA309" i="16"/>
  <c r="Z309" i="16" s="1"/>
  <c r="Y309" i="16" s="1"/>
  <c r="AA192" i="16"/>
  <c r="Z192" i="16" s="1"/>
  <c r="Y192" i="16" s="1"/>
  <c r="AA77" i="16"/>
  <c r="Z77" i="16" s="1"/>
  <c r="Y77" i="16" s="1"/>
  <c r="AA220" i="16"/>
  <c r="Z220" i="16" s="1"/>
  <c r="Y220" i="16" s="1"/>
  <c r="AA110" i="16"/>
  <c r="Z110" i="16" s="1"/>
  <c r="Y110" i="16" s="1"/>
  <c r="AA306" i="16"/>
  <c r="Z306" i="16" s="1"/>
  <c r="Y306" i="16" s="1"/>
  <c r="W118" i="16"/>
  <c r="D118" i="16"/>
  <c r="E118" i="16" s="1"/>
  <c r="F118" i="16" s="1"/>
  <c r="W210" i="16"/>
  <c r="D210" i="16"/>
  <c r="E210" i="16" s="1"/>
  <c r="F210" i="16" s="1"/>
  <c r="W111" i="16"/>
  <c r="D111" i="16"/>
  <c r="E111" i="16" s="1"/>
  <c r="F111" i="16" s="1"/>
  <c r="W173" i="16"/>
  <c r="D173" i="16"/>
  <c r="E173" i="16" s="1"/>
  <c r="F173" i="16" s="1"/>
  <c r="W78" i="16"/>
  <c r="D78" i="16"/>
  <c r="E78" i="16" s="1"/>
  <c r="F78" i="16" s="1"/>
  <c r="W88" i="16"/>
  <c r="D88" i="16"/>
  <c r="E88" i="16" s="1"/>
  <c r="F88" i="16" s="1"/>
  <c r="W222" i="16"/>
  <c r="D222" i="16"/>
  <c r="E222" i="16" s="1"/>
  <c r="F222" i="16" s="1"/>
  <c r="W15" i="15"/>
  <c r="D15" i="15"/>
  <c r="AJ7" i="15" s="1"/>
  <c r="G66" i="16"/>
  <c r="BY66" i="6" s="1"/>
  <c r="AA66" i="16"/>
  <c r="Z66" i="16" s="1"/>
  <c r="Y66" i="16" s="1"/>
  <c r="H66" i="16"/>
  <c r="G94" i="16"/>
  <c r="BY94" i="6" s="1"/>
  <c r="AA94" i="16"/>
  <c r="Z94" i="16" s="1"/>
  <c r="Y94" i="16" s="1"/>
  <c r="H94" i="16"/>
  <c r="H138" i="16"/>
  <c r="G138" i="16"/>
  <c r="BY138" i="6" s="1"/>
  <c r="AA138" i="16"/>
  <c r="Z138" i="16" s="1"/>
  <c r="Y138" i="16" s="1"/>
  <c r="G188" i="16"/>
  <c r="BY188" i="6" s="1"/>
  <c r="H188" i="16"/>
  <c r="G208" i="16"/>
  <c r="BY208" i="6" s="1"/>
  <c r="H208" i="16"/>
  <c r="AA238" i="16"/>
  <c r="Z238" i="16" s="1"/>
  <c r="Y238" i="16" s="1"/>
  <c r="H238" i="16"/>
  <c r="G238" i="16"/>
  <c r="BY238" i="6" s="1"/>
  <c r="AA262" i="16"/>
  <c r="Z262" i="16" s="1"/>
  <c r="Y262" i="16" s="1"/>
  <c r="G262" i="16"/>
  <c r="BY262" i="6" s="1"/>
  <c r="H262" i="16"/>
  <c r="G68" i="16"/>
  <c r="BY68" i="6" s="1"/>
  <c r="H68" i="16"/>
  <c r="G76" i="16"/>
  <c r="BY76" i="6" s="1"/>
  <c r="AA76" i="16"/>
  <c r="Z76" i="16" s="1"/>
  <c r="Y76" i="16" s="1"/>
  <c r="H76" i="16"/>
  <c r="G43" i="16"/>
  <c r="BY43" i="6" s="1"/>
  <c r="AA43" i="16"/>
  <c r="Z43" i="16" s="1"/>
  <c r="Y43" i="16" s="1"/>
  <c r="G346" i="16"/>
  <c r="BY346" i="6" s="1"/>
  <c r="H346" i="16"/>
  <c r="I26" i="15"/>
  <c r="H26" i="16" s="1"/>
  <c r="J26" i="15"/>
  <c r="J58" i="15"/>
  <c r="I58" i="15"/>
  <c r="I23" i="15"/>
  <c r="H23" i="16" s="1"/>
  <c r="J23" i="15"/>
  <c r="I60" i="15"/>
  <c r="J60" i="15"/>
  <c r="I18" i="15"/>
  <c r="H18" i="16" s="1"/>
  <c r="J18" i="15"/>
  <c r="G186" i="16"/>
  <c r="BY186" i="6" s="1"/>
  <c r="H186" i="16"/>
  <c r="G236" i="16"/>
  <c r="BY236" i="6" s="1"/>
  <c r="H236" i="16"/>
  <c r="AA236" i="16"/>
  <c r="Z236" i="16" s="1"/>
  <c r="Y236" i="16" s="1"/>
  <c r="G102" i="16"/>
  <c r="BY102" i="6" s="1"/>
  <c r="H102" i="16"/>
  <c r="G142" i="16"/>
  <c r="BY142" i="6" s="1"/>
  <c r="AA142" i="16"/>
  <c r="Z142" i="16" s="1"/>
  <c r="Y142" i="16" s="1"/>
  <c r="H142" i="16"/>
  <c r="G166" i="16"/>
  <c r="BY166" i="6" s="1"/>
  <c r="AA166" i="16"/>
  <c r="Z166" i="16" s="1"/>
  <c r="Y166" i="16" s="1"/>
  <c r="H166" i="16"/>
  <c r="G332" i="16"/>
  <c r="BY332" i="6" s="1"/>
  <c r="H332" i="16"/>
  <c r="AA332" i="16"/>
  <c r="Z332" i="16" s="1"/>
  <c r="Y332" i="16" s="1"/>
  <c r="AA71" i="16"/>
  <c r="Z71" i="16" s="1"/>
  <c r="Y71" i="16" s="1"/>
  <c r="G71" i="16"/>
  <c r="BY71" i="6" s="1"/>
  <c r="H71" i="16"/>
  <c r="J223" i="16"/>
  <c r="I223" i="16"/>
  <c r="I345" i="16"/>
  <c r="J345" i="16"/>
  <c r="I211" i="16"/>
  <c r="J211" i="16"/>
  <c r="G280" i="16"/>
  <c r="BY280" i="6" s="1"/>
  <c r="H280" i="16"/>
  <c r="AA280" i="16"/>
  <c r="Z280" i="16" s="1"/>
  <c r="Y280" i="16" s="1"/>
  <c r="J349" i="16"/>
  <c r="I349" i="16"/>
  <c r="H293" i="16"/>
  <c r="AA293" i="16"/>
  <c r="Z293" i="16" s="1"/>
  <c r="Y293" i="16" s="1"/>
  <c r="G293" i="16"/>
  <c r="BY293" i="6" s="1"/>
  <c r="J273" i="16"/>
  <c r="I273" i="16"/>
  <c r="J245" i="16"/>
  <c r="I245" i="16"/>
  <c r="G125" i="16"/>
  <c r="BY125" i="6" s="1"/>
  <c r="H125" i="16"/>
  <c r="G337" i="16"/>
  <c r="BY337" i="6" s="1"/>
  <c r="AA337" i="16"/>
  <c r="Z337" i="16" s="1"/>
  <c r="Y337" i="16" s="1"/>
  <c r="J56" i="15"/>
  <c r="I56" i="15"/>
  <c r="H56" i="16" s="1"/>
  <c r="D333" i="16"/>
  <c r="E333" i="16" s="1"/>
  <c r="F333" i="16" s="1"/>
  <c r="J333" i="15"/>
  <c r="I333" i="15"/>
  <c r="W42" i="16"/>
  <c r="D42" i="16"/>
  <c r="E42" i="16" s="1"/>
  <c r="F42" i="16" s="1"/>
  <c r="J101" i="15"/>
  <c r="I101" i="15"/>
  <c r="H101" i="16" s="1"/>
  <c r="J312" i="16"/>
  <c r="I312" i="16"/>
  <c r="G137" i="16"/>
  <c r="BY137" i="6" s="1"/>
  <c r="AA137" i="16"/>
  <c r="Z137" i="16" s="1"/>
  <c r="Y137" i="16" s="1"/>
  <c r="G365" i="16"/>
  <c r="BY365" i="6" s="1"/>
  <c r="AA365" i="16"/>
  <c r="Z365" i="16" s="1"/>
  <c r="Y365" i="16" s="1"/>
  <c r="AA34" i="16"/>
  <c r="Z34" i="16" s="1"/>
  <c r="Y34" i="16" s="1"/>
  <c r="G34" i="16"/>
  <c r="BY34" i="6" s="1"/>
  <c r="H86" i="16"/>
  <c r="G86" i="16"/>
  <c r="BY86" i="6" s="1"/>
  <c r="AA86" i="16"/>
  <c r="Z86" i="16" s="1"/>
  <c r="Y86" i="16" s="1"/>
  <c r="G124" i="16"/>
  <c r="BY124" i="6" s="1"/>
  <c r="H124" i="16"/>
  <c r="AA124" i="16"/>
  <c r="Z124" i="16" s="1"/>
  <c r="Y124" i="16" s="1"/>
  <c r="G168" i="16"/>
  <c r="BY168" i="6" s="1"/>
  <c r="H168" i="16"/>
  <c r="G206" i="16"/>
  <c r="BY206" i="6" s="1"/>
  <c r="H206" i="16"/>
  <c r="G240" i="16"/>
  <c r="BY240" i="6" s="1"/>
  <c r="H240" i="16"/>
  <c r="AA240" i="16"/>
  <c r="Z240" i="16" s="1"/>
  <c r="Y240" i="16" s="1"/>
  <c r="G122" i="16"/>
  <c r="BY122" i="6" s="1"/>
  <c r="H122" i="16"/>
  <c r="AA122" i="16"/>
  <c r="Z122" i="16" s="1"/>
  <c r="Y122" i="16" s="1"/>
  <c r="G170" i="16"/>
  <c r="BY170" i="6" s="1"/>
  <c r="H170" i="16"/>
  <c r="AA170" i="16"/>
  <c r="Z170" i="16" s="1"/>
  <c r="Y170" i="16" s="1"/>
  <c r="G234" i="16"/>
  <c r="BY234" i="6" s="1"/>
  <c r="AA234" i="16"/>
  <c r="Z234" i="16" s="1"/>
  <c r="Y234" i="16" s="1"/>
  <c r="G282" i="16"/>
  <c r="BY282" i="6" s="1"/>
  <c r="AA282" i="16"/>
  <c r="Z282" i="16" s="1"/>
  <c r="Y282" i="16" s="1"/>
  <c r="H282" i="16"/>
  <c r="G39" i="16"/>
  <c r="BY39" i="6" s="1"/>
  <c r="AA39" i="16"/>
  <c r="Z39" i="16" s="1"/>
  <c r="Y39" i="16" s="1"/>
  <c r="H39" i="16"/>
  <c r="H123" i="16"/>
  <c r="G123" i="16"/>
  <c r="BY123" i="6" s="1"/>
  <c r="AA123" i="16"/>
  <c r="Z123" i="16" s="1"/>
  <c r="Y123" i="16" s="1"/>
  <c r="AA231" i="16"/>
  <c r="Z231" i="16" s="1"/>
  <c r="Y231" i="16" s="1"/>
  <c r="H231" i="16"/>
  <c r="G231" i="16"/>
  <c r="BY231" i="6" s="1"/>
  <c r="H25" i="16"/>
  <c r="G25" i="16"/>
  <c r="BY25" i="6" s="1"/>
  <c r="AA25" i="16"/>
  <c r="Z25" i="16" s="1"/>
  <c r="Y25" i="16" s="1"/>
  <c r="I327" i="16"/>
  <c r="J327" i="16"/>
  <c r="I235" i="16"/>
  <c r="J235" i="16"/>
  <c r="J215" i="16"/>
  <c r="G155" i="16"/>
  <c r="BY155" i="6" s="1"/>
  <c r="H155" i="16"/>
  <c r="AA155" i="16"/>
  <c r="Z155" i="16" s="1"/>
  <c r="Y155" i="16" s="1"/>
  <c r="G67" i="16"/>
  <c r="BY67" i="6" s="1"/>
  <c r="AA67" i="16"/>
  <c r="Z67" i="16" s="1"/>
  <c r="Y67" i="16" s="1"/>
  <c r="H67" i="16"/>
  <c r="G63" i="16"/>
  <c r="BY63" i="6" s="1"/>
  <c r="AA63" i="16"/>
  <c r="Z63" i="16" s="1"/>
  <c r="Y63" i="16" s="1"/>
  <c r="H63" i="16"/>
  <c r="G213" i="16"/>
  <c r="BY213" i="6" s="1"/>
  <c r="H213" i="16"/>
  <c r="AA213" i="16"/>
  <c r="Z213" i="16" s="1"/>
  <c r="Y213" i="16" s="1"/>
  <c r="J129" i="16"/>
  <c r="I129" i="16"/>
  <c r="G89" i="16"/>
  <c r="BY89" i="6" s="1"/>
  <c r="H89" i="16"/>
  <c r="AA89" i="16"/>
  <c r="Z89" i="16" s="1"/>
  <c r="Y89" i="16" s="1"/>
  <c r="G35" i="16"/>
  <c r="BY35" i="6" s="1"/>
  <c r="AA35" i="16"/>
  <c r="Z35" i="16" s="1"/>
  <c r="Y35" i="16" s="1"/>
  <c r="W50" i="16"/>
  <c r="D50" i="16"/>
  <c r="E50" i="16" s="1"/>
  <c r="F50" i="16" s="1"/>
  <c r="W21" i="16"/>
  <c r="D21" i="16"/>
  <c r="E21" i="16" s="1"/>
  <c r="F21" i="16" s="1"/>
  <c r="W16" i="16"/>
  <c r="D16" i="16"/>
  <c r="E16" i="16" s="1"/>
  <c r="F16" i="16" s="1"/>
  <c r="J64" i="15"/>
  <c r="I64" i="15"/>
  <c r="H64" i="16" s="1"/>
  <c r="W233" i="16"/>
  <c r="D233" i="16"/>
  <c r="E233" i="16" s="1"/>
  <c r="F233" i="16" s="1"/>
  <c r="W48" i="16"/>
  <c r="D48" i="16"/>
  <c r="E48" i="16" s="1"/>
  <c r="F48" i="16" s="1"/>
  <c r="W36" i="16"/>
  <c r="D36" i="16"/>
  <c r="E36" i="16" s="1"/>
  <c r="F36" i="16" s="1"/>
  <c r="W140" i="16"/>
  <c r="D140" i="16"/>
  <c r="E140" i="16" s="1"/>
  <c r="F140" i="16" s="1"/>
  <c r="W27" i="16"/>
  <c r="D27" i="16"/>
  <c r="E27" i="16" s="1"/>
  <c r="F27" i="16" s="1"/>
  <c r="AA24" i="16"/>
  <c r="Z24" i="16" s="1"/>
  <c r="Y24" i="16" s="1"/>
  <c r="AA144" i="16"/>
  <c r="Z144" i="16" s="1"/>
  <c r="Y144" i="16" s="1"/>
  <c r="AA232" i="16"/>
  <c r="Z232" i="16" s="1"/>
  <c r="Y232" i="16" s="1"/>
  <c r="AA302" i="16"/>
  <c r="Z302" i="16" s="1"/>
  <c r="Y302" i="16" s="1"/>
  <c r="W53" i="16"/>
  <c r="D53" i="16"/>
  <c r="E53" i="16" s="1"/>
  <c r="F53" i="16" s="1"/>
  <c r="W139" i="16"/>
  <c r="D139" i="16"/>
  <c r="E139" i="16" s="1"/>
  <c r="F139" i="16" s="1"/>
  <c r="W299" i="16"/>
  <c r="D299" i="16"/>
  <c r="E299" i="16" s="1"/>
  <c r="F299" i="16" s="1"/>
  <c r="W341" i="16"/>
  <c r="D341" i="16"/>
  <c r="E341" i="16" s="1"/>
  <c r="F341" i="16" s="1"/>
  <c r="W74" i="16"/>
  <c r="D74" i="16"/>
  <c r="E74" i="16" s="1"/>
  <c r="F74" i="16" s="1"/>
  <c r="W87" i="16"/>
  <c r="D87" i="16"/>
  <c r="E87" i="16" s="1"/>
  <c r="F87" i="16" s="1"/>
  <c r="W97" i="16"/>
  <c r="D97" i="16"/>
  <c r="E97" i="16" s="1"/>
  <c r="F97" i="16" s="1"/>
  <c r="W184" i="16"/>
  <c r="D184" i="16"/>
  <c r="E184" i="16" s="1"/>
  <c r="F184" i="16" s="1"/>
  <c r="W308" i="16"/>
  <c r="D308" i="16"/>
  <c r="E308" i="16" s="1"/>
  <c r="F308" i="16" s="1"/>
  <c r="W322" i="16"/>
  <c r="D322" i="16"/>
  <c r="E322" i="16" s="1"/>
  <c r="F322" i="16" s="1"/>
  <c r="W342" i="16"/>
  <c r="D342" i="16"/>
  <c r="E342" i="16" s="1"/>
  <c r="F342" i="16" s="1"/>
  <c r="W372" i="16"/>
  <c r="D372" i="16"/>
  <c r="E372" i="16" s="1"/>
  <c r="F372" i="16" s="1"/>
  <c r="W378" i="16"/>
  <c r="D378" i="16"/>
  <c r="E378" i="16" s="1"/>
  <c r="F378" i="16" s="1"/>
  <c r="W149" i="16"/>
  <c r="D149" i="16"/>
  <c r="E149" i="16" s="1"/>
  <c r="F149" i="16" s="1"/>
  <c r="W217" i="16"/>
  <c r="D217" i="16"/>
  <c r="E217" i="16" s="1"/>
  <c r="F217" i="16" s="1"/>
  <c r="G284" i="16"/>
  <c r="BY284" i="6" s="1"/>
  <c r="AA284" i="16"/>
  <c r="Z284" i="16" s="1"/>
  <c r="Y284" i="16" s="1"/>
  <c r="H284" i="16"/>
  <c r="G300" i="16"/>
  <c r="BY300" i="6" s="1"/>
  <c r="AA300" i="16"/>
  <c r="Z300" i="16" s="1"/>
  <c r="Y300" i="16" s="1"/>
  <c r="H300" i="16"/>
  <c r="AA316" i="16"/>
  <c r="Z316" i="16" s="1"/>
  <c r="Y316" i="16" s="1"/>
  <c r="H316" i="16"/>
  <c r="G316" i="16"/>
  <c r="BY316" i="6" s="1"/>
  <c r="G366" i="16"/>
  <c r="BY366" i="6" s="1"/>
  <c r="AA366" i="16"/>
  <c r="Z366" i="16" s="1"/>
  <c r="Y366" i="16" s="1"/>
  <c r="B380" i="16"/>
  <c r="AA178" i="16"/>
  <c r="Z178" i="16" s="1"/>
  <c r="Y178" i="16" s="1"/>
  <c r="G178" i="16"/>
  <c r="BY178" i="6" s="1"/>
  <c r="H178" i="16"/>
  <c r="G226" i="16"/>
  <c r="BY226" i="6" s="1"/>
  <c r="AA226" i="16"/>
  <c r="Z226" i="16" s="1"/>
  <c r="Y226" i="16" s="1"/>
  <c r="H226" i="16"/>
  <c r="G242" i="16"/>
  <c r="BY242" i="6" s="1"/>
  <c r="AA242" i="16"/>
  <c r="Z242" i="16" s="1"/>
  <c r="Y242" i="16" s="1"/>
  <c r="H242" i="16"/>
  <c r="H278" i="16"/>
  <c r="AA278" i="16"/>
  <c r="Z278" i="16" s="1"/>
  <c r="Y278" i="16" s="1"/>
  <c r="G278" i="16"/>
  <c r="BY278" i="6" s="1"/>
  <c r="G304" i="16"/>
  <c r="BY304" i="6" s="1"/>
  <c r="H304" i="16"/>
  <c r="G328" i="16"/>
  <c r="BY328" i="6" s="1"/>
  <c r="AA328" i="16"/>
  <c r="Z328" i="16" s="1"/>
  <c r="Y328" i="16" s="1"/>
  <c r="H328" i="16"/>
  <c r="G364" i="16"/>
  <c r="BY364" i="6" s="1"/>
  <c r="AA364" i="16"/>
  <c r="Z364" i="16" s="1"/>
  <c r="Y364" i="16" s="1"/>
  <c r="G376" i="16"/>
  <c r="BY376" i="6" s="1"/>
  <c r="AA376" i="16"/>
  <c r="Z376" i="16" s="1"/>
  <c r="Y376" i="16" s="1"/>
  <c r="AA26" i="16"/>
  <c r="Z26" i="16" s="1"/>
  <c r="Y26" i="16" s="1"/>
  <c r="G26" i="16"/>
  <c r="BY26" i="6" s="1"/>
  <c r="J46" i="15"/>
  <c r="I46" i="15"/>
  <c r="H46" i="16" s="1"/>
  <c r="W58" i="16"/>
  <c r="D58" i="16"/>
  <c r="E58" i="16" s="1"/>
  <c r="F58" i="16" s="1"/>
  <c r="J20" i="15"/>
  <c r="I20" i="15"/>
  <c r="H20" i="16" s="1"/>
  <c r="G194" i="16"/>
  <c r="BY194" i="6" s="1"/>
  <c r="H194" i="16"/>
  <c r="AA194" i="16"/>
  <c r="Z194" i="16" s="1"/>
  <c r="Y194" i="16" s="1"/>
  <c r="G134" i="16"/>
  <c r="BY134" i="6" s="1"/>
  <c r="H134" i="16"/>
  <c r="AA134" i="16"/>
  <c r="Z134" i="16" s="1"/>
  <c r="Y134" i="16" s="1"/>
  <c r="G174" i="16"/>
  <c r="BY174" i="6" s="1"/>
  <c r="H174" i="16"/>
  <c r="AA174" i="16"/>
  <c r="Z174" i="16" s="1"/>
  <c r="Y174" i="16" s="1"/>
  <c r="G286" i="16"/>
  <c r="BY286" i="6" s="1"/>
  <c r="H286" i="16"/>
  <c r="J113" i="16"/>
  <c r="I113" i="16"/>
  <c r="I195" i="16"/>
  <c r="J195" i="16"/>
  <c r="G159" i="16"/>
  <c r="BY159" i="6" s="1"/>
  <c r="H159" i="16"/>
  <c r="AA159" i="16"/>
  <c r="Z159" i="16" s="1"/>
  <c r="Y159" i="16" s="1"/>
  <c r="I157" i="16"/>
  <c r="J157" i="16"/>
  <c r="J203" i="16"/>
  <c r="I203" i="16"/>
  <c r="H43" i="16"/>
  <c r="G369" i="16"/>
  <c r="BY369" i="6" s="1"/>
  <c r="AA369" i="16"/>
  <c r="Z369" i="16" s="1"/>
  <c r="Y369" i="16" s="1"/>
  <c r="I221" i="16"/>
  <c r="AA209" i="16"/>
  <c r="Z209" i="16" s="1"/>
  <c r="Y209" i="16" s="1"/>
  <c r="G209" i="16"/>
  <c r="BY209" i="6" s="1"/>
  <c r="H209" i="16"/>
  <c r="J201" i="16"/>
  <c r="I201" i="16"/>
  <c r="G297" i="16"/>
  <c r="BY297" i="6" s="1"/>
  <c r="AA297" i="16"/>
  <c r="Z297" i="16" s="1"/>
  <c r="Y297" i="16" s="1"/>
  <c r="I297" i="15"/>
  <c r="H297" i="16" s="1"/>
  <c r="J297" i="15"/>
  <c r="J42" i="15"/>
  <c r="I42" i="15"/>
  <c r="J298" i="15"/>
  <c r="I298" i="15"/>
  <c r="H298" i="16" s="1"/>
  <c r="J40" i="15"/>
  <c r="I40" i="15"/>
  <c r="G334" i="16"/>
  <c r="BY334" i="6" s="1"/>
  <c r="H334" i="16"/>
  <c r="AA334" i="16"/>
  <c r="Z334" i="16" s="1"/>
  <c r="Y334" i="16" s="1"/>
  <c r="J269" i="15"/>
  <c r="I269" i="15"/>
  <c r="H269" i="16" s="1"/>
  <c r="I34" i="15"/>
  <c r="H34" i="16" s="1"/>
  <c r="J34" i="15"/>
  <c r="W30" i="16"/>
  <c r="D30" i="16"/>
  <c r="E30" i="16" s="1"/>
  <c r="F30" i="16" s="1"/>
  <c r="G96" i="16"/>
  <c r="BY96" i="6" s="1"/>
  <c r="H96" i="16"/>
  <c r="H132" i="16"/>
  <c r="G132" i="16"/>
  <c r="BY132" i="6" s="1"/>
  <c r="G216" i="16"/>
  <c r="BY216" i="6" s="1"/>
  <c r="AA216" i="16"/>
  <c r="Z216" i="16" s="1"/>
  <c r="Y216" i="16" s="1"/>
  <c r="H216" i="16"/>
  <c r="H106" i="16"/>
  <c r="G106" i="16"/>
  <c r="BY106" i="6" s="1"/>
  <c r="AA106" i="16"/>
  <c r="Z106" i="16" s="1"/>
  <c r="Y106" i="16" s="1"/>
  <c r="G146" i="16"/>
  <c r="BY146" i="6" s="1"/>
  <c r="H146" i="16"/>
  <c r="G196" i="16"/>
  <c r="BY196" i="6" s="1"/>
  <c r="H196" i="16"/>
  <c r="J214" i="16"/>
  <c r="I214" i="16"/>
  <c r="G336" i="16"/>
  <c r="BY336" i="6" s="1"/>
  <c r="AA336" i="16"/>
  <c r="Z336" i="16" s="1"/>
  <c r="Y336" i="16" s="1"/>
  <c r="H336" i="16"/>
  <c r="I348" i="16"/>
  <c r="J348" i="16"/>
  <c r="I165" i="16"/>
  <c r="J165" i="16"/>
  <c r="J267" i="16"/>
  <c r="I267" i="16"/>
  <c r="G55" i="16"/>
  <c r="BY55" i="6" s="1"/>
  <c r="AA55" i="16"/>
  <c r="Z55" i="16" s="1"/>
  <c r="Y55" i="16" s="1"/>
  <c r="H55" i="16"/>
  <c r="H351" i="16"/>
  <c r="AA351" i="16"/>
  <c r="Z351" i="16" s="1"/>
  <c r="Y351" i="16" s="1"/>
  <c r="G351" i="16"/>
  <c r="BY351" i="6" s="1"/>
  <c r="G183" i="16"/>
  <c r="BY183" i="6" s="1"/>
  <c r="H183" i="16"/>
  <c r="AA183" i="16"/>
  <c r="Z183" i="16" s="1"/>
  <c r="Y183" i="16" s="1"/>
  <c r="G163" i="16"/>
  <c r="BY163" i="6" s="1"/>
  <c r="AA163" i="16"/>
  <c r="Z163" i="16" s="1"/>
  <c r="Y163" i="16" s="1"/>
  <c r="H163" i="16"/>
  <c r="AA252" i="16"/>
  <c r="Z252" i="16" s="1"/>
  <c r="Y252" i="16" s="1"/>
  <c r="H252" i="16"/>
  <c r="G252" i="16"/>
  <c r="BY252" i="6" s="1"/>
  <c r="G287" i="16"/>
  <c r="BY287" i="6" s="1"/>
  <c r="H287" i="16"/>
  <c r="AA287" i="16"/>
  <c r="Z287" i="16" s="1"/>
  <c r="Y287" i="16" s="1"/>
  <c r="AA325" i="16"/>
  <c r="Z325" i="16" s="1"/>
  <c r="Y325" i="16" s="1"/>
  <c r="H325" i="16"/>
  <c r="G325" i="16"/>
  <c r="BY325" i="6" s="1"/>
  <c r="I281" i="16"/>
  <c r="J281" i="16"/>
  <c r="I249" i="16"/>
  <c r="J249" i="16"/>
  <c r="J225" i="16"/>
  <c r="AA205" i="16"/>
  <c r="Z205" i="16" s="1"/>
  <c r="Y205" i="16" s="1"/>
  <c r="H205" i="16"/>
  <c r="G205" i="16"/>
  <c r="BY205" i="6" s="1"/>
  <c r="J189" i="16"/>
  <c r="I189" i="16"/>
  <c r="G153" i="16"/>
  <c r="BY153" i="6" s="1"/>
  <c r="H153" i="16"/>
  <c r="AA153" i="16"/>
  <c r="Z153" i="16" s="1"/>
  <c r="Y153" i="16" s="1"/>
  <c r="G109" i="16"/>
  <c r="BY109" i="6" s="1"/>
  <c r="AA109" i="16"/>
  <c r="Z109" i="16" s="1"/>
  <c r="Y109" i="16" s="1"/>
  <c r="H109" i="16"/>
  <c r="G65" i="16"/>
  <c r="BY65" i="6" s="1"/>
  <c r="H65" i="16"/>
  <c r="W38" i="16"/>
  <c r="D38" i="16"/>
  <c r="E38" i="16" s="1"/>
  <c r="F38" i="16" s="1"/>
  <c r="AA136" i="16"/>
  <c r="Z136" i="16" s="1"/>
  <c r="Y136" i="16" s="1"/>
  <c r="G136" i="16"/>
  <c r="BY136" i="6" s="1"/>
  <c r="AA64" i="16"/>
  <c r="Z64" i="16" s="1"/>
  <c r="Y64" i="16" s="1"/>
  <c r="G64" i="16"/>
  <c r="BY64" i="6" s="1"/>
  <c r="J48" i="15"/>
  <c r="I48" i="15"/>
  <c r="AA126" i="16"/>
  <c r="Z126" i="16" s="1"/>
  <c r="Y126" i="16" s="1"/>
  <c r="W143" i="16"/>
  <c r="D143" i="16"/>
  <c r="E143" i="16" s="1"/>
  <c r="F143" i="16" s="1"/>
  <c r="AA208" i="16"/>
  <c r="Z208" i="16" s="1"/>
  <c r="Y208" i="16" s="1"/>
  <c r="W84" i="16"/>
  <c r="D84" i="16"/>
  <c r="E84" i="16" s="1"/>
  <c r="F84" i="16" s="1"/>
  <c r="W92" i="16"/>
  <c r="D92" i="16"/>
  <c r="E92" i="16" s="1"/>
  <c r="F92" i="16" s="1"/>
  <c r="W112" i="16"/>
  <c r="D112" i="16"/>
  <c r="E112" i="16" s="1"/>
  <c r="F112" i="16" s="1"/>
  <c r="W152" i="16"/>
  <c r="D152" i="16"/>
  <c r="E152" i="16" s="1"/>
  <c r="F152" i="16" s="1"/>
  <c r="B176" i="17"/>
  <c r="W176" i="16"/>
  <c r="D176" i="16"/>
  <c r="E176" i="16" s="1"/>
  <c r="F176" i="16" s="1"/>
  <c r="AA125" i="16"/>
  <c r="Z125" i="16" s="1"/>
  <c r="Y125" i="16" s="1"/>
  <c r="AA44" i="16"/>
  <c r="Z44" i="16" s="1"/>
  <c r="Y44" i="16" s="1"/>
  <c r="AA200" i="16"/>
  <c r="Z200" i="16" s="1"/>
  <c r="Y200" i="16" s="1"/>
  <c r="AA286" i="16"/>
  <c r="Z286" i="16" s="1"/>
  <c r="Y286" i="16" s="1"/>
  <c r="AA346" i="16"/>
  <c r="Z346" i="16" s="1"/>
  <c r="Y346" i="16" s="1"/>
  <c r="AA168" i="16"/>
  <c r="Z168" i="16" s="1"/>
  <c r="Y168" i="16" s="1"/>
  <c r="AA244" i="16"/>
  <c r="Z244" i="16" s="1"/>
  <c r="Y244" i="16" s="1"/>
  <c r="AA358" i="16"/>
  <c r="Z358" i="16" s="1"/>
  <c r="Y358" i="16" s="1"/>
  <c r="W275" i="16"/>
  <c r="D275" i="16"/>
  <c r="E275" i="16" s="1"/>
  <c r="F275" i="16" s="1"/>
  <c r="W296" i="16"/>
  <c r="D296" i="16"/>
  <c r="E296" i="16" s="1"/>
  <c r="F296" i="16" s="1"/>
  <c r="B31" i="17"/>
  <c r="W31" i="16"/>
  <c r="D31" i="16"/>
  <c r="E31" i="16" s="1"/>
  <c r="F31" i="16" s="1"/>
  <c r="W274" i="16"/>
  <c r="D274" i="16"/>
  <c r="E274" i="16" s="1"/>
  <c r="F274" i="16" s="1"/>
  <c r="W374" i="16"/>
  <c r="D374" i="16"/>
  <c r="E374" i="16" s="1"/>
  <c r="F374" i="16" s="1"/>
  <c r="W73" i="16"/>
  <c r="D73" i="16"/>
  <c r="E73" i="16" s="1"/>
  <c r="F73" i="16" s="1"/>
  <c r="W93" i="16"/>
  <c r="D93" i="16"/>
  <c r="E93" i="16" s="1"/>
  <c r="F93" i="16" s="1"/>
  <c r="W199" i="16"/>
  <c r="D199" i="16"/>
  <c r="E199" i="16" s="1"/>
  <c r="F199" i="16" s="1"/>
  <c r="H288" i="16"/>
  <c r="H172" i="16"/>
  <c r="J172" i="16" s="1"/>
  <c r="J321" i="16"/>
  <c r="AA172" i="16"/>
  <c r="Z172" i="16" s="1"/>
  <c r="Y172" i="16" s="1"/>
  <c r="Q381" i="17"/>
  <c r="AD46" i="17"/>
  <c r="AD122" i="17"/>
  <c r="AI381" i="17"/>
  <c r="G266" i="16"/>
  <c r="BY266" i="6" s="1"/>
  <c r="AD17" i="17"/>
  <c r="AD68" i="17"/>
  <c r="AD100" i="17"/>
  <c r="AD112" i="17"/>
  <c r="AD120" i="17"/>
  <c r="AD132" i="17"/>
  <c r="AD156" i="17"/>
  <c r="AD160" i="17"/>
  <c r="AD188" i="17"/>
  <c r="AD196" i="17"/>
  <c r="AD204" i="17"/>
  <c r="AD212" i="17"/>
  <c r="AD228" i="17"/>
  <c r="AD232" i="17"/>
  <c r="AD260" i="17"/>
  <c r="AD268" i="17"/>
  <c r="AD288" i="17"/>
  <c r="AD304" i="17"/>
  <c r="AD360" i="17"/>
  <c r="AD376" i="17"/>
  <c r="AA75" i="16"/>
  <c r="Z75" i="16" s="1"/>
  <c r="Y75" i="16" s="1"/>
  <c r="P27" i="17"/>
  <c r="V27" i="17" s="1"/>
  <c r="B27" i="17" s="1"/>
  <c r="P43" i="17"/>
  <c r="V43" i="17" s="1"/>
  <c r="B43" i="17" s="1"/>
  <c r="P51" i="17"/>
  <c r="V51" i="17" s="1"/>
  <c r="B51" i="17" s="1"/>
  <c r="P55" i="17"/>
  <c r="V55" i="17" s="1"/>
  <c r="B55" i="17" s="1"/>
  <c r="P59" i="17"/>
  <c r="V59" i="17" s="1"/>
  <c r="B59" i="17" s="1"/>
  <c r="P71" i="17"/>
  <c r="V71" i="17" s="1"/>
  <c r="B71" i="17" s="1"/>
  <c r="P75" i="17"/>
  <c r="V75" i="17" s="1"/>
  <c r="B75" i="17" s="1"/>
  <c r="P79" i="17"/>
  <c r="V79" i="17" s="1"/>
  <c r="B79" i="17" s="1"/>
  <c r="P87" i="17"/>
  <c r="V87" i="17" s="1"/>
  <c r="B87" i="17" s="1"/>
  <c r="P91" i="17"/>
  <c r="V91" i="17" s="1"/>
  <c r="B91" i="17" s="1"/>
  <c r="P95" i="17"/>
  <c r="V95" i="17" s="1"/>
  <c r="B95" i="17" s="1"/>
  <c r="P111" i="17"/>
  <c r="V111" i="17" s="1"/>
  <c r="B111" i="17" s="1"/>
  <c r="P115" i="17"/>
  <c r="V115" i="17" s="1"/>
  <c r="B115" i="17" s="1"/>
  <c r="P119" i="17"/>
  <c r="V119" i="17" s="1"/>
  <c r="P131" i="17"/>
  <c r="V131" i="17" s="1"/>
  <c r="B131" i="17" s="1"/>
  <c r="P135" i="17"/>
  <c r="V135" i="17" s="1"/>
  <c r="B135" i="17" s="1"/>
  <c r="P143" i="17"/>
  <c r="V143" i="17" s="1"/>
  <c r="B143" i="17" s="1"/>
  <c r="P147" i="17"/>
  <c r="V147" i="17" s="1"/>
  <c r="B147" i="17" s="1"/>
  <c r="P155" i="17"/>
  <c r="V155" i="17" s="1"/>
  <c r="B155" i="17" s="1"/>
  <c r="P159" i="17"/>
  <c r="V159" i="17" s="1"/>
  <c r="B159" i="17" s="1"/>
  <c r="P163" i="17"/>
  <c r="V163" i="17" s="1"/>
  <c r="B163" i="17" s="1"/>
  <c r="P171" i="17"/>
  <c r="V171" i="17" s="1"/>
  <c r="B171" i="17" s="1"/>
  <c r="P179" i="17"/>
  <c r="V179" i="17" s="1"/>
  <c r="B179" i="17" s="1"/>
  <c r="P183" i="17"/>
  <c r="V183" i="17" s="1"/>
  <c r="B183" i="17" s="1"/>
  <c r="P207" i="17"/>
  <c r="V207" i="17" s="1"/>
  <c r="B207" i="17" s="1"/>
  <c r="P223" i="17"/>
  <c r="V223" i="17" s="1"/>
  <c r="B223" i="17" s="1"/>
  <c r="P227" i="17"/>
  <c r="V227" i="17" s="1"/>
  <c r="B227" i="17" s="1"/>
  <c r="P231" i="17"/>
  <c r="V231" i="17" s="1"/>
  <c r="B231" i="17" s="1"/>
  <c r="P235" i="17"/>
  <c r="V235" i="17" s="1"/>
  <c r="B235" i="17" s="1"/>
  <c r="P239" i="17"/>
  <c r="V239" i="17" s="1"/>
  <c r="B239" i="17" s="1"/>
  <c r="P243" i="17"/>
  <c r="V243" i="17" s="1"/>
  <c r="B243" i="17" s="1"/>
  <c r="P251" i="17"/>
  <c r="V251" i="17" s="1"/>
  <c r="B251" i="17" s="1"/>
  <c r="P267" i="17"/>
  <c r="V267" i="17" s="1"/>
  <c r="B267" i="17" s="1"/>
  <c r="P275" i="17"/>
  <c r="V275" i="17" s="1"/>
  <c r="B275" i="17" s="1"/>
  <c r="P291" i="17"/>
  <c r="V291" i="17" s="1"/>
  <c r="B291" i="17" s="1"/>
  <c r="P295" i="17"/>
  <c r="V295" i="17" s="1"/>
  <c r="B295" i="17" s="1"/>
  <c r="P303" i="17"/>
  <c r="V303" i="17" s="1"/>
  <c r="B303" i="17" s="1"/>
  <c r="P307" i="17"/>
  <c r="V307" i="17" s="1"/>
  <c r="B307" i="17" s="1"/>
  <c r="P323" i="17"/>
  <c r="V323" i="17" s="1"/>
  <c r="B323" i="17" s="1"/>
  <c r="P347" i="17"/>
  <c r="V347" i="17" s="1"/>
  <c r="B347" i="17" s="1"/>
  <c r="P351" i="17"/>
  <c r="V351" i="17" s="1"/>
  <c r="B351" i="17" s="1"/>
  <c r="P363" i="17"/>
  <c r="V363" i="17" s="1"/>
  <c r="B363" i="17" s="1"/>
  <c r="P367" i="17"/>
  <c r="V367" i="17" s="1"/>
  <c r="B367" i="17" s="1"/>
  <c r="AD281" i="17"/>
  <c r="AD285" i="17"/>
  <c r="AD341" i="17"/>
  <c r="AD357" i="17"/>
  <c r="AD361" i="17"/>
  <c r="AD82" i="17"/>
  <c r="AD106" i="17"/>
  <c r="AD25" i="17"/>
  <c r="AD29" i="17"/>
  <c r="AD37" i="17"/>
  <c r="AD57" i="17"/>
  <c r="AD121" i="17"/>
  <c r="AD153" i="17"/>
  <c r="AD181" i="17"/>
  <c r="AD237" i="17"/>
  <c r="AD323" i="17"/>
  <c r="O382" i="24"/>
  <c r="O381" i="24"/>
  <c r="O383" i="24"/>
  <c r="AD60" i="17"/>
  <c r="AD64" i="17"/>
  <c r="AD76" i="17"/>
  <c r="AD96" i="17"/>
  <c r="AD116" i="17"/>
  <c r="AD180" i="17"/>
  <c r="AD224" i="17"/>
  <c r="AD236" i="17"/>
  <c r="AD244" i="17"/>
  <c r="AD252" i="17"/>
  <c r="AD264" i="17"/>
  <c r="AD296" i="17"/>
  <c r="AD324" i="17"/>
  <c r="AD291" i="17"/>
  <c r="AD27" i="17"/>
  <c r="AD35" i="17"/>
  <c r="AD55" i="17"/>
  <c r="AD59" i="17"/>
  <c r="AD119" i="17"/>
  <c r="AD131" i="17"/>
  <c r="AD143" i="17"/>
  <c r="AD247" i="17"/>
  <c r="AD293" i="17"/>
  <c r="AC383" i="24"/>
  <c r="AC382" i="24"/>
  <c r="AC381" i="24"/>
  <c r="AD58" i="17"/>
  <c r="AD62" i="17"/>
  <c r="AD78" i="17"/>
  <c r="AD90" i="17"/>
  <c r="AD138" i="17"/>
  <c r="AD146" i="17"/>
  <c r="AD174" i="17"/>
  <c r="AD222" i="17"/>
  <c r="AD242" i="17"/>
  <c r="AD250" i="17"/>
  <c r="AD278" i="17"/>
  <c r="AD322" i="17"/>
  <c r="AD330" i="17"/>
  <c r="AD338" i="17"/>
  <c r="AD295" i="17"/>
  <c r="AD365" i="17"/>
  <c r="S18" i="17"/>
  <c r="R18" i="17" s="1"/>
  <c r="P18" i="17" s="1"/>
  <c r="S20" i="17"/>
  <c r="R20" i="17" s="1"/>
  <c r="P20" i="17" s="1"/>
  <c r="S24" i="17"/>
  <c r="R24" i="17" s="1"/>
  <c r="P24" i="17" s="1"/>
  <c r="S28" i="17"/>
  <c r="R28" i="17" s="1"/>
  <c r="P28" i="17" s="1"/>
  <c r="S40" i="17"/>
  <c r="R40" i="17" s="1"/>
  <c r="P40" i="17" s="1"/>
  <c r="V44" i="17"/>
  <c r="B44" i="17" s="1"/>
  <c r="V48" i="17"/>
  <c r="B48" i="17" s="1"/>
  <c r="S52" i="17"/>
  <c r="R52" i="17" s="1"/>
  <c r="P52" i="17" s="1"/>
  <c r="S60" i="17"/>
  <c r="R60" i="17" s="1"/>
  <c r="P60" i="17" s="1"/>
  <c r="S76" i="17"/>
  <c r="R76" i="17" s="1"/>
  <c r="P76" i="17" s="1"/>
  <c r="S80" i="17"/>
  <c r="R80" i="17" s="1"/>
  <c r="P80" i="17" s="1"/>
  <c r="S84" i="17"/>
  <c r="R84" i="17" s="1"/>
  <c r="P84" i="17" s="1"/>
  <c r="V92" i="17"/>
  <c r="B92" i="17" s="1"/>
  <c r="S96" i="17"/>
  <c r="R96" i="17" s="1"/>
  <c r="P96" i="17" s="1"/>
  <c r="S100" i="17"/>
  <c r="R100" i="17" s="1"/>
  <c r="P100" i="17" s="1"/>
  <c r="S104" i="17"/>
  <c r="R104" i="17" s="1"/>
  <c r="P104" i="17" s="1"/>
  <c r="V108" i="17"/>
  <c r="B108" i="17" s="1"/>
  <c r="S112" i="17"/>
  <c r="R112" i="17" s="1"/>
  <c r="P112" i="17" s="1"/>
  <c r="S120" i="17"/>
  <c r="R120" i="17" s="1"/>
  <c r="P120" i="17" s="1"/>
  <c r="S124" i="17"/>
  <c r="R124" i="17" s="1"/>
  <c r="P124" i="17" s="1"/>
  <c r="V124" i="17" s="1"/>
  <c r="B124" i="17" s="1"/>
  <c r="S132" i="17"/>
  <c r="R132" i="17" s="1"/>
  <c r="P132" i="17" s="1"/>
  <c r="S140" i="17"/>
  <c r="R140" i="17" s="1"/>
  <c r="P140" i="17" s="1"/>
  <c r="V140" i="17" s="1"/>
  <c r="B140" i="17" s="1"/>
  <c r="S144" i="17"/>
  <c r="R144" i="17" s="1"/>
  <c r="P144" i="17" s="1"/>
  <c r="S148" i="17"/>
  <c r="R148" i="17" s="1"/>
  <c r="P148" i="17" s="1"/>
  <c r="S160" i="17"/>
  <c r="R160" i="17" s="1"/>
  <c r="P160" i="17" s="1"/>
  <c r="S164" i="17"/>
  <c r="R164" i="17" s="1"/>
  <c r="P164" i="17" s="1"/>
  <c r="V164" i="17" s="1"/>
  <c r="B164" i="17" s="1"/>
  <c r="S168" i="17"/>
  <c r="R168" i="17" s="1"/>
  <c r="P168" i="17" s="1"/>
  <c r="S172" i="17"/>
  <c r="R172" i="17" s="1"/>
  <c r="P172" i="17" s="1"/>
  <c r="S180" i="17"/>
  <c r="R180" i="17" s="1"/>
  <c r="P180" i="17" s="1"/>
  <c r="S184" i="17"/>
  <c r="R184" i="17" s="1"/>
  <c r="P184" i="17" s="1"/>
  <c r="V184" i="17" s="1"/>
  <c r="B184" i="17" s="1"/>
  <c r="S188" i="17"/>
  <c r="R188" i="17" s="1"/>
  <c r="P188" i="17" s="1"/>
  <c r="S192" i="17"/>
  <c r="R192" i="17" s="1"/>
  <c r="P192" i="17" s="1"/>
  <c r="V204" i="17"/>
  <c r="B204" i="17" s="1"/>
  <c r="S212" i="17"/>
  <c r="R212" i="17" s="1"/>
  <c r="P212" i="17" s="1"/>
  <c r="S224" i="17"/>
  <c r="R224" i="17" s="1"/>
  <c r="P224" i="17" s="1"/>
  <c r="V224" i="17" s="1"/>
  <c r="B224" i="17" s="1"/>
  <c r="S232" i="17"/>
  <c r="R232" i="17" s="1"/>
  <c r="P232" i="17" s="1"/>
  <c r="V232" i="17" s="1"/>
  <c r="B232" i="17" s="1"/>
  <c r="V236" i="17"/>
  <c r="B236" i="17" s="1"/>
  <c r="S240" i="17"/>
  <c r="R240" i="17" s="1"/>
  <c r="P240" i="17" s="1"/>
  <c r="V240" i="17" s="1"/>
  <c r="B240" i="17" s="1"/>
  <c r="S244" i="17"/>
  <c r="R244" i="17" s="1"/>
  <c r="P244" i="17" s="1"/>
  <c r="V244" i="17" s="1"/>
  <c r="B244" i="17" s="1"/>
  <c r="S252" i="17"/>
  <c r="R252" i="17" s="1"/>
  <c r="P252" i="17" s="1"/>
  <c r="S264" i="17"/>
  <c r="R264" i="17" s="1"/>
  <c r="P264" i="17" s="1"/>
  <c r="D64" i="7"/>
  <c r="V272" i="17"/>
  <c r="B272" i="17" s="1"/>
  <c r="V284" i="17"/>
  <c r="B284" i="17" s="1"/>
  <c r="S288" i="17"/>
  <c r="R288" i="17" s="1"/>
  <c r="P288" i="17" s="1"/>
  <c r="V296" i="17"/>
  <c r="B296" i="17" s="1"/>
  <c r="S304" i="17"/>
  <c r="R304" i="17" s="1"/>
  <c r="P304" i="17" s="1"/>
  <c r="V312" i="17"/>
  <c r="B312" i="17" s="1"/>
  <c r="S320" i="17"/>
  <c r="R320" i="17" s="1"/>
  <c r="P320" i="17" s="1"/>
  <c r="V320" i="17" s="1"/>
  <c r="B320" i="17" s="1"/>
  <c r="S324" i="17"/>
  <c r="R324" i="17" s="1"/>
  <c r="P324" i="17" s="1"/>
  <c r="S328" i="17"/>
  <c r="R328" i="17" s="1"/>
  <c r="P328" i="17" s="1"/>
  <c r="V328" i="17" s="1"/>
  <c r="B328" i="17" s="1"/>
  <c r="S340" i="17"/>
  <c r="R340" i="17" s="1"/>
  <c r="P340" i="17" s="1"/>
  <c r="V340" i="17" s="1"/>
  <c r="B340" i="17" s="1"/>
  <c r="S344" i="17"/>
  <c r="R344" i="17" s="1"/>
  <c r="P344" i="17" s="1"/>
  <c r="V344" i="17" s="1"/>
  <c r="B344" i="17" s="1"/>
  <c r="S348" i="17"/>
  <c r="R348" i="17" s="1"/>
  <c r="P348" i="17" s="1"/>
  <c r="S352" i="17"/>
  <c r="R352" i="17" s="1"/>
  <c r="P352" i="17" s="1"/>
  <c r="S368" i="17"/>
  <c r="R368" i="17" s="1"/>
  <c r="P368" i="17" s="1"/>
  <c r="V368" i="17" s="1"/>
  <c r="B368" i="17" s="1"/>
  <c r="R382" i="16"/>
  <c r="R381" i="16"/>
  <c r="R383" i="16"/>
  <c r="P15" i="16"/>
  <c r="AH383" i="17"/>
  <c r="AG15" i="17"/>
  <c r="S19" i="17"/>
  <c r="R19" i="17" s="1"/>
  <c r="P19" i="17" s="1"/>
  <c r="T15" i="17"/>
  <c r="U381" i="17"/>
  <c r="U382" i="17"/>
  <c r="U383" i="17"/>
  <c r="S23" i="17"/>
  <c r="R23" i="17" s="1"/>
  <c r="P23" i="17" s="1"/>
  <c r="S35" i="17"/>
  <c r="R35" i="17" s="1"/>
  <c r="P35" i="17" s="1"/>
  <c r="S39" i="17"/>
  <c r="R39" i="17" s="1"/>
  <c r="P39" i="17" s="1"/>
  <c r="S47" i="17"/>
  <c r="R47" i="17" s="1"/>
  <c r="P47" i="17" s="1"/>
  <c r="S63" i="17"/>
  <c r="R63" i="17" s="1"/>
  <c r="P63" i="17" s="1"/>
  <c r="S67" i="17"/>
  <c r="R67" i="17" s="1"/>
  <c r="P67" i="17" s="1"/>
  <c r="S83" i="17"/>
  <c r="R83" i="17" s="1"/>
  <c r="P83" i="17" s="1"/>
  <c r="S99" i="17"/>
  <c r="R99" i="17" s="1"/>
  <c r="P99" i="17" s="1"/>
  <c r="S103" i="17"/>
  <c r="R103" i="17" s="1"/>
  <c r="P103" i="17" s="1"/>
  <c r="S107" i="17"/>
  <c r="R107" i="17" s="1"/>
  <c r="P107" i="17" s="1"/>
  <c r="S123" i="17"/>
  <c r="R123" i="17" s="1"/>
  <c r="P123" i="17" s="1"/>
  <c r="S127" i="17"/>
  <c r="R127" i="17" s="1"/>
  <c r="P127" i="17" s="1"/>
  <c r="S139" i="17"/>
  <c r="R139" i="17" s="1"/>
  <c r="P139" i="17" s="1"/>
  <c r="S151" i="17"/>
  <c r="R151" i="17" s="1"/>
  <c r="P151" i="17" s="1"/>
  <c r="S167" i="17"/>
  <c r="R167" i="17" s="1"/>
  <c r="P167" i="17" s="1"/>
  <c r="V167" i="17" s="1"/>
  <c r="B167" i="17" s="1"/>
  <c r="S175" i="17"/>
  <c r="R175" i="17" s="1"/>
  <c r="P175" i="17" s="1"/>
  <c r="S187" i="17"/>
  <c r="R187" i="17" s="1"/>
  <c r="P187" i="17" s="1"/>
  <c r="S191" i="17"/>
  <c r="R191" i="17" s="1"/>
  <c r="P191" i="17" s="1"/>
  <c r="V191" i="17" s="1"/>
  <c r="B191" i="17" s="1"/>
  <c r="S195" i="17"/>
  <c r="R195" i="17" s="1"/>
  <c r="P195" i="17" s="1"/>
  <c r="V195" i="17" s="1"/>
  <c r="B195" i="17" s="1"/>
  <c r="S199" i="17"/>
  <c r="R199" i="17" s="1"/>
  <c r="P199" i="17" s="1"/>
  <c r="S203" i="17"/>
  <c r="R203" i="17" s="1"/>
  <c r="P203" i="17" s="1"/>
  <c r="V203" i="17" s="1"/>
  <c r="B203" i="17" s="1"/>
  <c r="S211" i="17"/>
  <c r="R211" i="17" s="1"/>
  <c r="P211" i="17" s="1"/>
  <c r="S215" i="17"/>
  <c r="R215" i="17" s="1"/>
  <c r="P215" i="17" s="1"/>
  <c r="V215" i="17" s="1"/>
  <c r="B215" i="17" s="1"/>
  <c r="S219" i="17"/>
  <c r="R219" i="17" s="1"/>
  <c r="P219" i="17" s="1"/>
  <c r="V219" i="17" s="1"/>
  <c r="B219" i="17" s="1"/>
  <c r="S247" i="17"/>
  <c r="R247" i="17" s="1"/>
  <c r="P247" i="17" s="1"/>
  <c r="S255" i="17"/>
  <c r="R255" i="17" s="1"/>
  <c r="P255" i="17" s="1"/>
  <c r="V255" i="17" s="1"/>
  <c r="B255" i="17" s="1"/>
  <c r="S259" i="17"/>
  <c r="R259" i="17" s="1"/>
  <c r="P259" i="17" s="1"/>
  <c r="S263" i="17"/>
  <c r="R263" i="17" s="1"/>
  <c r="P263" i="17" s="1"/>
  <c r="V263" i="17" s="1"/>
  <c r="B263" i="17" s="1"/>
  <c r="S271" i="17"/>
  <c r="R271" i="17" s="1"/>
  <c r="P271" i="17" s="1"/>
  <c r="S279" i="17"/>
  <c r="R279" i="17" s="1"/>
  <c r="P279" i="17" s="1"/>
  <c r="V279" i="17" s="1"/>
  <c r="B279" i="17" s="1"/>
  <c r="S283" i="17"/>
  <c r="R283" i="17" s="1"/>
  <c r="P283" i="17" s="1"/>
  <c r="S287" i="17"/>
  <c r="R287" i="17" s="1"/>
  <c r="P287" i="17" s="1"/>
  <c r="S299" i="17"/>
  <c r="R299" i="17" s="1"/>
  <c r="P299" i="17" s="1"/>
  <c r="S311" i="17"/>
  <c r="R311" i="17" s="1"/>
  <c r="P311" i="17" s="1"/>
  <c r="V311" i="17" s="1"/>
  <c r="B311" i="17" s="1"/>
  <c r="S315" i="17"/>
  <c r="R315" i="17" s="1"/>
  <c r="P315" i="17" s="1"/>
  <c r="S319" i="17"/>
  <c r="R319" i="17" s="1"/>
  <c r="P319" i="17" s="1"/>
  <c r="S327" i="17"/>
  <c r="R327" i="17" s="1"/>
  <c r="P327" i="17" s="1"/>
  <c r="S331" i="17"/>
  <c r="R331" i="17" s="1"/>
  <c r="P331" i="17" s="1"/>
  <c r="S335" i="17"/>
  <c r="R335" i="17" s="1"/>
  <c r="P335" i="17" s="1"/>
  <c r="V335" i="17" s="1"/>
  <c r="B335" i="17" s="1"/>
  <c r="S339" i="17"/>
  <c r="R339" i="17" s="1"/>
  <c r="P339" i="17" s="1"/>
  <c r="S343" i="17"/>
  <c r="R343" i="17" s="1"/>
  <c r="P343" i="17" s="1"/>
  <c r="S355" i="17"/>
  <c r="R355" i="17" s="1"/>
  <c r="P355" i="17" s="1"/>
  <c r="S359" i="17"/>
  <c r="R359" i="17" s="1"/>
  <c r="P359" i="17" s="1"/>
  <c r="S371" i="17"/>
  <c r="R371" i="17" s="1"/>
  <c r="P371" i="17" s="1"/>
  <c r="S375" i="17"/>
  <c r="R375" i="17" s="1"/>
  <c r="P375" i="17" s="1"/>
  <c r="T379" i="17"/>
  <c r="U12" i="18"/>
  <c r="V16" i="7"/>
  <c r="AB11" i="7" s="1"/>
  <c r="U11" i="18" s="1"/>
  <c r="AK5" i="24"/>
  <c r="AM5" i="24"/>
  <c r="AK7" i="24"/>
  <c r="AK11" i="24" s="1"/>
  <c r="AM9" i="24"/>
  <c r="AK9" i="24"/>
  <c r="AM7" i="24"/>
  <c r="AM11" i="24" s="1"/>
  <c r="AD379" i="17"/>
  <c r="J264" i="16"/>
  <c r="I264" i="16"/>
  <c r="G46" i="16"/>
  <c r="BY46" i="6" s="1"/>
  <c r="AA46" i="16"/>
  <c r="Z46" i="16" s="1"/>
  <c r="Y46" i="16" s="1"/>
  <c r="AE382" i="17"/>
  <c r="AE381" i="17"/>
  <c r="AE383" i="17"/>
  <c r="S17" i="17"/>
  <c r="R17" i="17" s="1"/>
  <c r="P17" i="17" s="1"/>
  <c r="S34" i="17"/>
  <c r="R34" i="17" s="1"/>
  <c r="P34" i="17" s="1"/>
  <c r="S50" i="17"/>
  <c r="R50" i="17" s="1"/>
  <c r="P50" i="17" s="1"/>
  <c r="S58" i="17"/>
  <c r="R58" i="17" s="1"/>
  <c r="P58" i="17" s="1"/>
  <c r="S62" i="17"/>
  <c r="R62" i="17" s="1"/>
  <c r="P62" i="17" s="1"/>
  <c r="S66" i="17"/>
  <c r="R66" i="17" s="1"/>
  <c r="P66" i="17" s="1"/>
  <c r="S70" i="17"/>
  <c r="R70" i="17" s="1"/>
  <c r="P70" i="17" s="1"/>
  <c r="S74" i="17"/>
  <c r="R74" i="17" s="1"/>
  <c r="P74" i="17" s="1"/>
  <c r="S78" i="17"/>
  <c r="R78" i="17" s="1"/>
  <c r="P78" i="17" s="1"/>
  <c r="S86" i="17"/>
  <c r="R86" i="17" s="1"/>
  <c r="P86" i="17" s="1"/>
  <c r="S90" i="17"/>
  <c r="R90" i="17" s="1"/>
  <c r="P90" i="17" s="1"/>
  <c r="S98" i="17"/>
  <c r="R98" i="17" s="1"/>
  <c r="P98" i="17" s="1"/>
  <c r="S106" i="17"/>
  <c r="R106" i="17" s="1"/>
  <c r="P106" i="17" s="1"/>
  <c r="S122" i="17"/>
  <c r="R122" i="17" s="1"/>
  <c r="P122" i="17" s="1"/>
  <c r="S134" i="17"/>
  <c r="R134" i="17" s="1"/>
  <c r="P134" i="17" s="1"/>
  <c r="V134" i="17" s="1"/>
  <c r="B134" i="17" s="1"/>
  <c r="S142" i="17"/>
  <c r="R142" i="17" s="1"/>
  <c r="P142" i="17" s="1"/>
  <c r="V142" i="17" s="1"/>
  <c r="B142" i="17" s="1"/>
  <c r="S150" i="17"/>
  <c r="R150" i="17" s="1"/>
  <c r="P150" i="17" s="1"/>
  <c r="V150" i="17" s="1"/>
  <c r="B150" i="17" s="1"/>
  <c r="S154" i="17"/>
  <c r="R154" i="17" s="1"/>
  <c r="P154" i="17" s="1"/>
  <c r="V154" i="17" s="1"/>
  <c r="B154" i="17" s="1"/>
  <c r="S162" i="17"/>
  <c r="R162" i="17" s="1"/>
  <c r="P162" i="17" s="1"/>
  <c r="V162" i="17" s="1"/>
  <c r="B162" i="17" s="1"/>
  <c r="S170" i="17"/>
  <c r="R170" i="17" s="1"/>
  <c r="P170" i="17" s="1"/>
  <c r="S186" i="17"/>
  <c r="R186" i="17" s="1"/>
  <c r="P186" i="17" s="1"/>
  <c r="S194" i="17"/>
  <c r="R194" i="17" s="1"/>
  <c r="P194" i="17" s="1"/>
  <c r="S214" i="17"/>
  <c r="R214" i="17" s="1"/>
  <c r="P214" i="17" s="1"/>
  <c r="V214" i="17" s="1"/>
  <c r="B214" i="17" s="1"/>
  <c r="S222" i="17"/>
  <c r="R222" i="17" s="1"/>
  <c r="P222" i="17" s="1"/>
  <c r="S226" i="17"/>
  <c r="R226" i="17" s="1"/>
  <c r="P226" i="17" s="1"/>
  <c r="S230" i="17"/>
  <c r="R230" i="17" s="1"/>
  <c r="P230" i="17" s="1"/>
  <c r="S238" i="17"/>
  <c r="R238" i="17" s="1"/>
  <c r="P238" i="17" s="1"/>
  <c r="S242" i="17"/>
  <c r="R242" i="17" s="1"/>
  <c r="P242" i="17" s="1"/>
  <c r="S250" i="17"/>
  <c r="R250" i="17" s="1"/>
  <c r="P250" i="17" s="1"/>
  <c r="S254" i="17"/>
  <c r="R254" i="17" s="1"/>
  <c r="P254" i="17" s="1"/>
  <c r="S258" i="17"/>
  <c r="R258" i="17" s="1"/>
  <c r="P258" i="17" s="1"/>
  <c r="V258" i="17" s="1"/>
  <c r="B258" i="17" s="1"/>
  <c r="S270" i="17"/>
  <c r="R270" i="17" s="1"/>
  <c r="P270" i="17" s="1"/>
  <c r="S274" i="17"/>
  <c r="R274" i="17" s="1"/>
  <c r="P274" i="17" s="1"/>
  <c r="S278" i="17"/>
  <c r="R278" i="17" s="1"/>
  <c r="P278" i="17" s="1"/>
  <c r="S286" i="17"/>
  <c r="R286" i="17" s="1"/>
  <c r="P286" i="17" s="1"/>
  <c r="V286" i="17" s="1"/>
  <c r="B286" i="17" s="1"/>
  <c r="S290" i="17"/>
  <c r="R290" i="17" s="1"/>
  <c r="P290" i="17" s="1"/>
  <c r="S294" i="17"/>
  <c r="R294" i="17" s="1"/>
  <c r="P294" i="17" s="1"/>
  <c r="V294" i="17" s="1"/>
  <c r="B294" i="17" s="1"/>
  <c r="S298" i="17"/>
  <c r="R298" i="17" s="1"/>
  <c r="P298" i="17" s="1"/>
  <c r="S302" i="17"/>
  <c r="R302" i="17" s="1"/>
  <c r="P302" i="17" s="1"/>
  <c r="S306" i="17"/>
  <c r="R306" i="17" s="1"/>
  <c r="P306" i="17" s="1"/>
  <c r="V306" i="17" s="1"/>
  <c r="B306" i="17" s="1"/>
  <c r="S310" i="17"/>
  <c r="R310" i="17" s="1"/>
  <c r="P310" i="17" s="1"/>
  <c r="S314" i="17"/>
  <c r="R314" i="17" s="1"/>
  <c r="P314" i="17" s="1"/>
  <c r="S338" i="17"/>
  <c r="R338" i="17" s="1"/>
  <c r="P338" i="17" s="1"/>
  <c r="S342" i="17"/>
  <c r="R342" i="17" s="1"/>
  <c r="P342" i="17" s="1"/>
  <c r="S358" i="17"/>
  <c r="R358" i="17" s="1"/>
  <c r="P358" i="17" s="1"/>
  <c r="S362" i="17"/>
  <c r="R362" i="17" s="1"/>
  <c r="P362" i="17" s="1"/>
  <c r="V362" i="17" s="1"/>
  <c r="S370" i="17"/>
  <c r="R370" i="17" s="1"/>
  <c r="P370" i="17" s="1"/>
  <c r="S374" i="17"/>
  <c r="R374" i="17" s="1"/>
  <c r="P374" i="17" s="1"/>
  <c r="S378" i="17"/>
  <c r="R378" i="17" s="1"/>
  <c r="P378" i="17" s="1"/>
  <c r="V378" i="17" s="1"/>
  <c r="B378" i="17" s="1"/>
  <c r="AB379" i="25"/>
  <c r="L379" i="25"/>
  <c r="B44" i="19" s="1"/>
  <c r="B33" i="19" s="1"/>
  <c r="AJ379" i="25"/>
  <c r="K379" i="25"/>
  <c r="X379" i="25"/>
  <c r="AK379" i="25"/>
  <c r="O379" i="25"/>
  <c r="C44" i="19" s="1"/>
  <c r="C33" i="19" s="1"/>
  <c r="AC379" i="25"/>
  <c r="AA228" i="16"/>
  <c r="Z228" i="16" s="1"/>
  <c r="Y228" i="16" s="1"/>
  <c r="H228" i="16"/>
  <c r="G228" i="16"/>
  <c r="BY228" i="6" s="1"/>
  <c r="B62" i="19"/>
  <c r="V380" i="15"/>
  <c r="V381" i="15" s="1"/>
  <c r="J227" i="16"/>
  <c r="I227" i="16"/>
  <c r="AA15" i="7"/>
  <c r="Q10" i="18"/>
  <c r="AE18" i="18" s="1"/>
  <c r="AK3" i="22"/>
  <c r="Q17" i="19" s="1"/>
  <c r="S21" i="17"/>
  <c r="R21" i="17" s="1"/>
  <c r="P21" i="17" s="1"/>
  <c r="S25" i="17"/>
  <c r="R25" i="17" s="1"/>
  <c r="P25" i="17" s="1"/>
  <c r="S33" i="17"/>
  <c r="R33" i="17" s="1"/>
  <c r="P33" i="17" s="1"/>
  <c r="S45" i="17"/>
  <c r="R45" i="17" s="1"/>
  <c r="P45" i="17" s="1"/>
  <c r="S49" i="17"/>
  <c r="R49" i="17" s="1"/>
  <c r="P49" i="17" s="1"/>
  <c r="S61" i="17"/>
  <c r="R61" i="17" s="1"/>
  <c r="P61" i="17" s="1"/>
  <c r="S65" i="17"/>
  <c r="R65" i="17" s="1"/>
  <c r="P65" i="17" s="1"/>
  <c r="S69" i="17"/>
  <c r="R69" i="17" s="1"/>
  <c r="P69" i="17" s="1"/>
  <c r="S73" i="17"/>
  <c r="R73" i="17" s="1"/>
  <c r="P73" i="17" s="1"/>
  <c r="S85" i="17"/>
  <c r="R85" i="17" s="1"/>
  <c r="P85" i="17" s="1"/>
  <c r="S89" i="17"/>
  <c r="R89" i="17" s="1"/>
  <c r="P89" i="17" s="1"/>
  <c r="S93" i="17"/>
  <c r="R93" i="17" s="1"/>
  <c r="P93" i="17" s="1"/>
  <c r="S105" i="17"/>
  <c r="R105" i="17" s="1"/>
  <c r="P105" i="17" s="1"/>
  <c r="S113" i="17"/>
  <c r="R113" i="17" s="1"/>
  <c r="P113" i="17" s="1"/>
  <c r="S117" i="17"/>
  <c r="R117" i="17" s="1"/>
  <c r="P117" i="17" s="1"/>
  <c r="S129" i="17"/>
  <c r="R129" i="17" s="1"/>
  <c r="P129" i="17" s="1"/>
  <c r="S141" i="17"/>
  <c r="R141" i="17" s="1"/>
  <c r="P141" i="17" s="1"/>
  <c r="S157" i="17"/>
  <c r="R157" i="17" s="1"/>
  <c r="P157" i="17" s="1"/>
  <c r="V157" i="17" s="1"/>
  <c r="B157" i="17" s="1"/>
  <c r="S161" i="17"/>
  <c r="R161" i="17" s="1"/>
  <c r="P161" i="17" s="1"/>
  <c r="S181" i="17"/>
  <c r="R181" i="17" s="1"/>
  <c r="P181" i="17" s="1"/>
  <c r="V181" i="17" s="1"/>
  <c r="B181" i="17" s="1"/>
  <c r="S193" i="17"/>
  <c r="R193" i="17" s="1"/>
  <c r="P193" i="17" s="1"/>
  <c r="S209" i="17"/>
  <c r="R209" i="17" s="1"/>
  <c r="P209" i="17" s="1"/>
  <c r="V209" i="17" s="1"/>
  <c r="B209" i="17" s="1"/>
  <c r="S217" i="17"/>
  <c r="R217" i="17" s="1"/>
  <c r="P217" i="17" s="1"/>
  <c r="V217" i="17" s="1"/>
  <c r="B217" i="17" s="1"/>
  <c r="S225" i="17"/>
  <c r="R225" i="17" s="1"/>
  <c r="P225" i="17" s="1"/>
  <c r="V225" i="17" s="1"/>
  <c r="B225" i="17" s="1"/>
  <c r="S229" i="17"/>
  <c r="R229" i="17" s="1"/>
  <c r="P229" i="17" s="1"/>
  <c r="S237" i="17"/>
  <c r="R237" i="17" s="1"/>
  <c r="P237" i="17" s="1"/>
  <c r="V237" i="17" s="1"/>
  <c r="B237" i="17" s="1"/>
  <c r="S241" i="17"/>
  <c r="R241" i="17" s="1"/>
  <c r="P241" i="17" s="1"/>
  <c r="S249" i="17"/>
  <c r="R249" i="17" s="1"/>
  <c r="P249" i="17" s="1"/>
  <c r="S253" i="17"/>
  <c r="R253" i="17" s="1"/>
  <c r="P253" i="17" s="1"/>
  <c r="V253" i="17" s="1"/>
  <c r="B253" i="17" s="1"/>
  <c r="S281" i="17"/>
  <c r="R281" i="17" s="1"/>
  <c r="P281" i="17" s="1"/>
  <c r="V281" i="17" s="1"/>
  <c r="B281" i="17" s="1"/>
  <c r="S285" i="17"/>
  <c r="R285" i="17" s="1"/>
  <c r="P285" i="17" s="1"/>
  <c r="V285" i="17" s="1"/>
  <c r="B285" i="17" s="1"/>
  <c r="S293" i="17"/>
  <c r="R293" i="17" s="1"/>
  <c r="P293" i="17" s="1"/>
  <c r="S297" i="17"/>
  <c r="R297" i="17" s="1"/>
  <c r="P297" i="17" s="1"/>
  <c r="V297" i="17" s="1"/>
  <c r="B297" i="17" s="1"/>
  <c r="S301" i="17"/>
  <c r="R301" i="17" s="1"/>
  <c r="P301" i="17" s="1"/>
  <c r="V301" i="17" s="1"/>
  <c r="B301" i="17" s="1"/>
  <c r="S309" i="17"/>
  <c r="R309" i="17" s="1"/>
  <c r="P309" i="17" s="1"/>
  <c r="V309" i="17" s="1"/>
  <c r="B309" i="17" s="1"/>
  <c r="S313" i="17"/>
  <c r="R313" i="17" s="1"/>
  <c r="P313" i="17" s="1"/>
  <c r="S317" i="17"/>
  <c r="R317" i="17" s="1"/>
  <c r="P317" i="17" s="1"/>
  <c r="S325" i="17"/>
  <c r="R325" i="17" s="1"/>
  <c r="P325" i="17" s="1"/>
  <c r="S329" i="17"/>
  <c r="R329" i="17" s="1"/>
  <c r="P329" i="17" s="1"/>
  <c r="V329" i="17" s="1"/>
  <c r="B329" i="17" s="1"/>
  <c r="S337" i="17"/>
  <c r="R337" i="17" s="1"/>
  <c r="P337" i="17" s="1"/>
  <c r="V337" i="17" s="1"/>
  <c r="B337" i="17" s="1"/>
  <c r="S341" i="17"/>
  <c r="R341" i="17" s="1"/>
  <c r="P341" i="17" s="1"/>
  <c r="S353" i="17"/>
  <c r="R353" i="17" s="1"/>
  <c r="P353" i="17" s="1"/>
  <c r="V353" i="17" s="1"/>
  <c r="B353" i="17" s="1"/>
  <c r="S361" i="17"/>
  <c r="R361" i="17" s="1"/>
  <c r="P361" i="17" s="1"/>
  <c r="V361" i="17" s="1"/>
  <c r="B361" i="17" s="1"/>
  <c r="S369" i="17"/>
  <c r="R369" i="17" s="1"/>
  <c r="P369" i="17" s="1"/>
  <c r="V369" i="17" s="1"/>
  <c r="B369" i="17" s="1"/>
  <c r="S373" i="17"/>
  <c r="R373" i="17" s="1"/>
  <c r="P373" i="17" s="1"/>
  <c r="V373" i="17" s="1"/>
  <c r="B373" i="17" s="1"/>
  <c r="S377" i="17"/>
  <c r="R377" i="17" s="1"/>
  <c r="P377" i="17" s="1"/>
  <c r="V377" i="17" s="1"/>
  <c r="B377" i="17" s="1"/>
  <c r="AF382" i="16"/>
  <c r="AF381" i="16"/>
  <c r="AF383" i="16"/>
  <c r="AD15" i="16"/>
  <c r="L381" i="24"/>
  <c r="L382" i="24"/>
  <c r="L383" i="24"/>
  <c r="AH381" i="17" l="1"/>
  <c r="AH382" i="17"/>
  <c r="I253" i="16"/>
  <c r="H60" i="16"/>
  <c r="J60" i="16" s="1"/>
  <c r="D119" i="16"/>
  <c r="E119" i="16" s="1"/>
  <c r="F119" i="16" s="1"/>
  <c r="G119" i="16" s="1"/>
  <c r="BY119" i="6" s="1"/>
  <c r="J193" i="16"/>
  <c r="I301" i="16"/>
  <c r="I105" i="16"/>
  <c r="J255" i="16"/>
  <c r="V29" i="17"/>
  <c r="B29" i="17" s="1"/>
  <c r="B119" i="17"/>
  <c r="J270" i="16"/>
  <c r="J247" i="16"/>
  <c r="V210" i="17"/>
  <c r="B210" i="17" s="1"/>
  <c r="L43" i="19"/>
  <c r="Q271" i="18"/>
  <c r="Q142" i="18"/>
  <c r="Q335" i="18"/>
  <c r="Q206" i="18"/>
  <c r="Q78" i="18"/>
  <c r="Q367" i="18"/>
  <c r="Q303" i="18"/>
  <c r="Q239" i="18"/>
  <c r="Q174" i="18"/>
  <c r="Q110" i="18"/>
  <c r="Q46" i="18"/>
  <c r="AA379" i="16"/>
  <c r="Z379" i="16" s="1"/>
  <c r="Y379" i="16" s="1"/>
  <c r="Q351" i="18"/>
  <c r="Q319" i="18"/>
  <c r="Q287" i="18"/>
  <c r="Q255" i="18"/>
  <c r="Q222" i="18"/>
  <c r="Q190" i="18"/>
  <c r="Q158" i="18"/>
  <c r="Q126" i="18"/>
  <c r="Q94" i="18"/>
  <c r="Q62" i="18"/>
  <c r="Q30" i="18"/>
  <c r="Q375" i="18"/>
  <c r="Q359" i="18"/>
  <c r="Q343" i="18"/>
  <c r="Q327" i="18"/>
  <c r="Q311" i="18"/>
  <c r="Q295" i="18"/>
  <c r="Q279" i="18"/>
  <c r="Q263" i="18"/>
  <c r="Q247" i="18"/>
  <c r="Q230" i="18"/>
  <c r="Q214" i="18"/>
  <c r="Q198" i="18"/>
  <c r="Q182" i="18"/>
  <c r="Q166" i="18"/>
  <c r="Q150" i="18"/>
  <c r="Q134" i="18"/>
  <c r="Q118" i="18"/>
  <c r="Q102" i="18"/>
  <c r="Q86" i="18"/>
  <c r="Q70" i="18"/>
  <c r="Q54" i="18"/>
  <c r="Q38" i="18"/>
  <c r="Q22" i="18"/>
  <c r="J234" i="16"/>
  <c r="I250" i="16"/>
  <c r="H197" i="16"/>
  <c r="I197" i="16" s="1"/>
  <c r="J19" i="16"/>
  <c r="V149" i="17"/>
  <c r="B149" i="17" s="1"/>
  <c r="H379" i="1"/>
  <c r="G379" i="1"/>
  <c r="BW379" i="6" s="1"/>
  <c r="AA379" i="1"/>
  <c r="J266" i="16"/>
  <c r="I171" i="16"/>
  <c r="D67" i="7"/>
  <c r="D59" i="7"/>
  <c r="D58" i="7"/>
  <c r="V333" i="17"/>
  <c r="B333" i="17" s="1"/>
  <c r="I324" i="16"/>
  <c r="H40" i="16"/>
  <c r="J40" i="16" s="1"/>
  <c r="J51" i="16"/>
  <c r="Q379" i="18"/>
  <c r="AB15" i="7" s="1"/>
  <c r="Q371" i="18"/>
  <c r="Q363" i="18"/>
  <c r="Q355" i="18"/>
  <c r="Q347" i="18"/>
  <c r="Q339" i="18"/>
  <c r="Q331" i="18"/>
  <c r="Q323" i="18"/>
  <c r="Q315" i="18"/>
  <c r="Q307" i="18"/>
  <c r="Q299" i="18"/>
  <c r="Q291" i="18"/>
  <c r="Q283" i="18"/>
  <c r="Q275" i="18"/>
  <c r="Q267" i="18"/>
  <c r="Q259" i="18"/>
  <c r="Q251" i="18"/>
  <c r="Q243" i="18"/>
  <c r="Q234" i="18"/>
  <c r="Q226" i="18"/>
  <c r="Q218" i="18"/>
  <c r="Q210" i="18"/>
  <c r="Q202" i="18"/>
  <c r="Q194" i="18"/>
  <c r="Q186" i="18"/>
  <c r="Q178" i="18"/>
  <c r="Q170" i="18"/>
  <c r="Q162" i="18"/>
  <c r="Q154" i="18"/>
  <c r="Q146" i="18"/>
  <c r="Q138" i="18"/>
  <c r="Q130" i="18"/>
  <c r="Q122" i="18"/>
  <c r="Q114" i="18"/>
  <c r="Q106" i="18"/>
  <c r="Q98" i="18"/>
  <c r="Q90" i="18"/>
  <c r="Q82" i="18"/>
  <c r="Q74" i="18"/>
  <c r="Q66" i="18"/>
  <c r="Q58" i="18"/>
  <c r="Q50" i="18"/>
  <c r="Q42" i="18"/>
  <c r="Q34" i="18"/>
  <c r="Q26" i="18"/>
  <c r="Q16" i="18"/>
  <c r="J52" i="16"/>
  <c r="J75" i="16"/>
  <c r="Q377" i="18"/>
  <c r="Q373" i="18"/>
  <c r="Q369" i="18"/>
  <c r="Q365" i="18"/>
  <c r="Q361" i="18"/>
  <c r="Q357" i="18"/>
  <c r="Q353" i="18"/>
  <c r="Q349" i="18"/>
  <c r="Q345" i="18"/>
  <c r="Q341" i="18"/>
  <c r="Q337" i="18"/>
  <c r="Q333" i="18"/>
  <c r="Q329" i="18"/>
  <c r="Q325" i="18"/>
  <c r="Q321" i="18"/>
  <c r="Q317" i="18"/>
  <c r="Q313" i="18"/>
  <c r="Q309" i="18"/>
  <c r="Q305" i="18"/>
  <c r="Q301" i="18"/>
  <c r="Q297" i="18"/>
  <c r="Q293" i="18"/>
  <c r="Q289" i="18"/>
  <c r="Q285" i="18"/>
  <c r="Q281" i="18"/>
  <c r="Q277" i="18"/>
  <c r="Q273" i="18"/>
  <c r="Q269" i="18"/>
  <c r="Q265" i="18"/>
  <c r="Q261" i="18"/>
  <c r="Q257" i="18"/>
  <c r="Q253" i="18"/>
  <c r="Q249" i="18"/>
  <c r="Q245" i="18"/>
  <c r="Q241" i="18"/>
  <c r="Q236" i="18"/>
  <c r="Q232" i="18"/>
  <c r="Q228" i="18"/>
  <c r="Q224" i="18"/>
  <c r="Q220" i="18"/>
  <c r="Q216" i="18"/>
  <c r="Q212" i="18"/>
  <c r="Q208" i="18"/>
  <c r="Q204" i="18"/>
  <c r="Q200" i="18"/>
  <c r="Q196" i="18"/>
  <c r="Q192" i="18"/>
  <c r="Q188" i="18"/>
  <c r="Q184" i="18"/>
  <c r="Q180" i="18"/>
  <c r="Q176" i="18"/>
  <c r="Q172" i="18"/>
  <c r="Q168" i="18"/>
  <c r="Q164" i="18"/>
  <c r="Q160" i="18"/>
  <c r="Q156" i="18"/>
  <c r="Q152" i="18"/>
  <c r="Q148" i="18"/>
  <c r="Q144" i="18"/>
  <c r="Q140" i="18"/>
  <c r="Q136" i="18"/>
  <c r="Q132" i="18"/>
  <c r="Q128" i="18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Q28" i="18"/>
  <c r="Q24" i="18"/>
  <c r="Q20" i="18"/>
  <c r="Q19" i="18"/>
  <c r="J28" i="16"/>
  <c r="I172" i="16"/>
  <c r="J136" i="16"/>
  <c r="J269" i="16"/>
  <c r="I269" i="16"/>
  <c r="J20" i="16"/>
  <c r="I20" i="16"/>
  <c r="I34" i="16"/>
  <c r="J34" i="16"/>
  <c r="I241" i="16"/>
  <c r="J241" i="16"/>
  <c r="J288" i="16"/>
  <c r="I288" i="16"/>
  <c r="G93" i="16"/>
  <c r="BY93" i="6" s="1"/>
  <c r="H93" i="16"/>
  <c r="AA93" i="16"/>
  <c r="Z93" i="16" s="1"/>
  <c r="Y93" i="16" s="1"/>
  <c r="AA374" i="16"/>
  <c r="Z374" i="16" s="1"/>
  <c r="Y374" i="16" s="1"/>
  <c r="G374" i="16"/>
  <c r="BY374" i="6" s="1"/>
  <c r="AA31" i="16"/>
  <c r="Z31" i="16" s="1"/>
  <c r="Y31" i="16" s="1"/>
  <c r="H31" i="16"/>
  <c r="G31" i="16"/>
  <c r="BY31" i="6" s="1"/>
  <c r="G275" i="16"/>
  <c r="BY275" i="6" s="1"/>
  <c r="AA275" i="16"/>
  <c r="Z275" i="16" s="1"/>
  <c r="Y275" i="16" s="1"/>
  <c r="H275" i="16"/>
  <c r="G152" i="16"/>
  <c r="BY152" i="6" s="1"/>
  <c r="H152" i="16"/>
  <c r="AA152" i="16"/>
  <c r="Z152" i="16" s="1"/>
  <c r="Y152" i="16" s="1"/>
  <c r="AA92" i="16"/>
  <c r="Z92" i="16" s="1"/>
  <c r="Y92" i="16" s="1"/>
  <c r="G92" i="16"/>
  <c r="BY92" i="6" s="1"/>
  <c r="H92" i="16"/>
  <c r="I65" i="16"/>
  <c r="J65" i="16"/>
  <c r="I109" i="16"/>
  <c r="J109" i="16"/>
  <c r="J153" i="16"/>
  <c r="I153" i="16"/>
  <c r="J325" i="16"/>
  <c r="I325" i="16"/>
  <c r="J252" i="16"/>
  <c r="I252" i="16"/>
  <c r="I163" i="16"/>
  <c r="J163" i="16"/>
  <c r="J183" i="16"/>
  <c r="I183" i="16"/>
  <c r="J351" i="16"/>
  <c r="I351" i="16"/>
  <c r="I336" i="16"/>
  <c r="J336" i="16"/>
  <c r="I216" i="16"/>
  <c r="J216" i="16"/>
  <c r="J132" i="16"/>
  <c r="I132" i="16"/>
  <c r="J297" i="16"/>
  <c r="I297" i="16"/>
  <c r="I174" i="16"/>
  <c r="J174" i="16"/>
  <c r="I194" i="16"/>
  <c r="J194" i="16"/>
  <c r="G58" i="16"/>
  <c r="BY58" i="6" s="1"/>
  <c r="AA58" i="16"/>
  <c r="Z58" i="16" s="1"/>
  <c r="Y58" i="16" s="1"/>
  <c r="I304" i="16"/>
  <c r="J304" i="16"/>
  <c r="J278" i="16"/>
  <c r="I278" i="16"/>
  <c r="J226" i="16"/>
  <c r="I226" i="16"/>
  <c r="W380" i="16"/>
  <c r="D380" i="16"/>
  <c r="E380" i="16" s="1"/>
  <c r="F380" i="16" s="1"/>
  <c r="I284" i="16"/>
  <c r="J284" i="16"/>
  <c r="H217" i="16"/>
  <c r="G217" i="16"/>
  <c r="BY217" i="6" s="1"/>
  <c r="AA217" i="16"/>
  <c r="Z217" i="16" s="1"/>
  <c r="Y217" i="16" s="1"/>
  <c r="G378" i="16"/>
  <c r="BY378" i="6" s="1"/>
  <c r="AA378" i="16"/>
  <c r="Z378" i="16" s="1"/>
  <c r="Y378" i="16" s="1"/>
  <c r="H342" i="16"/>
  <c r="G342" i="16"/>
  <c r="BY342" i="6" s="1"/>
  <c r="AA342" i="16"/>
  <c r="Z342" i="16" s="1"/>
  <c r="Y342" i="16" s="1"/>
  <c r="AA308" i="16"/>
  <c r="Z308" i="16" s="1"/>
  <c r="Y308" i="16" s="1"/>
  <c r="H308" i="16"/>
  <c r="G308" i="16"/>
  <c r="BY308" i="6" s="1"/>
  <c r="H119" i="16"/>
  <c r="AA87" i="16"/>
  <c r="Z87" i="16" s="1"/>
  <c r="Y87" i="16" s="1"/>
  <c r="H87" i="16"/>
  <c r="G87" i="16"/>
  <c r="BY87" i="6" s="1"/>
  <c r="H341" i="16"/>
  <c r="AA341" i="16"/>
  <c r="Z341" i="16" s="1"/>
  <c r="Y341" i="16" s="1"/>
  <c r="G341" i="16"/>
  <c r="BY341" i="6" s="1"/>
  <c r="AA139" i="16"/>
  <c r="Z139" i="16" s="1"/>
  <c r="Y139" i="16" s="1"/>
  <c r="H139" i="16"/>
  <c r="G139" i="16"/>
  <c r="BY139" i="6" s="1"/>
  <c r="AA27" i="16"/>
  <c r="Z27" i="16" s="1"/>
  <c r="Y27" i="16" s="1"/>
  <c r="H27" i="16"/>
  <c r="G27" i="16"/>
  <c r="BY27" i="6" s="1"/>
  <c r="G36" i="16"/>
  <c r="BY36" i="6" s="1"/>
  <c r="AA36" i="16"/>
  <c r="Z36" i="16" s="1"/>
  <c r="Y36" i="16" s="1"/>
  <c r="H233" i="16"/>
  <c r="AA233" i="16"/>
  <c r="Z233" i="16" s="1"/>
  <c r="Y233" i="16" s="1"/>
  <c r="G233" i="16"/>
  <c r="BY233" i="6" s="1"/>
  <c r="G21" i="16"/>
  <c r="BY21" i="6" s="1"/>
  <c r="AA21" i="16"/>
  <c r="Z21" i="16" s="1"/>
  <c r="Y21" i="16" s="1"/>
  <c r="H21" i="16"/>
  <c r="I35" i="16"/>
  <c r="J35" i="16"/>
  <c r="J89" i="16"/>
  <c r="I89" i="16"/>
  <c r="J67" i="16"/>
  <c r="I67" i="16"/>
  <c r="J155" i="16"/>
  <c r="I155" i="16"/>
  <c r="I25" i="16"/>
  <c r="J25" i="16"/>
  <c r="I231" i="16"/>
  <c r="J231" i="16"/>
  <c r="I123" i="16"/>
  <c r="J123" i="16"/>
  <c r="I282" i="16"/>
  <c r="J282" i="16"/>
  <c r="I170" i="16"/>
  <c r="J170" i="16"/>
  <c r="I240" i="16"/>
  <c r="J240" i="16"/>
  <c r="J206" i="16"/>
  <c r="I206" i="16"/>
  <c r="J168" i="16"/>
  <c r="I168" i="16"/>
  <c r="I101" i="16"/>
  <c r="J101" i="16"/>
  <c r="AA42" i="16"/>
  <c r="Z42" i="16" s="1"/>
  <c r="Y42" i="16" s="1"/>
  <c r="G42" i="16"/>
  <c r="BY42" i="6" s="1"/>
  <c r="H42" i="16"/>
  <c r="J56" i="16"/>
  <c r="I56" i="16"/>
  <c r="J337" i="16"/>
  <c r="I337" i="16"/>
  <c r="I142" i="16"/>
  <c r="J142" i="16"/>
  <c r="J236" i="16"/>
  <c r="I236" i="16"/>
  <c r="I186" i="16"/>
  <c r="J186" i="16"/>
  <c r="H58" i="16"/>
  <c r="J346" i="16"/>
  <c r="I346" i="16"/>
  <c r="J76" i="16"/>
  <c r="I76" i="16"/>
  <c r="I94" i="16"/>
  <c r="J94" i="16"/>
  <c r="E15" i="15"/>
  <c r="AJ9" i="15" s="1"/>
  <c r="AJ11" i="15" s="1"/>
  <c r="G88" i="16"/>
  <c r="BY88" i="6" s="1"/>
  <c r="AA88" i="16"/>
  <c r="Z88" i="16" s="1"/>
  <c r="Y88" i="16" s="1"/>
  <c r="H88" i="16"/>
  <c r="G173" i="16"/>
  <c r="BY173" i="6" s="1"/>
  <c r="AA173" i="16"/>
  <c r="Z173" i="16" s="1"/>
  <c r="Y173" i="16" s="1"/>
  <c r="H173" i="16"/>
  <c r="AA210" i="16"/>
  <c r="Z210" i="16" s="1"/>
  <c r="Y210" i="16" s="1"/>
  <c r="H210" i="16"/>
  <c r="G210" i="16"/>
  <c r="BY210" i="6" s="1"/>
  <c r="H36" i="16"/>
  <c r="H16" i="16"/>
  <c r="J24" i="16"/>
  <c r="I24" i="16"/>
  <c r="J121" i="16"/>
  <c r="I121" i="16"/>
  <c r="J309" i="16"/>
  <c r="I309" i="16"/>
  <c r="J33" i="16"/>
  <c r="I33" i="16"/>
  <c r="J37" i="16"/>
  <c r="I37" i="16"/>
  <c r="I91" i="16"/>
  <c r="J91" i="16"/>
  <c r="I175" i="16"/>
  <c r="J175" i="16"/>
  <c r="I191" i="16"/>
  <c r="J191" i="16"/>
  <c r="J344" i="16"/>
  <c r="I344" i="16"/>
  <c r="J290" i="16"/>
  <c r="I290" i="16"/>
  <c r="I218" i="16"/>
  <c r="J218" i="16"/>
  <c r="I130" i="16"/>
  <c r="J130" i="16"/>
  <c r="J248" i="16"/>
  <c r="I248" i="16"/>
  <c r="I160" i="16"/>
  <c r="J160" i="16"/>
  <c r="AA363" i="16"/>
  <c r="Z363" i="16" s="1"/>
  <c r="Y363" i="16" s="1"/>
  <c r="G363" i="16"/>
  <c r="BY363" i="6" s="1"/>
  <c r="I305" i="16"/>
  <c r="J305" i="16"/>
  <c r="J47" i="16"/>
  <c r="I47" i="16"/>
  <c r="J110" i="16"/>
  <c r="I110" i="16"/>
  <c r="J44" i="16"/>
  <c r="I44" i="16"/>
  <c r="I292" i="16"/>
  <c r="J292" i="16"/>
  <c r="J260" i="16"/>
  <c r="I260" i="16"/>
  <c r="J230" i="16"/>
  <c r="I230" i="16"/>
  <c r="I98" i="16"/>
  <c r="J98" i="16"/>
  <c r="J294" i="16"/>
  <c r="I294" i="16"/>
  <c r="G310" i="16"/>
  <c r="BY310" i="6" s="1"/>
  <c r="H310" i="16"/>
  <c r="AA310" i="16"/>
  <c r="Z310" i="16" s="1"/>
  <c r="Y310" i="16" s="1"/>
  <c r="G103" i="16"/>
  <c r="BY103" i="6" s="1"/>
  <c r="AA103" i="16"/>
  <c r="Z103" i="16" s="1"/>
  <c r="Y103" i="16" s="1"/>
  <c r="H103" i="16"/>
  <c r="AA212" i="16"/>
  <c r="Z212" i="16" s="1"/>
  <c r="Y212" i="16" s="1"/>
  <c r="H212" i="16"/>
  <c r="G212" i="16"/>
  <c r="BY212" i="6" s="1"/>
  <c r="G70" i="16"/>
  <c r="BY70" i="6" s="1"/>
  <c r="AA70" i="16"/>
  <c r="Z70" i="16" s="1"/>
  <c r="Y70" i="16" s="1"/>
  <c r="H70" i="16"/>
  <c r="G167" i="16"/>
  <c r="BY167" i="6" s="1"/>
  <c r="AA167" i="16"/>
  <c r="Z167" i="16" s="1"/>
  <c r="Y167" i="16" s="1"/>
  <c r="H167" i="16"/>
  <c r="H135" i="16"/>
  <c r="G135" i="16"/>
  <c r="BY135" i="6" s="1"/>
  <c r="AA135" i="16"/>
  <c r="Z135" i="16" s="1"/>
  <c r="Y135" i="16" s="1"/>
  <c r="J85" i="16"/>
  <c r="I85" i="16"/>
  <c r="J95" i="16"/>
  <c r="I95" i="16"/>
  <c r="J302" i="16"/>
  <c r="I302" i="16"/>
  <c r="J154" i="16"/>
  <c r="I154" i="16"/>
  <c r="J232" i="16"/>
  <c r="I232" i="16"/>
  <c r="J104" i="16"/>
  <c r="I104" i="16"/>
  <c r="G40" i="16"/>
  <c r="BY40" i="6" s="1"/>
  <c r="AA40" i="16"/>
  <c r="Z40" i="16" s="1"/>
  <c r="Y40" i="16" s="1"/>
  <c r="J62" i="16"/>
  <c r="I62" i="16"/>
  <c r="I147" i="16"/>
  <c r="J147" i="16"/>
  <c r="J340" i="16"/>
  <c r="I340" i="16"/>
  <c r="I192" i="16"/>
  <c r="J192" i="16"/>
  <c r="J72" i="16"/>
  <c r="I72" i="16"/>
  <c r="J246" i="16"/>
  <c r="I246" i="16"/>
  <c r="I200" i="16"/>
  <c r="J200" i="16"/>
  <c r="I90" i="16"/>
  <c r="J90" i="16"/>
  <c r="AA199" i="16"/>
  <c r="Z199" i="16" s="1"/>
  <c r="Y199" i="16" s="1"/>
  <c r="H199" i="16"/>
  <c r="G199" i="16"/>
  <c r="BY199" i="6" s="1"/>
  <c r="AA73" i="16"/>
  <c r="Z73" i="16" s="1"/>
  <c r="Y73" i="16" s="1"/>
  <c r="G73" i="16"/>
  <c r="BY73" i="6" s="1"/>
  <c r="H73" i="16"/>
  <c r="H274" i="16"/>
  <c r="G274" i="16"/>
  <c r="BY274" i="6" s="1"/>
  <c r="AA274" i="16"/>
  <c r="Z274" i="16" s="1"/>
  <c r="Y274" i="16" s="1"/>
  <c r="AA296" i="16"/>
  <c r="Z296" i="16" s="1"/>
  <c r="Y296" i="16" s="1"/>
  <c r="G296" i="16"/>
  <c r="BY296" i="6" s="1"/>
  <c r="H296" i="16"/>
  <c r="H176" i="16"/>
  <c r="G176" i="16"/>
  <c r="BY176" i="6" s="1"/>
  <c r="AA176" i="16"/>
  <c r="Z176" i="16" s="1"/>
  <c r="Y176" i="16" s="1"/>
  <c r="G112" i="16"/>
  <c r="BY112" i="6" s="1"/>
  <c r="AA112" i="16"/>
  <c r="Z112" i="16" s="1"/>
  <c r="Y112" i="16" s="1"/>
  <c r="H112" i="16"/>
  <c r="G84" i="16"/>
  <c r="BY84" i="6" s="1"/>
  <c r="AA84" i="16"/>
  <c r="Z84" i="16" s="1"/>
  <c r="Y84" i="16" s="1"/>
  <c r="H84" i="16"/>
  <c r="G143" i="16"/>
  <c r="BY143" i="6" s="1"/>
  <c r="H143" i="16"/>
  <c r="AA143" i="16"/>
  <c r="Z143" i="16" s="1"/>
  <c r="Y143" i="16" s="1"/>
  <c r="AA38" i="16"/>
  <c r="Z38" i="16" s="1"/>
  <c r="Y38" i="16" s="1"/>
  <c r="G38" i="16"/>
  <c r="BY38" i="6" s="1"/>
  <c r="H38" i="16"/>
  <c r="J205" i="16"/>
  <c r="I205" i="16"/>
  <c r="I287" i="16"/>
  <c r="J287" i="16"/>
  <c r="J55" i="16"/>
  <c r="I55" i="16"/>
  <c r="J196" i="16"/>
  <c r="I196" i="16"/>
  <c r="J146" i="16"/>
  <c r="I146" i="16"/>
  <c r="J106" i="16"/>
  <c r="I106" i="16"/>
  <c r="I96" i="16"/>
  <c r="J96" i="16"/>
  <c r="G30" i="16"/>
  <c r="BY30" i="6" s="1"/>
  <c r="AA30" i="16"/>
  <c r="Z30" i="16" s="1"/>
  <c r="Y30" i="16" s="1"/>
  <c r="I334" i="16"/>
  <c r="J334" i="16"/>
  <c r="J298" i="16"/>
  <c r="I298" i="16"/>
  <c r="I209" i="16"/>
  <c r="J209" i="16"/>
  <c r="J43" i="16"/>
  <c r="I43" i="16"/>
  <c r="I159" i="16"/>
  <c r="J159" i="16"/>
  <c r="I286" i="16"/>
  <c r="J286" i="16"/>
  <c r="I134" i="16"/>
  <c r="J134" i="16"/>
  <c r="I328" i="16"/>
  <c r="J328" i="16"/>
  <c r="J242" i="16"/>
  <c r="I242" i="16"/>
  <c r="J178" i="16"/>
  <c r="I178" i="16"/>
  <c r="I316" i="16"/>
  <c r="J316" i="16"/>
  <c r="I300" i="16"/>
  <c r="J300" i="16"/>
  <c r="J108" i="16"/>
  <c r="I108" i="16"/>
  <c r="H149" i="16"/>
  <c r="AA149" i="16"/>
  <c r="Z149" i="16" s="1"/>
  <c r="Y149" i="16" s="1"/>
  <c r="G149" i="16"/>
  <c r="BY149" i="6" s="1"/>
  <c r="AA372" i="16"/>
  <c r="Z372" i="16" s="1"/>
  <c r="Y372" i="16" s="1"/>
  <c r="G372" i="16"/>
  <c r="BY372" i="6" s="1"/>
  <c r="AA322" i="16"/>
  <c r="Z322" i="16" s="1"/>
  <c r="Y322" i="16" s="1"/>
  <c r="G322" i="16"/>
  <c r="BY322" i="6" s="1"/>
  <c r="H322" i="16"/>
  <c r="AA184" i="16"/>
  <c r="Z184" i="16" s="1"/>
  <c r="Y184" i="16" s="1"/>
  <c r="G184" i="16"/>
  <c r="BY184" i="6" s="1"/>
  <c r="H184" i="16"/>
  <c r="G97" i="16"/>
  <c r="BY97" i="6" s="1"/>
  <c r="AA97" i="16"/>
  <c r="Z97" i="16" s="1"/>
  <c r="Y97" i="16" s="1"/>
  <c r="H97" i="16"/>
  <c r="AA74" i="16"/>
  <c r="Z74" i="16" s="1"/>
  <c r="Y74" i="16" s="1"/>
  <c r="H74" i="16"/>
  <c r="G74" i="16"/>
  <c r="BY74" i="6" s="1"/>
  <c r="AA299" i="16"/>
  <c r="Z299" i="16" s="1"/>
  <c r="Y299" i="16" s="1"/>
  <c r="G299" i="16"/>
  <c r="BY299" i="6" s="1"/>
  <c r="H299" i="16"/>
  <c r="AA53" i="16"/>
  <c r="Z53" i="16" s="1"/>
  <c r="Y53" i="16" s="1"/>
  <c r="H53" i="16"/>
  <c r="G53" i="16"/>
  <c r="BY53" i="6" s="1"/>
  <c r="G140" i="16"/>
  <c r="BY140" i="6" s="1"/>
  <c r="H140" i="16"/>
  <c r="AA140" i="16"/>
  <c r="Z140" i="16" s="1"/>
  <c r="Y140" i="16" s="1"/>
  <c r="G48" i="16"/>
  <c r="BY48" i="6" s="1"/>
  <c r="H48" i="16"/>
  <c r="AA48" i="16"/>
  <c r="Z48" i="16" s="1"/>
  <c r="Y48" i="16" s="1"/>
  <c r="I64" i="16"/>
  <c r="J64" i="16"/>
  <c r="G16" i="16"/>
  <c r="BY16" i="6" s="1"/>
  <c r="AA16" i="16"/>
  <c r="Z16" i="16" s="1"/>
  <c r="Y16" i="16" s="1"/>
  <c r="AA50" i="16"/>
  <c r="Z50" i="16" s="1"/>
  <c r="Y50" i="16" s="1"/>
  <c r="G50" i="16"/>
  <c r="BY50" i="6" s="1"/>
  <c r="H50" i="16"/>
  <c r="I213" i="16"/>
  <c r="J213" i="16"/>
  <c r="J63" i="16"/>
  <c r="I63" i="16"/>
  <c r="J39" i="16"/>
  <c r="I39" i="16"/>
  <c r="I122" i="16"/>
  <c r="J122" i="16"/>
  <c r="I124" i="16"/>
  <c r="J124" i="16"/>
  <c r="I86" i="16"/>
  <c r="J86" i="16"/>
  <c r="J137" i="16"/>
  <c r="I137" i="16"/>
  <c r="H333" i="16"/>
  <c r="AA333" i="16"/>
  <c r="Z333" i="16" s="1"/>
  <c r="Y333" i="16" s="1"/>
  <c r="G333" i="16"/>
  <c r="BY333" i="6" s="1"/>
  <c r="I125" i="16"/>
  <c r="J125" i="16"/>
  <c r="J293" i="16"/>
  <c r="I293" i="16"/>
  <c r="I280" i="16"/>
  <c r="J280" i="16"/>
  <c r="J71" i="16"/>
  <c r="I71" i="16"/>
  <c r="I332" i="16"/>
  <c r="J332" i="16"/>
  <c r="I166" i="16"/>
  <c r="J166" i="16"/>
  <c r="I102" i="16"/>
  <c r="J102" i="16"/>
  <c r="I18" i="16"/>
  <c r="J18" i="16"/>
  <c r="I23" i="16"/>
  <c r="J23" i="16"/>
  <c r="J26" i="16"/>
  <c r="I26" i="16"/>
  <c r="J68" i="16"/>
  <c r="I68" i="16"/>
  <c r="J262" i="16"/>
  <c r="I262" i="16"/>
  <c r="J238" i="16"/>
  <c r="I238" i="16"/>
  <c r="J208" i="16"/>
  <c r="I208" i="16"/>
  <c r="J188" i="16"/>
  <c r="I188" i="16"/>
  <c r="I138" i="16"/>
  <c r="J138" i="16"/>
  <c r="J66" i="16"/>
  <c r="I66" i="16"/>
  <c r="AA222" i="16"/>
  <c r="Z222" i="16" s="1"/>
  <c r="Y222" i="16" s="1"/>
  <c r="G222" i="16"/>
  <c r="BY222" i="6" s="1"/>
  <c r="H222" i="16"/>
  <c r="G78" i="16"/>
  <c r="BY78" i="6" s="1"/>
  <c r="H78" i="16"/>
  <c r="AA78" i="16"/>
  <c r="Z78" i="16" s="1"/>
  <c r="Y78" i="16" s="1"/>
  <c r="AA111" i="16"/>
  <c r="Z111" i="16" s="1"/>
  <c r="Y111" i="16" s="1"/>
  <c r="G111" i="16"/>
  <c r="BY111" i="6" s="1"/>
  <c r="H111" i="16"/>
  <c r="H118" i="16"/>
  <c r="AA118" i="16"/>
  <c r="Z118" i="16" s="1"/>
  <c r="Y118" i="16" s="1"/>
  <c r="G118" i="16"/>
  <c r="BY118" i="6" s="1"/>
  <c r="I61" i="16"/>
  <c r="J61" i="16"/>
  <c r="I169" i="16"/>
  <c r="J169" i="16"/>
  <c r="I162" i="16"/>
  <c r="J162" i="16"/>
  <c r="I116" i="16"/>
  <c r="J116" i="16"/>
  <c r="I82" i="16"/>
  <c r="J82" i="16"/>
  <c r="AA197" i="16"/>
  <c r="Z197" i="16" s="1"/>
  <c r="Y197" i="16" s="1"/>
  <c r="G197" i="16"/>
  <c r="BY197" i="6" s="1"/>
  <c r="I268" i="16"/>
  <c r="J268" i="16"/>
  <c r="J254" i="16"/>
  <c r="I254" i="16"/>
  <c r="I158" i="16"/>
  <c r="J158" i="16"/>
  <c r="J32" i="16"/>
  <c r="I32" i="16"/>
  <c r="I314" i="16"/>
  <c r="J314" i="16"/>
  <c r="J318" i="16"/>
  <c r="I318" i="16"/>
  <c r="J198" i="16"/>
  <c r="I198" i="16"/>
  <c r="J326" i="16"/>
  <c r="I326" i="16"/>
  <c r="J306" i="16"/>
  <c r="I306" i="16"/>
  <c r="I276" i="16"/>
  <c r="J276" i="16"/>
  <c r="G289" i="16"/>
  <c r="BY289" i="6" s="1"/>
  <c r="AA289" i="16"/>
  <c r="Z289" i="16" s="1"/>
  <c r="Y289" i="16" s="1"/>
  <c r="H289" i="16"/>
  <c r="H57" i="16"/>
  <c r="AA57" i="16"/>
  <c r="Z57" i="16" s="1"/>
  <c r="Y57" i="16" s="1"/>
  <c r="G57" i="16"/>
  <c r="BY57" i="6" s="1"/>
  <c r="AA180" i="16"/>
  <c r="Z180" i="16" s="1"/>
  <c r="Y180" i="16" s="1"/>
  <c r="G180" i="16"/>
  <c r="BY180" i="6" s="1"/>
  <c r="H180" i="16"/>
  <c r="G151" i="16"/>
  <c r="BY151" i="6" s="1"/>
  <c r="H151" i="16"/>
  <c r="AA151" i="16"/>
  <c r="Z151" i="16" s="1"/>
  <c r="Y151" i="16" s="1"/>
  <c r="J77" i="16"/>
  <c r="I77" i="16"/>
  <c r="J141" i="16"/>
  <c r="I141" i="16"/>
  <c r="I257" i="16"/>
  <c r="J257" i="16"/>
  <c r="I59" i="16"/>
  <c r="J59" i="16"/>
  <c r="J83" i="16"/>
  <c r="I83" i="16"/>
  <c r="I343" i="16"/>
  <c r="J343" i="16"/>
  <c r="I291" i="16"/>
  <c r="J291" i="16"/>
  <c r="J207" i="16"/>
  <c r="I207" i="16"/>
  <c r="J258" i="16"/>
  <c r="I258" i="16"/>
  <c r="J204" i="16"/>
  <c r="I204" i="16"/>
  <c r="J80" i="16"/>
  <c r="I80" i="16"/>
  <c r="J190" i="16"/>
  <c r="I190" i="16"/>
  <c r="I144" i="16"/>
  <c r="J144" i="16"/>
  <c r="H30" i="16"/>
  <c r="J17" i="16"/>
  <c r="I17" i="16"/>
  <c r="J272" i="16"/>
  <c r="I272" i="16"/>
  <c r="J81" i="16"/>
  <c r="I81" i="16"/>
  <c r="I285" i="16"/>
  <c r="J285" i="16"/>
  <c r="I313" i="16"/>
  <c r="J313" i="16"/>
  <c r="J150" i="16"/>
  <c r="I150" i="16"/>
  <c r="I126" i="16"/>
  <c r="J126" i="16"/>
  <c r="I244" i="16"/>
  <c r="J244" i="16"/>
  <c r="I220" i="16"/>
  <c r="J220" i="16"/>
  <c r="G54" i="16"/>
  <c r="BY54" i="6" s="1"/>
  <c r="H54" i="16"/>
  <c r="AA54" i="16"/>
  <c r="Z54" i="16" s="1"/>
  <c r="Y54" i="16" s="1"/>
  <c r="I22" i="16"/>
  <c r="J22" i="16"/>
  <c r="I237" i="16"/>
  <c r="J237" i="16"/>
  <c r="I224" i="16"/>
  <c r="J224" i="16"/>
  <c r="J182" i="16"/>
  <c r="I182" i="16"/>
  <c r="J114" i="16"/>
  <c r="I114" i="16"/>
  <c r="U10" i="18"/>
  <c r="U15" i="18" s="1"/>
  <c r="V383" i="15"/>
  <c r="AC382" i="25"/>
  <c r="AC383" i="25"/>
  <c r="AC381" i="25"/>
  <c r="V382" i="15"/>
  <c r="O383" i="25"/>
  <c r="O381" i="25"/>
  <c r="O382" i="25"/>
  <c r="V113" i="17"/>
  <c r="B113" i="17" s="1"/>
  <c r="V105" i="17"/>
  <c r="B105" i="17" s="1"/>
  <c r="V89" i="17"/>
  <c r="B89" i="17" s="1"/>
  <c r="V73" i="17"/>
  <c r="B73" i="17" s="1"/>
  <c r="V65" i="17"/>
  <c r="B65" i="17" s="1"/>
  <c r="V49" i="17"/>
  <c r="B49" i="17" s="1"/>
  <c r="V33" i="17"/>
  <c r="B33" i="17" s="1"/>
  <c r="V186" i="17"/>
  <c r="B186" i="17" s="1"/>
  <c r="V170" i="17"/>
  <c r="B170" i="17" s="1"/>
  <c r="V359" i="17"/>
  <c r="B359" i="17" s="1"/>
  <c r="V343" i="17"/>
  <c r="B343" i="17" s="1"/>
  <c r="V327" i="17"/>
  <c r="B327" i="17" s="1"/>
  <c r="V315" i="17"/>
  <c r="B315" i="17" s="1"/>
  <c r="V283" i="17"/>
  <c r="B283" i="17" s="1"/>
  <c r="V259" i="17"/>
  <c r="B259" i="17" s="1"/>
  <c r="V247" i="17"/>
  <c r="B247" i="17" s="1"/>
  <c r="V127" i="17"/>
  <c r="B127" i="17" s="1"/>
  <c r="V19" i="17"/>
  <c r="B19" i="17" s="1"/>
  <c r="V348" i="17"/>
  <c r="B348" i="17" s="1"/>
  <c r="V80" i="17"/>
  <c r="B80" i="17" s="1"/>
  <c r="V40" i="17"/>
  <c r="B40" i="17" s="1"/>
  <c r="V28" i="17"/>
  <c r="B28" i="17" s="1"/>
  <c r="V20" i="17"/>
  <c r="B20" i="17" s="1"/>
  <c r="V141" i="17"/>
  <c r="B141" i="17" s="1"/>
  <c r="V129" i="17"/>
  <c r="B129" i="17" s="1"/>
  <c r="V117" i="17"/>
  <c r="B117" i="17" s="1"/>
  <c r="V93" i="17"/>
  <c r="B93" i="17" s="1"/>
  <c r="V85" i="17"/>
  <c r="B85" i="17" s="1"/>
  <c r="V69" i="17"/>
  <c r="B69" i="17" s="1"/>
  <c r="V61" i="17"/>
  <c r="B61" i="17" s="1"/>
  <c r="V45" i="17"/>
  <c r="B45" i="17" s="1"/>
  <c r="V194" i="17"/>
  <c r="B194" i="17" s="1"/>
  <c r="V355" i="17"/>
  <c r="B355" i="17" s="1"/>
  <c r="V339" i="17"/>
  <c r="B339" i="17" s="1"/>
  <c r="V331" i="17"/>
  <c r="B331" i="17" s="1"/>
  <c r="V319" i="17"/>
  <c r="B319" i="17" s="1"/>
  <c r="V299" i="17"/>
  <c r="B299" i="17" s="1"/>
  <c r="V287" i="17"/>
  <c r="B287" i="17" s="1"/>
  <c r="V271" i="17"/>
  <c r="B271" i="17" s="1"/>
  <c r="V123" i="17"/>
  <c r="B123" i="17" s="1"/>
  <c r="V352" i="17"/>
  <c r="B352" i="17" s="1"/>
  <c r="V324" i="17"/>
  <c r="B324" i="17" s="1"/>
  <c r="V304" i="17"/>
  <c r="B304" i="17" s="1"/>
  <c r="V288" i="17"/>
  <c r="B288" i="17" s="1"/>
  <c r="V84" i="17"/>
  <c r="B84" i="17" s="1"/>
  <c r="V76" i="17"/>
  <c r="B76" i="17" s="1"/>
  <c r="D57" i="7"/>
  <c r="V60" i="17"/>
  <c r="B60" i="17" s="1"/>
  <c r="V52" i="17"/>
  <c r="B52" i="17" s="1"/>
  <c r="V24" i="17"/>
  <c r="B24" i="17" s="1"/>
  <c r="V18" i="17"/>
  <c r="B18" i="17" s="1"/>
  <c r="AD381" i="16"/>
  <c r="AD383" i="16"/>
  <c r="AD382" i="16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Q25" i="18"/>
  <c r="Q23" i="18"/>
  <c r="Q21" i="18"/>
  <c r="Q15" i="18"/>
  <c r="Q17" i="18"/>
  <c r="Q18" i="18"/>
  <c r="N62" i="19"/>
  <c r="I228" i="16"/>
  <c r="J228" i="16"/>
  <c r="AM7" i="25"/>
  <c r="AM11" i="25" s="1"/>
  <c r="AM5" i="25"/>
  <c r="AK9" i="25"/>
  <c r="AK5" i="25"/>
  <c r="AM9" i="25"/>
  <c r="AK7" i="25"/>
  <c r="AK11" i="25" s="1"/>
  <c r="L382" i="25"/>
  <c r="L383" i="25"/>
  <c r="L381" i="25"/>
  <c r="AK3" i="24"/>
  <c r="Q19" i="19" s="1"/>
  <c r="AA16" i="7"/>
  <c r="U144" i="18"/>
  <c r="T144" i="18" s="1"/>
  <c r="S144" i="18" s="1"/>
  <c r="R144" i="18" s="1"/>
  <c r="P144" i="18" s="1"/>
  <c r="V144" i="18" s="1"/>
  <c r="U272" i="18"/>
  <c r="T272" i="18" s="1"/>
  <c r="U378" i="18"/>
  <c r="T378" i="18" s="1"/>
  <c r="T381" i="17"/>
  <c r="T382" i="17"/>
  <c r="T383" i="17"/>
  <c r="S15" i="17"/>
  <c r="AE379" i="18"/>
  <c r="AE12" i="20" s="1"/>
  <c r="AE377" i="18"/>
  <c r="AE375" i="18"/>
  <c r="AE373" i="18"/>
  <c r="AE371" i="18"/>
  <c r="AE369" i="18"/>
  <c r="AE367" i="18"/>
  <c r="AE365" i="18"/>
  <c r="AE363" i="18"/>
  <c r="AE361" i="18"/>
  <c r="AE359" i="18"/>
  <c r="AE357" i="18"/>
  <c r="AE355" i="18"/>
  <c r="AE353" i="18"/>
  <c r="AE351" i="18"/>
  <c r="AE349" i="18"/>
  <c r="AE347" i="18"/>
  <c r="AE345" i="18"/>
  <c r="AE343" i="18"/>
  <c r="AE341" i="18"/>
  <c r="AE339" i="18"/>
  <c r="AE337" i="18"/>
  <c r="AE335" i="18"/>
  <c r="AE333" i="18"/>
  <c r="AE331" i="18"/>
  <c r="AE329" i="18"/>
  <c r="AE327" i="18"/>
  <c r="AE325" i="18"/>
  <c r="AE323" i="18"/>
  <c r="AE321" i="18"/>
  <c r="AE319" i="18"/>
  <c r="AE317" i="18"/>
  <c r="AE315" i="18"/>
  <c r="AE313" i="18"/>
  <c r="AE311" i="18"/>
  <c r="AE309" i="18"/>
  <c r="AE307" i="18"/>
  <c r="AE305" i="18"/>
  <c r="AE303" i="18"/>
  <c r="AE301" i="18"/>
  <c r="AE299" i="18"/>
  <c r="AE297" i="18"/>
  <c r="AE295" i="18"/>
  <c r="AE293" i="18"/>
  <c r="AE291" i="18"/>
  <c r="AE289" i="18"/>
  <c r="AE287" i="18"/>
  <c r="AE285" i="18"/>
  <c r="AE283" i="18"/>
  <c r="AE281" i="18"/>
  <c r="AE279" i="18"/>
  <c r="AE277" i="18"/>
  <c r="AE275" i="18"/>
  <c r="AE273" i="18"/>
  <c r="AE271" i="18"/>
  <c r="AE269" i="18"/>
  <c r="AE267" i="18"/>
  <c r="AE265" i="18"/>
  <c r="AE263" i="18"/>
  <c r="AE261" i="18"/>
  <c r="AE259" i="18"/>
  <c r="AE257" i="18"/>
  <c r="AE255" i="18"/>
  <c r="AE253" i="18"/>
  <c r="AE251" i="18"/>
  <c r="AE249" i="18"/>
  <c r="AE247" i="18"/>
  <c r="AE245" i="18"/>
  <c r="AE243" i="18"/>
  <c r="AE241" i="18"/>
  <c r="AE239" i="18"/>
  <c r="AE237" i="18"/>
  <c r="AE235" i="18"/>
  <c r="AE233" i="18"/>
  <c r="AE231" i="18"/>
  <c r="AE229" i="18"/>
  <c r="AE227" i="18"/>
  <c r="AE225" i="18"/>
  <c r="AE223" i="18"/>
  <c r="AE221" i="18"/>
  <c r="AE219" i="18"/>
  <c r="AE217" i="18"/>
  <c r="AE215" i="18"/>
  <c r="AE213" i="18"/>
  <c r="AE211" i="18"/>
  <c r="AE209" i="18"/>
  <c r="AE207" i="18"/>
  <c r="AE205" i="18"/>
  <c r="AE203" i="18"/>
  <c r="AE201" i="18"/>
  <c r="AE199" i="18"/>
  <c r="AE197" i="18"/>
  <c r="AE195" i="18"/>
  <c r="AE193" i="18"/>
  <c r="AE191" i="18"/>
  <c r="AE189" i="18"/>
  <c r="AE187" i="18"/>
  <c r="AE185" i="18"/>
  <c r="AE183" i="18"/>
  <c r="AE181" i="18"/>
  <c r="AE179" i="18"/>
  <c r="AE177" i="18"/>
  <c r="AE175" i="18"/>
  <c r="AE173" i="18"/>
  <c r="AE171" i="18"/>
  <c r="AE169" i="18"/>
  <c r="AE167" i="18"/>
  <c r="AE165" i="18"/>
  <c r="AE163" i="18"/>
  <c r="AE161" i="18"/>
  <c r="AE159" i="18"/>
  <c r="AE157" i="18"/>
  <c r="AE155" i="18"/>
  <c r="AE153" i="18"/>
  <c r="AE151" i="18"/>
  <c r="AE149" i="18"/>
  <c r="AE147" i="18"/>
  <c r="AE145" i="18"/>
  <c r="AE143" i="18"/>
  <c r="AE141" i="18"/>
  <c r="AE139" i="18"/>
  <c r="AE137" i="18"/>
  <c r="AE135" i="18"/>
  <c r="AE133" i="18"/>
  <c r="AE131" i="18"/>
  <c r="AE129" i="18"/>
  <c r="AE127" i="18"/>
  <c r="AE125" i="18"/>
  <c r="AE123" i="18"/>
  <c r="AE121" i="18"/>
  <c r="AE119" i="18"/>
  <c r="AE117" i="18"/>
  <c r="AE115" i="18"/>
  <c r="AE113" i="18"/>
  <c r="AE111" i="18"/>
  <c r="AE109" i="18"/>
  <c r="AE107" i="18"/>
  <c r="AE105" i="18"/>
  <c r="AE103" i="18"/>
  <c r="AE101" i="18"/>
  <c r="AE99" i="18"/>
  <c r="AE97" i="18"/>
  <c r="AE95" i="18"/>
  <c r="AE93" i="18"/>
  <c r="AE91" i="18"/>
  <c r="AE89" i="18"/>
  <c r="AE87" i="18"/>
  <c r="AE85" i="18"/>
  <c r="AE83" i="18"/>
  <c r="AE81" i="18"/>
  <c r="AE79" i="18"/>
  <c r="AE77" i="18"/>
  <c r="AE75" i="18"/>
  <c r="AE73" i="18"/>
  <c r="AE71" i="18"/>
  <c r="AE69" i="18"/>
  <c r="AE67" i="18"/>
  <c r="AE65" i="18"/>
  <c r="AE63" i="18"/>
  <c r="AE61" i="18"/>
  <c r="AE59" i="18"/>
  <c r="AE57" i="18"/>
  <c r="AE55" i="18"/>
  <c r="AE53" i="18"/>
  <c r="AE51" i="18"/>
  <c r="AE49" i="18"/>
  <c r="AE47" i="18"/>
  <c r="AE45" i="18"/>
  <c r="AE43" i="18"/>
  <c r="AE41" i="18"/>
  <c r="AE39" i="18"/>
  <c r="AE37" i="18"/>
  <c r="AE35" i="18"/>
  <c r="AE33" i="18"/>
  <c r="AE31" i="18"/>
  <c r="AE29" i="18"/>
  <c r="AE27" i="18"/>
  <c r="AE25" i="18"/>
  <c r="AE23" i="18"/>
  <c r="AE21" i="18"/>
  <c r="AE15" i="18"/>
  <c r="AE16" i="18"/>
  <c r="V341" i="17"/>
  <c r="B341" i="17" s="1"/>
  <c r="V325" i="17"/>
  <c r="B325" i="17" s="1"/>
  <c r="V317" i="17"/>
  <c r="B317" i="17" s="1"/>
  <c r="V313" i="17"/>
  <c r="B313" i="17" s="1"/>
  <c r="V293" i="17"/>
  <c r="B293" i="17" s="1"/>
  <c r="V249" i="17"/>
  <c r="B249" i="17" s="1"/>
  <c r="D63" i="7"/>
  <c r="V241" i="17"/>
  <c r="B241" i="17" s="1"/>
  <c r="V229" i="17"/>
  <c r="B229" i="17" s="1"/>
  <c r="V193" i="17"/>
  <c r="B193" i="17" s="1"/>
  <c r="V161" i="17"/>
  <c r="B161" i="17" s="1"/>
  <c r="V25" i="17"/>
  <c r="B25" i="17" s="1"/>
  <c r="V21" i="17"/>
  <c r="B21" i="17" s="1"/>
  <c r="Q12" i="20"/>
  <c r="Q237" i="18"/>
  <c r="AC15" i="7"/>
  <c r="V374" i="17"/>
  <c r="B374" i="17" s="1"/>
  <c r="V370" i="17"/>
  <c r="B370" i="17" s="1"/>
  <c r="V358" i="17"/>
  <c r="B358" i="17" s="1"/>
  <c r="V342" i="17"/>
  <c r="B342" i="17" s="1"/>
  <c r="V338" i="17"/>
  <c r="B338" i="17" s="1"/>
  <c r="V314" i="17"/>
  <c r="B314" i="17" s="1"/>
  <c r="V310" i="17"/>
  <c r="B310" i="17" s="1"/>
  <c r="D65" i="7"/>
  <c r="V302" i="17"/>
  <c r="B302" i="17" s="1"/>
  <c r="V298" i="17"/>
  <c r="B298" i="17" s="1"/>
  <c r="V290" i="17"/>
  <c r="B290" i="17" s="1"/>
  <c r="V278" i="17"/>
  <c r="B278" i="17" s="1"/>
  <c r="V274" i="17"/>
  <c r="B274" i="17" s="1"/>
  <c r="V270" i="17"/>
  <c r="B270" i="17" s="1"/>
  <c r="V254" i="17"/>
  <c r="B254" i="17" s="1"/>
  <c r="V250" i="17"/>
  <c r="B250" i="17" s="1"/>
  <c r="V242" i="17"/>
  <c r="B242" i="17" s="1"/>
  <c r="V238" i="17"/>
  <c r="B238" i="17" s="1"/>
  <c r="V230" i="17"/>
  <c r="B230" i="17" s="1"/>
  <c r="V226" i="17"/>
  <c r="B226" i="17" s="1"/>
  <c r="V222" i="17"/>
  <c r="B222" i="17" s="1"/>
  <c r="V122" i="17"/>
  <c r="B122" i="17" s="1"/>
  <c r="V106" i="17"/>
  <c r="B106" i="17" s="1"/>
  <c r="V98" i="17"/>
  <c r="B98" i="17" s="1"/>
  <c r="V90" i="17"/>
  <c r="B90" i="17" s="1"/>
  <c r="V86" i="17"/>
  <c r="B86" i="17" s="1"/>
  <c r="V78" i="17"/>
  <c r="B78" i="17" s="1"/>
  <c r="V74" i="17"/>
  <c r="B74" i="17" s="1"/>
  <c r="V70" i="17"/>
  <c r="B70" i="17" s="1"/>
  <c r="V66" i="17"/>
  <c r="B66" i="17" s="1"/>
  <c r="V62" i="17"/>
  <c r="B62" i="17" s="1"/>
  <c r="V58" i="17"/>
  <c r="B58" i="17" s="1"/>
  <c r="V50" i="17"/>
  <c r="B50" i="17" s="1"/>
  <c r="V34" i="17"/>
  <c r="B34" i="17" s="1"/>
  <c r="V17" i="17"/>
  <c r="B17" i="17" s="1"/>
  <c r="J46" i="16"/>
  <c r="I46" i="16"/>
  <c r="S379" i="17"/>
  <c r="R379" i="17" s="1"/>
  <c r="P379" i="17" s="1"/>
  <c r="D38" i="19" s="1"/>
  <c r="V375" i="17"/>
  <c r="B375" i="17" s="1"/>
  <c r="V371" i="17"/>
  <c r="B371" i="17" s="1"/>
  <c r="V211" i="17"/>
  <c r="B211" i="17" s="1"/>
  <c r="V199" i="17"/>
  <c r="B199" i="17" s="1"/>
  <c r="V187" i="17"/>
  <c r="B187" i="17" s="1"/>
  <c r="V175" i="17"/>
  <c r="B175" i="17" s="1"/>
  <c r="V151" i="17"/>
  <c r="B151" i="17" s="1"/>
  <c r="V139" i="17"/>
  <c r="B139" i="17" s="1"/>
  <c r="V107" i="17"/>
  <c r="B107" i="17" s="1"/>
  <c r="V103" i="17"/>
  <c r="B103" i="17" s="1"/>
  <c r="V99" i="17"/>
  <c r="B99" i="17" s="1"/>
  <c r="V83" i="17"/>
  <c r="B83" i="17" s="1"/>
  <c r="V67" i="17"/>
  <c r="B67" i="17" s="1"/>
  <c r="V63" i="17"/>
  <c r="B63" i="17" s="1"/>
  <c r="V47" i="17"/>
  <c r="B47" i="17" s="1"/>
  <c r="V39" i="17"/>
  <c r="B39" i="17" s="1"/>
  <c r="V35" i="17"/>
  <c r="B35" i="17" s="1"/>
  <c r="V23" i="17"/>
  <c r="B23" i="17" s="1"/>
  <c r="AG382" i="17"/>
  <c r="AG381" i="17"/>
  <c r="AG383" i="17"/>
  <c r="AF15" i="17"/>
  <c r="V15" i="16"/>
  <c r="B15" i="16" s="1"/>
  <c r="AJ5" i="16" s="1"/>
  <c r="P381" i="16"/>
  <c r="P382" i="16"/>
  <c r="P383" i="16"/>
  <c r="V264" i="17"/>
  <c r="B264" i="17" s="1"/>
  <c r="V252" i="17"/>
  <c r="B252" i="17" s="1"/>
  <c r="V212" i="17"/>
  <c r="B212" i="17" s="1"/>
  <c r="V192" i="17"/>
  <c r="B192" i="17" s="1"/>
  <c r="V188" i="17"/>
  <c r="B188" i="17" s="1"/>
  <c r="D61" i="7"/>
  <c r="V180" i="17"/>
  <c r="B180" i="17" s="1"/>
  <c r="V172" i="17"/>
  <c r="B172" i="17" s="1"/>
  <c r="V168" i="17"/>
  <c r="B168" i="17" s="1"/>
  <c r="V160" i="17"/>
  <c r="B160" i="17" s="1"/>
  <c r="V148" i="17"/>
  <c r="B148" i="17" s="1"/>
  <c r="V144" i="17"/>
  <c r="B144" i="17" s="1"/>
  <c r="V132" i="17"/>
  <c r="B132" i="17" s="1"/>
  <c r="V120" i="17"/>
  <c r="B120" i="17" s="1"/>
  <c r="V112" i="17"/>
  <c r="B112" i="17" s="1"/>
  <c r="V104" i="17"/>
  <c r="B104" i="17" s="1"/>
  <c r="V100" i="17"/>
  <c r="B100" i="17" s="1"/>
  <c r="V96" i="17"/>
  <c r="B96" i="17" s="1"/>
  <c r="AE378" i="18"/>
  <c r="AE376" i="18"/>
  <c r="AE374" i="18"/>
  <c r="AE372" i="18"/>
  <c r="AE370" i="18"/>
  <c r="AE368" i="18"/>
  <c r="AE366" i="18"/>
  <c r="AE364" i="18"/>
  <c r="AE362" i="18"/>
  <c r="AE360" i="18"/>
  <c r="AE358" i="18"/>
  <c r="AE356" i="18"/>
  <c r="AE354" i="18"/>
  <c r="AE352" i="18"/>
  <c r="AE350" i="18"/>
  <c r="AE348" i="18"/>
  <c r="AE346" i="18"/>
  <c r="AE344" i="18"/>
  <c r="AE342" i="18"/>
  <c r="AE340" i="18"/>
  <c r="AE338" i="18"/>
  <c r="AE336" i="18"/>
  <c r="AE334" i="18"/>
  <c r="AE332" i="18"/>
  <c r="AE330" i="18"/>
  <c r="AE328" i="18"/>
  <c r="AE326" i="18"/>
  <c r="AE324" i="18"/>
  <c r="AE322" i="18"/>
  <c r="AE320" i="18"/>
  <c r="AE318" i="18"/>
  <c r="AE316" i="18"/>
  <c r="AE314" i="18"/>
  <c r="AE312" i="18"/>
  <c r="AE310" i="18"/>
  <c r="AE308" i="18"/>
  <c r="AE306" i="18"/>
  <c r="AE304" i="18"/>
  <c r="AE302" i="18"/>
  <c r="AE300" i="18"/>
  <c r="AE298" i="18"/>
  <c r="AE296" i="18"/>
  <c r="AE294" i="18"/>
  <c r="AE292" i="18"/>
  <c r="AE290" i="18"/>
  <c r="AE288" i="18"/>
  <c r="AE286" i="18"/>
  <c r="AE284" i="18"/>
  <c r="AE282" i="18"/>
  <c r="AE280" i="18"/>
  <c r="AE278" i="18"/>
  <c r="AE276" i="18"/>
  <c r="AE274" i="18"/>
  <c r="AE272" i="18"/>
  <c r="AE270" i="18"/>
  <c r="AE268" i="18"/>
  <c r="AE266" i="18"/>
  <c r="AE264" i="18"/>
  <c r="AE262" i="18"/>
  <c r="AE260" i="18"/>
  <c r="AE258" i="18"/>
  <c r="AE256" i="18"/>
  <c r="AE254" i="18"/>
  <c r="AE252" i="18"/>
  <c r="AE250" i="18"/>
  <c r="AE248" i="18"/>
  <c r="AE246" i="18"/>
  <c r="AE244" i="18"/>
  <c r="AE242" i="18"/>
  <c r="AE240" i="18"/>
  <c r="AE238" i="18"/>
  <c r="AE236" i="18"/>
  <c r="AE234" i="18"/>
  <c r="AE232" i="18"/>
  <c r="AE230" i="18"/>
  <c r="AE228" i="18"/>
  <c r="AE226" i="18"/>
  <c r="AE224" i="18"/>
  <c r="AE222" i="18"/>
  <c r="AE220" i="18"/>
  <c r="AE218" i="18"/>
  <c r="AE216" i="18"/>
  <c r="AE214" i="18"/>
  <c r="AE212" i="18"/>
  <c r="AE210" i="18"/>
  <c r="AE208" i="18"/>
  <c r="AE206" i="18"/>
  <c r="AE204" i="18"/>
  <c r="AE202" i="18"/>
  <c r="AE200" i="18"/>
  <c r="AE198" i="18"/>
  <c r="AE196" i="18"/>
  <c r="AE194" i="18"/>
  <c r="AE192" i="18"/>
  <c r="AE190" i="18"/>
  <c r="AE188" i="18"/>
  <c r="AE186" i="18"/>
  <c r="AE184" i="18"/>
  <c r="AE182" i="18"/>
  <c r="AE180" i="18"/>
  <c r="AE178" i="18"/>
  <c r="AE176" i="18"/>
  <c r="AE174" i="18"/>
  <c r="AE172" i="18"/>
  <c r="AE170" i="18"/>
  <c r="AE168" i="18"/>
  <c r="AE166" i="18"/>
  <c r="AE164" i="18"/>
  <c r="AE162" i="18"/>
  <c r="AE160" i="18"/>
  <c r="AE158" i="18"/>
  <c r="AE156" i="18"/>
  <c r="AE154" i="18"/>
  <c r="AE152" i="18"/>
  <c r="AE150" i="18"/>
  <c r="AE148" i="18"/>
  <c r="AE146" i="18"/>
  <c r="AE144" i="18"/>
  <c r="AE142" i="18"/>
  <c r="AE140" i="18"/>
  <c r="AE138" i="18"/>
  <c r="AE136" i="18"/>
  <c r="AE134" i="18"/>
  <c r="AE132" i="18"/>
  <c r="AE130" i="18"/>
  <c r="AE128" i="18"/>
  <c r="AE126" i="18"/>
  <c r="AE124" i="18"/>
  <c r="AE122" i="18"/>
  <c r="AE120" i="18"/>
  <c r="AE118" i="18"/>
  <c r="AE116" i="18"/>
  <c r="AE114" i="18"/>
  <c r="AE112" i="18"/>
  <c r="AE110" i="18"/>
  <c r="AE108" i="18"/>
  <c r="AE106" i="18"/>
  <c r="AE104" i="18"/>
  <c r="AE102" i="18"/>
  <c r="AE100" i="18"/>
  <c r="AE98" i="18"/>
  <c r="AE96" i="18"/>
  <c r="AE94" i="18"/>
  <c r="AE92" i="18"/>
  <c r="AE90" i="18"/>
  <c r="AE88" i="18"/>
  <c r="AE86" i="18"/>
  <c r="AE84" i="18"/>
  <c r="AE82" i="18"/>
  <c r="AE80" i="18"/>
  <c r="AE78" i="18"/>
  <c r="AE76" i="18"/>
  <c r="AE74" i="18"/>
  <c r="AE72" i="18"/>
  <c r="AE70" i="18"/>
  <c r="AE68" i="18"/>
  <c r="AE66" i="18"/>
  <c r="AE64" i="18"/>
  <c r="AE62" i="18"/>
  <c r="AE60" i="18"/>
  <c r="AE58" i="18"/>
  <c r="AE56" i="18"/>
  <c r="AE54" i="18"/>
  <c r="AE52" i="18"/>
  <c r="AE50" i="18"/>
  <c r="AE48" i="18"/>
  <c r="AE46" i="18"/>
  <c r="AE44" i="18"/>
  <c r="AE42" i="18"/>
  <c r="AE40" i="18"/>
  <c r="AE38" i="18"/>
  <c r="AE36" i="18"/>
  <c r="AE34" i="18"/>
  <c r="AE32" i="18"/>
  <c r="AE30" i="18"/>
  <c r="AE28" i="18"/>
  <c r="AE26" i="18"/>
  <c r="AE24" i="18"/>
  <c r="AE22" i="18"/>
  <c r="AE20" i="18"/>
  <c r="AE19" i="18"/>
  <c r="AE17" i="18"/>
  <c r="U336" i="18" l="1"/>
  <c r="T336" i="18" s="1"/>
  <c r="U208" i="18"/>
  <c r="T208" i="18" s="1"/>
  <c r="U80" i="18"/>
  <c r="T80" i="18" s="1"/>
  <c r="J197" i="16"/>
  <c r="I60" i="16"/>
  <c r="L44" i="19"/>
  <c r="U362" i="18"/>
  <c r="T362" i="18" s="1"/>
  <c r="S362" i="18" s="1"/>
  <c r="R362" i="18" s="1"/>
  <c r="P362" i="18" s="1"/>
  <c r="V362" i="18" s="1"/>
  <c r="U304" i="18"/>
  <c r="T304" i="18" s="1"/>
  <c r="U240" i="18"/>
  <c r="T240" i="18" s="1"/>
  <c r="S240" i="18" s="1"/>
  <c r="R240" i="18" s="1"/>
  <c r="U176" i="18"/>
  <c r="T176" i="18" s="1"/>
  <c r="S176" i="18" s="1"/>
  <c r="R176" i="18" s="1"/>
  <c r="P176" i="18" s="1"/>
  <c r="V176" i="18" s="1"/>
  <c r="U112" i="18"/>
  <c r="T112" i="18" s="1"/>
  <c r="S112" i="18" s="1"/>
  <c r="R112" i="18" s="1"/>
  <c r="P112" i="18" s="1"/>
  <c r="V112" i="18" s="1"/>
  <c r="U48" i="18"/>
  <c r="T48" i="18" s="1"/>
  <c r="AA119" i="16"/>
  <c r="Z119" i="16" s="1"/>
  <c r="Y119" i="16" s="1"/>
  <c r="U370" i="18"/>
  <c r="T370" i="18" s="1"/>
  <c r="S370" i="18" s="1"/>
  <c r="R370" i="18" s="1"/>
  <c r="P370" i="18" s="1"/>
  <c r="V370" i="18" s="1"/>
  <c r="U352" i="18"/>
  <c r="T352" i="18" s="1"/>
  <c r="U320" i="18"/>
  <c r="T320" i="18" s="1"/>
  <c r="S320" i="18" s="1"/>
  <c r="R320" i="18" s="1"/>
  <c r="U288" i="18"/>
  <c r="T288" i="18" s="1"/>
  <c r="U256" i="18"/>
  <c r="T256" i="18" s="1"/>
  <c r="S256" i="18" s="1"/>
  <c r="R256" i="18" s="1"/>
  <c r="U224" i="18"/>
  <c r="T224" i="18" s="1"/>
  <c r="U192" i="18"/>
  <c r="T192" i="18" s="1"/>
  <c r="U160" i="18"/>
  <c r="T160" i="18" s="1"/>
  <c r="S160" i="18" s="1"/>
  <c r="R160" i="18" s="1"/>
  <c r="P160" i="18" s="1"/>
  <c r="V160" i="18" s="1"/>
  <c r="U128" i="18"/>
  <c r="T128" i="18" s="1"/>
  <c r="S128" i="18" s="1"/>
  <c r="R128" i="18" s="1"/>
  <c r="P128" i="18" s="1"/>
  <c r="V128" i="18" s="1"/>
  <c r="U96" i="18"/>
  <c r="T96" i="18" s="1"/>
  <c r="U64" i="18"/>
  <c r="T64" i="18" s="1"/>
  <c r="U32" i="18"/>
  <c r="T32" i="18" s="1"/>
  <c r="S32" i="18" s="1"/>
  <c r="R32" i="18" s="1"/>
  <c r="P32" i="18" s="1"/>
  <c r="V32" i="18" s="1"/>
  <c r="U374" i="18"/>
  <c r="T374" i="18" s="1"/>
  <c r="S374" i="18" s="1"/>
  <c r="R374" i="18" s="1"/>
  <c r="P374" i="18" s="1"/>
  <c r="V374" i="18" s="1"/>
  <c r="U366" i="18"/>
  <c r="T366" i="18" s="1"/>
  <c r="S366" i="18" s="1"/>
  <c r="R366" i="18" s="1"/>
  <c r="P366" i="18" s="1"/>
  <c r="V366" i="18" s="1"/>
  <c r="U358" i="18"/>
  <c r="T358" i="18" s="1"/>
  <c r="S358" i="18" s="1"/>
  <c r="R358" i="18" s="1"/>
  <c r="P358" i="18" s="1"/>
  <c r="V358" i="18" s="1"/>
  <c r="U344" i="18"/>
  <c r="T344" i="18" s="1"/>
  <c r="S344" i="18" s="1"/>
  <c r="R344" i="18" s="1"/>
  <c r="U328" i="18"/>
  <c r="T328" i="18" s="1"/>
  <c r="S328" i="18" s="1"/>
  <c r="R328" i="18" s="1"/>
  <c r="U312" i="18"/>
  <c r="T312" i="18" s="1"/>
  <c r="U296" i="18"/>
  <c r="T296" i="18" s="1"/>
  <c r="S296" i="18" s="1"/>
  <c r="R296" i="18" s="1"/>
  <c r="P296" i="18" s="1"/>
  <c r="V296" i="18" s="1"/>
  <c r="U280" i="18"/>
  <c r="T280" i="18" s="1"/>
  <c r="U264" i="18"/>
  <c r="T264" i="18" s="1"/>
  <c r="S264" i="18" s="1"/>
  <c r="R264" i="18" s="1"/>
  <c r="P264" i="18" s="1"/>
  <c r="V264" i="18" s="1"/>
  <c r="U248" i="18"/>
  <c r="T248" i="18" s="1"/>
  <c r="S248" i="18" s="1"/>
  <c r="R248" i="18" s="1"/>
  <c r="U232" i="18"/>
  <c r="T232" i="18" s="1"/>
  <c r="S232" i="18" s="1"/>
  <c r="R232" i="18" s="1"/>
  <c r="P232" i="18" s="1"/>
  <c r="V232" i="18" s="1"/>
  <c r="U216" i="18"/>
  <c r="T216" i="18" s="1"/>
  <c r="U200" i="18"/>
  <c r="T200" i="18" s="1"/>
  <c r="S200" i="18" s="1"/>
  <c r="R200" i="18" s="1"/>
  <c r="P200" i="18" s="1"/>
  <c r="V200" i="18" s="1"/>
  <c r="U184" i="18"/>
  <c r="T184" i="18" s="1"/>
  <c r="U168" i="18"/>
  <c r="T168" i="18" s="1"/>
  <c r="U152" i="18"/>
  <c r="T152" i="18" s="1"/>
  <c r="U136" i="18"/>
  <c r="T136" i="18" s="1"/>
  <c r="U120" i="18"/>
  <c r="T120" i="18" s="1"/>
  <c r="S120" i="18" s="1"/>
  <c r="R120" i="18" s="1"/>
  <c r="P120" i="18" s="1"/>
  <c r="V120" i="18" s="1"/>
  <c r="U104" i="18"/>
  <c r="T104" i="18" s="1"/>
  <c r="U88" i="18"/>
  <c r="T88" i="18" s="1"/>
  <c r="S88" i="18" s="1"/>
  <c r="R88" i="18" s="1"/>
  <c r="P88" i="18" s="1"/>
  <c r="D70" i="7" s="1"/>
  <c r="U72" i="18"/>
  <c r="T72" i="18" s="1"/>
  <c r="U56" i="18"/>
  <c r="T56" i="18" s="1"/>
  <c r="S56" i="18" s="1"/>
  <c r="R56" i="18" s="1"/>
  <c r="P56" i="18" s="1"/>
  <c r="V56" i="18" s="1"/>
  <c r="U40" i="18"/>
  <c r="T40" i="18" s="1"/>
  <c r="S40" i="18" s="1"/>
  <c r="R40" i="18" s="1"/>
  <c r="P40" i="18" s="1"/>
  <c r="V40" i="18" s="1"/>
  <c r="U24" i="18"/>
  <c r="T24" i="18" s="1"/>
  <c r="U376" i="18"/>
  <c r="T376" i="18" s="1"/>
  <c r="S376" i="18" s="1"/>
  <c r="R376" i="18" s="1"/>
  <c r="P376" i="18" s="1"/>
  <c r="V376" i="18" s="1"/>
  <c r="U372" i="18"/>
  <c r="T372" i="18" s="1"/>
  <c r="U368" i="18"/>
  <c r="T368" i="18" s="1"/>
  <c r="S368" i="18" s="1"/>
  <c r="R368" i="18" s="1"/>
  <c r="P368" i="18" s="1"/>
  <c r="V368" i="18" s="1"/>
  <c r="U364" i="18"/>
  <c r="T364" i="18" s="1"/>
  <c r="U360" i="18"/>
  <c r="T360" i="18" s="1"/>
  <c r="U356" i="18"/>
  <c r="T356" i="18" s="1"/>
  <c r="S356" i="18" s="1"/>
  <c r="R356" i="18" s="1"/>
  <c r="P356" i="18" s="1"/>
  <c r="V356" i="18" s="1"/>
  <c r="U348" i="18"/>
  <c r="T348" i="18" s="1"/>
  <c r="U340" i="18"/>
  <c r="T340" i="18" s="1"/>
  <c r="S340" i="18" s="1"/>
  <c r="R340" i="18" s="1"/>
  <c r="P340" i="18" s="1"/>
  <c r="V340" i="18" s="1"/>
  <c r="U332" i="18"/>
  <c r="T332" i="18" s="1"/>
  <c r="U324" i="18"/>
  <c r="T324" i="18" s="1"/>
  <c r="U316" i="18"/>
  <c r="T316" i="18" s="1"/>
  <c r="S316" i="18" s="1"/>
  <c r="R316" i="18" s="1"/>
  <c r="P316" i="18" s="1"/>
  <c r="V316" i="18" s="1"/>
  <c r="U308" i="18"/>
  <c r="T308" i="18" s="1"/>
  <c r="S308" i="18" s="1"/>
  <c r="R308" i="18" s="1"/>
  <c r="P308" i="18" s="1"/>
  <c r="V308" i="18" s="1"/>
  <c r="U300" i="18"/>
  <c r="T300" i="18" s="1"/>
  <c r="S300" i="18" s="1"/>
  <c r="R300" i="18" s="1"/>
  <c r="P300" i="18" s="1"/>
  <c r="V300" i="18" s="1"/>
  <c r="U292" i="18"/>
  <c r="T292" i="18" s="1"/>
  <c r="S292" i="18" s="1"/>
  <c r="R292" i="18" s="1"/>
  <c r="P292" i="18" s="1"/>
  <c r="V292" i="18" s="1"/>
  <c r="U284" i="18"/>
  <c r="T284" i="18" s="1"/>
  <c r="S284" i="18" s="1"/>
  <c r="R284" i="18" s="1"/>
  <c r="P284" i="18" s="1"/>
  <c r="V284" i="18" s="1"/>
  <c r="U276" i="18"/>
  <c r="T276" i="18" s="1"/>
  <c r="S276" i="18" s="1"/>
  <c r="R276" i="18" s="1"/>
  <c r="P276" i="18" s="1"/>
  <c r="V276" i="18" s="1"/>
  <c r="U268" i="18"/>
  <c r="T268" i="18" s="1"/>
  <c r="S268" i="18" s="1"/>
  <c r="R268" i="18" s="1"/>
  <c r="P268" i="18" s="1"/>
  <c r="V268" i="18" s="1"/>
  <c r="U260" i="18"/>
  <c r="T260" i="18" s="1"/>
  <c r="S260" i="18" s="1"/>
  <c r="R260" i="18" s="1"/>
  <c r="P260" i="18" s="1"/>
  <c r="V260" i="18" s="1"/>
  <c r="U252" i="18"/>
  <c r="T252" i="18" s="1"/>
  <c r="S252" i="18" s="1"/>
  <c r="R252" i="18" s="1"/>
  <c r="P252" i="18" s="1"/>
  <c r="V252" i="18" s="1"/>
  <c r="U244" i="18"/>
  <c r="T244" i="18" s="1"/>
  <c r="S244" i="18" s="1"/>
  <c r="R244" i="18" s="1"/>
  <c r="P244" i="18" s="1"/>
  <c r="V244" i="18" s="1"/>
  <c r="U236" i="18"/>
  <c r="T236" i="18" s="1"/>
  <c r="S236" i="18" s="1"/>
  <c r="R236" i="18" s="1"/>
  <c r="P236" i="18" s="1"/>
  <c r="V236" i="18" s="1"/>
  <c r="U228" i="18"/>
  <c r="T228" i="18" s="1"/>
  <c r="S228" i="18" s="1"/>
  <c r="R228" i="18" s="1"/>
  <c r="P228" i="18" s="1"/>
  <c r="V228" i="18" s="1"/>
  <c r="U220" i="18"/>
  <c r="T220" i="18" s="1"/>
  <c r="S220" i="18" s="1"/>
  <c r="R220" i="18" s="1"/>
  <c r="U212" i="18"/>
  <c r="T212" i="18" s="1"/>
  <c r="S212" i="18" s="1"/>
  <c r="R212" i="18" s="1"/>
  <c r="U204" i="18"/>
  <c r="T204" i="18" s="1"/>
  <c r="S204" i="18" s="1"/>
  <c r="R204" i="18" s="1"/>
  <c r="U196" i="18"/>
  <c r="T196" i="18" s="1"/>
  <c r="S196" i="18" s="1"/>
  <c r="R196" i="18" s="1"/>
  <c r="P196" i="18" s="1"/>
  <c r="V196" i="18" s="1"/>
  <c r="U188" i="18"/>
  <c r="T188" i="18" s="1"/>
  <c r="S188" i="18" s="1"/>
  <c r="R188" i="18" s="1"/>
  <c r="U180" i="18"/>
  <c r="T180" i="18" s="1"/>
  <c r="U172" i="18"/>
  <c r="T172" i="18" s="1"/>
  <c r="S172" i="18" s="1"/>
  <c r="R172" i="18" s="1"/>
  <c r="P172" i="18" s="1"/>
  <c r="V172" i="18" s="1"/>
  <c r="U164" i="18"/>
  <c r="T164" i="18" s="1"/>
  <c r="S164" i="18" s="1"/>
  <c r="R164" i="18" s="1"/>
  <c r="U156" i="18"/>
  <c r="T156" i="18" s="1"/>
  <c r="S156" i="18" s="1"/>
  <c r="R156" i="18" s="1"/>
  <c r="P156" i="18" s="1"/>
  <c r="V156" i="18" s="1"/>
  <c r="U148" i="18"/>
  <c r="T148" i="18" s="1"/>
  <c r="S148" i="18" s="1"/>
  <c r="R148" i="18" s="1"/>
  <c r="U140" i="18"/>
  <c r="T140" i="18" s="1"/>
  <c r="S140" i="18" s="1"/>
  <c r="R140" i="18" s="1"/>
  <c r="U132" i="18"/>
  <c r="T132" i="18" s="1"/>
  <c r="U124" i="18"/>
  <c r="T124" i="18" s="1"/>
  <c r="U116" i="18"/>
  <c r="T116" i="18" s="1"/>
  <c r="U108" i="18"/>
  <c r="T108" i="18" s="1"/>
  <c r="S108" i="18" s="1"/>
  <c r="R108" i="18" s="1"/>
  <c r="U100" i="18"/>
  <c r="T100" i="18" s="1"/>
  <c r="S100" i="18" s="1"/>
  <c r="R100" i="18" s="1"/>
  <c r="U92" i="18"/>
  <c r="T92" i="18" s="1"/>
  <c r="S92" i="18" s="1"/>
  <c r="R92" i="18" s="1"/>
  <c r="U84" i="18"/>
  <c r="T84" i="18" s="1"/>
  <c r="U76" i="18"/>
  <c r="T76" i="18" s="1"/>
  <c r="S76" i="18" s="1"/>
  <c r="R76" i="18" s="1"/>
  <c r="U68" i="18"/>
  <c r="T68" i="18" s="1"/>
  <c r="U60" i="18"/>
  <c r="T60" i="18" s="1"/>
  <c r="U52" i="18"/>
  <c r="T52" i="18" s="1"/>
  <c r="S52" i="18" s="1"/>
  <c r="R52" i="18" s="1"/>
  <c r="P52" i="18" s="1"/>
  <c r="V52" i="18" s="1"/>
  <c r="U44" i="18"/>
  <c r="T44" i="18" s="1"/>
  <c r="U36" i="18"/>
  <c r="T36" i="18" s="1"/>
  <c r="S36" i="18" s="1"/>
  <c r="R36" i="18" s="1"/>
  <c r="U28" i="18"/>
  <c r="T28" i="18" s="1"/>
  <c r="S28" i="18" s="1"/>
  <c r="R28" i="18" s="1"/>
  <c r="U20" i="18"/>
  <c r="T20" i="18" s="1"/>
  <c r="P328" i="18"/>
  <c r="V328" i="18" s="1"/>
  <c r="P240" i="18"/>
  <c r="V240" i="18" s="1"/>
  <c r="Z379" i="1"/>
  <c r="I379" i="1"/>
  <c r="B379" i="6" s="1"/>
  <c r="J379" i="1"/>
  <c r="I40" i="16"/>
  <c r="U18" i="18"/>
  <c r="T18" i="18" s="1"/>
  <c r="S18" i="18" s="1"/>
  <c r="R18" i="18" s="1"/>
  <c r="P18" i="18" s="1"/>
  <c r="V18" i="18" s="1"/>
  <c r="U19" i="18"/>
  <c r="T19" i="18" s="1"/>
  <c r="S19" i="18" s="1"/>
  <c r="R19" i="18" s="1"/>
  <c r="P19" i="18" s="1"/>
  <c r="V19" i="18" s="1"/>
  <c r="U21" i="18"/>
  <c r="T21" i="18" s="1"/>
  <c r="S21" i="18" s="1"/>
  <c r="R21" i="18" s="1"/>
  <c r="P21" i="18" s="1"/>
  <c r="V21" i="18" s="1"/>
  <c r="U23" i="18"/>
  <c r="T23" i="18" s="1"/>
  <c r="S23" i="18" s="1"/>
  <c r="R23" i="18" s="1"/>
  <c r="P23" i="18" s="1"/>
  <c r="V23" i="18" s="1"/>
  <c r="U25" i="18"/>
  <c r="T25" i="18" s="1"/>
  <c r="S25" i="18" s="1"/>
  <c r="R25" i="18" s="1"/>
  <c r="P25" i="18" s="1"/>
  <c r="V25" i="18" s="1"/>
  <c r="U27" i="18"/>
  <c r="T27" i="18" s="1"/>
  <c r="S27" i="18" s="1"/>
  <c r="R27" i="18" s="1"/>
  <c r="P27" i="18" s="1"/>
  <c r="V27" i="18" s="1"/>
  <c r="U29" i="18"/>
  <c r="T29" i="18" s="1"/>
  <c r="S29" i="18" s="1"/>
  <c r="R29" i="18" s="1"/>
  <c r="P29" i="18" s="1"/>
  <c r="U31" i="18"/>
  <c r="T31" i="18" s="1"/>
  <c r="S31" i="18" s="1"/>
  <c r="R31" i="18" s="1"/>
  <c r="P31" i="18" s="1"/>
  <c r="V31" i="18" s="1"/>
  <c r="U33" i="18"/>
  <c r="T33" i="18" s="1"/>
  <c r="S33" i="18" s="1"/>
  <c r="R33" i="18" s="1"/>
  <c r="P33" i="18" s="1"/>
  <c r="V33" i="18" s="1"/>
  <c r="U35" i="18"/>
  <c r="T35" i="18" s="1"/>
  <c r="S35" i="18" s="1"/>
  <c r="R35" i="18" s="1"/>
  <c r="P35" i="18" s="1"/>
  <c r="V35" i="18" s="1"/>
  <c r="U37" i="18"/>
  <c r="T37" i="18" s="1"/>
  <c r="S37" i="18" s="1"/>
  <c r="R37" i="18" s="1"/>
  <c r="P37" i="18" s="1"/>
  <c r="V37" i="18" s="1"/>
  <c r="U39" i="18"/>
  <c r="T39" i="18" s="1"/>
  <c r="U41" i="18"/>
  <c r="T41" i="18" s="1"/>
  <c r="S41" i="18" s="1"/>
  <c r="R41" i="18" s="1"/>
  <c r="P41" i="18" s="1"/>
  <c r="V41" i="18" s="1"/>
  <c r="U43" i="18"/>
  <c r="T43" i="18" s="1"/>
  <c r="S43" i="18" s="1"/>
  <c r="R43" i="18" s="1"/>
  <c r="P43" i="18" s="1"/>
  <c r="V43" i="18" s="1"/>
  <c r="U45" i="18"/>
  <c r="T45" i="18" s="1"/>
  <c r="S45" i="18" s="1"/>
  <c r="R45" i="18" s="1"/>
  <c r="P45" i="18" s="1"/>
  <c r="V45" i="18" s="1"/>
  <c r="U47" i="18"/>
  <c r="T47" i="18" s="1"/>
  <c r="U49" i="18"/>
  <c r="T49" i="18" s="1"/>
  <c r="S49" i="18" s="1"/>
  <c r="R49" i="18" s="1"/>
  <c r="P49" i="18" s="1"/>
  <c r="V49" i="18" s="1"/>
  <c r="U51" i="18"/>
  <c r="T51" i="18" s="1"/>
  <c r="U53" i="18"/>
  <c r="T53" i="18" s="1"/>
  <c r="S53" i="18" s="1"/>
  <c r="R53" i="18" s="1"/>
  <c r="P53" i="18" s="1"/>
  <c r="V53" i="18" s="1"/>
  <c r="U55" i="18"/>
  <c r="T55" i="18" s="1"/>
  <c r="U57" i="18"/>
  <c r="T57" i="18" s="1"/>
  <c r="S57" i="18" s="1"/>
  <c r="R57" i="18" s="1"/>
  <c r="P57" i="18" s="1"/>
  <c r="V57" i="18" s="1"/>
  <c r="U59" i="18"/>
  <c r="T59" i="18" s="1"/>
  <c r="S59" i="18" s="1"/>
  <c r="R59" i="18" s="1"/>
  <c r="P59" i="18" s="1"/>
  <c r="V59" i="18" s="1"/>
  <c r="U61" i="18"/>
  <c r="T61" i="18" s="1"/>
  <c r="S61" i="18" s="1"/>
  <c r="R61" i="18" s="1"/>
  <c r="P61" i="18" s="1"/>
  <c r="V61" i="18" s="1"/>
  <c r="U63" i="18"/>
  <c r="T63" i="18" s="1"/>
  <c r="S63" i="18" s="1"/>
  <c r="R63" i="18" s="1"/>
  <c r="P63" i="18" s="1"/>
  <c r="V63" i="18" s="1"/>
  <c r="U65" i="18"/>
  <c r="T65" i="18" s="1"/>
  <c r="S65" i="18" s="1"/>
  <c r="R65" i="18" s="1"/>
  <c r="P65" i="18" s="1"/>
  <c r="V65" i="18" s="1"/>
  <c r="U67" i="18"/>
  <c r="T67" i="18" s="1"/>
  <c r="U69" i="18"/>
  <c r="T69" i="18" s="1"/>
  <c r="S69" i="18" s="1"/>
  <c r="R69" i="18" s="1"/>
  <c r="P69" i="18" s="1"/>
  <c r="V69" i="18" s="1"/>
  <c r="U71" i="18"/>
  <c r="T71" i="18" s="1"/>
  <c r="U73" i="18"/>
  <c r="T73" i="18" s="1"/>
  <c r="S73" i="18" s="1"/>
  <c r="R73" i="18" s="1"/>
  <c r="P73" i="18" s="1"/>
  <c r="V73" i="18" s="1"/>
  <c r="U75" i="18"/>
  <c r="T75" i="18" s="1"/>
  <c r="U77" i="18"/>
  <c r="T77" i="18" s="1"/>
  <c r="S77" i="18" s="1"/>
  <c r="R77" i="18" s="1"/>
  <c r="P77" i="18" s="1"/>
  <c r="V77" i="18" s="1"/>
  <c r="U79" i="18"/>
  <c r="T79" i="18" s="1"/>
  <c r="U81" i="18"/>
  <c r="T81" i="18" s="1"/>
  <c r="S81" i="18" s="1"/>
  <c r="R81" i="18" s="1"/>
  <c r="P81" i="18" s="1"/>
  <c r="V81" i="18" s="1"/>
  <c r="U83" i="18"/>
  <c r="T83" i="18" s="1"/>
  <c r="S83" i="18" s="1"/>
  <c r="R83" i="18" s="1"/>
  <c r="P83" i="18" s="1"/>
  <c r="V83" i="18" s="1"/>
  <c r="U85" i="18"/>
  <c r="T85" i="18" s="1"/>
  <c r="S85" i="18" s="1"/>
  <c r="R85" i="18" s="1"/>
  <c r="P85" i="18" s="1"/>
  <c r="V85" i="18" s="1"/>
  <c r="U87" i="18"/>
  <c r="T87" i="18" s="1"/>
  <c r="U89" i="18"/>
  <c r="T89" i="18" s="1"/>
  <c r="S89" i="18" s="1"/>
  <c r="R89" i="18" s="1"/>
  <c r="P89" i="18" s="1"/>
  <c r="V89" i="18" s="1"/>
  <c r="U91" i="18"/>
  <c r="T91" i="18" s="1"/>
  <c r="S91" i="18" s="1"/>
  <c r="R91" i="18" s="1"/>
  <c r="P91" i="18" s="1"/>
  <c r="V91" i="18" s="1"/>
  <c r="U93" i="18"/>
  <c r="T93" i="18" s="1"/>
  <c r="S93" i="18" s="1"/>
  <c r="R93" i="18" s="1"/>
  <c r="P93" i="18" s="1"/>
  <c r="V93" i="18" s="1"/>
  <c r="U95" i="18"/>
  <c r="T95" i="18" s="1"/>
  <c r="U97" i="18"/>
  <c r="T97" i="18" s="1"/>
  <c r="S97" i="18" s="1"/>
  <c r="R97" i="18" s="1"/>
  <c r="P97" i="18" s="1"/>
  <c r="V97" i="18" s="1"/>
  <c r="U99" i="18"/>
  <c r="T99" i="18" s="1"/>
  <c r="S99" i="18" s="1"/>
  <c r="R99" i="18" s="1"/>
  <c r="P99" i="18" s="1"/>
  <c r="V99" i="18" s="1"/>
  <c r="U101" i="18"/>
  <c r="T101" i="18" s="1"/>
  <c r="S101" i="18" s="1"/>
  <c r="R101" i="18" s="1"/>
  <c r="P101" i="18" s="1"/>
  <c r="V101" i="18" s="1"/>
  <c r="U103" i="18"/>
  <c r="T103" i="18" s="1"/>
  <c r="U105" i="18"/>
  <c r="T105" i="18" s="1"/>
  <c r="S105" i="18" s="1"/>
  <c r="R105" i="18" s="1"/>
  <c r="P105" i="18" s="1"/>
  <c r="V105" i="18" s="1"/>
  <c r="U107" i="18"/>
  <c r="T107" i="18" s="1"/>
  <c r="S107" i="18" s="1"/>
  <c r="R107" i="18" s="1"/>
  <c r="P107" i="18" s="1"/>
  <c r="V107" i="18" s="1"/>
  <c r="U109" i="18"/>
  <c r="T109" i="18" s="1"/>
  <c r="S109" i="18" s="1"/>
  <c r="R109" i="18" s="1"/>
  <c r="P109" i="18" s="1"/>
  <c r="V109" i="18" s="1"/>
  <c r="U111" i="18"/>
  <c r="T111" i="18" s="1"/>
  <c r="S111" i="18" s="1"/>
  <c r="R111" i="18" s="1"/>
  <c r="P111" i="18" s="1"/>
  <c r="V111" i="18" s="1"/>
  <c r="U113" i="18"/>
  <c r="T113" i="18" s="1"/>
  <c r="S113" i="18" s="1"/>
  <c r="R113" i="18" s="1"/>
  <c r="P113" i="18" s="1"/>
  <c r="V113" i="18" s="1"/>
  <c r="U115" i="18"/>
  <c r="T115" i="18" s="1"/>
  <c r="U117" i="18"/>
  <c r="T117" i="18" s="1"/>
  <c r="S117" i="18" s="1"/>
  <c r="R117" i="18" s="1"/>
  <c r="P117" i="18" s="1"/>
  <c r="V117" i="18" s="1"/>
  <c r="U119" i="18"/>
  <c r="T119" i="18" s="1"/>
  <c r="S119" i="18" s="1"/>
  <c r="R119" i="18" s="1"/>
  <c r="P119" i="18" s="1"/>
  <c r="V119" i="18" s="1"/>
  <c r="U121" i="18"/>
  <c r="T121" i="18" s="1"/>
  <c r="S121" i="18" s="1"/>
  <c r="R121" i="18" s="1"/>
  <c r="P121" i="18" s="1"/>
  <c r="V121" i="18" s="1"/>
  <c r="U123" i="18"/>
  <c r="T123" i="18" s="1"/>
  <c r="S123" i="18" s="1"/>
  <c r="R123" i="18" s="1"/>
  <c r="P123" i="18" s="1"/>
  <c r="V123" i="18" s="1"/>
  <c r="U125" i="18"/>
  <c r="T125" i="18" s="1"/>
  <c r="S125" i="18" s="1"/>
  <c r="R125" i="18" s="1"/>
  <c r="P125" i="18" s="1"/>
  <c r="V125" i="18" s="1"/>
  <c r="U127" i="18"/>
  <c r="T127" i="18" s="1"/>
  <c r="S127" i="18" s="1"/>
  <c r="R127" i="18" s="1"/>
  <c r="P127" i="18" s="1"/>
  <c r="V127" i="18" s="1"/>
  <c r="U129" i="18"/>
  <c r="T129" i="18" s="1"/>
  <c r="S129" i="18" s="1"/>
  <c r="R129" i="18" s="1"/>
  <c r="P129" i="18" s="1"/>
  <c r="V129" i="18" s="1"/>
  <c r="U131" i="18"/>
  <c r="T131" i="18" s="1"/>
  <c r="S131" i="18" s="1"/>
  <c r="R131" i="18" s="1"/>
  <c r="P131" i="18" s="1"/>
  <c r="V131" i="18" s="1"/>
  <c r="U133" i="18"/>
  <c r="T133" i="18" s="1"/>
  <c r="S133" i="18" s="1"/>
  <c r="R133" i="18" s="1"/>
  <c r="P133" i="18" s="1"/>
  <c r="V133" i="18" s="1"/>
  <c r="U135" i="18"/>
  <c r="T135" i="18" s="1"/>
  <c r="U137" i="18"/>
  <c r="T137" i="18" s="1"/>
  <c r="S137" i="18" s="1"/>
  <c r="R137" i="18" s="1"/>
  <c r="P137" i="18" s="1"/>
  <c r="V137" i="18" s="1"/>
  <c r="U139" i="18"/>
  <c r="T139" i="18" s="1"/>
  <c r="S139" i="18" s="1"/>
  <c r="R139" i="18" s="1"/>
  <c r="P139" i="18" s="1"/>
  <c r="V139" i="18" s="1"/>
  <c r="U141" i="18"/>
  <c r="T141" i="18" s="1"/>
  <c r="S141" i="18" s="1"/>
  <c r="R141" i="18" s="1"/>
  <c r="P141" i="18" s="1"/>
  <c r="V141" i="18" s="1"/>
  <c r="U143" i="18"/>
  <c r="T143" i="18" s="1"/>
  <c r="U145" i="18"/>
  <c r="T145" i="18" s="1"/>
  <c r="S145" i="18" s="1"/>
  <c r="R145" i="18" s="1"/>
  <c r="P145" i="18" s="1"/>
  <c r="V145" i="18" s="1"/>
  <c r="U147" i="18"/>
  <c r="T147" i="18" s="1"/>
  <c r="U149" i="18"/>
  <c r="T149" i="18" s="1"/>
  <c r="S149" i="18" s="1"/>
  <c r="R149" i="18" s="1"/>
  <c r="P149" i="18" s="1"/>
  <c r="V149" i="18" s="1"/>
  <c r="U151" i="18"/>
  <c r="T151" i="18" s="1"/>
  <c r="U153" i="18"/>
  <c r="T153" i="18" s="1"/>
  <c r="S153" i="18" s="1"/>
  <c r="R153" i="18" s="1"/>
  <c r="P153" i="18" s="1"/>
  <c r="V153" i="18" s="1"/>
  <c r="U155" i="18"/>
  <c r="T155" i="18" s="1"/>
  <c r="U157" i="18"/>
  <c r="T157" i="18" s="1"/>
  <c r="S157" i="18" s="1"/>
  <c r="R157" i="18" s="1"/>
  <c r="P157" i="18" s="1"/>
  <c r="V157" i="18" s="1"/>
  <c r="U159" i="18"/>
  <c r="T159" i="18" s="1"/>
  <c r="S159" i="18" s="1"/>
  <c r="R159" i="18" s="1"/>
  <c r="P159" i="18" s="1"/>
  <c r="V159" i="18" s="1"/>
  <c r="U161" i="18"/>
  <c r="T161" i="18" s="1"/>
  <c r="S161" i="18" s="1"/>
  <c r="R161" i="18" s="1"/>
  <c r="P161" i="18" s="1"/>
  <c r="V161" i="18" s="1"/>
  <c r="U163" i="18"/>
  <c r="T163" i="18" s="1"/>
  <c r="U165" i="18"/>
  <c r="T165" i="18" s="1"/>
  <c r="S165" i="18" s="1"/>
  <c r="R165" i="18" s="1"/>
  <c r="P165" i="18" s="1"/>
  <c r="V165" i="18" s="1"/>
  <c r="U167" i="18"/>
  <c r="T167" i="18" s="1"/>
  <c r="U169" i="18"/>
  <c r="T169" i="18" s="1"/>
  <c r="S169" i="18" s="1"/>
  <c r="R169" i="18" s="1"/>
  <c r="P169" i="18" s="1"/>
  <c r="V169" i="18" s="1"/>
  <c r="U171" i="18"/>
  <c r="T171" i="18" s="1"/>
  <c r="U173" i="18"/>
  <c r="T173" i="18" s="1"/>
  <c r="S173" i="18" s="1"/>
  <c r="R173" i="18" s="1"/>
  <c r="P173" i="18" s="1"/>
  <c r="V173" i="18" s="1"/>
  <c r="U175" i="18"/>
  <c r="T175" i="18" s="1"/>
  <c r="S175" i="18" s="1"/>
  <c r="R175" i="18" s="1"/>
  <c r="P175" i="18" s="1"/>
  <c r="V175" i="18" s="1"/>
  <c r="U177" i="18"/>
  <c r="T177" i="18" s="1"/>
  <c r="S177" i="18" s="1"/>
  <c r="R177" i="18" s="1"/>
  <c r="P177" i="18" s="1"/>
  <c r="V177" i="18" s="1"/>
  <c r="U179" i="18"/>
  <c r="T179" i="18" s="1"/>
  <c r="U181" i="18"/>
  <c r="T181" i="18" s="1"/>
  <c r="S181" i="18" s="1"/>
  <c r="R181" i="18" s="1"/>
  <c r="P181" i="18" s="1"/>
  <c r="V181" i="18" s="1"/>
  <c r="U183" i="18"/>
  <c r="T183" i="18" s="1"/>
  <c r="U185" i="18"/>
  <c r="T185" i="18" s="1"/>
  <c r="S185" i="18" s="1"/>
  <c r="R185" i="18" s="1"/>
  <c r="P185" i="18" s="1"/>
  <c r="V185" i="18" s="1"/>
  <c r="U187" i="18"/>
  <c r="T187" i="18" s="1"/>
  <c r="U189" i="18"/>
  <c r="T189" i="18" s="1"/>
  <c r="S189" i="18" s="1"/>
  <c r="R189" i="18" s="1"/>
  <c r="P189" i="18" s="1"/>
  <c r="V189" i="18" s="1"/>
  <c r="U191" i="18"/>
  <c r="T191" i="18" s="1"/>
  <c r="U193" i="18"/>
  <c r="T193" i="18" s="1"/>
  <c r="S193" i="18" s="1"/>
  <c r="R193" i="18" s="1"/>
  <c r="P193" i="18" s="1"/>
  <c r="V193" i="18" s="1"/>
  <c r="U195" i="18"/>
  <c r="T195" i="18" s="1"/>
  <c r="U197" i="18"/>
  <c r="T197" i="18" s="1"/>
  <c r="S197" i="18" s="1"/>
  <c r="R197" i="18" s="1"/>
  <c r="P197" i="18" s="1"/>
  <c r="V197" i="18" s="1"/>
  <c r="U199" i="18"/>
  <c r="T199" i="18" s="1"/>
  <c r="S199" i="18" s="1"/>
  <c r="R199" i="18" s="1"/>
  <c r="P199" i="18" s="1"/>
  <c r="V199" i="18" s="1"/>
  <c r="U201" i="18"/>
  <c r="T201" i="18" s="1"/>
  <c r="S201" i="18" s="1"/>
  <c r="R201" i="18" s="1"/>
  <c r="P201" i="18" s="1"/>
  <c r="V201" i="18" s="1"/>
  <c r="U203" i="18"/>
  <c r="T203" i="18" s="1"/>
  <c r="S203" i="18" s="1"/>
  <c r="R203" i="18" s="1"/>
  <c r="P203" i="18" s="1"/>
  <c r="V203" i="18" s="1"/>
  <c r="U205" i="18"/>
  <c r="T205" i="18" s="1"/>
  <c r="S205" i="18" s="1"/>
  <c r="R205" i="18" s="1"/>
  <c r="P205" i="18" s="1"/>
  <c r="V205" i="18" s="1"/>
  <c r="U207" i="18"/>
  <c r="T207" i="18" s="1"/>
  <c r="S207" i="18" s="1"/>
  <c r="R207" i="18" s="1"/>
  <c r="P207" i="18" s="1"/>
  <c r="V207" i="18" s="1"/>
  <c r="U209" i="18"/>
  <c r="T209" i="18" s="1"/>
  <c r="S209" i="18" s="1"/>
  <c r="R209" i="18" s="1"/>
  <c r="P209" i="18" s="1"/>
  <c r="V209" i="18" s="1"/>
  <c r="U211" i="18"/>
  <c r="T211" i="18" s="1"/>
  <c r="S211" i="18" s="1"/>
  <c r="R211" i="18" s="1"/>
  <c r="P211" i="18" s="1"/>
  <c r="V211" i="18" s="1"/>
  <c r="U213" i="18"/>
  <c r="T213" i="18" s="1"/>
  <c r="S213" i="18" s="1"/>
  <c r="R213" i="18" s="1"/>
  <c r="P213" i="18" s="1"/>
  <c r="V213" i="18" s="1"/>
  <c r="U215" i="18"/>
  <c r="T215" i="18" s="1"/>
  <c r="S215" i="18" s="1"/>
  <c r="R215" i="18" s="1"/>
  <c r="P215" i="18" s="1"/>
  <c r="V215" i="18" s="1"/>
  <c r="U217" i="18"/>
  <c r="T217" i="18" s="1"/>
  <c r="S217" i="18" s="1"/>
  <c r="R217" i="18" s="1"/>
  <c r="P217" i="18" s="1"/>
  <c r="V217" i="18" s="1"/>
  <c r="U219" i="18"/>
  <c r="T219" i="18" s="1"/>
  <c r="S219" i="18" s="1"/>
  <c r="R219" i="18" s="1"/>
  <c r="P219" i="18" s="1"/>
  <c r="V219" i="18" s="1"/>
  <c r="U221" i="18"/>
  <c r="T221" i="18" s="1"/>
  <c r="S221" i="18" s="1"/>
  <c r="R221" i="18" s="1"/>
  <c r="P221" i="18" s="1"/>
  <c r="V221" i="18" s="1"/>
  <c r="U223" i="18"/>
  <c r="T223" i="18" s="1"/>
  <c r="U225" i="18"/>
  <c r="T225" i="18" s="1"/>
  <c r="S225" i="18" s="1"/>
  <c r="R225" i="18" s="1"/>
  <c r="P225" i="18" s="1"/>
  <c r="V225" i="18" s="1"/>
  <c r="U227" i="18"/>
  <c r="T227" i="18" s="1"/>
  <c r="U229" i="18"/>
  <c r="T229" i="18" s="1"/>
  <c r="S229" i="18" s="1"/>
  <c r="R229" i="18" s="1"/>
  <c r="P229" i="18" s="1"/>
  <c r="V229" i="18" s="1"/>
  <c r="U231" i="18"/>
  <c r="T231" i="18" s="1"/>
  <c r="U233" i="18"/>
  <c r="T233" i="18" s="1"/>
  <c r="S233" i="18" s="1"/>
  <c r="R233" i="18" s="1"/>
  <c r="P233" i="18" s="1"/>
  <c r="V233" i="18" s="1"/>
  <c r="U235" i="18"/>
  <c r="T235" i="18" s="1"/>
  <c r="U237" i="18"/>
  <c r="T237" i="18" s="1"/>
  <c r="S237" i="18" s="1"/>
  <c r="R237" i="18" s="1"/>
  <c r="P237" i="18" s="1"/>
  <c r="V237" i="18" s="1"/>
  <c r="U239" i="18"/>
  <c r="T239" i="18" s="1"/>
  <c r="U241" i="18"/>
  <c r="T241" i="18" s="1"/>
  <c r="S241" i="18" s="1"/>
  <c r="R241" i="18" s="1"/>
  <c r="P241" i="18" s="1"/>
  <c r="U243" i="18"/>
  <c r="T243" i="18" s="1"/>
  <c r="S243" i="18" s="1"/>
  <c r="R243" i="18" s="1"/>
  <c r="P243" i="18" s="1"/>
  <c r="V243" i="18" s="1"/>
  <c r="U245" i="18"/>
  <c r="T245" i="18" s="1"/>
  <c r="S245" i="18" s="1"/>
  <c r="R245" i="18" s="1"/>
  <c r="P245" i="18" s="1"/>
  <c r="V245" i="18" s="1"/>
  <c r="U247" i="18"/>
  <c r="T247" i="18" s="1"/>
  <c r="U249" i="18"/>
  <c r="T249" i="18" s="1"/>
  <c r="S249" i="18" s="1"/>
  <c r="R249" i="18" s="1"/>
  <c r="P249" i="18" s="1"/>
  <c r="V249" i="18" s="1"/>
  <c r="U251" i="18"/>
  <c r="T251" i="18" s="1"/>
  <c r="S251" i="18" s="1"/>
  <c r="R251" i="18" s="1"/>
  <c r="P251" i="18" s="1"/>
  <c r="V251" i="18" s="1"/>
  <c r="U253" i="18"/>
  <c r="T253" i="18" s="1"/>
  <c r="S253" i="18" s="1"/>
  <c r="R253" i="18" s="1"/>
  <c r="P253" i="18" s="1"/>
  <c r="V253" i="18" s="1"/>
  <c r="U255" i="18"/>
  <c r="T255" i="18" s="1"/>
  <c r="U257" i="18"/>
  <c r="T257" i="18" s="1"/>
  <c r="S257" i="18" s="1"/>
  <c r="R257" i="18" s="1"/>
  <c r="P257" i="18" s="1"/>
  <c r="V257" i="18" s="1"/>
  <c r="U259" i="18"/>
  <c r="T259" i="18" s="1"/>
  <c r="U261" i="18"/>
  <c r="T261" i="18" s="1"/>
  <c r="S261" i="18" s="1"/>
  <c r="R261" i="18" s="1"/>
  <c r="P261" i="18" s="1"/>
  <c r="V261" i="18" s="1"/>
  <c r="U263" i="18"/>
  <c r="T263" i="18" s="1"/>
  <c r="U265" i="18"/>
  <c r="T265" i="18" s="1"/>
  <c r="S265" i="18" s="1"/>
  <c r="R265" i="18" s="1"/>
  <c r="P265" i="18" s="1"/>
  <c r="V265" i="18" s="1"/>
  <c r="U267" i="18"/>
  <c r="T267" i="18" s="1"/>
  <c r="U269" i="18"/>
  <c r="T269" i="18" s="1"/>
  <c r="S269" i="18" s="1"/>
  <c r="R269" i="18" s="1"/>
  <c r="P269" i="18" s="1"/>
  <c r="V269" i="18" s="1"/>
  <c r="U271" i="18"/>
  <c r="T271" i="18" s="1"/>
  <c r="U273" i="18"/>
  <c r="T273" i="18" s="1"/>
  <c r="S273" i="18" s="1"/>
  <c r="R273" i="18" s="1"/>
  <c r="P273" i="18" s="1"/>
  <c r="V273" i="18" s="1"/>
  <c r="U275" i="18"/>
  <c r="T275" i="18" s="1"/>
  <c r="U277" i="18"/>
  <c r="T277" i="18" s="1"/>
  <c r="S277" i="18" s="1"/>
  <c r="R277" i="18" s="1"/>
  <c r="P277" i="18" s="1"/>
  <c r="V277" i="18" s="1"/>
  <c r="U279" i="18"/>
  <c r="T279" i="18" s="1"/>
  <c r="U281" i="18"/>
  <c r="T281" i="18" s="1"/>
  <c r="S281" i="18" s="1"/>
  <c r="R281" i="18" s="1"/>
  <c r="P281" i="18" s="1"/>
  <c r="V281" i="18" s="1"/>
  <c r="U283" i="18"/>
  <c r="T283" i="18" s="1"/>
  <c r="S283" i="18" s="1"/>
  <c r="R283" i="18" s="1"/>
  <c r="P283" i="18" s="1"/>
  <c r="V283" i="18" s="1"/>
  <c r="U285" i="18"/>
  <c r="T285" i="18" s="1"/>
  <c r="S285" i="18" s="1"/>
  <c r="R285" i="18" s="1"/>
  <c r="P285" i="18" s="1"/>
  <c r="V285" i="18" s="1"/>
  <c r="U287" i="18"/>
  <c r="T287" i="18" s="1"/>
  <c r="U289" i="18"/>
  <c r="T289" i="18" s="1"/>
  <c r="S289" i="18" s="1"/>
  <c r="R289" i="18" s="1"/>
  <c r="P289" i="18" s="1"/>
  <c r="V289" i="18" s="1"/>
  <c r="U291" i="18"/>
  <c r="T291" i="18" s="1"/>
  <c r="U293" i="18"/>
  <c r="T293" i="18" s="1"/>
  <c r="S293" i="18" s="1"/>
  <c r="R293" i="18" s="1"/>
  <c r="P293" i="18" s="1"/>
  <c r="V293" i="18" s="1"/>
  <c r="U295" i="18"/>
  <c r="T295" i="18" s="1"/>
  <c r="S295" i="18" s="1"/>
  <c r="R295" i="18" s="1"/>
  <c r="P295" i="18" s="1"/>
  <c r="V295" i="18" s="1"/>
  <c r="U297" i="18"/>
  <c r="T297" i="18" s="1"/>
  <c r="S297" i="18" s="1"/>
  <c r="R297" i="18" s="1"/>
  <c r="P297" i="18" s="1"/>
  <c r="V297" i="18" s="1"/>
  <c r="U299" i="18"/>
  <c r="T299" i="18" s="1"/>
  <c r="S299" i="18" s="1"/>
  <c r="R299" i="18" s="1"/>
  <c r="P299" i="18" s="1"/>
  <c r="V299" i="18" s="1"/>
  <c r="U301" i="18"/>
  <c r="T301" i="18" s="1"/>
  <c r="S301" i="18" s="1"/>
  <c r="R301" i="18" s="1"/>
  <c r="P301" i="18" s="1"/>
  <c r="V301" i="18" s="1"/>
  <c r="U303" i="18"/>
  <c r="T303" i="18" s="1"/>
  <c r="U305" i="18"/>
  <c r="T305" i="18" s="1"/>
  <c r="S305" i="18" s="1"/>
  <c r="R305" i="18" s="1"/>
  <c r="P305" i="18" s="1"/>
  <c r="V305" i="18" s="1"/>
  <c r="U307" i="18"/>
  <c r="T307" i="18" s="1"/>
  <c r="S307" i="18" s="1"/>
  <c r="R307" i="18" s="1"/>
  <c r="P307" i="18" s="1"/>
  <c r="V307" i="18" s="1"/>
  <c r="U309" i="18"/>
  <c r="T309" i="18" s="1"/>
  <c r="S309" i="18" s="1"/>
  <c r="R309" i="18" s="1"/>
  <c r="P309" i="18" s="1"/>
  <c r="V309" i="18" s="1"/>
  <c r="U311" i="18"/>
  <c r="T311" i="18" s="1"/>
  <c r="U313" i="18"/>
  <c r="T313" i="18" s="1"/>
  <c r="S313" i="18" s="1"/>
  <c r="R313" i="18" s="1"/>
  <c r="P313" i="18" s="1"/>
  <c r="V313" i="18" s="1"/>
  <c r="U315" i="18"/>
  <c r="T315" i="18" s="1"/>
  <c r="U317" i="18"/>
  <c r="T317" i="18" s="1"/>
  <c r="S317" i="18" s="1"/>
  <c r="R317" i="18" s="1"/>
  <c r="P317" i="18" s="1"/>
  <c r="V317" i="18" s="1"/>
  <c r="U319" i="18"/>
  <c r="T319" i="18" s="1"/>
  <c r="S319" i="18" s="1"/>
  <c r="R319" i="18" s="1"/>
  <c r="P319" i="18" s="1"/>
  <c r="V319" i="18" s="1"/>
  <c r="U321" i="18"/>
  <c r="T321" i="18" s="1"/>
  <c r="S321" i="18" s="1"/>
  <c r="R321" i="18" s="1"/>
  <c r="P321" i="18" s="1"/>
  <c r="V321" i="18" s="1"/>
  <c r="U323" i="18"/>
  <c r="T323" i="18" s="1"/>
  <c r="U325" i="18"/>
  <c r="T325" i="18" s="1"/>
  <c r="S325" i="18" s="1"/>
  <c r="R325" i="18" s="1"/>
  <c r="P325" i="18" s="1"/>
  <c r="V325" i="18" s="1"/>
  <c r="U327" i="18"/>
  <c r="T327" i="18" s="1"/>
  <c r="S327" i="18" s="1"/>
  <c r="R327" i="18" s="1"/>
  <c r="P327" i="18" s="1"/>
  <c r="V327" i="18" s="1"/>
  <c r="U329" i="18"/>
  <c r="T329" i="18" s="1"/>
  <c r="S329" i="18" s="1"/>
  <c r="R329" i="18" s="1"/>
  <c r="P329" i="18" s="1"/>
  <c r="V329" i="18" s="1"/>
  <c r="U331" i="18"/>
  <c r="T331" i="18" s="1"/>
  <c r="U333" i="18"/>
  <c r="T333" i="18" s="1"/>
  <c r="S333" i="18" s="1"/>
  <c r="R333" i="18" s="1"/>
  <c r="P333" i="18" s="1"/>
  <c r="U335" i="18"/>
  <c r="T335" i="18" s="1"/>
  <c r="S335" i="18" s="1"/>
  <c r="R335" i="18" s="1"/>
  <c r="P335" i="18" s="1"/>
  <c r="V335" i="18" s="1"/>
  <c r="U337" i="18"/>
  <c r="T337" i="18" s="1"/>
  <c r="S337" i="18" s="1"/>
  <c r="R337" i="18" s="1"/>
  <c r="P337" i="18" s="1"/>
  <c r="V337" i="18" s="1"/>
  <c r="U339" i="18"/>
  <c r="T339" i="18" s="1"/>
  <c r="S339" i="18" s="1"/>
  <c r="R339" i="18" s="1"/>
  <c r="P339" i="18" s="1"/>
  <c r="V339" i="18" s="1"/>
  <c r="U341" i="18"/>
  <c r="T341" i="18" s="1"/>
  <c r="S341" i="18" s="1"/>
  <c r="R341" i="18" s="1"/>
  <c r="P341" i="18" s="1"/>
  <c r="V341" i="18" s="1"/>
  <c r="U343" i="18"/>
  <c r="T343" i="18" s="1"/>
  <c r="S343" i="18" s="1"/>
  <c r="R343" i="18" s="1"/>
  <c r="P343" i="18" s="1"/>
  <c r="V343" i="18" s="1"/>
  <c r="U345" i="18"/>
  <c r="T345" i="18" s="1"/>
  <c r="S345" i="18" s="1"/>
  <c r="R345" i="18" s="1"/>
  <c r="P345" i="18" s="1"/>
  <c r="V345" i="18" s="1"/>
  <c r="U347" i="18"/>
  <c r="T347" i="18" s="1"/>
  <c r="S347" i="18" s="1"/>
  <c r="R347" i="18" s="1"/>
  <c r="P347" i="18" s="1"/>
  <c r="V347" i="18" s="1"/>
  <c r="U349" i="18"/>
  <c r="T349" i="18" s="1"/>
  <c r="S349" i="18" s="1"/>
  <c r="R349" i="18" s="1"/>
  <c r="P349" i="18" s="1"/>
  <c r="V349" i="18" s="1"/>
  <c r="U351" i="18"/>
  <c r="T351" i="18" s="1"/>
  <c r="S351" i="18" s="1"/>
  <c r="R351" i="18" s="1"/>
  <c r="P351" i="18" s="1"/>
  <c r="V351" i="18" s="1"/>
  <c r="U353" i="18"/>
  <c r="T353" i="18" s="1"/>
  <c r="S353" i="18" s="1"/>
  <c r="R353" i="18" s="1"/>
  <c r="P353" i="18" s="1"/>
  <c r="V353" i="18" s="1"/>
  <c r="U355" i="18"/>
  <c r="T355" i="18" s="1"/>
  <c r="U379" i="18"/>
  <c r="AB16" i="7" s="1"/>
  <c r="U377" i="18"/>
  <c r="T377" i="18" s="1"/>
  <c r="U375" i="18"/>
  <c r="T375" i="18" s="1"/>
  <c r="S375" i="18" s="1"/>
  <c r="R375" i="18" s="1"/>
  <c r="P375" i="18" s="1"/>
  <c r="V375" i="18" s="1"/>
  <c r="U373" i="18"/>
  <c r="T373" i="18" s="1"/>
  <c r="S373" i="18" s="1"/>
  <c r="R373" i="18" s="1"/>
  <c r="P373" i="18" s="1"/>
  <c r="V373" i="18" s="1"/>
  <c r="U371" i="18"/>
  <c r="T371" i="18" s="1"/>
  <c r="S371" i="18" s="1"/>
  <c r="R371" i="18" s="1"/>
  <c r="P371" i="18" s="1"/>
  <c r="V371" i="18" s="1"/>
  <c r="U369" i="18"/>
  <c r="T369" i="18" s="1"/>
  <c r="U367" i="18"/>
  <c r="T367" i="18" s="1"/>
  <c r="S367" i="18" s="1"/>
  <c r="R367" i="18" s="1"/>
  <c r="P367" i="18" s="1"/>
  <c r="V367" i="18" s="1"/>
  <c r="U365" i="18"/>
  <c r="T365" i="18" s="1"/>
  <c r="U363" i="18"/>
  <c r="T363" i="18" s="1"/>
  <c r="S363" i="18" s="1"/>
  <c r="R363" i="18" s="1"/>
  <c r="P363" i="18" s="1"/>
  <c r="U361" i="18"/>
  <c r="T361" i="18" s="1"/>
  <c r="S361" i="18" s="1"/>
  <c r="R361" i="18" s="1"/>
  <c r="P361" i="18" s="1"/>
  <c r="V361" i="18" s="1"/>
  <c r="U359" i="18"/>
  <c r="T359" i="18" s="1"/>
  <c r="S359" i="18" s="1"/>
  <c r="R359" i="18" s="1"/>
  <c r="P359" i="18" s="1"/>
  <c r="V359" i="18" s="1"/>
  <c r="U357" i="18"/>
  <c r="T357" i="18" s="1"/>
  <c r="U354" i="18"/>
  <c r="T354" i="18" s="1"/>
  <c r="S354" i="18" s="1"/>
  <c r="R354" i="18" s="1"/>
  <c r="P354" i="18" s="1"/>
  <c r="V354" i="18" s="1"/>
  <c r="U350" i="18"/>
  <c r="T350" i="18" s="1"/>
  <c r="U346" i="18"/>
  <c r="T346" i="18" s="1"/>
  <c r="S346" i="18" s="1"/>
  <c r="R346" i="18" s="1"/>
  <c r="P346" i="18" s="1"/>
  <c r="V346" i="18" s="1"/>
  <c r="U342" i="18"/>
  <c r="T342" i="18" s="1"/>
  <c r="U338" i="18"/>
  <c r="T338" i="18" s="1"/>
  <c r="S338" i="18" s="1"/>
  <c r="R338" i="18" s="1"/>
  <c r="P338" i="18" s="1"/>
  <c r="V338" i="18" s="1"/>
  <c r="U334" i="18"/>
  <c r="T334" i="18" s="1"/>
  <c r="U330" i="18"/>
  <c r="T330" i="18" s="1"/>
  <c r="S330" i="18" s="1"/>
  <c r="R330" i="18" s="1"/>
  <c r="P330" i="18" s="1"/>
  <c r="V330" i="18" s="1"/>
  <c r="U326" i="18"/>
  <c r="T326" i="18" s="1"/>
  <c r="U322" i="18"/>
  <c r="T322" i="18" s="1"/>
  <c r="S322" i="18" s="1"/>
  <c r="R322" i="18" s="1"/>
  <c r="P322" i="18" s="1"/>
  <c r="V322" i="18" s="1"/>
  <c r="U318" i="18"/>
  <c r="T318" i="18" s="1"/>
  <c r="S318" i="18" s="1"/>
  <c r="R318" i="18" s="1"/>
  <c r="P318" i="18" s="1"/>
  <c r="V318" i="18" s="1"/>
  <c r="U314" i="18"/>
  <c r="T314" i="18" s="1"/>
  <c r="S314" i="18" s="1"/>
  <c r="R314" i="18" s="1"/>
  <c r="P314" i="18" s="1"/>
  <c r="V314" i="18" s="1"/>
  <c r="U310" i="18"/>
  <c r="T310" i="18" s="1"/>
  <c r="S310" i="18" s="1"/>
  <c r="R310" i="18" s="1"/>
  <c r="P310" i="18" s="1"/>
  <c r="V310" i="18" s="1"/>
  <c r="U306" i="18"/>
  <c r="T306" i="18" s="1"/>
  <c r="S306" i="18" s="1"/>
  <c r="R306" i="18" s="1"/>
  <c r="P306" i="18" s="1"/>
  <c r="V306" i="18" s="1"/>
  <c r="U302" i="18"/>
  <c r="T302" i="18" s="1"/>
  <c r="S302" i="18" s="1"/>
  <c r="R302" i="18" s="1"/>
  <c r="P302" i="18" s="1"/>
  <c r="D77" i="7" s="1"/>
  <c r="U298" i="18"/>
  <c r="T298" i="18" s="1"/>
  <c r="S298" i="18" s="1"/>
  <c r="R298" i="18" s="1"/>
  <c r="P298" i="18" s="1"/>
  <c r="V298" i="18" s="1"/>
  <c r="U294" i="18"/>
  <c r="T294" i="18" s="1"/>
  <c r="U290" i="18"/>
  <c r="T290" i="18" s="1"/>
  <c r="S290" i="18" s="1"/>
  <c r="R290" i="18" s="1"/>
  <c r="P290" i="18" s="1"/>
  <c r="V290" i="18" s="1"/>
  <c r="U286" i="18"/>
  <c r="T286" i="18" s="1"/>
  <c r="U282" i="18"/>
  <c r="T282" i="18" s="1"/>
  <c r="S282" i="18" s="1"/>
  <c r="R282" i="18" s="1"/>
  <c r="P282" i="18" s="1"/>
  <c r="V282" i="18" s="1"/>
  <c r="U278" i="18"/>
  <c r="T278" i="18" s="1"/>
  <c r="S278" i="18" s="1"/>
  <c r="R278" i="18" s="1"/>
  <c r="P278" i="18" s="1"/>
  <c r="V278" i="18" s="1"/>
  <c r="U274" i="18"/>
  <c r="T274" i="18" s="1"/>
  <c r="S274" i="18" s="1"/>
  <c r="R274" i="18" s="1"/>
  <c r="P274" i="18" s="1"/>
  <c r="V274" i="18" s="1"/>
  <c r="U270" i="18"/>
  <c r="T270" i="18" s="1"/>
  <c r="S270" i="18" s="1"/>
  <c r="R270" i="18" s="1"/>
  <c r="P270" i="18" s="1"/>
  <c r="V270" i="18" s="1"/>
  <c r="U266" i="18"/>
  <c r="T266" i="18" s="1"/>
  <c r="S266" i="18" s="1"/>
  <c r="R266" i="18" s="1"/>
  <c r="P266" i="18" s="1"/>
  <c r="V266" i="18" s="1"/>
  <c r="U262" i="18"/>
  <c r="T262" i="18" s="1"/>
  <c r="U258" i="18"/>
  <c r="T258" i="18" s="1"/>
  <c r="S258" i="18" s="1"/>
  <c r="R258" i="18" s="1"/>
  <c r="P258" i="18" s="1"/>
  <c r="V258" i="18" s="1"/>
  <c r="U254" i="18"/>
  <c r="T254" i="18" s="1"/>
  <c r="U250" i="18"/>
  <c r="T250" i="18" s="1"/>
  <c r="S250" i="18" s="1"/>
  <c r="R250" i="18" s="1"/>
  <c r="P250" i="18" s="1"/>
  <c r="V250" i="18" s="1"/>
  <c r="U246" i="18"/>
  <c r="T246" i="18" s="1"/>
  <c r="S246" i="18" s="1"/>
  <c r="R246" i="18" s="1"/>
  <c r="P246" i="18" s="1"/>
  <c r="V246" i="18" s="1"/>
  <c r="U242" i="18"/>
  <c r="T242" i="18" s="1"/>
  <c r="S242" i="18" s="1"/>
  <c r="R242" i="18" s="1"/>
  <c r="P242" i="18" s="1"/>
  <c r="V242" i="18" s="1"/>
  <c r="U238" i="18"/>
  <c r="T238" i="18" s="1"/>
  <c r="U234" i="18"/>
  <c r="T234" i="18" s="1"/>
  <c r="S234" i="18" s="1"/>
  <c r="R234" i="18" s="1"/>
  <c r="P234" i="18" s="1"/>
  <c r="V234" i="18" s="1"/>
  <c r="U230" i="18"/>
  <c r="T230" i="18" s="1"/>
  <c r="U226" i="18"/>
  <c r="T226" i="18" s="1"/>
  <c r="S226" i="18" s="1"/>
  <c r="R226" i="18" s="1"/>
  <c r="P226" i="18" s="1"/>
  <c r="V226" i="18" s="1"/>
  <c r="U222" i="18"/>
  <c r="T222" i="18" s="1"/>
  <c r="U218" i="18"/>
  <c r="T218" i="18" s="1"/>
  <c r="S218" i="18" s="1"/>
  <c r="R218" i="18" s="1"/>
  <c r="P218" i="18" s="1"/>
  <c r="V218" i="18" s="1"/>
  <c r="U214" i="18"/>
  <c r="T214" i="18" s="1"/>
  <c r="S214" i="18" s="1"/>
  <c r="R214" i="18" s="1"/>
  <c r="P214" i="18" s="1"/>
  <c r="V214" i="18" s="1"/>
  <c r="U210" i="18"/>
  <c r="T210" i="18" s="1"/>
  <c r="S210" i="18" s="1"/>
  <c r="R210" i="18" s="1"/>
  <c r="P210" i="18" s="1"/>
  <c r="V210" i="18" s="1"/>
  <c r="U206" i="18"/>
  <c r="T206" i="18" s="1"/>
  <c r="S206" i="18" s="1"/>
  <c r="R206" i="18" s="1"/>
  <c r="P206" i="18" s="1"/>
  <c r="V206" i="18" s="1"/>
  <c r="U202" i="18"/>
  <c r="T202" i="18" s="1"/>
  <c r="S202" i="18" s="1"/>
  <c r="R202" i="18" s="1"/>
  <c r="P202" i="18" s="1"/>
  <c r="V202" i="18" s="1"/>
  <c r="U198" i="18"/>
  <c r="T198" i="18" s="1"/>
  <c r="S198" i="18" s="1"/>
  <c r="R198" i="18" s="1"/>
  <c r="P198" i="18" s="1"/>
  <c r="V198" i="18" s="1"/>
  <c r="U194" i="18"/>
  <c r="T194" i="18" s="1"/>
  <c r="S194" i="18" s="1"/>
  <c r="R194" i="18" s="1"/>
  <c r="P194" i="18" s="1"/>
  <c r="V194" i="18" s="1"/>
  <c r="U190" i="18"/>
  <c r="T190" i="18" s="1"/>
  <c r="U186" i="18"/>
  <c r="T186" i="18" s="1"/>
  <c r="S186" i="18" s="1"/>
  <c r="R186" i="18" s="1"/>
  <c r="P186" i="18" s="1"/>
  <c r="V186" i="18" s="1"/>
  <c r="U182" i="18"/>
  <c r="T182" i="18" s="1"/>
  <c r="U178" i="18"/>
  <c r="T178" i="18" s="1"/>
  <c r="S178" i="18" s="1"/>
  <c r="R178" i="18" s="1"/>
  <c r="P178" i="18" s="1"/>
  <c r="V178" i="18" s="1"/>
  <c r="U174" i="18"/>
  <c r="T174" i="18" s="1"/>
  <c r="U170" i="18"/>
  <c r="T170" i="18" s="1"/>
  <c r="S170" i="18" s="1"/>
  <c r="R170" i="18" s="1"/>
  <c r="P170" i="18" s="1"/>
  <c r="V170" i="18" s="1"/>
  <c r="U166" i="18"/>
  <c r="T166" i="18" s="1"/>
  <c r="S166" i="18" s="1"/>
  <c r="R166" i="18" s="1"/>
  <c r="P166" i="18" s="1"/>
  <c r="V166" i="18" s="1"/>
  <c r="U162" i="18"/>
  <c r="T162" i="18" s="1"/>
  <c r="S162" i="18" s="1"/>
  <c r="R162" i="18" s="1"/>
  <c r="P162" i="18" s="1"/>
  <c r="V162" i="18" s="1"/>
  <c r="U158" i="18"/>
  <c r="T158" i="18" s="1"/>
  <c r="S158" i="18" s="1"/>
  <c r="R158" i="18" s="1"/>
  <c r="P158" i="18" s="1"/>
  <c r="V158" i="18" s="1"/>
  <c r="U154" i="18"/>
  <c r="T154" i="18" s="1"/>
  <c r="S154" i="18" s="1"/>
  <c r="R154" i="18" s="1"/>
  <c r="P154" i="18" s="1"/>
  <c r="V154" i="18" s="1"/>
  <c r="U150" i="18"/>
  <c r="T150" i="18" s="1"/>
  <c r="S150" i="18" s="1"/>
  <c r="R150" i="18" s="1"/>
  <c r="P150" i="18" s="1"/>
  <c r="V150" i="18" s="1"/>
  <c r="U146" i="18"/>
  <c r="T146" i="18" s="1"/>
  <c r="S146" i="18" s="1"/>
  <c r="R146" i="18" s="1"/>
  <c r="P146" i="18" s="1"/>
  <c r="V146" i="18" s="1"/>
  <c r="U142" i="18"/>
  <c r="T142" i="18" s="1"/>
  <c r="U138" i="18"/>
  <c r="T138" i="18" s="1"/>
  <c r="S138" i="18" s="1"/>
  <c r="R138" i="18" s="1"/>
  <c r="P138" i="18" s="1"/>
  <c r="V138" i="18" s="1"/>
  <c r="U134" i="18"/>
  <c r="T134" i="18" s="1"/>
  <c r="U130" i="18"/>
  <c r="T130" i="18" s="1"/>
  <c r="S130" i="18" s="1"/>
  <c r="R130" i="18" s="1"/>
  <c r="P130" i="18" s="1"/>
  <c r="V130" i="18" s="1"/>
  <c r="U126" i="18"/>
  <c r="T126" i="18" s="1"/>
  <c r="U122" i="18"/>
  <c r="T122" i="18" s="1"/>
  <c r="S122" i="18" s="1"/>
  <c r="R122" i="18" s="1"/>
  <c r="P122" i="18" s="1"/>
  <c r="V122" i="18" s="1"/>
  <c r="U118" i="18"/>
  <c r="T118" i="18" s="1"/>
  <c r="U114" i="18"/>
  <c r="T114" i="18" s="1"/>
  <c r="S114" i="18" s="1"/>
  <c r="R114" i="18" s="1"/>
  <c r="P114" i="18" s="1"/>
  <c r="V114" i="18" s="1"/>
  <c r="U110" i="18"/>
  <c r="T110" i="18" s="1"/>
  <c r="U106" i="18"/>
  <c r="T106" i="18" s="1"/>
  <c r="S106" i="18" s="1"/>
  <c r="R106" i="18" s="1"/>
  <c r="P106" i="18" s="1"/>
  <c r="V106" i="18" s="1"/>
  <c r="U102" i="18"/>
  <c r="T102" i="18" s="1"/>
  <c r="U98" i="18"/>
  <c r="T98" i="18" s="1"/>
  <c r="S98" i="18" s="1"/>
  <c r="R98" i="18" s="1"/>
  <c r="P98" i="18" s="1"/>
  <c r="V98" i="18" s="1"/>
  <c r="U94" i="18"/>
  <c r="T94" i="18" s="1"/>
  <c r="S94" i="18" s="1"/>
  <c r="R94" i="18" s="1"/>
  <c r="P94" i="18" s="1"/>
  <c r="V94" i="18" s="1"/>
  <c r="U90" i="18"/>
  <c r="T90" i="18" s="1"/>
  <c r="S90" i="18" s="1"/>
  <c r="R90" i="18" s="1"/>
  <c r="P90" i="18" s="1"/>
  <c r="V90" i="18" s="1"/>
  <c r="U86" i="18"/>
  <c r="T86" i="18" s="1"/>
  <c r="U82" i="18"/>
  <c r="T82" i="18" s="1"/>
  <c r="S82" i="18" s="1"/>
  <c r="R82" i="18" s="1"/>
  <c r="P82" i="18" s="1"/>
  <c r="V82" i="18" s="1"/>
  <c r="U78" i="18"/>
  <c r="T78" i="18" s="1"/>
  <c r="S78" i="18" s="1"/>
  <c r="R78" i="18" s="1"/>
  <c r="P78" i="18" s="1"/>
  <c r="V78" i="18" s="1"/>
  <c r="U74" i="18"/>
  <c r="T74" i="18" s="1"/>
  <c r="S74" i="18" s="1"/>
  <c r="R74" i="18" s="1"/>
  <c r="P74" i="18" s="1"/>
  <c r="V74" i="18" s="1"/>
  <c r="U70" i="18"/>
  <c r="T70" i="18" s="1"/>
  <c r="S70" i="18" s="1"/>
  <c r="R70" i="18" s="1"/>
  <c r="P70" i="18" s="1"/>
  <c r="V70" i="18" s="1"/>
  <c r="U66" i="18"/>
  <c r="T66" i="18" s="1"/>
  <c r="S66" i="18" s="1"/>
  <c r="R66" i="18" s="1"/>
  <c r="P66" i="18" s="1"/>
  <c r="V66" i="18" s="1"/>
  <c r="U62" i="18"/>
  <c r="T62" i="18" s="1"/>
  <c r="U58" i="18"/>
  <c r="T58" i="18" s="1"/>
  <c r="S58" i="18" s="1"/>
  <c r="R58" i="18" s="1"/>
  <c r="P58" i="18" s="1"/>
  <c r="V58" i="18" s="1"/>
  <c r="U54" i="18"/>
  <c r="T54" i="18" s="1"/>
  <c r="U50" i="18"/>
  <c r="T50" i="18" s="1"/>
  <c r="S50" i="18" s="1"/>
  <c r="R50" i="18" s="1"/>
  <c r="P50" i="18" s="1"/>
  <c r="V50" i="18" s="1"/>
  <c r="U46" i="18"/>
  <c r="T46" i="18" s="1"/>
  <c r="U42" i="18"/>
  <c r="T42" i="18" s="1"/>
  <c r="S42" i="18" s="1"/>
  <c r="R42" i="18" s="1"/>
  <c r="P42" i="18" s="1"/>
  <c r="V42" i="18" s="1"/>
  <c r="U38" i="18"/>
  <c r="T38" i="18" s="1"/>
  <c r="U34" i="18"/>
  <c r="T34" i="18" s="1"/>
  <c r="S34" i="18" s="1"/>
  <c r="R34" i="18" s="1"/>
  <c r="P34" i="18" s="1"/>
  <c r="V34" i="18" s="1"/>
  <c r="U30" i="18"/>
  <c r="T30" i="18" s="1"/>
  <c r="U26" i="18"/>
  <c r="T26" i="18" s="1"/>
  <c r="S26" i="18" s="1"/>
  <c r="R26" i="18" s="1"/>
  <c r="P26" i="18" s="1"/>
  <c r="V26" i="18" s="1"/>
  <c r="U22" i="18"/>
  <c r="T22" i="18" s="1"/>
  <c r="U17" i="18"/>
  <c r="T17" i="18" s="1"/>
  <c r="S17" i="18" s="1"/>
  <c r="R17" i="18" s="1"/>
  <c r="P17" i="18" s="1"/>
  <c r="V17" i="18" s="1"/>
  <c r="U16" i="18"/>
  <c r="T16" i="18" s="1"/>
  <c r="J57" i="16"/>
  <c r="I57" i="16"/>
  <c r="J118" i="16"/>
  <c r="I118" i="16"/>
  <c r="I333" i="16"/>
  <c r="J333" i="16"/>
  <c r="I140" i="16"/>
  <c r="J140" i="16"/>
  <c r="J184" i="16"/>
  <c r="I184" i="16"/>
  <c r="I38" i="16"/>
  <c r="J38" i="16"/>
  <c r="I143" i="16"/>
  <c r="J143" i="16"/>
  <c r="I84" i="16"/>
  <c r="J84" i="16"/>
  <c r="I176" i="16"/>
  <c r="J176" i="16"/>
  <c r="J274" i="16"/>
  <c r="I274" i="16"/>
  <c r="J167" i="16"/>
  <c r="I167" i="16"/>
  <c r="J16" i="16"/>
  <c r="I16" i="16"/>
  <c r="I88" i="16"/>
  <c r="J88" i="16"/>
  <c r="F15" i="15"/>
  <c r="I42" i="16"/>
  <c r="J42" i="16"/>
  <c r="I233" i="16"/>
  <c r="J233" i="16"/>
  <c r="J27" i="16"/>
  <c r="I27" i="16"/>
  <c r="J119" i="16"/>
  <c r="I119" i="16"/>
  <c r="G380" i="16"/>
  <c r="BY380" i="6" s="1"/>
  <c r="AA380" i="16"/>
  <c r="Z380" i="16" s="1"/>
  <c r="Y380" i="16" s="1"/>
  <c r="H380" i="16"/>
  <c r="J92" i="16"/>
  <c r="I92" i="16"/>
  <c r="I152" i="16"/>
  <c r="J152" i="16"/>
  <c r="I275" i="16"/>
  <c r="J275" i="16"/>
  <c r="J31" i="16"/>
  <c r="I31" i="16"/>
  <c r="J93" i="16"/>
  <c r="I93" i="16"/>
  <c r="W15" i="16"/>
  <c r="D15" i="16"/>
  <c r="AJ7" i="16" s="1"/>
  <c r="J54" i="16"/>
  <c r="I54" i="16"/>
  <c r="I30" i="16"/>
  <c r="J30" i="16"/>
  <c r="I151" i="16"/>
  <c r="J151" i="16"/>
  <c r="I180" i="16"/>
  <c r="J180" i="16"/>
  <c r="J289" i="16"/>
  <c r="I289" i="16"/>
  <c r="J111" i="16"/>
  <c r="I111" i="16"/>
  <c r="I78" i="16"/>
  <c r="J78" i="16"/>
  <c r="I222" i="16"/>
  <c r="J222" i="16"/>
  <c r="J50" i="16"/>
  <c r="I50" i="16"/>
  <c r="J48" i="16"/>
  <c r="I48" i="16"/>
  <c r="I53" i="16"/>
  <c r="J53" i="16"/>
  <c r="I299" i="16"/>
  <c r="J299" i="16"/>
  <c r="I74" i="16"/>
  <c r="J74" i="16"/>
  <c r="J97" i="16"/>
  <c r="I97" i="16"/>
  <c r="I322" i="16"/>
  <c r="J322" i="16"/>
  <c r="I149" i="16"/>
  <c r="J149" i="16"/>
  <c r="J112" i="16"/>
  <c r="I112" i="16"/>
  <c r="I296" i="16"/>
  <c r="J296" i="16"/>
  <c r="I73" i="16"/>
  <c r="J73" i="16"/>
  <c r="I199" i="16"/>
  <c r="J199" i="16"/>
  <c r="J135" i="16"/>
  <c r="I135" i="16"/>
  <c r="I70" i="16"/>
  <c r="J70" i="16"/>
  <c r="I212" i="16"/>
  <c r="J212" i="16"/>
  <c r="J103" i="16"/>
  <c r="I103" i="16"/>
  <c r="I310" i="16"/>
  <c r="J310" i="16"/>
  <c r="I36" i="16"/>
  <c r="J36" i="16"/>
  <c r="I210" i="16"/>
  <c r="J210" i="16"/>
  <c r="I173" i="16"/>
  <c r="J173" i="16"/>
  <c r="J58" i="16"/>
  <c r="I58" i="16"/>
  <c r="I21" i="16"/>
  <c r="J21" i="16"/>
  <c r="J139" i="16"/>
  <c r="I139" i="16"/>
  <c r="J341" i="16"/>
  <c r="I341" i="16"/>
  <c r="J87" i="16"/>
  <c r="I87" i="16"/>
  <c r="J308" i="16"/>
  <c r="I308" i="16"/>
  <c r="J342" i="16"/>
  <c r="I342" i="16"/>
  <c r="J217" i="16"/>
  <c r="I217" i="16"/>
  <c r="AC16" i="7"/>
  <c r="AI19" i="18"/>
  <c r="AH19" i="18" s="1"/>
  <c r="AG19" i="18" s="1"/>
  <c r="AF19" i="18" s="1"/>
  <c r="AI18" i="18"/>
  <c r="AH18" i="18" s="1"/>
  <c r="AI20" i="18"/>
  <c r="AH20" i="18" s="1"/>
  <c r="AG20" i="18" s="1"/>
  <c r="AF20" i="18" s="1"/>
  <c r="AI22" i="18"/>
  <c r="AH22" i="18" s="1"/>
  <c r="AG22" i="18" s="1"/>
  <c r="AF22" i="18" s="1"/>
  <c r="AI24" i="18"/>
  <c r="AH24" i="18" s="1"/>
  <c r="AG24" i="18" s="1"/>
  <c r="AF24" i="18" s="1"/>
  <c r="AI26" i="18"/>
  <c r="AH26" i="18" s="1"/>
  <c r="AG26" i="18" s="1"/>
  <c r="AF26" i="18" s="1"/>
  <c r="AI28" i="18"/>
  <c r="AH28" i="18" s="1"/>
  <c r="AG28" i="18" s="1"/>
  <c r="AF28" i="18" s="1"/>
  <c r="AI30" i="18"/>
  <c r="AH30" i="18" s="1"/>
  <c r="AG30" i="18" s="1"/>
  <c r="AF30" i="18" s="1"/>
  <c r="AI32" i="18"/>
  <c r="AH32" i="18" s="1"/>
  <c r="AG32" i="18" s="1"/>
  <c r="AF32" i="18" s="1"/>
  <c r="AI34" i="18"/>
  <c r="AH34" i="18" s="1"/>
  <c r="AG34" i="18" s="1"/>
  <c r="AF34" i="18" s="1"/>
  <c r="AI36" i="18"/>
  <c r="AH36" i="18" s="1"/>
  <c r="AG36" i="18" s="1"/>
  <c r="AF36" i="18" s="1"/>
  <c r="AI38" i="18"/>
  <c r="AH38" i="18" s="1"/>
  <c r="AG38" i="18" s="1"/>
  <c r="AF38" i="18" s="1"/>
  <c r="AI40" i="18"/>
  <c r="AH40" i="18" s="1"/>
  <c r="AG40" i="18" s="1"/>
  <c r="AF40" i="18" s="1"/>
  <c r="AI42" i="18"/>
  <c r="AH42" i="18" s="1"/>
  <c r="AG42" i="18" s="1"/>
  <c r="AF42" i="18" s="1"/>
  <c r="AI44" i="18"/>
  <c r="AH44" i="18" s="1"/>
  <c r="AG44" i="18" s="1"/>
  <c r="AF44" i="18" s="1"/>
  <c r="AI46" i="18"/>
  <c r="AH46" i="18" s="1"/>
  <c r="AG46" i="18" s="1"/>
  <c r="AF46" i="18" s="1"/>
  <c r="AI48" i="18"/>
  <c r="AH48" i="18" s="1"/>
  <c r="AG48" i="18" s="1"/>
  <c r="AF48" i="18" s="1"/>
  <c r="AI50" i="18"/>
  <c r="AH50" i="18" s="1"/>
  <c r="AG50" i="18" s="1"/>
  <c r="AF50" i="18" s="1"/>
  <c r="AI52" i="18"/>
  <c r="AH52" i="18" s="1"/>
  <c r="AG52" i="18" s="1"/>
  <c r="AF52" i="18" s="1"/>
  <c r="AI54" i="18"/>
  <c r="AH54" i="18" s="1"/>
  <c r="AG54" i="18" s="1"/>
  <c r="AF54" i="18" s="1"/>
  <c r="AI56" i="18"/>
  <c r="AH56" i="18" s="1"/>
  <c r="AG56" i="18" s="1"/>
  <c r="AF56" i="18" s="1"/>
  <c r="AI58" i="18"/>
  <c r="AH58" i="18" s="1"/>
  <c r="AG58" i="18" s="1"/>
  <c r="AF58" i="18" s="1"/>
  <c r="AI60" i="18"/>
  <c r="AH60" i="18" s="1"/>
  <c r="AG60" i="18" s="1"/>
  <c r="AF60" i="18" s="1"/>
  <c r="AI62" i="18"/>
  <c r="AH62" i="18" s="1"/>
  <c r="AG62" i="18" s="1"/>
  <c r="AF62" i="18" s="1"/>
  <c r="AI64" i="18"/>
  <c r="AH64" i="18" s="1"/>
  <c r="AG64" i="18" s="1"/>
  <c r="AF64" i="18" s="1"/>
  <c r="AI66" i="18"/>
  <c r="AH66" i="18" s="1"/>
  <c r="AG66" i="18" s="1"/>
  <c r="AF66" i="18" s="1"/>
  <c r="AI68" i="18"/>
  <c r="AH68" i="18" s="1"/>
  <c r="AG68" i="18" s="1"/>
  <c r="AF68" i="18" s="1"/>
  <c r="AI70" i="18"/>
  <c r="AH70" i="18" s="1"/>
  <c r="AG70" i="18" s="1"/>
  <c r="AF70" i="18" s="1"/>
  <c r="AI72" i="18"/>
  <c r="AH72" i="18" s="1"/>
  <c r="AG72" i="18" s="1"/>
  <c r="AF72" i="18" s="1"/>
  <c r="AI74" i="18"/>
  <c r="AH74" i="18" s="1"/>
  <c r="AG74" i="18" s="1"/>
  <c r="AF74" i="18" s="1"/>
  <c r="AI76" i="18"/>
  <c r="AH76" i="18" s="1"/>
  <c r="AG76" i="18" s="1"/>
  <c r="AF76" i="18" s="1"/>
  <c r="AI78" i="18"/>
  <c r="AH78" i="18" s="1"/>
  <c r="AG78" i="18" s="1"/>
  <c r="AF78" i="18" s="1"/>
  <c r="AI80" i="18"/>
  <c r="AH80" i="18" s="1"/>
  <c r="AG80" i="18" s="1"/>
  <c r="AF80" i="18" s="1"/>
  <c r="AI82" i="18"/>
  <c r="AH82" i="18" s="1"/>
  <c r="AG82" i="18" s="1"/>
  <c r="AF82" i="18" s="1"/>
  <c r="AI84" i="18"/>
  <c r="AH84" i="18" s="1"/>
  <c r="AG84" i="18" s="1"/>
  <c r="AF84" i="18" s="1"/>
  <c r="AI86" i="18"/>
  <c r="AH86" i="18" s="1"/>
  <c r="AG86" i="18" s="1"/>
  <c r="AF86" i="18" s="1"/>
  <c r="AI88" i="18"/>
  <c r="AH88" i="18" s="1"/>
  <c r="AG88" i="18" s="1"/>
  <c r="AF88" i="18" s="1"/>
  <c r="AI90" i="18"/>
  <c r="AH90" i="18" s="1"/>
  <c r="AG90" i="18" s="1"/>
  <c r="AF90" i="18" s="1"/>
  <c r="AI92" i="18"/>
  <c r="AH92" i="18" s="1"/>
  <c r="AG92" i="18" s="1"/>
  <c r="AF92" i="18" s="1"/>
  <c r="AI94" i="18"/>
  <c r="AH94" i="18" s="1"/>
  <c r="AG94" i="18" s="1"/>
  <c r="AF94" i="18" s="1"/>
  <c r="AI96" i="18"/>
  <c r="AH96" i="18" s="1"/>
  <c r="AG96" i="18" s="1"/>
  <c r="AF96" i="18" s="1"/>
  <c r="AI98" i="18"/>
  <c r="AH98" i="18" s="1"/>
  <c r="AG98" i="18" s="1"/>
  <c r="AF98" i="18" s="1"/>
  <c r="AI100" i="18"/>
  <c r="AH100" i="18" s="1"/>
  <c r="AG100" i="18" s="1"/>
  <c r="AF100" i="18" s="1"/>
  <c r="AI102" i="18"/>
  <c r="AH102" i="18" s="1"/>
  <c r="AG102" i="18" s="1"/>
  <c r="AF102" i="18" s="1"/>
  <c r="AI104" i="18"/>
  <c r="AH104" i="18" s="1"/>
  <c r="AG104" i="18" s="1"/>
  <c r="AF104" i="18" s="1"/>
  <c r="AI106" i="18"/>
  <c r="AH106" i="18" s="1"/>
  <c r="AG106" i="18" s="1"/>
  <c r="AF106" i="18" s="1"/>
  <c r="AI108" i="18"/>
  <c r="AH108" i="18" s="1"/>
  <c r="AG108" i="18" s="1"/>
  <c r="AF108" i="18" s="1"/>
  <c r="AI110" i="18"/>
  <c r="AH110" i="18" s="1"/>
  <c r="AG110" i="18" s="1"/>
  <c r="AF110" i="18" s="1"/>
  <c r="AI112" i="18"/>
  <c r="AH112" i="18" s="1"/>
  <c r="AG112" i="18" s="1"/>
  <c r="AF112" i="18" s="1"/>
  <c r="AI114" i="18"/>
  <c r="AH114" i="18" s="1"/>
  <c r="AG114" i="18" s="1"/>
  <c r="AF114" i="18" s="1"/>
  <c r="AI116" i="18"/>
  <c r="AH116" i="18" s="1"/>
  <c r="AG116" i="18" s="1"/>
  <c r="AF116" i="18" s="1"/>
  <c r="AI118" i="18"/>
  <c r="AH118" i="18" s="1"/>
  <c r="AG118" i="18" s="1"/>
  <c r="AF118" i="18" s="1"/>
  <c r="AI120" i="18"/>
  <c r="AH120" i="18" s="1"/>
  <c r="AG120" i="18" s="1"/>
  <c r="AF120" i="18" s="1"/>
  <c r="AI122" i="18"/>
  <c r="AH122" i="18" s="1"/>
  <c r="AG122" i="18" s="1"/>
  <c r="AF122" i="18" s="1"/>
  <c r="AI124" i="18"/>
  <c r="AH124" i="18" s="1"/>
  <c r="AG124" i="18" s="1"/>
  <c r="AF124" i="18" s="1"/>
  <c r="AI126" i="18"/>
  <c r="AH126" i="18" s="1"/>
  <c r="AG126" i="18" s="1"/>
  <c r="AF126" i="18" s="1"/>
  <c r="AI128" i="18"/>
  <c r="AH128" i="18" s="1"/>
  <c r="AG128" i="18" s="1"/>
  <c r="AF128" i="18" s="1"/>
  <c r="AI130" i="18"/>
  <c r="AH130" i="18" s="1"/>
  <c r="AG130" i="18" s="1"/>
  <c r="AF130" i="18" s="1"/>
  <c r="AI132" i="18"/>
  <c r="AH132" i="18" s="1"/>
  <c r="AG132" i="18" s="1"/>
  <c r="AF132" i="18" s="1"/>
  <c r="AI134" i="18"/>
  <c r="AH134" i="18" s="1"/>
  <c r="AG134" i="18" s="1"/>
  <c r="AF134" i="18" s="1"/>
  <c r="AI136" i="18"/>
  <c r="AH136" i="18" s="1"/>
  <c r="AG136" i="18" s="1"/>
  <c r="AF136" i="18" s="1"/>
  <c r="AI138" i="18"/>
  <c r="AH138" i="18" s="1"/>
  <c r="AG138" i="18" s="1"/>
  <c r="AF138" i="18" s="1"/>
  <c r="AI140" i="18"/>
  <c r="AH140" i="18" s="1"/>
  <c r="AG140" i="18" s="1"/>
  <c r="AF140" i="18" s="1"/>
  <c r="AI142" i="18"/>
  <c r="AH142" i="18" s="1"/>
  <c r="AG142" i="18" s="1"/>
  <c r="AF142" i="18" s="1"/>
  <c r="AI144" i="18"/>
  <c r="AH144" i="18" s="1"/>
  <c r="AG144" i="18" s="1"/>
  <c r="AF144" i="18" s="1"/>
  <c r="AI146" i="18"/>
  <c r="AH146" i="18" s="1"/>
  <c r="AG146" i="18" s="1"/>
  <c r="AF146" i="18" s="1"/>
  <c r="AI148" i="18"/>
  <c r="AH148" i="18" s="1"/>
  <c r="AG148" i="18" s="1"/>
  <c r="AF148" i="18" s="1"/>
  <c r="AI17" i="18"/>
  <c r="AH17" i="18" s="1"/>
  <c r="AG17" i="18" s="1"/>
  <c r="AF17" i="18" s="1"/>
  <c r="AI16" i="18"/>
  <c r="AH16" i="18" s="1"/>
  <c r="AI15" i="18"/>
  <c r="AI21" i="18"/>
  <c r="AH21" i="18" s="1"/>
  <c r="AG21" i="18" s="1"/>
  <c r="AF21" i="18" s="1"/>
  <c r="AI23" i="18"/>
  <c r="AH23" i="18" s="1"/>
  <c r="AG23" i="18" s="1"/>
  <c r="AF23" i="18" s="1"/>
  <c r="AD23" i="18" s="1"/>
  <c r="AI25" i="18"/>
  <c r="AH25" i="18" s="1"/>
  <c r="AG25" i="18" s="1"/>
  <c r="AF25" i="18" s="1"/>
  <c r="AI27" i="18"/>
  <c r="AH27" i="18" s="1"/>
  <c r="AG27" i="18" s="1"/>
  <c r="AF27" i="18" s="1"/>
  <c r="AD27" i="18" s="1"/>
  <c r="AI29" i="18"/>
  <c r="AH29" i="18" s="1"/>
  <c r="AI31" i="18"/>
  <c r="AH31" i="18" s="1"/>
  <c r="AI33" i="18"/>
  <c r="AH33" i="18" s="1"/>
  <c r="AG33" i="18" s="1"/>
  <c r="AF33" i="18" s="1"/>
  <c r="AD33" i="18" s="1"/>
  <c r="AI35" i="18"/>
  <c r="AH35" i="18" s="1"/>
  <c r="AI37" i="18"/>
  <c r="AH37" i="18" s="1"/>
  <c r="AI39" i="18"/>
  <c r="AH39" i="18" s="1"/>
  <c r="AG39" i="18" s="1"/>
  <c r="AF39" i="18" s="1"/>
  <c r="AD39" i="18" s="1"/>
  <c r="AI41" i="18"/>
  <c r="AH41" i="18" s="1"/>
  <c r="AG41" i="18" s="1"/>
  <c r="AF41" i="18" s="1"/>
  <c r="AI43" i="18"/>
  <c r="AH43" i="18" s="1"/>
  <c r="AI45" i="18"/>
  <c r="AH45" i="18" s="1"/>
  <c r="AI47" i="18"/>
  <c r="AH47" i="18" s="1"/>
  <c r="AI49" i="18"/>
  <c r="AH49" i="18" s="1"/>
  <c r="AI51" i="18"/>
  <c r="AH51" i="18" s="1"/>
  <c r="AG51" i="18" s="1"/>
  <c r="AF51" i="18" s="1"/>
  <c r="AD51" i="18" s="1"/>
  <c r="AI53" i="18"/>
  <c r="AH53" i="18" s="1"/>
  <c r="AG53" i="18" s="1"/>
  <c r="AF53" i="18" s="1"/>
  <c r="AD53" i="18" s="1"/>
  <c r="AI55" i="18"/>
  <c r="AH55" i="18" s="1"/>
  <c r="AI57" i="18"/>
  <c r="AH57" i="18" s="1"/>
  <c r="AI59" i="18"/>
  <c r="AH59" i="18" s="1"/>
  <c r="AI61" i="18"/>
  <c r="AH61" i="18" s="1"/>
  <c r="AI63" i="18"/>
  <c r="AH63" i="18" s="1"/>
  <c r="AG63" i="18" s="1"/>
  <c r="AF63" i="18" s="1"/>
  <c r="AD63" i="18" s="1"/>
  <c r="AI65" i="18"/>
  <c r="AH65" i="18" s="1"/>
  <c r="AG65" i="18" s="1"/>
  <c r="AF65" i="18" s="1"/>
  <c r="AI67" i="18"/>
  <c r="AH67" i="18" s="1"/>
  <c r="AG67" i="18" s="1"/>
  <c r="AF67" i="18" s="1"/>
  <c r="AD67" i="18" s="1"/>
  <c r="AI69" i="18"/>
  <c r="AH69" i="18" s="1"/>
  <c r="AG69" i="18" s="1"/>
  <c r="AF69" i="18" s="1"/>
  <c r="AI71" i="18"/>
  <c r="AH71" i="18" s="1"/>
  <c r="AG71" i="18" s="1"/>
  <c r="AF71" i="18" s="1"/>
  <c r="AD71" i="18" s="1"/>
  <c r="AI73" i="18"/>
  <c r="AH73" i="18" s="1"/>
  <c r="AG73" i="18" s="1"/>
  <c r="AF73" i="18" s="1"/>
  <c r="AD73" i="18" s="1"/>
  <c r="AI75" i="18"/>
  <c r="AH75" i="18" s="1"/>
  <c r="AI77" i="18"/>
  <c r="AH77" i="18" s="1"/>
  <c r="AG77" i="18" s="1"/>
  <c r="AF77" i="18" s="1"/>
  <c r="AI79" i="18"/>
  <c r="AH79" i="18" s="1"/>
  <c r="AG79" i="18" s="1"/>
  <c r="AF79" i="18" s="1"/>
  <c r="AD79" i="18" s="1"/>
  <c r="AI81" i="18"/>
  <c r="AH81" i="18" s="1"/>
  <c r="AG81" i="18" s="1"/>
  <c r="AF81" i="18" s="1"/>
  <c r="AI83" i="18"/>
  <c r="AH83" i="18" s="1"/>
  <c r="AG83" i="18" s="1"/>
  <c r="AF83" i="18" s="1"/>
  <c r="AD83" i="18" s="1"/>
  <c r="AI85" i="18"/>
  <c r="AH85" i="18" s="1"/>
  <c r="AG85" i="18" s="1"/>
  <c r="AF85" i="18" s="1"/>
  <c r="AD85" i="18" s="1"/>
  <c r="AI87" i="18"/>
  <c r="AH87" i="18" s="1"/>
  <c r="AI89" i="18"/>
  <c r="AH89" i="18" s="1"/>
  <c r="AI91" i="18"/>
  <c r="AH91" i="18" s="1"/>
  <c r="AG91" i="18" s="1"/>
  <c r="AF91" i="18" s="1"/>
  <c r="AD91" i="18" s="1"/>
  <c r="AI93" i="18"/>
  <c r="AH93" i="18" s="1"/>
  <c r="AI95" i="18"/>
  <c r="AH95" i="18" s="1"/>
  <c r="AI97" i="18"/>
  <c r="AH97" i="18" s="1"/>
  <c r="AI99" i="18"/>
  <c r="AH99" i="18" s="1"/>
  <c r="AI101" i="18"/>
  <c r="AH101" i="18" s="1"/>
  <c r="AG101" i="18" s="1"/>
  <c r="AF101" i="18" s="1"/>
  <c r="AD101" i="18" s="1"/>
  <c r="AI103" i="18"/>
  <c r="AH103" i="18" s="1"/>
  <c r="AG103" i="18" s="1"/>
  <c r="AF103" i="18" s="1"/>
  <c r="AD103" i="18" s="1"/>
  <c r="AI105" i="18"/>
  <c r="AH105" i="18" s="1"/>
  <c r="AI107" i="18"/>
  <c r="AH107" i="18" s="1"/>
  <c r="AG107" i="18" s="1"/>
  <c r="AF107" i="18" s="1"/>
  <c r="AD107" i="18" s="1"/>
  <c r="AI109" i="18"/>
  <c r="AH109" i="18" s="1"/>
  <c r="AI111" i="18"/>
  <c r="AH111" i="18" s="1"/>
  <c r="AG111" i="18" s="1"/>
  <c r="AF111" i="18" s="1"/>
  <c r="AD111" i="18" s="1"/>
  <c r="AI113" i="18"/>
  <c r="AH113" i="18" s="1"/>
  <c r="AI115" i="18"/>
  <c r="AH115" i="18" s="1"/>
  <c r="AG115" i="18" s="1"/>
  <c r="AF115" i="18" s="1"/>
  <c r="AD115" i="18" s="1"/>
  <c r="AI117" i="18"/>
  <c r="AH117" i="18" s="1"/>
  <c r="AG117" i="18" s="1"/>
  <c r="AF117" i="18" s="1"/>
  <c r="AD117" i="18" s="1"/>
  <c r="AI119" i="18"/>
  <c r="AH119" i="18" s="1"/>
  <c r="AG119" i="18" s="1"/>
  <c r="AF119" i="18" s="1"/>
  <c r="AD119" i="18" s="1"/>
  <c r="AI121" i="18"/>
  <c r="AH121" i="18" s="1"/>
  <c r="AG121" i="18" s="1"/>
  <c r="AF121" i="18" s="1"/>
  <c r="AI123" i="18"/>
  <c r="AH123" i="18" s="1"/>
  <c r="AI125" i="18"/>
  <c r="AH125" i="18" s="1"/>
  <c r="AG125" i="18" s="1"/>
  <c r="AF125" i="18" s="1"/>
  <c r="AD125" i="18" s="1"/>
  <c r="AI127" i="18"/>
  <c r="AH127" i="18" s="1"/>
  <c r="AG127" i="18" s="1"/>
  <c r="AF127" i="18" s="1"/>
  <c r="AD127" i="18" s="1"/>
  <c r="AI129" i="18"/>
  <c r="AH129" i="18" s="1"/>
  <c r="AI131" i="18"/>
  <c r="AH131" i="18" s="1"/>
  <c r="AI133" i="18"/>
  <c r="AH133" i="18" s="1"/>
  <c r="AI135" i="18"/>
  <c r="AH135" i="18" s="1"/>
  <c r="AG135" i="18" s="1"/>
  <c r="AF135" i="18" s="1"/>
  <c r="AD135" i="18" s="1"/>
  <c r="AI137" i="18"/>
  <c r="AH137" i="18" s="1"/>
  <c r="AI139" i="18"/>
  <c r="AH139" i="18" s="1"/>
  <c r="AI141" i="18"/>
  <c r="AH141" i="18" s="1"/>
  <c r="AG141" i="18" s="1"/>
  <c r="AF141" i="18" s="1"/>
  <c r="AD141" i="18" s="1"/>
  <c r="AI143" i="18"/>
  <c r="AH143" i="18" s="1"/>
  <c r="AI145" i="18"/>
  <c r="AH145" i="18" s="1"/>
  <c r="AI147" i="18"/>
  <c r="AH147" i="18" s="1"/>
  <c r="AI149" i="18"/>
  <c r="AH149" i="18" s="1"/>
  <c r="AG149" i="18" s="1"/>
  <c r="AF149" i="18" s="1"/>
  <c r="AD149" i="18" s="1"/>
  <c r="AI151" i="18"/>
  <c r="AH151" i="18" s="1"/>
  <c r="AG151" i="18" s="1"/>
  <c r="AF151" i="18" s="1"/>
  <c r="AD151" i="18" s="1"/>
  <c r="AI153" i="18"/>
  <c r="AH153" i="18" s="1"/>
  <c r="AI155" i="18"/>
  <c r="AH155" i="18" s="1"/>
  <c r="AI157" i="18"/>
  <c r="AH157" i="18" s="1"/>
  <c r="AI159" i="18"/>
  <c r="AH159" i="18" s="1"/>
  <c r="AG159" i="18" s="1"/>
  <c r="AF159" i="18" s="1"/>
  <c r="AD159" i="18" s="1"/>
  <c r="AI161" i="18"/>
  <c r="AH161" i="18" s="1"/>
  <c r="AG161" i="18" s="1"/>
  <c r="AF161" i="18" s="1"/>
  <c r="AD161" i="18" s="1"/>
  <c r="AI163" i="18"/>
  <c r="AH163" i="18" s="1"/>
  <c r="AI165" i="18"/>
  <c r="AH165" i="18" s="1"/>
  <c r="AG165" i="18" s="1"/>
  <c r="AF165" i="18" s="1"/>
  <c r="AI167" i="18"/>
  <c r="AH167" i="18" s="1"/>
  <c r="AI169" i="18"/>
  <c r="AH169" i="18" s="1"/>
  <c r="AG169" i="18" s="1"/>
  <c r="AF169" i="18" s="1"/>
  <c r="AD169" i="18" s="1"/>
  <c r="AI171" i="18"/>
  <c r="AH171" i="18" s="1"/>
  <c r="AI173" i="18"/>
  <c r="AH173" i="18" s="1"/>
  <c r="AI175" i="18"/>
  <c r="AH175" i="18" s="1"/>
  <c r="AI177" i="18"/>
  <c r="AH177" i="18" s="1"/>
  <c r="AI179" i="18"/>
  <c r="AH179" i="18" s="1"/>
  <c r="AG179" i="18" s="1"/>
  <c r="AF179" i="18" s="1"/>
  <c r="AD179" i="18" s="1"/>
  <c r="AI181" i="18"/>
  <c r="AH181" i="18" s="1"/>
  <c r="AG181" i="18" s="1"/>
  <c r="AF181" i="18" s="1"/>
  <c r="AI183" i="18"/>
  <c r="AH183" i="18" s="1"/>
  <c r="AG183" i="18" s="1"/>
  <c r="AF183" i="18" s="1"/>
  <c r="AD183" i="18" s="1"/>
  <c r="AI185" i="18"/>
  <c r="AH185" i="18" s="1"/>
  <c r="AG185" i="18" s="1"/>
  <c r="AF185" i="18" s="1"/>
  <c r="AD185" i="18" s="1"/>
  <c r="AI187" i="18"/>
  <c r="AH187" i="18" s="1"/>
  <c r="AI189" i="18"/>
  <c r="AH189" i="18" s="1"/>
  <c r="AG189" i="18" s="1"/>
  <c r="AF189" i="18" s="1"/>
  <c r="AD189" i="18" s="1"/>
  <c r="AI191" i="18"/>
  <c r="AH191" i="18" s="1"/>
  <c r="AG191" i="18" s="1"/>
  <c r="AF191" i="18" s="1"/>
  <c r="AD191" i="18" s="1"/>
  <c r="AI193" i="18"/>
  <c r="AH193" i="18" s="1"/>
  <c r="AI195" i="18"/>
  <c r="AH195" i="18" s="1"/>
  <c r="AI197" i="18"/>
  <c r="AH197" i="18" s="1"/>
  <c r="AI199" i="18"/>
  <c r="AH199" i="18" s="1"/>
  <c r="AI201" i="18"/>
  <c r="AH201" i="18" s="1"/>
  <c r="AG201" i="18" s="1"/>
  <c r="AF201" i="18" s="1"/>
  <c r="AD201" i="18" s="1"/>
  <c r="AI203" i="18"/>
  <c r="AH203" i="18" s="1"/>
  <c r="AI205" i="18"/>
  <c r="AH205" i="18" s="1"/>
  <c r="AI207" i="18"/>
  <c r="AH207" i="18" s="1"/>
  <c r="AG207" i="18" s="1"/>
  <c r="AF207" i="18" s="1"/>
  <c r="AD207" i="18" s="1"/>
  <c r="AI209" i="18"/>
  <c r="AH209" i="18" s="1"/>
  <c r="AI211" i="18"/>
  <c r="AH211" i="18" s="1"/>
  <c r="AI213" i="18"/>
  <c r="AH213" i="18" s="1"/>
  <c r="AI215" i="18"/>
  <c r="AH215" i="18" s="1"/>
  <c r="AI217" i="18"/>
  <c r="AH217" i="18" s="1"/>
  <c r="AI219" i="18"/>
  <c r="AH219" i="18" s="1"/>
  <c r="AI221" i="18"/>
  <c r="AH221" i="18" s="1"/>
  <c r="AI223" i="18"/>
  <c r="AH223" i="18" s="1"/>
  <c r="AI225" i="18"/>
  <c r="AH225" i="18" s="1"/>
  <c r="AI227" i="18"/>
  <c r="AH227" i="18" s="1"/>
  <c r="AI229" i="18"/>
  <c r="AH229" i="18" s="1"/>
  <c r="AG229" i="18" s="1"/>
  <c r="AF229" i="18" s="1"/>
  <c r="AI231" i="18"/>
  <c r="AH231" i="18" s="1"/>
  <c r="AG231" i="18" s="1"/>
  <c r="AF231" i="18" s="1"/>
  <c r="AD231" i="18" s="1"/>
  <c r="AI233" i="18"/>
  <c r="AH233" i="18" s="1"/>
  <c r="AI235" i="18"/>
  <c r="AH235" i="18" s="1"/>
  <c r="AG235" i="18" s="1"/>
  <c r="AF235" i="18" s="1"/>
  <c r="AD235" i="18" s="1"/>
  <c r="AI237" i="18"/>
  <c r="AH237" i="18" s="1"/>
  <c r="AI239" i="18"/>
  <c r="AH239" i="18" s="1"/>
  <c r="AG239" i="18" s="1"/>
  <c r="AF239" i="18" s="1"/>
  <c r="AD239" i="18" s="1"/>
  <c r="AI241" i="18"/>
  <c r="AH241" i="18" s="1"/>
  <c r="AG241" i="18" s="1"/>
  <c r="AF241" i="18" s="1"/>
  <c r="AD241" i="18" s="1"/>
  <c r="AI243" i="18"/>
  <c r="AH243" i="18" s="1"/>
  <c r="AI245" i="18"/>
  <c r="AH245" i="18" s="1"/>
  <c r="AG245" i="18" s="1"/>
  <c r="AF245" i="18" s="1"/>
  <c r="AD245" i="18" s="1"/>
  <c r="AI247" i="18"/>
  <c r="AH247" i="18" s="1"/>
  <c r="AI249" i="18"/>
  <c r="AH249" i="18" s="1"/>
  <c r="AI251" i="18"/>
  <c r="AH251" i="18" s="1"/>
  <c r="AI253" i="18"/>
  <c r="AH253" i="18" s="1"/>
  <c r="AI255" i="18"/>
  <c r="AH255" i="18" s="1"/>
  <c r="AI257" i="18"/>
  <c r="AH257" i="18" s="1"/>
  <c r="AI259" i="18"/>
  <c r="AH259" i="18" s="1"/>
  <c r="AI261" i="18"/>
  <c r="AH261" i="18" s="1"/>
  <c r="AI263" i="18"/>
  <c r="AH263" i="18" s="1"/>
  <c r="AG263" i="18" s="1"/>
  <c r="AF263" i="18" s="1"/>
  <c r="AD263" i="18" s="1"/>
  <c r="AI265" i="18"/>
  <c r="AH265" i="18" s="1"/>
  <c r="AG265" i="18" s="1"/>
  <c r="AF265" i="18" s="1"/>
  <c r="AI267" i="18"/>
  <c r="AH267" i="18" s="1"/>
  <c r="AG267" i="18" s="1"/>
  <c r="AF267" i="18" s="1"/>
  <c r="AI269" i="18"/>
  <c r="AH269" i="18" s="1"/>
  <c r="AG269" i="18" s="1"/>
  <c r="AF269" i="18" s="1"/>
  <c r="AD269" i="18" s="1"/>
  <c r="AI271" i="18"/>
  <c r="AH271" i="18" s="1"/>
  <c r="AI273" i="18"/>
  <c r="AH273" i="18" s="1"/>
  <c r="AG273" i="18" s="1"/>
  <c r="AF273" i="18" s="1"/>
  <c r="AI275" i="18"/>
  <c r="AH275" i="18" s="1"/>
  <c r="AG275" i="18" s="1"/>
  <c r="AF275" i="18" s="1"/>
  <c r="AD275" i="18" s="1"/>
  <c r="AI277" i="18"/>
  <c r="AH277" i="18" s="1"/>
  <c r="AG277" i="18" s="1"/>
  <c r="AF277" i="18" s="1"/>
  <c r="AI279" i="18"/>
  <c r="AH279" i="18" s="1"/>
  <c r="AI281" i="18"/>
  <c r="AH281" i="18" s="1"/>
  <c r="AG281" i="18" s="1"/>
  <c r="AF281" i="18" s="1"/>
  <c r="AI283" i="18"/>
  <c r="AH283" i="18" s="1"/>
  <c r="AI285" i="18"/>
  <c r="AH285" i="18" s="1"/>
  <c r="AG285" i="18" s="1"/>
  <c r="AF285" i="18" s="1"/>
  <c r="AI287" i="18"/>
  <c r="AH287" i="18" s="1"/>
  <c r="AG287" i="18" s="1"/>
  <c r="AF287" i="18" s="1"/>
  <c r="AD287" i="18" s="1"/>
  <c r="AI289" i="18"/>
  <c r="AH289" i="18" s="1"/>
  <c r="AG289" i="18" s="1"/>
  <c r="AF289" i="18" s="1"/>
  <c r="AI291" i="18"/>
  <c r="AH291" i="18" s="1"/>
  <c r="AG291" i="18" s="1"/>
  <c r="AF291" i="18" s="1"/>
  <c r="AD291" i="18" s="1"/>
  <c r="AI293" i="18"/>
  <c r="AH293" i="18" s="1"/>
  <c r="AG293" i="18" s="1"/>
  <c r="AF293" i="18" s="1"/>
  <c r="AI295" i="18"/>
  <c r="AH295" i="18" s="1"/>
  <c r="AG295" i="18" s="1"/>
  <c r="AF295" i="18" s="1"/>
  <c r="AI297" i="18"/>
  <c r="AH297" i="18" s="1"/>
  <c r="AG297" i="18" s="1"/>
  <c r="AF297" i="18" s="1"/>
  <c r="AI299" i="18"/>
  <c r="AH299" i="18" s="1"/>
  <c r="AG299" i="18" s="1"/>
  <c r="AF299" i="18" s="1"/>
  <c r="AD299" i="18" s="1"/>
  <c r="AI301" i="18"/>
  <c r="AH301" i="18" s="1"/>
  <c r="AG301" i="18" s="1"/>
  <c r="AF301" i="18" s="1"/>
  <c r="AI303" i="18"/>
  <c r="AH303" i="18" s="1"/>
  <c r="AI305" i="18"/>
  <c r="AH305" i="18" s="1"/>
  <c r="AG305" i="18" s="1"/>
  <c r="AF305" i="18" s="1"/>
  <c r="AI307" i="18"/>
  <c r="AH307" i="18" s="1"/>
  <c r="AG307" i="18" s="1"/>
  <c r="AF307" i="18" s="1"/>
  <c r="AD307" i="18" s="1"/>
  <c r="AI309" i="18"/>
  <c r="AH309" i="18" s="1"/>
  <c r="AI311" i="18"/>
  <c r="AH311" i="18" s="1"/>
  <c r="AG311" i="18" s="1"/>
  <c r="AF311" i="18" s="1"/>
  <c r="AI313" i="18"/>
  <c r="AH313" i="18" s="1"/>
  <c r="AG313" i="18" s="1"/>
  <c r="AF313" i="18" s="1"/>
  <c r="AI315" i="18"/>
  <c r="AH315" i="18" s="1"/>
  <c r="AG315" i="18" s="1"/>
  <c r="AF315" i="18" s="1"/>
  <c r="AD315" i="18" s="1"/>
  <c r="AI317" i="18"/>
  <c r="AH317" i="18" s="1"/>
  <c r="AG317" i="18" s="1"/>
  <c r="AF317" i="18" s="1"/>
  <c r="AD317" i="18" s="1"/>
  <c r="AI319" i="18"/>
  <c r="AH319" i="18" s="1"/>
  <c r="AG319" i="18" s="1"/>
  <c r="AF319" i="18" s="1"/>
  <c r="AD319" i="18" s="1"/>
  <c r="AI321" i="18"/>
  <c r="AH321" i="18" s="1"/>
  <c r="AG321" i="18" s="1"/>
  <c r="AF321" i="18" s="1"/>
  <c r="AI323" i="18"/>
  <c r="AH323" i="18" s="1"/>
  <c r="AG323" i="18" s="1"/>
  <c r="AF323" i="18" s="1"/>
  <c r="AD323" i="18" s="1"/>
  <c r="AI325" i="18"/>
  <c r="AH325" i="18" s="1"/>
  <c r="AG325" i="18" s="1"/>
  <c r="AF325" i="18" s="1"/>
  <c r="AI327" i="18"/>
  <c r="AH327" i="18" s="1"/>
  <c r="AI329" i="18"/>
  <c r="AH329" i="18" s="1"/>
  <c r="AG329" i="18" s="1"/>
  <c r="AF329" i="18" s="1"/>
  <c r="AI331" i="18"/>
  <c r="AH331" i="18" s="1"/>
  <c r="AG331" i="18" s="1"/>
  <c r="AF331" i="18" s="1"/>
  <c r="AD331" i="18" s="1"/>
  <c r="AI333" i="18"/>
  <c r="AH333" i="18" s="1"/>
  <c r="AG333" i="18" s="1"/>
  <c r="AF333" i="18" s="1"/>
  <c r="AD333" i="18" s="1"/>
  <c r="AI335" i="18"/>
  <c r="AH335" i="18" s="1"/>
  <c r="AG335" i="18" s="1"/>
  <c r="AF335" i="18" s="1"/>
  <c r="AI337" i="18"/>
  <c r="AH337" i="18" s="1"/>
  <c r="AG337" i="18" s="1"/>
  <c r="AF337" i="18" s="1"/>
  <c r="AI339" i="18"/>
  <c r="AH339" i="18" s="1"/>
  <c r="AG339" i="18" s="1"/>
  <c r="AF339" i="18" s="1"/>
  <c r="AI341" i="18"/>
  <c r="AH341" i="18" s="1"/>
  <c r="AI343" i="18"/>
  <c r="AH343" i="18" s="1"/>
  <c r="AG343" i="18" s="1"/>
  <c r="AF343" i="18" s="1"/>
  <c r="AI345" i="18"/>
  <c r="AH345" i="18" s="1"/>
  <c r="AI347" i="18"/>
  <c r="AH347" i="18" s="1"/>
  <c r="AG347" i="18" s="1"/>
  <c r="AF347" i="18" s="1"/>
  <c r="AI349" i="18"/>
  <c r="AH349" i="18" s="1"/>
  <c r="AG349" i="18" s="1"/>
  <c r="AF349" i="18" s="1"/>
  <c r="AD349" i="18" s="1"/>
  <c r="AI351" i="18"/>
  <c r="AH351" i="18" s="1"/>
  <c r="AG351" i="18" s="1"/>
  <c r="AF351" i="18" s="1"/>
  <c r="AI353" i="18"/>
  <c r="AH353" i="18" s="1"/>
  <c r="AI355" i="18"/>
  <c r="AH355" i="18" s="1"/>
  <c r="AG355" i="18" s="1"/>
  <c r="AF355" i="18" s="1"/>
  <c r="AI357" i="18"/>
  <c r="AH357" i="18" s="1"/>
  <c r="AG357" i="18" s="1"/>
  <c r="AF357" i="18" s="1"/>
  <c r="AI359" i="18"/>
  <c r="AH359" i="18" s="1"/>
  <c r="AI361" i="18"/>
  <c r="AH361" i="18" s="1"/>
  <c r="AG361" i="18" s="1"/>
  <c r="AF361" i="18" s="1"/>
  <c r="AI363" i="18"/>
  <c r="AH363" i="18" s="1"/>
  <c r="AG363" i="18" s="1"/>
  <c r="AF363" i="18" s="1"/>
  <c r="AI365" i="18"/>
  <c r="AH365" i="18" s="1"/>
  <c r="AG365" i="18" s="1"/>
  <c r="AF365" i="18" s="1"/>
  <c r="AI367" i="18"/>
  <c r="AH367" i="18" s="1"/>
  <c r="AG367" i="18" s="1"/>
  <c r="AF367" i="18" s="1"/>
  <c r="AI369" i="18"/>
  <c r="AH369" i="18" s="1"/>
  <c r="AI371" i="18"/>
  <c r="AH371" i="18" s="1"/>
  <c r="AG371" i="18" s="1"/>
  <c r="AF371" i="18" s="1"/>
  <c r="AI373" i="18"/>
  <c r="AH373" i="18" s="1"/>
  <c r="AG373" i="18" s="1"/>
  <c r="AF373" i="18" s="1"/>
  <c r="AI375" i="18"/>
  <c r="AH375" i="18" s="1"/>
  <c r="AG375" i="18" s="1"/>
  <c r="AF375" i="18" s="1"/>
  <c r="AI377" i="18"/>
  <c r="AH377" i="18" s="1"/>
  <c r="AG377" i="18" s="1"/>
  <c r="AF377" i="18" s="1"/>
  <c r="AI379" i="18"/>
  <c r="AI150" i="18"/>
  <c r="AH150" i="18" s="1"/>
  <c r="AG150" i="18" s="1"/>
  <c r="AF150" i="18" s="1"/>
  <c r="AI152" i="18"/>
  <c r="AH152" i="18" s="1"/>
  <c r="AG152" i="18" s="1"/>
  <c r="AF152" i="18" s="1"/>
  <c r="AI154" i="18"/>
  <c r="AH154" i="18" s="1"/>
  <c r="AG154" i="18" s="1"/>
  <c r="AF154" i="18" s="1"/>
  <c r="AI156" i="18"/>
  <c r="AH156" i="18" s="1"/>
  <c r="AG156" i="18" s="1"/>
  <c r="AF156" i="18" s="1"/>
  <c r="AI158" i="18"/>
  <c r="AH158" i="18" s="1"/>
  <c r="AG158" i="18" s="1"/>
  <c r="AF158" i="18" s="1"/>
  <c r="AI160" i="18"/>
  <c r="AH160" i="18" s="1"/>
  <c r="AG160" i="18" s="1"/>
  <c r="AF160" i="18" s="1"/>
  <c r="AI162" i="18"/>
  <c r="AH162" i="18" s="1"/>
  <c r="AG162" i="18" s="1"/>
  <c r="AF162" i="18" s="1"/>
  <c r="AI164" i="18"/>
  <c r="AH164" i="18" s="1"/>
  <c r="AG164" i="18" s="1"/>
  <c r="AF164" i="18" s="1"/>
  <c r="AI166" i="18"/>
  <c r="AH166" i="18" s="1"/>
  <c r="AG166" i="18" s="1"/>
  <c r="AF166" i="18" s="1"/>
  <c r="AI168" i="18"/>
  <c r="AH168" i="18" s="1"/>
  <c r="AG168" i="18" s="1"/>
  <c r="AF168" i="18" s="1"/>
  <c r="AI170" i="18"/>
  <c r="AH170" i="18" s="1"/>
  <c r="AG170" i="18" s="1"/>
  <c r="AF170" i="18" s="1"/>
  <c r="AI172" i="18"/>
  <c r="AH172" i="18" s="1"/>
  <c r="AG172" i="18" s="1"/>
  <c r="AF172" i="18" s="1"/>
  <c r="AI174" i="18"/>
  <c r="AH174" i="18" s="1"/>
  <c r="AG174" i="18" s="1"/>
  <c r="AF174" i="18" s="1"/>
  <c r="AI176" i="18"/>
  <c r="AH176" i="18" s="1"/>
  <c r="AG176" i="18" s="1"/>
  <c r="AF176" i="18" s="1"/>
  <c r="AI178" i="18"/>
  <c r="AH178" i="18" s="1"/>
  <c r="AG178" i="18" s="1"/>
  <c r="AF178" i="18" s="1"/>
  <c r="AI180" i="18"/>
  <c r="AH180" i="18" s="1"/>
  <c r="AG180" i="18" s="1"/>
  <c r="AF180" i="18" s="1"/>
  <c r="AI182" i="18"/>
  <c r="AH182" i="18" s="1"/>
  <c r="AG182" i="18" s="1"/>
  <c r="AF182" i="18" s="1"/>
  <c r="AI184" i="18"/>
  <c r="AH184" i="18" s="1"/>
  <c r="AG184" i="18" s="1"/>
  <c r="AF184" i="18" s="1"/>
  <c r="AI186" i="18"/>
  <c r="AH186" i="18" s="1"/>
  <c r="AI188" i="18"/>
  <c r="AH188" i="18" s="1"/>
  <c r="AG188" i="18" s="1"/>
  <c r="AF188" i="18" s="1"/>
  <c r="AI190" i="18"/>
  <c r="AH190" i="18" s="1"/>
  <c r="AG190" i="18" s="1"/>
  <c r="AF190" i="18" s="1"/>
  <c r="AI192" i="18"/>
  <c r="AH192" i="18" s="1"/>
  <c r="AG192" i="18" s="1"/>
  <c r="AF192" i="18" s="1"/>
  <c r="AI194" i="18"/>
  <c r="AH194" i="18" s="1"/>
  <c r="AG194" i="18" s="1"/>
  <c r="AF194" i="18" s="1"/>
  <c r="AI196" i="18"/>
  <c r="AH196" i="18" s="1"/>
  <c r="AG196" i="18" s="1"/>
  <c r="AF196" i="18" s="1"/>
  <c r="AI198" i="18"/>
  <c r="AH198" i="18" s="1"/>
  <c r="AI200" i="18"/>
  <c r="AH200" i="18" s="1"/>
  <c r="AG200" i="18" s="1"/>
  <c r="AF200" i="18" s="1"/>
  <c r="AI202" i="18"/>
  <c r="AH202" i="18" s="1"/>
  <c r="AG202" i="18" s="1"/>
  <c r="AF202" i="18" s="1"/>
  <c r="AI204" i="18"/>
  <c r="AH204" i="18" s="1"/>
  <c r="AG204" i="18" s="1"/>
  <c r="AF204" i="18" s="1"/>
  <c r="AI206" i="18"/>
  <c r="AH206" i="18" s="1"/>
  <c r="AG206" i="18" s="1"/>
  <c r="AF206" i="18" s="1"/>
  <c r="AI208" i="18"/>
  <c r="AH208" i="18" s="1"/>
  <c r="AG208" i="18" s="1"/>
  <c r="AF208" i="18" s="1"/>
  <c r="AI210" i="18"/>
  <c r="AH210" i="18" s="1"/>
  <c r="AG210" i="18" s="1"/>
  <c r="AF210" i="18" s="1"/>
  <c r="AI212" i="18"/>
  <c r="AH212" i="18" s="1"/>
  <c r="AG212" i="18" s="1"/>
  <c r="AF212" i="18" s="1"/>
  <c r="AI214" i="18"/>
  <c r="AH214" i="18" s="1"/>
  <c r="AG214" i="18" s="1"/>
  <c r="AF214" i="18" s="1"/>
  <c r="AI216" i="18"/>
  <c r="AH216" i="18" s="1"/>
  <c r="AG216" i="18" s="1"/>
  <c r="AF216" i="18" s="1"/>
  <c r="AI218" i="18"/>
  <c r="AH218" i="18" s="1"/>
  <c r="AG218" i="18" s="1"/>
  <c r="AF218" i="18" s="1"/>
  <c r="AI220" i="18"/>
  <c r="AH220" i="18" s="1"/>
  <c r="AG220" i="18" s="1"/>
  <c r="AF220" i="18" s="1"/>
  <c r="AI222" i="18"/>
  <c r="AH222" i="18" s="1"/>
  <c r="AG222" i="18" s="1"/>
  <c r="AF222" i="18" s="1"/>
  <c r="AI224" i="18"/>
  <c r="AH224" i="18" s="1"/>
  <c r="AG224" i="18" s="1"/>
  <c r="AF224" i="18" s="1"/>
  <c r="AI226" i="18"/>
  <c r="AH226" i="18" s="1"/>
  <c r="AG226" i="18" s="1"/>
  <c r="AF226" i="18" s="1"/>
  <c r="AI228" i="18"/>
  <c r="AH228" i="18" s="1"/>
  <c r="AG228" i="18" s="1"/>
  <c r="AF228" i="18" s="1"/>
  <c r="AI230" i="18"/>
  <c r="AH230" i="18" s="1"/>
  <c r="AG230" i="18" s="1"/>
  <c r="AF230" i="18" s="1"/>
  <c r="AI232" i="18"/>
  <c r="AH232" i="18" s="1"/>
  <c r="AG232" i="18" s="1"/>
  <c r="AF232" i="18" s="1"/>
  <c r="AI234" i="18"/>
  <c r="AH234" i="18" s="1"/>
  <c r="AI236" i="18"/>
  <c r="AH236" i="18" s="1"/>
  <c r="AG236" i="18" s="1"/>
  <c r="AF236" i="18" s="1"/>
  <c r="AI238" i="18"/>
  <c r="AH238" i="18" s="1"/>
  <c r="AG238" i="18" s="1"/>
  <c r="AF238" i="18" s="1"/>
  <c r="AI240" i="18"/>
  <c r="AH240" i="18" s="1"/>
  <c r="AG240" i="18" s="1"/>
  <c r="AF240" i="18" s="1"/>
  <c r="AI242" i="18"/>
  <c r="AH242" i="18" s="1"/>
  <c r="AG242" i="18" s="1"/>
  <c r="AF242" i="18" s="1"/>
  <c r="AI244" i="18"/>
  <c r="AH244" i="18" s="1"/>
  <c r="AG244" i="18" s="1"/>
  <c r="AF244" i="18" s="1"/>
  <c r="AI246" i="18"/>
  <c r="AH246" i="18" s="1"/>
  <c r="AG246" i="18" s="1"/>
  <c r="AF246" i="18" s="1"/>
  <c r="AI248" i="18"/>
  <c r="AH248" i="18" s="1"/>
  <c r="AG248" i="18" s="1"/>
  <c r="AF248" i="18" s="1"/>
  <c r="AI250" i="18"/>
  <c r="AH250" i="18" s="1"/>
  <c r="AG250" i="18" s="1"/>
  <c r="AF250" i="18" s="1"/>
  <c r="AI252" i="18"/>
  <c r="AH252" i="18" s="1"/>
  <c r="AG252" i="18" s="1"/>
  <c r="AF252" i="18" s="1"/>
  <c r="AI254" i="18"/>
  <c r="AH254" i="18" s="1"/>
  <c r="AG254" i="18" s="1"/>
  <c r="AF254" i="18" s="1"/>
  <c r="AI256" i="18"/>
  <c r="AH256" i="18" s="1"/>
  <c r="AG256" i="18" s="1"/>
  <c r="AF256" i="18" s="1"/>
  <c r="AI258" i="18"/>
  <c r="AH258" i="18" s="1"/>
  <c r="AG258" i="18" s="1"/>
  <c r="AF258" i="18" s="1"/>
  <c r="AI262" i="18"/>
  <c r="AH262" i="18" s="1"/>
  <c r="AG262" i="18" s="1"/>
  <c r="AF262" i="18" s="1"/>
  <c r="AI266" i="18"/>
  <c r="AH266" i="18" s="1"/>
  <c r="AG266" i="18" s="1"/>
  <c r="AF266" i="18" s="1"/>
  <c r="AI270" i="18"/>
  <c r="AH270" i="18" s="1"/>
  <c r="AG270" i="18" s="1"/>
  <c r="AF270" i="18" s="1"/>
  <c r="AI274" i="18"/>
  <c r="AH274" i="18" s="1"/>
  <c r="AI278" i="18"/>
  <c r="AH278" i="18" s="1"/>
  <c r="AG278" i="18" s="1"/>
  <c r="AF278" i="18" s="1"/>
  <c r="AI282" i="18"/>
  <c r="AH282" i="18" s="1"/>
  <c r="AG282" i="18" s="1"/>
  <c r="AF282" i="18" s="1"/>
  <c r="AI286" i="18"/>
  <c r="AH286" i="18" s="1"/>
  <c r="AG286" i="18" s="1"/>
  <c r="AF286" i="18" s="1"/>
  <c r="AI290" i="18"/>
  <c r="AH290" i="18" s="1"/>
  <c r="AG290" i="18" s="1"/>
  <c r="AF290" i="18" s="1"/>
  <c r="AI294" i="18"/>
  <c r="AH294" i="18" s="1"/>
  <c r="AG294" i="18" s="1"/>
  <c r="AF294" i="18" s="1"/>
  <c r="AI298" i="18"/>
  <c r="AH298" i="18" s="1"/>
  <c r="AG298" i="18" s="1"/>
  <c r="AF298" i="18" s="1"/>
  <c r="AI302" i="18"/>
  <c r="AH302" i="18" s="1"/>
  <c r="AG302" i="18" s="1"/>
  <c r="AF302" i="18" s="1"/>
  <c r="AI306" i="18"/>
  <c r="AH306" i="18" s="1"/>
  <c r="AG306" i="18" s="1"/>
  <c r="AF306" i="18" s="1"/>
  <c r="AI310" i="18"/>
  <c r="AH310" i="18" s="1"/>
  <c r="AG310" i="18" s="1"/>
  <c r="AF310" i="18" s="1"/>
  <c r="AI314" i="18"/>
  <c r="AH314" i="18" s="1"/>
  <c r="AG314" i="18" s="1"/>
  <c r="AF314" i="18" s="1"/>
  <c r="AI318" i="18"/>
  <c r="AH318" i="18" s="1"/>
  <c r="AG318" i="18" s="1"/>
  <c r="AF318" i="18" s="1"/>
  <c r="AI322" i="18"/>
  <c r="AH322" i="18" s="1"/>
  <c r="AG322" i="18" s="1"/>
  <c r="AF322" i="18" s="1"/>
  <c r="AI326" i="18"/>
  <c r="AH326" i="18" s="1"/>
  <c r="AG326" i="18" s="1"/>
  <c r="AF326" i="18" s="1"/>
  <c r="AI330" i="18"/>
  <c r="AH330" i="18" s="1"/>
  <c r="AG330" i="18" s="1"/>
  <c r="AF330" i="18" s="1"/>
  <c r="AI334" i="18"/>
  <c r="AH334" i="18" s="1"/>
  <c r="AG334" i="18" s="1"/>
  <c r="AF334" i="18" s="1"/>
  <c r="AI338" i="18"/>
  <c r="AH338" i="18" s="1"/>
  <c r="AG338" i="18" s="1"/>
  <c r="AF338" i="18" s="1"/>
  <c r="AI342" i="18"/>
  <c r="AH342" i="18" s="1"/>
  <c r="AG342" i="18" s="1"/>
  <c r="AF342" i="18" s="1"/>
  <c r="AI346" i="18"/>
  <c r="AH346" i="18" s="1"/>
  <c r="AI350" i="18"/>
  <c r="AH350" i="18" s="1"/>
  <c r="AG350" i="18" s="1"/>
  <c r="AF350" i="18" s="1"/>
  <c r="AI354" i="18"/>
  <c r="AH354" i="18" s="1"/>
  <c r="AG354" i="18" s="1"/>
  <c r="AF354" i="18" s="1"/>
  <c r="AI358" i="18"/>
  <c r="AH358" i="18" s="1"/>
  <c r="AG358" i="18" s="1"/>
  <c r="AF358" i="18" s="1"/>
  <c r="AI362" i="18"/>
  <c r="AH362" i="18" s="1"/>
  <c r="AG362" i="18" s="1"/>
  <c r="AF362" i="18" s="1"/>
  <c r="AI366" i="18"/>
  <c r="AH366" i="18" s="1"/>
  <c r="AG366" i="18" s="1"/>
  <c r="AF366" i="18" s="1"/>
  <c r="AI370" i="18"/>
  <c r="AH370" i="18" s="1"/>
  <c r="AG370" i="18" s="1"/>
  <c r="AF370" i="18" s="1"/>
  <c r="AI374" i="18"/>
  <c r="AH374" i="18" s="1"/>
  <c r="AG374" i="18" s="1"/>
  <c r="AF374" i="18" s="1"/>
  <c r="AI378" i="18"/>
  <c r="AH378" i="18" s="1"/>
  <c r="AG378" i="18" s="1"/>
  <c r="AF378" i="18" s="1"/>
  <c r="AI260" i="18"/>
  <c r="AH260" i="18" s="1"/>
  <c r="AG260" i="18" s="1"/>
  <c r="AF260" i="18" s="1"/>
  <c r="AI264" i="18"/>
  <c r="AH264" i="18" s="1"/>
  <c r="AG264" i="18" s="1"/>
  <c r="AF264" i="18" s="1"/>
  <c r="AI268" i="18"/>
  <c r="AH268" i="18" s="1"/>
  <c r="AG268" i="18" s="1"/>
  <c r="AF268" i="18" s="1"/>
  <c r="AI272" i="18"/>
  <c r="AH272" i="18" s="1"/>
  <c r="AG272" i="18" s="1"/>
  <c r="AF272" i="18" s="1"/>
  <c r="AI276" i="18"/>
  <c r="AH276" i="18" s="1"/>
  <c r="AG276" i="18" s="1"/>
  <c r="AF276" i="18" s="1"/>
  <c r="AI280" i="18"/>
  <c r="AH280" i="18" s="1"/>
  <c r="AG280" i="18" s="1"/>
  <c r="AF280" i="18" s="1"/>
  <c r="AI284" i="18"/>
  <c r="AH284" i="18" s="1"/>
  <c r="AG284" i="18" s="1"/>
  <c r="AF284" i="18" s="1"/>
  <c r="AI288" i="18"/>
  <c r="AH288" i="18" s="1"/>
  <c r="AG288" i="18" s="1"/>
  <c r="AF288" i="18" s="1"/>
  <c r="AI292" i="18"/>
  <c r="AH292" i="18" s="1"/>
  <c r="AG292" i="18" s="1"/>
  <c r="AF292" i="18" s="1"/>
  <c r="AI296" i="18"/>
  <c r="AH296" i="18" s="1"/>
  <c r="AI300" i="18"/>
  <c r="AH300" i="18" s="1"/>
  <c r="AG300" i="18" s="1"/>
  <c r="AF300" i="18" s="1"/>
  <c r="AI304" i="18"/>
  <c r="AH304" i="18" s="1"/>
  <c r="AG304" i="18" s="1"/>
  <c r="AF304" i="18" s="1"/>
  <c r="AI308" i="18"/>
  <c r="AH308" i="18" s="1"/>
  <c r="AG308" i="18" s="1"/>
  <c r="AF308" i="18" s="1"/>
  <c r="AI312" i="18"/>
  <c r="AH312" i="18" s="1"/>
  <c r="AG312" i="18" s="1"/>
  <c r="AF312" i="18" s="1"/>
  <c r="AI316" i="18"/>
  <c r="AH316" i="18" s="1"/>
  <c r="AG316" i="18" s="1"/>
  <c r="AF316" i="18" s="1"/>
  <c r="AI320" i="18"/>
  <c r="AH320" i="18" s="1"/>
  <c r="AG320" i="18" s="1"/>
  <c r="AF320" i="18" s="1"/>
  <c r="AI324" i="18"/>
  <c r="AH324" i="18" s="1"/>
  <c r="AG324" i="18" s="1"/>
  <c r="AF324" i="18" s="1"/>
  <c r="AI328" i="18"/>
  <c r="AH328" i="18" s="1"/>
  <c r="AG328" i="18" s="1"/>
  <c r="AF328" i="18" s="1"/>
  <c r="AI332" i="18"/>
  <c r="AH332" i="18" s="1"/>
  <c r="AG332" i="18" s="1"/>
  <c r="AF332" i="18" s="1"/>
  <c r="AI336" i="18"/>
  <c r="AH336" i="18" s="1"/>
  <c r="AG336" i="18" s="1"/>
  <c r="AF336" i="18" s="1"/>
  <c r="AI340" i="18"/>
  <c r="AH340" i="18" s="1"/>
  <c r="AG340" i="18" s="1"/>
  <c r="AF340" i="18" s="1"/>
  <c r="AI344" i="18"/>
  <c r="AH344" i="18" s="1"/>
  <c r="AG344" i="18" s="1"/>
  <c r="AF344" i="18" s="1"/>
  <c r="AI348" i="18"/>
  <c r="AH348" i="18" s="1"/>
  <c r="AG348" i="18" s="1"/>
  <c r="AF348" i="18" s="1"/>
  <c r="AI352" i="18"/>
  <c r="AH352" i="18" s="1"/>
  <c r="AG352" i="18" s="1"/>
  <c r="AF352" i="18" s="1"/>
  <c r="AI356" i="18"/>
  <c r="AH356" i="18" s="1"/>
  <c r="AG356" i="18" s="1"/>
  <c r="AF356" i="18" s="1"/>
  <c r="AI360" i="18"/>
  <c r="AH360" i="18" s="1"/>
  <c r="AG360" i="18" s="1"/>
  <c r="AF360" i="18" s="1"/>
  <c r="AI364" i="18"/>
  <c r="AH364" i="18" s="1"/>
  <c r="AG364" i="18" s="1"/>
  <c r="AF364" i="18" s="1"/>
  <c r="AI368" i="18"/>
  <c r="AH368" i="18" s="1"/>
  <c r="AG368" i="18" s="1"/>
  <c r="AF368" i="18" s="1"/>
  <c r="AI372" i="18"/>
  <c r="AH372" i="18" s="1"/>
  <c r="AG372" i="18" s="1"/>
  <c r="AF372" i="18" s="1"/>
  <c r="AI376" i="18"/>
  <c r="AH376" i="18" s="1"/>
  <c r="AG376" i="18" s="1"/>
  <c r="AF376" i="18" s="1"/>
  <c r="H64" i="19"/>
  <c r="G64" i="19"/>
  <c r="F64" i="19"/>
  <c r="C64" i="19"/>
  <c r="J64" i="19"/>
  <c r="I64" i="19"/>
  <c r="AD41" i="18"/>
  <c r="AD229" i="18"/>
  <c r="AD64" i="18"/>
  <c r="AD32" i="18"/>
  <c r="AD84" i="18"/>
  <c r="AD120" i="18"/>
  <c r="AD140" i="18"/>
  <c r="V379" i="17"/>
  <c r="B379" i="17" s="1"/>
  <c r="AF382" i="17"/>
  <c r="AF381" i="17"/>
  <c r="AF383" i="17"/>
  <c r="AD15" i="17"/>
  <c r="D64" i="19"/>
  <c r="AG15" i="7"/>
  <c r="Q10" i="20"/>
  <c r="Q234" i="20" s="1"/>
  <c r="AE382" i="18"/>
  <c r="AE383" i="18"/>
  <c r="AE381" i="18"/>
  <c r="AE82" i="20"/>
  <c r="S381" i="17"/>
  <c r="S382" i="17"/>
  <c r="S383" i="17"/>
  <c r="R15" i="17"/>
  <c r="S378" i="18"/>
  <c r="R378" i="18" s="1"/>
  <c r="P378" i="18" s="1"/>
  <c r="V378" i="18" s="1"/>
  <c r="S372" i="18"/>
  <c r="R372" i="18" s="1"/>
  <c r="P372" i="18" s="1"/>
  <c r="V372" i="18" s="1"/>
  <c r="S364" i="18"/>
  <c r="R364" i="18" s="1"/>
  <c r="P364" i="18" s="1"/>
  <c r="V364" i="18" s="1"/>
  <c r="S360" i="18"/>
  <c r="R360" i="18" s="1"/>
  <c r="P360" i="18" s="1"/>
  <c r="V360" i="18" s="1"/>
  <c r="S352" i="18"/>
  <c r="R352" i="18" s="1"/>
  <c r="P352" i="18" s="1"/>
  <c r="V352" i="18" s="1"/>
  <c r="S350" i="18"/>
  <c r="R350" i="18" s="1"/>
  <c r="P350" i="18" s="1"/>
  <c r="V350" i="18" s="1"/>
  <c r="S348" i="18"/>
  <c r="R348" i="18" s="1"/>
  <c r="P348" i="18" s="1"/>
  <c r="V348" i="18" s="1"/>
  <c r="S342" i="18"/>
  <c r="R342" i="18" s="1"/>
  <c r="P342" i="18" s="1"/>
  <c r="V342" i="18" s="1"/>
  <c r="S336" i="18"/>
  <c r="R336" i="18" s="1"/>
  <c r="P336" i="18" s="1"/>
  <c r="V336" i="18" s="1"/>
  <c r="S334" i="18"/>
  <c r="R334" i="18" s="1"/>
  <c r="P334" i="18" s="1"/>
  <c r="V334" i="18" s="1"/>
  <c r="S332" i="18"/>
  <c r="R332" i="18" s="1"/>
  <c r="P332" i="18" s="1"/>
  <c r="V332" i="18" s="1"/>
  <c r="S326" i="18"/>
  <c r="R326" i="18" s="1"/>
  <c r="P326" i="18" s="1"/>
  <c r="V326" i="18" s="1"/>
  <c r="S324" i="18"/>
  <c r="R324" i="18" s="1"/>
  <c r="P324" i="18" s="1"/>
  <c r="V324" i="18" s="1"/>
  <c r="S312" i="18"/>
  <c r="R312" i="18" s="1"/>
  <c r="P312" i="18" s="1"/>
  <c r="V312" i="18" s="1"/>
  <c r="S304" i="18"/>
  <c r="R304" i="18" s="1"/>
  <c r="P304" i="18" s="1"/>
  <c r="V304" i="18" s="1"/>
  <c r="S294" i="18"/>
  <c r="R294" i="18" s="1"/>
  <c r="P294" i="18" s="1"/>
  <c r="V294" i="18" s="1"/>
  <c r="S288" i="18"/>
  <c r="R288" i="18" s="1"/>
  <c r="P288" i="18" s="1"/>
  <c r="V288" i="18" s="1"/>
  <c r="S286" i="18"/>
  <c r="R286" i="18" s="1"/>
  <c r="P286" i="18" s="1"/>
  <c r="V286" i="18" s="1"/>
  <c r="S280" i="18"/>
  <c r="R280" i="18" s="1"/>
  <c r="P280" i="18" s="1"/>
  <c r="V280" i="18" s="1"/>
  <c r="S272" i="18"/>
  <c r="R272" i="18" s="1"/>
  <c r="P272" i="18" s="1"/>
  <c r="S262" i="18"/>
  <c r="R262" i="18" s="1"/>
  <c r="P262" i="18" s="1"/>
  <c r="V262" i="18" s="1"/>
  <c r="S254" i="18"/>
  <c r="R254" i="18" s="1"/>
  <c r="P254" i="18" s="1"/>
  <c r="V254" i="18" s="1"/>
  <c r="S238" i="18"/>
  <c r="R238" i="18" s="1"/>
  <c r="P238" i="18" s="1"/>
  <c r="V238" i="18" s="1"/>
  <c r="S230" i="18"/>
  <c r="R230" i="18" s="1"/>
  <c r="P230" i="18" s="1"/>
  <c r="V230" i="18" s="1"/>
  <c r="S224" i="18"/>
  <c r="R224" i="18" s="1"/>
  <c r="P224" i="18" s="1"/>
  <c r="V224" i="18" s="1"/>
  <c r="S222" i="18"/>
  <c r="R222" i="18" s="1"/>
  <c r="P222" i="18" s="1"/>
  <c r="V222" i="18" s="1"/>
  <c r="S216" i="18"/>
  <c r="R216" i="18" s="1"/>
  <c r="P216" i="18" s="1"/>
  <c r="V216" i="18" s="1"/>
  <c r="S208" i="18"/>
  <c r="R208" i="18" s="1"/>
  <c r="P208" i="18" s="1"/>
  <c r="V208" i="18" s="1"/>
  <c r="S192" i="18"/>
  <c r="R192" i="18" s="1"/>
  <c r="P192" i="18" s="1"/>
  <c r="V192" i="18" s="1"/>
  <c r="S190" i="18"/>
  <c r="R190" i="18" s="1"/>
  <c r="P190" i="18" s="1"/>
  <c r="V190" i="18" s="1"/>
  <c r="S184" i="18"/>
  <c r="R184" i="18" s="1"/>
  <c r="P184" i="18" s="1"/>
  <c r="V184" i="18" s="1"/>
  <c r="S182" i="18"/>
  <c r="R182" i="18" s="1"/>
  <c r="P182" i="18" s="1"/>
  <c r="V182" i="18" s="1"/>
  <c r="S180" i="18"/>
  <c r="R180" i="18" s="1"/>
  <c r="P180" i="18" s="1"/>
  <c r="S174" i="18"/>
  <c r="R174" i="18" s="1"/>
  <c r="P174" i="18" s="1"/>
  <c r="V174" i="18" s="1"/>
  <c r="S168" i="18"/>
  <c r="R168" i="18" s="1"/>
  <c r="P168" i="18" s="1"/>
  <c r="V168" i="18" s="1"/>
  <c r="S152" i="18"/>
  <c r="R152" i="18" s="1"/>
  <c r="P152" i="18" s="1"/>
  <c r="V152" i="18" s="1"/>
  <c r="S142" i="18"/>
  <c r="R142" i="18" s="1"/>
  <c r="P142" i="18" s="1"/>
  <c r="V142" i="18" s="1"/>
  <c r="S136" i="18"/>
  <c r="R136" i="18" s="1"/>
  <c r="P136" i="18" s="1"/>
  <c r="V136" i="18" s="1"/>
  <c r="S134" i="18"/>
  <c r="R134" i="18" s="1"/>
  <c r="P134" i="18" s="1"/>
  <c r="V134" i="18" s="1"/>
  <c r="S132" i="18"/>
  <c r="R132" i="18" s="1"/>
  <c r="P132" i="18" s="1"/>
  <c r="V132" i="18" s="1"/>
  <c r="S126" i="18"/>
  <c r="R126" i="18" s="1"/>
  <c r="P126" i="18" s="1"/>
  <c r="V126" i="18" s="1"/>
  <c r="S124" i="18"/>
  <c r="R124" i="18" s="1"/>
  <c r="P124" i="18" s="1"/>
  <c r="V124" i="18" s="1"/>
  <c r="S118" i="18"/>
  <c r="R118" i="18" s="1"/>
  <c r="P118" i="18" s="1"/>
  <c r="V118" i="18" s="1"/>
  <c r="S116" i="18"/>
  <c r="R116" i="18" s="1"/>
  <c r="P116" i="18" s="1"/>
  <c r="V116" i="18" s="1"/>
  <c r="S110" i="18"/>
  <c r="R110" i="18" s="1"/>
  <c r="P110" i="18" s="1"/>
  <c r="V110" i="18" s="1"/>
  <c r="S104" i="18"/>
  <c r="R104" i="18" s="1"/>
  <c r="P104" i="18" s="1"/>
  <c r="V104" i="18" s="1"/>
  <c r="S102" i="18"/>
  <c r="R102" i="18" s="1"/>
  <c r="P102" i="18" s="1"/>
  <c r="V102" i="18" s="1"/>
  <c r="S96" i="18"/>
  <c r="R96" i="18" s="1"/>
  <c r="P96" i="18" s="1"/>
  <c r="V96" i="18" s="1"/>
  <c r="S86" i="18"/>
  <c r="R86" i="18" s="1"/>
  <c r="P86" i="18" s="1"/>
  <c r="V86" i="18" s="1"/>
  <c r="S84" i="18"/>
  <c r="R84" i="18" s="1"/>
  <c r="P84" i="18" s="1"/>
  <c r="V84" i="18" s="1"/>
  <c r="S80" i="18"/>
  <c r="R80" i="18" s="1"/>
  <c r="P80" i="18" s="1"/>
  <c r="V80" i="18" s="1"/>
  <c r="S72" i="18"/>
  <c r="R72" i="18" s="1"/>
  <c r="P72" i="18" s="1"/>
  <c r="V72" i="18" s="1"/>
  <c r="S68" i="18"/>
  <c r="R68" i="18" s="1"/>
  <c r="P68" i="18" s="1"/>
  <c r="V68" i="18" s="1"/>
  <c r="S64" i="18"/>
  <c r="R64" i="18" s="1"/>
  <c r="P64" i="18" s="1"/>
  <c r="V64" i="18" s="1"/>
  <c r="S62" i="18"/>
  <c r="R62" i="18" s="1"/>
  <c r="P62" i="18" s="1"/>
  <c r="V62" i="18" s="1"/>
  <c r="S60" i="18"/>
  <c r="R60" i="18" s="1"/>
  <c r="P60" i="18" s="1"/>
  <c r="S54" i="18"/>
  <c r="R54" i="18" s="1"/>
  <c r="P54" i="18" s="1"/>
  <c r="V54" i="18" s="1"/>
  <c r="S48" i="18"/>
  <c r="R48" i="18" s="1"/>
  <c r="P48" i="18" s="1"/>
  <c r="V48" i="18" s="1"/>
  <c r="S46" i="18"/>
  <c r="R46" i="18" s="1"/>
  <c r="P46" i="18" s="1"/>
  <c r="V46" i="18" s="1"/>
  <c r="S44" i="18"/>
  <c r="R44" i="18" s="1"/>
  <c r="P44" i="18" s="1"/>
  <c r="V44" i="18" s="1"/>
  <c r="S38" i="18"/>
  <c r="R38" i="18" s="1"/>
  <c r="P38" i="18" s="1"/>
  <c r="V38" i="18" s="1"/>
  <c r="S30" i="18"/>
  <c r="R30" i="18" s="1"/>
  <c r="P30" i="18" s="1"/>
  <c r="V30" i="18" s="1"/>
  <c r="S24" i="18"/>
  <c r="R24" i="18" s="1"/>
  <c r="P24" i="18" s="1"/>
  <c r="V24" i="18" s="1"/>
  <c r="S22" i="18"/>
  <c r="R22" i="18" s="1"/>
  <c r="P22" i="18" s="1"/>
  <c r="V22" i="18" s="1"/>
  <c r="B22" i="18" s="1"/>
  <c r="S20" i="18"/>
  <c r="R20" i="18" s="1"/>
  <c r="P20" i="18" s="1"/>
  <c r="V20" i="18" s="1"/>
  <c r="S16" i="18"/>
  <c r="R16" i="18" s="1"/>
  <c r="P16" i="18" s="1"/>
  <c r="V16" i="18" s="1"/>
  <c r="T15" i="18"/>
  <c r="Q381" i="18"/>
  <c r="Q382" i="18"/>
  <c r="Q383" i="18"/>
  <c r="B63" i="19"/>
  <c r="V382" i="16"/>
  <c r="V383" i="16"/>
  <c r="V381" i="16"/>
  <c r="S377" i="18"/>
  <c r="R377" i="18" s="1"/>
  <c r="P377" i="18" s="1"/>
  <c r="V377" i="18" s="1"/>
  <c r="S369" i="18"/>
  <c r="R369" i="18" s="1"/>
  <c r="P369" i="18" s="1"/>
  <c r="V369" i="18" s="1"/>
  <c r="S365" i="18"/>
  <c r="R365" i="18" s="1"/>
  <c r="P365" i="18" s="1"/>
  <c r="V365" i="18" s="1"/>
  <c r="S357" i="18"/>
  <c r="R357" i="18" s="1"/>
  <c r="P357" i="18" s="1"/>
  <c r="V357" i="18" s="1"/>
  <c r="S355" i="18"/>
  <c r="R355" i="18" s="1"/>
  <c r="P355" i="18" s="1"/>
  <c r="V355" i="18" s="1"/>
  <c r="S331" i="18"/>
  <c r="R331" i="18" s="1"/>
  <c r="P331" i="18" s="1"/>
  <c r="V331" i="18" s="1"/>
  <c r="S323" i="18"/>
  <c r="R323" i="18" s="1"/>
  <c r="P323" i="18" s="1"/>
  <c r="V323" i="18" s="1"/>
  <c r="S315" i="18"/>
  <c r="R315" i="18" s="1"/>
  <c r="P315" i="18" s="1"/>
  <c r="V315" i="18" s="1"/>
  <c r="S311" i="18"/>
  <c r="R311" i="18" s="1"/>
  <c r="P311" i="18" s="1"/>
  <c r="V311" i="18" s="1"/>
  <c r="S303" i="18"/>
  <c r="R303" i="18" s="1"/>
  <c r="P303" i="18" s="1"/>
  <c r="V303" i="18" s="1"/>
  <c r="S291" i="18"/>
  <c r="R291" i="18" s="1"/>
  <c r="P291" i="18" s="1"/>
  <c r="V291" i="18" s="1"/>
  <c r="S287" i="18"/>
  <c r="R287" i="18" s="1"/>
  <c r="P287" i="18" s="1"/>
  <c r="V287" i="18" s="1"/>
  <c r="S279" i="18"/>
  <c r="R279" i="18" s="1"/>
  <c r="P279" i="18" s="1"/>
  <c r="V279" i="18" s="1"/>
  <c r="S275" i="18"/>
  <c r="R275" i="18" s="1"/>
  <c r="P275" i="18" s="1"/>
  <c r="V275" i="18" s="1"/>
  <c r="S271" i="18"/>
  <c r="R271" i="18" s="1"/>
  <c r="P271" i="18" s="1"/>
  <c r="V271" i="18" s="1"/>
  <c r="S267" i="18"/>
  <c r="R267" i="18" s="1"/>
  <c r="P267" i="18" s="1"/>
  <c r="V267" i="18" s="1"/>
  <c r="S263" i="18"/>
  <c r="R263" i="18" s="1"/>
  <c r="P263" i="18" s="1"/>
  <c r="V263" i="18" s="1"/>
  <c r="S259" i="18"/>
  <c r="R259" i="18" s="1"/>
  <c r="P259" i="18" s="1"/>
  <c r="V259" i="18" s="1"/>
  <c r="S255" i="18"/>
  <c r="R255" i="18" s="1"/>
  <c r="P255" i="18" s="1"/>
  <c r="V255" i="18" s="1"/>
  <c r="S247" i="18"/>
  <c r="R247" i="18" s="1"/>
  <c r="P247" i="18" s="1"/>
  <c r="V247" i="18" s="1"/>
  <c r="S239" i="18"/>
  <c r="R239" i="18" s="1"/>
  <c r="P239" i="18" s="1"/>
  <c r="V239" i="18" s="1"/>
  <c r="S235" i="18"/>
  <c r="R235" i="18" s="1"/>
  <c r="P235" i="18" s="1"/>
  <c r="V235" i="18" s="1"/>
  <c r="S231" i="18"/>
  <c r="R231" i="18" s="1"/>
  <c r="P231" i="18" s="1"/>
  <c r="V231" i="18" s="1"/>
  <c r="S227" i="18"/>
  <c r="R227" i="18" s="1"/>
  <c r="P227" i="18" s="1"/>
  <c r="V227" i="18" s="1"/>
  <c r="S223" i="18"/>
  <c r="R223" i="18" s="1"/>
  <c r="P223" i="18" s="1"/>
  <c r="V223" i="18" s="1"/>
  <c r="S195" i="18"/>
  <c r="R195" i="18" s="1"/>
  <c r="P195" i="18" s="1"/>
  <c r="V195" i="18" s="1"/>
  <c r="S191" i="18"/>
  <c r="R191" i="18" s="1"/>
  <c r="P191" i="18" s="1"/>
  <c r="V191" i="18" s="1"/>
  <c r="S187" i="18"/>
  <c r="R187" i="18" s="1"/>
  <c r="P187" i="18" s="1"/>
  <c r="V187" i="18" s="1"/>
  <c r="S183" i="18"/>
  <c r="R183" i="18" s="1"/>
  <c r="P183" i="18" s="1"/>
  <c r="V183" i="18" s="1"/>
  <c r="S179" i="18"/>
  <c r="R179" i="18" s="1"/>
  <c r="P179" i="18" s="1"/>
  <c r="V179" i="18" s="1"/>
  <c r="S171" i="18"/>
  <c r="R171" i="18" s="1"/>
  <c r="P171" i="18" s="1"/>
  <c r="V171" i="18" s="1"/>
  <c r="S167" i="18"/>
  <c r="R167" i="18" s="1"/>
  <c r="P167" i="18" s="1"/>
  <c r="V167" i="18" s="1"/>
  <c r="S163" i="18"/>
  <c r="R163" i="18" s="1"/>
  <c r="P163" i="18" s="1"/>
  <c r="V163" i="18" s="1"/>
  <c r="S155" i="18"/>
  <c r="R155" i="18" s="1"/>
  <c r="P155" i="18" s="1"/>
  <c r="V155" i="18" s="1"/>
  <c r="S151" i="18"/>
  <c r="R151" i="18" s="1"/>
  <c r="P151" i="18" s="1"/>
  <c r="V151" i="18" s="1"/>
  <c r="S147" i="18"/>
  <c r="R147" i="18" s="1"/>
  <c r="P147" i="18" s="1"/>
  <c r="V147" i="18" s="1"/>
  <c r="S143" i="18"/>
  <c r="R143" i="18" s="1"/>
  <c r="P143" i="18" s="1"/>
  <c r="V143" i="18" s="1"/>
  <c r="S135" i="18"/>
  <c r="R135" i="18" s="1"/>
  <c r="P135" i="18" s="1"/>
  <c r="V135" i="18" s="1"/>
  <c r="S115" i="18"/>
  <c r="R115" i="18" s="1"/>
  <c r="P115" i="18" s="1"/>
  <c r="V115" i="18" s="1"/>
  <c r="S103" i="18"/>
  <c r="R103" i="18" s="1"/>
  <c r="P103" i="18" s="1"/>
  <c r="V103" i="18" s="1"/>
  <c r="S95" i="18"/>
  <c r="R95" i="18" s="1"/>
  <c r="P95" i="18" s="1"/>
  <c r="V95" i="18" s="1"/>
  <c r="S87" i="18"/>
  <c r="R87" i="18" s="1"/>
  <c r="P87" i="18" s="1"/>
  <c r="V87" i="18" s="1"/>
  <c r="S79" i="18"/>
  <c r="R79" i="18" s="1"/>
  <c r="P79" i="18" s="1"/>
  <c r="V79" i="18" s="1"/>
  <c r="S75" i="18"/>
  <c r="R75" i="18" s="1"/>
  <c r="P75" i="18" s="1"/>
  <c r="V75" i="18" s="1"/>
  <c r="S71" i="18"/>
  <c r="R71" i="18" s="1"/>
  <c r="P71" i="18" s="1"/>
  <c r="V71" i="18" s="1"/>
  <c r="S67" i="18"/>
  <c r="R67" i="18" s="1"/>
  <c r="P67" i="18" s="1"/>
  <c r="V67" i="18" s="1"/>
  <c r="S55" i="18"/>
  <c r="R55" i="18" s="1"/>
  <c r="P55" i="18" s="1"/>
  <c r="V55" i="18" s="1"/>
  <c r="S51" i="18"/>
  <c r="R51" i="18" s="1"/>
  <c r="P51" i="18" s="1"/>
  <c r="V51" i="18" s="1"/>
  <c r="S47" i="18"/>
  <c r="R47" i="18" s="1"/>
  <c r="P47" i="18" s="1"/>
  <c r="V47" i="18" s="1"/>
  <c r="S39" i="18"/>
  <c r="R39" i="18" s="1"/>
  <c r="P39" i="18" s="1"/>
  <c r="V39" i="18" s="1"/>
  <c r="AK3" i="25"/>
  <c r="Q20" i="19" s="1"/>
  <c r="K64" i="19"/>
  <c r="L64" i="19"/>
  <c r="E64" i="19"/>
  <c r="T379" i="18" l="1"/>
  <c r="S379" i="18" s="1"/>
  <c r="R379" i="18" s="1"/>
  <c r="P379" i="18" s="1"/>
  <c r="U382" i="18"/>
  <c r="U381" i="18"/>
  <c r="P148" i="18"/>
  <c r="V148" i="18" s="1"/>
  <c r="P36" i="18"/>
  <c r="V36" i="18" s="1"/>
  <c r="P212" i="18"/>
  <c r="V212" i="18" s="1"/>
  <c r="V88" i="18"/>
  <c r="P256" i="18"/>
  <c r="V256" i="18" s="1"/>
  <c r="V379" i="18"/>
  <c r="D39" i="19"/>
  <c r="AD82" i="18"/>
  <c r="P28" i="18"/>
  <c r="V28" i="18" s="1"/>
  <c r="P76" i="18"/>
  <c r="V76" i="18" s="1"/>
  <c r="P204" i="18"/>
  <c r="V204" i="18" s="1"/>
  <c r="P220" i="18"/>
  <c r="V220" i="18" s="1"/>
  <c r="P108" i="18"/>
  <c r="V108" i="18" s="1"/>
  <c r="AD124" i="18"/>
  <c r="AD88" i="18"/>
  <c r="AD76" i="18"/>
  <c r="AD44" i="18"/>
  <c r="AD69" i="18"/>
  <c r="AD21" i="18"/>
  <c r="P92" i="18"/>
  <c r="V92" i="18" s="1"/>
  <c r="P140" i="18"/>
  <c r="V140" i="18" s="1"/>
  <c r="P188" i="18"/>
  <c r="V188" i="18" s="1"/>
  <c r="P320" i="18"/>
  <c r="V320" i="18" s="1"/>
  <c r="P100" i="18"/>
  <c r="V100" i="18" s="1"/>
  <c r="P164" i="18"/>
  <c r="V164" i="18" s="1"/>
  <c r="P248" i="18"/>
  <c r="V248" i="18" s="1"/>
  <c r="P344" i="18"/>
  <c r="V344" i="18" s="1"/>
  <c r="AE11" i="20"/>
  <c r="AE271" i="20" s="1"/>
  <c r="D71" i="7"/>
  <c r="V302" i="18"/>
  <c r="Y379" i="1"/>
  <c r="D72" i="7"/>
  <c r="AE352" i="20"/>
  <c r="AE356" i="20"/>
  <c r="AE262" i="20"/>
  <c r="AE50" i="20"/>
  <c r="Q344" i="20"/>
  <c r="AD284" i="18"/>
  <c r="AD244" i="18"/>
  <c r="U12" i="20"/>
  <c r="AG16" i="7" s="1"/>
  <c r="D74" i="7"/>
  <c r="AD118" i="18"/>
  <c r="AD228" i="18"/>
  <c r="AD316" i="18"/>
  <c r="AD192" i="18"/>
  <c r="AD90" i="18"/>
  <c r="AH11" i="7"/>
  <c r="U11" i="20" s="1"/>
  <c r="U383" i="18"/>
  <c r="AD248" i="18"/>
  <c r="AD160" i="18"/>
  <c r="AD102" i="18"/>
  <c r="AD54" i="18"/>
  <c r="AD374" i="18"/>
  <c r="AD278" i="18"/>
  <c r="AD212" i="18"/>
  <c r="AD122" i="18"/>
  <c r="AD106" i="18"/>
  <c r="AD86" i="18"/>
  <c r="AE16" i="20"/>
  <c r="Q376" i="20"/>
  <c r="Q308" i="20"/>
  <c r="AE362" i="20"/>
  <c r="AE330" i="20"/>
  <c r="AE275" i="20"/>
  <c r="AE98" i="20"/>
  <c r="AE66" i="20"/>
  <c r="AE34" i="20"/>
  <c r="Q360" i="20"/>
  <c r="Q328" i="20"/>
  <c r="AD364" i="18"/>
  <c r="Q116" i="20"/>
  <c r="Q138" i="20"/>
  <c r="Q202" i="20"/>
  <c r="Q266" i="20"/>
  <c r="Q300" i="20"/>
  <c r="Q316" i="20"/>
  <c r="Q324" i="20"/>
  <c r="Q332" i="20"/>
  <c r="Q340" i="20"/>
  <c r="Q348" i="20"/>
  <c r="Q356" i="20"/>
  <c r="Q364" i="20"/>
  <c r="Q372" i="20"/>
  <c r="AE22" i="20"/>
  <c r="AE30" i="20"/>
  <c r="AE38" i="20"/>
  <c r="AE46" i="20"/>
  <c r="AE54" i="20"/>
  <c r="AE62" i="20"/>
  <c r="AE70" i="20"/>
  <c r="AE78" i="20"/>
  <c r="AE86" i="20"/>
  <c r="AE94" i="20"/>
  <c r="AE102" i="20"/>
  <c r="AE110" i="20"/>
  <c r="AE142" i="20"/>
  <c r="AE174" i="20"/>
  <c r="AE206" i="20"/>
  <c r="AE228" i="20"/>
  <c r="AE244" i="20"/>
  <c r="AE260" i="20"/>
  <c r="AE270" i="20"/>
  <c r="AE278" i="20"/>
  <c r="AE286" i="20"/>
  <c r="AE294" i="20"/>
  <c r="AE302" i="20"/>
  <c r="AE310" i="20"/>
  <c r="AE318" i="20"/>
  <c r="AG296" i="18"/>
  <c r="AF296" i="18" s="1"/>
  <c r="AD296" i="18" s="1"/>
  <c r="AG346" i="18"/>
  <c r="AF346" i="18" s="1"/>
  <c r="AD346" i="18" s="1"/>
  <c r="AG274" i="18"/>
  <c r="AF274" i="18" s="1"/>
  <c r="AD274" i="18" s="1"/>
  <c r="AG234" i="18"/>
  <c r="AF234" i="18" s="1"/>
  <c r="AD234" i="18" s="1"/>
  <c r="AG198" i="18"/>
  <c r="AF198" i="18" s="1"/>
  <c r="AD198" i="18" s="1"/>
  <c r="AG186" i="18"/>
  <c r="AF186" i="18" s="1"/>
  <c r="AD186" i="18" s="1"/>
  <c r="AG345" i="18"/>
  <c r="AF345" i="18" s="1"/>
  <c r="AD345" i="18" s="1"/>
  <c r="AG261" i="18"/>
  <c r="AF261" i="18" s="1"/>
  <c r="AD261" i="18" s="1"/>
  <c r="AE375" i="20"/>
  <c r="AE367" i="20"/>
  <c r="AE359" i="20"/>
  <c r="AE351" i="20"/>
  <c r="AE343" i="20"/>
  <c r="AE335" i="20"/>
  <c r="AE327" i="20"/>
  <c r="AE317" i="20"/>
  <c r="AE301" i="20"/>
  <c r="AE285" i="20"/>
  <c r="AE269" i="20"/>
  <c r="AE242" i="20"/>
  <c r="AE202" i="20"/>
  <c r="AE138" i="20"/>
  <c r="AE90" i="20"/>
  <c r="AE74" i="20"/>
  <c r="AE58" i="20"/>
  <c r="AE42" i="20"/>
  <c r="AE26" i="20"/>
  <c r="Q368" i="20"/>
  <c r="Q352" i="20"/>
  <c r="Q336" i="20"/>
  <c r="Q320" i="20"/>
  <c r="Q286" i="20"/>
  <c r="Q170" i="20"/>
  <c r="AD338" i="18"/>
  <c r="AD190" i="18"/>
  <c r="AD365" i="18"/>
  <c r="Q312" i="20"/>
  <c r="Q304" i="20"/>
  <c r="Q294" i="20"/>
  <c r="Q278" i="20"/>
  <c r="Q250" i="20"/>
  <c r="Q218" i="20"/>
  <c r="Q186" i="20"/>
  <c r="Q154" i="20"/>
  <c r="AD352" i="18"/>
  <c r="AD322" i="18"/>
  <c r="AD202" i="18"/>
  <c r="AD281" i="18"/>
  <c r="AD336" i="18"/>
  <c r="AD282" i="18"/>
  <c r="AD264" i="18"/>
  <c r="AD238" i="18"/>
  <c r="AD178" i="18"/>
  <c r="AD357" i="18"/>
  <c r="AD265" i="18"/>
  <c r="J380" i="16"/>
  <c r="I380" i="16"/>
  <c r="H380" i="17" s="1"/>
  <c r="E15" i="16"/>
  <c r="AJ9" i="16" s="1"/>
  <c r="AJ11" i="16" s="1"/>
  <c r="AA15" i="15"/>
  <c r="AL9" i="15" s="1"/>
  <c r="H15" i="15"/>
  <c r="G15" i="15"/>
  <c r="BX15" i="6" s="1"/>
  <c r="Q17" i="20"/>
  <c r="Q46" i="20"/>
  <c r="Q102" i="20"/>
  <c r="Q124" i="20"/>
  <c r="Q134" i="20"/>
  <c r="Q142" i="20"/>
  <c r="Q150" i="20"/>
  <c r="Q158" i="20"/>
  <c r="Q166" i="20"/>
  <c r="Q174" i="20"/>
  <c r="Q182" i="20"/>
  <c r="Q190" i="20"/>
  <c r="Q198" i="20"/>
  <c r="Q206" i="20"/>
  <c r="Q214" i="20"/>
  <c r="Q222" i="20"/>
  <c r="Q230" i="20"/>
  <c r="Q238" i="20"/>
  <c r="Q246" i="20"/>
  <c r="Q254" i="20"/>
  <c r="Q262" i="20"/>
  <c r="Q270" i="20"/>
  <c r="Q276" i="20"/>
  <c r="Q280" i="20"/>
  <c r="Q284" i="20"/>
  <c r="Q288" i="20"/>
  <c r="Q292" i="20"/>
  <c r="Q296" i="20"/>
  <c r="Q299" i="20"/>
  <c r="Q301" i="20"/>
  <c r="Q303" i="20"/>
  <c r="Q305" i="20"/>
  <c r="Q307" i="20"/>
  <c r="Q309" i="20"/>
  <c r="Q311" i="20"/>
  <c r="Q313" i="20"/>
  <c r="Q315" i="20"/>
  <c r="Q317" i="20"/>
  <c r="Q319" i="20"/>
  <c r="Q321" i="20"/>
  <c r="Q323" i="20"/>
  <c r="Q325" i="20"/>
  <c r="Q327" i="20"/>
  <c r="Q329" i="20"/>
  <c r="Q331" i="20"/>
  <c r="Q333" i="20"/>
  <c r="Q335" i="20"/>
  <c r="Q337" i="20"/>
  <c r="Q339" i="20"/>
  <c r="Q341" i="20"/>
  <c r="Q343" i="20"/>
  <c r="Q345" i="20"/>
  <c r="Q347" i="20"/>
  <c r="Q349" i="20"/>
  <c r="Q351" i="20"/>
  <c r="Q353" i="20"/>
  <c r="Q355" i="20"/>
  <c r="Q357" i="20"/>
  <c r="Q359" i="20"/>
  <c r="Q361" i="20"/>
  <c r="Q363" i="20"/>
  <c r="Q365" i="20"/>
  <c r="Q367" i="20"/>
  <c r="Q369" i="20"/>
  <c r="Q371" i="20"/>
  <c r="Q373" i="20"/>
  <c r="Q375" i="20"/>
  <c r="Q377" i="20"/>
  <c r="Q379" i="20"/>
  <c r="Q12" i="22" s="1"/>
  <c r="AE15" i="20"/>
  <c r="AE17" i="20"/>
  <c r="AE18" i="20"/>
  <c r="AE21" i="20"/>
  <c r="AE23" i="20"/>
  <c r="AE25" i="20"/>
  <c r="AE27" i="20"/>
  <c r="AE29" i="20"/>
  <c r="AE31" i="20"/>
  <c r="AE33" i="20"/>
  <c r="AE35" i="20"/>
  <c r="AE37" i="20"/>
  <c r="AE39" i="20"/>
  <c r="AE41" i="20"/>
  <c r="AE43" i="20"/>
  <c r="AE45" i="20"/>
  <c r="AE47" i="20"/>
  <c r="AE49" i="20"/>
  <c r="AE51" i="20"/>
  <c r="AE53" i="20"/>
  <c r="AE55" i="20"/>
  <c r="AE57" i="20"/>
  <c r="AE59" i="20"/>
  <c r="AE61" i="20"/>
  <c r="AE63" i="20"/>
  <c r="AE65" i="20"/>
  <c r="AE67" i="20"/>
  <c r="AE69" i="20"/>
  <c r="AE71" i="20"/>
  <c r="AE73" i="20"/>
  <c r="AE75" i="20"/>
  <c r="AE77" i="20"/>
  <c r="AE79" i="20"/>
  <c r="AE81" i="20"/>
  <c r="AE83" i="20"/>
  <c r="AE85" i="20"/>
  <c r="AE87" i="20"/>
  <c r="AE89" i="20"/>
  <c r="AE91" i="20"/>
  <c r="AE93" i="20"/>
  <c r="AE95" i="20"/>
  <c r="AE97" i="20"/>
  <c r="AE99" i="20"/>
  <c r="AE101" i="20"/>
  <c r="AE103" i="20"/>
  <c r="AE105" i="20"/>
  <c r="AE109" i="20"/>
  <c r="AE113" i="20"/>
  <c r="AE115" i="20"/>
  <c r="AE117" i="20"/>
  <c r="AE119" i="20"/>
  <c r="AE121" i="20"/>
  <c r="AE123" i="20"/>
  <c r="AE125" i="20"/>
  <c r="AE127" i="20"/>
  <c r="AE129" i="20"/>
  <c r="AE131" i="20"/>
  <c r="AE133" i="20"/>
  <c r="AE135" i="20"/>
  <c r="AE137" i="20"/>
  <c r="AE139" i="20"/>
  <c r="AE141" i="20"/>
  <c r="AE143" i="20"/>
  <c r="AE145" i="20"/>
  <c r="AE147" i="20"/>
  <c r="AE149" i="20"/>
  <c r="AE151" i="20"/>
  <c r="AE153" i="20"/>
  <c r="AE155" i="20"/>
  <c r="AE157" i="20"/>
  <c r="AE159" i="20"/>
  <c r="AE161" i="20"/>
  <c r="AE163" i="20"/>
  <c r="AE165" i="20"/>
  <c r="AE167" i="20"/>
  <c r="AE169" i="20"/>
  <c r="AE171" i="20"/>
  <c r="AE173" i="20"/>
  <c r="AE175" i="20"/>
  <c r="AE177" i="20"/>
  <c r="AE179" i="20"/>
  <c r="AE181" i="20"/>
  <c r="AE183" i="20"/>
  <c r="AE185" i="20"/>
  <c r="AE187" i="20"/>
  <c r="AE189" i="20"/>
  <c r="AE191" i="20"/>
  <c r="AE193" i="20"/>
  <c r="AE195" i="20"/>
  <c r="AE197" i="20"/>
  <c r="AE199" i="20"/>
  <c r="AE201" i="20"/>
  <c r="AE203" i="20"/>
  <c r="AE205" i="20"/>
  <c r="AE207" i="20"/>
  <c r="AE209" i="20"/>
  <c r="AE211" i="20"/>
  <c r="AE213" i="20"/>
  <c r="AE215" i="20"/>
  <c r="AE217" i="20"/>
  <c r="AE263" i="20"/>
  <c r="AE261" i="20"/>
  <c r="AE259" i="20"/>
  <c r="AE257" i="20"/>
  <c r="AE255" i="20"/>
  <c r="AE253" i="20"/>
  <c r="AE251" i="20"/>
  <c r="AE249" i="20"/>
  <c r="AE247" i="20"/>
  <c r="AE245" i="20"/>
  <c r="AE243" i="20"/>
  <c r="AE241" i="20"/>
  <c r="AE239" i="20"/>
  <c r="AE237" i="20"/>
  <c r="AE235" i="20"/>
  <c r="AE233" i="20"/>
  <c r="AE231" i="20"/>
  <c r="AE229" i="20"/>
  <c r="AE227" i="20"/>
  <c r="AE225" i="20"/>
  <c r="AE223" i="20"/>
  <c r="AE221" i="20"/>
  <c r="AE219" i="20"/>
  <c r="AE216" i="20"/>
  <c r="AE212" i="20"/>
  <c r="AE208" i="20"/>
  <c r="AE204" i="20"/>
  <c r="AE200" i="20"/>
  <c r="AE196" i="20"/>
  <c r="AE192" i="20"/>
  <c r="AE188" i="20"/>
  <c r="AE184" i="20"/>
  <c r="AE180" i="20"/>
  <c r="AE176" i="20"/>
  <c r="AE172" i="20"/>
  <c r="AE168" i="20"/>
  <c r="AE164" i="20"/>
  <c r="AE160" i="20"/>
  <c r="AE156" i="20"/>
  <c r="AE152" i="20"/>
  <c r="AE148" i="20"/>
  <c r="AE144" i="20"/>
  <c r="AE140" i="20"/>
  <c r="AE136" i="20"/>
  <c r="AE132" i="20"/>
  <c r="AE128" i="20"/>
  <c r="AE124" i="20"/>
  <c r="AE120" i="20"/>
  <c r="AE116" i="20"/>
  <c r="AE112" i="20"/>
  <c r="AE108" i="20"/>
  <c r="AE104" i="20"/>
  <c r="AE100" i="20"/>
  <c r="AE96" i="20"/>
  <c r="AE92" i="20"/>
  <c r="AE88" i="20"/>
  <c r="AE84" i="20"/>
  <c r="AE80" i="20"/>
  <c r="AE76" i="20"/>
  <c r="AE72" i="20"/>
  <c r="AE68" i="20"/>
  <c r="AE64" i="20"/>
  <c r="AE60" i="20"/>
  <c r="AE56" i="20"/>
  <c r="AE52" i="20"/>
  <c r="AE48" i="20"/>
  <c r="AE44" i="20"/>
  <c r="AE40" i="20"/>
  <c r="AE36" i="20"/>
  <c r="AE32" i="20"/>
  <c r="AE28" i="20"/>
  <c r="AE24" i="20"/>
  <c r="AE20" i="20"/>
  <c r="AE19" i="20"/>
  <c r="Q378" i="20"/>
  <c r="Q374" i="20"/>
  <c r="Q370" i="20"/>
  <c r="Q366" i="20"/>
  <c r="Q362" i="20"/>
  <c r="Q358" i="20"/>
  <c r="Q354" i="20"/>
  <c r="Q350" i="20"/>
  <c r="Q346" i="20"/>
  <c r="Q342" i="20"/>
  <c r="Q338" i="20"/>
  <c r="Q334" i="20"/>
  <c r="Q330" i="20"/>
  <c r="Q326" i="20"/>
  <c r="Q322" i="20"/>
  <c r="Q318" i="20"/>
  <c r="Q314" i="20"/>
  <c r="Q310" i="20"/>
  <c r="Q306" i="20"/>
  <c r="Q302" i="20"/>
  <c r="Q298" i="20"/>
  <c r="Q290" i="20"/>
  <c r="Q282" i="20"/>
  <c r="Q274" i="20"/>
  <c r="Q258" i="20"/>
  <c r="Q242" i="20"/>
  <c r="Q226" i="20"/>
  <c r="Q210" i="20"/>
  <c r="Q194" i="20"/>
  <c r="Q178" i="20"/>
  <c r="Q162" i="20"/>
  <c r="Q146" i="20"/>
  <c r="Q130" i="20"/>
  <c r="Q78" i="20"/>
  <c r="Q297" i="20"/>
  <c r="Q295" i="20"/>
  <c r="Q293" i="20"/>
  <c r="Q291" i="20"/>
  <c r="Q289" i="20"/>
  <c r="Q287" i="20"/>
  <c r="Q285" i="20"/>
  <c r="Q283" i="20"/>
  <c r="Q281" i="20"/>
  <c r="Q279" i="20"/>
  <c r="Q277" i="20"/>
  <c r="Q275" i="20"/>
  <c r="Q272" i="20"/>
  <c r="Q268" i="20"/>
  <c r="Q264" i="20"/>
  <c r="Q260" i="20"/>
  <c r="Q256" i="20"/>
  <c r="Q252" i="20"/>
  <c r="Q248" i="20"/>
  <c r="Q244" i="20"/>
  <c r="Q240" i="20"/>
  <c r="Q236" i="20"/>
  <c r="Q232" i="20"/>
  <c r="Q228" i="20"/>
  <c r="Q224" i="20"/>
  <c r="Q220" i="20"/>
  <c r="Q216" i="20"/>
  <c r="Q212" i="20"/>
  <c r="Q208" i="20"/>
  <c r="Q204" i="20"/>
  <c r="Q200" i="20"/>
  <c r="Q196" i="20"/>
  <c r="Q192" i="20"/>
  <c r="Q188" i="20"/>
  <c r="Q184" i="20"/>
  <c r="Q180" i="20"/>
  <c r="Q176" i="20"/>
  <c r="Q172" i="20"/>
  <c r="Q168" i="20"/>
  <c r="Q164" i="20"/>
  <c r="Q160" i="20"/>
  <c r="Q156" i="20"/>
  <c r="Q152" i="20"/>
  <c r="Q148" i="20"/>
  <c r="Q144" i="20"/>
  <c r="Q140" i="20"/>
  <c r="Q136" i="20"/>
  <c r="Q132" i="20"/>
  <c r="Q128" i="20"/>
  <c r="Q120" i="20"/>
  <c r="Q110" i="20"/>
  <c r="Q94" i="20"/>
  <c r="Q62" i="20"/>
  <c r="Q30" i="20"/>
  <c r="Q273" i="20"/>
  <c r="Q271" i="20"/>
  <c r="Q269" i="20"/>
  <c r="Q267" i="20"/>
  <c r="Q265" i="20"/>
  <c r="Q263" i="20"/>
  <c r="Q261" i="20"/>
  <c r="Q259" i="20"/>
  <c r="Q257" i="20"/>
  <c r="Q255" i="20"/>
  <c r="Q253" i="20"/>
  <c r="Q251" i="20"/>
  <c r="Q249" i="20"/>
  <c r="Q247" i="20"/>
  <c r="Q245" i="20"/>
  <c r="Q243" i="20"/>
  <c r="Q241" i="20"/>
  <c r="Q239" i="20"/>
  <c r="Q237" i="20"/>
  <c r="Q235" i="20"/>
  <c r="Q233" i="20"/>
  <c r="Q231" i="20"/>
  <c r="Q229" i="20"/>
  <c r="Q227" i="20"/>
  <c r="Q225" i="20"/>
  <c r="Q223" i="20"/>
  <c r="Q221" i="20"/>
  <c r="Q219" i="20"/>
  <c r="Q217" i="20"/>
  <c r="Q215" i="20"/>
  <c r="Q213" i="20"/>
  <c r="Q211" i="20"/>
  <c r="Q209" i="20"/>
  <c r="Q207" i="20"/>
  <c r="Q205" i="20"/>
  <c r="Q203" i="20"/>
  <c r="Q201" i="20"/>
  <c r="Q199" i="20"/>
  <c r="Q197" i="20"/>
  <c r="Q195" i="20"/>
  <c r="Q193" i="20"/>
  <c r="Q191" i="20"/>
  <c r="Q189" i="20"/>
  <c r="Q187" i="20"/>
  <c r="Q185" i="20"/>
  <c r="Q183" i="20"/>
  <c r="Q181" i="20"/>
  <c r="Q179" i="20"/>
  <c r="Q177" i="20"/>
  <c r="Q175" i="20"/>
  <c r="Q173" i="20"/>
  <c r="Q171" i="20"/>
  <c r="Q169" i="20"/>
  <c r="Q167" i="20"/>
  <c r="Q165" i="20"/>
  <c r="Q163" i="20"/>
  <c r="Q161" i="20"/>
  <c r="Q159" i="20"/>
  <c r="Q157" i="20"/>
  <c r="Q155" i="20"/>
  <c r="Q153" i="20"/>
  <c r="Q151" i="20"/>
  <c r="Q149" i="20"/>
  <c r="Q147" i="20"/>
  <c r="Q145" i="20"/>
  <c r="Q143" i="20"/>
  <c r="Q141" i="20"/>
  <c r="Q139" i="20"/>
  <c r="Q137" i="20"/>
  <c r="Q135" i="20"/>
  <c r="Q133" i="20"/>
  <c r="Q131" i="20"/>
  <c r="Q129" i="20"/>
  <c r="Q126" i="20"/>
  <c r="Q122" i="20"/>
  <c r="Q118" i="20"/>
  <c r="Q114" i="20"/>
  <c r="Q106" i="20"/>
  <c r="Q98" i="20"/>
  <c r="Q86" i="20"/>
  <c r="Q70" i="20"/>
  <c r="Q54" i="20"/>
  <c r="Q38" i="20"/>
  <c r="Q22" i="20"/>
  <c r="Q112" i="20"/>
  <c r="Q108" i="20"/>
  <c r="Q104" i="20"/>
  <c r="Q100" i="20"/>
  <c r="Q96" i="20"/>
  <c r="Q91" i="20"/>
  <c r="Q82" i="20"/>
  <c r="Q74" i="20"/>
  <c r="Q66" i="20"/>
  <c r="Q58" i="20"/>
  <c r="Q50" i="20"/>
  <c r="Q42" i="20"/>
  <c r="Q34" i="20"/>
  <c r="Q26" i="20"/>
  <c r="Q15" i="20"/>
  <c r="Q127" i="20"/>
  <c r="Q125" i="20"/>
  <c r="Q123" i="20"/>
  <c r="Q121" i="20"/>
  <c r="Q119" i="20"/>
  <c r="Q117" i="20"/>
  <c r="Q115" i="20"/>
  <c r="Q113" i="20"/>
  <c r="Q111" i="20"/>
  <c r="Q109" i="20"/>
  <c r="Q107" i="20"/>
  <c r="Q105" i="20"/>
  <c r="Q103" i="20"/>
  <c r="Q101" i="20"/>
  <c r="Q99" i="20"/>
  <c r="Q97" i="20"/>
  <c r="Q95" i="20"/>
  <c r="Q93" i="20"/>
  <c r="Q88" i="20"/>
  <c r="Q84" i="20"/>
  <c r="Q80" i="20"/>
  <c r="Q76" i="20"/>
  <c r="Q72" i="20"/>
  <c r="Q68" i="20"/>
  <c r="Q64" i="20"/>
  <c r="Q60" i="20"/>
  <c r="Q56" i="20"/>
  <c r="Q52" i="20"/>
  <c r="Q48" i="20"/>
  <c r="Q44" i="20"/>
  <c r="Q40" i="20"/>
  <c r="Q36" i="20"/>
  <c r="Q32" i="20"/>
  <c r="Q28" i="20"/>
  <c r="Q24" i="20"/>
  <c r="Q20" i="20"/>
  <c r="Q16" i="20"/>
  <c r="AG369" i="18"/>
  <c r="AF369" i="18" s="1"/>
  <c r="AD369" i="18" s="1"/>
  <c r="AG353" i="18"/>
  <c r="AF353" i="18" s="1"/>
  <c r="AD353" i="18" s="1"/>
  <c r="AG341" i="18"/>
  <c r="AF341" i="18" s="1"/>
  <c r="AD341" i="18" s="1"/>
  <c r="AG309" i="18"/>
  <c r="AF309" i="18" s="1"/>
  <c r="AD309" i="18" s="1"/>
  <c r="AG257" i="18"/>
  <c r="AF257" i="18" s="1"/>
  <c r="AD257" i="18" s="1"/>
  <c r="AG253" i="18"/>
  <c r="AF253" i="18" s="1"/>
  <c r="AD253" i="18" s="1"/>
  <c r="AG249" i="18"/>
  <c r="AF249" i="18" s="1"/>
  <c r="AD249" i="18" s="1"/>
  <c r="AG237" i="18"/>
  <c r="AF237" i="18" s="1"/>
  <c r="AD237" i="18" s="1"/>
  <c r="AG233" i="18"/>
  <c r="AF233" i="18" s="1"/>
  <c r="AD233" i="18" s="1"/>
  <c r="AG225" i="18"/>
  <c r="AF225" i="18" s="1"/>
  <c r="AD225" i="18" s="1"/>
  <c r="AG221" i="18"/>
  <c r="AF221" i="18" s="1"/>
  <c r="AD221" i="18" s="1"/>
  <c r="AG217" i="18"/>
  <c r="AF217" i="18" s="1"/>
  <c r="AD217" i="18" s="1"/>
  <c r="AG213" i="18"/>
  <c r="AF213" i="18" s="1"/>
  <c r="AD213" i="18" s="1"/>
  <c r="AG209" i="18"/>
  <c r="AF209" i="18" s="1"/>
  <c r="AD209" i="18" s="1"/>
  <c r="AG205" i="18"/>
  <c r="AF205" i="18" s="1"/>
  <c r="AD205" i="18" s="1"/>
  <c r="AG197" i="18"/>
  <c r="AF197" i="18" s="1"/>
  <c r="AD197" i="18" s="1"/>
  <c r="AG193" i="18"/>
  <c r="AF193" i="18" s="1"/>
  <c r="AD193" i="18" s="1"/>
  <c r="AG177" i="18"/>
  <c r="AF177" i="18" s="1"/>
  <c r="AD177" i="18" s="1"/>
  <c r="AG173" i="18"/>
  <c r="AF173" i="18" s="1"/>
  <c r="AD173" i="18" s="1"/>
  <c r="AG157" i="18"/>
  <c r="AF157" i="18" s="1"/>
  <c r="AD157" i="18" s="1"/>
  <c r="AG153" i="18"/>
  <c r="AF153" i="18" s="1"/>
  <c r="AD153" i="18" s="1"/>
  <c r="AG145" i="18"/>
  <c r="AF145" i="18" s="1"/>
  <c r="AD145" i="18" s="1"/>
  <c r="AG137" i="18"/>
  <c r="AF137" i="18" s="1"/>
  <c r="AD137" i="18" s="1"/>
  <c r="AG133" i="18"/>
  <c r="AF133" i="18" s="1"/>
  <c r="AD133" i="18" s="1"/>
  <c r="AG129" i="18"/>
  <c r="AF129" i="18" s="1"/>
  <c r="AD129" i="18" s="1"/>
  <c r="AG113" i="18"/>
  <c r="AF113" i="18" s="1"/>
  <c r="AD113" i="18" s="1"/>
  <c r="AG109" i="18"/>
  <c r="AF109" i="18" s="1"/>
  <c r="AD109" i="18" s="1"/>
  <c r="AG105" i="18"/>
  <c r="AF105" i="18" s="1"/>
  <c r="AD105" i="18" s="1"/>
  <c r="AG97" i="18"/>
  <c r="AF97" i="18" s="1"/>
  <c r="AD97" i="18" s="1"/>
  <c r="AG93" i="18"/>
  <c r="AF93" i="18" s="1"/>
  <c r="AD93" i="18" s="1"/>
  <c r="AG89" i="18"/>
  <c r="AF89" i="18" s="1"/>
  <c r="AD89" i="18" s="1"/>
  <c r="AG61" i="18"/>
  <c r="AF61" i="18" s="1"/>
  <c r="AD61" i="18" s="1"/>
  <c r="AG57" i="18"/>
  <c r="AF57" i="18" s="1"/>
  <c r="AD57" i="18" s="1"/>
  <c r="AG49" i="18"/>
  <c r="AF49" i="18" s="1"/>
  <c r="AD49" i="18" s="1"/>
  <c r="AG45" i="18"/>
  <c r="AF45" i="18" s="1"/>
  <c r="AD45" i="18" s="1"/>
  <c r="AG37" i="18"/>
  <c r="AF37" i="18" s="1"/>
  <c r="AD37" i="18" s="1"/>
  <c r="AG29" i="18"/>
  <c r="AF29" i="18" s="1"/>
  <c r="AD29" i="18" s="1"/>
  <c r="AG16" i="18"/>
  <c r="AF16" i="18" s="1"/>
  <c r="AD16" i="18" s="1"/>
  <c r="AD375" i="18"/>
  <c r="AD367" i="18"/>
  <c r="AD355" i="18"/>
  <c r="AD347" i="18"/>
  <c r="AD339" i="18"/>
  <c r="AD311" i="18"/>
  <c r="AD267" i="18"/>
  <c r="AD373" i="18"/>
  <c r="AD337" i="18"/>
  <c r="AD325" i="18"/>
  <c r="AD313" i="18"/>
  <c r="AD301" i="18"/>
  <c r="AD293" i="18"/>
  <c r="AD285" i="18"/>
  <c r="AD273" i="18"/>
  <c r="AD165" i="18"/>
  <c r="AD81" i="18"/>
  <c r="AD65" i="18"/>
  <c r="AD376" i="18"/>
  <c r="AD368" i="18"/>
  <c r="AD356" i="18"/>
  <c r="AD344" i="18"/>
  <c r="AD332" i="18"/>
  <c r="AD320" i="18"/>
  <c r="AD300" i="18"/>
  <c r="AD276" i="18"/>
  <c r="AD260" i="18"/>
  <c r="AD236" i="18"/>
  <c r="AD216" i="18"/>
  <c r="AD196" i="18"/>
  <c r="AD180" i="18"/>
  <c r="AD164" i="18"/>
  <c r="AD148" i="18"/>
  <c r="AD116" i="18"/>
  <c r="AD100" i="18"/>
  <c r="AD80" i="18"/>
  <c r="AD56" i="18"/>
  <c r="AD40" i="18"/>
  <c r="AD17" i="18"/>
  <c r="AD370" i="18"/>
  <c r="AD362" i="18"/>
  <c r="AD354" i="18"/>
  <c r="AD342" i="18"/>
  <c r="AD330" i="18"/>
  <c r="AD318" i="18"/>
  <c r="AD310" i="18"/>
  <c r="AD302" i="18"/>
  <c r="AD294" i="18"/>
  <c r="AD286" i="18"/>
  <c r="AD266" i="18"/>
  <c r="AD258" i="18"/>
  <c r="AD250" i="18"/>
  <c r="AD242" i="18"/>
  <c r="AD226" i="18"/>
  <c r="AD218" i="18"/>
  <c r="AD210" i="18"/>
  <c r="AD194" i="18"/>
  <c r="AD174" i="18"/>
  <c r="AD166" i="18"/>
  <c r="AD158" i="18"/>
  <c r="AD150" i="18"/>
  <c r="AD142" i="18"/>
  <c r="AD134" i="18"/>
  <c r="AD126" i="18"/>
  <c r="AD110" i="18"/>
  <c r="AD94" i="18"/>
  <c r="AD74" i="18"/>
  <c r="AD66" i="18"/>
  <c r="AD58" i="18"/>
  <c r="AD46" i="18"/>
  <c r="AD38" i="18"/>
  <c r="AD30" i="18"/>
  <c r="AD22" i="18"/>
  <c r="AD324" i="18"/>
  <c r="AD304" i="18"/>
  <c r="AD280" i="18"/>
  <c r="AD256" i="18"/>
  <c r="AD232" i="18"/>
  <c r="AD208" i="18"/>
  <c r="AD184" i="18"/>
  <c r="AD168" i="18"/>
  <c r="AD144" i="18"/>
  <c r="AD128" i="18"/>
  <c r="AD104" i="18"/>
  <c r="AD68" i="18"/>
  <c r="AD52" i="18"/>
  <c r="AD28" i="18"/>
  <c r="AH379" i="18"/>
  <c r="AI12" i="20"/>
  <c r="AG359" i="18"/>
  <c r="AF359" i="18" s="1"/>
  <c r="AD359" i="18" s="1"/>
  <c r="AG327" i="18"/>
  <c r="AF327" i="18" s="1"/>
  <c r="AD327" i="18" s="1"/>
  <c r="AG303" i="18"/>
  <c r="AF303" i="18" s="1"/>
  <c r="AD303" i="18" s="1"/>
  <c r="AG283" i="18"/>
  <c r="AF283" i="18" s="1"/>
  <c r="AD283" i="18" s="1"/>
  <c r="AG279" i="18"/>
  <c r="AF279" i="18" s="1"/>
  <c r="AD279" i="18" s="1"/>
  <c r="AG271" i="18"/>
  <c r="AF271" i="18" s="1"/>
  <c r="AD271" i="18" s="1"/>
  <c r="AG259" i="18"/>
  <c r="AF259" i="18" s="1"/>
  <c r="AD259" i="18" s="1"/>
  <c r="AG255" i="18"/>
  <c r="AF255" i="18" s="1"/>
  <c r="AD255" i="18" s="1"/>
  <c r="AG251" i="18"/>
  <c r="AF251" i="18" s="1"/>
  <c r="AD251" i="18" s="1"/>
  <c r="AG247" i="18"/>
  <c r="AF247" i="18" s="1"/>
  <c r="AD247" i="18" s="1"/>
  <c r="AG243" i="18"/>
  <c r="AF243" i="18" s="1"/>
  <c r="AD243" i="18" s="1"/>
  <c r="AG227" i="18"/>
  <c r="AF227" i="18" s="1"/>
  <c r="AD227" i="18" s="1"/>
  <c r="AG223" i="18"/>
  <c r="AF223" i="18" s="1"/>
  <c r="AD223" i="18" s="1"/>
  <c r="AG219" i="18"/>
  <c r="AF219" i="18" s="1"/>
  <c r="AD219" i="18" s="1"/>
  <c r="AG215" i="18"/>
  <c r="AF215" i="18" s="1"/>
  <c r="AD215" i="18" s="1"/>
  <c r="AG211" i="18"/>
  <c r="AF211" i="18" s="1"/>
  <c r="AD211" i="18" s="1"/>
  <c r="AG203" i="18"/>
  <c r="AF203" i="18" s="1"/>
  <c r="AD203" i="18" s="1"/>
  <c r="AG199" i="18"/>
  <c r="AF199" i="18" s="1"/>
  <c r="AD199" i="18" s="1"/>
  <c r="AG195" i="18"/>
  <c r="AF195" i="18" s="1"/>
  <c r="AD195" i="18" s="1"/>
  <c r="AG187" i="18"/>
  <c r="AF187" i="18" s="1"/>
  <c r="AD187" i="18" s="1"/>
  <c r="AG175" i="18"/>
  <c r="AF175" i="18" s="1"/>
  <c r="AD175" i="18" s="1"/>
  <c r="AG171" i="18"/>
  <c r="AF171" i="18" s="1"/>
  <c r="AD171" i="18" s="1"/>
  <c r="AG167" i="18"/>
  <c r="AF167" i="18" s="1"/>
  <c r="AD167" i="18" s="1"/>
  <c r="AG163" i="18"/>
  <c r="AF163" i="18" s="1"/>
  <c r="AD163" i="18" s="1"/>
  <c r="AG155" i="18"/>
  <c r="AF155" i="18" s="1"/>
  <c r="AD155" i="18" s="1"/>
  <c r="AG147" i="18"/>
  <c r="AF147" i="18" s="1"/>
  <c r="AD147" i="18" s="1"/>
  <c r="AG143" i="18"/>
  <c r="AF143" i="18" s="1"/>
  <c r="AD143" i="18" s="1"/>
  <c r="AG139" i="18"/>
  <c r="AF139" i="18" s="1"/>
  <c r="AD139" i="18" s="1"/>
  <c r="AG131" i="18"/>
  <c r="AF131" i="18" s="1"/>
  <c r="AD131" i="18" s="1"/>
  <c r="AG123" i="18"/>
  <c r="AF123" i="18" s="1"/>
  <c r="AD123" i="18" s="1"/>
  <c r="AG99" i="18"/>
  <c r="AF99" i="18" s="1"/>
  <c r="AD99" i="18" s="1"/>
  <c r="AG95" i="18"/>
  <c r="AF95" i="18" s="1"/>
  <c r="AD95" i="18" s="1"/>
  <c r="AG87" i="18"/>
  <c r="AF87" i="18" s="1"/>
  <c r="AD87" i="18" s="1"/>
  <c r="AG75" i="18"/>
  <c r="AF75" i="18" s="1"/>
  <c r="AD75" i="18" s="1"/>
  <c r="AG59" i="18"/>
  <c r="AF59" i="18" s="1"/>
  <c r="AD59" i="18" s="1"/>
  <c r="AG55" i="18"/>
  <c r="AF55" i="18" s="1"/>
  <c r="AD55" i="18" s="1"/>
  <c r="AG47" i="18"/>
  <c r="AF47" i="18" s="1"/>
  <c r="AD47" i="18" s="1"/>
  <c r="AG43" i="18"/>
  <c r="AF43" i="18" s="1"/>
  <c r="AD43" i="18" s="1"/>
  <c r="AG35" i="18"/>
  <c r="AF35" i="18" s="1"/>
  <c r="AD35" i="18" s="1"/>
  <c r="AG31" i="18"/>
  <c r="AF31" i="18" s="1"/>
  <c r="AD31" i="18" s="1"/>
  <c r="AI383" i="18"/>
  <c r="AH15" i="18"/>
  <c r="AI381" i="18"/>
  <c r="AI382" i="18"/>
  <c r="AG18" i="18"/>
  <c r="AF18" i="18" s="1"/>
  <c r="AD18" i="18" s="1"/>
  <c r="AD371" i="18"/>
  <c r="AD363" i="18"/>
  <c r="AD351" i="18"/>
  <c r="AD343" i="18"/>
  <c r="AD335" i="18"/>
  <c r="AD295" i="18"/>
  <c r="AD377" i="18"/>
  <c r="AD361" i="18"/>
  <c r="AD329" i="18"/>
  <c r="AD321" i="18"/>
  <c r="AD305" i="18"/>
  <c r="AD297" i="18"/>
  <c r="AD289" i="18"/>
  <c r="AD277" i="18"/>
  <c r="AD181" i="18"/>
  <c r="AD121" i="18"/>
  <c r="AD77" i="18"/>
  <c r="AD25" i="18"/>
  <c r="AD372" i="18"/>
  <c r="AD360" i="18"/>
  <c r="AD348" i="18"/>
  <c r="AD340" i="18"/>
  <c r="AD328" i="18"/>
  <c r="AD308" i="18"/>
  <c r="AD292" i="18"/>
  <c r="AD268" i="18"/>
  <c r="AD252" i="18"/>
  <c r="AD220" i="18"/>
  <c r="AD204" i="18"/>
  <c r="AD188" i="18"/>
  <c r="AD172" i="18"/>
  <c r="AD156" i="18"/>
  <c r="AD132" i="18"/>
  <c r="AD108" i="18"/>
  <c r="AD96" i="18"/>
  <c r="AD72" i="18"/>
  <c r="AD48" i="18"/>
  <c r="AD24" i="18"/>
  <c r="AD378" i="18"/>
  <c r="AD366" i="18"/>
  <c r="AD358" i="18"/>
  <c r="AD350" i="18"/>
  <c r="AD334" i="18"/>
  <c r="AD326" i="18"/>
  <c r="AD314" i="18"/>
  <c r="AD306" i="18"/>
  <c r="AD298" i="18"/>
  <c r="AD290" i="18"/>
  <c r="AD270" i="18"/>
  <c r="AD262" i="18"/>
  <c r="AD254" i="18"/>
  <c r="AD246" i="18"/>
  <c r="AD230" i="18"/>
  <c r="AD222" i="18"/>
  <c r="AD214" i="18"/>
  <c r="AD206" i="18"/>
  <c r="AD182" i="18"/>
  <c r="AD170" i="18"/>
  <c r="AD162" i="18"/>
  <c r="AD154" i="18"/>
  <c r="AD146" i="18"/>
  <c r="AD138" i="18"/>
  <c r="AD130" i="18"/>
  <c r="AD114" i="18"/>
  <c r="AD98" i="18"/>
  <c r="AD78" i="18"/>
  <c r="AD70" i="18"/>
  <c r="AD62" i="18"/>
  <c r="AD50" i="18"/>
  <c r="AD42" i="18"/>
  <c r="AD34" i="18"/>
  <c r="AD26" i="18"/>
  <c r="AD19" i="18"/>
  <c r="AD312" i="18"/>
  <c r="AD288" i="18"/>
  <c r="AD272" i="18"/>
  <c r="AD240" i="18"/>
  <c r="AD224" i="18"/>
  <c r="AD200" i="18"/>
  <c r="AD176" i="18"/>
  <c r="AD152" i="18"/>
  <c r="AD136" i="18"/>
  <c r="AD112" i="18"/>
  <c r="AD92" i="18"/>
  <c r="AD60" i="18"/>
  <c r="AD36" i="18"/>
  <c r="AD20" i="18"/>
  <c r="M64" i="19"/>
  <c r="N63" i="19"/>
  <c r="K65" i="19"/>
  <c r="Q92" i="20"/>
  <c r="Q89" i="20"/>
  <c r="Q87" i="20"/>
  <c r="Q85" i="20"/>
  <c r="Q83" i="20"/>
  <c r="Q81" i="20"/>
  <c r="Q79" i="20"/>
  <c r="Q77" i="20"/>
  <c r="Q75" i="20"/>
  <c r="Q73" i="20"/>
  <c r="Q71" i="20"/>
  <c r="Q69" i="20"/>
  <c r="Q67" i="20"/>
  <c r="Q65" i="20"/>
  <c r="Q63" i="20"/>
  <c r="Q61" i="20"/>
  <c r="Q59" i="20"/>
  <c r="Q57" i="20"/>
  <c r="Q55" i="20"/>
  <c r="Q53" i="20"/>
  <c r="Q51" i="20"/>
  <c r="Q49" i="20"/>
  <c r="Q47" i="20"/>
  <c r="Q45" i="20"/>
  <c r="Q43" i="20"/>
  <c r="Q41" i="20"/>
  <c r="Q39" i="20"/>
  <c r="Q37" i="20"/>
  <c r="Q35" i="20"/>
  <c r="Q33" i="20"/>
  <c r="Q31" i="20"/>
  <c r="Q29" i="20"/>
  <c r="Q27" i="20"/>
  <c r="Q25" i="20"/>
  <c r="Q23" i="20"/>
  <c r="Q21" i="20"/>
  <c r="Q19" i="20"/>
  <c r="Q18" i="20"/>
  <c r="D73" i="7"/>
  <c r="V180" i="18"/>
  <c r="E65" i="19"/>
  <c r="D78" i="7"/>
  <c r="V333" i="18"/>
  <c r="D79" i="7"/>
  <c r="V363" i="18"/>
  <c r="D68" i="7"/>
  <c r="V29" i="18"/>
  <c r="D69" i="7"/>
  <c r="V60" i="18"/>
  <c r="D76" i="7"/>
  <c r="V272" i="18"/>
  <c r="R383" i="17"/>
  <c r="R382" i="17"/>
  <c r="R381" i="17"/>
  <c r="P15" i="17"/>
  <c r="D75" i="7"/>
  <c r="V241" i="18"/>
  <c r="S15" i="18"/>
  <c r="T382" i="18"/>
  <c r="T383" i="18"/>
  <c r="T381" i="18"/>
  <c r="AH15" i="7"/>
  <c r="Q90" i="20"/>
  <c r="AI15" i="7"/>
  <c r="AD381" i="17"/>
  <c r="AD382" i="17"/>
  <c r="AD383" i="17"/>
  <c r="F65" i="19" l="1"/>
  <c r="D65" i="19"/>
  <c r="AE222" i="20"/>
  <c r="AE307" i="20"/>
  <c r="AE346" i="20"/>
  <c r="AE378" i="20"/>
  <c r="AE324" i="20"/>
  <c r="AE246" i="20"/>
  <c r="AE344" i="20"/>
  <c r="H65" i="19"/>
  <c r="AE106" i="20"/>
  <c r="AE170" i="20"/>
  <c r="AE226" i="20"/>
  <c r="AE258" i="20"/>
  <c r="AE277" i="20"/>
  <c r="AE293" i="20"/>
  <c r="AE309" i="20"/>
  <c r="AE323" i="20"/>
  <c r="AE331" i="20"/>
  <c r="AE339" i="20"/>
  <c r="AE347" i="20"/>
  <c r="AE355" i="20"/>
  <c r="AE363" i="20"/>
  <c r="AE371" i="20"/>
  <c r="AE379" i="20"/>
  <c r="AE12" i="22" s="1"/>
  <c r="AE314" i="20"/>
  <c r="AE306" i="20"/>
  <c r="AE298" i="20"/>
  <c r="AE290" i="20"/>
  <c r="AE282" i="20"/>
  <c r="AE274" i="20"/>
  <c r="AE266" i="20"/>
  <c r="AE252" i="20"/>
  <c r="AE236" i="20"/>
  <c r="AE220" i="20"/>
  <c r="AE190" i="20"/>
  <c r="AE158" i="20"/>
  <c r="AE126" i="20"/>
  <c r="AE162" i="20"/>
  <c r="AE254" i="20"/>
  <c r="AE291" i="20"/>
  <c r="AE322" i="20"/>
  <c r="AE338" i="20"/>
  <c r="AE354" i="20"/>
  <c r="AE370" i="20"/>
  <c r="AE178" i="20"/>
  <c r="AE295" i="20"/>
  <c r="AE340" i="20"/>
  <c r="AE372" i="20"/>
  <c r="AE319" i="20"/>
  <c r="AE210" i="20"/>
  <c r="AE328" i="20"/>
  <c r="AE360" i="20"/>
  <c r="AE376" i="20"/>
  <c r="AE303" i="20"/>
  <c r="AE368" i="20"/>
  <c r="AE336" i="20"/>
  <c r="AE287" i="20"/>
  <c r="AE146" i="20"/>
  <c r="AE364" i="20"/>
  <c r="AE348" i="20"/>
  <c r="AE332" i="20"/>
  <c r="AE311" i="20"/>
  <c r="AE279" i="20"/>
  <c r="AE230" i="20"/>
  <c r="AE114" i="20"/>
  <c r="AE374" i="20"/>
  <c r="AE366" i="20"/>
  <c r="AE358" i="20"/>
  <c r="AE350" i="20"/>
  <c r="AE342" i="20"/>
  <c r="AE334" i="20"/>
  <c r="AE326" i="20"/>
  <c r="AE315" i="20"/>
  <c r="AE299" i="20"/>
  <c r="AE283" i="20"/>
  <c r="AE267" i="20"/>
  <c r="AE238" i="20"/>
  <c r="AE194" i="20"/>
  <c r="AE130" i="20"/>
  <c r="AE118" i="20"/>
  <c r="AE134" i="20"/>
  <c r="AE150" i="20"/>
  <c r="AE166" i="20"/>
  <c r="AE182" i="20"/>
  <c r="AE198" i="20"/>
  <c r="AE214" i="20"/>
  <c r="AE224" i="20"/>
  <c r="AE232" i="20"/>
  <c r="AE240" i="20"/>
  <c r="AE248" i="20"/>
  <c r="AE256" i="20"/>
  <c r="AE264" i="20"/>
  <c r="AE268" i="20"/>
  <c r="AE272" i="20"/>
  <c r="AE276" i="20"/>
  <c r="AE280" i="20"/>
  <c r="AE284" i="20"/>
  <c r="AE288" i="20"/>
  <c r="AE292" i="20"/>
  <c r="AE296" i="20"/>
  <c r="AE300" i="20"/>
  <c r="AE304" i="20"/>
  <c r="AE308" i="20"/>
  <c r="AE312" i="20"/>
  <c r="AE316" i="20"/>
  <c r="AE320" i="20"/>
  <c r="AE377" i="20"/>
  <c r="AE373" i="20"/>
  <c r="AE369" i="20"/>
  <c r="AE365" i="20"/>
  <c r="AE361" i="20"/>
  <c r="AE357" i="20"/>
  <c r="AE353" i="20"/>
  <c r="AE349" i="20"/>
  <c r="AE345" i="20"/>
  <c r="AE341" i="20"/>
  <c r="AE337" i="20"/>
  <c r="AE333" i="20"/>
  <c r="AE329" i="20"/>
  <c r="AE325" i="20"/>
  <c r="AE321" i="20"/>
  <c r="AE313" i="20"/>
  <c r="AE305" i="20"/>
  <c r="AE297" i="20"/>
  <c r="AE289" i="20"/>
  <c r="AE281" i="20"/>
  <c r="AE273" i="20"/>
  <c r="AE265" i="20"/>
  <c r="AE250" i="20"/>
  <c r="AE234" i="20"/>
  <c r="AE218" i="20"/>
  <c r="AE186" i="20"/>
  <c r="AE154" i="20"/>
  <c r="AE122" i="20"/>
  <c r="AE107" i="20"/>
  <c r="AE382" i="20" s="1"/>
  <c r="AE111" i="20"/>
  <c r="U10" i="20"/>
  <c r="U16" i="20" s="1"/>
  <c r="T16" i="20" s="1"/>
  <c r="S16" i="20" s="1"/>
  <c r="R16" i="20" s="1"/>
  <c r="P16" i="20" s="1"/>
  <c r="V16" i="20" s="1"/>
  <c r="Q382" i="20"/>
  <c r="U79" i="20"/>
  <c r="T79" i="20" s="1"/>
  <c r="S79" i="20" s="1"/>
  <c r="R79" i="20" s="1"/>
  <c r="P79" i="20" s="1"/>
  <c r="V79" i="20" s="1"/>
  <c r="AI57" i="20"/>
  <c r="AH57" i="20" s="1"/>
  <c r="AG57" i="20" s="1"/>
  <c r="AF57" i="20" s="1"/>
  <c r="AD57" i="20" s="1"/>
  <c r="U26" i="20"/>
  <c r="T26" i="20" s="1"/>
  <c r="S26" i="20" s="1"/>
  <c r="R26" i="20" s="1"/>
  <c r="P26" i="20" s="1"/>
  <c r="V26" i="20" s="1"/>
  <c r="U58" i="20"/>
  <c r="T58" i="20" s="1"/>
  <c r="S58" i="20" s="1"/>
  <c r="R58" i="20" s="1"/>
  <c r="P58" i="20" s="1"/>
  <c r="V58" i="20" s="1"/>
  <c r="U90" i="20"/>
  <c r="T90" i="20" s="1"/>
  <c r="S90" i="20" s="1"/>
  <c r="R90" i="20" s="1"/>
  <c r="U122" i="20"/>
  <c r="T122" i="20" s="1"/>
  <c r="S122" i="20" s="1"/>
  <c r="R122" i="20" s="1"/>
  <c r="P122" i="20" s="1"/>
  <c r="V122" i="20" s="1"/>
  <c r="U154" i="20"/>
  <c r="T154" i="20" s="1"/>
  <c r="S154" i="20" s="1"/>
  <c r="R154" i="20" s="1"/>
  <c r="P154" i="20" s="1"/>
  <c r="V154" i="20" s="1"/>
  <c r="U186" i="20"/>
  <c r="T186" i="20" s="1"/>
  <c r="U218" i="20"/>
  <c r="T218" i="20" s="1"/>
  <c r="S218" i="20" s="1"/>
  <c r="R218" i="20" s="1"/>
  <c r="P218" i="20" s="1"/>
  <c r="V218" i="20" s="1"/>
  <c r="U250" i="20"/>
  <c r="T250" i="20" s="1"/>
  <c r="S250" i="20" s="1"/>
  <c r="R250" i="20" s="1"/>
  <c r="P250" i="20" s="1"/>
  <c r="V250" i="20" s="1"/>
  <c r="U266" i="20"/>
  <c r="T266" i="20" s="1"/>
  <c r="S266" i="20" s="1"/>
  <c r="R266" i="20" s="1"/>
  <c r="P266" i="20" s="1"/>
  <c r="V266" i="20" s="1"/>
  <c r="U282" i="20"/>
  <c r="T282" i="20" s="1"/>
  <c r="S282" i="20" s="1"/>
  <c r="R282" i="20" s="1"/>
  <c r="P282" i="20" s="1"/>
  <c r="V282" i="20" s="1"/>
  <c r="U298" i="20"/>
  <c r="T298" i="20" s="1"/>
  <c r="S298" i="20" s="1"/>
  <c r="R298" i="20" s="1"/>
  <c r="P298" i="20" s="1"/>
  <c r="V298" i="20" s="1"/>
  <c r="U314" i="20"/>
  <c r="T314" i="20" s="1"/>
  <c r="S314" i="20" s="1"/>
  <c r="R314" i="20" s="1"/>
  <c r="P314" i="20" s="1"/>
  <c r="V314" i="20" s="1"/>
  <c r="U330" i="20"/>
  <c r="T330" i="20" s="1"/>
  <c r="S330" i="20" s="1"/>
  <c r="R330" i="20" s="1"/>
  <c r="P330" i="20" s="1"/>
  <c r="V330" i="20" s="1"/>
  <c r="U346" i="20"/>
  <c r="T346" i="20" s="1"/>
  <c r="S346" i="20" s="1"/>
  <c r="R346" i="20" s="1"/>
  <c r="P346" i="20" s="1"/>
  <c r="V346" i="20" s="1"/>
  <c r="U362" i="20"/>
  <c r="T362" i="20" s="1"/>
  <c r="S362" i="20" s="1"/>
  <c r="R362" i="20" s="1"/>
  <c r="P362" i="20" s="1"/>
  <c r="V362" i="20" s="1"/>
  <c r="U378" i="20"/>
  <c r="T378" i="20" s="1"/>
  <c r="S378" i="20" s="1"/>
  <c r="R378" i="20" s="1"/>
  <c r="P378" i="20" s="1"/>
  <c r="V378" i="20" s="1"/>
  <c r="AI44" i="20"/>
  <c r="AH44" i="20" s="1"/>
  <c r="AG44" i="20" s="1"/>
  <c r="AF44" i="20" s="1"/>
  <c r="AD44" i="20" s="1"/>
  <c r="AI76" i="20"/>
  <c r="AH76" i="20" s="1"/>
  <c r="AG76" i="20" s="1"/>
  <c r="AF76" i="20" s="1"/>
  <c r="AD76" i="20" s="1"/>
  <c r="AI320" i="20"/>
  <c r="AH320" i="20" s="1"/>
  <c r="AG320" i="20" s="1"/>
  <c r="AF320" i="20" s="1"/>
  <c r="U361" i="20"/>
  <c r="T361" i="20" s="1"/>
  <c r="S361" i="20" s="1"/>
  <c r="R361" i="20" s="1"/>
  <c r="P361" i="20" s="1"/>
  <c r="V361" i="20" s="1"/>
  <c r="U329" i="20"/>
  <c r="T329" i="20" s="1"/>
  <c r="U297" i="20"/>
  <c r="T297" i="20" s="1"/>
  <c r="S297" i="20" s="1"/>
  <c r="R297" i="20" s="1"/>
  <c r="P297" i="20" s="1"/>
  <c r="V297" i="20" s="1"/>
  <c r="U265" i="20"/>
  <c r="T265" i="20" s="1"/>
  <c r="S265" i="20" s="1"/>
  <c r="R265" i="20" s="1"/>
  <c r="P265" i="20" s="1"/>
  <c r="V265" i="20" s="1"/>
  <c r="U233" i="20"/>
  <c r="T233" i="20" s="1"/>
  <c r="S233" i="20" s="1"/>
  <c r="R233" i="20" s="1"/>
  <c r="P233" i="20" s="1"/>
  <c r="V233" i="20" s="1"/>
  <c r="U201" i="20"/>
  <c r="T201" i="20" s="1"/>
  <c r="S201" i="20" s="1"/>
  <c r="R201" i="20" s="1"/>
  <c r="P201" i="20" s="1"/>
  <c r="V201" i="20" s="1"/>
  <c r="U169" i="20"/>
  <c r="T169" i="20" s="1"/>
  <c r="S169" i="20" s="1"/>
  <c r="R169" i="20" s="1"/>
  <c r="P169" i="20" s="1"/>
  <c r="V169" i="20" s="1"/>
  <c r="U137" i="20"/>
  <c r="T137" i="20" s="1"/>
  <c r="S137" i="20" s="1"/>
  <c r="R137" i="20" s="1"/>
  <c r="P137" i="20" s="1"/>
  <c r="V137" i="20" s="1"/>
  <c r="U117" i="20"/>
  <c r="T117" i="20" s="1"/>
  <c r="S117" i="20" s="1"/>
  <c r="R117" i="20" s="1"/>
  <c r="P117" i="20" s="1"/>
  <c r="V117" i="20" s="1"/>
  <c r="U101" i="20"/>
  <c r="T101" i="20" s="1"/>
  <c r="S101" i="20" s="1"/>
  <c r="R101" i="20" s="1"/>
  <c r="P101" i="20" s="1"/>
  <c r="V101" i="20" s="1"/>
  <c r="U85" i="20"/>
  <c r="T85" i="20" s="1"/>
  <c r="S85" i="20" s="1"/>
  <c r="R85" i="20" s="1"/>
  <c r="P85" i="20" s="1"/>
  <c r="V85" i="20" s="1"/>
  <c r="U69" i="20"/>
  <c r="T69" i="20" s="1"/>
  <c r="S69" i="20" s="1"/>
  <c r="R69" i="20" s="1"/>
  <c r="P69" i="20" s="1"/>
  <c r="V69" i="20" s="1"/>
  <c r="U53" i="20"/>
  <c r="T53" i="20" s="1"/>
  <c r="U37" i="20"/>
  <c r="T37" i="20" s="1"/>
  <c r="S37" i="20" s="1"/>
  <c r="R37" i="20" s="1"/>
  <c r="P37" i="20" s="1"/>
  <c r="V37" i="20" s="1"/>
  <c r="U21" i="20"/>
  <c r="T21" i="20" s="1"/>
  <c r="S21" i="20" s="1"/>
  <c r="R21" i="20" s="1"/>
  <c r="P21" i="20" s="1"/>
  <c r="V21" i="20" s="1"/>
  <c r="AI35" i="20"/>
  <c r="AH35" i="20" s="1"/>
  <c r="AG35" i="20" s="1"/>
  <c r="AF35" i="20" s="1"/>
  <c r="AD35" i="20" s="1"/>
  <c r="AI67" i="20"/>
  <c r="AH67" i="20" s="1"/>
  <c r="AG67" i="20" s="1"/>
  <c r="AF67" i="20" s="1"/>
  <c r="AD67" i="20" s="1"/>
  <c r="AI99" i="20"/>
  <c r="AH99" i="20" s="1"/>
  <c r="AG99" i="20" s="1"/>
  <c r="AF99" i="20" s="1"/>
  <c r="AD99" i="20" s="1"/>
  <c r="AI131" i="20"/>
  <c r="AH131" i="20" s="1"/>
  <c r="AG131" i="20" s="1"/>
  <c r="AF131" i="20" s="1"/>
  <c r="AD131" i="20" s="1"/>
  <c r="AI163" i="20"/>
  <c r="AH163" i="20" s="1"/>
  <c r="AG163" i="20" s="1"/>
  <c r="AF163" i="20" s="1"/>
  <c r="AD163" i="20" s="1"/>
  <c r="AI195" i="20"/>
  <c r="AH195" i="20" s="1"/>
  <c r="AG195" i="20" s="1"/>
  <c r="AF195" i="20" s="1"/>
  <c r="AD195" i="20" s="1"/>
  <c r="AI227" i="20"/>
  <c r="AH227" i="20" s="1"/>
  <c r="AG227" i="20" s="1"/>
  <c r="AF227" i="20" s="1"/>
  <c r="AD227" i="20" s="1"/>
  <c r="AI259" i="20"/>
  <c r="AH259" i="20" s="1"/>
  <c r="AG259" i="20" s="1"/>
  <c r="AF259" i="20" s="1"/>
  <c r="AD259" i="20" s="1"/>
  <c r="AI291" i="20"/>
  <c r="AH291" i="20" s="1"/>
  <c r="AG291" i="20" s="1"/>
  <c r="AF291" i="20" s="1"/>
  <c r="AD291" i="20" s="1"/>
  <c r="AI323" i="20"/>
  <c r="AH323" i="20" s="1"/>
  <c r="AG323" i="20" s="1"/>
  <c r="AF323" i="20" s="1"/>
  <c r="AD323" i="20" s="1"/>
  <c r="AI355" i="20"/>
  <c r="AH355" i="20" s="1"/>
  <c r="AG355" i="20" s="1"/>
  <c r="AF355" i="20" s="1"/>
  <c r="AD355" i="20" s="1"/>
  <c r="J380" i="17"/>
  <c r="I380" i="17"/>
  <c r="H380" i="18" s="1"/>
  <c r="I15" i="15"/>
  <c r="J15" i="15"/>
  <c r="Z15" i="15"/>
  <c r="AL7" i="15" s="1"/>
  <c r="F15" i="16"/>
  <c r="I65" i="19"/>
  <c r="AH381" i="18"/>
  <c r="AH383" i="18"/>
  <c r="AG15" i="18"/>
  <c r="AH382" i="18"/>
  <c r="AG379" i="18"/>
  <c r="AF379" i="18" s="1"/>
  <c r="AD379" i="18" s="1"/>
  <c r="J65" i="19"/>
  <c r="C65" i="19"/>
  <c r="L65" i="19"/>
  <c r="Q381" i="20"/>
  <c r="M65" i="19"/>
  <c r="G65" i="19"/>
  <c r="AM15" i="7"/>
  <c r="Q10" i="22"/>
  <c r="Q16" i="22" s="1"/>
  <c r="Q383" i="20"/>
  <c r="S186" i="20"/>
  <c r="R186" i="20" s="1"/>
  <c r="P186" i="20" s="1"/>
  <c r="V186" i="20" s="1"/>
  <c r="P383" i="17"/>
  <c r="V15" i="17"/>
  <c r="B15" i="17" s="1"/>
  <c r="AJ5" i="17" s="1"/>
  <c r="P382" i="17"/>
  <c r="P381" i="17"/>
  <c r="S381" i="18"/>
  <c r="S382" i="18"/>
  <c r="S383" i="18"/>
  <c r="R15" i="18"/>
  <c r="S329" i="20"/>
  <c r="R329" i="20" s="1"/>
  <c r="P329" i="20" s="1"/>
  <c r="V329" i="20" s="1"/>
  <c r="S53" i="20"/>
  <c r="R53" i="20" s="1"/>
  <c r="P53" i="20" s="1"/>
  <c r="V53" i="20" s="1"/>
  <c r="AI371" i="20" l="1"/>
  <c r="AH371" i="20" s="1"/>
  <c r="AG371" i="20" s="1"/>
  <c r="AF371" i="20" s="1"/>
  <c r="AI339" i="20"/>
  <c r="AH339" i="20" s="1"/>
  <c r="AG339" i="20" s="1"/>
  <c r="AF339" i="20" s="1"/>
  <c r="AI307" i="20"/>
  <c r="AH307" i="20" s="1"/>
  <c r="AG307" i="20" s="1"/>
  <c r="AF307" i="20" s="1"/>
  <c r="AI275" i="20"/>
  <c r="AH275" i="20" s="1"/>
  <c r="AG275" i="20" s="1"/>
  <c r="AF275" i="20" s="1"/>
  <c r="AD275" i="20" s="1"/>
  <c r="AI243" i="20"/>
  <c r="AH243" i="20" s="1"/>
  <c r="AG243" i="20" s="1"/>
  <c r="AF243" i="20" s="1"/>
  <c r="AD243" i="20" s="1"/>
  <c r="AI211" i="20"/>
  <c r="AH211" i="20" s="1"/>
  <c r="AG211" i="20" s="1"/>
  <c r="AF211" i="20" s="1"/>
  <c r="AD211" i="20" s="1"/>
  <c r="AI179" i="20"/>
  <c r="AH179" i="20" s="1"/>
  <c r="AG179" i="20" s="1"/>
  <c r="AF179" i="20" s="1"/>
  <c r="AD179" i="20" s="1"/>
  <c r="AI147" i="20"/>
  <c r="AH147" i="20" s="1"/>
  <c r="AG147" i="20" s="1"/>
  <c r="AF147" i="20" s="1"/>
  <c r="AD147" i="20" s="1"/>
  <c r="AI115" i="20"/>
  <c r="AH115" i="20" s="1"/>
  <c r="AG115" i="20" s="1"/>
  <c r="AF115" i="20" s="1"/>
  <c r="AD115" i="20" s="1"/>
  <c r="AI83" i="20"/>
  <c r="AH83" i="20" s="1"/>
  <c r="AG83" i="20" s="1"/>
  <c r="AF83" i="20" s="1"/>
  <c r="AD83" i="20" s="1"/>
  <c r="AI51" i="20"/>
  <c r="AH51" i="20" s="1"/>
  <c r="AG51" i="20" s="1"/>
  <c r="AF51" i="20" s="1"/>
  <c r="AD51" i="20" s="1"/>
  <c r="AI16" i="20"/>
  <c r="AH16" i="20" s="1"/>
  <c r="AG16" i="20" s="1"/>
  <c r="AF16" i="20" s="1"/>
  <c r="AD16" i="20" s="1"/>
  <c r="U29" i="20"/>
  <c r="T29" i="20" s="1"/>
  <c r="S29" i="20" s="1"/>
  <c r="R29" i="20" s="1"/>
  <c r="P29" i="20" s="1"/>
  <c r="U45" i="20"/>
  <c r="T45" i="20" s="1"/>
  <c r="S45" i="20" s="1"/>
  <c r="R45" i="20" s="1"/>
  <c r="P45" i="20" s="1"/>
  <c r="V45" i="20" s="1"/>
  <c r="U61" i="20"/>
  <c r="T61" i="20" s="1"/>
  <c r="S61" i="20" s="1"/>
  <c r="R61" i="20" s="1"/>
  <c r="P61" i="20" s="1"/>
  <c r="V61" i="20" s="1"/>
  <c r="U77" i="20"/>
  <c r="T77" i="20" s="1"/>
  <c r="S77" i="20" s="1"/>
  <c r="R77" i="20" s="1"/>
  <c r="P77" i="20" s="1"/>
  <c r="V77" i="20" s="1"/>
  <c r="U93" i="20"/>
  <c r="T93" i="20" s="1"/>
  <c r="S93" i="20" s="1"/>
  <c r="R93" i="20" s="1"/>
  <c r="P93" i="20" s="1"/>
  <c r="V93" i="20" s="1"/>
  <c r="U109" i="20"/>
  <c r="T109" i="20" s="1"/>
  <c r="S109" i="20" s="1"/>
  <c r="R109" i="20" s="1"/>
  <c r="P109" i="20" s="1"/>
  <c r="V109" i="20" s="1"/>
  <c r="U125" i="20"/>
  <c r="T125" i="20" s="1"/>
  <c r="S125" i="20" s="1"/>
  <c r="R125" i="20" s="1"/>
  <c r="P125" i="20" s="1"/>
  <c r="V125" i="20" s="1"/>
  <c r="U153" i="20"/>
  <c r="T153" i="20" s="1"/>
  <c r="S153" i="20" s="1"/>
  <c r="R153" i="20" s="1"/>
  <c r="P153" i="20" s="1"/>
  <c r="V153" i="20" s="1"/>
  <c r="U185" i="20"/>
  <c r="T185" i="20" s="1"/>
  <c r="S185" i="20" s="1"/>
  <c r="R185" i="20" s="1"/>
  <c r="P185" i="20" s="1"/>
  <c r="V185" i="20" s="1"/>
  <c r="U217" i="20"/>
  <c r="T217" i="20" s="1"/>
  <c r="S217" i="20" s="1"/>
  <c r="R217" i="20" s="1"/>
  <c r="P217" i="20" s="1"/>
  <c r="V217" i="20" s="1"/>
  <c r="U249" i="20"/>
  <c r="T249" i="20" s="1"/>
  <c r="S249" i="20" s="1"/>
  <c r="R249" i="20" s="1"/>
  <c r="P249" i="20" s="1"/>
  <c r="V249" i="20" s="1"/>
  <c r="U281" i="20"/>
  <c r="T281" i="20" s="1"/>
  <c r="S281" i="20" s="1"/>
  <c r="R281" i="20" s="1"/>
  <c r="P281" i="20" s="1"/>
  <c r="V281" i="20" s="1"/>
  <c r="U313" i="20"/>
  <c r="T313" i="20" s="1"/>
  <c r="S313" i="20" s="1"/>
  <c r="R313" i="20" s="1"/>
  <c r="P313" i="20" s="1"/>
  <c r="V313" i="20" s="1"/>
  <c r="U345" i="20"/>
  <c r="T345" i="20" s="1"/>
  <c r="S345" i="20" s="1"/>
  <c r="R345" i="20" s="1"/>
  <c r="P345" i="20" s="1"/>
  <c r="V345" i="20" s="1"/>
  <c r="U377" i="20"/>
  <c r="T377" i="20" s="1"/>
  <c r="S377" i="20" s="1"/>
  <c r="R377" i="20" s="1"/>
  <c r="P377" i="20" s="1"/>
  <c r="V377" i="20" s="1"/>
  <c r="AI92" i="20"/>
  <c r="AH92" i="20" s="1"/>
  <c r="AG92" i="20" s="1"/>
  <c r="AF92" i="20" s="1"/>
  <c r="AD92" i="20" s="1"/>
  <c r="AI60" i="20"/>
  <c r="AH60" i="20" s="1"/>
  <c r="AG60" i="20" s="1"/>
  <c r="AF60" i="20" s="1"/>
  <c r="AD60" i="20" s="1"/>
  <c r="AI28" i="20"/>
  <c r="AH28" i="20" s="1"/>
  <c r="AG28" i="20" s="1"/>
  <c r="AF28" i="20" s="1"/>
  <c r="AD28" i="20" s="1"/>
  <c r="U370" i="20"/>
  <c r="T370" i="20" s="1"/>
  <c r="S370" i="20" s="1"/>
  <c r="R370" i="20" s="1"/>
  <c r="P370" i="20" s="1"/>
  <c r="V370" i="20" s="1"/>
  <c r="U354" i="20"/>
  <c r="T354" i="20" s="1"/>
  <c r="S354" i="20" s="1"/>
  <c r="R354" i="20" s="1"/>
  <c r="P354" i="20" s="1"/>
  <c r="V354" i="20" s="1"/>
  <c r="U338" i="20"/>
  <c r="T338" i="20" s="1"/>
  <c r="S338" i="20" s="1"/>
  <c r="R338" i="20" s="1"/>
  <c r="P338" i="20" s="1"/>
  <c r="V338" i="20" s="1"/>
  <c r="U322" i="20"/>
  <c r="T322" i="20" s="1"/>
  <c r="S322" i="20" s="1"/>
  <c r="R322" i="20" s="1"/>
  <c r="P322" i="20" s="1"/>
  <c r="V322" i="20" s="1"/>
  <c r="U306" i="20"/>
  <c r="T306" i="20" s="1"/>
  <c r="S306" i="20" s="1"/>
  <c r="R306" i="20" s="1"/>
  <c r="P306" i="20" s="1"/>
  <c r="V306" i="20" s="1"/>
  <c r="U290" i="20"/>
  <c r="T290" i="20" s="1"/>
  <c r="S290" i="20" s="1"/>
  <c r="R290" i="20" s="1"/>
  <c r="P290" i="20" s="1"/>
  <c r="V290" i="20" s="1"/>
  <c r="U274" i="20"/>
  <c r="T274" i="20" s="1"/>
  <c r="S274" i="20" s="1"/>
  <c r="R274" i="20" s="1"/>
  <c r="P274" i="20" s="1"/>
  <c r="V274" i="20" s="1"/>
  <c r="U258" i="20"/>
  <c r="T258" i="20" s="1"/>
  <c r="S258" i="20" s="1"/>
  <c r="R258" i="20" s="1"/>
  <c r="P258" i="20" s="1"/>
  <c r="V258" i="20" s="1"/>
  <c r="U234" i="20"/>
  <c r="T234" i="20" s="1"/>
  <c r="S234" i="20" s="1"/>
  <c r="R234" i="20" s="1"/>
  <c r="P234" i="20" s="1"/>
  <c r="V234" i="20" s="1"/>
  <c r="U202" i="20"/>
  <c r="T202" i="20" s="1"/>
  <c r="S202" i="20" s="1"/>
  <c r="R202" i="20" s="1"/>
  <c r="P202" i="20" s="1"/>
  <c r="V202" i="20" s="1"/>
  <c r="U170" i="20"/>
  <c r="T170" i="20" s="1"/>
  <c r="S170" i="20" s="1"/>
  <c r="R170" i="20" s="1"/>
  <c r="P170" i="20" s="1"/>
  <c r="V170" i="20" s="1"/>
  <c r="U138" i="20"/>
  <c r="T138" i="20" s="1"/>
  <c r="S138" i="20" s="1"/>
  <c r="R138" i="20" s="1"/>
  <c r="P138" i="20" s="1"/>
  <c r="V138" i="20" s="1"/>
  <c r="U106" i="20"/>
  <c r="T106" i="20" s="1"/>
  <c r="U74" i="20"/>
  <c r="T74" i="20" s="1"/>
  <c r="S74" i="20" s="1"/>
  <c r="R74" i="20" s="1"/>
  <c r="P74" i="20" s="1"/>
  <c r="V74" i="20" s="1"/>
  <c r="U42" i="20"/>
  <c r="T42" i="20" s="1"/>
  <c r="S42" i="20" s="1"/>
  <c r="R42" i="20" s="1"/>
  <c r="P42" i="20" s="1"/>
  <c r="V42" i="20" s="1"/>
  <c r="AI25" i="20"/>
  <c r="AH25" i="20" s="1"/>
  <c r="AG25" i="20" s="1"/>
  <c r="AF25" i="20" s="1"/>
  <c r="AI89" i="20"/>
  <c r="AH89" i="20" s="1"/>
  <c r="AG89" i="20" s="1"/>
  <c r="AF89" i="20" s="1"/>
  <c r="U335" i="20"/>
  <c r="T335" i="20" s="1"/>
  <c r="S335" i="20" s="1"/>
  <c r="R335" i="20" s="1"/>
  <c r="P335" i="20" s="1"/>
  <c r="V335" i="20" s="1"/>
  <c r="U211" i="20"/>
  <c r="T211" i="20" s="1"/>
  <c r="S211" i="20" s="1"/>
  <c r="R211" i="20" s="1"/>
  <c r="P211" i="20" s="1"/>
  <c r="V211" i="20" s="1"/>
  <c r="U242" i="20"/>
  <c r="T242" i="20" s="1"/>
  <c r="S242" i="20" s="1"/>
  <c r="R242" i="20" s="1"/>
  <c r="P242" i="20" s="1"/>
  <c r="V242" i="20" s="1"/>
  <c r="U226" i="20"/>
  <c r="T226" i="20" s="1"/>
  <c r="S226" i="20" s="1"/>
  <c r="R226" i="20" s="1"/>
  <c r="P226" i="20" s="1"/>
  <c r="V226" i="20" s="1"/>
  <c r="U210" i="20"/>
  <c r="T210" i="20" s="1"/>
  <c r="S210" i="20" s="1"/>
  <c r="R210" i="20" s="1"/>
  <c r="P210" i="20" s="1"/>
  <c r="AH26" i="7" s="1"/>
  <c r="U194" i="20"/>
  <c r="T194" i="20" s="1"/>
  <c r="S194" i="20" s="1"/>
  <c r="R194" i="20" s="1"/>
  <c r="P194" i="20" s="1"/>
  <c r="V194" i="20" s="1"/>
  <c r="U178" i="20"/>
  <c r="T178" i="20" s="1"/>
  <c r="S178" i="20" s="1"/>
  <c r="R178" i="20" s="1"/>
  <c r="P178" i="20" s="1"/>
  <c r="V178" i="20" s="1"/>
  <c r="U162" i="20"/>
  <c r="T162" i="20" s="1"/>
  <c r="S162" i="20" s="1"/>
  <c r="R162" i="20" s="1"/>
  <c r="P162" i="20" s="1"/>
  <c r="V162" i="20" s="1"/>
  <c r="U146" i="20"/>
  <c r="T146" i="20" s="1"/>
  <c r="S146" i="20" s="1"/>
  <c r="R146" i="20" s="1"/>
  <c r="P146" i="20" s="1"/>
  <c r="V146" i="20" s="1"/>
  <c r="U130" i="20"/>
  <c r="T130" i="20" s="1"/>
  <c r="S130" i="20" s="1"/>
  <c r="R130" i="20" s="1"/>
  <c r="P130" i="20" s="1"/>
  <c r="V130" i="20" s="1"/>
  <c r="U114" i="20"/>
  <c r="T114" i="20" s="1"/>
  <c r="S114" i="20" s="1"/>
  <c r="R114" i="20" s="1"/>
  <c r="P114" i="20" s="1"/>
  <c r="V114" i="20" s="1"/>
  <c r="U98" i="20"/>
  <c r="T98" i="20" s="1"/>
  <c r="S98" i="20" s="1"/>
  <c r="R98" i="20" s="1"/>
  <c r="P98" i="20" s="1"/>
  <c r="V98" i="20" s="1"/>
  <c r="U82" i="20"/>
  <c r="T82" i="20" s="1"/>
  <c r="S82" i="20" s="1"/>
  <c r="R82" i="20" s="1"/>
  <c r="P82" i="20" s="1"/>
  <c r="V82" i="20" s="1"/>
  <c r="U66" i="20"/>
  <c r="T66" i="20" s="1"/>
  <c r="S66" i="20" s="1"/>
  <c r="R66" i="20" s="1"/>
  <c r="P66" i="20" s="1"/>
  <c r="V66" i="20" s="1"/>
  <c r="U50" i="20"/>
  <c r="T50" i="20" s="1"/>
  <c r="S50" i="20" s="1"/>
  <c r="R50" i="20" s="1"/>
  <c r="P50" i="20" s="1"/>
  <c r="V50" i="20" s="1"/>
  <c r="U34" i="20"/>
  <c r="T34" i="20" s="1"/>
  <c r="S34" i="20" s="1"/>
  <c r="R34" i="20" s="1"/>
  <c r="P34" i="20" s="1"/>
  <c r="V34" i="20" s="1"/>
  <c r="U20" i="20"/>
  <c r="T20" i="20" s="1"/>
  <c r="S20" i="20" s="1"/>
  <c r="R20" i="20" s="1"/>
  <c r="P20" i="20" s="1"/>
  <c r="V20" i="20" s="1"/>
  <c r="AI41" i="20"/>
  <c r="AH41" i="20" s="1"/>
  <c r="AG41" i="20" s="1"/>
  <c r="AF41" i="20" s="1"/>
  <c r="AI73" i="20"/>
  <c r="AH73" i="20" s="1"/>
  <c r="AG73" i="20" s="1"/>
  <c r="AF73" i="20" s="1"/>
  <c r="AI16" i="7"/>
  <c r="U207" i="20"/>
  <c r="T207" i="20" s="1"/>
  <c r="S207" i="20" s="1"/>
  <c r="R207" i="20" s="1"/>
  <c r="P207" i="20" s="1"/>
  <c r="V207" i="20" s="1"/>
  <c r="AI58" i="20"/>
  <c r="AH58" i="20" s="1"/>
  <c r="AG58" i="20" s="1"/>
  <c r="AF58" i="20" s="1"/>
  <c r="AD58" i="20" s="1"/>
  <c r="U339" i="20"/>
  <c r="T339" i="20" s="1"/>
  <c r="S339" i="20" s="1"/>
  <c r="R339" i="20" s="1"/>
  <c r="P339" i="20" s="1"/>
  <c r="V339" i="20" s="1"/>
  <c r="U83" i="20"/>
  <c r="T83" i="20" s="1"/>
  <c r="S83" i="20" s="1"/>
  <c r="R83" i="20" s="1"/>
  <c r="P83" i="20" s="1"/>
  <c r="V83" i="20" s="1"/>
  <c r="AD371" i="20"/>
  <c r="AD307" i="20"/>
  <c r="U275" i="20"/>
  <c r="T275" i="20" s="1"/>
  <c r="S275" i="20" s="1"/>
  <c r="R275" i="20" s="1"/>
  <c r="P275" i="20" s="1"/>
  <c r="V275" i="20" s="1"/>
  <c r="U147" i="20"/>
  <c r="T147" i="20" s="1"/>
  <c r="S147" i="20" s="1"/>
  <c r="R147" i="20" s="1"/>
  <c r="P147" i="20" s="1"/>
  <c r="V147" i="20" s="1"/>
  <c r="AI11" i="20"/>
  <c r="AI103" i="20"/>
  <c r="AH103" i="20" s="1"/>
  <c r="AG103" i="20" s="1"/>
  <c r="AF103" i="20" s="1"/>
  <c r="AD103" i="20" s="1"/>
  <c r="AI39" i="20"/>
  <c r="AH39" i="20" s="1"/>
  <c r="AG39" i="20" s="1"/>
  <c r="AF39" i="20" s="1"/>
  <c r="AD39" i="20" s="1"/>
  <c r="U35" i="20"/>
  <c r="T35" i="20" s="1"/>
  <c r="S35" i="20" s="1"/>
  <c r="R35" i="20" s="1"/>
  <c r="P35" i="20" s="1"/>
  <c r="V35" i="20" s="1"/>
  <c r="U67" i="20"/>
  <c r="T67" i="20" s="1"/>
  <c r="S67" i="20" s="1"/>
  <c r="R67" i="20" s="1"/>
  <c r="P67" i="20" s="1"/>
  <c r="V67" i="20" s="1"/>
  <c r="U99" i="20"/>
  <c r="T99" i="20" s="1"/>
  <c r="S99" i="20" s="1"/>
  <c r="R99" i="20" s="1"/>
  <c r="P99" i="20" s="1"/>
  <c r="V99" i="20" s="1"/>
  <c r="U131" i="20"/>
  <c r="T131" i="20" s="1"/>
  <c r="S131" i="20" s="1"/>
  <c r="R131" i="20" s="1"/>
  <c r="P131" i="20" s="1"/>
  <c r="V131" i="20" s="1"/>
  <c r="U163" i="20"/>
  <c r="T163" i="20" s="1"/>
  <c r="S163" i="20" s="1"/>
  <c r="R163" i="20" s="1"/>
  <c r="P163" i="20" s="1"/>
  <c r="V163" i="20" s="1"/>
  <c r="U195" i="20"/>
  <c r="T195" i="20" s="1"/>
  <c r="S195" i="20" s="1"/>
  <c r="R195" i="20" s="1"/>
  <c r="P195" i="20" s="1"/>
  <c r="V195" i="20" s="1"/>
  <c r="U227" i="20"/>
  <c r="T227" i="20" s="1"/>
  <c r="S227" i="20" s="1"/>
  <c r="R227" i="20" s="1"/>
  <c r="P227" i="20" s="1"/>
  <c r="V227" i="20" s="1"/>
  <c r="U259" i="20"/>
  <c r="T259" i="20" s="1"/>
  <c r="S259" i="20" s="1"/>
  <c r="R259" i="20" s="1"/>
  <c r="P259" i="20" s="1"/>
  <c r="V259" i="20" s="1"/>
  <c r="U291" i="20"/>
  <c r="T291" i="20" s="1"/>
  <c r="S291" i="20" s="1"/>
  <c r="R291" i="20" s="1"/>
  <c r="P291" i="20" s="1"/>
  <c r="V291" i="20" s="1"/>
  <c r="U323" i="20"/>
  <c r="T323" i="20" s="1"/>
  <c r="S323" i="20" s="1"/>
  <c r="R323" i="20" s="1"/>
  <c r="P323" i="20" s="1"/>
  <c r="V323" i="20" s="1"/>
  <c r="U355" i="20"/>
  <c r="T355" i="20" s="1"/>
  <c r="S355" i="20" s="1"/>
  <c r="R355" i="20" s="1"/>
  <c r="P355" i="20" s="1"/>
  <c r="V355" i="20" s="1"/>
  <c r="AI42" i="20"/>
  <c r="AH42" i="20" s="1"/>
  <c r="AG42" i="20" s="1"/>
  <c r="AF42" i="20" s="1"/>
  <c r="AD42" i="20" s="1"/>
  <c r="AI74" i="20"/>
  <c r="AH74" i="20" s="1"/>
  <c r="AG74" i="20" s="1"/>
  <c r="AF74" i="20" s="1"/>
  <c r="AD74" i="20" s="1"/>
  <c r="U367" i="20"/>
  <c r="T367" i="20" s="1"/>
  <c r="S367" i="20" s="1"/>
  <c r="R367" i="20" s="1"/>
  <c r="P367" i="20" s="1"/>
  <c r="V367" i="20" s="1"/>
  <c r="U303" i="20"/>
  <c r="T303" i="20" s="1"/>
  <c r="S303" i="20" s="1"/>
  <c r="R303" i="20" s="1"/>
  <c r="P303" i="20" s="1"/>
  <c r="V303" i="20" s="1"/>
  <c r="U239" i="20"/>
  <c r="T239" i="20" s="1"/>
  <c r="S239" i="20" s="1"/>
  <c r="R239" i="20" s="1"/>
  <c r="P239" i="20" s="1"/>
  <c r="V239" i="20" s="1"/>
  <c r="U175" i="20"/>
  <c r="T175" i="20" s="1"/>
  <c r="S175" i="20" s="1"/>
  <c r="R175" i="20" s="1"/>
  <c r="P175" i="20" s="1"/>
  <c r="V175" i="20" s="1"/>
  <c r="U111" i="20"/>
  <c r="T111" i="20" s="1"/>
  <c r="S111" i="20" s="1"/>
  <c r="R111" i="20" s="1"/>
  <c r="P111" i="20" s="1"/>
  <c r="V111" i="20" s="1"/>
  <c r="U47" i="20"/>
  <c r="T47" i="20" s="1"/>
  <c r="S47" i="20" s="1"/>
  <c r="R47" i="20" s="1"/>
  <c r="P47" i="20" s="1"/>
  <c r="V47" i="20" s="1"/>
  <c r="AI47" i="20"/>
  <c r="AH47" i="20" s="1"/>
  <c r="AG47" i="20" s="1"/>
  <c r="AF47" i="20" s="1"/>
  <c r="AD47" i="20" s="1"/>
  <c r="AI101" i="20"/>
  <c r="AH101" i="20" s="1"/>
  <c r="AG101" i="20" s="1"/>
  <c r="AF101" i="20" s="1"/>
  <c r="AI93" i="20"/>
  <c r="AH93" i="20" s="1"/>
  <c r="AI85" i="20"/>
  <c r="AH85" i="20" s="1"/>
  <c r="AG85" i="20" s="1"/>
  <c r="AF85" i="20" s="1"/>
  <c r="AI77" i="20"/>
  <c r="AH77" i="20" s="1"/>
  <c r="AI69" i="20"/>
  <c r="AH69" i="20" s="1"/>
  <c r="AG69" i="20" s="1"/>
  <c r="AF69" i="20" s="1"/>
  <c r="AI61" i="20"/>
  <c r="AH61" i="20" s="1"/>
  <c r="AI53" i="20"/>
  <c r="AH53" i="20" s="1"/>
  <c r="AG53" i="20" s="1"/>
  <c r="AF53" i="20" s="1"/>
  <c r="AI45" i="20"/>
  <c r="AH45" i="20" s="1"/>
  <c r="AG45" i="20" s="1"/>
  <c r="AF45" i="20" s="1"/>
  <c r="AI37" i="20"/>
  <c r="AH37" i="20" s="1"/>
  <c r="AG37" i="20" s="1"/>
  <c r="AF37" i="20" s="1"/>
  <c r="AI29" i="20"/>
  <c r="AH29" i="20" s="1"/>
  <c r="AG29" i="20" s="1"/>
  <c r="AF29" i="20" s="1"/>
  <c r="AI19" i="20"/>
  <c r="AH19" i="20" s="1"/>
  <c r="AG19" i="20" s="1"/>
  <c r="AF19" i="20" s="1"/>
  <c r="U19" i="20"/>
  <c r="T19" i="20" s="1"/>
  <c r="U17" i="20"/>
  <c r="T17" i="20" s="1"/>
  <c r="S17" i="20" s="1"/>
  <c r="R17" i="20" s="1"/>
  <c r="P17" i="20" s="1"/>
  <c r="V17" i="20" s="1"/>
  <c r="U24" i="20"/>
  <c r="T24" i="20" s="1"/>
  <c r="S24" i="20" s="1"/>
  <c r="R24" i="20" s="1"/>
  <c r="U28" i="20"/>
  <c r="T28" i="20" s="1"/>
  <c r="S28" i="20" s="1"/>
  <c r="R28" i="20" s="1"/>
  <c r="P28" i="20" s="1"/>
  <c r="V28" i="20" s="1"/>
  <c r="U32" i="20"/>
  <c r="T32" i="20" s="1"/>
  <c r="S32" i="20" s="1"/>
  <c r="R32" i="20" s="1"/>
  <c r="P32" i="20" s="1"/>
  <c r="V32" i="20" s="1"/>
  <c r="U36" i="20"/>
  <c r="T36" i="20" s="1"/>
  <c r="S36" i="20" s="1"/>
  <c r="R36" i="20" s="1"/>
  <c r="P36" i="20" s="1"/>
  <c r="V36" i="20" s="1"/>
  <c r="U40" i="20"/>
  <c r="T40" i="20" s="1"/>
  <c r="S40" i="20" s="1"/>
  <c r="R40" i="20" s="1"/>
  <c r="P40" i="20" s="1"/>
  <c r="V40" i="20" s="1"/>
  <c r="U44" i="20"/>
  <c r="T44" i="20" s="1"/>
  <c r="S44" i="20" s="1"/>
  <c r="R44" i="20" s="1"/>
  <c r="P44" i="20" s="1"/>
  <c r="V44" i="20" s="1"/>
  <c r="U48" i="20"/>
  <c r="T48" i="20" s="1"/>
  <c r="S48" i="20" s="1"/>
  <c r="R48" i="20" s="1"/>
  <c r="P48" i="20" s="1"/>
  <c r="V48" i="20" s="1"/>
  <c r="U52" i="20"/>
  <c r="T52" i="20" s="1"/>
  <c r="S52" i="20" s="1"/>
  <c r="R52" i="20" s="1"/>
  <c r="P52" i="20" s="1"/>
  <c r="V52" i="20" s="1"/>
  <c r="U56" i="20"/>
  <c r="T56" i="20" s="1"/>
  <c r="S56" i="20" s="1"/>
  <c r="R56" i="20" s="1"/>
  <c r="P56" i="20" s="1"/>
  <c r="V56" i="20" s="1"/>
  <c r="U60" i="20"/>
  <c r="T60" i="20" s="1"/>
  <c r="S60" i="20" s="1"/>
  <c r="R60" i="20" s="1"/>
  <c r="P60" i="20" s="1"/>
  <c r="AH21" i="7" s="1"/>
  <c r="U64" i="20"/>
  <c r="T64" i="20" s="1"/>
  <c r="S64" i="20" s="1"/>
  <c r="R64" i="20" s="1"/>
  <c r="P64" i="20" s="1"/>
  <c r="V64" i="20" s="1"/>
  <c r="U68" i="20"/>
  <c r="T68" i="20" s="1"/>
  <c r="S68" i="20" s="1"/>
  <c r="R68" i="20" s="1"/>
  <c r="P68" i="20" s="1"/>
  <c r="V68" i="20" s="1"/>
  <c r="U72" i="20"/>
  <c r="T72" i="20" s="1"/>
  <c r="S72" i="20" s="1"/>
  <c r="R72" i="20" s="1"/>
  <c r="U76" i="20"/>
  <c r="T76" i="20" s="1"/>
  <c r="S76" i="20" s="1"/>
  <c r="R76" i="20" s="1"/>
  <c r="P76" i="20" s="1"/>
  <c r="V76" i="20" s="1"/>
  <c r="U80" i="20"/>
  <c r="T80" i="20" s="1"/>
  <c r="S80" i="20" s="1"/>
  <c r="R80" i="20" s="1"/>
  <c r="P80" i="20" s="1"/>
  <c r="V80" i="20" s="1"/>
  <c r="U84" i="20"/>
  <c r="T84" i="20" s="1"/>
  <c r="S84" i="20" s="1"/>
  <c r="R84" i="20" s="1"/>
  <c r="P84" i="20" s="1"/>
  <c r="V84" i="20" s="1"/>
  <c r="U88" i="20"/>
  <c r="T88" i="20" s="1"/>
  <c r="S88" i="20" s="1"/>
  <c r="R88" i="20" s="1"/>
  <c r="U92" i="20"/>
  <c r="T92" i="20" s="1"/>
  <c r="S92" i="20" s="1"/>
  <c r="R92" i="20" s="1"/>
  <c r="P92" i="20" s="1"/>
  <c r="V92" i="20" s="1"/>
  <c r="U96" i="20"/>
  <c r="T96" i="20" s="1"/>
  <c r="S96" i="20" s="1"/>
  <c r="R96" i="20" s="1"/>
  <c r="P96" i="20" s="1"/>
  <c r="V96" i="20" s="1"/>
  <c r="U100" i="20"/>
  <c r="T100" i="20" s="1"/>
  <c r="S100" i="20" s="1"/>
  <c r="R100" i="20" s="1"/>
  <c r="U104" i="20"/>
  <c r="T104" i="20" s="1"/>
  <c r="S104" i="20" s="1"/>
  <c r="R104" i="20" s="1"/>
  <c r="P104" i="20" s="1"/>
  <c r="V104" i="20" s="1"/>
  <c r="U108" i="20"/>
  <c r="T108" i="20" s="1"/>
  <c r="S108" i="20" s="1"/>
  <c r="R108" i="20" s="1"/>
  <c r="P108" i="20" s="1"/>
  <c r="V108" i="20" s="1"/>
  <c r="U112" i="20"/>
  <c r="T112" i="20" s="1"/>
  <c r="S112" i="20" s="1"/>
  <c r="R112" i="20" s="1"/>
  <c r="P112" i="20" s="1"/>
  <c r="V112" i="20" s="1"/>
  <c r="U116" i="20"/>
  <c r="T116" i="20" s="1"/>
  <c r="S116" i="20" s="1"/>
  <c r="R116" i="20" s="1"/>
  <c r="P116" i="20" s="1"/>
  <c r="V116" i="20" s="1"/>
  <c r="U120" i="20"/>
  <c r="T120" i="20" s="1"/>
  <c r="S120" i="20" s="1"/>
  <c r="R120" i="20" s="1"/>
  <c r="P120" i="20" s="1"/>
  <c r="V120" i="20" s="1"/>
  <c r="U124" i="20"/>
  <c r="T124" i="20" s="1"/>
  <c r="S124" i="20" s="1"/>
  <c r="R124" i="20" s="1"/>
  <c r="P124" i="20" s="1"/>
  <c r="V124" i="20" s="1"/>
  <c r="U128" i="20"/>
  <c r="T128" i="20" s="1"/>
  <c r="S128" i="20" s="1"/>
  <c r="R128" i="20" s="1"/>
  <c r="P128" i="20" s="1"/>
  <c r="V128" i="20" s="1"/>
  <c r="U132" i="20"/>
  <c r="T132" i="20" s="1"/>
  <c r="S132" i="20" s="1"/>
  <c r="R132" i="20" s="1"/>
  <c r="P132" i="20" s="1"/>
  <c r="V132" i="20" s="1"/>
  <c r="U136" i="20"/>
  <c r="T136" i="20" s="1"/>
  <c r="S136" i="20" s="1"/>
  <c r="R136" i="20" s="1"/>
  <c r="P136" i="20" s="1"/>
  <c r="V136" i="20" s="1"/>
  <c r="U140" i="20"/>
  <c r="T140" i="20" s="1"/>
  <c r="S140" i="20" s="1"/>
  <c r="R140" i="20" s="1"/>
  <c r="P140" i="20" s="1"/>
  <c r="V140" i="20" s="1"/>
  <c r="U144" i="20"/>
  <c r="T144" i="20" s="1"/>
  <c r="S144" i="20" s="1"/>
  <c r="R144" i="20" s="1"/>
  <c r="P144" i="20" s="1"/>
  <c r="V144" i="20" s="1"/>
  <c r="U148" i="20"/>
  <c r="T148" i="20" s="1"/>
  <c r="S148" i="20" s="1"/>
  <c r="R148" i="20" s="1"/>
  <c r="P148" i="20" s="1"/>
  <c r="V148" i="20" s="1"/>
  <c r="U152" i="20"/>
  <c r="T152" i="20" s="1"/>
  <c r="S152" i="20" s="1"/>
  <c r="R152" i="20" s="1"/>
  <c r="P152" i="20" s="1"/>
  <c r="V152" i="20" s="1"/>
  <c r="U156" i="20"/>
  <c r="T156" i="20" s="1"/>
  <c r="S156" i="20" s="1"/>
  <c r="R156" i="20" s="1"/>
  <c r="P156" i="20" s="1"/>
  <c r="V156" i="20" s="1"/>
  <c r="U160" i="20"/>
  <c r="T160" i="20" s="1"/>
  <c r="S160" i="20" s="1"/>
  <c r="R160" i="20" s="1"/>
  <c r="P160" i="20" s="1"/>
  <c r="V160" i="20" s="1"/>
  <c r="U164" i="20"/>
  <c r="T164" i="20" s="1"/>
  <c r="S164" i="20" s="1"/>
  <c r="R164" i="20" s="1"/>
  <c r="P164" i="20" s="1"/>
  <c r="V164" i="20" s="1"/>
  <c r="U168" i="20"/>
  <c r="T168" i="20" s="1"/>
  <c r="S168" i="20" s="1"/>
  <c r="R168" i="20" s="1"/>
  <c r="P168" i="20" s="1"/>
  <c r="V168" i="20" s="1"/>
  <c r="U172" i="20"/>
  <c r="T172" i="20" s="1"/>
  <c r="S172" i="20" s="1"/>
  <c r="R172" i="20" s="1"/>
  <c r="P172" i="20" s="1"/>
  <c r="V172" i="20" s="1"/>
  <c r="U176" i="20"/>
  <c r="T176" i="20" s="1"/>
  <c r="S176" i="20" s="1"/>
  <c r="R176" i="20" s="1"/>
  <c r="P176" i="20" s="1"/>
  <c r="V176" i="20" s="1"/>
  <c r="U180" i="20"/>
  <c r="T180" i="20" s="1"/>
  <c r="S180" i="20" s="1"/>
  <c r="R180" i="20" s="1"/>
  <c r="P180" i="20" s="1"/>
  <c r="AH25" i="7" s="1"/>
  <c r="U184" i="20"/>
  <c r="T184" i="20" s="1"/>
  <c r="S184" i="20" s="1"/>
  <c r="R184" i="20" s="1"/>
  <c r="P184" i="20" s="1"/>
  <c r="V184" i="20" s="1"/>
  <c r="U188" i="20"/>
  <c r="T188" i="20" s="1"/>
  <c r="S188" i="20" s="1"/>
  <c r="R188" i="20" s="1"/>
  <c r="P188" i="20" s="1"/>
  <c r="V188" i="20" s="1"/>
  <c r="U192" i="20"/>
  <c r="T192" i="20" s="1"/>
  <c r="S192" i="20" s="1"/>
  <c r="R192" i="20" s="1"/>
  <c r="P192" i="20" s="1"/>
  <c r="V192" i="20" s="1"/>
  <c r="U196" i="20"/>
  <c r="T196" i="20" s="1"/>
  <c r="S196" i="20" s="1"/>
  <c r="R196" i="20" s="1"/>
  <c r="P196" i="20" s="1"/>
  <c r="V196" i="20" s="1"/>
  <c r="U200" i="20"/>
  <c r="T200" i="20" s="1"/>
  <c r="S200" i="20" s="1"/>
  <c r="R200" i="20" s="1"/>
  <c r="P200" i="20" s="1"/>
  <c r="V200" i="20" s="1"/>
  <c r="U204" i="20"/>
  <c r="T204" i="20" s="1"/>
  <c r="S204" i="20" s="1"/>
  <c r="R204" i="20" s="1"/>
  <c r="P204" i="20" s="1"/>
  <c r="V204" i="20" s="1"/>
  <c r="U208" i="20"/>
  <c r="T208" i="20" s="1"/>
  <c r="S208" i="20" s="1"/>
  <c r="R208" i="20" s="1"/>
  <c r="P208" i="20" s="1"/>
  <c r="V208" i="20" s="1"/>
  <c r="U212" i="20"/>
  <c r="T212" i="20" s="1"/>
  <c r="S212" i="20" s="1"/>
  <c r="R212" i="20" s="1"/>
  <c r="P212" i="20" s="1"/>
  <c r="V212" i="20" s="1"/>
  <c r="U216" i="20"/>
  <c r="T216" i="20" s="1"/>
  <c r="S216" i="20" s="1"/>
  <c r="R216" i="20" s="1"/>
  <c r="P216" i="20" s="1"/>
  <c r="V216" i="20" s="1"/>
  <c r="U220" i="20"/>
  <c r="T220" i="20" s="1"/>
  <c r="S220" i="20" s="1"/>
  <c r="R220" i="20" s="1"/>
  <c r="P220" i="20" s="1"/>
  <c r="V220" i="20" s="1"/>
  <c r="U224" i="20"/>
  <c r="T224" i="20" s="1"/>
  <c r="S224" i="20" s="1"/>
  <c r="R224" i="20" s="1"/>
  <c r="P224" i="20" s="1"/>
  <c r="V224" i="20" s="1"/>
  <c r="U228" i="20"/>
  <c r="T228" i="20" s="1"/>
  <c r="S228" i="20" s="1"/>
  <c r="R228" i="20" s="1"/>
  <c r="P228" i="20" s="1"/>
  <c r="V228" i="20" s="1"/>
  <c r="U232" i="20"/>
  <c r="T232" i="20" s="1"/>
  <c r="S232" i="20" s="1"/>
  <c r="R232" i="20" s="1"/>
  <c r="P232" i="20" s="1"/>
  <c r="V232" i="20" s="1"/>
  <c r="U236" i="20"/>
  <c r="T236" i="20" s="1"/>
  <c r="S236" i="20" s="1"/>
  <c r="R236" i="20" s="1"/>
  <c r="P236" i="20" s="1"/>
  <c r="V236" i="20" s="1"/>
  <c r="U240" i="20"/>
  <c r="T240" i="20" s="1"/>
  <c r="S240" i="20" s="1"/>
  <c r="R240" i="20" s="1"/>
  <c r="P240" i="20" s="1"/>
  <c r="V240" i="20" s="1"/>
  <c r="U244" i="20"/>
  <c r="T244" i="20" s="1"/>
  <c r="S244" i="20" s="1"/>
  <c r="R244" i="20" s="1"/>
  <c r="P244" i="20" s="1"/>
  <c r="V244" i="20" s="1"/>
  <c r="U248" i="20"/>
  <c r="T248" i="20" s="1"/>
  <c r="S248" i="20" s="1"/>
  <c r="R248" i="20" s="1"/>
  <c r="P248" i="20" s="1"/>
  <c r="V248" i="20" s="1"/>
  <c r="U252" i="20"/>
  <c r="T252" i="20" s="1"/>
  <c r="S252" i="20" s="1"/>
  <c r="R252" i="20" s="1"/>
  <c r="P252" i="20" s="1"/>
  <c r="V252" i="20" s="1"/>
  <c r="U256" i="20"/>
  <c r="T256" i="20" s="1"/>
  <c r="S256" i="20" s="1"/>
  <c r="R256" i="20" s="1"/>
  <c r="P256" i="20" s="1"/>
  <c r="V256" i="20" s="1"/>
  <c r="U260" i="20"/>
  <c r="T260" i="20" s="1"/>
  <c r="S260" i="20" s="1"/>
  <c r="R260" i="20" s="1"/>
  <c r="P260" i="20" s="1"/>
  <c r="V260" i="20" s="1"/>
  <c r="U264" i="20"/>
  <c r="T264" i="20" s="1"/>
  <c r="S264" i="20" s="1"/>
  <c r="R264" i="20" s="1"/>
  <c r="P264" i="20" s="1"/>
  <c r="V264" i="20" s="1"/>
  <c r="U268" i="20"/>
  <c r="T268" i="20" s="1"/>
  <c r="S268" i="20" s="1"/>
  <c r="R268" i="20" s="1"/>
  <c r="P268" i="20" s="1"/>
  <c r="V268" i="20" s="1"/>
  <c r="U272" i="20"/>
  <c r="T272" i="20" s="1"/>
  <c r="S272" i="20" s="1"/>
  <c r="R272" i="20" s="1"/>
  <c r="P272" i="20" s="1"/>
  <c r="U276" i="20"/>
  <c r="T276" i="20" s="1"/>
  <c r="S276" i="20" s="1"/>
  <c r="R276" i="20" s="1"/>
  <c r="P276" i="20" s="1"/>
  <c r="V276" i="20" s="1"/>
  <c r="U280" i="20"/>
  <c r="T280" i="20" s="1"/>
  <c r="S280" i="20" s="1"/>
  <c r="R280" i="20" s="1"/>
  <c r="P280" i="20" s="1"/>
  <c r="V280" i="20" s="1"/>
  <c r="U284" i="20"/>
  <c r="T284" i="20" s="1"/>
  <c r="S284" i="20" s="1"/>
  <c r="R284" i="20" s="1"/>
  <c r="P284" i="20" s="1"/>
  <c r="V284" i="20" s="1"/>
  <c r="U288" i="20"/>
  <c r="T288" i="20" s="1"/>
  <c r="S288" i="20" s="1"/>
  <c r="R288" i="20" s="1"/>
  <c r="P288" i="20" s="1"/>
  <c r="V288" i="20" s="1"/>
  <c r="U292" i="20"/>
  <c r="T292" i="20" s="1"/>
  <c r="S292" i="20" s="1"/>
  <c r="R292" i="20" s="1"/>
  <c r="P292" i="20" s="1"/>
  <c r="V292" i="20" s="1"/>
  <c r="U296" i="20"/>
  <c r="T296" i="20" s="1"/>
  <c r="S296" i="20" s="1"/>
  <c r="R296" i="20" s="1"/>
  <c r="P296" i="20" s="1"/>
  <c r="V296" i="20" s="1"/>
  <c r="U300" i="20"/>
  <c r="T300" i="20" s="1"/>
  <c r="S300" i="20" s="1"/>
  <c r="R300" i="20" s="1"/>
  <c r="P300" i="20" s="1"/>
  <c r="V300" i="20" s="1"/>
  <c r="U304" i="20"/>
  <c r="T304" i="20" s="1"/>
  <c r="S304" i="20" s="1"/>
  <c r="R304" i="20" s="1"/>
  <c r="P304" i="20" s="1"/>
  <c r="V304" i="20" s="1"/>
  <c r="U308" i="20"/>
  <c r="T308" i="20" s="1"/>
  <c r="S308" i="20" s="1"/>
  <c r="R308" i="20" s="1"/>
  <c r="P308" i="20" s="1"/>
  <c r="V308" i="20" s="1"/>
  <c r="U312" i="20"/>
  <c r="T312" i="20" s="1"/>
  <c r="S312" i="20" s="1"/>
  <c r="R312" i="20" s="1"/>
  <c r="P312" i="20" s="1"/>
  <c r="V312" i="20" s="1"/>
  <c r="U316" i="20"/>
  <c r="T316" i="20" s="1"/>
  <c r="S316" i="20" s="1"/>
  <c r="R316" i="20" s="1"/>
  <c r="P316" i="20" s="1"/>
  <c r="V316" i="20" s="1"/>
  <c r="U320" i="20"/>
  <c r="T320" i="20" s="1"/>
  <c r="S320" i="20" s="1"/>
  <c r="R320" i="20" s="1"/>
  <c r="P320" i="20" s="1"/>
  <c r="V320" i="20" s="1"/>
  <c r="U324" i="20"/>
  <c r="T324" i="20" s="1"/>
  <c r="S324" i="20" s="1"/>
  <c r="R324" i="20" s="1"/>
  <c r="P324" i="20" s="1"/>
  <c r="V324" i="20" s="1"/>
  <c r="U328" i="20"/>
  <c r="T328" i="20" s="1"/>
  <c r="S328" i="20" s="1"/>
  <c r="R328" i="20" s="1"/>
  <c r="P328" i="20" s="1"/>
  <c r="V328" i="20" s="1"/>
  <c r="U332" i="20"/>
  <c r="T332" i="20" s="1"/>
  <c r="S332" i="20" s="1"/>
  <c r="R332" i="20" s="1"/>
  <c r="P332" i="20" s="1"/>
  <c r="V332" i="20" s="1"/>
  <c r="U336" i="20"/>
  <c r="T336" i="20" s="1"/>
  <c r="S336" i="20" s="1"/>
  <c r="R336" i="20" s="1"/>
  <c r="P336" i="20" s="1"/>
  <c r="V336" i="20" s="1"/>
  <c r="U340" i="20"/>
  <c r="T340" i="20" s="1"/>
  <c r="S340" i="20" s="1"/>
  <c r="R340" i="20" s="1"/>
  <c r="P340" i="20" s="1"/>
  <c r="V340" i="20" s="1"/>
  <c r="U344" i="20"/>
  <c r="T344" i="20" s="1"/>
  <c r="S344" i="20" s="1"/>
  <c r="R344" i="20" s="1"/>
  <c r="P344" i="20" s="1"/>
  <c r="V344" i="20" s="1"/>
  <c r="U348" i="20"/>
  <c r="T348" i="20" s="1"/>
  <c r="S348" i="20" s="1"/>
  <c r="R348" i="20" s="1"/>
  <c r="P348" i="20" s="1"/>
  <c r="V348" i="20" s="1"/>
  <c r="U352" i="20"/>
  <c r="T352" i="20" s="1"/>
  <c r="S352" i="20" s="1"/>
  <c r="R352" i="20" s="1"/>
  <c r="P352" i="20" s="1"/>
  <c r="V352" i="20" s="1"/>
  <c r="U356" i="20"/>
  <c r="T356" i="20" s="1"/>
  <c r="S356" i="20" s="1"/>
  <c r="R356" i="20" s="1"/>
  <c r="P356" i="20" s="1"/>
  <c r="V356" i="20" s="1"/>
  <c r="U360" i="20"/>
  <c r="T360" i="20" s="1"/>
  <c r="S360" i="20" s="1"/>
  <c r="R360" i="20" s="1"/>
  <c r="P360" i="20" s="1"/>
  <c r="V360" i="20" s="1"/>
  <c r="U364" i="20"/>
  <c r="T364" i="20" s="1"/>
  <c r="S364" i="20" s="1"/>
  <c r="R364" i="20" s="1"/>
  <c r="P364" i="20" s="1"/>
  <c r="V364" i="20" s="1"/>
  <c r="U368" i="20"/>
  <c r="T368" i="20" s="1"/>
  <c r="S368" i="20" s="1"/>
  <c r="R368" i="20" s="1"/>
  <c r="P368" i="20" s="1"/>
  <c r="V368" i="20" s="1"/>
  <c r="U372" i="20"/>
  <c r="T372" i="20" s="1"/>
  <c r="S372" i="20" s="1"/>
  <c r="R372" i="20" s="1"/>
  <c r="P372" i="20" s="1"/>
  <c r="V372" i="20" s="1"/>
  <c r="U376" i="20"/>
  <c r="T376" i="20" s="1"/>
  <c r="S376" i="20" s="1"/>
  <c r="R376" i="20" s="1"/>
  <c r="P376" i="20" s="1"/>
  <c r="V376" i="20" s="1"/>
  <c r="AI18" i="20"/>
  <c r="AH18" i="20" s="1"/>
  <c r="AG18" i="20" s="1"/>
  <c r="AF18" i="20" s="1"/>
  <c r="AD18" i="20" s="1"/>
  <c r="AI24" i="20"/>
  <c r="AH24" i="20" s="1"/>
  <c r="AG24" i="20" s="1"/>
  <c r="AF24" i="20" s="1"/>
  <c r="AD24" i="20" s="1"/>
  <c r="AI32" i="20"/>
  <c r="AH32" i="20" s="1"/>
  <c r="AG32" i="20" s="1"/>
  <c r="AF32" i="20" s="1"/>
  <c r="AD32" i="20" s="1"/>
  <c r="AI40" i="20"/>
  <c r="AH40" i="20" s="1"/>
  <c r="AG40" i="20" s="1"/>
  <c r="AF40" i="20" s="1"/>
  <c r="AD40" i="20" s="1"/>
  <c r="AI48" i="20"/>
  <c r="AH48" i="20" s="1"/>
  <c r="AG48" i="20" s="1"/>
  <c r="AF48" i="20" s="1"/>
  <c r="AD48" i="20" s="1"/>
  <c r="AI56" i="20"/>
  <c r="AH56" i="20" s="1"/>
  <c r="AG56" i="20" s="1"/>
  <c r="AF56" i="20" s="1"/>
  <c r="AD56" i="20" s="1"/>
  <c r="AI64" i="20"/>
  <c r="AH64" i="20" s="1"/>
  <c r="AG64" i="20" s="1"/>
  <c r="AF64" i="20" s="1"/>
  <c r="AD64" i="20" s="1"/>
  <c r="AI72" i="20"/>
  <c r="AH72" i="20" s="1"/>
  <c r="AG72" i="20" s="1"/>
  <c r="AF72" i="20" s="1"/>
  <c r="AD72" i="20" s="1"/>
  <c r="AI80" i="20"/>
  <c r="AH80" i="20" s="1"/>
  <c r="AG80" i="20" s="1"/>
  <c r="AF80" i="20" s="1"/>
  <c r="AD80" i="20" s="1"/>
  <c r="AI88" i="20"/>
  <c r="AH88" i="20" s="1"/>
  <c r="AG88" i="20" s="1"/>
  <c r="AF88" i="20" s="1"/>
  <c r="AD88" i="20" s="1"/>
  <c r="AI96" i="20"/>
  <c r="AH96" i="20" s="1"/>
  <c r="AG96" i="20" s="1"/>
  <c r="AF96" i="20" s="1"/>
  <c r="AD96" i="20" s="1"/>
  <c r="AI304" i="20"/>
  <c r="AH304" i="20" s="1"/>
  <c r="AG304" i="20" s="1"/>
  <c r="AF304" i="20" s="1"/>
  <c r="AD304" i="20" s="1"/>
  <c r="AI336" i="20"/>
  <c r="AH336" i="20" s="1"/>
  <c r="AG336" i="20" s="1"/>
  <c r="AF336" i="20" s="1"/>
  <c r="AI368" i="20"/>
  <c r="AH368" i="20" s="1"/>
  <c r="AG368" i="20" s="1"/>
  <c r="AF368" i="20" s="1"/>
  <c r="AD368" i="20" s="1"/>
  <c r="U373" i="20"/>
  <c r="T373" i="20" s="1"/>
  <c r="S373" i="20" s="1"/>
  <c r="R373" i="20" s="1"/>
  <c r="P373" i="20" s="1"/>
  <c r="V373" i="20" s="1"/>
  <c r="U365" i="20"/>
  <c r="T365" i="20" s="1"/>
  <c r="S365" i="20" s="1"/>
  <c r="R365" i="20" s="1"/>
  <c r="P365" i="20" s="1"/>
  <c r="V365" i="20" s="1"/>
  <c r="U357" i="20"/>
  <c r="T357" i="20" s="1"/>
  <c r="S357" i="20" s="1"/>
  <c r="R357" i="20" s="1"/>
  <c r="P357" i="20" s="1"/>
  <c r="V357" i="20" s="1"/>
  <c r="U349" i="20"/>
  <c r="T349" i="20" s="1"/>
  <c r="S349" i="20" s="1"/>
  <c r="R349" i="20" s="1"/>
  <c r="P349" i="20" s="1"/>
  <c r="V349" i="20" s="1"/>
  <c r="U341" i="20"/>
  <c r="T341" i="20" s="1"/>
  <c r="S341" i="20" s="1"/>
  <c r="R341" i="20" s="1"/>
  <c r="P341" i="20" s="1"/>
  <c r="V341" i="20" s="1"/>
  <c r="U333" i="20"/>
  <c r="T333" i="20" s="1"/>
  <c r="S333" i="20" s="1"/>
  <c r="R333" i="20" s="1"/>
  <c r="P333" i="20" s="1"/>
  <c r="U325" i="20"/>
  <c r="T325" i="20" s="1"/>
  <c r="S325" i="20" s="1"/>
  <c r="R325" i="20" s="1"/>
  <c r="P325" i="20" s="1"/>
  <c r="V325" i="20" s="1"/>
  <c r="U317" i="20"/>
  <c r="T317" i="20" s="1"/>
  <c r="S317" i="20" s="1"/>
  <c r="R317" i="20" s="1"/>
  <c r="P317" i="20" s="1"/>
  <c r="V317" i="20" s="1"/>
  <c r="U309" i="20"/>
  <c r="T309" i="20" s="1"/>
  <c r="S309" i="20" s="1"/>
  <c r="R309" i="20" s="1"/>
  <c r="P309" i="20" s="1"/>
  <c r="V309" i="20" s="1"/>
  <c r="U301" i="20"/>
  <c r="T301" i="20" s="1"/>
  <c r="S301" i="20" s="1"/>
  <c r="R301" i="20" s="1"/>
  <c r="P301" i="20" s="1"/>
  <c r="V301" i="20" s="1"/>
  <c r="U293" i="20"/>
  <c r="T293" i="20" s="1"/>
  <c r="S293" i="20" s="1"/>
  <c r="R293" i="20" s="1"/>
  <c r="P293" i="20" s="1"/>
  <c r="V293" i="20" s="1"/>
  <c r="U285" i="20"/>
  <c r="T285" i="20" s="1"/>
  <c r="S285" i="20" s="1"/>
  <c r="R285" i="20" s="1"/>
  <c r="P285" i="20" s="1"/>
  <c r="V285" i="20" s="1"/>
  <c r="U277" i="20"/>
  <c r="T277" i="20" s="1"/>
  <c r="S277" i="20" s="1"/>
  <c r="R277" i="20" s="1"/>
  <c r="P277" i="20" s="1"/>
  <c r="V277" i="20" s="1"/>
  <c r="U269" i="20"/>
  <c r="T269" i="20" s="1"/>
  <c r="S269" i="20" s="1"/>
  <c r="R269" i="20" s="1"/>
  <c r="P269" i="20" s="1"/>
  <c r="V269" i="20" s="1"/>
  <c r="U261" i="20"/>
  <c r="T261" i="20" s="1"/>
  <c r="S261" i="20" s="1"/>
  <c r="R261" i="20" s="1"/>
  <c r="P261" i="20" s="1"/>
  <c r="V261" i="20" s="1"/>
  <c r="U253" i="20"/>
  <c r="T253" i="20" s="1"/>
  <c r="S253" i="20" s="1"/>
  <c r="R253" i="20" s="1"/>
  <c r="P253" i="20" s="1"/>
  <c r="V253" i="20" s="1"/>
  <c r="U245" i="20"/>
  <c r="T245" i="20" s="1"/>
  <c r="S245" i="20" s="1"/>
  <c r="R245" i="20" s="1"/>
  <c r="P245" i="20" s="1"/>
  <c r="V245" i="20" s="1"/>
  <c r="U237" i="20"/>
  <c r="T237" i="20" s="1"/>
  <c r="S237" i="20" s="1"/>
  <c r="R237" i="20" s="1"/>
  <c r="P237" i="20" s="1"/>
  <c r="V237" i="20" s="1"/>
  <c r="U229" i="20"/>
  <c r="T229" i="20" s="1"/>
  <c r="S229" i="20" s="1"/>
  <c r="R229" i="20" s="1"/>
  <c r="P229" i="20" s="1"/>
  <c r="V229" i="20" s="1"/>
  <c r="U221" i="20"/>
  <c r="T221" i="20" s="1"/>
  <c r="S221" i="20" s="1"/>
  <c r="R221" i="20" s="1"/>
  <c r="P221" i="20" s="1"/>
  <c r="V221" i="20" s="1"/>
  <c r="U213" i="20"/>
  <c r="T213" i="20" s="1"/>
  <c r="S213" i="20" s="1"/>
  <c r="R213" i="20" s="1"/>
  <c r="P213" i="20" s="1"/>
  <c r="V213" i="20" s="1"/>
  <c r="U205" i="20"/>
  <c r="T205" i="20" s="1"/>
  <c r="S205" i="20" s="1"/>
  <c r="R205" i="20" s="1"/>
  <c r="P205" i="20" s="1"/>
  <c r="V205" i="20" s="1"/>
  <c r="U197" i="20"/>
  <c r="T197" i="20" s="1"/>
  <c r="S197" i="20" s="1"/>
  <c r="R197" i="20" s="1"/>
  <c r="P197" i="20" s="1"/>
  <c r="V197" i="20" s="1"/>
  <c r="U189" i="20"/>
  <c r="T189" i="20" s="1"/>
  <c r="S189" i="20" s="1"/>
  <c r="R189" i="20" s="1"/>
  <c r="P189" i="20" s="1"/>
  <c r="V189" i="20" s="1"/>
  <c r="U181" i="20"/>
  <c r="T181" i="20" s="1"/>
  <c r="S181" i="20" s="1"/>
  <c r="R181" i="20" s="1"/>
  <c r="P181" i="20" s="1"/>
  <c r="V181" i="20" s="1"/>
  <c r="U173" i="20"/>
  <c r="T173" i="20" s="1"/>
  <c r="S173" i="20" s="1"/>
  <c r="R173" i="20" s="1"/>
  <c r="P173" i="20" s="1"/>
  <c r="V173" i="20" s="1"/>
  <c r="U165" i="20"/>
  <c r="T165" i="20" s="1"/>
  <c r="S165" i="20" s="1"/>
  <c r="R165" i="20" s="1"/>
  <c r="P165" i="20" s="1"/>
  <c r="V165" i="20" s="1"/>
  <c r="U157" i="20"/>
  <c r="T157" i="20" s="1"/>
  <c r="S157" i="20" s="1"/>
  <c r="R157" i="20" s="1"/>
  <c r="P157" i="20" s="1"/>
  <c r="V157" i="20" s="1"/>
  <c r="U149" i="20"/>
  <c r="T149" i="20" s="1"/>
  <c r="S149" i="20" s="1"/>
  <c r="R149" i="20" s="1"/>
  <c r="P149" i="20" s="1"/>
  <c r="V149" i="20" s="1"/>
  <c r="U141" i="20"/>
  <c r="T141" i="20" s="1"/>
  <c r="S141" i="20" s="1"/>
  <c r="R141" i="20" s="1"/>
  <c r="P141" i="20" s="1"/>
  <c r="V141" i="20" s="1"/>
  <c r="U133" i="20"/>
  <c r="T133" i="20" s="1"/>
  <c r="S133" i="20" s="1"/>
  <c r="R133" i="20" s="1"/>
  <c r="P133" i="20" s="1"/>
  <c r="V133" i="20" s="1"/>
  <c r="AD41" i="20"/>
  <c r="AD25" i="20"/>
  <c r="AI379" i="20"/>
  <c r="AI12" i="22" s="1"/>
  <c r="AI363" i="20"/>
  <c r="AH363" i="20" s="1"/>
  <c r="AG363" i="20" s="1"/>
  <c r="AF363" i="20" s="1"/>
  <c r="AI347" i="20"/>
  <c r="AH347" i="20" s="1"/>
  <c r="AG347" i="20" s="1"/>
  <c r="AF347" i="20" s="1"/>
  <c r="AI331" i="20"/>
  <c r="AH331" i="20" s="1"/>
  <c r="AG331" i="20" s="1"/>
  <c r="AF331" i="20" s="1"/>
  <c r="AI315" i="20"/>
  <c r="AH315" i="20" s="1"/>
  <c r="AG315" i="20" s="1"/>
  <c r="AF315" i="20" s="1"/>
  <c r="AD315" i="20" s="1"/>
  <c r="AI299" i="20"/>
  <c r="AH299" i="20" s="1"/>
  <c r="AG299" i="20" s="1"/>
  <c r="AF299" i="20" s="1"/>
  <c r="AI283" i="20"/>
  <c r="AH283" i="20" s="1"/>
  <c r="AG283" i="20" s="1"/>
  <c r="AF283" i="20" s="1"/>
  <c r="AD283" i="20" s="1"/>
  <c r="AI267" i="20"/>
  <c r="AH267" i="20" s="1"/>
  <c r="AG267" i="20" s="1"/>
  <c r="AF267" i="20" s="1"/>
  <c r="AI251" i="20"/>
  <c r="AH251" i="20" s="1"/>
  <c r="AG251" i="20" s="1"/>
  <c r="AF251" i="20" s="1"/>
  <c r="AD251" i="20" s="1"/>
  <c r="AI235" i="20"/>
  <c r="AH235" i="20" s="1"/>
  <c r="AG235" i="20" s="1"/>
  <c r="AF235" i="20" s="1"/>
  <c r="AD235" i="20" s="1"/>
  <c r="AI219" i="20"/>
  <c r="AH219" i="20" s="1"/>
  <c r="AG219" i="20" s="1"/>
  <c r="AF219" i="20" s="1"/>
  <c r="AD219" i="20" s="1"/>
  <c r="AI203" i="20"/>
  <c r="AH203" i="20" s="1"/>
  <c r="AG203" i="20" s="1"/>
  <c r="AF203" i="20" s="1"/>
  <c r="AD203" i="20" s="1"/>
  <c r="AI187" i="20"/>
  <c r="AH187" i="20" s="1"/>
  <c r="AG187" i="20" s="1"/>
  <c r="AF187" i="20" s="1"/>
  <c r="AD187" i="20" s="1"/>
  <c r="AI171" i="20"/>
  <c r="AH171" i="20" s="1"/>
  <c r="AG171" i="20" s="1"/>
  <c r="AF171" i="20" s="1"/>
  <c r="AD171" i="20" s="1"/>
  <c r="AI155" i="20"/>
  <c r="AH155" i="20" s="1"/>
  <c r="AG155" i="20" s="1"/>
  <c r="AF155" i="20" s="1"/>
  <c r="AD155" i="20" s="1"/>
  <c r="AI139" i="20"/>
  <c r="AH139" i="20" s="1"/>
  <c r="AG139" i="20" s="1"/>
  <c r="AF139" i="20" s="1"/>
  <c r="AD139" i="20" s="1"/>
  <c r="AI123" i="20"/>
  <c r="AH123" i="20" s="1"/>
  <c r="AG123" i="20" s="1"/>
  <c r="AF123" i="20" s="1"/>
  <c r="AD123" i="20" s="1"/>
  <c r="AI107" i="20"/>
  <c r="AH107" i="20" s="1"/>
  <c r="AG107" i="20" s="1"/>
  <c r="AF107" i="20" s="1"/>
  <c r="AD107" i="20" s="1"/>
  <c r="AI91" i="20"/>
  <c r="AH91" i="20" s="1"/>
  <c r="AG91" i="20" s="1"/>
  <c r="AF91" i="20" s="1"/>
  <c r="AD91" i="20" s="1"/>
  <c r="AI75" i="20"/>
  <c r="AH75" i="20" s="1"/>
  <c r="AG75" i="20" s="1"/>
  <c r="AF75" i="20" s="1"/>
  <c r="AD75" i="20" s="1"/>
  <c r="AI59" i="20"/>
  <c r="AH59" i="20" s="1"/>
  <c r="AG59" i="20" s="1"/>
  <c r="AF59" i="20" s="1"/>
  <c r="AD59" i="20" s="1"/>
  <c r="AI43" i="20"/>
  <c r="AH43" i="20" s="1"/>
  <c r="AG43" i="20" s="1"/>
  <c r="AF43" i="20" s="1"/>
  <c r="AD43" i="20" s="1"/>
  <c r="AI27" i="20"/>
  <c r="AH27" i="20" s="1"/>
  <c r="AG27" i="20" s="1"/>
  <c r="AF27" i="20" s="1"/>
  <c r="AD27" i="20" s="1"/>
  <c r="U15" i="20"/>
  <c r="T15" i="20" s="1"/>
  <c r="S15" i="20" s="1"/>
  <c r="U25" i="20"/>
  <c r="T25" i="20" s="1"/>
  <c r="S25" i="20" s="1"/>
  <c r="R25" i="20" s="1"/>
  <c r="P25" i="20" s="1"/>
  <c r="V25" i="20" s="1"/>
  <c r="U33" i="20"/>
  <c r="T33" i="20" s="1"/>
  <c r="S33" i="20" s="1"/>
  <c r="R33" i="20" s="1"/>
  <c r="P33" i="20" s="1"/>
  <c r="V33" i="20" s="1"/>
  <c r="U41" i="20"/>
  <c r="T41" i="20" s="1"/>
  <c r="S41" i="20" s="1"/>
  <c r="R41" i="20" s="1"/>
  <c r="P41" i="20" s="1"/>
  <c r="V41" i="20" s="1"/>
  <c r="U49" i="20"/>
  <c r="T49" i="20" s="1"/>
  <c r="S49" i="20" s="1"/>
  <c r="R49" i="20" s="1"/>
  <c r="P49" i="20" s="1"/>
  <c r="V49" i="20" s="1"/>
  <c r="U57" i="20"/>
  <c r="T57" i="20" s="1"/>
  <c r="S57" i="20" s="1"/>
  <c r="R57" i="20" s="1"/>
  <c r="P57" i="20" s="1"/>
  <c r="V57" i="20" s="1"/>
  <c r="U65" i="20"/>
  <c r="T65" i="20" s="1"/>
  <c r="S65" i="20" s="1"/>
  <c r="R65" i="20" s="1"/>
  <c r="P65" i="20" s="1"/>
  <c r="V65" i="20" s="1"/>
  <c r="U73" i="20"/>
  <c r="T73" i="20" s="1"/>
  <c r="S73" i="20" s="1"/>
  <c r="R73" i="20" s="1"/>
  <c r="P73" i="20" s="1"/>
  <c r="V73" i="20" s="1"/>
  <c r="U81" i="20"/>
  <c r="T81" i="20" s="1"/>
  <c r="S81" i="20" s="1"/>
  <c r="R81" i="20" s="1"/>
  <c r="P81" i="20" s="1"/>
  <c r="V81" i="20" s="1"/>
  <c r="U89" i="20"/>
  <c r="T89" i="20" s="1"/>
  <c r="S89" i="20" s="1"/>
  <c r="R89" i="20" s="1"/>
  <c r="P89" i="20" s="1"/>
  <c r="V89" i="20" s="1"/>
  <c r="U97" i="20"/>
  <c r="T97" i="20" s="1"/>
  <c r="S97" i="20" s="1"/>
  <c r="R97" i="20" s="1"/>
  <c r="P97" i="20" s="1"/>
  <c r="V97" i="20" s="1"/>
  <c r="U105" i="20"/>
  <c r="T105" i="20" s="1"/>
  <c r="S105" i="20" s="1"/>
  <c r="R105" i="20" s="1"/>
  <c r="P105" i="20" s="1"/>
  <c r="V105" i="20" s="1"/>
  <c r="U113" i="20"/>
  <c r="T113" i="20" s="1"/>
  <c r="S113" i="20" s="1"/>
  <c r="R113" i="20" s="1"/>
  <c r="P113" i="20" s="1"/>
  <c r="V113" i="20" s="1"/>
  <c r="U121" i="20"/>
  <c r="T121" i="20" s="1"/>
  <c r="S121" i="20" s="1"/>
  <c r="R121" i="20" s="1"/>
  <c r="P121" i="20" s="1"/>
  <c r="V121" i="20" s="1"/>
  <c r="U129" i="20"/>
  <c r="T129" i="20" s="1"/>
  <c r="S129" i="20" s="1"/>
  <c r="R129" i="20" s="1"/>
  <c r="P129" i="20" s="1"/>
  <c r="V129" i="20" s="1"/>
  <c r="U145" i="20"/>
  <c r="T145" i="20" s="1"/>
  <c r="S145" i="20" s="1"/>
  <c r="R145" i="20" s="1"/>
  <c r="P145" i="20" s="1"/>
  <c r="V145" i="20" s="1"/>
  <c r="U161" i="20"/>
  <c r="T161" i="20" s="1"/>
  <c r="S161" i="20" s="1"/>
  <c r="R161" i="20" s="1"/>
  <c r="P161" i="20" s="1"/>
  <c r="V161" i="20" s="1"/>
  <c r="U177" i="20"/>
  <c r="T177" i="20" s="1"/>
  <c r="S177" i="20" s="1"/>
  <c r="R177" i="20" s="1"/>
  <c r="P177" i="20" s="1"/>
  <c r="V177" i="20" s="1"/>
  <c r="U193" i="20"/>
  <c r="T193" i="20" s="1"/>
  <c r="S193" i="20" s="1"/>
  <c r="R193" i="20" s="1"/>
  <c r="P193" i="20" s="1"/>
  <c r="V193" i="20" s="1"/>
  <c r="U209" i="20"/>
  <c r="T209" i="20" s="1"/>
  <c r="S209" i="20" s="1"/>
  <c r="R209" i="20" s="1"/>
  <c r="P209" i="20" s="1"/>
  <c r="V209" i="20" s="1"/>
  <c r="U225" i="20"/>
  <c r="T225" i="20" s="1"/>
  <c r="S225" i="20" s="1"/>
  <c r="R225" i="20" s="1"/>
  <c r="P225" i="20" s="1"/>
  <c r="V225" i="20" s="1"/>
  <c r="U241" i="20"/>
  <c r="T241" i="20" s="1"/>
  <c r="S241" i="20" s="1"/>
  <c r="R241" i="20" s="1"/>
  <c r="P241" i="20" s="1"/>
  <c r="U257" i="20"/>
  <c r="T257" i="20" s="1"/>
  <c r="S257" i="20" s="1"/>
  <c r="R257" i="20" s="1"/>
  <c r="P257" i="20" s="1"/>
  <c r="V257" i="20" s="1"/>
  <c r="U273" i="20"/>
  <c r="T273" i="20" s="1"/>
  <c r="S273" i="20" s="1"/>
  <c r="R273" i="20" s="1"/>
  <c r="P273" i="20" s="1"/>
  <c r="V273" i="20" s="1"/>
  <c r="U289" i="20"/>
  <c r="T289" i="20" s="1"/>
  <c r="S289" i="20" s="1"/>
  <c r="R289" i="20" s="1"/>
  <c r="P289" i="20" s="1"/>
  <c r="V289" i="20" s="1"/>
  <c r="U305" i="20"/>
  <c r="T305" i="20" s="1"/>
  <c r="S305" i="20" s="1"/>
  <c r="R305" i="20" s="1"/>
  <c r="P305" i="20" s="1"/>
  <c r="V305" i="20" s="1"/>
  <c r="U321" i="20"/>
  <c r="T321" i="20" s="1"/>
  <c r="S321" i="20" s="1"/>
  <c r="R321" i="20" s="1"/>
  <c r="P321" i="20" s="1"/>
  <c r="V321" i="20" s="1"/>
  <c r="U337" i="20"/>
  <c r="T337" i="20" s="1"/>
  <c r="S337" i="20" s="1"/>
  <c r="R337" i="20" s="1"/>
  <c r="P337" i="20" s="1"/>
  <c r="V337" i="20" s="1"/>
  <c r="U353" i="20"/>
  <c r="T353" i="20" s="1"/>
  <c r="S353" i="20" s="1"/>
  <c r="R353" i="20" s="1"/>
  <c r="P353" i="20" s="1"/>
  <c r="V353" i="20" s="1"/>
  <c r="U369" i="20"/>
  <c r="T369" i="20" s="1"/>
  <c r="S369" i="20" s="1"/>
  <c r="R369" i="20" s="1"/>
  <c r="P369" i="20" s="1"/>
  <c r="V369" i="20" s="1"/>
  <c r="AI352" i="20"/>
  <c r="AH352" i="20" s="1"/>
  <c r="AG352" i="20" s="1"/>
  <c r="AF352" i="20" s="1"/>
  <c r="AD352" i="20" s="1"/>
  <c r="AI100" i="20"/>
  <c r="AH100" i="20" s="1"/>
  <c r="AG100" i="20" s="1"/>
  <c r="AF100" i="20" s="1"/>
  <c r="AD100" i="20" s="1"/>
  <c r="AI84" i="20"/>
  <c r="AH84" i="20" s="1"/>
  <c r="AG84" i="20" s="1"/>
  <c r="AF84" i="20" s="1"/>
  <c r="AD84" i="20" s="1"/>
  <c r="AI68" i="20"/>
  <c r="AH68" i="20" s="1"/>
  <c r="AG68" i="20" s="1"/>
  <c r="AF68" i="20" s="1"/>
  <c r="AD68" i="20" s="1"/>
  <c r="AI52" i="20"/>
  <c r="AH52" i="20" s="1"/>
  <c r="AG52" i="20" s="1"/>
  <c r="AF52" i="20" s="1"/>
  <c r="AD52" i="20" s="1"/>
  <c r="AI36" i="20"/>
  <c r="AH36" i="20" s="1"/>
  <c r="AG36" i="20" s="1"/>
  <c r="AF36" i="20" s="1"/>
  <c r="AD36" i="20" s="1"/>
  <c r="AI17" i="20"/>
  <c r="AH17" i="20" s="1"/>
  <c r="AG17" i="20" s="1"/>
  <c r="AF17" i="20" s="1"/>
  <c r="AD17" i="20" s="1"/>
  <c r="U374" i="20"/>
  <c r="T374" i="20" s="1"/>
  <c r="S374" i="20" s="1"/>
  <c r="R374" i="20" s="1"/>
  <c r="P374" i="20" s="1"/>
  <c r="V374" i="20" s="1"/>
  <c r="U366" i="20"/>
  <c r="T366" i="20" s="1"/>
  <c r="S366" i="20" s="1"/>
  <c r="R366" i="20" s="1"/>
  <c r="P366" i="20" s="1"/>
  <c r="V366" i="20" s="1"/>
  <c r="U358" i="20"/>
  <c r="T358" i="20" s="1"/>
  <c r="S358" i="20" s="1"/>
  <c r="R358" i="20" s="1"/>
  <c r="P358" i="20" s="1"/>
  <c r="V358" i="20" s="1"/>
  <c r="U350" i="20"/>
  <c r="T350" i="20" s="1"/>
  <c r="S350" i="20" s="1"/>
  <c r="R350" i="20" s="1"/>
  <c r="P350" i="20" s="1"/>
  <c r="V350" i="20" s="1"/>
  <c r="U342" i="20"/>
  <c r="T342" i="20" s="1"/>
  <c r="S342" i="20" s="1"/>
  <c r="R342" i="20" s="1"/>
  <c r="P342" i="20" s="1"/>
  <c r="V342" i="20" s="1"/>
  <c r="U334" i="20"/>
  <c r="T334" i="20" s="1"/>
  <c r="S334" i="20" s="1"/>
  <c r="R334" i="20" s="1"/>
  <c r="P334" i="20" s="1"/>
  <c r="V334" i="20" s="1"/>
  <c r="U326" i="20"/>
  <c r="T326" i="20" s="1"/>
  <c r="S326" i="20" s="1"/>
  <c r="R326" i="20" s="1"/>
  <c r="P326" i="20" s="1"/>
  <c r="V326" i="20" s="1"/>
  <c r="U318" i="20"/>
  <c r="T318" i="20" s="1"/>
  <c r="S318" i="20" s="1"/>
  <c r="R318" i="20" s="1"/>
  <c r="P318" i="20" s="1"/>
  <c r="V318" i="20" s="1"/>
  <c r="U310" i="20"/>
  <c r="T310" i="20" s="1"/>
  <c r="S310" i="20" s="1"/>
  <c r="R310" i="20" s="1"/>
  <c r="P310" i="20" s="1"/>
  <c r="V310" i="20" s="1"/>
  <c r="U302" i="20"/>
  <c r="T302" i="20" s="1"/>
  <c r="S302" i="20" s="1"/>
  <c r="R302" i="20" s="1"/>
  <c r="P302" i="20" s="1"/>
  <c r="V302" i="20" s="1"/>
  <c r="U294" i="20"/>
  <c r="T294" i="20" s="1"/>
  <c r="S294" i="20" s="1"/>
  <c r="R294" i="20" s="1"/>
  <c r="P294" i="20" s="1"/>
  <c r="V294" i="20" s="1"/>
  <c r="U286" i="20"/>
  <c r="T286" i="20" s="1"/>
  <c r="S286" i="20" s="1"/>
  <c r="R286" i="20" s="1"/>
  <c r="P286" i="20" s="1"/>
  <c r="V286" i="20" s="1"/>
  <c r="U278" i="20"/>
  <c r="T278" i="20" s="1"/>
  <c r="S278" i="20" s="1"/>
  <c r="R278" i="20" s="1"/>
  <c r="P278" i="20" s="1"/>
  <c r="V278" i="20" s="1"/>
  <c r="U270" i="20"/>
  <c r="T270" i="20" s="1"/>
  <c r="S270" i="20" s="1"/>
  <c r="R270" i="20" s="1"/>
  <c r="P270" i="20" s="1"/>
  <c r="V270" i="20" s="1"/>
  <c r="U262" i="20"/>
  <c r="T262" i="20" s="1"/>
  <c r="S262" i="20" s="1"/>
  <c r="R262" i="20" s="1"/>
  <c r="P262" i="20" s="1"/>
  <c r="V262" i="20" s="1"/>
  <c r="U254" i="20"/>
  <c r="T254" i="20" s="1"/>
  <c r="S254" i="20" s="1"/>
  <c r="R254" i="20" s="1"/>
  <c r="P254" i="20" s="1"/>
  <c r="V254" i="20" s="1"/>
  <c r="U246" i="20"/>
  <c r="T246" i="20" s="1"/>
  <c r="S246" i="20" s="1"/>
  <c r="R246" i="20" s="1"/>
  <c r="P246" i="20" s="1"/>
  <c r="V246" i="20" s="1"/>
  <c r="U238" i="20"/>
  <c r="T238" i="20" s="1"/>
  <c r="S238" i="20" s="1"/>
  <c r="R238" i="20" s="1"/>
  <c r="P238" i="20" s="1"/>
  <c r="V238" i="20" s="1"/>
  <c r="U230" i="20"/>
  <c r="T230" i="20" s="1"/>
  <c r="S230" i="20" s="1"/>
  <c r="R230" i="20" s="1"/>
  <c r="P230" i="20" s="1"/>
  <c r="V230" i="20" s="1"/>
  <c r="U222" i="20"/>
  <c r="T222" i="20" s="1"/>
  <c r="S222" i="20" s="1"/>
  <c r="R222" i="20" s="1"/>
  <c r="P222" i="20" s="1"/>
  <c r="V222" i="20" s="1"/>
  <c r="U214" i="20"/>
  <c r="T214" i="20" s="1"/>
  <c r="S214" i="20" s="1"/>
  <c r="R214" i="20" s="1"/>
  <c r="P214" i="20" s="1"/>
  <c r="V214" i="20" s="1"/>
  <c r="U206" i="20"/>
  <c r="T206" i="20" s="1"/>
  <c r="S206" i="20" s="1"/>
  <c r="R206" i="20" s="1"/>
  <c r="P206" i="20" s="1"/>
  <c r="V206" i="20" s="1"/>
  <c r="U198" i="20"/>
  <c r="T198" i="20" s="1"/>
  <c r="S198" i="20" s="1"/>
  <c r="R198" i="20" s="1"/>
  <c r="P198" i="20" s="1"/>
  <c r="V198" i="20" s="1"/>
  <c r="U190" i="20"/>
  <c r="T190" i="20" s="1"/>
  <c r="S190" i="20" s="1"/>
  <c r="R190" i="20" s="1"/>
  <c r="P190" i="20" s="1"/>
  <c r="V190" i="20" s="1"/>
  <c r="U182" i="20"/>
  <c r="T182" i="20" s="1"/>
  <c r="S182" i="20" s="1"/>
  <c r="R182" i="20" s="1"/>
  <c r="P182" i="20" s="1"/>
  <c r="V182" i="20" s="1"/>
  <c r="U174" i="20"/>
  <c r="T174" i="20" s="1"/>
  <c r="S174" i="20" s="1"/>
  <c r="R174" i="20" s="1"/>
  <c r="P174" i="20" s="1"/>
  <c r="V174" i="20" s="1"/>
  <c r="U166" i="20"/>
  <c r="T166" i="20" s="1"/>
  <c r="S166" i="20" s="1"/>
  <c r="R166" i="20" s="1"/>
  <c r="P166" i="20" s="1"/>
  <c r="V166" i="20" s="1"/>
  <c r="U158" i="20"/>
  <c r="T158" i="20" s="1"/>
  <c r="S158" i="20" s="1"/>
  <c r="R158" i="20" s="1"/>
  <c r="P158" i="20" s="1"/>
  <c r="V158" i="20" s="1"/>
  <c r="U150" i="20"/>
  <c r="T150" i="20" s="1"/>
  <c r="S150" i="20" s="1"/>
  <c r="R150" i="20" s="1"/>
  <c r="P150" i="20" s="1"/>
  <c r="V150" i="20" s="1"/>
  <c r="U142" i="20"/>
  <c r="T142" i="20" s="1"/>
  <c r="S142" i="20" s="1"/>
  <c r="R142" i="20" s="1"/>
  <c r="P142" i="20" s="1"/>
  <c r="V142" i="20" s="1"/>
  <c r="U134" i="20"/>
  <c r="T134" i="20" s="1"/>
  <c r="S134" i="20" s="1"/>
  <c r="R134" i="20" s="1"/>
  <c r="P134" i="20" s="1"/>
  <c r="V134" i="20" s="1"/>
  <c r="U126" i="20"/>
  <c r="T126" i="20" s="1"/>
  <c r="S126" i="20" s="1"/>
  <c r="R126" i="20" s="1"/>
  <c r="P126" i="20" s="1"/>
  <c r="V126" i="20" s="1"/>
  <c r="U118" i="20"/>
  <c r="T118" i="20" s="1"/>
  <c r="S118" i="20" s="1"/>
  <c r="R118" i="20" s="1"/>
  <c r="P118" i="20" s="1"/>
  <c r="V118" i="20" s="1"/>
  <c r="U110" i="20"/>
  <c r="T110" i="20" s="1"/>
  <c r="S110" i="20" s="1"/>
  <c r="R110" i="20" s="1"/>
  <c r="P110" i="20" s="1"/>
  <c r="V110" i="20" s="1"/>
  <c r="U102" i="20"/>
  <c r="T102" i="20" s="1"/>
  <c r="S102" i="20" s="1"/>
  <c r="R102" i="20" s="1"/>
  <c r="P102" i="20" s="1"/>
  <c r="V102" i="20" s="1"/>
  <c r="U94" i="20"/>
  <c r="T94" i="20" s="1"/>
  <c r="U86" i="20"/>
  <c r="T86" i="20" s="1"/>
  <c r="U78" i="20"/>
  <c r="T78" i="20" s="1"/>
  <c r="S78" i="20" s="1"/>
  <c r="R78" i="20" s="1"/>
  <c r="P78" i="20" s="1"/>
  <c r="V78" i="20" s="1"/>
  <c r="U70" i="20"/>
  <c r="T70" i="20" s="1"/>
  <c r="S70" i="20" s="1"/>
  <c r="R70" i="20" s="1"/>
  <c r="P70" i="20" s="1"/>
  <c r="V70" i="20" s="1"/>
  <c r="U62" i="20"/>
  <c r="T62" i="20" s="1"/>
  <c r="S62" i="20" s="1"/>
  <c r="R62" i="20" s="1"/>
  <c r="P62" i="20" s="1"/>
  <c r="V62" i="20" s="1"/>
  <c r="U54" i="20"/>
  <c r="T54" i="20" s="1"/>
  <c r="S54" i="20" s="1"/>
  <c r="R54" i="20" s="1"/>
  <c r="P54" i="20" s="1"/>
  <c r="V54" i="20" s="1"/>
  <c r="U46" i="20"/>
  <c r="T46" i="20" s="1"/>
  <c r="S46" i="20" s="1"/>
  <c r="R46" i="20" s="1"/>
  <c r="P46" i="20" s="1"/>
  <c r="V46" i="20" s="1"/>
  <c r="U38" i="20"/>
  <c r="T38" i="20" s="1"/>
  <c r="S38" i="20" s="1"/>
  <c r="R38" i="20" s="1"/>
  <c r="P38" i="20" s="1"/>
  <c r="V38" i="20" s="1"/>
  <c r="U30" i="20"/>
  <c r="T30" i="20" s="1"/>
  <c r="U22" i="20"/>
  <c r="T22" i="20" s="1"/>
  <c r="S22" i="20" s="1"/>
  <c r="R22" i="20" s="1"/>
  <c r="P22" i="20" s="1"/>
  <c r="V22" i="20" s="1"/>
  <c r="AI20" i="20"/>
  <c r="AH20" i="20" s="1"/>
  <c r="AG20" i="20" s="1"/>
  <c r="AF20" i="20" s="1"/>
  <c r="AD20" i="20" s="1"/>
  <c r="AI33" i="20"/>
  <c r="AH33" i="20" s="1"/>
  <c r="AI49" i="20"/>
  <c r="AH49" i="20" s="1"/>
  <c r="AI65" i="20"/>
  <c r="AH65" i="20" s="1"/>
  <c r="AG65" i="20" s="1"/>
  <c r="AF65" i="20" s="1"/>
  <c r="AI81" i="20"/>
  <c r="AH81" i="20" s="1"/>
  <c r="AG81" i="20" s="1"/>
  <c r="AF81" i="20" s="1"/>
  <c r="AI97" i="20"/>
  <c r="AH97" i="20" s="1"/>
  <c r="AG97" i="20" s="1"/>
  <c r="AF97" i="20" s="1"/>
  <c r="U18" i="20"/>
  <c r="T18" i="20" s="1"/>
  <c r="S18" i="20" s="1"/>
  <c r="R18" i="20" s="1"/>
  <c r="P18" i="20" s="1"/>
  <c r="V18" i="20" s="1"/>
  <c r="U143" i="20"/>
  <c r="T143" i="20" s="1"/>
  <c r="S143" i="20" s="1"/>
  <c r="R143" i="20" s="1"/>
  <c r="P143" i="20" s="1"/>
  <c r="V143" i="20" s="1"/>
  <c r="U271" i="20"/>
  <c r="T271" i="20" s="1"/>
  <c r="S271" i="20" s="1"/>
  <c r="R271" i="20" s="1"/>
  <c r="P271" i="20" s="1"/>
  <c r="V271" i="20" s="1"/>
  <c r="AI90" i="20"/>
  <c r="AH90" i="20" s="1"/>
  <c r="AG90" i="20" s="1"/>
  <c r="AF90" i="20" s="1"/>
  <c r="AD90" i="20" s="1"/>
  <c r="AI26" i="20"/>
  <c r="AH26" i="20" s="1"/>
  <c r="AG26" i="20" s="1"/>
  <c r="AF26" i="20" s="1"/>
  <c r="AD26" i="20" s="1"/>
  <c r="U371" i="20"/>
  <c r="T371" i="20" s="1"/>
  <c r="S371" i="20" s="1"/>
  <c r="R371" i="20" s="1"/>
  <c r="P371" i="20" s="1"/>
  <c r="V371" i="20" s="1"/>
  <c r="U307" i="20"/>
  <c r="T307" i="20" s="1"/>
  <c r="S307" i="20" s="1"/>
  <c r="R307" i="20" s="1"/>
  <c r="P307" i="20" s="1"/>
  <c r="V307" i="20" s="1"/>
  <c r="U243" i="20"/>
  <c r="T243" i="20" s="1"/>
  <c r="S243" i="20" s="1"/>
  <c r="R243" i="20" s="1"/>
  <c r="P243" i="20" s="1"/>
  <c r="V243" i="20" s="1"/>
  <c r="U179" i="20"/>
  <c r="T179" i="20" s="1"/>
  <c r="S179" i="20" s="1"/>
  <c r="R179" i="20" s="1"/>
  <c r="P179" i="20" s="1"/>
  <c r="V179" i="20" s="1"/>
  <c r="U115" i="20"/>
  <c r="T115" i="20" s="1"/>
  <c r="S115" i="20" s="1"/>
  <c r="R115" i="20" s="1"/>
  <c r="P115" i="20" s="1"/>
  <c r="V115" i="20" s="1"/>
  <c r="U51" i="20"/>
  <c r="T51" i="20" s="1"/>
  <c r="S51" i="20" s="1"/>
  <c r="R51" i="20" s="1"/>
  <c r="P51" i="20" s="1"/>
  <c r="V51" i="20" s="1"/>
  <c r="AI71" i="20"/>
  <c r="AH71" i="20" s="1"/>
  <c r="AG71" i="20" s="1"/>
  <c r="AF71" i="20" s="1"/>
  <c r="AD71" i="20" s="1"/>
  <c r="AE383" i="20"/>
  <c r="AD37" i="20"/>
  <c r="P24" i="20"/>
  <c r="V24" i="20" s="1"/>
  <c r="P72" i="20"/>
  <c r="V72" i="20" s="1"/>
  <c r="P88" i="20"/>
  <c r="AH22" i="7" s="1"/>
  <c r="AD299" i="20"/>
  <c r="AD320" i="20"/>
  <c r="AH379" i="20"/>
  <c r="AG379" i="20" s="1"/>
  <c r="AF379" i="20" s="1"/>
  <c r="AD379" i="20" s="1"/>
  <c r="P90" i="20"/>
  <c r="V90" i="20" s="1"/>
  <c r="Q372" i="22"/>
  <c r="AE381" i="20"/>
  <c r="AI295" i="20"/>
  <c r="AH295" i="20" s="1"/>
  <c r="AG295" i="20" s="1"/>
  <c r="AF295" i="20" s="1"/>
  <c r="AD295" i="20" s="1"/>
  <c r="AI327" i="20"/>
  <c r="AH327" i="20" s="1"/>
  <c r="AG327" i="20" s="1"/>
  <c r="AF327" i="20" s="1"/>
  <c r="AD327" i="20" s="1"/>
  <c r="AI231" i="20"/>
  <c r="AH231" i="20" s="1"/>
  <c r="AG231" i="20" s="1"/>
  <c r="AF231" i="20" s="1"/>
  <c r="AD231" i="20" s="1"/>
  <c r="AI167" i="20"/>
  <c r="AH167" i="20" s="1"/>
  <c r="AG167" i="20" s="1"/>
  <c r="AF167" i="20" s="1"/>
  <c r="AD167" i="20" s="1"/>
  <c r="AI364" i="20"/>
  <c r="AH364" i="20" s="1"/>
  <c r="AG364" i="20" s="1"/>
  <c r="AF364" i="20" s="1"/>
  <c r="AD364" i="20" s="1"/>
  <c r="AI300" i="20"/>
  <c r="AH300" i="20" s="1"/>
  <c r="AG300" i="20" s="1"/>
  <c r="AF300" i="20" s="1"/>
  <c r="AD300" i="20" s="1"/>
  <c r="AI236" i="20"/>
  <c r="AH236" i="20" s="1"/>
  <c r="AG236" i="20" s="1"/>
  <c r="AF236" i="20" s="1"/>
  <c r="AD236" i="20" s="1"/>
  <c r="AI172" i="20"/>
  <c r="AH172" i="20" s="1"/>
  <c r="AG172" i="20" s="1"/>
  <c r="AF172" i="20" s="1"/>
  <c r="AD172" i="20" s="1"/>
  <c r="AI106" i="20"/>
  <c r="AH106" i="20" s="1"/>
  <c r="AG106" i="20" s="1"/>
  <c r="AF106" i="20" s="1"/>
  <c r="AD106" i="20" s="1"/>
  <c r="AI212" i="20"/>
  <c r="AH212" i="20" s="1"/>
  <c r="AG212" i="20" s="1"/>
  <c r="AF212" i="20" s="1"/>
  <c r="AD212" i="20" s="1"/>
  <c r="AI340" i="20"/>
  <c r="AH340" i="20" s="1"/>
  <c r="AG340" i="20" s="1"/>
  <c r="AF340" i="20" s="1"/>
  <c r="AD340" i="20" s="1"/>
  <c r="AI111" i="20"/>
  <c r="AH111" i="20" s="1"/>
  <c r="AG111" i="20" s="1"/>
  <c r="AF111" i="20" s="1"/>
  <c r="AD111" i="20" s="1"/>
  <c r="AI239" i="20"/>
  <c r="AH239" i="20" s="1"/>
  <c r="AG239" i="20" s="1"/>
  <c r="AF239" i="20" s="1"/>
  <c r="AD239" i="20" s="1"/>
  <c r="AI367" i="20"/>
  <c r="AH367" i="20" s="1"/>
  <c r="AG367" i="20" s="1"/>
  <c r="AF367" i="20" s="1"/>
  <c r="AD367" i="20" s="1"/>
  <c r="AI365" i="20"/>
  <c r="AH365" i="20" s="1"/>
  <c r="AG365" i="20" s="1"/>
  <c r="AF365" i="20" s="1"/>
  <c r="AD365" i="20" s="1"/>
  <c r="AI349" i="20"/>
  <c r="AH349" i="20" s="1"/>
  <c r="AG349" i="20" s="1"/>
  <c r="AF349" i="20" s="1"/>
  <c r="AD349" i="20" s="1"/>
  <c r="AI333" i="20"/>
  <c r="AH333" i="20" s="1"/>
  <c r="AG333" i="20" s="1"/>
  <c r="AF333" i="20" s="1"/>
  <c r="AD333" i="20" s="1"/>
  <c r="AI317" i="20"/>
  <c r="AH317" i="20" s="1"/>
  <c r="AG317" i="20" s="1"/>
  <c r="AF317" i="20" s="1"/>
  <c r="AD317" i="20" s="1"/>
  <c r="AI301" i="20"/>
  <c r="AH301" i="20" s="1"/>
  <c r="AG301" i="20" s="1"/>
  <c r="AF301" i="20" s="1"/>
  <c r="AD301" i="20" s="1"/>
  <c r="AI285" i="20"/>
  <c r="AH285" i="20" s="1"/>
  <c r="AG285" i="20" s="1"/>
  <c r="AF285" i="20" s="1"/>
  <c r="AD285" i="20" s="1"/>
  <c r="AI269" i="20"/>
  <c r="AH269" i="20" s="1"/>
  <c r="AG269" i="20" s="1"/>
  <c r="AF269" i="20" s="1"/>
  <c r="AD269" i="20" s="1"/>
  <c r="AI261" i="20"/>
  <c r="AH261" i="20" s="1"/>
  <c r="AI253" i="20"/>
  <c r="AH253" i="20" s="1"/>
  <c r="AI245" i="20"/>
  <c r="AH245" i="20" s="1"/>
  <c r="AG245" i="20" s="1"/>
  <c r="AF245" i="20" s="1"/>
  <c r="AD245" i="20" s="1"/>
  <c r="AI237" i="20"/>
  <c r="AH237" i="20" s="1"/>
  <c r="AI229" i="20"/>
  <c r="AH229" i="20" s="1"/>
  <c r="AI221" i="20"/>
  <c r="AH221" i="20" s="1"/>
  <c r="AI213" i="20"/>
  <c r="AH213" i="20" s="1"/>
  <c r="AI205" i="20"/>
  <c r="AH205" i="20" s="1"/>
  <c r="AI197" i="20"/>
  <c r="AH197" i="20" s="1"/>
  <c r="AI189" i="20"/>
  <c r="AH189" i="20" s="1"/>
  <c r="AI181" i="20"/>
  <c r="AH181" i="20" s="1"/>
  <c r="AI173" i="20"/>
  <c r="AH173" i="20" s="1"/>
  <c r="AI165" i="20"/>
  <c r="AH165" i="20" s="1"/>
  <c r="AI157" i="20"/>
  <c r="AH157" i="20" s="1"/>
  <c r="AI149" i="20"/>
  <c r="AH149" i="20" s="1"/>
  <c r="AI141" i="20"/>
  <c r="AH141" i="20" s="1"/>
  <c r="AI133" i="20"/>
  <c r="AH133" i="20" s="1"/>
  <c r="AI125" i="20"/>
  <c r="AH125" i="20" s="1"/>
  <c r="AI117" i="20"/>
  <c r="AH117" i="20" s="1"/>
  <c r="AI109" i="20"/>
  <c r="AH109" i="20" s="1"/>
  <c r="AG109" i="20" s="1"/>
  <c r="AF109" i="20" s="1"/>
  <c r="AD109" i="20" s="1"/>
  <c r="AI378" i="20"/>
  <c r="AH378" i="20" s="1"/>
  <c r="AG378" i="20" s="1"/>
  <c r="AF378" i="20" s="1"/>
  <c r="AD378" i="20" s="1"/>
  <c r="AI370" i="20"/>
  <c r="AH370" i="20" s="1"/>
  <c r="AG370" i="20" s="1"/>
  <c r="AF370" i="20" s="1"/>
  <c r="AD370" i="20" s="1"/>
  <c r="AI362" i="20"/>
  <c r="AH362" i="20" s="1"/>
  <c r="AG362" i="20" s="1"/>
  <c r="AF362" i="20" s="1"/>
  <c r="AD362" i="20" s="1"/>
  <c r="AI354" i="20"/>
  <c r="AH354" i="20" s="1"/>
  <c r="AG354" i="20" s="1"/>
  <c r="AF354" i="20" s="1"/>
  <c r="AD354" i="20" s="1"/>
  <c r="AI346" i="20"/>
  <c r="AH346" i="20" s="1"/>
  <c r="AG346" i="20" s="1"/>
  <c r="AF346" i="20" s="1"/>
  <c r="AD346" i="20" s="1"/>
  <c r="AI338" i="20"/>
  <c r="AH338" i="20" s="1"/>
  <c r="AG338" i="20" s="1"/>
  <c r="AF338" i="20" s="1"/>
  <c r="AD338" i="20" s="1"/>
  <c r="AI330" i="20"/>
  <c r="AH330" i="20" s="1"/>
  <c r="AG330" i="20" s="1"/>
  <c r="AF330" i="20" s="1"/>
  <c r="AD330" i="20" s="1"/>
  <c r="AI322" i="20"/>
  <c r="AH322" i="20" s="1"/>
  <c r="AG322" i="20" s="1"/>
  <c r="AF322" i="20" s="1"/>
  <c r="AD322" i="20" s="1"/>
  <c r="AI314" i="20"/>
  <c r="AH314" i="20" s="1"/>
  <c r="AG314" i="20" s="1"/>
  <c r="AF314" i="20" s="1"/>
  <c r="AD314" i="20" s="1"/>
  <c r="AI306" i="20"/>
  <c r="AH306" i="20" s="1"/>
  <c r="AG306" i="20" s="1"/>
  <c r="AF306" i="20" s="1"/>
  <c r="AD306" i="20" s="1"/>
  <c r="AI298" i="20"/>
  <c r="AH298" i="20" s="1"/>
  <c r="AG298" i="20" s="1"/>
  <c r="AF298" i="20" s="1"/>
  <c r="AD298" i="20" s="1"/>
  <c r="AI290" i="20"/>
  <c r="AH290" i="20" s="1"/>
  <c r="AG290" i="20" s="1"/>
  <c r="AF290" i="20" s="1"/>
  <c r="AD290" i="20" s="1"/>
  <c r="AI282" i="20"/>
  <c r="AH282" i="20" s="1"/>
  <c r="AG282" i="20" s="1"/>
  <c r="AF282" i="20" s="1"/>
  <c r="AD282" i="20" s="1"/>
  <c r="AI274" i="20"/>
  <c r="AH274" i="20" s="1"/>
  <c r="AG274" i="20" s="1"/>
  <c r="AF274" i="20" s="1"/>
  <c r="AD274" i="20" s="1"/>
  <c r="AI266" i="20"/>
  <c r="AH266" i="20" s="1"/>
  <c r="AG266" i="20" s="1"/>
  <c r="AF266" i="20" s="1"/>
  <c r="AD266" i="20" s="1"/>
  <c r="AI258" i="20"/>
  <c r="AH258" i="20" s="1"/>
  <c r="AG258" i="20" s="1"/>
  <c r="AF258" i="20" s="1"/>
  <c r="AD258" i="20" s="1"/>
  <c r="AI250" i="20"/>
  <c r="AH250" i="20" s="1"/>
  <c r="AG250" i="20" s="1"/>
  <c r="AF250" i="20" s="1"/>
  <c r="AD250" i="20" s="1"/>
  <c r="AI242" i="20"/>
  <c r="AH242" i="20" s="1"/>
  <c r="AG242" i="20" s="1"/>
  <c r="AF242" i="20" s="1"/>
  <c r="AD242" i="20" s="1"/>
  <c r="AI234" i="20"/>
  <c r="AH234" i="20" s="1"/>
  <c r="AG234" i="20" s="1"/>
  <c r="AF234" i="20" s="1"/>
  <c r="AD234" i="20" s="1"/>
  <c r="AI226" i="20"/>
  <c r="AH226" i="20" s="1"/>
  <c r="AG226" i="20" s="1"/>
  <c r="AF226" i="20" s="1"/>
  <c r="AD226" i="20" s="1"/>
  <c r="AI218" i="20"/>
  <c r="AH218" i="20" s="1"/>
  <c r="AG218" i="20" s="1"/>
  <c r="AF218" i="20" s="1"/>
  <c r="AD218" i="20" s="1"/>
  <c r="AI210" i="20"/>
  <c r="AH210" i="20" s="1"/>
  <c r="AG210" i="20" s="1"/>
  <c r="AF210" i="20" s="1"/>
  <c r="AD210" i="20" s="1"/>
  <c r="AI202" i="20"/>
  <c r="AH202" i="20" s="1"/>
  <c r="AG202" i="20" s="1"/>
  <c r="AF202" i="20" s="1"/>
  <c r="AD202" i="20" s="1"/>
  <c r="AI194" i="20"/>
  <c r="AH194" i="20" s="1"/>
  <c r="AG194" i="20" s="1"/>
  <c r="AF194" i="20" s="1"/>
  <c r="AD194" i="20" s="1"/>
  <c r="AI186" i="20"/>
  <c r="AH186" i="20" s="1"/>
  <c r="AG186" i="20" s="1"/>
  <c r="AF186" i="20" s="1"/>
  <c r="AD186" i="20" s="1"/>
  <c r="AI178" i="20"/>
  <c r="AH178" i="20" s="1"/>
  <c r="AG178" i="20" s="1"/>
  <c r="AF178" i="20" s="1"/>
  <c r="AD178" i="20" s="1"/>
  <c r="AI170" i="20"/>
  <c r="AH170" i="20" s="1"/>
  <c r="AG170" i="20" s="1"/>
  <c r="AF170" i="20" s="1"/>
  <c r="AD170" i="20" s="1"/>
  <c r="AI162" i="20"/>
  <c r="AH162" i="20" s="1"/>
  <c r="AG162" i="20" s="1"/>
  <c r="AF162" i="20" s="1"/>
  <c r="AD162" i="20" s="1"/>
  <c r="AI154" i="20"/>
  <c r="AH154" i="20" s="1"/>
  <c r="AG154" i="20" s="1"/>
  <c r="AF154" i="20" s="1"/>
  <c r="AD154" i="20" s="1"/>
  <c r="AI146" i="20"/>
  <c r="AH146" i="20" s="1"/>
  <c r="AG146" i="20" s="1"/>
  <c r="AF146" i="20" s="1"/>
  <c r="AD146" i="20" s="1"/>
  <c r="AI138" i="20"/>
  <c r="AH138" i="20" s="1"/>
  <c r="AG138" i="20" s="1"/>
  <c r="AF138" i="20" s="1"/>
  <c r="AD138" i="20" s="1"/>
  <c r="AI130" i="20"/>
  <c r="AH130" i="20" s="1"/>
  <c r="AG130" i="20" s="1"/>
  <c r="AF130" i="20" s="1"/>
  <c r="AD130" i="20" s="1"/>
  <c r="AI122" i="20"/>
  <c r="AH122" i="20" s="1"/>
  <c r="AG122" i="20" s="1"/>
  <c r="AF122" i="20" s="1"/>
  <c r="AD122" i="20" s="1"/>
  <c r="AI114" i="20"/>
  <c r="AH114" i="20" s="1"/>
  <c r="AG114" i="20" s="1"/>
  <c r="AF114" i="20" s="1"/>
  <c r="AD114" i="20" s="1"/>
  <c r="AI108" i="20"/>
  <c r="AH108" i="20" s="1"/>
  <c r="AG108" i="20" s="1"/>
  <c r="AF108" i="20" s="1"/>
  <c r="AD108" i="20" s="1"/>
  <c r="AI120" i="20"/>
  <c r="AH120" i="20" s="1"/>
  <c r="AG120" i="20" s="1"/>
  <c r="AF120" i="20" s="1"/>
  <c r="AD120" i="20" s="1"/>
  <c r="AI136" i="20"/>
  <c r="AH136" i="20" s="1"/>
  <c r="AG136" i="20" s="1"/>
  <c r="AF136" i="20" s="1"/>
  <c r="AD136" i="20" s="1"/>
  <c r="AI152" i="20"/>
  <c r="AH152" i="20" s="1"/>
  <c r="AG152" i="20" s="1"/>
  <c r="AF152" i="20" s="1"/>
  <c r="AD152" i="20" s="1"/>
  <c r="AI168" i="20"/>
  <c r="AH168" i="20" s="1"/>
  <c r="AG168" i="20" s="1"/>
  <c r="AF168" i="20" s="1"/>
  <c r="AD168" i="20" s="1"/>
  <c r="AI184" i="20"/>
  <c r="AH184" i="20" s="1"/>
  <c r="AG184" i="20" s="1"/>
  <c r="AF184" i="20" s="1"/>
  <c r="AD184" i="20" s="1"/>
  <c r="AI200" i="20"/>
  <c r="AH200" i="20" s="1"/>
  <c r="AG200" i="20" s="1"/>
  <c r="AF200" i="20" s="1"/>
  <c r="AD200" i="20" s="1"/>
  <c r="AI216" i="20"/>
  <c r="AH216" i="20" s="1"/>
  <c r="AG216" i="20" s="1"/>
  <c r="AF216" i="20" s="1"/>
  <c r="AD216" i="20" s="1"/>
  <c r="AI232" i="20"/>
  <c r="AH232" i="20" s="1"/>
  <c r="AG232" i="20" s="1"/>
  <c r="AF232" i="20" s="1"/>
  <c r="AD232" i="20" s="1"/>
  <c r="AI248" i="20"/>
  <c r="AH248" i="20" s="1"/>
  <c r="AG248" i="20" s="1"/>
  <c r="AF248" i="20" s="1"/>
  <c r="AD248" i="20" s="1"/>
  <c r="AI264" i="20"/>
  <c r="AH264" i="20" s="1"/>
  <c r="AG264" i="20" s="1"/>
  <c r="AF264" i="20" s="1"/>
  <c r="AD264" i="20" s="1"/>
  <c r="AI280" i="20"/>
  <c r="AH280" i="20" s="1"/>
  <c r="AG280" i="20" s="1"/>
  <c r="AF280" i="20" s="1"/>
  <c r="AD280" i="20" s="1"/>
  <c r="AI296" i="20"/>
  <c r="AH296" i="20" s="1"/>
  <c r="AG296" i="20" s="1"/>
  <c r="AF296" i="20" s="1"/>
  <c r="AD296" i="20" s="1"/>
  <c r="AI312" i="20"/>
  <c r="AH312" i="20" s="1"/>
  <c r="AG312" i="20" s="1"/>
  <c r="AF312" i="20" s="1"/>
  <c r="AD312" i="20" s="1"/>
  <c r="AI328" i="20"/>
  <c r="AH328" i="20" s="1"/>
  <c r="AG328" i="20" s="1"/>
  <c r="AF328" i="20" s="1"/>
  <c r="AD328" i="20" s="1"/>
  <c r="AI344" i="20"/>
  <c r="AH344" i="20" s="1"/>
  <c r="AG344" i="20" s="1"/>
  <c r="AF344" i="20" s="1"/>
  <c r="AD344" i="20" s="1"/>
  <c r="AI360" i="20"/>
  <c r="AH360" i="20" s="1"/>
  <c r="AG360" i="20" s="1"/>
  <c r="AF360" i="20" s="1"/>
  <c r="AD360" i="20" s="1"/>
  <c r="AI376" i="20"/>
  <c r="AH376" i="20" s="1"/>
  <c r="AG376" i="20" s="1"/>
  <c r="AF376" i="20" s="1"/>
  <c r="AD376" i="20" s="1"/>
  <c r="AI263" i="20"/>
  <c r="AH263" i="20" s="1"/>
  <c r="AG263" i="20" s="1"/>
  <c r="AF263" i="20" s="1"/>
  <c r="AD263" i="20" s="1"/>
  <c r="AI199" i="20"/>
  <c r="AH199" i="20" s="1"/>
  <c r="AG199" i="20" s="1"/>
  <c r="AF199" i="20" s="1"/>
  <c r="AD199" i="20" s="1"/>
  <c r="AI135" i="20"/>
  <c r="AH135" i="20" s="1"/>
  <c r="AG135" i="20" s="1"/>
  <c r="AF135" i="20" s="1"/>
  <c r="AD135" i="20" s="1"/>
  <c r="AI332" i="20"/>
  <c r="AH332" i="20" s="1"/>
  <c r="AG332" i="20" s="1"/>
  <c r="AF332" i="20" s="1"/>
  <c r="AD332" i="20" s="1"/>
  <c r="AI268" i="20"/>
  <c r="AH268" i="20" s="1"/>
  <c r="AG268" i="20" s="1"/>
  <c r="AF268" i="20" s="1"/>
  <c r="AD268" i="20" s="1"/>
  <c r="AI204" i="20"/>
  <c r="AH204" i="20" s="1"/>
  <c r="AG204" i="20" s="1"/>
  <c r="AF204" i="20" s="1"/>
  <c r="AD204" i="20" s="1"/>
  <c r="AI140" i="20"/>
  <c r="AH140" i="20" s="1"/>
  <c r="AG140" i="20" s="1"/>
  <c r="AF140" i="20" s="1"/>
  <c r="AD140" i="20" s="1"/>
  <c r="AI148" i="20"/>
  <c r="AH148" i="20" s="1"/>
  <c r="AG148" i="20" s="1"/>
  <c r="AF148" i="20" s="1"/>
  <c r="AD148" i="20" s="1"/>
  <c r="AI276" i="20"/>
  <c r="AH276" i="20" s="1"/>
  <c r="AG276" i="20" s="1"/>
  <c r="AF276" i="20" s="1"/>
  <c r="AD276" i="20" s="1"/>
  <c r="AI175" i="20"/>
  <c r="AH175" i="20" s="1"/>
  <c r="AG175" i="20" s="1"/>
  <c r="AF175" i="20" s="1"/>
  <c r="AD175" i="20" s="1"/>
  <c r="AI303" i="20"/>
  <c r="AH303" i="20" s="1"/>
  <c r="AG303" i="20" s="1"/>
  <c r="AF303" i="20" s="1"/>
  <c r="AD303" i="20" s="1"/>
  <c r="AI373" i="20"/>
  <c r="AH373" i="20" s="1"/>
  <c r="AG373" i="20" s="1"/>
  <c r="AF373" i="20" s="1"/>
  <c r="AD373" i="20" s="1"/>
  <c r="AI357" i="20"/>
  <c r="AH357" i="20" s="1"/>
  <c r="AG357" i="20" s="1"/>
  <c r="AF357" i="20" s="1"/>
  <c r="AD357" i="20" s="1"/>
  <c r="AI341" i="20"/>
  <c r="AH341" i="20" s="1"/>
  <c r="AG341" i="20" s="1"/>
  <c r="AF341" i="20" s="1"/>
  <c r="AD341" i="20" s="1"/>
  <c r="AI325" i="20"/>
  <c r="AH325" i="20" s="1"/>
  <c r="AG325" i="20" s="1"/>
  <c r="AF325" i="20" s="1"/>
  <c r="AD325" i="20" s="1"/>
  <c r="AI309" i="20"/>
  <c r="AH309" i="20" s="1"/>
  <c r="AG309" i="20" s="1"/>
  <c r="AF309" i="20" s="1"/>
  <c r="AD309" i="20" s="1"/>
  <c r="AI293" i="20"/>
  <c r="AH293" i="20" s="1"/>
  <c r="AG293" i="20" s="1"/>
  <c r="AF293" i="20" s="1"/>
  <c r="AD293" i="20" s="1"/>
  <c r="AI277" i="20"/>
  <c r="AH277" i="20" s="1"/>
  <c r="AG277" i="20" s="1"/>
  <c r="AF277" i="20" s="1"/>
  <c r="AD277" i="20" s="1"/>
  <c r="AI265" i="20"/>
  <c r="AH265" i="20" s="1"/>
  <c r="AG265" i="20" s="1"/>
  <c r="AF265" i="20" s="1"/>
  <c r="AD265" i="20" s="1"/>
  <c r="AI257" i="20"/>
  <c r="AH257" i="20" s="1"/>
  <c r="AG257" i="20" s="1"/>
  <c r="AF257" i="20" s="1"/>
  <c r="AI249" i="20"/>
  <c r="AH249" i="20" s="1"/>
  <c r="AG249" i="20" s="1"/>
  <c r="AF249" i="20" s="1"/>
  <c r="AI241" i="20"/>
  <c r="AH241" i="20" s="1"/>
  <c r="AG241" i="20" s="1"/>
  <c r="AF241" i="20" s="1"/>
  <c r="AI233" i="20"/>
  <c r="AH233" i="20" s="1"/>
  <c r="AG233" i="20" s="1"/>
  <c r="AF233" i="20" s="1"/>
  <c r="AI225" i="20"/>
  <c r="AH225" i="20" s="1"/>
  <c r="AG225" i="20" s="1"/>
  <c r="AF225" i="20" s="1"/>
  <c r="AI217" i="20"/>
  <c r="AH217" i="20" s="1"/>
  <c r="AG217" i="20" s="1"/>
  <c r="AF217" i="20" s="1"/>
  <c r="AI209" i="20"/>
  <c r="AH209" i="20" s="1"/>
  <c r="AG209" i="20" s="1"/>
  <c r="AF209" i="20" s="1"/>
  <c r="AI201" i="20"/>
  <c r="AH201" i="20" s="1"/>
  <c r="AG201" i="20" s="1"/>
  <c r="AF201" i="20" s="1"/>
  <c r="AD201" i="20" s="1"/>
  <c r="AI193" i="20"/>
  <c r="AH193" i="20" s="1"/>
  <c r="AI185" i="20"/>
  <c r="AH185" i="20" s="1"/>
  <c r="AG185" i="20" s="1"/>
  <c r="AF185" i="20" s="1"/>
  <c r="AD185" i="20" s="1"/>
  <c r="AI177" i="20"/>
  <c r="AH177" i="20" s="1"/>
  <c r="AG177" i="20" s="1"/>
  <c r="AF177" i="20" s="1"/>
  <c r="AD177" i="20" s="1"/>
  <c r="AI169" i="20"/>
  <c r="AH169" i="20" s="1"/>
  <c r="AI161" i="20"/>
  <c r="AH161" i="20" s="1"/>
  <c r="AI153" i="20"/>
  <c r="AH153" i="20" s="1"/>
  <c r="AG153" i="20" s="1"/>
  <c r="AF153" i="20" s="1"/>
  <c r="AD153" i="20" s="1"/>
  <c r="AI145" i="20"/>
  <c r="AH145" i="20" s="1"/>
  <c r="AG145" i="20" s="1"/>
  <c r="AF145" i="20" s="1"/>
  <c r="AI137" i="20"/>
  <c r="AH137" i="20" s="1"/>
  <c r="AG137" i="20" s="1"/>
  <c r="AF137" i="20" s="1"/>
  <c r="AI129" i="20"/>
  <c r="AH129" i="20" s="1"/>
  <c r="AG129" i="20" s="1"/>
  <c r="AF129" i="20" s="1"/>
  <c r="AI121" i="20"/>
  <c r="AH121" i="20" s="1"/>
  <c r="AG121" i="20" s="1"/>
  <c r="AF121" i="20" s="1"/>
  <c r="AI113" i="20"/>
  <c r="AH113" i="20" s="1"/>
  <c r="AG113" i="20" s="1"/>
  <c r="AF113" i="20" s="1"/>
  <c r="AD113" i="20" s="1"/>
  <c r="AI105" i="20"/>
  <c r="AH105" i="20" s="1"/>
  <c r="AG105" i="20" s="1"/>
  <c r="AF105" i="20" s="1"/>
  <c r="AI374" i="20"/>
  <c r="AH374" i="20" s="1"/>
  <c r="AG374" i="20" s="1"/>
  <c r="AF374" i="20" s="1"/>
  <c r="AD374" i="20" s="1"/>
  <c r="AI366" i="20"/>
  <c r="AH366" i="20" s="1"/>
  <c r="AG366" i="20" s="1"/>
  <c r="AF366" i="20" s="1"/>
  <c r="AD366" i="20" s="1"/>
  <c r="AI358" i="20"/>
  <c r="AH358" i="20" s="1"/>
  <c r="AG358" i="20" s="1"/>
  <c r="AF358" i="20" s="1"/>
  <c r="AD358" i="20" s="1"/>
  <c r="AI350" i="20"/>
  <c r="AH350" i="20" s="1"/>
  <c r="AG350" i="20" s="1"/>
  <c r="AF350" i="20" s="1"/>
  <c r="AD350" i="20" s="1"/>
  <c r="AI342" i="20"/>
  <c r="AH342" i="20" s="1"/>
  <c r="AG342" i="20" s="1"/>
  <c r="AF342" i="20" s="1"/>
  <c r="AD342" i="20" s="1"/>
  <c r="AI334" i="20"/>
  <c r="AH334" i="20" s="1"/>
  <c r="AG334" i="20" s="1"/>
  <c r="AF334" i="20" s="1"/>
  <c r="AD334" i="20" s="1"/>
  <c r="AI326" i="20"/>
  <c r="AH326" i="20" s="1"/>
  <c r="AG326" i="20" s="1"/>
  <c r="AF326" i="20" s="1"/>
  <c r="AD326" i="20" s="1"/>
  <c r="AI318" i="20"/>
  <c r="AH318" i="20" s="1"/>
  <c r="AG318" i="20" s="1"/>
  <c r="AF318" i="20" s="1"/>
  <c r="AD318" i="20" s="1"/>
  <c r="AI310" i="20"/>
  <c r="AH310" i="20" s="1"/>
  <c r="AG310" i="20" s="1"/>
  <c r="AF310" i="20" s="1"/>
  <c r="AD310" i="20" s="1"/>
  <c r="AI302" i="20"/>
  <c r="AH302" i="20" s="1"/>
  <c r="AG302" i="20" s="1"/>
  <c r="AF302" i="20" s="1"/>
  <c r="AD302" i="20" s="1"/>
  <c r="AI294" i="20"/>
  <c r="AH294" i="20" s="1"/>
  <c r="AG294" i="20" s="1"/>
  <c r="AF294" i="20" s="1"/>
  <c r="AD294" i="20" s="1"/>
  <c r="AI286" i="20"/>
  <c r="AH286" i="20" s="1"/>
  <c r="AG286" i="20" s="1"/>
  <c r="AF286" i="20" s="1"/>
  <c r="AD286" i="20" s="1"/>
  <c r="AI278" i="20"/>
  <c r="AH278" i="20" s="1"/>
  <c r="AG278" i="20" s="1"/>
  <c r="AF278" i="20" s="1"/>
  <c r="AD278" i="20" s="1"/>
  <c r="AI270" i="20"/>
  <c r="AH270" i="20" s="1"/>
  <c r="AG270" i="20" s="1"/>
  <c r="AF270" i="20" s="1"/>
  <c r="AD270" i="20" s="1"/>
  <c r="AI262" i="20"/>
  <c r="AH262" i="20" s="1"/>
  <c r="AG262" i="20" s="1"/>
  <c r="AF262" i="20" s="1"/>
  <c r="AD262" i="20" s="1"/>
  <c r="AI254" i="20"/>
  <c r="AH254" i="20" s="1"/>
  <c r="AG254" i="20" s="1"/>
  <c r="AF254" i="20" s="1"/>
  <c r="AD254" i="20" s="1"/>
  <c r="AI246" i="20"/>
  <c r="AH246" i="20" s="1"/>
  <c r="AG246" i="20" s="1"/>
  <c r="AF246" i="20" s="1"/>
  <c r="AD246" i="20" s="1"/>
  <c r="AI238" i="20"/>
  <c r="AH238" i="20" s="1"/>
  <c r="AG238" i="20" s="1"/>
  <c r="AF238" i="20" s="1"/>
  <c r="AD238" i="20" s="1"/>
  <c r="AI230" i="20"/>
  <c r="AH230" i="20" s="1"/>
  <c r="AG230" i="20" s="1"/>
  <c r="AF230" i="20" s="1"/>
  <c r="AD230" i="20" s="1"/>
  <c r="AI222" i="20"/>
  <c r="AH222" i="20" s="1"/>
  <c r="AG222" i="20" s="1"/>
  <c r="AF222" i="20" s="1"/>
  <c r="AD222" i="20" s="1"/>
  <c r="AI214" i="20"/>
  <c r="AH214" i="20" s="1"/>
  <c r="AG214" i="20" s="1"/>
  <c r="AF214" i="20" s="1"/>
  <c r="AD214" i="20" s="1"/>
  <c r="AI206" i="20"/>
  <c r="AH206" i="20" s="1"/>
  <c r="AG206" i="20" s="1"/>
  <c r="AF206" i="20" s="1"/>
  <c r="AD206" i="20" s="1"/>
  <c r="AI198" i="20"/>
  <c r="AH198" i="20" s="1"/>
  <c r="AG198" i="20" s="1"/>
  <c r="AF198" i="20" s="1"/>
  <c r="AD198" i="20" s="1"/>
  <c r="AI190" i="20"/>
  <c r="AH190" i="20" s="1"/>
  <c r="AG190" i="20" s="1"/>
  <c r="AF190" i="20" s="1"/>
  <c r="AD190" i="20" s="1"/>
  <c r="AI182" i="20"/>
  <c r="AH182" i="20" s="1"/>
  <c r="AG182" i="20" s="1"/>
  <c r="AF182" i="20" s="1"/>
  <c r="AD182" i="20" s="1"/>
  <c r="AI174" i="20"/>
  <c r="AH174" i="20" s="1"/>
  <c r="AG174" i="20" s="1"/>
  <c r="AF174" i="20" s="1"/>
  <c r="AD174" i="20" s="1"/>
  <c r="AI166" i="20"/>
  <c r="AH166" i="20" s="1"/>
  <c r="AG166" i="20" s="1"/>
  <c r="AF166" i="20" s="1"/>
  <c r="AD166" i="20" s="1"/>
  <c r="AI158" i="20"/>
  <c r="AH158" i="20" s="1"/>
  <c r="AG158" i="20" s="1"/>
  <c r="AF158" i="20" s="1"/>
  <c r="AD158" i="20" s="1"/>
  <c r="AI150" i="20"/>
  <c r="AH150" i="20" s="1"/>
  <c r="AG150" i="20" s="1"/>
  <c r="AF150" i="20" s="1"/>
  <c r="AD150" i="20" s="1"/>
  <c r="AI142" i="20"/>
  <c r="AH142" i="20" s="1"/>
  <c r="AG142" i="20" s="1"/>
  <c r="AF142" i="20" s="1"/>
  <c r="AD142" i="20" s="1"/>
  <c r="AI134" i="20"/>
  <c r="AH134" i="20" s="1"/>
  <c r="AG134" i="20" s="1"/>
  <c r="AF134" i="20" s="1"/>
  <c r="AD134" i="20" s="1"/>
  <c r="AI126" i="20"/>
  <c r="AH126" i="20" s="1"/>
  <c r="AG126" i="20" s="1"/>
  <c r="AF126" i="20" s="1"/>
  <c r="AD126" i="20" s="1"/>
  <c r="AI118" i="20"/>
  <c r="AH118" i="20" s="1"/>
  <c r="AG118" i="20" s="1"/>
  <c r="AF118" i="20" s="1"/>
  <c r="AD118" i="20" s="1"/>
  <c r="AI104" i="20"/>
  <c r="AH104" i="20" s="1"/>
  <c r="AG104" i="20" s="1"/>
  <c r="AF104" i="20" s="1"/>
  <c r="AD104" i="20" s="1"/>
  <c r="AI112" i="20"/>
  <c r="AH112" i="20" s="1"/>
  <c r="AG112" i="20" s="1"/>
  <c r="AF112" i="20" s="1"/>
  <c r="AD112" i="20" s="1"/>
  <c r="AI128" i="20"/>
  <c r="AH128" i="20" s="1"/>
  <c r="AG128" i="20" s="1"/>
  <c r="AF128" i="20" s="1"/>
  <c r="AD128" i="20" s="1"/>
  <c r="AI144" i="20"/>
  <c r="AH144" i="20" s="1"/>
  <c r="AG144" i="20" s="1"/>
  <c r="AF144" i="20" s="1"/>
  <c r="AD144" i="20" s="1"/>
  <c r="AI160" i="20"/>
  <c r="AH160" i="20" s="1"/>
  <c r="AG160" i="20" s="1"/>
  <c r="AF160" i="20" s="1"/>
  <c r="AD160" i="20" s="1"/>
  <c r="AI176" i="20"/>
  <c r="AH176" i="20" s="1"/>
  <c r="AG176" i="20" s="1"/>
  <c r="AF176" i="20" s="1"/>
  <c r="AD176" i="20" s="1"/>
  <c r="AI192" i="20"/>
  <c r="AH192" i="20" s="1"/>
  <c r="AG192" i="20" s="1"/>
  <c r="AF192" i="20" s="1"/>
  <c r="AD192" i="20" s="1"/>
  <c r="AI208" i="20"/>
  <c r="AH208" i="20" s="1"/>
  <c r="AG208" i="20" s="1"/>
  <c r="AF208" i="20" s="1"/>
  <c r="AD208" i="20" s="1"/>
  <c r="AI224" i="20"/>
  <c r="AH224" i="20" s="1"/>
  <c r="AG224" i="20" s="1"/>
  <c r="AF224" i="20" s="1"/>
  <c r="AD224" i="20" s="1"/>
  <c r="AI240" i="20"/>
  <c r="AH240" i="20" s="1"/>
  <c r="AG240" i="20" s="1"/>
  <c r="AF240" i="20" s="1"/>
  <c r="AD240" i="20" s="1"/>
  <c r="AI256" i="20"/>
  <c r="AH256" i="20" s="1"/>
  <c r="AG256" i="20" s="1"/>
  <c r="AF256" i="20" s="1"/>
  <c r="AD256" i="20" s="1"/>
  <c r="AI272" i="20"/>
  <c r="AH272" i="20" s="1"/>
  <c r="AG272" i="20" s="1"/>
  <c r="AF272" i="20" s="1"/>
  <c r="AD272" i="20" s="1"/>
  <c r="AI288" i="20"/>
  <c r="AH288" i="20" s="1"/>
  <c r="AG288" i="20" s="1"/>
  <c r="AF288" i="20" s="1"/>
  <c r="AD288" i="20" s="1"/>
  <c r="AI359" i="20"/>
  <c r="AH359" i="20" s="1"/>
  <c r="AG359" i="20" s="1"/>
  <c r="AF359" i="20" s="1"/>
  <c r="AD359" i="20" s="1"/>
  <c r="V60" i="20"/>
  <c r="AI319" i="20"/>
  <c r="AH319" i="20" s="1"/>
  <c r="AG319" i="20" s="1"/>
  <c r="AF319" i="20" s="1"/>
  <c r="AD319" i="20" s="1"/>
  <c r="AI255" i="20"/>
  <c r="AH255" i="20" s="1"/>
  <c r="AG255" i="20" s="1"/>
  <c r="AF255" i="20" s="1"/>
  <c r="AD255" i="20" s="1"/>
  <c r="AI191" i="20"/>
  <c r="AH191" i="20" s="1"/>
  <c r="AG191" i="20" s="1"/>
  <c r="AF191" i="20" s="1"/>
  <c r="AD191" i="20" s="1"/>
  <c r="AI127" i="20"/>
  <c r="AH127" i="20" s="1"/>
  <c r="AG127" i="20" s="1"/>
  <c r="AF127" i="20" s="1"/>
  <c r="AD127" i="20" s="1"/>
  <c r="AI63" i="20"/>
  <c r="AH63" i="20" s="1"/>
  <c r="AG63" i="20" s="1"/>
  <c r="AF63" i="20" s="1"/>
  <c r="AD63" i="20" s="1"/>
  <c r="U39" i="20"/>
  <c r="T39" i="20" s="1"/>
  <c r="S39" i="20" s="1"/>
  <c r="R39" i="20" s="1"/>
  <c r="P39" i="20" s="1"/>
  <c r="V39" i="20" s="1"/>
  <c r="U71" i="20"/>
  <c r="T71" i="20" s="1"/>
  <c r="S71" i="20" s="1"/>
  <c r="R71" i="20" s="1"/>
  <c r="P71" i="20" s="1"/>
  <c r="V71" i="20" s="1"/>
  <c r="U103" i="20"/>
  <c r="T103" i="20" s="1"/>
  <c r="S103" i="20" s="1"/>
  <c r="R103" i="20" s="1"/>
  <c r="P103" i="20" s="1"/>
  <c r="V103" i="20" s="1"/>
  <c r="U135" i="20"/>
  <c r="T135" i="20" s="1"/>
  <c r="S135" i="20" s="1"/>
  <c r="R135" i="20" s="1"/>
  <c r="P135" i="20" s="1"/>
  <c r="V135" i="20" s="1"/>
  <c r="U167" i="20"/>
  <c r="T167" i="20" s="1"/>
  <c r="S167" i="20" s="1"/>
  <c r="R167" i="20" s="1"/>
  <c r="P167" i="20" s="1"/>
  <c r="V167" i="20" s="1"/>
  <c r="U199" i="20"/>
  <c r="T199" i="20" s="1"/>
  <c r="S199" i="20" s="1"/>
  <c r="R199" i="20" s="1"/>
  <c r="P199" i="20" s="1"/>
  <c r="V199" i="20" s="1"/>
  <c r="U231" i="20"/>
  <c r="T231" i="20" s="1"/>
  <c r="S231" i="20" s="1"/>
  <c r="R231" i="20" s="1"/>
  <c r="P231" i="20" s="1"/>
  <c r="V231" i="20" s="1"/>
  <c r="U263" i="20"/>
  <c r="T263" i="20" s="1"/>
  <c r="S263" i="20" s="1"/>
  <c r="R263" i="20" s="1"/>
  <c r="P263" i="20" s="1"/>
  <c r="V263" i="20" s="1"/>
  <c r="U295" i="20"/>
  <c r="T295" i="20" s="1"/>
  <c r="S295" i="20" s="1"/>
  <c r="R295" i="20" s="1"/>
  <c r="P295" i="20" s="1"/>
  <c r="V295" i="20" s="1"/>
  <c r="U327" i="20"/>
  <c r="T327" i="20" s="1"/>
  <c r="S327" i="20" s="1"/>
  <c r="R327" i="20" s="1"/>
  <c r="P327" i="20" s="1"/>
  <c r="V327" i="20" s="1"/>
  <c r="U359" i="20"/>
  <c r="T359" i="20" s="1"/>
  <c r="S359" i="20" s="1"/>
  <c r="R359" i="20" s="1"/>
  <c r="P359" i="20" s="1"/>
  <c r="V359" i="20" s="1"/>
  <c r="AI356" i="20"/>
  <c r="AH356" i="20" s="1"/>
  <c r="AG356" i="20" s="1"/>
  <c r="AF356" i="20" s="1"/>
  <c r="AD356" i="20" s="1"/>
  <c r="AI292" i="20"/>
  <c r="AH292" i="20" s="1"/>
  <c r="AG292" i="20" s="1"/>
  <c r="AF292" i="20" s="1"/>
  <c r="AD292" i="20" s="1"/>
  <c r="AI228" i="20"/>
  <c r="AH228" i="20" s="1"/>
  <c r="AG228" i="20" s="1"/>
  <c r="AF228" i="20" s="1"/>
  <c r="AD228" i="20" s="1"/>
  <c r="AI164" i="20"/>
  <c r="AH164" i="20" s="1"/>
  <c r="AG164" i="20" s="1"/>
  <c r="AF164" i="20" s="1"/>
  <c r="AD164" i="20" s="1"/>
  <c r="AI110" i="20"/>
  <c r="AH110" i="20" s="1"/>
  <c r="AG110" i="20" s="1"/>
  <c r="AF110" i="20" s="1"/>
  <c r="AD110" i="20" s="1"/>
  <c r="AI94" i="20"/>
  <c r="AH94" i="20" s="1"/>
  <c r="AG94" i="20" s="1"/>
  <c r="AF94" i="20" s="1"/>
  <c r="AD94" i="20" s="1"/>
  <c r="AI78" i="20"/>
  <c r="AH78" i="20" s="1"/>
  <c r="AG78" i="20" s="1"/>
  <c r="AF78" i="20" s="1"/>
  <c r="AD78" i="20" s="1"/>
  <c r="AI62" i="20"/>
  <c r="AH62" i="20" s="1"/>
  <c r="AG62" i="20" s="1"/>
  <c r="AF62" i="20" s="1"/>
  <c r="AD62" i="20" s="1"/>
  <c r="AI46" i="20"/>
  <c r="AH46" i="20" s="1"/>
  <c r="AG46" i="20" s="1"/>
  <c r="AF46" i="20" s="1"/>
  <c r="AD46" i="20" s="1"/>
  <c r="AI30" i="20"/>
  <c r="AH30" i="20" s="1"/>
  <c r="AG30" i="20" s="1"/>
  <c r="AF30" i="20" s="1"/>
  <c r="AD30" i="20" s="1"/>
  <c r="AI351" i="20"/>
  <c r="AH351" i="20" s="1"/>
  <c r="AG351" i="20" s="1"/>
  <c r="AF351" i="20" s="1"/>
  <c r="AD351" i="20" s="1"/>
  <c r="AI287" i="20"/>
  <c r="AH287" i="20" s="1"/>
  <c r="AG287" i="20" s="1"/>
  <c r="AF287" i="20" s="1"/>
  <c r="AD287" i="20" s="1"/>
  <c r="AI223" i="20"/>
  <c r="AH223" i="20" s="1"/>
  <c r="AG223" i="20" s="1"/>
  <c r="AF223" i="20" s="1"/>
  <c r="AD223" i="20" s="1"/>
  <c r="AI159" i="20"/>
  <c r="AH159" i="20" s="1"/>
  <c r="AG159" i="20" s="1"/>
  <c r="AF159" i="20" s="1"/>
  <c r="AD159" i="20" s="1"/>
  <c r="AI95" i="20"/>
  <c r="AH95" i="20" s="1"/>
  <c r="AG95" i="20" s="1"/>
  <c r="AF95" i="20" s="1"/>
  <c r="AD95" i="20" s="1"/>
  <c r="AI31" i="20"/>
  <c r="AH31" i="20" s="1"/>
  <c r="AG31" i="20" s="1"/>
  <c r="AF31" i="20" s="1"/>
  <c r="AD31" i="20" s="1"/>
  <c r="U23" i="20"/>
  <c r="U55" i="20"/>
  <c r="T55" i="20" s="1"/>
  <c r="S55" i="20" s="1"/>
  <c r="R55" i="20" s="1"/>
  <c r="P55" i="20" s="1"/>
  <c r="V55" i="20" s="1"/>
  <c r="U87" i="20"/>
  <c r="T87" i="20" s="1"/>
  <c r="S87" i="20" s="1"/>
  <c r="R87" i="20" s="1"/>
  <c r="P87" i="20" s="1"/>
  <c r="V87" i="20" s="1"/>
  <c r="U119" i="20"/>
  <c r="T119" i="20" s="1"/>
  <c r="S119" i="20" s="1"/>
  <c r="R119" i="20" s="1"/>
  <c r="P119" i="20" s="1"/>
  <c r="V119" i="20" s="1"/>
  <c r="U151" i="20"/>
  <c r="T151" i="20" s="1"/>
  <c r="S151" i="20" s="1"/>
  <c r="R151" i="20" s="1"/>
  <c r="P151" i="20" s="1"/>
  <c r="V151" i="20" s="1"/>
  <c r="U183" i="20"/>
  <c r="T183" i="20" s="1"/>
  <c r="S183" i="20" s="1"/>
  <c r="R183" i="20" s="1"/>
  <c r="P183" i="20" s="1"/>
  <c r="V183" i="20" s="1"/>
  <c r="U215" i="20"/>
  <c r="T215" i="20" s="1"/>
  <c r="S215" i="20" s="1"/>
  <c r="R215" i="20" s="1"/>
  <c r="P215" i="20" s="1"/>
  <c r="V215" i="20" s="1"/>
  <c r="U247" i="20"/>
  <c r="T247" i="20" s="1"/>
  <c r="S247" i="20" s="1"/>
  <c r="R247" i="20" s="1"/>
  <c r="P247" i="20" s="1"/>
  <c r="V247" i="20" s="1"/>
  <c r="U279" i="20"/>
  <c r="T279" i="20" s="1"/>
  <c r="S279" i="20" s="1"/>
  <c r="R279" i="20" s="1"/>
  <c r="P279" i="20" s="1"/>
  <c r="V279" i="20" s="1"/>
  <c r="U311" i="20"/>
  <c r="T311" i="20" s="1"/>
  <c r="S311" i="20" s="1"/>
  <c r="R311" i="20" s="1"/>
  <c r="P311" i="20" s="1"/>
  <c r="V311" i="20" s="1"/>
  <c r="U343" i="20"/>
  <c r="T343" i="20" s="1"/>
  <c r="S343" i="20" s="1"/>
  <c r="R343" i="20" s="1"/>
  <c r="P343" i="20" s="1"/>
  <c r="V343" i="20" s="1"/>
  <c r="U375" i="20"/>
  <c r="T375" i="20" s="1"/>
  <c r="S375" i="20" s="1"/>
  <c r="R375" i="20" s="1"/>
  <c r="P375" i="20" s="1"/>
  <c r="V375" i="20" s="1"/>
  <c r="AI324" i="20"/>
  <c r="AH324" i="20" s="1"/>
  <c r="AG324" i="20" s="1"/>
  <c r="AF324" i="20" s="1"/>
  <c r="AD324" i="20" s="1"/>
  <c r="AI260" i="20"/>
  <c r="AH260" i="20" s="1"/>
  <c r="AG260" i="20" s="1"/>
  <c r="AF260" i="20" s="1"/>
  <c r="AD260" i="20" s="1"/>
  <c r="AI196" i="20"/>
  <c r="AH196" i="20" s="1"/>
  <c r="AG196" i="20" s="1"/>
  <c r="AF196" i="20" s="1"/>
  <c r="AD196" i="20" s="1"/>
  <c r="AI132" i="20"/>
  <c r="AH132" i="20" s="1"/>
  <c r="AG132" i="20" s="1"/>
  <c r="AF132" i="20" s="1"/>
  <c r="AD132" i="20" s="1"/>
  <c r="AI102" i="20"/>
  <c r="AH102" i="20" s="1"/>
  <c r="AG102" i="20" s="1"/>
  <c r="AF102" i="20" s="1"/>
  <c r="AD102" i="20" s="1"/>
  <c r="AI86" i="20"/>
  <c r="AH86" i="20" s="1"/>
  <c r="AG86" i="20" s="1"/>
  <c r="AF86" i="20" s="1"/>
  <c r="AD86" i="20" s="1"/>
  <c r="AI70" i="20"/>
  <c r="AH70" i="20" s="1"/>
  <c r="AG70" i="20" s="1"/>
  <c r="AF70" i="20" s="1"/>
  <c r="AD70" i="20" s="1"/>
  <c r="AI54" i="20"/>
  <c r="AH54" i="20" s="1"/>
  <c r="AG54" i="20" s="1"/>
  <c r="AF54" i="20" s="1"/>
  <c r="AD54" i="20" s="1"/>
  <c r="AI38" i="20"/>
  <c r="AH38" i="20" s="1"/>
  <c r="AG38" i="20" s="1"/>
  <c r="AF38" i="20" s="1"/>
  <c r="AD38" i="20" s="1"/>
  <c r="AI22" i="20"/>
  <c r="AH22" i="20" s="1"/>
  <c r="AG22" i="20" s="1"/>
  <c r="AF22" i="20" s="1"/>
  <c r="AD22" i="20" s="1"/>
  <c r="AI375" i="20"/>
  <c r="AH375" i="20" s="1"/>
  <c r="AG375" i="20" s="1"/>
  <c r="AF375" i="20" s="1"/>
  <c r="AD375" i="20" s="1"/>
  <c r="AI343" i="20"/>
  <c r="AH343" i="20" s="1"/>
  <c r="AG343" i="20" s="1"/>
  <c r="AF343" i="20" s="1"/>
  <c r="AD343" i="20" s="1"/>
  <c r="AI311" i="20"/>
  <c r="AH311" i="20" s="1"/>
  <c r="AG311" i="20" s="1"/>
  <c r="AF311" i="20" s="1"/>
  <c r="AD311" i="20" s="1"/>
  <c r="AI279" i="20"/>
  <c r="AH279" i="20" s="1"/>
  <c r="AG279" i="20" s="1"/>
  <c r="AF279" i="20" s="1"/>
  <c r="AD279" i="20" s="1"/>
  <c r="AI247" i="20"/>
  <c r="AH247" i="20" s="1"/>
  <c r="AG247" i="20" s="1"/>
  <c r="AF247" i="20" s="1"/>
  <c r="AD247" i="20" s="1"/>
  <c r="AI215" i="20"/>
  <c r="AH215" i="20" s="1"/>
  <c r="AG215" i="20" s="1"/>
  <c r="AF215" i="20" s="1"/>
  <c r="AD215" i="20" s="1"/>
  <c r="AI183" i="20"/>
  <c r="AH183" i="20" s="1"/>
  <c r="AG183" i="20" s="1"/>
  <c r="AF183" i="20" s="1"/>
  <c r="AD183" i="20" s="1"/>
  <c r="AI151" i="20"/>
  <c r="AH151" i="20" s="1"/>
  <c r="AG151" i="20" s="1"/>
  <c r="AF151" i="20" s="1"/>
  <c r="AD151" i="20" s="1"/>
  <c r="AI119" i="20"/>
  <c r="AH119" i="20" s="1"/>
  <c r="AG119" i="20" s="1"/>
  <c r="AF119" i="20" s="1"/>
  <c r="AD119" i="20" s="1"/>
  <c r="AI87" i="20"/>
  <c r="AH87" i="20" s="1"/>
  <c r="AG87" i="20" s="1"/>
  <c r="AF87" i="20" s="1"/>
  <c r="AD87" i="20" s="1"/>
  <c r="AI55" i="20"/>
  <c r="AH55" i="20" s="1"/>
  <c r="AG55" i="20" s="1"/>
  <c r="AF55" i="20" s="1"/>
  <c r="AD55" i="20" s="1"/>
  <c r="AI23" i="20"/>
  <c r="AH23" i="20" s="1"/>
  <c r="AG23" i="20" s="1"/>
  <c r="AF23" i="20" s="1"/>
  <c r="AD23" i="20" s="1"/>
  <c r="U27" i="20"/>
  <c r="T27" i="20" s="1"/>
  <c r="S27" i="20" s="1"/>
  <c r="R27" i="20" s="1"/>
  <c r="P27" i="20" s="1"/>
  <c r="V27" i="20" s="1"/>
  <c r="U43" i="20"/>
  <c r="T43" i="20" s="1"/>
  <c r="S43" i="20" s="1"/>
  <c r="R43" i="20" s="1"/>
  <c r="P43" i="20" s="1"/>
  <c r="V43" i="20" s="1"/>
  <c r="U59" i="20"/>
  <c r="T59" i="20" s="1"/>
  <c r="S59" i="20" s="1"/>
  <c r="R59" i="20" s="1"/>
  <c r="P59" i="20" s="1"/>
  <c r="V59" i="20" s="1"/>
  <c r="U75" i="20"/>
  <c r="T75" i="20" s="1"/>
  <c r="S75" i="20" s="1"/>
  <c r="R75" i="20" s="1"/>
  <c r="P75" i="20" s="1"/>
  <c r="V75" i="20" s="1"/>
  <c r="U91" i="20"/>
  <c r="T91" i="20" s="1"/>
  <c r="S91" i="20" s="1"/>
  <c r="R91" i="20" s="1"/>
  <c r="P91" i="20" s="1"/>
  <c r="V91" i="20" s="1"/>
  <c r="U107" i="20"/>
  <c r="T107" i="20" s="1"/>
  <c r="S107" i="20" s="1"/>
  <c r="R107" i="20" s="1"/>
  <c r="P107" i="20" s="1"/>
  <c r="V107" i="20" s="1"/>
  <c r="U123" i="20"/>
  <c r="T123" i="20" s="1"/>
  <c r="S123" i="20" s="1"/>
  <c r="R123" i="20" s="1"/>
  <c r="P123" i="20" s="1"/>
  <c r="V123" i="20" s="1"/>
  <c r="U139" i="20"/>
  <c r="T139" i="20" s="1"/>
  <c r="S139" i="20" s="1"/>
  <c r="R139" i="20" s="1"/>
  <c r="P139" i="20" s="1"/>
  <c r="V139" i="20" s="1"/>
  <c r="U155" i="20"/>
  <c r="T155" i="20" s="1"/>
  <c r="S155" i="20" s="1"/>
  <c r="R155" i="20" s="1"/>
  <c r="P155" i="20" s="1"/>
  <c r="V155" i="20" s="1"/>
  <c r="U171" i="20"/>
  <c r="T171" i="20" s="1"/>
  <c r="S171" i="20" s="1"/>
  <c r="R171" i="20" s="1"/>
  <c r="P171" i="20" s="1"/>
  <c r="V171" i="20" s="1"/>
  <c r="U187" i="20"/>
  <c r="T187" i="20" s="1"/>
  <c r="S187" i="20" s="1"/>
  <c r="R187" i="20" s="1"/>
  <c r="P187" i="20" s="1"/>
  <c r="V187" i="20" s="1"/>
  <c r="U203" i="20"/>
  <c r="T203" i="20" s="1"/>
  <c r="S203" i="20" s="1"/>
  <c r="R203" i="20" s="1"/>
  <c r="P203" i="20" s="1"/>
  <c r="V203" i="20" s="1"/>
  <c r="U219" i="20"/>
  <c r="T219" i="20" s="1"/>
  <c r="S219" i="20" s="1"/>
  <c r="R219" i="20" s="1"/>
  <c r="P219" i="20" s="1"/>
  <c r="V219" i="20" s="1"/>
  <c r="U235" i="20"/>
  <c r="T235" i="20" s="1"/>
  <c r="S235" i="20" s="1"/>
  <c r="R235" i="20" s="1"/>
  <c r="P235" i="20" s="1"/>
  <c r="V235" i="20" s="1"/>
  <c r="U251" i="20"/>
  <c r="T251" i="20" s="1"/>
  <c r="S251" i="20" s="1"/>
  <c r="R251" i="20" s="1"/>
  <c r="P251" i="20" s="1"/>
  <c r="V251" i="20" s="1"/>
  <c r="U267" i="20"/>
  <c r="T267" i="20" s="1"/>
  <c r="S267" i="20" s="1"/>
  <c r="R267" i="20" s="1"/>
  <c r="P267" i="20" s="1"/>
  <c r="V267" i="20" s="1"/>
  <c r="U283" i="20"/>
  <c r="T283" i="20" s="1"/>
  <c r="S283" i="20" s="1"/>
  <c r="R283" i="20" s="1"/>
  <c r="P283" i="20" s="1"/>
  <c r="V283" i="20" s="1"/>
  <c r="U299" i="20"/>
  <c r="T299" i="20" s="1"/>
  <c r="S299" i="20" s="1"/>
  <c r="R299" i="20" s="1"/>
  <c r="P299" i="20" s="1"/>
  <c r="V299" i="20" s="1"/>
  <c r="U315" i="20"/>
  <c r="T315" i="20" s="1"/>
  <c r="S315" i="20" s="1"/>
  <c r="R315" i="20" s="1"/>
  <c r="P315" i="20" s="1"/>
  <c r="V315" i="20" s="1"/>
  <c r="U331" i="20"/>
  <c r="T331" i="20" s="1"/>
  <c r="S331" i="20" s="1"/>
  <c r="R331" i="20" s="1"/>
  <c r="P331" i="20" s="1"/>
  <c r="V331" i="20" s="1"/>
  <c r="U347" i="20"/>
  <c r="T347" i="20" s="1"/>
  <c r="S347" i="20" s="1"/>
  <c r="R347" i="20" s="1"/>
  <c r="P347" i="20" s="1"/>
  <c r="V347" i="20" s="1"/>
  <c r="U363" i="20"/>
  <c r="T363" i="20" s="1"/>
  <c r="S363" i="20" s="1"/>
  <c r="R363" i="20" s="1"/>
  <c r="P363" i="20" s="1"/>
  <c r="V363" i="20" s="1"/>
  <c r="U379" i="20"/>
  <c r="AI348" i="20"/>
  <c r="AH348" i="20" s="1"/>
  <c r="AG348" i="20" s="1"/>
  <c r="AF348" i="20" s="1"/>
  <c r="AD348" i="20" s="1"/>
  <c r="AI316" i="20"/>
  <c r="AH316" i="20" s="1"/>
  <c r="AG316" i="20" s="1"/>
  <c r="AF316" i="20" s="1"/>
  <c r="AD316" i="20" s="1"/>
  <c r="AI284" i="20"/>
  <c r="AH284" i="20" s="1"/>
  <c r="AG284" i="20" s="1"/>
  <c r="AF284" i="20" s="1"/>
  <c r="AD284" i="20" s="1"/>
  <c r="AI252" i="20"/>
  <c r="AH252" i="20" s="1"/>
  <c r="AG252" i="20" s="1"/>
  <c r="AF252" i="20" s="1"/>
  <c r="AD252" i="20" s="1"/>
  <c r="AI220" i="20"/>
  <c r="AH220" i="20" s="1"/>
  <c r="AG220" i="20" s="1"/>
  <c r="AF220" i="20" s="1"/>
  <c r="AD220" i="20" s="1"/>
  <c r="AI188" i="20"/>
  <c r="AH188" i="20" s="1"/>
  <c r="AG188" i="20" s="1"/>
  <c r="AF188" i="20" s="1"/>
  <c r="AD188" i="20" s="1"/>
  <c r="AI156" i="20"/>
  <c r="AH156" i="20" s="1"/>
  <c r="AG156" i="20" s="1"/>
  <c r="AF156" i="20" s="1"/>
  <c r="AD156" i="20" s="1"/>
  <c r="AI124" i="20"/>
  <c r="AH124" i="20" s="1"/>
  <c r="AG124" i="20" s="1"/>
  <c r="AF124" i="20" s="1"/>
  <c r="AD124" i="20" s="1"/>
  <c r="AI15" i="20"/>
  <c r="AI34" i="20"/>
  <c r="AH34" i="20" s="1"/>
  <c r="AG34" i="20" s="1"/>
  <c r="AF34" i="20" s="1"/>
  <c r="AD34" i="20" s="1"/>
  <c r="AI50" i="20"/>
  <c r="AH50" i="20" s="1"/>
  <c r="AG50" i="20" s="1"/>
  <c r="AF50" i="20" s="1"/>
  <c r="AD50" i="20" s="1"/>
  <c r="AI66" i="20"/>
  <c r="AH66" i="20" s="1"/>
  <c r="AG66" i="20" s="1"/>
  <c r="AF66" i="20" s="1"/>
  <c r="AD66" i="20" s="1"/>
  <c r="AI82" i="20"/>
  <c r="AH82" i="20" s="1"/>
  <c r="AG82" i="20" s="1"/>
  <c r="AF82" i="20" s="1"/>
  <c r="AD82" i="20" s="1"/>
  <c r="AI98" i="20"/>
  <c r="AH98" i="20" s="1"/>
  <c r="AG98" i="20" s="1"/>
  <c r="AF98" i="20" s="1"/>
  <c r="AD98" i="20" s="1"/>
  <c r="AI116" i="20"/>
  <c r="AH116" i="20" s="1"/>
  <c r="AG116" i="20" s="1"/>
  <c r="AF116" i="20" s="1"/>
  <c r="AD116" i="20" s="1"/>
  <c r="AI180" i="20"/>
  <c r="AH180" i="20" s="1"/>
  <c r="AG180" i="20" s="1"/>
  <c r="AF180" i="20" s="1"/>
  <c r="AD180" i="20" s="1"/>
  <c r="AI244" i="20"/>
  <c r="AH244" i="20" s="1"/>
  <c r="AG244" i="20" s="1"/>
  <c r="AF244" i="20" s="1"/>
  <c r="AD244" i="20" s="1"/>
  <c r="AI308" i="20"/>
  <c r="AH308" i="20" s="1"/>
  <c r="AG308" i="20" s="1"/>
  <c r="AF308" i="20" s="1"/>
  <c r="AD308" i="20" s="1"/>
  <c r="AI372" i="20"/>
  <c r="AH372" i="20" s="1"/>
  <c r="AG372" i="20" s="1"/>
  <c r="AF372" i="20" s="1"/>
  <c r="AD372" i="20" s="1"/>
  <c r="U351" i="20"/>
  <c r="T351" i="20" s="1"/>
  <c r="S351" i="20" s="1"/>
  <c r="R351" i="20" s="1"/>
  <c r="P351" i="20" s="1"/>
  <c r="V351" i="20" s="1"/>
  <c r="U319" i="20"/>
  <c r="T319" i="20" s="1"/>
  <c r="S319" i="20" s="1"/>
  <c r="R319" i="20" s="1"/>
  <c r="P319" i="20" s="1"/>
  <c r="V319" i="20" s="1"/>
  <c r="U287" i="20"/>
  <c r="T287" i="20" s="1"/>
  <c r="S287" i="20" s="1"/>
  <c r="R287" i="20" s="1"/>
  <c r="P287" i="20" s="1"/>
  <c r="V287" i="20" s="1"/>
  <c r="U255" i="20"/>
  <c r="T255" i="20" s="1"/>
  <c r="S255" i="20" s="1"/>
  <c r="R255" i="20" s="1"/>
  <c r="P255" i="20" s="1"/>
  <c r="V255" i="20" s="1"/>
  <c r="U223" i="20"/>
  <c r="T223" i="20" s="1"/>
  <c r="S223" i="20" s="1"/>
  <c r="R223" i="20" s="1"/>
  <c r="P223" i="20" s="1"/>
  <c r="V223" i="20" s="1"/>
  <c r="U191" i="20"/>
  <c r="T191" i="20" s="1"/>
  <c r="S191" i="20" s="1"/>
  <c r="R191" i="20" s="1"/>
  <c r="P191" i="20" s="1"/>
  <c r="V191" i="20" s="1"/>
  <c r="U159" i="20"/>
  <c r="T159" i="20" s="1"/>
  <c r="S159" i="20" s="1"/>
  <c r="R159" i="20" s="1"/>
  <c r="P159" i="20" s="1"/>
  <c r="V159" i="20" s="1"/>
  <c r="U127" i="20"/>
  <c r="T127" i="20" s="1"/>
  <c r="S127" i="20" s="1"/>
  <c r="R127" i="20" s="1"/>
  <c r="P127" i="20" s="1"/>
  <c r="V127" i="20" s="1"/>
  <c r="U95" i="20"/>
  <c r="T95" i="20" s="1"/>
  <c r="S95" i="20" s="1"/>
  <c r="R95" i="20" s="1"/>
  <c r="P95" i="20" s="1"/>
  <c r="V95" i="20" s="1"/>
  <c r="U63" i="20"/>
  <c r="T63" i="20" s="1"/>
  <c r="S63" i="20" s="1"/>
  <c r="R63" i="20" s="1"/>
  <c r="P63" i="20" s="1"/>
  <c r="V63" i="20" s="1"/>
  <c r="U31" i="20"/>
  <c r="T31" i="20" s="1"/>
  <c r="S31" i="20" s="1"/>
  <c r="R31" i="20" s="1"/>
  <c r="P31" i="20" s="1"/>
  <c r="V31" i="20" s="1"/>
  <c r="AI21" i="20"/>
  <c r="AH21" i="20" s="1"/>
  <c r="AG21" i="20" s="1"/>
  <c r="AF21" i="20" s="1"/>
  <c r="AD21" i="20" s="1"/>
  <c r="AI79" i="20"/>
  <c r="AH79" i="20" s="1"/>
  <c r="AG79" i="20" s="1"/>
  <c r="AF79" i="20" s="1"/>
  <c r="AD79" i="20" s="1"/>
  <c r="AI143" i="20"/>
  <c r="AH143" i="20" s="1"/>
  <c r="AG143" i="20" s="1"/>
  <c r="AF143" i="20" s="1"/>
  <c r="AD143" i="20" s="1"/>
  <c r="AI207" i="20"/>
  <c r="AH207" i="20" s="1"/>
  <c r="AG207" i="20" s="1"/>
  <c r="AF207" i="20" s="1"/>
  <c r="AD207" i="20" s="1"/>
  <c r="AI271" i="20"/>
  <c r="AH271" i="20" s="1"/>
  <c r="AG271" i="20" s="1"/>
  <c r="AF271" i="20" s="1"/>
  <c r="AD271" i="20" s="1"/>
  <c r="AI335" i="20"/>
  <c r="AH335" i="20" s="1"/>
  <c r="AG335" i="20" s="1"/>
  <c r="AF335" i="20" s="1"/>
  <c r="AD335" i="20" s="1"/>
  <c r="AI377" i="20"/>
  <c r="AH377" i="20" s="1"/>
  <c r="AG377" i="20" s="1"/>
  <c r="AF377" i="20" s="1"/>
  <c r="AD377" i="20" s="1"/>
  <c r="AI369" i="20"/>
  <c r="AH369" i="20" s="1"/>
  <c r="AG369" i="20" s="1"/>
  <c r="AF369" i="20" s="1"/>
  <c r="AD369" i="20" s="1"/>
  <c r="AI361" i="20"/>
  <c r="AH361" i="20" s="1"/>
  <c r="AG361" i="20" s="1"/>
  <c r="AF361" i="20" s="1"/>
  <c r="AD361" i="20" s="1"/>
  <c r="AI353" i="20"/>
  <c r="AH353" i="20" s="1"/>
  <c r="AG353" i="20" s="1"/>
  <c r="AF353" i="20" s="1"/>
  <c r="AD353" i="20" s="1"/>
  <c r="AI345" i="20"/>
  <c r="AH345" i="20" s="1"/>
  <c r="AG345" i="20" s="1"/>
  <c r="AF345" i="20" s="1"/>
  <c r="AD345" i="20" s="1"/>
  <c r="AI337" i="20"/>
  <c r="AH337" i="20" s="1"/>
  <c r="AG337" i="20" s="1"/>
  <c r="AF337" i="20" s="1"/>
  <c r="AD337" i="20" s="1"/>
  <c r="AI329" i="20"/>
  <c r="AH329" i="20" s="1"/>
  <c r="AG329" i="20" s="1"/>
  <c r="AF329" i="20" s="1"/>
  <c r="AD329" i="20" s="1"/>
  <c r="AI321" i="20"/>
  <c r="AH321" i="20" s="1"/>
  <c r="AG321" i="20" s="1"/>
  <c r="AF321" i="20" s="1"/>
  <c r="AD321" i="20" s="1"/>
  <c r="AI313" i="20"/>
  <c r="AH313" i="20" s="1"/>
  <c r="AG313" i="20" s="1"/>
  <c r="AF313" i="20" s="1"/>
  <c r="AD313" i="20" s="1"/>
  <c r="AI305" i="20"/>
  <c r="AH305" i="20" s="1"/>
  <c r="AG305" i="20" s="1"/>
  <c r="AF305" i="20" s="1"/>
  <c r="AD305" i="20" s="1"/>
  <c r="AI297" i="20"/>
  <c r="AH297" i="20" s="1"/>
  <c r="AG297" i="20" s="1"/>
  <c r="AF297" i="20" s="1"/>
  <c r="AD297" i="20" s="1"/>
  <c r="AI289" i="20"/>
  <c r="AH289" i="20" s="1"/>
  <c r="AG289" i="20" s="1"/>
  <c r="AF289" i="20" s="1"/>
  <c r="AD289" i="20" s="1"/>
  <c r="AI281" i="20"/>
  <c r="AH281" i="20" s="1"/>
  <c r="AG281" i="20" s="1"/>
  <c r="AF281" i="20" s="1"/>
  <c r="AD281" i="20" s="1"/>
  <c r="AI273" i="20"/>
  <c r="AH273" i="20" s="1"/>
  <c r="AG273" i="20" s="1"/>
  <c r="AF273" i="20" s="1"/>
  <c r="AD273" i="20" s="1"/>
  <c r="AD249" i="20"/>
  <c r="Q316" i="22"/>
  <c r="Q348" i="22"/>
  <c r="Q280" i="22"/>
  <c r="AD137" i="20"/>
  <c r="AD121" i="20"/>
  <c r="AD89" i="20"/>
  <c r="AD81" i="20"/>
  <c r="Q380" i="22"/>
  <c r="Q364" i="22"/>
  <c r="Q332" i="22"/>
  <c r="Q300" i="22"/>
  <c r="Q232" i="22"/>
  <c r="Q356" i="22"/>
  <c r="Q340" i="22"/>
  <c r="Q324" i="22"/>
  <c r="Q308" i="22"/>
  <c r="Q292" i="22"/>
  <c r="Q264" i="22"/>
  <c r="Q200" i="22"/>
  <c r="Q376" i="22"/>
  <c r="Q368" i="22"/>
  <c r="Q360" i="22"/>
  <c r="Q352" i="22"/>
  <c r="Q344" i="22"/>
  <c r="Q336" i="22"/>
  <c r="Q328" i="22"/>
  <c r="Q320" i="22"/>
  <c r="Q312" i="22"/>
  <c r="Q304" i="22"/>
  <c r="Q296" i="22"/>
  <c r="Q288" i="22"/>
  <c r="Q272" i="22"/>
  <c r="Q248" i="22"/>
  <c r="Q216" i="22"/>
  <c r="Q150" i="22"/>
  <c r="Q284" i="22"/>
  <c r="Q276" i="22"/>
  <c r="Q268" i="22"/>
  <c r="Q256" i="22"/>
  <c r="Q240" i="22"/>
  <c r="Q224" i="22"/>
  <c r="Q208" i="22"/>
  <c r="Q182" i="22"/>
  <c r="Q110" i="22"/>
  <c r="AA15" i="16"/>
  <c r="AL9" i="16" s="1"/>
  <c r="G15" i="16"/>
  <c r="BY15" i="6" s="1"/>
  <c r="H15" i="16"/>
  <c r="Y15" i="15"/>
  <c r="AL5" i="15" s="1"/>
  <c r="AL11" i="15" s="1"/>
  <c r="AJ3" i="15" s="1"/>
  <c r="O12" i="19" s="1"/>
  <c r="I380" i="18"/>
  <c r="J380" i="18"/>
  <c r="Q260" i="22"/>
  <c r="Q252" i="22"/>
  <c r="Q244" i="22"/>
  <c r="Q236" i="22"/>
  <c r="Q228" i="22"/>
  <c r="Q220" i="22"/>
  <c r="Q212" i="22"/>
  <c r="Q204" i="22"/>
  <c r="Q196" i="22"/>
  <c r="Q166" i="22"/>
  <c r="Q134" i="22"/>
  <c r="Q78" i="22"/>
  <c r="Q378" i="22"/>
  <c r="Q374" i="22"/>
  <c r="Q370" i="22"/>
  <c r="Q366" i="22"/>
  <c r="Q362" i="22"/>
  <c r="Q358" i="22"/>
  <c r="Q354" i="22"/>
  <c r="Q350" i="22"/>
  <c r="Q346" i="22"/>
  <c r="Q342" i="22"/>
  <c r="Q338" i="22"/>
  <c r="Q334" i="22"/>
  <c r="Q330" i="22"/>
  <c r="Q326" i="22"/>
  <c r="Q322" i="22"/>
  <c r="Q318" i="22"/>
  <c r="Q314" i="22"/>
  <c r="Q310" i="22"/>
  <c r="Q306" i="22"/>
  <c r="Q302" i="22"/>
  <c r="Q298" i="22"/>
  <c r="Q294" i="22"/>
  <c r="Q290" i="22"/>
  <c r="Q286" i="22"/>
  <c r="Q282" i="22"/>
  <c r="Q278" i="22"/>
  <c r="Q274" i="22"/>
  <c r="Q270" i="22"/>
  <c r="Q266" i="22"/>
  <c r="Q262" i="22"/>
  <c r="Q258" i="22"/>
  <c r="Q254" i="22"/>
  <c r="Q250" i="22"/>
  <c r="Q246" i="22"/>
  <c r="Q242" i="22"/>
  <c r="Q238" i="22"/>
  <c r="Q234" i="22"/>
  <c r="Q230" i="22"/>
  <c r="Q226" i="22"/>
  <c r="Q222" i="22"/>
  <c r="Q218" i="22"/>
  <c r="Q214" i="22"/>
  <c r="Q210" i="22"/>
  <c r="Q206" i="22"/>
  <c r="Q202" i="22"/>
  <c r="Q198" i="22"/>
  <c r="Q190" i="22"/>
  <c r="Q174" i="22"/>
  <c r="Q158" i="22"/>
  <c r="Q142" i="22"/>
  <c r="Q126" i="22"/>
  <c r="Q94" i="22"/>
  <c r="Q46" i="22"/>
  <c r="Q118" i="22"/>
  <c r="Q102" i="22"/>
  <c r="Q86" i="22"/>
  <c r="Q62" i="22"/>
  <c r="Q30" i="22"/>
  <c r="Q194" i="22"/>
  <c r="Q186" i="22"/>
  <c r="Q178" i="22"/>
  <c r="Q170" i="22"/>
  <c r="Q162" i="22"/>
  <c r="Q154" i="22"/>
  <c r="Q146" i="22"/>
  <c r="Q138" i="22"/>
  <c r="Q130" i="22"/>
  <c r="Q122" i="22"/>
  <c r="Q114" i="22"/>
  <c r="Q106" i="22"/>
  <c r="Q98" i="22"/>
  <c r="Q90" i="22"/>
  <c r="Q82" i="22"/>
  <c r="Q70" i="22"/>
  <c r="Q54" i="22"/>
  <c r="Q38" i="22"/>
  <c r="Q22" i="22"/>
  <c r="Q379" i="22"/>
  <c r="Q12" i="23" s="1"/>
  <c r="Q377" i="22"/>
  <c r="Q375" i="22"/>
  <c r="Q373" i="22"/>
  <c r="Q371" i="22"/>
  <c r="Q369" i="22"/>
  <c r="Q367" i="22"/>
  <c r="Q365" i="22"/>
  <c r="Q363" i="22"/>
  <c r="Q361" i="22"/>
  <c r="Q359" i="22"/>
  <c r="Q357" i="22"/>
  <c r="Q355" i="22"/>
  <c r="Q353" i="22"/>
  <c r="Q351" i="22"/>
  <c r="Q349" i="22"/>
  <c r="Q347" i="22"/>
  <c r="Q345" i="22"/>
  <c r="Q343" i="22"/>
  <c r="Q341" i="22"/>
  <c r="Q339" i="22"/>
  <c r="Q337" i="22"/>
  <c r="Q335" i="22"/>
  <c r="Q333" i="22"/>
  <c r="Q331" i="22"/>
  <c r="Q329" i="22"/>
  <c r="Q327" i="22"/>
  <c r="Q325" i="22"/>
  <c r="Q323" i="22"/>
  <c r="Q321" i="22"/>
  <c r="Q319" i="22"/>
  <c r="Q317" i="22"/>
  <c r="Q315" i="22"/>
  <c r="Q313" i="22"/>
  <c r="Q311" i="22"/>
  <c r="Q309" i="22"/>
  <c r="Q307" i="22"/>
  <c r="Q305" i="22"/>
  <c r="Q303" i="22"/>
  <c r="Q301" i="22"/>
  <c r="Q299" i="22"/>
  <c r="Q297" i="22"/>
  <c r="Q295" i="22"/>
  <c r="Q293" i="22"/>
  <c r="Q291" i="22"/>
  <c r="Q289" i="22"/>
  <c r="Q287" i="22"/>
  <c r="Q285" i="22"/>
  <c r="Q283" i="22"/>
  <c r="Q281" i="22"/>
  <c r="Q279" i="22"/>
  <c r="Q277" i="22"/>
  <c r="Q275" i="22"/>
  <c r="Q273" i="22"/>
  <c r="Q271" i="22"/>
  <c r="Q269" i="22"/>
  <c r="Q267" i="22"/>
  <c r="Q265" i="22"/>
  <c r="Q263" i="22"/>
  <c r="Q261" i="22"/>
  <c r="Q259" i="22"/>
  <c r="Q257" i="22"/>
  <c r="Q255" i="22"/>
  <c r="Q253" i="22"/>
  <c r="Q251" i="22"/>
  <c r="Q249" i="22"/>
  <c r="Q247" i="22"/>
  <c r="Q245" i="22"/>
  <c r="Q243" i="22"/>
  <c r="Q241" i="22"/>
  <c r="Q239" i="22"/>
  <c r="Q237" i="22"/>
  <c r="Q235" i="22"/>
  <c r="Q233" i="22"/>
  <c r="Q231" i="22"/>
  <c r="Q229" i="22"/>
  <c r="Q227" i="22"/>
  <c r="Q225" i="22"/>
  <c r="Q223" i="22"/>
  <c r="Q221" i="22"/>
  <c r="Q219" i="22"/>
  <c r="Q217" i="22"/>
  <c r="Q215" i="22"/>
  <c r="Q213" i="22"/>
  <c r="Q211" i="22"/>
  <c r="Q209" i="22"/>
  <c r="Q207" i="22"/>
  <c r="Q205" i="22"/>
  <c r="Q203" i="22"/>
  <c r="Q201" i="22"/>
  <c r="Q199" i="22"/>
  <c r="Q197" i="22"/>
  <c r="Q195" i="22"/>
  <c r="Q192" i="22"/>
  <c r="Q188" i="22"/>
  <c r="Q184" i="22"/>
  <c r="Q180" i="22"/>
  <c r="Q176" i="22"/>
  <c r="Q172" i="22"/>
  <c r="Q168" i="22"/>
  <c r="Q164" i="22"/>
  <c r="Q160" i="22"/>
  <c r="Q156" i="22"/>
  <c r="Q152" i="22"/>
  <c r="Q148" i="22"/>
  <c r="Q144" i="22"/>
  <c r="Q140" i="22"/>
  <c r="Q136" i="22"/>
  <c r="Q132" i="22"/>
  <c r="Q128" i="22"/>
  <c r="Q124" i="22"/>
  <c r="Q120" i="22"/>
  <c r="Q116" i="22"/>
  <c r="Q112" i="22"/>
  <c r="Q108" i="22"/>
  <c r="Q104" i="22"/>
  <c r="Q100" i="22"/>
  <c r="Q96" i="22"/>
  <c r="Q92" i="22"/>
  <c r="Q88" i="22"/>
  <c r="Q84" i="22"/>
  <c r="Q80" i="22"/>
  <c r="Q74" i="22"/>
  <c r="Q66" i="22"/>
  <c r="Q58" i="22"/>
  <c r="Q50" i="22"/>
  <c r="Q42" i="22"/>
  <c r="Q34" i="22"/>
  <c r="Q26" i="22"/>
  <c r="Q15" i="22"/>
  <c r="AG381" i="18"/>
  <c r="AF15" i="18"/>
  <c r="AG383" i="18"/>
  <c r="AG382" i="18"/>
  <c r="Q76" i="22"/>
  <c r="Q72" i="22"/>
  <c r="Q68" i="22"/>
  <c r="Q64" i="22"/>
  <c r="Q60" i="22"/>
  <c r="Q56" i="22"/>
  <c r="Q52" i="22"/>
  <c r="Q48" i="22"/>
  <c r="Q44" i="22"/>
  <c r="Q40" i="22"/>
  <c r="Q36" i="22"/>
  <c r="Q32" i="22"/>
  <c r="Q28" i="22"/>
  <c r="Q24" i="22"/>
  <c r="Q20" i="22"/>
  <c r="V210" i="20"/>
  <c r="AH20" i="7"/>
  <c r="V29" i="20"/>
  <c r="AH27" i="7"/>
  <c r="V241" i="20"/>
  <c r="AH30" i="7"/>
  <c r="V333" i="20"/>
  <c r="AH28" i="7"/>
  <c r="V272" i="20"/>
  <c r="B64" i="19"/>
  <c r="V382" i="17"/>
  <c r="V383" i="17"/>
  <c r="V381" i="17"/>
  <c r="AO15" i="7"/>
  <c r="AE17" i="22"/>
  <c r="AE19" i="22"/>
  <c r="AE18" i="22"/>
  <c r="AE21" i="22"/>
  <c r="AE23" i="22"/>
  <c r="AE25" i="22"/>
  <c r="AE27" i="22"/>
  <c r="AE29" i="22"/>
  <c r="AE31" i="22"/>
  <c r="AE33" i="22"/>
  <c r="AE35" i="22"/>
  <c r="AE37" i="22"/>
  <c r="AE39" i="22"/>
  <c r="AE41" i="22"/>
  <c r="AE43" i="22"/>
  <c r="AE45" i="22"/>
  <c r="AE47" i="22"/>
  <c r="AE49" i="22"/>
  <c r="AE51" i="22"/>
  <c r="AE53" i="22"/>
  <c r="AE55" i="22"/>
  <c r="AE57" i="22"/>
  <c r="AE59" i="22"/>
  <c r="AE61" i="22"/>
  <c r="AE63" i="22"/>
  <c r="AE65" i="22"/>
  <c r="AE67" i="22"/>
  <c r="AE69" i="22"/>
  <c r="AE71" i="22"/>
  <c r="AE73" i="22"/>
  <c r="AE75" i="22"/>
  <c r="AE77" i="22"/>
  <c r="AE79" i="22"/>
  <c r="AE81" i="22"/>
  <c r="AE83" i="22"/>
  <c r="AE85" i="22"/>
  <c r="AE87" i="22"/>
  <c r="AE89" i="22"/>
  <c r="AE91" i="22"/>
  <c r="AE93" i="22"/>
  <c r="AE95" i="22"/>
  <c r="AE97" i="22"/>
  <c r="AE99" i="22"/>
  <c r="AE101" i="22"/>
  <c r="AE103" i="22"/>
  <c r="AE105" i="22"/>
  <c r="AE107" i="22"/>
  <c r="AE109" i="22"/>
  <c r="AE111" i="22"/>
  <c r="AE113" i="22"/>
  <c r="AE115" i="22"/>
  <c r="AE117" i="22"/>
  <c r="AE119" i="22"/>
  <c r="AE121" i="22"/>
  <c r="AE123" i="22"/>
  <c r="AE125" i="22"/>
  <c r="AE127" i="22"/>
  <c r="AE129" i="22"/>
  <c r="AE131" i="22"/>
  <c r="AE133" i="22"/>
  <c r="AE135" i="22"/>
  <c r="AE137" i="22"/>
  <c r="AE139" i="22"/>
  <c r="AE141" i="22"/>
  <c r="AE143" i="22"/>
  <c r="AE145" i="22"/>
  <c r="AE147" i="22"/>
  <c r="AE149" i="22"/>
  <c r="AE151" i="22"/>
  <c r="AE153" i="22"/>
  <c r="AE155" i="22"/>
  <c r="AE157" i="22"/>
  <c r="AE159" i="22"/>
  <c r="AE161" i="22"/>
  <c r="AE163" i="22"/>
  <c r="AE165" i="22"/>
  <c r="AE167" i="22"/>
  <c r="AE169" i="22"/>
  <c r="AE171" i="22"/>
  <c r="AE173" i="22"/>
  <c r="AE175" i="22"/>
  <c r="AE177" i="22"/>
  <c r="AE179" i="22"/>
  <c r="AE181" i="22"/>
  <c r="AE183" i="22"/>
  <c r="AE185" i="22"/>
  <c r="AE187" i="22"/>
  <c r="AE189" i="22"/>
  <c r="AE191" i="22"/>
  <c r="AE193" i="22"/>
  <c r="AE195" i="22"/>
  <c r="AE197" i="22"/>
  <c r="AE199" i="22"/>
  <c r="AE201" i="22"/>
  <c r="AE203" i="22"/>
  <c r="AE205" i="22"/>
  <c r="AE207" i="22"/>
  <c r="AE209" i="22"/>
  <c r="AE211" i="22"/>
  <c r="AE213" i="22"/>
  <c r="AE215" i="22"/>
  <c r="AE217" i="22"/>
  <c r="AE219" i="22"/>
  <c r="AE221" i="22"/>
  <c r="AE223" i="22"/>
  <c r="AE225" i="22"/>
  <c r="AE227" i="22"/>
  <c r="AE229" i="22"/>
  <c r="AE231" i="22"/>
  <c r="AE233" i="22"/>
  <c r="AE235" i="22"/>
  <c r="AE237" i="22"/>
  <c r="AE239" i="22"/>
  <c r="AE241" i="22"/>
  <c r="AE243" i="22"/>
  <c r="AE245" i="22"/>
  <c r="AE247" i="22"/>
  <c r="AE249" i="22"/>
  <c r="AE251" i="22"/>
  <c r="AE253" i="22"/>
  <c r="AE255" i="22"/>
  <c r="AE257" i="22"/>
  <c r="AE259" i="22"/>
  <c r="AE261" i="22"/>
  <c r="AE263" i="22"/>
  <c r="AE265" i="22"/>
  <c r="AE267" i="22"/>
  <c r="AE269" i="22"/>
  <c r="AE271" i="22"/>
  <c r="AE273" i="22"/>
  <c r="AE275" i="22"/>
  <c r="AE277" i="22"/>
  <c r="AE279" i="22"/>
  <c r="AE281" i="22"/>
  <c r="AE283" i="22"/>
  <c r="AE285" i="22"/>
  <c r="AE287" i="22"/>
  <c r="AE289" i="22"/>
  <c r="AE291" i="22"/>
  <c r="AE293" i="22"/>
  <c r="AE295" i="22"/>
  <c r="AE297" i="22"/>
  <c r="AE299" i="22"/>
  <c r="AE301" i="22"/>
  <c r="AE303" i="22"/>
  <c r="AE305" i="22"/>
  <c r="AE307" i="22"/>
  <c r="AE309" i="22"/>
  <c r="AE311" i="22"/>
  <c r="AE313" i="22"/>
  <c r="AE315" i="22"/>
  <c r="AE317" i="22"/>
  <c r="AE319" i="22"/>
  <c r="AE321" i="22"/>
  <c r="AE323" i="22"/>
  <c r="AE325" i="22"/>
  <c r="AE327" i="22"/>
  <c r="AE329" i="22"/>
  <c r="AE331" i="22"/>
  <c r="AE333" i="22"/>
  <c r="AE335" i="22"/>
  <c r="AE337" i="22"/>
  <c r="AE339" i="22"/>
  <c r="AE341" i="22"/>
  <c r="AE343" i="22"/>
  <c r="AE345" i="22"/>
  <c r="AE347" i="22"/>
  <c r="AE349" i="22"/>
  <c r="AE351" i="22"/>
  <c r="AE353" i="22"/>
  <c r="AE355" i="22"/>
  <c r="AE357" i="22"/>
  <c r="AE359" i="22"/>
  <c r="AE361" i="22"/>
  <c r="AE363" i="22"/>
  <c r="AE365" i="22"/>
  <c r="AE367" i="22"/>
  <c r="AE369" i="22"/>
  <c r="AE371" i="22"/>
  <c r="AE373" i="22"/>
  <c r="AE375" i="22"/>
  <c r="AE377" i="22"/>
  <c r="AE379" i="22"/>
  <c r="AE12" i="23" s="1"/>
  <c r="AE15" i="22"/>
  <c r="AE16" i="22"/>
  <c r="AE20" i="22"/>
  <c r="AE22" i="22"/>
  <c r="AE24" i="22"/>
  <c r="AE26" i="22"/>
  <c r="AE28" i="22"/>
  <c r="AE30" i="22"/>
  <c r="AE32" i="22"/>
  <c r="AE34" i="22"/>
  <c r="AE36" i="22"/>
  <c r="AE38" i="22"/>
  <c r="AE40" i="22"/>
  <c r="AE42" i="22"/>
  <c r="AE44" i="22"/>
  <c r="AE46" i="22"/>
  <c r="AE48" i="22"/>
  <c r="AE50" i="22"/>
  <c r="AE52" i="22"/>
  <c r="AE54" i="22"/>
  <c r="AE56" i="22"/>
  <c r="AE58" i="22"/>
  <c r="AE60" i="22"/>
  <c r="AE62" i="22"/>
  <c r="AE64" i="22"/>
  <c r="AE66" i="22"/>
  <c r="AE68" i="22"/>
  <c r="AE70" i="22"/>
  <c r="AE72" i="22"/>
  <c r="AE74" i="22"/>
  <c r="AE76" i="22"/>
  <c r="AE78" i="22"/>
  <c r="AE80" i="22"/>
  <c r="AE82" i="22"/>
  <c r="AE84" i="22"/>
  <c r="AE86" i="22"/>
  <c r="AE88" i="22"/>
  <c r="AE90" i="22"/>
  <c r="AE92" i="22"/>
  <c r="AE94" i="22"/>
  <c r="AE96" i="22"/>
  <c r="AE98" i="22"/>
  <c r="AE100" i="22"/>
  <c r="AE102" i="22"/>
  <c r="AE104" i="22"/>
  <c r="AE106" i="22"/>
  <c r="AE108" i="22"/>
  <c r="AE110" i="22"/>
  <c r="AE112" i="22"/>
  <c r="AE114" i="22"/>
  <c r="AE116" i="22"/>
  <c r="AE118" i="22"/>
  <c r="AE120" i="22"/>
  <c r="AE122" i="22"/>
  <c r="AE124" i="22"/>
  <c r="AE126" i="22"/>
  <c r="AE128" i="22"/>
  <c r="AE130" i="22"/>
  <c r="AE132" i="22"/>
  <c r="AE134" i="22"/>
  <c r="AE136" i="22"/>
  <c r="AE138" i="22"/>
  <c r="AE140" i="22"/>
  <c r="AE142" i="22"/>
  <c r="AE144" i="22"/>
  <c r="AE146" i="22"/>
  <c r="AE148" i="22"/>
  <c r="AE150" i="22"/>
  <c r="AE152" i="22"/>
  <c r="AE154" i="22"/>
  <c r="AE156" i="22"/>
  <c r="AE158" i="22"/>
  <c r="AE160" i="22"/>
  <c r="AE162" i="22"/>
  <c r="AE164" i="22"/>
  <c r="AE166" i="22"/>
  <c r="AE168" i="22"/>
  <c r="AE170" i="22"/>
  <c r="AE172" i="22"/>
  <c r="AE174" i="22"/>
  <c r="AE176" i="22"/>
  <c r="AE178" i="22"/>
  <c r="AE180" i="22"/>
  <c r="AE182" i="22"/>
  <c r="AE184" i="22"/>
  <c r="AE186" i="22"/>
  <c r="AE188" i="22"/>
  <c r="AE190" i="22"/>
  <c r="AE192" i="22"/>
  <c r="AE194" i="22"/>
  <c r="AE196" i="22"/>
  <c r="AE198" i="22"/>
  <c r="AE200" i="22"/>
  <c r="AE202" i="22"/>
  <c r="AE204" i="22"/>
  <c r="AE206" i="22"/>
  <c r="AE208" i="22"/>
  <c r="AE210" i="22"/>
  <c r="AE212" i="22"/>
  <c r="AE214" i="22"/>
  <c r="AE216" i="22"/>
  <c r="AE218" i="22"/>
  <c r="AE220" i="22"/>
  <c r="AE222" i="22"/>
  <c r="AE224" i="22"/>
  <c r="AE226" i="22"/>
  <c r="AE228" i="22"/>
  <c r="AE230" i="22"/>
  <c r="AE232" i="22"/>
  <c r="AE234" i="22"/>
  <c r="AE236" i="22"/>
  <c r="AE238" i="22"/>
  <c r="AE240" i="22"/>
  <c r="AE242" i="22"/>
  <c r="AE244" i="22"/>
  <c r="AE246" i="22"/>
  <c r="AE248" i="22"/>
  <c r="AE250" i="22"/>
  <c r="AE252" i="22"/>
  <c r="AE254" i="22"/>
  <c r="AE256" i="22"/>
  <c r="AE258" i="22"/>
  <c r="AE260" i="22"/>
  <c r="AE262" i="22"/>
  <c r="AE264" i="22"/>
  <c r="AE266" i="22"/>
  <c r="AE268" i="22"/>
  <c r="AE270" i="22"/>
  <c r="AE272" i="22"/>
  <c r="AE274" i="22"/>
  <c r="AE276" i="22"/>
  <c r="AE278" i="22"/>
  <c r="AE280" i="22"/>
  <c r="AE282" i="22"/>
  <c r="AE284" i="22"/>
  <c r="AE286" i="22"/>
  <c r="AE288" i="22"/>
  <c r="AE290" i="22"/>
  <c r="AE292" i="22"/>
  <c r="AE294" i="22"/>
  <c r="AE296" i="22"/>
  <c r="AE298" i="22"/>
  <c r="AE300" i="22"/>
  <c r="AE302" i="22"/>
  <c r="AE304" i="22"/>
  <c r="AE306" i="22"/>
  <c r="AE308" i="22"/>
  <c r="AE310" i="22"/>
  <c r="AE312" i="22"/>
  <c r="AE314" i="22"/>
  <c r="AE316" i="22"/>
  <c r="AE318" i="22"/>
  <c r="AE320" i="22"/>
  <c r="AE322" i="22"/>
  <c r="AE324" i="22"/>
  <c r="AE326" i="22"/>
  <c r="AE328" i="22"/>
  <c r="AE330" i="22"/>
  <c r="AE332" i="22"/>
  <c r="AE334" i="22"/>
  <c r="AE336" i="22"/>
  <c r="AE338" i="22"/>
  <c r="AE340" i="22"/>
  <c r="AE342" i="22"/>
  <c r="AE344" i="22"/>
  <c r="AE346" i="22"/>
  <c r="AE348" i="22"/>
  <c r="AE350" i="22"/>
  <c r="AE352" i="22"/>
  <c r="AE354" i="22"/>
  <c r="AE356" i="22"/>
  <c r="AE358" i="22"/>
  <c r="AE360" i="22"/>
  <c r="AE362" i="22"/>
  <c r="AE364" i="22"/>
  <c r="AE366" i="22"/>
  <c r="AE368" i="22"/>
  <c r="AE370" i="22"/>
  <c r="AE372" i="22"/>
  <c r="AE374" i="22"/>
  <c r="AE376" i="22"/>
  <c r="AE378" i="22"/>
  <c r="AE380" i="22"/>
  <c r="R381" i="18"/>
  <c r="R382" i="18"/>
  <c r="R383" i="18"/>
  <c r="P15" i="18"/>
  <c r="Q193" i="22"/>
  <c r="Q191" i="22"/>
  <c r="Q189" i="22"/>
  <c r="Q187" i="22"/>
  <c r="Q185" i="22"/>
  <c r="Q183" i="22"/>
  <c r="Q181" i="22"/>
  <c r="Q179" i="22"/>
  <c r="Q177" i="22"/>
  <c r="Q175" i="22"/>
  <c r="Q173" i="22"/>
  <c r="Q171" i="22"/>
  <c r="Q169" i="22"/>
  <c r="Q167" i="22"/>
  <c r="Q165" i="22"/>
  <c r="Q163" i="22"/>
  <c r="Q161" i="22"/>
  <c r="Q159" i="22"/>
  <c r="Q157" i="22"/>
  <c r="Q155" i="22"/>
  <c r="Q153" i="22"/>
  <c r="Q151" i="22"/>
  <c r="Q149" i="22"/>
  <c r="Q147" i="22"/>
  <c r="Q145" i="22"/>
  <c r="Q143" i="22"/>
  <c r="Q141" i="22"/>
  <c r="Q139" i="22"/>
  <c r="Q137" i="22"/>
  <c r="Q135" i="22"/>
  <c r="Q133" i="22"/>
  <c r="Q131" i="22"/>
  <c r="Q129" i="22"/>
  <c r="Q127" i="22"/>
  <c r="Q125" i="22"/>
  <c r="Q123" i="22"/>
  <c r="Q121" i="22"/>
  <c r="Q119" i="22"/>
  <c r="Q117" i="22"/>
  <c r="Q115" i="22"/>
  <c r="Q113" i="22"/>
  <c r="Q111" i="22"/>
  <c r="Q109" i="22"/>
  <c r="Q107" i="22"/>
  <c r="Q105" i="22"/>
  <c r="Q103" i="22"/>
  <c r="Q101" i="22"/>
  <c r="Q99" i="22"/>
  <c r="Q97" i="22"/>
  <c r="Q95" i="22"/>
  <c r="Q93" i="22"/>
  <c r="Q91" i="22"/>
  <c r="Q89" i="22"/>
  <c r="Q87" i="22"/>
  <c r="Q85" i="22"/>
  <c r="Q83" i="22"/>
  <c r="Q81" i="22"/>
  <c r="Q79" i="22"/>
  <c r="Q77" i="22"/>
  <c r="Q75" i="22"/>
  <c r="Q73" i="22"/>
  <c r="Q71" i="22"/>
  <c r="Q69" i="22"/>
  <c r="Q67" i="22"/>
  <c r="Q65" i="22"/>
  <c r="Q63" i="22"/>
  <c r="Q61" i="22"/>
  <c r="Q59" i="22"/>
  <c r="Q57" i="22"/>
  <c r="Q55" i="22"/>
  <c r="Q53" i="22"/>
  <c r="Q51" i="22"/>
  <c r="Q49" i="22"/>
  <c r="Q47" i="22"/>
  <c r="Q45" i="22"/>
  <c r="Q43" i="22"/>
  <c r="Q41" i="22"/>
  <c r="Q39" i="22"/>
  <c r="Q37" i="22"/>
  <c r="Q35" i="22"/>
  <c r="Q33" i="22"/>
  <c r="Q31" i="22"/>
  <c r="Q29" i="22"/>
  <c r="Q27" i="22"/>
  <c r="Q25" i="22"/>
  <c r="Q23" i="22"/>
  <c r="Q21" i="22"/>
  <c r="Q19" i="22"/>
  <c r="Q17" i="22"/>
  <c r="Q18" i="22"/>
  <c r="AN15" i="7" l="1"/>
  <c r="AD257" i="20"/>
  <c r="AH29" i="7"/>
  <c r="AD73" i="20"/>
  <c r="V88" i="20"/>
  <c r="P100" i="20"/>
  <c r="V100" i="20" s="1"/>
  <c r="AD19" i="20"/>
  <c r="AD53" i="20"/>
  <c r="AD339" i="20"/>
  <c r="S106" i="20"/>
  <c r="R106" i="20" s="1"/>
  <c r="P106" i="20" s="1"/>
  <c r="V106" i="20" s="1"/>
  <c r="E66" i="19" s="1"/>
  <c r="AD65" i="20"/>
  <c r="AD97" i="20"/>
  <c r="AD129" i="20"/>
  <c r="AD145" i="20"/>
  <c r="AD347" i="20"/>
  <c r="AD29" i="20"/>
  <c r="AD45" i="20"/>
  <c r="AH24" i="7"/>
  <c r="AD225" i="20"/>
  <c r="AD85" i="20"/>
  <c r="AG49" i="20"/>
  <c r="AF49" i="20" s="1"/>
  <c r="AD49" i="20" s="1"/>
  <c r="S30" i="20"/>
  <c r="R30" i="20" s="1"/>
  <c r="P30" i="20" s="1"/>
  <c r="V30" i="20" s="1"/>
  <c r="S94" i="20"/>
  <c r="R94" i="20" s="1"/>
  <c r="P94" i="20" s="1"/>
  <c r="V94" i="20" s="1"/>
  <c r="AD209" i="20"/>
  <c r="AD241" i="20"/>
  <c r="V180" i="20"/>
  <c r="G66" i="19" s="1"/>
  <c r="AD336" i="20"/>
  <c r="AD267" i="20"/>
  <c r="AD331" i="20"/>
  <c r="AD363" i="20"/>
  <c r="AD69" i="20"/>
  <c r="AD101" i="20"/>
  <c r="AG33" i="20"/>
  <c r="AF33" i="20" s="1"/>
  <c r="AD33" i="20" s="1"/>
  <c r="S86" i="20"/>
  <c r="R86" i="20" s="1"/>
  <c r="P86" i="20" s="1"/>
  <c r="V86" i="20" s="1"/>
  <c r="S19" i="20"/>
  <c r="R19" i="20" s="1"/>
  <c r="P19" i="20" s="1"/>
  <c r="V19" i="20" s="1"/>
  <c r="AG61" i="20"/>
  <c r="AF61" i="20" s="1"/>
  <c r="AD61" i="20" s="1"/>
  <c r="AG77" i="20"/>
  <c r="AF77" i="20" s="1"/>
  <c r="AD77" i="20" s="1"/>
  <c r="AG93" i="20"/>
  <c r="AF93" i="20" s="1"/>
  <c r="AD93" i="20" s="1"/>
  <c r="AD105" i="20"/>
  <c r="AD217" i="20"/>
  <c r="AD233" i="20"/>
  <c r="AI382" i="20"/>
  <c r="AG161" i="20"/>
  <c r="AF161" i="20" s="1"/>
  <c r="AD161" i="20" s="1"/>
  <c r="AG193" i="20"/>
  <c r="AF193" i="20" s="1"/>
  <c r="AD193" i="20" s="1"/>
  <c r="AG125" i="20"/>
  <c r="AF125" i="20" s="1"/>
  <c r="AD125" i="20" s="1"/>
  <c r="AG141" i="20"/>
  <c r="AF141" i="20" s="1"/>
  <c r="AD141" i="20" s="1"/>
  <c r="AG157" i="20"/>
  <c r="AF157" i="20" s="1"/>
  <c r="AD157" i="20" s="1"/>
  <c r="AG173" i="20"/>
  <c r="AF173" i="20" s="1"/>
  <c r="AD173" i="20" s="1"/>
  <c r="AG189" i="20"/>
  <c r="AF189" i="20" s="1"/>
  <c r="AD189" i="20" s="1"/>
  <c r="AG205" i="20"/>
  <c r="AF205" i="20" s="1"/>
  <c r="AD205" i="20" s="1"/>
  <c r="AG221" i="20"/>
  <c r="AF221" i="20" s="1"/>
  <c r="AD221" i="20" s="1"/>
  <c r="AG237" i="20"/>
  <c r="AF237" i="20" s="1"/>
  <c r="AD237" i="20" s="1"/>
  <c r="AG253" i="20"/>
  <c r="AF253" i="20" s="1"/>
  <c r="AD253" i="20" s="1"/>
  <c r="AG169" i="20"/>
  <c r="AF169" i="20" s="1"/>
  <c r="AD169" i="20" s="1"/>
  <c r="AG117" i="20"/>
  <c r="AF117" i="20" s="1"/>
  <c r="AD117" i="20" s="1"/>
  <c r="AG133" i="20"/>
  <c r="AF133" i="20" s="1"/>
  <c r="AD133" i="20" s="1"/>
  <c r="AG149" i="20"/>
  <c r="AF149" i="20" s="1"/>
  <c r="AD149" i="20" s="1"/>
  <c r="AG165" i="20"/>
  <c r="AF165" i="20" s="1"/>
  <c r="AD165" i="20" s="1"/>
  <c r="AG181" i="20"/>
  <c r="AF181" i="20" s="1"/>
  <c r="AD181" i="20" s="1"/>
  <c r="AG197" i="20"/>
  <c r="AF197" i="20" s="1"/>
  <c r="AD197" i="20" s="1"/>
  <c r="AG213" i="20"/>
  <c r="AF213" i="20" s="1"/>
  <c r="AD213" i="20" s="1"/>
  <c r="AG229" i="20"/>
  <c r="AF229" i="20" s="1"/>
  <c r="AD229" i="20" s="1"/>
  <c r="AG261" i="20"/>
  <c r="AF261" i="20" s="1"/>
  <c r="AD261" i="20" s="1"/>
  <c r="AI383" i="20"/>
  <c r="AH31" i="7"/>
  <c r="AH23" i="7"/>
  <c r="C66" i="19"/>
  <c r="AH16" i="7"/>
  <c r="AN11" i="7" s="1"/>
  <c r="U11" i="22" s="1"/>
  <c r="T379" i="20"/>
  <c r="S379" i="20" s="1"/>
  <c r="R379" i="20" s="1"/>
  <c r="P379" i="20" s="1"/>
  <c r="U12" i="22"/>
  <c r="AM16" i="7" s="1"/>
  <c r="T23" i="20"/>
  <c r="U382" i="20"/>
  <c r="U383" i="20"/>
  <c r="AH15" i="20"/>
  <c r="AI381" i="20"/>
  <c r="U381" i="20"/>
  <c r="T383" i="20"/>
  <c r="H380" i="20"/>
  <c r="BA380" i="6"/>
  <c r="D380" i="6" s="1"/>
  <c r="J15" i="16"/>
  <c r="I15" i="16"/>
  <c r="Z15" i="16"/>
  <c r="AL7" i="16" s="1"/>
  <c r="AF382" i="18"/>
  <c r="AF381" i="18"/>
  <c r="AF383" i="18"/>
  <c r="AD15" i="18"/>
  <c r="Q381" i="22"/>
  <c r="H66" i="19"/>
  <c r="L66" i="19"/>
  <c r="K66" i="19"/>
  <c r="J66" i="19"/>
  <c r="I66" i="19"/>
  <c r="N64" i="19"/>
  <c r="F66" i="19"/>
  <c r="AE381" i="22"/>
  <c r="AE382" i="22"/>
  <c r="AE383" i="22"/>
  <c r="Q382" i="22"/>
  <c r="Q10" i="23"/>
  <c r="Q159" i="23" s="1"/>
  <c r="AS15" i="7"/>
  <c r="Q16" i="23"/>
  <c r="Q350" i="23"/>
  <c r="P382" i="18"/>
  <c r="P383" i="18"/>
  <c r="V15" i="18"/>
  <c r="P381" i="18"/>
  <c r="R15" i="20"/>
  <c r="AE30" i="23"/>
  <c r="AE62" i="23"/>
  <c r="AE94" i="23"/>
  <c r="Q383" i="22"/>
  <c r="AE11" i="23" l="1"/>
  <c r="D66" i="19"/>
  <c r="AE376" i="23"/>
  <c r="AE368" i="23"/>
  <c r="AE360" i="23"/>
  <c r="AE352" i="23"/>
  <c r="AE344" i="23"/>
  <c r="AE336" i="23"/>
  <c r="AE328" i="23"/>
  <c r="AE320" i="23"/>
  <c r="AE312" i="23"/>
  <c r="AE304" i="23"/>
  <c r="AE296" i="23"/>
  <c r="AE288" i="23"/>
  <c r="AE280" i="23"/>
  <c r="AE265" i="23"/>
  <c r="AE238" i="23"/>
  <c r="AE206" i="23"/>
  <c r="AE174" i="23"/>
  <c r="AE142" i="23"/>
  <c r="AE110" i="23"/>
  <c r="AE78" i="23"/>
  <c r="AE46" i="23"/>
  <c r="Q286" i="23"/>
  <c r="V379" i="20"/>
  <c r="M66" i="19" s="1"/>
  <c r="D40" i="19"/>
  <c r="AE378" i="23"/>
  <c r="AE374" i="23"/>
  <c r="AE370" i="23"/>
  <c r="AE366" i="23"/>
  <c r="AE362" i="23"/>
  <c r="AE358" i="23"/>
  <c r="AE354" i="23"/>
  <c r="AE350" i="23"/>
  <c r="AE346" i="23"/>
  <c r="AE342" i="23"/>
  <c r="AE338" i="23"/>
  <c r="AE334" i="23"/>
  <c r="AE330" i="23"/>
  <c r="AE326" i="23"/>
  <c r="AE322" i="23"/>
  <c r="AE318" i="23"/>
  <c r="AE314" i="23"/>
  <c r="AE310" i="23"/>
  <c r="AE306" i="23"/>
  <c r="AE302" i="23"/>
  <c r="AE298" i="23"/>
  <c r="AE294" i="23"/>
  <c r="AE290" i="23"/>
  <c r="AE286" i="23"/>
  <c r="AE282" i="23"/>
  <c r="AE277" i="23"/>
  <c r="AE269" i="23"/>
  <c r="AE261" i="23"/>
  <c r="AE246" i="23"/>
  <c r="AE230" i="23"/>
  <c r="AE214" i="23"/>
  <c r="AE198" i="23"/>
  <c r="AE182" i="23"/>
  <c r="AE166" i="23"/>
  <c r="AE150" i="23"/>
  <c r="AE134" i="23"/>
  <c r="AE118" i="23"/>
  <c r="AE102" i="23"/>
  <c r="AE86" i="23"/>
  <c r="AE70" i="23"/>
  <c r="AE54" i="23"/>
  <c r="AE38" i="23"/>
  <c r="AE22" i="23"/>
  <c r="Q366" i="23"/>
  <c r="Q318" i="23"/>
  <c r="Q233" i="23"/>
  <c r="Q47" i="23"/>
  <c r="Q63" i="23"/>
  <c r="Q127" i="23"/>
  <c r="Q185" i="23"/>
  <c r="Q217" i="23"/>
  <c r="Q249" i="23"/>
  <c r="Q278" i="23"/>
  <c r="Q294" i="23"/>
  <c r="Q310" i="23"/>
  <c r="Q326" i="23"/>
  <c r="Q342" i="23"/>
  <c r="Q354" i="23"/>
  <c r="Q362" i="23"/>
  <c r="Q370" i="23"/>
  <c r="Q378" i="23"/>
  <c r="AE17" i="23"/>
  <c r="AE20" i="23"/>
  <c r="AE24" i="23"/>
  <c r="AE28" i="23"/>
  <c r="AE32" i="23"/>
  <c r="AE36" i="23"/>
  <c r="AE40" i="23"/>
  <c r="AE44" i="23"/>
  <c r="AE48" i="23"/>
  <c r="AE52" i="23"/>
  <c r="AE56" i="23"/>
  <c r="AE60" i="23"/>
  <c r="AE64" i="23"/>
  <c r="AE68" i="23"/>
  <c r="AE72" i="23"/>
  <c r="AE76" i="23"/>
  <c r="AE80" i="23"/>
  <c r="AE84" i="23"/>
  <c r="AE88" i="23"/>
  <c r="AE92" i="23"/>
  <c r="AE96" i="23"/>
  <c r="AE100" i="23"/>
  <c r="AE104" i="23"/>
  <c r="AE108" i="23"/>
  <c r="AE112" i="23"/>
  <c r="AE116" i="23"/>
  <c r="AE120" i="23"/>
  <c r="AE124" i="23"/>
  <c r="AE128" i="23"/>
  <c r="AE132" i="23"/>
  <c r="AE136" i="23"/>
  <c r="AE140" i="23"/>
  <c r="AE144" i="23"/>
  <c r="AE148" i="23"/>
  <c r="AE152" i="23"/>
  <c r="AE156" i="23"/>
  <c r="AE160" i="23"/>
  <c r="AE164" i="23"/>
  <c r="AE168" i="23"/>
  <c r="AE172" i="23"/>
  <c r="AE176" i="23"/>
  <c r="AE180" i="23"/>
  <c r="AE184" i="23"/>
  <c r="AE188" i="23"/>
  <c r="AE192" i="23"/>
  <c r="AE196" i="23"/>
  <c r="AE200" i="23"/>
  <c r="AE204" i="23"/>
  <c r="AE208" i="23"/>
  <c r="AE212" i="23"/>
  <c r="AE216" i="23"/>
  <c r="AE220" i="23"/>
  <c r="AE224" i="23"/>
  <c r="AE228" i="23"/>
  <c r="AE232" i="23"/>
  <c r="AE236" i="23"/>
  <c r="AE240" i="23"/>
  <c r="AE244" i="23"/>
  <c r="AE248" i="23"/>
  <c r="AE252" i="23"/>
  <c r="AE256" i="23"/>
  <c r="AE260" i="23"/>
  <c r="AE262" i="23"/>
  <c r="AE264" i="23"/>
  <c r="AE266" i="23"/>
  <c r="AE268" i="23"/>
  <c r="AE270" i="23"/>
  <c r="AE272" i="23"/>
  <c r="AE274" i="23"/>
  <c r="AE276" i="23"/>
  <c r="AE278" i="23"/>
  <c r="AE379" i="23"/>
  <c r="AE12" i="24" s="1"/>
  <c r="AE377" i="23"/>
  <c r="AE375" i="23"/>
  <c r="AE373" i="23"/>
  <c r="AE371" i="23"/>
  <c r="AE369" i="23"/>
  <c r="AE367" i="23"/>
  <c r="AE365" i="23"/>
  <c r="AE363" i="23"/>
  <c r="AE361" i="23"/>
  <c r="AE359" i="23"/>
  <c r="AE357" i="23"/>
  <c r="AE355" i="23"/>
  <c r="AE353" i="23"/>
  <c r="AE351" i="23"/>
  <c r="AE349" i="23"/>
  <c r="AE347" i="23"/>
  <c r="AE345" i="23"/>
  <c r="AE343" i="23"/>
  <c r="AE341" i="23"/>
  <c r="AE339" i="23"/>
  <c r="AE337" i="23"/>
  <c r="AE335" i="23"/>
  <c r="AE333" i="23"/>
  <c r="AE331" i="23"/>
  <c r="AE329" i="23"/>
  <c r="AE327" i="23"/>
  <c r="AE325" i="23"/>
  <c r="AE323" i="23"/>
  <c r="AE321" i="23"/>
  <c r="AE319" i="23"/>
  <c r="AE317" i="23"/>
  <c r="AE315" i="23"/>
  <c r="AE313" i="23"/>
  <c r="AE311" i="23"/>
  <c r="AE309" i="23"/>
  <c r="AE307" i="23"/>
  <c r="AE305" i="23"/>
  <c r="AE303" i="23"/>
  <c r="AE301" i="23"/>
  <c r="AE299" i="23"/>
  <c r="AE297" i="23"/>
  <c r="AE295" i="23"/>
  <c r="AE293" i="23"/>
  <c r="AE291" i="23"/>
  <c r="AE289" i="23"/>
  <c r="AE287" i="23"/>
  <c r="AE285" i="23"/>
  <c r="AE283" i="23"/>
  <c r="AE281" i="23"/>
  <c r="AE279" i="23"/>
  <c r="AE275" i="23"/>
  <c r="AE271" i="23"/>
  <c r="AE267" i="23"/>
  <c r="AE263" i="23"/>
  <c r="AE258" i="23"/>
  <c r="AE250" i="23"/>
  <c r="AE242" i="23"/>
  <c r="AE234" i="23"/>
  <c r="AE226" i="23"/>
  <c r="AE218" i="23"/>
  <c r="AE210" i="23"/>
  <c r="AE202" i="23"/>
  <c r="AE194" i="23"/>
  <c r="AE186" i="23"/>
  <c r="AE178" i="23"/>
  <c r="AE170" i="23"/>
  <c r="AE162" i="23"/>
  <c r="AE154" i="23"/>
  <c r="AE146" i="23"/>
  <c r="AE138" i="23"/>
  <c r="AE130" i="23"/>
  <c r="AE122" i="23"/>
  <c r="AE114" i="23"/>
  <c r="AE106" i="23"/>
  <c r="AE98" i="23"/>
  <c r="AE90" i="23"/>
  <c r="AE82" i="23"/>
  <c r="AE74" i="23"/>
  <c r="AE66" i="23"/>
  <c r="AE58" i="23"/>
  <c r="AE50" i="23"/>
  <c r="AE42" i="23"/>
  <c r="AE34" i="23"/>
  <c r="AE26" i="23"/>
  <c r="AE19" i="23"/>
  <c r="Q374" i="23"/>
  <c r="Q358" i="23"/>
  <c r="Q334" i="23"/>
  <c r="Q302" i="23"/>
  <c r="Q265" i="23"/>
  <c r="Q201" i="23"/>
  <c r="Q95" i="23"/>
  <c r="Q346" i="23"/>
  <c r="Q338" i="23"/>
  <c r="Q330" i="23"/>
  <c r="Q322" i="23"/>
  <c r="Q314" i="23"/>
  <c r="Q306" i="23"/>
  <c r="Q298" i="23"/>
  <c r="Q290" i="23"/>
  <c r="Q282" i="23"/>
  <c r="Q273" i="23"/>
  <c r="Q257" i="23"/>
  <c r="Q241" i="23"/>
  <c r="Q225" i="23"/>
  <c r="Q209" i="23"/>
  <c r="Q193" i="23"/>
  <c r="Q175" i="23"/>
  <c r="Q143" i="23"/>
  <c r="Q111" i="23"/>
  <c r="Q79" i="23"/>
  <c r="S23" i="20"/>
  <c r="T381" i="20"/>
  <c r="T382" i="20"/>
  <c r="AH382" i="20"/>
  <c r="AH383" i="20"/>
  <c r="AG15" i="20"/>
  <c r="AH381" i="20"/>
  <c r="U10" i="22"/>
  <c r="Q31" i="23"/>
  <c r="Q55" i="23"/>
  <c r="Q71" i="23"/>
  <c r="Q87" i="23"/>
  <c r="Q103" i="23"/>
  <c r="Q119" i="23"/>
  <c r="Q135" i="23"/>
  <c r="Q151" i="23"/>
  <c r="Q167" i="23"/>
  <c r="Q181" i="23"/>
  <c r="Q189" i="23"/>
  <c r="Q197" i="23"/>
  <c r="Q205" i="23"/>
  <c r="Q213" i="23"/>
  <c r="Q221" i="23"/>
  <c r="Q229" i="23"/>
  <c r="Q237" i="23"/>
  <c r="Q245" i="23"/>
  <c r="Q253" i="23"/>
  <c r="Q261" i="23"/>
  <c r="Q269" i="23"/>
  <c r="Q276" i="23"/>
  <c r="Q280" i="23"/>
  <c r="Q284" i="23"/>
  <c r="Q288" i="23"/>
  <c r="Q292" i="23"/>
  <c r="Q296" i="23"/>
  <c r="Q300" i="23"/>
  <c r="Q304" i="23"/>
  <c r="Q308" i="23"/>
  <c r="Q312" i="23"/>
  <c r="Q316" i="23"/>
  <c r="Q320" i="23"/>
  <c r="Q324" i="23"/>
  <c r="Q328" i="23"/>
  <c r="Q332" i="23"/>
  <c r="Q336" i="23"/>
  <c r="Q340" i="23"/>
  <c r="Q344" i="23"/>
  <c r="Q348" i="23"/>
  <c r="Q352" i="23"/>
  <c r="Q356" i="23"/>
  <c r="Q360" i="23"/>
  <c r="Q364" i="23"/>
  <c r="Q368" i="23"/>
  <c r="Q372" i="23"/>
  <c r="Q376" i="23"/>
  <c r="AE16" i="23"/>
  <c r="AE15" i="23"/>
  <c r="AE18" i="23"/>
  <c r="AE21" i="23"/>
  <c r="AE23" i="23"/>
  <c r="AE25" i="23"/>
  <c r="AE27" i="23"/>
  <c r="AE29" i="23"/>
  <c r="AE31" i="23"/>
  <c r="AE33" i="23"/>
  <c r="AE35" i="23"/>
  <c r="AE37" i="23"/>
  <c r="AE39" i="23"/>
  <c r="AE41" i="23"/>
  <c r="AE43" i="23"/>
  <c r="AE45" i="23"/>
  <c r="AE47" i="23"/>
  <c r="AE49" i="23"/>
  <c r="AE51" i="23"/>
  <c r="AE53" i="23"/>
  <c r="AE55" i="23"/>
  <c r="AE57" i="23"/>
  <c r="AE59" i="23"/>
  <c r="AE61" i="23"/>
  <c r="AE63" i="23"/>
  <c r="AE65" i="23"/>
  <c r="AE67" i="23"/>
  <c r="AE69" i="23"/>
  <c r="AE71" i="23"/>
  <c r="AE73" i="23"/>
  <c r="AE75" i="23"/>
  <c r="AE77" i="23"/>
  <c r="AE79" i="23"/>
  <c r="AE81" i="23"/>
  <c r="AE83" i="23"/>
  <c r="AE85" i="23"/>
  <c r="AE87" i="23"/>
  <c r="AE89" i="23"/>
  <c r="AE91" i="23"/>
  <c r="AE93" i="23"/>
  <c r="AE95" i="23"/>
  <c r="AE97" i="23"/>
  <c r="AE99" i="23"/>
  <c r="AE101" i="23"/>
  <c r="AE103" i="23"/>
  <c r="AE105" i="23"/>
  <c r="AE107" i="23"/>
  <c r="AE109" i="23"/>
  <c r="AE111" i="23"/>
  <c r="AE113" i="23"/>
  <c r="AE115" i="23"/>
  <c r="AE117" i="23"/>
  <c r="AE119" i="23"/>
  <c r="AE121" i="23"/>
  <c r="AE123" i="23"/>
  <c r="AE125" i="23"/>
  <c r="AE127" i="23"/>
  <c r="AE129" i="23"/>
  <c r="AE131" i="23"/>
  <c r="AE133" i="23"/>
  <c r="AE135" i="23"/>
  <c r="AE137" i="23"/>
  <c r="AE139" i="23"/>
  <c r="AE141" i="23"/>
  <c r="AE143" i="23"/>
  <c r="AE145" i="23"/>
  <c r="AE147" i="23"/>
  <c r="AE149" i="23"/>
  <c r="AE151" i="23"/>
  <c r="AE153" i="23"/>
  <c r="AE155" i="23"/>
  <c r="AE157" i="23"/>
  <c r="AE159" i="23"/>
  <c r="AE161" i="23"/>
  <c r="AE163" i="23"/>
  <c r="AE165" i="23"/>
  <c r="AE167" i="23"/>
  <c r="AE169" i="23"/>
  <c r="AE171" i="23"/>
  <c r="AE173" i="23"/>
  <c r="AE175" i="23"/>
  <c r="AE177" i="23"/>
  <c r="AE179" i="23"/>
  <c r="AE181" i="23"/>
  <c r="AE183" i="23"/>
  <c r="AE185" i="23"/>
  <c r="AE187" i="23"/>
  <c r="AE189" i="23"/>
  <c r="AE191" i="23"/>
  <c r="AE193" i="23"/>
  <c r="AE195" i="23"/>
  <c r="AE197" i="23"/>
  <c r="AE199" i="23"/>
  <c r="AE201" i="23"/>
  <c r="AE203" i="23"/>
  <c r="AE205" i="23"/>
  <c r="AE207" i="23"/>
  <c r="AE209" i="23"/>
  <c r="AE211" i="23"/>
  <c r="AE213" i="23"/>
  <c r="AE215" i="23"/>
  <c r="AE217" i="23"/>
  <c r="AE219" i="23"/>
  <c r="AE221" i="23"/>
  <c r="AE223" i="23"/>
  <c r="AE225" i="23"/>
  <c r="AE227" i="23"/>
  <c r="AE229" i="23"/>
  <c r="AE231" i="23"/>
  <c r="AE233" i="23"/>
  <c r="AE235" i="23"/>
  <c r="AE237" i="23"/>
  <c r="AE239" i="23"/>
  <c r="AE241" i="23"/>
  <c r="AE243" i="23"/>
  <c r="AE245" i="23"/>
  <c r="AE247" i="23"/>
  <c r="AE249" i="23"/>
  <c r="AE251" i="23"/>
  <c r="AE253" i="23"/>
  <c r="AE255" i="23"/>
  <c r="AE257" i="23"/>
  <c r="AE259" i="23"/>
  <c r="AU15" i="7"/>
  <c r="Q19" i="23"/>
  <c r="Q27" i="23"/>
  <c r="Q35" i="23"/>
  <c r="Q43" i="23"/>
  <c r="Q49" i="23"/>
  <c r="Q53" i="23"/>
  <c r="Q57" i="23"/>
  <c r="Q61" i="23"/>
  <c r="Q65" i="23"/>
  <c r="Q69" i="23"/>
  <c r="Q73" i="23"/>
  <c r="Q77" i="23"/>
  <c r="Q81" i="23"/>
  <c r="Q85" i="23"/>
  <c r="Q89" i="23"/>
  <c r="Q93" i="23"/>
  <c r="Q97" i="23"/>
  <c r="Q101" i="23"/>
  <c r="Q105" i="23"/>
  <c r="Q109" i="23"/>
  <c r="Q113" i="23"/>
  <c r="Q117" i="23"/>
  <c r="Q121" i="23"/>
  <c r="Q125" i="23"/>
  <c r="Q129" i="23"/>
  <c r="Q133" i="23"/>
  <c r="Q137" i="23"/>
  <c r="Q141" i="23"/>
  <c r="Q145" i="23"/>
  <c r="Q149" i="23"/>
  <c r="Q153" i="23"/>
  <c r="Q157" i="23"/>
  <c r="Q161" i="23"/>
  <c r="Q165" i="23"/>
  <c r="Q169" i="23"/>
  <c r="Q173" i="23"/>
  <c r="Q177" i="23"/>
  <c r="Q180" i="23"/>
  <c r="Q182" i="23"/>
  <c r="Q184" i="23"/>
  <c r="Q186" i="23"/>
  <c r="Q188" i="23"/>
  <c r="Q190" i="23"/>
  <c r="Q192" i="23"/>
  <c r="Q194" i="23"/>
  <c r="Q196" i="23"/>
  <c r="Q198" i="23"/>
  <c r="Q200" i="23"/>
  <c r="Q202" i="23"/>
  <c r="Q204" i="23"/>
  <c r="Q206" i="23"/>
  <c r="Q208" i="23"/>
  <c r="Q210" i="23"/>
  <c r="Q212" i="23"/>
  <c r="Q214" i="23"/>
  <c r="Q216" i="23"/>
  <c r="Q218" i="23"/>
  <c r="Q220" i="23"/>
  <c r="Q222" i="23"/>
  <c r="Q224" i="23"/>
  <c r="Q226" i="23"/>
  <c r="Q228" i="23"/>
  <c r="Q230" i="23"/>
  <c r="Q232" i="23"/>
  <c r="Q234" i="23"/>
  <c r="Q236" i="23"/>
  <c r="Q238" i="23"/>
  <c r="Q240" i="23"/>
  <c r="Q242" i="23"/>
  <c r="Q244" i="23"/>
  <c r="Q246" i="23"/>
  <c r="Q248" i="23"/>
  <c r="Q250" i="23"/>
  <c r="Q252" i="23"/>
  <c r="Q254" i="23"/>
  <c r="Q256" i="23"/>
  <c r="Q258" i="23"/>
  <c r="Q260" i="23"/>
  <c r="Q262" i="23"/>
  <c r="Q264" i="23"/>
  <c r="Q266" i="23"/>
  <c r="Q268" i="23"/>
  <c r="Q270" i="23"/>
  <c r="Q272" i="23"/>
  <c r="Q274" i="23"/>
  <c r="Q379" i="23"/>
  <c r="AT15" i="7" s="1"/>
  <c r="Q377" i="23"/>
  <c r="Q375" i="23"/>
  <c r="Q373" i="23"/>
  <c r="Q371" i="23"/>
  <c r="Q369" i="23"/>
  <c r="Q367" i="23"/>
  <c r="Q365" i="23"/>
  <c r="Q363" i="23"/>
  <c r="Q361" i="23"/>
  <c r="Q359" i="23"/>
  <c r="Q357" i="23"/>
  <c r="Q355" i="23"/>
  <c r="Q353" i="23"/>
  <c r="Q351" i="23"/>
  <c r="Q349" i="23"/>
  <c r="Q347" i="23"/>
  <c r="Q345" i="23"/>
  <c r="Q343" i="23"/>
  <c r="Q341" i="23"/>
  <c r="Q339" i="23"/>
  <c r="Q337" i="23"/>
  <c r="Q335" i="23"/>
  <c r="Q333" i="23"/>
  <c r="Q331" i="23"/>
  <c r="Q329" i="23"/>
  <c r="Q327" i="23"/>
  <c r="Q325" i="23"/>
  <c r="Q323" i="23"/>
  <c r="Q321" i="23"/>
  <c r="Q319" i="23"/>
  <c r="Q317" i="23"/>
  <c r="Q315" i="23"/>
  <c r="Q313" i="23"/>
  <c r="Q311" i="23"/>
  <c r="Q309" i="23"/>
  <c r="Q307" i="23"/>
  <c r="Q305" i="23"/>
  <c r="Q303" i="23"/>
  <c r="Q301" i="23"/>
  <c r="Q299" i="23"/>
  <c r="Q297" i="23"/>
  <c r="Q295" i="23"/>
  <c r="Q293" i="23"/>
  <c r="Q291" i="23"/>
  <c r="Q289" i="23"/>
  <c r="Q287" i="23"/>
  <c r="Q285" i="23"/>
  <c r="Q283" i="23"/>
  <c r="Q281" i="23"/>
  <c r="Q279" i="23"/>
  <c r="Q277" i="23"/>
  <c r="Q275" i="23"/>
  <c r="Q271" i="23"/>
  <c r="Q267" i="23"/>
  <c r="Q263" i="23"/>
  <c r="Q259" i="23"/>
  <c r="Q255" i="23"/>
  <c r="Q251" i="23"/>
  <c r="Q247" i="23"/>
  <c r="Q243" i="23"/>
  <c r="Q239" i="23"/>
  <c r="Q235" i="23"/>
  <c r="Q231" i="23"/>
  <c r="Q227" i="23"/>
  <c r="Q223" i="23"/>
  <c r="Q219" i="23"/>
  <c r="Q215" i="23"/>
  <c r="Q211" i="23"/>
  <c r="Q207" i="23"/>
  <c r="Q203" i="23"/>
  <c r="Q199" i="23"/>
  <c r="Q195" i="23"/>
  <c r="Q191" i="23"/>
  <c r="Q187" i="23"/>
  <c r="Q183" i="23"/>
  <c r="Q179" i="23"/>
  <c r="Q171" i="23"/>
  <c r="Q163" i="23"/>
  <c r="Q155" i="23"/>
  <c r="Q147" i="23"/>
  <c r="Q139" i="23"/>
  <c r="Q131" i="23"/>
  <c r="Q123" i="23"/>
  <c r="Q115" i="23"/>
  <c r="Q107" i="23"/>
  <c r="Q99" i="23"/>
  <c r="Q91" i="23"/>
  <c r="Q83" i="23"/>
  <c r="Q75" i="23"/>
  <c r="Q67" i="23"/>
  <c r="Q59" i="23"/>
  <c r="Q51" i="23"/>
  <c r="Q39" i="23"/>
  <c r="Q23" i="23"/>
  <c r="Y15" i="16"/>
  <c r="AL5" i="16" s="1"/>
  <c r="AL11" i="16" s="1"/>
  <c r="AJ3" i="16" s="1"/>
  <c r="O13" i="19" s="1"/>
  <c r="I380" i="20"/>
  <c r="J380" i="20"/>
  <c r="Q178" i="23"/>
  <c r="Q176" i="23"/>
  <c r="Q174" i="23"/>
  <c r="Q172" i="23"/>
  <c r="Q170" i="23"/>
  <c r="Q168" i="23"/>
  <c r="Q166" i="23"/>
  <c r="Q164" i="23"/>
  <c r="Q162" i="23"/>
  <c r="Q160" i="23"/>
  <c r="Q158" i="23"/>
  <c r="Q156" i="23"/>
  <c r="Q154" i="23"/>
  <c r="Q152" i="23"/>
  <c r="Q150" i="23"/>
  <c r="Q148" i="23"/>
  <c r="Q146" i="23"/>
  <c r="Q144" i="23"/>
  <c r="Q142" i="23"/>
  <c r="Q140" i="23"/>
  <c r="Q138" i="23"/>
  <c r="Q136" i="23"/>
  <c r="Q134" i="23"/>
  <c r="Q132" i="23"/>
  <c r="Q130" i="23"/>
  <c r="Q128" i="23"/>
  <c r="Q126" i="23"/>
  <c r="Q124" i="23"/>
  <c r="Q122" i="23"/>
  <c r="Q120" i="23"/>
  <c r="Q118" i="23"/>
  <c r="Q116" i="23"/>
  <c r="Q114" i="23"/>
  <c r="Q112" i="23"/>
  <c r="Q110" i="23"/>
  <c r="Q108" i="23"/>
  <c r="Q106" i="23"/>
  <c r="Q104" i="23"/>
  <c r="Q102" i="23"/>
  <c r="Q100" i="23"/>
  <c r="Q98" i="23"/>
  <c r="Q96" i="23"/>
  <c r="Q94" i="23"/>
  <c r="Q92" i="23"/>
  <c r="Q90" i="23"/>
  <c r="Q88" i="23"/>
  <c r="Q86" i="23"/>
  <c r="Q84" i="23"/>
  <c r="Q82" i="23"/>
  <c r="Q80" i="23"/>
  <c r="Q78" i="23"/>
  <c r="Q76" i="23"/>
  <c r="Q74" i="23"/>
  <c r="Q72" i="23"/>
  <c r="Q70" i="23"/>
  <c r="Q68" i="23"/>
  <c r="Q66" i="23"/>
  <c r="Q64" i="23"/>
  <c r="Q62" i="23"/>
  <c r="Q60" i="23"/>
  <c r="Q58" i="23"/>
  <c r="Q56" i="23"/>
  <c r="Q54" i="23"/>
  <c r="Q52" i="23"/>
  <c r="Q50" i="23"/>
  <c r="Q48" i="23"/>
  <c r="Q45" i="23"/>
  <c r="Q41" i="23"/>
  <c r="Q37" i="23"/>
  <c r="Q33" i="23"/>
  <c r="Q29" i="23"/>
  <c r="Q25" i="23"/>
  <c r="Q21" i="23"/>
  <c r="Q17" i="23"/>
  <c r="AD381" i="18"/>
  <c r="AD382" i="18"/>
  <c r="AD383" i="18"/>
  <c r="V383" i="18"/>
  <c r="V381" i="18"/>
  <c r="B65" i="19"/>
  <c r="V382" i="18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P15" i="20"/>
  <c r="AE158" i="23" l="1"/>
  <c r="AE222" i="23"/>
  <c r="AE273" i="23"/>
  <c r="AE292" i="23"/>
  <c r="AE308" i="23"/>
  <c r="AE324" i="23"/>
  <c r="AE340" i="23"/>
  <c r="AE356" i="23"/>
  <c r="AE372" i="23"/>
  <c r="AE126" i="23"/>
  <c r="AE190" i="23"/>
  <c r="AE254" i="23"/>
  <c r="AE284" i="23"/>
  <c r="AE300" i="23"/>
  <c r="AE316" i="23"/>
  <c r="AE332" i="23"/>
  <c r="AE348" i="23"/>
  <c r="AE364" i="23"/>
  <c r="AE382" i="23"/>
  <c r="Q12" i="24"/>
  <c r="AY15" i="7" s="1"/>
  <c r="Q381" i="23"/>
  <c r="R23" i="20"/>
  <c r="S382" i="20"/>
  <c r="S383" i="20"/>
  <c r="S381" i="20"/>
  <c r="AO16" i="7"/>
  <c r="AI378" i="22"/>
  <c r="AH378" i="22" s="1"/>
  <c r="AG378" i="22" s="1"/>
  <c r="AF378" i="22" s="1"/>
  <c r="AD378" i="22" s="1"/>
  <c r="AI374" i="22"/>
  <c r="AH374" i="22" s="1"/>
  <c r="AG374" i="22" s="1"/>
  <c r="AF374" i="22" s="1"/>
  <c r="AD374" i="22" s="1"/>
  <c r="AI370" i="22"/>
  <c r="AH370" i="22" s="1"/>
  <c r="AG370" i="22" s="1"/>
  <c r="AF370" i="22" s="1"/>
  <c r="AD370" i="22" s="1"/>
  <c r="AI366" i="22"/>
  <c r="AH366" i="22" s="1"/>
  <c r="AG366" i="22" s="1"/>
  <c r="AF366" i="22" s="1"/>
  <c r="AD366" i="22" s="1"/>
  <c r="AI362" i="22"/>
  <c r="AH362" i="22" s="1"/>
  <c r="AG362" i="22" s="1"/>
  <c r="AF362" i="22" s="1"/>
  <c r="AD362" i="22" s="1"/>
  <c r="AI358" i="22"/>
  <c r="AH358" i="22" s="1"/>
  <c r="AG358" i="22" s="1"/>
  <c r="AF358" i="22" s="1"/>
  <c r="AD358" i="22" s="1"/>
  <c r="AI354" i="22"/>
  <c r="AH354" i="22" s="1"/>
  <c r="AG354" i="22" s="1"/>
  <c r="AF354" i="22" s="1"/>
  <c r="AD354" i="22" s="1"/>
  <c r="AI350" i="22"/>
  <c r="AH350" i="22" s="1"/>
  <c r="AG350" i="22" s="1"/>
  <c r="AF350" i="22" s="1"/>
  <c r="AD350" i="22" s="1"/>
  <c r="AI346" i="22"/>
  <c r="AH346" i="22" s="1"/>
  <c r="AG346" i="22" s="1"/>
  <c r="AF346" i="22" s="1"/>
  <c r="AD346" i="22" s="1"/>
  <c r="AI342" i="22"/>
  <c r="AH342" i="22" s="1"/>
  <c r="AG342" i="22" s="1"/>
  <c r="AF342" i="22" s="1"/>
  <c r="AD342" i="22" s="1"/>
  <c r="AI338" i="22"/>
  <c r="AH338" i="22" s="1"/>
  <c r="AG338" i="22" s="1"/>
  <c r="AF338" i="22" s="1"/>
  <c r="AD338" i="22" s="1"/>
  <c r="AI334" i="22"/>
  <c r="AH334" i="22" s="1"/>
  <c r="AG334" i="22" s="1"/>
  <c r="AF334" i="22" s="1"/>
  <c r="AD334" i="22" s="1"/>
  <c r="AI330" i="22"/>
  <c r="AH330" i="22" s="1"/>
  <c r="AG330" i="22" s="1"/>
  <c r="AF330" i="22" s="1"/>
  <c r="AD330" i="22" s="1"/>
  <c r="AI326" i="22"/>
  <c r="AH326" i="22" s="1"/>
  <c r="AG326" i="22" s="1"/>
  <c r="AF326" i="22" s="1"/>
  <c r="AD326" i="22" s="1"/>
  <c r="AI322" i="22"/>
  <c r="AH322" i="22" s="1"/>
  <c r="AG322" i="22" s="1"/>
  <c r="AF322" i="22" s="1"/>
  <c r="AD322" i="22" s="1"/>
  <c r="AI318" i="22"/>
  <c r="AH318" i="22" s="1"/>
  <c r="AG318" i="22" s="1"/>
  <c r="AF318" i="22" s="1"/>
  <c r="AD318" i="22" s="1"/>
  <c r="AI314" i="22"/>
  <c r="AH314" i="22" s="1"/>
  <c r="AG314" i="22" s="1"/>
  <c r="AF314" i="22" s="1"/>
  <c r="AD314" i="22" s="1"/>
  <c r="AI310" i="22"/>
  <c r="AH310" i="22" s="1"/>
  <c r="AG310" i="22" s="1"/>
  <c r="AF310" i="22" s="1"/>
  <c r="AD310" i="22" s="1"/>
  <c r="AI306" i="22"/>
  <c r="AH306" i="22" s="1"/>
  <c r="AG306" i="22" s="1"/>
  <c r="AF306" i="22" s="1"/>
  <c r="AD306" i="22" s="1"/>
  <c r="AI302" i="22"/>
  <c r="AH302" i="22" s="1"/>
  <c r="AG302" i="22" s="1"/>
  <c r="AF302" i="22" s="1"/>
  <c r="AD302" i="22" s="1"/>
  <c r="AI298" i="22"/>
  <c r="AH298" i="22" s="1"/>
  <c r="AG298" i="22" s="1"/>
  <c r="AF298" i="22" s="1"/>
  <c r="AD298" i="22" s="1"/>
  <c r="AI294" i="22"/>
  <c r="AH294" i="22" s="1"/>
  <c r="AG294" i="22" s="1"/>
  <c r="AF294" i="22" s="1"/>
  <c r="AD294" i="22" s="1"/>
  <c r="AI290" i="22"/>
  <c r="AH290" i="22" s="1"/>
  <c r="AG290" i="22" s="1"/>
  <c r="AF290" i="22" s="1"/>
  <c r="AD290" i="22" s="1"/>
  <c r="AI286" i="22"/>
  <c r="AH286" i="22" s="1"/>
  <c r="AG286" i="22" s="1"/>
  <c r="AF286" i="22" s="1"/>
  <c r="AD286" i="22" s="1"/>
  <c r="AI282" i="22"/>
  <c r="AH282" i="22" s="1"/>
  <c r="AG282" i="22" s="1"/>
  <c r="AF282" i="22" s="1"/>
  <c r="AD282" i="22" s="1"/>
  <c r="AI278" i="22"/>
  <c r="AH278" i="22" s="1"/>
  <c r="AG278" i="22" s="1"/>
  <c r="AF278" i="22" s="1"/>
  <c r="AD278" i="22" s="1"/>
  <c r="AI274" i="22"/>
  <c r="AH274" i="22" s="1"/>
  <c r="AG274" i="22" s="1"/>
  <c r="AF274" i="22" s="1"/>
  <c r="AD274" i="22" s="1"/>
  <c r="AI270" i="22"/>
  <c r="AH270" i="22" s="1"/>
  <c r="AG270" i="22" s="1"/>
  <c r="AF270" i="22" s="1"/>
  <c r="AD270" i="22" s="1"/>
  <c r="AI266" i="22"/>
  <c r="AH266" i="22" s="1"/>
  <c r="AG266" i="22" s="1"/>
  <c r="AF266" i="22" s="1"/>
  <c r="AD266" i="22" s="1"/>
  <c r="AI262" i="22"/>
  <c r="AH262" i="22" s="1"/>
  <c r="AG262" i="22" s="1"/>
  <c r="AF262" i="22" s="1"/>
  <c r="AD262" i="22" s="1"/>
  <c r="AI258" i="22"/>
  <c r="AH258" i="22" s="1"/>
  <c r="AG258" i="22" s="1"/>
  <c r="AF258" i="22" s="1"/>
  <c r="AD258" i="22" s="1"/>
  <c r="AI254" i="22"/>
  <c r="AH254" i="22" s="1"/>
  <c r="AG254" i="22" s="1"/>
  <c r="AF254" i="22" s="1"/>
  <c r="AD254" i="22" s="1"/>
  <c r="AI250" i="22"/>
  <c r="AH250" i="22" s="1"/>
  <c r="AG250" i="22" s="1"/>
  <c r="AF250" i="22" s="1"/>
  <c r="AD250" i="22" s="1"/>
  <c r="AI246" i="22"/>
  <c r="AH246" i="22" s="1"/>
  <c r="AG246" i="22" s="1"/>
  <c r="AF246" i="22" s="1"/>
  <c r="AD246" i="22" s="1"/>
  <c r="AI242" i="22"/>
  <c r="AH242" i="22" s="1"/>
  <c r="AG242" i="22" s="1"/>
  <c r="AF242" i="22" s="1"/>
  <c r="AD242" i="22" s="1"/>
  <c r="AI238" i="22"/>
  <c r="AH238" i="22" s="1"/>
  <c r="AG238" i="22" s="1"/>
  <c r="AF238" i="22" s="1"/>
  <c r="AD238" i="22" s="1"/>
  <c r="AI234" i="22"/>
  <c r="AH234" i="22" s="1"/>
  <c r="AG234" i="22" s="1"/>
  <c r="AF234" i="22" s="1"/>
  <c r="AD234" i="22" s="1"/>
  <c r="AI230" i="22"/>
  <c r="AH230" i="22" s="1"/>
  <c r="AG230" i="22" s="1"/>
  <c r="AF230" i="22" s="1"/>
  <c r="AD230" i="22" s="1"/>
  <c r="AI226" i="22"/>
  <c r="AH226" i="22" s="1"/>
  <c r="AG226" i="22" s="1"/>
  <c r="AF226" i="22" s="1"/>
  <c r="AD226" i="22" s="1"/>
  <c r="AI222" i="22"/>
  <c r="AH222" i="22" s="1"/>
  <c r="AG222" i="22" s="1"/>
  <c r="AF222" i="22" s="1"/>
  <c r="AD222" i="22" s="1"/>
  <c r="AI218" i="22"/>
  <c r="AH218" i="22" s="1"/>
  <c r="AG218" i="22" s="1"/>
  <c r="AF218" i="22" s="1"/>
  <c r="AD218" i="22" s="1"/>
  <c r="AI214" i="22"/>
  <c r="AH214" i="22" s="1"/>
  <c r="AG214" i="22" s="1"/>
  <c r="AF214" i="22" s="1"/>
  <c r="AD214" i="22" s="1"/>
  <c r="AI210" i="22"/>
  <c r="AH210" i="22" s="1"/>
  <c r="AG210" i="22" s="1"/>
  <c r="AF210" i="22" s="1"/>
  <c r="AD210" i="22" s="1"/>
  <c r="AI206" i="22"/>
  <c r="AH206" i="22" s="1"/>
  <c r="AG206" i="22" s="1"/>
  <c r="AF206" i="22" s="1"/>
  <c r="AD206" i="22" s="1"/>
  <c r="AI202" i="22"/>
  <c r="AH202" i="22" s="1"/>
  <c r="AG202" i="22" s="1"/>
  <c r="AF202" i="22" s="1"/>
  <c r="AD202" i="22" s="1"/>
  <c r="AI198" i="22"/>
  <c r="AH198" i="22" s="1"/>
  <c r="AG198" i="22" s="1"/>
  <c r="AF198" i="22" s="1"/>
  <c r="AD198" i="22" s="1"/>
  <c r="AI194" i="22"/>
  <c r="AH194" i="22" s="1"/>
  <c r="AG194" i="22" s="1"/>
  <c r="AF194" i="22" s="1"/>
  <c r="AD194" i="22" s="1"/>
  <c r="AI190" i="22"/>
  <c r="AH190" i="22" s="1"/>
  <c r="AG190" i="22" s="1"/>
  <c r="AF190" i="22" s="1"/>
  <c r="AD190" i="22" s="1"/>
  <c r="AI186" i="22"/>
  <c r="AH186" i="22" s="1"/>
  <c r="AG186" i="22" s="1"/>
  <c r="AF186" i="22" s="1"/>
  <c r="AD186" i="22" s="1"/>
  <c r="AI182" i="22"/>
  <c r="AH182" i="22" s="1"/>
  <c r="AG182" i="22" s="1"/>
  <c r="AF182" i="22" s="1"/>
  <c r="AD182" i="22" s="1"/>
  <c r="AI178" i="22"/>
  <c r="AH178" i="22" s="1"/>
  <c r="AG178" i="22" s="1"/>
  <c r="AF178" i="22" s="1"/>
  <c r="AD178" i="22" s="1"/>
  <c r="AI174" i="22"/>
  <c r="AH174" i="22" s="1"/>
  <c r="AG174" i="22" s="1"/>
  <c r="AF174" i="22" s="1"/>
  <c r="AD174" i="22" s="1"/>
  <c r="AI170" i="22"/>
  <c r="AH170" i="22" s="1"/>
  <c r="AG170" i="22" s="1"/>
  <c r="AF170" i="22" s="1"/>
  <c r="AD170" i="22" s="1"/>
  <c r="AI166" i="22"/>
  <c r="AH166" i="22" s="1"/>
  <c r="AG166" i="22" s="1"/>
  <c r="AF166" i="22" s="1"/>
  <c r="AD166" i="22" s="1"/>
  <c r="AI162" i="22"/>
  <c r="AH162" i="22" s="1"/>
  <c r="AG162" i="22" s="1"/>
  <c r="AF162" i="22" s="1"/>
  <c r="AD162" i="22" s="1"/>
  <c r="AI158" i="22"/>
  <c r="AH158" i="22" s="1"/>
  <c r="AG158" i="22" s="1"/>
  <c r="AF158" i="22" s="1"/>
  <c r="AD158" i="22" s="1"/>
  <c r="AI154" i="22"/>
  <c r="AH154" i="22" s="1"/>
  <c r="AG154" i="22" s="1"/>
  <c r="AF154" i="22" s="1"/>
  <c r="AD154" i="22" s="1"/>
  <c r="AI150" i="22"/>
  <c r="AH150" i="22" s="1"/>
  <c r="AG150" i="22" s="1"/>
  <c r="AF150" i="22" s="1"/>
  <c r="AD150" i="22" s="1"/>
  <c r="AI146" i="22"/>
  <c r="AH146" i="22" s="1"/>
  <c r="AG146" i="22" s="1"/>
  <c r="AF146" i="22" s="1"/>
  <c r="AD146" i="22" s="1"/>
  <c r="AI142" i="22"/>
  <c r="AH142" i="22" s="1"/>
  <c r="AG142" i="22" s="1"/>
  <c r="AF142" i="22" s="1"/>
  <c r="AD142" i="22" s="1"/>
  <c r="AI138" i="22"/>
  <c r="AH138" i="22" s="1"/>
  <c r="AG138" i="22" s="1"/>
  <c r="AF138" i="22" s="1"/>
  <c r="AD138" i="22" s="1"/>
  <c r="AI134" i="22"/>
  <c r="AH134" i="22" s="1"/>
  <c r="AG134" i="22" s="1"/>
  <c r="AF134" i="22" s="1"/>
  <c r="AD134" i="22" s="1"/>
  <c r="AI130" i="22"/>
  <c r="AH130" i="22" s="1"/>
  <c r="AG130" i="22" s="1"/>
  <c r="AF130" i="22" s="1"/>
  <c r="AD130" i="22" s="1"/>
  <c r="AI126" i="22"/>
  <c r="AH126" i="22" s="1"/>
  <c r="AG126" i="22" s="1"/>
  <c r="AF126" i="22" s="1"/>
  <c r="AD126" i="22" s="1"/>
  <c r="AI122" i="22"/>
  <c r="AH122" i="22" s="1"/>
  <c r="AG122" i="22" s="1"/>
  <c r="AF122" i="22" s="1"/>
  <c r="AD122" i="22" s="1"/>
  <c r="AI118" i="22"/>
  <c r="AH118" i="22" s="1"/>
  <c r="AG118" i="22" s="1"/>
  <c r="AF118" i="22" s="1"/>
  <c r="AD118" i="22" s="1"/>
  <c r="AI114" i="22"/>
  <c r="AH114" i="22" s="1"/>
  <c r="AG114" i="22" s="1"/>
  <c r="AF114" i="22" s="1"/>
  <c r="AD114" i="22" s="1"/>
  <c r="AI110" i="22"/>
  <c r="AH110" i="22" s="1"/>
  <c r="AG110" i="22" s="1"/>
  <c r="AF110" i="22" s="1"/>
  <c r="AD110" i="22" s="1"/>
  <c r="AI106" i="22"/>
  <c r="AH106" i="22" s="1"/>
  <c r="AG106" i="22" s="1"/>
  <c r="AF106" i="22" s="1"/>
  <c r="AD106" i="22" s="1"/>
  <c r="AI102" i="22"/>
  <c r="AH102" i="22" s="1"/>
  <c r="AG102" i="22" s="1"/>
  <c r="AF102" i="22" s="1"/>
  <c r="AD102" i="22" s="1"/>
  <c r="AI98" i="22"/>
  <c r="AH98" i="22" s="1"/>
  <c r="AG98" i="22" s="1"/>
  <c r="AF98" i="22" s="1"/>
  <c r="AD98" i="22" s="1"/>
  <c r="AI94" i="22"/>
  <c r="AH94" i="22" s="1"/>
  <c r="AG94" i="22" s="1"/>
  <c r="AF94" i="22" s="1"/>
  <c r="AD94" i="22" s="1"/>
  <c r="AI90" i="22"/>
  <c r="AH90" i="22" s="1"/>
  <c r="AG90" i="22" s="1"/>
  <c r="AF90" i="22" s="1"/>
  <c r="AD90" i="22" s="1"/>
  <c r="AI86" i="22"/>
  <c r="AH86" i="22" s="1"/>
  <c r="AG86" i="22" s="1"/>
  <c r="AF86" i="22" s="1"/>
  <c r="AD86" i="22" s="1"/>
  <c r="AI82" i="22"/>
  <c r="AH82" i="22" s="1"/>
  <c r="AG82" i="22" s="1"/>
  <c r="AF82" i="22" s="1"/>
  <c r="AD82" i="22" s="1"/>
  <c r="AI78" i="22"/>
  <c r="AH78" i="22" s="1"/>
  <c r="AG78" i="22" s="1"/>
  <c r="AF78" i="22" s="1"/>
  <c r="AD78" i="22" s="1"/>
  <c r="AI74" i="22"/>
  <c r="AH74" i="22" s="1"/>
  <c r="AG74" i="22" s="1"/>
  <c r="AF74" i="22" s="1"/>
  <c r="AD74" i="22" s="1"/>
  <c r="AI70" i="22"/>
  <c r="AH70" i="22" s="1"/>
  <c r="AG70" i="22" s="1"/>
  <c r="AF70" i="22" s="1"/>
  <c r="AD70" i="22" s="1"/>
  <c r="AI66" i="22"/>
  <c r="AH66" i="22" s="1"/>
  <c r="AG66" i="22" s="1"/>
  <c r="AF66" i="22" s="1"/>
  <c r="AD66" i="22" s="1"/>
  <c r="AI62" i="22"/>
  <c r="AH62" i="22" s="1"/>
  <c r="AG62" i="22" s="1"/>
  <c r="AF62" i="22" s="1"/>
  <c r="AD62" i="22" s="1"/>
  <c r="AI58" i="22"/>
  <c r="AH58" i="22" s="1"/>
  <c r="AG58" i="22" s="1"/>
  <c r="AF58" i="22" s="1"/>
  <c r="AD58" i="22" s="1"/>
  <c r="AI54" i="22"/>
  <c r="AH54" i="22" s="1"/>
  <c r="AG54" i="22" s="1"/>
  <c r="AF54" i="22" s="1"/>
  <c r="AD54" i="22" s="1"/>
  <c r="AI380" i="22"/>
  <c r="AH380" i="22" s="1"/>
  <c r="AG380" i="22" s="1"/>
  <c r="AF380" i="22" s="1"/>
  <c r="AD380" i="22" s="1"/>
  <c r="AI376" i="22"/>
  <c r="AH376" i="22" s="1"/>
  <c r="AG376" i="22" s="1"/>
  <c r="AF376" i="22" s="1"/>
  <c r="AD376" i="22" s="1"/>
  <c r="AI372" i="22"/>
  <c r="AH372" i="22" s="1"/>
  <c r="AG372" i="22" s="1"/>
  <c r="AF372" i="22" s="1"/>
  <c r="AD372" i="22" s="1"/>
  <c r="AI368" i="22"/>
  <c r="AH368" i="22" s="1"/>
  <c r="AG368" i="22" s="1"/>
  <c r="AF368" i="22" s="1"/>
  <c r="AD368" i="22" s="1"/>
  <c r="AI364" i="22"/>
  <c r="AH364" i="22" s="1"/>
  <c r="AG364" i="22" s="1"/>
  <c r="AF364" i="22" s="1"/>
  <c r="AD364" i="22" s="1"/>
  <c r="AI360" i="22"/>
  <c r="AH360" i="22" s="1"/>
  <c r="AG360" i="22" s="1"/>
  <c r="AF360" i="22" s="1"/>
  <c r="AD360" i="22" s="1"/>
  <c r="AI356" i="22"/>
  <c r="AH356" i="22" s="1"/>
  <c r="AG356" i="22" s="1"/>
  <c r="AF356" i="22" s="1"/>
  <c r="AD356" i="22" s="1"/>
  <c r="AI352" i="22"/>
  <c r="AH352" i="22" s="1"/>
  <c r="AG352" i="22" s="1"/>
  <c r="AF352" i="22" s="1"/>
  <c r="AD352" i="22" s="1"/>
  <c r="AI348" i="22"/>
  <c r="AH348" i="22" s="1"/>
  <c r="AG348" i="22" s="1"/>
  <c r="AF348" i="22" s="1"/>
  <c r="AD348" i="22" s="1"/>
  <c r="AI344" i="22"/>
  <c r="AH344" i="22" s="1"/>
  <c r="AG344" i="22" s="1"/>
  <c r="AF344" i="22" s="1"/>
  <c r="AD344" i="22" s="1"/>
  <c r="AI340" i="22"/>
  <c r="AH340" i="22" s="1"/>
  <c r="AG340" i="22" s="1"/>
  <c r="AF340" i="22" s="1"/>
  <c r="AD340" i="22" s="1"/>
  <c r="AI336" i="22"/>
  <c r="AH336" i="22" s="1"/>
  <c r="AG336" i="22" s="1"/>
  <c r="AF336" i="22" s="1"/>
  <c r="AD336" i="22" s="1"/>
  <c r="AI332" i="22"/>
  <c r="AH332" i="22" s="1"/>
  <c r="AG332" i="22" s="1"/>
  <c r="AF332" i="22" s="1"/>
  <c r="AD332" i="22" s="1"/>
  <c r="AI328" i="22"/>
  <c r="AH328" i="22" s="1"/>
  <c r="AG328" i="22" s="1"/>
  <c r="AF328" i="22" s="1"/>
  <c r="AD328" i="22" s="1"/>
  <c r="AI324" i="22"/>
  <c r="AH324" i="22" s="1"/>
  <c r="AG324" i="22" s="1"/>
  <c r="AF324" i="22" s="1"/>
  <c r="AD324" i="22" s="1"/>
  <c r="AI320" i="22"/>
  <c r="AH320" i="22" s="1"/>
  <c r="AG320" i="22" s="1"/>
  <c r="AF320" i="22" s="1"/>
  <c r="AD320" i="22" s="1"/>
  <c r="AI316" i="22"/>
  <c r="AH316" i="22" s="1"/>
  <c r="AG316" i="22" s="1"/>
  <c r="AF316" i="22" s="1"/>
  <c r="AD316" i="22" s="1"/>
  <c r="AI312" i="22"/>
  <c r="AH312" i="22" s="1"/>
  <c r="AG312" i="22" s="1"/>
  <c r="AF312" i="22" s="1"/>
  <c r="AD312" i="22" s="1"/>
  <c r="AI308" i="22"/>
  <c r="AH308" i="22" s="1"/>
  <c r="AG308" i="22" s="1"/>
  <c r="AF308" i="22" s="1"/>
  <c r="AD308" i="22" s="1"/>
  <c r="AI304" i="22"/>
  <c r="AH304" i="22" s="1"/>
  <c r="AG304" i="22" s="1"/>
  <c r="AF304" i="22" s="1"/>
  <c r="AD304" i="22" s="1"/>
  <c r="AI300" i="22"/>
  <c r="AH300" i="22" s="1"/>
  <c r="AG300" i="22" s="1"/>
  <c r="AF300" i="22" s="1"/>
  <c r="AD300" i="22" s="1"/>
  <c r="AI296" i="22"/>
  <c r="AH296" i="22" s="1"/>
  <c r="AG296" i="22" s="1"/>
  <c r="AF296" i="22" s="1"/>
  <c r="AD296" i="22" s="1"/>
  <c r="AI292" i="22"/>
  <c r="AH292" i="22" s="1"/>
  <c r="AG292" i="22" s="1"/>
  <c r="AF292" i="22" s="1"/>
  <c r="AD292" i="22" s="1"/>
  <c r="AI288" i="22"/>
  <c r="AH288" i="22" s="1"/>
  <c r="AG288" i="22" s="1"/>
  <c r="AF288" i="22" s="1"/>
  <c r="AD288" i="22" s="1"/>
  <c r="AI284" i="22"/>
  <c r="AH284" i="22" s="1"/>
  <c r="AG284" i="22" s="1"/>
  <c r="AF284" i="22" s="1"/>
  <c r="AD284" i="22" s="1"/>
  <c r="AI280" i="22"/>
  <c r="AH280" i="22" s="1"/>
  <c r="AG280" i="22" s="1"/>
  <c r="AF280" i="22" s="1"/>
  <c r="AD280" i="22" s="1"/>
  <c r="AI276" i="22"/>
  <c r="AH276" i="22" s="1"/>
  <c r="AG276" i="22" s="1"/>
  <c r="AF276" i="22" s="1"/>
  <c r="AD276" i="22" s="1"/>
  <c r="AI272" i="22"/>
  <c r="AH272" i="22" s="1"/>
  <c r="AG272" i="22" s="1"/>
  <c r="AF272" i="22" s="1"/>
  <c r="AD272" i="22" s="1"/>
  <c r="AI268" i="22"/>
  <c r="AH268" i="22" s="1"/>
  <c r="AG268" i="22" s="1"/>
  <c r="AF268" i="22" s="1"/>
  <c r="AD268" i="22" s="1"/>
  <c r="AI264" i="22"/>
  <c r="AH264" i="22" s="1"/>
  <c r="AG264" i="22" s="1"/>
  <c r="AF264" i="22" s="1"/>
  <c r="AD264" i="22" s="1"/>
  <c r="AI260" i="22"/>
  <c r="AH260" i="22" s="1"/>
  <c r="AG260" i="22" s="1"/>
  <c r="AF260" i="22" s="1"/>
  <c r="AD260" i="22" s="1"/>
  <c r="AI256" i="22"/>
  <c r="AH256" i="22" s="1"/>
  <c r="AG256" i="22" s="1"/>
  <c r="AF256" i="22" s="1"/>
  <c r="AD256" i="22" s="1"/>
  <c r="AI252" i="22"/>
  <c r="AH252" i="22" s="1"/>
  <c r="AG252" i="22" s="1"/>
  <c r="AF252" i="22" s="1"/>
  <c r="AD252" i="22" s="1"/>
  <c r="AI248" i="22"/>
  <c r="AH248" i="22" s="1"/>
  <c r="AG248" i="22" s="1"/>
  <c r="AF248" i="22" s="1"/>
  <c r="AD248" i="22" s="1"/>
  <c r="AI244" i="22"/>
  <c r="AH244" i="22" s="1"/>
  <c r="AG244" i="22" s="1"/>
  <c r="AF244" i="22" s="1"/>
  <c r="AD244" i="22" s="1"/>
  <c r="AI240" i="22"/>
  <c r="AH240" i="22" s="1"/>
  <c r="AG240" i="22" s="1"/>
  <c r="AF240" i="22" s="1"/>
  <c r="AD240" i="22" s="1"/>
  <c r="AI236" i="22"/>
  <c r="AH236" i="22" s="1"/>
  <c r="AG236" i="22" s="1"/>
  <c r="AF236" i="22" s="1"/>
  <c r="AD236" i="22" s="1"/>
  <c r="AI232" i="22"/>
  <c r="AH232" i="22" s="1"/>
  <c r="AG232" i="22" s="1"/>
  <c r="AF232" i="22" s="1"/>
  <c r="AD232" i="22" s="1"/>
  <c r="AI228" i="22"/>
  <c r="AH228" i="22" s="1"/>
  <c r="AG228" i="22" s="1"/>
  <c r="AF228" i="22" s="1"/>
  <c r="AD228" i="22" s="1"/>
  <c r="AI224" i="22"/>
  <c r="AH224" i="22" s="1"/>
  <c r="AG224" i="22" s="1"/>
  <c r="AF224" i="22" s="1"/>
  <c r="AD224" i="22" s="1"/>
  <c r="AI220" i="22"/>
  <c r="AH220" i="22" s="1"/>
  <c r="AG220" i="22" s="1"/>
  <c r="AF220" i="22" s="1"/>
  <c r="AD220" i="22" s="1"/>
  <c r="AI216" i="22"/>
  <c r="AH216" i="22" s="1"/>
  <c r="AG216" i="22" s="1"/>
  <c r="AF216" i="22" s="1"/>
  <c r="AD216" i="22" s="1"/>
  <c r="AI212" i="22"/>
  <c r="AH212" i="22" s="1"/>
  <c r="AG212" i="22" s="1"/>
  <c r="AF212" i="22" s="1"/>
  <c r="AD212" i="22" s="1"/>
  <c r="AI208" i="22"/>
  <c r="AH208" i="22" s="1"/>
  <c r="AG208" i="22" s="1"/>
  <c r="AF208" i="22" s="1"/>
  <c r="AD208" i="22" s="1"/>
  <c r="AI204" i="22"/>
  <c r="AH204" i="22" s="1"/>
  <c r="AG204" i="22" s="1"/>
  <c r="AF204" i="22" s="1"/>
  <c r="AD204" i="22" s="1"/>
  <c r="AI200" i="22"/>
  <c r="AH200" i="22" s="1"/>
  <c r="AG200" i="22" s="1"/>
  <c r="AF200" i="22" s="1"/>
  <c r="AD200" i="22" s="1"/>
  <c r="AI196" i="22"/>
  <c r="AH196" i="22" s="1"/>
  <c r="AG196" i="22" s="1"/>
  <c r="AF196" i="22" s="1"/>
  <c r="AD196" i="22" s="1"/>
  <c r="AI192" i="22"/>
  <c r="AH192" i="22" s="1"/>
  <c r="AG192" i="22" s="1"/>
  <c r="AF192" i="22" s="1"/>
  <c r="AD192" i="22" s="1"/>
  <c r="AI188" i="22"/>
  <c r="AH188" i="22" s="1"/>
  <c r="AG188" i="22" s="1"/>
  <c r="AF188" i="22" s="1"/>
  <c r="AD188" i="22" s="1"/>
  <c r="AI184" i="22"/>
  <c r="AH184" i="22" s="1"/>
  <c r="AG184" i="22" s="1"/>
  <c r="AF184" i="22" s="1"/>
  <c r="AD184" i="22" s="1"/>
  <c r="AI180" i="22"/>
  <c r="AH180" i="22" s="1"/>
  <c r="AG180" i="22" s="1"/>
  <c r="AF180" i="22" s="1"/>
  <c r="AD180" i="22" s="1"/>
  <c r="AI176" i="22"/>
  <c r="AH176" i="22" s="1"/>
  <c r="AG176" i="22" s="1"/>
  <c r="AF176" i="22" s="1"/>
  <c r="AD176" i="22" s="1"/>
  <c r="AI172" i="22"/>
  <c r="AH172" i="22" s="1"/>
  <c r="AG172" i="22" s="1"/>
  <c r="AF172" i="22" s="1"/>
  <c r="AD172" i="22" s="1"/>
  <c r="AI168" i="22"/>
  <c r="AH168" i="22" s="1"/>
  <c r="AG168" i="22" s="1"/>
  <c r="AF168" i="22" s="1"/>
  <c r="AD168" i="22" s="1"/>
  <c r="AI164" i="22"/>
  <c r="AH164" i="22" s="1"/>
  <c r="AG164" i="22" s="1"/>
  <c r="AF164" i="22" s="1"/>
  <c r="AD164" i="22" s="1"/>
  <c r="AI160" i="22"/>
  <c r="AH160" i="22" s="1"/>
  <c r="AG160" i="22" s="1"/>
  <c r="AF160" i="22" s="1"/>
  <c r="AD160" i="22" s="1"/>
  <c r="AI156" i="22"/>
  <c r="AH156" i="22" s="1"/>
  <c r="AG156" i="22" s="1"/>
  <c r="AF156" i="22" s="1"/>
  <c r="AD156" i="22" s="1"/>
  <c r="AI152" i="22"/>
  <c r="AH152" i="22" s="1"/>
  <c r="AG152" i="22" s="1"/>
  <c r="AF152" i="22" s="1"/>
  <c r="AD152" i="22" s="1"/>
  <c r="AI148" i="22"/>
  <c r="AH148" i="22" s="1"/>
  <c r="AG148" i="22" s="1"/>
  <c r="AF148" i="22" s="1"/>
  <c r="AD148" i="22" s="1"/>
  <c r="AI144" i="22"/>
  <c r="AH144" i="22" s="1"/>
  <c r="AG144" i="22" s="1"/>
  <c r="AF144" i="22" s="1"/>
  <c r="AD144" i="22" s="1"/>
  <c r="AI140" i="22"/>
  <c r="AH140" i="22" s="1"/>
  <c r="AG140" i="22" s="1"/>
  <c r="AF140" i="22" s="1"/>
  <c r="AD140" i="22" s="1"/>
  <c r="AI136" i="22"/>
  <c r="AH136" i="22" s="1"/>
  <c r="AG136" i="22" s="1"/>
  <c r="AF136" i="22" s="1"/>
  <c r="AD136" i="22" s="1"/>
  <c r="AI132" i="22"/>
  <c r="AH132" i="22" s="1"/>
  <c r="AG132" i="22" s="1"/>
  <c r="AF132" i="22" s="1"/>
  <c r="AD132" i="22" s="1"/>
  <c r="AI128" i="22"/>
  <c r="AH128" i="22" s="1"/>
  <c r="AG128" i="22" s="1"/>
  <c r="AF128" i="22" s="1"/>
  <c r="AD128" i="22" s="1"/>
  <c r="AI124" i="22"/>
  <c r="AH124" i="22" s="1"/>
  <c r="AG124" i="22" s="1"/>
  <c r="AF124" i="22" s="1"/>
  <c r="AD124" i="22" s="1"/>
  <c r="AI120" i="22"/>
  <c r="AH120" i="22" s="1"/>
  <c r="AG120" i="22" s="1"/>
  <c r="AF120" i="22" s="1"/>
  <c r="AD120" i="22" s="1"/>
  <c r="AI116" i="22"/>
  <c r="AH116" i="22" s="1"/>
  <c r="AG116" i="22" s="1"/>
  <c r="AF116" i="22" s="1"/>
  <c r="AD116" i="22" s="1"/>
  <c r="AI112" i="22"/>
  <c r="AH112" i="22" s="1"/>
  <c r="AG112" i="22" s="1"/>
  <c r="AF112" i="22" s="1"/>
  <c r="AD112" i="22" s="1"/>
  <c r="AI108" i="22"/>
  <c r="AH108" i="22" s="1"/>
  <c r="AG108" i="22" s="1"/>
  <c r="AF108" i="22" s="1"/>
  <c r="AD108" i="22" s="1"/>
  <c r="AI104" i="22"/>
  <c r="AH104" i="22" s="1"/>
  <c r="AG104" i="22" s="1"/>
  <c r="AF104" i="22" s="1"/>
  <c r="AD104" i="22" s="1"/>
  <c r="AI100" i="22"/>
  <c r="AH100" i="22" s="1"/>
  <c r="AG100" i="22" s="1"/>
  <c r="AF100" i="22" s="1"/>
  <c r="AD100" i="22" s="1"/>
  <c r="AI96" i="22"/>
  <c r="AH96" i="22" s="1"/>
  <c r="AG96" i="22" s="1"/>
  <c r="AF96" i="22" s="1"/>
  <c r="AD96" i="22" s="1"/>
  <c r="AI92" i="22"/>
  <c r="AH92" i="22" s="1"/>
  <c r="AG92" i="22" s="1"/>
  <c r="AF92" i="22" s="1"/>
  <c r="AD92" i="22" s="1"/>
  <c r="AI88" i="22"/>
  <c r="AH88" i="22" s="1"/>
  <c r="AG88" i="22" s="1"/>
  <c r="AF88" i="22" s="1"/>
  <c r="AD88" i="22" s="1"/>
  <c r="AI84" i="22"/>
  <c r="AH84" i="22" s="1"/>
  <c r="AG84" i="22" s="1"/>
  <c r="AF84" i="22" s="1"/>
  <c r="AD84" i="22" s="1"/>
  <c r="AI80" i="22"/>
  <c r="AH80" i="22" s="1"/>
  <c r="AG80" i="22" s="1"/>
  <c r="AF80" i="22" s="1"/>
  <c r="AD80" i="22" s="1"/>
  <c r="AI76" i="22"/>
  <c r="AH76" i="22" s="1"/>
  <c r="AG76" i="22" s="1"/>
  <c r="AF76" i="22" s="1"/>
  <c r="AD76" i="22" s="1"/>
  <c r="AI72" i="22"/>
  <c r="AH72" i="22" s="1"/>
  <c r="AG72" i="22" s="1"/>
  <c r="AF72" i="22" s="1"/>
  <c r="AD72" i="22" s="1"/>
  <c r="AI68" i="22"/>
  <c r="AH68" i="22" s="1"/>
  <c r="AG68" i="22" s="1"/>
  <c r="AF68" i="22" s="1"/>
  <c r="AD68" i="22" s="1"/>
  <c r="AI64" i="22"/>
  <c r="AH64" i="22" s="1"/>
  <c r="AG64" i="22" s="1"/>
  <c r="AF64" i="22" s="1"/>
  <c r="AD64" i="22" s="1"/>
  <c r="AI60" i="22"/>
  <c r="AH60" i="22" s="1"/>
  <c r="AG60" i="22" s="1"/>
  <c r="AF60" i="22" s="1"/>
  <c r="AD60" i="22" s="1"/>
  <c r="AI56" i="22"/>
  <c r="AH56" i="22" s="1"/>
  <c r="AG56" i="22" s="1"/>
  <c r="AF56" i="22" s="1"/>
  <c r="AD56" i="22" s="1"/>
  <c r="AI52" i="22"/>
  <c r="AH52" i="22" s="1"/>
  <c r="AG52" i="22" s="1"/>
  <c r="AF52" i="22" s="1"/>
  <c r="AD52" i="22" s="1"/>
  <c r="AI48" i="22"/>
  <c r="AH48" i="22" s="1"/>
  <c r="AG48" i="22" s="1"/>
  <c r="AF48" i="22" s="1"/>
  <c r="AD48" i="22" s="1"/>
  <c r="AI44" i="22"/>
  <c r="AH44" i="22" s="1"/>
  <c r="AG44" i="22" s="1"/>
  <c r="AF44" i="22" s="1"/>
  <c r="AD44" i="22" s="1"/>
  <c r="AI40" i="22"/>
  <c r="AH40" i="22" s="1"/>
  <c r="AG40" i="22" s="1"/>
  <c r="AF40" i="22" s="1"/>
  <c r="AD40" i="22" s="1"/>
  <c r="AI36" i="22"/>
  <c r="AH36" i="22" s="1"/>
  <c r="AG36" i="22" s="1"/>
  <c r="AF36" i="22" s="1"/>
  <c r="AD36" i="22" s="1"/>
  <c r="AI32" i="22"/>
  <c r="AH32" i="22" s="1"/>
  <c r="AG32" i="22" s="1"/>
  <c r="AF32" i="22" s="1"/>
  <c r="AD32" i="22" s="1"/>
  <c r="AI28" i="22"/>
  <c r="AH28" i="22" s="1"/>
  <c r="AG28" i="22" s="1"/>
  <c r="AF28" i="22" s="1"/>
  <c r="AD28" i="22" s="1"/>
  <c r="AI24" i="22"/>
  <c r="AH24" i="22" s="1"/>
  <c r="AG24" i="22" s="1"/>
  <c r="AF24" i="22" s="1"/>
  <c r="AD24" i="22" s="1"/>
  <c r="AI16" i="22"/>
  <c r="AH16" i="22" s="1"/>
  <c r="AG16" i="22" s="1"/>
  <c r="AF16" i="22" s="1"/>
  <c r="AD16" i="22" s="1"/>
  <c r="AI20" i="22"/>
  <c r="AH20" i="22" s="1"/>
  <c r="AG20" i="22" s="1"/>
  <c r="AF20" i="22" s="1"/>
  <c r="AD20" i="22" s="1"/>
  <c r="U378" i="22"/>
  <c r="T378" i="22" s="1"/>
  <c r="S378" i="22" s="1"/>
  <c r="R378" i="22" s="1"/>
  <c r="P378" i="22" s="1"/>
  <c r="V378" i="22" s="1"/>
  <c r="U374" i="22"/>
  <c r="T374" i="22" s="1"/>
  <c r="S374" i="22" s="1"/>
  <c r="R374" i="22" s="1"/>
  <c r="P374" i="22" s="1"/>
  <c r="V374" i="22" s="1"/>
  <c r="U370" i="22"/>
  <c r="T370" i="22" s="1"/>
  <c r="S370" i="22" s="1"/>
  <c r="R370" i="22" s="1"/>
  <c r="P370" i="22" s="1"/>
  <c r="V370" i="22" s="1"/>
  <c r="U366" i="22"/>
  <c r="T366" i="22" s="1"/>
  <c r="S366" i="22" s="1"/>
  <c r="R366" i="22" s="1"/>
  <c r="P366" i="22" s="1"/>
  <c r="V366" i="22" s="1"/>
  <c r="AI46" i="22"/>
  <c r="AH46" i="22" s="1"/>
  <c r="AG46" i="22" s="1"/>
  <c r="AF46" i="22" s="1"/>
  <c r="AD46" i="22" s="1"/>
  <c r="AI38" i="22"/>
  <c r="AH38" i="22" s="1"/>
  <c r="AG38" i="22" s="1"/>
  <c r="AF38" i="22" s="1"/>
  <c r="AD38" i="22" s="1"/>
  <c r="AI30" i="22"/>
  <c r="AH30" i="22" s="1"/>
  <c r="AG30" i="22" s="1"/>
  <c r="AF30" i="22" s="1"/>
  <c r="AD30" i="22" s="1"/>
  <c r="AI22" i="22"/>
  <c r="AH22" i="22" s="1"/>
  <c r="AG22" i="22" s="1"/>
  <c r="AF22" i="22" s="1"/>
  <c r="AD22" i="22" s="1"/>
  <c r="U380" i="22"/>
  <c r="T380" i="22" s="1"/>
  <c r="S380" i="22" s="1"/>
  <c r="R380" i="22" s="1"/>
  <c r="P380" i="22" s="1"/>
  <c r="V380" i="22" s="1"/>
  <c r="U372" i="22"/>
  <c r="T372" i="22" s="1"/>
  <c r="S372" i="22" s="1"/>
  <c r="R372" i="22" s="1"/>
  <c r="P372" i="22" s="1"/>
  <c r="V372" i="22" s="1"/>
  <c r="U364" i="22"/>
  <c r="T364" i="22" s="1"/>
  <c r="S364" i="22" s="1"/>
  <c r="R364" i="22" s="1"/>
  <c r="P364" i="22" s="1"/>
  <c r="V364" i="22" s="1"/>
  <c r="U360" i="22"/>
  <c r="T360" i="22" s="1"/>
  <c r="S360" i="22" s="1"/>
  <c r="R360" i="22" s="1"/>
  <c r="P360" i="22" s="1"/>
  <c r="V360" i="22" s="1"/>
  <c r="U356" i="22"/>
  <c r="T356" i="22" s="1"/>
  <c r="S356" i="22" s="1"/>
  <c r="R356" i="22" s="1"/>
  <c r="P356" i="22" s="1"/>
  <c r="V356" i="22" s="1"/>
  <c r="U352" i="22"/>
  <c r="T352" i="22" s="1"/>
  <c r="S352" i="22" s="1"/>
  <c r="R352" i="22" s="1"/>
  <c r="P352" i="22" s="1"/>
  <c r="V352" i="22" s="1"/>
  <c r="U348" i="22"/>
  <c r="T348" i="22" s="1"/>
  <c r="S348" i="22" s="1"/>
  <c r="R348" i="22" s="1"/>
  <c r="P348" i="22" s="1"/>
  <c r="V348" i="22" s="1"/>
  <c r="U344" i="22"/>
  <c r="T344" i="22" s="1"/>
  <c r="S344" i="22" s="1"/>
  <c r="R344" i="22" s="1"/>
  <c r="P344" i="22" s="1"/>
  <c r="V344" i="22" s="1"/>
  <c r="U340" i="22"/>
  <c r="T340" i="22" s="1"/>
  <c r="S340" i="22" s="1"/>
  <c r="R340" i="22" s="1"/>
  <c r="P340" i="22" s="1"/>
  <c r="V340" i="22" s="1"/>
  <c r="U336" i="22"/>
  <c r="T336" i="22" s="1"/>
  <c r="S336" i="22" s="1"/>
  <c r="R336" i="22" s="1"/>
  <c r="P336" i="22" s="1"/>
  <c r="V336" i="22" s="1"/>
  <c r="U332" i="22"/>
  <c r="T332" i="22" s="1"/>
  <c r="S332" i="22" s="1"/>
  <c r="R332" i="22" s="1"/>
  <c r="P332" i="22" s="1"/>
  <c r="V332" i="22" s="1"/>
  <c r="U328" i="22"/>
  <c r="T328" i="22" s="1"/>
  <c r="S328" i="22" s="1"/>
  <c r="R328" i="22" s="1"/>
  <c r="P328" i="22" s="1"/>
  <c r="V328" i="22" s="1"/>
  <c r="U324" i="22"/>
  <c r="T324" i="22" s="1"/>
  <c r="S324" i="22" s="1"/>
  <c r="R324" i="22" s="1"/>
  <c r="P324" i="22" s="1"/>
  <c r="V324" i="22" s="1"/>
  <c r="U320" i="22"/>
  <c r="T320" i="22" s="1"/>
  <c r="S320" i="22" s="1"/>
  <c r="R320" i="22" s="1"/>
  <c r="P320" i="22" s="1"/>
  <c r="V320" i="22" s="1"/>
  <c r="U316" i="22"/>
  <c r="T316" i="22" s="1"/>
  <c r="S316" i="22" s="1"/>
  <c r="R316" i="22" s="1"/>
  <c r="P316" i="22" s="1"/>
  <c r="V316" i="22" s="1"/>
  <c r="U312" i="22"/>
  <c r="T312" i="22" s="1"/>
  <c r="S312" i="22" s="1"/>
  <c r="R312" i="22" s="1"/>
  <c r="P312" i="22" s="1"/>
  <c r="V312" i="22" s="1"/>
  <c r="U308" i="22"/>
  <c r="T308" i="22" s="1"/>
  <c r="S308" i="22" s="1"/>
  <c r="R308" i="22" s="1"/>
  <c r="P308" i="22" s="1"/>
  <c r="V308" i="22" s="1"/>
  <c r="U304" i="22"/>
  <c r="T304" i="22" s="1"/>
  <c r="S304" i="22" s="1"/>
  <c r="R304" i="22" s="1"/>
  <c r="P304" i="22" s="1"/>
  <c r="V304" i="22" s="1"/>
  <c r="U300" i="22"/>
  <c r="T300" i="22" s="1"/>
  <c r="S300" i="22" s="1"/>
  <c r="R300" i="22" s="1"/>
  <c r="P300" i="22" s="1"/>
  <c r="V300" i="22" s="1"/>
  <c r="U296" i="22"/>
  <c r="T296" i="22" s="1"/>
  <c r="S296" i="22" s="1"/>
  <c r="R296" i="22" s="1"/>
  <c r="P296" i="22" s="1"/>
  <c r="V296" i="22" s="1"/>
  <c r="U292" i="22"/>
  <c r="T292" i="22" s="1"/>
  <c r="S292" i="22" s="1"/>
  <c r="R292" i="22" s="1"/>
  <c r="P292" i="22" s="1"/>
  <c r="V292" i="22" s="1"/>
  <c r="U288" i="22"/>
  <c r="T288" i="22" s="1"/>
  <c r="S288" i="22" s="1"/>
  <c r="R288" i="22" s="1"/>
  <c r="P288" i="22" s="1"/>
  <c r="V288" i="22" s="1"/>
  <c r="U284" i="22"/>
  <c r="T284" i="22" s="1"/>
  <c r="S284" i="22" s="1"/>
  <c r="R284" i="22" s="1"/>
  <c r="P284" i="22" s="1"/>
  <c r="V284" i="22" s="1"/>
  <c r="U280" i="22"/>
  <c r="T280" i="22" s="1"/>
  <c r="S280" i="22" s="1"/>
  <c r="R280" i="22" s="1"/>
  <c r="P280" i="22" s="1"/>
  <c r="V280" i="22" s="1"/>
  <c r="U276" i="22"/>
  <c r="T276" i="22" s="1"/>
  <c r="S276" i="22" s="1"/>
  <c r="R276" i="22" s="1"/>
  <c r="P276" i="22" s="1"/>
  <c r="V276" i="22" s="1"/>
  <c r="U272" i="22"/>
  <c r="T272" i="22" s="1"/>
  <c r="S272" i="22" s="1"/>
  <c r="R272" i="22" s="1"/>
  <c r="P272" i="22" s="1"/>
  <c r="U268" i="22"/>
  <c r="T268" i="22" s="1"/>
  <c r="S268" i="22" s="1"/>
  <c r="R268" i="22" s="1"/>
  <c r="P268" i="22" s="1"/>
  <c r="V268" i="22" s="1"/>
  <c r="U264" i="22"/>
  <c r="T264" i="22" s="1"/>
  <c r="S264" i="22" s="1"/>
  <c r="R264" i="22" s="1"/>
  <c r="P264" i="22" s="1"/>
  <c r="V264" i="22" s="1"/>
  <c r="U260" i="22"/>
  <c r="T260" i="22" s="1"/>
  <c r="S260" i="22" s="1"/>
  <c r="R260" i="22" s="1"/>
  <c r="P260" i="22" s="1"/>
  <c r="V260" i="22" s="1"/>
  <c r="U256" i="22"/>
  <c r="T256" i="22" s="1"/>
  <c r="S256" i="22" s="1"/>
  <c r="R256" i="22" s="1"/>
  <c r="P256" i="22" s="1"/>
  <c r="V256" i="22" s="1"/>
  <c r="U252" i="22"/>
  <c r="T252" i="22" s="1"/>
  <c r="S252" i="22" s="1"/>
  <c r="R252" i="22" s="1"/>
  <c r="P252" i="22" s="1"/>
  <c r="V252" i="22" s="1"/>
  <c r="U248" i="22"/>
  <c r="T248" i="22" s="1"/>
  <c r="S248" i="22" s="1"/>
  <c r="R248" i="22" s="1"/>
  <c r="P248" i="22" s="1"/>
  <c r="V248" i="22" s="1"/>
  <c r="U244" i="22"/>
  <c r="T244" i="22" s="1"/>
  <c r="S244" i="22" s="1"/>
  <c r="R244" i="22" s="1"/>
  <c r="P244" i="22" s="1"/>
  <c r="V244" i="22" s="1"/>
  <c r="U240" i="22"/>
  <c r="T240" i="22" s="1"/>
  <c r="S240" i="22" s="1"/>
  <c r="R240" i="22" s="1"/>
  <c r="P240" i="22" s="1"/>
  <c r="V240" i="22" s="1"/>
  <c r="U236" i="22"/>
  <c r="T236" i="22" s="1"/>
  <c r="S236" i="22" s="1"/>
  <c r="R236" i="22" s="1"/>
  <c r="P236" i="22" s="1"/>
  <c r="V236" i="22" s="1"/>
  <c r="U232" i="22"/>
  <c r="T232" i="22" s="1"/>
  <c r="S232" i="22" s="1"/>
  <c r="R232" i="22" s="1"/>
  <c r="P232" i="22" s="1"/>
  <c r="V232" i="22" s="1"/>
  <c r="U228" i="22"/>
  <c r="T228" i="22" s="1"/>
  <c r="S228" i="22" s="1"/>
  <c r="R228" i="22" s="1"/>
  <c r="P228" i="22" s="1"/>
  <c r="V228" i="22" s="1"/>
  <c r="U224" i="22"/>
  <c r="T224" i="22" s="1"/>
  <c r="S224" i="22" s="1"/>
  <c r="R224" i="22" s="1"/>
  <c r="P224" i="22" s="1"/>
  <c r="V224" i="22" s="1"/>
  <c r="U220" i="22"/>
  <c r="T220" i="22" s="1"/>
  <c r="S220" i="22" s="1"/>
  <c r="R220" i="22" s="1"/>
  <c r="P220" i="22" s="1"/>
  <c r="V220" i="22" s="1"/>
  <c r="U216" i="22"/>
  <c r="T216" i="22" s="1"/>
  <c r="S216" i="22" s="1"/>
  <c r="R216" i="22" s="1"/>
  <c r="P216" i="22" s="1"/>
  <c r="V216" i="22" s="1"/>
  <c r="U212" i="22"/>
  <c r="T212" i="22" s="1"/>
  <c r="S212" i="22" s="1"/>
  <c r="R212" i="22" s="1"/>
  <c r="P212" i="22" s="1"/>
  <c r="V212" i="22" s="1"/>
  <c r="U208" i="22"/>
  <c r="T208" i="22" s="1"/>
  <c r="S208" i="22" s="1"/>
  <c r="R208" i="22" s="1"/>
  <c r="P208" i="22" s="1"/>
  <c r="V208" i="22" s="1"/>
  <c r="U204" i="22"/>
  <c r="T204" i="22" s="1"/>
  <c r="S204" i="22" s="1"/>
  <c r="R204" i="22" s="1"/>
  <c r="P204" i="22" s="1"/>
  <c r="V204" i="22" s="1"/>
  <c r="U200" i="22"/>
  <c r="T200" i="22" s="1"/>
  <c r="S200" i="22" s="1"/>
  <c r="R200" i="22" s="1"/>
  <c r="P200" i="22" s="1"/>
  <c r="V200" i="22" s="1"/>
  <c r="U196" i="22"/>
  <c r="T196" i="22" s="1"/>
  <c r="S196" i="22" s="1"/>
  <c r="R196" i="22" s="1"/>
  <c r="P196" i="22" s="1"/>
  <c r="V196" i="22" s="1"/>
  <c r="U192" i="22"/>
  <c r="T192" i="22" s="1"/>
  <c r="S192" i="22" s="1"/>
  <c r="R192" i="22" s="1"/>
  <c r="P192" i="22" s="1"/>
  <c r="V192" i="22" s="1"/>
  <c r="U188" i="22"/>
  <c r="T188" i="22" s="1"/>
  <c r="S188" i="22" s="1"/>
  <c r="R188" i="22" s="1"/>
  <c r="P188" i="22" s="1"/>
  <c r="V188" i="22" s="1"/>
  <c r="U184" i="22"/>
  <c r="T184" i="22" s="1"/>
  <c r="S184" i="22" s="1"/>
  <c r="R184" i="22" s="1"/>
  <c r="P184" i="22" s="1"/>
  <c r="V184" i="22" s="1"/>
  <c r="U180" i="22"/>
  <c r="T180" i="22" s="1"/>
  <c r="S180" i="22" s="1"/>
  <c r="R180" i="22" s="1"/>
  <c r="P180" i="22" s="1"/>
  <c r="U176" i="22"/>
  <c r="T176" i="22" s="1"/>
  <c r="S176" i="22" s="1"/>
  <c r="R176" i="22" s="1"/>
  <c r="P176" i="22" s="1"/>
  <c r="V176" i="22" s="1"/>
  <c r="U172" i="22"/>
  <c r="T172" i="22" s="1"/>
  <c r="S172" i="22" s="1"/>
  <c r="R172" i="22" s="1"/>
  <c r="P172" i="22" s="1"/>
  <c r="V172" i="22" s="1"/>
  <c r="U168" i="22"/>
  <c r="T168" i="22" s="1"/>
  <c r="S168" i="22" s="1"/>
  <c r="R168" i="22" s="1"/>
  <c r="P168" i="22" s="1"/>
  <c r="V168" i="22" s="1"/>
  <c r="U164" i="22"/>
  <c r="T164" i="22" s="1"/>
  <c r="S164" i="22" s="1"/>
  <c r="R164" i="22" s="1"/>
  <c r="P164" i="22" s="1"/>
  <c r="V164" i="22" s="1"/>
  <c r="U160" i="22"/>
  <c r="T160" i="22" s="1"/>
  <c r="S160" i="22" s="1"/>
  <c r="R160" i="22" s="1"/>
  <c r="P160" i="22" s="1"/>
  <c r="V160" i="22" s="1"/>
  <c r="U156" i="22"/>
  <c r="T156" i="22" s="1"/>
  <c r="S156" i="22" s="1"/>
  <c r="R156" i="22" s="1"/>
  <c r="P156" i="22" s="1"/>
  <c r="V156" i="22" s="1"/>
  <c r="U152" i="22"/>
  <c r="T152" i="22" s="1"/>
  <c r="S152" i="22" s="1"/>
  <c r="R152" i="22" s="1"/>
  <c r="P152" i="22" s="1"/>
  <c r="V152" i="22" s="1"/>
  <c r="U148" i="22"/>
  <c r="T148" i="22" s="1"/>
  <c r="S148" i="22" s="1"/>
  <c r="R148" i="22" s="1"/>
  <c r="P148" i="22" s="1"/>
  <c r="V148" i="22" s="1"/>
  <c r="U144" i="22"/>
  <c r="T144" i="22" s="1"/>
  <c r="S144" i="22" s="1"/>
  <c r="R144" i="22" s="1"/>
  <c r="P144" i="22" s="1"/>
  <c r="V144" i="22" s="1"/>
  <c r="U140" i="22"/>
  <c r="T140" i="22" s="1"/>
  <c r="S140" i="22" s="1"/>
  <c r="R140" i="22" s="1"/>
  <c r="P140" i="22" s="1"/>
  <c r="V140" i="22" s="1"/>
  <c r="U136" i="22"/>
  <c r="T136" i="22" s="1"/>
  <c r="S136" i="22" s="1"/>
  <c r="R136" i="22" s="1"/>
  <c r="P136" i="22" s="1"/>
  <c r="V136" i="22" s="1"/>
  <c r="U132" i="22"/>
  <c r="T132" i="22" s="1"/>
  <c r="S132" i="22" s="1"/>
  <c r="R132" i="22" s="1"/>
  <c r="P132" i="22" s="1"/>
  <c r="V132" i="22" s="1"/>
  <c r="U128" i="22"/>
  <c r="T128" i="22" s="1"/>
  <c r="S128" i="22" s="1"/>
  <c r="R128" i="22" s="1"/>
  <c r="P128" i="22" s="1"/>
  <c r="V128" i="22" s="1"/>
  <c r="U124" i="22"/>
  <c r="T124" i="22" s="1"/>
  <c r="S124" i="22" s="1"/>
  <c r="R124" i="22" s="1"/>
  <c r="P124" i="22" s="1"/>
  <c r="V124" i="22" s="1"/>
  <c r="U120" i="22"/>
  <c r="T120" i="22" s="1"/>
  <c r="S120" i="22" s="1"/>
  <c r="R120" i="22" s="1"/>
  <c r="P120" i="22" s="1"/>
  <c r="V120" i="22" s="1"/>
  <c r="U116" i="22"/>
  <c r="T116" i="22" s="1"/>
  <c r="S116" i="22" s="1"/>
  <c r="R116" i="22" s="1"/>
  <c r="P116" i="22" s="1"/>
  <c r="V116" i="22" s="1"/>
  <c r="U112" i="22"/>
  <c r="T112" i="22" s="1"/>
  <c r="S112" i="22" s="1"/>
  <c r="R112" i="22" s="1"/>
  <c r="P112" i="22" s="1"/>
  <c r="V112" i="22" s="1"/>
  <c r="U108" i="22"/>
  <c r="T108" i="22" s="1"/>
  <c r="S108" i="22" s="1"/>
  <c r="R108" i="22" s="1"/>
  <c r="P108" i="22" s="1"/>
  <c r="V108" i="22" s="1"/>
  <c r="U104" i="22"/>
  <c r="T104" i="22" s="1"/>
  <c r="S104" i="22" s="1"/>
  <c r="R104" i="22" s="1"/>
  <c r="P104" i="22" s="1"/>
  <c r="V104" i="22" s="1"/>
  <c r="U100" i="22"/>
  <c r="T100" i="22" s="1"/>
  <c r="S100" i="22" s="1"/>
  <c r="R100" i="22" s="1"/>
  <c r="P100" i="22" s="1"/>
  <c r="V100" i="22" s="1"/>
  <c r="U96" i="22"/>
  <c r="T96" i="22" s="1"/>
  <c r="S96" i="22" s="1"/>
  <c r="R96" i="22" s="1"/>
  <c r="P96" i="22" s="1"/>
  <c r="V96" i="22" s="1"/>
  <c r="U92" i="22"/>
  <c r="T92" i="22" s="1"/>
  <c r="S92" i="22" s="1"/>
  <c r="R92" i="22" s="1"/>
  <c r="P92" i="22" s="1"/>
  <c r="V92" i="22" s="1"/>
  <c r="U88" i="22"/>
  <c r="T88" i="22" s="1"/>
  <c r="S88" i="22" s="1"/>
  <c r="R88" i="22" s="1"/>
  <c r="P88" i="22" s="1"/>
  <c r="U84" i="22"/>
  <c r="T84" i="22" s="1"/>
  <c r="S84" i="22" s="1"/>
  <c r="R84" i="22" s="1"/>
  <c r="P84" i="22" s="1"/>
  <c r="V84" i="22" s="1"/>
  <c r="U80" i="22"/>
  <c r="T80" i="22" s="1"/>
  <c r="S80" i="22" s="1"/>
  <c r="R80" i="22" s="1"/>
  <c r="P80" i="22" s="1"/>
  <c r="V80" i="22" s="1"/>
  <c r="U76" i="22"/>
  <c r="T76" i="22" s="1"/>
  <c r="S76" i="22" s="1"/>
  <c r="R76" i="22" s="1"/>
  <c r="P76" i="22" s="1"/>
  <c r="V76" i="22" s="1"/>
  <c r="U72" i="22"/>
  <c r="T72" i="22" s="1"/>
  <c r="S72" i="22" s="1"/>
  <c r="R72" i="22" s="1"/>
  <c r="P72" i="22" s="1"/>
  <c r="V72" i="22" s="1"/>
  <c r="U68" i="22"/>
  <c r="T68" i="22" s="1"/>
  <c r="S68" i="22" s="1"/>
  <c r="R68" i="22" s="1"/>
  <c r="P68" i="22" s="1"/>
  <c r="V68" i="22" s="1"/>
  <c r="U64" i="22"/>
  <c r="T64" i="22" s="1"/>
  <c r="S64" i="22" s="1"/>
  <c r="R64" i="22" s="1"/>
  <c r="P64" i="22" s="1"/>
  <c r="V64" i="22" s="1"/>
  <c r="U60" i="22"/>
  <c r="T60" i="22" s="1"/>
  <c r="S60" i="22" s="1"/>
  <c r="R60" i="22" s="1"/>
  <c r="P60" i="22" s="1"/>
  <c r="U56" i="22"/>
  <c r="T56" i="22" s="1"/>
  <c r="S56" i="22" s="1"/>
  <c r="R56" i="22" s="1"/>
  <c r="P56" i="22" s="1"/>
  <c r="V56" i="22" s="1"/>
  <c r="U52" i="22"/>
  <c r="T52" i="22" s="1"/>
  <c r="S52" i="22" s="1"/>
  <c r="R52" i="22" s="1"/>
  <c r="P52" i="22" s="1"/>
  <c r="V52" i="22" s="1"/>
  <c r="U48" i="22"/>
  <c r="T48" i="22" s="1"/>
  <c r="S48" i="22" s="1"/>
  <c r="R48" i="22" s="1"/>
  <c r="P48" i="22" s="1"/>
  <c r="V48" i="22" s="1"/>
  <c r="U44" i="22"/>
  <c r="T44" i="22" s="1"/>
  <c r="S44" i="22" s="1"/>
  <c r="R44" i="22" s="1"/>
  <c r="P44" i="22" s="1"/>
  <c r="V44" i="22" s="1"/>
  <c r="U40" i="22"/>
  <c r="T40" i="22" s="1"/>
  <c r="S40" i="22" s="1"/>
  <c r="R40" i="22" s="1"/>
  <c r="P40" i="22" s="1"/>
  <c r="V40" i="22" s="1"/>
  <c r="U36" i="22"/>
  <c r="T36" i="22" s="1"/>
  <c r="S36" i="22" s="1"/>
  <c r="R36" i="22" s="1"/>
  <c r="P36" i="22" s="1"/>
  <c r="V36" i="22" s="1"/>
  <c r="U32" i="22"/>
  <c r="T32" i="22" s="1"/>
  <c r="S32" i="22" s="1"/>
  <c r="R32" i="22" s="1"/>
  <c r="P32" i="22" s="1"/>
  <c r="V32" i="22" s="1"/>
  <c r="U28" i="22"/>
  <c r="T28" i="22" s="1"/>
  <c r="S28" i="22" s="1"/>
  <c r="R28" i="22" s="1"/>
  <c r="P28" i="22" s="1"/>
  <c r="V28" i="22" s="1"/>
  <c r="U24" i="22"/>
  <c r="T24" i="22" s="1"/>
  <c r="S24" i="22" s="1"/>
  <c r="R24" i="22" s="1"/>
  <c r="P24" i="22" s="1"/>
  <c r="V24" i="22" s="1"/>
  <c r="U15" i="22"/>
  <c r="U18" i="22"/>
  <c r="T18" i="22" s="1"/>
  <c r="S18" i="22" s="1"/>
  <c r="R18" i="22" s="1"/>
  <c r="P18" i="22" s="1"/>
  <c r="V18" i="22" s="1"/>
  <c r="AI379" i="22"/>
  <c r="AI375" i="22"/>
  <c r="AH375" i="22" s="1"/>
  <c r="AG375" i="22" s="1"/>
  <c r="AF375" i="22" s="1"/>
  <c r="AD375" i="22" s="1"/>
  <c r="AI371" i="22"/>
  <c r="AH371" i="22" s="1"/>
  <c r="AG371" i="22" s="1"/>
  <c r="AF371" i="22" s="1"/>
  <c r="AD371" i="22" s="1"/>
  <c r="AI367" i="22"/>
  <c r="AH367" i="22" s="1"/>
  <c r="AG367" i="22" s="1"/>
  <c r="AF367" i="22" s="1"/>
  <c r="AD367" i="22" s="1"/>
  <c r="AI363" i="22"/>
  <c r="AH363" i="22" s="1"/>
  <c r="AG363" i="22" s="1"/>
  <c r="AF363" i="22" s="1"/>
  <c r="AD363" i="22" s="1"/>
  <c r="AI359" i="22"/>
  <c r="AH359" i="22" s="1"/>
  <c r="AG359" i="22" s="1"/>
  <c r="AF359" i="22" s="1"/>
  <c r="AD359" i="22" s="1"/>
  <c r="AI355" i="22"/>
  <c r="AH355" i="22" s="1"/>
  <c r="AG355" i="22" s="1"/>
  <c r="AF355" i="22" s="1"/>
  <c r="AD355" i="22" s="1"/>
  <c r="AI351" i="22"/>
  <c r="AH351" i="22" s="1"/>
  <c r="AG351" i="22" s="1"/>
  <c r="AF351" i="22" s="1"/>
  <c r="AD351" i="22" s="1"/>
  <c r="AI347" i="22"/>
  <c r="AH347" i="22" s="1"/>
  <c r="AG347" i="22" s="1"/>
  <c r="AF347" i="22" s="1"/>
  <c r="AD347" i="22" s="1"/>
  <c r="AI343" i="22"/>
  <c r="AH343" i="22" s="1"/>
  <c r="AG343" i="22" s="1"/>
  <c r="AF343" i="22" s="1"/>
  <c r="AD343" i="22" s="1"/>
  <c r="AI339" i="22"/>
  <c r="AH339" i="22" s="1"/>
  <c r="AG339" i="22" s="1"/>
  <c r="AF339" i="22" s="1"/>
  <c r="AD339" i="22" s="1"/>
  <c r="AI335" i="22"/>
  <c r="AH335" i="22" s="1"/>
  <c r="AG335" i="22" s="1"/>
  <c r="AF335" i="22" s="1"/>
  <c r="AD335" i="22" s="1"/>
  <c r="AI331" i="22"/>
  <c r="AH331" i="22" s="1"/>
  <c r="AG331" i="22" s="1"/>
  <c r="AF331" i="22" s="1"/>
  <c r="AD331" i="22" s="1"/>
  <c r="AI327" i="22"/>
  <c r="AH327" i="22" s="1"/>
  <c r="AG327" i="22" s="1"/>
  <c r="AF327" i="22" s="1"/>
  <c r="AD327" i="22" s="1"/>
  <c r="AI323" i="22"/>
  <c r="AH323" i="22" s="1"/>
  <c r="AG323" i="22" s="1"/>
  <c r="AF323" i="22" s="1"/>
  <c r="AD323" i="22" s="1"/>
  <c r="AI319" i="22"/>
  <c r="AH319" i="22" s="1"/>
  <c r="AG319" i="22" s="1"/>
  <c r="AF319" i="22" s="1"/>
  <c r="AD319" i="22" s="1"/>
  <c r="AI315" i="22"/>
  <c r="AH315" i="22" s="1"/>
  <c r="AG315" i="22" s="1"/>
  <c r="AF315" i="22" s="1"/>
  <c r="AD315" i="22" s="1"/>
  <c r="AI311" i="22"/>
  <c r="AH311" i="22" s="1"/>
  <c r="AG311" i="22" s="1"/>
  <c r="AF311" i="22" s="1"/>
  <c r="AD311" i="22" s="1"/>
  <c r="AI307" i="22"/>
  <c r="AH307" i="22" s="1"/>
  <c r="AG307" i="22" s="1"/>
  <c r="AF307" i="22" s="1"/>
  <c r="AD307" i="22" s="1"/>
  <c r="AI303" i="22"/>
  <c r="AH303" i="22" s="1"/>
  <c r="AG303" i="22" s="1"/>
  <c r="AF303" i="22" s="1"/>
  <c r="AD303" i="22" s="1"/>
  <c r="AI299" i="22"/>
  <c r="AH299" i="22" s="1"/>
  <c r="AG299" i="22" s="1"/>
  <c r="AF299" i="22" s="1"/>
  <c r="AD299" i="22" s="1"/>
  <c r="AI295" i="22"/>
  <c r="AH295" i="22" s="1"/>
  <c r="AG295" i="22" s="1"/>
  <c r="AF295" i="22" s="1"/>
  <c r="AD295" i="22" s="1"/>
  <c r="AI291" i="22"/>
  <c r="AH291" i="22" s="1"/>
  <c r="AG291" i="22" s="1"/>
  <c r="AF291" i="22" s="1"/>
  <c r="AD291" i="22" s="1"/>
  <c r="AI287" i="22"/>
  <c r="AH287" i="22" s="1"/>
  <c r="AG287" i="22" s="1"/>
  <c r="AF287" i="22" s="1"/>
  <c r="AD287" i="22" s="1"/>
  <c r="AI283" i="22"/>
  <c r="AH283" i="22" s="1"/>
  <c r="AG283" i="22" s="1"/>
  <c r="AF283" i="22" s="1"/>
  <c r="AD283" i="22" s="1"/>
  <c r="AI279" i="22"/>
  <c r="AH279" i="22" s="1"/>
  <c r="AG279" i="22" s="1"/>
  <c r="AF279" i="22" s="1"/>
  <c r="AD279" i="22" s="1"/>
  <c r="AI275" i="22"/>
  <c r="AH275" i="22" s="1"/>
  <c r="AG275" i="22" s="1"/>
  <c r="AF275" i="22" s="1"/>
  <c r="AD275" i="22" s="1"/>
  <c r="AI271" i="22"/>
  <c r="AH271" i="22" s="1"/>
  <c r="AG271" i="22" s="1"/>
  <c r="AF271" i="22" s="1"/>
  <c r="AD271" i="22" s="1"/>
  <c r="AI267" i="22"/>
  <c r="AH267" i="22" s="1"/>
  <c r="AG267" i="22" s="1"/>
  <c r="AF267" i="22" s="1"/>
  <c r="AD267" i="22" s="1"/>
  <c r="AI263" i="22"/>
  <c r="AH263" i="22" s="1"/>
  <c r="AG263" i="22" s="1"/>
  <c r="AF263" i="22" s="1"/>
  <c r="AD263" i="22" s="1"/>
  <c r="AI259" i="22"/>
  <c r="AH259" i="22" s="1"/>
  <c r="AG259" i="22" s="1"/>
  <c r="AF259" i="22" s="1"/>
  <c r="AD259" i="22" s="1"/>
  <c r="AI255" i="22"/>
  <c r="AH255" i="22" s="1"/>
  <c r="AG255" i="22" s="1"/>
  <c r="AF255" i="22" s="1"/>
  <c r="AD255" i="22" s="1"/>
  <c r="AI251" i="22"/>
  <c r="AH251" i="22" s="1"/>
  <c r="AG251" i="22" s="1"/>
  <c r="AF251" i="22" s="1"/>
  <c r="AD251" i="22" s="1"/>
  <c r="AI247" i="22"/>
  <c r="AH247" i="22" s="1"/>
  <c r="AG247" i="22" s="1"/>
  <c r="AF247" i="22" s="1"/>
  <c r="AD247" i="22" s="1"/>
  <c r="AI243" i="22"/>
  <c r="AH243" i="22" s="1"/>
  <c r="AG243" i="22" s="1"/>
  <c r="AF243" i="22" s="1"/>
  <c r="AD243" i="22" s="1"/>
  <c r="AI239" i="22"/>
  <c r="AH239" i="22" s="1"/>
  <c r="AG239" i="22" s="1"/>
  <c r="AF239" i="22" s="1"/>
  <c r="AD239" i="22" s="1"/>
  <c r="AI235" i="22"/>
  <c r="AH235" i="22" s="1"/>
  <c r="AG235" i="22" s="1"/>
  <c r="AF235" i="22" s="1"/>
  <c r="AD235" i="22" s="1"/>
  <c r="AI231" i="22"/>
  <c r="AH231" i="22" s="1"/>
  <c r="AG231" i="22" s="1"/>
  <c r="AF231" i="22" s="1"/>
  <c r="AD231" i="22" s="1"/>
  <c r="AI227" i="22"/>
  <c r="AH227" i="22" s="1"/>
  <c r="AG227" i="22" s="1"/>
  <c r="AF227" i="22" s="1"/>
  <c r="AD227" i="22" s="1"/>
  <c r="AI223" i="22"/>
  <c r="AH223" i="22" s="1"/>
  <c r="AG223" i="22" s="1"/>
  <c r="AF223" i="22" s="1"/>
  <c r="AD223" i="22" s="1"/>
  <c r="AI219" i="22"/>
  <c r="AH219" i="22" s="1"/>
  <c r="AG219" i="22" s="1"/>
  <c r="AF219" i="22" s="1"/>
  <c r="AD219" i="22" s="1"/>
  <c r="AI215" i="22"/>
  <c r="AH215" i="22" s="1"/>
  <c r="AG215" i="22" s="1"/>
  <c r="AF215" i="22" s="1"/>
  <c r="AD215" i="22" s="1"/>
  <c r="AI211" i="22"/>
  <c r="AH211" i="22" s="1"/>
  <c r="AG211" i="22" s="1"/>
  <c r="AF211" i="22" s="1"/>
  <c r="AD211" i="22" s="1"/>
  <c r="AI207" i="22"/>
  <c r="AH207" i="22" s="1"/>
  <c r="AG207" i="22" s="1"/>
  <c r="AF207" i="22" s="1"/>
  <c r="AD207" i="22" s="1"/>
  <c r="AI203" i="22"/>
  <c r="AH203" i="22" s="1"/>
  <c r="AG203" i="22" s="1"/>
  <c r="AF203" i="22" s="1"/>
  <c r="AD203" i="22" s="1"/>
  <c r="AI199" i="22"/>
  <c r="AH199" i="22" s="1"/>
  <c r="AG199" i="22" s="1"/>
  <c r="AF199" i="22" s="1"/>
  <c r="AD199" i="22" s="1"/>
  <c r="AI195" i="22"/>
  <c r="AH195" i="22" s="1"/>
  <c r="AG195" i="22" s="1"/>
  <c r="AF195" i="22" s="1"/>
  <c r="AD195" i="22" s="1"/>
  <c r="AI191" i="22"/>
  <c r="AH191" i="22" s="1"/>
  <c r="AG191" i="22" s="1"/>
  <c r="AF191" i="22" s="1"/>
  <c r="AD191" i="22" s="1"/>
  <c r="AI187" i="22"/>
  <c r="AH187" i="22" s="1"/>
  <c r="AG187" i="22" s="1"/>
  <c r="AF187" i="22" s="1"/>
  <c r="AD187" i="22" s="1"/>
  <c r="AI183" i="22"/>
  <c r="AH183" i="22" s="1"/>
  <c r="AG183" i="22" s="1"/>
  <c r="AF183" i="22" s="1"/>
  <c r="AD183" i="22" s="1"/>
  <c r="AI179" i="22"/>
  <c r="AH179" i="22" s="1"/>
  <c r="AG179" i="22" s="1"/>
  <c r="AF179" i="22" s="1"/>
  <c r="AD179" i="22" s="1"/>
  <c r="AI175" i="22"/>
  <c r="AH175" i="22" s="1"/>
  <c r="AG175" i="22" s="1"/>
  <c r="AF175" i="22" s="1"/>
  <c r="AD175" i="22" s="1"/>
  <c r="AI171" i="22"/>
  <c r="AH171" i="22" s="1"/>
  <c r="AG171" i="22" s="1"/>
  <c r="AF171" i="22" s="1"/>
  <c r="AD171" i="22" s="1"/>
  <c r="AI167" i="22"/>
  <c r="AH167" i="22" s="1"/>
  <c r="AG167" i="22" s="1"/>
  <c r="AF167" i="22" s="1"/>
  <c r="AD167" i="22" s="1"/>
  <c r="AI163" i="22"/>
  <c r="AH163" i="22" s="1"/>
  <c r="AG163" i="22" s="1"/>
  <c r="AF163" i="22" s="1"/>
  <c r="AD163" i="22" s="1"/>
  <c r="AI50" i="22"/>
  <c r="AH50" i="22" s="1"/>
  <c r="AG50" i="22" s="1"/>
  <c r="AF50" i="22" s="1"/>
  <c r="AD50" i="22" s="1"/>
  <c r="AI42" i="22"/>
  <c r="AH42" i="22" s="1"/>
  <c r="AG42" i="22" s="1"/>
  <c r="AF42" i="22" s="1"/>
  <c r="AD42" i="22" s="1"/>
  <c r="AI34" i="22"/>
  <c r="AH34" i="22" s="1"/>
  <c r="AG34" i="22" s="1"/>
  <c r="AF34" i="22" s="1"/>
  <c r="AD34" i="22" s="1"/>
  <c r="AI26" i="22"/>
  <c r="AH26" i="22" s="1"/>
  <c r="AG26" i="22" s="1"/>
  <c r="AF26" i="22" s="1"/>
  <c r="AD26" i="22" s="1"/>
  <c r="AI19" i="22"/>
  <c r="AH19" i="22" s="1"/>
  <c r="AG19" i="22" s="1"/>
  <c r="AF19" i="22" s="1"/>
  <c r="AD19" i="22" s="1"/>
  <c r="U376" i="22"/>
  <c r="T376" i="22" s="1"/>
  <c r="S376" i="22" s="1"/>
  <c r="R376" i="22" s="1"/>
  <c r="P376" i="22" s="1"/>
  <c r="V376" i="22" s="1"/>
  <c r="U368" i="22"/>
  <c r="T368" i="22" s="1"/>
  <c r="S368" i="22" s="1"/>
  <c r="R368" i="22" s="1"/>
  <c r="P368" i="22" s="1"/>
  <c r="V368" i="22" s="1"/>
  <c r="U362" i="22"/>
  <c r="T362" i="22" s="1"/>
  <c r="S362" i="22" s="1"/>
  <c r="R362" i="22" s="1"/>
  <c r="P362" i="22" s="1"/>
  <c r="V362" i="22" s="1"/>
  <c r="U358" i="22"/>
  <c r="T358" i="22" s="1"/>
  <c r="S358" i="22" s="1"/>
  <c r="R358" i="22" s="1"/>
  <c r="P358" i="22" s="1"/>
  <c r="V358" i="22" s="1"/>
  <c r="U354" i="22"/>
  <c r="T354" i="22" s="1"/>
  <c r="S354" i="22" s="1"/>
  <c r="R354" i="22" s="1"/>
  <c r="P354" i="22" s="1"/>
  <c r="V354" i="22" s="1"/>
  <c r="U350" i="22"/>
  <c r="T350" i="22" s="1"/>
  <c r="S350" i="22" s="1"/>
  <c r="R350" i="22" s="1"/>
  <c r="P350" i="22" s="1"/>
  <c r="V350" i="22" s="1"/>
  <c r="U346" i="22"/>
  <c r="T346" i="22" s="1"/>
  <c r="S346" i="22" s="1"/>
  <c r="R346" i="22" s="1"/>
  <c r="P346" i="22" s="1"/>
  <c r="V346" i="22" s="1"/>
  <c r="U342" i="22"/>
  <c r="T342" i="22" s="1"/>
  <c r="S342" i="22" s="1"/>
  <c r="R342" i="22" s="1"/>
  <c r="P342" i="22" s="1"/>
  <c r="V342" i="22" s="1"/>
  <c r="U338" i="22"/>
  <c r="T338" i="22" s="1"/>
  <c r="S338" i="22" s="1"/>
  <c r="R338" i="22" s="1"/>
  <c r="P338" i="22" s="1"/>
  <c r="V338" i="22" s="1"/>
  <c r="U334" i="22"/>
  <c r="T334" i="22" s="1"/>
  <c r="S334" i="22" s="1"/>
  <c r="R334" i="22" s="1"/>
  <c r="P334" i="22" s="1"/>
  <c r="V334" i="22" s="1"/>
  <c r="U330" i="22"/>
  <c r="T330" i="22" s="1"/>
  <c r="S330" i="22" s="1"/>
  <c r="R330" i="22" s="1"/>
  <c r="P330" i="22" s="1"/>
  <c r="V330" i="22" s="1"/>
  <c r="U326" i="22"/>
  <c r="T326" i="22" s="1"/>
  <c r="S326" i="22" s="1"/>
  <c r="R326" i="22" s="1"/>
  <c r="P326" i="22" s="1"/>
  <c r="V326" i="22" s="1"/>
  <c r="U322" i="22"/>
  <c r="T322" i="22" s="1"/>
  <c r="S322" i="22" s="1"/>
  <c r="R322" i="22" s="1"/>
  <c r="P322" i="22" s="1"/>
  <c r="V322" i="22" s="1"/>
  <c r="U318" i="22"/>
  <c r="T318" i="22" s="1"/>
  <c r="S318" i="22" s="1"/>
  <c r="R318" i="22" s="1"/>
  <c r="P318" i="22" s="1"/>
  <c r="V318" i="22" s="1"/>
  <c r="U314" i="22"/>
  <c r="T314" i="22" s="1"/>
  <c r="S314" i="22" s="1"/>
  <c r="R314" i="22" s="1"/>
  <c r="P314" i="22" s="1"/>
  <c r="V314" i="22" s="1"/>
  <c r="U310" i="22"/>
  <c r="T310" i="22" s="1"/>
  <c r="S310" i="22" s="1"/>
  <c r="R310" i="22" s="1"/>
  <c r="P310" i="22" s="1"/>
  <c r="V310" i="22" s="1"/>
  <c r="U306" i="22"/>
  <c r="T306" i="22" s="1"/>
  <c r="S306" i="22" s="1"/>
  <c r="R306" i="22" s="1"/>
  <c r="P306" i="22" s="1"/>
  <c r="V306" i="22" s="1"/>
  <c r="U302" i="22"/>
  <c r="T302" i="22" s="1"/>
  <c r="S302" i="22" s="1"/>
  <c r="R302" i="22" s="1"/>
  <c r="P302" i="22" s="1"/>
  <c r="U298" i="22"/>
  <c r="T298" i="22" s="1"/>
  <c r="S298" i="22" s="1"/>
  <c r="R298" i="22" s="1"/>
  <c r="P298" i="22" s="1"/>
  <c r="V298" i="22" s="1"/>
  <c r="U294" i="22"/>
  <c r="T294" i="22" s="1"/>
  <c r="S294" i="22" s="1"/>
  <c r="R294" i="22" s="1"/>
  <c r="P294" i="22" s="1"/>
  <c r="V294" i="22" s="1"/>
  <c r="U290" i="22"/>
  <c r="T290" i="22" s="1"/>
  <c r="S290" i="22" s="1"/>
  <c r="R290" i="22" s="1"/>
  <c r="P290" i="22" s="1"/>
  <c r="V290" i="22" s="1"/>
  <c r="U286" i="22"/>
  <c r="T286" i="22" s="1"/>
  <c r="S286" i="22" s="1"/>
  <c r="R286" i="22" s="1"/>
  <c r="P286" i="22" s="1"/>
  <c r="V286" i="22" s="1"/>
  <c r="U282" i="22"/>
  <c r="T282" i="22" s="1"/>
  <c r="S282" i="22" s="1"/>
  <c r="R282" i="22" s="1"/>
  <c r="P282" i="22" s="1"/>
  <c r="V282" i="22" s="1"/>
  <c r="U278" i="22"/>
  <c r="T278" i="22" s="1"/>
  <c r="S278" i="22" s="1"/>
  <c r="R278" i="22" s="1"/>
  <c r="P278" i="22" s="1"/>
  <c r="V278" i="22" s="1"/>
  <c r="U274" i="22"/>
  <c r="T274" i="22" s="1"/>
  <c r="S274" i="22" s="1"/>
  <c r="R274" i="22" s="1"/>
  <c r="P274" i="22" s="1"/>
  <c r="V274" i="22" s="1"/>
  <c r="U270" i="22"/>
  <c r="T270" i="22" s="1"/>
  <c r="S270" i="22" s="1"/>
  <c r="R270" i="22" s="1"/>
  <c r="P270" i="22" s="1"/>
  <c r="V270" i="22" s="1"/>
  <c r="U266" i="22"/>
  <c r="T266" i="22" s="1"/>
  <c r="S266" i="22" s="1"/>
  <c r="R266" i="22" s="1"/>
  <c r="P266" i="22" s="1"/>
  <c r="V266" i="22" s="1"/>
  <c r="U262" i="22"/>
  <c r="T262" i="22" s="1"/>
  <c r="S262" i="22" s="1"/>
  <c r="R262" i="22" s="1"/>
  <c r="P262" i="22" s="1"/>
  <c r="V262" i="22" s="1"/>
  <c r="U258" i="22"/>
  <c r="T258" i="22" s="1"/>
  <c r="S258" i="22" s="1"/>
  <c r="R258" i="22" s="1"/>
  <c r="P258" i="22" s="1"/>
  <c r="V258" i="22" s="1"/>
  <c r="U254" i="22"/>
  <c r="T254" i="22" s="1"/>
  <c r="S254" i="22" s="1"/>
  <c r="R254" i="22" s="1"/>
  <c r="P254" i="22" s="1"/>
  <c r="V254" i="22" s="1"/>
  <c r="U250" i="22"/>
  <c r="T250" i="22" s="1"/>
  <c r="S250" i="22" s="1"/>
  <c r="R250" i="22" s="1"/>
  <c r="P250" i="22" s="1"/>
  <c r="V250" i="22" s="1"/>
  <c r="U246" i="22"/>
  <c r="T246" i="22" s="1"/>
  <c r="S246" i="22" s="1"/>
  <c r="R246" i="22" s="1"/>
  <c r="P246" i="22" s="1"/>
  <c r="V246" i="22" s="1"/>
  <c r="U242" i="22"/>
  <c r="T242" i="22" s="1"/>
  <c r="S242" i="22" s="1"/>
  <c r="R242" i="22" s="1"/>
  <c r="P242" i="22" s="1"/>
  <c r="V242" i="22" s="1"/>
  <c r="U238" i="22"/>
  <c r="T238" i="22" s="1"/>
  <c r="S238" i="22" s="1"/>
  <c r="R238" i="22" s="1"/>
  <c r="P238" i="22" s="1"/>
  <c r="V238" i="22" s="1"/>
  <c r="U234" i="22"/>
  <c r="T234" i="22" s="1"/>
  <c r="S234" i="22" s="1"/>
  <c r="R234" i="22" s="1"/>
  <c r="P234" i="22" s="1"/>
  <c r="V234" i="22" s="1"/>
  <c r="U230" i="22"/>
  <c r="T230" i="22" s="1"/>
  <c r="S230" i="22" s="1"/>
  <c r="R230" i="22" s="1"/>
  <c r="P230" i="22" s="1"/>
  <c r="V230" i="22" s="1"/>
  <c r="U226" i="22"/>
  <c r="T226" i="22" s="1"/>
  <c r="S226" i="22" s="1"/>
  <c r="R226" i="22" s="1"/>
  <c r="P226" i="22" s="1"/>
  <c r="V226" i="22" s="1"/>
  <c r="U222" i="22"/>
  <c r="T222" i="22" s="1"/>
  <c r="S222" i="22" s="1"/>
  <c r="R222" i="22" s="1"/>
  <c r="P222" i="22" s="1"/>
  <c r="V222" i="22" s="1"/>
  <c r="U218" i="22"/>
  <c r="T218" i="22" s="1"/>
  <c r="S218" i="22" s="1"/>
  <c r="R218" i="22" s="1"/>
  <c r="P218" i="22" s="1"/>
  <c r="V218" i="22" s="1"/>
  <c r="U214" i="22"/>
  <c r="T214" i="22" s="1"/>
  <c r="S214" i="22" s="1"/>
  <c r="R214" i="22" s="1"/>
  <c r="P214" i="22" s="1"/>
  <c r="V214" i="22" s="1"/>
  <c r="U210" i="22"/>
  <c r="T210" i="22" s="1"/>
  <c r="S210" i="22" s="1"/>
  <c r="R210" i="22" s="1"/>
  <c r="P210" i="22" s="1"/>
  <c r="V210" i="22" s="1"/>
  <c r="U206" i="22"/>
  <c r="T206" i="22" s="1"/>
  <c r="S206" i="22" s="1"/>
  <c r="R206" i="22" s="1"/>
  <c r="P206" i="22" s="1"/>
  <c r="V206" i="22" s="1"/>
  <c r="U202" i="22"/>
  <c r="T202" i="22" s="1"/>
  <c r="S202" i="22" s="1"/>
  <c r="R202" i="22" s="1"/>
  <c r="P202" i="22" s="1"/>
  <c r="V202" i="22" s="1"/>
  <c r="U198" i="22"/>
  <c r="T198" i="22" s="1"/>
  <c r="S198" i="22" s="1"/>
  <c r="R198" i="22" s="1"/>
  <c r="P198" i="22" s="1"/>
  <c r="V198" i="22" s="1"/>
  <c r="U194" i="22"/>
  <c r="T194" i="22" s="1"/>
  <c r="S194" i="22" s="1"/>
  <c r="R194" i="22" s="1"/>
  <c r="P194" i="22" s="1"/>
  <c r="V194" i="22" s="1"/>
  <c r="U190" i="22"/>
  <c r="T190" i="22" s="1"/>
  <c r="S190" i="22" s="1"/>
  <c r="R190" i="22" s="1"/>
  <c r="P190" i="22" s="1"/>
  <c r="V190" i="22" s="1"/>
  <c r="U186" i="22"/>
  <c r="T186" i="22" s="1"/>
  <c r="S186" i="22" s="1"/>
  <c r="R186" i="22" s="1"/>
  <c r="P186" i="22" s="1"/>
  <c r="V186" i="22" s="1"/>
  <c r="U182" i="22"/>
  <c r="T182" i="22" s="1"/>
  <c r="S182" i="22" s="1"/>
  <c r="R182" i="22" s="1"/>
  <c r="P182" i="22" s="1"/>
  <c r="V182" i="22" s="1"/>
  <c r="U178" i="22"/>
  <c r="T178" i="22" s="1"/>
  <c r="S178" i="22" s="1"/>
  <c r="R178" i="22" s="1"/>
  <c r="P178" i="22" s="1"/>
  <c r="V178" i="22" s="1"/>
  <c r="U174" i="22"/>
  <c r="T174" i="22" s="1"/>
  <c r="S174" i="22" s="1"/>
  <c r="R174" i="22" s="1"/>
  <c r="P174" i="22" s="1"/>
  <c r="V174" i="22" s="1"/>
  <c r="U170" i="22"/>
  <c r="T170" i="22" s="1"/>
  <c r="S170" i="22" s="1"/>
  <c r="R170" i="22" s="1"/>
  <c r="P170" i="22" s="1"/>
  <c r="V170" i="22" s="1"/>
  <c r="U166" i="22"/>
  <c r="T166" i="22" s="1"/>
  <c r="S166" i="22" s="1"/>
  <c r="R166" i="22" s="1"/>
  <c r="P166" i="22" s="1"/>
  <c r="V166" i="22" s="1"/>
  <c r="U162" i="22"/>
  <c r="T162" i="22" s="1"/>
  <c r="S162" i="22" s="1"/>
  <c r="R162" i="22" s="1"/>
  <c r="P162" i="22" s="1"/>
  <c r="V162" i="22" s="1"/>
  <c r="U158" i="22"/>
  <c r="T158" i="22" s="1"/>
  <c r="S158" i="22" s="1"/>
  <c r="R158" i="22" s="1"/>
  <c r="P158" i="22" s="1"/>
  <c r="V158" i="22" s="1"/>
  <c r="U154" i="22"/>
  <c r="T154" i="22" s="1"/>
  <c r="S154" i="22" s="1"/>
  <c r="R154" i="22" s="1"/>
  <c r="P154" i="22" s="1"/>
  <c r="V154" i="22" s="1"/>
  <c r="U150" i="22"/>
  <c r="T150" i="22" s="1"/>
  <c r="S150" i="22" s="1"/>
  <c r="R150" i="22" s="1"/>
  <c r="P150" i="22" s="1"/>
  <c r="V150" i="22" s="1"/>
  <c r="U146" i="22"/>
  <c r="T146" i="22" s="1"/>
  <c r="S146" i="22" s="1"/>
  <c r="R146" i="22" s="1"/>
  <c r="P146" i="22" s="1"/>
  <c r="V146" i="22" s="1"/>
  <c r="U142" i="22"/>
  <c r="T142" i="22" s="1"/>
  <c r="S142" i="22" s="1"/>
  <c r="R142" i="22" s="1"/>
  <c r="P142" i="22" s="1"/>
  <c r="V142" i="22" s="1"/>
  <c r="U138" i="22"/>
  <c r="T138" i="22" s="1"/>
  <c r="S138" i="22" s="1"/>
  <c r="R138" i="22" s="1"/>
  <c r="P138" i="22" s="1"/>
  <c r="V138" i="22" s="1"/>
  <c r="U134" i="22"/>
  <c r="T134" i="22" s="1"/>
  <c r="S134" i="22" s="1"/>
  <c r="R134" i="22" s="1"/>
  <c r="P134" i="22" s="1"/>
  <c r="V134" i="22" s="1"/>
  <c r="U130" i="22"/>
  <c r="T130" i="22" s="1"/>
  <c r="S130" i="22" s="1"/>
  <c r="R130" i="22" s="1"/>
  <c r="P130" i="22" s="1"/>
  <c r="V130" i="22" s="1"/>
  <c r="U126" i="22"/>
  <c r="T126" i="22" s="1"/>
  <c r="S126" i="22" s="1"/>
  <c r="R126" i="22" s="1"/>
  <c r="P126" i="22" s="1"/>
  <c r="V126" i="22" s="1"/>
  <c r="U122" i="22"/>
  <c r="T122" i="22" s="1"/>
  <c r="S122" i="22" s="1"/>
  <c r="R122" i="22" s="1"/>
  <c r="P122" i="22" s="1"/>
  <c r="V122" i="22" s="1"/>
  <c r="U118" i="22"/>
  <c r="T118" i="22" s="1"/>
  <c r="S118" i="22" s="1"/>
  <c r="R118" i="22" s="1"/>
  <c r="P118" i="22" s="1"/>
  <c r="V118" i="22" s="1"/>
  <c r="U114" i="22"/>
  <c r="T114" i="22" s="1"/>
  <c r="S114" i="22" s="1"/>
  <c r="R114" i="22" s="1"/>
  <c r="P114" i="22" s="1"/>
  <c r="V114" i="22" s="1"/>
  <c r="U110" i="22"/>
  <c r="T110" i="22" s="1"/>
  <c r="S110" i="22" s="1"/>
  <c r="R110" i="22" s="1"/>
  <c r="P110" i="22" s="1"/>
  <c r="V110" i="22" s="1"/>
  <c r="U106" i="22"/>
  <c r="T106" i="22" s="1"/>
  <c r="S106" i="22" s="1"/>
  <c r="R106" i="22" s="1"/>
  <c r="P106" i="22" s="1"/>
  <c r="V106" i="22" s="1"/>
  <c r="U102" i="22"/>
  <c r="T102" i="22" s="1"/>
  <c r="S102" i="22" s="1"/>
  <c r="R102" i="22" s="1"/>
  <c r="P102" i="22" s="1"/>
  <c r="V102" i="22" s="1"/>
  <c r="U98" i="22"/>
  <c r="T98" i="22" s="1"/>
  <c r="S98" i="22" s="1"/>
  <c r="R98" i="22" s="1"/>
  <c r="P98" i="22" s="1"/>
  <c r="V98" i="22" s="1"/>
  <c r="U94" i="22"/>
  <c r="T94" i="22" s="1"/>
  <c r="S94" i="22" s="1"/>
  <c r="R94" i="22" s="1"/>
  <c r="P94" i="22" s="1"/>
  <c r="V94" i="22" s="1"/>
  <c r="U90" i="22"/>
  <c r="T90" i="22" s="1"/>
  <c r="S90" i="22" s="1"/>
  <c r="R90" i="22" s="1"/>
  <c r="P90" i="22" s="1"/>
  <c r="V90" i="22" s="1"/>
  <c r="U86" i="22"/>
  <c r="T86" i="22" s="1"/>
  <c r="S86" i="22" s="1"/>
  <c r="R86" i="22" s="1"/>
  <c r="P86" i="22" s="1"/>
  <c r="V86" i="22" s="1"/>
  <c r="U82" i="22"/>
  <c r="T82" i="22" s="1"/>
  <c r="S82" i="22" s="1"/>
  <c r="R82" i="22" s="1"/>
  <c r="P82" i="22" s="1"/>
  <c r="V82" i="22" s="1"/>
  <c r="U78" i="22"/>
  <c r="T78" i="22" s="1"/>
  <c r="S78" i="22" s="1"/>
  <c r="R78" i="22" s="1"/>
  <c r="P78" i="22" s="1"/>
  <c r="V78" i="22" s="1"/>
  <c r="U74" i="22"/>
  <c r="T74" i="22" s="1"/>
  <c r="S74" i="22" s="1"/>
  <c r="R74" i="22" s="1"/>
  <c r="P74" i="22" s="1"/>
  <c r="V74" i="22" s="1"/>
  <c r="U70" i="22"/>
  <c r="T70" i="22" s="1"/>
  <c r="S70" i="22" s="1"/>
  <c r="R70" i="22" s="1"/>
  <c r="P70" i="22" s="1"/>
  <c r="V70" i="22" s="1"/>
  <c r="U66" i="22"/>
  <c r="T66" i="22" s="1"/>
  <c r="S66" i="22" s="1"/>
  <c r="R66" i="22" s="1"/>
  <c r="P66" i="22" s="1"/>
  <c r="V66" i="22" s="1"/>
  <c r="U62" i="22"/>
  <c r="T62" i="22" s="1"/>
  <c r="S62" i="22" s="1"/>
  <c r="R62" i="22" s="1"/>
  <c r="P62" i="22" s="1"/>
  <c r="V62" i="22" s="1"/>
  <c r="U58" i="22"/>
  <c r="T58" i="22" s="1"/>
  <c r="S58" i="22" s="1"/>
  <c r="R58" i="22" s="1"/>
  <c r="P58" i="22" s="1"/>
  <c r="V58" i="22" s="1"/>
  <c r="U54" i="22"/>
  <c r="T54" i="22" s="1"/>
  <c r="S54" i="22" s="1"/>
  <c r="R54" i="22" s="1"/>
  <c r="P54" i="22" s="1"/>
  <c r="V54" i="22" s="1"/>
  <c r="U50" i="22"/>
  <c r="T50" i="22" s="1"/>
  <c r="S50" i="22" s="1"/>
  <c r="R50" i="22" s="1"/>
  <c r="P50" i="22" s="1"/>
  <c r="V50" i="22" s="1"/>
  <c r="U46" i="22"/>
  <c r="T46" i="22" s="1"/>
  <c r="S46" i="22" s="1"/>
  <c r="R46" i="22" s="1"/>
  <c r="P46" i="22" s="1"/>
  <c r="V46" i="22" s="1"/>
  <c r="U42" i="22"/>
  <c r="T42" i="22" s="1"/>
  <c r="S42" i="22" s="1"/>
  <c r="R42" i="22" s="1"/>
  <c r="P42" i="22" s="1"/>
  <c r="V42" i="22" s="1"/>
  <c r="U38" i="22"/>
  <c r="T38" i="22" s="1"/>
  <c r="S38" i="22" s="1"/>
  <c r="R38" i="22" s="1"/>
  <c r="P38" i="22" s="1"/>
  <c r="V38" i="22" s="1"/>
  <c r="U34" i="22"/>
  <c r="T34" i="22" s="1"/>
  <c r="S34" i="22" s="1"/>
  <c r="R34" i="22" s="1"/>
  <c r="P34" i="22" s="1"/>
  <c r="V34" i="22" s="1"/>
  <c r="U30" i="22"/>
  <c r="T30" i="22" s="1"/>
  <c r="S30" i="22" s="1"/>
  <c r="R30" i="22" s="1"/>
  <c r="P30" i="22" s="1"/>
  <c r="V30" i="22" s="1"/>
  <c r="U26" i="22"/>
  <c r="T26" i="22" s="1"/>
  <c r="S26" i="22" s="1"/>
  <c r="R26" i="22" s="1"/>
  <c r="P26" i="22" s="1"/>
  <c r="V26" i="22" s="1"/>
  <c r="U21" i="22"/>
  <c r="T21" i="22" s="1"/>
  <c r="S21" i="22" s="1"/>
  <c r="R21" i="22" s="1"/>
  <c r="P21" i="22" s="1"/>
  <c r="V21" i="22" s="1"/>
  <c r="U17" i="22"/>
  <c r="T17" i="22" s="1"/>
  <c r="S17" i="22" s="1"/>
  <c r="R17" i="22" s="1"/>
  <c r="P17" i="22" s="1"/>
  <c r="V17" i="22" s="1"/>
  <c r="AI377" i="22"/>
  <c r="AH377" i="22" s="1"/>
  <c r="AG377" i="22" s="1"/>
  <c r="AF377" i="22" s="1"/>
  <c r="AD377" i="22" s="1"/>
  <c r="AI373" i="22"/>
  <c r="AH373" i="22" s="1"/>
  <c r="AG373" i="22" s="1"/>
  <c r="AF373" i="22" s="1"/>
  <c r="AD373" i="22" s="1"/>
  <c r="AI369" i="22"/>
  <c r="AH369" i="22" s="1"/>
  <c r="AG369" i="22" s="1"/>
  <c r="AF369" i="22" s="1"/>
  <c r="AD369" i="22" s="1"/>
  <c r="AI365" i="22"/>
  <c r="AH365" i="22" s="1"/>
  <c r="AG365" i="22" s="1"/>
  <c r="AF365" i="22" s="1"/>
  <c r="AD365" i="22" s="1"/>
  <c r="AI361" i="22"/>
  <c r="AH361" i="22" s="1"/>
  <c r="AG361" i="22" s="1"/>
  <c r="AF361" i="22" s="1"/>
  <c r="AD361" i="22" s="1"/>
  <c r="AI357" i="22"/>
  <c r="AH357" i="22" s="1"/>
  <c r="AG357" i="22" s="1"/>
  <c r="AF357" i="22" s="1"/>
  <c r="AD357" i="22" s="1"/>
  <c r="AI353" i="22"/>
  <c r="AH353" i="22" s="1"/>
  <c r="AG353" i="22" s="1"/>
  <c r="AF353" i="22" s="1"/>
  <c r="AD353" i="22" s="1"/>
  <c r="AI349" i="22"/>
  <c r="AH349" i="22" s="1"/>
  <c r="AG349" i="22" s="1"/>
  <c r="AF349" i="22" s="1"/>
  <c r="AD349" i="22" s="1"/>
  <c r="AI345" i="22"/>
  <c r="AH345" i="22" s="1"/>
  <c r="AG345" i="22" s="1"/>
  <c r="AF345" i="22" s="1"/>
  <c r="AD345" i="22" s="1"/>
  <c r="AI341" i="22"/>
  <c r="AH341" i="22" s="1"/>
  <c r="AG341" i="22" s="1"/>
  <c r="AF341" i="22" s="1"/>
  <c r="AD341" i="22" s="1"/>
  <c r="AI337" i="22"/>
  <c r="AH337" i="22" s="1"/>
  <c r="AG337" i="22" s="1"/>
  <c r="AF337" i="22" s="1"/>
  <c r="AD337" i="22" s="1"/>
  <c r="AI333" i="22"/>
  <c r="AH333" i="22" s="1"/>
  <c r="AG333" i="22" s="1"/>
  <c r="AF333" i="22" s="1"/>
  <c r="AD333" i="22" s="1"/>
  <c r="AI329" i="22"/>
  <c r="AH329" i="22" s="1"/>
  <c r="AG329" i="22" s="1"/>
  <c r="AF329" i="22" s="1"/>
  <c r="AD329" i="22" s="1"/>
  <c r="AI325" i="22"/>
  <c r="AH325" i="22" s="1"/>
  <c r="AG325" i="22" s="1"/>
  <c r="AF325" i="22" s="1"/>
  <c r="AD325" i="22" s="1"/>
  <c r="AI321" i="22"/>
  <c r="AH321" i="22" s="1"/>
  <c r="AG321" i="22" s="1"/>
  <c r="AF321" i="22" s="1"/>
  <c r="AD321" i="22" s="1"/>
  <c r="AI317" i="22"/>
  <c r="AH317" i="22" s="1"/>
  <c r="AG317" i="22" s="1"/>
  <c r="AF317" i="22" s="1"/>
  <c r="AD317" i="22" s="1"/>
  <c r="AI313" i="22"/>
  <c r="AH313" i="22" s="1"/>
  <c r="AG313" i="22" s="1"/>
  <c r="AF313" i="22" s="1"/>
  <c r="AD313" i="22" s="1"/>
  <c r="AI309" i="22"/>
  <c r="AH309" i="22" s="1"/>
  <c r="AG309" i="22" s="1"/>
  <c r="AF309" i="22" s="1"/>
  <c r="AD309" i="22" s="1"/>
  <c r="AI305" i="22"/>
  <c r="AH305" i="22" s="1"/>
  <c r="AG305" i="22" s="1"/>
  <c r="AF305" i="22" s="1"/>
  <c r="AD305" i="22" s="1"/>
  <c r="AI301" i="22"/>
  <c r="AH301" i="22" s="1"/>
  <c r="AG301" i="22" s="1"/>
  <c r="AF301" i="22" s="1"/>
  <c r="AD301" i="22" s="1"/>
  <c r="AI297" i="22"/>
  <c r="AH297" i="22" s="1"/>
  <c r="AG297" i="22" s="1"/>
  <c r="AF297" i="22" s="1"/>
  <c r="AD297" i="22" s="1"/>
  <c r="AI293" i="22"/>
  <c r="AH293" i="22" s="1"/>
  <c r="AG293" i="22" s="1"/>
  <c r="AF293" i="22" s="1"/>
  <c r="AD293" i="22" s="1"/>
  <c r="AI289" i="22"/>
  <c r="AH289" i="22" s="1"/>
  <c r="AG289" i="22" s="1"/>
  <c r="AF289" i="22" s="1"/>
  <c r="AD289" i="22" s="1"/>
  <c r="AI285" i="22"/>
  <c r="AH285" i="22" s="1"/>
  <c r="AG285" i="22" s="1"/>
  <c r="AF285" i="22" s="1"/>
  <c r="AD285" i="22" s="1"/>
  <c r="AI281" i="22"/>
  <c r="AH281" i="22" s="1"/>
  <c r="AG281" i="22" s="1"/>
  <c r="AF281" i="22" s="1"/>
  <c r="AD281" i="22" s="1"/>
  <c r="AI277" i="22"/>
  <c r="AH277" i="22" s="1"/>
  <c r="AG277" i="22" s="1"/>
  <c r="AF277" i="22" s="1"/>
  <c r="AD277" i="22" s="1"/>
  <c r="AI273" i="22"/>
  <c r="AH273" i="22" s="1"/>
  <c r="AG273" i="22" s="1"/>
  <c r="AF273" i="22" s="1"/>
  <c r="AD273" i="22" s="1"/>
  <c r="AI269" i="22"/>
  <c r="AH269" i="22" s="1"/>
  <c r="AG269" i="22" s="1"/>
  <c r="AF269" i="22" s="1"/>
  <c r="AD269" i="22" s="1"/>
  <c r="AI265" i="22"/>
  <c r="AH265" i="22" s="1"/>
  <c r="AG265" i="22" s="1"/>
  <c r="AF265" i="22" s="1"/>
  <c r="AD265" i="22" s="1"/>
  <c r="AI261" i="22"/>
  <c r="AH261" i="22" s="1"/>
  <c r="AG261" i="22" s="1"/>
  <c r="AF261" i="22" s="1"/>
  <c r="AD261" i="22" s="1"/>
  <c r="AI257" i="22"/>
  <c r="AH257" i="22" s="1"/>
  <c r="AG257" i="22" s="1"/>
  <c r="AF257" i="22" s="1"/>
  <c r="AD257" i="22" s="1"/>
  <c r="AI253" i="22"/>
  <c r="AH253" i="22" s="1"/>
  <c r="AG253" i="22" s="1"/>
  <c r="AF253" i="22" s="1"/>
  <c r="AD253" i="22" s="1"/>
  <c r="AI249" i="22"/>
  <c r="AH249" i="22" s="1"/>
  <c r="AG249" i="22" s="1"/>
  <c r="AF249" i="22" s="1"/>
  <c r="AD249" i="22" s="1"/>
  <c r="AI245" i="22"/>
  <c r="AH245" i="22" s="1"/>
  <c r="AG245" i="22" s="1"/>
  <c r="AF245" i="22" s="1"/>
  <c r="AD245" i="22" s="1"/>
  <c r="AI241" i="22"/>
  <c r="AH241" i="22" s="1"/>
  <c r="AG241" i="22" s="1"/>
  <c r="AF241" i="22" s="1"/>
  <c r="AD241" i="22" s="1"/>
  <c r="AI237" i="22"/>
  <c r="AH237" i="22" s="1"/>
  <c r="AG237" i="22" s="1"/>
  <c r="AF237" i="22" s="1"/>
  <c r="AD237" i="22" s="1"/>
  <c r="AI233" i="22"/>
  <c r="AH233" i="22" s="1"/>
  <c r="AG233" i="22" s="1"/>
  <c r="AF233" i="22" s="1"/>
  <c r="AD233" i="22" s="1"/>
  <c r="AI229" i="22"/>
  <c r="AH229" i="22" s="1"/>
  <c r="AG229" i="22" s="1"/>
  <c r="AF229" i="22" s="1"/>
  <c r="AD229" i="22" s="1"/>
  <c r="AI225" i="22"/>
  <c r="AH225" i="22" s="1"/>
  <c r="AG225" i="22" s="1"/>
  <c r="AF225" i="22" s="1"/>
  <c r="AD225" i="22" s="1"/>
  <c r="AI221" i="22"/>
  <c r="AH221" i="22" s="1"/>
  <c r="AG221" i="22" s="1"/>
  <c r="AF221" i="22" s="1"/>
  <c r="AD221" i="22" s="1"/>
  <c r="AI217" i="22"/>
  <c r="AH217" i="22" s="1"/>
  <c r="AG217" i="22" s="1"/>
  <c r="AF217" i="22" s="1"/>
  <c r="AD217" i="22" s="1"/>
  <c r="AI213" i="22"/>
  <c r="AH213" i="22" s="1"/>
  <c r="AG213" i="22" s="1"/>
  <c r="AF213" i="22" s="1"/>
  <c r="AD213" i="22" s="1"/>
  <c r="AI209" i="22"/>
  <c r="AH209" i="22" s="1"/>
  <c r="AG209" i="22" s="1"/>
  <c r="AF209" i="22" s="1"/>
  <c r="AD209" i="22" s="1"/>
  <c r="AI205" i="22"/>
  <c r="AH205" i="22" s="1"/>
  <c r="AG205" i="22" s="1"/>
  <c r="AF205" i="22" s="1"/>
  <c r="AD205" i="22" s="1"/>
  <c r="AI201" i="22"/>
  <c r="AH201" i="22" s="1"/>
  <c r="AG201" i="22" s="1"/>
  <c r="AF201" i="22" s="1"/>
  <c r="AD201" i="22" s="1"/>
  <c r="AI197" i="22"/>
  <c r="AH197" i="22" s="1"/>
  <c r="AG197" i="22" s="1"/>
  <c r="AF197" i="22" s="1"/>
  <c r="AD197" i="22" s="1"/>
  <c r="AI193" i="22"/>
  <c r="AH193" i="22" s="1"/>
  <c r="AG193" i="22" s="1"/>
  <c r="AF193" i="22" s="1"/>
  <c r="AD193" i="22" s="1"/>
  <c r="AI189" i="22"/>
  <c r="AH189" i="22" s="1"/>
  <c r="AG189" i="22" s="1"/>
  <c r="AF189" i="22" s="1"/>
  <c r="AD189" i="22" s="1"/>
  <c r="AI185" i="22"/>
  <c r="AH185" i="22" s="1"/>
  <c r="AG185" i="22" s="1"/>
  <c r="AF185" i="22" s="1"/>
  <c r="AD185" i="22" s="1"/>
  <c r="AI181" i="22"/>
  <c r="AH181" i="22" s="1"/>
  <c r="AG181" i="22" s="1"/>
  <c r="AF181" i="22" s="1"/>
  <c r="AD181" i="22" s="1"/>
  <c r="AI173" i="22"/>
  <c r="AH173" i="22" s="1"/>
  <c r="AG173" i="22" s="1"/>
  <c r="AF173" i="22" s="1"/>
  <c r="AD173" i="22" s="1"/>
  <c r="AI165" i="22"/>
  <c r="AH165" i="22" s="1"/>
  <c r="AG165" i="22" s="1"/>
  <c r="AF165" i="22" s="1"/>
  <c r="AD165" i="22" s="1"/>
  <c r="AI159" i="22"/>
  <c r="AH159" i="22" s="1"/>
  <c r="AG159" i="22" s="1"/>
  <c r="AF159" i="22" s="1"/>
  <c r="AD159" i="22" s="1"/>
  <c r="AI155" i="22"/>
  <c r="AH155" i="22" s="1"/>
  <c r="AG155" i="22" s="1"/>
  <c r="AF155" i="22" s="1"/>
  <c r="AD155" i="22" s="1"/>
  <c r="AI151" i="22"/>
  <c r="AH151" i="22" s="1"/>
  <c r="AG151" i="22" s="1"/>
  <c r="AF151" i="22" s="1"/>
  <c r="AD151" i="22" s="1"/>
  <c r="AI147" i="22"/>
  <c r="AH147" i="22" s="1"/>
  <c r="AG147" i="22" s="1"/>
  <c r="AF147" i="22" s="1"/>
  <c r="AD147" i="22" s="1"/>
  <c r="AI143" i="22"/>
  <c r="AH143" i="22" s="1"/>
  <c r="AG143" i="22" s="1"/>
  <c r="AF143" i="22" s="1"/>
  <c r="AD143" i="22" s="1"/>
  <c r="AI139" i="22"/>
  <c r="AH139" i="22" s="1"/>
  <c r="AG139" i="22" s="1"/>
  <c r="AF139" i="22" s="1"/>
  <c r="AD139" i="22" s="1"/>
  <c r="AI135" i="22"/>
  <c r="AH135" i="22" s="1"/>
  <c r="AG135" i="22" s="1"/>
  <c r="AF135" i="22" s="1"/>
  <c r="AD135" i="22" s="1"/>
  <c r="AI131" i="22"/>
  <c r="AH131" i="22" s="1"/>
  <c r="AG131" i="22" s="1"/>
  <c r="AF131" i="22" s="1"/>
  <c r="AD131" i="22" s="1"/>
  <c r="AI127" i="22"/>
  <c r="AH127" i="22" s="1"/>
  <c r="AG127" i="22" s="1"/>
  <c r="AF127" i="22" s="1"/>
  <c r="AD127" i="22" s="1"/>
  <c r="AI123" i="22"/>
  <c r="AH123" i="22" s="1"/>
  <c r="AG123" i="22" s="1"/>
  <c r="AF123" i="22" s="1"/>
  <c r="AD123" i="22" s="1"/>
  <c r="AI119" i="22"/>
  <c r="AH119" i="22" s="1"/>
  <c r="AG119" i="22" s="1"/>
  <c r="AF119" i="22" s="1"/>
  <c r="AD119" i="22" s="1"/>
  <c r="AI115" i="22"/>
  <c r="AH115" i="22" s="1"/>
  <c r="AG115" i="22" s="1"/>
  <c r="AF115" i="22" s="1"/>
  <c r="AD115" i="22" s="1"/>
  <c r="AI111" i="22"/>
  <c r="AH111" i="22" s="1"/>
  <c r="AG111" i="22" s="1"/>
  <c r="AF111" i="22" s="1"/>
  <c r="AD111" i="22" s="1"/>
  <c r="AI107" i="22"/>
  <c r="AH107" i="22" s="1"/>
  <c r="AG107" i="22" s="1"/>
  <c r="AF107" i="22" s="1"/>
  <c r="AD107" i="22" s="1"/>
  <c r="AI103" i="22"/>
  <c r="AH103" i="22" s="1"/>
  <c r="AG103" i="22" s="1"/>
  <c r="AF103" i="22" s="1"/>
  <c r="AD103" i="22" s="1"/>
  <c r="AI99" i="22"/>
  <c r="AH99" i="22" s="1"/>
  <c r="AG99" i="22" s="1"/>
  <c r="AF99" i="22" s="1"/>
  <c r="AD99" i="22" s="1"/>
  <c r="AI95" i="22"/>
  <c r="AH95" i="22" s="1"/>
  <c r="AG95" i="22" s="1"/>
  <c r="AF95" i="22" s="1"/>
  <c r="AD95" i="22" s="1"/>
  <c r="AI91" i="22"/>
  <c r="AH91" i="22" s="1"/>
  <c r="AG91" i="22" s="1"/>
  <c r="AF91" i="22" s="1"/>
  <c r="AD91" i="22" s="1"/>
  <c r="AI87" i="22"/>
  <c r="AH87" i="22" s="1"/>
  <c r="AG87" i="22" s="1"/>
  <c r="AF87" i="22" s="1"/>
  <c r="AD87" i="22" s="1"/>
  <c r="AI83" i="22"/>
  <c r="AH83" i="22" s="1"/>
  <c r="AG83" i="22" s="1"/>
  <c r="AF83" i="22" s="1"/>
  <c r="AD83" i="22" s="1"/>
  <c r="AI79" i="22"/>
  <c r="AH79" i="22" s="1"/>
  <c r="AG79" i="22" s="1"/>
  <c r="AF79" i="22" s="1"/>
  <c r="AD79" i="22" s="1"/>
  <c r="AI75" i="22"/>
  <c r="AH75" i="22" s="1"/>
  <c r="AG75" i="22" s="1"/>
  <c r="AF75" i="22" s="1"/>
  <c r="AD75" i="22" s="1"/>
  <c r="AI71" i="22"/>
  <c r="AH71" i="22" s="1"/>
  <c r="AG71" i="22" s="1"/>
  <c r="AF71" i="22" s="1"/>
  <c r="AD71" i="22" s="1"/>
  <c r="AI67" i="22"/>
  <c r="AH67" i="22" s="1"/>
  <c r="AG67" i="22" s="1"/>
  <c r="AF67" i="22" s="1"/>
  <c r="AD67" i="22" s="1"/>
  <c r="AI63" i="22"/>
  <c r="AH63" i="22" s="1"/>
  <c r="AG63" i="22" s="1"/>
  <c r="AF63" i="22" s="1"/>
  <c r="AD63" i="22" s="1"/>
  <c r="AI59" i="22"/>
  <c r="AH59" i="22" s="1"/>
  <c r="AG59" i="22" s="1"/>
  <c r="AF59" i="22" s="1"/>
  <c r="AD59" i="22" s="1"/>
  <c r="AI55" i="22"/>
  <c r="AH55" i="22" s="1"/>
  <c r="AG55" i="22" s="1"/>
  <c r="AF55" i="22" s="1"/>
  <c r="AD55" i="22" s="1"/>
  <c r="AI51" i="22"/>
  <c r="AH51" i="22" s="1"/>
  <c r="AG51" i="22" s="1"/>
  <c r="AF51" i="22" s="1"/>
  <c r="AD51" i="22" s="1"/>
  <c r="AI47" i="22"/>
  <c r="AH47" i="22" s="1"/>
  <c r="AG47" i="22" s="1"/>
  <c r="AF47" i="22" s="1"/>
  <c r="AD47" i="22" s="1"/>
  <c r="AI43" i="22"/>
  <c r="AH43" i="22" s="1"/>
  <c r="AG43" i="22" s="1"/>
  <c r="AF43" i="22" s="1"/>
  <c r="AD43" i="22" s="1"/>
  <c r="AI39" i="22"/>
  <c r="AH39" i="22" s="1"/>
  <c r="AG39" i="22" s="1"/>
  <c r="AF39" i="22" s="1"/>
  <c r="AD39" i="22" s="1"/>
  <c r="AI35" i="22"/>
  <c r="AH35" i="22" s="1"/>
  <c r="AG35" i="22" s="1"/>
  <c r="AF35" i="22" s="1"/>
  <c r="AD35" i="22" s="1"/>
  <c r="AI31" i="22"/>
  <c r="AH31" i="22" s="1"/>
  <c r="AG31" i="22" s="1"/>
  <c r="AF31" i="22" s="1"/>
  <c r="AD31" i="22" s="1"/>
  <c r="AI27" i="22"/>
  <c r="AH27" i="22" s="1"/>
  <c r="AG27" i="22" s="1"/>
  <c r="AF27" i="22" s="1"/>
  <c r="AD27" i="22" s="1"/>
  <c r="AI23" i="22"/>
  <c r="AH23" i="22" s="1"/>
  <c r="AG23" i="22" s="1"/>
  <c r="AF23" i="22" s="1"/>
  <c r="AD23" i="22" s="1"/>
  <c r="AI15" i="22"/>
  <c r="AI17" i="22"/>
  <c r="AH17" i="22" s="1"/>
  <c r="AG17" i="22" s="1"/>
  <c r="AF17" i="22" s="1"/>
  <c r="AD17" i="22" s="1"/>
  <c r="U377" i="22"/>
  <c r="T377" i="22" s="1"/>
  <c r="S377" i="22" s="1"/>
  <c r="R377" i="22" s="1"/>
  <c r="P377" i="22" s="1"/>
  <c r="V377" i="22" s="1"/>
  <c r="U373" i="22"/>
  <c r="T373" i="22" s="1"/>
  <c r="S373" i="22" s="1"/>
  <c r="R373" i="22" s="1"/>
  <c r="P373" i="22" s="1"/>
  <c r="V373" i="22" s="1"/>
  <c r="U369" i="22"/>
  <c r="T369" i="22" s="1"/>
  <c r="S369" i="22" s="1"/>
  <c r="R369" i="22" s="1"/>
  <c r="P369" i="22" s="1"/>
  <c r="V369" i="22" s="1"/>
  <c r="U365" i="22"/>
  <c r="T365" i="22" s="1"/>
  <c r="S365" i="22" s="1"/>
  <c r="R365" i="22" s="1"/>
  <c r="P365" i="22" s="1"/>
  <c r="V365" i="22" s="1"/>
  <c r="U361" i="22"/>
  <c r="T361" i="22" s="1"/>
  <c r="S361" i="22" s="1"/>
  <c r="R361" i="22" s="1"/>
  <c r="P361" i="22" s="1"/>
  <c r="V361" i="22" s="1"/>
  <c r="U357" i="22"/>
  <c r="T357" i="22" s="1"/>
  <c r="S357" i="22" s="1"/>
  <c r="R357" i="22" s="1"/>
  <c r="P357" i="22" s="1"/>
  <c r="V357" i="22" s="1"/>
  <c r="U353" i="22"/>
  <c r="T353" i="22" s="1"/>
  <c r="S353" i="22" s="1"/>
  <c r="R353" i="22" s="1"/>
  <c r="P353" i="22" s="1"/>
  <c r="V353" i="22" s="1"/>
  <c r="U349" i="22"/>
  <c r="T349" i="22" s="1"/>
  <c r="S349" i="22" s="1"/>
  <c r="R349" i="22" s="1"/>
  <c r="P349" i="22" s="1"/>
  <c r="V349" i="22" s="1"/>
  <c r="U345" i="22"/>
  <c r="T345" i="22" s="1"/>
  <c r="S345" i="22" s="1"/>
  <c r="R345" i="22" s="1"/>
  <c r="P345" i="22" s="1"/>
  <c r="V345" i="22" s="1"/>
  <c r="U341" i="22"/>
  <c r="T341" i="22" s="1"/>
  <c r="S341" i="22" s="1"/>
  <c r="R341" i="22" s="1"/>
  <c r="P341" i="22" s="1"/>
  <c r="V341" i="22" s="1"/>
  <c r="U337" i="22"/>
  <c r="T337" i="22" s="1"/>
  <c r="S337" i="22" s="1"/>
  <c r="R337" i="22" s="1"/>
  <c r="P337" i="22" s="1"/>
  <c r="V337" i="22" s="1"/>
  <c r="U333" i="22"/>
  <c r="T333" i="22" s="1"/>
  <c r="S333" i="22" s="1"/>
  <c r="R333" i="22" s="1"/>
  <c r="P333" i="22" s="1"/>
  <c r="U329" i="22"/>
  <c r="T329" i="22" s="1"/>
  <c r="S329" i="22" s="1"/>
  <c r="R329" i="22" s="1"/>
  <c r="P329" i="22" s="1"/>
  <c r="V329" i="22" s="1"/>
  <c r="U325" i="22"/>
  <c r="T325" i="22" s="1"/>
  <c r="S325" i="22" s="1"/>
  <c r="R325" i="22" s="1"/>
  <c r="P325" i="22" s="1"/>
  <c r="V325" i="22" s="1"/>
  <c r="U321" i="22"/>
  <c r="T321" i="22" s="1"/>
  <c r="S321" i="22" s="1"/>
  <c r="R321" i="22" s="1"/>
  <c r="P321" i="22" s="1"/>
  <c r="V321" i="22" s="1"/>
  <c r="U317" i="22"/>
  <c r="T317" i="22" s="1"/>
  <c r="S317" i="22" s="1"/>
  <c r="R317" i="22" s="1"/>
  <c r="P317" i="22" s="1"/>
  <c r="V317" i="22" s="1"/>
  <c r="U313" i="22"/>
  <c r="T313" i="22" s="1"/>
  <c r="S313" i="22" s="1"/>
  <c r="R313" i="22" s="1"/>
  <c r="P313" i="22" s="1"/>
  <c r="V313" i="22" s="1"/>
  <c r="U309" i="22"/>
  <c r="T309" i="22" s="1"/>
  <c r="S309" i="22" s="1"/>
  <c r="R309" i="22" s="1"/>
  <c r="P309" i="22" s="1"/>
  <c r="V309" i="22" s="1"/>
  <c r="U305" i="22"/>
  <c r="T305" i="22" s="1"/>
  <c r="S305" i="22" s="1"/>
  <c r="R305" i="22" s="1"/>
  <c r="P305" i="22" s="1"/>
  <c r="V305" i="22" s="1"/>
  <c r="U301" i="22"/>
  <c r="T301" i="22" s="1"/>
  <c r="S301" i="22" s="1"/>
  <c r="R301" i="22" s="1"/>
  <c r="P301" i="22" s="1"/>
  <c r="V301" i="22" s="1"/>
  <c r="U297" i="22"/>
  <c r="T297" i="22" s="1"/>
  <c r="S297" i="22" s="1"/>
  <c r="R297" i="22" s="1"/>
  <c r="P297" i="22" s="1"/>
  <c r="V297" i="22" s="1"/>
  <c r="U293" i="22"/>
  <c r="T293" i="22" s="1"/>
  <c r="S293" i="22" s="1"/>
  <c r="R293" i="22" s="1"/>
  <c r="P293" i="22" s="1"/>
  <c r="V293" i="22" s="1"/>
  <c r="U289" i="22"/>
  <c r="T289" i="22" s="1"/>
  <c r="S289" i="22" s="1"/>
  <c r="R289" i="22" s="1"/>
  <c r="P289" i="22" s="1"/>
  <c r="V289" i="22" s="1"/>
  <c r="U285" i="22"/>
  <c r="T285" i="22" s="1"/>
  <c r="S285" i="22" s="1"/>
  <c r="R285" i="22" s="1"/>
  <c r="P285" i="22" s="1"/>
  <c r="V285" i="22" s="1"/>
  <c r="U281" i="22"/>
  <c r="T281" i="22" s="1"/>
  <c r="S281" i="22" s="1"/>
  <c r="R281" i="22" s="1"/>
  <c r="P281" i="22" s="1"/>
  <c r="V281" i="22" s="1"/>
  <c r="U277" i="22"/>
  <c r="T277" i="22" s="1"/>
  <c r="S277" i="22" s="1"/>
  <c r="R277" i="22" s="1"/>
  <c r="P277" i="22" s="1"/>
  <c r="V277" i="22" s="1"/>
  <c r="U273" i="22"/>
  <c r="T273" i="22" s="1"/>
  <c r="S273" i="22" s="1"/>
  <c r="R273" i="22" s="1"/>
  <c r="P273" i="22" s="1"/>
  <c r="V273" i="22" s="1"/>
  <c r="U269" i="22"/>
  <c r="T269" i="22" s="1"/>
  <c r="S269" i="22" s="1"/>
  <c r="R269" i="22" s="1"/>
  <c r="P269" i="22" s="1"/>
  <c r="V269" i="22" s="1"/>
  <c r="U265" i="22"/>
  <c r="T265" i="22" s="1"/>
  <c r="S265" i="22" s="1"/>
  <c r="R265" i="22" s="1"/>
  <c r="P265" i="22" s="1"/>
  <c r="V265" i="22" s="1"/>
  <c r="U261" i="22"/>
  <c r="T261" i="22" s="1"/>
  <c r="S261" i="22" s="1"/>
  <c r="R261" i="22" s="1"/>
  <c r="P261" i="22" s="1"/>
  <c r="V261" i="22" s="1"/>
  <c r="U257" i="22"/>
  <c r="T257" i="22" s="1"/>
  <c r="S257" i="22" s="1"/>
  <c r="R257" i="22" s="1"/>
  <c r="P257" i="22" s="1"/>
  <c r="V257" i="22" s="1"/>
  <c r="U253" i="22"/>
  <c r="T253" i="22" s="1"/>
  <c r="S253" i="22" s="1"/>
  <c r="R253" i="22" s="1"/>
  <c r="P253" i="22" s="1"/>
  <c r="V253" i="22" s="1"/>
  <c r="U249" i="22"/>
  <c r="T249" i="22" s="1"/>
  <c r="S249" i="22" s="1"/>
  <c r="R249" i="22" s="1"/>
  <c r="P249" i="22" s="1"/>
  <c r="V249" i="22" s="1"/>
  <c r="U245" i="22"/>
  <c r="T245" i="22" s="1"/>
  <c r="S245" i="22" s="1"/>
  <c r="R245" i="22" s="1"/>
  <c r="P245" i="22" s="1"/>
  <c r="V245" i="22" s="1"/>
  <c r="U241" i="22"/>
  <c r="T241" i="22" s="1"/>
  <c r="S241" i="22" s="1"/>
  <c r="R241" i="22" s="1"/>
  <c r="P241" i="22" s="1"/>
  <c r="U237" i="22"/>
  <c r="T237" i="22" s="1"/>
  <c r="S237" i="22" s="1"/>
  <c r="R237" i="22" s="1"/>
  <c r="P237" i="22" s="1"/>
  <c r="V237" i="22" s="1"/>
  <c r="U233" i="22"/>
  <c r="T233" i="22" s="1"/>
  <c r="S233" i="22" s="1"/>
  <c r="R233" i="22" s="1"/>
  <c r="P233" i="22" s="1"/>
  <c r="V233" i="22" s="1"/>
  <c r="U229" i="22"/>
  <c r="T229" i="22" s="1"/>
  <c r="S229" i="22" s="1"/>
  <c r="R229" i="22" s="1"/>
  <c r="P229" i="22" s="1"/>
  <c r="V229" i="22" s="1"/>
  <c r="U225" i="22"/>
  <c r="T225" i="22" s="1"/>
  <c r="S225" i="22" s="1"/>
  <c r="R225" i="22" s="1"/>
  <c r="P225" i="22" s="1"/>
  <c r="V225" i="22" s="1"/>
  <c r="U221" i="22"/>
  <c r="T221" i="22" s="1"/>
  <c r="S221" i="22" s="1"/>
  <c r="R221" i="22" s="1"/>
  <c r="P221" i="22" s="1"/>
  <c r="V221" i="22" s="1"/>
  <c r="U217" i="22"/>
  <c r="T217" i="22" s="1"/>
  <c r="S217" i="22" s="1"/>
  <c r="R217" i="22" s="1"/>
  <c r="P217" i="22" s="1"/>
  <c r="V217" i="22" s="1"/>
  <c r="U213" i="22"/>
  <c r="T213" i="22" s="1"/>
  <c r="S213" i="22" s="1"/>
  <c r="R213" i="22" s="1"/>
  <c r="P213" i="22" s="1"/>
  <c r="V213" i="22" s="1"/>
  <c r="U209" i="22"/>
  <c r="T209" i="22" s="1"/>
  <c r="S209" i="22" s="1"/>
  <c r="R209" i="22" s="1"/>
  <c r="P209" i="22" s="1"/>
  <c r="V209" i="22" s="1"/>
  <c r="U205" i="22"/>
  <c r="T205" i="22" s="1"/>
  <c r="S205" i="22" s="1"/>
  <c r="R205" i="22" s="1"/>
  <c r="P205" i="22" s="1"/>
  <c r="V205" i="22" s="1"/>
  <c r="U201" i="22"/>
  <c r="T201" i="22" s="1"/>
  <c r="S201" i="22" s="1"/>
  <c r="R201" i="22" s="1"/>
  <c r="P201" i="22" s="1"/>
  <c r="V201" i="22" s="1"/>
  <c r="U197" i="22"/>
  <c r="T197" i="22" s="1"/>
  <c r="S197" i="22" s="1"/>
  <c r="R197" i="22" s="1"/>
  <c r="P197" i="22" s="1"/>
  <c r="V197" i="22" s="1"/>
  <c r="U193" i="22"/>
  <c r="T193" i="22" s="1"/>
  <c r="S193" i="22" s="1"/>
  <c r="R193" i="22" s="1"/>
  <c r="P193" i="22" s="1"/>
  <c r="V193" i="22" s="1"/>
  <c r="U189" i="22"/>
  <c r="T189" i="22" s="1"/>
  <c r="S189" i="22" s="1"/>
  <c r="R189" i="22" s="1"/>
  <c r="P189" i="22" s="1"/>
  <c r="V189" i="22" s="1"/>
  <c r="U185" i="22"/>
  <c r="T185" i="22" s="1"/>
  <c r="S185" i="22" s="1"/>
  <c r="R185" i="22" s="1"/>
  <c r="P185" i="22" s="1"/>
  <c r="V185" i="22" s="1"/>
  <c r="U181" i="22"/>
  <c r="T181" i="22" s="1"/>
  <c r="S181" i="22" s="1"/>
  <c r="R181" i="22" s="1"/>
  <c r="P181" i="22" s="1"/>
  <c r="V181" i="22" s="1"/>
  <c r="U177" i="22"/>
  <c r="T177" i="22" s="1"/>
  <c r="S177" i="22" s="1"/>
  <c r="R177" i="22" s="1"/>
  <c r="P177" i="22" s="1"/>
  <c r="V177" i="22" s="1"/>
  <c r="U173" i="22"/>
  <c r="T173" i="22" s="1"/>
  <c r="S173" i="22" s="1"/>
  <c r="R173" i="22" s="1"/>
  <c r="P173" i="22" s="1"/>
  <c r="V173" i="22" s="1"/>
  <c r="U169" i="22"/>
  <c r="T169" i="22" s="1"/>
  <c r="S169" i="22" s="1"/>
  <c r="R169" i="22" s="1"/>
  <c r="P169" i="22" s="1"/>
  <c r="V169" i="22" s="1"/>
  <c r="U165" i="22"/>
  <c r="T165" i="22" s="1"/>
  <c r="S165" i="22" s="1"/>
  <c r="R165" i="22" s="1"/>
  <c r="P165" i="22" s="1"/>
  <c r="V165" i="22" s="1"/>
  <c r="U161" i="22"/>
  <c r="T161" i="22" s="1"/>
  <c r="S161" i="22" s="1"/>
  <c r="R161" i="22" s="1"/>
  <c r="P161" i="22" s="1"/>
  <c r="V161" i="22" s="1"/>
  <c r="U157" i="22"/>
  <c r="T157" i="22" s="1"/>
  <c r="S157" i="22" s="1"/>
  <c r="R157" i="22" s="1"/>
  <c r="P157" i="22" s="1"/>
  <c r="V157" i="22" s="1"/>
  <c r="U153" i="22"/>
  <c r="T153" i="22" s="1"/>
  <c r="S153" i="22" s="1"/>
  <c r="R153" i="22" s="1"/>
  <c r="P153" i="22" s="1"/>
  <c r="V153" i="22" s="1"/>
  <c r="U149" i="22"/>
  <c r="T149" i="22" s="1"/>
  <c r="S149" i="22" s="1"/>
  <c r="R149" i="22" s="1"/>
  <c r="P149" i="22" s="1"/>
  <c r="V149" i="22" s="1"/>
  <c r="U145" i="22"/>
  <c r="T145" i="22" s="1"/>
  <c r="S145" i="22" s="1"/>
  <c r="R145" i="22" s="1"/>
  <c r="P145" i="22" s="1"/>
  <c r="V145" i="22" s="1"/>
  <c r="U141" i="22"/>
  <c r="T141" i="22" s="1"/>
  <c r="S141" i="22" s="1"/>
  <c r="R141" i="22" s="1"/>
  <c r="P141" i="22" s="1"/>
  <c r="V141" i="22" s="1"/>
  <c r="U137" i="22"/>
  <c r="T137" i="22" s="1"/>
  <c r="S137" i="22" s="1"/>
  <c r="R137" i="22" s="1"/>
  <c r="P137" i="22" s="1"/>
  <c r="V137" i="22" s="1"/>
  <c r="U133" i="22"/>
  <c r="T133" i="22" s="1"/>
  <c r="S133" i="22" s="1"/>
  <c r="R133" i="22" s="1"/>
  <c r="P133" i="22" s="1"/>
  <c r="V133" i="22" s="1"/>
  <c r="U129" i="22"/>
  <c r="T129" i="22" s="1"/>
  <c r="S129" i="22" s="1"/>
  <c r="R129" i="22" s="1"/>
  <c r="P129" i="22" s="1"/>
  <c r="V129" i="22" s="1"/>
  <c r="U125" i="22"/>
  <c r="T125" i="22" s="1"/>
  <c r="S125" i="22" s="1"/>
  <c r="R125" i="22" s="1"/>
  <c r="P125" i="22" s="1"/>
  <c r="V125" i="22" s="1"/>
  <c r="U121" i="22"/>
  <c r="T121" i="22" s="1"/>
  <c r="S121" i="22" s="1"/>
  <c r="R121" i="22" s="1"/>
  <c r="P121" i="22" s="1"/>
  <c r="V121" i="22" s="1"/>
  <c r="U117" i="22"/>
  <c r="T117" i="22" s="1"/>
  <c r="S117" i="22" s="1"/>
  <c r="R117" i="22" s="1"/>
  <c r="P117" i="22" s="1"/>
  <c r="V117" i="22" s="1"/>
  <c r="U113" i="22"/>
  <c r="T113" i="22" s="1"/>
  <c r="S113" i="22" s="1"/>
  <c r="R113" i="22" s="1"/>
  <c r="P113" i="22" s="1"/>
  <c r="V113" i="22" s="1"/>
  <c r="U109" i="22"/>
  <c r="T109" i="22" s="1"/>
  <c r="S109" i="22" s="1"/>
  <c r="R109" i="22" s="1"/>
  <c r="P109" i="22" s="1"/>
  <c r="V109" i="22" s="1"/>
  <c r="U105" i="22"/>
  <c r="T105" i="22" s="1"/>
  <c r="S105" i="22" s="1"/>
  <c r="R105" i="22" s="1"/>
  <c r="P105" i="22" s="1"/>
  <c r="V105" i="22" s="1"/>
  <c r="U101" i="22"/>
  <c r="T101" i="22" s="1"/>
  <c r="S101" i="22" s="1"/>
  <c r="R101" i="22" s="1"/>
  <c r="P101" i="22" s="1"/>
  <c r="V101" i="22" s="1"/>
  <c r="U97" i="22"/>
  <c r="T97" i="22" s="1"/>
  <c r="S97" i="22" s="1"/>
  <c r="R97" i="22" s="1"/>
  <c r="P97" i="22" s="1"/>
  <c r="V97" i="22" s="1"/>
  <c r="U93" i="22"/>
  <c r="T93" i="22" s="1"/>
  <c r="S93" i="22" s="1"/>
  <c r="R93" i="22" s="1"/>
  <c r="P93" i="22" s="1"/>
  <c r="V93" i="22" s="1"/>
  <c r="U89" i="22"/>
  <c r="T89" i="22" s="1"/>
  <c r="S89" i="22" s="1"/>
  <c r="R89" i="22" s="1"/>
  <c r="P89" i="22" s="1"/>
  <c r="V89" i="22" s="1"/>
  <c r="U85" i="22"/>
  <c r="T85" i="22" s="1"/>
  <c r="S85" i="22" s="1"/>
  <c r="R85" i="22" s="1"/>
  <c r="P85" i="22" s="1"/>
  <c r="V85" i="22" s="1"/>
  <c r="U81" i="22"/>
  <c r="T81" i="22" s="1"/>
  <c r="S81" i="22" s="1"/>
  <c r="R81" i="22" s="1"/>
  <c r="P81" i="22" s="1"/>
  <c r="V81" i="22" s="1"/>
  <c r="U77" i="22"/>
  <c r="T77" i="22" s="1"/>
  <c r="S77" i="22" s="1"/>
  <c r="R77" i="22" s="1"/>
  <c r="P77" i="22" s="1"/>
  <c r="V77" i="22" s="1"/>
  <c r="U73" i="22"/>
  <c r="T73" i="22" s="1"/>
  <c r="S73" i="22" s="1"/>
  <c r="R73" i="22" s="1"/>
  <c r="P73" i="22" s="1"/>
  <c r="V73" i="22" s="1"/>
  <c r="U69" i="22"/>
  <c r="T69" i="22" s="1"/>
  <c r="S69" i="22" s="1"/>
  <c r="R69" i="22" s="1"/>
  <c r="P69" i="22" s="1"/>
  <c r="V69" i="22" s="1"/>
  <c r="U65" i="22"/>
  <c r="T65" i="22" s="1"/>
  <c r="S65" i="22" s="1"/>
  <c r="R65" i="22" s="1"/>
  <c r="P65" i="22" s="1"/>
  <c r="V65" i="22" s="1"/>
  <c r="U61" i="22"/>
  <c r="T61" i="22" s="1"/>
  <c r="S61" i="22" s="1"/>
  <c r="R61" i="22" s="1"/>
  <c r="P61" i="22" s="1"/>
  <c r="V61" i="22" s="1"/>
  <c r="U57" i="22"/>
  <c r="T57" i="22" s="1"/>
  <c r="S57" i="22" s="1"/>
  <c r="R57" i="22" s="1"/>
  <c r="P57" i="22" s="1"/>
  <c r="V57" i="22" s="1"/>
  <c r="U53" i="22"/>
  <c r="T53" i="22" s="1"/>
  <c r="S53" i="22" s="1"/>
  <c r="R53" i="22" s="1"/>
  <c r="P53" i="22" s="1"/>
  <c r="V53" i="22" s="1"/>
  <c r="U49" i="22"/>
  <c r="T49" i="22" s="1"/>
  <c r="S49" i="22" s="1"/>
  <c r="R49" i="22" s="1"/>
  <c r="P49" i="22" s="1"/>
  <c r="V49" i="22" s="1"/>
  <c r="U45" i="22"/>
  <c r="T45" i="22" s="1"/>
  <c r="S45" i="22" s="1"/>
  <c r="R45" i="22" s="1"/>
  <c r="P45" i="22" s="1"/>
  <c r="V45" i="22" s="1"/>
  <c r="U41" i="22"/>
  <c r="T41" i="22" s="1"/>
  <c r="S41" i="22" s="1"/>
  <c r="R41" i="22" s="1"/>
  <c r="P41" i="22" s="1"/>
  <c r="V41" i="22" s="1"/>
  <c r="U37" i="22"/>
  <c r="T37" i="22" s="1"/>
  <c r="S37" i="22" s="1"/>
  <c r="R37" i="22" s="1"/>
  <c r="P37" i="22" s="1"/>
  <c r="V37" i="22" s="1"/>
  <c r="U33" i="22"/>
  <c r="T33" i="22" s="1"/>
  <c r="S33" i="22" s="1"/>
  <c r="R33" i="22" s="1"/>
  <c r="P33" i="22" s="1"/>
  <c r="V33" i="22" s="1"/>
  <c r="U29" i="22"/>
  <c r="T29" i="22" s="1"/>
  <c r="S29" i="22" s="1"/>
  <c r="R29" i="22" s="1"/>
  <c r="P29" i="22" s="1"/>
  <c r="AH32" i="7" s="1"/>
  <c r="U25" i="22"/>
  <c r="T25" i="22" s="1"/>
  <c r="S25" i="22" s="1"/>
  <c r="R25" i="22" s="1"/>
  <c r="P25" i="22" s="1"/>
  <c r="V25" i="22" s="1"/>
  <c r="U23" i="22"/>
  <c r="T23" i="22" s="1"/>
  <c r="S23" i="22" s="1"/>
  <c r="R23" i="22" s="1"/>
  <c r="P23" i="22" s="1"/>
  <c r="V23" i="22" s="1"/>
  <c r="U20" i="22"/>
  <c r="T20" i="22" s="1"/>
  <c r="S20" i="22" s="1"/>
  <c r="R20" i="22" s="1"/>
  <c r="P20" i="22" s="1"/>
  <c r="V20" i="22" s="1"/>
  <c r="U16" i="22"/>
  <c r="T16" i="22" s="1"/>
  <c r="S16" i="22" s="1"/>
  <c r="R16" i="22" s="1"/>
  <c r="P16" i="22" s="1"/>
  <c r="V16" i="22" s="1"/>
  <c r="U22" i="22"/>
  <c r="T22" i="22" s="1"/>
  <c r="S22" i="22" s="1"/>
  <c r="R22" i="22" s="1"/>
  <c r="P22" i="22" s="1"/>
  <c r="V22" i="22" s="1"/>
  <c r="AI177" i="22"/>
  <c r="AH177" i="22" s="1"/>
  <c r="AG177" i="22" s="1"/>
  <c r="AF177" i="22" s="1"/>
  <c r="AD177" i="22" s="1"/>
  <c r="AI169" i="22"/>
  <c r="AH169" i="22" s="1"/>
  <c r="AG169" i="22" s="1"/>
  <c r="AF169" i="22" s="1"/>
  <c r="AD169" i="22" s="1"/>
  <c r="AI161" i="22"/>
  <c r="AH161" i="22" s="1"/>
  <c r="AG161" i="22" s="1"/>
  <c r="AF161" i="22" s="1"/>
  <c r="AD161" i="22" s="1"/>
  <c r="AI157" i="22"/>
  <c r="AH157" i="22" s="1"/>
  <c r="AG157" i="22" s="1"/>
  <c r="AF157" i="22" s="1"/>
  <c r="AD157" i="22" s="1"/>
  <c r="AI153" i="22"/>
  <c r="AH153" i="22" s="1"/>
  <c r="AG153" i="22" s="1"/>
  <c r="AF153" i="22" s="1"/>
  <c r="AD153" i="22" s="1"/>
  <c r="AI149" i="22"/>
  <c r="AH149" i="22" s="1"/>
  <c r="AG149" i="22" s="1"/>
  <c r="AF149" i="22" s="1"/>
  <c r="AD149" i="22" s="1"/>
  <c r="AI145" i="22"/>
  <c r="AH145" i="22" s="1"/>
  <c r="AG145" i="22" s="1"/>
  <c r="AF145" i="22" s="1"/>
  <c r="AD145" i="22" s="1"/>
  <c r="AI141" i="22"/>
  <c r="AH141" i="22" s="1"/>
  <c r="AG141" i="22" s="1"/>
  <c r="AF141" i="22" s="1"/>
  <c r="AD141" i="22" s="1"/>
  <c r="AI137" i="22"/>
  <c r="AH137" i="22" s="1"/>
  <c r="AG137" i="22" s="1"/>
  <c r="AF137" i="22" s="1"/>
  <c r="AD137" i="22" s="1"/>
  <c r="AI133" i="22"/>
  <c r="AH133" i="22" s="1"/>
  <c r="AG133" i="22" s="1"/>
  <c r="AF133" i="22" s="1"/>
  <c r="AD133" i="22" s="1"/>
  <c r="AI129" i="22"/>
  <c r="AH129" i="22" s="1"/>
  <c r="AG129" i="22" s="1"/>
  <c r="AF129" i="22" s="1"/>
  <c r="AD129" i="22" s="1"/>
  <c r="AI125" i="22"/>
  <c r="AH125" i="22" s="1"/>
  <c r="AG125" i="22" s="1"/>
  <c r="AF125" i="22" s="1"/>
  <c r="AD125" i="22" s="1"/>
  <c r="AI121" i="22"/>
  <c r="AH121" i="22" s="1"/>
  <c r="AG121" i="22" s="1"/>
  <c r="AF121" i="22" s="1"/>
  <c r="AD121" i="22" s="1"/>
  <c r="AI117" i="22"/>
  <c r="AH117" i="22" s="1"/>
  <c r="AG117" i="22" s="1"/>
  <c r="AF117" i="22" s="1"/>
  <c r="AD117" i="22" s="1"/>
  <c r="AI113" i="22"/>
  <c r="AH113" i="22" s="1"/>
  <c r="AG113" i="22" s="1"/>
  <c r="AF113" i="22" s="1"/>
  <c r="AD113" i="22" s="1"/>
  <c r="AI109" i="22"/>
  <c r="AH109" i="22" s="1"/>
  <c r="AG109" i="22" s="1"/>
  <c r="AF109" i="22" s="1"/>
  <c r="AD109" i="22" s="1"/>
  <c r="AI105" i="22"/>
  <c r="AH105" i="22" s="1"/>
  <c r="AG105" i="22" s="1"/>
  <c r="AF105" i="22" s="1"/>
  <c r="AD105" i="22" s="1"/>
  <c r="AI101" i="22"/>
  <c r="AH101" i="22" s="1"/>
  <c r="AG101" i="22" s="1"/>
  <c r="AF101" i="22" s="1"/>
  <c r="AD101" i="22" s="1"/>
  <c r="AI97" i="22"/>
  <c r="AH97" i="22" s="1"/>
  <c r="AG97" i="22" s="1"/>
  <c r="AF97" i="22" s="1"/>
  <c r="AD97" i="22" s="1"/>
  <c r="AI93" i="22"/>
  <c r="AH93" i="22" s="1"/>
  <c r="AG93" i="22" s="1"/>
  <c r="AF93" i="22" s="1"/>
  <c r="AD93" i="22" s="1"/>
  <c r="AI89" i="22"/>
  <c r="AH89" i="22" s="1"/>
  <c r="AG89" i="22" s="1"/>
  <c r="AF89" i="22" s="1"/>
  <c r="AD89" i="22" s="1"/>
  <c r="AI85" i="22"/>
  <c r="AH85" i="22" s="1"/>
  <c r="AG85" i="22" s="1"/>
  <c r="AF85" i="22" s="1"/>
  <c r="AD85" i="22" s="1"/>
  <c r="AI81" i="22"/>
  <c r="AH81" i="22" s="1"/>
  <c r="AG81" i="22" s="1"/>
  <c r="AF81" i="22" s="1"/>
  <c r="AD81" i="22" s="1"/>
  <c r="AI77" i="22"/>
  <c r="AH77" i="22" s="1"/>
  <c r="AG77" i="22" s="1"/>
  <c r="AF77" i="22" s="1"/>
  <c r="AD77" i="22" s="1"/>
  <c r="AI73" i="22"/>
  <c r="AH73" i="22" s="1"/>
  <c r="AG73" i="22" s="1"/>
  <c r="AF73" i="22" s="1"/>
  <c r="AD73" i="22" s="1"/>
  <c r="AI69" i="22"/>
  <c r="AH69" i="22" s="1"/>
  <c r="AG69" i="22" s="1"/>
  <c r="AF69" i="22" s="1"/>
  <c r="AD69" i="22" s="1"/>
  <c r="AI65" i="22"/>
  <c r="AH65" i="22" s="1"/>
  <c r="AG65" i="22" s="1"/>
  <c r="AF65" i="22" s="1"/>
  <c r="AD65" i="22" s="1"/>
  <c r="AI61" i="22"/>
  <c r="AH61" i="22" s="1"/>
  <c r="AG61" i="22" s="1"/>
  <c r="AF61" i="22" s="1"/>
  <c r="AD61" i="22" s="1"/>
  <c r="AI57" i="22"/>
  <c r="AH57" i="22" s="1"/>
  <c r="AG57" i="22" s="1"/>
  <c r="AF57" i="22" s="1"/>
  <c r="AD57" i="22" s="1"/>
  <c r="AI53" i="22"/>
  <c r="AH53" i="22" s="1"/>
  <c r="AG53" i="22" s="1"/>
  <c r="AF53" i="22" s="1"/>
  <c r="AD53" i="22" s="1"/>
  <c r="AI49" i="22"/>
  <c r="AH49" i="22" s="1"/>
  <c r="AG49" i="22" s="1"/>
  <c r="AF49" i="22" s="1"/>
  <c r="AD49" i="22" s="1"/>
  <c r="AI45" i="22"/>
  <c r="AH45" i="22" s="1"/>
  <c r="AG45" i="22" s="1"/>
  <c r="AF45" i="22" s="1"/>
  <c r="AD45" i="22" s="1"/>
  <c r="AI41" i="22"/>
  <c r="AH41" i="22" s="1"/>
  <c r="AG41" i="22" s="1"/>
  <c r="AF41" i="22" s="1"/>
  <c r="AD41" i="22" s="1"/>
  <c r="AI37" i="22"/>
  <c r="AH37" i="22" s="1"/>
  <c r="AG37" i="22" s="1"/>
  <c r="AF37" i="22" s="1"/>
  <c r="AD37" i="22" s="1"/>
  <c r="AI33" i="22"/>
  <c r="AH33" i="22" s="1"/>
  <c r="AG33" i="22" s="1"/>
  <c r="AF33" i="22" s="1"/>
  <c r="AD33" i="22" s="1"/>
  <c r="AI29" i="22"/>
  <c r="AH29" i="22" s="1"/>
  <c r="AG29" i="22" s="1"/>
  <c r="AF29" i="22" s="1"/>
  <c r="AD29" i="22" s="1"/>
  <c r="AI25" i="22"/>
  <c r="AH25" i="22" s="1"/>
  <c r="AG25" i="22" s="1"/>
  <c r="AF25" i="22" s="1"/>
  <c r="AD25" i="22" s="1"/>
  <c r="AI18" i="22"/>
  <c r="AH18" i="22" s="1"/>
  <c r="AG18" i="22" s="1"/>
  <c r="AF18" i="22" s="1"/>
  <c r="AD18" i="22" s="1"/>
  <c r="AI21" i="22"/>
  <c r="AH21" i="22" s="1"/>
  <c r="AG21" i="22" s="1"/>
  <c r="AF21" i="22" s="1"/>
  <c r="AD21" i="22" s="1"/>
  <c r="U379" i="22"/>
  <c r="U375" i="22"/>
  <c r="T375" i="22" s="1"/>
  <c r="S375" i="22" s="1"/>
  <c r="R375" i="22" s="1"/>
  <c r="P375" i="22" s="1"/>
  <c r="V375" i="22" s="1"/>
  <c r="U371" i="22"/>
  <c r="T371" i="22" s="1"/>
  <c r="S371" i="22" s="1"/>
  <c r="R371" i="22" s="1"/>
  <c r="P371" i="22" s="1"/>
  <c r="V371" i="22" s="1"/>
  <c r="U367" i="22"/>
  <c r="T367" i="22" s="1"/>
  <c r="S367" i="22" s="1"/>
  <c r="R367" i="22" s="1"/>
  <c r="P367" i="22" s="1"/>
  <c r="V367" i="22" s="1"/>
  <c r="U363" i="22"/>
  <c r="T363" i="22" s="1"/>
  <c r="S363" i="22" s="1"/>
  <c r="R363" i="22" s="1"/>
  <c r="P363" i="22" s="1"/>
  <c r="U359" i="22"/>
  <c r="T359" i="22" s="1"/>
  <c r="S359" i="22" s="1"/>
  <c r="R359" i="22" s="1"/>
  <c r="P359" i="22" s="1"/>
  <c r="V359" i="22" s="1"/>
  <c r="U355" i="22"/>
  <c r="T355" i="22" s="1"/>
  <c r="S355" i="22" s="1"/>
  <c r="R355" i="22" s="1"/>
  <c r="P355" i="22" s="1"/>
  <c r="V355" i="22" s="1"/>
  <c r="U351" i="22"/>
  <c r="T351" i="22" s="1"/>
  <c r="S351" i="22" s="1"/>
  <c r="R351" i="22" s="1"/>
  <c r="P351" i="22" s="1"/>
  <c r="V351" i="22" s="1"/>
  <c r="U347" i="22"/>
  <c r="T347" i="22" s="1"/>
  <c r="S347" i="22" s="1"/>
  <c r="R347" i="22" s="1"/>
  <c r="P347" i="22" s="1"/>
  <c r="V347" i="22" s="1"/>
  <c r="U343" i="22"/>
  <c r="T343" i="22" s="1"/>
  <c r="S343" i="22" s="1"/>
  <c r="R343" i="22" s="1"/>
  <c r="P343" i="22" s="1"/>
  <c r="V343" i="22" s="1"/>
  <c r="U339" i="22"/>
  <c r="T339" i="22" s="1"/>
  <c r="S339" i="22" s="1"/>
  <c r="R339" i="22" s="1"/>
  <c r="P339" i="22" s="1"/>
  <c r="V339" i="22" s="1"/>
  <c r="U335" i="22"/>
  <c r="T335" i="22" s="1"/>
  <c r="S335" i="22" s="1"/>
  <c r="R335" i="22" s="1"/>
  <c r="P335" i="22" s="1"/>
  <c r="V335" i="22" s="1"/>
  <c r="U331" i="22"/>
  <c r="T331" i="22" s="1"/>
  <c r="S331" i="22" s="1"/>
  <c r="R331" i="22" s="1"/>
  <c r="P331" i="22" s="1"/>
  <c r="V331" i="22" s="1"/>
  <c r="U327" i="22"/>
  <c r="T327" i="22" s="1"/>
  <c r="S327" i="22" s="1"/>
  <c r="R327" i="22" s="1"/>
  <c r="P327" i="22" s="1"/>
  <c r="V327" i="22" s="1"/>
  <c r="U323" i="22"/>
  <c r="T323" i="22" s="1"/>
  <c r="S323" i="22" s="1"/>
  <c r="R323" i="22" s="1"/>
  <c r="P323" i="22" s="1"/>
  <c r="V323" i="22" s="1"/>
  <c r="U319" i="22"/>
  <c r="T319" i="22" s="1"/>
  <c r="S319" i="22" s="1"/>
  <c r="R319" i="22" s="1"/>
  <c r="P319" i="22" s="1"/>
  <c r="V319" i="22" s="1"/>
  <c r="U315" i="22"/>
  <c r="T315" i="22" s="1"/>
  <c r="S315" i="22" s="1"/>
  <c r="R315" i="22" s="1"/>
  <c r="P315" i="22" s="1"/>
  <c r="V315" i="22" s="1"/>
  <c r="U311" i="22"/>
  <c r="T311" i="22" s="1"/>
  <c r="S311" i="22" s="1"/>
  <c r="R311" i="22" s="1"/>
  <c r="P311" i="22" s="1"/>
  <c r="V311" i="22" s="1"/>
  <c r="U307" i="22"/>
  <c r="T307" i="22" s="1"/>
  <c r="S307" i="22" s="1"/>
  <c r="R307" i="22" s="1"/>
  <c r="P307" i="22" s="1"/>
  <c r="V307" i="22" s="1"/>
  <c r="U303" i="22"/>
  <c r="T303" i="22" s="1"/>
  <c r="S303" i="22" s="1"/>
  <c r="R303" i="22" s="1"/>
  <c r="P303" i="22" s="1"/>
  <c r="V303" i="22" s="1"/>
  <c r="U299" i="22"/>
  <c r="T299" i="22" s="1"/>
  <c r="S299" i="22" s="1"/>
  <c r="R299" i="22" s="1"/>
  <c r="P299" i="22" s="1"/>
  <c r="V299" i="22" s="1"/>
  <c r="U295" i="22"/>
  <c r="T295" i="22" s="1"/>
  <c r="S295" i="22" s="1"/>
  <c r="R295" i="22" s="1"/>
  <c r="P295" i="22" s="1"/>
  <c r="V295" i="22" s="1"/>
  <c r="U291" i="22"/>
  <c r="T291" i="22" s="1"/>
  <c r="S291" i="22" s="1"/>
  <c r="R291" i="22" s="1"/>
  <c r="P291" i="22" s="1"/>
  <c r="V291" i="22" s="1"/>
  <c r="U287" i="22"/>
  <c r="T287" i="22" s="1"/>
  <c r="S287" i="22" s="1"/>
  <c r="R287" i="22" s="1"/>
  <c r="P287" i="22" s="1"/>
  <c r="V287" i="22" s="1"/>
  <c r="U283" i="22"/>
  <c r="T283" i="22" s="1"/>
  <c r="S283" i="22" s="1"/>
  <c r="R283" i="22" s="1"/>
  <c r="P283" i="22" s="1"/>
  <c r="V283" i="22" s="1"/>
  <c r="U279" i="22"/>
  <c r="T279" i="22" s="1"/>
  <c r="S279" i="22" s="1"/>
  <c r="R279" i="22" s="1"/>
  <c r="P279" i="22" s="1"/>
  <c r="V279" i="22" s="1"/>
  <c r="U275" i="22"/>
  <c r="T275" i="22" s="1"/>
  <c r="S275" i="22" s="1"/>
  <c r="R275" i="22" s="1"/>
  <c r="P275" i="22" s="1"/>
  <c r="V275" i="22" s="1"/>
  <c r="U271" i="22"/>
  <c r="T271" i="22" s="1"/>
  <c r="S271" i="22" s="1"/>
  <c r="R271" i="22" s="1"/>
  <c r="P271" i="22" s="1"/>
  <c r="V271" i="22" s="1"/>
  <c r="U267" i="22"/>
  <c r="T267" i="22" s="1"/>
  <c r="S267" i="22" s="1"/>
  <c r="R267" i="22" s="1"/>
  <c r="P267" i="22" s="1"/>
  <c r="V267" i="22" s="1"/>
  <c r="U263" i="22"/>
  <c r="T263" i="22" s="1"/>
  <c r="S263" i="22" s="1"/>
  <c r="R263" i="22" s="1"/>
  <c r="P263" i="22" s="1"/>
  <c r="V263" i="22" s="1"/>
  <c r="U259" i="22"/>
  <c r="T259" i="22" s="1"/>
  <c r="S259" i="22" s="1"/>
  <c r="R259" i="22" s="1"/>
  <c r="P259" i="22" s="1"/>
  <c r="V259" i="22" s="1"/>
  <c r="U255" i="22"/>
  <c r="T255" i="22" s="1"/>
  <c r="S255" i="22" s="1"/>
  <c r="R255" i="22" s="1"/>
  <c r="P255" i="22" s="1"/>
  <c r="V255" i="22" s="1"/>
  <c r="U251" i="22"/>
  <c r="T251" i="22" s="1"/>
  <c r="S251" i="22" s="1"/>
  <c r="R251" i="22" s="1"/>
  <c r="P251" i="22" s="1"/>
  <c r="V251" i="22" s="1"/>
  <c r="U247" i="22"/>
  <c r="T247" i="22" s="1"/>
  <c r="S247" i="22" s="1"/>
  <c r="R247" i="22" s="1"/>
  <c r="P247" i="22" s="1"/>
  <c r="V247" i="22" s="1"/>
  <c r="U243" i="22"/>
  <c r="T243" i="22" s="1"/>
  <c r="S243" i="22" s="1"/>
  <c r="R243" i="22" s="1"/>
  <c r="P243" i="22" s="1"/>
  <c r="V243" i="22" s="1"/>
  <c r="U239" i="22"/>
  <c r="T239" i="22" s="1"/>
  <c r="S239" i="22" s="1"/>
  <c r="R239" i="22" s="1"/>
  <c r="P239" i="22" s="1"/>
  <c r="V239" i="22" s="1"/>
  <c r="U235" i="22"/>
  <c r="T235" i="22" s="1"/>
  <c r="S235" i="22" s="1"/>
  <c r="R235" i="22" s="1"/>
  <c r="P235" i="22" s="1"/>
  <c r="V235" i="22" s="1"/>
  <c r="U231" i="22"/>
  <c r="T231" i="22" s="1"/>
  <c r="S231" i="22" s="1"/>
  <c r="R231" i="22" s="1"/>
  <c r="P231" i="22" s="1"/>
  <c r="V231" i="22" s="1"/>
  <c r="U227" i="22"/>
  <c r="T227" i="22" s="1"/>
  <c r="S227" i="22" s="1"/>
  <c r="R227" i="22" s="1"/>
  <c r="P227" i="22" s="1"/>
  <c r="V227" i="22" s="1"/>
  <c r="U223" i="22"/>
  <c r="T223" i="22" s="1"/>
  <c r="S223" i="22" s="1"/>
  <c r="R223" i="22" s="1"/>
  <c r="P223" i="22" s="1"/>
  <c r="V223" i="22" s="1"/>
  <c r="U219" i="22"/>
  <c r="T219" i="22" s="1"/>
  <c r="S219" i="22" s="1"/>
  <c r="R219" i="22" s="1"/>
  <c r="P219" i="22" s="1"/>
  <c r="V219" i="22" s="1"/>
  <c r="U215" i="22"/>
  <c r="T215" i="22" s="1"/>
  <c r="S215" i="22" s="1"/>
  <c r="R215" i="22" s="1"/>
  <c r="P215" i="22" s="1"/>
  <c r="V215" i="22" s="1"/>
  <c r="U211" i="22"/>
  <c r="T211" i="22" s="1"/>
  <c r="S211" i="22" s="1"/>
  <c r="R211" i="22" s="1"/>
  <c r="P211" i="22" s="1"/>
  <c r="V211" i="22" s="1"/>
  <c r="U207" i="22"/>
  <c r="T207" i="22" s="1"/>
  <c r="S207" i="22" s="1"/>
  <c r="R207" i="22" s="1"/>
  <c r="P207" i="22" s="1"/>
  <c r="V207" i="22" s="1"/>
  <c r="U203" i="22"/>
  <c r="T203" i="22" s="1"/>
  <c r="S203" i="22" s="1"/>
  <c r="R203" i="22" s="1"/>
  <c r="P203" i="22" s="1"/>
  <c r="V203" i="22" s="1"/>
  <c r="U199" i="22"/>
  <c r="T199" i="22" s="1"/>
  <c r="S199" i="22" s="1"/>
  <c r="R199" i="22" s="1"/>
  <c r="P199" i="22" s="1"/>
  <c r="V199" i="22" s="1"/>
  <c r="U195" i="22"/>
  <c r="T195" i="22" s="1"/>
  <c r="S195" i="22" s="1"/>
  <c r="R195" i="22" s="1"/>
  <c r="P195" i="22" s="1"/>
  <c r="V195" i="22" s="1"/>
  <c r="U191" i="22"/>
  <c r="T191" i="22" s="1"/>
  <c r="S191" i="22" s="1"/>
  <c r="R191" i="22" s="1"/>
  <c r="P191" i="22" s="1"/>
  <c r="V191" i="22" s="1"/>
  <c r="U187" i="22"/>
  <c r="T187" i="22" s="1"/>
  <c r="S187" i="22" s="1"/>
  <c r="R187" i="22" s="1"/>
  <c r="P187" i="22" s="1"/>
  <c r="V187" i="22" s="1"/>
  <c r="U183" i="22"/>
  <c r="T183" i="22" s="1"/>
  <c r="S183" i="22" s="1"/>
  <c r="R183" i="22" s="1"/>
  <c r="P183" i="22" s="1"/>
  <c r="V183" i="22" s="1"/>
  <c r="U179" i="22"/>
  <c r="T179" i="22" s="1"/>
  <c r="S179" i="22" s="1"/>
  <c r="R179" i="22" s="1"/>
  <c r="P179" i="22" s="1"/>
  <c r="V179" i="22" s="1"/>
  <c r="U175" i="22"/>
  <c r="T175" i="22" s="1"/>
  <c r="S175" i="22" s="1"/>
  <c r="R175" i="22" s="1"/>
  <c r="P175" i="22" s="1"/>
  <c r="V175" i="22" s="1"/>
  <c r="U171" i="22"/>
  <c r="T171" i="22" s="1"/>
  <c r="S171" i="22" s="1"/>
  <c r="R171" i="22" s="1"/>
  <c r="P171" i="22" s="1"/>
  <c r="V171" i="22" s="1"/>
  <c r="U167" i="22"/>
  <c r="T167" i="22" s="1"/>
  <c r="S167" i="22" s="1"/>
  <c r="R167" i="22" s="1"/>
  <c r="P167" i="22" s="1"/>
  <c r="V167" i="22" s="1"/>
  <c r="U163" i="22"/>
  <c r="T163" i="22" s="1"/>
  <c r="S163" i="22" s="1"/>
  <c r="R163" i="22" s="1"/>
  <c r="P163" i="22" s="1"/>
  <c r="V163" i="22" s="1"/>
  <c r="U159" i="22"/>
  <c r="T159" i="22" s="1"/>
  <c r="S159" i="22" s="1"/>
  <c r="R159" i="22" s="1"/>
  <c r="P159" i="22" s="1"/>
  <c r="V159" i="22" s="1"/>
  <c r="U155" i="22"/>
  <c r="T155" i="22" s="1"/>
  <c r="S155" i="22" s="1"/>
  <c r="R155" i="22" s="1"/>
  <c r="P155" i="22" s="1"/>
  <c r="V155" i="22" s="1"/>
  <c r="U151" i="22"/>
  <c r="T151" i="22" s="1"/>
  <c r="S151" i="22" s="1"/>
  <c r="R151" i="22" s="1"/>
  <c r="P151" i="22" s="1"/>
  <c r="V151" i="22" s="1"/>
  <c r="U147" i="22"/>
  <c r="T147" i="22" s="1"/>
  <c r="S147" i="22" s="1"/>
  <c r="R147" i="22" s="1"/>
  <c r="P147" i="22" s="1"/>
  <c r="V147" i="22" s="1"/>
  <c r="U143" i="22"/>
  <c r="T143" i="22" s="1"/>
  <c r="S143" i="22" s="1"/>
  <c r="R143" i="22" s="1"/>
  <c r="P143" i="22" s="1"/>
  <c r="V143" i="22" s="1"/>
  <c r="U139" i="22"/>
  <c r="T139" i="22" s="1"/>
  <c r="S139" i="22" s="1"/>
  <c r="R139" i="22" s="1"/>
  <c r="P139" i="22" s="1"/>
  <c r="V139" i="22" s="1"/>
  <c r="U135" i="22"/>
  <c r="T135" i="22" s="1"/>
  <c r="S135" i="22" s="1"/>
  <c r="R135" i="22" s="1"/>
  <c r="P135" i="22" s="1"/>
  <c r="V135" i="22" s="1"/>
  <c r="U131" i="22"/>
  <c r="T131" i="22" s="1"/>
  <c r="S131" i="22" s="1"/>
  <c r="R131" i="22" s="1"/>
  <c r="P131" i="22" s="1"/>
  <c r="V131" i="22" s="1"/>
  <c r="U127" i="22"/>
  <c r="T127" i="22" s="1"/>
  <c r="S127" i="22" s="1"/>
  <c r="R127" i="22" s="1"/>
  <c r="P127" i="22" s="1"/>
  <c r="V127" i="22" s="1"/>
  <c r="U123" i="22"/>
  <c r="T123" i="22" s="1"/>
  <c r="S123" i="22" s="1"/>
  <c r="R123" i="22" s="1"/>
  <c r="P123" i="22" s="1"/>
  <c r="V123" i="22" s="1"/>
  <c r="U119" i="22"/>
  <c r="T119" i="22" s="1"/>
  <c r="S119" i="22" s="1"/>
  <c r="R119" i="22" s="1"/>
  <c r="P119" i="22" s="1"/>
  <c r="V119" i="22" s="1"/>
  <c r="U115" i="22"/>
  <c r="T115" i="22" s="1"/>
  <c r="S115" i="22" s="1"/>
  <c r="R115" i="22" s="1"/>
  <c r="P115" i="22" s="1"/>
  <c r="V115" i="22" s="1"/>
  <c r="U111" i="22"/>
  <c r="T111" i="22" s="1"/>
  <c r="S111" i="22" s="1"/>
  <c r="R111" i="22" s="1"/>
  <c r="P111" i="22" s="1"/>
  <c r="V111" i="22" s="1"/>
  <c r="U107" i="22"/>
  <c r="T107" i="22" s="1"/>
  <c r="S107" i="22" s="1"/>
  <c r="R107" i="22" s="1"/>
  <c r="P107" i="22" s="1"/>
  <c r="V107" i="22" s="1"/>
  <c r="U103" i="22"/>
  <c r="T103" i="22" s="1"/>
  <c r="S103" i="22" s="1"/>
  <c r="R103" i="22" s="1"/>
  <c r="P103" i="22" s="1"/>
  <c r="V103" i="22" s="1"/>
  <c r="U99" i="22"/>
  <c r="T99" i="22" s="1"/>
  <c r="S99" i="22" s="1"/>
  <c r="R99" i="22" s="1"/>
  <c r="P99" i="22" s="1"/>
  <c r="V99" i="22" s="1"/>
  <c r="U95" i="22"/>
  <c r="T95" i="22" s="1"/>
  <c r="S95" i="22" s="1"/>
  <c r="R95" i="22" s="1"/>
  <c r="P95" i="22" s="1"/>
  <c r="V95" i="22" s="1"/>
  <c r="U91" i="22"/>
  <c r="T91" i="22" s="1"/>
  <c r="S91" i="22" s="1"/>
  <c r="R91" i="22" s="1"/>
  <c r="P91" i="22" s="1"/>
  <c r="V91" i="22" s="1"/>
  <c r="U87" i="22"/>
  <c r="T87" i="22" s="1"/>
  <c r="S87" i="22" s="1"/>
  <c r="R87" i="22" s="1"/>
  <c r="P87" i="22" s="1"/>
  <c r="V87" i="22" s="1"/>
  <c r="U83" i="22"/>
  <c r="T83" i="22" s="1"/>
  <c r="S83" i="22" s="1"/>
  <c r="R83" i="22" s="1"/>
  <c r="P83" i="22" s="1"/>
  <c r="V83" i="22" s="1"/>
  <c r="U79" i="22"/>
  <c r="T79" i="22" s="1"/>
  <c r="S79" i="22" s="1"/>
  <c r="R79" i="22" s="1"/>
  <c r="P79" i="22" s="1"/>
  <c r="V79" i="22" s="1"/>
  <c r="U75" i="22"/>
  <c r="T75" i="22" s="1"/>
  <c r="S75" i="22" s="1"/>
  <c r="R75" i="22" s="1"/>
  <c r="P75" i="22" s="1"/>
  <c r="V75" i="22" s="1"/>
  <c r="U71" i="22"/>
  <c r="T71" i="22" s="1"/>
  <c r="S71" i="22" s="1"/>
  <c r="R71" i="22" s="1"/>
  <c r="P71" i="22" s="1"/>
  <c r="V71" i="22" s="1"/>
  <c r="U67" i="22"/>
  <c r="T67" i="22" s="1"/>
  <c r="S67" i="22" s="1"/>
  <c r="R67" i="22" s="1"/>
  <c r="P67" i="22" s="1"/>
  <c r="V67" i="22" s="1"/>
  <c r="U63" i="22"/>
  <c r="T63" i="22" s="1"/>
  <c r="S63" i="22" s="1"/>
  <c r="R63" i="22" s="1"/>
  <c r="P63" i="22" s="1"/>
  <c r="V63" i="22" s="1"/>
  <c r="U59" i="22"/>
  <c r="T59" i="22" s="1"/>
  <c r="S59" i="22" s="1"/>
  <c r="R59" i="22" s="1"/>
  <c r="P59" i="22" s="1"/>
  <c r="V59" i="22" s="1"/>
  <c r="U55" i="22"/>
  <c r="T55" i="22" s="1"/>
  <c r="S55" i="22" s="1"/>
  <c r="R55" i="22" s="1"/>
  <c r="P55" i="22" s="1"/>
  <c r="V55" i="22" s="1"/>
  <c r="U51" i="22"/>
  <c r="T51" i="22" s="1"/>
  <c r="S51" i="22" s="1"/>
  <c r="R51" i="22" s="1"/>
  <c r="P51" i="22" s="1"/>
  <c r="V51" i="22" s="1"/>
  <c r="U47" i="22"/>
  <c r="T47" i="22" s="1"/>
  <c r="S47" i="22" s="1"/>
  <c r="R47" i="22" s="1"/>
  <c r="P47" i="22" s="1"/>
  <c r="V47" i="22" s="1"/>
  <c r="U43" i="22"/>
  <c r="T43" i="22" s="1"/>
  <c r="S43" i="22" s="1"/>
  <c r="R43" i="22" s="1"/>
  <c r="P43" i="22" s="1"/>
  <c r="V43" i="22" s="1"/>
  <c r="U39" i="22"/>
  <c r="T39" i="22" s="1"/>
  <c r="S39" i="22" s="1"/>
  <c r="R39" i="22" s="1"/>
  <c r="P39" i="22" s="1"/>
  <c r="V39" i="22" s="1"/>
  <c r="U35" i="22"/>
  <c r="T35" i="22" s="1"/>
  <c r="S35" i="22" s="1"/>
  <c r="R35" i="22" s="1"/>
  <c r="P35" i="22" s="1"/>
  <c r="V35" i="22" s="1"/>
  <c r="U31" i="22"/>
  <c r="T31" i="22" s="1"/>
  <c r="S31" i="22" s="1"/>
  <c r="R31" i="22" s="1"/>
  <c r="P31" i="22" s="1"/>
  <c r="V31" i="22" s="1"/>
  <c r="U27" i="22"/>
  <c r="T27" i="22" s="1"/>
  <c r="S27" i="22" s="1"/>
  <c r="R27" i="22" s="1"/>
  <c r="P27" i="22" s="1"/>
  <c r="V27" i="22" s="1"/>
  <c r="U19" i="22"/>
  <c r="T19" i="22" s="1"/>
  <c r="S19" i="22" s="1"/>
  <c r="R19" i="22" s="1"/>
  <c r="P19" i="22" s="1"/>
  <c r="V19" i="22" s="1"/>
  <c r="AG383" i="20"/>
  <c r="AF15" i="20"/>
  <c r="AG382" i="20"/>
  <c r="AG381" i="20"/>
  <c r="AE381" i="23"/>
  <c r="AE383" i="23"/>
  <c r="N65" i="19"/>
  <c r="Q10" i="24"/>
  <c r="Q19" i="24" s="1"/>
  <c r="V15" i="20"/>
  <c r="Q382" i="23"/>
  <c r="Q383" i="23"/>
  <c r="Q21" i="24" l="1"/>
  <c r="Q331" i="24"/>
  <c r="Q203" i="24"/>
  <c r="Q267" i="24"/>
  <c r="Q139" i="24"/>
  <c r="Q363" i="24"/>
  <c r="Q299" i="24"/>
  <c r="Q235" i="24"/>
  <c r="Q171" i="24"/>
  <c r="Q107" i="24"/>
  <c r="Q379" i="24"/>
  <c r="Q12" i="25" s="1"/>
  <c r="Q347" i="24"/>
  <c r="Q315" i="24"/>
  <c r="Q283" i="24"/>
  <c r="Q251" i="24"/>
  <c r="Q219" i="24"/>
  <c r="Q187" i="24"/>
  <c r="Q155" i="24"/>
  <c r="Q123" i="24"/>
  <c r="Q91" i="24"/>
  <c r="Q371" i="24"/>
  <c r="Q355" i="24"/>
  <c r="Q339" i="24"/>
  <c r="Q323" i="24"/>
  <c r="Q307" i="24"/>
  <c r="Q291" i="24"/>
  <c r="Q275" i="24"/>
  <c r="Q259" i="24"/>
  <c r="Q243" i="24"/>
  <c r="Q227" i="24"/>
  <c r="Q211" i="24"/>
  <c r="Q195" i="24"/>
  <c r="Q179" i="24"/>
  <c r="Q163" i="24"/>
  <c r="Q147" i="24"/>
  <c r="Q131" i="24"/>
  <c r="Q115" i="24"/>
  <c r="Q99" i="24"/>
  <c r="Q83" i="24"/>
  <c r="Q375" i="24"/>
  <c r="Q367" i="24"/>
  <c r="Q359" i="24"/>
  <c r="Q351" i="24"/>
  <c r="Q343" i="24"/>
  <c r="Q335" i="24"/>
  <c r="Q327" i="24"/>
  <c r="Q319" i="24"/>
  <c r="Q311" i="24"/>
  <c r="Q303" i="24"/>
  <c r="Q295" i="24"/>
  <c r="Q287" i="24"/>
  <c r="Q279" i="24"/>
  <c r="Q271" i="24"/>
  <c r="Q263" i="24"/>
  <c r="Q255" i="24"/>
  <c r="Q247" i="24"/>
  <c r="Q239" i="24"/>
  <c r="Q231" i="24"/>
  <c r="Q223" i="24"/>
  <c r="Q215" i="24"/>
  <c r="Q207" i="24"/>
  <c r="Q199" i="24"/>
  <c r="Q191" i="24"/>
  <c r="Q183" i="24"/>
  <c r="Q175" i="24"/>
  <c r="Q167" i="24"/>
  <c r="Q159" i="24"/>
  <c r="Q151" i="24"/>
  <c r="Q143" i="24"/>
  <c r="Q135" i="24"/>
  <c r="Q127" i="24"/>
  <c r="Q119" i="24"/>
  <c r="Q111" i="24"/>
  <c r="Q103" i="24"/>
  <c r="Q95" i="24"/>
  <c r="Q87" i="24"/>
  <c r="Q79" i="24"/>
  <c r="Q377" i="24"/>
  <c r="Q373" i="24"/>
  <c r="Q369" i="24"/>
  <c r="Q365" i="24"/>
  <c r="Q361" i="24"/>
  <c r="Q357" i="24"/>
  <c r="Q353" i="24"/>
  <c r="Q349" i="24"/>
  <c r="Q345" i="24"/>
  <c r="Q341" i="24"/>
  <c r="Q337" i="24"/>
  <c r="Q333" i="24"/>
  <c r="Q329" i="24"/>
  <c r="Q325" i="24"/>
  <c r="Q321" i="24"/>
  <c r="Q317" i="24"/>
  <c r="Q313" i="24"/>
  <c r="Q309" i="24"/>
  <c r="Q305" i="24"/>
  <c r="Q301" i="24"/>
  <c r="Q297" i="24"/>
  <c r="Q293" i="24"/>
  <c r="Q289" i="24"/>
  <c r="Q285" i="24"/>
  <c r="Q281" i="24"/>
  <c r="Q277" i="24"/>
  <c r="Q273" i="24"/>
  <c r="Q269" i="24"/>
  <c r="Q265" i="24"/>
  <c r="Q261" i="24"/>
  <c r="Q257" i="24"/>
  <c r="Q253" i="24"/>
  <c r="Q249" i="24"/>
  <c r="Q245" i="24"/>
  <c r="Q241" i="24"/>
  <c r="Q237" i="24"/>
  <c r="Q233" i="24"/>
  <c r="Q229" i="24"/>
  <c r="Q225" i="24"/>
  <c r="Q221" i="24"/>
  <c r="Q217" i="24"/>
  <c r="Q213" i="24"/>
  <c r="Q209" i="24"/>
  <c r="Q205" i="24"/>
  <c r="Q201" i="24"/>
  <c r="Q197" i="24"/>
  <c r="Q193" i="24"/>
  <c r="Q189" i="24"/>
  <c r="Q185" i="24"/>
  <c r="Q181" i="24"/>
  <c r="Q177" i="24"/>
  <c r="Q173" i="24"/>
  <c r="Q169" i="24"/>
  <c r="Q165" i="24"/>
  <c r="Q161" i="24"/>
  <c r="Q157" i="24"/>
  <c r="Q153" i="24"/>
  <c r="Q149" i="24"/>
  <c r="Q145" i="24"/>
  <c r="Q141" i="24"/>
  <c r="Q137" i="24"/>
  <c r="Q133" i="24"/>
  <c r="Q129" i="24"/>
  <c r="Q125" i="24"/>
  <c r="Q121" i="24"/>
  <c r="Q117" i="24"/>
  <c r="Q113" i="24"/>
  <c r="Q109" i="24"/>
  <c r="Q105" i="24"/>
  <c r="Q101" i="24"/>
  <c r="Q97" i="24"/>
  <c r="Q93" i="24"/>
  <c r="Q89" i="24"/>
  <c r="Q85" i="24"/>
  <c r="Q81" i="24"/>
  <c r="Q77" i="24"/>
  <c r="AH38" i="7"/>
  <c r="AH36" i="7"/>
  <c r="AH35" i="7"/>
  <c r="V29" i="22"/>
  <c r="Q73" i="24"/>
  <c r="H67" i="19"/>
  <c r="AH43" i="7"/>
  <c r="V363" i="22"/>
  <c r="U12" i="23"/>
  <c r="T379" i="22"/>
  <c r="S379" i="22" s="1"/>
  <c r="R379" i="22" s="1"/>
  <c r="P379" i="22" s="1"/>
  <c r="AN16" i="7"/>
  <c r="AT11" i="7" s="1"/>
  <c r="U11" i="23" s="1"/>
  <c r="U10" i="23" s="1"/>
  <c r="AU16" i="7" s="1"/>
  <c r="AH39" i="7"/>
  <c r="V241" i="22"/>
  <c r="I67" i="19" s="1"/>
  <c r="AI381" i="22"/>
  <c r="AH15" i="22"/>
  <c r="AI383" i="22"/>
  <c r="AI382" i="22"/>
  <c r="AH379" i="22"/>
  <c r="AG379" i="22" s="1"/>
  <c r="AF379" i="22" s="1"/>
  <c r="AD379" i="22" s="1"/>
  <c r="AI12" i="23"/>
  <c r="U383" i="22"/>
  <c r="U381" i="22"/>
  <c r="U382" i="22"/>
  <c r="T15" i="22"/>
  <c r="AH33" i="7"/>
  <c r="V60" i="22"/>
  <c r="C67" i="19" s="1"/>
  <c r="V180" i="22"/>
  <c r="G67" i="19" s="1"/>
  <c r="AH37" i="7"/>
  <c r="AF383" i="20"/>
  <c r="AD15" i="20"/>
  <c r="AF381" i="20"/>
  <c r="AF382" i="20"/>
  <c r="AH42" i="7"/>
  <c r="V333" i="22"/>
  <c r="L67" i="19" s="1"/>
  <c r="AH41" i="7"/>
  <c r="V302" i="22"/>
  <c r="K67" i="19" s="1"/>
  <c r="V88" i="22"/>
  <c r="D67" i="19" s="1"/>
  <c r="AH34" i="7"/>
  <c r="AH40" i="7"/>
  <c r="V272" i="22"/>
  <c r="J67" i="19" s="1"/>
  <c r="P23" i="20"/>
  <c r="R382" i="20"/>
  <c r="R381" i="20"/>
  <c r="R383" i="20"/>
  <c r="Q75" i="24"/>
  <c r="Q68" i="24"/>
  <c r="Q71" i="24"/>
  <c r="Q60" i="24"/>
  <c r="Q64" i="24"/>
  <c r="Q56" i="24"/>
  <c r="Q48" i="24"/>
  <c r="Q52" i="24"/>
  <c r="Q44" i="24"/>
  <c r="Q40" i="24"/>
  <c r="Q36" i="24"/>
  <c r="Q32" i="24"/>
  <c r="Q378" i="24"/>
  <c r="Q376" i="24"/>
  <c r="Q374" i="24"/>
  <c r="Q372" i="24"/>
  <c r="Q370" i="24"/>
  <c r="Q368" i="24"/>
  <c r="Q366" i="24"/>
  <c r="Q364" i="24"/>
  <c r="Q362" i="24"/>
  <c r="Q360" i="24"/>
  <c r="Q358" i="24"/>
  <c r="Q356" i="24"/>
  <c r="Q354" i="24"/>
  <c r="Q352" i="24"/>
  <c r="Q350" i="24"/>
  <c r="Q348" i="24"/>
  <c r="Q346" i="24"/>
  <c r="Q344" i="24"/>
  <c r="Q342" i="24"/>
  <c r="Q340" i="24"/>
  <c r="Q338" i="24"/>
  <c r="Q336" i="24"/>
  <c r="Q334" i="24"/>
  <c r="Q332" i="24"/>
  <c r="Q330" i="24"/>
  <c r="Q328" i="24"/>
  <c r="Q326" i="24"/>
  <c r="Q324" i="24"/>
  <c r="Q322" i="24"/>
  <c r="Q320" i="24"/>
  <c r="Q318" i="24"/>
  <c r="Q316" i="24"/>
  <c r="Q314" i="24"/>
  <c r="Q312" i="24"/>
  <c r="Q310" i="24"/>
  <c r="Q308" i="24"/>
  <c r="Q306" i="24"/>
  <c r="Q304" i="24"/>
  <c r="Q302" i="24"/>
  <c r="Q300" i="24"/>
  <c r="Q298" i="24"/>
  <c r="Q296" i="24"/>
  <c r="Q29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40" i="24"/>
  <c r="Q238" i="24"/>
  <c r="Q236" i="24"/>
  <c r="Q234" i="24"/>
  <c r="Q232" i="24"/>
  <c r="Q230" i="24"/>
  <c r="Q228" i="24"/>
  <c r="Q226" i="24"/>
  <c r="Q224" i="24"/>
  <c r="Q222" i="24"/>
  <c r="Q220" i="24"/>
  <c r="Q218" i="24"/>
  <c r="Q216" i="24"/>
  <c r="Q214" i="24"/>
  <c r="Q212" i="24"/>
  <c r="Q210" i="24"/>
  <c r="Q208" i="24"/>
  <c r="Q206" i="24"/>
  <c r="Q204" i="24"/>
  <c r="Q202" i="24"/>
  <c r="Q200" i="24"/>
  <c r="Q198" i="24"/>
  <c r="Q196" i="24"/>
  <c r="Q194" i="24"/>
  <c r="Q192" i="24"/>
  <c r="Q190" i="24"/>
  <c r="Q188" i="24"/>
  <c r="Q186" i="24"/>
  <c r="Q184" i="24"/>
  <c r="Q182" i="24"/>
  <c r="Q180" i="24"/>
  <c r="Q178" i="24"/>
  <c r="Q176" i="24"/>
  <c r="Q174" i="24"/>
  <c r="Q172" i="24"/>
  <c r="Q170" i="24"/>
  <c r="Q168" i="24"/>
  <c r="Q166" i="24"/>
  <c r="Q164" i="24"/>
  <c r="Q162" i="24"/>
  <c r="Q160" i="24"/>
  <c r="Q158" i="24"/>
  <c r="Q156" i="24"/>
  <c r="Q154" i="24"/>
  <c r="Q152" i="24"/>
  <c r="Q150" i="24"/>
  <c r="Q148" i="24"/>
  <c r="Q146" i="24"/>
  <c r="Q144" i="24"/>
  <c r="Q142" i="24"/>
  <c r="Q140" i="24"/>
  <c r="Q138" i="24"/>
  <c r="Q136" i="24"/>
  <c r="Q134" i="24"/>
  <c r="Q132" i="24"/>
  <c r="Q130" i="24"/>
  <c r="Q128" i="24"/>
  <c r="Q126" i="24"/>
  <c r="Q124" i="24"/>
  <c r="Q122" i="24"/>
  <c r="Q120" i="24"/>
  <c r="Q118" i="24"/>
  <c r="Q116" i="24"/>
  <c r="Q114" i="24"/>
  <c r="Q112" i="24"/>
  <c r="Q110" i="24"/>
  <c r="Q108" i="24"/>
  <c r="Q106" i="24"/>
  <c r="Q104" i="24"/>
  <c r="Q102" i="24"/>
  <c r="Q100" i="24"/>
  <c r="Q98" i="24"/>
  <c r="Q96" i="24"/>
  <c r="Q94" i="24"/>
  <c r="Q92" i="24"/>
  <c r="Q90" i="24"/>
  <c r="Q88" i="24"/>
  <c r="Q86" i="24"/>
  <c r="Q84" i="24"/>
  <c r="Q82" i="24"/>
  <c r="Q80" i="24"/>
  <c r="Q78" i="24"/>
  <c r="Q76" i="24"/>
  <c r="Q74" i="24"/>
  <c r="Q72" i="24"/>
  <c r="Q70" i="24"/>
  <c r="Q66" i="24"/>
  <c r="Q62" i="24"/>
  <c r="Q58" i="24"/>
  <c r="Q54" i="24"/>
  <c r="Q50" i="24"/>
  <c r="Q46" i="24"/>
  <c r="Q42" i="24"/>
  <c r="Q38" i="24"/>
  <c r="Q34" i="24"/>
  <c r="Q30" i="24"/>
  <c r="Q69" i="24"/>
  <c r="Q67" i="24"/>
  <c r="Q65" i="24"/>
  <c r="Q63" i="24"/>
  <c r="Q61" i="24"/>
  <c r="Q59" i="24"/>
  <c r="Q57" i="24"/>
  <c r="Q55" i="24"/>
  <c r="Q53" i="24"/>
  <c r="Q51" i="24"/>
  <c r="Q49" i="24"/>
  <c r="Q47" i="24"/>
  <c r="Q45" i="24"/>
  <c r="Q43" i="24"/>
  <c r="Q41" i="24"/>
  <c r="Q39" i="24"/>
  <c r="Q37" i="24"/>
  <c r="Q35" i="24"/>
  <c r="Q33" i="24"/>
  <c r="Q31" i="24"/>
  <c r="Q26" i="24"/>
  <c r="Q28" i="24"/>
  <c r="Q24" i="24"/>
  <c r="Q29" i="24"/>
  <c r="Q27" i="24"/>
  <c r="Q25" i="24"/>
  <c r="Q23" i="24"/>
  <c r="Q17" i="24"/>
  <c r="Q18" i="24"/>
  <c r="E67" i="19"/>
  <c r="F67" i="19"/>
  <c r="Q22" i="24"/>
  <c r="Q20" i="24"/>
  <c r="Q15" i="24"/>
  <c r="Q16" i="24"/>
  <c r="AZ15" i="7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V380" i="20"/>
  <c r="AI11" i="23" l="1"/>
  <c r="U171" i="23"/>
  <c r="T171" i="23" s="1"/>
  <c r="S171" i="23" s="1"/>
  <c r="R171" i="23" s="1"/>
  <c r="P171" i="23" s="1"/>
  <c r="V171" i="23" s="1"/>
  <c r="U75" i="23"/>
  <c r="T75" i="23" s="1"/>
  <c r="S75" i="23" s="1"/>
  <c r="R75" i="23" s="1"/>
  <c r="P75" i="23" s="1"/>
  <c r="V75" i="23" s="1"/>
  <c r="U107" i="23"/>
  <c r="T107" i="23" s="1"/>
  <c r="S107" i="23" s="1"/>
  <c r="R107" i="23" s="1"/>
  <c r="P107" i="23" s="1"/>
  <c r="V107" i="23" s="1"/>
  <c r="U139" i="23"/>
  <c r="T139" i="23" s="1"/>
  <c r="S139" i="23" s="1"/>
  <c r="R139" i="23" s="1"/>
  <c r="P139" i="23" s="1"/>
  <c r="V139" i="23" s="1"/>
  <c r="U43" i="23"/>
  <c r="T43" i="23" s="1"/>
  <c r="S43" i="23" s="1"/>
  <c r="R43" i="23" s="1"/>
  <c r="P43" i="23" s="1"/>
  <c r="V43" i="23" s="1"/>
  <c r="U155" i="23"/>
  <c r="T155" i="23" s="1"/>
  <c r="S155" i="23" s="1"/>
  <c r="R155" i="23" s="1"/>
  <c r="P155" i="23" s="1"/>
  <c r="V155" i="23" s="1"/>
  <c r="U123" i="23"/>
  <c r="T123" i="23" s="1"/>
  <c r="S123" i="23" s="1"/>
  <c r="R123" i="23" s="1"/>
  <c r="P123" i="23" s="1"/>
  <c r="V123" i="23" s="1"/>
  <c r="U91" i="23"/>
  <c r="T91" i="23" s="1"/>
  <c r="S91" i="23" s="1"/>
  <c r="R91" i="23" s="1"/>
  <c r="P91" i="23" s="1"/>
  <c r="V91" i="23" s="1"/>
  <c r="U27" i="23"/>
  <c r="T27" i="23" s="1"/>
  <c r="S27" i="23" s="1"/>
  <c r="R27" i="23" s="1"/>
  <c r="P27" i="23" s="1"/>
  <c r="V27" i="23" s="1"/>
  <c r="U179" i="23"/>
  <c r="T179" i="23" s="1"/>
  <c r="S179" i="23" s="1"/>
  <c r="R179" i="23" s="1"/>
  <c r="P179" i="23" s="1"/>
  <c r="V179" i="23" s="1"/>
  <c r="U163" i="23"/>
  <c r="T163" i="23" s="1"/>
  <c r="S163" i="23" s="1"/>
  <c r="R163" i="23" s="1"/>
  <c r="P163" i="23" s="1"/>
  <c r="V163" i="23" s="1"/>
  <c r="U147" i="23"/>
  <c r="T147" i="23" s="1"/>
  <c r="S147" i="23" s="1"/>
  <c r="R147" i="23" s="1"/>
  <c r="P147" i="23" s="1"/>
  <c r="V147" i="23" s="1"/>
  <c r="U131" i="23"/>
  <c r="T131" i="23" s="1"/>
  <c r="S131" i="23" s="1"/>
  <c r="R131" i="23" s="1"/>
  <c r="P131" i="23" s="1"/>
  <c r="V131" i="23" s="1"/>
  <c r="U115" i="23"/>
  <c r="T115" i="23" s="1"/>
  <c r="S115" i="23" s="1"/>
  <c r="R115" i="23" s="1"/>
  <c r="P115" i="23" s="1"/>
  <c r="V115" i="23" s="1"/>
  <c r="U99" i="23"/>
  <c r="T99" i="23" s="1"/>
  <c r="S99" i="23" s="1"/>
  <c r="R99" i="23" s="1"/>
  <c r="P99" i="23" s="1"/>
  <c r="V99" i="23" s="1"/>
  <c r="U83" i="23"/>
  <c r="T83" i="23" s="1"/>
  <c r="S83" i="23" s="1"/>
  <c r="R83" i="23" s="1"/>
  <c r="P83" i="23" s="1"/>
  <c r="V83" i="23" s="1"/>
  <c r="U59" i="23"/>
  <c r="T59" i="23" s="1"/>
  <c r="S59" i="23" s="1"/>
  <c r="R59" i="23" s="1"/>
  <c r="P59" i="23" s="1"/>
  <c r="V59" i="23" s="1"/>
  <c r="U17" i="23"/>
  <c r="T17" i="23" s="1"/>
  <c r="S17" i="23" s="1"/>
  <c r="R17" i="23" s="1"/>
  <c r="P17" i="23" s="1"/>
  <c r="V17" i="23" s="1"/>
  <c r="U183" i="23"/>
  <c r="T183" i="23" s="1"/>
  <c r="S183" i="23" s="1"/>
  <c r="R183" i="23" s="1"/>
  <c r="P183" i="23" s="1"/>
  <c r="V183" i="23" s="1"/>
  <c r="U175" i="23"/>
  <c r="T175" i="23" s="1"/>
  <c r="S175" i="23" s="1"/>
  <c r="R175" i="23" s="1"/>
  <c r="P175" i="23" s="1"/>
  <c r="V175" i="23" s="1"/>
  <c r="U167" i="23"/>
  <c r="T167" i="23" s="1"/>
  <c r="S167" i="23" s="1"/>
  <c r="R167" i="23" s="1"/>
  <c r="P167" i="23" s="1"/>
  <c r="V167" i="23" s="1"/>
  <c r="U159" i="23"/>
  <c r="T159" i="23" s="1"/>
  <c r="S159" i="23" s="1"/>
  <c r="R159" i="23" s="1"/>
  <c r="P159" i="23" s="1"/>
  <c r="V159" i="23" s="1"/>
  <c r="U151" i="23"/>
  <c r="T151" i="23" s="1"/>
  <c r="S151" i="23" s="1"/>
  <c r="R151" i="23" s="1"/>
  <c r="P151" i="23" s="1"/>
  <c r="V151" i="23" s="1"/>
  <c r="U143" i="23"/>
  <c r="T143" i="23" s="1"/>
  <c r="S143" i="23" s="1"/>
  <c r="R143" i="23" s="1"/>
  <c r="P143" i="23" s="1"/>
  <c r="V143" i="23" s="1"/>
  <c r="U135" i="23"/>
  <c r="T135" i="23" s="1"/>
  <c r="S135" i="23" s="1"/>
  <c r="R135" i="23" s="1"/>
  <c r="P135" i="23" s="1"/>
  <c r="V135" i="23" s="1"/>
  <c r="U127" i="23"/>
  <c r="T127" i="23" s="1"/>
  <c r="S127" i="23" s="1"/>
  <c r="R127" i="23" s="1"/>
  <c r="P127" i="23" s="1"/>
  <c r="V127" i="23" s="1"/>
  <c r="U119" i="23"/>
  <c r="T119" i="23" s="1"/>
  <c r="S119" i="23" s="1"/>
  <c r="R119" i="23" s="1"/>
  <c r="P119" i="23" s="1"/>
  <c r="V119" i="23" s="1"/>
  <c r="U111" i="23"/>
  <c r="T111" i="23" s="1"/>
  <c r="S111" i="23" s="1"/>
  <c r="R111" i="23" s="1"/>
  <c r="P111" i="23" s="1"/>
  <c r="V111" i="23" s="1"/>
  <c r="U103" i="23"/>
  <c r="T103" i="23" s="1"/>
  <c r="S103" i="23" s="1"/>
  <c r="R103" i="23" s="1"/>
  <c r="P103" i="23" s="1"/>
  <c r="V103" i="23" s="1"/>
  <c r="U95" i="23"/>
  <c r="T95" i="23" s="1"/>
  <c r="S95" i="23" s="1"/>
  <c r="R95" i="23" s="1"/>
  <c r="P95" i="23" s="1"/>
  <c r="V95" i="23" s="1"/>
  <c r="U87" i="23"/>
  <c r="T87" i="23" s="1"/>
  <c r="S87" i="23" s="1"/>
  <c r="R87" i="23" s="1"/>
  <c r="P87" i="23" s="1"/>
  <c r="V87" i="23" s="1"/>
  <c r="U79" i="23"/>
  <c r="T79" i="23" s="1"/>
  <c r="S79" i="23" s="1"/>
  <c r="R79" i="23" s="1"/>
  <c r="P79" i="23" s="1"/>
  <c r="V79" i="23" s="1"/>
  <c r="U67" i="23"/>
  <c r="T67" i="23" s="1"/>
  <c r="S67" i="23" s="1"/>
  <c r="R67" i="23" s="1"/>
  <c r="P67" i="23" s="1"/>
  <c r="V67" i="23" s="1"/>
  <c r="U51" i="23"/>
  <c r="T51" i="23" s="1"/>
  <c r="S51" i="23" s="1"/>
  <c r="R51" i="23" s="1"/>
  <c r="P51" i="23" s="1"/>
  <c r="V51" i="23" s="1"/>
  <c r="U35" i="23"/>
  <c r="T35" i="23" s="1"/>
  <c r="S35" i="23" s="1"/>
  <c r="R35" i="23" s="1"/>
  <c r="P35" i="23" s="1"/>
  <c r="V35" i="23" s="1"/>
  <c r="V379" i="22"/>
  <c r="M67" i="19" s="1"/>
  <c r="D41" i="19"/>
  <c r="Q383" i="24"/>
  <c r="U71" i="23"/>
  <c r="T71" i="23" s="1"/>
  <c r="S71" i="23" s="1"/>
  <c r="R71" i="23" s="1"/>
  <c r="P71" i="23" s="1"/>
  <c r="V71" i="23" s="1"/>
  <c r="U63" i="23"/>
  <c r="T63" i="23" s="1"/>
  <c r="S63" i="23" s="1"/>
  <c r="R63" i="23" s="1"/>
  <c r="P63" i="23" s="1"/>
  <c r="V63" i="23" s="1"/>
  <c r="U55" i="23"/>
  <c r="T55" i="23" s="1"/>
  <c r="S55" i="23" s="1"/>
  <c r="R55" i="23" s="1"/>
  <c r="P55" i="23" s="1"/>
  <c r="V55" i="23" s="1"/>
  <c r="U47" i="23"/>
  <c r="T47" i="23" s="1"/>
  <c r="S47" i="23" s="1"/>
  <c r="R47" i="23" s="1"/>
  <c r="P47" i="23" s="1"/>
  <c r="V47" i="23" s="1"/>
  <c r="U39" i="23"/>
  <c r="T39" i="23" s="1"/>
  <c r="S39" i="23" s="1"/>
  <c r="R39" i="23" s="1"/>
  <c r="P39" i="23" s="1"/>
  <c r="V39" i="23" s="1"/>
  <c r="U31" i="23"/>
  <c r="T31" i="23" s="1"/>
  <c r="S31" i="23" s="1"/>
  <c r="R31" i="23" s="1"/>
  <c r="P31" i="23" s="1"/>
  <c r="V31" i="23" s="1"/>
  <c r="U21" i="23"/>
  <c r="T21" i="23" s="1"/>
  <c r="S21" i="23" s="1"/>
  <c r="R21" i="23" s="1"/>
  <c r="P21" i="23" s="1"/>
  <c r="V21" i="23" s="1"/>
  <c r="U15" i="23"/>
  <c r="T15" i="23" s="1"/>
  <c r="S15" i="23" s="1"/>
  <c r="U22" i="23"/>
  <c r="T22" i="23" s="1"/>
  <c r="S22" i="23" s="1"/>
  <c r="R22" i="23" s="1"/>
  <c r="P22" i="23" s="1"/>
  <c r="V22" i="23" s="1"/>
  <c r="U181" i="23"/>
  <c r="T181" i="23" s="1"/>
  <c r="S181" i="23" s="1"/>
  <c r="R181" i="23" s="1"/>
  <c r="P181" i="23" s="1"/>
  <c r="V181" i="23" s="1"/>
  <c r="U177" i="23"/>
  <c r="T177" i="23" s="1"/>
  <c r="S177" i="23" s="1"/>
  <c r="R177" i="23" s="1"/>
  <c r="P177" i="23" s="1"/>
  <c r="V177" i="23" s="1"/>
  <c r="U173" i="23"/>
  <c r="T173" i="23" s="1"/>
  <c r="S173" i="23" s="1"/>
  <c r="R173" i="23" s="1"/>
  <c r="P173" i="23" s="1"/>
  <c r="V173" i="23" s="1"/>
  <c r="U169" i="23"/>
  <c r="T169" i="23" s="1"/>
  <c r="S169" i="23" s="1"/>
  <c r="R169" i="23" s="1"/>
  <c r="P169" i="23" s="1"/>
  <c r="V169" i="23" s="1"/>
  <c r="U165" i="23"/>
  <c r="T165" i="23" s="1"/>
  <c r="S165" i="23" s="1"/>
  <c r="R165" i="23" s="1"/>
  <c r="P165" i="23" s="1"/>
  <c r="V165" i="23" s="1"/>
  <c r="U161" i="23"/>
  <c r="T161" i="23" s="1"/>
  <c r="S161" i="23" s="1"/>
  <c r="R161" i="23" s="1"/>
  <c r="P161" i="23" s="1"/>
  <c r="V161" i="23" s="1"/>
  <c r="U157" i="23"/>
  <c r="T157" i="23" s="1"/>
  <c r="S157" i="23" s="1"/>
  <c r="R157" i="23" s="1"/>
  <c r="P157" i="23" s="1"/>
  <c r="V157" i="23" s="1"/>
  <c r="U153" i="23"/>
  <c r="T153" i="23" s="1"/>
  <c r="S153" i="23" s="1"/>
  <c r="R153" i="23" s="1"/>
  <c r="P153" i="23" s="1"/>
  <c r="V153" i="23" s="1"/>
  <c r="U149" i="23"/>
  <c r="T149" i="23" s="1"/>
  <c r="S149" i="23" s="1"/>
  <c r="R149" i="23" s="1"/>
  <c r="P149" i="23" s="1"/>
  <c r="V149" i="23" s="1"/>
  <c r="U145" i="23"/>
  <c r="T145" i="23" s="1"/>
  <c r="S145" i="23" s="1"/>
  <c r="R145" i="23" s="1"/>
  <c r="P145" i="23" s="1"/>
  <c r="V145" i="23" s="1"/>
  <c r="U141" i="23"/>
  <c r="T141" i="23" s="1"/>
  <c r="S141" i="23" s="1"/>
  <c r="R141" i="23" s="1"/>
  <c r="P141" i="23" s="1"/>
  <c r="V141" i="23" s="1"/>
  <c r="U137" i="23"/>
  <c r="T137" i="23" s="1"/>
  <c r="S137" i="23" s="1"/>
  <c r="R137" i="23" s="1"/>
  <c r="P137" i="23" s="1"/>
  <c r="V137" i="23" s="1"/>
  <c r="U133" i="23"/>
  <c r="T133" i="23" s="1"/>
  <c r="S133" i="23" s="1"/>
  <c r="R133" i="23" s="1"/>
  <c r="P133" i="23" s="1"/>
  <c r="V133" i="23" s="1"/>
  <c r="U129" i="23"/>
  <c r="T129" i="23" s="1"/>
  <c r="S129" i="23" s="1"/>
  <c r="R129" i="23" s="1"/>
  <c r="P129" i="23" s="1"/>
  <c r="V129" i="23" s="1"/>
  <c r="U125" i="23"/>
  <c r="T125" i="23" s="1"/>
  <c r="S125" i="23" s="1"/>
  <c r="R125" i="23" s="1"/>
  <c r="P125" i="23" s="1"/>
  <c r="V125" i="23" s="1"/>
  <c r="U121" i="23"/>
  <c r="T121" i="23" s="1"/>
  <c r="S121" i="23" s="1"/>
  <c r="R121" i="23" s="1"/>
  <c r="P121" i="23" s="1"/>
  <c r="V121" i="23" s="1"/>
  <c r="U117" i="23"/>
  <c r="T117" i="23" s="1"/>
  <c r="S117" i="23" s="1"/>
  <c r="R117" i="23" s="1"/>
  <c r="P117" i="23" s="1"/>
  <c r="V117" i="23" s="1"/>
  <c r="U113" i="23"/>
  <c r="T113" i="23" s="1"/>
  <c r="S113" i="23" s="1"/>
  <c r="R113" i="23" s="1"/>
  <c r="P113" i="23" s="1"/>
  <c r="V113" i="23" s="1"/>
  <c r="U109" i="23"/>
  <c r="T109" i="23" s="1"/>
  <c r="S109" i="23" s="1"/>
  <c r="R109" i="23" s="1"/>
  <c r="P109" i="23" s="1"/>
  <c r="V109" i="23" s="1"/>
  <c r="U105" i="23"/>
  <c r="T105" i="23" s="1"/>
  <c r="S105" i="23" s="1"/>
  <c r="R105" i="23" s="1"/>
  <c r="P105" i="23" s="1"/>
  <c r="V105" i="23" s="1"/>
  <c r="U101" i="23"/>
  <c r="T101" i="23" s="1"/>
  <c r="S101" i="23" s="1"/>
  <c r="R101" i="23" s="1"/>
  <c r="P101" i="23" s="1"/>
  <c r="V101" i="23" s="1"/>
  <c r="U97" i="23"/>
  <c r="T97" i="23" s="1"/>
  <c r="S97" i="23" s="1"/>
  <c r="R97" i="23" s="1"/>
  <c r="P97" i="23" s="1"/>
  <c r="V97" i="23" s="1"/>
  <c r="U93" i="23"/>
  <c r="T93" i="23" s="1"/>
  <c r="S93" i="23" s="1"/>
  <c r="R93" i="23" s="1"/>
  <c r="P93" i="23" s="1"/>
  <c r="V93" i="23" s="1"/>
  <c r="U89" i="23"/>
  <c r="T89" i="23" s="1"/>
  <c r="S89" i="23" s="1"/>
  <c r="R89" i="23" s="1"/>
  <c r="P89" i="23" s="1"/>
  <c r="V89" i="23" s="1"/>
  <c r="U85" i="23"/>
  <c r="T85" i="23" s="1"/>
  <c r="S85" i="23" s="1"/>
  <c r="R85" i="23" s="1"/>
  <c r="P85" i="23" s="1"/>
  <c r="V85" i="23" s="1"/>
  <c r="U81" i="23"/>
  <c r="T81" i="23" s="1"/>
  <c r="S81" i="23" s="1"/>
  <c r="R81" i="23" s="1"/>
  <c r="P81" i="23" s="1"/>
  <c r="V81" i="23" s="1"/>
  <c r="U77" i="23"/>
  <c r="T77" i="23" s="1"/>
  <c r="S77" i="23" s="1"/>
  <c r="R77" i="23" s="1"/>
  <c r="P77" i="23" s="1"/>
  <c r="V77" i="23" s="1"/>
  <c r="U73" i="23"/>
  <c r="T73" i="23" s="1"/>
  <c r="S73" i="23" s="1"/>
  <c r="R73" i="23" s="1"/>
  <c r="P73" i="23" s="1"/>
  <c r="V73" i="23" s="1"/>
  <c r="U69" i="23"/>
  <c r="T69" i="23" s="1"/>
  <c r="S69" i="23" s="1"/>
  <c r="R69" i="23" s="1"/>
  <c r="P69" i="23" s="1"/>
  <c r="V69" i="23" s="1"/>
  <c r="U65" i="23"/>
  <c r="T65" i="23" s="1"/>
  <c r="S65" i="23" s="1"/>
  <c r="R65" i="23" s="1"/>
  <c r="P65" i="23" s="1"/>
  <c r="V65" i="23" s="1"/>
  <c r="U61" i="23"/>
  <c r="T61" i="23" s="1"/>
  <c r="S61" i="23" s="1"/>
  <c r="R61" i="23" s="1"/>
  <c r="P61" i="23" s="1"/>
  <c r="V61" i="23" s="1"/>
  <c r="U57" i="23"/>
  <c r="T57" i="23" s="1"/>
  <c r="S57" i="23" s="1"/>
  <c r="R57" i="23" s="1"/>
  <c r="P57" i="23" s="1"/>
  <c r="V57" i="23" s="1"/>
  <c r="U53" i="23"/>
  <c r="T53" i="23" s="1"/>
  <c r="S53" i="23" s="1"/>
  <c r="R53" i="23" s="1"/>
  <c r="P53" i="23" s="1"/>
  <c r="V53" i="23" s="1"/>
  <c r="U49" i="23"/>
  <c r="T49" i="23" s="1"/>
  <c r="S49" i="23" s="1"/>
  <c r="R49" i="23" s="1"/>
  <c r="P49" i="23" s="1"/>
  <c r="V49" i="23" s="1"/>
  <c r="U45" i="23"/>
  <c r="T45" i="23" s="1"/>
  <c r="S45" i="23" s="1"/>
  <c r="R45" i="23" s="1"/>
  <c r="P45" i="23" s="1"/>
  <c r="V45" i="23" s="1"/>
  <c r="U41" i="23"/>
  <c r="T41" i="23" s="1"/>
  <c r="S41" i="23" s="1"/>
  <c r="R41" i="23" s="1"/>
  <c r="P41" i="23" s="1"/>
  <c r="V41" i="23" s="1"/>
  <c r="U37" i="23"/>
  <c r="T37" i="23" s="1"/>
  <c r="S37" i="23" s="1"/>
  <c r="R37" i="23" s="1"/>
  <c r="P37" i="23" s="1"/>
  <c r="V37" i="23" s="1"/>
  <c r="U33" i="23"/>
  <c r="T33" i="23" s="1"/>
  <c r="S33" i="23" s="1"/>
  <c r="R33" i="23" s="1"/>
  <c r="P33" i="23" s="1"/>
  <c r="V33" i="23" s="1"/>
  <c r="U29" i="23"/>
  <c r="T29" i="23" s="1"/>
  <c r="S29" i="23" s="1"/>
  <c r="R29" i="23" s="1"/>
  <c r="P29" i="23" s="1"/>
  <c r="AH44" i="7" s="1"/>
  <c r="U25" i="23"/>
  <c r="T25" i="23" s="1"/>
  <c r="S25" i="23" s="1"/>
  <c r="R25" i="23" s="1"/>
  <c r="P25" i="23" s="1"/>
  <c r="V25" i="23" s="1"/>
  <c r="U16" i="23"/>
  <c r="T16" i="23" s="1"/>
  <c r="S16" i="23" s="1"/>
  <c r="R16" i="23" s="1"/>
  <c r="P16" i="23" s="1"/>
  <c r="V16" i="23" s="1"/>
  <c r="Q381" i="24"/>
  <c r="AD381" i="20"/>
  <c r="AD382" i="20"/>
  <c r="AD383" i="20"/>
  <c r="S15" i="22"/>
  <c r="T381" i="22"/>
  <c r="T382" i="22"/>
  <c r="T383" i="22"/>
  <c r="AI20" i="23"/>
  <c r="AH20" i="23" s="1"/>
  <c r="AG20" i="23" s="1"/>
  <c r="AF20" i="23" s="1"/>
  <c r="AD20" i="23" s="1"/>
  <c r="AI18" i="23"/>
  <c r="AH18" i="23" s="1"/>
  <c r="AG18" i="23" s="1"/>
  <c r="AF18" i="23" s="1"/>
  <c r="AD18" i="23" s="1"/>
  <c r="AI17" i="23"/>
  <c r="AH17" i="23" s="1"/>
  <c r="AG17" i="23" s="1"/>
  <c r="AF17" i="23" s="1"/>
  <c r="AD17" i="23" s="1"/>
  <c r="AI21" i="23"/>
  <c r="AH21" i="23" s="1"/>
  <c r="AG21" i="23" s="1"/>
  <c r="AF21" i="23" s="1"/>
  <c r="AD21" i="23" s="1"/>
  <c r="AI19" i="23"/>
  <c r="AH19" i="23" s="1"/>
  <c r="AG19" i="23" s="1"/>
  <c r="AF19" i="23" s="1"/>
  <c r="AD19" i="23" s="1"/>
  <c r="AI25" i="23"/>
  <c r="AH25" i="23" s="1"/>
  <c r="AG25" i="23" s="1"/>
  <c r="AF25" i="23" s="1"/>
  <c r="AD25" i="23" s="1"/>
  <c r="AI27" i="23"/>
  <c r="AH27" i="23" s="1"/>
  <c r="AG27" i="23" s="1"/>
  <c r="AF27" i="23" s="1"/>
  <c r="AD27" i="23" s="1"/>
  <c r="AI29" i="23"/>
  <c r="AH29" i="23" s="1"/>
  <c r="AG29" i="23" s="1"/>
  <c r="AF29" i="23" s="1"/>
  <c r="AD29" i="23" s="1"/>
  <c r="AI31" i="23"/>
  <c r="AH31" i="23" s="1"/>
  <c r="AG31" i="23" s="1"/>
  <c r="AF31" i="23" s="1"/>
  <c r="AD31" i="23" s="1"/>
  <c r="AI33" i="23"/>
  <c r="AH33" i="23" s="1"/>
  <c r="AG33" i="23" s="1"/>
  <c r="AF33" i="23" s="1"/>
  <c r="AD33" i="23" s="1"/>
  <c r="AI35" i="23"/>
  <c r="AH35" i="23" s="1"/>
  <c r="AG35" i="23" s="1"/>
  <c r="AF35" i="23" s="1"/>
  <c r="AD35" i="23" s="1"/>
  <c r="AI37" i="23"/>
  <c r="AH37" i="23" s="1"/>
  <c r="AG37" i="23" s="1"/>
  <c r="AF37" i="23" s="1"/>
  <c r="AD37" i="23" s="1"/>
  <c r="AI39" i="23"/>
  <c r="AH39" i="23" s="1"/>
  <c r="AG39" i="23" s="1"/>
  <c r="AF39" i="23" s="1"/>
  <c r="AD39" i="23" s="1"/>
  <c r="AI41" i="23"/>
  <c r="AH41" i="23" s="1"/>
  <c r="AG41" i="23" s="1"/>
  <c r="AF41" i="23" s="1"/>
  <c r="AD41" i="23" s="1"/>
  <c r="AI43" i="23"/>
  <c r="AH43" i="23" s="1"/>
  <c r="AG43" i="23" s="1"/>
  <c r="AF43" i="23" s="1"/>
  <c r="AD43" i="23" s="1"/>
  <c r="AI45" i="23"/>
  <c r="AH45" i="23" s="1"/>
  <c r="AG45" i="23" s="1"/>
  <c r="AF45" i="23" s="1"/>
  <c r="AD45" i="23" s="1"/>
  <c r="AI47" i="23"/>
  <c r="AH47" i="23" s="1"/>
  <c r="AG47" i="23" s="1"/>
  <c r="AF47" i="23" s="1"/>
  <c r="AD47" i="23" s="1"/>
  <c r="AI49" i="23"/>
  <c r="AH49" i="23" s="1"/>
  <c r="AG49" i="23" s="1"/>
  <c r="AF49" i="23" s="1"/>
  <c r="AD49" i="23" s="1"/>
  <c r="AI51" i="23"/>
  <c r="AH51" i="23" s="1"/>
  <c r="AG51" i="23" s="1"/>
  <c r="AF51" i="23" s="1"/>
  <c r="AD51" i="23" s="1"/>
  <c r="AI53" i="23"/>
  <c r="AH53" i="23" s="1"/>
  <c r="AG53" i="23" s="1"/>
  <c r="AF53" i="23" s="1"/>
  <c r="AD53" i="23" s="1"/>
  <c r="AI55" i="23"/>
  <c r="AH55" i="23" s="1"/>
  <c r="AG55" i="23" s="1"/>
  <c r="AF55" i="23" s="1"/>
  <c r="AD55" i="23" s="1"/>
  <c r="AI57" i="23"/>
  <c r="AH57" i="23" s="1"/>
  <c r="AG57" i="23" s="1"/>
  <c r="AF57" i="23" s="1"/>
  <c r="AD57" i="23" s="1"/>
  <c r="AI59" i="23"/>
  <c r="AH59" i="23" s="1"/>
  <c r="AG59" i="23" s="1"/>
  <c r="AF59" i="23" s="1"/>
  <c r="AD59" i="23" s="1"/>
  <c r="AI61" i="23"/>
  <c r="AH61" i="23" s="1"/>
  <c r="AG61" i="23" s="1"/>
  <c r="AF61" i="23" s="1"/>
  <c r="AD61" i="23" s="1"/>
  <c r="AI63" i="23"/>
  <c r="AH63" i="23" s="1"/>
  <c r="AG63" i="23" s="1"/>
  <c r="AF63" i="23" s="1"/>
  <c r="AD63" i="23" s="1"/>
  <c r="AI65" i="23"/>
  <c r="AH65" i="23" s="1"/>
  <c r="AG65" i="23" s="1"/>
  <c r="AF65" i="23" s="1"/>
  <c r="AD65" i="23" s="1"/>
  <c r="AI67" i="23"/>
  <c r="AH67" i="23" s="1"/>
  <c r="AG67" i="23" s="1"/>
  <c r="AF67" i="23" s="1"/>
  <c r="AD67" i="23" s="1"/>
  <c r="AI69" i="23"/>
  <c r="AH69" i="23" s="1"/>
  <c r="AG69" i="23" s="1"/>
  <c r="AF69" i="23" s="1"/>
  <c r="AD69" i="23" s="1"/>
  <c r="AI71" i="23"/>
  <c r="AH71" i="23" s="1"/>
  <c r="AG71" i="23" s="1"/>
  <c r="AF71" i="23" s="1"/>
  <c r="AD71" i="23" s="1"/>
  <c r="AI73" i="23"/>
  <c r="AH73" i="23" s="1"/>
  <c r="AG73" i="23" s="1"/>
  <c r="AF73" i="23" s="1"/>
  <c r="AD73" i="23" s="1"/>
  <c r="AI75" i="23"/>
  <c r="AH75" i="23" s="1"/>
  <c r="AG75" i="23" s="1"/>
  <c r="AF75" i="23" s="1"/>
  <c r="AD75" i="23" s="1"/>
  <c r="AI77" i="23"/>
  <c r="AH77" i="23" s="1"/>
  <c r="AG77" i="23" s="1"/>
  <c r="AF77" i="23" s="1"/>
  <c r="AD77" i="23" s="1"/>
  <c r="AI79" i="23"/>
  <c r="AH79" i="23" s="1"/>
  <c r="AG79" i="23" s="1"/>
  <c r="AF79" i="23" s="1"/>
  <c r="AD79" i="23" s="1"/>
  <c r="AI81" i="23"/>
  <c r="AH81" i="23" s="1"/>
  <c r="AG81" i="23" s="1"/>
  <c r="AF81" i="23" s="1"/>
  <c r="AD81" i="23" s="1"/>
  <c r="AI83" i="23"/>
  <c r="AH83" i="23" s="1"/>
  <c r="AG83" i="23" s="1"/>
  <c r="AF83" i="23" s="1"/>
  <c r="AD83" i="23" s="1"/>
  <c r="AI85" i="23"/>
  <c r="AH85" i="23" s="1"/>
  <c r="AG85" i="23" s="1"/>
  <c r="AF85" i="23" s="1"/>
  <c r="AD85" i="23" s="1"/>
  <c r="AI87" i="23"/>
  <c r="AH87" i="23" s="1"/>
  <c r="AG87" i="23" s="1"/>
  <c r="AF87" i="23" s="1"/>
  <c r="AD87" i="23" s="1"/>
  <c r="AI89" i="23"/>
  <c r="AH89" i="23" s="1"/>
  <c r="AG89" i="23" s="1"/>
  <c r="AF89" i="23" s="1"/>
  <c r="AD89" i="23" s="1"/>
  <c r="AI91" i="23"/>
  <c r="AH91" i="23" s="1"/>
  <c r="AG91" i="23" s="1"/>
  <c r="AF91" i="23" s="1"/>
  <c r="AD91" i="23" s="1"/>
  <c r="AI93" i="23"/>
  <c r="AH93" i="23" s="1"/>
  <c r="AG93" i="23" s="1"/>
  <c r="AF93" i="23" s="1"/>
  <c r="AD93" i="23" s="1"/>
  <c r="AI95" i="23"/>
  <c r="AH95" i="23" s="1"/>
  <c r="AG95" i="23" s="1"/>
  <c r="AF95" i="23" s="1"/>
  <c r="AD95" i="23" s="1"/>
  <c r="AI97" i="23"/>
  <c r="AH97" i="23" s="1"/>
  <c r="AG97" i="23" s="1"/>
  <c r="AF97" i="23" s="1"/>
  <c r="AD97" i="23" s="1"/>
  <c r="AI99" i="23"/>
  <c r="AH99" i="23" s="1"/>
  <c r="AG99" i="23" s="1"/>
  <c r="AF99" i="23" s="1"/>
  <c r="AD99" i="23" s="1"/>
  <c r="AI101" i="23"/>
  <c r="AH101" i="23" s="1"/>
  <c r="AG101" i="23" s="1"/>
  <c r="AF101" i="23" s="1"/>
  <c r="AD101" i="23" s="1"/>
  <c r="AI103" i="23"/>
  <c r="AH103" i="23" s="1"/>
  <c r="AG103" i="23" s="1"/>
  <c r="AF103" i="23" s="1"/>
  <c r="AD103" i="23" s="1"/>
  <c r="AI105" i="23"/>
  <c r="AH105" i="23" s="1"/>
  <c r="AG105" i="23" s="1"/>
  <c r="AF105" i="23" s="1"/>
  <c r="AD105" i="23" s="1"/>
  <c r="AI107" i="23"/>
  <c r="AH107" i="23" s="1"/>
  <c r="AG107" i="23" s="1"/>
  <c r="AF107" i="23" s="1"/>
  <c r="AD107" i="23" s="1"/>
  <c r="AI109" i="23"/>
  <c r="AH109" i="23" s="1"/>
  <c r="AG109" i="23" s="1"/>
  <c r="AF109" i="23" s="1"/>
  <c r="AD109" i="23" s="1"/>
  <c r="AI111" i="23"/>
  <c r="AH111" i="23" s="1"/>
  <c r="AG111" i="23" s="1"/>
  <c r="AF111" i="23" s="1"/>
  <c r="AD111" i="23" s="1"/>
  <c r="AI113" i="23"/>
  <c r="AH113" i="23" s="1"/>
  <c r="AG113" i="23" s="1"/>
  <c r="AF113" i="23" s="1"/>
  <c r="AD113" i="23" s="1"/>
  <c r="AI115" i="23"/>
  <c r="AH115" i="23" s="1"/>
  <c r="AG115" i="23" s="1"/>
  <c r="AF115" i="23" s="1"/>
  <c r="AD115" i="23" s="1"/>
  <c r="AI117" i="23"/>
  <c r="AH117" i="23" s="1"/>
  <c r="AG117" i="23" s="1"/>
  <c r="AF117" i="23" s="1"/>
  <c r="AD117" i="23" s="1"/>
  <c r="AI119" i="23"/>
  <c r="AH119" i="23" s="1"/>
  <c r="AG119" i="23" s="1"/>
  <c r="AF119" i="23" s="1"/>
  <c r="AD119" i="23" s="1"/>
  <c r="AI121" i="23"/>
  <c r="AH121" i="23" s="1"/>
  <c r="AG121" i="23" s="1"/>
  <c r="AF121" i="23" s="1"/>
  <c r="AD121" i="23" s="1"/>
  <c r="AI123" i="23"/>
  <c r="AH123" i="23" s="1"/>
  <c r="AG123" i="23" s="1"/>
  <c r="AF123" i="23" s="1"/>
  <c r="AD123" i="23" s="1"/>
  <c r="AI125" i="23"/>
  <c r="AH125" i="23" s="1"/>
  <c r="AG125" i="23" s="1"/>
  <c r="AF125" i="23" s="1"/>
  <c r="AD125" i="23" s="1"/>
  <c r="AI127" i="23"/>
  <c r="AH127" i="23" s="1"/>
  <c r="AG127" i="23" s="1"/>
  <c r="AF127" i="23" s="1"/>
  <c r="AD127" i="23" s="1"/>
  <c r="AI129" i="23"/>
  <c r="AH129" i="23" s="1"/>
  <c r="AG129" i="23" s="1"/>
  <c r="AF129" i="23" s="1"/>
  <c r="AD129" i="23" s="1"/>
  <c r="AI131" i="23"/>
  <c r="AH131" i="23" s="1"/>
  <c r="AG131" i="23" s="1"/>
  <c r="AF131" i="23" s="1"/>
  <c r="AD131" i="23" s="1"/>
  <c r="AI133" i="23"/>
  <c r="AH133" i="23" s="1"/>
  <c r="AG133" i="23" s="1"/>
  <c r="AF133" i="23" s="1"/>
  <c r="AD133" i="23" s="1"/>
  <c r="AI135" i="23"/>
  <c r="AH135" i="23" s="1"/>
  <c r="AG135" i="23" s="1"/>
  <c r="AF135" i="23" s="1"/>
  <c r="AD135" i="23" s="1"/>
  <c r="AI137" i="23"/>
  <c r="AH137" i="23" s="1"/>
  <c r="AG137" i="23" s="1"/>
  <c r="AF137" i="23" s="1"/>
  <c r="AD137" i="23" s="1"/>
  <c r="AI139" i="23"/>
  <c r="AH139" i="23" s="1"/>
  <c r="AG139" i="23" s="1"/>
  <c r="AF139" i="23" s="1"/>
  <c r="AD139" i="23" s="1"/>
  <c r="AI141" i="23"/>
  <c r="AH141" i="23" s="1"/>
  <c r="AG141" i="23" s="1"/>
  <c r="AF141" i="23" s="1"/>
  <c r="AD141" i="23" s="1"/>
  <c r="AI143" i="23"/>
  <c r="AH143" i="23" s="1"/>
  <c r="AG143" i="23" s="1"/>
  <c r="AF143" i="23" s="1"/>
  <c r="AD143" i="23" s="1"/>
  <c r="AI145" i="23"/>
  <c r="AH145" i="23" s="1"/>
  <c r="AG145" i="23" s="1"/>
  <c r="AF145" i="23" s="1"/>
  <c r="AD145" i="23" s="1"/>
  <c r="AI147" i="23"/>
  <c r="AH147" i="23" s="1"/>
  <c r="AG147" i="23" s="1"/>
  <c r="AF147" i="23" s="1"/>
  <c r="AD147" i="23" s="1"/>
  <c r="AI149" i="23"/>
  <c r="AH149" i="23" s="1"/>
  <c r="AG149" i="23" s="1"/>
  <c r="AF149" i="23" s="1"/>
  <c r="AD149" i="23" s="1"/>
  <c r="AI151" i="23"/>
  <c r="AH151" i="23" s="1"/>
  <c r="AG151" i="23" s="1"/>
  <c r="AF151" i="23" s="1"/>
  <c r="AD151" i="23" s="1"/>
  <c r="AI153" i="23"/>
  <c r="AH153" i="23" s="1"/>
  <c r="AG153" i="23" s="1"/>
  <c r="AF153" i="23" s="1"/>
  <c r="AD153" i="23" s="1"/>
  <c r="AI155" i="23"/>
  <c r="AH155" i="23" s="1"/>
  <c r="AG155" i="23" s="1"/>
  <c r="AF155" i="23" s="1"/>
  <c r="AD155" i="23" s="1"/>
  <c r="AI157" i="23"/>
  <c r="AH157" i="23" s="1"/>
  <c r="AG157" i="23" s="1"/>
  <c r="AF157" i="23" s="1"/>
  <c r="AD157" i="23" s="1"/>
  <c r="AI159" i="23"/>
  <c r="AH159" i="23" s="1"/>
  <c r="AG159" i="23" s="1"/>
  <c r="AF159" i="23" s="1"/>
  <c r="AD159" i="23" s="1"/>
  <c r="AI161" i="23"/>
  <c r="AH161" i="23" s="1"/>
  <c r="AG161" i="23" s="1"/>
  <c r="AF161" i="23" s="1"/>
  <c r="AD161" i="23" s="1"/>
  <c r="AI163" i="23"/>
  <c r="AH163" i="23" s="1"/>
  <c r="AG163" i="23" s="1"/>
  <c r="AF163" i="23" s="1"/>
  <c r="AD163" i="23" s="1"/>
  <c r="AI165" i="23"/>
  <c r="AH165" i="23" s="1"/>
  <c r="AG165" i="23" s="1"/>
  <c r="AF165" i="23" s="1"/>
  <c r="AD165" i="23" s="1"/>
  <c r="AI167" i="23"/>
  <c r="AH167" i="23" s="1"/>
  <c r="AG167" i="23" s="1"/>
  <c r="AF167" i="23" s="1"/>
  <c r="AD167" i="23" s="1"/>
  <c r="AI169" i="23"/>
  <c r="AH169" i="23" s="1"/>
  <c r="AG169" i="23" s="1"/>
  <c r="AF169" i="23" s="1"/>
  <c r="AD169" i="23" s="1"/>
  <c r="AI171" i="23"/>
  <c r="AH171" i="23" s="1"/>
  <c r="AG171" i="23" s="1"/>
  <c r="AF171" i="23" s="1"/>
  <c r="AD171" i="23" s="1"/>
  <c r="AI173" i="23"/>
  <c r="AH173" i="23" s="1"/>
  <c r="AG173" i="23" s="1"/>
  <c r="AF173" i="23" s="1"/>
  <c r="AD173" i="23" s="1"/>
  <c r="AI175" i="23"/>
  <c r="AH175" i="23" s="1"/>
  <c r="AG175" i="23" s="1"/>
  <c r="AF175" i="23" s="1"/>
  <c r="AD175" i="23" s="1"/>
  <c r="AI177" i="23"/>
  <c r="AH177" i="23" s="1"/>
  <c r="AG177" i="23" s="1"/>
  <c r="AF177" i="23" s="1"/>
  <c r="AD177" i="23" s="1"/>
  <c r="AI179" i="23"/>
  <c r="AH179" i="23" s="1"/>
  <c r="AG179" i="23" s="1"/>
  <c r="AF179" i="23" s="1"/>
  <c r="AD179" i="23" s="1"/>
  <c r="AI181" i="23"/>
  <c r="AH181" i="23" s="1"/>
  <c r="AG181" i="23" s="1"/>
  <c r="AF181" i="23" s="1"/>
  <c r="AD181" i="23" s="1"/>
  <c r="AI183" i="23"/>
  <c r="AH183" i="23" s="1"/>
  <c r="AG183" i="23" s="1"/>
  <c r="AF183" i="23" s="1"/>
  <c r="AD183" i="23" s="1"/>
  <c r="AI185" i="23"/>
  <c r="AH185" i="23" s="1"/>
  <c r="AG185" i="23" s="1"/>
  <c r="AF185" i="23" s="1"/>
  <c r="AD185" i="23" s="1"/>
  <c r="AI187" i="23"/>
  <c r="AH187" i="23" s="1"/>
  <c r="AG187" i="23" s="1"/>
  <c r="AF187" i="23" s="1"/>
  <c r="AD187" i="23" s="1"/>
  <c r="AI189" i="23"/>
  <c r="AH189" i="23" s="1"/>
  <c r="AG189" i="23" s="1"/>
  <c r="AF189" i="23" s="1"/>
  <c r="AD189" i="23" s="1"/>
  <c r="AI191" i="23"/>
  <c r="AH191" i="23" s="1"/>
  <c r="AG191" i="23" s="1"/>
  <c r="AF191" i="23" s="1"/>
  <c r="AD191" i="23" s="1"/>
  <c r="AI193" i="23"/>
  <c r="AH193" i="23" s="1"/>
  <c r="AG193" i="23" s="1"/>
  <c r="AF193" i="23" s="1"/>
  <c r="AD193" i="23" s="1"/>
  <c r="AI195" i="23"/>
  <c r="AH195" i="23" s="1"/>
  <c r="AG195" i="23" s="1"/>
  <c r="AF195" i="23" s="1"/>
  <c r="AD195" i="23" s="1"/>
  <c r="AI197" i="23"/>
  <c r="AH197" i="23" s="1"/>
  <c r="AG197" i="23" s="1"/>
  <c r="AF197" i="23" s="1"/>
  <c r="AD197" i="23" s="1"/>
  <c r="AI199" i="23"/>
  <c r="AH199" i="23" s="1"/>
  <c r="AG199" i="23" s="1"/>
  <c r="AF199" i="23" s="1"/>
  <c r="AD199" i="23" s="1"/>
  <c r="AI201" i="23"/>
  <c r="AH201" i="23" s="1"/>
  <c r="AG201" i="23" s="1"/>
  <c r="AF201" i="23" s="1"/>
  <c r="AD201" i="23" s="1"/>
  <c r="AI203" i="23"/>
  <c r="AH203" i="23" s="1"/>
  <c r="AG203" i="23" s="1"/>
  <c r="AF203" i="23" s="1"/>
  <c r="AD203" i="23" s="1"/>
  <c r="AI205" i="23"/>
  <c r="AH205" i="23" s="1"/>
  <c r="AG205" i="23" s="1"/>
  <c r="AF205" i="23" s="1"/>
  <c r="AD205" i="23" s="1"/>
  <c r="AI207" i="23"/>
  <c r="AH207" i="23" s="1"/>
  <c r="AG207" i="23" s="1"/>
  <c r="AF207" i="23" s="1"/>
  <c r="AD207" i="23" s="1"/>
  <c r="AI209" i="23"/>
  <c r="AH209" i="23" s="1"/>
  <c r="AG209" i="23" s="1"/>
  <c r="AF209" i="23" s="1"/>
  <c r="AD209" i="23" s="1"/>
  <c r="AI211" i="23"/>
  <c r="AH211" i="23" s="1"/>
  <c r="AG211" i="23" s="1"/>
  <c r="AF211" i="23" s="1"/>
  <c r="AD211" i="23" s="1"/>
  <c r="AI213" i="23"/>
  <c r="AH213" i="23" s="1"/>
  <c r="AG213" i="23" s="1"/>
  <c r="AF213" i="23" s="1"/>
  <c r="AD213" i="23" s="1"/>
  <c r="AI215" i="23"/>
  <c r="AH215" i="23" s="1"/>
  <c r="AG215" i="23" s="1"/>
  <c r="AF215" i="23" s="1"/>
  <c r="AD215" i="23" s="1"/>
  <c r="AI217" i="23"/>
  <c r="AH217" i="23" s="1"/>
  <c r="AG217" i="23" s="1"/>
  <c r="AF217" i="23" s="1"/>
  <c r="AD217" i="23" s="1"/>
  <c r="AI219" i="23"/>
  <c r="AH219" i="23" s="1"/>
  <c r="AG219" i="23" s="1"/>
  <c r="AF219" i="23" s="1"/>
  <c r="AD219" i="23" s="1"/>
  <c r="AI221" i="23"/>
  <c r="AH221" i="23" s="1"/>
  <c r="AG221" i="23" s="1"/>
  <c r="AF221" i="23" s="1"/>
  <c r="AD221" i="23" s="1"/>
  <c r="AI223" i="23"/>
  <c r="AH223" i="23" s="1"/>
  <c r="AG223" i="23" s="1"/>
  <c r="AF223" i="23" s="1"/>
  <c r="AD223" i="23" s="1"/>
  <c r="AI225" i="23"/>
  <c r="AH225" i="23" s="1"/>
  <c r="AG225" i="23" s="1"/>
  <c r="AF225" i="23" s="1"/>
  <c r="AD225" i="23" s="1"/>
  <c r="AI227" i="23"/>
  <c r="AH227" i="23" s="1"/>
  <c r="AG227" i="23" s="1"/>
  <c r="AF227" i="23" s="1"/>
  <c r="AD227" i="23" s="1"/>
  <c r="AI229" i="23"/>
  <c r="AH229" i="23" s="1"/>
  <c r="AG229" i="23" s="1"/>
  <c r="AF229" i="23" s="1"/>
  <c r="AD229" i="23" s="1"/>
  <c r="AI231" i="23"/>
  <c r="AH231" i="23" s="1"/>
  <c r="AG231" i="23" s="1"/>
  <c r="AF231" i="23" s="1"/>
  <c r="AD231" i="23" s="1"/>
  <c r="AI233" i="23"/>
  <c r="AH233" i="23" s="1"/>
  <c r="AG233" i="23" s="1"/>
  <c r="AF233" i="23" s="1"/>
  <c r="AD233" i="23" s="1"/>
  <c r="AI235" i="23"/>
  <c r="AH235" i="23" s="1"/>
  <c r="AG235" i="23" s="1"/>
  <c r="AF235" i="23" s="1"/>
  <c r="AD235" i="23" s="1"/>
  <c r="AI237" i="23"/>
  <c r="AH237" i="23" s="1"/>
  <c r="AG237" i="23" s="1"/>
  <c r="AF237" i="23" s="1"/>
  <c r="AD237" i="23" s="1"/>
  <c r="AI239" i="23"/>
  <c r="AH239" i="23" s="1"/>
  <c r="AG239" i="23" s="1"/>
  <c r="AF239" i="23" s="1"/>
  <c r="AD239" i="23" s="1"/>
  <c r="AI241" i="23"/>
  <c r="AH241" i="23" s="1"/>
  <c r="AG241" i="23" s="1"/>
  <c r="AF241" i="23" s="1"/>
  <c r="AD241" i="23" s="1"/>
  <c r="AI243" i="23"/>
  <c r="AH243" i="23" s="1"/>
  <c r="AG243" i="23" s="1"/>
  <c r="AF243" i="23" s="1"/>
  <c r="AD243" i="23" s="1"/>
  <c r="AI245" i="23"/>
  <c r="AH245" i="23" s="1"/>
  <c r="AG245" i="23" s="1"/>
  <c r="AF245" i="23" s="1"/>
  <c r="AD245" i="23" s="1"/>
  <c r="AI247" i="23"/>
  <c r="AH247" i="23" s="1"/>
  <c r="AG247" i="23" s="1"/>
  <c r="AF247" i="23" s="1"/>
  <c r="AD247" i="23" s="1"/>
  <c r="AI249" i="23"/>
  <c r="AH249" i="23" s="1"/>
  <c r="AG249" i="23" s="1"/>
  <c r="AF249" i="23" s="1"/>
  <c r="AD249" i="23" s="1"/>
  <c r="AI251" i="23"/>
  <c r="AH251" i="23" s="1"/>
  <c r="AG251" i="23" s="1"/>
  <c r="AF251" i="23" s="1"/>
  <c r="AD251" i="23" s="1"/>
  <c r="AI253" i="23"/>
  <c r="AH253" i="23" s="1"/>
  <c r="AG253" i="23" s="1"/>
  <c r="AF253" i="23" s="1"/>
  <c r="AD253" i="23" s="1"/>
  <c r="AI255" i="23"/>
  <c r="AH255" i="23" s="1"/>
  <c r="AG255" i="23" s="1"/>
  <c r="AF255" i="23" s="1"/>
  <c r="AD255" i="23" s="1"/>
  <c r="AI257" i="23"/>
  <c r="AH257" i="23" s="1"/>
  <c r="AG257" i="23" s="1"/>
  <c r="AF257" i="23" s="1"/>
  <c r="AD257" i="23" s="1"/>
  <c r="AI259" i="23"/>
  <c r="AH259" i="23" s="1"/>
  <c r="AG259" i="23" s="1"/>
  <c r="AF259" i="23" s="1"/>
  <c r="AD259" i="23" s="1"/>
  <c r="AI261" i="23"/>
  <c r="AH261" i="23" s="1"/>
  <c r="AG261" i="23" s="1"/>
  <c r="AF261" i="23" s="1"/>
  <c r="AD261" i="23" s="1"/>
  <c r="AI263" i="23"/>
  <c r="AH263" i="23" s="1"/>
  <c r="AG263" i="23" s="1"/>
  <c r="AF263" i="23" s="1"/>
  <c r="AD263" i="23" s="1"/>
  <c r="AI265" i="23"/>
  <c r="AH265" i="23" s="1"/>
  <c r="AG265" i="23" s="1"/>
  <c r="AF265" i="23" s="1"/>
  <c r="AD265" i="23" s="1"/>
  <c r="AI267" i="23"/>
  <c r="AH267" i="23" s="1"/>
  <c r="AG267" i="23" s="1"/>
  <c r="AF267" i="23" s="1"/>
  <c r="AD267" i="23" s="1"/>
  <c r="AI269" i="23"/>
  <c r="AH269" i="23" s="1"/>
  <c r="AG269" i="23" s="1"/>
  <c r="AF269" i="23" s="1"/>
  <c r="AD269" i="23" s="1"/>
  <c r="AI271" i="23"/>
  <c r="AH271" i="23" s="1"/>
  <c r="AG271" i="23" s="1"/>
  <c r="AF271" i="23" s="1"/>
  <c r="AD271" i="23" s="1"/>
  <c r="AI273" i="23"/>
  <c r="AH273" i="23" s="1"/>
  <c r="AG273" i="23" s="1"/>
  <c r="AF273" i="23" s="1"/>
  <c r="AD273" i="23" s="1"/>
  <c r="AI275" i="23"/>
  <c r="AH275" i="23" s="1"/>
  <c r="AG275" i="23" s="1"/>
  <c r="AF275" i="23" s="1"/>
  <c r="AD275" i="23" s="1"/>
  <c r="AI277" i="23"/>
  <c r="AH277" i="23" s="1"/>
  <c r="AG277" i="23" s="1"/>
  <c r="AF277" i="23" s="1"/>
  <c r="AD277" i="23" s="1"/>
  <c r="AI279" i="23"/>
  <c r="AH279" i="23" s="1"/>
  <c r="AG279" i="23" s="1"/>
  <c r="AF279" i="23" s="1"/>
  <c r="AD279" i="23" s="1"/>
  <c r="AI281" i="23"/>
  <c r="AH281" i="23" s="1"/>
  <c r="AG281" i="23" s="1"/>
  <c r="AF281" i="23" s="1"/>
  <c r="AD281" i="23" s="1"/>
  <c r="AI283" i="23"/>
  <c r="AH283" i="23" s="1"/>
  <c r="AG283" i="23" s="1"/>
  <c r="AF283" i="23" s="1"/>
  <c r="AD283" i="23" s="1"/>
  <c r="AI285" i="23"/>
  <c r="AH285" i="23" s="1"/>
  <c r="AG285" i="23" s="1"/>
  <c r="AF285" i="23" s="1"/>
  <c r="AD285" i="23" s="1"/>
  <c r="AI287" i="23"/>
  <c r="AH287" i="23" s="1"/>
  <c r="AG287" i="23" s="1"/>
  <c r="AF287" i="23" s="1"/>
  <c r="AD287" i="23" s="1"/>
  <c r="AI289" i="23"/>
  <c r="AH289" i="23" s="1"/>
  <c r="AG289" i="23" s="1"/>
  <c r="AF289" i="23" s="1"/>
  <c r="AD289" i="23" s="1"/>
  <c r="AI291" i="23"/>
  <c r="AH291" i="23" s="1"/>
  <c r="AG291" i="23" s="1"/>
  <c r="AF291" i="23" s="1"/>
  <c r="AD291" i="23" s="1"/>
  <c r="AI293" i="23"/>
  <c r="AH293" i="23" s="1"/>
  <c r="AG293" i="23" s="1"/>
  <c r="AF293" i="23" s="1"/>
  <c r="AD293" i="23" s="1"/>
  <c r="AI295" i="23"/>
  <c r="AH295" i="23" s="1"/>
  <c r="AG295" i="23" s="1"/>
  <c r="AF295" i="23" s="1"/>
  <c r="AD295" i="23" s="1"/>
  <c r="AI297" i="23"/>
  <c r="AH297" i="23" s="1"/>
  <c r="AG297" i="23" s="1"/>
  <c r="AF297" i="23" s="1"/>
  <c r="AD297" i="23" s="1"/>
  <c r="AI299" i="23"/>
  <c r="AH299" i="23" s="1"/>
  <c r="AG299" i="23" s="1"/>
  <c r="AF299" i="23" s="1"/>
  <c r="AD299" i="23" s="1"/>
  <c r="AI301" i="23"/>
  <c r="AH301" i="23" s="1"/>
  <c r="AG301" i="23" s="1"/>
  <c r="AF301" i="23" s="1"/>
  <c r="AD301" i="23" s="1"/>
  <c r="AI303" i="23"/>
  <c r="AH303" i="23" s="1"/>
  <c r="AG303" i="23" s="1"/>
  <c r="AF303" i="23" s="1"/>
  <c r="AD303" i="23" s="1"/>
  <c r="AI305" i="23"/>
  <c r="AH305" i="23" s="1"/>
  <c r="AG305" i="23" s="1"/>
  <c r="AF305" i="23" s="1"/>
  <c r="AD305" i="23" s="1"/>
  <c r="AI307" i="23"/>
  <c r="AH307" i="23" s="1"/>
  <c r="AG307" i="23" s="1"/>
  <c r="AF307" i="23" s="1"/>
  <c r="AD307" i="23" s="1"/>
  <c r="AI309" i="23"/>
  <c r="AH309" i="23" s="1"/>
  <c r="AG309" i="23" s="1"/>
  <c r="AF309" i="23" s="1"/>
  <c r="AD309" i="23" s="1"/>
  <c r="AI311" i="23"/>
  <c r="AH311" i="23" s="1"/>
  <c r="AG311" i="23" s="1"/>
  <c r="AF311" i="23" s="1"/>
  <c r="AD311" i="23" s="1"/>
  <c r="AI313" i="23"/>
  <c r="AH313" i="23" s="1"/>
  <c r="AG313" i="23" s="1"/>
  <c r="AF313" i="23" s="1"/>
  <c r="AD313" i="23" s="1"/>
  <c r="AI315" i="23"/>
  <c r="AH315" i="23" s="1"/>
  <c r="AG315" i="23" s="1"/>
  <c r="AF315" i="23" s="1"/>
  <c r="AD315" i="23" s="1"/>
  <c r="AI317" i="23"/>
  <c r="AH317" i="23" s="1"/>
  <c r="AG317" i="23" s="1"/>
  <c r="AF317" i="23" s="1"/>
  <c r="AD317" i="23" s="1"/>
  <c r="AI319" i="23"/>
  <c r="AH319" i="23" s="1"/>
  <c r="AG319" i="23" s="1"/>
  <c r="AF319" i="23" s="1"/>
  <c r="AD319" i="23" s="1"/>
  <c r="AI321" i="23"/>
  <c r="AH321" i="23" s="1"/>
  <c r="AG321" i="23" s="1"/>
  <c r="AF321" i="23" s="1"/>
  <c r="AD321" i="23" s="1"/>
  <c r="AI323" i="23"/>
  <c r="AH323" i="23" s="1"/>
  <c r="AG323" i="23" s="1"/>
  <c r="AF323" i="23" s="1"/>
  <c r="AD323" i="23" s="1"/>
  <c r="AI325" i="23"/>
  <c r="AH325" i="23" s="1"/>
  <c r="AG325" i="23" s="1"/>
  <c r="AF325" i="23" s="1"/>
  <c r="AD325" i="23" s="1"/>
  <c r="AI327" i="23"/>
  <c r="AH327" i="23" s="1"/>
  <c r="AG327" i="23" s="1"/>
  <c r="AF327" i="23" s="1"/>
  <c r="AD327" i="23" s="1"/>
  <c r="AI329" i="23"/>
  <c r="AH329" i="23" s="1"/>
  <c r="AG329" i="23" s="1"/>
  <c r="AF329" i="23" s="1"/>
  <c r="AD329" i="23" s="1"/>
  <c r="AI331" i="23"/>
  <c r="AH331" i="23" s="1"/>
  <c r="AG331" i="23" s="1"/>
  <c r="AF331" i="23" s="1"/>
  <c r="AD331" i="23" s="1"/>
  <c r="AI333" i="23"/>
  <c r="AH333" i="23" s="1"/>
  <c r="AG333" i="23" s="1"/>
  <c r="AF333" i="23" s="1"/>
  <c r="AD333" i="23" s="1"/>
  <c r="AI335" i="23"/>
  <c r="AH335" i="23" s="1"/>
  <c r="AG335" i="23" s="1"/>
  <c r="AF335" i="23" s="1"/>
  <c r="AD335" i="23" s="1"/>
  <c r="AI337" i="23"/>
  <c r="AH337" i="23" s="1"/>
  <c r="AG337" i="23" s="1"/>
  <c r="AF337" i="23" s="1"/>
  <c r="AD337" i="23" s="1"/>
  <c r="AI339" i="23"/>
  <c r="AH339" i="23" s="1"/>
  <c r="AG339" i="23" s="1"/>
  <c r="AF339" i="23" s="1"/>
  <c r="AD339" i="23" s="1"/>
  <c r="AI341" i="23"/>
  <c r="AH341" i="23" s="1"/>
  <c r="AG341" i="23" s="1"/>
  <c r="AF341" i="23" s="1"/>
  <c r="AD341" i="23" s="1"/>
  <c r="AI343" i="23"/>
  <c r="AH343" i="23" s="1"/>
  <c r="AG343" i="23" s="1"/>
  <c r="AF343" i="23" s="1"/>
  <c r="AD343" i="23" s="1"/>
  <c r="AI345" i="23"/>
  <c r="AH345" i="23" s="1"/>
  <c r="AG345" i="23" s="1"/>
  <c r="AF345" i="23" s="1"/>
  <c r="AD345" i="23" s="1"/>
  <c r="AI347" i="23"/>
  <c r="AH347" i="23" s="1"/>
  <c r="AG347" i="23" s="1"/>
  <c r="AF347" i="23" s="1"/>
  <c r="AD347" i="23" s="1"/>
  <c r="AI349" i="23"/>
  <c r="AH349" i="23" s="1"/>
  <c r="AG349" i="23" s="1"/>
  <c r="AF349" i="23" s="1"/>
  <c r="AD349" i="23" s="1"/>
  <c r="AI351" i="23"/>
  <c r="AH351" i="23" s="1"/>
  <c r="AG351" i="23" s="1"/>
  <c r="AF351" i="23" s="1"/>
  <c r="AD351" i="23" s="1"/>
  <c r="AI353" i="23"/>
  <c r="AH353" i="23" s="1"/>
  <c r="AG353" i="23" s="1"/>
  <c r="AF353" i="23" s="1"/>
  <c r="AD353" i="23" s="1"/>
  <c r="AI355" i="23"/>
  <c r="AH355" i="23" s="1"/>
  <c r="AG355" i="23" s="1"/>
  <c r="AF355" i="23" s="1"/>
  <c r="AD355" i="23" s="1"/>
  <c r="AI357" i="23"/>
  <c r="AH357" i="23" s="1"/>
  <c r="AG357" i="23" s="1"/>
  <c r="AF357" i="23" s="1"/>
  <c r="AD357" i="23" s="1"/>
  <c r="AI359" i="23"/>
  <c r="AH359" i="23" s="1"/>
  <c r="AG359" i="23" s="1"/>
  <c r="AF359" i="23" s="1"/>
  <c r="AD359" i="23" s="1"/>
  <c r="AI361" i="23"/>
  <c r="AH361" i="23" s="1"/>
  <c r="AG361" i="23" s="1"/>
  <c r="AF361" i="23" s="1"/>
  <c r="AD361" i="23" s="1"/>
  <c r="AI363" i="23"/>
  <c r="AH363" i="23" s="1"/>
  <c r="AG363" i="23" s="1"/>
  <c r="AF363" i="23" s="1"/>
  <c r="AD363" i="23" s="1"/>
  <c r="AI365" i="23"/>
  <c r="AH365" i="23" s="1"/>
  <c r="AG365" i="23" s="1"/>
  <c r="AF365" i="23" s="1"/>
  <c r="AD365" i="23" s="1"/>
  <c r="AI367" i="23"/>
  <c r="AH367" i="23" s="1"/>
  <c r="AG367" i="23" s="1"/>
  <c r="AF367" i="23" s="1"/>
  <c r="AD367" i="23" s="1"/>
  <c r="AI369" i="23"/>
  <c r="AH369" i="23" s="1"/>
  <c r="AG369" i="23" s="1"/>
  <c r="AF369" i="23" s="1"/>
  <c r="AD369" i="23" s="1"/>
  <c r="AI371" i="23"/>
  <c r="AH371" i="23" s="1"/>
  <c r="AG371" i="23" s="1"/>
  <c r="AF371" i="23" s="1"/>
  <c r="AD371" i="23" s="1"/>
  <c r="AI373" i="23"/>
  <c r="AH373" i="23" s="1"/>
  <c r="AG373" i="23" s="1"/>
  <c r="AF373" i="23" s="1"/>
  <c r="AD373" i="23" s="1"/>
  <c r="AI375" i="23"/>
  <c r="AH375" i="23" s="1"/>
  <c r="AG375" i="23" s="1"/>
  <c r="AF375" i="23" s="1"/>
  <c r="AD375" i="23" s="1"/>
  <c r="AI377" i="23"/>
  <c r="AH377" i="23" s="1"/>
  <c r="AG377" i="23" s="1"/>
  <c r="AF377" i="23" s="1"/>
  <c r="AD377" i="23" s="1"/>
  <c r="AI379" i="23"/>
  <c r="AI22" i="23"/>
  <c r="AH22" i="23" s="1"/>
  <c r="AG22" i="23" s="1"/>
  <c r="AF22" i="23" s="1"/>
  <c r="AD22" i="23" s="1"/>
  <c r="AI16" i="23"/>
  <c r="AH16" i="23" s="1"/>
  <c r="AG16" i="23" s="1"/>
  <c r="AF16" i="23" s="1"/>
  <c r="AD16" i="23" s="1"/>
  <c r="AI24" i="23"/>
  <c r="AH24" i="23" s="1"/>
  <c r="AG24" i="23" s="1"/>
  <c r="AF24" i="23" s="1"/>
  <c r="AD24" i="23" s="1"/>
  <c r="AI28" i="23"/>
  <c r="AH28" i="23" s="1"/>
  <c r="AG28" i="23" s="1"/>
  <c r="AF28" i="23" s="1"/>
  <c r="AD28" i="23" s="1"/>
  <c r="AI32" i="23"/>
  <c r="AH32" i="23" s="1"/>
  <c r="AG32" i="23" s="1"/>
  <c r="AF32" i="23" s="1"/>
  <c r="AD32" i="23" s="1"/>
  <c r="AI36" i="23"/>
  <c r="AH36" i="23" s="1"/>
  <c r="AG36" i="23" s="1"/>
  <c r="AF36" i="23" s="1"/>
  <c r="AD36" i="23" s="1"/>
  <c r="AI40" i="23"/>
  <c r="AH40" i="23" s="1"/>
  <c r="AG40" i="23" s="1"/>
  <c r="AF40" i="23" s="1"/>
  <c r="AD40" i="23" s="1"/>
  <c r="AI44" i="23"/>
  <c r="AH44" i="23" s="1"/>
  <c r="AG44" i="23" s="1"/>
  <c r="AF44" i="23" s="1"/>
  <c r="AD44" i="23" s="1"/>
  <c r="AI48" i="23"/>
  <c r="AH48" i="23" s="1"/>
  <c r="AG48" i="23" s="1"/>
  <c r="AF48" i="23" s="1"/>
  <c r="AD48" i="23" s="1"/>
  <c r="AI52" i="23"/>
  <c r="AH52" i="23" s="1"/>
  <c r="AG52" i="23" s="1"/>
  <c r="AF52" i="23" s="1"/>
  <c r="AD52" i="23" s="1"/>
  <c r="AI56" i="23"/>
  <c r="AH56" i="23" s="1"/>
  <c r="AG56" i="23" s="1"/>
  <c r="AF56" i="23" s="1"/>
  <c r="AD56" i="23" s="1"/>
  <c r="AI60" i="23"/>
  <c r="AH60" i="23" s="1"/>
  <c r="AG60" i="23" s="1"/>
  <c r="AF60" i="23" s="1"/>
  <c r="AD60" i="23" s="1"/>
  <c r="AI64" i="23"/>
  <c r="AH64" i="23" s="1"/>
  <c r="AG64" i="23" s="1"/>
  <c r="AF64" i="23" s="1"/>
  <c r="AD64" i="23" s="1"/>
  <c r="AI68" i="23"/>
  <c r="AH68" i="23" s="1"/>
  <c r="AG68" i="23" s="1"/>
  <c r="AF68" i="23" s="1"/>
  <c r="AD68" i="23" s="1"/>
  <c r="AI72" i="23"/>
  <c r="AH72" i="23" s="1"/>
  <c r="AG72" i="23" s="1"/>
  <c r="AF72" i="23" s="1"/>
  <c r="AD72" i="23" s="1"/>
  <c r="AI76" i="23"/>
  <c r="AH76" i="23" s="1"/>
  <c r="AG76" i="23" s="1"/>
  <c r="AF76" i="23" s="1"/>
  <c r="AD76" i="23" s="1"/>
  <c r="AI80" i="23"/>
  <c r="AH80" i="23" s="1"/>
  <c r="AG80" i="23" s="1"/>
  <c r="AF80" i="23" s="1"/>
  <c r="AD80" i="23" s="1"/>
  <c r="AI84" i="23"/>
  <c r="AH84" i="23" s="1"/>
  <c r="AG84" i="23" s="1"/>
  <c r="AF84" i="23" s="1"/>
  <c r="AD84" i="23" s="1"/>
  <c r="AI88" i="23"/>
  <c r="AH88" i="23" s="1"/>
  <c r="AG88" i="23" s="1"/>
  <c r="AF88" i="23" s="1"/>
  <c r="AD88" i="23" s="1"/>
  <c r="AI92" i="23"/>
  <c r="AH92" i="23" s="1"/>
  <c r="AG92" i="23" s="1"/>
  <c r="AF92" i="23" s="1"/>
  <c r="AD92" i="23" s="1"/>
  <c r="AI96" i="23"/>
  <c r="AH96" i="23" s="1"/>
  <c r="AG96" i="23" s="1"/>
  <c r="AF96" i="23" s="1"/>
  <c r="AD96" i="23" s="1"/>
  <c r="AI100" i="23"/>
  <c r="AH100" i="23" s="1"/>
  <c r="AG100" i="23" s="1"/>
  <c r="AF100" i="23" s="1"/>
  <c r="AD100" i="23" s="1"/>
  <c r="AI104" i="23"/>
  <c r="AH104" i="23" s="1"/>
  <c r="AG104" i="23" s="1"/>
  <c r="AF104" i="23" s="1"/>
  <c r="AD104" i="23" s="1"/>
  <c r="AI108" i="23"/>
  <c r="AH108" i="23" s="1"/>
  <c r="AG108" i="23" s="1"/>
  <c r="AF108" i="23" s="1"/>
  <c r="AD108" i="23" s="1"/>
  <c r="AI112" i="23"/>
  <c r="AH112" i="23" s="1"/>
  <c r="AG112" i="23" s="1"/>
  <c r="AF112" i="23" s="1"/>
  <c r="AD112" i="23" s="1"/>
  <c r="AI116" i="23"/>
  <c r="AH116" i="23" s="1"/>
  <c r="AG116" i="23" s="1"/>
  <c r="AF116" i="23" s="1"/>
  <c r="AD116" i="23" s="1"/>
  <c r="AI120" i="23"/>
  <c r="AH120" i="23" s="1"/>
  <c r="AG120" i="23" s="1"/>
  <c r="AF120" i="23" s="1"/>
  <c r="AD120" i="23" s="1"/>
  <c r="AI124" i="23"/>
  <c r="AH124" i="23" s="1"/>
  <c r="AG124" i="23" s="1"/>
  <c r="AF124" i="23" s="1"/>
  <c r="AD124" i="23" s="1"/>
  <c r="AI128" i="23"/>
  <c r="AH128" i="23" s="1"/>
  <c r="AG128" i="23" s="1"/>
  <c r="AF128" i="23" s="1"/>
  <c r="AD128" i="23" s="1"/>
  <c r="AI132" i="23"/>
  <c r="AH132" i="23" s="1"/>
  <c r="AG132" i="23" s="1"/>
  <c r="AF132" i="23" s="1"/>
  <c r="AD132" i="23" s="1"/>
  <c r="AI136" i="23"/>
  <c r="AH136" i="23" s="1"/>
  <c r="AG136" i="23" s="1"/>
  <c r="AF136" i="23" s="1"/>
  <c r="AD136" i="23" s="1"/>
  <c r="AI140" i="23"/>
  <c r="AH140" i="23" s="1"/>
  <c r="AG140" i="23" s="1"/>
  <c r="AF140" i="23" s="1"/>
  <c r="AD140" i="23" s="1"/>
  <c r="AI144" i="23"/>
  <c r="AH144" i="23" s="1"/>
  <c r="AG144" i="23" s="1"/>
  <c r="AF144" i="23" s="1"/>
  <c r="AD144" i="23" s="1"/>
  <c r="AI148" i="23"/>
  <c r="AH148" i="23" s="1"/>
  <c r="AG148" i="23" s="1"/>
  <c r="AF148" i="23" s="1"/>
  <c r="AD148" i="23" s="1"/>
  <c r="AI152" i="23"/>
  <c r="AH152" i="23" s="1"/>
  <c r="AG152" i="23" s="1"/>
  <c r="AF152" i="23" s="1"/>
  <c r="AD152" i="23" s="1"/>
  <c r="AI156" i="23"/>
  <c r="AH156" i="23" s="1"/>
  <c r="AG156" i="23" s="1"/>
  <c r="AF156" i="23" s="1"/>
  <c r="AD156" i="23" s="1"/>
  <c r="AI160" i="23"/>
  <c r="AH160" i="23" s="1"/>
  <c r="AG160" i="23" s="1"/>
  <c r="AF160" i="23" s="1"/>
  <c r="AD160" i="23" s="1"/>
  <c r="AI164" i="23"/>
  <c r="AH164" i="23" s="1"/>
  <c r="AG164" i="23" s="1"/>
  <c r="AF164" i="23" s="1"/>
  <c r="AD164" i="23" s="1"/>
  <c r="AI168" i="23"/>
  <c r="AH168" i="23" s="1"/>
  <c r="AG168" i="23" s="1"/>
  <c r="AF168" i="23" s="1"/>
  <c r="AD168" i="23" s="1"/>
  <c r="AI172" i="23"/>
  <c r="AH172" i="23" s="1"/>
  <c r="AG172" i="23" s="1"/>
  <c r="AF172" i="23" s="1"/>
  <c r="AD172" i="23" s="1"/>
  <c r="AI176" i="23"/>
  <c r="AH176" i="23" s="1"/>
  <c r="AG176" i="23" s="1"/>
  <c r="AF176" i="23" s="1"/>
  <c r="AD176" i="23" s="1"/>
  <c r="AI180" i="23"/>
  <c r="AH180" i="23" s="1"/>
  <c r="AG180" i="23" s="1"/>
  <c r="AF180" i="23" s="1"/>
  <c r="AD180" i="23" s="1"/>
  <c r="AI184" i="23"/>
  <c r="AH184" i="23" s="1"/>
  <c r="AG184" i="23" s="1"/>
  <c r="AF184" i="23" s="1"/>
  <c r="AD184" i="23" s="1"/>
  <c r="AI188" i="23"/>
  <c r="AH188" i="23" s="1"/>
  <c r="AG188" i="23" s="1"/>
  <c r="AF188" i="23" s="1"/>
  <c r="AD188" i="23" s="1"/>
  <c r="AI192" i="23"/>
  <c r="AH192" i="23" s="1"/>
  <c r="AG192" i="23" s="1"/>
  <c r="AF192" i="23" s="1"/>
  <c r="AD192" i="23" s="1"/>
  <c r="AI196" i="23"/>
  <c r="AH196" i="23" s="1"/>
  <c r="AG196" i="23" s="1"/>
  <c r="AF196" i="23" s="1"/>
  <c r="AD196" i="23" s="1"/>
  <c r="AI200" i="23"/>
  <c r="AH200" i="23" s="1"/>
  <c r="AG200" i="23" s="1"/>
  <c r="AF200" i="23" s="1"/>
  <c r="AD200" i="23" s="1"/>
  <c r="AI204" i="23"/>
  <c r="AH204" i="23" s="1"/>
  <c r="AG204" i="23" s="1"/>
  <c r="AF204" i="23" s="1"/>
  <c r="AD204" i="23" s="1"/>
  <c r="AI208" i="23"/>
  <c r="AH208" i="23" s="1"/>
  <c r="AG208" i="23" s="1"/>
  <c r="AF208" i="23" s="1"/>
  <c r="AD208" i="23" s="1"/>
  <c r="AI212" i="23"/>
  <c r="AH212" i="23" s="1"/>
  <c r="AG212" i="23" s="1"/>
  <c r="AF212" i="23" s="1"/>
  <c r="AD212" i="23" s="1"/>
  <c r="AI216" i="23"/>
  <c r="AH216" i="23" s="1"/>
  <c r="AG216" i="23" s="1"/>
  <c r="AF216" i="23" s="1"/>
  <c r="AD216" i="23" s="1"/>
  <c r="AI220" i="23"/>
  <c r="AH220" i="23" s="1"/>
  <c r="AG220" i="23" s="1"/>
  <c r="AF220" i="23" s="1"/>
  <c r="AD220" i="23" s="1"/>
  <c r="AI224" i="23"/>
  <c r="AH224" i="23" s="1"/>
  <c r="AG224" i="23" s="1"/>
  <c r="AF224" i="23" s="1"/>
  <c r="AD224" i="23" s="1"/>
  <c r="AI228" i="23"/>
  <c r="AH228" i="23" s="1"/>
  <c r="AG228" i="23" s="1"/>
  <c r="AF228" i="23" s="1"/>
  <c r="AD228" i="23" s="1"/>
  <c r="AI232" i="23"/>
  <c r="AH232" i="23" s="1"/>
  <c r="AG232" i="23" s="1"/>
  <c r="AF232" i="23" s="1"/>
  <c r="AD232" i="23" s="1"/>
  <c r="AI236" i="23"/>
  <c r="AH236" i="23" s="1"/>
  <c r="AG236" i="23" s="1"/>
  <c r="AF236" i="23" s="1"/>
  <c r="AD236" i="23" s="1"/>
  <c r="AI240" i="23"/>
  <c r="AH240" i="23" s="1"/>
  <c r="AG240" i="23" s="1"/>
  <c r="AF240" i="23" s="1"/>
  <c r="AD240" i="23" s="1"/>
  <c r="AI244" i="23"/>
  <c r="AH244" i="23" s="1"/>
  <c r="AG244" i="23" s="1"/>
  <c r="AF244" i="23" s="1"/>
  <c r="AD244" i="23" s="1"/>
  <c r="AI248" i="23"/>
  <c r="AH248" i="23" s="1"/>
  <c r="AG248" i="23" s="1"/>
  <c r="AF248" i="23" s="1"/>
  <c r="AD248" i="23" s="1"/>
  <c r="AI252" i="23"/>
  <c r="AH252" i="23" s="1"/>
  <c r="AG252" i="23" s="1"/>
  <c r="AF252" i="23" s="1"/>
  <c r="AD252" i="23" s="1"/>
  <c r="AI256" i="23"/>
  <c r="AH256" i="23" s="1"/>
  <c r="AG256" i="23" s="1"/>
  <c r="AF256" i="23" s="1"/>
  <c r="AD256" i="23" s="1"/>
  <c r="AI260" i="23"/>
  <c r="AH260" i="23" s="1"/>
  <c r="AG260" i="23" s="1"/>
  <c r="AF260" i="23" s="1"/>
  <c r="AD260" i="23" s="1"/>
  <c r="AI264" i="23"/>
  <c r="AH264" i="23" s="1"/>
  <c r="AG264" i="23" s="1"/>
  <c r="AF264" i="23" s="1"/>
  <c r="AD264" i="23" s="1"/>
  <c r="AI268" i="23"/>
  <c r="AH268" i="23" s="1"/>
  <c r="AG268" i="23" s="1"/>
  <c r="AF268" i="23" s="1"/>
  <c r="AD268" i="23" s="1"/>
  <c r="AI272" i="23"/>
  <c r="AH272" i="23" s="1"/>
  <c r="AG272" i="23" s="1"/>
  <c r="AF272" i="23" s="1"/>
  <c r="AD272" i="23" s="1"/>
  <c r="AI276" i="23"/>
  <c r="AH276" i="23" s="1"/>
  <c r="AG276" i="23" s="1"/>
  <c r="AF276" i="23" s="1"/>
  <c r="AD276" i="23" s="1"/>
  <c r="AI280" i="23"/>
  <c r="AH280" i="23" s="1"/>
  <c r="AG280" i="23" s="1"/>
  <c r="AF280" i="23" s="1"/>
  <c r="AD280" i="23" s="1"/>
  <c r="AI284" i="23"/>
  <c r="AH284" i="23" s="1"/>
  <c r="AG284" i="23" s="1"/>
  <c r="AF284" i="23" s="1"/>
  <c r="AD284" i="23" s="1"/>
  <c r="AI288" i="23"/>
  <c r="AH288" i="23" s="1"/>
  <c r="AG288" i="23" s="1"/>
  <c r="AF288" i="23" s="1"/>
  <c r="AD288" i="23" s="1"/>
  <c r="AI292" i="23"/>
  <c r="AH292" i="23" s="1"/>
  <c r="AG292" i="23" s="1"/>
  <c r="AF292" i="23" s="1"/>
  <c r="AD292" i="23" s="1"/>
  <c r="AI296" i="23"/>
  <c r="AH296" i="23" s="1"/>
  <c r="AG296" i="23" s="1"/>
  <c r="AF296" i="23" s="1"/>
  <c r="AD296" i="23" s="1"/>
  <c r="AI300" i="23"/>
  <c r="AH300" i="23" s="1"/>
  <c r="AG300" i="23" s="1"/>
  <c r="AF300" i="23" s="1"/>
  <c r="AD300" i="23" s="1"/>
  <c r="AI304" i="23"/>
  <c r="AH304" i="23" s="1"/>
  <c r="AG304" i="23" s="1"/>
  <c r="AF304" i="23" s="1"/>
  <c r="AD304" i="23" s="1"/>
  <c r="AI308" i="23"/>
  <c r="AH308" i="23" s="1"/>
  <c r="AG308" i="23" s="1"/>
  <c r="AF308" i="23" s="1"/>
  <c r="AD308" i="23" s="1"/>
  <c r="AI312" i="23"/>
  <c r="AH312" i="23" s="1"/>
  <c r="AG312" i="23" s="1"/>
  <c r="AF312" i="23" s="1"/>
  <c r="AD312" i="23" s="1"/>
  <c r="AI316" i="23"/>
  <c r="AH316" i="23" s="1"/>
  <c r="AG316" i="23" s="1"/>
  <c r="AF316" i="23" s="1"/>
  <c r="AD316" i="23" s="1"/>
  <c r="AI320" i="23"/>
  <c r="AH320" i="23" s="1"/>
  <c r="AG320" i="23" s="1"/>
  <c r="AF320" i="23" s="1"/>
  <c r="AD320" i="23" s="1"/>
  <c r="AI324" i="23"/>
  <c r="AH324" i="23" s="1"/>
  <c r="AG324" i="23" s="1"/>
  <c r="AF324" i="23" s="1"/>
  <c r="AD324" i="23" s="1"/>
  <c r="AI328" i="23"/>
  <c r="AH328" i="23" s="1"/>
  <c r="AG328" i="23" s="1"/>
  <c r="AF328" i="23" s="1"/>
  <c r="AD328" i="23" s="1"/>
  <c r="AI332" i="23"/>
  <c r="AH332" i="23" s="1"/>
  <c r="AG332" i="23" s="1"/>
  <c r="AF332" i="23" s="1"/>
  <c r="AD332" i="23" s="1"/>
  <c r="AI336" i="23"/>
  <c r="AH336" i="23" s="1"/>
  <c r="AG336" i="23" s="1"/>
  <c r="AF336" i="23" s="1"/>
  <c r="AD336" i="23" s="1"/>
  <c r="AI340" i="23"/>
  <c r="AH340" i="23" s="1"/>
  <c r="AG340" i="23" s="1"/>
  <c r="AF340" i="23" s="1"/>
  <c r="AD340" i="23" s="1"/>
  <c r="AI344" i="23"/>
  <c r="AH344" i="23" s="1"/>
  <c r="AG344" i="23" s="1"/>
  <c r="AF344" i="23" s="1"/>
  <c r="AD344" i="23" s="1"/>
  <c r="AI348" i="23"/>
  <c r="AH348" i="23" s="1"/>
  <c r="AG348" i="23" s="1"/>
  <c r="AF348" i="23" s="1"/>
  <c r="AD348" i="23" s="1"/>
  <c r="AI352" i="23"/>
  <c r="AH352" i="23" s="1"/>
  <c r="AG352" i="23" s="1"/>
  <c r="AF352" i="23" s="1"/>
  <c r="AD352" i="23" s="1"/>
  <c r="AI356" i="23"/>
  <c r="AH356" i="23" s="1"/>
  <c r="AG356" i="23" s="1"/>
  <c r="AF356" i="23" s="1"/>
  <c r="AD356" i="23" s="1"/>
  <c r="AI360" i="23"/>
  <c r="AH360" i="23" s="1"/>
  <c r="AG360" i="23" s="1"/>
  <c r="AF360" i="23" s="1"/>
  <c r="AD360" i="23" s="1"/>
  <c r="AI364" i="23"/>
  <c r="AH364" i="23" s="1"/>
  <c r="AG364" i="23" s="1"/>
  <c r="AF364" i="23" s="1"/>
  <c r="AD364" i="23" s="1"/>
  <c r="AI368" i="23"/>
  <c r="AH368" i="23" s="1"/>
  <c r="AG368" i="23" s="1"/>
  <c r="AF368" i="23" s="1"/>
  <c r="AD368" i="23" s="1"/>
  <c r="AI372" i="23"/>
  <c r="AH372" i="23" s="1"/>
  <c r="AG372" i="23" s="1"/>
  <c r="AF372" i="23" s="1"/>
  <c r="AD372" i="23" s="1"/>
  <c r="AI376" i="23"/>
  <c r="AH376" i="23" s="1"/>
  <c r="AG376" i="23" s="1"/>
  <c r="AF376" i="23" s="1"/>
  <c r="AD376" i="23" s="1"/>
  <c r="AI106" i="23"/>
  <c r="AH106" i="23" s="1"/>
  <c r="AG106" i="23" s="1"/>
  <c r="AF106" i="23" s="1"/>
  <c r="AD106" i="23" s="1"/>
  <c r="AI118" i="23"/>
  <c r="AH118" i="23" s="1"/>
  <c r="AG118" i="23" s="1"/>
  <c r="AF118" i="23" s="1"/>
  <c r="AD118" i="23" s="1"/>
  <c r="AI126" i="23"/>
  <c r="AH126" i="23" s="1"/>
  <c r="AG126" i="23" s="1"/>
  <c r="AF126" i="23" s="1"/>
  <c r="AD126" i="23" s="1"/>
  <c r="AI134" i="23"/>
  <c r="AH134" i="23" s="1"/>
  <c r="AG134" i="23" s="1"/>
  <c r="AF134" i="23" s="1"/>
  <c r="AD134" i="23" s="1"/>
  <c r="AI142" i="23"/>
  <c r="AH142" i="23" s="1"/>
  <c r="AG142" i="23" s="1"/>
  <c r="AF142" i="23" s="1"/>
  <c r="AD142" i="23" s="1"/>
  <c r="AI154" i="23"/>
  <c r="AH154" i="23" s="1"/>
  <c r="AG154" i="23" s="1"/>
  <c r="AF154" i="23" s="1"/>
  <c r="AD154" i="23" s="1"/>
  <c r="AI162" i="23"/>
  <c r="AH162" i="23" s="1"/>
  <c r="AG162" i="23" s="1"/>
  <c r="AF162" i="23" s="1"/>
  <c r="AD162" i="23" s="1"/>
  <c r="AI166" i="23"/>
  <c r="AH166" i="23" s="1"/>
  <c r="AG166" i="23" s="1"/>
  <c r="AF166" i="23" s="1"/>
  <c r="AD166" i="23" s="1"/>
  <c r="AI174" i="23"/>
  <c r="AH174" i="23" s="1"/>
  <c r="AG174" i="23" s="1"/>
  <c r="AF174" i="23" s="1"/>
  <c r="AD174" i="23" s="1"/>
  <c r="AI182" i="23"/>
  <c r="AH182" i="23" s="1"/>
  <c r="AG182" i="23" s="1"/>
  <c r="AF182" i="23" s="1"/>
  <c r="AD182" i="23" s="1"/>
  <c r="AI190" i="23"/>
  <c r="AH190" i="23" s="1"/>
  <c r="AG190" i="23" s="1"/>
  <c r="AF190" i="23" s="1"/>
  <c r="AD190" i="23" s="1"/>
  <c r="AI198" i="23"/>
  <c r="AH198" i="23" s="1"/>
  <c r="AG198" i="23" s="1"/>
  <c r="AF198" i="23" s="1"/>
  <c r="AD198" i="23" s="1"/>
  <c r="AI210" i="23"/>
  <c r="AH210" i="23" s="1"/>
  <c r="AG210" i="23" s="1"/>
  <c r="AF210" i="23" s="1"/>
  <c r="AD210" i="23" s="1"/>
  <c r="AI218" i="23"/>
  <c r="AH218" i="23" s="1"/>
  <c r="AG218" i="23" s="1"/>
  <c r="AF218" i="23" s="1"/>
  <c r="AD218" i="23" s="1"/>
  <c r="AI226" i="23"/>
  <c r="AH226" i="23" s="1"/>
  <c r="AG226" i="23" s="1"/>
  <c r="AF226" i="23" s="1"/>
  <c r="AD226" i="23" s="1"/>
  <c r="AI230" i="23"/>
  <c r="AH230" i="23" s="1"/>
  <c r="AG230" i="23" s="1"/>
  <c r="AF230" i="23" s="1"/>
  <c r="AD230" i="23" s="1"/>
  <c r="AI242" i="23"/>
  <c r="AH242" i="23" s="1"/>
  <c r="AG242" i="23" s="1"/>
  <c r="AF242" i="23" s="1"/>
  <c r="AD242" i="23" s="1"/>
  <c r="AI250" i="23"/>
  <c r="AH250" i="23" s="1"/>
  <c r="AG250" i="23" s="1"/>
  <c r="AF250" i="23" s="1"/>
  <c r="AD250" i="23" s="1"/>
  <c r="AI258" i="23"/>
  <c r="AH258" i="23" s="1"/>
  <c r="AG258" i="23" s="1"/>
  <c r="AF258" i="23" s="1"/>
  <c r="AD258" i="23" s="1"/>
  <c r="AI266" i="23"/>
  <c r="AH266" i="23" s="1"/>
  <c r="AG266" i="23" s="1"/>
  <c r="AF266" i="23" s="1"/>
  <c r="AD266" i="23" s="1"/>
  <c r="AI274" i="23"/>
  <c r="AH274" i="23" s="1"/>
  <c r="AG274" i="23" s="1"/>
  <c r="AF274" i="23" s="1"/>
  <c r="AD274" i="23" s="1"/>
  <c r="AI282" i="23"/>
  <c r="AH282" i="23" s="1"/>
  <c r="AG282" i="23" s="1"/>
  <c r="AF282" i="23" s="1"/>
  <c r="AD282" i="23" s="1"/>
  <c r="AI290" i="23"/>
  <c r="AH290" i="23" s="1"/>
  <c r="AG290" i="23" s="1"/>
  <c r="AF290" i="23" s="1"/>
  <c r="AD290" i="23" s="1"/>
  <c r="AI298" i="23"/>
  <c r="AH298" i="23" s="1"/>
  <c r="AG298" i="23" s="1"/>
  <c r="AF298" i="23" s="1"/>
  <c r="AD298" i="23" s="1"/>
  <c r="AI306" i="23"/>
  <c r="AH306" i="23" s="1"/>
  <c r="AG306" i="23" s="1"/>
  <c r="AF306" i="23" s="1"/>
  <c r="AD306" i="23" s="1"/>
  <c r="AI314" i="23"/>
  <c r="AH314" i="23" s="1"/>
  <c r="AG314" i="23" s="1"/>
  <c r="AF314" i="23" s="1"/>
  <c r="AD314" i="23" s="1"/>
  <c r="AI322" i="23"/>
  <c r="AH322" i="23" s="1"/>
  <c r="AG322" i="23" s="1"/>
  <c r="AF322" i="23" s="1"/>
  <c r="AD322" i="23" s="1"/>
  <c r="AI330" i="23"/>
  <c r="AH330" i="23" s="1"/>
  <c r="AG330" i="23" s="1"/>
  <c r="AF330" i="23" s="1"/>
  <c r="AD330" i="23" s="1"/>
  <c r="AI338" i="23"/>
  <c r="AH338" i="23" s="1"/>
  <c r="AG338" i="23" s="1"/>
  <c r="AF338" i="23" s="1"/>
  <c r="AD338" i="23" s="1"/>
  <c r="AI346" i="23"/>
  <c r="AH346" i="23" s="1"/>
  <c r="AG346" i="23" s="1"/>
  <c r="AF346" i="23" s="1"/>
  <c r="AD346" i="23" s="1"/>
  <c r="AI354" i="23"/>
  <c r="AH354" i="23" s="1"/>
  <c r="AG354" i="23" s="1"/>
  <c r="AF354" i="23" s="1"/>
  <c r="AD354" i="23" s="1"/>
  <c r="AI362" i="23"/>
  <c r="AH362" i="23" s="1"/>
  <c r="AG362" i="23" s="1"/>
  <c r="AF362" i="23" s="1"/>
  <c r="AD362" i="23" s="1"/>
  <c r="AI370" i="23"/>
  <c r="AH370" i="23" s="1"/>
  <c r="AG370" i="23" s="1"/>
  <c r="AF370" i="23" s="1"/>
  <c r="AD370" i="23" s="1"/>
  <c r="AI378" i="23"/>
  <c r="AH378" i="23" s="1"/>
  <c r="AG378" i="23" s="1"/>
  <c r="AF378" i="23" s="1"/>
  <c r="AD378" i="23" s="1"/>
  <c r="AI23" i="23"/>
  <c r="AH23" i="23" s="1"/>
  <c r="AG23" i="23" s="1"/>
  <c r="AF23" i="23" s="1"/>
  <c r="AD23" i="23" s="1"/>
  <c r="AI15" i="23"/>
  <c r="AI26" i="23"/>
  <c r="AH26" i="23" s="1"/>
  <c r="AG26" i="23" s="1"/>
  <c r="AF26" i="23" s="1"/>
  <c r="AD26" i="23" s="1"/>
  <c r="AI30" i="23"/>
  <c r="AH30" i="23" s="1"/>
  <c r="AG30" i="23" s="1"/>
  <c r="AF30" i="23" s="1"/>
  <c r="AD30" i="23" s="1"/>
  <c r="AI34" i="23"/>
  <c r="AH34" i="23" s="1"/>
  <c r="AG34" i="23" s="1"/>
  <c r="AF34" i="23" s="1"/>
  <c r="AD34" i="23" s="1"/>
  <c r="AI38" i="23"/>
  <c r="AH38" i="23" s="1"/>
  <c r="AG38" i="23" s="1"/>
  <c r="AF38" i="23" s="1"/>
  <c r="AD38" i="23" s="1"/>
  <c r="AI42" i="23"/>
  <c r="AH42" i="23" s="1"/>
  <c r="AG42" i="23" s="1"/>
  <c r="AF42" i="23" s="1"/>
  <c r="AD42" i="23" s="1"/>
  <c r="AI46" i="23"/>
  <c r="AH46" i="23" s="1"/>
  <c r="AG46" i="23" s="1"/>
  <c r="AF46" i="23" s="1"/>
  <c r="AD46" i="23" s="1"/>
  <c r="AI50" i="23"/>
  <c r="AH50" i="23" s="1"/>
  <c r="AG50" i="23" s="1"/>
  <c r="AF50" i="23" s="1"/>
  <c r="AD50" i="23" s="1"/>
  <c r="AI54" i="23"/>
  <c r="AH54" i="23" s="1"/>
  <c r="AG54" i="23" s="1"/>
  <c r="AF54" i="23" s="1"/>
  <c r="AD54" i="23" s="1"/>
  <c r="AI58" i="23"/>
  <c r="AH58" i="23" s="1"/>
  <c r="AG58" i="23" s="1"/>
  <c r="AF58" i="23" s="1"/>
  <c r="AD58" i="23" s="1"/>
  <c r="AI62" i="23"/>
  <c r="AH62" i="23" s="1"/>
  <c r="AG62" i="23" s="1"/>
  <c r="AF62" i="23" s="1"/>
  <c r="AD62" i="23" s="1"/>
  <c r="AI66" i="23"/>
  <c r="AH66" i="23" s="1"/>
  <c r="AG66" i="23" s="1"/>
  <c r="AF66" i="23" s="1"/>
  <c r="AD66" i="23" s="1"/>
  <c r="AI70" i="23"/>
  <c r="AH70" i="23" s="1"/>
  <c r="AG70" i="23" s="1"/>
  <c r="AF70" i="23" s="1"/>
  <c r="AD70" i="23" s="1"/>
  <c r="AI74" i="23"/>
  <c r="AH74" i="23" s="1"/>
  <c r="AG74" i="23" s="1"/>
  <c r="AF74" i="23" s="1"/>
  <c r="AD74" i="23" s="1"/>
  <c r="AI78" i="23"/>
  <c r="AH78" i="23" s="1"/>
  <c r="AG78" i="23" s="1"/>
  <c r="AF78" i="23" s="1"/>
  <c r="AD78" i="23" s="1"/>
  <c r="AI82" i="23"/>
  <c r="AH82" i="23" s="1"/>
  <c r="AG82" i="23" s="1"/>
  <c r="AF82" i="23" s="1"/>
  <c r="AD82" i="23" s="1"/>
  <c r="AI86" i="23"/>
  <c r="AH86" i="23" s="1"/>
  <c r="AG86" i="23" s="1"/>
  <c r="AF86" i="23" s="1"/>
  <c r="AD86" i="23" s="1"/>
  <c r="AI90" i="23"/>
  <c r="AH90" i="23" s="1"/>
  <c r="AG90" i="23" s="1"/>
  <c r="AF90" i="23" s="1"/>
  <c r="AD90" i="23" s="1"/>
  <c r="AI94" i="23"/>
  <c r="AH94" i="23" s="1"/>
  <c r="AG94" i="23" s="1"/>
  <c r="AF94" i="23" s="1"/>
  <c r="AD94" i="23" s="1"/>
  <c r="AI98" i="23"/>
  <c r="AH98" i="23" s="1"/>
  <c r="AG98" i="23" s="1"/>
  <c r="AF98" i="23" s="1"/>
  <c r="AD98" i="23" s="1"/>
  <c r="AI102" i="23"/>
  <c r="AH102" i="23" s="1"/>
  <c r="AG102" i="23" s="1"/>
  <c r="AF102" i="23" s="1"/>
  <c r="AD102" i="23" s="1"/>
  <c r="AI110" i="23"/>
  <c r="AH110" i="23" s="1"/>
  <c r="AG110" i="23" s="1"/>
  <c r="AF110" i="23" s="1"/>
  <c r="AD110" i="23" s="1"/>
  <c r="AI114" i="23"/>
  <c r="AH114" i="23" s="1"/>
  <c r="AG114" i="23" s="1"/>
  <c r="AF114" i="23" s="1"/>
  <c r="AD114" i="23" s="1"/>
  <c r="AI122" i="23"/>
  <c r="AH122" i="23" s="1"/>
  <c r="AG122" i="23" s="1"/>
  <c r="AF122" i="23" s="1"/>
  <c r="AD122" i="23" s="1"/>
  <c r="AI130" i="23"/>
  <c r="AH130" i="23" s="1"/>
  <c r="AG130" i="23" s="1"/>
  <c r="AF130" i="23" s="1"/>
  <c r="AD130" i="23" s="1"/>
  <c r="AI138" i="23"/>
  <c r="AH138" i="23" s="1"/>
  <c r="AG138" i="23" s="1"/>
  <c r="AF138" i="23" s="1"/>
  <c r="AD138" i="23" s="1"/>
  <c r="AI146" i="23"/>
  <c r="AH146" i="23" s="1"/>
  <c r="AG146" i="23" s="1"/>
  <c r="AF146" i="23" s="1"/>
  <c r="AD146" i="23" s="1"/>
  <c r="AI150" i="23"/>
  <c r="AH150" i="23" s="1"/>
  <c r="AG150" i="23" s="1"/>
  <c r="AF150" i="23" s="1"/>
  <c r="AD150" i="23" s="1"/>
  <c r="AI158" i="23"/>
  <c r="AH158" i="23" s="1"/>
  <c r="AG158" i="23" s="1"/>
  <c r="AF158" i="23" s="1"/>
  <c r="AD158" i="23" s="1"/>
  <c r="AI170" i="23"/>
  <c r="AH170" i="23" s="1"/>
  <c r="AG170" i="23" s="1"/>
  <c r="AF170" i="23" s="1"/>
  <c r="AD170" i="23" s="1"/>
  <c r="AI178" i="23"/>
  <c r="AH178" i="23" s="1"/>
  <c r="AG178" i="23" s="1"/>
  <c r="AF178" i="23" s="1"/>
  <c r="AD178" i="23" s="1"/>
  <c r="AI186" i="23"/>
  <c r="AH186" i="23" s="1"/>
  <c r="AG186" i="23" s="1"/>
  <c r="AF186" i="23" s="1"/>
  <c r="AD186" i="23" s="1"/>
  <c r="AI194" i="23"/>
  <c r="AH194" i="23" s="1"/>
  <c r="AG194" i="23" s="1"/>
  <c r="AF194" i="23" s="1"/>
  <c r="AD194" i="23" s="1"/>
  <c r="AI202" i="23"/>
  <c r="AH202" i="23" s="1"/>
  <c r="AG202" i="23" s="1"/>
  <c r="AF202" i="23" s="1"/>
  <c r="AD202" i="23" s="1"/>
  <c r="AI206" i="23"/>
  <c r="AH206" i="23" s="1"/>
  <c r="AG206" i="23" s="1"/>
  <c r="AF206" i="23" s="1"/>
  <c r="AD206" i="23" s="1"/>
  <c r="AI214" i="23"/>
  <c r="AH214" i="23" s="1"/>
  <c r="AG214" i="23" s="1"/>
  <c r="AF214" i="23" s="1"/>
  <c r="AD214" i="23" s="1"/>
  <c r="AI222" i="23"/>
  <c r="AH222" i="23" s="1"/>
  <c r="AG222" i="23" s="1"/>
  <c r="AF222" i="23" s="1"/>
  <c r="AD222" i="23" s="1"/>
  <c r="AI234" i="23"/>
  <c r="AH234" i="23" s="1"/>
  <c r="AG234" i="23" s="1"/>
  <c r="AF234" i="23" s="1"/>
  <c r="AD234" i="23" s="1"/>
  <c r="AI238" i="23"/>
  <c r="AH238" i="23" s="1"/>
  <c r="AG238" i="23" s="1"/>
  <c r="AF238" i="23" s="1"/>
  <c r="AD238" i="23" s="1"/>
  <c r="AI246" i="23"/>
  <c r="AH246" i="23" s="1"/>
  <c r="AG246" i="23" s="1"/>
  <c r="AF246" i="23" s="1"/>
  <c r="AD246" i="23" s="1"/>
  <c r="AI254" i="23"/>
  <c r="AH254" i="23" s="1"/>
  <c r="AG254" i="23" s="1"/>
  <c r="AF254" i="23" s="1"/>
  <c r="AD254" i="23" s="1"/>
  <c r="AI262" i="23"/>
  <c r="AH262" i="23" s="1"/>
  <c r="AG262" i="23" s="1"/>
  <c r="AF262" i="23" s="1"/>
  <c r="AD262" i="23" s="1"/>
  <c r="AI270" i="23"/>
  <c r="AH270" i="23" s="1"/>
  <c r="AG270" i="23" s="1"/>
  <c r="AF270" i="23" s="1"/>
  <c r="AD270" i="23" s="1"/>
  <c r="AI278" i="23"/>
  <c r="AH278" i="23" s="1"/>
  <c r="AG278" i="23" s="1"/>
  <c r="AF278" i="23" s="1"/>
  <c r="AD278" i="23" s="1"/>
  <c r="AI286" i="23"/>
  <c r="AH286" i="23" s="1"/>
  <c r="AG286" i="23" s="1"/>
  <c r="AF286" i="23" s="1"/>
  <c r="AD286" i="23" s="1"/>
  <c r="AI294" i="23"/>
  <c r="AH294" i="23" s="1"/>
  <c r="AG294" i="23" s="1"/>
  <c r="AF294" i="23" s="1"/>
  <c r="AD294" i="23" s="1"/>
  <c r="AI302" i="23"/>
  <c r="AH302" i="23" s="1"/>
  <c r="AG302" i="23" s="1"/>
  <c r="AF302" i="23" s="1"/>
  <c r="AD302" i="23" s="1"/>
  <c r="AI310" i="23"/>
  <c r="AH310" i="23" s="1"/>
  <c r="AG310" i="23" s="1"/>
  <c r="AF310" i="23" s="1"/>
  <c r="AD310" i="23" s="1"/>
  <c r="AI318" i="23"/>
  <c r="AH318" i="23" s="1"/>
  <c r="AG318" i="23" s="1"/>
  <c r="AF318" i="23" s="1"/>
  <c r="AD318" i="23" s="1"/>
  <c r="AI326" i="23"/>
  <c r="AH326" i="23" s="1"/>
  <c r="AG326" i="23" s="1"/>
  <c r="AF326" i="23" s="1"/>
  <c r="AD326" i="23" s="1"/>
  <c r="AI334" i="23"/>
  <c r="AH334" i="23" s="1"/>
  <c r="AG334" i="23" s="1"/>
  <c r="AF334" i="23" s="1"/>
  <c r="AD334" i="23" s="1"/>
  <c r="AI342" i="23"/>
  <c r="AH342" i="23" s="1"/>
  <c r="AG342" i="23" s="1"/>
  <c r="AF342" i="23" s="1"/>
  <c r="AD342" i="23" s="1"/>
  <c r="AI350" i="23"/>
  <c r="AH350" i="23" s="1"/>
  <c r="AG350" i="23" s="1"/>
  <c r="AF350" i="23" s="1"/>
  <c r="AD350" i="23" s="1"/>
  <c r="AI358" i="23"/>
  <c r="AH358" i="23" s="1"/>
  <c r="AG358" i="23" s="1"/>
  <c r="AF358" i="23" s="1"/>
  <c r="AD358" i="23" s="1"/>
  <c r="AI366" i="23"/>
  <c r="AH366" i="23" s="1"/>
  <c r="AG366" i="23" s="1"/>
  <c r="AF366" i="23" s="1"/>
  <c r="AD366" i="23" s="1"/>
  <c r="AI374" i="23"/>
  <c r="AH374" i="23" s="1"/>
  <c r="AG374" i="23" s="1"/>
  <c r="AF374" i="23" s="1"/>
  <c r="AD374" i="23" s="1"/>
  <c r="AG15" i="22"/>
  <c r="AH381" i="22"/>
  <c r="AH383" i="22"/>
  <c r="AH382" i="22"/>
  <c r="U18" i="23"/>
  <c r="U19" i="23"/>
  <c r="T19" i="23" s="1"/>
  <c r="S19" i="23" s="1"/>
  <c r="R19" i="23" s="1"/>
  <c r="P19" i="23" s="1"/>
  <c r="V19" i="23" s="1"/>
  <c r="U24" i="23"/>
  <c r="T24" i="23" s="1"/>
  <c r="S24" i="23" s="1"/>
  <c r="R24" i="23" s="1"/>
  <c r="P24" i="23" s="1"/>
  <c r="V24" i="23" s="1"/>
  <c r="U28" i="23"/>
  <c r="T28" i="23" s="1"/>
  <c r="S28" i="23" s="1"/>
  <c r="R28" i="23" s="1"/>
  <c r="P28" i="23" s="1"/>
  <c r="V28" i="23" s="1"/>
  <c r="U32" i="23"/>
  <c r="T32" i="23" s="1"/>
  <c r="S32" i="23" s="1"/>
  <c r="R32" i="23" s="1"/>
  <c r="P32" i="23" s="1"/>
  <c r="V32" i="23" s="1"/>
  <c r="U36" i="23"/>
  <c r="T36" i="23" s="1"/>
  <c r="S36" i="23" s="1"/>
  <c r="R36" i="23" s="1"/>
  <c r="P36" i="23" s="1"/>
  <c r="V36" i="23" s="1"/>
  <c r="U40" i="23"/>
  <c r="T40" i="23" s="1"/>
  <c r="S40" i="23" s="1"/>
  <c r="R40" i="23" s="1"/>
  <c r="P40" i="23" s="1"/>
  <c r="V40" i="23" s="1"/>
  <c r="U44" i="23"/>
  <c r="T44" i="23" s="1"/>
  <c r="S44" i="23" s="1"/>
  <c r="R44" i="23" s="1"/>
  <c r="P44" i="23" s="1"/>
  <c r="V44" i="23" s="1"/>
  <c r="U48" i="23"/>
  <c r="T48" i="23" s="1"/>
  <c r="S48" i="23" s="1"/>
  <c r="R48" i="23" s="1"/>
  <c r="P48" i="23" s="1"/>
  <c r="V48" i="23" s="1"/>
  <c r="U52" i="23"/>
  <c r="T52" i="23" s="1"/>
  <c r="S52" i="23" s="1"/>
  <c r="R52" i="23" s="1"/>
  <c r="P52" i="23" s="1"/>
  <c r="V52" i="23" s="1"/>
  <c r="U56" i="23"/>
  <c r="T56" i="23" s="1"/>
  <c r="S56" i="23" s="1"/>
  <c r="R56" i="23" s="1"/>
  <c r="P56" i="23" s="1"/>
  <c r="V56" i="23" s="1"/>
  <c r="U60" i="23"/>
  <c r="T60" i="23" s="1"/>
  <c r="S60" i="23" s="1"/>
  <c r="R60" i="23" s="1"/>
  <c r="P60" i="23" s="1"/>
  <c r="V60" i="23" s="1"/>
  <c r="U64" i="23"/>
  <c r="T64" i="23" s="1"/>
  <c r="S64" i="23" s="1"/>
  <c r="R64" i="23" s="1"/>
  <c r="P64" i="23" s="1"/>
  <c r="V64" i="23" s="1"/>
  <c r="U68" i="23"/>
  <c r="T68" i="23" s="1"/>
  <c r="S68" i="23" s="1"/>
  <c r="R68" i="23" s="1"/>
  <c r="P68" i="23" s="1"/>
  <c r="V68" i="23" s="1"/>
  <c r="U72" i="23"/>
  <c r="T72" i="23" s="1"/>
  <c r="S72" i="23" s="1"/>
  <c r="R72" i="23" s="1"/>
  <c r="P72" i="23" s="1"/>
  <c r="V72" i="23" s="1"/>
  <c r="U76" i="23"/>
  <c r="T76" i="23" s="1"/>
  <c r="S76" i="23" s="1"/>
  <c r="R76" i="23" s="1"/>
  <c r="P76" i="23" s="1"/>
  <c r="V76" i="23" s="1"/>
  <c r="U80" i="23"/>
  <c r="T80" i="23" s="1"/>
  <c r="S80" i="23" s="1"/>
  <c r="R80" i="23" s="1"/>
  <c r="P80" i="23" s="1"/>
  <c r="V80" i="23" s="1"/>
  <c r="U84" i="23"/>
  <c r="T84" i="23" s="1"/>
  <c r="S84" i="23" s="1"/>
  <c r="R84" i="23" s="1"/>
  <c r="P84" i="23" s="1"/>
  <c r="V84" i="23" s="1"/>
  <c r="U88" i="23"/>
  <c r="T88" i="23" s="1"/>
  <c r="S88" i="23" s="1"/>
  <c r="R88" i="23" s="1"/>
  <c r="P88" i="23" s="1"/>
  <c r="U92" i="23"/>
  <c r="T92" i="23" s="1"/>
  <c r="S92" i="23" s="1"/>
  <c r="R92" i="23" s="1"/>
  <c r="P92" i="23" s="1"/>
  <c r="V92" i="23" s="1"/>
  <c r="U96" i="23"/>
  <c r="T96" i="23" s="1"/>
  <c r="S96" i="23" s="1"/>
  <c r="R96" i="23" s="1"/>
  <c r="P96" i="23" s="1"/>
  <c r="V96" i="23" s="1"/>
  <c r="U100" i="23"/>
  <c r="T100" i="23" s="1"/>
  <c r="S100" i="23" s="1"/>
  <c r="R100" i="23" s="1"/>
  <c r="P100" i="23" s="1"/>
  <c r="V100" i="23" s="1"/>
  <c r="U104" i="23"/>
  <c r="T104" i="23" s="1"/>
  <c r="S104" i="23" s="1"/>
  <c r="R104" i="23" s="1"/>
  <c r="P104" i="23" s="1"/>
  <c r="V104" i="23" s="1"/>
  <c r="U108" i="23"/>
  <c r="T108" i="23" s="1"/>
  <c r="S108" i="23" s="1"/>
  <c r="R108" i="23" s="1"/>
  <c r="P108" i="23" s="1"/>
  <c r="V108" i="23" s="1"/>
  <c r="U112" i="23"/>
  <c r="T112" i="23" s="1"/>
  <c r="S112" i="23" s="1"/>
  <c r="R112" i="23" s="1"/>
  <c r="P112" i="23" s="1"/>
  <c r="V112" i="23" s="1"/>
  <c r="U116" i="23"/>
  <c r="T116" i="23" s="1"/>
  <c r="S116" i="23" s="1"/>
  <c r="R116" i="23" s="1"/>
  <c r="P116" i="23" s="1"/>
  <c r="V116" i="23" s="1"/>
  <c r="U124" i="23"/>
  <c r="T124" i="23" s="1"/>
  <c r="S124" i="23" s="1"/>
  <c r="R124" i="23" s="1"/>
  <c r="P124" i="23" s="1"/>
  <c r="V124" i="23" s="1"/>
  <c r="U128" i="23"/>
  <c r="T128" i="23" s="1"/>
  <c r="S128" i="23" s="1"/>
  <c r="R128" i="23" s="1"/>
  <c r="P128" i="23" s="1"/>
  <c r="V128" i="23" s="1"/>
  <c r="U132" i="23"/>
  <c r="T132" i="23" s="1"/>
  <c r="S132" i="23" s="1"/>
  <c r="R132" i="23" s="1"/>
  <c r="P132" i="23" s="1"/>
  <c r="V132" i="23" s="1"/>
  <c r="U136" i="23"/>
  <c r="T136" i="23" s="1"/>
  <c r="S136" i="23" s="1"/>
  <c r="R136" i="23" s="1"/>
  <c r="P136" i="23" s="1"/>
  <c r="V136" i="23" s="1"/>
  <c r="U140" i="23"/>
  <c r="T140" i="23" s="1"/>
  <c r="S140" i="23" s="1"/>
  <c r="R140" i="23" s="1"/>
  <c r="P140" i="23" s="1"/>
  <c r="V140" i="23" s="1"/>
  <c r="U144" i="23"/>
  <c r="T144" i="23" s="1"/>
  <c r="S144" i="23" s="1"/>
  <c r="R144" i="23" s="1"/>
  <c r="P144" i="23" s="1"/>
  <c r="V144" i="23" s="1"/>
  <c r="U152" i="23"/>
  <c r="T152" i="23" s="1"/>
  <c r="S152" i="23" s="1"/>
  <c r="R152" i="23" s="1"/>
  <c r="P152" i="23" s="1"/>
  <c r="V152" i="23" s="1"/>
  <c r="U160" i="23"/>
  <c r="T160" i="23" s="1"/>
  <c r="S160" i="23" s="1"/>
  <c r="R160" i="23" s="1"/>
  <c r="P160" i="23" s="1"/>
  <c r="V160" i="23" s="1"/>
  <c r="U168" i="23"/>
  <c r="T168" i="23" s="1"/>
  <c r="S168" i="23" s="1"/>
  <c r="R168" i="23" s="1"/>
  <c r="P168" i="23" s="1"/>
  <c r="V168" i="23" s="1"/>
  <c r="U23" i="23"/>
  <c r="T23" i="23" s="1"/>
  <c r="S23" i="23" s="1"/>
  <c r="R23" i="23" s="1"/>
  <c r="P23" i="23" s="1"/>
  <c r="V23" i="23" s="1"/>
  <c r="AS16" i="7"/>
  <c r="U20" i="23"/>
  <c r="T20" i="23" s="1"/>
  <c r="S20" i="23" s="1"/>
  <c r="R20" i="23" s="1"/>
  <c r="P20" i="23" s="1"/>
  <c r="V20" i="23" s="1"/>
  <c r="U26" i="23"/>
  <c r="T26" i="23" s="1"/>
  <c r="S26" i="23" s="1"/>
  <c r="R26" i="23" s="1"/>
  <c r="P26" i="23" s="1"/>
  <c r="V26" i="23" s="1"/>
  <c r="U30" i="23"/>
  <c r="T30" i="23" s="1"/>
  <c r="S30" i="23" s="1"/>
  <c r="R30" i="23" s="1"/>
  <c r="P30" i="23" s="1"/>
  <c r="V30" i="23" s="1"/>
  <c r="U34" i="23"/>
  <c r="T34" i="23" s="1"/>
  <c r="S34" i="23" s="1"/>
  <c r="R34" i="23" s="1"/>
  <c r="P34" i="23" s="1"/>
  <c r="V34" i="23" s="1"/>
  <c r="U38" i="23"/>
  <c r="T38" i="23" s="1"/>
  <c r="S38" i="23" s="1"/>
  <c r="R38" i="23" s="1"/>
  <c r="P38" i="23" s="1"/>
  <c r="V38" i="23" s="1"/>
  <c r="U42" i="23"/>
  <c r="T42" i="23" s="1"/>
  <c r="S42" i="23" s="1"/>
  <c r="R42" i="23" s="1"/>
  <c r="P42" i="23" s="1"/>
  <c r="V42" i="23" s="1"/>
  <c r="U46" i="23"/>
  <c r="T46" i="23" s="1"/>
  <c r="S46" i="23" s="1"/>
  <c r="R46" i="23" s="1"/>
  <c r="P46" i="23" s="1"/>
  <c r="V46" i="23" s="1"/>
  <c r="U50" i="23"/>
  <c r="T50" i="23" s="1"/>
  <c r="S50" i="23" s="1"/>
  <c r="R50" i="23" s="1"/>
  <c r="P50" i="23" s="1"/>
  <c r="V50" i="23" s="1"/>
  <c r="U54" i="23"/>
  <c r="T54" i="23" s="1"/>
  <c r="S54" i="23" s="1"/>
  <c r="R54" i="23" s="1"/>
  <c r="P54" i="23" s="1"/>
  <c r="V54" i="23" s="1"/>
  <c r="U58" i="23"/>
  <c r="T58" i="23" s="1"/>
  <c r="S58" i="23" s="1"/>
  <c r="R58" i="23" s="1"/>
  <c r="P58" i="23" s="1"/>
  <c r="V58" i="23" s="1"/>
  <c r="U62" i="23"/>
  <c r="T62" i="23" s="1"/>
  <c r="S62" i="23" s="1"/>
  <c r="R62" i="23" s="1"/>
  <c r="P62" i="23" s="1"/>
  <c r="V62" i="23" s="1"/>
  <c r="U66" i="23"/>
  <c r="T66" i="23" s="1"/>
  <c r="S66" i="23" s="1"/>
  <c r="R66" i="23" s="1"/>
  <c r="P66" i="23" s="1"/>
  <c r="V66" i="23" s="1"/>
  <c r="U70" i="23"/>
  <c r="T70" i="23" s="1"/>
  <c r="S70" i="23" s="1"/>
  <c r="R70" i="23" s="1"/>
  <c r="P70" i="23" s="1"/>
  <c r="V70" i="23" s="1"/>
  <c r="U74" i="23"/>
  <c r="T74" i="23" s="1"/>
  <c r="S74" i="23" s="1"/>
  <c r="R74" i="23" s="1"/>
  <c r="P74" i="23" s="1"/>
  <c r="V74" i="23" s="1"/>
  <c r="U78" i="23"/>
  <c r="T78" i="23" s="1"/>
  <c r="S78" i="23" s="1"/>
  <c r="R78" i="23" s="1"/>
  <c r="P78" i="23" s="1"/>
  <c r="V78" i="23" s="1"/>
  <c r="U82" i="23"/>
  <c r="T82" i="23" s="1"/>
  <c r="S82" i="23" s="1"/>
  <c r="R82" i="23" s="1"/>
  <c r="P82" i="23" s="1"/>
  <c r="V82" i="23" s="1"/>
  <c r="U86" i="23"/>
  <c r="T86" i="23" s="1"/>
  <c r="S86" i="23" s="1"/>
  <c r="R86" i="23" s="1"/>
  <c r="P86" i="23" s="1"/>
  <c r="V86" i="23" s="1"/>
  <c r="U90" i="23"/>
  <c r="T90" i="23" s="1"/>
  <c r="S90" i="23" s="1"/>
  <c r="R90" i="23" s="1"/>
  <c r="P90" i="23" s="1"/>
  <c r="V90" i="23" s="1"/>
  <c r="U94" i="23"/>
  <c r="T94" i="23" s="1"/>
  <c r="S94" i="23" s="1"/>
  <c r="R94" i="23" s="1"/>
  <c r="P94" i="23" s="1"/>
  <c r="V94" i="23" s="1"/>
  <c r="U98" i="23"/>
  <c r="T98" i="23" s="1"/>
  <c r="S98" i="23" s="1"/>
  <c r="R98" i="23" s="1"/>
  <c r="P98" i="23" s="1"/>
  <c r="V98" i="23" s="1"/>
  <c r="U102" i="23"/>
  <c r="T102" i="23" s="1"/>
  <c r="S102" i="23" s="1"/>
  <c r="R102" i="23" s="1"/>
  <c r="P102" i="23" s="1"/>
  <c r="V102" i="23" s="1"/>
  <c r="U106" i="23"/>
  <c r="T106" i="23" s="1"/>
  <c r="S106" i="23" s="1"/>
  <c r="R106" i="23" s="1"/>
  <c r="P106" i="23" s="1"/>
  <c r="V106" i="23" s="1"/>
  <c r="U110" i="23"/>
  <c r="T110" i="23" s="1"/>
  <c r="S110" i="23" s="1"/>
  <c r="R110" i="23" s="1"/>
  <c r="P110" i="23" s="1"/>
  <c r="V110" i="23" s="1"/>
  <c r="U114" i="23"/>
  <c r="T114" i="23" s="1"/>
  <c r="S114" i="23" s="1"/>
  <c r="R114" i="23" s="1"/>
  <c r="P114" i="23" s="1"/>
  <c r="V114" i="23" s="1"/>
  <c r="U118" i="23"/>
  <c r="T118" i="23" s="1"/>
  <c r="S118" i="23" s="1"/>
  <c r="R118" i="23" s="1"/>
  <c r="P118" i="23" s="1"/>
  <c r="V118" i="23" s="1"/>
  <c r="U122" i="23"/>
  <c r="T122" i="23" s="1"/>
  <c r="S122" i="23" s="1"/>
  <c r="R122" i="23" s="1"/>
  <c r="P122" i="23" s="1"/>
  <c r="V122" i="23" s="1"/>
  <c r="U126" i="23"/>
  <c r="T126" i="23" s="1"/>
  <c r="S126" i="23" s="1"/>
  <c r="R126" i="23" s="1"/>
  <c r="P126" i="23" s="1"/>
  <c r="V126" i="23" s="1"/>
  <c r="U130" i="23"/>
  <c r="T130" i="23" s="1"/>
  <c r="S130" i="23" s="1"/>
  <c r="R130" i="23" s="1"/>
  <c r="P130" i="23" s="1"/>
  <c r="V130" i="23" s="1"/>
  <c r="U134" i="23"/>
  <c r="T134" i="23" s="1"/>
  <c r="S134" i="23" s="1"/>
  <c r="R134" i="23" s="1"/>
  <c r="P134" i="23" s="1"/>
  <c r="V134" i="23" s="1"/>
  <c r="U138" i="23"/>
  <c r="T138" i="23" s="1"/>
  <c r="S138" i="23" s="1"/>
  <c r="R138" i="23" s="1"/>
  <c r="P138" i="23" s="1"/>
  <c r="V138" i="23" s="1"/>
  <c r="U142" i="23"/>
  <c r="T142" i="23" s="1"/>
  <c r="S142" i="23" s="1"/>
  <c r="R142" i="23" s="1"/>
  <c r="P142" i="23" s="1"/>
  <c r="V142" i="23" s="1"/>
  <c r="U146" i="23"/>
  <c r="T146" i="23" s="1"/>
  <c r="S146" i="23" s="1"/>
  <c r="R146" i="23" s="1"/>
  <c r="P146" i="23" s="1"/>
  <c r="V146" i="23" s="1"/>
  <c r="U150" i="23"/>
  <c r="T150" i="23" s="1"/>
  <c r="S150" i="23" s="1"/>
  <c r="R150" i="23" s="1"/>
  <c r="P150" i="23" s="1"/>
  <c r="V150" i="23" s="1"/>
  <c r="U154" i="23"/>
  <c r="T154" i="23" s="1"/>
  <c r="S154" i="23" s="1"/>
  <c r="R154" i="23" s="1"/>
  <c r="P154" i="23" s="1"/>
  <c r="V154" i="23" s="1"/>
  <c r="U158" i="23"/>
  <c r="T158" i="23" s="1"/>
  <c r="S158" i="23" s="1"/>
  <c r="R158" i="23" s="1"/>
  <c r="P158" i="23" s="1"/>
  <c r="V158" i="23" s="1"/>
  <c r="U162" i="23"/>
  <c r="T162" i="23" s="1"/>
  <c r="S162" i="23" s="1"/>
  <c r="R162" i="23" s="1"/>
  <c r="P162" i="23" s="1"/>
  <c r="V162" i="23" s="1"/>
  <c r="U166" i="23"/>
  <c r="T166" i="23" s="1"/>
  <c r="S166" i="23" s="1"/>
  <c r="R166" i="23" s="1"/>
  <c r="P166" i="23" s="1"/>
  <c r="V166" i="23" s="1"/>
  <c r="U170" i="23"/>
  <c r="T170" i="23" s="1"/>
  <c r="S170" i="23" s="1"/>
  <c r="R170" i="23" s="1"/>
  <c r="P170" i="23" s="1"/>
  <c r="V170" i="23" s="1"/>
  <c r="U174" i="23"/>
  <c r="T174" i="23" s="1"/>
  <c r="S174" i="23" s="1"/>
  <c r="R174" i="23" s="1"/>
  <c r="P174" i="23" s="1"/>
  <c r="V174" i="23" s="1"/>
  <c r="U178" i="23"/>
  <c r="T178" i="23" s="1"/>
  <c r="S178" i="23" s="1"/>
  <c r="R178" i="23" s="1"/>
  <c r="P178" i="23" s="1"/>
  <c r="V178" i="23" s="1"/>
  <c r="U182" i="23"/>
  <c r="T182" i="23" s="1"/>
  <c r="S182" i="23" s="1"/>
  <c r="R182" i="23" s="1"/>
  <c r="P182" i="23" s="1"/>
  <c r="V182" i="23" s="1"/>
  <c r="U185" i="23"/>
  <c r="T185" i="23" s="1"/>
  <c r="S185" i="23" s="1"/>
  <c r="R185" i="23" s="1"/>
  <c r="P185" i="23" s="1"/>
  <c r="V185" i="23" s="1"/>
  <c r="U187" i="23"/>
  <c r="T187" i="23" s="1"/>
  <c r="S187" i="23" s="1"/>
  <c r="R187" i="23" s="1"/>
  <c r="P187" i="23" s="1"/>
  <c r="V187" i="23" s="1"/>
  <c r="U189" i="23"/>
  <c r="T189" i="23" s="1"/>
  <c r="S189" i="23" s="1"/>
  <c r="R189" i="23" s="1"/>
  <c r="P189" i="23" s="1"/>
  <c r="V189" i="23" s="1"/>
  <c r="U191" i="23"/>
  <c r="T191" i="23" s="1"/>
  <c r="S191" i="23" s="1"/>
  <c r="R191" i="23" s="1"/>
  <c r="P191" i="23" s="1"/>
  <c r="V191" i="23" s="1"/>
  <c r="U193" i="23"/>
  <c r="T193" i="23" s="1"/>
  <c r="S193" i="23" s="1"/>
  <c r="R193" i="23" s="1"/>
  <c r="P193" i="23" s="1"/>
  <c r="V193" i="23" s="1"/>
  <c r="U195" i="23"/>
  <c r="T195" i="23" s="1"/>
  <c r="S195" i="23" s="1"/>
  <c r="R195" i="23" s="1"/>
  <c r="P195" i="23" s="1"/>
  <c r="V195" i="23" s="1"/>
  <c r="U197" i="23"/>
  <c r="T197" i="23" s="1"/>
  <c r="S197" i="23" s="1"/>
  <c r="R197" i="23" s="1"/>
  <c r="P197" i="23" s="1"/>
  <c r="V197" i="23" s="1"/>
  <c r="U199" i="23"/>
  <c r="T199" i="23" s="1"/>
  <c r="S199" i="23" s="1"/>
  <c r="R199" i="23" s="1"/>
  <c r="P199" i="23" s="1"/>
  <c r="V199" i="23" s="1"/>
  <c r="U201" i="23"/>
  <c r="T201" i="23" s="1"/>
  <c r="S201" i="23" s="1"/>
  <c r="R201" i="23" s="1"/>
  <c r="P201" i="23" s="1"/>
  <c r="V201" i="23" s="1"/>
  <c r="U203" i="23"/>
  <c r="T203" i="23" s="1"/>
  <c r="S203" i="23" s="1"/>
  <c r="R203" i="23" s="1"/>
  <c r="P203" i="23" s="1"/>
  <c r="V203" i="23" s="1"/>
  <c r="U205" i="23"/>
  <c r="T205" i="23" s="1"/>
  <c r="S205" i="23" s="1"/>
  <c r="R205" i="23" s="1"/>
  <c r="P205" i="23" s="1"/>
  <c r="V205" i="23" s="1"/>
  <c r="U207" i="23"/>
  <c r="T207" i="23" s="1"/>
  <c r="S207" i="23" s="1"/>
  <c r="R207" i="23" s="1"/>
  <c r="P207" i="23" s="1"/>
  <c r="V207" i="23" s="1"/>
  <c r="U209" i="23"/>
  <c r="T209" i="23" s="1"/>
  <c r="S209" i="23" s="1"/>
  <c r="R209" i="23" s="1"/>
  <c r="P209" i="23" s="1"/>
  <c r="V209" i="23" s="1"/>
  <c r="U211" i="23"/>
  <c r="T211" i="23" s="1"/>
  <c r="S211" i="23" s="1"/>
  <c r="R211" i="23" s="1"/>
  <c r="P211" i="23" s="1"/>
  <c r="V211" i="23" s="1"/>
  <c r="U213" i="23"/>
  <c r="T213" i="23" s="1"/>
  <c r="S213" i="23" s="1"/>
  <c r="R213" i="23" s="1"/>
  <c r="P213" i="23" s="1"/>
  <c r="V213" i="23" s="1"/>
  <c r="U215" i="23"/>
  <c r="T215" i="23" s="1"/>
  <c r="S215" i="23" s="1"/>
  <c r="R215" i="23" s="1"/>
  <c r="P215" i="23" s="1"/>
  <c r="V215" i="23" s="1"/>
  <c r="U217" i="23"/>
  <c r="T217" i="23" s="1"/>
  <c r="S217" i="23" s="1"/>
  <c r="R217" i="23" s="1"/>
  <c r="P217" i="23" s="1"/>
  <c r="V217" i="23" s="1"/>
  <c r="U219" i="23"/>
  <c r="T219" i="23" s="1"/>
  <c r="S219" i="23" s="1"/>
  <c r="R219" i="23" s="1"/>
  <c r="P219" i="23" s="1"/>
  <c r="V219" i="23" s="1"/>
  <c r="U221" i="23"/>
  <c r="T221" i="23" s="1"/>
  <c r="S221" i="23" s="1"/>
  <c r="R221" i="23" s="1"/>
  <c r="P221" i="23" s="1"/>
  <c r="V221" i="23" s="1"/>
  <c r="U223" i="23"/>
  <c r="T223" i="23" s="1"/>
  <c r="S223" i="23" s="1"/>
  <c r="R223" i="23" s="1"/>
  <c r="P223" i="23" s="1"/>
  <c r="V223" i="23" s="1"/>
  <c r="U225" i="23"/>
  <c r="T225" i="23" s="1"/>
  <c r="S225" i="23" s="1"/>
  <c r="R225" i="23" s="1"/>
  <c r="P225" i="23" s="1"/>
  <c r="V225" i="23" s="1"/>
  <c r="U227" i="23"/>
  <c r="T227" i="23" s="1"/>
  <c r="S227" i="23" s="1"/>
  <c r="R227" i="23" s="1"/>
  <c r="P227" i="23" s="1"/>
  <c r="V227" i="23" s="1"/>
  <c r="U229" i="23"/>
  <c r="T229" i="23" s="1"/>
  <c r="S229" i="23" s="1"/>
  <c r="R229" i="23" s="1"/>
  <c r="P229" i="23" s="1"/>
  <c r="V229" i="23" s="1"/>
  <c r="U231" i="23"/>
  <c r="T231" i="23" s="1"/>
  <c r="S231" i="23" s="1"/>
  <c r="R231" i="23" s="1"/>
  <c r="P231" i="23" s="1"/>
  <c r="V231" i="23" s="1"/>
  <c r="U233" i="23"/>
  <c r="T233" i="23" s="1"/>
  <c r="S233" i="23" s="1"/>
  <c r="R233" i="23" s="1"/>
  <c r="P233" i="23" s="1"/>
  <c r="V233" i="23" s="1"/>
  <c r="U235" i="23"/>
  <c r="T235" i="23" s="1"/>
  <c r="S235" i="23" s="1"/>
  <c r="R235" i="23" s="1"/>
  <c r="P235" i="23" s="1"/>
  <c r="V235" i="23" s="1"/>
  <c r="U237" i="23"/>
  <c r="T237" i="23" s="1"/>
  <c r="S237" i="23" s="1"/>
  <c r="R237" i="23" s="1"/>
  <c r="P237" i="23" s="1"/>
  <c r="V237" i="23" s="1"/>
  <c r="U239" i="23"/>
  <c r="T239" i="23" s="1"/>
  <c r="S239" i="23" s="1"/>
  <c r="R239" i="23" s="1"/>
  <c r="P239" i="23" s="1"/>
  <c r="V239" i="23" s="1"/>
  <c r="U241" i="23"/>
  <c r="T241" i="23" s="1"/>
  <c r="S241" i="23" s="1"/>
  <c r="R241" i="23" s="1"/>
  <c r="P241" i="23" s="1"/>
  <c r="V241" i="23" s="1"/>
  <c r="U243" i="23"/>
  <c r="T243" i="23" s="1"/>
  <c r="S243" i="23" s="1"/>
  <c r="R243" i="23" s="1"/>
  <c r="P243" i="23" s="1"/>
  <c r="V243" i="23" s="1"/>
  <c r="U245" i="23"/>
  <c r="T245" i="23" s="1"/>
  <c r="S245" i="23" s="1"/>
  <c r="R245" i="23" s="1"/>
  <c r="P245" i="23" s="1"/>
  <c r="V245" i="23" s="1"/>
  <c r="U247" i="23"/>
  <c r="T247" i="23" s="1"/>
  <c r="S247" i="23" s="1"/>
  <c r="R247" i="23" s="1"/>
  <c r="P247" i="23" s="1"/>
  <c r="V247" i="23" s="1"/>
  <c r="U249" i="23"/>
  <c r="T249" i="23" s="1"/>
  <c r="S249" i="23" s="1"/>
  <c r="R249" i="23" s="1"/>
  <c r="P249" i="23" s="1"/>
  <c r="V249" i="23" s="1"/>
  <c r="U251" i="23"/>
  <c r="T251" i="23" s="1"/>
  <c r="S251" i="23" s="1"/>
  <c r="R251" i="23" s="1"/>
  <c r="P251" i="23" s="1"/>
  <c r="V251" i="23" s="1"/>
  <c r="U253" i="23"/>
  <c r="T253" i="23" s="1"/>
  <c r="S253" i="23" s="1"/>
  <c r="R253" i="23" s="1"/>
  <c r="P253" i="23" s="1"/>
  <c r="V253" i="23" s="1"/>
  <c r="U255" i="23"/>
  <c r="T255" i="23" s="1"/>
  <c r="S255" i="23" s="1"/>
  <c r="R255" i="23" s="1"/>
  <c r="P255" i="23" s="1"/>
  <c r="V255" i="23" s="1"/>
  <c r="U257" i="23"/>
  <c r="T257" i="23" s="1"/>
  <c r="S257" i="23" s="1"/>
  <c r="R257" i="23" s="1"/>
  <c r="P257" i="23" s="1"/>
  <c r="V257" i="23" s="1"/>
  <c r="U259" i="23"/>
  <c r="T259" i="23" s="1"/>
  <c r="S259" i="23" s="1"/>
  <c r="R259" i="23" s="1"/>
  <c r="P259" i="23" s="1"/>
  <c r="V259" i="23" s="1"/>
  <c r="U261" i="23"/>
  <c r="T261" i="23" s="1"/>
  <c r="S261" i="23" s="1"/>
  <c r="R261" i="23" s="1"/>
  <c r="P261" i="23" s="1"/>
  <c r="V261" i="23" s="1"/>
  <c r="U263" i="23"/>
  <c r="T263" i="23" s="1"/>
  <c r="S263" i="23" s="1"/>
  <c r="R263" i="23" s="1"/>
  <c r="P263" i="23" s="1"/>
  <c r="V263" i="23" s="1"/>
  <c r="U265" i="23"/>
  <c r="T265" i="23" s="1"/>
  <c r="S265" i="23" s="1"/>
  <c r="R265" i="23" s="1"/>
  <c r="P265" i="23" s="1"/>
  <c r="V265" i="23" s="1"/>
  <c r="U267" i="23"/>
  <c r="T267" i="23" s="1"/>
  <c r="S267" i="23" s="1"/>
  <c r="R267" i="23" s="1"/>
  <c r="P267" i="23" s="1"/>
  <c r="V267" i="23" s="1"/>
  <c r="U269" i="23"/>
  <c r="T269" i="23" s="1"/>
  <c r="S269" i="23" s="1"/>
  <c r="R269" i="23" s="1"/>
  <c r="P269" i="23" s="1"/>
  <c r="V269" i="23" s="1"/>
  <c r="U271" i="23"/>
  <c r="T271" i="23" s="1"/>
  <c r="S271" i="23" s="1"/>
  <c r="R271" i="23" s="1"/>
  <c r="P271" i="23" s="1"/>
  <c r="V271" i="23" s="1"/>
  <c r="U273" i="23"/>
  <c r="T273" i="23" s="1"/>
  <c r="S273" i="23" s="1"/>
  <c r="R273" i="23" s="1"/>
  <c r="P273" i="23" s="1"/>
  <c r="V273" i="23" s="1"/>
  <c r="U275" i="23"/>
  <c r="T275" i="23" s="1"/>
  <c r="S275" i="23" s="1"/>
  <c r="R275" i="23" s="1"/>
  <c r="P275" i="23" s="1"/>
  <c r="V275" i="23" s="1"/>
  <c r="U277" i="23"/>
  <c r="T277" i="23" s="1"/>
  <c r="S277" i="23" s="1"/>
  <c r="R277" i="23" s="1"/>
  <c r="P277" i="23" s="1"/>
  <c r="V277" i="23" s="1"/>
  <c r="U279" i="23"/>
  <c r="T279" i="23" s="1"/>
  <c r="S279" i="23" s="1"/>
  <c r="R279" i="23" s="1"/>
  <c r="P279" i="23" s="1"/>
  <c r="V279" i="23" s="1"/>
  <c r="U281" i="23"/>
  <c r="T281" i="23" s="1"/>
  <c r="S281" i="23" s="1"/>
  <c r="R281" i="23" s="1"/>
  <c r="P281" i="23" s="1"/>
  <c r="V281" i="23" s="1"/>
  <c r="U283" i="23"/>
  <c r="T283" i="23" s="1"/>
  <c r="S283" i="23" s="1"/>
  <c r="R283" i="23" s="1"/>
  <c r="P283" i="23" s="1"/>
  <c r="V283" i="23" s="1"/>
  <c r="U285" i="23"/>
  <c r="T285" i="23" s="1"/>
  <c r="S285" i="23" s="1"/>
  <c r="R285" i="23" s="1"/>
  <c r="P285" i="23" s="1"/>
  <c r="V285" i="23" s="1"/>
  <c r="U287" i="23"/>
  <c r="T287" i="23" s="1"/>
  <c r="S287" i="23" s="1"/>
  <c r="R287" i="23" s="1"/>
  <c r="P287" i="23" s="1"/>
  <c r="V287" i="23" s="1"/>
  <c r="U289" i="23"/>
  <c r="T289" i="23" s="1"/>
  <c r="S289" i="23" s="1"/>
  <c r="R289" i="23" s="1"/>
  <c r="P289" i="23" s="1"/>
  <c r="V289" i="23" s="1"/>
  <c r="U291" i="23"/>
  <c r="T291" i="23" s="1"/>
  <c r="S291" i="23" s="1"/>
  <c r="R291" i="23" s="1"/>
  <c r="P291" i="23" s="1"/>
  <c r="V291" i="23" s="1"/>
  <c r="U293" i="23"/>
  <c r="T293" i="23" s="1"/>
  <c r="S293" i="23" s="1"/>
  <c r="R293" i="23" s="1"/>
  <c r="P293" i="23" s="1"/>
  <c r="V293" i="23" s="1"/>
  <c r="U295" i="23"/>
  <c r="T295" i="23" s="1"/>
  <c r="S295" i="23" s="1"/>
  <c r="R295" i="23" s="1"/>
  <c r="P295" i="23" s="1"/>
  <c r="V295" i="23" s="1"/>
  <c r="U297" i="23"/>
  <c r="T297" i="23" s="1"/>
  <c r="S297" i="23" s="1"/>
  <c r="R297" i="23" s="1"/>
  <c r="P297" i="23" s="1"/>
  <c r="V297" i="23" s="1"/>
  <c r="U299" i="23"/>
  <c r="T299" i="23" s="1"/>
  <c r="S299" i="23" s="1"/>
  <c r="R299" i="23" s="1"/>
  <c r="P299" i="23" s="1"/>
  <c r="V299" i="23" s="1"/>
  <c r="U301" i="23"/>
  <c r="T301" i="23" s="1"/>
  <c r="S301" i="23" s="1"/>
  <c r="R301" i="23" s="1"/>
  <c r="P301" i="23" s="1"/>
  <c r="V301" i="23" s="1"/>
  <c r="U303" i="23"/>
  <c r="T303" i="23" s="1"/>
  <c r="S303" i="23" s="1"/>
  <c r="R303" i="23" s="1"/>
  <c r="P303" i="23" s="1"/>
  <c r="V303" i="23" s="1"/>
  <c r="U305" i="23"/>
  <c r="T305" i="23" s="1"/>
  <c r="S305" i="23" s="1"/>
  <c r="R305" i="23" s="1"/>
  <c r="P305" i="23" s="1"/>
  <c r="V305" i="23" s="1"/>
  <c r="U307" i="23"/>
  <c r="T307" i="23" s="1"/>
  <c r="S307" i="23" s="1"/>
  <c r="R307" i="23" s="1"/>
  <c r="P307" i="23" s="1"/>
  <c r="V307" i="23" s="1"/>
  <c r="U309" i="23"/>
  <c r="T309" i="23" s="1"/>
  <c r="S309" i="23" s="1"/>
  <c r="R309" i="23" s="1"/>
  <c r="P309" i="23" s="1"/>
  <c r="V309" i="23" s="1"/>
  <c r="U311" i="23"/>
  <c r="T311" i="23" s="1"/>
  <c r="S311" i="23" s="1"/>
  <c r="R311" i="23" s="1"/>
  <c r="P311" i="23" s="1"/>
  <c r="V311" i="23" s="1"/>
  <c r="U313" i="23"/>
  <c r="T313" i="23" s="1"/>
  <c r="S313" i="23" s="1"/>
  <c r="R313" i="23" s="1"/>
  <c r="P313" i="23" s="1"/>
  <c r="V313" i="23" s="1"/>
  <c r="U315" i="23"/>
  <c r="T315" i="23" s="1"/>
  <c r="S315" i="23" s="1"/>
  <c r="R315" i="23" s="1"/>
  <c r="P315" i="23" s="1"/>
  <c r="V315" i="23" s="1"/>
  <c r="U317" i="23"/>
  <c r="T317" i="23" s="1"/>
  <c r="S317" i="23" s="1"/>
  <c r="R317" i="23" s="1"/>
  <c r="P317" i="23" s="1"/>
  <c r="V317" i="23" s="1"/>
  <c r="U319" i="23"/>
  <c r="T319" i="23" s="1"/>
  <c r="S319" i="23" s="1"/>
  <c r="R319" i="23" s="1"/>
  <c r="P319" i="23" s="1"/>
  <c r="V319" i="23" s="1"/>
  <c r="U321" i="23"/>
  <c r="T321" i="23" s="1"/>
  <c r="S321" i="23" s="1"/>
  <c r="R321" i="23" s="1"/>
  <c r="P321" i="23" s="1"/>
  <c r="V321" i="23" s="1"/>
  <c r="U323" i="23"/>
  <c r="T323" i="23" s="1"/>
  <c r="S323" i="23" s="1"/>
  <c r="R323" i="23" s="1"/>
  <c r="P323" i="23" s="1"/>
  <c r="V323" i="23" s="1"/>
  <c r="U325" i="23"/>
  <c r="T325" i="23" s="1"/>
  <c r="S325" i="23" s="1"/>
  <c r="R325" i="23" s="1"/>
  <c r="P325" i="23" s="1"/>
  <c r="V325" i="23" s="1"/>
  <c r="U327" i="23"/>
  <c r="T327" i="23" s="1"/>
  <c r="S327" i="23" s="1"/>
  <c r="R327" i="23" s="1"/>
  <c r="P327" i="23" s="1"/>
  <c r="V327" i="23" s="1"/>
  <c r="U329" i="23"/>
  <c r="T329" i="23" s="1"/>
  <c r="S329" i="23" s="1"/>
  <c r="R329" i="23" s="1"/>
  <c r="P329" i="23" s="1"/>
  <c r="V329" i="23" s="1"/>
  <c r="U331" i="23"/>
  <c r="T331" i="23" s="1"/>
  <c r="S331" i="23" s="1"/>
  <c r="R331" i="23" s="1"/>
  <c r="P331" i="23" s="1"/>
  <c r="V331" i="23" s="1"/>
  <c r="U333" i="23"/>
  <c r="T333" i="23" s="1"/>
  <c r="S333" i="23" s="1"/>
  <c r="R333" i="23" s="1"/>
  <c r="P333" i="23" s="1"/>
  <c r="AH54" i="7" s="1"/>
  <c r="U335" i="23"/>
  <c r="T335" i="23" s="1"/>
  <c r="S335" i="23" s="1"/>
  <c r="R335" i="23" s="1"/>
  <c r="P335" i="23" s="1"/>
  <c r="V335" i="23" s="1"/>
  <c r="U337" i="23"/>
  <c r="T337" i="23" s="1"/>
  <c r="S337" i="23" s="1"/>
  <c r="R337" i="23" s="1"/>
  <c r="P337" i="23" s="1"/>
  <c r="V337" i="23" s="1"/>
  <c r="U339" i="23"/>
  <c r="T339" i="23" s="1"/>
  <c r="S339" i="23" s="1"/>
  <c r="R339" i="23" s="1"/>
  <c r="P339" i="23" s="1"/>
  <c r="V339" i="23" s="1"/>
  <c r="U341" i="23"/>
  <c r="T341" i="23" s="1"/>
  <c r="S341" i="23" s="1"/>
  <c r="R341" i="23" s="1"/>
  <c r="P341" i="23" s="1"/>
  <c r="V341" i="23" s="1"/>
  <c r="U343" i="23"/>
  <c r="T343" i="23" s="1"/>
  <c r="S343" i="23" s="1"/>
  <c r="R343" i="23" s="1"/>
  <c r="P343" i="23" s="1"/>
  <c r="V343" i="23" s="1"/>
  <c r="U345" i="23"/>
  <c r="T345" i="23" s="1"/>
  <c r="S345" i="23" s="1"/>
  <c r="R345" i="23" s="1"/>
  <c r="P345" i="23" s="1"/>
  <c r="V345" i="23" s="1"/>
  <c r="U347" i="23"/>
  <c r="T347" i="23" s="1"/>
  <c r="S347" i="23" s="1"/>
  <c r="R347" i="23" s="1"/>
  <c r="P347" i="23" s="1"/>
  <c r="V347" i="23" s="1"/>
  <c r="U349" i="23"/>
  <c r="T349" i="23" s="1"/>
  <c r="S349" i="23" s="1"/>
  <c r="R349" i="23" s="1"/>
  <c r="P349" i="23" s="1"/>
  <c r="V349" i="23" s="1"/>
  <c r="U351" i="23"/>
  <c r="T351" i="23" s="1"/>
  <c r="S351" i="23" s="1"/>
  <c r="R351" i="23" s="1"/>
  <c r="P351" i="23" s="1"/>
  <c r="V351" i="23" s="1"/>
  <c r="U353" i="23"/>
  <c r="T353" i="23" s="1"/>
  <c r="S353" i="23" s="1"/>
  <c r="R353" i="23" s="1"/>
  <c r="P353" i="23" s="1"/>
  <c r="V353" i="23" s="1"/>
  <c r="U355" i="23"/>
  <c r="T355" i="23" s="1"/>
  <c r="S355" i="23" s="1"/>
  <c r="R355" i="23" s="1"/>
  <c r="P355" i="23" s="1"/>
  <c r="V355" i="23" s="1"/>
  <c r="U357" i="23"/>
  <c r="T357" i="23" s="1"/>
  <c r="S357" i="23" s="1"/>
  <c r="R357" i="23" s="1"/>
  <c r="P357" i="23" s="1"/>
  <c r="V357" i="23" s="1"/>
  <c r="U359" i="23"/>
  <c r="T359" i="23" s="1"/>
  <c r="S359" i="23" s="1"/>
  <c r="R359" i="23" s="1"/>
  <c r="P359" i="23" s="1"/>
  <c r="V359" i="23" s="1"/>
  <c r="U361" i="23"/>
  <c r="T361" i="23" s="1"/>
  <c r="S361" i="23" s="1"/>
  <c r="R361" i="23" s="1"/>
  <c r="P361" i="23" s="1"/>
  <c r="V361" i="23" s="1"/>
  <c r="U363" i="23"/>
  <c r="T363" i="23" s="1"/>
  <c r="S363" i="23" s="1"/>
  <c r="R363" i="23" s="1"/>
  <c r="P363" i="23" s="1"/>
  <c r="AH55" i="7" s="1"/>
  <c r="U365" i="23"/>
  <c r="T365" i="23" s="1"/>
  <c r="S365" i="23" s="1"/>
  <c r="R365" i="23" s="1"/>
  <c r="P365" i="23" s="1"/>
  <c r="V365" i="23" s="1"/>
  <c r="U367" i="23"/>
  <c r="T367" i="23" s="1"/>
  <c r="S367" i="23" s="1"/>
  <c r="R367" i="23" s="1"/>
  <c r="P367" i="23" s="1"/>
  <c r="V367" i="23" s="1"/>
  <c r="U369" i="23"/>
  <c r="T369" i="23" s="1"/>
  <c r="S369" i="23" s="1"/>
  <c r="R369" i="23" s="1"/>
  <c r="P369" i="23" s="1"/>
  <c r="V369" i="23" s="1"/>
  <c r="U371" i="23"/>
  <c r="T371" i="23" s="1"/>
  <c r="S371" i="23" s="1"/>
  <c r="R371" i="23" s="1"/>
  <c r="P371" i="23" s="1"/>
  <c r="V371" i="23" s="1"/>
  <c r="U373" i="23"/>
  <c r="T373" i="23" s="1"/>
  <c r="S373" i="23" s="1"/>
  <c r="R373" i="23" s="1"/>
  <c r="P373" i="23" s="1"/>
  <c r="V373" i="23" s="1"/>
  <c r="U375" i="23"/>
  <c r="T375" i="23" s="1"/>
  <c r="S375" i="23" s="1"/>
  <c r="R375" i="23" s="1"/>
  <c r="P375" i="23" s="1"/>
  <c r="V375" i="23" s="1"/>
  <c r="U377" i="23"/>
  <c r="T377" i="23" s="1"/>
  <c r="S377" i="23" s="1"/>
  <c r="R377" i="23" s="1"/>
  <c r="P377" i="23" s="1"/>
  <c r="V377" i="23" s="1"/>
  <c r="U379" i="23"/>
  <c r="U120" i="23"/>
  <c r="T120" i="23" s="1"/>
  <c r="S120" i="23" s="1"/>
  <c r="R120" i="23" s="1"/>
  <c r="P120" i="23" s="1"/>
  <c r="V120" i="23" s="1"/>
  <c r="U148" i="23"/>
  <c r="T148" i="23" s="1"/>
  <c r="S148" i="23" s="1"/>
  <c r="R148" i="23" s="1"/>
  <c r="P148" i="23" s="1"/>
  <c r="V148" i="23" s="1"/>
  <c r="U156" i="23"/>
  <c r="T156" i="23" s="1"/>
  <c r="S156" i="23" s="1"/>
  <c r="R156" i="23" s="1"/>
  <c r="P156" i="23" s="1"/>
  <c r="V156" i="23" s="1"/>
  <c r="U164" i="23"/>
  <c r="T164" i="23" s="1"/>
  <c r="S164" i="23" s="1"/>
  <c r="R164" i="23" s="1"/>
  <c r="P164" i="23" s="1"/>
  <c r="V164" i="23" s="1"/>
  <c r="U176" i="23"/>
  <c r="T176" i="23" s="1"/>
  <c r="S176" i="23" s="1"/>
  <c r="R176" i="23" s="1"/>
  <c r="P176" i="23" s="1"/>
  <c r="V176" i="23" s="1"/>
  <c r="U184" i="23"/>
  <c r="T184" i="23" s="1"/>
  <c r="S184" i="23" s="1"/>
  <c r="R184" i="23" s="1"/>
  <c r="P184" i="23" s="1"/>
  <c r="V184" i="23" s="1"/>
  <c r="U188" i="23"/>
  <c r="T188" i="23" s="1"/>
  <c r="S188" i="23" s="1"/>
  <c r="R188" i="23" s="1"/>
  <c r="P188" i="23" s="1"/>
  <c r="V188" i="23" s="1"/>
  <c r="U192" i="23"/>
  <c r="T192" i="23" s="1"/>
  <c r="S192" i="23" s="1"/>
  <c r="R192" i="23" s="1"/>
  <c r="P192" i="23" s="1"/>
  <c r="V192" i="23" s="1"/>
  <c r="U196" i="23"/>
  <c r="T196" i="23" s="1"/>
  <c r="S196" i="23" s="1"/>
  <c r="R196" i="23" s="1"/>
  <c r="P196" i="23" s="1"/>
  <c r="V196" i="23" s="1"/>
  <c r="U200" i="23"/>
  <c r="T200" i="23" s="1"/>
  <c r="S200" i="23" s="1"/>
  <c r="R200" i="23" s="1"/>
  <c r="P200" i="23" s="1"/>
  <c r="V200" i="23" s="1"/>
  <c r="U204" i="23"/>
  <c r="T204" i="23" s="1"/>
  <c r="S204" i="23" s="1"/>
  <c r="R204" i="23" s="1"/>
  <c r="P204" i="23" s="1"/>
  <c r="V204" i="23" s="1"/>
  <c r="U208" i="23"/>
  <c r="T208" i="23" s="1"/>
  <c r="S208" i="23" s="1"/>
  <c r="R208" i="23" s="1"/>
  <c r="P208" i="23" s="1"/>
  <c r="V208" i="23" s="1"/>
  <c r="U212" i="23"/>
  <c r="T212" i="23" s="1"/>
  <c r="S212" i="23" s="1"/>
  <c r="R212" i="23" s="1"/>
  <c r="P212" i="23" s="1"/>
  <c r="V212" i="23" s="1"/>
  <c r="U216" i="23"/>
  <c r="T216" i="23" s="1"/>
  <c r="S216" i="23" s="1"/>
  <c r="R216" i="23" s="1"/>
  <c r="P216" i="23" s="1"/>
  <c r="V216" i="23" s="1"/>
  <c r="U220" i="23"/>
  <c r="T220" i="23" s="1"/>
  <c r="S220" i="23" s="1"/>
  <c r="R220" i="23" s="1"/>
  <c r="P220" i="23" s="1"/>
  <c r="V220" i="23" s="1"/>
  <c r="U224" i="23"/>
  <c r="T224" i="23" s="1"/>
  <c r="S224" i="23" s="1"/>
  <c r="R224" i="23" s="1"/>
  <c r="P224" i="23" s="1"/>
  <c r="V224" i="23" s="1"/>
  <c r="U228" i="23"/>
  <c r="T228" i="23" s="1"/>
  <c r="S228" i="23" s="1"/>
  <c r="R228" i="23" s="1"/>
  <c r="P228" i="23" s="1"/>
  <c r="V228" i="23" s="1"/>
  <c r="U232" i="23"/>
  <c r="T232" i="23" s="1"/>
  <c r="S232" i="23" s="1"/>
  <c r="R232" i="23" s="1"/>
  <c r="P232" i="23" s="1"/>
  <c r="V232" i="23" s="1"/>
  <c r="U236" i="23"/>
  <c r="T236" i="23" s="1"/>
  <c r="S236" i="23" s="1"/>
  <c r="R236" i="23" s="1"/>
  <c r="P236" i="23" s="1"/>
  <c r="V236" i="23" s="1"/>
  <c r="U240" i="23"/>
  <c r="T240" i="23" s="1"/>
  <c r="S240" i="23" s="1"/>
  <c r="R240" i="23" s="1"/>
  <c r="P240" i="23" s="1"/>
  <c r="V240" i="23" s="1"/>
  <c r="U244" i="23"/>
  <c r="T244" i="23" s="1"/>
  <c r="S244" i="23" s="1"/>
  <c r="R244" i="23" s="1"/>
  <c r="P244" i="23" s="1"/>
  <c r="V244" i="23" s="1"/>
  <c r="U248" i="23"/>
  <c r="T248" i="23" s="1"/>
  <c r="S248" i="23" s="1"/>
  <c r="R248" i="23" s="1"/>
  <c r="P248" i="23" s="1"/>
  <c r="V248" i="23" s="1"/>
  <c r="U252" i="23"/>
  <c r="T252" i="23" s="1"/>
  <c r="S252" i="23" s="1"/>
  <c r="R252" i="23" s="1"/>
  <c r="P252" i="23" s="1"/>
  <c r="V252" i="23" s="1"/>
  <c r="U256" i="23"/>
  <c r="T256" i="23" s="1"/>
  <c r="S256" i="23" s="1"/>
  <c r="R256" i="23" s="1"/>
  <c r="P256" i="23" s="1"/>
  <c r="V256" i="23" s="1"/>
  <c r="U260" i="23"/>
  <c r="T260" i="23" s="1"/>
  <c r="S260" i="23" s="1"/>
  <c r="R260" i="23" s="1"/>
  <c r="P260" i="23" s="1"/>
  <c r="V260" i="23" s="1"/>
  <c r="U264" i="23"/>
  <c r="T264" i="23" s="1"/>
  <c r="S264" i="23" s="1"/>
  <c r="R264" i="23" s="1"/>
  <c r="P264" i="23" s="1"/>
  <c r="V264" i="23" s="1"/>
  <c r="U268" i="23"/>
  <c r="T268" i="23" s="1"/>
  <c r="S268" i="23" s="1"/>
  <c r="R268" i="23" s="1"/>
  <c r="P268" i="23" s="1"/>
  <c r="V268" i="23" s="1"/>
  <c r="U272" i="23"/>
  <c r="T272" i="23" s="1"/>
  <c r="S272" i="23" s="1"/>
  <c r="R272" i="23" s="1"/>
  <c r="P272" i="23" s="1"/>
  <c r="V272" i="23" s="1"/>
  <c r="U276" i="23"/>
  <c r="T276" i="23" s="1"/>
  <c r="S276" i="23" s="1"/>
  <c r="R276" i="23" s="1"/>
  <c r="P276" i="23" s="1"/>
  <c r="V276" i="23" s="1"/>
  <c r="U280" i="23"/>
  <c r="T280" i="23" s="1"/>
  <c r="S280" i="23" s="1"/>
  <c r="R280" i="23" s="1"/>
  <c r="P280" i="23" s="1"/>
  <c r="V280" i="23" s="1"/>
  <c r="U284" i="23"/>
  <c r="T284" i="23" s="1"/>
  <c r="S284" i="23" s="1"/>
  <c r="R284" i="23" s="1"/>
  <c r="P284" i="23" s="1"/>
  <c r="V284" i="23" s="1"/>
  <c r="U288" i="23"/>
  <c r="T288" i="23" s="1"/>
  <c r="S288" i="23" s="1"/>
  <c r="R288" i="23" s="1"/>
  <c r="P288" i="23" s="1"/>
  <c r="V288" i="23" s="1"/>
  <c r="U292" i="23"/>
  <c r="T292" i="23" s="1"/>
  <c r="S292" i="23" s="1"/>
  <c r="R292" i="23" s="1"/>
  <c r="P292" i="23" s="1"/>
  <c r="V292" i="23" s="1"/>
  <c r="U296" i="23"/>
  <c r="T296" i="23" s="1"/>
  <c r="S296" i="23" s="1"/>
  <c r="R296" i="23" s="1"/>
  <c r="P296" i="23" s="1"/>
  <c r="V296" i="23" s="1"/>
  <c r="U300" i="23"/>
  <c r="T300" i="23" s="1"/>
  <c r="S300" i="23" s="1"/>
  <c r="R300" i="23" s="1"/>
  <c r="P300" i="23" s="1"/>
  <c r="V300" i="23" s="1"/>
  <c r="U304" i="23"/>
  <c r="T304" i="23" s="1"/>
  <c r="S304" i="23" s="1"/>
  <c r="R304" i="23" s="1"/>
  <c r="P304" i="23" s="1"/>
  <c r="V304" i="23" s="1"/>
  <c r="U308" i="23"/>
  <c r="T308" i="23" s="1"/>
  <c r="S308" i="23" s="1"/>
  <c r="R308" i="23" s="1"/>
  <c r="P308" i="23" s="1"/>
  <c r="V308" i="23" s="1"/>
  <c r="U312" i="23"/>
  <c r="T312" i="23" s="1"/>
  <c r="S312" i="23" s="1"/>
  <c r="R312" i="23" s="1"/>
  <c r="P312" i="23" s="1"/>
  <c r="V312" i="23" s="1"/>
  <c r="U316" i="23"/>
  <c r="T316" i="23" s="1"/>
  <c r="S316" i="23" s="1"/>
  <c r="R316" i="23" s="1"/>
  <c r="P316" i="23" s="1"/>
  <c r="V316" i="23" s="1"/>
  <c r="U320" i="23"/>
  <c r="T320" i="23" s="1"/>
  <c r="S320" i="23" s="1"/>
  <c r="R320" i="23" s="1"/>
  <c r="P320" i="23" s="1"/>
  <c r="V320" i="23" s="1"/>
  <c r="U324" i="23"/>
  <c r="T324" i="23" s="1"/>
  <c r="S324" i="23" s="1"/>
  <c r="R324" i="23" s="1"/>
  <c r="P324" i="23" s="1"/>
  <c r="V324" i="23" s="1"/>
  <c r="U328" i="23"/>
  <c r="T328" i="23" s="1"/>
  <c r="S328" i="23" s="1"/>
  <c r="R328" i="23" s="1"/>
  <c r="P328" i="23" s="1"/>
  <c r="V328" i="23" s="1"/>
  <c r="U332" i="23"/>
  <c r="T332" i="23" s="1"/>
  <c r="S332" i="23" s="1"/>
  <c r="R332" i="23" s="1"/>
  <c r="P332" i="23" s="1"/>
  <c r="V332" i="23" s="1"/>
  <c r="U336" i="23"/>
  <c r="T336" i="23" s="1"/>
  <c r="S336" i="23" s="1"/>
  <c r="R336" i="23" s="1"/>
  <c r="P336" i="23" s="1"/>
  <c r="V336" i="23" s="1"/>
  <c r="U340" i="23"/>
  <c r="T340" i="23" s="1"/>
  <c r="S340" i="23" s="1"/>
  <c r="R340" i="23" s="1"/>
  <c r="P340" i="23" s="1"/>
  <c r="V340" i="23" s="1"/>
  <c r="U344" i="23"/>
  <c r="T344" i="23" s="1"/>
  <c r="S344" i="23" s="1"/>
  <c r="R344" i="23" s="1"/>
  <c r="P344" i="23" s="1"/>
  <c r="V344" i="23" s="1"/>
  <c r="U348" i="23"/>
  <c r="T348" i="23" s="1"/>
  <c r="S348" i="23" s="1"/>
  <c r="R348" i="23" s="1"/>
  <c r="P348" i="23" s="1"/>
  <c r="V348" i="23" s="1"/>
  <c r="U352" i="23"/>
  <c r="T352" i="23" s="1"/>
  <c r="S352" i="23" s="1"/>
  <c r="R352" i="23" s="1"/>
  <c r="P352" i="23" s="1"/>
  <c r="V352" i="23" s="1"/>
  <c r="U356" i="23"/>
  <c r="T356" i="23" s="1"/>
  <c r="S356" i="23" s="1"/>
  <c r="R356" i="23" s="1"/>
  <c r="P356" i="23" s="1"/>
  <c r="V356" i="23" s="1"/>
  <c r="U360" i="23"/>
  <c r="T360" i="23" s="1"/>
  <c r="S360" i="23" s="1"/>
  <c r="R360" i="23" s="1"/>
  <c r="P360" i="23" s="1"/>
  <c r="V360" i="23" s="1"/>
  <c r="U364" i="23"/>
  <c r="T364" i="23" s="1"/>
  <c r="S364" i="23" s="1"/>
  <c r="R364" i="23" s="1"/>
  <c r="P364" i="23" s="1"/>
  <c r="V364" i="23" s="1"/>
  <c r="U368" i="23"/>
  <c r="T368" i="23" s="1"/>
  <c r="S368" i="23" s="1"/>
  <c r="R368" i="23" s="1"/>
  <c r="P368" i="23" s="1"/>
  <c r="V368" i="23" s="1"/>
  <c r="U372" i="23"/>
  <c r="T372" i="23" s="1"/>
  <c r="S372" i="23" s="1"/>
  <c r="R372" i="23" s="1"/>
  <c r="P372" i="23" s="1"/>
  <c r="V372" i="23" s="1"/>
  <c r="U376" i="23"/>
  <c r="T376" i="23" s="1"/>
  <c r="S376" i="23" s="1"/>
  <c r="R376" i="23" s="1"/>
  <c r="P376" i="23" s="1"/>
  <c r="V376" i="23" s="1"/>
  <c r="U180" i="23"/>
  <c r="T180" i="23" s="1"/>
  <c r="S180" i="23" s="1"/>
  <c r="R180" i="23" s="1"/>
  <c r="P180" i="23" s="1"/>
  <c r="AH49" i="7" s="1"/>
  <c r="U186" i="23"/>
  <c r="T186" i="23" s="1"/>
  <c r="S186" i="23" s="1"/>
  <c r="R186" i="23" s="1"/>
  <c r="P186" i="23" s="1"/>
  <c r="V186" i="23" s="1"/>
  <c r="U190" i="23"/>
  <c r="T190" i="23" s="1"/>
  <c r="S190" i="23" s="1"/>
  <c r="R190" i="23" s="1"/>
  <c r="P190" i="23" s="1"/>
  <c r="V190" i="23" s="1"/>
  <c r="U194" i="23"/>
  <c r="T194" i="23" s="1"/>
  <c r="S194" i="23" s="1"/>
  <c r="R194" i="23" s="1"/>
  <c r="P194" i="23" s="1"/>
  <c r="V194" i="23" s="1"/>
  <c r="U202" i="23"/>
  <c r="T202" i="23" s="1"/>
  <c r="S202" i="23" s="1"/>
  <c r="R202" i="23" s="1"/>
  <c r="P202" i="23" s="1"/>
  <c r="V202" i="23" s="1"/>
  <c r="U210" i="23"/>
  <c r="T210" i="23" s="1"/>
  <c r="S210" i="23" s="1"/>
  <c r="R210" i="23" s="1"/>
  <c r="P210" i="23" s="1"/>
  <c r="V210" i="23" s="1"/>
  <c r="U218" i="23"/>
  <c r="T218" i="23" s="1"/>
  <c r="S218" i="23" s="1"/>
  <c r="R218" i="23" s="1"/>
  <c r="P218" i="23" s="1"/>
  <c r="V218" i="23" s="1"/>
  <c r="U226" i="23"/>
  <c r="T226" i="23" s="1"/>
  <c r="S226" i="23" s="1"/>
  <c r="R226" i="23" s="1"/>
  <c r="P226" i="23" s="1"/>
  <c r="V226" i="23" s="1"/>
  <c r="U234" i="23"/>
  <c r="T234" i="23" s="1"/>
  <c r="S234" i="23" s="1"/>
  <c r="R234" i="23" s="1"/>
  <c r="P234" i="23" s="1"/>
  <c r="V234" i="23" s="1"/>
  <c r="U242" i="23"/>
  <c r="T242" i="23" s="1"/>
  <c r="S242" i="23" s="1"/>
  <c r="R242" i="23" s="1"/>
  <c r="P242" i="23" s="1"/>
  <c r="V242" i="23" s="1"/>
  <c r="U250" i="23"/>
  <c r="T250" i="23" s="1"/>
  <c r="S250" i="23" s="1"/>
  <c r="R250" i="23" s="1"/>
  <c r="P250" i="23" s="1"/>
  <c r="V250" i="23" s="1"/>
  <c r="U258" i="23"/>
  <c r="T258" i="23" s="1"/>
  <c r="S258" i="23" s="1"/>
  <c r="R258" i="23" s="1"/>
  <c r="P258" i="23" s="1"/>
  <c r="V258" i="23" s="1"/>
  <c r="U266" i="23"/>
  <c r="T266" i="23" s="1"/>
  <c r="S266" i="23" s="1"/>
  <c r="R266" i="23" s="1"/>
  <c r="P266" i="23" s="1"/>
  <c r="V266" i="23" s="1"/>
  <c r="U274" i="23"/>
  <c r="T274" i="23" s="1"/>
  <c r="S274" i="23" s="1"/>
  <c r="R274" i="23" s="1"/>
  <c r="P274" i="23" s="1"/>
  <c r="V274" i="23" s="1"/>
  <c r="U282" i="23"/>
  <c r="T282" i="23" s="1"/>
  <c r="S282" i="23" s="1"/>
  <c r="R282" i="23" s="1"/>
  <c r="P282" i="23" s="1"/>
  <c r="V282" i="23" s="1"/>
  <c r="U290" i="23"/>
  <c r="T290" i="23" s="1"/>
  <c r="S290" i="23" s="1"/>
  <c r="R290" i="23" s="1"/>
  <c r="P290" i="23" s="1"/>
  <c r="V290" i="23" s="1"/>
  <c r="U298" i="23"/>
  <c r="T298" i="23" s="1"/>
  <c r="S298" i="23" s="1"/>
  <c r="R298" i="23" s="1"/>
  <c r="P298" i="23" s="1"/>
  <c r="V298" i="23" s="1"/>
  <c r="U306" i="23"/>
  <c r="T306" i="23" s="1"/>
  <c r="S306" i="23" s="1"/>
  <c r="R306" i="23" s="1"/>
  <c r="P306" i="23" s="1"/>
  <c r="V306" i="23" s="1"/>
  <c r="U314" i="23"/>
  <c r="T314" i="23" s="1"/>
  <c r="S314" i="23" s="1"/>
  <c r="R314" i="23" s="1"/>
  <c r="P314" i="23" s="1"/>
  <c r="V314" i="23" s="1"/>
  <c r="U322" i="23"/>
  <c r="T322" i="23" s="1"/>
  <c r="S322" i="23" s="1"/>
  <c r="R322" i="23" s="1"/>
  <c r="P322" i="23" s="1"/>
  <c r="V322" i="23" s="1"/>
  <c r="U330" i="23"/>
  <c r="T330" i="23" s="1"/>
  <c r="S330" i="23" s="1"/>
  <c r="R330" i="23" s="1"/>
  <c r="P330" i="23" s="1"/>
  <c r="V330" i="23" s="1"/>
  <c r="U338" i="23"/>
  <c r="T338" i="23" s="1"/>
  <c r="S338" i="23" s="1"/>
  <c r="R338" i="23" s="1"/>
  <c r="P338" i="23" s="1"/>
  <c r="V338" i="23" s="1"/>
  <c r="U346" i="23"/>
  <c r="T346" i="23" s="1"/>
  <c r="S346" i="23" s="1"/>
  <c r="R346" i="23" s="1"/>
  <c r="P346" i="23" s="1"/>
  <c r="V346" i="23" s="1"/>
  <c r="U354" i="23"/>
  <c r="T354" i="23" s="1"/>
  <c r="S354" i="23" s="1"/>
  <c r="R354" i="23" s="1"/>
  <c r="P354" i="23" s="1"/>
  <c r="V354" i="23" s="1"/>
  <c r="U362" i="23"/>
  <c r="T362" i="23" s="1"/>
  <c r="S362" i="23" s="1"/>
  <c r="R362" i="23" s="1"/>
  <c r="P362" i="23" s="1"/>
  <c r="V362" i="23" s="1"/>
  <c r="U370" i="23"/>
  <c r="T370" i="23" s="1"/>
  <c r="S370" i="23" s="1"/>
  <c r="R370" i="23" s="1"/>
  <c r="P370" i="23" s="1"/>
  <c r="V370" i="23" s="1"/>
  <c r="U378" i="23"/>
  <c r="T378" i="23" s="1"/>
  <c r="S378" i="23" s="1"/>
  <c r="R378" i="23" s="1"/>
  <c r="P378" i="23" s="1"/>
  <c r="V378" i="23" s="1"/>
  <c r="U172" i="23"/>
  <c r="T172" i="23" s="1"/>
  <c r="S172" i="23" s="1"/>
  <c r="R172" i="23" s="1"/>
  <c r="P172" i="23" s="1"/>
  <c r="V172" i="23" s="1"/>
  <c r="U198" i="23"/>
  <c r="T198" i="23" s="1"/>
  <c r="S198" i="23" s="1"/>
  <c r="R198" i="23" s="1"/>
  <c r="P198" i="23" s="1"/>
  <c r="V198" i="23" s="1"/>
  <c r="U206" i="23"/>
  <c r="T206" i="23" s="1"/>
  <c r="S206" i="23" s="1"/>
  <c r="R206" i="23" s="1"/>
  <c r="P206" i="23" s="1"/>
  <c r="V206" i="23" s="1"/>
  <c r="U214" i="23"/>
  <c r="T214" i="23" s="1"/>
  <c r="S214" i="23" s="1"/>
  <c r="R214" i="23" s="1"/>
  <c r="P214" i="23" s="1"/>
  <c r="V214" i="23" s="1"/>
  <c r="U222" i="23"/>
  <c r="T222" i="23" s="1"/>
  <c r="S222" i="23" s="1"/>
  <c r="R222" i="23" s="1"/>
  <c r="P222" i="23" s="1"/>
  <c r="V222" i="23" s="1"/>
  <c r="U230" i="23"/>
  <c r="T230" i="23" s="1"/>
  <c r="S230" i="23" s="1"/>
  <c r="R230" i="23" s="1"/>
  <c r="P230" i="23" s="1"/>
  <c r="V230" i="23" s="1"/>
  <c r="U238" i="23"/>
  <c r="T238" i="23" s="1"/>
  <c r="S238" i="23" s="1"/>
  <c r="R238" i="23" s="1"/>
  <c r="P238" i="23" s="1"/>
  <c r="V238" i="23" s="1"/>
  <c r="U246" i="23"/>
  <c r="T246" i="23" s="1"/>
  <c r="S246" i="23" s="1"/>
  <c r="R246" i="23" s="1"/>
  <c r="P246" i="23" s="1"/>
  <c r="V246" i="23" s="1"/>
  <c r="U254" i="23"/>
  <c r="T254" i="23" s="1"/>
  <c r="S254" i="23" s="1"/>
  <c r="R254" i="23" s="1"/>
  <c r="P254" i="23" s="1"/>
  <c r="V254" i="23" s="1"/>
  <c r="U262" i="23"/>
  <c r="T262" i="23" s="1"/>
  <c r="S262" i="23" s="1"/>
  <c r="R262" i="23" s="1"/>
  <c r="P262" i="23" s="1"/>
  <c r="V262" i="23" s="1"/>
  <c r="U270" i="23"/>
  <c r="T270" i="23" s="1"/>
  <c r="S270" i="23" s="1"/>
  <c r="R270" i="23" s="1"/>
  <c r="P270" i="23" s="1"/>
  <c r="V270" i="23" s="1"/>
  <c r="U278" i="23"/>
  <c r="T278" i="23" s="1"/>
  <c r="S278" i="23" s="1"/>
  <c r="R278" i="23" s="1"/>
  <c r="P278" i="23" s="1"/>
  <c r="V278" i="23" s="1"/>
  <c r="U286" i="23"/>
  <c r="T286" i="23" s="1"/>
  <c r="S286" i="23" s="1"/>
  <c r="R286" i="23" s="1"/>
  <c r="P286" i="23" s="1"/>
  <c r="V286" i="23" s="1"/>
  <c r="U294" i="23"/>
  <c r="T294" i="23" s="1"/>
  <c r="S294" i="23" s="1"/>
  <c r="R294" i="23" s="1"/>
  <c r="P294" i="23" s="1"/>
  <c r="V294" i="23" s="1"/>
  <c r="U302" i="23"/>
  <c r="T302" i="23" s="1"/>
  <c r="S302" i="23" s="1"/>
  <c r="R302" i="23" s="1"/>
  <c r="P302" i="23" s="1"/>
  <c r="U310" i="23"/>
  <c r="T310" i="23" s="1"/>
  <c r="S310" i="23" s="1"/>
  <c r="R310" i="23" s="1"/>
  <c r="P310" i="23" s="1"/>
  <c r="V310" i="23" s="1"/>
  <c r="U318" i="23"/>
  <c r="T318" i="23" s="1"/>
  <c r="S318" i="23" s="1"/>
  <c r="R318" i="23" s="1"/>
  <c r="P318" i="23" s="1"/>
  <c r="V318" i="23" s="1"/>
  <c r="U326" i="23"/>
  <c r="T326" i="23" s="1"/>
  <c r="S326" i="23" s="1"/>
  <c r="R326" i="23" s="1"/>
  <c r="P326" i="23" s="1"/>
  <c r="V326" i="23" s="1"/>
  <c r="U334" i="23"/>
  <c r="T334" i="23" s="1"/>
  <c r="S334" i="23" s="1"/>
  <c r="R334" i="23" s="1"/>
  <c r="P334" i="23" s="1"/>
  <c r="V334" i="23" s="1"/>
  <c r="U342" i="23"/>
  <c r="T342" i="23" s="1"/>
  <c r="S342" i="23" s="1"/>
  <c r="R342" i="23" s="1"/>
  <c r="P342" i="23" s="1"/>
  <c r="V342" i="23" s="1"/>
  <c r="U350" i="23"/>
  <c r="T350" i="23" s="1"/>
  <c r="S350" i="23" s="1"/>
  <c r="R350" i="23" s="1"/>
  <c r="P350" i="23" s="1"/>
  <c r="V350" i="23" s="1"/>
  <c r="U358" i="23"/>
  <c r="T358" i="23" s="1"/>
  <c r="S358" i="23" s="1"/>
  <c r="R358" i="23" s="1"/>
  <c r="P358" i="23" s="1"/>
  <c r="V358" i="23" s="1"/>
  <c r="U366" i="23"/>
  <c r="T366" i="23" s="1"/>
  <c r="S366" i="23" s="1"/>
  <c r="R366" i="23" s="1"/>
  <c r="P366" i="23" s="1"/>
  <c r="V366" i="23" s="1"/>
  <c r="U374" i="23"/>
  <c r="T374" i="23" s="1"/>
  <c r="S374" i="23" s="1"/>
  <c r="R374" i="23" s="1"/>
  <c r="P374" i="23" s="1"/>
  <c r="V374" i="23" s="1"/>
  <c r="V23" i="20"/>
  <c r="B66" i="19" s="1"/>
  <c r="N66" i="19" s="1"/>
  <c r="P382" i="20"/>
  <c r="P383" i="20"/>
  <c r="P381" i="20"/>
  <c r="Q382" i="24"/>
  <c r="AE381" i="24"/>
  <c r="AE382" i="24"/>
  <c r="AE383" i="24"/>
  <c r="BE15" i="7"/>
  <c r="Q10" i="25"/>
  <c r="Q16" i="25" s="1"/>
  <c r="AH47" i="7"/>
  <c r="Q287" i="25" l="1"/>
  <c r="Q351" i="25"/>
  <c r="Q223" i="25"/>
  <c r="AH48" i="7"/>
  <c r="V29" i="23"/>
  <c r="Q370" i="25"/>
  <c r="Q319" i="25"/>
  <c r="Q255" i="25"/>
  <c r="Q165" i="25"/>
  <c r="Q378" i="25"/>
  <c r="Q362" i="25"/>
  <c r="Q335" i="25"/>
  <c r="Q303" i="25"/>
  <c r="Q271" i="25"/>
  <c r="Q239" i="25"/>
  <c r="Q197" i="25"/>
  <c r="Q125" i="25"/>
  <c r="Q374" i="25"/>
  <c r="Q366" i="25"/>
  <c r="Q358" i="25"/>
  <c r="Q343" i="25"/>
  <c r="Q327" i="25"/>
  <c r="Q311" i="25"/>
  <c r="Q295" i="25"/>
  <c r="Q279" i="25"/>
  <c r="Q263" i="25"/>
  <c r="Q247" i="25"/>
  <c r="Q231" i="25"/>
  <c r="Q213" i="25"/>
  <c r="Q181" i="25"/>
  <c r="Q149" i="25"/>
  <c r="Q93" i="25"/>
  <c r="Q376" i="25"/>
  <c r="Q372" i="25"/>
  <c r="Q368" i="25"/>
  <c r="Q364" i="25"/>
  <c r="Q360" i="25"/>
  <c r="Q355" i="25"/>
  <c r="Q347" i="25"/>
  <c r="Q339" i="25"/>
  <c r="Q331" i="25"/>
  <c r="Q323" i="25"/>
  <c r="Q315" i="25"/>
  <c r="Q307" i="25"/>
  <c r="Q299" i="25"/>
  <c r="Q291" i="25"/>
  <c r="Q283" i="25"/>
  <c r="Q275" i="25"/>
  <c r="Q267" i="25"/>
  <c r="Q259" i="25"/>
  <c r="Q251" i="25"/>
  <c r="Q243" i="25"/>
  <c r="Q235" i="25"/>
  <c r="Q227" i="25"/>
  <c r="Q219" i="25"/>
  <c r="Q205" i="25"/>
  <c r="Q189" i="25"/>
  <c r="Q173" i="25"/>
  <c r="Q157" i="25"/>
  <c r="Q141" i="25"/>
  <c r="Q109" i="25"/>
  <c r="Q65" i="25"/>
  <c r="U381" i="23"/>
  <c r="AH45" i="7"/>
  <c r="AH51" i="7"/>
  <c r="V333" i="23"/>
  <c r="V180" i="23"/>
  <c r="V363" i="23"/>
  <c r="AH52" i="7"/>
  <c r="AH50" i="7"/>
  <c r="C68" i="19"/>
  <c r="L68" i="19"/>
  <c r="V383" i="20"/>
  <c r="Q133" i="25"/>
  <c r="Q117" i="25"/>
  <c r="Q101" i="25"/>
  <c r="Q81" i="25"/>
  <c r="Q49" i="25"/>
  <c r="V382" i="20"/>
  <c r="V88" i="23"/>
  <c r="D68" i="19" s="1"/>
  <c r="AH46" i="7"/>
  <c r="T18" i="23"/>
  <c r="U383" i="23"/>
  <c r="U382" i="23"/>
  <c r="AG383" i="22"/>
  <c r="AF15" i="22"/>
  <c r="AG382" i="22"/>
  <c r="AG381" i="22"/>
  <c r="AI383" i="23"/>
  <c r="AI382" i="23"/>
  <c r="AI381" i="23"/>
  <c r="AH15" i="23"/>
  <c r="V302" i="23"/>
  <c r="K68" i="19" s="1"/>
  <c r="AH53" i="7"/>
  <c r="T379" i="23"/>
  <c r="S379" i="23" s="1"/>
  <c r="R379" i="23" s="1"/>
  <c r="P379" i="23" s="1"/>
  <c r="AT16" i="7"/>
  <c r="AZ11" i="7" s="1"/>
  <c r="U11" i="24" s="1"/>
  <c r="U12" i="24"/>
  <c r="AH379" i="23"/>
  <c r="AG379" i="23" s="1"/>
  <c r="AF379" i="23" s="1"/>
  <c r="AD379" i="23" s="1"/>
  <c r="AI12" i="24"/>
  <c r="S383" i="22"/>
  <c r="R15" i="22"/>
  <c r="S381" i="22"/>
  <c r="S382" i="22"/>
  <c r="V381" i="20"/>
  <c r="Q33" i="25"/>
  <c r="Q379" i="25"/>
  <c r="BF15" i="7" s="1"/>
  <c r="Q377" i="25"/>
  <c r="Q375" i="25"/>
  <c r="Q373" i="25"/>
  <c r="Q371" i="25"/>
  <c r="Q369" i="25"/>
  <c r="Q367" i="25"/>
  <c r="Q365" i="25"/>
  <c r="Q363" i="25"/>
  <c r="Q361" i="25"/>
  <c r="Q359" i="25"/>
  <c r="Q357" i="25"/>
  <c r="Q353" i="25"/>
  <c r="Q349" i="25"/>
  <c r="Q345" i="25"/>
  <c r="Q341" i="25"/>
  <c r="Q337" i="25"/>
  <c r="Q333" i="25"/>
  <c r="Q329" i="25"/>
  <c r="Q325" i="25"/>
  <c r="Q321" i="25"/>
  <c r="Q317" i="25"/>
  <c r="Q313" i="25"/>
  <c r="Q309" i="25"/>
  <c r="Q305" i="25"/>
  <c r="Q301" i="25"/>
  <c r="Q297" i="25"/>
  <c r="Q293" i="25"/>
  <c r="Q289" i="25"/>
  <c r="Q285" i="25"/>
  <c r="Q281" i="25"/>
  <c r="Q277" i="25"/>
  <c r="Q273" i="25"/>
  <c r="Q269" i="25"/>
  <c r="Q265" i="25"/>
  <c r="Q261" i="25"/>
  <c r="Q257" i="25"/>
  <c r="Q253" i="25"/>
  <c r="Q249" i="25"/>
  <c r="Q245" i="25"/>
  <c r="Q241" i="25"/>
  <c r="Q237" i="25"/>
  <c r="Q233" i="25"/>
  <c r="Q229" i="25"/>
  <c r="Q225" i="25"/>
  <c r="Q221" i="25"/>
  <c r="Q217" i="25"/>
  <c r="Q209" i="25"/>
  <c r="Q201" i="25"/>
  <c r="Q193" i="25"/>
  <c r="Q185" i="25"/>
  <c r="Q177" i="25"/>
  <c r="Q169" i="25"/>
  <c r="Q161" i="25"/>
  <c r="Q153" i="25"/>
  <c r="Q145" i="25"/>
  <c r="Q137" i="25"/>
  <c r="Q129" i="25"/>
  <c r="Q121" i="25"/>
  <c r="Q113" i="25"/>
  <c r="Q105" i="25"/>
  <c r="Q97" i="25"/>
  <c r="Q89" i="25"/>
  <c r="Q73" i="25"/>
  <c r="Q57" i="25"/>
  <c r="Q41" i="25"/>
  <c r="Q25" i="25"/>
  <c r="Q85" i="25"/>
  <c r="Q77" i="25"/>
  <c r="Q69" i="25"/>
  <c r="Q61" i="25"/>
  <c r="Q53" i="25"/>
  <c r="Q45" i="25"/>
  <c r="Q37" i="25"/>
  <c r="Q29" i="25"/>
  <c r="BG15" i="7"/>
  <c r="Q21" i="25"/>
  <c r="Q15" i="25"/>
  <c r="Q22" i="25"/>
  <c r="Q24" i="25"/>
  <c r="Q26" i="25"/>
  <c r="Q28" i="25"/>
  <c r="Q30" i="25"/>
  <c r="Q32" i="25"/>
  <c r="Q34" i="25"/>
  <c r="Q36" i="25"/>
  <c r="Q38" i="25"/>
  <c r="Q40" i="25"/>
  <c r="Q42" i="25"/>
  <c r="Q44" i="25"/>
  <c r="Q46" i="25"/>
  <c r="Q48" i="25"/>
  <c r="Q50" i="25"/>
  <c r="Q52" i="25"/>
  <c r="Q54" i="25"/>
  <c r="Q56" i="25"/>
  <c r="Q58" i="25"/>
  <c r="Q60" i="25"/>
  <c r="Q62" i="25"/>
  <c r="Q64" i="25"/>
  <c r="Q66" i="25"/>
  <c r="Q68" i="25"/>
  <c r="Q70" i="25"/>
  <c r="Q72" i="25"/>
  <c r="Q74" i="25"/>
  <c r="Q76" i="25"/>
  <c r="Q78" i="25"/>
  <c r="Q80" i="25"/>
  <c r="Q82" i="25"/>
  <c r="Q84" i="25"/>
  <c r="Q86" i="25"/>
  <c r="Q88" i="25"/>
  <c r="Q90" i="25"/>
  <c r="Q92" i="25"/>
  <c r="Q94" i="25"/>
  <c r="Q96" i="25"/>
  <c r="Q98" i="25"/>
  <c r="Q100" i="25"/>
  <c r="Q102" i="25"/>
  <c r="Q104" i="25"/>
  <c r="Q106" i="25"/>
  <c r="Q108" i="25"/>
  <c r="Q110" i="25"/>
  <c r="Q112" i="25"/>
  <c r="Q114" i="25"/>
  <c r="Q116" i="25"/>
  <c r="Q118" i="25"/>
  <c r="Q120" i="25"/>
  <c r="Q122" i="25"/>
  <c r="Q124" i="25"/>
  <c r="Q126" i="25"/>
  <c r="Q128" i="25"/>
  <c r="Q130" i="25"/>
  <c r="Q132" i="25"/>
  <c r="Q134" i="25"/>
  <c r="Q136" i="25"/>
  <c r="Q138" i="25"/>
  <c r="Q140" i="25"/>
  <c r="Q142" i="25"/>
  <c r="Q144" i="25"/>
  <c r="Q146" i="25"/>
  <c r="Q148" i="25"/>
  <c r="Q150" i="25"/>
  <c r="Q152" i="25"/>
  <c r="Q154" i="25"/>
  <c r="Q156" i="25"/>
  <c r="Q158" i="25"/>
  <c r="Q160" i="25"/>
  <c r="Q162" i="25"/>
  <c r="Q164" i="25"/>
  <c r="Q166" i="25"/>
  <c r="Q168" i="25"/>
  <c r="Q170" i="25"/>
  <c r="Q172" i="25"/>
  <c r="Q174" i="25"/>
  <c r="Q176" i="25"/>
  <c r="Q178" i="25"/>
  <c r="Q180" i="25"/>
  <c r="Q182" i="25"/>
  <c r="Q184" i="25"/>
  <c r="Q186" i="25"/>
  <c r="Q188" i="25"/>
  <c r="Q190" i="25"/>
  <c r="Q192" i="25"/>
  <c r="Q194" i="25"/>
  <c r="Q196" i="25"/>
  <c r="Q198" i="25"/>
  <c r="Q200" i="25"/>
  <c r="Q202" i="25"/>
  <c r="Q204" i="25"/>
  <c r="Q206" i="25"/>
  <c r="Q208" i="25"/>
  <c r="Q210" i="25"/>
  <c r="Q212" i="25"/>
  <c r="Q214" i="25"/>
  <c r="Q216" i="25"/>
  <c r="Q218" i="25"/>
  <c r="Q220" i="25"/>
  <c r="Q222" i="25"/>
  <c r="Q224" i="25"/>
  <c r="Q226" i="25"/>
  <c r="Q228" i="25"/>
  <c r="Q230" i="25"/>
  <c r="Q232" i="25"/>
  <c r="Q234" i="25"/>
  <c r="Q236" i="25"/>
  <c r="Q238" i="25"/>
  <c r="Q240" i="25"/>
  <c r="Q242" i="25"/>
  <c r="Q244" i="25"/>
  <c r="Q246" i="25"/>
  <c r="Q248" i="25"/>
  <c r="Q250" i="25"/>
  <c r="Q252" i="25"/>
  <c r="Q254" i="25"/>
  <c r="Q256" i="25"/>
  <c r="Q258" i="25"/>
  <c r="Q260" i="25"/>
  <c r="Q262" i="25"/>
  <c r="Q264" i="25"/>
  <c r="Q266" i="25"/>
  <c r="Q268" i="25"/>
  <c r="Q270" i="25"/>
  <c r="Q272" i="25"/>
  <c r="Q274" i="25"/>
  <c r="Q276" i="25"/>
  <c r="Q278" i="25"/>
  <c r="Q280" i="25"/>
  <c r="Q282" i="25"/>
  <c r="Q284" i="25"/>
  <c r="Q286" i="25"/>
  <c r="Q288" i="25"/>
  <c r="Q290" i="25"/>
  <c r="Q292" i="25"/>
  <c r="Q294" i="25"/>
  <c r="Q296" i="25"/>
  <c r="Q298" i="25"/>
  <c r="Q300" i="25"/>
  <c r="Q302" i="25"/>
  <c r="Q304" i="25"/>
  <c r="Q306" i="25"/>
  <c r="Q308" i="25"/>
  <c r="Q310" i="25"/>
  <c r="Q312" i="25"/>
  <c r="Q314" i="25"/>
  <c r="Q316" i="25"/>
  <c r="Q318" i="25"/>
  <c r="Q320" i="25"/>
  <c r="Q322" i="25"/>
  <c r="Q324" i="25"/>
  <c r="Q326" i="25"/>
  <c r="Q328" i="25"/>
  <c r="Q330" i="25"/>
  <c r="Q332" i="25"/>
  <c r="Q334" i="25"/>
  <c r="Q336" i="25"/>
  <c r="Q338" i="25"/>
  <c r="Q340" i="25"/>
  <c r="Q342" i="25"/>
  <c r="Q344" i="25"/>
  <c r="Q346" i="25"/>
  <c r="Q348" i="25"/>
  <c r="Q350" i="25"/>
  <c r="Q352" i="25"/>
  <c r="Q354" i="25"/>
  <c r="Q356" i="25"/>
  <c r="Q215" i="25"/>
  <c r="Q211" i="25"/>
  <c r="Q207" i="25"/>
  <c r="Q203" i="25"/>
  <c r="Q199" i="25"/>
  <c r="Q195" i="25"/>
  <c r="Q191" i="25"/>
  <c r="Q187" i="25"/>
  <c r="Q183" i="25"/>
  <c r="Q179" i="25"/>
  <c r="Q175" i="25"/>
  <c r="Q171" i="25"/>
  <c r="Q167" i="25"/>
  <c r="Q163" i="25"/>
  <c r="Q159" i="25"/>
  <c r="Q155" i="25"/>
  <c r="Q151" i="25"/>
  <c r="Q147" i="25"/>
  <c r="Q143" i="25"/>
  <c r="Q139" i="25"/>
  <c r="Q135" i="25"/>
  <c r="Q131" i="25"/>
  <c r="Q127" i="25"/>
  <c r="Q123" i="25"/>
  <c r="Q119" i="25"/>
  <c r="Q115" i="25"/>
  <c r="Q111" i="25"/>
  <c r="Q107" i="25"/>
  <c r="Q103" i="25"/>
  <c r="Q99" i="25"/>
  <c r="Q95" i="25"/>
  <c r="Q91" i="25"/>
  <c r="Q87" i="25"/>
  <c r="Q83" i="25"/>
  <c r="Q79" i="25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23" i="25"/>
  <c r="Q18" i="25"/>
  <c r="Q20" i="25"/>
  <c r="Q19" i="25"/>
  <c r="Q17" i="25"/>
  <c r="G68" i="19"/>
  <c r="E68" i="19"/>
  <c r="I68" i="19"/>
  <c r="J68" i="19"/>
  <c r="H68" i="19"/>
  <c r="F68" i="19"/>
  <c r="AE379" i="25"/>
  <c r="AE377" i="25"/>
  <c r="AE375" i="25"/>
  <c r="AE373" i="25"/>
  <c r="AE371" i="25"/>
  <c r="AE369" i="25"/>
  <c r="AE367" i="25"/>
  <c r="AE365" i="25"/>
  <c r="AE363" i="25"/>
  <c r="AE361" i="25"/>
  <c r="AE359" i="25"/>
  <c r="AE357" i="25"/>
  <c r="AE355" i="25"/>
  <c r="AE353" i="25"/>
  <c r="AE351" i="25"/>
  <c r="AE349" i="25"/>
  <c r="AE347" i="25"/>
  <c r="AE345" i="25"/>
  <c r="AE343" i="25"/>
  <c r="AE341" i="25"/>
  <c r="AE339" i="25"/>
  <c r="AE337" i="25"/>
  <c r="AE335" i="25"/>
  <c r="AE333" i="25"/>
  <c r="AE331" i="25"/>
  <c r="AE329" i="25"/>
  <c r="AE327" i="25"/>
  <c r="AE325" i="25"/>
  <c r="AE323" i="25"/>
  <c r="AE321" i="25"/>
  <c r="AE319" i="25"/>
  <c r="AE317" i="25"/>
  <c r="AE315" i="25"/>
  <c r="AE313" i="25"/>
  <c r="AE311" i="25"/>
  <c r="AE309" i="25"/>
  <c r="AE307" i="25"/>
  <c r="AE305" i="25"/>
  <c r="AE303" i="25"/>
  <c r="AE301" i="25"/>
  <c r="AE299" i="25"/>
  <c r="AE297" i="25"/>
  <c r="AE295" i="25"/>
  <c r="AE293" i="25"/>
  <c r="AE291" i="25"/>
  <c r="AE289" i="25"/>
  <c r="AE287" i="25"/>
  <c r="AE285" i="25"/>
  <c r="AE283" i="25"/>
  <c r="AE281" i="25"/>
  <c r="AE279" i="25"/>
  <c r="AE277" i="25"/>
  <c r="AE275" i="25"/>
  <c r="AE273" i="25"/>
  <c r="AE271" i="25"/>
  <c r="AE269" i="25"/>
  <c r="AE267" i="25"/>
  <c r="AE265" i="25"/>
  <c r="AE263" i="25"/>
  <c r="AE261" i="25"/>
  <c r="AE259" i="25"/>
  <c r="AE257" i="25"/>
  <c r="AE255" i="25"/>
  <c r="AE253" i="25"/>
  <c r="AE251" i="25"/>
  <c r="AE249" i="25"/>
  <c r="AE247" i="25"/>
  <c r="AE245" i="25"/>
  <c r="AE243" i="25"/>
  <c r="AE241" i="25"/>
  <c r="AE239" i="25"/>
  <c r="AE237" i="25"/>
  <c r="AE235" i="25"/>
  <c r="AE233" i="25"/>
  <c r="AE231" i="25"/>
  <c r="AE229" i="25"/>
  <c r="AE227" i="25"/>
  <c r="AE225" i="25"/>
  <c r="AE223" i="25"/>
  <c r="AE221" i="25"/>
  <c r="AE219" i="25"/>
  <c r="AE217" i="25"/>
  <c r="AE215" i="25"/>
  <c r="AE213" i="25"/>
  <c r="AE211" i="25"/>
  <c r="AE209" i="25"/>
  <c r="AE207" i="25"/>
  <c r="AE205" i="25"/>
  <c r="AE203" i="25"/>
  <c r="AE201" i="25"/>
  <c r="AE199" i="25"/>
  <c r="AE197" i="25"/>
  <c r="AE195" i="25"/>
  <c r="AE193" i="25"/>
  <c r="AE191" i="25"/>
  <c r="AE189" i="25"/>
  <c r="AE187" i="25"/>
  <c r="AE185" i="25"/>
  <c r="AE183" i="25"/>
  <c r="AE181" i="25"/>
  <c r="AE179" i="25"/>
  <c r="AE177" i="25"/>
  <c r="AE175" i="25"/>
  <c r="AE173" i="25"/>
  <c r="AE171" i="25"/>
  <c r="AE169" i="25"/>
  <c r="AE167" i="25"/>
  <c r="AE165" i="25"/>
  <c r="AE163" i="25"/>
  <c r="AE161" i="25"/>
  <c r="AE159" i="25"/>
  <c r="AE157" i="25"/>
  <c r="AE155" i="25"/>
  <c r="AE153" i="25"/>
  <c r="AE151" i="25"/>
  <c r="AE149" i="25"/>
  <c r="AE147" i="25"/>
  <c r="AE145" i="25"/>
  <c r="AE143" i="25"/>
  <c r="AE141" i="25"/>
  <c r="AE139" i="25"/>
  <c r="AE137" i="25"/>
  <c r="AE135" i="25"/>
  <c r="AE133" i="25"/>
  <c r="AE131" i="25"/>
  <c r="AE129" i="25"/>
  <c r="AE127" i="25"/>
  <c r="AE125" i="25"/>
  <c r="AE123" i="25"/>
  <c r="AE121" i="25"/>
  <c r="AE119" i="25"/>
  <c r="AE117" i="25"/>
  <c r="AE115" i="25"/>
  <c r="AE113" i="25"/>
  <c r="AE111" i="25"/>
  <c r="AE109" i="25"/>
  <c r="AE107" i="25"/>
  <c r="AE105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R15" i="23"/>
  <c r="AE378" i="25"/>
  <c r="AE376" i="25"/>
  <c r="AE374" i="25"/>
  <c r="AE372" i="25"/>
  <c r="AE370" i="25"/>
  <c r="AE368" i="25"/>
  <c r="AE366" i="25"/>
  <c r="AE364" i="25"/>
  <c r="AE362" i="25"/>
  <c r="AE360" i="25"/>
  <c r="AE358" i="25"/>
  <c r="AE356" i="25"/>
  <c r="AE354" i="25"/>
  <c r="AE352" i="25"/>
  <c r="AE350" i="25"/>
  <c r="AE348" i="25"/>
  <c r="AE346" i="25"/>
  <c r="AE344" i="25"/>
  <c r="AE342" i="25"/>
  <c r="AE340" i="25"/>
  <c r="AE338" i="25"/>
  <c r="AE336" i="25"/>
  <c r="AE334" i="25"/>
  <c r="AE332" i="25"/>
  <c r="AE330" i="25"/>
  <c r="AE328" i="25"/>
  <c r="AE326" i="25"/>
  <c r="AE324" i="25"/>
  <c r="AE322" i="25"/>
  <c r="AE320" i="25"/>
  <c r="AE318" i="25"/>
  <c r="AE316" i="25"/>
  <c r="AE314" i="25"/>
  <c r="AE312" i="25"/>
  <c r="AE310" i="25"/>
  <c r="AE308" i="25"/>
  <c r="AE306" i="25"/>
  <c r="AE304" i="25"/>
  <c r="AE302" i="25"/>
  <c r="AE300" i="25"/>
  <c r="AE298" i="25"/>
  <c r="AE296" i="25"/>
  <c r="AE294" i="25"/>
  <c r="AE292" i="25"/>
  <c r="AE290" i="25"/>
  <c r="AE288" i="25"/>
  <c r="AE286" i="25"/>
  <c r="AE284" i="25"/>
  <c r="AE282" i="25"/>
  <c r="AE280" i="25"/>
  <c r="AE278" i="25"/>
  <c r="AE276" i="25"/>
  <c r="AE274" i="25"/>
  <c r="AE272" i="25"/>
  <c r="AE270" i="25"/>
  <c r="AE268" i="25"/>
  <c r="AE266" i="25"/>
  <c r="AE264" i="25"/>
  <c r="AE262" i="25"/>
  <c r="AE260" i="25"/>
  <c r="AE258" i="25"/>
  <c r="AE256" i="25"/>
  <c r="AE254" i="25"/>
  <c r="AE252" i="25"/>
  <c r="AE250" i="25"/>
  <c r="AE248" i="25"/>
  <c r="AE246" i="25"/>
  <c r="AE244" i="25"/>
  <c r="AE242" i="25"/>
  <c r="AE240" i="25"/>
  <c r="AE238" i="25"/>
  <c r="AE236" i="25"/>
  <c r="AE234" i="25"/>
  <c r="AE232" i="25"/>
  <c r="AE230" i="25"/>
  <c r="AE228" i="25"/>
  <c r="AE226" i="25"/>
  <c r="AE224" i="25"/>
  <c r="AE222" i="25"/>
  <c r="AE220" i="25"/>
  <c r="AE218" i="25"/>
  <c r="AE216" i="25"/>
  <c r="AE214" i="25"/>
  <c r="AE212" i="25"/>
  <c r="AE210" i="25"/>
  <c r="AE208" i="25"/>
  <c r="AE206" i="25"/>
  <c r="AE204" i="25"/>
  <c r="AE202" i="25"/>
  <c r="AE200" i="25"/>
  <c r="AE198" i="25"/>
  <c r="AE196" i="25"/>
  <c r="AE194" i="25"/>
  <c r="AE192" i="25"/>
  <c r="AE190" i="25"/>
  <c r="AE188" i="25"/>
  <c r="AE186" i="25"/>
  <c r="AE184" i="25"/>
  <c r="AE182" i="25"/>
  <c r="AE180" i="25"/>
  <c r="AE178" i="25"/>
  <c r="AE176" i="25"/>
  <c r="AE174" i="25"/>
  <c r="AE172" i="25"/>
  <c r="AE170" i="25"/>
  <c r="AE168" i="25"/>
  <c r="AE166" i="25"/>
  <c r="AE164" i="25"/>
  <c r="AE162" i="25"/>
  <c r="AE160" i="25"/>
  <c r="AE158" i="25"/>
  <c r="AE156" i="25"/>
  <c r="AE154" i="25"/>
  <c r="AE152" i="25"/>
  <c r="AE150" i="25"/>
  <c r="AE148" i="25"/>
  <c r="AE146" i="25"/>
  <c r="AE144" i="25"/>
  <c r="AE142" i="25"/>
  <c r="AE140" i="25"/>
  <c r="AE138" i="25"/>
  <c r="AE136" i="25"/>
  <c r="AE134" i="25"/>
  <c r="AE132" i="25"/>
  <c r="AE130" i="25"/>
  <c r="AE128" i="25"/>
  <c r="AE126" i="25"/>
  <c r="AE124" i="25"/>
  <c r="AE122" i="25"/>
  <c r="AE120" i="25"/>
  <c r="AE118" i="25"/>
  <c r="AE116" i="25"/>
  <c r="AE114" i="25"/>
  <c r="AE112" i="25"/>
  <c r="AE110" i="25"/>
  <c r="AE108" i="25"/>
  <c r="AE106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V379" i="23" l="1"/>
  <c r="D42" i="19"/>
  <c r="Q381" i="25"/>
  <c r="Q383" i="25"/>
  <c r="M68" i="19"/>
  <c r="U10" i="24"/>
  <c r="AI77" i="24" s="1"/>
  <c r="AH77" i="24" s="1"/>
  <c r="AG77" i="24" s="1"/>
  <c r="AF77" i="24" s="1"/>
  <c r="AD77" i="24" s="1"/>
  <c r="AH381" i="23"/>
  <c r="AH383" i="23"/>
  <c r="AH382" i="23"/>
  <c r="AG15" i="23"/>
  <c r="AF382" i="22"/>
  <c r="AD15" i="22"/>
  <c r="AF381" i="22"/>
  <c r="AF383" i="22"/>
  <c r="S18" i="23"/>
  <c r="T381" i="23"/>
  <c r="T383" i="23"/>
  <c r="T382" i="23"/>
  <c r="R382" i="22"/>
  <c r="P15" i="22"/>
  <c r="R381" i="22"/>
  <c r="R383" i="22"/>
  <c r="AI194" i="24"/>
  <c r="AH194" i="24" s="1"/>
  <c r="AG194" i="24" s="1"/>
  <c r="AF194" i="24" s="1"/>
  <c r="AD194" i="24" s="1"/>
  <c r="AI340" i="24"/>
  <c r="AH340" i="24" s="1"/>
  <c r="AG340" i="24" s="1"/>
  <c r="AF340" i="24" s="1"/>
  <c r="AD340" i="24" s="1"/>
  <c r="U102" i="24"/>
  <c r="T102" i="24" s="1"/>
  <c r="S102" i="24" s="1"/>
  <c r="R102" i="24" s="1"/>
  <c r="P102" i="24" s="1"/>
  <c r="V102" i="24" s="1"/>
  <c r="U230" i="24"/>
  <c r="T230" i="24" s="1"/>
  <c r="S230" i="24" s="1"/>
  <c r="R230" i="24" s="1"/>
  <c r="P230" i="24" s="1"/>
  <c r="V230" i="24" s="1"/>
  <c r="AY16" i="7"/>
  <c r="U91" i="24"/>
  <c r="T91" i="24" s="1"/>
  <c r="S91" i="24" s="1"/>
  <c r="R91" i="24" s="1"/>
  <c r="P91" i="24" s="1"/>
  <c r="V91" i="24" s="1"/>
  <c r="U155" i="24"/>
  <c r="T155" i="24" s="1"/>
  <c r="S155" i="24" s="1"/>
  <c r="R155" i="24" s="1"/>
  <c r="P155" i="24" s="1"/>
  <c r="V155" i="24" s="1"/>
  <c r="U219" i="24"/>
  <c r="T219" i="24" s="1"/>
  <c r="S219" i="24" s="1"/>
  <c r="R219" i="24" s="1"/>
  <c r="P219" i="24" s="1"/>
  <c r="V219" i="24" s="1"/>
  <c r="U283" i="24"/>
  <c r="T283" i="24" s="1"/>
  <c r="S283" i="24" s="1"/>
  <c r="R283" i="24" s="1"/>
  <c r="P283" i="24" s="1"/>
  <c r="V283" i="24" s="1"/>
  <c r="U341" i="24"/>
  <c r="T341" i="24" s="1"/>
  <c r="S341" i="24" s="1"/>
  <c r="R341" i="24" s="1"/>
  <c r="P341" i="24" s="1"/>
  <c r="V341" i="24" s="1"/>
  <c r="U330" i="24"/>
  <c r="T330" i="24" s="1"/>
  <c r="S330" i="24" s="1"/>
  <c r="R330" i="24" s="1"/>
  <c r="P330" i="24" s="1"/>
  <c r="V330" i="24" s="1"/>
  <c r="U364" i="24"/>
  <c r="T364" i="24" s="1"/>
  <c r="S364" i="24" s="1"/>
  <c r="R364" i="24" s="1"/>
  <c r="P364" i="24" s="1"/>
  <c r="V364" i="24" s="1"/>
  <c r="Q382" i="25"/>
  <c r="AE381" i="25"/>
  <c r="AE382" i="25"/>
  <c r="AE383" i="25"/>
  <c r="P15" i="23"/>
  <c r="U348" i="24" l="1"/>
  <c r="T348" i="24" s="1"/>
  <c r="S348" i="24" s="1"/>
  <c r="R348" i="24" s="1"/>
  <c r="P348" i="24" s="1"/>
  <c r="V348" i="24" s="1"/>
  <c r="U369" i="24"/>
  <c r="T369" i="24" s="1"/>
  <c r="S369" i="24" s="1"/>
  <c r="R369" i="24" s="1"/>
  <c r="P369" i="24" s="1"/>
  <c r="V369" i="24" s="1"/>
  <c r="U315" i="24"/>
  <c r="T315" i="24" s="1"/>
  <c r="S315" i="24" s="1"/>
  <c r="R315" i="24" s="1"/>
  <c r="P315" i="24" s="1"/>
  <c r="V315" i="24" s="1"/>
  <c r="U251" i="24"/>
  <c r="T251" i="24" s="1"/>
  <c r="S251" i="24" s="1"/>
  <c r="R251" i="24" s="1"/>
  <c r="P251" i="24" s="1"/>
  <c r="V251" i="24" s="1"/>
  <c r="U187" i="24"/>
  <c r="T187" i="24" s="1"/>
  <c r="S187" i="24" s="1"/>
  <c r="R187" i="24" s="1"/>
  <c r="P187" i="24" s="1"/>
  <c r="V187" i="24" s="1"/>
  <c r="U123" i="24"/>
  <c r="T123" i="24" s="1"/>
  <c r="S123" i="24" s="1"/>
  <c r="R123" i="24" s="1"/>
  <c r="P123" i="24" s="1"/>
  <c r="V123" i="24" s="1"/>
  <c r="U47" i="24"/>
  <c r="T47" i="24" s="1"/>
  <c r="S47" i="24" s="1"/>
  <c r="R47" i="24" s="1"/>
  <c r="P47" i="24" s="1"/>
  <c r="V47" i="24" s="1"/>
  <c r="U294" i="24"/>
  <c r="T294" i="24" s="1"/>
  <c r="S294" i="24" s="1"/>
  <c r="R294" i="24" s="1"/>
  <c r="P294" i="24" s="1"/>
  <c r="V294" i="24" s="1"/>
  <c r="U166" i="24"/>
  <c r="T166" i="24" s="1"/>
  <c r="S166" i="24" s="1"/>
  <c r="R166" i="24" s="1"/>
  <c r="P166" i="24" s="1"/>
  <c r="V166" i="24" s="1"/>
  <c r="U38" i="24"/>
  <c r="T38" i="24" s="1"/>
  <c r="S38" i="24" s="1"/>
  <c r="R38" i="24" s="1"/>
  <c r="P38" i="24" s="1"/>
  <c r="V38" i="24" s="1"/>
  <c r="AI276" i="24"/>
  <c r="AH276" i="24" s="1"/>
  <c r="AG276" i="24" s="1"/>
  <c r="AF276" i="24" s="1"/>
  <c r="AD276" i="24" s="1"/>
  <c r="AI66" i="24"/>
  <c r="AH66" i="24" s="1"/>
  <c r="AG66" i="24" s="1"/>
  <c r="AF66" i="24" s="1"/>
  <c r="AD66" i="24" s="1"/>
  <c r="U372" i="24"/>
  <c r="T372" i="24" s="1"/>
  <c r="S372" i="24" s="1"/>
  <c r="R372" i="24" s="1"/>
  <c r="P372" i="24" s="1"/>
  <c r="V372" i="24" s="1"/>
  <c r="U356" i="24"/>
  <c r="T356" i="24" s="1"/>
  <c r="S356" i="24" s="1"/>
  <c r="R356" i="24" s="1"/>
  <c r="P356" i="24" s="1"/>
  <c r="V356" i="24" s="1"/>
  <c r="U340" i="24"/>
  <c r="T340" i="24" s="1"/>
  <c r="S340" i="24" s="1"/>
  <c r="R340" i="24" s="1"/>
  <c r="P340" i="24" s="1"/>
  <c r="V340" i="24" s="1"/>
  <c r="U377" i="24"/>
  <c r="T377" i="24" s="1"/>
  <c r="S377" i="24" s="1"/>
  <c r="R377" i="24" s="1"/>
  <c r="P377" i="24" s="1"/>
  <c r="V377" i="24" s="1"/>
  <c r="U357" i="24"/>
  <c r="T357" i="24" s="1"/>
  <c r="S357" i="24" s="1"/>
  <c r="R357" i="24" s="1"/>
  <c r="P357" i="24" s="1"/>
  <c r="V357" i="24" s="1"/>
  <c r="U331" i="24"/>
  <c r="T331" i="24" s="1"/>
  <c r="S331" i="24" s="1"/>
  <c r="R331" i="24" s="1"/>
  <c r="P331" i="24" s="1"/>
  <c r="V331" i="24" s="1"/>
  <c r="U299" i="24"/>
  <c r="T299" i="24" s="1"/>
  <c r="S299" i="24" s="1"/>
  <c r="R299" i="24" s="1"/>
  <c r="P299" i="24" s="1"/>
  <c r="V299" i="24" s="1"/>
  <c r="U267" i="24"/>
  <c r="T267" i="24" s="1"/>
  <c r="S267" i="24" s="1"/>
  <c r="R267" i="24" s="1"/>
  <c r="P267" i="24" s="1"/>
  <c r="V267" i="24" s="1"/>
  <c r="U235" i="24"/>
  <c r="T235" i="24" s="1"/>
  <c r="S235" i="24" s="1"/>
  <c r="R235" i="24" s="1"/>
  <c r="P235" i="24" s="1"/>
  <c r="V235" i="24" s="1"/>
  <c r="U203" i="24"/>
  <c r="T203" i="24" s="1"/>
  <c r="S203" i="24" s="1"/>
  <c r="R203" i="24" s="1"/>
  <c r="P203" i="24" s="1"/>
  <c r="V203" i="24" s="1"/>
  <c r="U171" i="24"/>
  <c r="T171" i="24" s="1"/>
  <c r="S171" i="24" s="1"/>
  <c r="R171" i="24" s="1"/>
  <c r="P171" i="24" s="1"/>
  <c r="V171" i="24" s="1"/>
  <c r="U139" i="24"/>
  <c r="T139" i="24" s="1"/>
  <c r="S139" i="24" s="1"/>
  <c r="R139" i="24" s="1"/>
  <c r="P139" i="24" s="1"/>
  <c r="V139" i="24" s="1"/>
  <c r="U107" i="24"/>
  <c r="T107" i="24" s="1"/>
  <c r="S107" i="24" s="1"/>
  <c r="R107" i="24" s="1"/>
  <c r="P107" i="24" s="1"/>
  <c r="V107" i="24" s="1"/>
  <c r="U75" i="24"/>
  <c r="T75" i="24" s="1"/>
  <c r="S75" i="24" s="1"/>
  <c r="R75" i="24" s="1"/>
  <c r="P75" i="24" s="1"/>
  <c r="V75" i="24" s="1"/>
  <c r="U262" i="24"/>
  <c r="T262" i="24" s="1"/>
  <c r="S262" i="24" s="1"/>
  <c r="R262" i="24" s="1"/>
  <c r="P262" i="24" s="1"/>
  <c r="V262" i="24" s="1"/>
  <c r="U198" i="24"/>
  <c r="T198" i="24" s="1"/>
  <c r="S198" i="24" s="1"/>
  <c r="R198" i="24" s="1"/>
  <c r="P198" i="24" s="1"/>
  <c r="V198" i="24" s="1"/>
  <c r="U134" i="24"/>
  <c r="T134" i="24" s="1"/>
  <c r="S134" i="24" s="1"/>
  <c r="R134" i="24" s="1"/>
  <c r="P134" i="24" s="1"/>
  <c r="V134" i="24" s="1"/>
  <c r="U70" i="24"/>
  <c r="T70" i="24" s="1"/>
  <c r="S70" i="24" s="1"/>
  <c r="R70" i="24" s="1"/>
  <c r="P70" i="24" s="1"/>
  <c r="V70" i="24" s="1"/>
  <c r="AI372" i="24"/>
  <c r="AH372" i="24" s="1"/>
  <c r="AG372" i="24" s="1"/>
  <c r="AF372" i="24" s="1"/>
  <c r="AD372" i="24" s="1"/>
  <c r="AI308" i="24"/>
  <c r="AH308" i="24" s="1"/>
  <c r="AG308" i="24" s="1"/>
  <c r="AF308" i="24" s="1"/>
  <c r="AD308" i="24" s="1"/>
  <c r="AI244" i="24"/>
  <c r="AH244" i="24" s="1"/>
  <c r="AG244" i="24" s="1"/>
  <c r="AF244" i="24" s="1"/>
  <c r="AD244" i="24" s="1"/>
  <c r="AI130" i="24"/>
  <c r="AH130" i="24" s="1"/>
  <c r="AG130" i="24" s="1"/>
  <c r="AF130" i="24" s="1"/>
  <c r="AD130" i="24" s="1"/>
  <c r="AI367" i="24"/>
  <c r="AH367" i="24" s="1"/>
  <c r="AG367" i="24" s="1"/>
  <c r="AF367" i="24" s="1"/>
  <c r="AD367" i="24" s="1"/>
  <c r="U376" i="24"/>
  <c r="T376" i="24" s="1"/>
  <c r="S376" i="24" s="1"/>
  <c r="R376" i="24" s="1"/>
  <c r="P376" i="24" s="1"/>
  <c r="V376" i="24" s="1"/>
  <c r="U368" i="24"/>
  <c r="T368" i="24" s="1"/>
  <c r="S368" i="24" s="1"/>
  <c r="R368" i="24" s="1"/>
  <c r="P368" i="24" s="1"/>
  <c r="V368" i="24" s="1"/>
  <c r="U360" i="24"/>
  <c r="T360" i="24" s="1"/>
  <c r="S360" i="24" s="1"/>
  <c r="R360" i="24" s="1"/>
  <c r="P360" i="24" s="1"/>
  <c r="V360" i="24" s="1"/>
  <c r="U352" i="24"/>
  <c r="T352" i="24" s="1"/>
  <c r="S352" i="24" s="1"/>
  <c r="R352" i="24" s="1"/>
  <c r="P352" i="24" s="1"/>
  <c r="V352" i="24" s="1"/>
  <c r="U344" i="24"/>
  <c r="T344" i="24" s="1"/>
  <c r="S344" i="24" s="1"/>
  <c r="R344" i="24" s="1"/>
  <c r="P344" i="24" s="1"/>
  <c r="V344" i="24" s="1"/>
  <c r="U336" i="24"/>
  <c r="T336" i="24" s="1"/>
  <c r="S336" i="24" s="1"/>
  <c r="R336" i="24" s="1"/>
  <c r="P336" i="24" s="1"/>
  <c r="V336" i="24" s="1"/>
  <c r="U322" i="24"/>
  <c r="T322" i="24" s="1"/>
  <c r="S322" i="24" s="1"/>
  <c r="R322" i="24" s="1"/>
  <c r="P322" i="24" s="1"/>
  <c r="V322" i="24" s="1"/>
  <c r="U373" i="24"/>
  <c r="T373" i="24" s="1"/>
  <c r="S373" i="24" s="1"/>
  <c r="R373" i="24" s="1"/>
  <c r="P373" i="24" s="1"/>
  <c r="V373" i="24" s="1"/>
  <c r="U365" i="24"/>
  <c r="T365" i="24" s="1"/>
  <c r="S365" i="24" s="1"/>
  <c r="R365" i="24" s="1"/>
  <c r="P365" i="24" s="1"/>
  <c r="V365" i="24" s="1"/>
  <c r="U349" i="24"/>
  <c r="T349" i="24" s="1"/>
  <c r="S349" i="24" s="1"/>
  <c r="R349" i="24" s="1"/>
  <c r="P349" i="24" s="1"/>
  <c r="V349" i="24" s="1"/>
  <c r="U332" i="24"/>
  <c r="T332" i="24" s="1"/>
  <c r="S332" i="24" s="1"/>
  <c r="R332" i="24" s="1"/>
  <c r="P332" i="24" s="1"/>
  <c r="V332" i="24" s="1"/>
  <c r="U323" i="24"/>
  <c r="T323" i="24" s="1"/>
  <c r="S323" i="24" s="1"/>
  <c r="R323" i="24" s="1"/>
  <c r="P323" i="24" s="1"/>
  <c r="V323" i="24" s="1"/>
  <c r="U307" i="24"/>
  <c r="T307" i="24" s="1"/>
  <c r="S307" i="24" s="1"/>
  <c r="R307" i="24" s="1"/>
  <c r="P307" i="24" s="1"/>
  <c r="V307" i="24" s="1"/>
  <c r="U291" i="24"/>
  <c r="T291" i="24" s="1"/>
  <c r="S291" i="24" s="1"/>
  <c r="R291" i="24" s="1"/>
  <c r="P291" i="24" s="1"/>
  <c r="V291" i="24" s="1"/>
  <c r="U275" i="24"/>
  <c r="T275" i="24" s="1"/>
  <c r="S275" i="24" s="1"/>
  <c r="R275" i="24" s="1"/>
  <c r="P275" i="24" s="1"/>
  <c r="V275" i="24" s="1"/>
  <c r="U259" i="24"/>
  <c r="T259" i="24" s="1"/>
  <c r="S259" i="24" s="1"/>
  <c r="R259" i="24" s="1"/>
  <c r="P259" i="24" s="1"/>
  <c r="V259" i="24" s="1"/>
  <c r="U243" i="24"/>
  <c r="T243" i="24" s="1"/>
  <c r="S243" i="24" s="1"/>
  <c r="R243" i="24" s="1"/>
  <c r="P243" i="24" s="1"/>
  <c r="V243" i="24" s="1"/>
  <c r="U227" i="24"/>
  <c r="T227" i="24" s="1"/>
  <c r="S227" i="24" s="1"/>
  <c r="R227" i="24" s="1"/>
  <c r="P227" i="24" s="1"/>
  <c r="V227" i="24" s="1"/>
  <c r="U211" i="24"/>
  <c r="T211" i="24" s="1"/>
  <c r="S211" i="24" s="1"/>
  <c r="R211" i="24" s="1"/>
  <c r="P211" i="24" s="1"/>
  <c r="V211" i="24" s="1"/>
  <c r="U195" i="24"/>
  <c r="T195" i="24" s="1"/>
  <c r="S195" i="24" s="1"/>
  <c r="R195" i="24" s="1"/>
  <c r="P195" i="24" s="1"/>
  <c r="V195" i="24" s="1"/>
  <c r="U179" i="24"/>
  <c r="T179" i="24" s="1"/>
  <c r="S179" i="24" s="1"/>
  <c r="R179" i="24" s="1"/>
  <c r="P179" i="24" s="1"/>
  <c r="V179" i="24" s="1"/>
  <c r="U163" i="24"/>
  <c r="T163" i="24" s="1"/>
  <c r="S163" i="24" s="1"/>
  <c r="R163" i="24" s="1"/>
  <c r="P163" i="24" s="1"/>
  <c r="V163" i="24" s="1"/>
  <c r="U147" i="24"/>
  <c r="T147" i="24" s="1"/>
  <c r="S147" i="24" s="1"/>
  <c r="R147" i="24" s="1"/>
  <c r="P147" i="24" s="1"/>
  <c r="V147" i="24" s="1"/>
  <c r="U131" i="24"/>
  <c r="T131" i="24" s="1"/>
  <c r="S131" i="24" s="1"/>
  <c r="R131" i="24" s="1"/>
  <c r="P131" i="24" s="1"/>
  <c r="V131" i="24" s="1"/>
  <c r="U115" i="24"/>
  <c r="T115" i="24" s="1"/>
  <c r="S115" i="24" s="1"/>
  <c r="R115" i="24" s="1"/>
  <c r="P115" i="24" s="1"/>
  <c r="V115" i="24" s="1"/>
  <c r="U99" i="24"/>
  <c r="T99" i="24" s="1"/>
  <c r="S99" i="24" s="1"/>
  <c r="R99" i="24" s="1"/>
  <c r="P99" i="24" s="1"/>
  <c r="V99" i="24" s="1"/>
  <c r="U83" i="24"/>
  <c r="T83" i="24" s="1"/>
  <c r="S83" i="24" s="1"/>
  <c r="R83" i="24" s="1"/>
  <c r="P83" i="24" s="1"/>
  <c r="V83" i="24" s="1"/>
  <c r="U63" i="24"/>
  <c r="T63" i="24" s="1"/>
  <c r="S63" i="24" s="1"/>
  <c r="R63" i="24" s="1"/>
  <c r="P63" i="24" s="1"/>
  <c r="V63" i="24" s="1"/>
  <c r="U31" i="24"/>
  <c r="T31" i="24" s="1"/>
  <c r="S31" i="24" s="1"/>
  <c r="R31" i="24" s="1"/>
  <c r="P31" i="24" s="1"/>
  <c r="V31" i="24" s="1"/>
  <c r="U310" i="24"/>
  <c r="T310" i="24" s="1"/>
  <c r="S310" i="24" s="1"/>
  <c r="R310" i="24" s="1"/>
  <c r="P310" i="24" s="1"/>
  <c r="V310" i="24" s="1"/>
  <c r="U278" i="24"/>
  <c r="T278" i="24" s="1"/>
  <c r="S278" i="24" s="1"/>
  <c r="R278" i="24" s="1"/>
  <c r="P278" i="24" s="1"/>
  <c r="V278" i="24" s="1"/>
  <c r="U246" i="24"/>
  <c r="T246" i="24" s="1"/>
  <c r="S246" i="24" s="1"/>
  <c r="R246" i="24" s="1"/>
  <c r="P246" i="24" s="1"/>
  <c r="V246" i="24" s="1"/>
  <c r="U214" i="24"/>
  <c r="T214" i="24" s="1"/>
  <c r="S214" i="24" s="1"/>
  <c r="R214" i="24" s="1"/>
  <c r="P214" i="24" s="1"/>
  <c r="V214" i="24" s="1"/>
  <c r="U182" i="24"/>
  <c r="T182" i="24" s="1"/>
  <c r="S182" i="24" s="1"/>
  <c r="R182" i="24" s="1"/>
  <c r="P182" i="24" s="1"/>
  <c r="V182" i="24" s="1"/>
  <c r="U150" i="24"/>
  <c r="T150" i="24" s="1"/>
  <c r="S150" i="24" s="1"/>
  <c r="R150" i="24" s="1"/>
  <c r="P150" i="24" s="1"/>
  <c r="V150" i="24" s="1"/>
  <c r="U118" i="24"/>
  <c r="T118" i="24" s="1"/>
  <c r="S118" i="24" s="1"/>
  <c r="R118" i="24" s="1"/>
  <c r="P118" i="24" s="1"/>
  <c r="V118" i="24" s="1"/>
  <c r="U86" i="24"/>
  <c r="T86" i="24" s="1"/>
  <c r="S86" i="24" s="1"/>
  <c r="R86" i="24" s="1"/>
  <c r="P86" i="24" s="1"/>
  <c r="V86" i="24" s="1"/>
  <c r="U54" i="24"/>
  <c r="T54" i="24" s="1"/>
  <c r="S54" i="24" s="1"/>
  <c r="R54" i="24" s="1"/>
  <c r="P54" i="24" s="1"/>
  <c r="V54" i="24" s="1"/>
  <c r="U17" i="24"/>
  <c r="T17" i="24" s="1"/>
  <c r="S17" i="24" s="1"/>
  <c r="R17" i="24" s="1"/>
  <c r="P17" i="24" s="1"/>
  <c r="V17" i="24" s="1"/>
  <c r="AI356" i="24"/>
  <c r="AH356" i="24" s="1"/>
  <c r="AG356" i="24" s="1"/>
  <c r="AF356" i="24" s="1"/>
  <c r="AD356" i="24" s="1"/>
  <c r="AI324" i="24"/>
  <c r="AH324" i="24" s="1"/>
  <c r="AG324" i="24" s="1"/>
  <c r="AF324" i="24" s="1"/>
  <c r="AD324" i="24" s="1"/>
  <c r="AI292" i="24"/>
  <c r="AH292" i="24" s="1"/>
  <c r="AG292" i="24" s="1"/>
  <c r="AF292" i="24" s="1"/>
  <c r="AD292" i="24" s="1"/>
  <c r="AI260" i="24"/>
  <c r="AH260" i="24" s="1"/>
  <c r="AG260" i="24" s="1"/>
  <c r="AF260" i="24" s="1"/>
  <c r="AD260" i="24" s="1"/>
  <c r="AI226" i="24"/>
  <c r="AH226" i="24" s="1"/>
  <c r="AG226" i="24" s="1"/>
  <c r="AF226" i="24" s="1"/>
  <c r="AD226" i="24" s="1"/>
  <c r="AI162" i="24"/>
  <c r="AH162" i="24" s="1"/>
  <c r="AG162" i="24" s="1"/>
  <c r="AF162" i="24" s="1"/>
  <c r="AD162" i="24" s="1"/>
  <c r="AI98" i="24"/>
  <c r="AH98" i="24" s="1"/>
  <c r="AG98" i="24" s="1"/>
  <c r="AF98" i="24" s="1"/>
  <c r="AD98" i="24" s="1"/>
  <c r="AI34" i="24"/>
  <c r="AH34" i="24" s="1"/>
  <c r="AG34" i="24" s="1"/>
  <c r="AF34" i="24" s="1"/>
  <c r="AD34" i="24" s="1"/>
  <c r="AI269" i="24"/>
  <c r="AH269" i="24" s="1"/>
  <c r="AG269" i="24" s="1"/>
  <c r="AF269" i="24" s="1"/>
  <c r="AD269" i="24" s="1"/>
  <c r="U361" i="24"/>
  <c r="T361" i="24" s="1"/>
  <c r="S361" i="24" s="1"/>
  <c r="R361" i="24" s="1"/>
  <c r="P361" i="24" s="1"/>
  <c r="V361" i="24" s="1"/>
  <c r="U353" i="24"/>
  <c r="T353" i="24" s="1"/>
  <c r="S353" i="24" s="1"/>
  <c r="R353" i="24" s="1"/>
  <c r="P353" i="24" s="1"/>
  <c r="V353" i="24" s="1"/>
  <c r="U345" i="24"/>
  <c r="T345" i="24" s="1"/>
  <c r="S345" i="24" s="1"/>
  <c r="R345" i="24" s="1"/>
  <c r="P345" i="24" s="1"/>
  <c r="V345" i="24" s="1"/>
  <c r="U337" i="24"/>
  <c r="T337" i="24" s="1"/>
  <c r="S337" i="24" s="1"/>
  <c r="R337" i="24" s="1"/>
  <c r="P337" i="24" s="1"/>
  <c r="V337" i="24" s="1"/>
  <c r="U324" i="24"/>
  <c r="T324" i="24" s="1"/>
  <c r="S324" i="24" s="1"/>
  <c r="R324" i="24" s="1"/>
  <c r="P324" i="24" s="1"/>
  <c r="V324" i="24" s="1"/>
  <c r="U327" i="24"/>
  <c r="T327" i="24" s="1"/>
  <c r="S327" i="24" s="1"/>
  <c r="R327" i="24" s="1"/>
  <c r="P327" i="24" s="1"/>
  <c r="V327" i="24" s="1"/>
  <c r="U319" i="24"/>
  <c r="T319" i="24" s="1"/>
  <c r="S319" i="24" s="1"/>
  <c r="R319" i="24" s="1"/>
  <c r="P319" i="24" s="1"/>
  <c r="V319" i="24" s="1"/>
  <c r="U311" i="24"/>
  <c r="T311" i="24" s="1"/>
  <c r="S311" i="24" s="1"/>
  <c r="R311" i="24" s="1"/>
  <c r="P311" i="24" s="1"/>
  <c r="V311" i="24" s="1"/>
  <c r="U303" i="24"/>
  <c r="T303" i="24" s="1"/>
  <c r="S303" i="24" s="1"/>
  <c r="R303" i="24" s="1"/>
  <c r="P303" i="24" s="1"/>
  <c r="V303" i="24" s="1"/>
  <c r="U295" i="24"/>
  <c r="T295" i="24" s="1"/>
  <c r="S295" i="24" s="1"/>
  <c r="R295" i="24" s="1"/>
  <c r="P295" i="24" s="1"/>
  <c r="V295" i="24" s="1"/>
  <c r="U287" i="24"/>
  <c r="T287" i="24" s="1"/>
  <c r="S287" i="24" s="1"/>
  <c r="R287" i="24" s="1"/>
  <c r="P287" i="24" s="1"/>
  <c r="V287" i="24" s="1"/>
  <c r="U279" i="24"/>
  <c r="T279" i="24" s="1"/>
  <c r="S279" i="24" s="1"/>
  <c r="R279" i="24" s="1"/>
  <c r="P279" i="24" s="1"/>
  <c r="V279" i="24" s="1"/>
  <c r="U271" i="24"/>
  <c r="T271" i="24" s="1"/>
  <c r="S271" i="24" s="1"/>
  <c r="R271" i="24" s="1"/>
  <c r="P271" i="24" s="1"/>
  <c r="V271" i="24" s="1"/>
  <c r="U263" i="24"/>
  <c r="T263" i="24" s="1"/>
  <c r="S263" i="24" s="1"/>
  <c r="R263" i="24" s="1"/>
  <c r="P263" i="24" s="1"/>
  <c r="V263" i="24" s="1"/>
  <c r="U255" i="24"/>
  <c r="T255" i="24" s="1"/>
  <c r="S255" i="24" s="1"/>
  <c r="R255" i="24" s="1"/>
  <c r="P255" i="24" s="1"/>
  <c r="V255" i="24" s="1"/>
  <c r="U247" i="24"/>
  <c r="T247" i="24" s="1"/>
  <c r="S247" i="24" s="1"/>
  <c r="R247" i="24" s="1"/>
  <c r="P247" i="24" s="1"/>
  <c r="V247" i="24" s="1"/>
  <c r="U239" i="24"/>
  <c r="T239" i="24" s="1"/>
  <c r="S239" i="24" s="1"/>
  <c r="R239" i="24" s="1"/>
  <c r="P239" i="24" s="1"/>
  <c r="V239" i="24" s="1"/>
  <c r="U231" i="24"/>
  <c r="T231" i="24" s="1"/>
  <c r="S231" i="24" s="1"/>
  <c r="R231" i="24" s="1"/>
  <c r="P231" i="24" s="1"/>
  <c r="V231" i="24" s="1"/>
  <c r="U223" i="24"/>
  <c r="T223" i="24" s="1"/>
  <c r="S223" i="24" s="1"/>
  <c r="R223" i="24" s="1"/>
  <c r="P223" i="24" s="1"/>
  <c r="V223" i="24" s="1"/>
  <c r="U215" i="24"/>
  <c r="T215" i="24" s="1"/>
  <c r="S215" i="24" s="1"/>
  <c r="R215" i="24" s="1"/>
  <c r="P215" i="24" s="1"/>
  <c r="V215" i="24" s="1"/>
  <c r="U207" i="24"/>
  <c r="T207" i="24" s="1"/>
  <c r="S207" i="24" s="1"/>
  <c r="R207" i="24" s="1"/>
  <c r="P207" i="24" s="1"/>
  <c r="V207" i="24" s="1"/>
  <c r="U199" i="24"/>
  <c r="T199" i="24" s="1"/>
  <c r="S199" i="24" s="1"/>
  <c r="R199" i="24" s="1"/>
  <c r="P199" i="24" s="1"/>
  <c r="V199" i="24" s="1"/>
  <c r="U191" i="24"/>
  <c r="T191" i="24" s="1"/>
  <c r="S191" i="24" s="1"/>
  <c r="R191" i="24" s="1"/>
  <c r="P191" i="24" s="1"/>
  <c r="V191" i="24" s="1"/>
  <c r="U183" i="24"/>
  <c r="T183" i="24" s="1"/>
  <c r="S183" i="24" s="1"/>
  <c r="R183" i="24" s="1"/>
  <c r="P183" i="24" s="1"/>
  <c r="V183" i="24" s="1"/>
  <c r="U175" i="24"/>
  <c r="T175" i="24" s="1"/>
  <c r="S175" i="24" s="1"/>
  <c r="R175" i="24" s="1"/>
  <c r="P175" i="24" s="1"/>
  <c r="V175" i="24" s="1"/>
  <c r="U167" i="24"/>
  <c r="T167" i="24" s="1"/>
  <c r="S167" i="24" s="1"/>
  <c r="R167" i="24" s="1"/>
  <c r="P167" i="24" s="1"/>
  <c r="V167" i="24" s="1"/>
  <c r="U159" i="24"/>
  <c r="T159" i="24" s="1"/>
  <c r="S159" i="24" s="1"/>
  <c r="R159" i="24" s="1"/>
  <c r="P159" i="24" s="1"/>
  <c r="V159" i="24" s="1"/>
  <c r="U151" i="24"/>
  <c r="T151" i="24" s="1"/>
  <c r="S151" i="24" s="1"/>
  <c r="R151" i="24" s="1"/>
  <c r="P151" i="24" s="1"/>
  <c r="V151" i="24" s="1"/>
  <c r="U143" i="24"/>
  <c r="T143" i="24" s="1"/>
  <c r="S143" i="24" s="1"/>
  <c r="R143" i="24" s="1"/>
  <c r="P143" i="24" s="1"/>
  <c r="V143" i="24" s="1"/>
  <c r="U135" i="24"/>
  <c r="T135" i="24" s="1"/>
  <c r="S135" i="24" s="1"/>
  <c r="R135" i="24" s="1"/>
  <c r="P135" i="24" s="1"/>
  <c r="V135" i="24" s="1"/>
  <c r="U127" i="24"/>
  <c r="T127" i="24" s="1"/>
  <c r="S127" i="24" s="1"/>
  <c r="R127" i="24" s="1"/>
  <c r="P127" i="24" s="1"/>
  <c r="V127" i="24" s="1"/>
  <c r="U119" i="24"/>
  <c r="T119" i="24" s="1"/>
  <c r="S119" i="24" s="1"/>
  <c r="R119" i="24" s="1"/>
  <c r="P119" i="24" s="1"/>
  <c r="V119" i="24" s="1"/>
  <c r="U111" i="24"/>
  <c r="T111" i="24" s="1"/>
  <c r="S111" i="24" s="1"/>
  <c r="R111" i="24" s="1"/>
  <c r="P111" i="24" s="1"/>
  <c r="V111" i="24" s="1"/>
  <c r="U103" i="24"/>
  <c r="T103" i="24" s="1"/>
  <c r="S103" i="24" s="1"/>
  <c r="R103" i="24" s="1"/>
  <c r="P103" i="24" s="1"/>
  <c r="V103" i="24" s="1"/>
  <c r="U95" i="24"/>
  <c r="T95" i="24" s="1"/>
  <c r="S95" i="24" s="1"/>
  <c r="R95" i="24" s="1"/>
  <c r="P95" i="24" s="1"/>
  <c r="V95" i="24" s="1"/>
  <c r="U87" i="24"/>
  <c r="T87" i="24" s="1"/>
  <c r="S87" i="24" s="1"/>
  <c r="R87" i="24" s="1"/>
  <c r="P87" i="24" s="1"/>
  <c r="V87" i="24" s="1"/>
  <c r="U79" i="24"/>
  <c r="T79" i="24" s="1"/>
  <c r="S79" i="24" s="1"/>
  <c r="R79" i="24" s="1"/>
  <c r="P79" i="24" s="1"/>
  <c r="V79" i="24" s="1"/>
  <c r="U71" i="24"/>
  <c r="T71" i="24" s="1"/>
  <c r="S71" i="24" s="1"/>
  <c r="R71" i="24" s="1"/>
  <c r="P71" i="24" s="1"/>
  <c r="V71" i="24" s="1"/>
  <c r="U55" i="24"/>
  <c r="T55" i="24" s="1"/>
  <c r="S55" i="24" s="1"/>
  <c r="R55" i="24" s="1"/>
  <c r="P55" i="24" s="1"/>
  <c r="V55" i="24" s="1"/>
  <c r="U39" i="24"/>
  <c r="T39" i="24" s="1"/>
  <c r="S39" i="24" s="1"/>
  <c r="R39" i="24" s="1"/>
  <c r="P39" i="24" s="1"/>
  <c r="V39" i="24" s="1"/>
  <c r="U18" i="24"/>
  <c r="T18" i="24" s="1"/>
  <c r="S18" i="24" s="1"/>
  <c r="R18" i="24" s="1"/>
  <c r="P18" i="24" s="1"/>
  <c r="V18" i="24" s="1"/>
  <c r="U318" i="24"/>
  <c r="T318" i="24" s="1"/>
  <c r="S318" i="24" s="1"/>
  <c r="R318" i="24" s="1"/>
  <c r="P318" i="24" s="1"/>
  <c r="V318" i="24" s="1"/>
  <c r="U302" i="24"/>
  <c r="T302" i="24" s="1"/>
  <c r="S302" i="24" s="1"/>
  <c r="R302" i="24" s="1"/>
  <c r="P302" i="24" s="1"/>
  <c r="AH65" i="7" s="1"/>
  <c r="U286" i="24"/>
  <c r="T286" i="24" s="1"/>
  <c r="S286" i="24" s="1"/>
  <c r="R286" i="24" s="1"/>
  <c r="P286" i="24" s="1"/>
  <c r="V286" i="24" s="1"/>
  <c r="U270" i="24"/>
  <c r="T270" i="24" s="1"/>
  <c r="S270" i="24" s="1"/>
  <c r="R270" i="24" s="1"/>
  <c r="P270" i="24" s="1"/>
  <c r="V270" i="24" s="1"/>
  <c r="U254" i="24"/>
  <c r="T254" i="24" s="1"/>
  <c r="S254" i="24" s="1"/>
  <c r="R254" i="24" s="1"/>
  <c r="P254" i="24" s="1"/>
  <c r="V254" i="24" s="1"/>
  <c r="U238" i="24"/>
  <c r="T238" i="24" s="1"/>
  <c r="S238" i="24" s="1"/>
  <c r="R238" i="24" s="1"/>
  <c r="P238" i="24" s="1"/>
  <c r="V238" i="24" s="1"/>
  <c r="U222" i="24"/>
  <c r="T222" i="24" s="1"/>
  <c r="S222" i="24" s="1"/>
  <c r="R222" i="24" s="1"/>
  <c r="P222" i="24" s="1"/>
  <c r="V222" i="24" s="1"/>
  <c r="U206" i="24"/>
  <c r="T206" i="24" s="1"/>
  <c r="S206" i="24" s="1"/>
  <c r="R206" i="24" s="1"/>
  <c r="P206" i="24" s="1"/>
  <c r="V206" i="24" s="1"/>
  <c r="U190" i="24"/>
  <c r="T190" i="24" s="1"/>
  <c r="S190" i="24" s="1"/>
  <c r="R190" i="24" s="1"/>
  <c r="P190" i="24" s="1"/>
  <c r="V190" i="24" s="1"/>
  <c r="U174" i="24"/>
  <c r="T174" i="24" s="1"/>
  <c r="S174" i="24" s="1"/>
  <c r="R174" i="24" s="1"/>
  <c r="P174" i="24" s="1"/>
  <c r="V174" i="24" s="1"/>
  <c r="U158" i="24"/>
  <c r="T158" i="24" s="1"/>
  <c r="S158" i="24" s="1"/>
  <c r="R158" i="24" s="1"/>
  <c r="P158" i="24" s="1"/>
  <c r="V158" i="24" s="1"/>
  <c r="U142" i="24"/>
  <c r="T142" i="24" s="1"/>
  <c r="S142" i="24" s="1"/>
  <c r="R142" i="24" s="1"/>
  <c r="P142" i="24" s="1"/>
  <c r="V142" i="24" s="1"/>
  <c r="U126" i="24"/>
  <c r="T126" i="24" s="1"/>
  <c r="S126" i="24" s="1"/>
  <c r="R126" i="24" s="1"/>
  <c r="P126" i="24" s="1"/>
  <c r="V126" i="24" s="1"/>
  <c r="U110" i="24"/>
  <c r="T110" i="24" s="1"/>
  <c r="S110" i="24" s="1"/>
  <c r="R110" i="24" s="1"/>
  <c r="P110" i="24" s="1"/>
  <c r="V110" i="24" s="1"/>
  <c r="U94" i="24"/>
  <c r="T94" i="24" s="1"/>
  <c r="S94" i="24" s="1"/>
  <c r="R94" i="24" s="1"/>
  <c r="P94" i="24" s="1"/>
  <c r="V94" i="24" s="1"/>
  <c r="U78" i="24"/>
  <c r="T78" i="24" s="1"/>
  <c r="S78" i="24" s="1"/>
  <c r="R78" i="24" s="1"/>
  <c r="P78" i="24" s="1"/>
  <c r="V78" i="24" s="1"/>
  <c r="U62" i="24"/>
  <c r="T62" i="24" s="1"/>
  <c r="S62" i="24" s="1"/>
  <c r="R62" i="24" s="1"/>
  <c r="P62" i="24" s="1"/>
  <c r="V62" i="24" s="1"/>
  <c r="U46" i="24"/>
  <c r="T46" i="24" s="1"/>
  <c r="S46" i="24" s="1"/>
  <c r="R46" i="24" s="1"/>
  <c r="P46" i="24" s="1"/>
  <c r="V46" i="24" s="1"/>
  <c r="U30" i="24"/>
  <c r="T30" i="24" s="1"/>
  <c r="S30" i="24" s="1"/>
  <c r="R30" i="24" s="1"/>
  <c r="P30" i="24" s="1"/>
  <c r="V30" i="24" s="1"/>
  <c r="U20" i="24"/>
  <c r="T20" i="24" s="1"/>
  <c r="S20" i="24" s="1"/>
  <c r="R20" i="24" s="1"/>
  <c r="P20" i="24" s="1"/>
  <c r="V20" i="24" s="1"/>
  <c r="AI364" i="24"/>
  <c r="AH364" i="24" s="1"/>
  <c r="AG364" i="24" s="1"/>
  <c r="AF364" i="24" s="1"/>
  <c r="AD364" i="24" s="1"/>
  <c r="AI348" i="24"/>
  <c r="AH348" i="24" s="1"/>
  <c r="AG348" i="24" s="1"/>
  <c r="AF348" i="24" s="1"/>
  <c r="AD348" i="24" s="1"/>
  <c r="AI332" i="24"/>
  <c r="AH332" i="24" s="1"/>
  <c r="AG332" i="24" s="1"/>
  <c r="AF332" i="24" s="1"/>
  <c r="AD332" i="24" s="1"/>
  <c r="AI316" i="24"/>
  <c r="AH316" i="24" s="1"/>
  <c r="AG316" i="24" s="1"/>
  <c r="AF316" i="24" s="1"/>
  <c r="AD316" i="24" s="1"/>
  <c r="AI300" i="24"/>
  <c r="AH300" i="24" s="1"/>
  <c r="AG300" i="24" s="1"/>
  <c r="AF300" i="24" s="1"/>
  <c r="AD300" i="24" s="1"/>
  <c r="AI284" i="24"/>
  <c r="AH284" i="24" s="1"/>
  <c r="AG284" i="24" s="1"/>
  <c r="AF284" i="24" s="1"/>
  <c r="AD284" i="24" s="1"/>
  <c r="AI268" i="24"/>
  <c r="AH268" i="24" s="1"/>
  <c r="AG268" i="24" s="1"/>
  <c r="AF268" i="24" s="1"/>
  <c r="AD268" i="24" s="1"/>
  <c r="AI252" i="24"/>
  <c r="AH252" i="24" s="1"/>
  <c r="AG252" i="24" s="1"/>
  <c r="AF252" i="24" s="1"/>
  <c r="AD252" i="24" s="1"/>
  <c r="AI236" i="24"/>
  <c r="AH236" i="24" s="1"/>
  <c r="AG236" i="24" s="1"/>
  <c r="AF236" i="24" s="1"/>
  <c r="AD236" i="24" s="1"/>
  <c r="AI210" i="24"/>
  <c r="AH210" i="24" s="1"/>
  <c r="AG210" i="24" s="1"/>
  <c r="AF210" i="24" s="1"/>
  <c r="AD210" i="24" s="1"/>
  <c r="AI178" i="24"/>
  <c r="AH178" i="24" s="1"/>
  <c r="AG178" i="24" s="1"/>
  <c r="AF178" i="24" s="1"/>
  <c r="AD178" i="24" s="1"/>
  <c r="AI146" i="24"/>
  <c r="AH146" i="24" s="1"/>
  <c r="AG146" i="24" s="1"/>
  <c r="AF146" i="24" s="1"/>
  <c r="AD146" i="24" s="1"/>
  <c r="AI114" i="24"/>
  <c r="AH114" i="24" s="1"/>
  <c r="AG114" i="24" s="1"/>
  <c r="AF114" i="24" s="1"/>
  <c r="AD114" i="24" s="1"/>
  <c r="AI82" i="24"/>
  <c r="AH82" i="24" s="1"/>
  <c r="AG82" i="24" s="1"/>
  <c r="AF82" i="24" s="1"/>
  <c r="AD82" i="24" s="1"/>
  <c r="AI50" i="24"/>
  <c r="AH50" i="24" s="1"/>
  <c r="AG50" i="24" s="1"/>
  <c r="AF50" i="24" s="1"/>
  <c r="AD50" i="24" s="1"/>
  <c r="AI22" i="24"/>
  <c r="AH22" i="24" s="1"/>
  <c r="AG22" i="24" s="1"/>
  <c r="AF22" i="24" s="1"/>
  <c r="AD22" i="24" s="1"/>
  <c r="AI349" i="24"/>
  <c r="AH349" i="24" s="1"/>
  <c r="AG349" i="24" s="1"/>
  <c r="AF349" i="24" s="1"/>
  <c r="AD349" i="24" s="1"/>
  <c r="AI141" i="24"/>
  <c r="AH141" i="24" s="1"/>
  <c r="AG141" i="24" s="1"/>
  <c r="AF141" i="24" s="1"/>
  <c r="AD141" i="24" s="1"/>
  <c r="AI317" i="24"/>
  <c r="AH317" i="24" s="1"/>
  <c r="AG317" i="24" s="1"/>
  <c r="AF317" i="24" s="1"/>
  <c r="AD317" i="24" s="1"/>
  <c r="AI205" i="24"/>
  <c r="AH205" i="24" s="1"/>
  <c r="AG205" i="24" s="1"/>
  <c r="AF205" i="24" s="1"/>
  <c r="AD205" i="24" s="1"/>
  <c r="AI21" i="24"/>
  <c r="AH21" i="24" s="1"/>
  <c r="AG21" i="24" s="1"/>
  <c r="AF21" i="24" s="1"/>
  <c r="AD21" i="24" s="1"/>
  <c r="AI37" i="24"/>
  <c r="AH37" i="24" s="1"/>
  <c r="AG37" i="24" s="1"/>
  <c r="AF37" i="24" s="1"/>
  <c r="AD37" i="24" s="1"/>
  <c r="AI53" i="24"/>
  <c r="AH53" i="24" s="1"/>
  <c r="AG53" i="24" s="1"/>
  <c r="AF53" i="24" s="1"/>
  <c r="AD53" i="24" s="1"/>
  <c r="AI69" i="24"/>
  <c r="AH69" i="24" s="1"/>
  <c r="AG69" i="24" s="1"/>
  <c r="AF69" i="24" s="1"/>
  <c r="AD69" i="24" s="1"/>
  <c r="AI85" i="24"/>
  <c r="AH85" i="24" s="1"/>
  <c r="AG85" i="24" s="1"/>
  <c r="AF85" i="24" s="1"/>
  <c r="AD85" i="24" s="1"/>
  <c r="AI101" i="24"/>
  <c r="AH101" i="24" s="1"/>
  <c r="AG101" i="24" s="1"/>
  <c r="AF101" i="24" s="1"/>
  <c r="AD101" i="24" s="1"/>
  <c r="AI117" i="24"/>
  <c r="AH117" i="24" s="1"/>
  <c r="AG117" i="24" s="1"/>
  <c r="AF117" i="24" s="1"/>
  <c r="AD117" i="24" s="1"/>
  <c r="AI133" i="24"/>
  <c r="AH133" i="24" s="1"/>
  <c r="AG133" i="24" s="1"/>
  <c r="AF133" i="24" s="1"/>
  <c r="AD133" i="24" s="1"/>
  <c r="AI149" i="24"/>
  <c r="AH149" i="24" s="1"/>
  <c r="AG149" i="24" s="1"/>
  <c r="AF149" i="24" s="1"/>
  <c r="AD149" i="24" s="1"/>
  <c r="AI165" i="24"/>
  <c r="AH165" i="24" s="1"/>
  <c r="AG165" i="24" s="1"/>
  <c r="AF165" i="24" s="1"/>
  <c r="AD165" i="24" s="1"/>
  <c r="AI181" i="24"/>
  <c r="AH181" i="24" s="1"/>
  <c r="AG181" i="24" s="1"/>
  <c r="AF181" i="24" s="1"/>
  <c r="AD181" i="24" s="1"/>
  <c r="AI197" i="24"/>
  <c r="AH197" i="24" s="1"/>
  <c r="AG197" i="24" s="1"/>
  <c r="AF197" i="24" s="1"/>
  <c r="AD197" i="24" s="1"/>
  <c r="AI213" i="24"/>
  <c r="AH213" i="24" s="1"/>
  <c r="AG213" i="24" s="1"/>
  <c r="AF213" i="24" s="1"/>
  <c r="AD213" i="24" s="1"/>
  <c r="AI229" i="24"/>
  <c r="AH229" i="24" s="1"/>
  <c r="AG229" i="24" s="1"/>
  <c r="AF229" i="24" s="1"/>
  <c r="AD229" i="24" s="1"/>
  <c r="AI245" i="24"/>
  <c r="AH245" i="24" s="1"/>
  <c r="AG245" i="24" s="1"/>
  <c r="AF245" i="24" s="1"/>
  <c r="AD245" i="24" s="1"/>
  <c r="AI261" i="24"/>
  <c r="AH261" i="24" s="1"/>
  <c r="AG261" i="24" s="1"/>
  <c r="AF261" i="24" s="1"/>
  <c r="AD261" i="24" s="1"/>
  <c r="AI277" i="24"/>
  <c r="AH277" i="24" s="1"/>
  <c r="AG277" i="24" s="1"/>
  <c r="AF277" i="24" s="1"/>
  <c r="AD277" i="24" s="1"/>
  <c r="AI293" i="24"/>
  <c r="AH293" i="24" s="1"/>
  <c r="AG293" i="24" s="1"/>
  <c r="AF293" i="24" s="1"/>
  <c r="AD293" i="24" s="1"/>
  <c r="AI305" i="24"/>
  <c r="AH305" i="24" s="1"/>
  <c r="AG305" i="24" s="1"/>
  <c r="AF305" i="24" s="1"/>
  <c r="AD305" i="24" s="1"/>
  <c r="AI313" i="24"/>
  <c r="AH313" i="24" s="1"/>
  <c r="AG313" i="24" s="1"/>
  <c r="AF313" i="24" s="1"/>
  <c r="AD313" i="24" s="1"/>
  <c r="AI321" i="24"/>
  <c r="AH321" i="24" s="1"/>
  <c r="AG321" i="24" s="1"/>
  <c r="AF321" i="24" s="1"/>
  <c r="AD321" i="24" s="1"/>
  <c r="AI329" i="24"/>
  <c r="AH329" i="24" s="1"/>
  <c r="AG329" i="24" s="1"/>
  <c r="AF329" i="24" s="1"/>
  <c r="AD329" i="24" s="1"/>
  <c r="AI337" i="24"/>
  <c r="AH337" i="24" s="1"/>
  <c r="AG337" i="24" s="1"/>
  <c r="AF337" i="24" s="1"/>
  <c r="AD337" i="24" s="1"/>
  <c r="AI345" i="24"/>
  <c r="AH345" i="24" s="1"/>
  <c r="AG345" i="24" s="1"/>
  <c r="AF345" i="24" s="1"/>
  <c r="AD345" i="24" s="1"/>
  <c r="AI353" i="24"/>
  <c r="AH353" i="24" s="1"/>
  <c r="AG353" i="24" s="1"/>
  <c r="AF353" i="24" s="1"/>
  <c r="AD353" i="24" s="1"/>
  <c r="AI357" i="24"/>
  <c r="AH357" i="24" s="1"/>
  <c r="AG357" i="24" s="1"/>
  <c r="AF357" i="24" s="1"/>
  <c r="AD357" i="24" s="1"/>
  <c r="AI361" i="24"/>
  <c r="AH361" i="24" s="1"/>
  <c r="AG361" i="24" s="1"/>
  <c r="AF361" i="24" s="1"/>
  <c r="AD361" i="24" s="1"/>
  <c r="AI365" i="24"/>
  <c r="AH365" i="24" s="1"/>
  <c r="AG365" i="24" s="1"/>
  <c r="AF365" i="24" s="1"/>
  <c r="AD365" i="24" s="1"/>
  <c r="AI369" i="24"/>
  <c r="AH369" i="24" s="1"/>
  <c r="AG369" i="24" s="1"/>
  <c r="AF369" i="24" s="1"/>
  <c r="AD369" i="24" s="1"/>
  <c r="AI373" i="24"/>
  <c r="AH373" i="24" s="1"/>
  <c r="AG373" i="24" s="1"/>
  <c r="AF373" i="24" s="1"/>
  <c r="AD373" i="24" s="1"/>
  <c r="AI377" i="24"/>
  <c r="AH377" i="24" s="1"/>
  <c r="AG377" i="24" s="1"/>
  <c r="AF377" i="24" s="1"/>
  <c r="AD377" i="24" s="1"/>
  <c r="AI23" i="24"/>
  <c r="AH23" i="24" s="1"/>
  <c r="AG23" i="24" s="1"/>
  <c r="AF23" i="24" s="1"/>
  <c r="AD23" i="24" s="1"/>
  <c r="AI16" i="24"/>
  <c r="AH16" i="24" s="1"/>
  <c r="AG16" i="24" s="1"/>
  <c r="AF16" i="24" s="1"/>
  <c r="AD16" i="24" s="1"/>
  <c r="AI24" i="24"/>
  <c r="AH24" i="24" s="1"/>
  <c r="AG24" i="24" s="1"/>
  <c r="AF24" i="24" s="1"/>
  <c r="AD24" i="24" s="1"/>
  <c r="AI28" i="24"/>
  <c r="AH28" i="24" s="1"/>
  <c r="AG28" i="24" s="1"/>
  <c r="AF28" i="24" s="1"/>
  <c r="AD28" i="24" s="1"/>
  <c r="AI32" i="24"/>
  <c r="AH32" i="24" s="1"/>
  <c r="AG32" i="24" s="1"/>
  <c r="AF32" i="24" s="1"/>
  <c r="AD32" i="24" s="1"/>
  <c r="AI36" i="24"/>
  <c r="AH36" i="24" s="1"/>
  <c r="AG36" i="24" s="1"/>
  <c r="AF36" i="24" s="1"/>
  <c r="AD36" i="24" s="1"/>
  <c r="AI40" i="24"/>
  <c r="AH40" i="24" s="1"/>
  <c r="AG40" i="24" s="1"/>
  <c r="AF40" i="24" s="1"/>
  <c r="AD40" i="24" s="1"/>
  <c r="AI44" i="24"/>
  <c r="AH44" i="24" s="1"/>
  <c r="AG44" i="24" s="1"/>
  <c r="AF44" i="24" s="1"/>
  <c r="AD44" i="24" s="1"/>
  <c r="AI48" i="24"/>
  <c r="AH48" i="24" s="1"/>
  <c r="AG48" i="24" s="1"/>
  <c r="AF48" i="24" s="1"/>
  <c r="AD48" i="24" s="1"/>
  <c r="AI52" i="24"/>
  <c r="AH52" i="24" s="1"/>
  <c r="AG52" i="24" s="1"/>
  <c r="AF52" i="24" s="1"/>
  <c r="AD52" i="24" s="1"/>
  <c r="AI56" i="24"/>
  <c r="AH56" i="24" s="1"/>
  <c r="AG56" i="24" s="1"/>
  <c r="AF56" i="24" s="1"/>
  <c r="AD56" i="24" s="1"/>
  <c r="AI60" i="24"/>
  <c r="AH60" i="24" s="1"/>
  <c r="AG60" i="24" s="1"/>
  <c r="AF60" i="24" s="1"/>
  <c r="AD60" i="24" s="1"/>
  <c r="AI64" i="24"/>
  <c r="AH64" i="24" s="1"/>
  <c r="AG64" i="24" s="1"/>
  <c r="AF64" i="24" s="1"/>
  <c r="AD64" i="24" s="1"/>
  <c r="AI68" i="24"/>
  <c r="AH68" i="24" s="1"/>
  <c r="AG68" i="24" s="1"/>
  <c r="AF68" i="24" s="1"/>
  <c r="AD68" i="24" s="1"/>
  <c r="AI72" i="24"/>
  <c r="AH72" i="24" s="1"/>
  <c r="AG72" i="24" s="1"/>
  <c r="AF72" i="24" s="1"/>
  <c r="AD72" i="24" s="1"/>
  <c r="AI76" i="24"/>
  <c r="AH76" i="24" s="1"/>
  <c r="AG76" i="24" s="1"/>
  <c r="AF76" i="24" s="1"/>
  <c r="AD76" i="24" s="1"/>
  <c r="AI80" i="24"/>
  <c r="AH80" i="24" s="1"/>
  <c r="AG80" i="24" s="1"/>
  <c r="AF80" i="24" s="1"/>
  <c r="AD80" i="24" s="1"/>
  <c r="AI84" i="24"/>
  <c r="AH84" i="24" s="1"/>
  <c r="AG84" i="24" s="1"/>
  <c r="AF84" i="24" s="1"/>
  <c r="AD84" i="24" s="1"/>
  <c r="AI88" i="24"/>
  <c r="AH88" i="24" s="1"/>
  <c r="AG88" i="24" s="1"/>
  <c r="AF88" i="24" s="1"/>
  <c r="AD88" i="24" s="1"/>
  <c r="AI92" i="24"/>
  <c r="AH92" i="24" s="1"/>
  <c r="AG92" i="24" s="1"/>
  <c r="AF92" i="24" s="1"/>
  <c r="AD92" i="24" s="1"/>
  <c r="AI96" i="24"/>
  <c r="AH96" i="24" s="1"/>
  <c r="AG96" i="24" s="1"/>
  <c r="AF96" i="24" s="1"/>
  <c r="AD96" i="24" s="1"/>
  <c r="AI100" i="24"/>
  <c r="AH100" i="24" s="1"/>
  <c r="AG100" i="24" s="1"/>
  <c r="AF100" i="24" s="1"/>
  <c r="AD100" i="24" s="1"/>
  <c r="AI104" i="24"/>
  <c r="AH104" i="24" s="1"/>
  <c r="AG104" i="24" s="1"/>
  <c r="AF104" i="24" s="1"/>
  <c r="AD104" i="24" s="1"/>
  <c r="AI108" i="24"/>
  <c r="AH108" i="24" s="1"/>
  <c r="AG108" i="24" s="1"/>
  <c r="AF108" i="24" s="1"/>
  <c r="AD108" i="24" s="1"/>
  <c r="AI112" i="24"/>
  <c r="AH112" i="24" s="1"/>
  <c r="AG112" i="24" s="1"/>
  <c r="AF112" i="24" s="1"/>
  <c r="AD112" i="24" s="1"/>
  <c r="AI116" i="24"/>
  <c r="AH116" i="24" s="1"/>
  <c r="AG116" i="24" s="1"/>
  <c r="AF116" i="24" s="1"/>
  <c r="AD116" i="24" s="1"/>
  <c r="AI120" i="24"/>
  <c r="AH120" i="24" s="1"/>
  <c r="AG120" i="24" s="1"/>
  <c r="AF120" i="24" s="1"/>
  <c r="AD120" i="24" s="1"/>
  <c r="AI124" i="24"/>
  <c r="AH124" i="24" s="1"/>
  <c r="AG124" i="24" s="1"/>
  <c r="AF124" i="24" s="1"/>
  <c r="AD124" i="24" s="1"/>
  <c r="AI128" i="24"/>
  <c r="AH128" i="24" s="1"/>
  <c r="AG128" i="24" s="1"/>
  <c r="AF128" i="24" s="1"/>
  <c r="AD128" i="24" s="1"/>
  <c r="AI132" i="24"/>
  <c r="AH132" i="24" s="1"/>
  <c r="AG132" i="24" s="1"/>
  <c r="AF132" i="24" s="1"/>
  <c r="AD132" i="24" s="1"/>
  <c r="AI136" i="24"/>
  <c r="AH136" i="24" s="1"/>
  <c r="AG136" i="24" s="1"/>
  <c r="AF136" i="24" s="1"/>
  <c r="AD136" i="24" s="1"/>
  <c r="AI140" i="24"/>
  <c r="AH140" i="24" s="1"/>
  <c r="AG140" i="24" s="1"/>
  <c r="AF140" i="24" s="1"/>
  <c r="AD140" i="24" s="1"/>
  <c r="AI144" i="24"/>
  <c r="AH144" i="24" s="1"/>
  <c r="AG144" i="24" s="1"/>
  <c r="AF144" i="24" s="1"/>
  <c r="AD144" i="24" s="1"/>
  <c r="AI148" i="24"/>
  <c r="AH148" i="24" s="1"/>
  <c r="AG148" i="24" s="1"/>
  <c r="AF148" i="24" s="1"/>
  <c r="AD148" i="24" s="1"/>
  <c r="AI152" i="24"/>
  <c r="AH152" i="24" s="1"/>
  <c r="AG152" i="24" s="1"/>
  <c r="AF152" i="24" s="1"/>
  <c r="AD152" i="24" s="1"/>
  <c r="AI156" i="24"/>
  <c r="AH156" i="24" s="1"/>
  <c r="AG156" i="24" s="1"/>
  <c r="AF156" i="24" s="1"/>
  <c r="AD156" i="24" s="1"/>
  <c r="AI160" i="24"/>
  <c r="AH160" i="24" s="1"/>
  <c r="AG160" i="24" s="1"/>
  <c r="AF160" i="24" s="1"/>
  <c r="AD160" i="24" s="1"/>
  <c r="AI164" i="24"/>
  <c r="AH164" i="24" s="1"/>
  <c r="AG164" i="24" s="1"/>
  <c r="AF164" i="24" s="1"/>
  <c r="AD164" i="24" s="1"/>
  <c r="AI168" i="24"/>
  <c r="AH168" i="24" s="1"/>
  <c r="AG168" i="24" s="1"/>
  <c r="AF168" i="24" s="1"/>
  <c r="AD168" i="24" s="1"/>
  <c r="AI172" i="24"/>
  <c r="AH172" i="24" s="1"/>
  <c r="AG172" i="24" s="1"/>
  <c r="AF172" i="24" s="1"/>
  <c r="AD172" i="24" s="1"/>
  <c r="AI176" i="24"/>
  <c r="AH176" i="24" s="1"/>
  <c r="AG176" i="24" s="1"/>
  <c r="AF176" i="24" s="1"/>
  <c r="AD176" i="24" s="1"/>
  <c r="AI180" i="24"/>
  <c r="AH180" i="24" s="1"/>
  <c r="AG180" i="24" s="1"/>
  <c r="AF180" i="24" s="1"/>
  <c r="AD180" i="24" s="1"/>
  <c r="AI184" i="24"/>
  <c r="AH184" i="24" s="1"/>
  <c r="AG184" i="24" s="1"/>
  <c r="AF184" i="24" s="1"/>
  <c r="AD184" i="24" s="1"/>
  <c r="AI188" i="24"/>
  <c r="AH188" i="24" s="1"/>
  <c r="AG188" i="24" s="1"/>
  <c r="AF188" i="24" s="1"/>
  <c r="AD188" i="24" s="1"/>
  <c r="AI192" i="24"/>
  <c r="AH192" i="24" s="1"/>
  <c r="AG192" i="24" s="1"/>
  <c r="AF192" i="24" s="1"/>
  <c r="AD192" i="24" s="1"/>
  <c r="AI196" i="24"/>
  <c r="AH196" i="24" s="1"/>
  <c r="AG196" i="24" s="1"/>
  <c r="AF196" i="24" s="1"/>
  <c r="AD196" i="24" s="1"/>
  <c r="AI200" i="24"/>
  <c r="AH200" i="24" s="1"/>
  <c r="AG200" i="24" s="1"/>
  <c r="AF200" i="24" s="1"/>
  <c r="AD200" i="24" s="1"/>
  <c r="AI204" i="24"/>
  <c r="AH204" i="24" s="1"/>
  <c r="AG204" i="24" s="1"/>
  <c r="AF204" i="24" s="1"/>
  <c r="AD204" i="24" s="1"/>
  <c r="AI208" i="24"/>
  <c r="AH208" i="24" s="1"/>
  <c r="AG208" i="24" s="1"/>
  <c r="AF208" i="24" s="1"/>
  <c r="AD208" i="24" s="1"/>
  <c r="AI212" i="24"/>
  <c r="AH212" i="24" s="1"/>
  <c r="AG212" i="24" s="1"/>
  <c r="AF212" i="24" s="1"/>
  <c r="AD212" i="24" s="1"/>
  <c r="AI216" i="24"/>
  <c r="AH216" i="24" s="1"/>
  <c r="AG216" i="24" s="1"/>
  <c r="AF216" i="24" s="1"/>
  <c r="AD216" i="24" s="1"/>
  <c r="AI220" i="24"/>
  <c r="AH220" i="24" s="1"/>
  <c r="AG220" i="24" s="1"/>
  <c r="AF220" i="24" s="1"/>
  <c r="AD220" i="24" s="1"/>
  <c r="AI224" i="24"/>
  <c r="AH224" i="24" s="1"/>
  <c r="AG224" i="24" s="1"/>
  <c r="AF224" i="24" s="1"/>
  <c r="AD224" i="24" s="1"/>
  <c r="AI228" i="24"/>
  <c r="AH228" i="24" s="1"/>
  <c r="AG228" i="24" s="1"/>
  <c r="AF228" i="24" s="1"/>
  <c r="AD228" i="24" s="1"/>
  <c r="AI29" i="24"/>
  <c r="AH29" i="24" s="1"/>
  <c r="AG29" i="24" s="1"/>
  <c r="AF29" i="24" s="1"/>
  <c r="AD29" i="24" s="1"/>
  <c r="AI61" i="24"/>
  <c r="AH61" i="24" s="1"/>
  <c r="AG61" i="24" s="1"/>
  <c r="AF61" i="24" s="1"/>
  <c r="AD61" i="24" s="1"/>
  <c r="AI93" i="24"/>
  <c r="AH93" i="24" s="1"/>
  <c r="AG93" i="24" s="1"/>
  <c r="AF93" i="24" s="1"/>
  <c r="AD93" i="24" s="1"/>
  <c r="AI125" i="24"/>
  <c r="AH125" i="24" s="1"/>
  <c r="AG125" i="24" s="1"/>
  <c r="AF125" i="24" s="1"/>
  <c r="AD125" i="24" s="1"/>
  <c r="AI157" i="24"/>
  <c r="AH157" i="24" s="1"/>
  <c r="AG157" i="24" s="1"/>
  <c r="AF157" i="24" s="1"/>
  <c r="AD157" i="24" s="1"/>
  <c r="AI189" i="24"/>
  <c r="AH189" i="24" s="1"/>
  <c r="AG189" i="24" s="1"/>
  <c r="AF189" i="24" s="1"/>
  <c r="AD189" i="24" s="1"/>
  <c r="AI221" i="24"/>
  <c r="AH221" i="24" s="1"/>
  <c r="AG221" i="24" s="1"/>
  <c r="AF221" i="24" s="1"/>
  <c r="AD221" i="24" s="1"/>
  <c r="AI253" i="24"/>
  <c r="AH253" i="24" s="1"/>
  <c r="AG253" i="24" s="1"/>
  <c r="AF253" i="24" s="1"/>
  <c r="AD253" i="24" s="1"/>
  <c r="AI285" i="24"/>
  <c r="AH285" i="24" s="1"/>
  <c r="AG285" i="24" s="1"/>
  <c r="AF285" i="24" s="1"/>
  <c r="AD285" i="24" s="1"/>
  <c r="AI309" i="24"/>
  <c r="AH309" i="24" s="1"/>
  <c r="AG309" i="24" s="1"/>
  <c r="AF309" i="24" s="1"/>
  <c r="AD309" i="24" s="1"/>
  <c r="AI325" i="24"/>
  <c r="AH325" i="24" s="1"/>
  <c r="AG325" i="24" s="1"/>
  <c r="AF325" i="24" s="1"/>
  <c r="AD325" i="24" s="1"/>
  <c r="AI341" i="24"/>
  <c r="AH341" i="24" s="1"/>
  <c r="AG341" i="24" s="1"/>
  <c r="AF341" i="24" s="1"/>
  <c r="AD341" i="24" s="1"/>
  <c r="AI355" i="24"/>
  <c r="AH355" i="24" s="1"/>
  <c r="AG355" i="24" s="1"/>
  <c r="AF355" i="24" s="1"/>
  <c r="AD355" i="24" s="1"/>
  <c r="AI363" i="24"/>
  <c r="AH363" i="24" s="1"/>
  <c r="AG363" i="24" s="1"/>
  <c r="AF363" i="24" s="1"/>
  <c r="AD363" i="24" s="1"/>
  <c r="AI371" i="24"/>
  <c r="AH371" i="24" s="1"/>
  <c r="AG371" i="24" s="1"/>
  <c r="AF371" i="24" s="1"/>
  <c r="AD371" i="24" s="1"/>
  <c r="AI379" i="24"/>
  <c r="AI12" i="25" s="1"/>
  <c r="AI20" i="24"/>
  <c r="AH20" i="24" s="1"/>
  <c r="AG20" i="24" s="1"/>
  <c r="AF20" i="24" s="1"/>
  <c r="AD20" i="24" s="1"/>
  <c r="AI30" i="24"/>
  <c r="AH30" i="24" s="1"/>
  <c r="AG30" i="24" s="1"/>
  <c r="AF30" i="24" s="1"/>
  <c r="AD30" i="24" s="1"/>
  <c r="AI38" i="24"/>
  <c r="AH38" i="24" s="1"/>
  <c r="AG38" i="24" s="1"/>
  <c r="AF38" i="24" s="1"/>
  <c r="AD38" i="24" s="1"/>
  <c r="AI46" i="24"/>
  <c r="AH46" i="24" s="1"/>
  <c r="AG46" i="24" s="1"/>
  <c r="AF46" i="24" s="1"/>
  <c r="AD46" i="24" s="1"/>
  <c r="AI54" i="24"/>
  <c r="AH54" i="24" s="1"/>
  <c r="AG54" i="24" s="1"/>
  <c r="AF54" i="24" s="1"/>
  <c r="AD54" i="24" s="1"/>
  <c r="AI62" i="24"/>
  <c r="AH62" i="24" s="1"/>
  <c r="AG62" i="24" s="1"/>
  <c r="AF62" i="24" s="1"/>
  <c r="AD62" i="24" s="1"/>
  <c r="AI70" i="24"/>
  <c r="AH70" i="24" s="1"/>
  <c r="AG70" i="24" s="1"/>
  <c r="AF70" i="24" s="1"/>
  <c r="AD70" i="24" s="1"/>
  <c r="AI78" i="24"/>
  <c r="AH78" i="24" s="1"/>
  <c r="AG78" i="24" s="1"/>
  <c r="AF78" i="24" s="1"/>
  <c r="AD78" i="24" s="1"/>
  <c r="AI86" i="24"/>
  <c r="AH86" i="24" s="1"/>
  <c r="AG86" i="24" s="1"/>
  <c r="AF86" i="24" s="1"/>
  <c r="AD86" i="24" s="1"/>
  <c r="AI94" i="24"/>
  <c r="AH94" i="24" s="1"/>
  <c r="AG94" i="24" s="1"/>
  <c r="AF94" i="24" s="1"/>
  <c r="AD94" i="24" s="1"/>
  <c r="AI102" i="24"/>
  <c r="AH102" i="24" s="1"/>
  <c r="AG102" i="24" s="1"/>
  <c r="AF102" i="24" s="1"/>
  <c r="AD102" i="24" s="1"/>
  <c r="AI110" i="24"/>
  <c r="AH110" i="24" s="1"/>
  <c r="AG110" i="24" s="1"/>
  <c r="AF110" i="24" s="1"/>
  <c r="AD110" i="24" s="1"/>
  <c r="AI118" i="24"/>
  <c r="AH118" i="24" s="1"/>
  <c r="AG118" i="24" s="1"/>
  <c r="AF118" i="24" s="1"/>
  <c r="AD118" i="24" s="1"/>
  <c r="AI126" i="24"/>
  <c r="AH126" i="24" s="1"/>
  <c r="AG126" i="24" s="1"/>
  <c r="AF126" i="24" s="1"/>
  <c r="AD126" i="24" s="1"/>
  <c r="AI134" i="24"/>
  <c r="AH134" i="24" s="1"/>
  <c r="AG134" i="24" s="1"/>
  <c r="AF134" i="24" s="1"/>
  <c r="AD134" i="24" s="1"/>
  <c r="AI142" i="24"/>
  <c r="AH142" i="24" s="1"/>
  <c r="AG142" i="24" s="1"/>
  <c r="AF142" i="24" s="1"/>
  <c r="AD142" i="24" s="1"/>
  <c r="AI150" i="24"/>
  <c r="AH150" i="24" s="1"/>
  <c r="AG150" i="24" s="1"/>
  <c r="AF150" i="24" s="1"/>
  <c r="AD150" i="24" s="1"/>
  <c r="AI158" i="24"/>
  <c r="AH158" i="24" s="1"/>
  <c r="AG158" i="24" s="1"/>
  <c r="AF158" i="24" s="1"/>
  <c r="AD158" i="24" s="1"/>
  <c r="AI166" i="24"/>
  <c r="AH166" i="24" s="1"/>
  <c r="AG166" i="24" s="1"/>
  <c r="AF166" i="24" s="1"/>
  <c r="AD166" i="24" s="1"/>
  <c r="AI174" i="24"/>
  <c r="AH174" i="24" s="1"/>
  <c r="AG174" i="24" s="1"/>
  <c r="AF174" i="24" s="1"/>
  <c r="AD174" i="24" s="1"/>
  <c r="AI182" i="24"/>
  <c r="AH182" i="24" s="1"/>
  <c r="AG182" i="24" s="1"/>
  <c r="AF182" i="24" s="1"/>
  <c r="AD182" i="24" s="1"/>
  <c r="AI190" i="24"/>
  <c r="AH190" i="24" s="1"/>
  <c r="AG190" i="24" s="1"/>
  <c r="AF190" i="24" s="1"/>
  <c r="AD190" i="24" s="1"/>
  <c r="AI198" i="24"/>
  <c r="AH198" i="24" s="1"/>
  <c r="AG198" i="24" s="1"/>
  <c r="AF198" i="24" s="1"/>
  <c r="AD198" i="24" s="1"/>
  <c r="AI206" i="24"/>
  <c r="AH206" i="24" s="1"/>
  <c r="AG206" i="24" s="1"/>
  <c r="AF206" i="24" s="1"/>
  <c r="AD206" i="24" s="1"/>
  <c r="AI214" i="24"/>
  <c r="AH214" i="24" s="1"/>
  <c r="AG214" i="24" s="1"/>
  <c r="AF214" i="24" s="1"/>
  <c r="AD214" i="24" s="1"/>
  <c r="AI222" i="24"/>
  <c r="AH222" i="24" s="1"/>
  <c r="AG222" i="24" s="1"/>
  <c r="AF222" i="24" s="1"/>
  <c r="AD222" i="24" s="1"/>
  <c r="AI230" i="24"/>
  <c r="AH230" i="24" s="1"/>
  <c r="AG230" i="24" s="1"/>
  <c r="AF230" i="24" s="1"/>
  <c r="AD230" i="24" s="1"/>
  <c r="AI234" i="24"/>
  <c r="AH234" i="24" s="1"/>
  <c r="AG234" i="24" s="1"/>
  <c r="AF234" i="24" s="1"/>
  <c r="AD234" i="24" s="1"/>
  <c r="AI238" i="24"/>
  <c r="AH238" i="24" s="1"/>
  <c r="AG238" i="24" s="1"/>
  <c r="AF238" i="24" s="1"/>
  <c r="AD238" i="24" s="1"/>
  <c r="AI242" i="24"/>
  <c r="AH242" i="24" s="1"/>
  <c r="AG242" i="24" s="1"/>
  <c r="AF242" i="24" s="1"/>
  <c r="AD242" i="24" s="1"/>
  <c r="AI246" i="24"/>
  <c r="AH246" i="24" s="1"/>
  <c r="AG246" i="24" s="1"/>
  <c r="AF246" i="24" s="1"/>
  <c r="AD246" i="24" s="1"/>
  <c r="AI250" i="24"/>
  <c r="AH250" i="24" s="1"/>
  <c r="AG250" i="24" s="1"/>
  <c r="AF250" i="24" s="1"/>
  <c r="AD250" i="24" s="1"/>
  <c r="AI254" i="24"/>
  <c r="AH254" i="24" s="1"/>
  <c r="AG254" i="24" s="1"/>
  <c r="AF254" i="24" s="1"/>
  <c r="AD254" i="24" s="1"/>
  <c r="AI258" i="24"/>
  <c r="AH258" i="24" s="1"/>
  <c r="AG258" i="24" s="1"/>
  <c r="AF258" i="24" s="1"/>
  <c r="AD258" i="24" s="1"/>
  <c r="AI262" i="24"/>
  <c r="AH262" i="24" s="1"/>
  <c r="AG262" i="24" s="1"/>
  <c r="AF262" i="24" s="1"/>
  <c r="AD262" i="24" s="1"/>
  <c r="AI266" i="24"/>
  <c r="AH266" i="24" s="1"/>
  <c r="AG266" i="24" s="1"/>
  <c r="AF266" i="24" s="1"/>
  <c r="AD266" i="24" s="1"/>
  <c r="AI270" i="24"/>
  <c r="AH270" i="24" s="1"/>
  <c r="AG270" i="24" s="1"/>
  <c r="AF270" i="24" s="1"/>
  <c r="AD270" i="24" s="1"/>
  <c r="AI274" i="24"/>
  <c r="AH274" i="24" s="1"/>
  <c r="AG274" i="24" s="1"/>
  <c r="AF274" i="24" s="1"/>
  <c r="AD274" i="24" s="1"/>
  <c r="AI278" i="24"/>
  <c r="AH278" i="24" s="1"/>
  <c r="AG278" i="24" s="1"/>
  <c r="AF278" i="24" s="1"/>
  <c r="AD278" i="24" s="1"/>
  <c r="AI282" i="24"/>
  <c r="AH282" i="24" s="1"/>
  <c r="AG282" i="24" s="1"/>
  <c r="AF282" i="24" s="1"/>
  <c r="AD282" i="24" s="1"/>
  <c r="AI286" i="24"/>
  <c r="AH286" i="24" s="1"/>
  <c r="AG286" i="24" s="1"/>
  <c r="AF286" i="24" s="1"/>
  <c r="AD286" i="24" s="1"/>
  <c r="AI290" i="24"/>
  <c r="AH290" i="24" s="1"/>
  <c r="AG290" i="24" s="1"/>
  <c r="AF290" i="24" s="1"/>
  <c r="AD290" i="24" s="1"/>
  <c r="AI294" i="24"/>
  <c r="AH294" i="24" s="1"/>
  <c r="AG294" i="24" s="1"/>
  <c r="AF294" i="24" s="1"/>
  <c r="AD294" i="24" s="1"/>
  <c r="AI298" i="24"/>
  <c r="AH298" i="24" s="1"/>
  <c r="AG298" i="24" s="1"/>
  <c r="AF298" i="24" s="1"/>
  <c r="AD298" i="24" s="1"/>
  <c r="AI302" i="24"/>
  <c r="AH302" i="24" s="1"/>
  <c r="AG302" i="24" s="1"/>
  <c r="AF302" i="24" s="1"/>
  <c r="AD302" i="24" s="1"/>
  <c r="AI306" i="24"/>
  <c r="AH306" i="24" s="1"/>
  <c r="AG306" i="24" s="1"/>
  <c r="AF306" i="24" s="1"/>
  <c r="AD306" i="24" s="1"/>
  <c r="AI310" i="24"/>
  <c r="AH310" i="24" s="1"/>
  <c r="AG310" i="24" s="1"/>
  <c r="AF310" i="24" s="1"/>
  <c r="AD310" i="24" s="1"/>
  <c r="AI314" i="24"/>
  <c r="AH314" i="24" s="1"/>
  <c r="AG314" i="24" s="1"/>
  <c r="AF314" i="24" s="1"/>
  <c r="AD314" i="24" s="1"/>
  <c r="AI318" i="24"/>
  <c r="AH318" i="24" s="1"/>
  <c r="AG318" i="24" s="1"/>
  <c r="AF318" i="24" s="1"/>
  <c r="AD318" i="24" s="1"/>
  <c r="AI322" i="24"/>
  <c r="AH322" i="24" s="1"/>
  <c r="AG322" i="24" s="1"/>
  <c r="AF322" i="24" s="1"/>
  <c r="AD322" i="24" s="1"/>
  <c r="AI326" i="24"/>
  <c r="AH326" i="24" s="1"/>
  <c r="AG326" i="24" s="1"/>
  <c r="AF326" i="24" s="1"/>
  <c r="AD326" i="24" s="1"/>
  <c r="AI330" i="24"/>
  <c r="AH330" i="24" s="1"/>
  <c r="AG330" i="24" s="1"/>
  <c r="AF330" i="24" s="1"/>
  <c r="AD330" i="24" s="1"/>
  <c r="AI334" i="24"/>
  <c r="AH334" i="24" s="1"/>
  <c r="AG334" i="24" s="1"/>
  <c r="AF334" i="24" s="1"/>
  <c r="AD334" i="24" s="1"/>
  <c r="AI338" i="24"/>
  <c r="AH338" i="24" s="1"/>
  <c r="AG338" i="24" s="1"/>
  <c r="AF338" i="24" s="1"/>
  <c r="AD338" i="24" s="1"/>
  <c r="AI342" i="24"/>
  <c r="AH342" i="24" s="1"/>
  <c r="AG342" i="24" s="1"/>
  <c r="AF342" i="24" s="1"/>
  <c r="AD342" i="24" s="1"/>
  <c r="AI346" i="24"/>
  <c r="AH346" i="24" s="1"/>
  <c r="AG346" i="24" s="1"/>
  <c r="AF346" i="24" s="1"/>
  <c r="AD346" i="24" s="1"/>
  <c r="AI350" i="24"/>
  <c r="AH350" i="24" s="1"/>
  <c r="AG350" i="24" s="1"/>
  <c r="AF350" i="24" s="1"/>
  <c r="AD350" i="24" s="1"/>
  <c r="AI354" i="24"/>
  <c r="AH354" i="24" s="1"/>
  <c r="AG354" i="24" s="1"/>
  <c r="AF354" i="24" s="1"/>
  <c r="AD354" i="24" s="1"/>
  <c r="AI358" i="24"/>
  <c r="AH358" i="24" s="1"/>
  <c r="AG358" i="24" s="1"/>
  <c r="AF358" i="24" s="1"/>
  <c r="AD358" i="24" s="1"/>
  <c r="AI362" i="24"/>
  <c r="AH362" i="24" s="1"/>
  <c r="AG362" i="24" s="1"/>
  <c r="AF362" i="24" s="1"/>
  <c r="AD362" i="24" s="1"/>
  <c r="AI366" i="24"/>
  <c r="AH366" i="24" s="1"/>
  <c r="AG366" i="24" s="1"/>
  <c r="AF366" i="24" s="1"/>
  <c r="AD366" i="24" s="1"/>
  <c r="AI370" i="24"/>
  <c r="AH370" i="24" s="1"/>
  <c r="AG370" i="24" s="1"/>
  <c r="AF370" i="24" s="1"/>
  <c r="AD370" i="24" s="1"/>
  <c r="AI374" i="24"/>
  <c r="AH374" i="24" s="1"/>
  <c r="AG374" i="24" s="1"/>
  <c r="AF374" i="24" s="1"/>
  <c r="AD374" i="24" s="1"/>
  <c r="AI378" i="24"/>
  <c r="AH378" i="24" s="1"/>
  <c r="AG378" i="24" s="1"/>
  <c r="AF378" i="24" s="1"/>
  <c r="AD378" i="24" s="1"/>
  <c r="U22" i="24"/>
  <c r="T22" i="24" s="1"/>
  <c r="S22" i="24" s="1"/>
  <c r="R22" i="24" s="1"/>
  <c r="P22" i="24" s="1"/>
  <c r="V22" i="24" s="1"/>
  <c r="U15" i="24"/>
  <c r="T15" i="24" s="1"/>
  <c r="U25" i="24"/>
  <c r="T25" i="24" s="1"/>
  <c r="S25" i="24" s="1"/>
  <c r="R25" i="24" s="1"/>
  <c r="P25" i="24" s="1"/>
  <c r="V25" i="24" s="1"/>
  <c r="U28" i="24"/>
  <c r="T28" i="24" s="1"/>
  <c r="S28" i="24" s="1"/>
  <c r="R28" i="24" s="1"/>
  <c r="P28" i="24" s="1"/>
  <c r="V28" i="24" s="1"/>
  <c r="U32" i="24"/>
  <c r="T32" i="24" s="1"/>
  <c r="S32" i="24" s="1"/>
  <c r="R32" i="24" s="1"/>
  <c r="P32" i="24" s="1"/>
  <c r="V32" i="24" s="1"/>
  <c r="U36" i="24"/>
  <c r="T36" i="24" s="1"/>
  <c r="S36" i="24" s="1"/>
  <c r="R36" i="24" s="1"/>
  <c r="P36" i="24" s="1"/>
  <c r="V36" i="24" s="1"/>
  <c r="U40" i="24"/>
  <c r="T40" i="24" s="1"/>
  <c r="S40" i="24" s="1"/>
  <c r="R40" i="24" s="1"/>
  <c r="P40" i="24" s="1"/>
  <c r="V40" i="24" s="1"/>
  <c r="U44" i="24"/>
  <c r="T44" i="24" s="1"/>
  <c r="S44" i="24" s="1"/>
  <c r="R44" i="24" s="1"/>
  <c r="P44" i="24" s="1"/>
  <c r="V44" i="24" s="1"/>
  <c r="U48" i="24"/>
  <c r="T48" i="24" s="1"/>
  <c r="S48" i="24" s="1"/>
  <c r="R48" i="24" s="1"/>
  <c r="P48" i="24" s="1"/>
  <c r="V48" i="24" s="1"/>
  <c r="U52" i="24"/>
  <c r="T52" i="24" s="1"/>
  <c r="S52" i="24" s="1"/>
  <c r="R52" i="24" s="1"/>
  <c r="P52" i="24" s="1"/>
  <c r="V52" i="24" s="1"/>
  <c r="U56" i="24"/>
  <c r="T56" i="24" s="1"/>
  <c r="S56" i="24" s="1"/>
  <c r="R56" i="24" s="1"/>
  <c r="P56" i="24" s="1"/>
  <c r="V56" i="24" s="1"/>
  <c r="U60" i="24"/>
  <c r="T60" i="24" s="1"/>
  <c r="S60" i="24" s="1"/>
  <c r="R60" i="24" s="1"/>
  <c r="P60" i="24" s="1"/>
  <c r="V60" i="24" s="1"/>
  <c r="U64" i="24"/>
  <c r="T64" i="24" s="1"/>
  <c r="S64" i="24" s="1"/>
  <c r="R64" i="24" s="1"/>
  <c r="P64" i="24" s="1"/>
  <c r="V64" i="24" s="1"/>
  <c r="U68" i="24"/>
  <c r="T68" i="24" s="1"/>
  <c r="S68" i="24" s="1"/>
  <c r="R68" i="24" s="1"/>
  <c r="P68" i="24" s="1"/>
  <c r="V68" i="24" s="1"/>
  <c r="U72" i="24"/>
  <c r="T72" i="24" s="1"/>
  <c r="S72" i="24" s="1"/>
  <c r="R72" i="24" s="1"/>
  <c r="P72" i="24" s="1"/>
  <c r="V72" i="24" s="1"/>
  <c r="U76" i="24"/>
  <c r="T76" i="24" s="1"/>
  <c r="S76" i="24" s="1"/>
  <c r="R76" i="24" s="1"/>
  <c r="P76" i="24" s="1"/>
  <c r="V76" i="24" s="1"/>
  <c r="U80" i="24"/>
  <c r="T80" i="24" s="1"/>
  <c r="S80" i="24" s="1"/>
  <c r="R80" i="24" s="1"/>
  <c r="P80" i="24" s="1"/>
  <c r="V80" i="24" s="1"/>
  <c r="U84" i="24"/>
  <c r="T84" i="24" s="1"/>
  <c r="S84" i="24" s="1"/>
  <c r="R84" i="24" s="1"/>
  <c r="P84" i="24" s="1"/>
  <c r="V84" i="24" s="1"/>
  <c r="U88" i="24"/>
  <c r="T88" i="24" s="1"/>
  <c r="S88" i="24" s="1"/>
  <c r="R88" i="24" s="1"/>
  <c r="P88" i="24" s="1"/>
  <c r="U92" i="24"/>
  <c r="T92" i="24" s="1"/>
  <c r="S92" i="24" s="1"/>
  <c r="R92" i="24" s="1"/>
  <c r="P92" i="24" s="1"/>
  <c r="V92" i="24" s="1"/>
  <c r="U96" i="24"/>
  <c r="T96" i="24" s="1"/>
  <c r="S96" i="24" s="1"/>
  <c r="R96" i="24" s="1"/>
  <c r="P96" i="24" s="1"/>
  <c r="V96" i="24" s="1"/>
  <c r="U100" i="24"/>
  <c r="T100" i="24" s="1"/>
  <c r="S100" i="24" s="1"/>
  <c r="R100" i="24" s="1"/>
  <c r="P100" i="24" s="1"/>
  <c r="V100" i="24" s="1"/>
  <c r="U104" i="24"/>
  <c r="T104" i="24" s="1"/>
  <c r="S104" i="24" s="1"/>
  <c r="R104" i="24" s="1"/>
  <c r="P104" i="24" s="1"/>
  <c r="V104" i="24" s="1"/>
  <c r="U108" i="24"/>
  <c r="T108" i="24" s="1"/>
  <c r="S108" i="24" s="1"/>
  <c r="R108" i="24" s="1"/>
  <c r="P108" i="24" s="1"/>
  <c r="V108" i="24" s="1"/>
  <c r="U112" i="24"/>
  <c r="T112" i="24" s="1"/>
  <c r="S112" i="24" s="1"/>
  <c r="R112" i="24" s="1"/>
  <c r="P112" i="24" s="1"/>
  <c r="V112" i="24" s="1"/>
  <c r="U116" i="24"/>
  <c r="T116" i="24" s="1"/>
  <c r="S116" i="24" s="1"/>
  <c r="R116" i="24" s="1"/>
  <c r="P116" i="24" s="1"/>
  <c r="V116" i="24" s="1"/>
  <c r="U120" i="24"/>
  <c r="T120" i="24" s="1"/>
  <c r="S120" i="24" s="1"/>
  <c r="R120" i="24" s="1"/>
  <c r="P120" i="24" s="1"/>
  <c r="V120" i="24" s="1"/>
  <c r="U124" i="24"/>
  <c r="T124" i="24" s="1"/>
  <c r="S124" i="24" s="1"/>
  <c r="R124" i="24" s="1"/>
  <c r="P124" i="24" s="1"/>
  <c r="V124" i="24" s="1"/>
  <c r="U128" i="24"/>
  <c r="T128" i="24" s="1"/>
  <c r="S128" i="24" s="1"/>
  <c r="R128" i="24" s="1"/>
  <c r="P128" i="24" s="1"/>
  <c r="V128" i="24" s="1"/>
  <c r="U132" i="24"/>
  <c r="T132" i="24" s="1"/>
  <c r="S132" i="24" s="1"/>
  <c r="R132" i="24" s="1"/>
  <c r="P132" i="24" s="1"/>
  <c r="V132" i="24" s="1"/>
  <c r="U136" i="24"/>
  <c r="T136" i="24" s="1"/>
  <c r="S136" i="24" s="1"/>
  <c r="R136" i="24" s="1"/>
  <c r="P136" i="24" s="1"/>
  <c r="V136" i="24" s="1"/>
  <c r="U140" i="24"/>
  <c r="T140" i="24" s="1"/>
  <c r="S140" i="24" s="1"/>
  <c r="R140" i="24" s="1"/>
  <c r="P140" i="24" s="1"/>
  <c r="V140" i="24" s="1"/>
  <c r="U144" i="24"/>
  <c r="T144" i="24" s="1"/>
  <c r="S144" i="24" s="1"/>
  <c r="R144" i="24" s="1"/>
  <c r="P144" i="24" s="1"/>
  <c r="V144" i="24" s="1"/>
  <c r="U148" i="24"/>
  <c r="T148" i="24" s="1"/>
  <c r="S148" i="24" s="1"/>
  <c r="R148" i="24" s="1"/>
  <c r="P148" i="24" s="1"/>
  <c r="V148" i="24" s="1"/>
  <c r="U152" i="24"/>
  <c r="T152" i="24" s="1"/>
  <c r="S152" i="24" s="1"/>
  <c r="R152" i="24" s="1"/>
  <c r="P152" i="24" s="1"/>
  <c r="V152" i="24" s="1"/>
  <c r="U156" i="24"/>
  <c r="T156" i="24" s="1"/>
  <c r="S156" i="24" s="1"/>
  <c r="R156" i="24" s="1"/>
  <c r="P156" i="24" s="1"/>
  <c r="V156" i="24" s="1"/>
  <c r="U160" i="24"/>
  <c r="T160" i="24" s="1"/>
  <c r="S160" i="24" s="1"/>
  <c r="R160" i="24" s="1"/>
  <c r="P160" i="24" s="1"/>
  <c r="V160" i="24" s="1"/>
  <c r="U164" i="24"/>
  <c r="T164" i="24" s="1"/>
  <c r="S164" i="24" s="1"/>
  <c r="R164" i="24" s="1"/>
  <c r="P164" i="24" s="1"/>
  <c r="V164" i="24" s="1"/>
  <c r="U168" i="24"/>
  <c r="T168" i="24" s="1"/>
  <c r="S168" i="24" s="1"/>
  <c r="R168" i="24" s="1"/>
  <c r="P168" i="24" s="1"/>
  <c r="V168" i="24" s="1"/>
  <c r="U172" i="24"/>
  <c r="T172" i="24" s="1"/>
  <c r="S172" i="24" s="1"/>
  <c r="R172" i="24" s="1"/>
  <c r="P172" i="24" s="1"/>
  <c r="V172" i="24" s="1"/>
  <c r="U176" i="24"/>
  <c r="T176" i="24" s="1"/>
  <c r="S176" i="24" s="1"/>
  <c r="R176" i="24" s="1"/>
  <c r="P176" i="24" s="1"/>
  <c r="V176" i="24" s="1"/>
  <c r="U180" i="24"/>
  <c r="T180" i="24" s="1"/>
  <c r="S180" i="24" s="1"/>
  <c r="R180" i="24" s="1"/>
  <c r="P180" i="24" s="1"/>
  <c r="V180" i="24" s="1"/>
  <c r="U184" i="24"/>
  <c r="T184" i="24" s="1"/>
  <c r="S184" i="24" s="1"/>
  <c r="R184" i="24" s="1"/>
  <c r="P184" i="24" s="1"/>
  <c r="V184" i="24" s="1"/>
  <c r="U188" i="24"/>
  <c r="T188" i="24" s="1"/>
  <c r="S188" i="24" s="1"/>
  <c r="R188" i="24" s="1"/>
  <c r="P188" i="24" s="1"/>
  <c r="V188" i="24" s="1"/>
  <c r="U192" i="24"/>
  <c r="T192" i="24" s="1"/>
  <c r="S192" i="24" s="1"/>
  <c r="R192" i="24" s="1"/>
  <c r="P192" i="24" s="1"/>
  <c r="V192" i="24" s="1"/>
  <c r="U196" i="24"/>
  <c r="T196" i="24" s="1"/>
  <c r="S196" i="24" s="1"/>
  <c r="R196" i="24" s="1"/>
  <c r="P196" i="24" s="1"/>
  <c r="V196" i="24" s="1"/>
  <c r="U200" i="24"/>
  <c r="T200" i="24" s="1"/>
  <c r="S200" i="24" s="1"/>
  <c r="R200" i="24" s="1"/>
  <c r="P200" i="24" s="1"/>
  <c r="V200" i="24" s="1"/>
  <c r="U204" i="24"/>
  <c r="T204" i="24" s="1"/>
  <c r="S204" i="24" s="1"/>
  <c r="R204" i="24" s="1"/>
  <c r="P204" i="24" s="1"/>
  <c r="V204" i="24" s="1"/>
  <c r="U208" i="24"/>
  <c r="T208" i="24" s="1"/>
  <c r="S208" i="24" s="1"/>
  <c r="R208" i="24" s="1"/>
  <c r="P208" i="24" s="1"/>
  <c r="V208" i="24" s="1"/>
  <c r="U212" i="24"/>
  <c r="T212" i="24" s="1"/>
  <c r="S212" i="24" s="1"/>
  <c r="R212" i="24" s="1"/>
  <c r="P212" i="24" s="1"/>
  <c r="V212" i="24" s="1"/>
  <c r="U216" i="24"/>
  <c r="T216" i="24" s="1"/>
  <c r="S216" i="24" s="1"/>
  <c r="R216" i="24" s="1"/>
  <c r="P216" i="24" s="1"/>
  <c r="V216" i="24" s="1"/>
  <c r="U220" i="24"/>
  <c r="T220" i="24" s="1"/>
  <c r="S220" i="24" s="1"/>
  <c r="R220" i="24" s="1"/>
  <c r="P220" i="24" s="1"/>
  <c r="V220" i="24" s="1"/>
  <c r="U224" i="24"/>
  <c r="T224" i="24" s="1"/>
  <c r="S224" i="24" s="1"/>
  <c r="R224" i="24" s="1"/>
  <c r="P224" i="24" s="1"/>
  <c r="V224" i="24" s="1"/>
  <c r="U228" i="24"/>
  <c r="T228" i="24" s="1"/>
  <c r="S228" i="24" s="1"/>
  <c r="R228" i="24" s="1"/>
  <c r="P228" i="24" s="1"/>
  <c r="V228" i="24" s="1"/>
  <c r="U232" i="24"/>
  <c r="T232" i="24" s="1"/>
  <c r="S232" i="24" s="1"/>
  <c r="R232" i="24" s="1"/>
  <c r="P232" i="24" s="1"/>
  <c r="V232" i="24" s="1"/>
  <c r="U236" i="24"/>
  <c r="T236" i="24" s="1"/>
  <c r="S236" i="24" s="1"/>
  <c r="R236" i="24" s="1"/>
  <c r="P236" i="24" s="1"/>
  <c r="V236" i="24" s="1"/>
  <c r="U240" i="24"/>
  <c r="T240" i="24" s="1"/>
  <c r="S240" i="24" s="1"/>
  <c r="R240" i="24" s="1"/>
  <c r="P240" i="24" s="1"/>
  <c r="V240" i="24" s="1"/>
  <c r="U244" i="24"/>
  <c r="T244" i="24" s="1"/>
  <c r="S244" i="24" s="1"/>
  <c r="R244" i="24" s="1"/>
  <c r="P244" i="24" s="1"/>
  <c r="V244" i="24" s="1"/>
  <c r="U248" i="24"/>
  <c r="T248" i="24" s="1"/>
  <c r="S248" i="24" s="1"/>
  <c r="R248" i="24" s="1"/>
  <c r="P248" i="24" s="1"/>
  <c r="V248" i="24" s="1"/>
  <c r="U252" i="24"/>
  <c r="T252" i="24" s="1"/>
  <c r="S252" i="24" s="1"/>
  <c r="R252" i="24" s="1"/>
  <c r="P252" i="24" s="1"/>
  <c r="V252" i="24" s="1"/>
  <c r="U256" i="24"/>
  <c r="T256" i="24" s="1"/>
  <c r="S256" i="24" s="1"/>
  <c r="R256" i="24" s="1"/>
  <c r="P256" i="24" s="1"/>
  <c r="V256" i="24" s="1"/>
  <c r="U260" i="24"/>
  <c r="T260" i="24" s="1"/>
  <c r="S260" i="24" s="1"/>
  <c r="R260" i="24" s="1"/>
  <c r="P260" i="24" s="1"/>
  <c r="V260" i="24" s="1"/>
  <c r="U264" i="24"/>
  <c r="T264" i="24" s="1"/>
  <c r="S264" i="24" s="1"/>
  <c r="R264" i="24" s="1"/>
  <c r="P264" i="24" s="1"/>
  <c r="V264" i="24" s="1"/>
  <c r="U268" i="24"/>
  <c r="T268" i="24" s="1"/>
  <c r="S268" i="24" s="1"/>
  <c r="R268" i="24" s="1"/>
  <c r="P268" i="24" s="1"/>
  <c r="V268" i="24" s="1"/>
  <c r="U272" i="24"/>
  <c r="T272" i="24" s="1"/>
  <c r="S272" i="24" s="1"/>
  <c r="R272" i="24" s="1"/>
  <c r="P272" i="24" s="1"/>
  <c r="V272" i="24" s="1"/>
  <c r="U276" i="24"/>
  <c r="T276" i="24" s="1"/>
  <c r="S276" i="24" s="1"/>
  <c r="R276" i="24" s="1"/>
  <c r="P276" i="24" s="1"/>
  <c r="V276" i="24" s="1"/>
  <c r="U280" i="24"/>
  <c r="T280" i="24" s="1"/>
  <c r="S280" i="24" s="1"/>
  <c r="R280" i="24" s="1"/>
  <c r="P280" i="24" s="1"/>
  <c r="V280" i="24" s="1"/>
  <c r="U284" i="24"/>
  <c r="T284" i="24" s="1"/>
  <c r="S284" i="24" s="1"/>
  <c r="R284" i="24" s="1"/>
  <c r="P284" i="24" s="1"/>
  <c r="V284" i="24" s="1"/>
  <c r="U288" i="24"/>
  <c r="T288" i="24" s="1"/>
  <c r="S288" i="24" s="1"/>
  <c r="R288" i="24" s="1"/>
  <c r="P288" i="24" s="1"/>
  <c r="V288" i="24" s="1"/>
  <c r="U292" i="24"/>
  <c r="T292" i="24" s="1"/>
  <c r="S292" i="24" s="1"/>
  <c r="R292" i="24" s="1"/>
  <c r="P292" i="24" s="1"/>
  <c r="V292" i="24" s="1"/>
  <c r="U296" i="24"/>
  <c r="T296" i="24" s="1"/>
  <c r="S296" i="24" s="1"/>
  <c r="R296" i="24" s="1"/>
  <c r="P296" i="24" s="1"/>
  <c r="V296" i="24" s="1"/>
  <c r="U300" i="24"/>
  <c r="T300" i="24" s="1"/>
  <c r="S300" i="24" s="1"/>
  <c r="R300" i="24" s="1"/>
  <c r="P300" i="24" s="1"/>
  <c r="V300" i="24" s="1"/>
  <c r="U304" i="24"/>
  <c r="T304" i="24" s="1"/>
  <c r="S304" i="24" s="1"/>
  <c r="R304" i="24" s="1"/>
  <c r="P304" i="24" s="1"/>
  <c r="V304" i="24" s="1"/>
  <c r="U308" i="24"/>
  <c r="T308" i="24" s="1"/>
  <c r="S308" i="24" s="1"/>
  <c r="R308" i="24" s="1"/>
  <c r="P308" i="24" s="1"/>
  <c r="V308" i="24" s="1"/>
  <c r="U312" i="24"/>
  <c r="T312" i="24" s="1"/>
  <c r="S312" i="24" s="1"/>
  <c r="R312" i="24" s="1"/>
  <c r="P312" i="24" s="1"/>
  <c r="V312" i="24" s="1"/>
  <c r="U316" i="24"/>
  <c r="T316" i="24" s="1"/>
  <c r="S316" i="24" s="1"/>
  <c r="R316" i="24" s="1"/>
  <c r="P316" i="24" s="1"/>
  <c r="V316" i="24" s="1"/>
  <c r="U320" i="24"/>
  <c r="T320" i="24" s="1"/>
  <c r="S320" i="24" s="1"/>
  <c r="R320" i="24" s="1"/>
  <c r="P320" i="24" s="1"/>
  <c r="V320" i="24" s="1"/>
  <c r="U19" i="24"/>
  <c r="T19" i="24" s="1"/>
  <c r="S19" i="24" s="1"/>
  <c r="R19" i="24" s="1"/>
  <c r="P19" i="24" s="1"/>
  <c r="V19" i="24" s="1"/>
  <c r="U21" i="24"/>
  <c r="T21" i="24" s="1"/>
  <c r="S21" i="24" s="1"/>
  <c r="R21" i="24" s="1"/>
  <c r="P21" i="24" s="1"/>
  <c r="V21" i="24" s="1"/>
  <c r="U29" i="24"/>
  <c r="T29" i="24" s="1"/>
  <c r="S29" i="24" s="1"/>
  <c r="R29" i="24" s="1"/>
  <c r="P29" i="24" s="1"/>
  <c r="AH56" i="7" s="1"/>
  <c r="U33" i="24"/>
  <c r="T33" i="24" s="1"/>
  <c r="S33" i="24" s="1"/>
  <c r="R33" i="24" s="1"/>
  <c r="P33" i="24" s="1"/>
  <c r="V33" i="24" s="1"/>
  <c r="U37" i="24"/>
  <c r="T37" i="24" s="1"/>
  <c r="S37" i="24" s="1"/>
  <c r="R37" i="24" s="1"/>
  <c r="P37" i="24" s="1"/>
  <c r="V37" i="24" s="1"/>
  <c r="U41" i="24"/>
  <c r="T41" i="24" s="1"/>
  <c r="S41" i="24" s="1"/>
  <c r="R41" i="24" s="1"/>
  <c r="P41" i="24" s="1"/>
  <c r="V41" i="24" s="1"/>
  <c r="U45" i="24"/>
  <c r="T45" i="24" s="1"/>
  <c r="S45" i="24" s="1"/>
  <c r="R45" i="24" s="1"/>
  <c r="P45" i="24" s="1"/>
  <c r="V45" i="24" s="1"/>
  <c r="U49" i="24"/>
  <c r="T49" i="24" s="1"/>
  <c r="S49" i="24" s="1"/>
  <c r="R49" i="24" s="1"/>
  <c r="P49" i="24" s="1"/>
  <c r="V49" i="24" s="1"/>
  <c r="U53" i="24"/>
  <c r="T53" i="24" s="1"/>
  <c r="S53" i="24" s="1"/>
  <c r="R53" i="24" s="1"/>
  <c r="P53" i="24" s="1"/>
  <c r="V53" i="24" s="1"/>
  <c r="U57" i="24"/>
  <c r="T57" i="24" s="1"/>
  <c r="S57" i="24" s="1"/>
  <c r="R57" i="24" s="1"/>
  <c r="P57" i="24" s="1"/>
  <c r="V57" i="24" s="1"/>
  <c r="U61" i="24"/>
  <c r="T61" i="24" s="1"/>
  <c r="S61" i="24" s="1"/>
  <c r="R61" i="24" s="1"/>
  <c r="P61" i="24" s="1"/>
  <c r="V61" i="24" s="1"/>
  <c r="U65" i="24"/>
  <c r="T65" i="24" s="1"/>
  <c r="S65" i="24" s="1"/>
  <c r="R65" i="24" s="1"/>
  <c r="P65" i="24" s="1"/>
  <c r="V65" i="24" s="1"/>
  <c r="U69" i="24"/>
  <c r="T69" i="24" s="1"/>
  <c r="S69" i="24" s="1"/>
  <c r="R69" i="24" s="1"/>
  <c r="P69" i="24" s="1"/>
  <c r="V69" i="24" s="1"/>
  <c r="U378" i="24"/>
  <c r="T378" i="24" s="1"/>
  <c r="S378" i="24" s="1"/>
  <c r="R378" i="24" s="1"/>
  <c r="P378" i="24" s="1"/>
  <c r="V378" i="24" s="1"/>
  <c r="U374" i="24"/>
  <c r="T374" i="24" s="1"/>
  <c r="S374" i="24" s="1"/>
  <c r="R374" i="24" s="1"/>
  <c r="P374" i="24" s="1"/>
  <c r="V374" i="24" s="1"/>
  <c r="U370" i="24"/>
  <c r="T370" i="24" s="1"/>
  <c r="S370" i="24" s="1"/>
  <c r="R370" i="24" s="1"/>
  <c r="P370" i="24" s="1"/>
  <c r="V370" i="24" s="1"/>
  <c r="U366" i="24"/>
  <c r="T366" i="24" s="1"/>
  <c r="S366" i="24" s="1"/>
  <c r="R366" i="24" s="1"/>
  <c r="P366" i="24" s="1"/>
  <c r="V366" i="24" s="1"/>
  <c r="U362" i="24"/>
  <c r="T362" i="24" s="1"/>
  <c r="S362" i="24" s="1"/>
  <c r="R362" i="24" s="1"/>
  <c r="P362" i="24" s="1"/>
  <c r="V362" i="24" s="1"/>
  <c r="U358" i="24"/>
  <c r="T358" i="24" s="1"/>
  <c r="S358" i="24" s="1"/>
  <c r="R358" i="24" s="1"/>
  <c r="P358" i="24" s="1"/>
  <c r="V358" i="24" s="1"/>
  <c r="U354" i="24"/>
  <c r="T354" i="24" s="1"/>
  <c r="S354" i="24" s="1"/>
  <c r="R354" i="24" s="1"/>
  <c r="P354" i="24" s="1"/>
  <c r="V354" i="24" s="1"/>
  <c r="U350" i="24"/>
  <c r="T350" i="24" s="1"/>
  <c r="S350" i="24" s="1"/>
  <c r="R350" i="24" s="1"/>
  <c r="P350" i="24" s="1"/>
  <c r="V350" i="24" s="1"/>
  <c r="U346" i="24"/>
  <c r="T346" i="24" s="1"/>
  <c r="S346" i="24" s="1"/>
  <c r="R346" i="24" s="1"/>
  <c r="P346" i="24" s="1"/>
  <c r="V346" i="24" s="1"/>
  <c r="U342" i="24"/>
  <c r="T342" i="24" s="1"/>
  <c r="S342" i="24" s="1"/>
  <c r="R342" i="24" s="1"/>
  <c r="P342" i="24" s="1"/>
  <c r="V342" i="24" s="1"/>
  <c r="U338" i="24"/>
  <c r="T338" i="24" s="1"/>
  <c r="S338" i="24" s="1"/>
  <c r="R338" i="24" s="1"/>
  <c r="P338" i="24" s="1"/>
  <c r="V338" i="24" s="1"/>
  <c r="U334" i="24"/>
  <c r="T334" i="24" s="1"/>
  <c r="S334" i="24" s="1"/>
  <c r="R334" i="24" s="1"/>
  <c r="P334" i="24" s="1"/>
  <c r="V334" i="24" s="1"/>
  <c r="U326" i="24"/>
  <c r="T326" i="24" s="1"/>
  <c r="S326" i="24" s="1"/>
  <c r="R326" i="24" s="1"/>
  <c r="P326" i="24" s="1"/>
  <c r="V326" i="24" s="1"/>
  <c r="U379" i="24"/>
  <c r="U12" i="25" s="1"/>
  <c r="U375" i="24"/>
  <c r="T375" i="24" s="1"/>
  <c r="S375" i="24" s="1"/>
  <c r="R375" i="24" s="1"/>
  <c r="P375" i="24" s="1"/>
  <c r="V375" i="24" s="1"/>
  <c r="U371" i="24"/>
  <c r="T371" i="24" s="1"/>
  <c r="S371" i="24" s="1"/>
  <c r="R371" i="24" s="1"/>
  <c r="P371" i="24" s="1"/>
  <c r="V371" i="24" s="1"/>
  <c r="U367" i="24"/>
  <c r="T367" i="24" s="1"/>
  <c r="S367" i="24" s="1"/>
  <c r="R367" i="24" s="1"/>
  <c r="P367" i="24" s="1"/>
  <c r="V367" i="24" s="1"/>
  <c r="U363" i="24"/>
  <c r="T363" i="24" s="1"/>
  <c r="S363" i="24" s="1"/>
  <c r="R363" i="24" s="1"/>
  <c r="P363" i="24" s="1"/>
  <c r="AH67" i="7" s="1"/>
  <c r="U359" i="24"/>
  <c r="T359" i="24" s="1"/>
  <c r="S359" i="24" s="1"/>
  <c r="R359" i="24" s="1"/>
  <c r="P359" i="24" s="1"/>
  <c r="V359" i="24" s="1"/>
  <c r="U355" i="24"/>
  <c r="T355" i="24" s="1"/>
  <c r="S355" i="24" s="1"/>
  <c r="R355" i="24" s="1"/>
  <c r="P355" i="24" s="1"/>
  <c r="V355" i="24" s="1"/>
  <c r="U351" i="24"/>
  <c r="T351" i="24" s="1"/>
  <c r="S351" i="24" s="1"/>
  <c r="R351" i="24" s="1"/>
  <c r="P351" i="24" s="1"/>
  <c r="V351" i="24" s="1"/>
  <c r="U347" i="24"/>
  <c r="T347" i="24" s="1"/>
  <c r="S347" i="24" s="1"/>
  <c r="R347" i="24" s="1"/>
  <c r="P347" i="24" s="1"/>
  <c r="V347" i="24" s="1"/>
  <c r="U343" i="24"/>
  <c r="T343" i="24" s="1"/>
  <c r="S343" i="24" s="1"/>
  <c r="R343" i="24" s="1"/>
  <c r="P343" i="24" s="1"/>
  <c r="V343" i="24" s="1"/>
  <c r="U339" i="24"/>
  <c r="T339" i="24" s="1"/>
  <c r="S339" i="24" s="1"/>
  <c r="R339" i="24" s="1"/>
  <c r="P339" i="24" s="1"/>
  <c r="V339" i="24" s="1"/>
  <c r="U335" i="24"/>
  <c r="T335" i="24" s="1"/>
  <c r="S335" i="24" s="1"/>
  <c r="R335" i="24" s="1"/>
  <c r="P335" i="24" s="1"/>
  <c r="V335" i="24" s="1"/>
  <c r="U328" i="24"/>
  <c r="T328" i="24" s="1"/>
  <c r="S328" i="24" s="1"/>
  <c r="R328" i="24" s="1"/>
  <c r="P328" i="24" s="1"/>
  <c r="V328" i="24" s="1"/>
  <c r="U333" i="24"/>
  <c r="T333" i="24" s="1"/>
  <c r="S333" i="24" s="1"/>
  <c r="R333" i="24" s="1"/>
  <c r="P333" i="24" s="1"/>
  <c r="AH66" i="7" s="1"/>
  <c r="U329" i="24"/>
  <c r="T329" i="24" s="1"/>
  <c r="S329" i="24" s="1"/>
  <c r="R329" i="24" s="1"/>
  <c r="P329" i="24" s="1"/>
  <c r="V329" i="24" s="1"/>
  <c r="U325" i="24"/>
  <c r="T325" i="24" s="1"/>
  <c r="S325" i="24" s="1"/>
  <c r="R325" i="24" s="1"/>
  <c r="P325" i="24" s="1"/>
  <c r="V325" i="24" s="1"/>
  <c r="U321" i="24"/>
  <c r="T321" i="24" s="1"/>
  <c r="S321" i="24" s="1"/>
  <c r="R321" i="24" s="1"/>
  <c r="P321" i="24" s="1"/>
  <c r="V321" i="24" s="1"/>
  <c r="U317" i="24"/>
  <c r="T317" i="24" s="1"/>
  <c r="S317" i="24" s="1"/>
  <c r="R317" i="24" s="1"/>
  <c r="P317" i="24" s="1"/>
  <c r="V317" i="24" s="1"/>
  <c r="U313" i="24"/>
  <c r="T313" i="24" s="1"/>
  <c r="S313" i="24" s="1"/>
  <c r="R313" i="24" s="1"/>
  <c r="P313" i="24" s="1"/>
  <c r="V313" i="24" s="1"/>
  <c r="U309" i="24"/>
  <c r="T309" i="24" s="1"/>
  <c r="S309" i="24" s="1"/>
  <c r="R309" i="24" s="1"/>
  <c r="P309" i="24" s="1"/>
  <c r="V309" i="24" s="1"/>
  <c r="U305" i="24"/>
  <c r="T305" i="24" s="1"/>
  <c r="S305" i="24" s="1"/>
  <c r="R305" i="24" s="1"/>
  <c r="P305" i="24" s="1"/>
  <c r="V305" i="24" s="1"/>
  <c r="U301" i="24"/>
  <c r="T301" i="24" s="1"/>
  <c r="S301" i="24" s="1"/>
  <c r="R301" i="24" s="1"/>
  <c r="P301" i="24" s="1"/>
  <c r="V301" i="24" s="1"/>
  <c r="U297" i="24"/>
  <c r="T297" i="24" s="1"/>
  <c r="S297" i="24" s="1"/>
  <c r="R297" i="24" s="1"/>
  <c r="P297" i="24" s="1"/>
  <c r="V297" i="24" s="1"/>
  <c r="U293" i="24"/>
  <c r="T293" i="24" s="1"/>
  <c r="S293" i="24" s="1"/>
  <c r="R293" i="24" s="1"/>
  <c r="P293" i="24" s="1"/>
  <c r="V293" i="24" s="1"/>
  <c r="U289" i="24"/>
  <c r="T289" i="24" s="1"/>
  <c r="S289" i="24" s="1"/>
  <c r="R289" i="24" s="1"/>
  <c r="P289" i="24" s="1"/>
  <c r="V289" i="24" s="1"/>
  <c r="U285" i="24"/>
  <c r="T285" i="24" s="1"/>
  <c r="S285" i="24" s="1"/>
  <c r="R285" i="24" s="1"/>
  <c r="P285" i="24" s="1"/>
  <c r="V285" i="24" s="1"/>
  <c r="U281" i="24"/>
  <c r="T281" i="24" s="1"/>
  <c r="S281" i="24" s="1"/>
  <c r="R281" i="24" s="1"/>
  <c r="P281" i="24" s="1"/>
  <c r="V281" i="24" s="1"/>
  <c r="U277" i="24"/>
  <c r="T277" i="24" s="1"/>
  <c r="S277" i="24" s="1"/>
  <c r="R277" i="24" s="1"/>
  <c r="P277" i="24" s="1"/>
  <c r="V277" i="24" s="1"/>
  <c r="U273" i="24"/>
  <c r="T273" i="24" s="1"/>
  <c r="S273" i="24" s="1"/>
  <c r="R273" i="24" s="1"/>
  <c r="P273" i="24" s="1"/>
  <c r="V273" i="24" s="1"/>
  <c r="U269" i="24"/>
  <c r="T269" i="24" s="1"/>
  <c r="S269" i="24" s="1"/>
  <c r="R269" i="24" s="1"/>
  <c r="P269" i="24" s="1"/>
  <c r="V269" i="24" s="1"/>
  <c r="U265" i="24"/>
  <c r="T265" i="24" s="1"/>
  <c r="S265" i="24" s="1"/>
  <c r="R265" i="24" s="1"/>
  <c r="P265" i="24" s="1"/>
  <c r="V265" i="24" s="1"/>
  <c r="U261" i="24"/>
  <c r="T261" i="24" s="1"/>
  <c r="S261" i="24" s="1"/>
  <c r="R261" i="24" s="1"/>
  <c r="P261" i="24" s="1"/>
  <c r="V261" i="24" s="1"/>
  <c r="U257" i="24"/>
  <c r="T257" i="24" s="1"/>
  <c r="S257" i="24" s="1"/>
  <c r="R257" i="24" s="1"/>
  <c r="P257" i="24" s="1"/>
  <c r="V257" i="24" s="1"/>
  <c r="U253" i="24"/>
  <c r="T253" i="24" s="1"/>
  <c r="S253" i="24" s="1"/>
  <c r="R253" i="24" s="1"/>
  <c r="P253" i="24" s="1"/>
  <c r="V253" i="24" s="1"/>
  <c r="U249" i="24"/>
  <c r="T249" i="24" s="1"/>
  <c r="S249" i="24" s="1"/>
  <c r="R249" i="24" s="1"/>
  <c r="P249" i="24" s="1"/>
  <c r="V249" i="24" s="1"/>
  <c r="U245" i="24"/>
  <c r="T245" i="24" s="1"/>
  <c r="S245" i="24" s="1"/>
  <c r="R245" i="24" s="1"/>
  <c r="P245" i="24" s="1"/>
  <c r="V245" i="24" s="1"/>
  <c r="U241" i="24"/>
  <c r="T241" i="24" s="1"/>
  <c r="S241" i="24" s="1"/>
  <c r="R241" i="24" s="1"/>
  <c r="P241" i="24" s="1"/>
  <c r="V241" i="24" s="1"/>
  <c r="U237" i="24"/>
  <c r="T237" i="24" s="1"/>
  <c r="S237" i="24" s="1"/>
  <c r="R237" i="24" s="1"/>
  <c r="P237" i="24" s="1"/>
  <c r="V237" i="24" s="1"/>
  <c r="U233" i="24"/>
  <c r="T233" i="24" s="1"/>
  <c r="S233" i="24" s="1"/>
  <c r="R233" i="24" s="1"/>
  <c r="P233" i="24" s="1"/>
  <c r="V233" i="24" s="1"/>
  <c r="U229" i="24"/>
  <c r="T229" i="24" s="1"/>
  <c r="S229" i="24" s="1"/>
  <c r="R229" i="24" s="1"/>
  <c r="P229" i="24" s="1"/>
  <c r="V229" i="24" s="1"/>
  <c r="U225" i="24"/>
  <c r="T225" i="24" s="1"/>
  <c r="S225" i="24" s="1"/>
  <c r="R225" i="24" s="1"/>
  <c r="P225" i="24" s="1"/>
  <c r="V225" i="24" s="1"/>
  <c r="U221" i="24"/>
  <c r="T221" i="24" s="1"/>
  <c r="S221" i="24" s="1"/>
  <c r="R221" i="24" s="1"/>
  <c r="P221" i="24" s="1"/>
  <c r="V221" i="24" s="1"/>
  <c r="U217" i="24"/>
  <c r="T217" i="24" s="1"/>
  <c r="S217" i="24" s="1"/>
  <c r="R217" i="24" s="1"/>
  <c r="P217" i="24" s="1"/>
  <c r="V217" i="24" s="1"/>
  <c r="U213" i="24"/>
  <c r="T213" i="24" s="1"/>
  <c r="S213" i="24" s="1"/>
  <c r="R213" i="24" s="1"/>
  <c r="P213" i="24" s="1"/>
  <c r="V213" i="24" s="1"/>
  <c r="U209" i="24"/>
  <c r="T209" i="24" s="1"/>
  <c r="S209" i="24" s="1"/>
  <c r="R209" i="24" s="1"/>
  <c r="P209" i="24" s="1"/>
  <c r="V209" i="24" s="1"/>
  <c r="U205" i="24"/>
  <c r="T205" i="24" s="1"/>
  <c r="S205" i="24" s="1"/>
  <c r="R205" i="24" s="1"/>
  <c r="P205" i="24" s="1"/>
  <c r="V205" i="24" s="1"/>
  <c r="U201" i="24"/>
  <c r="T201" i="24" s="1"/>
  <c r="S201" i="24" s="1"/>
  <c r="R201" i="24" s="1"/>
  <c r="P201" i="24" s="1"/>
  <c r="V201" i="24" s="1"/>
  <c r="U197" i="24"/>
  <c r="T197" i="24" s="1"/>
  <c r="S197" i="24" s="1"/>
  <c r="R197" i="24" s="1"/>
  <c r="P197" i="24" s="1"/>
  <c r="V197" i="24" s="1"/>
  <c r="U193" i="24"/>
  <c r="T193" i="24" s="1"/>
  <c r="S193" i="24" s="1"/>
  <c r="R193" i="24" s="1"/>
  <c r="P193" i="24" s="1"/>
  <c r="V193" i="24" s="1"/>
  <c r="U189" i="24"/>
  <c r="T189" i="24" s="1"/>
  <c r="S189" i="24" s="1"/>
  <c r="R189" i="24" s="1"/>
  <c r="P189" i="24" s="1"/>
  <c r="V189" i="24" s="1"/>
  <c r="U185" i="24"/>
  <c r="T185" i="24" s="1"/>
  <c r="S185" i="24" s="1"/>
  <c r="R185" i="24" s="1"/>
  <c r="P185" i="24" s="1"/>
  <c r="V185" i="24" s="1"/>
  <c r="U181" i="24"/>
  <c r="T181" i="24" s="1"/>
  <c r="S181" i="24" s="1"/>
  <c r="R181" i="24" s="1"/>
  <c r="P181" i="24" s="1"/>
  <c r="V181" i="24" s="1"/>
  <c r="U177" i="24"/>
  <c r="T177" i="24" s="1"/>
  <c r="S177" i="24" s="1"/>
  <c r="R177" i="24" s="1"/>
  <c r="P177" i="24" s="1"/>
  <c r="V177" i="24" s="1"/>
  <c r="U173" i="24"/>
  <c r="T173" i="24" s="1"/>
  <c r="S173" i="24" s="1"/>
  <c r="R173" i="24" s="1"/>
  <c r="P173" i="24" s="1"/>
  <c r="V173" i="24" s="1"/>
  <c r="U169" i="24"/>
  <c r="T169" i="24" s="1"/>
  <c r="S169" i="24" s="1"/>
  <c r="R169" i="24" s="1"/>
  <c r="P169" i="24" s="1"/>
  <c r="V169" i="24" s="1"/>
  <c r="U165" i="24"/>
  <c r="T165" i="24" s="1"/>
  <c r="S165" i="24" s="1"/>
  <c r="R165" i="24" s="1"/>
  <c r="P165" i="24" s="1"/>
  <c r="V165" i="24" s="1"/>
  <c r="U161" i="24"/>
  <c r="T161" i="24" s="1"/>
  <c r="S161" i="24" s="1"/>
  <c r="R161" i="24" s="1"/>
  <c r="P161" i="24" s="1"/>
  <c r="V161" i="24" s="1"/>
  <c r="U157" i="24"/>
  <c r="T157" i="24" s="1"/>
  <c r="S157" i="24" s="1"/>
  <c r="R157" i="24" s="1"/>
  <c r="P157" i="24" s="1"/>
  <c r="V157" i="24" s="1"/>
  <c r="U153" i="24"/>
  <c r="T153" i="24" s="1"/>
  <c r="S153" i="24" s="1"/>
  <c r="R153" i="24" s="1"/>
  <c r="P153" i="24" s="1"/>
  <c r="V153" i="24" s="1"/>
  <c r="U149" i="24"/>
  <c r="T149" i="24" s="1"/>
  <c r="S149" i="24" s="1"/>
  <c r="R149" i="24" s="1"/>
  <c r="P149" i="24" s="1"/>
  <c r="V149" i="24" s="1"/>
  <c r="U145" i="24"/>
  <c r="T145" i="24" s="1"/>
  <c r="S145" i="24" s="1"/>
  <c r="R145" i="24" s="1"/>
  <c r="P145" i="24" s="1"/>
  <c r="V145" i="24" s="1"/>
  <c r="U141" i="24"/>
  <c r="T141" i="24" s="1"/>
  <c r="S141" i="24" s="1"/>
  <c r="R141" i="24" s="1"/>
  <c r="P141" i="24" s="1"/>
  <c r="V141" i="24" s="1"/>
  <c r="U137" i="24"/>
  <c r="T137" i="24" s="1"/>
  <c r="S137" i="24" s="1"/>
  <c r="R137" i="24" s="1"/>
  <c r="P137" i="24" s="1"/>
  <c r="V137" i="24" s="1"/>
  <c r="U133" i="24"/>
  <c r="T133" i="24" s="1"/>
  <c r="S133" i="24" s="1"/>
  <c r="R133" i="24" s="1"/>
  <c r="P133" i="24" s="1"/>
  <c r="V133" i="24" s="1"/>
  <c r="U129" i="24"/>
  <c r="T129" i="24" s="1"/>
  <c r="S129" i="24" s="1"/>
  <c r="R129" i="24" s="1"/>
  <c r="P129" i="24" s="1"/>
  <c r="V129" i="24" s="1"/>
  <c r="U125" i="24"/>
  <c r="T125" i="24" s="1"/>
  <c r="S125" i="24" s="1"/>
  <c r="R125" i="24" s="1"/>
  <c r="P125" i="24" s="1"/>
  <c r="V125" i="24" s="1"/>
  <c r="U121" i="24"/>
  <c r="T121" i="24" s="1"/>
  <c r="S121" i="24" s="1"/>
  <c r="R121" i="24" s="1"/>
  <c r="P121" i="24" s="1"/>
  <c r="V121" i="24" s="1"/>
  <c r="U117" i="24"/>
  <c r="T117" i="24" s="1"/>
  <c r="S117" i="24" s="1"/>
  <c r="R117" i="24" s="1"/>
  <c r="P117" i="24" s="1"/>
  <c r="V117" i="24" s="1"/>
  <c r="U113" i="24"/>
  <c r="T113" i="24" s="1"/>
  <c r="S113" i="24" s="1"/>
  <c r="R113" i="24" s="1"/>
  <c r="P113" i="24" s="1"/>
  <c r="V113" i="24" s="1"/>
  <c r="U109" i="24"/>
  <c r="T109" i="24" s="1"/>
  <c r="S109" i="24" s="1"/>
  <c r="R109" i="24" s="1"/>
  <c r="P109" i="24" s="1"/>
  <c r="V109" i="24" s="1"/>
  <c r="U105" i="24"/>
  <c r="T105" i="24" s="1"/>
  <c r="S105" i="24" s="1"/>
  <c r="R105" i="24" s="1"/>
  <c r="P105" i="24" s="1"/>
  <c r="V105" i="24" s="1"/>
  <c r="U101" i="24"/>
  <c r="T101" i="24" s="1"/>
  <c r="S101" i="24" s="1"/>
  <c r="R101" i="24" s="1"/>
  <c r="P101" i="24" s="1"/>
  <c r="V101" i="24" s="1"/>
  <c r="U97" i="24"/>
  <c r="T97" i="24" s="1"/>
  <c r="S97" i="24" s="1"/>
  <c r="R97" i="24" s="1"/>
  <c r="P97" i="24" s="1"/>
  <c r="V97" i="24" s="1"/>
  <c r="U93" i="24"/>
  <c r="T93" i="24" s="1"/>
  <c r="S93" i="24" s="1"/>
  <c r="R93" i="24" s="1"/>
  <c r="P93" i="24" s="1"/>
  <c r="V93" i="24" s="1"/>
  <c r="U89" i="24"/>
  <c r="T89" i="24" s="1"/>
  <c r="S89" i="24" s="1"/>
  <c r="R89" i="24" s="1"/>
  <c r="P89" i="24" s="1"/>
  <c r="V89" i="24" s="1"/>
  <c r="U85" i="24"/>
  <c r="T85" i="24" s="1"/>
  <c r="S85" i="24" s="1"/>
  <c r="R85" i="24" s="1"/>
  <c r="P85" i="24" s="1"/>
  <c r="V85" i="24" s="1"/>
  <c r="U81" i="24"/>
  <c r="T81" i="24" s="1"/>
  <c r="S81" i="24" s="1"/>
  <c r="R81" i="24" s="1"/>
  <c r="P81" i="24" s="1"/>
  <c r="V81" i="24" s="1"/>
  <c r="U77" i="24"/>
  <c r="T77" i="24" s="1"/>
  <c r="S77" i="24" s="1"/>
  <c r="R77" i="24" s="1"/>
  <c r="P77" i="24" s="1"/>
  <c r="V77" i="24" s="1"/>
  <c r="U73" i="24"/>
  <c r="T73" i="24" s="1"/>
  <c r="S73" i="24" s="1"/>
  <c r="R73" i="24" s="1"/>
  <c r="P73" i="24" s="1"/>
  <c r="V73" i="24" s="1"/>
  <c r="U67" i="24"/>
  <c r="T67" i="24" s="1"/>
  <c r="S67" i="24" s="1"/>
  <c r="R67" i="24" s="1"/>
  <c r="P67" i="24" s="1"/>
  <c r="V67" i="24" s="1"/>
  <c r="U59" i="24"/>
  <c r="T59" i="24" s="1"/>
  <c r="S59" i="24" s="1"/>
  <c r="R59" i="24" s="1"/>
  <c r="P59" i="24" s="1"/>
  <c r="V59" i="24" s="1"/>
  <c r="U51" i="24"/>
  <c r="T51" i="24" s="1"/>
  <c r="S51" i="24" s="1"/>
  <c r="R51" i="24" s="1"/>
  <c r="P51" i="24" s="1"/>
  <c r="V51" i="24" s="1"/>
  <c r="U43" i="24"/>
  <c r="T43" i="24" s="1"/>
  <c r="S43" i="24" s="1"/>
  <c r="R43" i="24" s="1"/>
  <c r="P43" i="24" s="1"/>
  <c r="V43" i="24" s="1"/>
  <c r="U35" i="24"/>
  <c r="T35" i="24" s="1"/>
  <c r="S35" i="24" s="1"/>
  <c r="R35" i="24" s="1"/>
  <c r="P35" i="24" s="1"/>
  <c r="V35" i="24" s="1"/>
  <c r="U27" i="24"/>
  <c r="T27" i="24" s="1"/>
  <c r="S27" i="24" s="1"/>
  <c r="R27" i="24" s="1"/>
  <c r="P27" i="24" s="1"/>
  <c r="V27" i="24" s="1"/>
  <c r="U16" i="24"/>
  <c r="T16" i="24" s="1"/>
  <c r="S16" i="24" s="1"/>
  <c r="R16" i="24" s="1"/>
  <c r="P16" i="24" s="1"/>
  <c r="V16" i="24" s="1"/>
  <c r="U24" i="24"/>
  <c r="T24" i="24" s="1"/>
  <c r="S24" i="24" s="1"/>
  <c r="R24" i="24" s="1"/>
  <c r="P24" i="24" s="1"/>
  <c r="V24" i="24" s="1"/>
  <c r="U314" i="24"/>
  <c r="T314" i="24" s="1"/>
  <c r="S314" i="24" s="1"/>
  <c r="R314" i="24" s="1"/>
  <c r="P314" i="24" s="1"/>
  <c r="V314" i="24" s="1"/>
  <c r="U306" i="24"/>
  <c r="T306" i="24" s="1"/>
  <c r="S306" i="24" s="1"/>
  <c r="R306" i="24" s="1"/>
  <c r="P306" i="24" s="1"/>
  <c r="V306" i="24" s="1"/>
  <c r="U298" i="24"/>
  <c r="T298" i="24" s="1"/>
  <c r="S298" i="24" s="1"/>
  <c r="R298" i="24" s="1"/>
  <c r="P298" i="24" s="1"/>
  <c r="V298" i="24" s="1"/>
  <c r="U290" i="24"/>
  <c r="T290" i="24" s="1"/>
  <c r="S290" i="24" s="1"/>
  <c r="R290" i="24" s="1"/>
  <c r="P290" i="24" s="1"/>
  <c r="V290" i="24" s="1"/>
  <c r="U282" i="24"/>
  <c r="T282" i="24" s="1"/>
  <c r="S282" i="24" s="1"/>
  <c r="R282" i="24" s="1"/>
  <c r="P282" i="24" s="1"/>
  <c r="V282" i="24" s="1"/>
  <c r="U274" i="24"/>
  <c r="T274" i="24" s="1"/>
  <c r="S274" i="24" s="1"/>
  <c r="R274" i="24" s="1"/>
  <c r="P274" i="24" s="1"/>
  <c r="V274" i="24" s="1"/>
  <c r="U266" i="24"/>
  <c r="T266" i="24" s="1"/>
  <c r="S266" i="24" s="1"/>
  <c r="R266" i="24" s="1"/>
  <c r="P266" i="24" s="1"/>
  <c r="V266" i="24" s="1"/>
  <c r="U258" i="24"/>
  <c r="T258" i="24" s="1"/>
  <c r="S258" i="24" s="1"/>
  <c r="R258" i="24" s="1"/>
  <c r="P258" i="24" s="1"/>
  <c r="V258" i="24" s="1"/>
  <c r="U250" i="24"/>
  <c r="T250" i="24" s="1"/>
  <c r="S250" i="24" s="1"/>
  <c r="R250" i="24" s="1"/>
  <c r="P250" i="24" s="1"/>
  <c r="V250" i="24" s="1"/>
  <c r="U242" i="24"/>
  <c r="T242" i="24" s="1"/>
  <c r="S242" i="24" s="1"/>
  <c r="R242" i="24" s="1"/>
  <c r="P242" i="24" s="1"/>
  <c r="V242" i="24" s="1"/>
  <c r="U234" i="24"/>
  <c r="T234" i="24" s="1"/>
  <c r="S234" i="24" s="1"/>
  <c r="R234" i="24" s="1"/>
  <c r="P234" i="24" s="1"/>
  <c r="V234" i="24" s="1"/>
  <c r="U226" i="24"/>
  <c r="T226" i="24" s="1"/>
  <c r="S226" i="24" s="1"/>
  <c r="R226" i="24" s="1"/>
  <c r="P226" i="24" s="1"/>
  <c r="V226" i="24" s="1"/>
  <c r="U218" i="24"/>
  <c r="T218" i="24" s="1"/>
  <c r="S218" i="24" s="1"/>
  <c r="R218" i="24" s="1"/>
  <c r="P218" i="24" s="1"/>
  <c r="V218" i="24" s="1"/>
  <c r="U210" i="24"/>
  <c r="T210" i="24" s="1"/>
  <c r="S210" i="24" s="1"/>
  <c r="R210" i="24" s="1"/>
  <c r="P210" i="24" s="1"/>
  <c r="AH62" i="7" s="1"/>
  <c r="U202" i="24"/>
  <c r="T202" i="24" s="1"/>
  <c r="S202" i="24" s="1"/>
  <c r="R202" i="24" s="1"/>
  <c r="P202" i="24" s="1"/>
  <c r="V202" i="24" s="1"/>
  <c r="U194" i="24"/>
  <c r="T194" i="24" s="1"/>
  <c r="S194" i="24" s="1"/>
  <c r="R194" i="24" s="1"/>
  <c r="P194" i="24" s="1"/>
  <c r="V194" i="24" s="1"/>
  <c r="U186" i="24"/>
  <c r="T186" i="24" s="1"/>
  <c r="S186" i="24" s="1"/>
  <c r="R186" i="24" s="1"/>
  <c r="P186" i="24" s="1"/>
  <c r="V186" i="24" s="1"/>
  <c r="U178" i="24"/>
  <c r="T178" i="24" s="1"/>
  <c r="S178" i="24" s="1"/>
  <c r="R178" i="24" s="1"/>
  <c r="P178" i="24" s="1"/>
  <c r="V178" i="24" s="1"/>
  <c r="U170" i="24"/>
  <c r="T170" i="24" s="1"/>
  <c r="S170" i="24" s="1"/>
  <c r="R170" i="24" s="1"/>
  <c r="P170" i="24" s="1"/>
  <c r="V170" i="24" s="1"/>
  <c r="U162" i="24"/>
  <c r="T162" i="24" s="1"/>
  <c r="S162" i="24" s="1"/>
  <c r="R162" i="24" s="1"/>
  <c r="P162" i="24" s="1"/>
  <c r="V162" i="24" s="1"/>
  <c r="U154" i="24"/>
  <c r="T154" i="24" s="1"/>
  <c r="S154" i="24" s="1"/>
  <c r="R154" i="24" s="1"/>
  <c r="P154" i="24" s="1"/>
  <c r="V154" i="24" s="1"/>
  <c r="U146" i="24"/>
  <c r="T146" i="24" s="1"/>
  <c r="S146" i="24" s="1"/>
  <c r="R146" i="24" s="1"/>
  <c r="P146" i="24" s="1"/>
  <c r="V146" i="24" s="1"/>
  <c r="U138" i="24"/>
  <c r="T138" i="24" s="1"/>
  <c r="S138" i="24" s="1"/>
  <c r="R138" i="24" s="1"/>
  <c r="P138" i="24" s="1"/>
  <c r="V138" i="24" s="1"/>
  <c r="U130" i="24"/>
  <c r="T130" i="24" s="1"/>
  <c r="S130" i="24" s="1"/>
  <c r="R130" i="24" s="1"/>
  <c r="P130" i="24" s="1"/>
  <c r="V130" i="24" s="1"/>
  <c r="U122" i="24"/>
  <c r="T122" i="24" s="1"/>
  <c r="S122" i="24" s="1"/>
  <c r="R122" i="24" s="1"/>
  <c r="P122" i="24" s="1"/>
  <c r="V122" i="24" s="1"/>
  <c r="U114" i="24"/>
  <c r="T114" i="24" s="1"/>
  <c r="S114" i="24" s="1"/>
  <c r="R114" i="24" s="1"/>
  <c r="P114" i="24" s="1"/>
  <c r="V114" i="24" s="1"/>
  <c r="U106" i="24"/>
  <c r="T106" i="24" s="1"/>
  <c r="S106" i="24" s="1"/>
  <c r="R106" i="24" s="1"/>
  <c r="P106" i="24" s="1"/>
  <c r="V106" i="24" s="1"/>
  <c r="U98" i="24"/>
  <c r="T98" i="24" s="1"/>
  <c r="S98" i="24" s="1"/>
  <c r="R98" i="24" s="1"/>
  <c r="P98" i="24" s="1"/>
  <c r="V98" i="24" s="1"/>
  <c r="U90" i="24"/>
  <c r="T90" i="24" s="1"/>
  <c r="S90" i="24" s="1"/>
  <c r="R90" i="24" s="1"/>
  <c r="P90" i="24" s="1"/>
  <c r="V90" i="24" s="1"/>
  <c r="U82" i="24"/>
  <c r="T82" i="24" s="1"/>
  <c r="S82" i="24" s="1"/>
  <c r="R82" i="24" s="1"/>
  <c r="P82" i="24" s="1"/>
  <c r="V82" i="24" s="1"/>
  <c r="U74" i="24"/>
  <c r="T74" i="24" s="1"/>
  <c r="S74" i="24" s="1"/>
  <c r="R74" i="24" s="1"/>
  <c r="P74" i="24" s="1"/>
  <c r="V74" i="24" s="1"/>
  <c r="U66" i="24"/>
  <c r="T66" i="24" s="1"/>
  <c r="S66" i="24" s="1"/>
  <c r="R66" i="24" s="1"/>
  <c r="P66" i="24" s="1"/>
  <c r="V66" i="24" s="1"/>
  <c r="U58" i="24"/>
  <c r="T58" i="24" s="1"/>
  <c r="S58" i="24" s="1"/>
  <c r="R58" i="24" s="1"/>
  <c r="P58" i="24" s="1"/>
  <c r="V58" i="24" s="1"/>
  <c r="U50" i="24"/>
  <c r="T50" i="24" s="1"/>
  <c r="S50" i="24" s="1"/>
  <c r="R50" i="24" s="1"/>
  <c r="P50" i="24" s="1"/>
  <c r="V50" i="24" s="1"/>
  <c r="U42" i="24"/>
  <c r="T42" i="24" s="1"/>
  <c r="S42" i="24" s="1"/>
  <c r="R42" i="24" s="1"/>
  <c r="P42" i="24" s="1"/>
  <c r="V42" i="24" s="1"/>
  <c r="U34" i="24"/>
  <c r="T34" i="24" s="1"/>
  <c r="S34" i="24" s="1"/>
  <c r="R34" i="24" s="1"/>
  <c r="P34" i="24" s="1"/>
  <c r="V34" i="24" s="1"/>
  <c r="U26" i="24"/>
  <c r="T26" i="24" s="1"/>
  <c r="S26" i="24" s="1"/>
  <c r="R26" i="24" s="1"/>
  <c r="P26" i="24" s="1"/>
  <c r="V26" i="24" s="1"/>
  <c r="U23" i="24"/>
  <c r="T23" i="24" s="1"/>
  <c r="S23" i="24" s="1"/>
  <c r="R23" i="24" s="1"/>
  <c r="P23" i="24" s="1"/>
  <c r="V23" i="24" s="1"/>
  <c r="AI376" i="24"/>
  <c r="AH376" i="24" s="1"/>
  <c r="AG376" i="24" s="1"/>
  <c r="AF376" i="24" s="1"/>
  <c r="AD376" i="24" s="1"/>
  <c r="AI368" i="24"/>
  <c r="AH368" i="24" s="1"/>
  <c r="AG368" i="24" s="1"/>
  <c r="AF368" i="24" s="1"/>
  <c r="AD368" i="24" s="1"/>
  <c r="AI360" i="24"/>
  <c r="AH360" i="24" s="1"/>
  <c r="AG360" i="24" s="1"/>
  <c r="AF360" i="24" s="1"/>
  <c r="AD360" i="24" s="1"/>
  <c r="AI352" i="24"/>
  <c r="AH352" i="24" s="1"/>
  <c r="AG352" i="24" s="1"/>
  <c r="AF352" i="24" s="1"/>
  <c r="AD352" i="24" s="1"/>
  <c r="AI344" i="24"/>
  <c r="AH344" i="24" s="1"/>
  <c r="AG344" i="24" s="1"/>
  <c r="AF344" i="24" s="1"/>
  <c r="AD344" i="24" s="1"/>
  <c r="AI336" i="24"/>
  <c r="AH336" i="24" s="1"/>
  <c r="AG336" i="24" s="1"/>
  <c r="AF336" i="24" s="1"/>
  <c r="AD336" i="24" s="1"/>
  <c r="AI328" i="24"/>
  <c r="AH328" i="24" s="1"/>
  <c r="AG328" i="24" s="1"/>
  <c r="AF328" i="24" s="1"/>
  <c r="AD328" i="24" s="1"/>
  <c r="AI320" i="24"/>
  <c r="AH320" i="24" s="1"/>
  <c r="AG320" i="24" s="1"/>
  <c r="AF320" i="24" s="1"/>
  <c r="AD320" i="24" s="1"/>
  <c r="AI312" i="24"/>
  <c r="AH312" i="24" s="1"/>
  <c r="AG312" i="24" s="1"/>
  <c r="AF312" i="24" s="1"/>
  <c r="AD312" i="24" s="1"/>
  <c r="AI304" i="24"/>
  <c r="AH304" i="24" s="1"/>
  <c r="AG304" i="24" s="1"/>
  <c r="AF304" i="24" s="1"/>
  <c r="AD304" i="24" s="1"/>
  <c r="AI296" i="24"/>
  <c r="AH296" i="24" s="1"/>
  <c r="AG296" i="24" s="1"/>
  <c r="AF296" i="24" s="1"/>
  <c r="AD296" i="24" s="1"/>
  <c r="AI288" i="24"/>
  <c r="AH288" i="24" s="1"/>
  <c r="AG288" i="24" s="1"/>
  <c r="AF288" i="24" s="1"/>
  <c r="AD288" i="24" s="1"/>
  <c r="AI280" i="24"/>
  <c r="AH280" i="24" s="1"/>
  <c r="AG280" i="24" s="1"/>
  <c r="AF280" i="24" s="1"/>
  <c r="AD280" i="24" s="1"/>
  <c r="AI272" i="24"/>
  <c r="AH272" i="24" s="1"/>
  <c r="AG272" i="24" s="1"/>
  <c r="AF272" i="24" s="1"/>
  <c r="AD272" i="24" s="1"/>
  <c r="AI264" i="24"/>
  <c r="AH264" i="24" s="1"/>
  <c r="AG264" i="24" s="1"/>
  <c r="AF264" i="24" s="1"/>
  <c r="AD264" i="24" s="1"/>
  <c r="AI256" i="24"/>
  <c r="AH256" i="24" s="1"/>
  <c r="AG256" i="24" s="1"/>
  <c r="AF256" i="24" s="1"/>
  <c r="AD256" i="24" s="1"/>
  <c r="AI248" i="24"/>
  <c r="AH248" i="24" s="1"/>
  <c r="AG248" i="24" s="1"/>
  <c r="AF248" i="24" s="1"/>
  <c r="AD248" i="24" s="1"/>
  <c r="AI240" i="24"/>
  <c r="AH240" i="24" s="1"/>
  <c r="AG240" i="24" s="1"/>
  <c r="AF240" i="24" s="1"/>
  <c r="AD240" i="24" s="1"/>
  <c r="AI232" i="24"/>
  <c r="AH232" i="24" s="1"/>
  <c r="AG232" i="24" s="1"/>
  <c r="AF232" i="24" s="1"/>
  <c r="AD232" i="24" s="1"/>
  <c r="AI218" i="24"/>
  <c r="AH218" i="24" s="1"/>
  <c r="AG218" i="24" s="1"/>
  <c r="AF218" i="24" s="1"/>
  <c r="AD218" i="24" s="1"/>
  <c r="AI202" i="24"/>
  <c r="AH202" i="24" s="1"/>
  <c r="AG202" i="24" s="1"/>
  <c r="AF202" i="24" s="1"/>
  <c r="AD202" i="24" s="1"/>
  <c r="AI186" i="24"/>
  <c r="AH186" i="24" s="1"/>
  <c r="AG186" i="24" s="1"/>
  <c r="AF186" i="24" s="1"/>
  <c r="AD186" i="24" s="1"/>
  <c r="AI170" i="24"/>
  <c r="AH170" i="24" s="1"/>
  <c r="AG170" i="24" s="1"/>
  <c r="AF170" i="24" s="1"/>
  <c r="AD170" i="24" s="1"/>
  <c r="AI154" i="24"/>
  <c r="AH154" i="24" s="1"/>
  <c r="AG154" i="24" s="1"/>
  <c r="AF154" i="24" s="1"/>
  <c r="AD154" i="24" s="1"/>
  <c r="AI138" i="24"/>
  <c r="AH138" i="24" s="1"/>
  <c r="AG138" i="24" s="1"/>
  <c r="AF138" i="24" s="1"/>
  <c r="AD138" i="24" s="1"/>
  <c r="AI122" i="24"/>
  <c r="AH122" i="24" s="1"/>
  <c r="AG122" i="24" s="1"/>
  <c r="AF122" i="24" s="1"/>
  <c r="AD122" i="24" s="1"/>
  <c r="AI106" i="24"/>
  <c r="AH106" i="24" s="1"/>
  <c r="AG106" i="24" s="1"/>
  <c r="AF106" i="24" s="1"/>
  <c r="AD106" i="24" s="1"/>
  <c r="AI90" i="24"/>
  <c r="AH90" i="24" s="1"/>
  <c r="AG90" i="24" s="1"/>
  <c r="AF90" i="24" s="1"/>
  <c r="AD90" i="24" s="1"/>
  <c r="AI74" i="24"/>
  <c r="AH74" i="24" s="1"/>
  <c r="AG74" i="24" s="1"/>
  <c r="AF74" i="24" s="1"/>
  <c r="AD74" i="24" s="1"/>
  <c r="AI58" i="24"/>
  <c r="AH58" i="24" s="1"/>
  <c r="AG58" i="24" s="1"/>
  <c r="AF58" i="24" s="1"/>
  <c r="AD58" i="24" s="1"/>
  <c r="AI42" i="24"/>
  <c r="AH42" i="24" s="1"/>
  <c r="AG42" i="24" s="1"/>
  <c r="AF42" i="24" s="1"/>
  <c r="AD42" i="24" s="1"/>
  <c r="AI26" i="24"/>
  <c r="AH26" i="24" s="1"/>
  <c r="AG26" i="24" s="1"/>
  <c r="AF26" i="24" s="1"/>
  <c r="AD26" i="24" s="1"/>
  <c r="AI375" i="24"/>
  <c r="AH375" i="24" s="1"/>
  <c r="AG375" i="24" s="1"/>
  <c r="AF375" i="24" s="1"/>
  <c r="AD375" i="24" s="1"/>
  <c r="AI359" i="24"/>
  <c r="AH359" i="24" s="1"/>
  <c r="AG359" i="24" s="1"/>
  <c r="AF359" i="24" s="1"/>
  <c r="AD359" i="24" s="1"/>
  <c r="AI333" i="24"/>
  <c r="AH333" i="24" s="1"/>
  <c r="AG333" i="24" s="1"/>
  <c r="AF333" i="24" s="1"/>
  <c r="AD333" i="24" s="1"/>
  <c r="AI301" i="24"/>
  <c r="AH301" i="24" s="1"/>
  <c r="AG301" i="24" s="1"/>
  <c r="AF301" i="24" s="1"/>
  <c r="AD301" i="24" s="1"/>
  <c r="AI237" i="24"/>
  <c r="AH237" i="24" s="1"/>
  <c r="AG237" i="24" s="1"/>
  <c r="AF237" i="24" s="1"/>
  <c r="AD237" i="24" s="1"/>
  <c r="AI173" i="24"/>
  <c r="AH173" i="24" s="1"/>
  <c r="AG173" i="24" s="1"/>
  <c r="AF173" i="24" s="1"/>
  <c r="AD173" i="24" s="1"/>
  <c r="AI109" i="24"/>
  <c r="AH109" i="24" s="1"/>
  <c r="AG109" i="24" s="1"/>
  <c r="AF109" i="24" s="1"/>
  <c r="AD109" i="24" s="1"/>
  <c r="AI45" i="24"/>
  <c r="AH45" i="24" s="1"/>
  <c r="AG45" i="24" s="1"/>
  <c r="AF45" i="24" s="1"/>
  <c r="AD45" i="24" s="1"/>
  <c r="BA16" i="7"/>
  <c r="AI15" i="24"/>
  <c r="AH15" i="24" s="1"/>
  <c r="AI18" i="24"/>
  <c r="AH18" i="24" s="1"/>
  <c r="AG18" i="24" s="1"/>
  <c r="AF18" i="24" s="1"/>
  <c r="AD18" i="24" s="1"/>
  <c r="AI17" i="24"/>
  <c r="AH17" i="24" s="1"/>
  <c r="AG17" i="24" s="1"/>
  <c r="AF17" i="24" s="1"/>
  <c r="AD17" i="24" s="1"/>
  <c r="AI27" i="24"/>
  <c r="AH27" i="24" s="1"/>
  <c r="AG27" i="24" s="1"/>
  <c r="AF27" i="24" s="1"/>
  <c r="AD27" i="24" s="1"/>
  <c r="AI31" i="24"/>
  <c r="AH31" i="24" s="1"/>
  <c r="AG31" i="24" s="1"/>
  <c r="AF31" i="24" s="1"/>
  <c r="AD31" i="24" s="1"/>
  <c r="AI35" i="24"/>
  <c r="AH35" i="24" s="1"/>
  <c r="AG35" i="24" s="1"/>
  <c r="AF35" i="24" s="1"/>
  <c r="AD35" i="24" s="1"/>
  <c r="AI39" i="24"/>
  <c r="AH39" i="24" s="1"/>
  <c r="AG39" i="24" s="1"/>
  <c r="AF39" i="24" s="1"/>
  <c r="AD39" i="24" s="1"/>
  <c r="AI43" i="24"/>
  <c r="AH43" i="24" s="1"/>
  <c r="AG43" i="24" s="1"/>
  <c r="AF43" i="24" s="1"/>
  <c r="AD43" i="24" s="1"/>
  <c r="AI47" i="24"/>
  <c r="AH47" i="24" s="1"/>
  <c r="AG47" i="24" s="1"/>
  <c r="AF47" i="24" s="1"/>
  <c r="AD47" i="24" s="1"/>
  <c r="AI51" i="24"/>
  <c r="AH51" i="24" s="1"/>
  <c r="AG51" i="24" s="1"/>
  <c r="AF51" i="24" s="1"/>
  <c r="AD51" i="24" s="1"/>
  <c r="AI55" i="24"/>
  <c r="AH55" i="24" s="1"/>
  <c r="AG55" i="24" s="1"/>
  <c r="AF55" i="24" s="1"/>
  <c r="AD55" i="24" s="1"/>
  <c r="AI59" i="24"/>
  <c r="AH59" i="24" s="1"/>
  <c r="AG59" i="24" s="1"/>
  <c r="AF59" i="24" s="1"/>
  <c r="AD59" i="24" s="1"/>
  <c r="AI63" i="24"/>
  <c r="AH63" i="24" s="1"/>
  <c r="AG63" i="24" s="1"/>
  <c r="AF63" i="24" s="1"/>
  <c r="AD63" i="24" s="1"/>
  <c r="AI67" i="24"/>
  <c r="AH67" i="24" s="1"/>
  <c r="AG67" i="24" s="1"/>
  <c r="AF67" i="24" s="1"/>
  <c r="AD67" i="24" s="1"/>
  <c r="AI71" i="24"/>
  <c r="AH71" i="24" s="1"/>
  <c r="AG71" i="24" s="1"/>
  <c r="AF71" i="24" s="1"/>
  <c r="AD71" i="24" s="1"/>
  <c r="AI75" i="24"/>
  <c r="AH75" i="24" s="1"/>
  <c r="AG75" i="24" s="1"/>
  <c r="AF75" i="24" s="1"/>
  <c r="AD75" i="24" s="1"/>
  <c r="AI79" i="24"/>
  <c r="AH79" i="24" s="1"/>
  <c r="AG79" i="24" s="1"/>
  <c r="AF79" i="24" s="1"/>
  <c r="AD79" i="24" s="1"/>
  <c r="AI83" i="24"/>
  <c r="AH83" i="24" s="1"/>
  <c r="AG83" i="24" s="1"/>
  <c r="AF83" i="24" s="1"/>
  <c r="AD83" i="24" s="1"/>
  <c r="AI87" i="24"/>
  <c r="AH87" i="24" s="1"/>
  <c r="AG87" i="24" s="1"/>
  <c r="AF87" i="24" s="1"/>
  <c r="AD87" i="24" s="1"/>
  <c r="AI91" i="24"/>
  <c r="AH91" i="24" s="1"/>
  <c r="AG91" i="24" s="1"/>
  <c r="AF91" i="24" s="1"/>
  <c r="AD91" i="24" s="1"/>
  <c r="AI95" i="24"/>
  <c r="AH95" i="24" s="1"/>
  <c r="AG95" i="24" s="1"/>
  <c r="AF95" i="24" s="1"/>
  <c r="AD95" i="24" s="1"/>
  <c r="AI99" i="24"/>
  <c r="AH99" i="24" s="1"/>
  <c r="AG99" i="24" s="1"/>
  <c r="AF99" i="24" s="1"/>
  <c r="AD99" i="24" s="1"/>
  <c r="AI103" i="24"/>
  <c r="AH103" i="24" s="1"/>
  <c r="AG103" i="24" s="1"/>
  <c r="AF103" i="24" s="1"/>
  <c r="AD103" i="24" s="1"/>
  <c r="AI107" i="24"/>
  <c r="AH107" i="24" s="1"/>
  <c r="AG107" i="24" s="1"/>
  <c r="AF107" i="24" s="1"/>
  <c r="AD107" i="24" s="1"/>
  <c r="AI111" i="24"/>
  <c r="AH111" i="24" s="1"/>
  <c r="AG111" i="24" s="1"/>
  <c r="AF111" i="24" s="1"/>
  <c r="AD111" i="24" s="1"/>
  <c r="AI115" i="24"/>
  <c r="AH115" i="24" s="1"/>
  <c r="AG115" i="24" s="1"/>
  <c r="AF115" i="24" s="1"/>
  <c r="AD115" i="24" s="1"/>
  <c r="AI119" i="24"/>
  <c r="AH119" i="24" s="1"/>
  <c r="AG119" i="24" s="1"/>
  <c r="AF119" i="24" s="1"/>
  <c r="AD119" i="24" s="1"/>
  <c r="AI123" i="24"/>
  <c r="AH123" i="24" s="1"/>
  <c r="AG123" i="24" s="1"/>
  <c r="AF123" i="24" s="1"/>
  <c r="AD123" i="24" s="1"/>
  <c r="AI127" i="24"/>
  <c r="AH127" i="24" s="1"/>
  <c r="AG127" i="24" s="1"/>
  <c r="AF127" i="24" s="1"/>
  <c r="AD127" i="24" s="1"/>
  <c r="AI131" i="24"/>
  <c r="AH131" i="24" s="1"/>
  <c r="AG131" i="24" s="1"/>
  <c r="AF131" i="24" s="1"/>
  <c r="AD131" i="24" s="1"/>
  <c r="AI135" i="24"/>
  <c r="AH135" i="24" s="1"/>
  <c r="AG135" i="24" s="1"/>
  <c r="AF135" i="24" s="1"/>
  <c r="AD135" i="24" s="1"/>
  <c r="AI139" i="24"/>
  <c r="AH139" i="24" s="1"/>
  <c r="AG139" i="24" s="1"/>
  <c r="AF139" i="24" s="1"/>
  <c r="AD139" i="24" s="1"/>
  <c r="AI143" i="24"/>
  <c r="AH143" i="24" s="1"/>
  <c r="AG143" i="24" s="1"/>
  <c r="AF143" i="24" s="1"/>
  <c r="AD143" i="24" s="1"/>
  <c r="AI147" i="24"/>
  <c r="AH147" i="24" s="1"/>
  <c r="AG147" i="24" s="1"/>
  <c r="AF147" i="24" s="1"/>
  <c r="AD147" i="24" s="1"/>
  <c r="AI151" i="24"/>
  <c r="AH151" i="24" s="1"/>
  <c r="AG151" i="24" s="1"/>
  <c r="AF151" i="24" s="1"/>
  <c r="AD151" i="24" s="1"/>
  <c r="AI155" i="24"/>
  <c r="AH155" i="24" s="1"/>
  <c r="AG155" i="24" s="1"/>
  <c r="AF155" i="24" s="1"/>
  <c r="AD155" i="24" s="1"/>
  <c r="AI159" i="24"/>
  <c r="AH159" i="24" s="1"/>
  <c r="AG159" i="24" s="1"/>
  <c r="AF159" i="24" s="1"/>
  <c r="AD159" i="24" s="1"/>
  <c r="AI163" i="24"/>
  <c r="AH163" i="24" s="1"/>
  <c r="AG163" i="24" s="1"/>
  <c r="AF163" i="24" s="1"/>
  <c r="AD163" i="24" s="1"/>
  <c r="AI167" i="24"/>
  <c r="AH167" i="24" s="1"/>
  <c r="AG167" i="24" s="1"/>
  <c r="AF167" i="24" s="1"/>
  <c r="AD167" i="24" s="1"/>
  <c r="AI171" i="24"/>
  <c r="AH171" i="24" s="1"/>
  <c r="AG171" i="24" s="1"/>
  <c r="AF171" i="24" s="1"/>
  <c r="AD171" i="24" s="1"/>
  <c r="AI175" i="24"/>
  <c r="AH175" i="24" s="1"/>
  <c r="AG175" i="24" s="1"/>
  <c r="AF175" i="24" s="1"/>
  <c r="AD175" i="24" s="1"/>
  <c r="AI179" i="24"/>
  <c r="AH179" i="24" s="1"/>
  <c r="AG179" i="24" s="1"/>
  <c r="AF179" i="24" s="1"/>
  <c r="AD179" i="24" s="1"/>
  <c r="AI183" i="24"/>
  <c r="AH183" i="24" s="1"/>
  <c r="AG183" i="24" s="1"/>
  <c r="AF183" i="24" s="1"/>
  <c r="AD183" i="24" s="1"/>
  <c r="AI187" i="24"/>
  <c r="AH187" i="24" s="1"/>
  <c r="AG187" i="24" s="1"/>
  <c r="AF187" i="24" s="1"/>
  <c r="AD187" i="24" s="1"/>
  <c r="AI191" i="24"/>
  <c r="AH191" i="24" s="1"/>
  <c r="AG191" i="24" s="1"/>
  <c r="AF191" i="24" s="1"/>
  <c r="AD191" i="24" s="1"/>
  <c r="AI195" i="24"/>
  <c r="AH195" i="24" s="1"/>
  <c r="AG195" i="24" s="1"/>
  <c r="AF195" i="24" s="1"/>
  <c r="AD195" i="24" s="1"/>
  <c r="AI199" i="24"/>
  <c r="AH199" i="24" s="1"/>
  <c r="AG199" i="24" s="1"/>
  <c r="AF199" i="24" s="1"/>
  <c r="AD199" i="24" s="1"/>
  <c r="AI203" i="24"/>
  <c r="AH203" i="24" s="1"/>
  <c r="AG203" i="24" s="1"/>
  <c r="AF203" i="24" s="1"/>
  <c r="AD203" i="24" s="1"/>
  <c r="AI207" i="24"/>
  <c r="AH207" i="24" s="1"/>
  <c r="AG207" i="24" s="1"/>
  <c r="AF207" i="24" s="1"/>
  <c r="AD207" i="24" s="1"/>
  <c r="AI211" i="24"/>
  <c r="AH211" i="24" s="1"/>
  <c r="AG211" i="24" s="1"/>
  <c r="AF211" i="24" s="1"/>
  <c r="AD211" i="24" s="1"/>
  <c r="AI215" i="24"/>
  <c r="AH215" i="24" s="1"/>
  <c r="AG215" i="24" s="1"/>
  <c r="AF215" i="24" s="1"/>
  <c r="AD215" i="24" s="1"/>
  <c r="AI219" i="24"/>
  <c r="AH219" i="24" s="1"/>
  <c r="AG219" i="24" s="1"/>
  <c r="AF219" i="24" s="1"/>
  <c r="AD219" i="24" s="1"/>
  <c r="AI223" i="24"/>
  <c r="AH223" i="24" s="1"/>
  <c r="AG223" i="24" s="1"/>
  <c r="AF223" i="24" s="1"/>
  <c r="AD223" i="24" s="1"/>
  <c r="AI227" i="24"/>
  <c r="AH227" i="24" s="1"/>
  <c r="AG227" i="24" s="1"/>
  <c r="AF227" i="24" s="1"/>
  <c r="AD227" i="24" s="1"/>
  <c r="AI231" i="24"/>
  <c r="AH231" i="24" s="1"/>
  <c r="AG231" i="24" s="1"/>
  <c r="AF231" i="24" s="1"/>
  <c r="AD231" i="24" s="1"/>
  <c r="AI235" i="24"/>
  <c r="AH235" i="24" s="1"/>
  <c r="AG235" i="24" s="1"/>
  <c r="AF235" i="24" s="1"/>
  <c r="AD235" i="24" s="1"/>
  <c r="AI239" i="24"/>
  <c r="AH239" i="24" s="1"/>
  <c r="AG239" i="24" s="1"/>
  <c r="AF239" i="24" s="1"/>
  <c r="AD239" i="24" s="1"/>
  <c r="AI243" i="24"/>
  <c r="AH243" i="24" s="1"/>
  <c r="AG243" i="24" s="1"/>
  <c r="AF243" i="24" s="1"/>
  <c r="AD243" i="24" s="1"/>
  <c r="AI247" i="24"/>
  <c r="AH247" i="24" s="1"/>
  <c r="AG247" i="24" s="1"/>
  <c r="AF247" i="24" s="1"/>
  <c r="AD247" i="24" s="1"/>
  <c r="AI251" i="24"/>
  <c r="AH251" i="24" s="1"/>
  <c r="AG251" i="24" s="1"/>
  <c r="AF251" i="24" s="1"/>
  <c r="AD251" i="24" s="1"/>
  <c r="AI255" i="24"/>
  <c r="AH255" i="24" s="1"/>
  <c r="AG255" i="24" s="1"/>
  <c r="AF255" i="24" s="1"/>
  <c r="AD255" i="24" s="1"/>
  <c r="AI259" i="24"/>
  <c r="AH259" i="24" s="1"/>
  <c r="AG259" i="24" s="1"/>
  <c r="AF259" i="24" s="1"/>
  <c r="AD259" i="24" s="1"/>
  <c r="AI263" i="24"/>
  <c r="AH263" i="24" s="1"/>
  <c r="AG263" i="24" s="1"/>
  <c r="AF263" i="24" s="1"/>
  <c r="AD263" i="24" s="1"/>
  <c r="AI267" i="24"/>
  <c r="AH267" i="24" s="1"/>
  <c r="AG267" i="24" s="1"/>
  <c r="AF267" i="24" s="1"/>
  <c r="AD267" i="24" s="1"/>
  <c r="AI271" i="24"/>
  <c r="AH271" i="24" s="1"/>
  <c r="AG271" i="24" s="1"/>
  <c r="AF271" i="24" s="1"/>
  <c r="AD271" i="24" s="1"/>
  <c r="AI275" i="24"/>
  <c r="AH275" i="24" s="1"/>
  <c r="AG275" i="24" s="1"/>
  <c r="AF275" i="24" s="1"/>
  <c r="AD275" i="24" s="1"/>
  <c r="AI279" i="24"/>
  <c r="AH279" i="24" s="1"/>
  <c r="AG279" i="24" s="1"/>
  <c r="AF279" i="24" s="1"/>
  <c r="AD279" i="24" s="1"/>
  <c r="AI283" i="24"/>
  <c r="AH283" i="24" s="1"/>
  <c r="AG283" i="24" s="1"/>
  <c r="AF283" i="24" s="1"/>
  <c r="AD283" i="24" s="1"/>
  <c r="AI287" i="24"/>
  <c r="AH287" i="24" s="1"/>
  <c r="AG287" i="24" s="1"/>
  <c r="AF287" i="24" s="1"/>
  <c r="AD287" i="24" s="1"/>
  <c r="AI291" i="24"/>
  <c r="AH291" i="24" s="1"/>
  <c r="AG291" i="24" s="1"/>
  <c r="AF291" i="24" s="1"/>
  <c r="AD291" i="24" s="1"/>
  <c r="AI295" i="24"/>
  <c r="AH295" i="24" s="1"/>
  <c r="AG295" i="24" s="1"/>
  <c r="AF295" i="24" s="1"/>
  <c r="AD295" i="24" s="1"/>
  <c r="AI299" i="24"/>
  <c r="AH299" i="24" s="1"/>
  <c r="AG299" i="24" s="1"/>
  <c r="AF299" i="24" s="1"/>
  <c r="AD299" i="24" s="1"/>
  <c r="AI303" i="24"/>
  <c r="AH303" i="24" s="1"/>
  <c r="AG303" i="24" s="1"/>
  <c r="AF303" i="24" s="1"/>
  <c r="AD303" i="24" s="1"/>
  <c r="AI307" i="24"/>
  <c r="AH307" i="24" s="1"/>
  <c r="AG307" i="24" s="1"/>
  <c r="AF307" i="24" s="1"/>
  <c r="AD307" i="24" s="1"/>
  <c r="AI311" i="24"/>
  <c r="AH311" i="24" s="1"/>
  <c r="AG311" i="24" s="1"/>
  <c r="AF311" i="24" s="1"/>
  <c r="AD311" i="24" s="1"/>
  <c r="AI315" i="24"/>
  <c r="AH315" i="24" s="1"/>
  <c r="AG315" i="24" s="1"/>
  <c r="AF315" i="24" s="1"/>
  <c r="AD315" i="24" s="1"/>
  <c r="AI319" i="24"/>
  <c r="AH319" i="24" s="1"/>
  <c r="AG319" i="24" s="1"/>
  <c r="AF319" i="24" s="1"/>
  <c r="AD319" i="24" s="1"/>
  <c r="AI323" i="24"/>
  <c r="AH323" i="24" s="1"/>
  <c r="AG323" i="24" s="1"/>
  <c r="AF323" i="24" s="1"/>
  <c r="AD323" i="24" s="1"/>
  <c r="AI327" i="24"/>
  <c r="AH327" i="24" s="1"/>
  <c r="AG327" i="24" s="1"/>
  <c r="AF327" i="24" s="1"/>
  <c r="AD327" i="24" s="1"/>
  <c r="AI331" i="24"/>
  <c r="AH331" i="24" s="1"/>
  <c r="AG331" i="24" s="1"/>
  <c r="AF331" i="24" s="1"/>
  <c r="AD331" i="24" s="1"/>
  <c r="AI335" i="24"/>
  <c r="AH335" i="24" s="1"/>
  <c r="AG335" i="24" s="1"/>
  <c r="AF335" i="24" s="1"/>
  <c r="AD335" i="24" s="1"/>
  <c r="AI339" i="24"/>
  <c r="AH339" i="24" s="1"/>
  <c r="AG339" i="24" s="1"/>
  <c r="AF339" i="24" s="1"/>
  <c r="AD339" i="24" s="1"/>
  <c r="AI343" i="24"/>
  <c r="AH343" i="24" s="1"/>
  <c r="AG343" i="24" s="1"/>
  <c r="AF343" i="24" s="1"/>
  <c r="AD343" i="24" s="1"/>
  <c r="AI347" i="24"/>
  <c r="AH347" i="24" s="1"/>
  <c r="AG347" i="24" s="1"/>
  <c r="AF347" i="24" s="1"/>
  <c r="AD347" i="24" s="1"/>
  <c r="AI351" i="24"/>
  <c r="AH351" i="24" s="1"/>
  <c r="AG351" i="24" s="1"/>
  <c r="AF351" i="24" s="1"/>
  <c r="AD351" i="24" s="1"/>
  <c r="AI297" i="24"/>
  <c r="AH297" i="24" s="1"/>
  <c r="AG297" i="24" s="1"/>
  <c r="AF297" i="24" s="1"/>
  <c r="AD297" i="24" s="1"/>
  <c r="AI289" i="24"/>
  <c r="AH289" i="24" s="1"/>
  <c r="AG289" i="24" s="1"/>
  <c r="AF289" i="24" s="1"/>
  <c r="AD289" i="24" s="1"/>
  <c r="AI281" i="24"/>
  <c r="AH281" i="24" s="1"/>
  <c r="AG281" i="24" s="1"/>
  <c r="AF281" i="24" s="1"/>
  <c r="AD281" i="24" s="1"/>
  <c r="AI273" i="24"/>
  <c r="AH273" i="24" s="1"/>
  <c r="AG273" i="24" s="1"/>
  <c r="AF273" i="24" s="1"/>
  <c r="AD273" i="24" s="1"/>
  <c r="AI265" i="24"/>
  <c r="AH265" i="24" s="1"/>
  <c r="AG265" i="24" s="1"/>
  <c r="AF265" i="24" s="1"/>
  <c r="AD265" i="24" s="1"/>
  <c r="AI257" i="24"/>
  <c r="AH257" i="24" s="1"/>
  <c r="AG257" i="24" s="1"/>
  <c r="AF257" i="24" s="1"/>
  <c r="AD257" i="24" s="1"/>
  <c r="AI249" i="24"/>
  <c r="AH249" i="24" s="1"/>
  <c r="AG249" i="24" s="1"/>
  <c r="AF249" i="24" s="1"/>
  <c r="AD249" i="24" s="1"/>
  <c r="AI241" i="24"/>
  <c r="AH241" i="24" s="1"/>
  <c r="AG241" i="24" s="1"/>
  <c r="AF241" i="24" s="1"/>
  <c r="AD241" i="24" s="1"/>
  <c r="AI233" i="24"/>
  <c r="AH233" i="24" s="1"/>
  <c r="AG233" i="24" s="1"/>
  <c r="AF233" i="24" s="1"/>
  <c r="AD233" i="24" s="1"/>
  <c r="AI225" i="24"/>
  <c r="AH225" i="24" s="1"/>
  <c r="AG225" i="24" s="1"/>
  <c r="AF225" i="24" s="1"/>
  <c r="AD225" i="24" s="1"/>
  <c r="AI217" i="24"/>
  <c r="AH217" i="24" s="1"/>
  <c r="AG217" i="24" s="1"/>
  <c r="AF217" i="24" s="1"/>
  <c r="AD217" i="24" s="1"/>
  <c r="AI209" i="24"/>
  <c r="AH209" i="24" s="1"/>
  <c r="AG209" i="24" s="1"/>
  <c r="AF209" i="24" s="1"/>
  <c r="AD209" i="24" s="1"/>
  <c r="AI201" i="24"/>
  <c r="AH201" i="24" s="1"/>
  <c r="AG201" i="24" s="1"/>
  <c r="AF201" i="24" s="1"/>
  <c r="AD201" i="24" s="1"/>
  <c r="AI193" i="24"/>
  <c r="AH193" i="24" s="1"/>
  <c r="AG193" i="24" s="1"/>
  <c r="AF193" i="24" s="1"/>
  <c r="AD193" i="24" s="1"/>
  <c r="AI185" i="24"/>
  <c r="AH185" i="24" s="1"/>
  <c r="AG185" i="24" s="1"/>
  <c r="AF185" i="24" s="1"/>
  <c r="AD185" i="24" s="1"/>
  <c r="AI177" i="24"/>
  <c r="AH177" i="24" s="1"/>
  <c r="AG177" i="24" s="1"/>
  <c r="AF177" i="24" s="1"/>
  <c r="AD177" i="24" s="1"/>
  <c r="AI169" i="24"/>
  <c r="AH169" i="24" s="1"/>
  <c r="AG169" i="24" s="1"/>
  <c r="AF169" i="24" s="1"/>
  <c r="AD169" i="24" s="1"/>
  <c r="AI161" i="24"/>
  <c r="AH161" i="24" s="1"/>
  <c r="AG161" i="24" s="1"/>
  <c r="AF161" i="24" s="1"/>
  <c r="AD161" i="24" s="1"/>
  <c r="AI153" i="24"/>
  <c r="AH153" i="24" s="1"/>
  <c r="AG153" i="24" s="1"/>
  <c r="AF153" i="24" s="1"/>
  <c r="AD153" i="24" s="1"/>
  <c r="AI145" i="24"/>
  <c r="AH145" i="24" s="1"/>
  <c r="AG145" i="24" s="1"/>
  <c r="AF145" i="24" s="1"/>
  <c r="AD145" i="24" s="1"/>
  <c r="AI137" i="24"/>
  <c r="AH137" i="24" s="1"/>
  <c r="AG137" i="24" s="1"/>
  <c r="AF137" i="24" s="1"/>
  <c r="AD137" i="24" s="1"/>
  <c r="AI129" i="24"/>
  <c r="AH129" i="24" s="1"/>
  <c r="AG129" i="24" s="1"/>
  <c r="AF129" i="24" s="1"/>
  <c r="AD129" i="24" s="1"/>
  <c r="AI121" i="24"/>
  <c r="AH121" i="24" s="1"/>
  <c r="AG121" i="24" s="1"/>
  <c r="AF121" i="24" s="1"/>
  <c r="AD121" i="24" s="1"/>
  <c r="AI113" i="24"/>
  <c r="AH113" i="24" s="1"/>
  <c r="AG113" i="24" s="1"/>
  <c r="AF113" i="24" s="1"/>
  <c r="AD113" i="24" s="1"/>
  <c r="AI105" i="24"/>
  <c r="AH105" i="24" s="1"/>
  <c r="AG105" i="24" s="1"/>
  <c r="AF105" i="24" s="1"/>
  <c r="AD105" i="24" s="1"/>
  <c r="AI97" i="24"/>
  <c r="AH97" i="24" s="1"/>
  <c r="AG97" i="24" s="1"/>
  <c r="AF97" i="24" s="1"/>
  <c r="AD97" i="24" s="1"/>
  <c r="AI89" i="24"/>
  <c r="AH89" i="24" s="1"/>
  <c r="AG89" i="24" s="1"/>
  <c r="AF89" i="24" s="1"/>
  <c r="AD89" i="24" s="1"/>
  <c r="AI81" i="24"/>
  <c r="AH81" i="24" s="1"/>
  <c r="AG81" i="24" s="1"/>
  <c r="AF81" i="24" s="1"/>
  <c r="AD81" i="24" s="1"/>
  <c r="AI73" i="24"/>
  <c r="AH73" i="24" s="1"/>
  <c r="AG73" i="24" s="1"/>
  <c r="AF73" i="24" s="1"/>
  <c r="AD73" i="24" s="1"/>
  <c r="AI65" i="24"/>
  <c r="AH65" i="24" s="1"/>
  <c r="AG65" i="24" s="1"/>
  <c r="AF65" i="24" s="1"/>
  <c r="AD65" i="24" s="1"/>
  <c r="AI57" i="24"/>
  <c r="AH57" i="24" s="1"/>
  <c r="AG57" i="24" s="1"/>
  <c r="AF57" i="24" s="1"/>
  <c r="AD57" i="24" s="1"/>
  <c r="AI49" i="24"/>
  <c r="AH49" i="24" s="1"/>
  <c r="AG49" i="24" s="1"/>
  <c r="AF49" i="24" s="1"/>
  <c r="AD49" i="24" s="1"/>
  <c r="AI41" i="24"/>
  <c r="AH41" i="24" s="1"/>
  <c r="AG41" i="24" s="1"/>
  <c r="AF41" i="24" s="1"/>
  <c r="AD41" i="24" s="1"/>
  <c r="AI33" i="24"/>
  <c r="AH33" i="24" s="1"/>
  <c r="AG33" i="24" s="1"/>
  <c r="AF33" i="24" s="1"/>
  <c r="AD33" i="24" s="1"/>
  <c r="AI25" i="24"/>
  <c r="AH25" i="24" s="1"/>
  <c r="AG25" i="24" s="1"/>
  <c r="AF25" i="24" s="1"/>
  <c r="AD25" i="24" s="1"/>
  <c r="AI19" i="24"/>
  <c r="AH19" i="24" s="1"/>
  <c r="AG19" i="24" s="1"/>
  <c r="AF19" i="24" s="1"/>
  <c r="AD19" i="24" s="1"/>
  <c r="V302" i="24"/>
  <c r="V210" i="24"/>
  <c r="T379" i="24"/>
  <c r="S379" i="24" s="1"/>
  <c r="R379" i="24" s="1"/>
  <c r="P379" i="24" s="1"/>
  <c r="AH379" i="24"/>
  <c r="AG379" i="24" s="1"/>
  <c r="AF379" i="24" s="1"/>
  <c r="AD379" i="24" s="1"/>
  <c r="R18" i="23"/>
  <c r="S383" i="23"/>
  <c r="S382" i="23"/>
  <c r="S381" i="23"/>
  <c r="P383" i="22"/>
  <c r="V15" i="22"/>
  <c r="P381" i="22"/>
  <c r="P382" i="22"/>
  <c r="AD382" i="22"/>
  <c r="AD381" i="22"/>
  <c r="AD383" i="22"/>
  <c r="AG383" i="23"/>
  <c r="AF15" i="23"/>
  <c r="AG382" i="23"/>
  <c r="AG381" i="23"/>
  <c r="V15" i="23"/>
  <c r="V333" i="24" l="1"/>
  <c r="AH61" i="7"/>
  <c r="AH63" i="7"/>
  <c r="AH59" i="7"/>
  <c r="AH57" i="7"/>
  <c r="V29" i="24"/>
  <c r="AZ16" i="7"/>
  <c r="BF11" i="7" s="1"/>
  <c r="U11" i="25" s="1"/>
  <c r="U10" i="25" s="1"/>
  <c r="AH64" i="7"/>
  <c r="G69" i="19"/>
  <c r="L69" i="19"/>
  <c r="V363" i="24"/>
  <c r="C69" i="19"/>
  <c r="V379" i="24"/>
  <c r="D43" i="19"/>
  <c r="K69" i="19"/>
  <c r="U383" i="24"/>
  <c r="AH60" i="7"/>
  <c r="F69" i="19"/>
  <c r="H69" i="19"/>
  <c r="E69" i="19"/>
  <c r="U381" i="24"/>
  <c r="U382" i="24"/>
  <c r="J69" i="19"/>
  <c r="I69" i="19"/>
  <c r="AI383" i="24"/>
  <c r="AH58" i="7"/>
  <c r="V88" i="24"/>
  <c r="D69" i="19" s="1"/>
  <c r="AI382" i="24"/>
  <c r="AI381" i="24"/>
  <c r="V381" i="22"/>
  <c r="B67" i="19"/>
  <c r="N67" i="19" s="1"/>
  <c r="V383" i="22"/>
  <c r="V382" i="22"/>
  <c r="AF382" i="23"/>
  <c r="AD15" i="23"/>
  <c r="AF381" i="23"/>
  <c r="AF383" i="23"/>
  <c r="P18" i="23"/>
  <c r="R381" i="23"/>
  <c r="R383" i="23"/>
  <c r="R382" i="23"/>
  <c r="AH382" i="24"/>
  <c r="AH383" i="24"/>
  <c r="AG15" i="24"/>
  <c r="AH381" i="24"/>
  <c r="T381" i="24"/>
  <c r="T382" i="24"/>
  <c r="S15" i="24"/>
  <c r="T383" i="24"/>
  <c r="BE16" i="7"/>
  <c r="U56" i="25" l="1"/>
  <c r="T56" i="25" s="1"/>
  <c r="S56" i="25" s="1"/>
  <c r="R56" i="25" s="1"/>
  <c r="P56" i="25" s="1"/>
  <c r="V56" i="25" s="1"/>
  <c r="U24" i="25"/>
  <c r="T24" i="25" s="1"/>
  <c r="S24" i="25" s="1"/>
  <c r="R24" i="25" s="1"/>
  <c r="P24" i="25" s="1"/>
  <c r="V24" i="25" s="1"/>
  <c r="U94" i="25"/>
  <c r="T94" i="25" s="1"/>
  <c r="S94" i="25" s="1"/>
  <c r="R94" i="25" s="1"/>
  <c r="P94" i="25" s="1"/>
  <c r="V94" i="25" s="1"/>
  <c r="U350" i="25"/>
  <c r="T350" i="25" s="1"/>
  <c r="S350" i="25" s="1"/>
  <c r="R350" i="25" s="1"/>
  <c r="P350" i="25" s="1"/>
  <c r="V350" i="25" s="1"/>
  <c r="U368" i="25"/>
  <c r="T368" i="25" s="1"/>
  <c r="S368" i="25" s="1"/>
  <c r="R368" i="25" s="1"/>
  <c r="P368" i="25" s="1"/>
  <c r="V368" i="25" s="1"/>
  <c r="U280" i="25"/>
  <c r="T280" i="25" s="1"/>
  <c r="S280" i="25" s="1"/>
  <c r="R280" i="25" s="1"/>
  <c r="P280" i="25" s="1"/>
  <c r="V280" i="25" s="1"/>
  <c r="U222" i="25"/>
  <c r="T222" i="25" s="1"/>
  <c r="S222" i="25" s="1"/>
  <c r="R222" i="25" s="1"/>
  <c r="P222" i="25" s="1"/>
  <c r="V222" i="25" s="1"/>
  <c r="U204" i="25"/>
  <c r="T204" i="25" s="1"/>
  <c r="S204" i="25" s="1"/>
  <c r="R204" i="25" s="1"/>
  <c r="P204" i="25" s="1"/>
  <c r="V204" i="25" s="1"/>
  <c r="U308" i="25"/>
  <c r="T308" i="25" s="1"/>
  <c r="S308" i="25" s="1"/>
  <c r="R308" i="25" s="1"/>
  <c r="P308" i="25" s="1"/>
  <c r="V308" i="25" s="1"/>
  <c r="U76" i="25"/>
  <c r="T76" i="25" s="1"/>
  <c r="S76" i="25" s="1"/>
  <c r="R76" i="25" s="1"/>
  <c r="P76" i="25" s="1"/>
  <c r="V76" i="25" s="1"/>
  <c r="U286" i="25"/>
  <c r="T286" i="25" s="1"/>
  <c r="S286" i="25" s="1"/>
  <c r="R286" i="25" s="1"/>
  <c r="P286" i="25" s="1"/>
  <c r="V286" i="25" s="1"/>
  <c r="U158" i="25"/>
  <c r="T158" i="25" s="1"/>
  <c r="S158" i="25" s="1"/>
  <c r="R158" i="25" s="1"/>
  <c r="P158" i="25" s="1"/>
  <c r="V158" i="25" s="1"/>
  <c r="U30" i="25"/>
  <c r="T30" i="25" s="1"/>
  <c r="S30" i="25" s="1"/>
  <c r="R30" i="25" s="1"/>
  <c r="P30" i="25" s="1"/>
  <c r="V30" i="25" s="1"/>
  <c r="U156" i="25"/>
  <c r="T156" i="25" s="1"/>
  <c r="S156" i="25" s="1"/>
  <c r="R156" i="25" s="1"/>
  <c r="P156" i="25" s="1"/>
  <c r="V156" i="25" s="1"/>
  <c r="M69" i="19"/>
  <c r="U336" i="25"/>
  <c r="T336" i="25" s="1"/>
  <c r="S336" i="25" s="1"/>
  <c r="R336" i="25" s="1"/>
  <c r="P336" i="25" s="1"/>
  <c r="V336" i="25" s="1"/>
  <c r="U268" i="25"/>
  <c r="T268" i="25" s="1"/>
  <c r="S268" i="25" s="1"/>
  <c r="R268" i="25" s="1"/>
  <c r="P268" i="25" s="1"/>
  <c r="V268" i="25" s="1"/>
  <c r="U140" i="25"/>
  <c r="T140" i="25" s="1"/>
  <c r="S140" i="25" s="1"/>
  <c r="R140" i="25" s="1"/>
  <c r="P140" i="25" s="1"/>
  <c r="V140" i="25" s="1"/>
  <c r="U15" i="25"/>
  <c r="T15" i="25" s="1"/>
  <c r="U318" i="25"/>
  <c r="T318" i="25" s="1"/>
  <c r="S318" i="25" s="1"/>
  <c r="R318" i="25" s="1"/>
  <c r="P318" i="25" s="1"/>
  <c r="V318" i="25" s="1"/>
  <c r="U254" i="25"/>
  <c r="T254" i="25" s="1"/>
  <c r="S254" i="25" s="1"/>
  <c r="R254" i="25" s="1"/>
  <c r="P254" i="25" s="1"/>
  <c r="V254" i="25" s="1"/>
  <c r="U190" i="25"/>
  <c r="T190" i="25" s="1"/>
  <c r="S190" i="25" s="1"/>
  <c r="R190" i="25" s="1"/>
  <c r="P190" i="25" s="1"/>
  <c r="V190" i="25" s="1"/>
  <c r="U126" i="25"/>
  <c r="T126" i="25" s="1"/>
  <c r="S126" i="25" s="1"/>
  <c r="R126" i="25" s="1"/>
  <c r="P126" i="25" s="1"/>
  <c r="V126" i="25" s="1"/>
  <c r="U62" i="25"/>
  <c r="T62" i="25" s="1"/>
  <c r="S62" i="25" s="1"/>
  <c r="R62" i="25" s="1"/>
  <c r="P62" i="25" s="1"/>
  <c r="V62" i="25" s="1"/>
  <c r="U348" i="25"/>
  <c r="T348" i="25" s="1"/>
  <c r="S348" i="25" s="1"/>
  <c r="R348" i="25" s="1"/>
  <c r="P348" i="25" s="1"/>
  <c r="V348" i="25" s="1"/>
  <c r="U216" i="25"/>
  <c r="T216" i="25" s="1"/>
  <c r="S216" i="25" s="1"/>
  <c r="R216" i="25" s="1"/>
  <c r="P216" i="25" s="1"/>
  <c r="V216" i="25" s="1"/>
  <c r="U88" i="25"/>
  <c r="T88" i="25" s="1"/>
  <c r="S88" i="25" s="1"/>
  <c r="R88" i="25" s="1"/>
  <c r="P88" i="25" s="1"/>
  <c r="AH70" i="7" s="1"/>
  <c r="U352" i="25"/>
  <c r="T352" i="25" s="1"/>
  <c r="S352" i="25" s="1"/>
  <c r="R352" i="25" s="1"/>
  <c r="P352" i="25" s="1"/>
  <c r="V352" i="25" s="1"/>
  <c r="U320" i="25"/>
  <c r="T320" i="25" s="1"/>
  <c r="S320" i="25" s="1"/>
  <c r="R320" i="25" s="1"/>
  <c r="P320" i="25" s="1"/>
  <c r="V320" i="25" s="1"/>
  <c r="U292" i="25"/>
  <c r="T292" i="25" s="1"/>
  <c r="S292" i="25" s="1"/>
  <c r="R292" i="25" s="1"/>
  <c r="P292" i="25" s="1"/>
  <c r="V292" i="25" s="1"/>
  <c r="U236" i="25"/>
  <c r="T236" i="25" s="1"/>
  <c r="S236" i="25" s="1"/>
  <c r="R236" i="25" s="1"/>
  <c r="P236" i="25" s="1"/>
  <c r="V236" i="25" s="1"/>
  <c r="U172" i="25"/>
  <c r="T172" i="25" s="1"/>
  <c r="S172" i="25" s="1"/>
  <c r="R172" i="25" s="1"/>
  <c r="P172" i="25" s="1"/>
  <c r="V172" i="25" s="1"/>
  <c r="U108" i="25"/>
  <c r="T108" i="25" s="1"/>
  <c r="S108" i="25" s="1"/>
  <c r="R108" i="25" s="1"/>
  <c r="P108" i="25" s="1"/>
  <c r="V108" i="25" s="1"/>
  <c r="U44" i="25"/>
  <c r="T44" i="25" s="1"/>
  <c r="S44" i="25" s="1"/>
  <c r="R44" i="25" s="1"/>
  <c r="P44" i="25" s="1"/>
  <c r="V44" i="25" s="1"/>
  <c r="U366" i="25"/>
  <c r="T366" i="25" s="1"/>
  <c r="S366" i="25" s="1"/>
  <c r="R366" i="25" s="1"/>
  <c r="P366" i="25" s="1"/>
  <c r="V366" i="25" s="1"/>
  <c r="U334" i="25"/>
  <c r="T334" i="25" s="1"/>
  <c r="S334" i="25" s="1"/>
  <c r="R334" i="25" s="1"/>
  <c r="P334" i="25" s="1"/>
  <c r="V334" i="25" s="1"/>
  <c r="U302" i="25"/>
  <c r="T302" i="25" s="1"/>
  <c r="S302" i="25" s="1"/>
  <c r="R302" i="25" s="1"/>
  <c r="P302" i="25" s="1"/>
  <c r="V302" i="25" s="1"/>
  <c r="U270" i="25"/>
  <c r="T270" i="25" s="1"/>
  <c r="S270" i="25" s="1"/>
  <c r="R270" i="25" s="1"/>
  <c r="P270" i="25" s="1"/>
  <c r="V270" i="25" s="1"/>
  <c r="U238" i="25"/>
  <c r="T238" i="25" s="1"/>
  <c r="S238" i="25" s="1"/>
  <c r="R238" i="25" s="1"/>
  <c r="P238" i="25" s="1"/>
  <c r="V238" i="25" s="1"/>
  <c r="U206" i="25"/>
  <c r="T206" i="25" s="1"/>
  <c r="S206" i="25" s="1"/>
  <c r="R206" i="25" s="1"/>
  <c r="P206" i="25" s="1"/>
  <c r="V206" i="25" s="1"/>
  <c r="U174" i="25"/>
  <c r="T174" i="25" s="1"/>
  <c r="S174" i="25" s="1"/>
  <c r="R174" i="25" s="1"/>
  <c r="P174" i="25" s="1"/>
  <c r="V174" i="25" s="1"/>
  <c r="U142" i="25"/>
  <c r="T142" i="25" s="1"/>
  <c r="S142" i="25" s="1"/>
  <c r="R142" i="25" s="1"/>
  <c r="P142" i="25" s="1"/>
  <c r="V142" i="25" s="1"/>
  <c r="U110" i="25"/>
  <c r="T110" i="25" s="1"/>
  <c r="S110" i="25" s="1"/>
  <c r="R110" i="25" s="1"/>
  <c r="P110" i="25" s="1"/>
  <c r="V110" i="25" s="1"/>
  <c r="U78" i="25"/>
  <c r="T78" i="25" s="1"/>
  <c r="S78" i="25" s="1"/>
  <c r="R78" i="25" s="1"/>
  <c r="P78" i="25" s="1"/>
  <c r="V78" i="25" s="1"/>
  <c r="U46" i="25"/>
  <c r="T46" i="25" s="1"/>
  <c r="S46" i="25" s="1"/>
  <c r="R46" i="25" s="1"/>
  <c r="P46" i="25" s="1"/>
  <c r="V46" i="25" s="1"/>
  <c r="U16" i="25"/>
  <c r="T16" i="25" s="1"/>
  <c r="S16" i="25" s="1"/>
  <c r="R16" i="25" s="1"/>
  <c r="P16" i="25" s="1"/>
  <c r="V16" i="25" s="1"/>
  <c r="U316" i="25"/>
  <c r="T316" i="25" s="1"/>
  <c r="S316" i="25" s="1"/>
  <c r="R316" i="25" s="1"/>
  <c r="P316" i="25" s="1"/>
  <c r="V316" i="25" s="1"/>
  <c r="U248" i="25"/>
  <c r="T248" i="25" s="1"/>
  <c r="S248" i="25" s="1"/>
  <c r="R248" i="25" s="1"/>
  <c r="P248" i="25" s="1"/>
  <c r="V248" i="25" s="1"/>
  <c r="U184" i="25"/>
  <c r="T184" i="25" s="1"/>
  <c r="S184" i="25" s="1"/>
  <c r="R184" i="25" s="1"/>
  <c r="P184" i="25" s="1"/>
  <c r="V184" i="25" s="1"/>
  <c r="U120" i="25"/>
  <c r="T120" i="25" s="1"/>
  <c r="S120" i="25" s="1"/>
  <c r="R120" i="25" s="1"/>
  <c r="P120" i="25" s="1"/>
  <c r="V120" i="25" s="1"/>
  <c r="AI101" i="25"/>
  <c r="AH101" i="25" s="1"/>
  <c r="AG101" i="25" s="1"/>
  <c r="AF101" i="25" s="1"/>
  <c r="AD101" i="25" s="1"/>
  <c r="U32" i="25"/>
  <c r="T32" i="25" s="1"/>
  <c r="S32" i="25" s="1"/>
  <c r="R32" i="25" s="1"/>
  <c r="P32" i="25" s="1"/>
  <c r="V32" i="25" s="1"/>
  <c r="U48" i="25"/>
  <c r="T48" i="25" s="1"/>
  <c r="S48" i="25" s="1"/>
  <c r="R48" i="25" s="1"/>
  <c r="P48" i="25" s="1"/>
  <c r="V48" i="25" s="1"/>
  <c r="U64" i="25"/>
  <c r="T64" i="25" s="1"/>
  <c r="S64" i="25" s="1"/>
  <c r="R64" i="25" s="1"/>
  <c r="P64" i="25" s="1"/>
  <c r="V64" i="25" s="1"/>
  <c r="U80" i="25"/>
  <c r="T80" i="25" s="1"/>
  <c r="S80" i="25" s="1"/>
  <c r="R80" i="25" s="1"/>
  <c r="P80" i="25" s="1"/>
  <c r="V80" i="25" s="1"/>
  <c r="U96" i="25"/>
  <c r="T96" i="25" s="1"/>
  <c r="S96" i="25" s="1"/>
  <c r="R96" i="25" s="1"/>
  <c r="P96" i="25" s="1"/>
  <c r="V96" i="25" s="1"/>
  <c r="U112" i="25"/>
  <c r="T112" i="25" s="1"/>
  <c r="S112" i="25" s="1"/>
  <c r="R112" i="25" s="1"/>
  <c r="P112" i="25" s="1"/>
  <c r="V112" i="25" s="1"/>
  <c r="U128" i="25"/>
  <c r="T128" i="25" s="1"/>
  <c r="S128" i="25" s="1"/>
  <c r="R128" i="25" s="1"/>
  <c r="P128" i="25" s="1"/>
  <c r="V128" i="25" s="1"/>
  <c r="U144" i="25"/>
  <c r="T144" i="25" s="1"/>
  <c r="S144" i="25" s="1"/>
  <c r="R144" i="25" s="1"/>
  <c r="P144" i="25" s="1"/>
  <c r="V144" i="25" s="1"/>
  <c r="U164" i="25"/>
  <c r="T164" i="25" s="1"/>
  <c r="S164" i="25" s="1"/>
  <c r="R164" i="25" s="1"/>
  <c r="P164" i="25" s="1"/>
  <c r="V164" i="25" s="1"/>
  <c r="U176" i="25"/>
  <c r="T176" i="25" s="1"/>
  <c r="S176" i="25" s="1"/>
  <c r="R176" i="25" s="1"/>
  <c r="P176" i="25" s="1"/>
  <c r="V176" i="25" s="1"/>
  <c r="U192" i="25"/>
  <c r="T192" i="25" s="1"/>
  <c r="S192" i="25" s="1"/>
  <c r="R192" i="25" s="1"/>
  <c r="P192" i="25" s="1"/>
  <c r="V192" i="25" s="1"/>
  <c r="U208" i="25"/>
  <c r="T208" i="25" s="1"/>
  <c r="S208" i="25" s="1"/>
  <c r="R208" i="25" s="1"/>
  <c r="P208" i="25" s="1"/>
  <c r="V208" i="25" s="1"/>
  <c r="U224" i="25"/>
  <c r="T224" i="25" s="1"/>
  <c r="S224" i="25" s="1"/>
  <c r="R224" i="25" s="1"/>
  <c r="P224" i="25" s="1"/>
  <c r="V224" i="25" s="1"/>
  <c r="U240" i="25"/>
  <c r="T240" i="25" s="1"/>
  <c r="S240" i="25" s="1"/>
  <c r="R240" i="25" s="1"/>
  <c r="P240" i="25" s="1"/>
  <c r="V240" i="25" s="1"/>
  <c r="U256" i="25"/>
  <c r="T256" i="25" s="1"/>
  <c r="S256" i="25" s="1"/>
  <c r="R256" i="25" s="1"/>
  <c r="P256" i="25" s="1"/>
  <c r="V256" i="25" s="1"/>
  <c r="U272" i="25"/>
  <c r="T272" i="25" s="1"/>
  <c r="S272" i="25" s="1"/>
  <c r="R272" i="25" s="1"/>
  <c r="P272" i="25" s="1"/>
  <c r="AH76" i="7" s="1"/>
  <c r="U288" i="25"/>
  <c r="T288" i="25" s="1"/>
  <c r="S288" i="25" s="1"/>
  <c r="R288" i="25" s="1"/>
  <c r="P288" i="25" s="1"/>
  <c r="V288" i="25" s="1"/>
  <c r="U304" i="25"/>
  <c r="T304" i="25" s="1"/>
  <c r="S304" i="25" s="1"/>
  <c r="R304" i="25" s="1"/>
  <c r="P304" i="25" s="1"/>
  <c r="V304" i="25" s="1"/>
  <c r="U324" i="25"/>
  <c r="T324" i="25" s="1"/>
  <c r="S324" i="25" s="1"/>
  <c r="R324" i="25" s="1"/>
  <c r="P324" i="25" s="1"/>
  <c r="V324" i="25" s="1"/>
  <c r="U340" i="25"/>
  <c r="T340" i="25" s="1"/>
  <c r="S340" i="25" s="1"/>
  <c r="R340" i="25" s="1"/>
  <c r="P340" i="25" s="1"/>
  <c r="V340" i="25" s="1"/>
  <c r="U356" i="25"/>
  <c r="T356" i="25" s="1"/>
  <c r="S356" i="25" s="1"/>
  <c r="R356" i="25" s="1"/>
  <c r="P356" i="25" s="1"/>
  <c r="V356" i="25" s="1"/>
  <c r="U372" i="25"/>
  <c r="T372" i="25" s="1"/>
  <c r="S372" i="25" s="1"/>
  <c r="R372" i="25" s="1"/>
  <c r="P372" i="25" s="1"/>
  <c r="V372" i="25" s="1"/>
  <c r="U20" i="25"/>
  <c r="T20" i="25" s="1"/>
  <c r="S20" i="25" s="1"/>
  <c r="R20" i="25" s="1"/>
  <c r="P20" i="25" s="1"/>
  <c r="V20" i="25" s="1"/>
  <c r="U27" i="25"/>
  <c r="T27" i="25" s="1"/>
  <c r="S27" i="25" s="1"/>
  <c r="R27" i="25" s="1"/>
  <c r="P27" i="25" s="1"/>
  <c r="V27" i="25" s="1"/>
  <c r="U34" i="25"/>
  <c r="T34" i="25" s="1"/>
  <c r="S34" i="25" s="1"/>
  <c r="R34" i="25" s="1"/>
  <c r="P34" i="25" s="1"/>
  <c r="V34" i="25" s="1"/>
  <c r="U42" i="25"/>
  <c r="T42" i="25" s="1"/>
  <c r="S42" i="25" s="1"/>
  <c r="R42" i="25" s="1"/>
  <c r="P42" i="25" s="1"/>
  <c r="V42" i="25" s="1"/>
  <c r="U50" i="25"/>
  <c r="T50" i="25" s="1"/>
  <c r="S50" i="25" s="1"/>
  <c r="R50" i="25" s="1"/>
  <c r="P50" i="25" s="1"/>
  <c r="V50" i="25" s="1"/>
  <c r="U58" i="25"/>
  <c r="T58" i="25" s="1"/>
  <c r="S58" i="25" s="1"/>
  <c r="R58" i="25" s="1"/>
  <c r="P58" i="25" s="1"/>
  <c r="V58" i="25" s="1"/>
  <c r="U66" i="25"/>
  <c r="T66" i="25" s="1"/>
  <c r="S66" i="25" s="1"/>
  <c r="R66" i="25" s="1"/>
  <c r="P66" i="25" s="1"/>
  <c r="V66" i="25" s="1"/>
  <c r="U74" i="25"/>
  <c r="T74" i="25" s="1"/>
  <c r="S74" i="25" s="1"/>
  <c r="R74" i="25" s="1"/>
  <c r="P74" i="25" s="1"/>
  <c r="V74" i="25" s="1"/>
  <c r="U82" i="25"/>
  <c r="T82" i="25" s="1"/>
  <c r="S82" i="25" s="1"/>
  <c r="R82" i="25" s="1"/>
  <c r="P82" i="25" s="1"/>
  <c r="V82" i="25" s="1"/>
  <c r="U90" i="25"/>
  <c r="T90" i="25" s="1"/>
  <c r="S90" i="25" s="1"/>
  <c r="R90" i="25" s="1"/>
  <c r="P90" i="25" s="1"/>
  <c r="V90" i="25" s="1"/>
  <c r="U98" i="25"/>
  <c r="T98" i="25" s="1"/>
  <c r="S98" i="25" s="1"/>
  <c r="R98" i="25" s="1"/>
  <c r="P98" i="25" s="1"/>
  <c r="V98" i="25" s="1"/>
  <c r="U106" i="25"/>
  <c r="T106" i="25" s="1"/>
  <c r="S106" i="25" s="1"/>
  <c r="R106" i="25" s="1"/>
  <c r="P106" i="25" s="1"/>
  <c r="V106" i="25" s="1"/>
  <c r="U114" i="25"/>
  <c r="T114" i="25" s="1"/>
  <c r="S114" i="25" s="1"/>
  <c r="R114" i="25" s="1"/>
  <c r="P114" i="25" s="1"/>
  <c r="V114" i="25" s="1"/>
  <c r="U122" i="25"/>
  <c r="T122" i="25" s="1"/>
  <c r="S122" i="25" s="1"/>
  <c r="R122" i="25" s="1"/>
  <c r="P122" i="25" s="1"/>
  <c r="V122" i="25" s="1"/>
  <c r="U130" i="25"/>
  <c r="T130" i="25" s="1"/>
  <c r="S130" i="25" s="1"/>
  <c r="R130" i="25" s="1"/>
  <c r="P130" i="25" s="1"/>
  <c r="V130" i="25" s="1"/>
  <c r="U138" i="25"/>
  <c r="T138" i="25" s="1"/>
  <c r="S138" i="25" s="1"/>
  <c r="R138" i="25" s="1"/>
  <c r="P138" i="25" s="1"/>
  <c r="V138" i="25" s="1"/>
  <c r="U146" i="25"/>
  <c r="T146" i="25" s="1"/>
  <c r="S146" i="25" s="1"/>
  <c r="R146" i="25" s="1"/>
  <c r="P146" i="25" s="1"/>
  <c r="V146" i="25" s="1"/>
  <c r="U154" i="25"/>
  <c r="T154" i="25" s="1"/>
  <c r="S154" i="25" s="1"/>
  <c r="R154" i="25" s="1"/>
  <c r="P154" i="25" s="1"/>
  <c r="V154" i="25" s="1"/>
  <c r="U162" i="25"/>
  <c r="T162" i="25" s="1"/>
  <c r="S162" i="25" s="1"/>
  <c r="R162" i="25" s="1"/>
  <c r="P162" i="25" s="1"/>
  <c r="V162" i="25" s="1"/>
  <c r="U170" i="25"/>
  <c r="T170" i="25" s="1"/>
  <c r="S170" i="25" s="1"/>
  <c r="R170" i="25" s="1"/>
  <c r="P170" i="25" s="1"/>
  <c r="V170" i="25" s="1"/>
  <c r="U178" i="25"/>
  <c r="T178" i="25" s="1"/>
  <c r="S178" i="25" s="1"/>
  <c r="R178" i="25" s="1"/>
  <c r="P178" i="25" s="1"/>
  <c r="V178" i="25" s="1"/>
  <c r="U186" i="25"/>
  <c r="T186" i="25" s="1"/>
  <c r="S186" i="25" s="1"/>
  <c r="R186" i="25" s="1"/>
  <c r="P186" i="25" s="1"/>
  <c r="V186" i="25" s="1"/>
  <c r="U194" i="25"/>
  <c r="T194" i="25" s="1"/>
  <c r="S194" i="25" s="1"/>
  <c r="R194" i="25" s="1"/>
  <c r="P194" i="25" s="1"/>
  <c r="V194" i="25" s="1"/>
  <c r="U202" i="25"/>
  <c r="T202" i="25" s="1"/>
  <c r="S202" i="25" s="1"/>
  <c r="R202" i="25" s="1"/>
  <c r="P202" i="25" s="1"/>
  <c r="V202" i="25" s="1"/>
  <c r="U210" i="25"/>
  <c r="T210" i="25" s="1"/>
  <c r="S210" i="25" s="1"/>
  <c r="R210" i="25" s="1"/>
  <c r="P210" i="25" s="1"/>
  <c r="V210" i="25" s="1"/>
  <c r="U218" i="25"/>
  <c r="T218" i="25" s="1"/>
  <c r="S218" i="25" s="1"/>
  <c r="R218" i="25" s="1"/>
  <c r="P218" i="25" s="1"/>
  <c r="V218" i="25" s="1"/>
  <c r="U226" i="25"/>
  <c r="T226" i="25" s="1"/>
  <c r="S226" i="25" s="1"/>
  <c r="R226" i="25" s="1"/>
  <c r="P226" i="25" s="1"/>
  <c r="V226" i="25" s="1"/>
  <c r="U234" i="25"/>
  <c r="T234" i="25" s="1"/>
  <c r="S234" i="25" s="1"/>
  <c r="R234" i="25" s="1"/>
  <c r="P234" i="25" s="1"/>
  <c r="V234" i="25" s="1"/>
  <c r="U242" i="25"/>
  <c r="T242" i="25" s="1"/>
  <c r="S242" i="25" s="1"/>
  <c r="R242" i="25" s="1"/>
  <c r="P242" i="25" s="1"/>
  <c r="V242" i="25" s="1"/>
  <c r="U250" i="25"/>
  <c r="T250" i="25" s="1"/>
  <c r="S250" i="25" s="1"/>
  <c r="R250" i="25" s="1"/>
  <c r="P250" i="25" s="1"/>
  <c r="V250" i="25" s="1"/>
  <c r="U258" i="25"/>
  <c r="T258" i="25" s="1"/>
  <c r="S258" i="25" s="1"/>
  <c r="R258" i="25" s="1"/>
  <c r="P258" i="25" s="1"/>
  <c r="V258" i="25" s="1"/>
  <c r="U266" i="25"/>
  <c r="T266" i="25" s="1"/>
  <c r="S266" i="25" s="1"/>
  <c r="R266" i="25" s="1"/>
  <c r="P266" i="25" s="1"/>
  <c r="V266" i="25" s="1"/>
  <c r="U274" i="25"/>
  <c r="T274" i="25" s="1"/>
  <c r="S274" i="25" s="1"/>
  <c r="R274" i="25" s="1"/>
  <c r="P274" i="25" s="1"/>
  <c r="V274" i="25" s="1"/>
  <c r="U282" i="25"/>
  <c r="T282" i="25" s="1"/>
  <c r="S282" i="25" s="1"/>
  <c r="R282" i="25" s="1"/>
  <c r="P282" i="25" s="1"/>
  <c r="V282" i="25" s="1"/>
  <c r="U290" i="25"/>
  <c r="T290" i="25" s="1"/>
  <c r="S290" i="25" s="1"/>
  <c r="R290" i="25" s="1"/>
  <c r="P290" i="25" s="1"/>
  <c r="V290" i="25" s="1"/>
  <c r="U298" i="25"/>
  <c r="T298" i="25" s="1"/>
  <c r="S298" i="25" s="1"/>
  <c r="R298" i="25" s="1"/>
  <c r="P298" i="25" s="1"/>
  <c r="V298" i="25" s="1"/>
  <c r="U306" i="25"/>
  <c r="T306" i="25" s="1"/>
  <c r="S306" i="25" s="1"/>
  <c r="R306" i="25" s="1"/>
  <c r="P306" i="25" s="1"/>
  <c r="V306" i="25" s="1"/>
  <c r="U314" i="25"/>
  <c r="T314" i="25" s="1"/>
  <c r="S314" i="25" s="1"/>
  <c r="R314" i="25" s="1"/>
  <c r="P314" i="25" s="1"/>
  <c r="V314" i="25" s="1"/>
  <c r="U322" i="25"/>
  <c r="T322" i="25" s="1"/>
  <c r="S322" i="25" s="1"/>
  <c r="R322" i="25" s="1"/>
  <c r="P322" i="25" s="1"/>
  <c r="V322" i="25" s="1"/>
  <c r="U330" i="25"/>
  <c r="T330" i="25" s="1"/>
  <c r="S330" i="25" s="1"/>
  <c r="R330" i="25" s="1"/>
  <c r="P330" i="25" s="1"/>
  <c r="V330" i="25" s="1"/>
  <c r="U338" i="25"/>
  <c r="T338" i="25" s="1"/>
  <c r="S338" i="25" s="1"/>
  <c r="R338" i="25" s="1"/>
  <c r="P338" i="25" s="1"/>
  <c r="V338" i="25" s="1"/>
  <c r="U346" i="25"/>
  <c r="T346" i="25" s="1"/>
  <c r="S346" i="25" s="1"/>
  <c r="R346" i="25" s="1"/>
  <c r="P346" i="25" s="1"/>
  <c r="V346" i="25" s="1"/>
  <c r="U354" i="25"/>
  <c r="T354" i="25" s="1"/>
  <c r="S354" i="25" s="1"/>
  <c r="R354" i="25" s="1"/>
  <c r="P354" i="25" s="1"/>
  <c r="V354" i="25" s="1"/>
  <c r="U362" i="25"/>
  <c r="T362" i="25" s="1"/>
  <c r="S362" i="25" s="1"/>
  <c r="R362" i="25" s="1"/>
  <c r="P362" i="25" s="1"/>
  <c r="V362" i="25" s="1"/>
  <c r="U370" i="25"/>
  <c r="T370" i="25" s="1"/>
  <c r="S370" i="25" s="1"/>
  <c r="R370" i="25" s="1"/>
  <c r="P370" i="25" s="1"/>
  <c r="V370" i="25" s="1"/>
  <c r="U378" i="25"/>
  <c r="T378" i="25" s="1"/>
  <c r="S378" i="25" s="1"/>
  <c r="R378" i="25" s="1"/>
  <c r="P378" i="25" s="1"/>
  <c r="V378" i="25" s="1"/>
  <c r="U18" i="25"/>
  <c r="T18" i="25" s="1"/>
  <c r="S18" i="25" s="1"/>
  <c r="R18" i="25" s="1"/>
  <c r="P18" i="25" s="1"/>
  <c r="V18" i="25" s="1"/>
  <c r="U36" i="25"/>
  <c r="T36" i="25" s="1"/>
  <c r="S36" i="25" s="1"/>
  <c r="R36" i="25" s="1"/>
  <c r="P36" i="25" s="1"/>
  <c r="V36" i="25" s="1"/>
  <c r="U52" i="25"/>
  <c r="T52" i="25" s="1"/>
  <c r="S52" i="25" s="1"/>
  <c r="R52" i="25" s="1"/>
  <c r="P52" i="25" s="1"/>
  <c r="V52" i="25" s="1"/>
  <c r="U68" i="25"/>
  <c r="T68" i="25" s="1"/>
  <c r="S68" i="25" s="1"/>
  <c r="R68" i="25" s="1"/>
  <c r="P68" i="25" s="1"/>
  <c r="V68" i="25" s="1"/>
  <c r="U84" i="25"/>
  <c r="T84" i="25" s="1"/>
  <c r="S84" i="25" s="1"/>
  <c r="R84" i="25" s="1"/>
  <c r="P84" i="25" s="1"/>
  <c r="V84" i="25" s="1"/>
  <c r="U100" i="25"/>
  <c r="T100" i="25" s="1"/>
  <c r="S100" i="25" s="1"/>
  <c r="R100" i="25" s="1"/>
  <c r="P100" i="25" s="1"/>
  <c r="V100" i="25" s="1"/>
  <c r="U116" i="25"/>
  <c r="T116" i="25" s="1"/>
  <c r="S116" i="25" s="1"/>
  <c r="R116" i="25" s="1"/>
  <c r="P116" i="25" s="1"/>
  <c r="V116" i="25" s="1"/>
  <c r="U132" i="25"/>
  <c r="T132" i="25" s="1"/>
  <c r="S132" i="25" s="1"/>
  <c r="R132" i="25" s="1"/>
  <c r="P132" i="25" s="1"/>
  <c r="V132" i="25" s="1"/>
  <c r="U148" i="25"/>
  <c r="T148" i="25" s="1"/>
  <c r="S148" i="25" s="1"/>
  <c r="R148" i="25" s="1"/>
  <c r="P148" i="25" s="1"/>
  <c r="V148" i="25" s="1"/>
  <c r="U160" i="25"/>
  <c r="T160" i="25" s="1"/>
  <c r="S160" i="25" s="1"/>
  <c r="R160" i="25" s="1"/>
  <c r="P160" i="25" s="1"/>
  <c r="V160" i="25" s="1"/>
  <c r="U180" i="25"/>
  <c r="T180" i="25" s="1"/>
  <c r="S180" i="25" s="1"/>
  <c r="R180" i="25" s="1"/>
  <c r="P180" i="25" s="1"/>
  <c r="V180" i="25" s="1"/>
  <c r="U196" i="25"/>
  <c r="T196" i="25" s="1"/>
  <c r="S196" i="25" s="1"/>
  <c r="R196" i="25" s="1"/>
  <c r="P196" i="25" s="1"/>
  <c r="V196" i="25" s="1"/>
  <c r="U212" i="25"/>
  <c r="T212" i="25" s="1"/>
  <c r="S212" i="25" s="1"/>
  <c r="R212" i="25" s="1"/>
  <c r="P212" i="25" s="1"/>
  <c r="V212" i="25" s="1"/>
  <c r="U228" i="25"/>
  <c r="T228" i="25" s="1"/>
  <c r="S228" i="25" s="1"/>
  <c r="R228" i="25" s="1"/>
  <c r="P228" i="25" s="1"/>
  <c r="V228" i="25" s="1"/>
  <c r="U244" i="25"/>
  <c r="T244" i="25" s="1"/>
  <c r="S244" i="25" s="1"/>
  <c r="R244" i="25" s="1"/>
  <c r="P244" i="25" s="1"/>
  <c r="V244" i="25" s="1"/>
  <c r="U260" i="25"/>
  <c r="T260" i="25" s="1"/>
  <c r="S260" i="25" s="1"/>
  <c r="R260" i="25" s="1"/>
  <c r="P260" i="25" s="1"/>
  <c r="V260" i="25" s="1"/>
  <c r="U276" i="25"/>
  <c r="T276" i="25" s="1"/>
  <c r="S276" i="25" s="1"/>
  <c r="R276" i="25" s="1"/>
  <c r="P276" i="25" s="1"/>
  <c r="V276" i="25" s="1"/>
  <c r="U376" i="25"/>
  <c r="T376" i="25" s="1"/>
  <c r="S376" i="25" s="1"/>
  <c r="R376" i="25" s="1"/>
  <c r="P376" i="25" s="1"/>
  <c r="V376" i="25" s="1"/>
  <c r="U360" i="25"/>
  <c r="T360" i="25" s="1"/>
  <c r="S360" i="25" s="1"/>
  <c r="R360" i="25" s="1"/>
  <c r="P360" i="25" s="1"/>
  <c r="V360" i="25" s="1"/>
  <c r="U344" i="25"/>
  <c r="T344" i="25" s="1"/>
  <c r="S344" i="25" s="1"/>
  <c r="R344" i="25" s="1"/>
  <c r="P344" i="25" s="1"/>
  <c r="V344" i="25" s="1"/>
  <c r="U328" i="25"/>
  <c r="T328" i="25" s="1"/>
  <c r="S328" i="25" s="1"/>
  <c r="R328" i="25" s="1"/>
  <c r="P328" i="25" s="1"/>
  <c r="V328" i="25" s="1"/>
  <c r="U312" i="25"/>
  <c r="T312" i="25" s="1"/>
  <c r="S312" i="25" s="1"/>
  <c r="R312" i="25" s="1"/>
  <c r="P312" i="25" s="1"/>
  <c r="V312" i="25" s="1"/>
  <c r="U300" i="25"/>
  <c r="T300" i="25" s="1"/>
  <c r="S300" i="25" s="1"/>
  <c r="R300" i="25" s="1"/>
  <c r="P300" i="25" s="1"/>
  <c r="V300" i="25" s="1"/>
  <c r="U284" i="25"/>
  <c r="T284" i="25" s="1"/>
  <c r="S284" i="25" s="1"/>
  <c r="R284" i="25" s="1"/>
  <c r="P284" i="25" s="1"/>
  <c r="V284" i="25" s="1"/>
  <c r="U252" i="25"/>
  <c r="T252" i="25" s="1"/>
  <c r="S252" i="25" s="1"/>
  <c r="R252" i="25" s="1"/>
  <c r="P252" i="25" s="1"/>
  <c r="V252" i="25" s="1"/>
  <c r="U220" i="25"/>
  <c r="T220" i="25" s="1"/>
  <c r="S220" i="25" s="1"/>
  <c r="R220" i="25" s="1"/>
  <c r="P220" i="25" s="1"/>
  <c r="V220" i="25" s="1"/>
  <c r="U188" i="25"/>
  <c r="T188" i="25" s="1"/>
  <c r="S188" i="25" s="1"/>
  <c r="R188" i="25" s="1"/>
  <c r="P188" i="25" s="1"/>
  <c r="V188" i="25" s="1"/>
  <c r="U152" i="25"/>
  <c r="T152" i="25" s="1"/>
  <c r="S152" i="25" s="1"/>
  <c r="R152" i="25" s="1"/>
  <c r="P152" i="25" s="1"/>
  <c r="V152" i="25" s="1"/>
  <c r="U124" i="25"/>
  <c r="T124" i="25" s="1"/>
  <c r="S124" i="25" s="1"/>
  <c r="R124" i="25" s="1"/>
  <c r="P124" i="25" s="1"/>
  <c r="V124" i="25" s="1"/>
  <c r="U92" i="25"/>
  <c r="T92" i="25" s="1"/>
  <c r="S92" i="25" s="1"/>
  <c r="R92" i="25" s="1"/>
  <c r="P92" i="25" s="1"/>
  <c r="V92" i="25" s="1"/>
  <c r="U60" i="25"/>
  <c r="T60" i="25" s="1"/>
  <c r="S60" i="25" s="1"/>
  <c r="R60" i="25" s="1"/>
  <c r="P60" i="25" s="1"/>
  <c r="AH69" i="7" s="1"/>
  <c r="U28" i="25"/>
  <c r="T28" i="25" s="1"/>
  <c r="S28" i="25" s="1"/>
  <c r="R28" i="25" s="1"/>
  <c r="P28" i="25" s="1"/>
  <c r="V28" i="25" s="1"/>
  <c r="U374" i="25"/>
  <c r="T374" i="25" s="1"/>
  <c r="S374" i="25" s="1"/>
  <c r="R374" i="25" s="1"/>
  <c r="P374" i="25" s="1"/>
  <c r="V374" i="25" s="1"/>
  <c r="U358" i="25"/>
  <c r="T358" i="25" s="1"/>
  <c r="S358" i="25" s="1"/>
  <c r="R358" i="25" s="1"/>
  <c r="P358" i="25" s="1"/>
  <c r="V358" i="25" s="1"/>
  <c r="U342" i="25"/>
  <c r="T342" i="25" s="1"/>
  <c r="S342" i="25" s="1"/>
  <c r="R342" i="25" s="1"/>
  <c r="P342" i="25" s="1"/>
  <c r="V342" i="25" s="1"/>
  <c r="U326" i="25"/>
  <c r="T326" i="25" s="1"/>
  <c r="S326" i="25" s="1"/>
  <c r="R326" i="25" s="1"/>
  <c r="P326" i="25" s="1"/>
  <c r="V326" i="25" s="1"/>
  <c r="U310" i="25"/>
  <c r="T310" i="25" s="1"/>
  <c r="S310" i="25" s="1"/>
  <c r="R310" i="25" s="1"/>
  <c r="P310" i="25" s="1"/>
  <c r="V310" i="25" s="1"/>
  <c r="U294" i="25"/>
  <c r="T294" i="25" s="1"/>
  <c r="S294" i="25" s="1"/>
  <c r="R294" i="25" s="1"/>
  <c r="P294" i="25" s="1"/>
  <c r="V294" i="25" s="1"/>
  <c r="U278" i="25"/>
  <c r="T278" i="25" s="1"/>
  <c r="S278" i="25" s="1"/>
  <c r="R278" i="25" s="1"/>
  <c r="P278" i="25" s="1"/>
  <c r="V278" i="25" s="1"/>
  <c r="U262" i="25"/>
  <c r="T262" i="25" s="1"/>
  <c r="S262" i="25" s="1"/>
  <c r="R262" i="25" s="1"/>
  <c r="P262" i="25" s="1"/>
  <c r="V262" i="25" s="1"/>
  <c r="U246" i="25"/>
  <c r="T246" i="25" s="1"/>
  <c r="S246" i="25" s="1"/>
  <c r="R246" i="25" s="1"/>
  <c r="P246" i="25" s="1"/>
  <c r="V246" i="25" s="1"/>
  <c r="U230" i="25"/>
  <c r="T230" i="25" s="1"/>
  <c r="S230" i="25" s="1"/>
  <c r="R230" i="25" s="1"/>
  <c r="P230" i="25" s="1"/>
  <c r="V230" i="25" s="1"/>
  <c r="U214" i="25"/>
  <c r="T214" i="25" s="1"/>
  <c r="S214" i="25" s="1"/>
  <c r="R214" i="25" s="1"/>
  <c r="P214" i="25" s="1"/>
  <c r="V214" i="25" s="1"/>
  <c r="U198" i="25"/>
  <c r="T198" i="25" s="1"/>
  <c r="S198" i="25" s="1"/>
  <c r="R198" i="25" s="1"/>
  <c r="P198" i="25" s="1"/>
  <c r="V198" i="25" s="1"/>
  <c r="U182" i="25"/>
  <c r="T182" i="25" s="1"/>
  <c r="S182" i="25" s="1"/>
  <c r="R182" i="25" s="1"/>
  <c r="P182" i="25" s="1"/>
  <c r="V182" i="25" s="1"/>
  <c r="U166" i="25"/>
  <c r="T166" i="25" s="1"/>
  <c r="S166" i="25" s="1"/>
  <c r="R166" i="25" s="1"/>
  <c r="P166" i="25" s="1"/>
  <c r="V166" i="25" s="1"/>
  <c r="U150" i="25"/>
  <c r="T150" i="25" s="1"/>
  <c r="S150" i="25" s="1"/>
  <c r="R150" i="25" s="1"/>
  <c r="P150" i="25" s="1"/>
  <c r="V150" i="25" s="1"/>
  <c r="U134" i="25"/>
  <c r="T134" i="25" s="1"/>
  <c r="S134" i="25" s="1"/>
  <c r="R134" i="25" s="1"/>
  <c r="P134" i="25" s="1"/>
  <c r="V134" i="25" s="1"/>
  <c r="U118" i="25"/>
  <c r="T118" i="25" s="1"/>
  <c r="S118" i="25" s="1"/>
  <c r="R118" i="25" s="1"/>
  <c r="P118" i="25" s="1"/>
  <c r="V118" i="25" s="1"/>
  <c r="U102" i="25"/>
  <c r="T102" i="25" s="1"/>
  <c r="S102" i="25" s="1"/>
  <c r="R102" i="25" s="1"/>
  <c r="P102" i="25" s="1"/>
  <c r="V102" i="25" s="1"/>
  <c r="U86" i="25"/>
  <c r="T86" i="25" s="1"/>
  <c r="S86" i="25" s="1"/>
  <c r="R86" i="25" s="1"/>
  <c r="P86" i="25" s="1"/>
  <c r="V86" i="25" s="1"/>
  <c r="U70" i="25"/>
  <c r="T70" i="25" s="1"/>
  <c r="S70" i="25" s="1"/>
  <c r="R70" i="25" s="1"/>
  <c r="P70" i="25" s="1"/>
  <c r="V70" i="25" s="1"/>
  <c r="U54" i="25"/>
  <c r="T54" i="25" s="1"/>
  <c r="S54" i="25" s="1"/>
  <c r="R54" i="25" s="1"/>
  <c r="P54" i="25" s="1"/>
  <c r="V54" i="25" s="1"/>
  <c r="U38" i="25"/>
  <c r="T38" i="25" s="1"/>
  <c r="S38" i="25" s="1"/>
  <c r="R38" i="25" s="1"/>
  <c r="P38" i="25" s="1"/>
  <c r="V38" i="25" s="1"/>
  <c r="U17" i="25"/>
  <c r="T17" i="25" s="1"/>
  <c r="S17" i="25" s="1"/>
  <c r="R17" i="25" s="1"/>
  <c r="P17" i="25" s="1"/>
  <c r="V17" i="25" s="1"/>
  <c r="U364" i="25"/>
  <c r="T364" i="25" s="1"/>
  <c r="S364" i="25" s="1"/>
  <c r="R364" i="25" s="1"/>
  <c r="P364" i="25" s="1"/>
  <c r="V364" i="25" s="1"/>
  <c r="U332" i="25"/>
  <c r="T332" i="25" s="1"/>
  <c r="S332" i="25" s="1"/>
  <c r="R332" i="25" s="1"/>
  <c r="P332" i="25" s="1"/>
  <c r="V332" i="25" s="1"/>
  <c r="U296" i="25"/>
  <c r="T296" i="25" s="1"/>
  <c r="S296" i="25" s="1"/>
  <c r="R296" i="25" s="1"/>
  <c r="P296" i="25" s="1"/>
  <c r="V296" i="25" s="1"/>
  <c r="U264" i="25"/>
  <c r="T264" i="25" s="1"/>
  <c r="S264" i="25" s="1"/>
  <c r="R264" i="25" s="1"/>
  <c r="P264" i="25" s="1"/>
  <c r="V264" i="25" s="1"/>
  <c r="U232" i="25"/>
  <c r="T232" i="25" s="1"/>
  <c r="S232" i="25" s="1"/>
  <c r="R232" i="25" s="1"/>
  <c r="P232" i="25" s="1"/>
  <c r="V232" i="25" s="1"/>
  <c r="U200" i="25"/>
  <c r="T200" i="25" s="1"/>
  <c r="S200" i="25" s="1"/>
  <c r="R200" i="25" s="1"/>
  <c r="P200" i="25" s="1"/>
  <c r="V200" i="25" s="1"/>
  <c r="U168" i="25"/>
  <c r="T168" i="25" s="1"/>
  <c r="S168" i="25" s="1"/>
  <c r="R168" i="25" s="1"/>
  <c r="P168" i="25" s="1"/>
  <c r="V168" i="25" s="1"/>
  <c r="U136" i="25"/>
  <c r="T136" i="25" s="1"/>
  <c r="S136" i="25" s="1"/>
  <c r="R136" i="25" s="1"/>
  <c r="P136" i="25" s="1"/>
  <c r="V136" i="25" s="1"/>
  <c r="U104" i="25"/>
  <c r="T104" i="25" s="1"/>
  <c r="S104" i="25" s="1"/>
  <c r="R104" i="25" s="1"/>
  <c r="P104" i="25" s="1"/>
  <c r="V104" i="25" s="1"/>
  <c r="U72" i="25"/>
  <c r="T72" i="25" s="1"/>
  <c r="S72" i="25" s="1"/>
  <c r="R72" i="25" s="1"/>
  <c r="P72" i="25" s="1"/>
  <c r="V72" i="25" s="1"/>
  <c r="U40" i="25"/>
  <c r="T40" i="25" s="1"/>
  <c r="S40" i="25" s="1"/>
  <c r="R40" i="25" s="1"/>
  <c r="P40" i="25" s="1"/>
  <c r="V40" i="25" s="1"/>
  <c r="V60" i="25"/>
  <c r="V272" i="25"/>
  <c r="S381" i="24"/>
  <c r="S383" i="24"/>
  <c r="S382" i="24"/>
  <c r="R15" i="24"/>
  <c r="AG381" i="24"/>
  <c r="AF15" i="24"/>
  <c r="AG383" i="24"/>
  <c r="AG382" i="24"/>
  <c r="V18" i="23"/>
  <c r="P381" i="23"/>
  <c r="P383" i="23"/>
  <c r="P382" i="23"/>
  <c r="AI365" i="25"/>
  <c r="AH365" i="25" s="1"/>
  <c r="AG365" i="25" s="1"/>
  <c r="AF365" i="25" s="1"/>
  <c r="AD365" i="25" s="1"/>
  <c r="AI325" i="25"/>
  <c r="AH325" i="25" s="1"/>
  <c r="AG325" i="25" s="1"/>
  <c r="AF325" i="25" s="1"/>
  <c r="AD325" i="25" s="1"/>
  <c r="AI293" i="25"/>
  <c r="AH293" i="25" s="1"/>
  <c r="AG293" i="25" s="1"/>
  <c r="AF293" i="25" s="1"/>
  <c r="AD293" i="25" s="1"/>
  <c r="AI269" i="25"/>
  <c r="AH269" i="25" s="1"/>
  <c r="AG269" i="25" s="1"/>
  <c r="AF269" i="25" s="1"/>
  <c r="AD269" i="25" s="1"/>
  <c r="AI237" i="25"/>
  <c r="AH237" i="25" s="1"/>
  <c r="AG237" i="25" s="1"/>
  <c r="AF237" i="25" s="1"/>
  <c r="AD237" i="25" s="1"/>
  <c r="AI197" i="25"/>
  <c r="AH197" i="25" s="1"/>
  <c r="AG197" i="25" s="1"/>
  <c r="AF197" i="25" s="1"/>
  <c r="AD197" i="25" s="1"/>
  <c r="AI165" i="25"/>
  <c r="AH165" i="25" s="1"/>
  <c r="AG165" i="25" s="1"/>
  <c r="AF165" i="25" s="1"/>
  <c r="AD165" i="25" s="1"/>
  <c r="AI117" i="25"/>
  <c r="AH117" i="25" s="1"/>
  <c r="AG117" i="25" s="1"/>
  <c r="AF117" i="25" s="1"/>
  <c r="AD117" i="25" s="1"/>
  <c r="AI29" i="25"/>
  <c r="AH29" i="25" s="1"/>
  <c r="AG29" i="25" s="1"/>
  <c r="AF29" i="25" s="1"/>
  <c r="AD29" i="25" s="1"/>
  <c r="AI369" i="25"/>
  <c r="AH369" i="25" s="1"/>
  <c r="AG369" i="25" s="1"/>
  <c r="AF369" i="25" s="1"/>
  <c r="AD369" i="25" s="1"/>
  <c r="AI353" i="25"/>
  <c r="AH353" i="25" s="1"/>
  <c r="AG353" i="25" s="1"/>
  <c r="AF353" i="25" s="1"/>
  <c r="AD353" i="25" s="1"/>
  <c r="AI337" i="25"/>
  <c r="AH337" i="25" s="1"/>
  <c r="AG337" i="25" s="1"/>
  <c r="AF337" i="25" s="1"/>
  <c r="AD337" i="25" s="1"/>
  <c r="AI321" i="25"/>
  <c r="AH321" i="25" s="1"/>
  <c r="AG321" i="25" s="1"/>
  <c r="AF321" i="25" s="1"/>
  <c r="AD321" i="25" s="1"/>
  <c r="AI305" i="25"/>
  <c r="AH305" i="25" s="1"/>
  <c r="AG305" i="25" s="1"/>
  <c r="AF305" i="25" s="1"/>
  <c r="AD305" i="25" s="1"/>
  <c r="AI289" i="25"/>
  <c r="AH289" i="25" s="1"/>
  <c r="AG289" i="25" s="1"/>
  <c r="AF289" i="25" s="1"/>
  <c r="AD289" i="25" s="1"/>
  <c r="AI273" i="25"/>
  <c r="AH273" i="25" s="1"/>
  <c r="AG273" i="25" s="1"/>
  <c r="AF273" i="25" s="1"/>
  <c r="AD273" i="25" s="1"/>
  <c r="AI257" i="25"/>
  <c r="AH257" i="25" s="1"/>
  <c r="AG257" i="25" s="1"/>
  <c r="AF257" i="25" s="1"/>
  <c r="AD257" i="25" s="1"/>
  <c r="AI241" i="25"/>
  <c r="AH241" i="25" s="1"/>
  <c r="AG241" i="25" s="1"/>
  <c r="AF241" i="25" s="1"/>
  <c r="AD241" i="25" s="1"/>
  <c r="AI225" i="25"/>
  <c r="AH225" i="25" s="1"/>
  <c r="AG225" i="25" s="1"/>
  <c r="AF225" i="25" s="1"/>
  <c r="AD225" i="25" s="1"/>
  <c r="AI209" i="25"/>
  <c r="AH209" i="25" s="1"/>
  <c r="AG209" i="25" s="1"/>
  <c r="AF209" i="25" s="1"/>
  <c r="AD209" i="25" s="1"/>
  <c r="AI193" i="25"/>
  <c r="AH193" i="25" s="1"/>
  <c r="AG193" i="25" s="1"/>
  <c r="AF193" i="25" s="1"/>
  <c r="AD193" i="25" s="1"/>
  <c r="AI177" i="25"/>
  <c r="AH177" i="25" s="1"/>
  <c r="AG177" i="25" s="1"/>
  <c r="AF177" i="25" s="1"/>
  <c r="AD177" i="25" s="1"/>
  <c r="AI161" i="25"/>
  <c r="AH161" i="25" s="1"/>
  <c r="AG161" i="25" s="1"/>
  <c r="AF161" i="25" s="1"/>
  <c r="AD161" i="25" s="1"/>
  <c r="AI141" i="25"/>
  <c r="AH141" i="25" s="1"/>
  <c r="AG141" i="25" s="1"/>
  <c r="AF141" i="25" s="1"/>
  <c r="AD141" i="25" s="1"/>
  <c r="AI109" i="25"/>
  <c r="AH109" i="25" s="1"/>
  <c r="AG109" i="25" s="1"/>
  <c r="AF109" i="25" s="1"/>
  <c r="AD109" i="25" s="1"/>
  <c r="AI77" i="25"/>
  <c r="AH77" i="25" s="1"/>
  <c r="AG77" i="25" s="1"/>
  <c r="AF77" i="25" s="1"/>
  <c r="AD77" i="25" s="1"/>
  <c r="AI373" i="25"/>
  <c r="AH373" i="25" s="1"/>
  <c r="AG373" i="25" s="1"/>
  <c r="AF373" i="25" s="1"/>
  <c r="AD373" i="25" s="1"/>
  <c r="AI341" i="25"/>
  <c r="AH341" i="25" s="1"/>
  <c r="AG341" i="25" s="1"/>
  <c r="AF341" i="25" s="1"/>
  <c r="AD341" i="25" s="1"/>
  <c r="AI317" i="25"/>
  <c r="AH317" i="25" s="1"/>
  <c r="AG317" i="25" s="1"/>
  <c r="AF317" i="25" s="1"/>
  <c r="AD317" i="25" s="1"/>
  <c r="AI285" i="25"/>
  <c r="AH285" i="25" s="1"/>
  <c r="AG285" i="25" s="1"/>
  <c r="AF285" i="25" s="1"/>
  <c r="AD285" i="25" s="1"/>
  <c r="AI245" i="25"/>
  <c r="AH245" i="25" s="1"/>
  <c r="AG245" i="25" s="1"/>
  <c r="AF245" i="25" s="1"/>
  <c r="AD245" i="25" s="1"/>
  <c r="AI213" i="25"/>
  <c r="AH213" i="25" s="1"/>
  <c r="AG213" i="25" s="1"/>
  <c r="AF213" i="25" s="1"/>
  <c r="AD213" i="25" s="1"/>
  <c r="AI189" i="25"/>
  <c r="AH189" i="25" s="1"/>
  <c r="AG189" i="25" s="1"/>
  <c r="AF189" i="25" s="1"/>
  <c r="AD189" i="25" s="1"/>
  <c r="AI157" i="25"/>
  <c r="AH157" i="25" s="1"/>
  <c r="AG157" i="25" s="1"/>
  <c r="AF157" i="25" s="1"/>
  <c r="AD157" i="25" s="1"/>
  <c r="AD381" i="23"/>
  <c r="AD382" i="23"/>
  <c r="AD383" i="23"/>
  <c r="BG16" i="7"/>
  <c r="U377" i="25"/>
  <c r="T377" i="25" s="1"/>
  <c r="S377" i="25" s="1"/>
  <c r="R377" i="25" s="1"/>
  <c r="P377" i="25" s="1"/>
  <c r="V377" i="25" s="1"/>
  <c r="U373" i="25"/>
  <c r="T373" i="25" s="1"/>
  <c r="S373" i="25" s="1"/>
  <c r="R373" i="25" s="1"/>
  <c r="P373" i="25" s="1"/>
  <c r="V373" i="25" s="1"/>
  <c r="U369" i="25"/>
  <c r="T369" i="25" s="1"/>
  <c r="S369" i="25" s="1"/>
  <c r="R369" i="25" s="1"/>
  <c r="P369" i="25" s="1"/>
  <c r="V369" i="25" s="1"/>
  <c r="U365" i="25"/>
  <c r="T365" i="25" s="1"/>
  <c r="S365" i="25" s="1"/>
  <c r="R365" i="25" s="1"/>
  <c r="P365" i="25" s="1"/>
  <c r="V365" i="25" s="1"/>
  <c r="U361" i="25"/>
  <c r="T361" i="25" s="1"/>
  <c r="S361" i="25" s="1"/>
  <c r="R361" i="25" s="1"/>
  <c r="P361" i="25" s="1"/>
  <c r="V361" i="25" s="1"/>
  <c r="U357" i="25"/>
  <c r="T357" i="25" s="1"/>
  <c r="S357" i="25" s="1"/>
  <c r="R357" i="25" s="1"/>
  <c r="P357" i="25" s="1"/>
  <c r="V357" i="25" s="1"/>
  <c r="U353" i="25"/>
  <c r="T353" i="25" s="1"/>
  <c r="S353" i="25" s="1"/>
  <c r="R353" i="25" s="1"/>
  <c r="P353" i="25" s="1"/>
  <c r="V353" i="25" s="1"/>
  <c r="U349" i="25"/>
  <c r="T349" i="25" s="1"/>
  <c r="S349" i="25" s="1"/>
  <c r="R349" i="25" s="1"/>
  <c r="P349" i="25" s="1"/>
  <c r="V349" i="25" s="1"/>
  <c r="U345" i="25"/>
  <c r="T345" i="25" s="1"/>
  <c r="S345" i="25" s="1"/>
  <c r="R345" i="25" s="1"/>
  <c r="P345" i="25" s="1"/>
  <c r="V345" i="25" s="1"/>
  <c r="U341" i="25"/>
  <c r="T341" i="25" s="1"/>
  <c r="S341" i="25" s="1"/>
  <c r="R341" i="25" s="1"/>
  <c r="P341" i="25" s="1"/>
  <c r="V341" i="25" s="1"/>
  <c r="U337" i="25"/>
  <c r="T337" i="25" s="1"/>
  <c r="S337" i="25" s="1"/>
  <c r="R337" i="25" s="1"/>
  <c r="P337" i="25" s="1"/>
  <c r="V337" i="25" s="1"/>
  <c r="U333" i="25"/>
  <c r="T333" i="25" s="1"/>
  <c r="S333" i="25" s="1"/>
  <c r="R333" i="25" s="1"/>
  <c r="P333" i="25" s="1"/>
  <c r="U329" i="25"/>
  <c r="T329" i="25" s="1"/>
  <c r="S329" i="25" s="1"/>
  <c r="R329" i="25" s="1"/>
  <c r="P329" i="25" s="1"/>
  <c r="V329" i="25" s="1"/>
  <c r="U325" i="25"/>
  <c r="T325" i="25" s="1"/>
  <c r="S325" i="25" s="1"/>
  <c r="R325" i="25" s="1"/>
  <c r="P325" i="25" s="1"/>
  <c r="V325" i="25" s="1"/>
  <c r="U321" i="25"/>
  <c r="T321" i="25" s="1"/>
  <c r="S321" i="25" s="1"/>
  <c r="R321" i="25" s="1"/>
  <c r="P321" i="25" s="1"/>
  <c r="V321" i="25" s="1"/>
  <c r="U317" i="25"/>
  <c r="T317" i="25" s="1"/>
  <c r="S317" i="25" s="1"/>
  <c r="R317" i="25" s="1"/>
  <c r="P317" i="25" s="1"/>
  <c r="V317" i="25" s="1"/>
  <c r="U313" i="25"/>
  <c r="T313" i="25" s="1"/>
  <c r="S313" i="25" s="1"/>
  <c r="R313" i="25" s="1"/>
  <c r="P313" i="25" s="1"/>
  <c r="V313" i="25" s="1"/>
  <c r="U309" i="25"/>
  <c r="T309" i="25" s="1"/>
  <c r="S309" i="25" s="1"/>
  <c r="R309" i="25" s="1"/>
  <c r="P309" i="25" s="1"/>
  <c r="V309" i="25" s="1"/>
  <c r="U305" i="25"/>
  <c r="T305" i="25" s="1"/>
  <c r="S305" i="25" s="1"/>
  <c r="R305" i="25" s="1"/>
  <c r="P305" i="25" s="1"/>
  <c r="V305" i="25" s="1"/>
  <c r="U301" i="25"/>
  <c r="T301" i="25" s="1"/>
  <c r="S301" i="25" s="1"/>
  <c r="R301" i="25" s="1"/>
  <c r="P301" i="25" s="1"/>
  <c r="V301" i="25" s="1"/>
  <c r="U297" i="25"/>
  <c r="T297" i="25" s="1"/>
  <c r="S297" i="25" s="1"/>
  <c r="R297" i="25" s="1"/>
  <c r="P297" i="25" s="1"/>
  <c r="V297" i="25" s="1"/>
  <c r="U293" i="25"/>
  <c r="T293" i="25" s="1"/>
  <c r="S293" i="25" s="1"/>
  <c r="R293" i="25" s="1"/>
  <c r="P293" i="25" s="1"/>
  <c r="V293" i="25" s="1"/>
  <c r="U289" i="25"/>
  <c r="T289" i="25" s="1"/>
  <c r="S289" i="25" s="1"/>
  <c r="R289" i="25" s="1"/>
  <c r="P289" i="25" s="1"/>
  <c r="V289" i="25" s="1"/>
  <c r="U285" i="25"/>
  <c r="T285" i="25" s="1"/>
  <c r="S285" i="25" s="1"/>
  <c r="R285" i="25" s="1"/>
  <c r="P285" i="25" s="1"/>
  <c r="V285" i="25" s="1"/>
  <c r="U281" i="25"/>
  <c r="T281" i="25" s="1"/>
  <c r="S281" i="25" s="1"/>
  <c r="R281" i="25" s="1"/>
  <c r="P281" i="25" s="1"/>
  <c r="V281" i="25" s="1"/>
  <c r="U277" i="25"/>
  <c r="T277" i="25" s="1"/>
  <c r="S277" i="25" s="1"/>
  <c r="R277" i="25" s="1"/>
  <c r="P277" i="25" s="1"/>
  <c r="V277" i="25" s="1"/>
  <c r="U273" i="25"/>
  <c r="T273" i="25" s="1"/>
  <c r="S273" i="25" s="1"/>
  <c r="R273" i="25" s="1"/>
  <c r="P273" i="25" s="1"/>
  <c r="V273" i="25" s="1"/>
  <c r="U269" i="25"/>
  <c r="T269" i="25" s="1"/>
  <c r="S269" i="25" s="1"/>
  <c r="R269" i="25" s="1"/>
  <c r="P269" i="25" s="1"/>
  <c r="V269" i="25" s="1"/>
  <c r="U265" i="25"/>
  <c r="T265" i="25" s="1"/>
  <c r="S265" i="25" s="1"/>
  <c r="R265" i="25" s="1"/>
  <c r="P265" i="25" s="1"/>
  <c r="V265" i="25" s="1"/>
  <c r="U261" i="25"/>
  <c r="T261" i="25" s="1"/>
  <c r="S261" i="25" s="1"/>
  <c r="R261" i="25" s="1"/>
  <c r="P261" i="25" s="1"/>
  <c r="V261" i="25" s="1"/>
  <c r="U257" i="25"/>
  <c r="T257" i="25" s="1"/>
  <c r="S257" i="25" s="1"/>
  <c r="R257" i="25" s="1"/>
  <c r="P257" i="25" s="1"/>
  <c r="V257" i="25" s="1"/>
  <c r="U253" i="25"/>
  <c r="T253" i="25" s="1"/>
  <c r="S253" i="25" s="1"/>
  <c r="R253" i="25" s="1"/>
  <c r="P253" i="25" s="1"/>
  <c r="V253" i="25" s="1"/>
  <c r="U249" i="25"/>
  <c r="T249" i="25" s="1"/>
  <c r="S249" i="25" s="1"/>
  <c r="R249" i="25" s="1"/>
  <c r="P249" i="25" s="1"/>
  <c r="V249" i="25" s="1"/>
  <c r="U245" i="25"/>
  <c r="T245" i="25" s="1"/>
  <c r="S245" i="25" s="1"/>
  <c r="R245" i="25" s="1"/>
  <c r="P245" i="25" s="1"/>
  <c r="V245" i="25" s="1"/>
  <c r="U241" i="25"/>
  <c r="T241" i="25" s="1"/>
  <c r="S241" i="25" s="1"/>
  <c r="R241" i="25" s="1"/>
  <c r="P241" i="25" s="1"/>
  <c r="U237" i="25"/>
  <c r="T237" i="25" s="1"/>
  <c r="S237" i="25" s="1"/>
  <c r="R237" i="25" s="1"/>
  <c r="P237" i="25" s="1"/>
  <c r="V237" i="25" s="1"/>
  <c r="U233" i="25"/>
  <c r="T233" i="25" s="1"/>
  <c r="S233" i="25" s="1"/>
  <c r="R233" i="25" s="1"/>
  <c r="P233" i="25" s="1"/>
  <c r="V233" i="25" s="1"/>
  <c r="U229" i="25"/>
  <c r="T229" i="25" s="1"/>
  <c r="S229" i="25" s="1"/>
  <c r="R229" i="25" s="1"/>
  <c r="P229" i="25" s="1"/>
  <c r="V229" i="25" s="1"/>
  <c r="U225" i="25"/>
  <c r="T225" i="25" s="1"/>
  <c r="S225" i="25" s="1"/>
  <c r="R225" i="25" s="1"/>
  <c r="P225" i="25" s="1"/>
  <c r="V225" i="25" s="1"/>
  <c r="U221" i="25"/>
  <c r="T221" i="25" s="1"/>
  <c r="S221" i="25" s="1"/>
  <c r="R221" i="25" s="1"/>
  <c r="P221" i="25" s="1"/>
  <c r="V221" i="25" s="1"/>
  <c r="U217" i="25"/>
  <c r="T217" i="25" s="1"/>
  <c r="S217" i="25" s="1"/>
  <c r="R217" i="25" s="1"/>
  <c r="P217" i="25" s="1"/>
  <c r="V217" i="25" s="1"/>
  <c r="U213" i="25"/>
  <c r="T213" i="25" s="1"/>
  <c r="S213" i="25" s="1"/>
  <c r="R213" i="25" s="1"/>
  <c r="P213" i="25" s="1"/>
  <c r="V213" i="25" s="1"/>
  <c r="U209" i="25"/>
  <c r="T209" i="25" s="1"/>
  <c r="S209" i="25" s="1"/>
  <c r="R209" i="25" s="1"/>
  <c r="P209" i="25" s="1"/>
  <c r="V209" i="25" s="1"/>
  <c r="U205" i="25"/>
  <c r="T205" i="25" s="1"/>
  <c r="S205" i="25" s="1"/>
  <c r="R205" i="25" s="1"/>
  <c r="P205" i="25" s="1"/>
  <c r="V205" i="25" s="1"/>
  <c r="U201" i="25"/>
  <c r="T201" i="25" s="1"/>
  <c r="S201" i="25" s="1"/>
  <c r="R201" i="25" s="1"/>
  <c r="P201" i="25" s="1"/>
  <c r="V201" i="25" s="1"/>
  <c r="U197" i="25"/>
  <c r="T197" i="25" s="1"/>
  <c r="S197" i="25" s="1"/>
  <c r="R197" i="25" s="1"/>
  <c r="P197" i="25" s="1"/>
  <c r="V197" i="25" s="1"/>
  <c r="U193" i="25"/>
  <c r="T193" i="25" s="1"/>
  <c r="S193" i="25" s="1"/>
  <c r="R193" i="25" s="1"/>
  <c r="P193" i="25" s="1"/>
  <c r="V193" i="25" s="1"/>
  <c r="U189" i="25"/>
  <c r="T189" i="25" s="1"/>
  <c r="S189" i="25" s="1"/>
  <c r="R189" i="25" s="1"/>
  <c r="P189" i="25" s="1"/>
  <c r="V189" i="25" s="1"/>
  <c r="U185" i="25"/>
  <c r="T185" i="25" s="1"/>
  <c r="S185" i="25" s="1"/>
  <c r="R185" i="25" s="1"/>
  <c r="P185" i="25" s="1"/>
  <c r="V185" i="25" s="1"/>
  <c r="U181" i="25"/>
  <c r="T181" i="25" s="1"/>
  <c r="S181" i="25" s="1"/>
  <c r="R181" i="25" s="1"/>
  <c r="P181" i="25" s="1"/>
  <c r="V181" i="25" s="1"/>
  <c r="U177" i="25"/>
  <c r="T177" i="25" s="1"/>
  <c r="S177" i="25" s="1"/>
  <c r="R177" i="25" s="1"/>
  <c r="P177" i="25" s="1"/>
  <c r="V177" i="25" s="1"/>
  <c r="U173" i="25"/>
  <c r="T173" i="25" s="1"/>
  <c r="S173" i="25" s="1"/>
  <c r="R173" i="25" s="1"/>
  <c r="P173" i="25" s="1"/>
  <c r="V173" i="25" s="1"/>
  <c r="U169" i="25"/>
  <c r="T169" i="25" s="1"/>
  <c r="S169" i="25" s="1"/>
  <c r="R169" i="25" s="1"/>
  <c r="P169" i="25" s="1"/>
  <c r="V169" i="25" s="1"/>
  <c r="U165" i="25"/>
  <c r="T165" i="25" s="1"/>
  <c r="S165" i="25" s="1"/>
  <c r="R165" i="25" s="1"/>
  <c r="P165" i="25" s="1"/>
  <c r="V165" i="25" s="1"/>
  <c r="U161" i="25"/>
  <c r="T161" i="25" s="1"/>
  <c r="S161" i="25" s="1"/>
  <c r="R161" i="25" s="1"/>
  <c r="P161" i="25" s="1"/>
  <c r="V161" i="25" s="1"/>
  <c r="U157" i="25"/>
  <c r="T157" i="25" s="1"/>
  <c r="S157" i="25" s="1"/>
  <c r="R157" i="25" s="1"/>
  <c r="P157" i="25" s="1"/>
  <c r="V157" i="25" s="1"/>
  <c r="U153" i="25"/>
  <c r="T153" i="25" s="1"/>
  <c r="S153" i="25" s="1"/>
  <c r="R153" i="25" s="1"/>
  <c r="P153" i="25" s="1"/>
  <c r="V153" i="25" s="1"/>
  <c r="U149" i="25"/>
  <c r="T149" i="25" s="1"/>
  <c r="S149" i="25" s="1"/>
  <c r="R149" i="25" s="1"/>
  <c r="P149" i="25" s="1"/>
  <c r="U145" i="25"/>
  <c r="T145" i="25" s="1"/>
  <c r="S145" i="25" s="1"/>
  <c r="R145" i="25" s="1"/>
  <c r="P145" i="25" s="1"/>
  <c r="V145" i="25" s="1"/>
  <c r="U141" i="25"/>
  <c r="T141" i="25" s="1"/>
  <c r="S141" i="25" s="1"/>
  <c r="R141" i="25" s="1"/>
  <c r="P141" i="25" s="1"/>
  <c r="V141" i="25" s="1"/>
  <c r="U137" i="25"/>
  <c r="T137" i="25" s="1"/>
  <c r="S137" i="25" s="1"/>
  <c r="R137" i="25" s="1"/>
  <c r="P137" i="25" s="1"/>
  <c r="V137" i="25" s="1"/>
  <c r="U133" i="25"/>
  <c r="T133" i="25" s="1"/>
  <c r="S133" i="25" s="1"/>
  <c r="R133" i="25" s="1"/>
  <c r="P133" i="25" s="1"/>
  <c r="V133" i="25" s="1"/>
  <c r="U129" i="25"/>
  <c r="T129" i="25" s="1"/>
  <c r="S129" i="25" s="1"/>
  <c r="R129" i="25" s="1"/>
  <c r="P129" i="25" s="1"/>
  <c r="V129" i="25" s="1"/>
  <c r="U125" i="25"/>
  <c r="T125" i="25" s="1"/>
  <c r="S125" i="25" s="1"/>
  <c r="R125" i="25" s="1"/>
  <c r="P125" i="25" s="1"/>
  <c r="V125" i="25" s="1"/>
  <c r="U121" i="25"/>
  <c r="T121" i="25" s="1"/>
  <c r="S121" i="25" s="1"/>
  <c r="R121" i="25" s="1"/>
  <c r="P121" i="25" s="1"/>
  <c r="V121" i="25" s="1"/>
  <c r="U117" i="25"/>
  <c r="T117" i="25" s="1"/>
  <c r="S117" i="25" s="1"/>
  <c r="R117" i="25" s="1"/>
  <c r="P117" i="25" s="1"/>
  <c r="V117" i="25" s="1"/>
  <c r="U113" i="25"/>
  <c r="T113" i="25" s="1"/>
  <c r="S113" i="25" s="1"/>
  <c r="R113" i="25" s="1"/>
  <c r="P113" i="25" s="1"/>
  <c r="V113" i="25" s="1"/>
  <c r="U109" i="25"/>
  <c r="T109" i="25" s="1"/>
  <c r="S109" i="25" s="1"/>
  <c r="R109" i="25" s="1"/>
  <c r="P109" i="25" s="1"/>
  <c r="V109" i="25" s="1"/>
  <c r="U105" i="25"/>
  <c r="T105" i="25" s="1"/>
  <c r="S105" i="25" s="1"/>
  <c r="R105" i="25" s="1"/>
  <c r="P105" i="25" s="1"/>
  <c r="V105" i="25" s="1"/>
  <c r="U101" i="25"/>
  <c r="T101" i="25" s="1"/>
  <c r="S101" i="25" s="1"/>
  <c r="R101" i="25" s="1"/>
  <c r="P101" i="25" s="1"/>
  <c r="V101" i="25" s="1"/>
  <c r="U97" i="25"/>
  <c r="T97" i="25" s="1"/>
  <c r="S97" i="25" s="1"/>
  <c r="R97" i="25" s="1"/>
  <c r="P97" i="25" s="1"/>
  <c r="V97" i="25" s="1"/>
  <c r="U93" i="25"/>
  <c r="T93" i="25" s="1"/>
  <c r="S93" i="25" s="1"/>
  <c r="R93" i="25" s="1"/>
  <c r="P93" i="25" s="1"/>
  <c r="V93" i="25" s="1"/>
  <c r="U89" i="25"/>
  <c r="T89" i="25" s="1"/>
  <c r="S89" i="25" s="1"/>
  <c r="R89" i="25" s="1"/>
  <c r="P89" i="25" s="1"/>
  <c r="V89" i="25" s="1"/>
  <c r="U85" i="25"/>
  <c r="T85" i="25" s="1"/>
  <c r="S85" i="25" s="1"/>
  <c r="R85" i="25" s="1"/>
  <c r="P85" i="25" s="1"/>
  <c r="V85" i="25" s="1"/>
  <c r="U81" i="25"/>
  <c r="T81" i="25" s="1"/>
  <c r="S81" i="25" s="1"/>
  <c r="R81" i="25" s="1"/>
  <c r="P81" i="25" s="1"/>
  <c r="V81" i="25" s="1"/>
  <c r="U77" i="25"/>
  <c r="T77" i="25" s="1"/>
  <c r="S77" i="25" s="1"/>
  <c r="R77" i="25" s="1"/>
  <c r="P77" i="25" s="1"/>
  <c r="V77" i="25" s="1"/>
  <c r="U73" i="25"/>
  <c r="T73" i="25" s="1"/>
  <c r="S73" i="25" s="1"/>
  <c r="R73" i="25" s="1"/>
  <c r="P73" i="25" s="1"/>
  <c r="V73" i="25" s="1"/>
  <c r="U69" i="25"/>
  <c r="T69" i="25" s="1"/>
  <c r="S69" i="25" s="1"/>
  <c r="R69" i="25" s="1"/>
  <c r="P69" i="25" s="1"/>
  <c r="V69" i="25" s="1"/>
  <c r="U65" i="25"/>
  <c r="T65" i="25" s="1"/>
  <c r="S65" i="25" s="1"/>
  <c r="R65" i="25" s="1"/>
  <c r="P65" i="25" s="1"/>
  <c r="V65" i="25" s="1"/>
  <c r="U61" i="25"/>
  <c r="T61" i="25" s="1"/>
  <c r="S61" i="25" s="1"/>
  <c r="R61" i="25" s="1"/>
  <c r="P61" i="25" s="1"/>
  <c r="V61" i="25" s="1"/>
  <c r="U57" i="25"/>
  <c r="T57" i="25" s="1"/>
  <c r="S57" i="25" s="1"/>
  <c r="R57" i="25" s="1"/>
  <c r="P57" i="25" s="1"/>
  <c r="V57" i="25" s="1"/>
  <c r="U53" i="25"/>
  <c r="T53" i="25" s="1"/>
  <c r="S53" i="25" s="1"/>
  <c r="R53" i="25" s="1"/>
  <c r="P53" i="25" s="1"/>
  <c r="V53" i="25" s="1"/>
  <c r="U49" i="25"/>
  <c r="T49" i="25" s="1"/>
  <c r="S49" i="25" s="1"/>
  <c r="R49" i="25" s="1"/>
  <c r="P49" i="25" s="1"/>
  <c r="V49" i="25" s="1"/>
  <c r="U45" i="25"/>
  <c r="T45" i="25" s="1"/>
  <c r="S45" i="25" s="1"/>
  <c r="R45" i="25" s="1"/>
  <c r="P45" i="25" s="1"/>
  <c r="V45" i="25" s="1"/>
  <c r="U41" i="25"/>
  <c r="T41" i="25" s="1"/>
  <c r="S41" i="25" s="1"/>
  <c r="R41" i="25" s="1"/>
  <c r="P41" i="25" s="1"/>
  <c r="V41" i="25" s="1"/>
  <c r="U37" i="25"/>
  <c r="T37" i="25" s="1"/>
  <c r="S37" i="25" s="1"/>
  <c r="R37" i="25" s="1"/>
  <c r="P37" i="25" s="1"/>
  <c r="V37" i="25" s="1"/>
  <c r="U33" i="25"/>
  <c r="T33" i="25" s="1"/>
  <c r="S33" i="25" s="1"/>
  <c r="R33" i="25" s="1"/>
  <c r="P33" i="25" s="1"/>
  <c r="V33" i="25" s="1"/>
  <c r="U29" i="25"/>
  <c r="T29" i="25" s="1"/>
  <c r="S29" i="25" s="1"/>
  <c r="R29" i="25" s="1"/>
  <c r="P29" i="25" s="1"/>
  <c r="U25" i="25"/>
  <c r="T25" i="25" s="1"/>
  <c r="S25" i="25" s="1"/>
  <c r="R25" i="25" s="1"/>
  <c r="P25" i="25" s="1"/>
  <c r="V25" i="25" s="1"/>
  <c r="U26" i="25"/>
  <c r="T26" i="25" s="1"/>
  <c r="S26" i="25" s="1"/>
  <c r="R26" i="25" s="1"/>
  <c r="P26" i="25" s="1"/>
  <c r="V26" i="25" s="1"/>
  <c r="U19" i="25"/>
  <c r="AI375" i="25"/>
  <c r="AH375" i="25" s="1"/>
  <c r="AG375" i="25" s="1"/>
  <c r="AF375" i="25" s="1"/>
  <c r="AD375" i="25" s="1"/>
  <c r="AI367" i="25"/>
  <c r="AH367" i="25" s="1"/>
  <c r="AG367" i="25" s="1"/>
  <c r="AF367" i="25" s="1"/>
  <c r="AD367" i="25" s="1"/>
  <c r="AI359" i="25"/>
  <c r="AH359" i="25" s="1"/>
  <c r="AG359" i="25" s="1"/>
  <c r="AF359" i="25" s="1"/>
  <c r="AD359" i="25" s="1"/>
  <c r="AI351" i="25"/>
  <c r="AH351" i="25" s="1"/>
  <c r="AG351" i="25" s="1"/>
  <c r="AF351" i="25" s="1"/>
  <c r="AD351" i="25" s="1"/>
  <c r="AI343" i="25"/>
  <c r="AH343" i="25" s="1"/>
  <c r="AG343" i="25" s="1"/>
  <c r="AF343" i="25" s="1"/>
  <c r="AD343" i="25" s="1"/>
  <c r="AI335" i="25"/>
  <c r="AH335" i="25" s="1"/>
  <c r="AG335" i="25" s="1"/>
  <c r="AF335" i="25" s="1"/>
  <c r="AD335" i="25" s="1"/>
  <c r="AI327" i="25"/>
  <c r="AH327" i="25" s="1"/>
  <c r="AG327" i="25" s="1"/>
  <c r="AF327" i="25" s="1"/>
  <c r="AD327" i="25" s="1"/>
  <c r="AI319" i="25"/>
  <c r="AH319" i="25" s="1"/>
  <c r="AG319" i="25" s="1"/>
  <c r="AF319" i="25" s="1"/>
  <c r="AD319" i="25" s="1"/>
  <c r="AI311" i="25"/>
  <c r="AH311" i="25" s="1"/>
  <c r="AG311" i="25" s="1"/>
  <c r="AF311" i="25" s="1"/>
  <c r="AD311" i="25" s="1"/>
  <c r="AI303" i="25"/>
  <c r="AH303" i="25" s="1"/>
  <c r="AG303" i="25" s="1"/>
  <c r="AF303" i="25" s="1"/>
  <c r="AD303" i="25" s="1"/>
  <c r="AI295" i="25"/>
  <c r="AH295" i="25" s="1"/>
  <c r="AG295" i="25" s="1"/>
  <c r="AF295" i="25" s="1"/>
  <c r="AD295" i="25" s="1"/>
  <c r="AI287" i="25"/>
  <c r="AH287" i="25" s="1"/>
  <c r="AG287" i="25" s="1"/>
  <c r="AF287" i="25" s="1"/>
  <c r="AD287" i="25" s="1"/>
  <c r="AI279" i="25"/>
  <c r="AH279" i="25" s="1"/>
  <c r="AG279" i="25" s="1"/>
  <c r="AF279" i="25" s="1"/>
  <c r="AD279" i="25" s="1"/>
  <c r="AI271" i="25"/>
  <c r="AH271" i="25" s="1"/>
  <c r="AG271" i="25" s="1"/>
  <c r="AF271" i="25" s="1"/>
  <c r="AD271" i="25" s="1"/>
  <c r="AI263" i="25"/>
  <c r="AH263" i="25" s="1"/>
  <c r="AG263" i="25" s="1"/>
  <c r="AF263" i="25" s="1"/>
  <c r="AD263" i="25" s="1"/>
  <c r="AI255" i="25"/>
  <c r="AH255" i="25" s="1"/>
  <c r="AG255" i="25" s="1"/>
  <c r="AF255" i="25" s="1"/>
  <c r="AD255" i="25" s="1"/>
  <c r="AI247" i="25"/>
  <c r="AH247" i="25" s="1"/>
  <c r="AG247" i="25" s="1"/>
  <c r="AF247" i="25" s="1"/>
  <c r="AD247" i="25" s="1"/>
  <c r="AI239" i="25"/>
  <c r="AH239" i="25" s="1"/>
  <c r="AG239" i="25" s="1"/>
  <c r="AF239" i="25" s="1"/>
  <c r="AD239" i="25" s="1"/>
  <c r="AI231" i="25"/>
  <c r="AH231" i="25" s="1"/>
  <c r="AG231" i="25" s="1"/>
  <c r="AF231" i="25" s="1"/>
  <c r="AD231" i="25" s="1"/>
  <c r="AI223" i="25"/>
  <c r="AH223" i="25" s="1"/>
  <c r="AG223" i="25" s="1"/>
  <c r="AF223" i="25" s="1"/>
  <c r="AD223" i="25" s="1"/>
  <c r="AI215" i="25"/>
  <c r="AH215" i="25" s="1"/>
  <c r="AG215" i="25" s="1"/>
  <c r="AF215" i="25" s="1"/>
  <c r="AD215" i="25" s="1"/>
  <c r="AI207" i="25"/>
  <c r="AH207" i="25" s="1"/>
  <c r="AG207" i="25" s="1"/>
  <c r="AF207" i="25" s="1"/>
  <c r="AD207" i="25" s="1"/>
  <c r="AI199" i="25"/>
  <c r="AH199" i="25" s="1"/>
  <c r="AG199" i="25" s="1"/>
  <c r="AF199" i="25" s="1"/>
  <c r="AD199" i="25" s="1"/>
  <c r="AI191" i="25"/>
  <c r="AH191" i="25" s="1"/>
  <c r="AG191" i="25" s="1"/>
  <c r="AF191" i="25" s="1"/>
  <c r="AD191" i="25" s="1"/>
  <c r="AI183" i="25"/>
  <c r="AH183" i="25" s="1"/>
  <c r="AG183" i="25" s="1"/>
  <c r="AF183" i="25" s="1"/>
  <c r="AD183" i="25" s="1"/>
  <c r="AI175" i="25"/>
  <c r="AH175" i="25" s="1"/>
  <c r="AG175" i="25" s="1"/>
  <c r="AF175" i="25" s="1"/>
  <c r="AD175" i="25" s="1"/>
  <c r="AI167" i="25"/>
  <c r="AH167" i="25" s="1"/>
  <c r="AG167" i="25" s="1"/>
  <c r="AF167" i="25" s="1"/>
  <c r="AD167" i="25" s="1"/>
  <c r="AI159" i="25"/>
  <c r="AH159" i="25" s="1"/>
  <c r="AG159" i="25" s="1"/>
  <c r="AF159" i="25" s="1"/>
  <c r="AD159" i="25" s="1"/>
  <c r="AI151" i="25"/>
  <c r="AH151" i="25" s="1"/>
  <c r="AG151" i="25" s="1"/>
  <c r="AF151" i="25" s="1"/>
  <c r="AD151" i="25" s="1"/>
  <c r="AI137" i="25"/>
  <c r="AH137" i="25" s="1"/>
  <c r="AG137" i="25" s="1"/>
  <c r="AF137" i="25" s="1"/>
  <c r="AD137" i="25" s="1"/>
  <c r="AI121" i="25"/>
  <c r="AH121" i="25" s="1"/>
  <c r="AG121" i="25" s="1"/>
  <c r="AF121" i="25" s="1"/>
  <c r="AD121" i="25" s="1"/>
  <c r="AI105" i="25"/>
  <c r="AH105" i="25" s="1"/>
  <c r="AG105" i="25" s="1"/>
  <c r="AF105" i="25" s="1"/>
  <c r="AD105" i="25" s="1"/>
  <c r="AI89" i="25"/>
  <c r="AH89" i="25" s="1"/>
  <c r="AG89" i="25" s="1"/>
  <c r="AF89" i="25" s="1"/>
  <c r="AD89" i="25" s="1"/>
  <c r="AI69" i="25"/>
  <c r="AH69" i="25" s="1"/>
  <c r="AG69" i="25" s="1"/>
  <c r="AF69" i="25" s="1"/>
  <c r="AD69" i="25" s="1"/>
  <c r="AI37" i="25"/>
  <c r="AH37" i="25" s="1"/>
  <c r="AG37" i="25" s="1"/>
  <c r="AF37" i="25" s="1"/>
  <c r="AD37" i="25" s="1"/>
  <c r="AI147" i="25"/>
  <c r="AH147" i="25" s="1"/>
  <c r="AG147" i="25" s="1"/>
  <c r="AF147" i="25" s="1"/>
  <c r="AD147" i="25" s="1"/>
  <c r="AI139" i="25"/>
  <c r="AH139" i="25" s="1"/>
  <c r="AG139" i="25" s="1"/>
  <c r="AF139" i="25" s="1"/>
  <c r="AD139" i="25" s="1"/>
  <c r="AI131" i="25"/>
  <c r="AH131" i="25" s="1"/>
  <c r="AG131" i="25" s="1"/>
  <c r="AF131" i="25" s="1"/>
  <c r="AD131" i="25" s="1"/>
  <c r="AI123" i="25"/>
  <c r="AH123" i="25" s="1"/>
  <c r="AG123" i="25" s="1"/>
  <c r="AF123" i="25" s="1"/>
  <c r="AD123" i="25" s="1"/>
  <c r="AI115" i="25"/>
  <c r="AH115" i="25" s="1"/>
  <c r="AG115" i="25" s="1"/>
  <c r="AF115" i="25" s="1"/>
  <c r="AD115" i="25" s="1"/>
  <c r="AI107" i="25"/>
  <c r="AH107" i="25" s="1"/>
  <c r="AG107" i="25" s="1"/>
  <c r="AF107" i="25" s="1"/>
  <c r="AD107" i="25" s="1"/>
  <c r="AI99" i="25"/>
  <c r="AH99" i="25" s="1"/>
  <c r="AG99" i="25" s="1"/>
  <c r="AF99" i="25" s="1"/>
  <c r="AD99" i="25" s="1"/>
  <c r="AI91" i="25"/>
  <c r="AH91" i="25" s="1"/>
  <c r="AG91" i="25" s="1"/>
  <c r="AF91" i="25" s="1"/>
  <c r="AD91" i="25" s="1"/>
  <c r="AI83" i="25"/>
  <c r="AH83" i="25" s="1"/>
  <c r="AG83" i="25" s="1"/>
  <c r="AF83" i="25" s="1"/>
  <c r="AD83" i="25" s="1"/>
  <c r="AI73" i="25"/>
  <c r="AH73" i="25" s="1"/>
  <c r="AG73" i="25" s="1"/>
  <c r="AF73" i="25" s="1"/>
  <c r="AD73" i="25" s="1"/>
  <c r="AI57" i="25"/>
  <c r="AH57" i="25" s="1"/>
  <c r="AG57" i="25" s="1"/>
  <c r="AF57" i="25" s="1"/>
  <c r="AD57" i="25" s="1"/>
  <c r="AI41" i="25"/>
  <c r="AH41" i="25" s="1"/>
  <c r="AG41" i="25" s="1"/>
  <c r="AF41" i="25" s="1"/>
  <c r="AD41" i="25" s="1"/>
  <c r="AI22" i="25"/>
  <c r="AH22" i="25" s="1"/>
  <c r="AG22" i="25" s="1"/>
  <c r="AF22" i="25" s="1"/>
  <c r="AD22" i="25" s="1"/>
  <c r="AI75" i="25"/>
  <c r="AH75" i="25" s="1"/>
  <c r="AG75" i="25" s="1"/>
  <c r="AF75" i="25" s="1"/>
  <c r="AD75" i="25" s="1"/>
  <c r="AI67" i="25"/>
  <c r="AH67" i="25" s="1"/>
  <c r="AG67" i="25" s="1"/>
  <c r="AF67" i="25" s="1"/>
  <c r="AD67" i="25" s="1"/>
  <c r="AI59" i="25"/>
  <c r="AH59" i="25" s="1"/>
  <c r="AG59" i="25" s="1"/>
  <c r="AF59" i="25" s="1"/>
  <c r="AD59" i="25" s="1"/>
  <c r="AI51" i="25"/>
  <c r="AH51" i="25" s="1"/>
  <c r="AG51" i="25" s="1"/>
  <c r="AF51" i="25" s="1"/>
  <c r="AD51" i="25" s="1"/>
  <c r="AI43" i="25"/>
  <c r="AH43" i="25" s="1"/>
  <c r="AG43" i="25" s="1"/>
  <c r="AF43" i="25" s="1"/>
  <c r="AD43" i="25" s="1"/>
  <c r="AI35" i="25"/>
  <c r="AH35" i="25" s="1"/>
  <c r="AG35" i="25" s="1"/>
  <c r="AF35" i="25" s="1"/>
  <c r="AD35" i="25" s="1"/>
  <c r="AI20" i="25"/>
  <c r="AH20" i="25" s="1"/>
  <c r="AG20" i="25" s="1"/>
  <c r="AF20" i="25" s="1"/>
  <c r="AD20" i="25" s="1"/>
  <c r="AI24" i="25"/>
  <c r="AH24" i="25" s="1"/>
  <c r="AG24" i="25" s="1"/>
  <c r="AF24" i="25" s="1"/>
  <c r="AD24" i="25" s="1"/>
  <c r="AI378" i="25"/>
  <c r="AH378" i="25" s="1"/>
  <c r="AG378" i="25" s="1"/>
  <c r="AF378" i="25" s="1"/>
  <c r="AD378" i="25" s="1"/>
  <c r="AI374" i="25"/>
  <c r="AH374" i="25" s="1"/>
  <c r="AG374" i="25" s="1"/>
  <c r="AF374" i="25" s="1"/>
  <c r="AD374" i="25" s="1"/>
  <c r="AI370" i="25"/>
  <c r="AH370" i="25" s="1"/>
  <c r="AG370" i="25" s="1"/>
  <c r="AF370" i="25" s="1"/>
  <c r="AD370" i="25" s="1"/>
  <c r="AI366" i="25"/>
  <c r="AH366" i="25" s="1"/>
  <c r="AG366" i="25" s="1"/>
  <c r="AF366" i="25" s="1"/>
  <c r="AD366" i="25" s="1"/>
  <c r="AI362" i="25"/>
  <c r="AH362" i="25" s="1"/>
  <c r="AG362" i="25" s="1"/>
  <c r="AF362" i="25" s="1"/>
  <c r="AD362" i="25" s="1"/>
  <c r="AI358" i="25"/>
  <c r="AH358" i="25" s="1"/>
  <c r="AG358" i="25" s="1"/>
  <c r="AF358" i="25" s="1"/>
  <c r="AD358" i="25" s="1"/>
  <c r="AI354" i="25"/>
  <c r="AH354" i="25" s="1"/>
  <c r="AG354" i="25" s="1"/>
  <c r="AF354" i="25" s="1"/>
  <c r="AD354" i="25" s="1"/>
  <c r="AI350" i="25"/>
  <c r="AH350" i="25" s="1"/>
  <c r="AG350" i="25" s="1"/>
  <c r="AF350" i="25" s="1"/>
  <c r="AD350" i="25" s="1"/>
  <c r="AI346" i="25"/>
  <c r="AH346" i="25" s="1"/>
  <c r="AG346" i="25" s="1"/>
  <c r="AF346" i="25" s="1"/>
  <c r="AD346" i="25" s="1"/>
  <c r="AI342" i="25"/>
  <c r="AH342" i="25" s="1"/>
  <c r="AG342" i="25" s="1"/>
  <c r="AF342" i="25" s="1"/>
  <c r="AD342" i="25" s="1"/>
  <c r="AI338" i="25"/>
  <c r="AH338" i="25" s="1"/>
  <c r="AG338" i="25" s="1"/>
  <c r="AF338" i="25" s="1"/>
  <c r="AD338" i="25" s="1"/>
  <c r="AI334" i="25"/>
  <c r="AH334" i="25" s="1"/>
  <c r="AG334" i="25" s="1"/>
  <c r="AF334" i="25" s="1"/>
  <c r="AD334" i="25" s="1"/>
  <c r="AI330" i="25"/>
  <c r="AH330" i="25" s="1"/>
  <c r="AG330" i="25" s="1"/>
  <c r="AF330" i="25" s="1"/>
  <c r="AD330" i="25" s="1"/>
  <c r="AI326" i="25"/>
  <c r="AH326" i="25" s="1"/>
  <c r="AG326" i="25" s="1"/>
  <c r="AF326" i="25" s="1"/>
  <c r="AD326" i="25" s="1"/>
  <c r="AI322" i="25"/>
  <c r="AH322" i="25" s="1"/>
  <c r="AG322" i="25" s="1"/>
  <c r="AF322" i="25" s="1"/>
  <c r="AD322" i="25" s="1"/>
  <c r="AI318" i="25"/>
  <c r="AH318" i="25" s="1"/>
  <c r="AG318" i="25" s="1"/>
  <c r="AF318" i="25" s="1"/>
  <c r="AD318" i="25" s="1"/>
  <c r="AI314" i="25"/>
  <c r="AH314" i="25" s="1"/>
  <c r="AG314" i="25" s="1"/>
  <c r="AF314" i="25" s="1"/>
  <c r="AD314" i="25" s="1"/>
  <c r="AI310" i="25"/>
  <c r="AH310" i="25" s="1"/>
  <c r="AG310" i="25" s="1"/>
  <c r="AF310" i="25" s="1"/>
  <c r="AD310" i="25" s="1"/>
  <c r="AI306" i="25"/>
  <c r="AH306" i="25" s="1"/>
  <c r="AG306" i="25" s="1"/>
  <c r="AF306" i="25" s="1"/>
  <c r="AD306" i="25" s="1"/>
  <c r="AI302" i="25"/>
  <c r="AH302" i="25" s="1"/>
  <c r="AG302" i="25" s="1"/>
  <c r="AF302" i="25" s="1"/>
  <c r="AD302" i="25" s="1"/>
  <c r="AI298" i="25"/>
  <c r="AH298" i="25" s="1"/>
  <c r="AG298" i="25" s="1"/>
  <c r="AF298" i="25" s="1"/>
  <c r="AD298" i="25" s="1"/>
  <c r="AI294" i="25"/>
  <c r="AH294" i="25" s="1"/>
  <c r="AG294" i="25" s="1"/>
  <c r="AF294" i="25" s="1"/>
  <c r="AD294" i="25" s="1"/>
  <c r="AI290" i="25"/>
  <c r="AH290" i="25" s="1"/>
  <c r="AG290" i="25" s="1"/>
  <c r="AF290" i="25" s="1"/>
  <c r="AD290" i="25" s="1"/>
  <c r="AI286" i="25"/>
  <c r="AH286" i="25" s="1"/>
  <c r="AG286" i="25" s="1"/>
  <c r="AF286" i="25" s="1"/>
  <c r="AD286" i="25" s="1"/>
  <c r="AI282" i="25"/>
  <c r="AH282" i="25" s="1"/>
  <c r="AG282" i="25" s="1"/>
  <c r="AF282" i="25" s="1"/>
  <c r="AD282" i="25" s="1"/>
  <c r="AI278" i="25"/>
  <c r="AH278" i="25" s="1"/>
  <c r="AG278" i="25" s="1"/>
  <c r="AF278" i="25" s="1"/>
  <c r="AD278" i="25" s="1"/>
  <c r="AI274" i="25"/>
  <c r="AH274" i="25" s="1"/>
  <c r="AG274" i="25" s="1"/>
  <c r="AF274" i="25" s="1"/>
  <c r="AD274" i="25" s="1"/>
  <c r="AI270" i="25"/>
  <c r="AH270" i="25" s="1"/>
  <c r="AG270" i="25" s="1"/>
  <c r="AF270" i="25" s="1"/>
  <c r="AD270" i="25" s="1"/>
  <c r="AI266" i="25"/>
  <c r="AH266" i="25" s="1"/>
  <c r="AG266" i="25" s="1"/>
  <c r="AF266" i="25" s="1"/>
  <c r="AD266" i="25" s="1"/>
  <c r="AI262" i="25"/>
  <c r="AH262" i="25" s="1"/>
  <c r="AG262" i="25" s="1"/>
  <c r="AF262" i="25" s="1"/>
  <c r="AD262" i="25" s="1"/>
  <c r="AI258" i="25"/>
  <c r="AH258" i="25" s="1"/>
  <c r="AG258" i="25" s="1"/>
  <c r="AF258" i="25" s="1"/>
  <c r="AD258" i="25" s="1"/>
  <c r="AI254" i="25"/>
  <c r="AH254" i="25" s="1"/>
  <c r="AG254" i="25" s="1"/>
  <c r="AF254" i="25" s="1"/>
  <c r="AD254" i="25" s="1"/>
  <c r="AI250" i="25"/>
  <c r="AH250" i="25" s="1"/>
  <c r="AG250" i="25" s="1"/>
  <c r="AF250" i="25" s="1"/>
  <c r="AD250" i="25" s="1"/>
  <c r="AI246" i="25"/>
  <c r="AH246" i="25" s="1"/>
  <c r="AG246" i="25" s="1"/>
  <c r="AF246" i="25" s="1"/>
  <c r="AD246" i="25" s="1"/>
  <c r="AI242" i="25"/>
  <c r="AH242" i="25" s="1"/>
  <c r="AG242" i="25" s="1"/>
  <c r="AF242" i="25" s="1"/>
  <c r="AD242" i="25" s="1"/>
  <c r="AI238" i="25"/>
  <c r="AH238" i="25" s="1"/>
  <c r="AG238" i="25" s="1"/>
  <c r="AF238" i="25" s="1"/>
  <c r="AD238" i="25" s="1"/>
  <c r="AI234" i="25"/>
  <c r="AH234" i="25" s="1"/>
  <c r="AG234" i="25" s="1"/>
  <c r="AF234" i="25" s="1"/>
  <c r="AD234" i="25" s="1"/>
  <c r="AI230" i="25"/>
  <c r="AH230" i="25" s="1"/>
  <c r="AG230" i="25" s="1"/>
  <c r="AF230" i="25" s="1"/>
  <c r="AD230" i="25" s="1"/>
  <c r="AI226" i="25"/>
  <c r="AH226" i="25" s="1"/>
  <c r="AG226" i="25" s="1"/>
  <c r="AF226" i="25" s="1"/>
  <c r="AD226" i="25" s="1"/>
  <c r="AI222" i="25"/>
  <c r="AH222" i="25" s="1"/>
  <c r="AG222" i="25" s="1"/>
  <c r="AF222" i="25" s="1"/>
  <c r="AD222" i="25" s="1"/>
  <c r="AI218" i="25"/>
  <c r="AH218" i="25" s="1"/>
  <c r="AG218" i="25" s="1"/>
  <c r="AF218" i="25" s="1"/>
  <c r="AD218" i="25" s="1"/>
  <c r="AI214" i="25"/>
  <c r="AH214" i="25" s="1"/>
  <c r="AG214" i="25" s="1"/>
  <c r="AF214" i="25" s="1"/>
  <c r="AD214" i="25" s="1"/>
  <c r="AI210" i="25"/>
  <c r="AH210" i="25" s="1"/>
  <c r="AG210" i="25" s="1"/>
  <c r="AF210" i="25" s="1"/>
  <c r="AD210" i="25" s="1"/>
  <c r="AI206" i="25"/>
  <c r="AH206" i="25" s="1"/>
  <c r="AG206" i="25" s="1"/>
  <c r="AF206" i="25" s="1"/>
  <c r="AD206" i="25" s="1"/>
  <c r="AI202" i="25"/>
  <c r="AH202" i="25" s="1"/>
  <c r="AG202" i="25" s="1"/>
  <c r="AF202" i="25" s="1"/>
  <c r="AD202" i="25" s="1"/>
  <c r="AI198" i="25"/>
  <c r="AH198" i="25" s="1"/>
  <c r="AG198" i="25" s="1"/>
  <c r="AF198" i="25" s="1"/>
  <c r="AD198" i="25" s="1"/>
  <c r="AI194" i="25"/>
  <c r="AH194" i="25" s="1"/>
  <c r="AG194" i="25" s="1"/>
  <c r="AF194" i="25" s="1"/>
  <c r="AD194" i="25" s="1"/>
  <c r="AI190" i="25"/>
  <c r="AH190" i="25" s="1"/>
  <c r="AG190" i="25" s="1"/>
  <c r="AF190" i="25" s="1"/>
  <c r="AD190" i="25" s="1"/>
  <c r="AI186" i="25"/>
  <c r="AH186" i="25" s="1"/>
  <c r="AG186" i="25" s="1"/>
  <c r="AF186" i="25" s="1"/>
  <c r="AD186" i="25" s="1"/>
  <c r="AI182" i="25"/>
  <c r="AH182" i="25" s="1"/>
  <c r="AG182" i="25" s="1"/>
  <c r="AF182" i="25" s="1"/>
  <c r="AD182" i="25" s="1"/>
  <c r="AI178" i="25"/>
  <c r="AH178" i="25" s="1"/>
  <c r="AG178" i="25" s="1"/>
  <c r="AF178" i="25" s="1"/>
  <c r="AD178" i="25" s="1"/>
  <c r="AI174" i="25"/>
  <c r="AH174" i="25" s="1"/>
  <c r="AG174" i="25" s="1"/>
  <c r="AF174" i="25" s="1"/>
  <c r="AD174" i="25" s="1"/>
  <c r="AI170" i="25"/>
  <c r="AH170" i="25" s="1"/>
  <c r="AG170" i="25" s="1"/>
  <c r="AF170" i="25" s="1"/>
  <c r="AD170" i="25" s="1"/>
  <c r="AI166" i="25"/>
  <c r="AH166" i="25" s="1"/>
  <c r="AG166" i="25" s="1"/>
  <c r="AF166" i="25" s="1"/>
  <c r="AD166" i="25" s="1"/>
  <c r="AI162" i="25"/>
  <c r="AH162" i="25" s="1"/>
  <c r="AG162" i="25" s="1"/>
  <c r="AF162" i="25" s="1"/>
  <c r="AD162" i="25" s="1"/>
  <c r="AI158" i="25"/>
  <c r="AH158" i="25" s="1"/>
  <c r="AG158" i="25" s="1"/>
  <c r="AF158" i="25" s="1"/>
  <c r="AD158" i="25" s="1"/>
  <c r="AI154" i="25"/>
  <c r="AH154" i="25" s="1"/>
  <c r="AG154" i="25" s="1"/>
  <c r="AF154" i="25" s="1"/>
  <c r="AD154" i="25" s="1"/>
  <c r="AI150" i="25"/>
  <c r="AH150" i="25" s="1"/>
  <c r="AG150" i="25" s="1"/>
  <c r="AF150" i="25" s="1"/>
  <c r="AD150" i="25" s="1"/>
  <c r="AI146" i="25"/>
  <c r="AH146" i="25" s="1"/>
  <c r="AG146" i="25" s="1"/>
  <c r="AF146" i="25" s="1"/>
  <c r="AD146" i="25" s="1"/>
  <c r="AI142" i="25"/>
  <c r="AH142" i="25" s="1"/>
  <c r="AG142" i="25" s="1"/>
  <c r="AF142" i="25" s="1"/>
  <c r="AD142" i="25" s="1"/>
  <c r="AI138" i="25"/>
  <c r="AH138" i="25" s="1"/>
  <c r="AG138" i="25" s="1"/>
  <c r="AF138" i="25" s="1"/>
  <c r="AD138" i="25" s="1"/>
  <c r="AI134" i="25"/>
  <c r="AH134" i="25" s="1"/>
  <c r="AG134" i="25" s="1"/>
  <c r="AF134" i="25" s="1"/>
  <c r="AD134" i="25" s="1"/>
  <c r="AI130" i="25"/>
  <c r="AH130" i="25" s="1"/>
  <c r="AG130" i="25" s="1"/>
  <c r="AF130" i="25" s="1"/>
  <c r="AD130" i="25" s="1"/>
  <c r="AI126" i="25"/>
  <c r="AH126" i="25" s="1"/>
  <c r="AG126" i="25" s="1"/>
  <c r="AF126" i="25" s="1"/>
  <c r="AD126" i="25" s="1"/>
  <c r="AI122" i="25"/>
  <c r="AH122" i="25" s="1"/>
  <c r="AG122" i="25" s="1"/>
  <c r="AF122" i="25" s="1"/>
  <c r="AD122" i="25" s="1"/>
  <c r="AI118" i="25"/>
  <c r="AH118" i="25" s="1"/>
  <c r="AG118" i="25" s="1"/>
  <c r="AF118" i="25" s="1"/>
  <c r="AD118" i="25" s="1"/>
  <c r="AI114" i="25"/>
  <c r="AH114" i="25" s="1"/>
  <c r="AG114" i="25" s="1"/>
  <c r="AF114" i="25" s="1"/>
  <c r="AD114" i="25" s="1"/>
  <c r="AI110" i="25"/>
  <c r="AH110" i="25" s="1"/>
  <c r="AG110" i="25" s="1"/>
  <c r="AF110" i="25" s="1"/>
  <c r="AD110" i="25" s="1"/>
  <c r="AI106" i="25"/>
  <c r="AH106" i="25" s="1"/>
  <c r="AG106" i="25" s="1"/>
  <c r="AF106" i="25" s="1"/>
  <c r="AD106" i="25" s="1"/>
  <c r="AI102" i="25"/>
  <c r="AH102" i="25" s="1"/>
  <c r="AG102" i="25" s="1"/>
  <c r="AF102" i="25" s="1"/>
  <c r="AD102" i="25" s="1"/>
  <c r="AI98" i="25"/>
  <c r="AH98" i="25" s="1"/>
  <c r="AG98" i="25" s="1"/>
  <c r="AF98" i="25" s="1"/>
  <c r="AD98" i="25" s="1"/>
  <c r="AI94" i="25"/>
  <c r="AH94" i="25" s="1"/>
  <c r="AG94" i="25" s="1"/>
  <c r="AF94" i="25" s="1"/>
  <c r="AD94" i="25" s="1"/>
  <c r="AI90" i="25"/>
  <c r="AH90" i="25" s="1"/>
  <c r="AG90" i="25" s="1"/>
  <c r="AF90" i="25" s="1"/>
  <c r="AD90" i="25" s="1"/>
  <c r="AI86" i="25"/>
  <c r="AH86" i="25" s="1"/>
  <c r="AG86" i="25" s="1"/>
  <c r="AF86" i="25" s="1"/>
  <c r="AD86" i="25" s="1"/>
  <c r="AI82" i="25"/>
  <c r="AH82" i="25" s="1"/>
  <c r="AG82" i="25" s="1"/>
  <c r="AF82" i="25" s="1"/>
  <c r="AD82" i="25" s="1"/>
  <c r="AI78" i="25"/>
  <c r="AH78" i="25" s="1"/>
  <c r="AG78" i="25" s="1"/>
  <c r="AF78" i="25" s="1"/>
  <c r="AD78" i="25" s="1"/>
  <c r="AI74" i="25"/>
  <c r="AH74" i="25" s="1"/>
  <c r="AG74" i="25" s="1"/>
  <c r="AF74" i="25" s="1"/>
  <c r="AD74" i="25" s="1"/>
  <c r="AI70" i="25"/>
  <c r="AH70" i="25" s="1"/>
  <c r="AG70" i="25" s="1"/>
  <c r="AF70" i="25" s="1"/>
  <c r="AD70" i="25" s="1"/>
  <c r="AI66" i="25"/>
  <c r="AH66" i="25" s="1"/>
  <c r="AG66" i="25" s="1"/>
  <c r="AF66" i="25" s="1"/>
  <c r="AD66" i="25" s="1"/>
  <c r="AI62" i="25"/>
  <c r="AH62" i="25" s="1"/>
  <c r="AG62" i="25" s="1"/>
  <c r="AF62" i="25" s="1"/>
  <c r="AD62" i="25" s="1"/>
  <c r="AI58" i="25"/>
  <c r="AH58" i="25" s="1"/>
  <c r="AG58" i="25" s="1"/>
  <c r="AF58" i="25" s="1"/>
  <c r="AD58" i="25" s="1"/>
  <c r="AI54" i="25"/>
  <c r="AH54" i="25" s="1"/>
  <c r="AG54" i="25" s="1"/>
  <c r="AF54" i="25" s="1"/>
  <c r="AD54" i="25" s="1"/>
  <c r="AI50" i="25"/>
  <c r="AH50" i="25" s="1"/>
  <c r="AG50" i="25" s="1"/>
  <c r="AF50" i="25" s="1"/>
  <c r="AD50" i="25" s="1"/>
  <c r="AI46" i="25"/>
  <c r="AH46" i="25" s="1"/>
  <c r="AG46" i="25" s="1"/>
  <c r="AF46" i="25" s="1"/>
  <c r="AD46" i="25" s="1"/>
  <c r="AI42" i="25"/>
  <c r="AH42" i="25" s="1"/>
  <c r="AG42" i="25" s="1"/>
  <c r="AF42" i="25" s="1"/>
  <c r="AD42" i="25" s="1"/>
  <c r="AI38" i="25"/>
  <c r="AH38" i="25" s="1"/>
  <c r="AG38" i="25" s="1"/>
  <c r="AF38" i="25" s="1"/>
  <c r="AD38" i="25" s="1"/>
  <c r="AI34" i="25"/>
  <c r="AH34" i="25" s="1"/>
  <c r="AG34" i="25" s="1"/>
  <c r="AF34" i="25" s="1"/>
  <c r="AD34" i="25" s="1"/>
  <c r="AI30" i="25"/>
  <c r="AH30" i="25" s="1"/>
  <c r="AG30" i="25" s="1"/>
  <c r="AF30" i="25" s="1"/>
  <c r="AD30" i="25" s="1"/>
  <c r="AI19" i="25"/>
  <c r="AH19" i="25" s="1"/>
  <c r="AG19" i="25" s="1"/>
  <c r="AF19" i="25" s="1"/>
  <c r="AD19" i="25" s="1"/>
  <c r="AI15" i="25"/>
  <c r="AI21" i="25"/>
  <c r="AH21" i="25" s="1"/>
  <c r="AG21" i="25" s="1"/>
  <c r="AF21" i="25" s="1"/>
  <c r="AD21" i="25" s="1"/>
  <c r="U379" i="25"/>
  <c r="U375" i="25"/>
  <c r="T375" i="25" s="1"/>
  <c r="S375" i="25" s="1"/>
  <c r="R375" i="25" s="1"/>
  <c r="P375" i="25" s="1"/>
  <c r="V375" i="25" s="1"/>
  <c r="U371" i="25"/>
  <c r="T371" i="25" s="1"/>
  <c r="S371" i="25" s="1"/>
  <c r="R371" i="25" s="1"/>
  <c r="P371" i="25" s="1"/>
  <c r="V371" i="25" s="1"/>
  <c r="U367" i="25"/>
  <c r="T367" i="25" s="1"/>
  <c r="S367" i="25" s="1"/>
  <c r="R367" i="25" s="1"/>
  <c r="P367" i="25" s="1"/>
  <c r="V367" i="25" s="1"/>
  <c r="U363" i="25"/>
  <c r="T363" i="25" s="1"/>
  <c r="S363" i="25" s="1"/>
  <c r="R363" i="25" s="1"/>
  <c r="P363" i="25" s="1"/>
  <c r="U359" i="25"/>
  <c r="T359" i="25" s="1"/>
  <c r="S359" i="25" s="1"/>
  <c r="R359" i="25" s="1"/>
  <c r="P359" i="25" s="1"/>
  <c r="V359" i="25" s="1"/>
  <c r="U355" i="25"/>
  <c r="T355" i="25" s="1"/>
  <c r="S355" i="25" s="1"/>
  <c r="R355" i="25" s="1"/>
  <c r="P355" i="25" s="1"/>
  <c r="V355" i="25" s="1"/>
  <c r="U351" i="25"/>
  <c r="T351" i="25" s="1"/>
  <c r="S351" i="25" s="1"/>
  <c r="R351" i="25" s="1"/>
  <c r="P351" i="25" s="1"/>
  <c r="V351" i="25" s="1"/>
  <c r="U347" i="25"/>
  <c r="T347" i="25" s="1"/>
  <c r="S347" i="25" s="1"/>
  <c r="R347" i="25" s="1"/>
  <c r="P347" i="25" s="1"/>
  <c r="V347" i="25" s="1"/>
  <c r="U343" i="25"/>
  <c r="T343" i="25" s="1"/>
  <c r="S343" i="25" s="1"/>
  <c r="R343" i="25" s="1"/>
  <c r="P343" i="25" s="1"/>
  <c r="V343" i="25" s="1"/>
  <c r="U339" i="25"/>
  <c r="T339" i="25" s="1"/>
  <c r="S339" i="25" s="1"/>
  <c r="R339" i="25" s="1"/>
  <c r="P339" i="25" s="1"/>
  <c r="V339" i="25" s="1"/>
  <c r="U335" i="25"/>
  <c r="T335" i="25" s="1"/>
  <c r="S335" i="25" s="1"/>
  <c r="R335" i="25" s="1"/>
  <c r="P335" i="25" s="1"/>
  <c r="V335" i="25" s="1"/>
  <c r="U331" i="25"/>
  <c r="T331" i="25" s="1"/>
  <c r="S331" i="25" s="1"/>
  <c r="R331" i="25" s="1"/>
  <c r="P331" i="25" s="1"/>
  <c r="V331" i="25" s="1"/>
  <c r="U327" i="25"/>
  <c r="T327" i="25" s="1"/>
  <c r="S327" i="25" s="1"/>
  <c r="R327" i="25" s="1"/>
  <c r="P327" i="25" s="1"/>
  <c r="V327" i="25" s="1"/>
  <c r="U323" i="25"/>
  <c r="T323" i="25" s="1"/>
  <c r="S323" i="25" s="1"/>
  <c r="R323" i="25" s="1"/>
  <c r="P323" i="25" s="1"/>
  <c r="V323" i="25" s="1"/>
  <c r="U319" i="25"/>
  <c r="T319" i="25" s="1"/>
  <c r="S319" i="25" s="1"/>
  <c r="R319" i="25" s="1"/>
  <c r="P319" i="25" s="1"/>
  <c r="V319" i="25" s="1"/>
  <c r="U315" i="25"/>
  <c r="T315" i="25" s="1"/>
  <c r="S315" i="25" s="1"/>
  <c r="R315" i="25" s="1"/>
  <c r="P315" i="25" s="1"/>
  <c r="V315" i="25" s="1"/>
  <c r="U311" i="25"/>
  <c r="T311" i="25" s="1"/>
  <c r="S311" i="25" s="1"/>
  <c r="R311" i="25" s="1"/>
  <c r="P311" i="25" s="1"/>
  <c r="V311" i="25" s="1"/>
  <c r="U307" i="25"/>
  <c r="T307" i="25" s="1"/>
  <c r="S307" i="25" s="1"/>
  <c r="R307" i="25" s="1"/>
  <c r="P307" i="25" s="1"/>
  <c r="V307" i="25" s="1"/>
  <c r="U303" i="25"/>
  <c r="T303" i="25" s="1"/>
  <c r="S303" i="25" s="1"/>
  <c r="R303" i="25" s="1"/>
  <c r="P303" i="25" s="1"/>
  <c r="V303" i="25" s="1"/>
  <c r="U299" i="25"/>
  <c r="T299" i="25" s="1"/>
  <c r="S299" i="25" s="1"/>
  <c r="R299" i="25" s="1"/>
  <c r="P299" i="25" s="1"/>
  <c r="V299" i="25" s="1"/>
  <c r="U295" i="25"/>
  <c r="T295" i="25" s="1"/>
  <c r="S295" i="25" s="1"/>
  <c r="R295" i="25" s="1"/>
  <c r="P295" i="25" s="1"/>
  <c r="V295" i="25" s="1"/>
  <c r="U291" i="25"/>
  <c r="T291" i="25" s="1"/>
  <c r="S291" i="25" s="1"/>
  <c r="R291" i="25" s="1"/>
  <c r="P291" i="25" s="1"/>
  <c r="V291" i="25" s="1"/>
  <c r="U287" i="25"/>
  <c r="T287" i="25" s="1"/>
  <c r="S287" i="25" s="1"/>
  <c r="R287" i="25" s="1"/>
  <c r="P287" i="25" s="1"/>
  <c r="V287" i="25" s="1"/>
  <c r="U283" i="25"/>
  <c r="T283" i="25" s="1"/>
  <c r="S283" i="25" s="1"/>
  <c r="R283" i="25" s="1"/>
  <c r="P283" i="25" s="1"/>
  <c r="V283" i="25" s="1"/>
  <c r="U279" i="25"/>
  <c r="T279" i="25" s="1"/>
  <c r="S279" i="25" s="1"/>
  <c r="R279" i="25" s="1"/>
  <c r="P279" i="25" s="1"/>
  <c r="V279" i="25" s="1"/>
  <c r="U275" i="25"/>
  <c r="T275" i="25" s="1"/>
  <c r="S275" i="25" s="1"/>
  <c r="R275" i="25" s="1"/>
  <c r="P275" i="25" s="1"/>
  <c r="V275" i="25" s="1"/>
  <c r="U271" i="25"/>
  <c r="T271" i="25" s="1"/>
  <c r="S271" i="25" s="1"/>
  <c r="R271" i="25" s="1"/>
  <c r="P271" i="25" s="1"/>
  <c r="V271" i="25" s="1"/>
  <c r="U267" i="25"/>
  <c r="T267" i="25" s="1"/>
  <c r="S267" i="25" s="1"/>
  <c r="R267" i="25" s="1"/>
  <c r="P267" i="25" s="1"/>
  <c r="V267" i="25" s="1"/>
  <c r="U263" i="25"/>
  <c r="T263" i="25" s="1"/>
  <c r="S263" i="25" s="1"/>
  <c r="R263" i="25" s="1"/>
  <c r="P263" i="25" s="1"/>
  <c r="V263" i="25" s="1"/>
  <c r="U259" i="25"/>
  <c r="T259" i="25" s="1"/>
  <c r="S259" i="25" s="1"/>
  <c r="R259" i="25" s="1"/>
  <c r="P259" i="25" s="1"/>
  <c r="V259" i="25" s="1"/>
  <c r="U255" i="25"/>
  <c r="T255" i="25" s="1"/>
  <c r="S255" i="25" s="1"/>
  <c r="R255" i="25" s="1"/>
  <c r="P255" i="25" s="1"/>
  <c r="V255" i="25" s="1"/>
  <c r="U251" i="25"/>
  <c r="T251" i="25" s="1"/>
  <c r="S251" i="25" s="1"/>
  <c r="R251" i="25" s="1"/>
  <c r="P251" i="25" s="1"/>
  <c r="V251" i="25" s="1"/>
  <c r="U247" i="25"/>
  <c r="T247" i="25" s="1"/>
  <c r="S247" i="25" s="1"/>
  <c r="R247" i="25" s="1"/>
  <c r="P247" i="25" s="1"/>
  <c r="V247" i="25" s="1"/>
  <c r="U243" i="25"/>
  <c r="T243" i="25" s="1"/>
  <c r="S243" i="25" s="1"/>
  <c r="R243" i="25" s="1"/>
  <c r="P243" i="25" s="1"/>
  <c r="V243" i="25" s="1"/>
  <c r="U239" i="25"/>
  <c r="T239" i="25" s="1"/>
  <c r="S239" i="25" s="1"/>
  <c r="R239" i="25" s="1"/>
  <c r="P239" i="25" s="1"/>
  <c r="V239" i="25" s="1"/>
  <c r="U235" i="25"/>
  <c r="T235" i="25" s="1"/>
  <c r="S235" i="25" s="1"/>
  <c r="R235" i="25" s="1"/>
  <c r="P235" i="25" s="1"/>
  <c r="V235" i="25" s="1"/>
  <c r="U231" i="25"/>
  <c r="T231" i="25" s="1"/>
  <c r="S231" i="25" s="1"/>
  <c r="R231" i="25" s="1"/>
  <c r="P231" i="25" s="1"/>
  <c r="V231" i="25" s="1"/>
  <c r="U227" i="25"/>
  <c r="T227" i="25" s="1"/>
  <c r="S227" i="25" s="1"/>
  <c r="R227" i="25" s="1"/>
  <c r="P227" i="25" s="1"/>
  <c r="V227" i="25" s="1"/>
  <c r="U223" i="25"/>
  <c r="T223" i="25" s="1"/>
  <c r="S223" i="25" s="1"/>
  <c r="R223" i="25" s="1"/>
  <c r="P223" i="25" s="1"/>
  <c r="V223" i="25" s="1"/>
  <c r="U219" i="25"/>
  <c r="T219" i="25" s="1"/>
  <c r="S219" i="25" s="1"/>
  <c r="R219" i="25" s="1"/>
  <c r="P219" i="25" s="1"/>
  <c r="V219" i="25" s="1"/>
  <c r="U215" i="25"/>
  <c r="T215" i="25" s="1"/>
  <c r="S215" i="25" s="1"/>
  <c r="R215" i="25" s="1"/>
  <c r="P215" i="25" s="1"/>
  <c r="V215" i="25" s="1"/>
  <c r="U211" i="25"/>
  <c r="T211" i="25" s="1"/>
  <c r="S211" i="25" s="1"/>
  <c r="R211" i="25" s="1"/>
  <c r="P211" i="25" s="1"/>
  <c r="V211" i="25" s="1"/>
  <c r="U207" i="25"/>
  <c r="T207" i="25" s="1"/>
  <c r="S207" i="25" s="1"/>
  <c r="R207" i="25" s="1"/>
  <c r="P207" i="25" s="1"/>
  <c r="V207" i="25" s="1"/>
  <c r="U203" i="25"/>
  <c r="T203" i="25" s="1"/>
  <c r="S203" i="25" s="1"/>
  <c r="R203" i="25" s="1"/>
  <c r="P203" i="25" s="1"/>
  <c r="V203" i="25" s="1"/>
  <c r="U199" i="25"/>
  <c r="T199" i="25" s="1"/>
  <c r="S199" i="25" s="1"/>
  <c r="R199" i="25" s="1"/>
  <c r="P199" i="25" s="1"/>
  <c r="V199" i="25" s="1"/>
  <c r="U195" i="25"/>
  <c r="T195" i="25" s="1"/>
  <c r="S195" i="25" s="1"/>
  <c r="R195" i="25" s="1"/>
  <c r="P195" i="25" s="1"/>
  <c r="V195" i="25" s="1"/>
  <c r="U191" i="25"/>
  <c r="T191" i="25" s="1"/>
  <c r="S191" i="25" s="1"/>
  <c r="R191" i="25" s="1"/>
  <c r="P191" i="25" s="1"/>
  <c r="V191" i="25" s="1"/>
  <c r="U187" i="25"/>
  <c r="T187" i="25" s="1"/>
  <c r="S187" i="25" s="1"/>
  <c r="R187" i="25" s="1"/>
  <c r="P187" i="25" s="1"/>
  <c r="V187" i="25" s="1"/>
  <c r="U183" i="25"/>
  <c r="T183" i="25" s="1"/>
  <c r="S183" i="25" s="1"/>
  <c r="R183" i="25" s="1"/>
  <c r="P183" i="25" s="1"/>
  <c r="V183" i="25" s="1"/>
  <c r="U179" i="25"/>
  <c r="T179" i="25" s="1"/>
  <c r="S179" i="25" s="1"/>
  <c r="R179" i="25" s="1"/>
  <c r="P179" i="25" s="1"/>
  <c r="V179" i="25" s="1"/>
  <c r="U175" i="25"/>
  <c r="T175" i="25" s="1"/>
  <c r="S175" i="25" s="1"/>
  <c r="R175" i="25" s="1"/>
  <c r="P175" i="25" s="1"/>
  <c r="V175" i="25" s="1"/>
  <c r="U171" i="25"/>
  <c r="T171" i="25" s="1"/>
  <c r="S171" i="25" s="1"/>
  <c r="R171" i="25" s="1"/>
  <c r="P171" i="25" s="1"/>
  <c r="V171" i="25" s="1"/>
  <c r="U167" i="25"/>
  <c r="T167" i="25" s="1"/>
  <c r="S167" i="25" s="1"/>
  <c r="R167" i="25" s="1"/>
  <c r="P167" i="25" s="1"/>
  <c r="V167" i="25" s="1"/>
  <c r="U163" i="25"/>
  <c r="T163" i="25" s="1"/>
  <c r="S163" i="25" s="1"/>
  <c r="R163" i="25" s="1"/>
  <c r="P163" i="25" s="1"/>
  <c r="V163" i="25" s="1"/>
  <c r="U159" i="25"/>
  <c r="T159" i="25" s="1"/>
  <c r="S159" i="25" s="1"/>
  <c r="R159" i="25" s="1"/>
  <c r="P159" i="25" s="1"/>
  <c r="V159" i="25" s="1"/>
  <c r="U155" i="25"/>
  <c r="T155" i="25" s="1"/>
  <c r="S155" i="25" s="1"/>
  <c r="R155" i="25" s="1"/>
  <c r="P155" i="25" s="1"/>
  <c r="V155" i="25" s="1"/>
  <c r="U151" i="25"/>
  <c r="T151" i="25" s="1"/>
  <c r="S151" i="25" s="1"/>
  <c r="R151" i="25" s="1"/>
  <c r="P151" i="25" s="1"/>
  <c r="V151" i="25" s="1"/>
  <c r="U147" i="25"/>
  <c r="T147" i="25" s="1"/>
  <c r="S147" i="25" s="1"/>
  <c r="R147" i="25" s="1"/>
  <c r="P147" i="25" s="1"/>
  <c r="V147" i="25" s="1"/>
  <c r="U143" i="25"/>
  <c r="T143" i="25" s="1"/>
  <c r="S143" i="25" s="1"/>
  <c r="R143" i="25" s="1"/>
  <c r="P143" i="25" s="1"/>
  <c r="V143" i="25" s="1"/>
  <c r="U139" i="25"/>
  <c r="T139" i="25" s="1"/>
  <c r="S139" i="25" s="1"/>
  <c r="R139" i="25" s="1"/>
  <c r="P139" i="25" s="1"/>
  <c r="V139" i="25" s="1"/>
  <c r="U135" i="25"/>
  <c r="T135" i="25" s="1"/>
  <c r="S135" i="25" s="1"/>
  <c r="R135" i="25" s="1"/>
  <c r="P135" i="25" s="1"/>
  <c r="V135" i="25" s="1"/>
  <c r="U131" i="25"/>
  <c r="T131" i="25" s="1"/>
  <c r="S131" i="25" s="1"/>
  <c r="R131" i="25" s="1"/>
  <c r="P131" i="25" s="1"/>
  <c r="V131" i="25" s="1"/>
  <c r="U127" i="25"/>
  <c r="T127" i="25" s="1"/>
  <c r="S127" i="25" s="1"/>
  <c r="R127" i="25" s="1"/>
  <c r="P127" i="25" s="1"/>
  <c r="V127" i="25" s="1"/>
  <c r="U123" i="25"/>
  <c r="T123" i="25" s="1"/>
  <c r="S123" i="25" s="1"/>
  <c r="R123" i="25" s="1"/>
  <c r="P123" i="25" s="1"/>
  <c r="V123" i="25" s="1"/>
  <c r="U119" i="25"/>
  <c r="T119" i="25" s="1"/>
  <c r="S119" i="25" s="1"/>
  <c r="R119" i="25" s="1"/>
  <c r="P119" i="25" s="1"/>
  <c r="U115" i="25"/>
  <c r="T115" i="25" s="1"/>
  <c r="S115" i="25" s="1"/>
  <c r="R115" i="25" s="1"/>
  <c r="P115" i="25" s="1"/>
  <c r="V115" i="25" s="1"/>
  <c r="U111" i="25"/>
  <c r="T111" i="25" s="1"/>
  <c r="S111" i="25" s="1"/>
  <c r="R111" i="25" s="1"/>
  <c r="P111" i="25" s="1"/>
  <c r="V111" i="25" s="1"/>
  <c r="U107" i="25"/>
  <c r="T107" i="25" s="1"/>
  <c r="S107" i="25" s="1"/>
  <c r="R107" i="25" s="1"/>
  <c r="P107" i="25" s="1"/>
  <c r="V107" i="25" s="1"/>
  <c r="U103" i="25"/>
  <c r="T103" i="25" s="1"/>
  <c r="S103" i="25" s="1"/>
  <c r="R103" i="25" s="1"/>
  <c r="P103" i="25" s="1"/>
  <c r="V103" i="25" s="1"/>
  <c r="U99" i="25"/>
  <c r="T99" i="25" s="1"/>
  <c r="S99" i="25" s="1"/>
  <c r="R99" i="25" s="1"/>
  <c r="P99" i="25" s="1"/>
  <c r="V99" i="25" s="1"/>
  <c r="U95" i="25"/>
  <c r="T95" i="25" s="1"/>
  <c r="S95" i="25" s="1"/>
  <c r="R95" i="25" s="1"/>
  <c r="P95" i="25" s="1"/>
  <c r="V95" i="25" s="1"/>
  <c r="U91" i="25"/>
  <c r="T91" i="25" s="1"/>
  <c r="S91" i="25" s="1"/>
  <c r="R91" i="25" s="1"/>
  <c r="P91" i="25" s="1"/>
  <c r="V91" i="25" s="1"/>
  <c r="U87" i="25"/>
  <c r="T87" i="25" s="1"/>
  <c r="S87" i="25" s="1"/>
  <c r="R87" i="25" s="1"/>
  <c r="P87" i="25" s="1"/>
  <c r="V87" i="25" s="1"/>
  <c r="U83" i="25"/>
  <c r="T83" i="25" s="1"/>
  <c r="S83" i="25" s="1"/>
  <c r="R83" i="25" s="1"/>
  <c r="P83" i="25" s="1"/>
  <c r="V83" i="25" s="1"/>
  <c r="U79" i="25"/>
  <c r="T79" i="25" s="1"/>
  <c r="S79" i="25" s="1"/>
  <c r="R79" i="25" s="1"/>
  <c r="P79" i="25" s="1"/>
  <c r="V79" i="25" s="1"/>
  <c r="U75" i="25"/>
  <c r="T75" i="25" s="1"/>
  <c r="S75" i="25" s="1"/>
  <c r="R75" i="25" s="1"/>
  <c r="P75" i="25" s="1"/>
  <c r="V75" i="25" s="1"/>
  <c r="U71" i="25"/>
  <c r="T71" i="25" s="1"/>
  <c r="S71" i="25" s="1"/>
  <c r="R71" i="25" s="1"/>
  <c r="P71" i="25" s="1"/>
  <c r="V71" i="25" s="1"/>
  <c r="U67" i="25"/>
  <c r="T67" i="25" s="1"/>
  <c r="S67" i="25" s="1"/>
  <c r="R67" i="25" s="1"/>
  <c r="P67" i="25" s="1"/>
  <c r="V67" i="25" s="1"/>
  <c r="U63" i="25"/>
  <c r="T63" i="25" s="1"/>
  <c r="S63" i="25" s="1"/>
  <c r="R63" i="25" s="1"/>
  <c r="P63" i="25" s="1"/>
  <c r="V63" i="25" s="1"/>
  <c r="U59" i="25"/>
  <c r="T59" i="25" s="1"/>
  <c r="S59" i="25" s="1"/>
  <c r="R59" i="25" s="1"/>
  <c r="P59" i="25" s="1"/>
  <c r="V59" i="25" s="1"/>
  <c r="U55" i="25"/>
  <c r="T55" i="25" s="1"/>
  <c r="S55" i="25" s="1"/>
  <c r="R55" i="25" s="1"/>
  <c r="P55" i="25" s="1"/>
  <c r="V55" i="25" s="1"/>
  <c r="U51" i="25"/>
  <c r="T51" i="25" s="1"/>
  <c r="S51" i="25" s="1"/>
  <c r="R51" i="25" s="1"/>
  <c r="P51" i="25" s="1"/>
  <c r="V51" i="25" s="1"/>
  <c r="U47" i="25"/>
  <c r="T47" i="25" s="1"/>
  <c r="S47" i="25" s="1"/>
  <c r="R47" i="25" s="1"/>
  <c r="P47" i="25" s="1"/>
  <c r="V47" i="25" s="1"/>
  <c r="U43" i="25"/>
  <c r="T43" i="25" s="1"/>
  <c r="S43" i="25" s="1"/>
  <c r="R43" i="25" s="1"/>
  <c r="P43" i="25" s="1"/>
  <c r="V43" i="25" s="1"/>
  <c r="U39" i="25"/>
  <c r="T39" i="25" s="1"/>
  <c r="S39" i="25" s="1"/>
  <c r="R39" i="25" s="1"/>
  <c r="P39" i="25" s="1"/>
  <c r="V39" i="25" s="1"/>
  <c r="U35" i="25"/>
  <c r="T35" i="25" s="1"/>
  <c r="S35" i="25" s="1"/>
  <c r="R35" i="25" s="1"/>
  <c r="P35" i="25" s="1"/>
  <c r="V35" i="25" s="1"/>
  <c r="U31" i="25"/>
  <c r="T31" i="25" s="1"/>
  <c r="S31" i="25" s="1"/>
  <c r="R31" i="25" s="1"/>
  <c r="P31" i="25" s="1"/>
  <c r="V31" i="25" s="1"/>
  <c r="U22" i="25"/>
  <c r="T22" i="25" s="1"/>
  <c r="S22" i="25" s="1"/>
  <c r="R22" i="25" s="1"/>
  <c r="P22" i="25" s="1"/>
  <c r="V22" i="25" s="1"/>
  <c r="U23" i="25"/>
  <c r="T23" i="25" s="1"/>
  <c r="S23" i="25" s="1"/>
  <c r="R23" i="25" s="1"/>
  <c r="P23" i="25" s="1"/>
  <c r="V23" i="25" s="1"/>
  <c r="U21" i="25"/>
  <c r="T21" i="25" s="1"/>
  <c r="S21" i="25" s="1"/>
  <c r="R21" i="25" s="1"/>
  <c r="P21" i="25" s="1"/>
  <c r="V21" i="25" s="1"/>
  <c r="AI379" i="25"/>
  <c r="AH379" i="25" s="1"/>
  <c r="AG379" i="25" s="1"/>
  <c r="AF379" i="25" s="1"/>
  <c r="AD379" i="25" s="1"/>
  <c r="AI371" i="25"/>
  <c r="AH371" i="25" s="1"/>
  <c r="AG371" i="25" s="1"/>
  <c r="AF371" i="25" s="1"/>
  <c r="AD371" i="25" s="1"/>
  <c r="AI363" i="25"/>
  <c r="AH363" i="25" s="1"/>
  <c r="AG363" i="25" s="1"/>
  <c r="AF363" i="25" s="1"/>
  <c r="AD363" i="25" s="1"/>
  <c r="AI355" i="25"/>
  <c r="AH355" i="25" s="1"/>
  <c r="AG355" i="25" s="1"/>
  <c r="AF355" i="25" s="1"/>
  <c r="AD355" i="25" s="1"/>
  <c r="AI347" i="25"/>
  <c r="AH347" i="25" s="1"/>
  <c r="AG347" i="25" s="1"/>
  <c r="AF347" i="25" s="1"/>
  <c r="AD347" i="25" s="1"/>
  <c r="AI339" i="25"/>
  <c r="AH339" i="25" s="1"/>
  <c r="AG339" i="25" s="1"/>
  <c r="AF339" i="25" s="1"/>
  <c r="AD339" i="25" s="1"/>
  <c r="AI331" i="25"/>
  <c r="AH331" i="25" s="1"/>
  <c r="AG331" i="25" s="1"/>
  <c r="AF331" i="25" s="1"/>
  <c r="AD331" i="25" s="1"/>
  <c r="AI323" i="25"/>
  <c r="AH323" i="25" s="1"/>
  <c r="AG323" i="25" s="1"/>
  <c r="AF323" i="25" s="1"/>
  <c r="AD323" i="25" s="1"/>
  <c r="AI315" i="25"/>
  <c r="AH315" i="25" s="1"/>
  <c r="AG315" i="25" s="1"/>
  <c r="AF315" i="25" s="1"/>
  <c r="AD315" i="25" s="1"/>
  <c r="AI307" i="25"/>
  <c r="AH307" i="25" s="1"/>
  <c r="AG307" i="25" s="1"/>
  <c r="AF307" i="25" s="1"/>
  <c r="AD307" i="25" s="1"/>
  <c r="AI299" i="25"/>
  <c r="AH299" i="25" s="1"/>
  <c r="AG299" i="25" s="1"/>
  <c r="AF299" i="25" s="1"/>
  <c r="AD299" i="25" s="1"/>
  <c r="AI291" i="25"/>
  <c r="AH291" i="25" s="1"/>
  <c r="AG291" i="25" s="1"/>
  <c r="AF291" i="25" s="1"/>
  <c r="AD291" i="25" s="1"/>
  <c r="AI283" i="25"/>
  <c r="AH283" i="25" s="1"/>
  <c r="AG283" i="25" s="1"/>
  <c r="AF283" i="25" s="1"/>
  <c r="AD283" i="25" s="1"/>
  <c r="AI275" i="25"/>
  <c r="AH275" i="25" s="1"/>
  <c r="AG275" i="25" s="1"/>
  <c r="AF275" i="25" s="1"/>
  <c r="AD275" i="25" s="1"/>
  <c r="AI267" i="25"/>
  <c r="AH267" i="25" s="1"/>
  <c r="AG267" i="25" s="1"/>
  <c r="AF267" i="25" s="1"/>
  <c r="AD267" i="25" s="1"/>
  <c r="AI259" i="25"/>
  <c r="AH259" i="25" s="1"/>
  <c r="AG259" i="25" s="1"/>
  <c r="AF259" i="25" s="1"/>
  <c r="AD259" i="25" s="1"/>
  <c r="AI251" i="25"/>
  <c r="AH251" i="25" s="1"/>
  <c r="AG251" i="25" s="1"/>
  <c r="AF251" i="25" s="1"/>
  <c r="AD251" i="25" s="1"/>
  <c r="AI243" i="25"/>
  <c r="AH243" i="25" s="1"/>
  <c r="AG243" i="25" s="1"/>
  <c r="AF243" i="25" s="1"/>
  <c r="AD243" i="25" s="1"/>
  <c r="AI235" i="25"/>
  <c r="AH235" i="25" s="1"/>
  <c r="AG235" i="25" s="1"/>
  <c r="AF235" i="25" s="1"/>
  <c r="AD235" i="25" s="1"/>
  <c r="AI227" i="25"/>
  <c r="AH227" i="25" s="1"/>
  <c r="AG227" i="25" s="1"/>
  <c r="AF227" i="25" s="1"/>
  <c r="AD227" i="25" s="1"/>
  <c r="AI219" i="25"/>
  <c r="AH219" i="25" s="1"/>
  <c r="AG219" i="25" s="1"/>
  <c r="AF219" i="25" s="1"/>
  <c r="AD219" i="25" s="1"/>
  <c r="AI211" i="25"/>
  <c r="AH211" i="25" s="1"/>
  <c r="AG211" i="25" s="1"/>
  <c r="AF211" i="25" s="1"/>
  <c r="AD211" i="25" s="1"/>
  <c r="AI203" i="25"/>
  <c r="AH203" i="25" s="1"/>
  <c r="AG203" i="25" s="1"/>
  <c r="AF203" i="25" s="1"/>
  <c r="AD203" i="25" s="1"/>
  <c r="AI195" i="25"/>
  <c r="AH195" i="25" s="1"/>
  <c r="AG195" i="25" s="1"/>
  <c r="AF195" i="25" s="1"/>
  <c r="AD195" i="25" s="1"/>
  <c r="AI187" i="25"/>
  <c r="AH187" i="25" s="1"/>
  <c r="AG187" i="25" s="1"/>
  <c r="AF187" i="25" s="1"/>
  <c r="AD187" i="25" s="1"/>
  <c r="AI179" i="25"/>
  <c r="AH179" i="25" s="1"/>
  <c r="AG179" i="25" s="1"/>
  <c r="AF179" i="25" s="1"/>
  <c r="AD179" i="25" s="1"/>
  <c r="AI171" i="25"/>
  <c r="AH171" i="25" s="1"/>
  <c r="AG171" i="25" s="1"/>
  <c r="AF171" i="25" s="1"/>
  <c r="AD171" i="25" s="1"/>
  <c r="AI163" i="25"/>
  <c r="AH163" i="25" s="1"/>
  <c r="AG163" i="25" s="1"/>
  <c r="AF163" i="25" s="1"/>
  <c r="AD163" i="25" s="1"/>
  <c r="AI155" i="25"/>
  <c r="AH155" i="25" s="1"/>
  <c r="AG155" i="25" s="1"/>
  <c r="AF155" i="25" s="1"/>
  <c r="AD155" i="25" s="1"/>
  <c r="AI145" i="25"/>
  <c r="AH145" i="25" s="1"/>
  <c r="AG145" i="25" s="1"/>
  <c r="AF145" i="25" s="1"/>
  <c r="AD145" i="25" s="1"/>
  <c r="AI129" i="25"/>
  <c r="AH129" i="25" s="1"/>
  <c r="AG129" i="25" s="1"/>
  <c r="AF129" i="25" s="1"/>
  <c r="AD129" i="25" s="1"/>
  <c r="AI113" i="25"/>
  <c r="AH113" i="25" s="1"/>
  <c r="AG113" i="25" s="1"/>
  <c r="AF113" i="25" s="1"/>
  <c r="AD113" i="25" s="1"/>
  <c r="AI97" i="25"/>
  <c r="AH97" i="25" s="1"/>
  <c r="AG97" i="25" s="1"/>
  <c r="AF97" i="25" s="1"/>
  <c r="AD97" i="25" s="1"/>
  <c r="AI81" i="25"/>
  <c r="AH81" i="25" s="1"/>
  <c r="AG81" i="25" s="1"/>
  <c r="AF81" i="25" s="1"/>
  <c r="AD81" i="25" s="1"/>
  <c r="AI53" i="25"/>
  <c r="AH53" i="25" s="1"/>
  <c r="AG53" i="25" s="1"/>
  <c r="AF53" i="25" s="1"/>
  <c r="AD53" i="25" s="1"/>
  <c r="AI23" i="25"/>
  <c r="AH23" i="25" s="1"/>
  <c r="AG23" i="25" s="1"/>
  <c r="AF23" i="25" s="1"/>
  <c r="AD23" i="25" s="1"/>
  <c r="AI143" i="25"/>
  <c r="AH143" i="25" s="1"/>
  <c r="AG143" i="25" s="1"/>
  <c r="AF143" i="25" s="1"/>
  <c r="AD143" i="25" s="1"/>
  <c r="AI135" i="25"/>
  <c r="AH135" i="25" s="1"/>
  <c r="AG135" i="25" s="1"/>
  <c r="AF135" i="25" s="1"/>
  <c r="AD135" i="25" s="1"/>
  <c r="AI127" i="25"/>
  <c r="AH127" i="25" s="1"/>
  <c r="AG127" i="25" s="1"/>
  <c r="AF127" i="25" s="1"/>
  <c r="AD127" i="25" s="1"/>
  <c r="AI119" i="25"/>
  <c r="AH119" i="25" s="1"/>
  <c r="AG119" i="25" s="1"/>
  <c r="AF119" i="25" s="1"/>
  <c r="AD119" i="25" s="1"/>
  <c r="AI111" i="25"/>
  <c r="AH111" i="25" s="1"/>
  <c r="AG111" i="25" s="1"/>
  <c r="AF111" i="25" s="1"/>
  <c r="AD111" i="25" s="1"/>
  <c r="AI103" i="25"/>
  <c r="AH103" i="25" s="1"/>
  <c r="AG103" i="25" s="1"/>
  <c r="AF103" i="25" s="1"/>
  <c r="AD103" i="25" s="1"/>
  <c r="AI95" i="25"/>
  <c r="AH95" i="25" s="1"/>
  <c r="AG95" i="25" s="1"/>
  <c r="AF95" i="25" s="1"/>
  <c r="AD95" i="25" s="1"/>
  <c r="AI87" i="25"/>
  <c r="AH87" i="25" s="1"/>
  <c r="AG87" i="25" s="1"/>
  <c r="AF87" i="25" s="1"/>
  <c r="AD87" i="25" s="1"/>
  <c r="AI79" i="25"/>
  <c r="AH79" i="25" s="1"/>
  <c r="AG79" i="25" s="1"/>
  <c r="AF79" i="25" s="1"/>
  <c r="AD79" i="25" s="1"/>
  <c r="AI65" i="25"/>
  <c r="AH65" i="25" s="1"/>
  <c r="AG65" i="25" s="1"/>
  <c r="AF65" i="25" s="1"/>
  <c r="AD65" i="25" s="1"/>
  <c r="AI49" i="25"/>
  <c r="AH49" i="25" s="1"/>
  <c r="AG49" i="25" s="1"/>
  <c r="AF49" i="25" s="1"/>
  <c r="AD49" i="25" s="1"/>
  <c r="AI33" i="25"/>
  <c r="AH33" i="25" s="1"/>
  <c r="AG33" i="25" s="1"/>
  <c r="AF33" i="25" s="1"/>
  <c r="AD33" i="25" s="1"/>
  <c r="AI27" i="25"/>
  <c r="AH27" i="25" s="1"/>
  <c r="AG27" i="25" s="1"/>
  <c r="AF27" i="25" s="1"/>
  <c r="AD27" i="25" s="1"/>
  <c r="AI71" i="25"/>
  <c r="AH71" i="25" s="1"/>
  <c r="AG71" i="25" s="1"/>
  <c r="AF71" i="25" s="1"/>
  <c r="AD71" i="25" s="1"/>
  <c r="AI63" i="25"/>
  <c r="AH63" i="25" s="1"/>
  <c r="AG63" i="25" s="1"/>
  <c r="AF63" i="25" s="1"/>
  <c r="AD63" i="25" s="1"/>
  <c r="AI55" i="25"/>
  <c r="AH55" i="25" s="1"/>
  <c r="AG55" i="25" s="1"/>
  <c r="AF55" i="25" s="1"/>
  <c r="AD55" i="25" s="1"/>
  <c r="AI47" i="25"/>
  <c r="AH47" i="25" s="1"/>
  <c r="AG47" i="25" s="1"/>
  <c r="AF47" i="25" s="1"/>
  <c r="AD47" i="25" s="1"/>
  <c r="AI39" i="25"/>
  <c r="AH39" i="25" s="1"/>
  <c r="AG39" i="25" s="1"/>
  <c r="AF39" i="25" s="1"/>
  <c r="AD39" i="25" s="1"/>
  <c r="AI31" i="25"/>
  <c r="AH31" i="25" s="1"/>
  <c r="AG31" i="25" s="1"/>
  <c r="AF31" i="25" s="1"/>
  <c r="AD31" i="25" s="1"/>
  <c r="AI16" i="25"/>
  <c r="AH16" i="25" s="1"/>
  <c r="AG16" i="25" s="1"/>
  <c r="AF16" i="25" s="1"/>
  <c r="AD16" i="25" s="1"/>
  <c r="AI17" i="25"/>
  <c r="AH17" i="25" s="1"/>
  <c r="AG17" i="25" s="1"/>
  <c r="AF17" i="25" s="1"/>
  <c r="AD17" i="25" s="1"/>
  <c r="AI376" i="25"/>
  <c r="AH376" i="25" s="1"/>
  <c r="AG376" i="25" s="1"/>
  <c r="AF376" i="25" s="1"/>
  <c r="AD376" i="25" s="1"/>
  <c r="AI372" i="25"/>
  <c r="AH372" i="25" s="1"/>
  <c r="AG372" i="25" s="1"/>
  <c r="AF372" i="25" s="1"/>
  <c r="AD372" i="25" s="1"/>
  <c r="AI368" i="25"/>
  <c r="AH368" i="25" s="1"/>
  <c r="AG368" i="25" s="1"/>
  <c r="AF368" i="25" s="1"/>
  <c r="AD368" i="25" s="1"/>
  <c r="AI364" i="25"/>
  <c r="AH364" i="25" s="1"/>
  <c r="AG364" i="25" s="1"/>
  <c r="AF364" i="25" s="1"/>
  <c r="AD364" i="25" s="1"/>
  <c r="AI360" i="25"/>
  <c r="AH360" i="25" s="1"/>
  <c r="AG360" i="25" s="1"/>
  <c r="AF360" i="25" s="1"/>
  <c r="AD360" i="25" s="1"/>
  <c r="AI356" i="25"/>
  <c r="AH356" i="25" s="1"/>
  <c r="AG356" i="25" s="1"/>
  <c r="AF356" i="25" s="1"/>
  <c r="AD356" i="25" s="1"/>
  <c r="AI352" i="25"/>
  <c r="AH352" i="25" s="1"/>
  <c r="AG352" i="25" s="1"/>
  <c r="AF352" i="25" s="1"/>
  <c r="AD352" i="25" s="1"/>
  <c r="AI348" i="25"/>
  <c r="AH348" i="25" s="1"/>
  <c r="AG348" i="25" s="1"/>
  <c r="AF348" i="25" s="1"/>
  <c r="AD348" i="25" s="1"/>
  <c r="AI344" i="25"/>
  <c r="AH344" i="25" s="1"/>
  <c r="AG344" i="25" s="1"/>
  <c r="AF344" i="25" s="1"/>
  <c r="AD344" i="25" s="1"/>
  <c r="AI340" i="25"/>
  <c r="AH340" i="25" s="1"/>
  <c r="AG340" i="25" s="1"/>
  <c r="AF340" i="25" s="1"/>
  <c r="AD340" i="25" s="1"/>
  <c r="AI336" i="25"/>
  <c r="AH336" i="25" s="1"/>
  <c r="AG336" i="25" s="1"/>
  <c r="AF336" i="25" s="1"/>
  <c r="AD336" i="25" s="1"/>
  <c r="AI332" i="25"/>
  <c r="AH332" i="25" s="1"/>
  <c r="AG332" i="25" s="1"/>
  <c r="AF332" i="25" s="1"/>
  <c r="AD332" i="25" s="1"/>
  <c r="AI328" i="25"/>
  <c r="AH328" i="25" s="1"/>
  <c r="AG328" i="25" s="1"/>
  <c r="AF328" i="25" s="1"/>
  <c r="AD328" i="25" s="1"/>
  <c r="AI324" i="25"/>
  <c r="AH324" i="25" s="1"/>
  <c r="AG324" i="25" s="1"/>
  <c r="AF324" i="25" s="1"/>
  <c r="AD324" i="25" s="1"/>
  <c r="AI320" i="25"/>
  <c r="AH320" i="25" s="1"/>
  <c r="AG320" i="25" s="1"/>
  <c r="AF320" i="25" s="1"/>
  <c r="AD320" i="25" s="1"/>
  <c r="AI316" i="25"/>
  <c r="AH316" i="25" s="1"/>
  <c r="AG316" i="25" s="1"/>
  <c r="AF316" i="25" s="1"/>
  <c r="AD316" i="25" s="1"/>
  <c r="AI312" i="25"/>
  <c r="AH312" i="25" s="1"/>
  <c r="AG312" i="25" s="1"/>
  <c r="AF312" i="25" s="1"/>
  <c r="AD312" i="25" s="1"/>
  <c r="AI308" i="25"/>
  <c r="AH308" i="25" s="1"/>
  <c r="AG308" i="25" s="1"/>
  <c r="AF308" i="25" s="1"/>
  <c r="AD308" i="25" s="1"/>
  <c r="AI304" i="25"/>
  <c r="AH304" i="25" s="1"/>
  <c r="AG304" i="25" s="1"/>
  <c r="AF304" i="25" s="1"/>
  <c r="AD304" i="25" s="1"/>
  <c r="AI300" i="25"/>
  <c r="AH300" i="25" s="1"/>
  <c r="AG300" i="25" s="1"/>
  <c r="AF300" i="25" s="1"/>
  <c r="AD300" i="25" s="1"/>
  <c r="AI296" i="25"/>
  <c r="AH296" i="25" s="1"/>
  <c r="AG296" i="25" s="1"/>
  <c r="AF296" i="25" s="1"/>
  <c r="AD296" i="25" s="1"/>
  <c r="AI292" i="25"/>
  <c r="AH292" i="25" s="1"/>
  <c r="AG292" i="25" s="1"/>
  <c r="AF292" i="25" s="1"/>
  <c r="AD292" i="25" s="1"/>
  <c r="AI288" i="25"/>
  <c r="AH288" i="25" s="1"/>
  <c r="AG288" i="25" s="1"/>
  <c r="AF288" i="25" s="1"/>
  <c r="AD288" i="25" s="1"/>
  <c r="AI284" i="25"/>
  <c r="AH284" i="25" s="1"/>
  <c r="AG284" i="25" s="1"/>
  <c r="AF284" i="25" s="1"/>
  <c r="AD284" i="25" s="1"/>
  <c r="AI280" i="25"/>
  <c r="AH280" i="25" s="1"/>
  <c r="AG280" i="25" s="1"/>
  <c r="AF280" i="25" s="1"/>
  <c r="AD280" i="25" s="1"/>
  <c r="AI276" i="25"/>
  <c r="AH276" i="25" s="1"/>
  <c r="AG276" i="25" s="1"/>
  <c r="AF276" i="25" s="1"/>
  <c r="AD276" i="25" s="1"/>
  <c r="AI272" i="25"/>
  <c r="AH272" i="25" s="1"/>
  <c r="AG272" i="25" s="1"/>
  <c r="AF272" i="25" s="1"/>
  <c r="AD272" i="25" s="1"/>
  <c r="AI268" i="25"/>
  <c r="AH268" i="25" s="1"/>
  <c r="AG268" i="25" s="1"/>
  <c r="AF268" i="25" s="1"/>
  <c r="AD268" i="25" s="1"/>
  <c r="AI264" i="25"/>
  <c r="AH264" i="25" s="1"/>
  <c r="AG264" i="25" s="1"/>
  <c r="AF264" i="25" s="1"/>
  <c r="AD264" i="25" s="1"/>
  <c r="AI260" i="25"/>
  <c r="AH260" i="25" s="1"/>
  <c r="AG260" i="25" s="1"/>
  <c r="AF260" i="25" s="1"/>
  <c r="AD260" i="25" s="1"/>
  <c r="AI256" i="25"/>
  <c r="AH256" i="25" s="1"/>
  <c r="AG256" i="25" s="1"/>
  <c r="AF256" i="25" s="1"/>
  <c r="AD256" i="25" s="1"/>
  <c r="AI252" i="25"/>
  <c r="AH252" i="25" s="1"/>
  <c r="AG252" i="25" s="1"/>
  <c r="AF252" i="25" s="1"/>
  <c r="AD252" i="25" s="1"/>
  <c r="AI248" i="25"/>
  <c r="AH248" i="25" s="1"/>
  <c r="AG248" i="25" s="1"/>
  <c r="AF248" i="25" s="1"/>
  <c r="AD248" i="25" s="1"/>
  <c r="AI244" i="25"/>
  <c r="AH244" i="25" s="1"/>
  <c r="AG244" i="25" s="1"/>
  <c r="AF244" i="25" s="1"/>
  <c r="AD244" i="25" s="1"/>
  <c r="AI240" i="25"/>
  <c r="AH240" i="25" s="1"/>
  <c r="AG240" i="25" s="1"/>
  <c r="AF240" i="25" s="1"/>
  <c r="AD240" i="25" s="1"/>
  <c r="AI236" i="25"/>
  <c r="AH236" i="25" s="1"/>
  <c r="AG236" i="25" s="1"/>
  <c r="AF236" i="25" s="1"/>
  <c r="AD236" i="25" s="1"/>
  <c r="AI232" i="25"/>
  <c r="AH232" i="25" s="1"/>
  <c r="AG232" i="25" s="1"/>
  <c r="AF232" i="25" s="1"/>
  <c r="AD232" i="25" s="1"/>
  <c r="AI228" i="25"/>
  <c r="AH228" i="25" s="1"/>
  <c r="AG228" i="25" s="1"/>
  <c r="AF228" i="25" s="1"/>
  <c r="AD228" i="25" s="1"/>
  <c r="AI224" i="25"/>
  <c r="AH224" i="25" s="1"/>
  <c r="AG224" i="25" s="1"/>
  <c r="AF224" i="25" s="1"/>
  <c r="AD224" i="25" s="1"/>
  <c r="AI220" i="25"/>
  <c r="AH220" i="25" s="1"/>
  <c r="AG220" i="25" s="1"/>
  <c r="AF220" i="25" s="1"/>
  <c r="AD220" i="25" s="1"/>
  <c r="AI216" i="25"/>
  <c r="AH216" i="25" s="1"/>
  <c r="AG216" i="25" s="1"/>
  <c r="AF216" i="25" s="1"/>
  <c r="AD216" i="25" s="1"/>
  <c r="AI212" i="25"/>
  <c r="AH212" i="25" s="1"/>
  <c r="AG212" i="25" s="1"/>
  <c r="AF212" i="25" s="1"/>
  <c r="AD212" i="25" s="1"/>
  <c r="AI208" i="25"/>
  <c r="AH208" i="25" s="1"/>
  <c r="AG208" i="25" s="1"/>
  <c r="AF208" i="25" s="1"/>
  <c r="AD208" i="25" s="1"/>
  <c r="AI204" i="25"/>
  <c r="AH204" i="25" s="1"/>
  <c r="AG204" i="25" s="1"/>
  <c r="AF204" i="25" s="1"/>
  <c r="AD204" i="25" s="1"/>
  <c r="AI200" i="25"/>
  <c r="AH200" i="25" s="1"/>
  <c r="AG200" i="25" s="1"/>
  <c r="AF200" i="25" s="1"/>
  <c r="AD200" i="25" s="1"/>
  <c r="AI196" i="25"/>
  <c r="AH196" i="25" s="1"/>
  <c r="AG196" i="25" s="1"/>
  <c r="AF196" i="25" s="1"/>
  <c r="AD196" i="25" s="1"/>
  <c r="AI192" i="25"/>
  <c r="AH192" i="25" s="1"/>
  <c r="AG192" i="25" s="1"/>
  <c r="AF192" i="25" s="1"/>
  <c r="AD192" i="25" s="1"/>
  <c r="AI188" i="25"/>
  <c r="AH188" i="25" s="1"/>
  <c r="AG188" i="25" s="1"/>
  <c r="AF188" i="25" s="1"/>
  <c r="AD188" i="25" s="1"/>
  <c r="AI184" i="25"/>
  <c r="AH184" i="25" s="1"/>
  <c r="AG184" i="25" s="1"/>
  <c r="AF184" i="25" s="1"/>
  <c r="AD184" i="25" s="1"/>
  <c r="AI180" i="25"/>
  <c r="AH180" i="25" s="1"/>
  <c r="AG180" i="25" s="1"/>
  <c r="AF180" i="25" s="1"/>
  <c r="AD180" i="25" s="1"/>
  <c r="AI176" i="25"/>
  <c r="AH176" i="25" s="1"/>
  <c r="AG176" i="25" s="1"/>
  <c r="AF176" i="25" s="1"/>
  <c r="AD176" i="25" s="1"/>
  <c r="AI172" i="25"/>
  <c r="AH172" i="25" s="1"/>
  <c r="AG172" i="25" s="1"/>
  <c r="AF172" i="25" s="1"/>
  <c r="AD172" i="25" s="1"/>
  <c r="AI168" i="25"/>
  <c r="AH168" i="25" s="1"/>
  <c r="AG168" i="25" s="1"/>
  <c r="AF168" i="25" s="1"/>
  <c r="AD168" i="25" s="1"/>
  <c r="AI164" i="25"/>
  <c r="AH164" i="25" s="1"/>
  <c r="AG164" i="25" s="1"/>
  <c r="AF164" i="25" s="1"/>
  <c r="AD164" i="25" s="1"/>
  <c r="AI160" i="25"/>
  <c r="AH160" i="25" s="1"/>
  <c r="AG160" i="25" s="1"/>
  <c r="AF160" i="25" s="1"/>
  <c r="AD160" i="25" s="1"/>
  <c r="AI156" i="25"/>
  <c r="AH156" i="25" s="1"/>
  <c r="AG156" i="25" s="1"/>
  <c r="AF156" i="25" s="1"/>
  <c r="AD156" i="25" s="1"/>
  <c r="AI152" i="25"/>
  <c r="AH152" i="25" s="1"/>
  <c r="AG152" i="25" s="1"/>
  <c r="AF152" i="25" s="1"/>
  <c r="AD152" i="25" s="1"/>
  <c r="AI148" i="25"/>
  <c r="AH148" i="25" s="1"/>
  <c r="AG148" i="25" s="1"/>
  <c r="AF148" i="25" s="1"/>
  <c r="AD148" i="25" s="1"/>
  <c r="AI144" i="25"/>
  <c r="AH144" i="25" s="1"/>
  <c r="AG144" i="25" s="1"/>
  <c r="AF144" i="25" s="1"/>
  <c r="AD144" i="25" s="1"/>
  <c r="AI140" i="25"/>
  <c r="AH140" i="25" s="1"/>
  <c r="AG140" i="25" s="1"/>
  <c r="AF140" i="25" s="1"/>
  <c r="AD140" i="25" s="1"/>
  <c r="AI136" i="25"/>
  <c r="AH136" i="25" s="1"/>
  <c r="AG136" i="25" s="1"/>
  <c r="AF136" i="25" s="1"/>
  <c r="AD136" i="25" s="1"/>
  <c r="AI132" i="25"/>
  <c r="AH132" i="25" s="1"/>
  <c r="AG132" i="25" s="1"/>
  <c r="AF132" i="25" s="1"/>
  <c r="AD132" i="25" s="1"/>
  <c r="AI128" i="25"/>
  <c r="AH128" i="25" s="1"/>
  <c r="AG128" i="25" s="1"/>
  <c r="AF128" i="25" s="1"/>
  <c r="AD128" i="25" s="1"/>
  <c r="AI124" i="25"/>
  <c r="AH124" i="25" s="1"/>
  <c r="AG124" i="25" s="1"/>
  <c r="AF124" i="25" s="1"/>
  <c r="AD124" i="25" s="1"/>
  <c r="AI120" i="25"/>
  <c r="AH120" i="25" s="1"/>
  <c r="AG120" i="25" s="1"/>
  <c r="AF120" i="25" s="1"/>
  <c r="AD120" i="25" s="1"/>
  <c r="AI116" i="25"/>
  <c r="AH116" i="25" s="1"/>
  <c r="AG116" i="25" s="1"/>
  <c r="AF116" i="25" s="1"/>
  <c r="AD116" i="25" s="1"/>
  <c r="AI112" i="25"/>
  <c r="AH112" i="25" s="1"/>
  <c r="AG112" i="25" s="1"/>
  <c r="AF112" i="25" s="1"/>
  <c r="AD112" i="25" s="1"/>
  <c r="AI108" i="25"/>
  <c r="AH108" i="25" s="1"/>
  <c r="AG108" i="25" s="1"/>
  <c r="AF108" i="25" s="1"/>
  <c r="AD108" i="25" s="1"/>
  <c r="AI104" i="25"/>
  <c r="AH104" i="25" s="1"/>
  <c r="AG104" i="25" s="1"/>
  <c r="AF104" i="25" s="1"/>
  <c r="AD104" i="25" s="1"/>
  <c r="AI100" i="25"/>
  <c r="AH100" i="25" s="1"/>
  <c r="AG100" i="25" s="1"/>
  <c r="AF100" i="25" s="1"/>
  <c r="AD100" i="25" s="1"/>
  <c r="AI96" i="25"/>
  <c r="AH96" i="25" s="1"/>
  <c r="AG96" i="25" s="1"/>
  <c r="AF96" i="25" s="1"/>
  <c r="AD96" i="25" s="1"/>
  <c r="AI92" i="25"/>
  <c r="AH92" i="25" s="1"/>
  <c r="AG92" i="25" s="1"/>
  <c r="AF92" i="25" s="1"/>
  <c r="AD92" i="25" s="1"/>
  <c r="AI88" i="25"/>
  <c r="AH88" i="25" s="1"/>
  <c r="AG88" i="25" s="1"/>
  <c r="AF88" i="25" s="1"/>
  <c r="AD88" i="25" s="1"/>
  <c r="AI84" i="25"/>
  <c r="AH84" i="25" s="1"/>
  <c r="AG84" i="25" s="1"/>
  <c r="AF84" i="25" s="1"/>
  <c r="AD84" i="25" s="1"/>
  <c r="AI80" i="25"/>
  <c r="AH80" i="25" s="1"/>
  <c r="AG80" i="25" s="1"/>
  <c r="AF80" i="25" s="1"/>
  <c r="AD80" i="25" s="1"/>
  <c r="AI76" i="25"/>
  <c r="AH76" i="25" s="1"/>
  <c r="AG76" i="25" s="1"/>
  <c r="AF76" i="25" s="1"/>
  <c r="AD76" i="25" s="1"/>
  <c r="AI72" i="25"/>
  <c r="AH72" i="25" s="1"/>
  <c r="AG72" i="25" s="1"/>
  <c r="AF72" i="25" s="1"/>
  <c r="AD72" i="25" s="1"/>
  <c r="AI68" i="25"/>
  <c r="AH68" i="25" s="1"/>
  <c r="AG68" i="25" s="1"/>
  <c r="AF68" i="25" s="1"/>
  <c r="AD68" i="25" s="1"/>
  <c r="AI64" i="25"/>
  <c r="AH64" i="25" s="1"/>
  <c r="AG64" i="25" s="1"/>
  <c r="AF64" i="25" s="1"/>
  <c r="AD64" i="25" s="1"/>
  <c r="AI60" i="25"/>
  <c r="AH60" i="25" s="1"/>
  <c r="AG60" i="25" s="1"/>
  <c r="AF60" i="25" s="1"/>
  <c r="AD60" i="25" s="1"/>
  <c r="AI56" i="25"/>
  <c r="AH56" i="25" s="1"/>
  <c r="AG56" i="25" s="1"/>
  <c r="AF56" i="25" s="1"/>
  <c r="AD56" i="25" s="1"/>
  <c r="AI52" i="25"/>
  <c r="AH52" i="25" s="1"/>
  <c r="AG52" i="25" s="1"/>
  <c r="AF52" i="25" s="1"/>
  <c r="AD52" i="25" s="1"/>
  <c r="AI48" i="25"/>
  <c r="AH48" i="25" s="1"/>
  <c r="AG48" i="25" s="1"/>
  <c r="AF48" i="25" s="1"/>
  <c r="AD48" i="25" s="1"/>
  <c r="AI44" i="25"/>
  <c r="AH44" i="25" s="1"/>
  <c r="AG44" i="25" s="1"/>
  <c r="AF44" i="25" s="1"/>
  <c r="AD44" i="25" s="1"/>
  <c r="AI40" i="25"/>
  <c r="AH40" i="25" s="1"/>
  <c r="AG40" i="25" s="1"/>
  <c r="AF40" i="25" s="1"/>
  <c r="AD40" i="25" s="1"/>
  <c r="AI36" i="25"/>
  <c r="AH36" i="25" s="1"/>
  <c r="AG36" i="25" s="1"/>
  <c r="AF36" i="25" s="1"/>
  <c r="AD36" i="25" s="1"/>
  <c r="AI32" i="25"/>
  <c r="AH32" i="25" s="1"/>
  <c r="AG32" i="25" s="1"/>
  <c r="AF32" i="25" s="1"/>
  <c r="AD32" i="25" s="1"/>
  <c r="AI28" i="25"/>
  <c r="AH28" i="25" s="1"/>
  <c r="AG28" i="25" s="1"/>
  <c r="AF28" i="25" s="1"/>
  <c r="AD28" i="25" s="1"/>
  <c r="AI26" i="25"/>
  <c r="AH26" i="25" s="1"/>
  <c r="AG26" i="25" s="1"/>
  <c r="AF26" i="25" s="1"/>
  <c r="AD26" i="25" s="1"/>
  <c r="AI25" i="25"/>
  <c r="AH25" i="25" s="1"/>
  <c r="AG25" i="25" s="1"/>
  <c r="AF25" i="25" s="1"/>
  <c r="AD25" i="25" s="1"/>
  <c r="AI18" i="25"/>
  <c r="AH18" i="25" s="1"/>
  <c r="AG18" i="25" s="1"/>
  <c r="AF18" i="25" s="1"/>
  <c r="AD18" i="25" s="1"/>
  <c r="AI349" i="25"/>
  <c r="AH349" i="25" s="1"/>
  <c r="AG349" i="25" s="1"/>
  <c r="AF349" i="25" s="1"/>
  <c r="AD349" i="25" s="1"/>
  <c r="AI309" i="25"/>
  <c r="AH309" i="25" s="1"/>
  <c r="AG309" i="25" s="1"/>
  <c r="AF309" i="25" s="1"/>
  <c r="AD309" i="25" s="1"/>
  <c r="AI277" i="25"/>
  <c r="AH277" i="25" s="1"/>
  <c r="AG277" i="25" s="1"/>
  <c r="AF277" i="25" s="1"/>
  <c r="AD277" i="25" s="1"/>
  <c r="AI253" i="25"/>
  <c r="AH253" i="25" s="1"/>
  <c r="AG253" i="25" s="1"/>
  <c r="AF253" i="25" s="1"/>
  <c r="AD253" i="25" s="1"/>
  <c r="AI221" i="25"/>
  <c r="AH221" i="25" s="1"/>
  <c r="AG221" i="25" s="1"/>
  <c r="AF221" i="25" s="1"/>
  <c r="AD221" i="25" s="1"/>
  <c r="AI181" i="25"/>
  <c r="AH181" i="25" s="1"/>
  <c r="AG181" i="25" s="1"/>
  <c r="AF181" i="25" s="1"/>
  <c r="AD181" i="25" s="1"/>
  <c r="AI149" i="25"/>
  <c r="AH149" i="25" s="1"/>
  <c r="AG149" i="25" s="1"/>
  <c r="AF149" i="25" s="1"/>
  <c r="AD149" i="25" s="1"/>
  <c r="AI85" i="25"/>
  <c r="AH85" i="25" s="1"/>
  <c r="AG85" i="25" s="1"/>
  <c r="AF85" i="25" s="1"/>
  <c r="AD85" i="25" s="1"/>
  <c r="AI377" i="25"/>
  <c r="AH377" i="25" s="1"/>
  <c r="AG377" i="25" s="1"/>
  <c r="AF377" i="25" s="1"/>
  <c r="AD377" i="25" s="1"/>
  <c r="AI361" i="25"/>
  <c r="AH361" i="25" s="1"/>
  <c r="AG361" i="25" s="1"/>
  <c r="AF361" i="25" s="1"/>
  <c r="AD361" i="25" s="1"/>
  <c r="AI345" i="25"/>
  <c r="AH345" i="25" s="1"/>
  <c r="AG345" i="25" s="1"/>
  <c r="AF345" i="25" s="1"/>
  <c r="AD345" i="25" s="1"/>
  <c r="AI329" i="25"/>
  <c r="AH329" i="25" s="1"/>
  <c r="AG329" i="25" s="1"/>
  <c r="AF329" i="25" s="1"/>
  <c r="AD329" i="25" s="1"/>
  <c r="AI313" i="25"/>
  <c r="AH313" i="25" s="1"/>
  <c r="AG313" i="25" s="1"/>
  <c r="AF313" i="25" s="1"/>
  <c r="AD313" i="25" s="1"/>
  <c r="AI297" i="25"/>
  <c r="AH297" i="25" s="1"/>
  <c r="AG297" i="25" s="1"/>
  <c r="AF297" i="25" s="1"/>
  <c r="AD297" i="25" s="1"/>
  <c r="AI281" i="25"/>
  <c r="AH281" i="25" s="1"/>
  <c r="AG281" i="25" s="1"/>
  <c r="AF281" i="25" s="1"/>
  <c r="AD281" i="25" s="1"/>
  <c r="AI265" i="25"/>
  <c r="AH265" i="25" s="1"/>
  <c r="AG265" i="25" s="1"/>
  <c r="AF265" i="25" s="1"/>
  <c r="AD265" i="25" s="1"/>
  <c r="AI249" i="25"/>
  <c r="AH249" i="25" s="1"/>
  <c r="AG249" i="25" s="1"/>
  <c r="AF249" i="25" s="1"/>
  <c r="AD249" i="25" s="1"/>
  <c r="AI233" i="25"/>
  <c r="AH233" i="25" s="1"/>
  <c r="AG233" i="25" s="1"/>
  <c r="AF233" i="25" s="1"/>
  <c r="AD233" i="25" s="1"/>
  <c r="AI217" i="25"/>
  <c r="AH217" i="25" s="1"/>
  <c r="AG217" i="25" s="1"/>
  <c r="AF217" i="25" s="1"/>
  <c r="AD217" i="25" s="1"/>
  <c r="AI201" i="25"/>
  <c r="AH201" i="25" s="1"/>
  <c r="AG201" i="25" s="1"/>
  <c r="AF201" i="25" s="1"/>
  <c r="AD201" i="25" s="1"/>
  <c r="AI185" i="25"/>
  <c r="AH185" i="25" s="1"/>
  <c r="AG185" i="25" s="1"/>
  <c r="AF185" i="25" s="1"/>
  <c r="AD185" i="25" s="1"/>
  <c r="AI169" i="25"/>
  <c r="AH169" i="25" s="1"/>
  <c r="AG169" i="25" s="1"/>
  <c r="AF169" i="25" s="1"/>
  <c r="AD169" i="25" s="1"/>
  <c r="AI153" i="25"/>
  <c r="AH153" i="25" s="1"/>
  <c r="AG153" i="25" s="1"/>
  <c r="AF153" i="25" s="1"/>
  <c r="AD153" i="25" s="1"/>
  <c r="AI125" i="25"/>
  <c r="AH125" i="25" s="1"/>
  <c r="AG125" i="25" s="1"/>
  <c r="AF125" i="25" s="1"/>
  <c r="AD125" i="25" s="1"/>
  <c r="AI93" i="25"/>
  <c r="AH93" i="25" s="1"/>
  <c r="AG93" i="25" s="1"/>
  <c r="AF93" i="25" s="1"/>
  <c r="AD93" i="25" s="1"/>
  <c r="AI45" i="25"/>
  <c r="AH45" i="25" s="1"/>
  <c r="AG45" i="25" s="1"/>
  <c r="AF45" i="25" s="1"/>
  <c r="AD45" i="25" s="1"/>
  <c r="AI357" i="25"/>
  <c r="AH357" i="25" s="1"/>
  <c r="AG357" i="25" s="1"/>
  <c r="AF357" i="25" s="1"/>
  <c r="AD357" i="25" s="1"/>
  <c r="AI333" i="25"/>
  <c r="AH333" i="25" s="1"/>
  <c r="AG333" i="25" s="1"/>
  <c r="AF333" i="25" s="1"/>
  <c r="AD333" i="25" s="1"/>
  <c r="AI301" i="25"/>
  <c r="AH301" i="25" s="1"/>
  <c r="AG301" i="25" s="1"/>
  <c r="AF301" i="25" s="1"/>
  <c r="AD301" i="25" s="1"/>
  <c r="AI261" i="25"/>
  <c r="AH261" i="25" s="1"/>
  <c r="AG261" i="25" s="1"/>
  <c r="AF261" i="25" s="1"/>
  <c r="AD261" i="25" s="1"/>
  <c r="AI229" i="25"/>
  <c r="AH229" i="25" s="1"/>
  <c r="AG229" i="25" s="1"/>
  <c r="AF229" i="25" s="1"/>
  <c r="AD229" i="25" s="1"/>
  <c r="AI205" i="25"/>
  <c r="AH205" i="25" s="1"/>
  <c r="AG205" i="25" s="1"/>
  <c r="AF205" i="25" s="1"/>
  <c r="AD205" i="25" s="1"/>
  <c r="AI173" i="25"/>
  <c r="AH173" i="25" s="1"/>
  <c r="AG173" i="25" s="1"/>
  <c r="AF173" i="25" s="1"/>
  <c r="AD173" i="25" s="1"/>
  <c r="AI133" i="25"/>
  <c r="AH133" i="25" s="1"/>
  <c r="AG133" i="25" s="1"/>
  <c r="AF133" i="25" s="1"/>
  <c r="AD133" i="25" s="1"/>
  <c r="AI61" i="25"/>
  <c r="AH61" i="25" s="1"/>
  <c r="AG61" i="25" s="1"/>
  <c r="AF61" i="25" s="1"/>
  <c r="AD61" i="25" s="1"/>
  <c r="V88" i="25" l="1"/>
  <c r="AH77" i="7"/>
  <c r="AH74" i="7"/>
  <c r="AH73" i="7"/>
  <c r="C70" i="19"/>
  <c r="C59" i="19" s="1"/>
  <c r="G70" i="19"/>
  <c r="G57" i="19" s="1"/>
  <c r="AH71" i="7"/>
  <c r="V119" i="25"/>
  <c r="E70" i="19" s="1"/>
  <c r="E58" i="19" s="1"/>
  <c r="AH68" i="7"/>
  <c r="V29" i="25"/>
  <c r="AH72" i="7"/>
  <c r="V149" i="25"/>
  <c r="F70" i="19" s="1"/>
  <c r="H70" i="19"/>
  <c r="AH78" i="7"/>
  <c r="V333" i="25"/>
  <c r="L70" i="19" s="1"/>
  <c r="S15" i="25"/>
  <c r="AF383" i="24"/>
  <c r="AF381" i="24"/>
  <c r="AD15" i="24"/>
  <c r="AF382" i="24"/>
  <c r="P15" i="24"/>
  <c r="R381" i="24"/>
  <c r="R383" i="24"/>
  <c r="R382" i="24"/>
  <c r="D70" i="19"/>
  <c r="J70" i="19"/>
  <c r="V363" i="25"/>
  <c r="AH79" i="7"/>
  <c r="T379" i="25"/>
  <c r="S379" i="25" s="1"/>
  <c r="R379" i="25" s="1"/>
  <c r="P379" i="25" s="1"/>
  <c r="BF16" i="7"/>
  <c r="AH15" i="25"/>
  <c r="AI381" i="25"/>
  <c r="AI382" i="25"/>
  <c r="AI383" i="25"/>
  <c r="T19" i="25"/>
  <c r="S19" i="25" s="1"/>
  <c r="R19" i="25" s="1"/>
  <c r="P19" i="25" s="1"/>
  <c r="V19" i="25" s="1"/>
  <c r="U383" i="25"/>
  <c r="U382" i="25"/>
  <c r="AH75" i="7"/>
  <c r="V241" i="25"/>
  <c r="I70" i="19" s="1"/>
  <c r="K70" i="19"/>
  <c r="U381" i="25"/>
  <c r="V383" i="23"/>
  <c r="V381" i="23"/>
  <c r="B68" i="19"/>
  <c r="N68" i="19" s="1"/>
  <c r="V382" i="23"/>
  <c r="E57" i="19"/>
  <c r="C57" i="19"/>
  <c r="V379" i="25" l="1"/>
  <c r="D44" i="19"/>
  <c r="D33" i="19" s="1"/>
  <c r="C58" i="19"/>
  <c r="E59" i="19"/>
  <c r="G58" i="19"/>
  <c r="G59" i="19"/>
  <c r="T381" i="25"/>
  <c r="T382" i="25"/>
  <c r="M70" i="19"/>
  <c r="M57" i="19" s="1"/>
  <c r="L57" i="19"/>
  <c r="L59" i="19"/>
  <c r="L58" i="19"/>
  <c r="I57" i="19"/>
  <c r="I59" i="19"/>
  <c r="I58" i="19"/>
  <c r="K58" i="19"/>
  <c r="K59" i="19"/>
  <c r="K57" i="19"/>
  <c r="J58" i="19"/>
  <c r="J57" i="19"/>
  <c r="J59" i="19"/>
  <c r="D59" i="19"/>
  <c r="D57" i="19"/>
  <c r="D58" i="19"/>
  <c r="H57" i="19"/>
  <c r="H58" i="19"/>
  <c r="H59" i="19"/>
  <c r="F59" i="19"/>
  <c r="F58" i="19"/>
  <c r="F57" i="19"/>
  <c r="AH383" i="25"/>
  <c r="AG15" i="25"/>
  <c r="AH382" i="25"/>
  <c r="AH381" i="25"/>
  <c r="V15" i="24"/>
  <c r="P381" i="24"/>
  <c r="P382" i="24"/>
  <c r="P383" i="24"/>
  <c r="AD383" i="24"/>
  <c r="AD382" i="24"/>
  <c r="AD381" i="24"/>
  <c r="T383" i="25"/>
  <c r="S382" i="25"/>
  <c r="S381" i="25"/>
  <c r="S383" i="25"/>
  <c r="R15" i="25"/>
  <c r="M58" i="19" l="1"/>
  <c r="M59" i="19"/>
  <c r="R381" i="25"/>
  <c r="R383" i="25"/>
  <c r="R382" i="25"/>
  <c r="P15" i="25"/>
  <c r="AG383" i="25"/>
  <c r="AG382" i="25"/>
  <c r="AG381" i="25"/>
  <c r="AF15" i="25"/>
  <c r="V382" i="24"/>
  <c r="B69" i="19"/>
  <c r="N69" i="19" s="1"/>
  <c r="V381" i="24"/>
  <c r="V383" i="24"/>
  <c r="AF381" i="25" l="1"/>
  <c r="AF383" i="25"/>
  <c r="AF382" i="25"/>
  <c r="AD15" i="25"/>
  <c r="P383" i="25"/>
  <c r="P381" i="25"/>
  <c r="P382" i="25"/>
  <c r="V15" i="25"/>
  <c r="V380" i="25" l="1"/>
  <c r="B70" i="19"/>
  <c r="AD383" i="25"/>
  <c r="AD381" i="25"/>
  <c r="AD382" i="25"/>
  <c r="V381" i="25" l="1"/>
  <c r="V383" i="25"/>
  <c r="V382" i="25"/>
  <c r="N70" i="19"/>
  <c r="B59" i="19"/>
  <c r="B58" i="19"/>
  <c r="B57" i="19"/>
  <c r="W378" i="17"/>
  <c r="W374" i="17"/>
  <c r="W370" i="17"/>
  <c r="W366" i="17"/>
  <c r="W358" i="17"/>
  <c r="W354" i="17"/>
  <c r="W350" i="17"/>
  <c r="W346" i="17"/>
  <c r="W342" i="17"/>
  <c r="W338" i="17"/>
  <c r="W334" i="17"/>
  <c r="W330" i="17"/>
  <c r="W326" i="17"/>
  <c r="W322" i="17"/>
  <c r="W318" i="17"/>
  <c r="W314" i="17"/>
  <c r="W310" i="17"/>
  <c r="W306" i="17"/>
  <c r="W302" i="17"/>
  <c r="W298" i="17"/>
  <c r="W294" i="17"/>
  <c r="W290" i="17"/>
  <c r="W286" i="17"/>
  <c r="W282" i="17"/>
  <c r="W278" i="17"/>
  <c r="W274" i="17"/>
  <c r="W270" i="17"/>
  <c r="W266" i="17"/>
  <c r="W262" i="17"/>
  <c r="W258" i="17"/>
  <c r="W254" i="17"/>
  <c r="W250" i="17"/>
  <c r="W246" i="17"/>
  <c r="W242" i="17"/>
  <c r="W238" i="17"/>
  <c r="W234" i="17"/>
  <c r="W230" i="17"/>
  <c r="W226" i="17"/>
  <c r="W222" i="17"/>
  <c r="W218" i="17"/>
  <c r="W214" i="17"/>
  <c r="W210" i="17"/>
  <c r="W375" i="17"/>
  <c r="W367" i="17"/>
  <c r="W359" i="17"/>
  <c r="W351" i="17"/>
  <c r="W343" i="17"/>
  <c r="W335" i="17"/>
  <c r="W327" i="17"/>
  <c r="W319" i="17"/>
  <c r="W311" i="17"/>
  <c r="W303" i="17"/>
  <c r="W295" i="17"/>
  <c r="W287" i="17"/>
  <c r="W279" i="17"/>
  <c r="W271" i="17"/>
  <c r="W263" i="17"/>
  <c r="W255" i="17"/>
  <c r="W247" i="17"/>
  <c r="W239" i="17"/>
  <c r="W231" i="17"/>
  <c r="W223" i="17"/>
  <c r="W215" i="17"/>
  <c r="W208" i="17"/>
  <c r="W204" i="17"/>
  <c r="W200" i="17"/>
  <c r="W196" i="17"/>
  <c r="W192" i="17"/>
  <c r="W188" i="17"/>
  <c r="W184" i="17"/>
  <c r="W180" i="17"/>
  <c r="W176" i="17"/>
  <c r="W172" i="17"/>
  <c r="W168" i="17"/>
  <c r="W164" i="17"/>
  <c r="W160" i="17"/>
  <c r="W156" i="17"/>
  <c r="W152" i="17"/>
  <c r="W148" i="17"/>
  <c r="W144" i="17"/>
  <c r="W140" i="17"/>
  <c r="W136" i="17"/>
  <c r="W132" i="17"/>
  <c r="W128" i="17"/>
  <c r="W372" i="17"/>
  <c r="W364" i="17"/>
  <c r="W356" i="17"/>
  <c r="W348" i="17"/>
  <c r="W340" i="17"/>
  <c r="W332" i="17"/>
  <c r="W324" i="17"/>
  <c r="W316" i="17"/>
  <c r="W308" i="17"/>
  <c r="W300" i="17"/>
  <c r="W292" i="17"/>
  <c r="W284" i="17"/>
  <c r="W276" i="17"/>
  <c r="W268" i="17"/>
  <c r="W260" i="17"/>
  <c r="W252" i="17"/>
  <c r="W244" i="17"/>
  <c r="W236" i="17"/>
  <c r="W228" i="17"/>
  <c r="W220" i="17"/>
  <c r="W212" i="17"/>
  <c r="W371" i="17"/>
  <c r="W355" i="17"/>
  <c r="W339" i="17"/>
  <c r="W323" i="17"/>
  <c r="W307" i="17"/>
  <c r="W291" i="17"/>
  <c r="W275" i="17"/>
  <c r="W259" i="17"/>
  <c r="W243" i="17"/>
  <c r="W227" i="17"/>
  <c r="W211" i="17"/>
  <c r="W202" i="17"/>
  <c r="W194" i="17"/>
  <c r="W186" i="17"/>
  <c r="W178" i="17"/>
  <c r="W170" i="17"/>
  <c r="W162" i="17"/>
  <c r="W154" i="17"/>
  <c r="W146" i="17"/>
  <c r="W138" i="17"/>
  <c r="W130" i="17"/>
  <c r="W373" i="17"/>
  <c r="W357" i="17"/>
  <c r="W341" i="17"/>
  <c r="W325" i="17"/>
  <c r="W309" i="17"/>
  <c r="W293" i="17"/>
  <c r="W277" i="17"/>
  <c r="W261" i="17"/>
  <c r="W245" i="17"/>
  <c r="W229" i="17"/>
  <c r="W213" i="17"/>
  <c r="W203" i="17"/>
  <c r="W195" i="17"/>
  <c r="W187" i="17"/>
  <c r="W179" i="17"/>
  <c r="W171" i="17"/>
  <c r="W163" i="17"/>
  <c r="W155" i="17"/>
  <c r="W147" i="17"/>
  <c r="W139" i="17"/>
  <c r="W131" i="17"/>
  <c r="W124" i="17"/>
  <c r="W120" i="17"/>
  <c r="W116" i="17"/>
  <c r="W112" i="17"/>
  <c r="W108" i="17"/>
  <c r="W104" i="17"/>
  <c r="W100" i="17"/>
  <c r="W96" i="17"/>
  <c r="W92" i="17"/>
  <c r="W88" i="17"/>
  <c r="W84" i="17"/>
  <c r="W80" i="17"/>
  <c r="W76" i="17"/>
  <c r="W72" i="17"/>
  <c r="W68" i="17"/>
  <c r="W64" i="17"/>
  <c r="W60" i="17"/>
  <c r="W56" i="17"/>
  <c r="W52" i="17"/>
  <c r="W48" i="17"/>
  <c r="W44" i="17"/>
  <c r="W40" i="17"/>
  <c r="W368" i="17"/>
  <c r="W352" i="17"/>
  <c r="W336" i="17"/>
  <c r="W320" i="17"/>
  <c r="W304" i="17"/>
  <c r="W288" i="17"/>
  <c r="W272" i="17"/>
  <c r="W256" i="17"/>
  <c r="W240" i="17"/>
  <c r="W224" i="17"/>
  <c r="W379" i="17"/>
  <c r="W347" i="17"/>
  <c r="W315" i="17"/>
  <c r="W283" i="17"/>
  <c r="W251" i="17"/>
  <c r="W219" i="17"/>
  <c r="W198" i="17"/>
  <c r="W182" i="17"/>
  <c r="W166" i="17"/>
  <c r="W150" i="17"/>
  <c r="W134" i="17"/>
  <c r="W365" i="17"/>
  <c r="W333" i="17"/>
  <c r="W301" i="17"/>
  <c r="W269" i="17"/>
  <c r="W237" i="17"/>
  <c r="W207" i="17"/>
  <c r="W191" i="17"/>
  <c r="W175" i="17"/>
  <c r="W159" i="17"/>
  <c r="W143" i="17"/>
  <c r="W127" i="17"/>
  <c r="W118" i="17"/>
  <c r="W110" i="17"/>
  <c r="W102" i="17"/>
  <c r="W94" i="17"/>
  <c r="W86" i="17"/>
  <c r="W78" i="17"/>
  <c r="W70" i="17"/>
  <c r="W62" i="17"/>
  <c r="W54" i="17"/>
  <c r="W46" i="17"/>
  <c r="W38" i="17"/>
  <c r="W34" i="17"/>
  <c r="W30" i="17"/>
  <c r="W26" i="17"/>
  <c r="W22" i="17"/>
  <c r="W18" i="17"/>
  <c r="W377" i="17"/>
  <c r="W361" i="17"/>
  <c r="W345" i="17"/>
  <c r="W329" i="17"/>
  <c r="W313" i="17"/>
  <c r="W297" i="17"/>
  <c r="W281" i="17"/>
  <c r="W265" i="17"/>
  <c r="W249" i="17"/>
  <c r="W233" i="17"/>
  <c r="W205" i="17"/>
  <c r="W189" i="17"/>
  <c r="W173" i="17"/>
  <c r="W157" i="17"/>
  <c r="W141" i="17"/>
  <c r="W125" i="17"/>
  <c r="W117" i="17"/>
  <c r="W109" i="17"/>
  <c r="W101" i="17"/>
  <c r="W93" i="17"/>
  <c r="W85" i="17"/>
  <c r="W77" i="17"/>
  <c r="W69" i="17"/>
  <c r="W61" i="17"/>
  <c r="W53" i="17"/>
  <c r="W45" i="17"/>
  <c r="W37" i="17"/>
  <c r="W29" i="17"/>
  <c r="W21" i="17"/>
  <c r="W209" i="17"/>
  <c r="W177" i="17"/>
  <c r="W145" i="17"/>
  <c r="W119" i="17"/>
  <c r="W103" i="17"/>
  <c r="W87" i="17"/>
  <c r="W71" i="17"/>
  <c r="W55" i="17"/>
  <c r="W39" i="17"/>
  <c r="W23" i="17"/>
  <c r="W15" i="17"/>
  <c r="W115" i="17"/>
  <c r="W99" i="17"/>
  <c r="W83" i="17"/>
  <c r="W67" i="17"/>
  <c r="W137" i="17"/>
  <c r="W51" i="17"/>
  <c r="W35" i="17"/>
  <c r="W19" i="17"/>
  <c r="W201" i="17"/>
  <c r="W169" i="17"/>
  <c r="W360" i="17"/>
  <c r="W328" i="17"/>
  <c r="W296" i="17"/>
  <c r="W264" i="17"/>
  <c r="W232" i="17"/>
  <c r="W363" i="17"/>
  <c r="W299" i="17"/>
  <c r="W235" i="17"/>
  <c r="W190" i="17"/>
  <c r="W158" i="17"/>
  <c r="W126" i="17"/>
  <c r="W317" i="17"/>
  <c r="W253" i="17"/>
  <c r="W199" i="17"/>
  <c r="W167" i="17"/>
  <c r="W135" i="17"/>
  <c r="W114" i="17"/>
  <c r="W98" i="17"/>
  <c r="W82" i="17"/>
  <c r="W66" i="17"/>
  <c r="W50" i="17"/>
  <c r="W36" i="17"/>
  <c r="W28" i="17"/>
  <c r="W20" i="17"/>
  <c r="W369" i="17"/>
  <c r="W337" i="17"/>
  <c r="W305" i="17"/>
  <c r="W273" i="17"/>
  <c r="W241" i="17"/>
  <c r="W197" i="17"/>
  <c r="W165" i="17"/>
  <c r="W133" i="17"/>
  <c r="W113" i="17"/>
  <c r="W97" i="17"/>
  <c r="W81" i="17"/>
  <c r="W65" i="17"/>
  <c r="W49" i="17"/>
  <c r="W33" i="17"/>
  <c r="W17" i="17"/>
  <c r="W161" i="17"/>
  <c r="W111" i="17"/>
  <c r="W79" i="17"/>
  <c r="W47" i="17"/>
  <c r="W107" i="17"/>
  <c r="W75" i="17"/>
  <c r="W59" i="17"/>
  <c r="W27" i="17"/>
  <c r="W185" i="17"/>
  <c r="D316" i="17"/>
  <c r="E316" i="17" s="1"/>
  <c r="F316" i="17" s="1"/>
  <c r="W32" i="17"/>
  <c r="W376" i="17"/>
  <c r="W280" i="17"/>
  <c r="W344" i="17"/>
  <c r="W216" i="17"/>
  <c r="W267" i="17"/>
  <c r="W174" i="17"/>
  <c r="W349" i="17"/>
  <c r="W221" i="17"/>
  <c r="W151" i="17"/>
  <c r="W106" i="17"/>
  <c r="W74" i="17"/>
  <c r="W42" i="17"/>
  <c r="W24" i="17"/>
  <c r="W353" i="17"/>
  <c r="W289" i="17"/>
  <c r="W217" i="17"/>
  <c r="W149" i="17"/>
  <c r="W105" i="17"/>
  <c r="W73" i="17"/>
  <c r="W41" i="17"/>
  <c r="W193" i="17"/>
  <c r="W95" i="17"/>
  <c r="W31" i="17"/>
  <c r="W123" i="17"/>
  <c r="W153" i="17"/>
  <c r="W225" i="17"/>
  <c r="D300" i="17"/>
  <c r="E300" i="17" s="1"/>
  <c r="F300" i="17" s="1"/>
  <c r="D169" i="17"/>
  <c r="E169" i="17" s="1"/>
  <c r="F169" i="17" s="1"/>
  <c r="D201" i="17"/>
  <c r="E201" i="17" s="1"/>
  <c r="F201" i="17" s="1"/>
  <c r="W43" i="17"/>
  <c r="D307" i="17"/>
  <c r="E307" i="17" s="1"/>
  <c r="F307" i="17" s="1"/>
  <c r="D102" i="17"/>
  <c r="E102" i="17" s="1"/>
  <c r="F102" i="17" s="1"/>
  <c r="H102" i="17" s="1"/>
  <c r="D176" i="17"/>
  <c r="E176" i="17" s="1"/>
  <c r="F176" i="17" s="1"/>
  <c r="W91" i="17"/>
  <c r="W312" i="17"/>
  <c r="W57" i="17"/>
  <c r="W285" i="17"/>
  <c r="W331" i="17"/>
  <c r="W142" i="17"/>
  <c r="W183" i="17"/>
  <c r="W90" i="17"/>
  <c r="W321" i="17"/>
  <c r="W181" i="17"/>
  <c r="W89" i="17"/>
  <c r="W25" i="17"/>
  <c r="W63" i="17"/>
  <c r="D77" i="17"/>
  <c r="E77" i="17" s="1"/>
  <c r="F77" i="17" s="1"/>
  <c r="D27" i="17"/>
  <c r="E27" i="17" s="1"/>
  <c r="F27" i="17" s="1"/>
  <c r="D32" i="17"/>
  <c r="E32" i="17" s="1"/>
  <c r="F32" i="17" s="1"/>
  <c r="D79" i="17"/>
  <c r="E79" i="17" s="1"/>
  <c r="F79" i="17" s="1"/>
  <c r="D372" i="17"/>
  <c r="E372" i="17" s="1"/>
  <c r="F372" i="17" s="1"/>
  <c r="D356" i="17"/>
  <c r="E356" i="17" s="1"/>
  <c r="F356" i="17" s="1"/>
  <c r="D275" i="17"/>
  <c r="E275" i="17" s="1"/>
  <c r="F275" i="17" s="1"/>
  <c r="D135" i="17"/>
  <c r="E135" i="17" s="1"/>
  <c r="F135" i="17" s="1"/>
  <c r="D152" i="17"/>
  <c r="E152" i="17" s="1"/>
  <c r="F152" i="17" s="1"/>
  <c r="D56" i="17"/>
  <c r="E56" i="17" s="1"/>
  <c r="F56" i="17" s="1"/>
  <c r="D318" i="17"/>
  <c r="E318" i="17" s="1"/>
  <c r="F318" i="17" s="1"/>
  <c r="D59" i="17"/>
  <c r="E59" i="17" s="1"/>
  <c r="F59" i="17" s="1"/>
  <c r="D131" i="17"/>
  <c r="E131" i="17" s="1"/>
  <c r="F131" i="17" s="1"/>
  <c r="D91" i="17"/>
  <c r="E91" i="17" s="1"/>
  <c r="F91" i="17" s="1"/>
  <c r="W16" i="17"/>
  <c r="D292" i="17"/>
  <c r="E292" i="17" s="1"/>
  <c r="F292" i="17" s="1"/>
  <c r="D51" i="17"/>
  <c r="E51" i="17" s="1"/>
  <c r="F51" i="17" s="1"/>
  <c r="D350" i="17"/>
  <c r="E350" i="17" s="1"/>
  <c r="F350" i="17" s="1"/>
  <c r="D326" i="17"/>
  <c r="E326" i="17" s="1"/>
  <c r="F326" i="17" s="1"/>
  <c r="D306" i="17"/>
  <c r="E306" i="17" s="1"/>
  <c r="F306" i="17" s="1"/>
  <c r="D218" i="17"/>
  <c r="E218" i="17" s="1"/>
  <c r="F218" i="17" s="1"/>
  <c r="D154" i="17"/>
  <c r="E154" i="17" s="1"/>
  <c r="F154" i="17" s="1"/>
  <c r="D68" i="17"/>
  <c r="E68" i="17" s="1"/>
  <c r="F68" i="17" s="1"/>
  <c r="D364" i="17"/>
  <c r="E364" i="17" s="1"/>
  <c r="F364" i="17" s="1"/>
  <c r="D219" i="17"/>
  <c r="E219" i="17" s="1"/>
  <c r="F219" i="17" s="1"/>
  <c r="D191" i="17"/>
  <c r="E191" i="17" s="1"/>
  <c r="F191" i="17" s="1"/>
  <c r="D143" i="17"/>
  <c r="E143" i="17" s="1"/>
  <c r="F143" i="17" s="1"/>
  <c r="D95" i="17"/>
  <c r="E95" i="17" s="1"/>
  <c r="F95" i="17" s="1"/>
  <c r="D71" i="17"/>
  <c r="E71" i="17" s="1"/>
  <c r="F71" i="17" s="1"/>
  <c r="D158" i="17"/>
  <c r="E158" i="17" s="1"/>
  <c r="F158" i="17" s="1"/>
  <c r="D360" i="17"/>
  <c r="E360" i="17" s="1"/>
  <c r="F360" i="17" s="1"/>
  <c r="D97" i="17"/>
  <c r="E97" i="17" s="1"/>
  <c r="F97" i="17" s="1"/>
  <c r="D140" i="17"/>
  <c r="E140" i="17" s="1"/>
  <c r="F140" i="17" s="1"/>
  <c r="D64" i="17"/>
  <c r="E64" i="17" s="1"/>
  <c r="F64" i="17" s="1"/>
  <c r="D232" i="17"/>
  <c r="E232" i="17" s="1"/>
  <c r="F232" i="17" s="1"/>
  <c r="D296" i="17"/>
  <c r="E296" i="17" s="1"/>
  <c r="F296" i="17" s="1"/>
  <c r="D332" i="17"/>
  <c r="E332" i="17" s="1"/>
  <c r="F332" i="17" s="1"/>
  <c r="D57" i="17"/>
  <c r="E57" i="17" s="1"/>
  <c r="F57" i="17" s="1"/>
  <c r="D179" i="17"/>
  <c r="E179" i="17" s="1"/>
  <c r="F179" i="17" s="1"/>
  <c r="D235" i="17"/>
  <c r="E235" i="17" s="1"/>
  <c r="F235" i="17" s="1"/>
  <c r="D29" i="17"/>
  <c r="E29" i="17" s="1"/>
  <c r="F29" i="17" s="1"/>
  <c r="D22" i="17"/>
  <c r="E22" i="17" s="1"/>
  <c r="F22" i="17" s="1"/>
  <c r="D110" i="17"/>
  <c r="E110" i="17" s="1"/>
  <c r="F110" i="17" s="1"/>
  <c r="D190" i="17"/>
  <c r="E190" i="17" s="1"/>
  <c r="F190" i="17" s="1"/>
  <c r="D378" i="17"/>
  <c r="E378" i="17" s="1"/>
  <c r="F378" i="17" s="1"/>
  <c r="W206" i="17"/>
  <c r="W122" i="17"/>
  <c r="W58" i="17"/>
  <c r="W248" i="17"/>
  <c r="W257" i="17"/>
  <c r="D268" i="17"/>
  <c r="E268" i="17" s="1"/>
  <c r="F268" i="17" s="1"/>
  <c r="D282" i="17"/>
  <c r="E282" i="17" s="1"/>
  <c r="F282" i="17" s="1"/>
  <c r="D145" i="17"/>
  <c r="E145" i="17" s="1"/>
  <c r="F145" i="17" s="1"/>
  <c r="D125" i="17"/>
  <c r="E125" i="17" s="1"/>
  <c r="F125" i="17" s="1"/>
  <c r="D367" i="17"/>
  <c r="E367" i="17" s="1"/>
  <c r="F367" i="17" s="1"/>
  <c r="D280" i="17"/>
  <c r="E280" i="17" s="1"/>
  <c r="F280" i="17" s="1"/>
  <c r="D36" i="17"/>
  <c r="E36" i="17" s="1"/>
  <c r="F36" i="17" s="1"/>
  <c r="D208" i="17"/>
  <c r="E208" i="17" s="1"/>
  <c r="F208" i="17" s="1"/>
  <c r="D321" i="17"/>
  <c r="E321" i="17" s="1"/>
  <c r="F321" i="17" s="1"/>
  <c r="D265" i="17"/>
  <c r="E265" i="17" s="1"/>
  <c r="F265" i="17" s="1"/>
  <c r="D118" i="17"/>
  <c r="E118" i="17" s="1"/>
  <c r="F118" i="17" s="1"/>
  <c r="D81" i="17"/>
  <c r="E81" i="17" s="1"/>
  <c r="F81" i="17" s="1"/>
  <c r="D227" i="17"/>
  <c r="E227" i="17" s="1"/>
  <c r="F227" i="17" s="1"/>
  <c r="D42" i="17"/>
  <c r="E42" i="17" s="1"/>
  <c r="F42" i="17" s="1"/>
  <c r="D240" i="17"/>
  <c r="E240" i="17" s="1"/>
  <c r="F240" i="17" s="1"/>
  <c r="D312" i="17"/>
  <c r="E312" i="17" s="1"/>
  <c r="F312" i="17" s="1"/>
  <c r="D87" i="17"/>
  <c r="E87" i="17" s="1"/>
  <c r="F87" i="17" s="1"/>
  <c r="D203" i="17"/>
  <c r="E203" i="17" s="1"/>
  <c r="F203" i="17" s="1"/>
  <c r="D146" i="17"/>
  <c r="E146" i="17" s="1"/>
  <c r="F146" i="17" s="1"/>
  <c r="D334" i="17"/>
  <c r="E334" i="17" s="1"/>
  <c r="F334" i="17" s="1"/>
  <c r="D109" i="17"/>
  <c r="E109" i="17" s="1"/>
  <c r="F109" i="17" s="1"/>
  <c r="D267" i="17"/>
  <c r="E267" i="17" s="1"/>
  <c r="F267" i="17" s="1"/>
  <c r="D202" i="17"/>
  <c r="E202" i="17" s="1"/>
  <c r="F202" i="17" s="1"/>
  <c r="D41" i="17"/>
  <c r="E41" i="17" s="1"/>
  <c r="F41" i="17" s="1"/>
  <c r="D260" i="17"/>
  <c r="E260" i="17" s="1"/>
  <c r="F260" i="17" s="1"/>
  <c r="D115" i="17"/>
  <c r="E115" i="17" s="1"/>
  <c r="F115" i="17" s="1"/>
  <c r="D299" i="17"/>
  <c r="E299" i="17" s="1"/>
  <c r="F299" i="17" s="1"/>
  <c r="D94" i="17"/>
  <c r="E94" i="17" s="1"/>
  <c r="F94" i="17" s="1"/>
  <c r="D189" i="17"/>
  <c r="E189" i="17" s="1"/>
  <c r="F189" i="17" s="1"/>
  <c r="D273" i="17"/>
  <c r="E273" i="17" s="1"/>
  <c r="F273" i="17" s="1"/>
  <c r="D28" i="17"/>
  <c r="E28" i="17" s="1"/>
  <c r="F28" i="17" s="1"/>
  <c r="D55" i="17"/>
  <c r="E55" i="17" s="1"/>
  <c r="F55" i="17" s="1"/>
  <c r="D111" i="17"/>
  <c r="E111" i="17" s="1"/>
  <c r="F111" i="17" s="1"/>
  <c r="D30" i="17"/>
  <c r="E30" i="17" s="1"/>
  <c r="F30" i="17" s="1"/>
  <c r="D322" i="17"/>
  <c r="E322" i="17" s="1"/>
  <c r="F322" i="17" s="1"/>
  <c r="D349" i="17"/>
  <c r="E349" i="17" s="1"/>
  <c r="F349" i="17" s="1"/>
  <c r="D116" i="17"/>
  <c r="E116" i="17" s="1"/>
  <c r="F116" i="17" s="1"/>
  <c r="D184" i="17"/>
  <c r="E184" i="17" s="1"/>
  <c r="F184" i="17" s="1"/>
  <c r="D216" i="17"/>
  <c r="E216" i="17" s="1"/>
  <c r="F216" i="17" s="1"/>
  <c r="D209" i="17"/>
  <c r="E209" i="17" s="1"/>
  <c r="F209" i="17" s="1"/>
  <c r="D155" i="17"/>
  <c r="E155" i="17" s="1"/>
  <c r="F155" i="17" s="1"/>
  <c r="D215" i="17"/>
  <c r="E215" i="17" s="1"/>
  <c r="F215" i="17" s="1"/>
  <c r="D251" i="17"/>
  <c r="E251" i="17" s="1"/>
  <c r="F251" i="17" s="1"/>
  <c r="D351" i="17"/>
  <c r="E351" i="17" s="1"/>
  <c r="F351" i="17" s="1"/>
  <c r="D60" i="17"/>
  <c r="E60" i="17" s="1"/>
  <c r="F60" i="17" s="1"/>
  <c r="D214" i="17"/>
  <c r="E214" i="17" s="1"/>
  <c r="F214" i="17" s="1"/>
  <c r="D289" i="17"/>
  <c r="E289" i="17" s="1"/>
  <c r="F289" i="17" s="1"/>
  <c r="D157" i="17"/>
  <c r="E157" i="17" s="1"/>
  <c r="F157" i="17" s="1"/>
  <c r="D361" i="17"/>
  <c r="E361" i="17" s="1"/>
  <c r="F361" i="17" s="1"/>
  <c r="D303" i="17"/>
  <c r="E303" i="17" s="1"/>
  <c r="F303" i="17" s="1"/>
  <c r="D88" i="17"/>
  <c r="E88" i="17" s="1"/>
  <c r="F88" i="17" s="1"/>
  <c r="D228" i="17"/>
  <c r="E228" i="17" s="1"/>
  <c r="F228" i="17" s="1"/>
  <c r="W121" i="17"/>
  <c r="D363" i="17"/>
  <c r="E363" i="17" s="1"/>
  <c r="F363" i="17" s="1"/>
  <c r="D248" i="17"/>
  <c r="E248" i="17" s="1"/>
  <c r="F248" i="17" s="1"/>
  <c r="D207" i="17"/>
  <c r="E207" i="17" s="1"/>
  <c r="F207" i="17" s="1"/>
  <c r="D38" i="17"/>
  <c r="E38" i="17" s="1"/>
  <c r="F38" i="17" s="1"/>
  <c r="D165" i="17"/>
  <c r="E165" i="17" s="1"/>
  <c r="F165" i="17" s="1"/>
  <c r="D345" i="17"/>
  <c r="E345" i="17" s="1"/>
  <c r="F345" i="17" s="1"/>
  <c r="D136" i="17"/>
  <c r="E136" i="17" s="1"/>
  <c r="F136" i="17" s="1"/>
  <c r="D236" i="17"/>
  <c r="E236" i="17" s="1"/>
  <c r="F236" i="17" s="1"/>
  <c r="D328" i="17"/>
  <c r="E328" i="17" s="1"/>
  <c r="F328" i="17" s="1"/>
  <c r="D171" i="17"/>
  <c r="E171" i="17" s="1"/>
  <c r="F171" i="17" s="1"/>
  <c r="D221" i="17"/>
  <c r="E221" i="17" s="1"/>
  <c r="F221" i="17" s="1"/>
  <c r="D255" i="17"/>
  <c r="E255" i="17" s="1"/>
  <c r="F255" i="17" s="1"/>
  <c r="D370" i="17"/>
  <c r="E370" i="17" s="1"/>
  <c r="F370" i="17" s="1"/>
  <c r="D338" i="17"/>
  <c r="E338" i="17" s="1"/>
  <c r="F338" i="17" s="1"/>
  <c r="D162" i="17"/>
  <c r="E162" i="17" s="1"/>
  <c r="F162" i="17" s="1"/>
  <c r="D139" i="17"/>
  <c r="E139" i="17" s="1"/>
  <c r="F139" i="17" s="1"/>
  <c r="D35" i="17"/>
  <c r="E35" i="17" s="1"/>
  <c r="F35" i="17" s="1"/>
  <c r="D212" i="17"/>
  <c r="E212" i="17" s="1"/>
  <c r="F212" i="17" s="1"/>
  <c r="D80" i="17"/>
  <c r="E80" i="17" s="1"/>
  <c r="F80" i="17" s="1"/>
  <c r="W129" i="17"/>
  <c r="D331" i="17"/>
  <c r="E331" i="17" s="1"/>
  <c r="F331" i="17" s="1"/>
  <c r="D271" i="17"/>
  <c r="E271" i="17" s="1"/>
  <c r="F271" i="17" s="1"/>
  <c r="D134" i="17"/>
  <c r="E134" i="17" s="1"/>
  <c r="F134" i="17" s="1"/>
  <c r="D33" i="17"/>
  <c r="E33" i="17" s="1"/>
  <c r="F33" i="17" s="1"/>
  <c r="D86" i="17"/>
  <c r="E86" i="17" s="1"/>
  <c r="F86" i="17" s="1"/>
  <c r="D160" i="17"/>
  <c r="E160" i="17" s="1"/>
  <c r="F160" i="17" s="1"/>
  <c r="D293" i="17"/>
  <c r="E293" i="17" s="1"/>
  <c r="F293" i="17" s="1"/>
  <c r="D298" i="17"/>
  <c r="E298" i="17" s="1"/>
  <c r="F298" i="17" s="1"/>
  <c r="D106" i="17"/>
  <c r="E106" i="17" s="1"/>
  <c r="F106" i="17" s="1"/>
  <c r="D311" i="17"/>
  <c r="E311" i="17" s="1"/>
  <c r="F311" i="17" s="1"/>
  <c r="D178" i="17"/>
  <c r="E178" i="17" s="1"/>
  <c r="F178" i="17" s="1"/>
  <c r="D269" i="17"/>
  <c r="E269" i="17" s="1"/>
  <c r="F269" i="17" s="1"/>
  <c r="D262" i="17"/>
  <c r="E262" i="17" s="1"/>
  <c r="F262" i="17" s="1"/>
  <c r="D320" i="17"/>
  <c r="E320" i="17" s="1"/>
  <c r="F320" i="17" s="1"/>
  <c r="D128" i="17"/>
  <c r="E128" i="17" s="1"/>
  <c r="F128" i="17" s="1"/>
  <c r="D376" i="17"/>
  <c r="E376" i="17" s="1"/>
  <c r="F376" i="17" s="1"/>
  <c r="D114" i="17"/>
  <c r="E114" i="17" s="1"/>
  <c r="F114" i="17" s="1"/>
  <c r="D182" i="17"/>
  <c r="E182" i="17" s="1"/>
  <c r="F182" i="17" s="1"/>
  <c r="D336" i="17"/>
  <c r="E336" i="17" s="1"/>
  <c r="F336" i="17" s="1"/>
  <c r="D337" i="17"/>
  <c r="E337" i="17" s="1"/>
  <c r="F337" i="17" s="1"/>
  <c r="D297" i="17"/>
  <c r="E297" i="17" s="1"/>
  <c r="F297" i="17" s="1"/>
  <c r="D261" i="17"/>
  <c r="E261" i="17" s="1"/>
  <c r="F261" i="17" s="1"/>
  <c r="D347" i="17"/>
  <c r="E347" i="17" s="1"/>
  <c r="F347" i="17" s="1"/>
  <c r="D185" i="17"/>
  <c r="E185" i="17" s="1"/>
  <c r="F185" i="17" s="1"/>
  <c r="D16" i="17"/>
  <c r="E16" i="17" s="1"/>
  <c r="F16" i="17" s="1"/>
  <c r="D266" i="17"/>
  <c r="E266" i="17" s="1"/>
  <c r="F266" i="17" s="1"/>
  <c r="D150" i="17"/>
  <c r="E150" i="17" s="1"/>
  <c r="F150" i="17" s="1"/>
  <c r="D82" i="17"/>
  <c r="E82" i="17" s="1"/>
  <c r="F82" i="17" s="1"/>
  <c r="D276" i="17"/>
  <c r="E276" i="17" s="1"/>
  <c r="F276" i="17" s="1"/>
  <c r="D147" i="17"/>
  <c r="E147" i="17" s="1"/>
  <c r="F147" i="17" s="1"/>
  <c r="D224" i="17"/>
  <c r="E224" i="17" s="1"/>
  <c r="F224" i="17" s="1"/>
  <c r="D48" i="17"/>
  <c r="E48" i="17" s="1"/>
  <c r="F48" i="17" s="1"/>
  <c r="D84" i="17"/>
  <c r="E84" i="17" s="1"/>
  <c r="F84" i="17" s="1"/>
  <c r="D73" i="17"/>
  <c r="E73" i="17" s="1"/>
  <c r="F73" i="17" s="1"/>
  <c r="D274" i="17"/>
  <c r="E274" i="17" s="1"/>
  <c r="F274" i="17" s="1"/>
  <c r="D164" i="17"/>
  <c r="E164" i="17" s="1"/>
  <c r="F164" i="17" s="1"/>
  <c r="D295" i="17"/>
  <c r="E295" i="17" s="1"/>
  <c r="F295" i="17" s="1"/>
  <c r="D198" i="17"/>
  <c r="E198" i="17" s="1"/>
  <c r="F198" i="17" s="1"/>
  <c r="D137" i="17"/>
  <c r="E137" i="17" s="1"/>
  <c r="F137" i="17" s="1"/>
  <c r="D200" i="17"/>
  <c r="E200" i="17" s="1"/>
  <c r="F200" i="17" s="1"/>
  <c r="D54" i="17"/>
  <c r="E54" i="17" s="1"/>
  <c r="F54" i="17" s="1"/>
  <c r="D141" i="17"/>
  <c r="E141" i="17" s="1"/>
  <c r="F141" i="17" s="1"/>
  <c r="D368" i="17"/>
  <c r="E368" i="17" s="1"/>
  <c r="F368" i="17" s="1"/>
  <c r="D343" i="17"/>
  <c r="E343" i="17" s="1"/>
  <c r="F343" i="17" s="1"/>
  <c r="D138" i="17"/>
  <c r="E138" i="17" s="1"/>
  <c r="F138" i="17" s="1"/>
  <c r="D305" i="17"/>
  <c r="E305" i="17" s="1"/>
  <c r="F305" i="17" s="1"/>
  <c r="D112" i="17"/>
  <c r="E112" i="17" s="1"/>
  <c r="F112" i="17" s="1"/>
  <c r="D308" i="17"/>
  <c r="E308" i="17" s="1"/>
  <c r="F308" i="17" s="1"/>
  <c r="D67" i="17"/>
  <c r="E67" i="17" s="1"/>
  <c r="F67" i="17" s="1"/>
  <c r="D183" i="17"/>
  <c r="E183" i="17" s="1"/>
  <c r="F183" i="17" s="1"/>
  <c r="D323" i="17"/>
  <c r="E323" i="17" s="1"/>
  <c r="F323" i="17" s="1"/>
  <c r="D375" i="17"/>
  <c r="E375" i="17" s="1"/>
  <c r="F375" i="17" s="1"/>
  <c r="D333" i="17"/>
  <c r="E333" i="17" s="1"/>
  <c r="F333" i="17" s="1"/>
  <c r="D78" i="17"/>
  <c r="E78" i="17" s="1"/>
  <c r="F78" i="17" s="1"/>
  <c r="D250" i="17"/>
  <c r="E250" i="17" s="1"/>
  <c r="F250" i="17" s="1"/>
  <c r="D258" i="17"/>
  <c r="E258" i="17" s="1"/>
  <c r="F258" i="17" s="1"/>
  <c r="D133" i="17"/>
  <c r="E133" i="17" s="1"/>
  <c r="F133" i="17" s="1"/>
  <c r="D245" i="17"/>
  <c r="E245" i="17" s="1"/>
  <c r="F245" i="17" s="1"/>
  <c r="D281" i="17"/>
  <c r="E281" i="17" s="1"/>
  <c r="F281" i="17" s="1"/>
  <c r="D317" i="17"/>
  <c r="E317" i="17" s="1"/>
  <c r="F317" i="17" s="1"/>
  <c r="D329" i="17"/>
  <c r="E329" i="17" s="1"/>
  <c r="F329" i="17" s="1"/>
  <c r="D373" i="17"/>
  <c r="E373" i="17" s="1"/>
  <c r="F373" i="17" s="1"/>
  <c r="D53" i="17"/>
  <c r="E53" i="17" s="1"/>
  <c r="F53" i="17" s="1"/>
  <c r="D121" i="17"/>
  <c r="E121" i="17" s="1"/>
  <c r="F121" i="17" s="1"/>
  <c r="D163" i="17"/>
  <c r="E163" i="17" s="1"/>
  <c r="F163" i="17" s="1"/>
  <c r="D130" i="17"/>
  <c r="E130" i="17" s="1"/>
  <c r="F130" i="17" s="1"/>
  <c r="D233" i="17"/>
  <c r="E233" i="17" s="1"/>
  <c r="F233" i="17" s="1"/>
  <c r="D196" i="17"/>
  <c r="E196" i="17" s="1"/>
  <c r="F196" i="17" s="1"/>
  <c r="D335" i="17"/>
  <c r="E335" i="17" s="1"/>
  <c r="F335" i="17" s="1"/>
  <c r="D186" i="17"/>
  <c r="E186" i="17" s="1"/>
  <c r="F186" i="17" s="1"/>
  <c r="D277" i="17"/>
  <c r="E277" i="17" s="1"/>
  <c r="F277" i="17" s="1"/>
  <c r="D313" i="17"/>
  <c r="E313" i="17" s="1"/>
  <c r="F313" i="17" s="1"/>
  <c r="D342" i="17"/>
  <c r="E342" i="17" s="1"/>
  <c r="F342" i="17" s="1"/>
  <c r="D47" i="17"/>
  <c r="E47" i="17" s="1"/>
  <c r="F47" i="17" s="1"/>
  <c r="D100" i="17"/>
  <c r="E100" i="17" s="1"/>
  <c r="F100" i="17" s="1"/>
  <c r="D127" i="17"/>
  <c r="E127" i="17" s="1"/>
  <c r="F127" i="17" s="1"/>
  <c r="D319" i="17"/>
  <c r="E319" i="17" s="1"/>
  <c r="F319" i="17" s="1"/>
  <c r="D167" i="17"/>
  <c r="E167" i="17" s="1"/>
  <c r="F167" i="17" s="1"/>
  <c r="D358" i="17"/>
  <c r="E358" i="17" s="1"/>
  <c r="F358" i="17" s="1"/>
  <c r="D50" i="17"/>
  <c r="E50" i="17" s="1"/>
  <c r="F50" i="17" s="1"/>
  <c r="D341" i="17"/>
  <c r="E341" i="17" s="1"/>
  <c r="F341" i="17" s="1"/>
  <c r="D222" i="17"/>
  <c r="E222" i="17" s="1"/>
  <c r="F222" i="17" s="1"/>
  <c r="D263" i="17"/>
  <c r="E263" i="17" s="1"/>
  <c r="F263" i="17" s="1"/>
  <c r="D229" i="17"/>
  <c r="E229" i="17" s="1"/>
  <c r="F229" i="17" s="1"/>
  <c r="D66" i="17"/>
  <c r="E66" i="17" s="1"/>
  <c r="F66" i="17" s="1"/>
  <c r="D34" i="17"/>
  <c r="E34" i="17" s="1"/>
  <c r="F34" i="17" s="1"/>
  <c r="D211" i="17"/>
  <c r="E211" i="17" s="1"/>
  <c r="F211" i="17" s="1"/>
  <c r="D107" i="17"/>
  <c r="E107" i="17" s="1"/>
  <c r="F107" i="17" s="1"/>
  <c r="D252" i="17"/>
  <c r="E252" i="17" s="1"/>
  <c r="F252" i="17" s="1"/>
  <c r="D168" i="17"/>
  <c r="E168" i="17" s="1"/>
  <c r="F168" i="17" s="1"/>
  <c r="D144" i="17"/>
  <c r="E144" i="17" s="1"/>
  <c r="F144" i="17" s="1"/>
  <c r="D40" i="17"/>
  <c r="E40" i="17" s="1"/>
  <c r="F40" i="17" s="1"/>
  <c r="D69" i="17"/>
  <c r="E69" i="17" s="1"/>
  <c r="F69" i="17" s="1"/>
  <c r="D355" i="17"/>
  <c r="E355" i="17" s="1"/>
  <c r="F355" i="17" s="1"/>
  <c r="D287" i="17"/>
  <c r="E287" i="17" s="1"/>
  <c r="F287" i="17" s="1"/>
  <c r="D324" i="17"/>
  <c r="E324" i="17" s="1"/>
  <c r="F324" i="17" s="1"/>
  <c r="D288" i="17"/>
  <c r="E288" i="17" s="1"/>
  <c r="F288" i="17" s="1"/>
  <c r="D369" i="17"/>
  <c r="E369" i="17" s="1"/>
  <c r="F369" i="17" s="1"/>
  <c r="D225" i="17"/>
  <c r="E225" i="17" s="1"/>
  <c r="F225" i="17" s="1"/>
  <c r="D244" i="17"/>
  <c r="E244" i="17" s="1"/>
  <c r="F244" i="17" s="1"/>
  <c r="D89" i="17"/>
  <c r="E89" i="17" s="1"/>
  <c r="F89" i="17" s="1"/>
  <c r="D315" i="17"/>
  <c r="E315" i="17" s="1"/>
  <c r="F315" i="17" s="1"/>
  <c r="D76" i="17"/>
  <c r="E76" i="17" s="1"/>
  <c r="F76" i="17" s="1"/>
  <c r="D25" i="17"/>
  <c r="E25" i="17" s="1"/>
  <c r="F25" i="17" s="1"/>
  <c r="D226" i="17"/>
  <c r="E226" i="17" s="1"/>
  <c r="F226" i="17" s="1"/>
  <c r="D132" i="17"/>
  <c r="E132" i="17" s="1"/>
  <c r="F132" i="17" s="1"/>
  <c r="D49" i="17"/>
  <c r="E49" i="17" s="1"/>
  <c r="F49" i="17" s="1"/>
  <c r="D241" i="17"/>
  <c r="E241" i="17" s="1"/>
  <c r="F241" i="17" s="1"/>
  <c r="D290" i="17"/>
  <c r="E290" i="17" s="1"/>
  <c r="F290" i="17" s="1"/>
  <c r="D270" i="17"/>
  <c r="E270" i="17" s="1"/>
  <c r="F270" i="17" s="1"/>
  <c r="D90" i="17"/>
  <c r="E90" i="17" s="1"/>
  <c r="F90" i="17" s="1"/>
  <c r="D187" i="17"/>
  <c r="E187" i="17" s="1"/>
  <c r="F187" i="17" s="1"/>
  <c r="D330" i="17"/>
  <c r="E330" i="17" s="1"/>
  <c r="F330" i="17" s="1"/>
  <c r="D46" i="17"/>
  <c r="E46" i="17" s="1"/>
  <c r="F46" i="17" s="1"/>
  <c r="D31" i="17"/>
  <c r="E31" i="17" s="1"/>
  <c r="F31" i="17" s="1"/>
  <c r="D357" i="17"/>
  <c r="E357" i="17" s="1"/>
  <c r="F357" i="17" s="1"/>
  <c r="D285" i="17"/>
  <c r="E285" i="17" s="1"/>
  <c r="F285" i="17" s="1"/>
  <c r="D243" i="17"/>
  <c r="E243" i="17" s="1"/>
  <c r="F243" i="17" s="1"/>
  <c r="D205" i="17"/>
  <c r="E205" i="17" s="1"/>
  <c r="F205" i="17" s="1"/>
  <c r="D101" i="17"/>
  <c r="E101" i="17" s="1"/>
  <c r="F101" i="17" s="1"/>
  <c r="D234" i="17"/>
  <c r="E234" i="17" s="1"/>
  <c r="F234" i="17" s="1"/>
  <c r="D284" i="17"/>
  <c r="E284" i="17" s="1"/>
  <c r="F284" i="17" s="1"/>
  <c r="D175" i="17"/>
  <c r="E175" i="17" s="1"/>
  <c r="F175" i="17" s="1"/>
  <c r="D210" i="17"/>
  <c r="E210" i="17" s="1"/>
  <c r="F210" i="17" s="1"/>
  <c r="D93" i="17"/>
  <c r="E93" i="17" s="1"/>
  <c r="F93" i="17" s="1"/>
  <c r="D223" i="17"/>
  <c r="E223" i="17" s="1"/>
  <c r="F223" i="17" s="1"/>
  <c r="D366" i="17"/>
  <c r="E366" i="17" s="1"/>
  <c r="F366" i="17" s="1"/>
  <c r="D172" i="17"/>
  <c r="E172" i="17" s="1"/>
  <c r="F172" i="17" s="1"/>
  <c r="D272" i="17"/>
  <c r="E272" i="17" s="1"/>
  <c r="F272" i="17" s="1"/>
  <c r="D119" i="17"/>
  <c r="E119" i="17" s="1"/>
  <c r="F119" i="17" s="1"/>
  <c r="D354" i="17"/>
  <c r="E354" i="17" s="1"/>
  <c r="F354" i="17" s="1"/>
  <c r="D206" i="17"/>
  <c r="E206" i="17" s="1"/>
  <c r="F206" i="17" s="1"/>
  <c r="D242" i="17"/>
  <c r="E242" i="17" s="1"/>
  <c r="F242" i="17" s="1"/>
  <c r="D374" i="17"/>
  <c r="E374" i="17" s="1"/>
  <c r="F374" i="17" s="1"/>
  <c r="D325" i="17"/>
  <c r="E325" i="17" s="1"/>
  <c r="F325" i="17" s="1"/>
  <c r="D149" i="17"/>
  <c r="E149" i="17" s="1"/>
  <c r="F149" i="17" s="1"/>
  <c r="D26" i="17"/>
  <c r="E26" i="17" s="1"/>
  <c r="F26" i="17" s="1"/>
  <c r="D92" i="17"/>
  <c r="E92" i="17" s="1"/>
  <c r="F92" i="17" s="1"/>
  <c r="D286" i="17"/>
  <c r="E286" i="17" s="1"/>
  <c r="F286" i="17" s="1"/>
  <c r="D61" i="17"/>
  <c r="E61" i="17" s="1"/>
  <c r="F61" i="17" s="1"/>
  <c r="D181" i="17"/>
  <c r="E181" i="17" s="1"/>
  <c r="F181" i="17" s="1"/>
  <c r="D327" i="17"/>
  <c r="E327" i="17" s="1"/>
  <c r="F327" i="17" s="1"/>
  <c r="D340" i="17"/>
  <c r="E340" i="17" s="1"/>
  <c r="F340" i="17" s="1"/>
  <c r="D197" i="17"/>
  <c r="E197" i="17" s="1"/>
  <c r="F197" i="17" s="1"/>
  <c r="D43" i="17"/>
  <c r="E43" i="17" s="1"/>
  <c r="F43" i="17" s="1"/>
  <c r="D75" i="17"/>
  <c r="E75" i="17" s="1"/>
  <c r="F75" i="17" s="1"/>
  <c r="D213" i="17"/>
  <c r="E213" i="17" s="1"/>
  <c r="F213" i="17" s="1"/>
  <c r="D344" i="17"/>
  <c r="E344" i="17" s="1"/>
  <c r="F344" i="17" s="1"/>
  <c r="D220" i="17"/>
  <c r="E220" i="17" s="1"/>
  <c r="F220" i="17" s="1"/>
  <c r="D217" i="17"/>
  <c r="E217" i="17" s="1"/>
  <c r="F217" i="17" s="1"/>
  <c r="D153" i="17"/>
  <c r="E153" i="17" s="1"/>
  <c r="F153" i="17" s="1"/>
  <c r="D291" i="17"/>
  <c r="E291" i="17" s="1"/>
  <c r="F291" i="17" s="1"/>
  <c r="D126" i="17"/>
  <c r="E126" i="17" s="1"/>
  <c r="F126" i="17" s="1"/>
  <c r="D72" i="17"/>
  <c r="E72" i="17" s="1"/>
  <c r="F72" i="17" s="1"/>
  <c r="D264" i="17"/>
  <c r="E264" i="17" s="1"/>
  <c r="F264" i="17" s="1"/>
  <c r="D120" i="17"/>
  <c r="E120" i="17" s="1"/>
  <c r="F120" i="17" s="1"/>
  <c r="D98" i="17"/>
  <c r="E98" i="17" s="1"/>
  <c r="F98" i="17" s="1"/>
  <c r="D348" i="17"/>
  <c r="E348" i="17" s="1"/>
  <c r="F348" i="17" s="1"/>
  <c r="D231" i="17"/>
  <c r="E231" i="17" s="1"/>
  <c r="F231" i="17" s="1"/>
  <c r="D174" i="17"/>
  <c r="E174" i="17" s="1"/>
  <c r="F174" i="17" s="1"/>
  <c r="D301" i="17"/>
  <c r="E301" i="17" s="1"/>
  <c r="F301" i="17" s="1"/>
  <c r="D365" i="17"/>
  <c r="E365" i="17" s="1"/>
  <c r="F365" i="17" s="1"/>
  <c r="D37" i="17"/>
  <c r="E37" i="17" s="1"/>
  <c r="F37" i="17" s="1"/>
  <c r="D52" i="17"/>
  <c r="E52" i="17" s="1"/>
  <c r="F52" i="17" s="1"/>
  <c r="D246" i="17"/>
  <c r="E246" i="17" s="1"/>
  <c r="F246" i="17" s="1"/>
  <c r="D85" i="17"/>
  <c r="E85" i="17" s="1"/>
  <c r="F85" i="17" s="1"/>
  <c r="D129" i="17"/>
  <c r="E129" i="17" s="1"/>
  <c r="F129" i="17" s="1"/>
  <c r="D257" i="17"/>
  <c r="E257" i="17" s="1"/>
  <c r="F257" i="17" s="1"/>
  <c r="D204" i="17"/>
  <c r="E204" i="17" s="1"/>
  <c r="F204" i="17" s="1"/>
  <c r="D359" i="17"/>
  <c r="E359" i="17" s="1"/>
  <c r="F359" i="17" s="1"/>
  <c r="D44" i="17"/>
  <c r="E44" i="17" s="1"/>
  <c r="F44" i="17" s="1"/>
  <c r="D96" i="17"/>
  <c r="E96" i="17" s="1"/>
  <c r="F96" i="17" s="1"/>
  <c r="D156" i="17"/>
  <c r="E156" i="17" s="1"/>
  <c r="F156" i="17" s="1"/>
  <c r="D23" i="17"/>
  <c r="E23" i="17" s="1"/>
  <c r="F23" i="17" s="1"/>
  <c r="D63" i="17"/>
  <c r="E63" i="17" s="1"/>
  <c r="F63" i="17" s="1"/>
  <c r="D151" i="17"/>
  <c r="E151" i="17" s="1"/>
  <c r="F151" i="17" s="1"/>
  <c r="D239" i="17"/>
  <c r="E239" i="17" s="1"/>
  <c r="F239" i="17" s="1"/>
  <c r="D166" i="17"/>
  <c r="E166" i="17" s="1"/>
  <c r="F166" i="17" s="1"/>
  <c r="D58" i="17"/>
  <c r="E58" i="17" s="1"/>
  <c r="F58" i="17" s="1"/>
  <c r="D74" i="17"/>
  <c r="E74" i="17" s="1"/>
  <c r="F74" i="17" s="1"/>
  <c r="D122" i="17"/>
  <c r="E122" i="17" s="1"/>
  <c r="F122" i="17" s="1"/>
  <c r="D254" i="17"/>
  <c r="E254" i="17" s="1"/>
  <c r="F254" i="17" s="1"/>
  <c r="D310" i="17"/>
  <c r="E310" i="17" s="1"/>
  <c r="F310" i="17" s="1"/>
  <c r="D346" i="17"/>
  <c r="E346" i="17" s="1"/>
  <c r="F346" i="17" s="1"/>
  <c r="D353" i="17"/>
  <c r="E353" i="17" s="1"/>
  <c r="F353" i="17" s="1"/>
  <c r="D108" i="17"/>
  <c r="E108" i="17" s="1"/>
  <c r="F108" i="17" s="1"/>
  <c r="D177" i="17"/>
  <c r="E177" i="17" s="1"/>
  <c r="F177" i="17" s="1"/>
  <c r="D256" i="17"/>
  <c r="E256" i="17" s="1"/>
  <c r="F256" i="17" s="1"/>
  <c r="D159" i="17"/>
  <c r="E159" i="17" s="1"/>
  <c r="F159" i="17" s="1"/>
  <c r="D170" i="17"/>
  <c r="E170" i="17" s="1"/>
  <c r="F170" i="17" s="1"/>
  <c r="D173" i="17"/>
  <c r="E173" i="17" s="1"/>
  <c r="F173" i="17" s="1"/>
  <c r="D279" i="17"/>
  <c r="E279" i="17" s="1"/>
  <c r="F279" i="17" s="1"/>
  <c r="D237" i="17"/>
  <c r="E237" i="17" s="1"/>
  <c r="F237" i="17" s="1"/>
  <c r="D238" i="17"/>
  <c r="E238" i="17" s="1"/>
  <c r="F238" i="17" s="1"/>
  <c r="D99" i="17"/>
  <c r="E99" i="17" s="1"/>
  <c r="F99" i="17" s="1"/>
  <c r="D20" i="17"/>
  <c r="E20" i="17" s="1"/>
  <c r="F20" i="17" s="1"/>
  <c r="D24" i="17"/>
  <c r="E24" i="17" s="1"/>
  <c r="F24" i="17" s="1"/>
  <c r="D259" i="17"/>
  <c r="E259" i="17" s="1"/>
  <c r="F259" i="17" s="1"/>
  <c r="D188" i="17"/>
  <c r="E188" i="17" s="1"/>
  <c r="F188" i="17" s="1"/>
  <c r="D161" i="17"/>
  <c r="E161" i="17" s="1"/>
  <c r="F161" i="17" s="1"/>
  <c r="D194" i="17"/>
  <c r="E194" i="17" s="1"/>
  <c r="F194" i="17" s="1"/>
  <c r="D253" i="17"/>
  <c r="E253" i="17" s="1"/>
  <c r="F253" i="17" s="1"/>
  <c r="D314" i="17"/>
  <c r="E314" i="17" s="1"/>
  <c r="F314" i="17" s="1"/>
  <c r="D142" i="17"/>
  <c r="E142" i="17" s="1"/>
  <c r="F142" i="17" s="1"/>
  <c r="D62" i="17"/>
  <c r="E62" i="17" s="1"/>
  <c r="F62" i="17" s="1"/>
  <c r="D195" i="17"/>
  <c r="E195" i="17" s="1"/>
  <c r="F195" i="17" s="1"/>
  <c r="D39" i="17"/>
  <c r="E39" i="17" s="1"/>
  <c r="F39" i="17" s="1"/>
  <c r="D148" i="17"/>
  <c r="E148" i="17" s="1"/>
  <c r="F148" i="17" s="1"/>
  <c r="D104" i="17"/>
  <c r="E104" i="17" s="1"/>
  <c r="F104" i="17" s="1"/>
  <c r="D45" i="17"/>
  <c r="E45" i="17" s="1"/>
  <c r="F45" i="17" s="1"/>
  <c r="D123" i="17"/>
  <c r="E123" i="17" s="1"/>
  <c r="F123" i="17" s="1"/>
  <c r="D18" i="17"/>
  <c r="E18" i="17" s="1"/>
  <c r="F18" i="17" s="1"/>
  <c r="D309" i="17"/>
  <c r="E309" i="17" s="1"/>
  <c r="F309" i="17" s="1"/>
  <c r="D65" i="17"/>
  <c r="E65" i="17" s="1"/>
  <c r="F65" i="17" s="1"/>
  <c r="D249" i="17"/>
  <c r="E249" i="17" s="1"/>
  <c r="F249" i="17" s="1"/>
  <c r="D17" i="17"/>
  <c r="E17" i="17" s="1"/>
  <c r="F17" i="17" s="1"/>
  <c r="D283" i="17"/>
  <c r="E283" i="17" s="1"/>
  <c r="F283" i="17" s="1"/>
  <c r="D278" i="17"/>
  <c r="E278" i="17" s="1"/>
  <c r="F278" i="17" s="1"/>
  <c r="D199" i="17"/>
  <c r="E199" i="17" s="1"/>
  <c r="F199" i="17" s="1"/>
  <c r="D193" i="17"/>
  <c r="E193" i="17" s="1"/>
  <c r="F193" i="17" s="1"/>
  <c r="D70" i="17"/>
  <c r="E70" i="17" s="1"/>
  <c r="F70" i="17" s="1"/>
  <c r="D83" i="17"/>
  <c r="E83" i="17" s="1"/>
  <c r="F83" i="17" s="1"/>
  <c r="D117" i="17"/>
  <c r="E117" i="17" s="1"/>
  <c r="F117" i="17" s="1"/>
  <c r="D304" i="17"/>
  <c r="E304" i="17" s="1"/>
  <c r="F304" i="17" s="1"/>
  <c r="D113" i="17"/>
  <c r="E113" i="17" s="1"/>
  <c r="F113" i="17" s="1"/>
  <c r="D302" i="17"/>
  <c r="E302" i="17" s="1"/>
  <c r="F302" i="17" s="1"/>
  <c r="D21" i="17"/>
  <c r="E21" i="17" s="1"/>
  <c r="F21" i="17" s="1"/>
  <c r="D192" i="17"/>
  <c r="E192" i="17" s="1"/>
  <c r="F192" i="17" s="1"/>
  <c r="D103" i="17"/>
  <c r="E103" i="17" s="1"/>
  <c r="F103" i="17" s="1"/>
  <c r="D377" i="17"/>
  <c r="E377" i="17" s="1"/>
  <c r="F377" i="17" s="1"/>
  <c r="D294" i="17"/>
  <c r="E294" i="17" s="1"/>
  <c r="F294" i="17" s="1"/>
  <c r="D371" i="17"/>
  <c r="E371" i="17" s="1"/>
  <c r="F371" i="17" s="1"/>
  <c r="D180" i="17"/>
  <c r="E180" i="17" s="1"/>
  <c r="F180" i="17" s="1"/>
  <c r="D339" i="17"/>
  <c r="E339" i="17" s="1"/>
  <c r="F339" i="17" s="1"/>
  <c r="D19" i="17"/>
  <c r="E19" i="17" s="1"/>
  <c r="F19" i="17" s="1"/>
  <c r="D105" i="17"/>
  <c r="E105" i="17" s="1"/>
  <c r="F105" i="17" s="1"/>
  <c r="D230" i="17"/>
  <c r="E230" i="17" s="1"/>
  <c r="F230" i="17" s="1"/>
  <c r="D124" i="17"/>
  <c r="E124" i="17" s="1"/>
  <c r="F124" i="17" s="1"/>
  <c r="D352" i="17"/>
  <c r="E352" i="17" s="1"/>
  <c r="F352" i="17" s="1"/>
  <c r="D247" i="17"/>
  <c r="E247" i="17" s="1"/>
  <c r="F247" i="17" s="1"/>
  <c r="D379" i="17"/>
  <c r="E379" i="17" s="1"/>
  <c r="F379" i="17" s="1"/>
  <c r="B174" i="18"/>
  <c r="B232" i="18"/>
  <c r="B232" i="20" s="1"/>
  <c r="B132" i="18"/>
  <c r="B76" i="18"/>
  <c r="B76" i="20" s="1"/>
  <c r="B38" i="18"/>
  <c r="B295" i="18"/>
  <c r="B295" i="20" s="1"/>
  <c r="B153" i="18"/>
  <c r="B81" i="18"/>
  <c r="B81" i="20" s="1"/>
  <c r="B100" i="18"/>
  <c r="B62" i="18"/>
  <c r="B62" i="20" s="1"/>
  <c r="B251" i="18"/>
  <c r="B73" i="18"/>
  <c r="B73" i="20" s="1"/>
  <c r="B331" i="18"/>
  <c r="B309" i="18"/>
  <c r="B309" i="20" s="1"/>
  <c r="B235" i="18"/>
  <c r="B332" i="18"/>
  <c r="B332" i="20" s="1"/>
  <c r="B32" i="18"/>
  <c r="B125" i="18"/>
  <c r="B125" i="20" s="1"/>
  <c r="B103" i="18"/>
  <c r="B321" i="18"/>
  <c r="B321" i="20" s="1"/>
  <c r="B229" i="18"/>
  <c r="B157" i="18"/>
  <c r="B157" i="20" s="1"/>
  <c r="B52" i="18"/>
  <c r="B163" i="18"/>
  <c r="B163" i="20" s="1"/>
  <c r="B353" i="18"/>
  <c r="B374" i="18"/>
  <c r="B374" i="20" s="1"/>
  <c r="B152" i="18"/>
  <c r="B98" i="18"/>
  <c r="B98" i="20" s="1"/>
  <c r="B306" i="18"/>
  <c r="B311" i="18"/>
  <c r="B311" i="20" s="1"/>
  <c r="B305" i="18"/>
  <c r="B236" i="18"/>
  <c r="B236" i="20" s="1"/>
  <c r="B299" i="18"/>
  <c r="B310" i="18"/>
  <c r="B310" i="20" s="1"/>
  <c r="B252" i="18"/>
  <c r="B182" i="18"/>
  <c r="B182" i="20" s="1"/>
  <c r="B207" i="18"/>
  <c r="B378" i="18"/>
  <c r="B378" i="20" s="1"/>
  <c r="B204" i="18"/>
  <c r="B289" i="18"/>
  <c r="B289" i="20" s="1"/>
  <c r="B205" i="18"/>
  <c r="B90" i="18"/>
  <c r="B90" i="20" s="1"/>
  <c r="B222" i="18"/>
  <c r="B78" i="18"/>
  <c r="B78" i="20" s="1"/>
  <c r="B64" i="18"/>
  <c r="B137" i="18"/>
  <c r="B137" i="20" s="1"/>
  <c r="B366" i="18"/>
  <c r="B358" i="18"/>
  <c r="B356" i="18"/>
  <c r="B356" i="20" s="1"/>
  <c r="B342" i="18"/>
  <c r="B340" i="18"/>
  <c r="B340" i="20" s="1"/>
  <c r="B338" i="18"/>
  <c r="B314" i="18"/>
  <c r="B314" i="20" s="1"/>
  <c r="B312" i="18"/>
  <c r="B290" i="18"/>
  <c r="B290" i="20" s="1"/>
  <c r="B286" i="18"/>
  <c r="B264" i="18"/>
  <c r="B264" i="20" s="1"/>
  <c r="B242" i="18"/>
  <c r="B240" i="18"/>
  <c r="B240" i="20" s="1"/>
  <c r="B224" i="18"/>
  <c r="B214" i="18"/>
  <c r="B214" i="20" s="1"/>
  <c r="B212" i="18"/>
  <c r="B206" i="18"/>
  <c r="B206" i="20" s="1"/>
  <c r="B200" i="18"/>
  <c r="B198" i="18"/>
  <c r="B198" i="20" s="1"/>
  <c r="B190" i="18"/>
  <c r="B190" i="20" s="1"/>
  <c r="B186" i="18"/>
  <c r="B168" i="18"/>
  <c r="B162" i="18"/>
  <c r="B162" i="20" s="1"/>
  <c r="B158" i="18"/>
  <c r="B156" i="18"/>
  <c r="B156" i="20" s="1"/>
  <c r="B134" i="18"/>
  <c r="B102" i="18"/>
  <c r="B102" i="20" s="1"/>
  <c r="B82" i="18"/>
  <c r="B72" i="18"/>
  <c r="B72" i="20" s="1"/>
  <c r="B68" i="18"/>
  <c r="B58" i="18"/>
  <c r="B58" i="20" s="1"/>
  <c r="B54" i="18"/>
  <c r="B44" i="18"/>
  <c r="B44" i="20" s="1"/>
  <c r="B40" i="18"/>
  <c r="B36" i="18"/>
  <c r="B36" i="20" s="1"/>
  <c r="B30" i="18"/>
  <c r="B24" i="18"/>
  <c r="B24" i="20" s="1"/>
  <c r="B377" i="18"/>
  <c r="B355" i="18"/>
  <c r="B355" i="20" s="1"/>
  <c r="B351" i="18"/>
  <c r="B345" i="18"/>
  <c r="B345" i="20" s="1"/>
  <c r="B343" i="18"/>
  <c r="B329" i="18"/>
  <c r="B329" i="20" s="1"/>
  <c r="B315" i="18"/>
  <c r="B297" i="18"/>
  <c r="B297" i="20" s="1"/>
  <c r="B279" i="18"/>
  <c r="B243" i="18"/>
  <c r="B243" i="20" s="1"/>
  <c r="B239" i="18"/>
  <c r="B237" i="18"/>
  <c r="B237" i="20" s="1"/>
  <c r="B225" i="18"/>
  <c r="B217" i="18"/>
  <c r="B217" i="20" s="1"/>
  <c r="B213" i="18"/>
  <c r="B199" i="18"/>
  <c r="B199" i="20" s="1"/>
  <c r="B165" i="18"/>
  <c r="B133" i="18"/>
  <c r="B133" i="20" s="1"/>
  <c r="B129" i="18"/>
  <c r="B121" i="18"/>
  <c r="B121" i="20" s="1"/>
  <c r="B117" i="18"/>
  <c r="B115" i="18"/>
  <c r="B115" i="20" s="1"/>
  <c r="B113" i="18"/>
  <c r="B109" i="18"/>
  <c r="B109" i="20" s="1"/>
  <c r="B91" i="18"/>
  <c r="B85" i="18"/>
  <c r="B85" i="20" s="1"/>
  <c r="B57" i="18"/>
  <c r="B51" i="18"/>
  <c r="B51" i="20" s="1"/>
  <c r="B41" i="18"/>
  <c r="B25" i="18"/>
  <c r="B25" i="20" s="1"/>
  <c r="B26" i="18"/>
  <c r="B370" i="18"/>
  <c r="B370" i="20" s="1"/>
  <c r="B364" i="18"/>
  <c r="B360" i="18"/>
  <c r="B360" i="20" s="1"/>
  <c r="B350" i="18"/>
  <c r="B344" i="18"/>
  <c r="B344" i="20" s="1"/>
  <c r="B330" i="18"/>
  <c r="B324" i="18"/>
  <c r="B324" i="20" s="1"/>
  <c r="B322" i="18"/>
  <c r="B304" i="18"/>
  <c r="B304" i="20" s="1"/>
  <c r="B292" i="18"/>
  <c r="B280" i="18"/>
  <c r="B280" i="20" s="1"/>
  <c r="B266" i="18"/>
  <c r="B262" i="18"/>
  <c r="B262" i="20" s="1"/>
  <c r="B256" i="18"/>
  <c r="B238" i="18"/>
  <c r="B238" i="20" s="1"/>
  <c r="B234" i="18"/>
  <c r="B202" i="18"/>
  <c r="B202" i="20" s="1"/>
  <c r="B184" i="18"/>
  <c r="B172" i="18"/>
  <c r="B172" i="20" s="1"/>
  <c r="B160" i="18"/>
  <c r="B138" i="18"/>
  <c r="B138" i="20" s="1"/>
  <c r="B124" i="18"/>
  <c r="B122" i="18"/>
  <c r="B122" i="20" s="1"/>
  <c r="B48" i="18"/>
  <c r="B28" i="18"/>
  <c r="B28" i="20" s="1"/>
  <c r="B27" i="18"/>
  <c r="B18" i="18"/>
  <c r="B18" i="20" s="1"/>
  <c r="B20" i="18"/>
  <c r="B288" i="18"/>
  <c r="B288" i="20" s="1"/>
  <c r="B375" i="18"/>
  <c r="B373" i="18"/>
  <c r="B373" i="20" s="1"/>
  <c r="B359" i="18"/>
  <c r="B357" i="18"/>
  <c r="B357" i="20" s="1"/>
  <c r="B337" i="18"/>
  <c r="B325" i="18"/>
  <c r="B325" i="20" s="1"/>
  <c r="B313" i="18"/>
  <c r="B307" i="18"/>
  <c r="B307" i="20" s="1"/>
  <c r="B301" i="18"/>
  <c r="B277" i="18"/>
  <c r="B277" i="20" s="1"/>
  <c r="B269" i="18"/>
  <c r="B267" i="18"/>
  <c r="B267" i="20" s="1"/>
  <c r="B257" i="18"/>
  <c r="B245" i="18"/>
  <c r="B245" i="20" s="1"/>
  <c r="B231" i="18"/>
  <c r="B223" i="18"/>
  <c r="B223" i="20" s="1"/>
  <c r="B211" i="18"/>
  <c r="B203" i="18"/>
  <c r="B203" i="20" s="1"/>
  <c r="B193" i="18"/>
  <c r="B191" i="18"/>
  <c r="B191" i="20" s="1"/>
  <c r="B179" i="18"/>
  <c r="B169" i="18"/>
  <c r="B169" i="20" s="1"/>
  <c r="B151" i="18"/>
  <c r="B143" i="18"/>
  <c r="B143" i="20" s="1"/>
  <c r="B141" i="18"/>
  <c r="B139" i="18"/>
  <c r="B139" i="20" s="1"/>
  <c r="B107" i="18"/>
  <c r="B65" i="18"/>
  <c r="B65" i="20" s="1"/>
  <c r="B59" i="18"/>
  <c r="B53" i="18"/>
  <c r="B53" i="20" s="1"/>
  <c r="B39" i="18"/>
  <c r="B372" i="18"/>
  <c r="B372" i="20" s="1"/>
  <c r="B348" i="18"/>
  <c r="B334" i="18"/>
  <c r="B334" i="20" s="1"/>
  <c r="B326" i="18"/>
  <c r="B300" i="18"/>
  <c r="B300" i="20" s="1"/>
  <c r="B296" i="18"/>
  <c r="B294" i="18"/>
  <c r="B294" i="20" s="1"/>
  <c r="B250" i="18"/>
  <c r="B228" i="18"/>
  <c r="B228" i="20" s="1"/>
  <c r="B218" i="18"/>
  <c r="B192" i="18"/>
  <c r="B192" i="20" s="1"/>
  <c r="B188" i="18"/>
  <c r="B164" i="18"/>
  <c r="B164" i="20" s="1"/>
  <c r="B148" i="18"/>
  <c r="B148" i="20" s="1"/>
  <c r="B148" i="22" s="1"/>
  <c r="B146" i="18"/>
  <c r="B146" i="20" s="1"/>
  <c r="B144" i="18"/>
  <c r="B142" i="18"/>
  <c r="B142" i="20" s="1"/>
  <c r="B126" i="18"/>
  <c r="B120" i="18"/>
  <c r="B120" i="20" s="1"/>
  <c r="B112" i="18"/>
  <c r="B108" i="18"/>
  <c r="B108" i="20" s="1"/>
  <c r="B96" i="18"/>
  <c r="B94" i="18"/>
  <c r="B94" i="20" s="1"/>
  <c r="B86" i="18"/>
  <c r="B80" i="18"/>
  <c r="B80" i="20" s="1"/>
  <c r="B34" i="18"/>
  <c r="B371" i="18"/>
  <c r="B341" i="18"/>
  <c r="B339" i="18"/>
  <c r="B339" i="20" s="1"/>
  <c r="B327" i="18"/>
  <c r="B303" i="18"/>
  <c r="B303" i="20" s="1"/>
  <c r="B293" i="18"/>
  <c r="B291" i="18"/>
  <c r="B291" i="20" s="1"/>
  <c r="B285" i="18"/>
  <c r="B275" i="18"/>
  <c r="B275" i="20" s="1"/>
  <c r="B259" i="18"/>
  <c r="B233" i="18"/>
  <c r="B221" i="18"/>
  <c r="B221" i="20" s="1"/>
  <c r="B215" i="18"/>
  <c r="B209" i="18"/>
  <c r="B209" i="20" s="1"/>
  <c r="B201" i="18"/>
  <c r="B195" i="18"/>
  <c r="B195" i="20" s="1"/>
  <c r="B181" i="18"/>
  <c r="B147" i="18"/>
  <c r="B147" i="20" s="1"/>
  <c r="B145" i="18"/>
  <c r="B131" i="18"/>
  <c r="B131" i="20" s="1"/>
  <c r="B123" i="18"/>
  <c r="B93" i="18"/>
  <c r="B93" i="20" s="1"/>
  <c r="B87" i="18"/>
  <c r="B79" i="18"/>
  <c r="B79" i="20" s="1"/>
  <c r="B71" i="18"/>
  <c r="B69" i="18"/>
  <c r="B69" i="20" s="1"/>
  <c r="B49" i="18"/>
  <c r="B47" i="18"/>
  <c r="B47" i="20" s="1"/>
  <c r="B45" i="18"/>
  <c r="B33" i="18"/>
  <c r="B33" i="20" s="1"/>
  <c r="B31" i="18"/>
  <c r="B23" i="18"/>
  <c r="B21" i="18"/>
  <c r="B258" i="18"/>
  <c r="B352" i="18"/>
  <c r="B336" i="18"/>
  <c r="B336" i="20" s="1"/>
  <c r="B328" i="18"/>
  <c r="B320" i="18"/>
  <c r="B320" i="20" s="1"/>
  <c r="B318" i="18"/>
  <c r="B308" i="18"/>
  <c r="B308" i="20" s="1"/>
  <c r="B282" i="18"/>
  <c r="B276" i="18"/>
  <c r="B276" i="20" s="1"/>
  <c r="B274" i="18"/>
  <c r="B270" i="18"/>
  <c r="B270" i="20" s="1"/>
  <c r="B268" i="18"/>
  <c r="B260" i="18"/>
  <c r="B260" i="20" s="1"/>
  <c r="B254" i="18"/>
  <c r="B246" i="18"/>
  <c r="B246" i="20" s="1"/>
  <c r="B230" i="18"/>
  <c r="B220" i="18"/>
  <c r="B220" i="20" s="1"/>
  <c r="B178" i="18"/>
  <c r="B176" i="18"/>
  <c r="B176" i="20" s="1"/>
  <c r="B170" i="18"/>
  <c r="B140" i="18"/>
  <c r="B140" i="20" s="1"/>
  <c r="B136" i="18"/>
  <c r="B128" i="18"/>
  <c r="B128" i="20" s="1"/>
  <c r="B118" i="18"/>
  <c r="B110" i="18"/>
  <c r="B110" i="20" s="1"/>
  <c r="B106" i="18"/>
  <c r="B104" i="18"/>
  <c r="B104" i="20" s="1"/>
  <c r="B92" i="18"/>
  <c r="B84" i="18"/>
  <c r="B84" i="20" s="1"/>
  <c r="B70" i="18"/>
  <c r="B56" i="18"/>
  <c r="B56" i="20" s="1"/>
  <c r="B50" i="18"/>
  <c r="B42" i="18"/>
  <c r="B42" i="20" s="1"/>
  <c r="B361" i="18"/>
  <c r="B361" i="20" s="1"/>
  <c r="B361" i="22" s="1"/>
  <c r="B323" i="18"/>
  <c r="B323" i="20" s="1"/>
  <c r="B317" i="18"/>
  <c r="B317" i="20" s="1"/>
  <c r="B317" i="22" s="1"/>
  <c r="B281" i="18"/>
  <c r="B281" i="20" s="1"/>
  <c r="B273" i="18"/>
  <c r="B273" i="20" s="1"/>
  <c r="B273" i="22" s="1"/>
  <c r="B271" i="18"/>
  <c r="B271" i="20" s="1"/>
  <c r="B263" i="18"/>
  <c r="B263" i="20" s="1"/>
  <c r="B263" i="22" s="1"/>
  <c r="B255" i="18"/>
  <c r="B255" i="20" s="1"/>
  <c r="B255" i="22" s="1"/>
  <c r="B249" i="18"/>
  <c r="B249" i="20" s="1"/>
  <c r="B247" i="18"/>
  <c r="B247" i="20" s="1"/>
  <c r="B247" i="22" s="1"/>
  <c r="B219" i="18"/>
  <c r="B219" i="20" s="1"/>
  <c r="B197" i="18"/>
  <c r="B197" i="20" s="1"/>
  <c r="B197" i="22" s="1"/>
  <c r="B185" i="18"/>
  <c r="B185" i="20" s="1"/>
  <c r="B183" i="18"/>
  <c r="B183" i="20" s="1"/>
  <c r="B183" i="22" s="1"/>
  <c r="B173" i="18"/>
  <c r="B173" i="20" s="1"/>
  <c r="B167" i="18"/>
  <c r="B167" i="20" s="1"/>
  <c r="B167" i="22" s="1"/>
  <c r="B159" i="18"/>
  <c r="B159" i="20" s="1"/>
  <c r="B155" i="18"/>
  <c r="B155" i="20" s="1"/>
  <c r="B155" i="22" s="1"/>
  <c r="B127" i="18"/>
  <c r="B127" i="20" s="1"/>
  <c r="B101" i="18"/>
  <c r="B101" i="20" s="1"/>
  <c r="B101" i="22" s="1"/>
  <c r="B99" i="18"/>
  <c r="B99" i="20" s="1"/>
  <c r="B97" i="18"/>
  <c r="B97" i="20" s="1"/>
  <c r="B97" i="22" s="1"/>
  <c r="B89" i="18"/>
  <c r="B89" i="20" s="1"/>
  <c r="B83" i="18"/>
  <c r="B83" i="20" s="1"/>
  <c r="B83" i="22" s="1"/>
  <c r="B77" i="18"/>
  <c r="B77" i="20" s="1"/>
  <c r="B63" i="18"/>
  <c r="B63" i="20" s="1"/>
  <c r="B63" i="22" s="1"/>
  <c r="B61" i="18"/>
  <c r="B61" i="20" s="1"/>
  <c r="B55" i="18"/>
  <c r="B55" i="20" s="1"/>
  <c r="B55" i="22" s="1"/>
  <c r="B37" i="18"/>
  <c r="B37" i="20" s="1"/>
  <c r="B88" i="18"/>
  <c r="B88" i="20" s="1"/>
  <c r="B88" i="22" s="1"/>
  <c r="B265" i="18"/>
  <c r="B265" i="20" s="1"/>
  <c r="B287" i="18"/>
  <c r="B287" i="20" s="1"/>
  <c r="B287" i="22" s="1"/>
  <c r="B130" i="18"/>
  <c r="B130" i="20" s="1"/>
  <c r="B19" i="18"/>
  <c r="B19" i="20" s="1"/>
  <c r="B19" i="22" s="1"/>
  <c r="B161" i="18"/>
  <c r="B161" i="20" s="1"/>
  <c r="B175" i="18"/>
  <c r="B253" i="18"/>
  <c r="B253" i="20" s="1"/>
  <c r="B116" i="18"/>
  <c r="B116" i="20" s="1"/>
  <c r="B116" i="22" s="1"/>
  <c r="B244" i="18"/>
  <c r="B244" i="20" s="1"/>
  <c r="B284" i="18"/>
  <c r="B284" i="20" s="1"/>
  <c r="B284" i="22" s="1"/>
  <c r="B369" i="18"/>
  <c r="B369" i="20" s="1"/>
  <c r="B241" i="18"/>
  <c r="B241" i="20" s="1"/>
  <c r="B241" i="22" s="1"/>
  <c r="B210" i="18"/>
  <c r="B210" i="20" s="1"/>
  <c r="B302" i="18"/>
  <c r="B302" i="20" s="1"/>
  <c r="B302" i="22" s="1"/>
  <c r="B189" i="18"/>
  <c r="B189" i="20" s="1"/>
  <c r="B189" i="22" s="1"/>
  <c r="B347" i="18"/>
  <c r="B347" i="20" s="1"/>
  <c r="B367" i="18"/>
  <c r="B367" i="20" s="1"/>
  <c r="B367" i="22" s="1"/>
  <c r="B114" i="18"/>
  <c r="B114" i="20" s="1"/>
  <c r="B154" i="18"/>
  <c r="B154" i="20" s="1"/>
  <c r="B154" i="22" s="1"/>
  <c r="B376" i="18"/>
  <c r="B376" i="20" s="1"/>
  <c r="B335" i="18"/>
  <c r="B335" i="20" s="1"/>
  <c r="B335" i="22" s="1"/>
  <c r="B66" i="18"/>
  <c r="B66" i="20" s="1"/>
  <c r="B194" i="18"/>
  <c r="B194" i="20" s="1"/>
  <c r="B194" i="22" s="1"/>
  <c r="B368" i="18"/>
  <c r="B368" i="20" s="1"/>
  <c r="B135" i="18"/>
  <c r="B135" i="20" s="1"/>
  <c r="B135" i="22" s="1"/>
  <c r="B272" i="18"/>
  <c r="B272" i="20" s="1"/>
  <c r="B272" i="22" s="1"/>
  <c r="B95" i="18"/>
  <c r="B95" i="20" s="1"/>
  <c r="B171" i="18"/>
  <c r="B171" i="20" s="1"/>
  <c r="B171" i="22" s="1"/>
  <c r="B278" i="18"/>
  <c r="B278" i="20" s="1"/>
  <c r="B346" i="18"/>
  <c r="B346" i="20" s="1"/>
  <c r="B346" i="22" s="1"/>
  <c r="B43" i="18"/>
  <c r="B43" i="20" s="1"/>
  <c r="B75" i="18"/>
  <c r="B75" i="20" s="1"/>
  <c r="B75" i="22" s="1"/>
  <c r="B111" i="18"/>
  <c r="B111" i="20" s="1"/>
  <c r="B283" i="18"/>
  <c r="B283" i="20" s="1"/>
  <c r="B283" i="22" s="1"/>
  <c r="B216" i="18"/>
  <c r="B216" i="20" s="1"/>
  <c r="B261" i="18"/>
  <c r="B261" i="20" s="1"/>
  <c r="B261" i="22" s="1"/>
  <c r="B17" i="18"/>
  <c r="B17" i="20" s="1"/>
  <c r="B248" i="18"/>
  <c r="B248" i="20" s="1"/>
  <c r="B248" i="22" s="1"/>
  <c r="B354" i="18"/>
  <c r="B354" i="20" s="1"/>
  <c r="B74" i="18"/>
  <c r="B74" i="20" s="1"/>
  <c r="B74" i="22" s="1"/>
  <c r="B319" i="18"/>
  <c r="B319" i="20" s="1"/>
  <c r="B22" i="20"/>
  <c r="B22" i="22" s="1"/>
  <c r="B227" i="18"/>
  <c r="B227" i="20" s="1"/>
  <c r="B349" i="18"/>
  <c r="B349" i="20" s="1"/>
  <c r="B349" i="22" s="1"/>
  <c r="B166" i="18"/>
  <c r="B166" i="20" s="1"/>
  <c r="B46" i="18"/>
  <c r="B46" i="20" s="1"/>
  <c r="B46" i="22" s="1"/>
  <c r="B35" i="18"/>
  <c r="B35" i="20" s="1"/>
  <c r="B67" i="18"/>
  <c r="B67" i="20" s="1"/>
  <c r="B67" i="22" s="1"/>
  <c r="B177" i="18"/>
  <c r="B177" i="20" s="1"/>
  <c r="B208" i="18"/>
  <c r="B208" i="20" s="1"/>
  <c r="B226" i="18"/>
  <c r="B226" i="20" s="1"/>
  <c r="B226" i="22" s="1"/>
  <c r="B298" i="18"/>
  <c r="B298" i="20" s="1"/>
  <c r="B187" i="18"/>
  <c r="B187" i="20" s="1"/>
  <c r="B187" i="22" s="1"/>
  <c r="B16" i="18"/>
  <c r="B16" i="20" s="1"/>
  <c r="B150" i="18"/>
  <c r="B150" i="20" s="1"/>
  <c r="B150" i="22" s="1"/>
  <c r="B316" i="18"/>
  <c r="B316" i="20" s="1"/>
  <c r="B365" i="18"/>
  <c r="B365" i="20" s="1"/>
  <c r="B365" i="22" s="1"/>
  <c r="B105" i="18"/>
  <c r="B105" i="20" s="1"/>
  <c r="B29" i="18"/>
  <c r="B29" i="20" s="1"/>
  <c r="B29" i="22" s="1"/>
  <c r="B149" i="18"/>
  <c r="B149" i="20" s="1"/>
  <c r="B60" i="18"/>
  <c r="B60" i="20" s="1"/>
  <c r="B60" i="22" s="1"/>
  <c r="B119" i="18"/>
  <c r="B119" i="20" s="1"/>
  <c r="B333" i="18"/>
  <c r="B333" i="20" s="1"/>
  <c r="B180" i="18"/>
  <c r="B180" i="20" s="1"/>
  <c r="B180" i="22" s="1"/>
  <c r="B196" i="18"/>
  <c r="B363" i="18"/>
  <c r="B363" i="20" s="1"/>
  <c r="B379" i="18"/>
  <c r="B15" i="18"/>
  <c r="D15" i="17"/>
  <c r="AJ7" i="17" l="1"/>
  <c r="D15" i="18"/>
  <c r="AJ5" i="18"/>
  <c r="N58" i="19"/>
  <c r="N57" i="19"/>
  <c r="N59" i="19"/>
  <c r="B15" i="20"/>
  <c r="E15" i="18"/>
  <c r="D119" i="20"/>
  <c r="E119" i="20" s="1"/>
  <c r="F119" i="20" s="1"/>
  <c r="W119" i="20"/>
  <c r="B119" i="22"/>
  <c r="W29" i="22"/>
  <c r="D29" i="22"/>
  <c r="E29" i="22" s="1"/>
  <c r="F29" i="22" s="1"/>
  <c r="B29" i="23"/>
  <c r="W105" i="20"/>
  <c r="D105" i="20"/>
  <c r="E105" i="20" s="1"/>
  <c r="F105" i="20" s="1"/>
  <c r="B105" i="22"/>
  <c r="W150" i="22"/>
  <c r="D150" i="22"/>
  <c r="E150" i="22" s="1"/>
  <c r="F150" i="22" s="1"/>
  <c r="B150" i="23"/>
  <c r="W16" i="20"/>
  <c r="D16" i="20"/>
  <c r="E16" i="20" s="1"/>
  <c r="F16" i="20" s="1"/>
  <c r="B16" i="22"/>
  <c r="W226" i="22"/>
  <c r="D226" i="22"/>
  <c r="E226" i="22" s="1"/>
  <c r="F226" i="22" s="1"/>
  <c r="B226" i="23"/>
  <c r="W208" i="20"/>
  <c r="D208" i="20"/>
  <c r="E208" i="20" s="1"/>
  <c r="F208" i="20" s="1"/>
  <c r="B208" i="22"/>
  <c r="W67" i="22"/>
  <c r="D67" i="22"/>
  <c r="E67" i="22" s="1"/>
  <c r="F67" i="22" s="1"/>
  <c r="B67" i="23"/>
  <c r="W35" i="20"/>
  <c r="D35" i="20"/>
  <c r="E35" i="20" s="1"/>
  <c r="F35" i="20" s="1"/>
  <c r="B35" i="22"/>
  <c r="W349" i="22"/>
  <c r="D349" i="22"/>
  <c r="E349" i="22" s="1"/>
  <c r="F349" i="22" s="1"/>
  <c r="B349" i="23"/>
  <c r="W227" i="20"/>
  <c r="D227" i="20"/>
  <c r="E227" i="20" s="1"/>
  <c r="F227" i="20" s="1"/>
  <c r="B227" i="22"/>
  <c r="W74" i="22"/>
  <c r="D74" i="22"/>
  <c r="E74" i="22" s="1"/>
  <c r="F74" i="22" s="1"/>
  <c r="B74" i="23"/>
  <c r="W354" i="20"/>
  <c r="D354" i="20"/>
  <c r="E354" i="20" s="1"/>
  <c r="F354" i="20" s="1"/>
  <c r="B354" i="22"/>
  <c r="W261" i="22"/>
  <c r="D261" i="22"/>
  <c r="E261" i="22" s="1"/>
  <c r="F261" i="22" s="1"/>
  <c r="B261" i="23"/>
  <c r="W216" i="20"/>
  <c r="D216" i="20"/>
  <c r="E216" i="20" s="1"/>
  <c r="F216" i="20" s="1"/>
  <c r="B216" i="22"/>
  <c r="W75" i="22"/>
  <c r="D75" i="22"/>
  <c r="E75" i="22" s="1"/>
  <c r="F75" i="22" s="1"/>
  <c r="B75" i="23"/>
  <c r="W43" i="20"/>
  <c r="D43" i="20"/>
  <c r="E43" i="20" s="1"/>
  <c r="F43" i="20" s="1"/>
  <c r="B43" i="22"/>
  <c r="W171" i="22"/>
  <c r="D171" i="22"/>
  <c r="E171" i="22" s="1"/>
  <c r="F171" i="22" s="1"/>
  <c r="B171" i="23"/>
  <c r="W95" i="20"/>
  <c r="D95" i="20"/>
  <c r="E95" i="20" s="1"/>
  <c r="F95" i="20" s="1"/>
  <c r="B95" i="22"/>
  <c r="W194" i="22"/>
  <c r="D194" i="22"/>
  <c r="E194" i="22" s="1"/>
  <c r="F194" i="22" s="1"/>
  <c r="B194" i="23"/>
  <c r="W66" i="20"/>
  <c r="D66" i="20"/>
  <c r="E66" i="20" s="1"/>
  <c r="F66" i="20" s="1"/>
  <c r="B66" i="22"/>
  <c r="W154" i="22"/>
  <c r="D154" i="22"/>
  <c r="E154" i="22" s="1"/>
  <c r="F154" i="22" s="1"/>
  <c r="B154" i="23"/>
  <c r="W114" i="20"/>
  <c r="D114" i="20"/>
  <c r="E114" i="20" s="1"/>
  <c r="F114" i="20" s="1"/>
  <c r="B114" i="22"/>
  <c r="W189" i="22"/>
  <c r="D189" i="22"/>
  <c r="E189" i="22" s="1"/>
  <c r="F189" i="22" s="1"/>
  <c r="B189" i="23"/>
  <c r="W302" i="22"/>
  <c r="D302" i="22"/>
  <c r="E302" i="22" s="1"/>
  <c r="F302" i="22" s="1"/>
  <c r="B302" i="23"/>
  <c r="W210" i="20"/>
  <c r="D210" i="20"/>
  <c r="E210" i="20" s="1"/>
  <c r="F210" i="20" s="1"/>
  <c r="B210" i="22"/>
  <c r="W284" i="22"/>
  <c r="D284" i="22"/>
  <c r="E284" i="22" s="1"/>
  <c r="F284" i="22" s="1"/>
  <c r="B284" i="23"/>
  <c r="W244" i="20"/>
  <c r="D244" i="20"/>
  <c r="E244" i="20" s="1"/>
  <c r="F244" i="20" s="1"/>
  <c r="B244" i="22"/>
  <c r="W19" i="22"/>
  <c r="D19" i="22"/>
  <c r="E19" i="22" s="1"/>
  <c r="F19" i="22" s="1"/>
  <c r="B19" i="23"/>
  <c r="W130" i="20"/>
  <c r="D130" i="20"/>
  <c r="E130" i="20" s="1"/>
  <c r="F130" i="20" s="1"/>
  <c r="B130" i="22"/>
  <c r="W88" i="22"/>
  <c r="D88" i="22"/>
  <c r="E88" i="22" s="1"/>
  <c r="F88" i="22" s="1"/>
  <c r="B88" i="23"/>
  <c r="W37" i="20"/>
  <c r="D37" i="20"/>
  <c r="E37" i="20" s="1"/>
  <c r="F37" i="20" s="1"/>
  <c r="B37" i="22"/>
  <c r="W63" i="22"/>
  <c r="D63" i="22"/>
  <c r="E63" i="22" s="1"/>
  <c r="F63" i="22" s="1"/>
  <c r="B63" i="23"/>
  <c r="W77" i="20"/>
  <c r="D77" i="20"/>
  <c r="E77" i="20" s="1"/>
  <c r="F77" i="20" s="1"/>
  <c r="B77" i="22"/>
  <c r="W97" i="22"/>
  <c r="D97" i="22"/>
  <c r="E97" i="22" s="1"/>
  <c r="F97" i="22" s="1"/>
  <c r="B97" i="23"/>
  <c r="W99" i="20"/>
  <c r="D99" i="20"/>
  <c r="E99" i="20" s="1"/>
  <c r="F99" i="20" s="1"/>
  <c r="B99" i="22"/>
  <c r="W155" i="22"/>
  <c r="D155" i="22"/>
  <c r="E155" i="22" s="1"/>
  <c r="F155" i="22" s="1"/>
  <c r="B155" i="23"/>
  <c r="W159" i="20"/>
  <c r="D159" i="20"/>
  <c r="E159" i="20" s="1"/>
  <c r="F159" i="20" s="1"/>
  <c r="B159" i="22"/>
  <c r="W183" i="22"/>
  <c r="D183" i="22"/>
  <c r="E183" i="22" s="1"/>
  <c r="F183" i="22" s="1"/>
  <c r="B183" i="23"/>
  <c r="W185" i="20"/>
  <c r="D185" i="20"/>
  <c r="E185" i="20" s="1"/>
  <c r="F185" i="20" s="1"/>
  <c r="B185" i="22"/>
  <c r="W247" i="22"/>
  <c r="D247" i="22"/>
  <c r="E247" i="22" s="1"/>
  <c r="F247" i="22" s="1"/>
  <c r="B247" i="23"/>
  <c r="W249" i="20"/>
  <c r="D249" i="20"/>
  <c r="E249" i="20" s="1"/>
  <c r="F249" i="20" s="1"/>
  <c r="B249" i="22"/>
  <c r="W273" i="22"/>
  <c r="D273" i="22"/>
  <c r="E273" i="22" s="1"/>
  <c r="F273" i="22" s="1"/>
  <c r="B273" i="23"/>
  <c r="W281" i="20"/>
  <c r="D281" i="20"/>
  <c r="E281" i="20" s="1"/>
  <c r="F281" i="20" s="1"/>
  <c r="B281" i="22"/>
  <c r="W361" i="22"/>
  <c r="D361" i="22"/>
  <c r="E361" i="22" s="1"/>
  <c r="F361" i="22" s="1"/>
  <c r="B361" i="23"/>
  <c r="W148" i="22"/>
  <c r="D148" i="22"/>
  <c r="E148" i="22" s="1"/>
  <c r="F148" i="22" s="1"/>
  <c r="B148" i="23"/>
  <c r="W164" i="20"/>
  <c r="D164" i="20"/>
  <c r="E164" i="20" s="1"/>
  <c r="F164" i="20" s="1"/>
  <c r="B164" i="22"/>
  <c r="W192" i="20"/>
  <c r="D192" i="20"/>
  <c r="E192" i="20" s="1"/>
  <c r="F192" i="20" s="1"/>
  <c r="B192" i="22"/>
  <c r="W228" i="20"/>
  <c r="D228" i="20"/>
  <c r="E228" i="20" s="1"/>
  <c r="F228" i="20" s="1"/>
  <c r="B228" i="22"/>
  <c r="W294" i="20"/>
  <c r="D294" i="20"/>
  <c r="E294" i="20" s="1"/>
  <c r="F294" i="20" s="1"/>
  <c r="B294" i="22"/>
  <c r="W300" i="20"/>
  <c r="D300" i="20"/>
  <c r="E300" i="20" s="1"/>
  <c r="F300" i="20" s="1"/>
  <c r="B300" i="22"/>
  <c r="W334" i="20"/>
  <c r="D334" i="20"/>
  <c r="E334" i="20" s="1"/>
  <c r="F334" i="20" s="1"/>
  <c r="B334" i="22"/>
  <c r="W363" i="20"/>
  <c r="D363" i="20"/>
  <c r="E363" i="20" s="1"/>
  <c r="F363" i="20" s="1"/>
  <c r="B363" i="22"/>
  <c r="D180" i="22"/>
  <c r="E180" i="22" s="1"/>
  <c r="F180" i="22" s="1"/>
  <c r="W180" i="22"/>
  <c r="B180" i="23"/>
  <c r="W333" i="20"/>
  <c r="D333" i="20"/>
  <c r="E333" i="20" s="1"/>
  <c r="F333" i="20" s="1"/>
  <c r="B333" i="22"/>
  <c r="W60" i="22"/>
  <c r="D60" i="22"/>
  <c r="E60" i="22" s="1"/>
  <c r="F60" i="22" s="1"/>
  <c r="B60" i="23"/>
  <c r="W149" i="20"/>
  <c r="D149" i="20"/>
  <c r="E149" i="20" s="1"/>
  <c r="F149" i="20" s="1"/>
  <c r="B149" i="22"/>
  <c r="W365" i="22"/>
  <c r="D365" i="22"/>
  <c r="E365" i="22" s="1"/>
  <c r="F365" i="22" s="1"/>
  <c r="B365" i="23"/>
  <c r="W316" i="20"/>
  <c r="D316" i="20"/>
  <c r="E316" i="20" s="1"/>
  <c r="F316" i="20" s="1"/>
  <c r="B316" i="22"/>
  <c r="W187" i="22"/>
  <c r="D187" i="22"/>
  <c r="E187" i="22" s="1"/>
  <c r="F187" i="22" s="1"/>
  <c r="B187" i="23"/>
  <c r="W298" i="20"/>
  <c r="D298" i="20"/>
  <c r="E298" i="20" s="1"/>
  <c r="F298" i="20" s="1"/>
  <c r="B298" i="22"/>
  <c r="W177" i="20"/>
  <c r="D177" i="20"/>
  <c r="E177" i="20" s="1"/>
  <c r="F177" i="20" s="1"/>
  <c r="B177" i="22"/>
  <c r="W46" i="22"/>
  <c r="D46" i="22"/>
  <c r="E46" i="22" s="1"/>
  <c r="F46" i="22" s="1"/>
  <c r="B46" i="23"/>
  <c r="W166" i="20"/>
  <c r="D166" i="20"/>
  <c r="E166" i="20" s="1"/>
  <c r="F166" i="20" s="1"/>
  <c r="B166" i="22"/>
  <c r="W22" i="22"/>
  <c r="D22" i="22"/>
  <c r="E22" i="22" s="1"/>
  <c r="F22" i="22" s="1"/>
  <c r="B22" i="23"/>
  <c r="W319" i="20"/>
  <c r="D319" i="20"/>
  <c r="E319" i="20" s="1"/>
  <c r="F319" i="20" s="1"/>
  <c r="B319" i="22"/>
  <c r="W248" i="22"/>
  <c r="D248" i="22"/>
  <c r="E248" i="22" s="1"/>
  <c r="F248" i="22" s="1"/>
  <c r="B248" i="23"/>
  <c r="W17" i="20"/>
  <c r="D17" i="20"/>
  <c r="E17" i="20" s="1"/>
  <c r="F17" i="20" s="1"/>
  <c r="B17" i="22"/>
  <c r="W283" i="22"/>
  <c r="D283" i="22"/>
  <c r="E283" i="22" s="1"/>
  <c r="F283" i="22" s="1"/>
  <c r="B283" i="23"/>
  <c r="W111" i="20"/>
  <c r="D111" i="20"/>
  <c r="E111" i="20" s="1"/>
  <c r="F111" i="20" s="1"/>
  <c r="B111" i="22"/>
  <c r="W346" i="22"/>
  <c r="D346" i="22"/>
  <c r="E346" i="22" s="1"/>
  <c r="F346" i="22" s="1"/>
  <c r="B346" i="23"/>
  <c r="W278" i="20"/>
  <c r="D278" i="20"/>
  <c r="E278" i="20" s="1"/>
  <c r="F278" i="20" s="1"/>
  <c r="B278" i="22"/>
  <c r="W272" i="22"/>
  <c r="D272" i="22"/>
  <c r="E272" i="22" s="1"/>
  <c r="F272" i="22" s="1"/>
  <c r="B272" i="23"/>
  <c r="W135" i="22"/>
  <c r="D135" i="22"/>
  <c r="E135" i="22" s="1"/>
  <c r="F135" i="22" s="1"/>
  <c r="B135" i="23"/>
  <c r="W368" i="20"/>
  <c r="D368" i="20"/>
  <c r="E368" i="20" s="1"/>
  <c r="F368" i="20" s="1"/>
  <c r="B368" i="22"/>
  <c r="W335" i="22"/>
  <c r="D335" i="22"/>
  <c r="E335" i="22" s="1"/>
  <c r="F335" i="22" s="1"/>
  <c r="B335" i="23"/>
  <c r="W376" i="20"/>
  <c r="D376" i="20"/>
  <c r="E376" i="20" s="1"/>
  <c r="F376" i="20" s="1"/>
  <c r="B376" i="22"/>
  <c r="W367" i="22"/>
  <c r="D367" i="22"/>
  <c r="E367" i="22" s="1"/>
  <c r="F367" i="22" s="1"/>
  <c r="B367" i="23"/>
  <c r="W347" i="20"/>
  <c r="D347" i="20"/>
  <c r="E347" i="20" s="1"/>
  <c r="F347" i="20" s="1"/>
  <c r="B347" i="22"/>
  <c r="W241" i="22"/>
  <c r="D241" i="22"/>
  <c r="E241" i="22" s="1"/>
  <c r="F241" i="22" s="1"/>
  <c r="B241" i="23"/>
  <c r="W369" i="20"/>
  <c r="D369" i="20"/>
  <c r="E369" i="20" s="1"/>
  <c r="F369" i="20" s="1"/>
  <c r="B369" i="22"/>
  <c r="D116" i="22"/>
  <c r="E116" i="22" s="1"/>
  <c r="F116" i="22" s="1"/>
  <c r="W116" i="22"/>
  <c r="B116" i="23"/>
  <c r="W253" i="20"/>
  <c r="D253" i="20"/>
  <c r="E253" i="20" s="1"/>
  <c r="F253" i="20" s="1"/>
  <c r="B253" i="22"/>
  <c r="W161" i="20"/>
  <c r="D161" i="20"/>
  <c r="E161" i="20" s="1"/>
  <c r="F161" i="20" s="1"/>
  <c r="B161" i="22"/>
  <c r="W287" i="22"/>
  <c r="D287" i="22"/>
  <c r="E287" i="22" s="1"/>
  <c r="F287" i="22" s="1"/>
  <c r="B287" i="23"/>
  <c r="W265" i="20"/>
  <c r="D265" i="20"/>
  <c r="E265" i="20" s="1"/>
  <c r="F265" i="20" s="1"/>
  <c r="B265" i="22"/>
  <c r="W55" i="22"/>
  <c r="D55" i="22"/>
  <c r="E55" i="22" s="1"/>
  <c r="F55" i="22" s="1"/>
  <c r="B55" i="23"/>
  <c r="W61" i="20"/>
  <c r="D61" i="20"/>
  <c r="E61" i="20" s="1"/>
  <c r="F61" i="20" s="1"/>
  <c r="B61" i="22"/>
  <c r="W83" i="22"/>
  <c r="D83" i="22"/>
  <c r="E83" i="22" s="1"/>
  <c r="F83" i="22" s="1"/>
  <c r="B83" i="23"/>
  <c r="W89" i="20"/>
  <c r="D89" i="20"/>
  <c r="E89" i="20" s="1"/>
  <c r="F89" i="20" s="1"/>
  <c r="B89" i="22"/>
  <c r="W101" i="22"/>
  <c r="D101" i="22"/>
  <c r="E101" i="22" s="1"/>
  <c r="F101" i="22" s="1"/>
  <c r="B101" i="23"/>
  <c r="W127" i="20"/>
  <c r="D127" i="20"/>
  <c r="E127" i="20" s="1"/>
  <c r="F127" i="20" s="1"/>
  <c r="B127" i="22"/>
  <c r="W167" i="22"/>
  <c r="D167" i="22"/>
  <c r="E167" i="22" s="1"/>
  <c r="F167" i="22" s="1"/>
  <c r="B167" i="23"/>
  <c r="W173" i="20"/>
  <c r="D173" i="20"/>
  <c r="E173" i="20" s="1"/>
  <c r="F173" i="20" s="1"/>
  <c r="B173" i="22"/>
  <c r="W197" i="22"/>
  <c r="D197" i="22"/>
  <c r="E197" i="22" s="1"/>
  <c r="F197" i="22" s="1"/>
  <c r="B197" i="23"/>
  <c r="W219" i="20"/>
  <c r="D219" i="20"/>
  <c r="E219" i="20" s="1"/>
  <c r="F219" i="20" s="1"/>
  <c r="B219" i="22"/>
  <c r="W255" i="22"/>
  <c r="D255" i="22"/>
  <c r="E255" i="22" s="1"/>
  <c r="F255" i="22" s="1"/>
  <c r="B255" i="23"/>
  <c r="W263" i="22"/>
  <c r="D263" i="22"/>
  <c r="E263" i="22" s="1"/>
  <c r="F263" i="22" s="1"/>
  <c r="B263" i="23"/>
  <c r="W271" i="20"/>
  <c r="D271" i="20"/>
  <c r="E271" i="20" s="1"/>
  <c r="F271" i="20" s="1"/>
  <c r="B271" i="22"/>
  <c r="W317" i="22"/>
  <c r="D317" i="22"/>
  <c r="E317" i="22" s="1"/>
  <c r="F317" i="22" s="1"/>
  <c r="B317" i="23"/>
  <c r="W323" i="20"/>
  <c r="D323" i="20"/>
  <c r="E323" i="20" s="1"/>
  <c r="F323" i="20" s="1"/>
  <c r="B323" i="22"/>
  <c r="W108" i="20"/>
  <c r="D108" i="20"/>
  <c r="E108" i="20" s="1"/>
  <c r="F108" i="20" s="1"/>
  <c r="B108" i="22"/>
  <c r="W120" i="20"/>
  <c r="D120" i="20"/>
  <c r="E120" i="20" s="1"/>
  <c r="F120" i="20" s="1"/>
  <c r="B120" i="22"/>
  <c r="W142" i="20"/>
  <c r="D142" i="20"/>
  <c r="E142" i="20" s="1"/>
  <c r="F142" i="20" s="1"/>
  <c r="B142" i="22"/>
  <c r="W146" i="20"/>
  <c r="D146" i="20"/>
  <c r="E146" i="20" s="1"/>
  <c r="F146" i="20" s="1"/>
  <c r="B146" i="22"/>
  <c r="W379" i="18"/>
  <c r="D379" i="18"/>
  <c r="E379" i="18" s="1"/>
  <c r="F379" i="18" s="1"/>
  <c r="W196" i="18"/>
  <c r="D196" i="18"/>
  <c r="E196" i="18" s="1"/>
  <c r="F196" i="18" s="1"/>
  <c r="W180" i="18"/>
  <c r="D180" i="18"/>
  <c r="E180" i="18" s="1"/>
  <c r="F180" i="18" s="1"/>
  <c r="W60" i="18"/>
  <c r="D60" i="18"/>
  <c r="E60" i="18" s="1"/>
  <c r="F60" i="18" s="1"/>
  <c r="W29" i="18"/>
  <c r="D29" i="18"/>
  <c r="E29" i="18" s="1"/>
  <c r="F29" i="18" s="1"/>
  <c r="W365" i="18"/>
  <c r="D365" i="18"/>
  <c r="E365" i="18" s="1"/>
  <c r="F365" i="18" s="1"/>
  <c r="W150" i="18"/>
  <c r="D150" i="18"/>
  <c r="E150" i="18" s="1"/>
  <c r="F150" i="18" s="1"/>
  <c r="W187" i="18"/>
  <c r="D187" i="18"/>
  <c r="E187" i="18" s="1"/>
  <c r="F187" i="18" s="1"/>
  <c r="W226" i="18"/>
  <c r="D226" i="18"/>
  <c r="E226" i="18" s="1"/>
  <c r="F226" i="18" s="1"/>
  <c r="W67" i="18"/>
  <c r="D67" i="18"/>
  <c r="E67" i="18" s="1"/>
  <c r="F67" i="18" s="1"/>
  <c r="W46" i="18"/>
  <c r="D46" i="18"/>
  <c r="E46" i="18" s="1"/>
  <c r="F46" i="18" s="1"/>
  <c r="W349" i="18"/>
  <c r="D349" i="18"/>
  <c r="E349" i="18" s="1"/>
  <c r="F349" i="18" s="1"/>
  <c r="W22" i="18"/>
  <c r="D22" i="18"/>
  <c r="E22" i="18" s="1"/>
  <c r="F22" i="18" s="1"/>
  <c r="W74" i="18"/>
  <c r="D74" i="18"/>
  <c r="E74" i="18" s="1"/>
  <c r="F74" i="18" s="1"/>
  <c r="W248" i="18"/>
  <c r="D248" i="18"/>
  <c r="E248" i="18" s="1"/>
  <c r="F248" i="18" s="1"/>
  <c r="W261" i="18"/>
  <c r="D261" i="18"/>
  <c r="E261" i="18" s="1"/>
  <c r="F261" i="18" s="1"/>
  <c r="W283" i="18"/>
  <c r="D283" i="18"/>
  <c r="E283" i="18" s="1"/>
  <c r="F283" i="18" s="1"/>
  <c r="W75" i="18"/>
  <c r="D75" i="18"/>
  <c r="E75" i="18" s="1"/>
  <c r="F75" i="18" s="1"/>
  <c r="W346" i="18"/>
  <c r="D346" i="18"/>
  <c r="E346" i="18" s="1"/>
  <c r="F346" i="18" s="1"/>
  <c r="W171" i="18"/>
  <c r="D171" i="18"/>
  <c r="E171" i="18" s="1"/>
  <c r="F171" i="18" s="1"/>
  <c r="W272" i="18"/>
  <c r="D272" i="18"/>
  <c r="E272" i="18" s="1"/>
  <c r="F272" i="18" s="1"/>
  <c r="W135" i="18"/>
  <c r="D135" i="18"/>
  <c r="E135" i="18" s="1"/>
  <c r="F135" i="18" s="1"/>
  <c r="W194" i="18"/>
  <c r="D194" i="18"/>
  <c r="E194" i="18" s="1"/>
  <c r="F194" i="18" s="1"/>
  <c r="W335" i="18"/>
  <c r="D335" i="18"/>
  <c r="E335" i="18" s="1"/>
  <c r="F335" i="18" s="1"/>
  <c r="W154" i="18"/>
  <c r="D154" i="18"/>
  <c r="E154" i="18" s="1"/>
  <c r="F154" i="18" s="1"/>
  <c r="W367" i="18"/>
  <c r="D367" i="18"/>
  <c r="E367" i="18" s="1"/>
  <c r="F367" i="18" s="1"/>
  <c r="W189" i="18"/>
  <c r="D189" i="18"/>
  <c r="E189" i="18" s="1"/>
  <c r="F189" i="18" s="1"/>
  <c r="W302" i="18"/>
  <c r="D302" i="18"/>
  <c r="E302" i="18" s="1"/>
  <c r="F302" i="18" s="1"/>
  <c r="W241" i="18"/>
  <c r="D241" i="18"/>
  <c r="E241" i="18" s="1"/>
  <c r="F241" i="18" s="1"/>
  <c r="W284" i="18"/>
  <c r="D284" i="18"/>
  <c r="E284" i="18" s="1"/>
  <c r="F284" i="18" s="1"/>
  <c r="W116" i="18"/>
  <c r="D116" i="18"/>
  <c r="E116" i="18" s="1"/>
  <c r="F116" i="18" s="1"/>
  <c r="W175" i="18"/>
  <c r="D175" i="18"/>
  <c r="E175" i="18" s="1"/>
  <c r="F175" i="18" s="1"/>
  <c r="W19" i="18"/>
  <c r="D19" i="18"/>
  <c r="E19" i="18" s="1"/>
  <c r="F19" i="18" s="1"/>
  <c r="W287" i="18"/>
  <c r="D287" i="18"/>
  <c r="E287" i="18" s="1"/>
  <c r="F287" i="18" s="1"/>
  <c r="W88" i="18"/>
  <c r="D88" i="18"/>
  <c r="E88" i="18" s="1"/>
  <c r="F88" i="18" s="1"/>
  <c r="W55" i="18"/>
  <c r="D55" i="18"/>
  <c r="E55" i="18" s="1"/>
  <c r="F55" i="18" s="1"/>
  <c r="W63" i="18"/>
  <c r="D63" i="18"/>
  <c r="E63" i="18" s="1"/>
  <c r="F63" i="18" s="1"/>
  <c r="W83" i="18"/>
  <c r="D83" i="18"/>
  <c r="E83" i="18" s="1"/>
  <c r="F83" i="18" s="1"/>
  <c r="W97" i="18"/>
  <c r="D97" i="18"/>
  <c r="E97" i="18" s="1"/>
  <c r="F97" i="18" s="1"/>
  <c r="W101" i="18"/>
  <c r="D101" i="18"/>
  <c r="E101" i="18" s="1"/>
  <c r="F101" i="18" s="1"/>
  <c r="W155" i="18"/>
  <c r="D155" i="18"/>
  <c r="E155" i="18" s="1"/>
  <c r="F155" i="18" s="1"/>
  <c r="W167" i="18"/>
  <c r="D167" i="18"/>
  <c r="E167" i="18" s="1"/>
  <c r="F167" i="18" s="1"/>
  <c r="W183" i="18"/>
  <c r="D183" i="18"/>
  <c r="E183" i="18" s="1"/>
  <c r="F183" i="18" s="1"/>
  <c r="W197" i="18"/>
  <c r="D197" i="18"/>
  <c r="E197" i="18" s="1"/>
  <c r="F197" i="18" s="1"/>
  <c r="W247" i="18"/>
  <c r="D247" i="18"/>
  <c r="E247" i="18" s="1"/>
  <c r="F247" i="18" s="1"/>
  <c r="W255" i="18"/>
  <c r="D255" i="18"/>
  <c r="E255" i="18" s="1"/>
  <c r="F255" i="18" s="1"/>
  <c r="W263" i="18"/>
  <c r="D263" i="18"/>
  <c r="E263" i="18" s="1"/>
  <c r="F263" i="18" s="1"/>
  <c r="W273" i="18"/>
  <c r="D273" i="18"/>
  <c r="E273" i="18" s="1"/>
  <c r="F273" i="18" s="1"/>
  <c r="W317" i="18"/>
  <c r="D317" i="18"/>
  <c r="E317" i="18" s="1"/>
  <c r="F317" i="18" s="1"/>
  <c r="W361" i="18"/>
  <c r="D361" i="18"/>
  <c r="E361" i="18" s="1"/>
  <c r="F361" i="18" s="1"/>
  <c r="W42" i="20"/>
  <c r="D42" i="20"/>
  <c r="E42" i="20" s="1"/>
  <c r="F42" i="20" s="1"/>
  <c r="W50" i="18"/>
  <c r="D50" i="18"/>
  <c r="E50" i="18" s="1"/>
  <c r="F50" i="18" s="1"/>
  <c r="W56" i="20"/>
  <c r="D56" i="20"/>
  <c r="E56" i="20" s="1"/>
  <c r="F56" i="20" s="1"/>
  <c r="W70" i="18"/>
  <c r="D70" i="18"/>
  <c r="E70" i="18" s="1"/>
  <c r="F70" i="18" s="1"/>
  <c r="W84" i="20"/>
  <c r="D84" i="20"/>
  <c r="E84" i="20" s="1"/>
  <c r="F84" i="20" s="1"/>
  <c r="W92" i="18"/>
  <c r="D92" i="18"/>
  <c r="E92" i="18" s="1"/>
  <c r="F92" i="18" s="1"/>
  <c r="W104" i="20"/>
  <c r="D104" i="20"/>
  <c r="E104" i="20" s="1"/>
  <c r="F104" i="20" s="1"/>
  <c r="W106" i="18"/>
  <c r="D106" i="18"/>
  <c r="E106" i="18" s="1"/>
  <c r="F106" i="18" s="1"/>
  <c r="W110" i="20"/>
  <c r="D110" i="20"/>
  <c r="E110" i="20" s="1"/>
  <c r="F110" i="20" s="1"/>
  <c r="W118" i="18"/>
  <c r="D118" i="18"/>
  <c r="E118" i="18" s="1"/>
  <c r="F118" i="18" s="1"/>
  <c r="W128" i="20"/>
  <c r="D128" i="20"/>
  <c r="E128" i="20" s="1"/>
  <c r="F128" i="20" s="1"/>
  <c r="W136" i="18"/>
  <c r="D136" i="18"/>
  <c r="E136" i="18" s="1"/>
  <c r="F136" i="18" s="1"/>
  <c r="W140" i="20"/>
  <c r="D140" i="20"/>
  <c r="E140" i="20" s="1"/>
  <c r="F140" i="20" s="1"/>
  <c r="W170" i="18"/>
  <c r="D170" i="18"/>
  <c r="E170" i="18" s="1"/>
  <c r="F170" i="18" s="1"/>
  <c r="W176" i="20"/>
  <c r="D176" i="20"/>
  <c r="E176" i="20" s="1"/>
  <c r="F176" i="20" s="1"/>
  <c r="W178" i="18"/>
  <c r="D178" i="18"/>
  <c r="E178" i="18" s="1"/>
  <c r="F178" i="18" s="1"/>
  <c r="W220" i="20"/>
  <c r="D220" i="20"/>
  <c r="E220" i="20" s="1"/>
  <c r="F220" i="20" s="1"/>
  <c r="W230" i="18"/>
  <c r="D230" i="18"/>
  <c r="E230" i="18" s="1"/>
  <c r="F230" i="18" s="1"/>
  <c r="W246" i="20"/>
  <c r="D246" i="20"/>
  <c r="E246" i="20" s="1"/>
  <c r="F246" i="20" s="1"/>
  <c r="W254" i="18"/>
  <c r="D254" i="18"/>
  <c r="E254" i="18" s="1"/>
  <c r="F254" i="18" s="1"/>
  <c r="W260" i="20"/>
  <c r="D260" i="20"/>
  <c r="E260" i="20" s="1"/>
  <c r="F260" i="20" s="1"/>
  <c r="W268" i="18"/>
  <c r="D268" i="18"/>
  <c r="E268" i="18" s="1"/>
  <c r="F268" i="18" s="1"/>
  <c r="W270" i="20"/>
  <c r="D270" i="20"/>
  <c r="E270" i="20" s="1"/>
  <c r="F270" i="20" s="1"/>
  <c r="W274" i="18"/>
  <c r="D274" i="18"/>
  <c r="E274" i="18" s="1"/>
  <c r="F274" i="18" s="1"/>
  <c r="W276" i="20"/>
  <c r="D276" i="20"/>
  <c r="E276" i="20" s="1"/>
  <c r="F276" i="20" s="1"/>
  <c r="W282" i="18"/>
  <c r="D282" i="18"/>
  <c r="E282" i="18" s="1"/>
  <c r="F282" i="18" s="1"/>
  <c r="W308" i="20"/>
  <c r="D308" i="20"/>
  <c r="E308" i="20" s="1"/>
  <c r="F308" i="20" s="1"/>
  <c r="W318" i="18"/>
  <c r="D318" i="18"/>
  <c r="E318" i="18" s="1"/>
  <c r="F318" i="18" s="1"/>
  <c r="W320" i="20"/>
  <c r="D320" i="20"/>
  <c r="E320" i="20" s="1"/>
  <c r="F320" i="20" s="1"/>
  <c r="W328" i="18"/>
  <c r="D328" i="18"/>
  <c r="E328" i="18" s="1"/>
  <c r="F328" i="18" s="1"/>
  <c r="W336" i="20"/>
  <c r="D336" i="20"/>
  <c r="E336" i="20" s="1"/>
  <c r="F336" i="20" s="1"/>
  <c r="W352" i="18"/>
  <c r="D352" i="18"/>
  <c r="E352" i="18" s="1"/>
  <c r="F352" i="18" s="1"/>
  <c r="W258" i="18"/>
  <c r="D258" i="18"/>
  <c r="E258" i="18" s="1"/>
  <c r="F258" i="18" s="1"/>
  <c r="W21" i="18"/>
  <c r="D21" i="18"/>
  <c r="E21" i="18" s="1"/>
  <c r="F21" i="18" s="1"/>
  <c r="W23" i="18"/>
  <c r="D23" i="18"/>
  <c r="E23" i="18" s="1"/>
  <c r="F23" i="18" s="1"/>
  <c r="W31" i="18"/>
  <c r="D31" i="18"/>
  <c r="E31" i="18" s="1"/>
  <c r="F31" i="18" s="1"/>
  <c r="W33" i="20"/>
  <c r="D33" i="20"/>
  <c r="E33" i="20" s="1"/>
  <c r="F33" i="20" s="1"/>
  <c r="W45" i="18"/>
  <c r="D45" i="18"/>
  <c r="E45" i="18" s="1"/>
  <c r="F45" i="18" s="1"/>
  <c r="W47" i="20"/>
  <c r="D47" i="20"/>
  <c r="E47" i="20" s="1"/>
  <c r="F47" i="20" s="1"/>
  <c r="W49" i="18"/>
  <c r="D49" i="18"/>
  <c r="E49" i="18" s="1"/>
  <c r="F49" i="18" s="1"/>
  <c r="W69" i="20"/>
  <c r="D69" i="20"/>
  <c r="E69" i="20" s="1"/>
  <c r="F69" i="20" s="1"/>
  <c r="W71" i="18"/>
  <c r="D71" i="18"/>
  <c r="E71" i="18" s="1"/>
  <c r="F71" i="18" s="1"/>
  <c r="W79" i="20"/>
  <c r="D79" i="20"/>
  <c r="E79" i="20" s="1"/>
  <c r="F79" i="20" s="1"/>
  <c r="W87" i="18"/>
  <c r="D87" i="18"/>
  <c r="E87" i="18" s="1"/>
  <c r="F87" i="18" s="1"/>
  <c r="W93" i="20"/>
  <c r="D93" i="20"/>
  <c r="E93" i="20" s="1"/>
  <c r="F93" i="20" s="1"/>
  <c r="W123" i="18"/>
  <c r="D123" i="18"/>
  <c r="E123" i="18" s="1"/>
  <c r="F123" i="18" s="1"/>
  <c r="W131" i="20"/>
  <c r="D131" i="20"/>
  <c r="E131" i="20" s="1"/>
  <c r="F131" i="20" s="1"/>
  <c r="W145" i="18"/>
  <c r="D145" i="18"/>
  <c r="E145" i="18" s="1"/>
  <c r="F145" i="18" s="1"/>
  <c r="W147" i="20"/>
  <c r="D147" i="20"/>
  <c r="E147" i="20" s="1"/>
  <c r="F147" i="20" s="1"/>
  <c r="W181" i="18"/>
  <c r="D181" i="18"/>
  <c r="E181" i="18" s="1"/>
  <c r="F181" i="18" s="1"/>
  <c r="W195" i="20"/>
  <c r="D195" i="20"/>
  <c r="E195" i="20" s="1"/>
  <c r="F195" i="20" s="1"/>
  <c r="W201" i="18"/>
  <c r="D201" i="18"/>
  <c r="E201" i="18" s="1"/>
  <c r="F201" i="18" s="1"/>
  <c r="W209" i="20"/>
  <c r="D209" i="20"/>
  <c r="E209" i="20" s="1"/>
  <c r="F209" i="20" s="1"/>
  <c r="W215" i="18"/>
  <c r="D215" i="18"/>
  <c r="E215" i="18" s="1"/>
  <c r="F215" i="18" s="1"/>
  <c r="W221" i="20"/>
  <c r="D221" i="20"/>
  <c r="E221" i="20" s="1"/>
  <c r="F221" i="20" s="1"/>
  <c r="W233" i="18"/>
  <c r="D233" i="18"/>
  <c r="E233" i="18" s="1"/>
  <c r="F233" i="18" s="1"/>
  <c r="W259" i="18"/>
  <c r="D259" i="18"/>
  <c r="E259" i="18" s="1"/>
  <c r="F259" i="18" s="1"/>
  <c r="W275" i="20"/>
  <c r="D275" i="20"/>
  <c r="E275" i="20" s="1"/>
  <c r="F275" i="20" s="1"/>
  <c r="W285" i="18"/>
  <c r="D285" i="18"/>
  <c r="E285" i="18" s="1"/>
  <c r="F285" i="18" s="1"/>
  <c r="W291" i="20"/>
  <c r="D291" i="20"/>
  <c r="E291" i="20" s="1"/>
  <c r="F291" i="20" s="1"/>
  <c r="W293" i="18"/>
  <c r="D293" i="18"/>
  <c r="E293" i="18" s="1"/>
  <c r="F293" i="18" s="1"/>
  <c r="W303" i="20"/>
  <c r="D303" i="20"/>
  <c r="E303" i="20" s="1"/>
  <c r="F303" i="20" s="1"/>
  <c r="W327" i="18"/>
  <c r="D327" i="18"/>
  <c r="E327" i="18" s="1"/>
  <c r="F327" i="18" s="1"/>
  <c r="W339" i="20"/>
  <c r="D339" i="20"/>
  <c r="E339" i="20" s="1"/>
  <c r="F339" i="20" s="1"/>
  <c r="W341" i="18"/>
  <c r="D341" i="18"/>
  <c r="E341" i="18" s="1"/>
  <c r="F341" i="18" s="1"/>
  <c r="W371" i="18"/>
  <c r="D371" i="18"/>
  <c r="E371" i="18" s="1"/>
  <c r="F371" i="18" s="1"/>
  <c r="W34" i="18"/>
  <c r="D34" i="18"/>
  <c r="E34" i="18" s="1"/>
  <c r="F34" i="18" s="1"/>
  <c r="W80" i="20"/>
  <c r="D80" i="20"/>
  <c r="E80" i="20" s="1"/>
  <c r="F80" i="20" s="1"/>
  <c r="W86" i="18"/>
  <c r="D86" i="18"/>
  <c r="E86" i="18" s="1"/>
  <c r="F86" i="18" s="1"/>
  <c r="W94" i="20"/>
  <c r="D94" i="20"/>
  <c r="E94" i="20" s="1"/>
  <c r="F94" i="20" s="1"/>
  <c r="W96" i="18"/>
  <c r="D96" i="18"/>
  <c r="E96" i="18" s="1"/>
  <c r="F96" i="18" s="1"/>
  <c r="W112" i="18"/>
  <c r="D112" i="18"/>
  <c r="E112" i="18" s="1"/>
  <c r="F112" i="18" s="1"/>
  <c r="W126" i="18"/>
  <c r="D126" i="18"/>
  <c r="E126" i="18" s="1"/>
  <c r="F126" i="18" s="1"/>
  <c r="W144" i="18"/>
  <c r="D144" i="18"/>
  <c r="E144" i="18" s="1"/>
  <c r="F144" i="18" s="1"/>
  <c r="W148" i="18"/>
  <c r="D148" i="18"/>
  <c r="E148" i="18" s="1"/>
  <c r="F148" i="18" s="1"/>
  <c r="W188" i="18"/>
  <c r="D188" i="18"/>
  <c r="E188" i="18" s="1"/>
  <c r="F188" i="18" s="1"/>
  <c r="W218" i="18"/>
  <c r="D218" i="18"/>
  <c r="E218" i="18" s="1"/>
  <c r="F218" i="18" s="1"/>
  <c r="W250" i="18"/>
  <c r="D250" i="18"/>
  <c r="E250" i="18" s="1"/>
  <c r="F250" i="18" s="1"/>
  <c r="W296" i="18"/>
  <c r="D296" i="18"/>
  <c r="E296" i="18" s="1"/>
  <c r="F296" i="18" s="1"/>
  <c r="W326" i="18"/>
  <c r="D326" i="18"/>
  <c r="E326" i="18" s="1"/>
  <c r="F326" i="18" s="1"/>
  <c r="W348" i="18"/>
  <c r="D348" i="18"/>
  <c r="E348" i="18" s="1"/>
  <c r="F348" i="18" s="1"/>
  <c r="W53" i="20"/>
  <c r="D53" i="20"/>
  <c r="E53" i="20" s="1"/>
  <c r="F53" i="20" s="1"/>
  <c r="B53" i="22"/>
  <c r="W59" i="18"/>
  <c r="D59" i="18"/>
  <c r="E59" i="18" s="1"/>
  <c r="F59" i="18" s="1"/>
  <c r="B59" i="20"/>
  <c r="W139" i="20"/>
  <c r="D139" i="20"/>
  <c r="E139" i="20" s="1"/>
  <c r="F139" i="20" s="1"/>
  <c r="B139" i="22"/>
  <c r="W141" i="18"/>
  <c r="D141" i="18"/>
  <c r="E141" i="18" s="1"/>
  <c r="F141" i="18" s="1"/>
  <c r="B141" i="20"/>
  <c r="W169" i="20"/>
  <c r="D169" i="20"/>
  <c r="E169" i="20" s="1"/>
  <c r="F169" i="20" s="1"/>
  <c r="B169" i="22"/>
  <c r="W179" i="18"/>
  <c r="D179" i="18"/>
  <c r="E179" i="18" s="1"/>
  <c r="F179" i="18" s="1"/>
  <c r="B179" i="20"/>
  <c r="W203" i="20"/>
  <c r="D203" i="20"/>
  <c r="E203" i="20" s="1"/>
  <c r="F203" i="20" s="1"/>
  <c r="B203" i="22"/>
  <c r="W211" i="18"/>
  <c r="D211" i="18"/>
  <c r="E211" i="18" s="1"/>
  <c r="F211" i="18" s="1"/>
  <c r="B211" i="20"/>
  <c r="W245" i="20"/>
  <c r="D245" i="20"/>
  <c r="E245" i="20" s="1"/>
  <c r="F245" i="20" s="1"/>
  <c r="B245" i="22"/>
  <c r="W257" i="18"/>
  <c r="D257" i="18"/>
  <c r="E257" i="18" s="1"/>
  <c r="F257" i="18" s="1"/>
  <c r="B257" i="20"/>
  <c r="W277" i="20"/>
  <c r="D277" i="20"/>
  <c r="E277" i="20" s="1"/>
  <c r="F277" i="20" s="1"/>
  <c r="B277" i="22"/>
  <c r="W301" i="18"/>
  <c r="D301" i="18"/>
  <c r="E301" i="18" s="1"/>
  <c r="F301" i="18" s="1"/>
  <c r="B301" i="20"/>
  <c r="W325" i="20"/>
  <c r="D325" i="20"/>
  <c r="E325" i="20" s="1"/>
  <c r="F325" i="20" s="1"/>
  <c r="B325" i="22"/>
  <c r="W337" i="18"/>
  <c r="D337" i="18"/>
  <c r="E337" i="18" s="1"/>
  <c r="F337" i="18" s="1"/>
  <c r="B337" i="20"/>
  <c r="W373" i="20"/>
  <c r="D373" i="20"/>
  <c r="E373" i="20" s="1"/>
  <c r="F373" i="20" s="1"/>
  <c r="B373" i="22"/>
  <c r="W375" i="18"/>
  <c r="D375" i="18"/>
  <c r="E375" i="18" s="1"/>
  <c r="F375" i="18" s="1"/>
  <c r="B375" i="20"/>
  <c r="E15" i="17"/>
  <c r="AJ9" i="17" s="1"/>
  <c r="W15" i="18"/>
  <c r="B379" i="20"/>
  <c r="W363" i="18"/>
  <c r="D363" i="18"/>
  <c r="E363" i="18" s="1"/>
  <c r="F363" i="18" s="1"/>
  <c r="B196" i="20"/>
  <c r="W180" i="20"/>
  <c r="D180" i="20"/>
  <c r="E180" i="20" s="1"/>
  <c r="F180" i="20" s="1"/>
  <c r="W333" i="18"/>
  <c r="D333" i="18"/>
  <c r="E333" i="18" s="1"/>
  <c r="F333" i="18" s="1"/>
  <c r="W119" i="18"/>
  <c r="D119" i="18"/>
  <c r="E119" i="18" s="1"/>
  <c r="F119" i="18" s="1"/>
  <c r="W60" i="20"/>
  <c r="D60" i="20"/>
  <c r="E60" i="20" s="1"/>
  <c r="F60" i="20" s="1"/>
  <c r="W149" i="18"/>
  <c r="D149" i="18"/>
  <c r="E149" i="18" s="1"/>
  <c r="F149" i="18" s="1"/>
  <c r="W29" i="20"/>
  <c r="D29" i="20"/>
  <c r="E29" i="20" s="1"/>
  <c r="F29" i="20" s="1"/>
  <c r="W105" i="18"/>
  <c r="D105" i="18"/>
  <c r="E105" i="18" s="1"/>
  <c r="F105" i="18" s="1"/>
  <c r="W365" i="20"/>
  <c r="D365" i="20"/>
  <c r="E365" i="20" s="1"/>
  <c r="F365" i="20" s="1"/>
  <c r="W316" i="18"/>
  <c r="D316" i="18"/>
  <c r="E316" i="18" s="1"/>
  <c r="F316" i="18" s="1"/>
  <c r="W150" i="20"/>
  <c r="D150" i="20"/>
  <c r="E150" i="20" s="1"/>
  <c r="F150" i="20" s="1"/>
  <c r="W16" i="18"/>
  <c r="D16" i="18"/>
  <c r="E16" i="18" s="1"/>
  <c r="F16" i="18" s="1"/>
  <c r="W187" i="20"/>
  <c r="D187" i="20"/>
  <c r="E187" i="20" s="1"/>
  <c r="F187" i="20" s="1"/>
  <c r="W298" i="18"/>
  <c r="D298" i="18"/>
  <c r="E298" i="18" s="1"/>
  <c r="F298" i="18" s="1"/>
  <c r="W226" i="20"/>
  <c r="D226" i="20"/>
  <c r="E226" i="20" s="1"/>
  <c r="F226" i="20" s="1"/>
  <c r="W208" i="18"/>
  <c r="D208" i="18"/>
  <c r="E208" i="18" s="1"/>
  <c r="F208" i="18" s="1"/>
  <c r="W177" i="18"/>
  <c r="D177" i="18"/>
  <c r="E177" i="18" s="1"/>
  <c r="F177" i="18" s="1"/>
  <c r="W67" i="20"/>
  <c r="D67" i="20"/>
  <c r="E67" i="20" s="1"/>
  <c r="F67" i="20" s="1"/>
  <c r="W35" i="18"/>
  <c r="D35" i="18"/>
  <c r="E35" i="18" s="1"/>
  <c r="F35" i="18" s="1"/>
  <c r="W46" i="20"/>
  <c r="D46" i="20"/>
  <c r="E46" i="20" s="1"/>
  <c r="F46" i="20" s="1"/>
  <c r="W166" i="18"/>
  <c r="D166" i="18"/>
  <c r="E166" i="18" s="1"/>
  <c r="F166" i="18" s="1"/>
  <c r="W349" i="20"/>
  <c r="D349" i="20"/>
  <c r="E349" i="20" s="1"/>
  <c r="F349" i="20" s="1"/>
  <c r="W227" i="18"/>
  <c r="D227" i="18"/>
  <c r="E227" i="18" s="1"/>
  <c r="F227" i="18" s="1"/>
  <c r="W22" i="20"/>
  <c r="D22" i="20"/>
  <c r="E22" i="20" s="1"/>
  <c r="F22" i="20" s="1"/>
  <c r="W319" i="18"/>
  <c r="D319" i="18"/>
  <c r="E319" i="18" s="1"/>
  <c r="F319" i="18" s="1"/>
  <c r="W74" i="20"/>
  <c r="D74" i="20"/>
  <c r="E74" i="20" s="1"/>
  <c r="F74" i="20" s="1"/>
  <c r="W354" i="18"/>
  <c r="D354" i="18"/>
  <c r="E354" i="18" s="1"/>
  <c r="F354" i="18" s="1"/>
  <c r="W248" i="20"/>
  <c r="D248" i="20"/>
  <c r="E248" i="20" s="1"/>
  <c r="F248" i="20" s="1"/>
  <c r="W17" i="18"/>
  <c r="D17" i="18"/>
  <c r="E17" i="18" s="1"/>
  <c r="F17" i="18" s="1"/>
  <c r="W261" i="20"/>
  <c r="D261" i="20"/>
  <c r="E261" i="20" s="1"/>
  <c r="F261" i="20" s="1"/>
  <c r="W216" i="18"/>
  <c r="D216" i="18"/>
  <c r="E216" i="18" s="1"/>
  <c r="F216" i="18" s="1"/>
  <c r="W283" i="20"/>
  <c r="D283" i="20"/>
  <c r="E283" i="20" s="1"/>
  <c r="F283" i="20" s="1"/>
  <c r="W111" i="18"/>
  <c r="D111" i="18"/>
  <c r="E111" i="18" s="1"/>
  <c r="F111" i="18" s="1"/>
  <c r="W75" i="20"/>
  <c r="D75" i="20"/>
  <c r="E75" i="20" s="1"/>
  <c r="F75" i="20" s="1"/>
  <c r="W43" i="18"/>
  <c r="D43" i="18"/>
  <c r="E43" i="18" s="1"/>
  <c r="F43" i="18" s="1"/>
  <c r="W346" i="20"/>
  <c r="D346" i="20"/>
  <c r="E346" i="20" s="1"/>
  <c r="F346" i="20" s="1"/>
  <c r="W278" i="18"/>
  <c r="D278" i="18"/>
  <c r="E278" i="18" s="1"/>
  <c r="F278" i="18" s="1"/>
  <c r="W171" i="20"/>
  <c r="D171" i="20"/>
  <c r="E171" i="20" s="1"/>
  <c r="F171" i="20" s="1"/>
  <c r="W95" i="18"/>
  <c r="D95" i="18"/>
  <c r="E95" i="18" s="1"/>
  <c r="F95" i="18" s="1"/>
  <c r="W272" i="20"/>
  <c r="D272" i="20"/>
  <c r="E272" i="20" s="1"/>
  <c r="F272" i="20" s="1"/>
  <c r="W135" i="20"/>
  <c r="D135" i="20"/>
  <c r="E135" i="20" s="1"/>
  <c r="F135" i="20" s="1"/>
  <c r="W368" i="18"/>
  <c r="D368" i="18"/>
  <c r="E368" i="18" s="1"/>
  <c r="F368" i="18" s="1"/>
  <c r="W194" i="20"/>
  <c r="D194" i="20"/>
  <c r="E194" i="20" s="1"/>
  <c r="F194" i="20" s="1"/>
  <c r="W66" i="18"/>
  <c r="D66" i="18"/>
  <c r="E66" i="18" s="1"/>
  <c r="F66" i="18" s="1"/>
  <c r="W335" i="20"/>
  <c r="D335" i="20"/>
  <c r="E335" i="20" s="1"/>
  <c r="F335" i="20" s="1"/>
  <c r="W376" i="18"/>
  <c r="D376" i="18"/>
  <c r="E376" i="18" s="1"/>
  <c r="F376" i="18" s="1"/>
  <c r="W154" i="20"/>
  <c r="D154" i="20"/>
  <c r="E154" i="20" s="1"/>
  <c r="F154" i="20" s="1"/>
  <c r="W114" i="18"/>
  <c r="D114" i="18"/>
  <c r="E114" i="18" s="1"/>
  <c r="F114" i="18" s="1"/>
  <c r="W367" i="20"/>
  <c r="D367" i="20"/>
  <c r="E367" i="20" s="1"/>
  <c r="F367" i="20" s="1"/>
  <c r="W347" i="18"/>
  <c r="D347" i="18"/>
  <c r="E347" i="18" s="1"/>
  <c r="F347" i="18" s="1"/>
  <c r="W189" i="20"/>
  <c r="D189" i="20"/>
  <c r="E189" i="20" s="1"/>
  <c r="F189" i="20" s="1"/>
  <c r="W302" i="20"/>
  <c r="D302" i="20"/>
  <c r="E302" i="20" s="1"/>
  <c r="F302" i="20" s="1"/>
  <c r="W210" i="18"/>
  <c r="D210" i="18"/>
  <c r="E210" i="18" s="1"/>
  <c r="F210" i="18" s="1"/>
  <c r="W241" i="20"/>
  <c r="D241" i="20"/>
  <c r="E241" i="20" s="1"/>
  <c r="F241" i="20" s="1"/>
  <c r="W369" i="18"/>
  <c r="D369" i="18"/>
  <c r="E369" i="18" s="1"/>
  <c r="F369" i="18" s="1"/>
  <c r="W284" i="20"/>
  <c r="D284" i="20"/>
  <c r="E284" i="20" s="1"/>
  <c r="F284" i="20" s="1"/>
  <c r="W244" i="18"/>
  <c r="D244" i="18"/>
  <c r="E244" i="18" s="1"/>
  <c r="F244" i="18" s="1"/>
  <c r="W116" i="20"/>
  <c r="D116" i="20"/>
  <c r="E116" i="20" s="1"/>
  <c r="F116" i="20" s="1"/>
  <c r="W253" i="18"/>
  <c r="D253" i="18"/>
  <c r="E253" i="18" s="1"/>
  <c r="F253" i="18" s="1"/>
  <c r="B175" i="20"/>
  <c r="W161" i="18"/>
  <c r="D161" i="18"/>
  <c r="E161" i="18" s="1"/>
  <c r="F161" i="18" s="1"/>
  <c r="W19" i="20"/>
  <c r="D19" i="20"/>
  <c r="E19" i="20" s="1"/>
  <c r="F19" i="20" s="1"/>
  <c r="W130" i="18"/>
  <c r="D130" i="18"/>
  <c r="E130" i="18" s="1"/>
  <c r="F130" i="18" s="1"/>
  <c r="W287" i="20"/>
  <c r="D287" i="20"/>
  <c r="E287" i="20" s="1"/>
  <c r="F287" i="20" s="1"/>
  <c r="W265" i="18"/>
  <c r="D265" i="18"/>
  <c r="E265" i="18" s="1"/>
  <c r="F265" i="18" s="1"/>
  <c r="W88" i="20"/>
  <c r="D88" i="20"/>
  <c r="E88" i="20" s="1"/>
  <c r="F88" i="20" s="1"/>
  <c r="W37" i="18"/>
  <c r="D37" i="18"/>
  <c r="E37" i="18" s="1"/>
  <c r="F37" i="18" s="1"/>
  <c r="W55" i="20"/>
  <c r="D55" i="20"/>
  <c r="E55" i="20" s="1"/>
  <c r="F55" i="20" s="1"/>
  <c r="W61" i="18"/>
  <c r="D61" i="18"/>
  <c r="E61" i="18" s="1"/>
  <c r="F61" i="18" s="1"/>
  <c r="W63" i="20"/>
  <c r="D63" i="20"/>
  <c r="E63" i="20" s="1"/>
  <c r="F63" i="20" s="1"/>
  <c r="W77" i="18"/>
  <c r="D77" i="18"/>
  <c r="E77" i="18" s="1"/>
  <c r="F77" i="18" s="1"/>
  <c r="W83" i="20"/>
  <c r="D83" i="20"/>
  <c r="E83" i="20" s="1"/>
  <c r="F83" i="20" s="1"/>
  <c r="W89" i="18"/>
  <c r="D89" i="18"/>
  <c r="E89" i="18" s="1"/>
  <c r="F89" i="18" s="1"/>
  <c r="W97" i="20"/>
  <c r="D97" i="20"/>
  <c r="E97" i="20" s="1"/>
  <c r="F97" i="20" s="1"/>
  <c r="W99" i="18"/>
  <c r="D99" i="18"/>
  <c r="E99" i="18" s="1"/>
  <c r="F99" i="18" s="1"/>
  <c r="W101" i="20"/>
  <c r="D101" i="20"/>
  <c r="E101" i="20" s="1"/>
  <c r="F101" i="20" s="1"/>
  <c r="W127" i="18"/>
  <c r="D127" i="18"/>
  <c r="E127" i="18" s="1"/>
  <c r="F127" i="18" s="1"/>
  <c r="W155" i="20"/>
  <c r="D155" i="20"/>
  <c r="E155" i="20" s="1"/>
  <c r="F155" i="20" s="1"/>
  <c r="W159" i="18"/>
  <c r="D159" i="18"/>
  <c r="E159" i="18" s="1"/>
  <c r="F159" i="18" s="1"/>
  <c r="W167" i="20"/>
  <c r="D167" i="20"/>
  <c r="E167" i="20" s="1"/>
  <c r="F167" i="20" s="1"/>
  <c r="W173" i="18"/>
  <c r="D173" i="18"/>
  <c r="E173" i="18" s="1"/>
  <c r="F173" i="18" s="1"/>
  <c r="W183" i="20"/>
  <c r="D183" i="20"/>
  <c r="E183" i="20" s="1"/>
  <c r="F183" i="20" s="1"/>
  <c r="W185" i="18"/>
  <c r="D185" i="18"/>
  <c r="E185" i="18" s="1"/>
  <c r="F185" i="18" s="1"/>
  <c r="W197" i="20"/>
  <c r="D197" i="20"/>
  <c r="E197" i="20" s="1"/>
  <c r="F197" i="20" s="1"/>
  <c r="W219" i="18"/>
  <c r="D219" i="18"/>
  <c r="E219" i="18" s="1"/>
  <c r="F219" i="18" s="1"/>
  <c r="W247" i="20"/>
  <c r="D247" i="20"/>
  <c r="E247" i="20" s="1"/>
  <c r="F247" i="20" s="1"/>
  <c r="W249" i="18"/>
  <c r="D249" i="18"/>
  <c r="E249" i="18" s="1"/>
  <c r="F249" i="18" s="1"/>
  <c r="W255" i="20"/>
  <c r="D255" i="20"/>
  <c r="E255" i="20" s="1"/>
  <c r="F255" i="20" s="1"/>
  <c r="W263" i="20"/>
  <c r="D263" i="20"/>
  <c r="E263" i="20" s="1"/>
  <c r="F263" i="20" s="1"/>
  <c r="W271" i="18"/>
  <c r="D271" i="18"/>
  <c r="E271" i="18" s="1"/>
  <c r="F271" i="18" s="1"/>
  <c r="W273" i="20"/>
  <c r="D273" i="20"/>
  <c r="E273" i="20" s="1"/>
  <c r="F273" i="20" s="1"/>
  <c r="W281" i="18"/>
  <c r="D281" i="18"/>
  <c r="E281" i="18" s="1"/>
  <c r="F281" i="18" s="1"/>
  <c r="W317" i="20"/>
  <c r="D317" i="20"/>
  <c r="E317" i="20" s="1"/>
  <c r="F317" i="20" s="1"/>
  <c r="W323" i="18"/>
  <c r="D323" i="18"/>
  <c r="E323" i="18" s="1"/>
  <c r="F323" i="18" s="1"/>
  <c r="W361" i="20"/>
  <c r="D361" i="20"/>
  <c r="E361" i="20" s="1"/>
  <c r="F361" i="20" s="1"/>
  <c r="B42" i="22"/>
  <c r="W42" i="18"/>
  <c r="D42" i="18"/>
  <c r="E42" i="18" s="1"/>
  <c r="F42" i="18" s="1"/>
  <c r="B50" i="20"/>
  <c r="B56" i="22"/>
  <c r="W56" i="18"/>
  <c r="D56" i="18"/>
  <c r="E56" i="18" s="1"/>
  <c r="F56" i="18" s="1"/>
  <c r="B70" i="20"/>
  <c r="B84" i="22"/>
  <c r="W84" i="18"/>
  <c r="D84" i="18"/>
  <c r="E84" i="18" s="1"/>
  <c r="F84" i="18" s="1"/>
  <c r="B92" i="20"/>
  <c r="B104" i="22"/>
  <c r="W104" i="18"/>
  <c r="D104" i="18"/>
  <c r="E104" i="18" s="1"/>
  <c r="F104" i="18" s="1"/>
  <c r="B106" i="20"/>
  <c r="B110" i="22"/>
  <c r="W110" i="18"/>
  <c r="D110" i="18"/>
  <c r="E110" i="18" s="1"/>
  <c r="F110" i="18" s="1"/>
  <c r="B118" i="20"/>
  <c r="B128" i="22"/>
  <c r="W128" i="18"/>
  <c r="D128" i="18"/>
  <c r="E128" i="18" s="1"/>
  <c r="F128" i="18" s="1"/>
  <c r="B136" i="20"/>
  <c r="B140" i="22"/>
  <c r="W140" i="18"/>
  <c r="D140" i="18"/>
  <c r="E140" i="18" s="1"/>
  <c r="F140" i="18" s="1"/>
  <c r="B170" i="20"/>
  <c r="B176" i="22"/>
  <c r="W176" i="18"/>
  <c r="D176" i="18"/>
  <c r="E176" i="18" s="1"/>
  <c r="F176" i="18" s="1"/>
  <c r="B178" i="20"/>
  <c r="B220" i="22"/>
  <c r="W220" i="18"/>
  <c r="D220" i="18"/>
  <c r="E220" i="18" s="1"/>
  <c r="F220" i="18" s="1"/>
  <c r="B230" i="20"/>
  <c r="B246" i="22"/>
  <c r="W246" i="18"/>
  <c r="D246" i="18"/>
  <c r="E246" i="18" s="1"/>
  <c r="F246" i="18" s="1"/>
  <c r="B254" i="20"/>
  <c r="B260" i="22"/>
  <c r="W260" i="18"/>
  <c r="D260" i="18"/>
  <c r="E260" i="18" s="1"/>
  <c r="F260" i="18" s="1"/>
  <c r="B268" i="20"/>
  <c r="B270" i="22"/>
  <c r="W270" i="18"/>
  <c r="D270" i="18"/>
  <c r="E270" i="18" s="1"/>
  <c r="F270" i="18" s="1"/>
  <c r="B274" i="20"/>
  <c r="B276" i="22"/>
  <c r="W276" i="18"/>
  <c r="D276" i="18"/>
  <c r="E276" i="18" s="1"/>
  <c r="F276" i="18" s="1"/>
  <c r="B282" i="20"/>
  <c r="B308" i="22"/>
  <c r="W308" i="18"/>
  <c r="D308" i="18"/>
  <c r="E308" i="18" s="1"/>
  <c r="F308" i="18" s="1"/>
  <c r="B318" i="20"/>
  <c r="B320" i="22"/>
  <c r="W320" i="18"/>
  <c r="D320" i="18"/>
  <c r="E320" i="18" s="1"/>
  <c r="F320" i="18" s="1"/>
  <c r="B328" i="20"/>
  <c r="B336" i="22"/>
  <c r="W336" i="18"/>
  <c r="D336" i="18"/>
  <c r="E336" i="18" s="1"/>
  <c r="F336" i="18" s="1"/>
  <c r="B352" i="20"/>
  <c r="B258" i="20"/>
  <c r="B21" i="20"/>
  <c r="B23" i="20"/>
  <c r="B31" i="20"/>
  <c r="B33" i="22"/>
  <c r="W33" i="18"/>
  <c r="D33" i="18"/>
  <c r="E33" i="18" s="1"/>
  <c r="F33" i="18" s="1"/>
  <c r="B45" i="20"/>
  <c r="B47" i="22"/>
  <c r="W47" i="18"/>
  <c r="D47" i="18"/>
  <c r="E47" i="18" s="1"/>
  <c r="F47" i="18" s="1"/>
  <c r="B49" i="20"/>
  <c r="B69" i="22"/>
  <c r="W69" i="18"/>
  <c r="D69" i="18"/>
  <c r="E69" i="18" s="1"/>
  <c r="F69" i="18" s="1"/>
  <c r="B71" i="20"/>
  <c r="B79" i="22"/>
  <c r="W79" i="18"/>
  <c r="D79" i="18"/>
  <c r="E79" i="18" s="1"/>
  <c r="F79" i="18" s="1"/>
  <c r="B87" i="20"/>
  <c r="B93" i="22"/>
  <c r="W93" i="18"/>
  <c r="D93" i="18"/>
  <c r="E93" i="18" s="1"/>
  <c r="F93" i="18" s="1"/>
  <c r="B123" i="20"/>
  <c r="B131" i="22"/>
  <c r="W131" i="18"/>
  <c r="D131" i="18"/>
  <c r="E131" i="18" s="1"/>
  <c r="F131" i="18" s="1"/>
  <c r="B145" i="20"/>
  <c r="B147" i="22"/>
  <c r="W147" i="18"/>
  <c r="D147" i="18"/>
  <c r="E147" i="18" s="1"/>
  <c r="F147" i="18" s="1"/>
  <c r="B181" i="20"/>
  <c r="B195" i="22"/>
  <c r="W195" i="18"/>
  <c r="D195" i="18"/>
  <c r="E195" i="18" s="1"/>
  <c r="F195" i="18" s="1"/>
  <c r="B201" i="20"/>
  <c r="B209" i="22"/>
  <c r="W209" i="18"/>
  <c r="D209" i="18"/>
  <c r="E209" i="18" s="1"/>
  <c r="F209" i="18" s="1"/>
  <c r="B215" i="20"/>
  <c r="B221" i="22"/>
  <c r="W221" i="18"/>
  <c r="D221" i="18"/>
  <c r="E221" i="18" s="1"/>
  <c r="F221" i="18" s="1"/>
  <c r="B233" i="20"/>
  <c r="B259" i="20"/>
  <c r="B275" i="22"/>
  <c r="W275" i="18"/>
  <c r="D275" i="18"/>
  <c r="E275" i="18" s="1"/>
  <c r="F275" i="18" s="1"/>
  <c r="B285" i="20"/>
  <c r="B291" i="22"/>
  <c r="W291" i="18"/>
  <c r="D291" i="18"/>
  <c r="E291" i="18" s="1"/>
  <c r="F291" i="18" s="1"/>
  <c r="B293" i="20"/>
  <c r="B303" i="22"/>
  <c r="W303" i="18"/>
  <c r="D303" i="18"/>
  <c r="E303" i="18" s="1"/>
  <c r="F303" i="18" s="1"/>
  <c r="B327" i="20"/>
  <c r="B339" i="22"/>
  <c r="W339" i="18"/>
  <c r="D339" i="18"/>
  <c r="E339" i="18" s="1"/>
  <c r="F339" i="18" s="1"/>
  <c r="B341" i="20"/>
  <c r="B371" i="20"/>
  <c r="B34" i="20"/>
  <c r="B80" i="22"/>
  <c r="W80" i="18"/>
  <c r="D80" i="18"/>
  <c r="E80" i="18" s="1"/>
  <c r="F80" i="18" s="1"/>
  <c r="B86" i="20"/>
  <c r="B94" i="22"/>
  <c r="W94" i="18"/>
  <c r="D94" i="18"/>
  <c r="E94" i="18" s="1"/>
  <c r="F94" i="18" s="1"/>
  <c r="B96" i="20"/>
  <c r="W108" i="18"/>
  <c r="D108" i="18"/>
  <c r="E108" i="18" s="1"/>
  <c r="F108" i="18" s="1"/>
  <c r="B112" i="20"/>
  <c r="W120" i="18"/>
  <c r="D120" i="18"/>
  <c r="E120" i="18" s="1"/>
  <c r="F120" i="18" s="1"/>
  <c r="B126" i="20"/>
  <c r="W142" i="18"/>
  <c r="D142" i="18"/>
  <c r="E142" i="18" s="1"/>
  <c r="F142" i="18" s="1"/>
  <c r="B144" i="20"/>
  <c r="W146" i="18"/>
  <c r="D146" i="18"/>
  <c r="E146" i="18" s="1"/>
  <c r="F146" i="18" s="1"/>
  <c r="W148" i="20"/>
  <c r="D148" i="20"/>
  <c r="E148" i="20" s="1"/>
  <c r="F148" i="20" s="1"/>
  <c r="W164" i="18"/>
  <c r="D164" i="18"/>
  <c r="E164" i="18" s="1"/>
  <c r="F164" i="18" s="1"/>
  <c r="B188" i="20"/>
  <c r="W192" i="18"/>
  <c r="D192" i="18"/>
  <c r="E192" i="18" s="1"/>
  <c r="F192" i="18" s="1"/>
  <c r="B218" i="20"/>
  <c r="W228" i="18"/>
  <c r="D228" i="18"/>
  <c r="E228" i="18" s="1"/>
  <c r="F228" i="18" s="1"/>
  <c r="B250" i="20"/>
  <c r="W294" i="18"/>
  <c r="D294" i="18"/>
  <c r="E294" i="18" s="1"/>
  <c r="F294" i="18" s="1"/>
  <c r="B296" i="20"/>
  <c r="W300" i="18"/>
  <c r="D300" i="18"/>
  <c r="E300" i="18" s="1"/>
  <c r="F300" i="18" s="1"/>
  <c r="B326" i="20"/>
  <c r="W334" i="18"/>
  <c r="D334" i="18"/>
  <c r="E334" i="18" s="1"/>
  <c r="F334" i="18" s="1"/>
  <c r="B348" i="20"/>
  <c r="W372" i="20"/>
  <c r="D372" i="20"/>
  <c r="E372" i="20" s="1"/>
  <c r="F372" i="20" s="1"/>
  <c r="B372" i="22"/>
  <c r="W39" i="18"/>
  <c r="D39" i="18"/>
  <c r="E39" i="18" s="1"/>
  <c r="F39" i="18" s="1"/>
  <c r="B39" i="20"/>
  <c r="W65" i="20"/>
  <c r="D65" i="20"/>
  <c r="E65" i="20" s="1"/>
  <c r="F65" i="20" s="1"/>
  <c r="B65" i="22"/>
  <c r="W107" i="18"/>
  <c r="D107" i="18"/>
  <c r="E107" i="18" s="1"/>
  <c r="F107" i="18" s="1"/>
  <c r="B107" i="20"/>
  <c r="W143" i="20"/>
  <c r="D143" i="20"/>
  <c r="E143" i="20" s="1"/>
  <c r="F143" i="20" s="1"/>
  <c r="B143" i="22"/>
  <c r="W151" i="18"/>
  <c r="D151" i="18"/>
  <c r="E151" i="18" s="1"/>
  <c r="F151" i="18" s="1"/>
  <c r="B151" i="20"/>
  <c r="W191" i="20"/>
  <c r="D191" i="20"/>
  <c r="E191" i="20" s="1"/>
  <c r="F191" i="20" s="1"/>
  <c r="B191" i="22"/>
  <c r="W193" i="18"/>
  <c r="D193" i="18"/>
  <c r="E193" i="18" s="1"/>
  <c r="F193" i="18" s="1"/>
  <c r="B193" i="20"/>
  <c r="D223" i="20"/>
  <c r="E223" i="20" s="1"/>
  <c r="F223" i="20" s="1"/>
  <c r="W223" i="20"/>
  <c r="B223" i="22"/>
  <c r="W231" i="18"/>
  <c r="D231" i="18"/>
  <c r="E231" i="18" s="1"/>
  <c r="F231" i="18" s="1"/>
  <c r="B231" i="20"/>
  <c r="W267" i="20"/>
  <c r="D267" i="20"/>
  <c r="E267" i="20" s="1"/>
  <c r="F267" i="20" s="1"/>
  <c r="B267" i="22"/>
  <c r="W269" i="18"/>
  <c r="D269" i="18"/>
  <c r="E269" i="18" s="1"/>
  <c r="F269" i="18" s="1"/>
  <c r="B269" i="20"/>
  <c r="W307" i="20"/>
  <c r="D307" i="20"/>
  <c r="E307" i="20" s="1"/>
  <c r="F307" i="20" s="1"/>
  <c r="B307" i="22"/>
  <c r="W313" i="18"/>
  <c r="D313" i="18"/>
  <c r="E313" i="18" s="1"/>
  <c r="F313" i="18" s="1"/>
  <c r="B313" i="20"/>
  <c r="W357" i="20"/>
  <c r="D357" i="20"/>
  <c r="E357" i="20" s="1"/>
  <c r="F357" i="20" s="1"/>
  <c r="B357" i="22"/>
  <c r="W359" i="18"/>
  <c r="D359" i="18"/>
  <c r="E359" i="18" s="1"/>
  <c r="F359" i="18" s="1"/>
  <c r="B359" i="20"/>
  <c r="W288" i="20"/>
  <c r="D288" i="20"/>
  <c r="E288" i="20" s="1"/>
  <c r="F288" i="20" s="1"/>
  <c r="W20" i="18"/>
  <c r="D20" i="18"/>
  <c r="E20" i="18" s="1"/>
  <c r="F20" i="18" s="1"/>
  <c r="W18" i="20"/>
  <c r="D18" i="20"/>
  <c r="E18" i="20" s="1"/>
  <c r="F18" i="20" s="1"/>
  <c r="W27" i="18"/>
  <c r="D27" i="18"/>
  <c r="E27" i="18" s="1"/>
  <c r="F27" i="18" s="1"/>
  <c r="W28" i="20"/>
  <c r="D28" i="20"/>
  <c r="E28" i="20" s="1"/>
  <c r="F28" i="20" s="1"/>
  <c r="W48" i="18"/>
  <c r="D48" i="18"/>
  <c r="E48" i="18" s="1"/>
  <c r="F48" i="18" s="1"/>
  <c r="W122" i="20"/>
  <c r="D122" i="20"/>
  <c r="E122" i="20" s="1"/>
  <c r="F122" i="20" s="1"/>
  <c r="W124" i="18"/>
  <c r="D124" i="18"/>
  <c r="E124" i="18" s="1"/>
  <c r="F124" i="18" s="1"/>
  <c r="W138" i="20"/>
  <c r="D138" i="20"/>
  <c r="E138" i="20" s="1"/>
  <c r="F138" i="20" s="1"/>
  <c r="W160" i="18"/>
  <c r="D160" i="18"/>
  <c r="E160" i="18" s="1"/>
  <c r="F160" i="18" s="1"/>
  <c r="W172" i="20"/>
  <c r="D172" i="20"/>
  <c r="E172" i="20" s="1"/>
  <c r="F172" i="20" s="1"/>
  <c r="W184" i="18"/>
  <c r="D184" i="18"/>
  <c r="E184" i="18" s="1"/>
  <c r="F184" i="18" s="1"/>
  <c r="W202" i="20"/>
  <c r="D202" i="20"/>
  <c r="E202" i="20" s="1"/>
  <c r="F202" i="20" s="1"/>
  <c r="W234" i="18"/>
  <c r="D234" i="18"/>
  <c r="E234" i="18" s="1"/>
  <c r="F234" i="18" s="1"/>
  <c r="W238" i="20"/>
  <c r="D238" i="20"/>
  <c r="E238" i="20" s="1"/>
  <c r="F238" i="20" s="1"/>
  <c r="W256" i="18"/>
  <c r="D256" i="18"/>
  <c r="E256" i="18" s="1"/>
  <c r="F256" i="18" s="1"/>
  <c r="D262" i="20"/>
  <c r="E262" i="20" s="1"/>
  <c r="F262" i="20" s="1"/>
  <c r="W262" i="20"/>
  <c r="W266" i="18"/>
  <c r="D266" i="18"/>
  <c r="E266" i="18" s="1"/>
  <c r="F266" i="18" s="1"/>
  <c r="W280" i="20"/>
  <c r="D280" i="20"/>
  <c r="E280" i="20" s="1"/>
  <c r="F280" i="20" s="1"/>
  <c r="W292" i="18"/>
  <c r="D292" i="18"/>
  <c r="E292" i="18" s="1"/>
  <c r="F292" i="18" s="1"/>
  <c r="W304" i="20"/>
  <c r="D304" i="20"/>
  <c r="E304" i="20" s="1"/>
  <c r="F304" i="20" s="1"/>
  <c r="W322" i="18"/>
  <c r="D322" i="18"/>
  <c r="E322" i="18" s="1"/>
  <c r="F322" i="18" s="1"/>
  <c r="W324" i="20"/>
  <c r="D324" i="20"/>
  <c r="E324" i="20" s="1"/>
  <c r="F324" i="20" s="1"/>
  <c r="W330" i="18"/>
  <c r="D330" i="18"/>
  <c r="E330" i="18" s="1"/>
  <c r="F330" i="18" s="1"/>
  <c r="W344" i="20"/>
  <c r="D344" i="20"/>
  <c r="E344" i="20" s="1"/>
  <c r="F344" i="20" s="1"/>
  <c r="W350" i="18"/>
  <c r="D350" i="18"/>
  <c r="E350" i="18" s="1"/>
  <c r="F350" i="18" s="1"/>
  <c r="W360" i="20"/>
  <c r="D360" i="20"/>
  <c r="E360" i="20" s="1"/>
  <c r="F360" i="20" s="1"/>
  <c r="W364" i="18"/>
  <c r="D364" i="18"/>
  <c r="E364" i="18" s="1"/>
  <c r="F364" i="18" s="1"/>
  <c r="W370" i="20"/>
  <c r="D370" i="20"/>
  <c r="E370" i="20" s="1"/>
  <c r="F370" i="20" s="1"/>
  <c r="W26" i="18"/>
  <c r="D26" i="18"/>
  <c r="E26" i="18" s="1"/>
  <c r="F26" i="18" s="1"/>
  <c r="W25" i="20"/>
  <c r="D25" i="20"/>
  <c r="E25" i="20" s="1"/>
  <c r="F25" i="20" s="1"/>
  <c r="W41" i="18"/>
  <c r="D41" i="18"/>
  <c r="E41" i="18" s="1"/>
  <c r="F41" i="18" s="1"/>
  <c r="W51" i="20"/>
  <c r="D51" i="20"/>
  <c r="E51" i="20" s="1"/>
  <c r="F51" i="20" s="1"/>
  <c r="W57" i="18"/>
  <c r="D57" i="18"/>
  <c r="E57" i="18" s="1"/>
  <c r="F57" i="18" s="1"/>
  <c r="W85" i="20"/>
  <c r="D85" i="20"/>
  <c r="E85" i="20" s="1"/>
  <c r="F85" i="20" s="1"/>
  <c r="W91" i="18"/>
  <c r="D91" i="18"/>
  <c r="E91" i="18" s="1"/>
  <c r="F91" i="18" s="1"/>
  <c r="W109" i="20"/>
  <c r="D109" i="20"/>
  <c r="E109" i="20" s="1"/>
  <c r="F109" i="20" s="1"/>
  <c r="W113" i="18"/>
  <c r="D113" i="18"/>
  <c r="E113" i="18" s="1"/>
  <c r="F113" i="18" s="1"/>
  <c r="W115" i="20"/>
  <c r="D115" i="20"/>
  <c r="E115" i="20" s="1"/>
  <c r="F115" i="20" s="1"/>
  <c r="W117" i="18"/>
  <c r="D117" i="18"/>
  <c r="E117" i="18" s="1"/>
  <c r="F117" i="18" s="1"/>
  <c r="W121" i="20"/>
  <c r="D121" i="20"/>
  <c r="E121" i="20" s="1"/>
  <c r="F121" i="20" s="1"/>
  <c r="W129" i="18"/>
  <c r="D129" i="18"/>
  <c r="E129" i="18" s="1"/>
  <c r="F129" i="18" s="1"/>
  <c r="W133" i="20"/>
  <c r="D133" i="20"/>
  <c r="E133" i="20" s="1"/>
  <c r="F133" i="20" s="1"/>
  <c r="W165" i="18"/>
  <c r="D165" i="18"/>
  <c r="E165" i="18" s="1"/>
  <c r="F165" i="18" s="1"/>
  <c r="W199" i="20"/>
  <c r="D199" i="20"/>
  <c r="E199" i="20" s="1"/>
  <c r="F199" i="20" s="1"/>
  <c r="W213" i="18"/>
  <c r="D213" i="18"/>
  <c r="E213" i="18" s="1"/>
  <c r="F213" i="18" s="1"/>
  <c r="W217" i="20"/>
  <c r="D217" i="20"/>
  <c r="E217" i="20" s="1"/>
  <c r="F217" i="20" s="1"/>
  <c r="W225" i="18"/>
  <c r="D225" i="18"/>
  <c r="E225" i="18" s="1"/>
  <c r="F225" i="18" s="1"/>
  <c r="W237" i="20"/>
  <c r="D237" i="20"/>
  <c r="E237" i="20" s="1"/>
  <c r="F237" i="20" s="1"/>
  <c r="W239" i="18"/>
  <c r="D239" i="18"/>
  <c r="E239" i="18" s="1"/>
  <c r="F239" i="18" s="1"/>
  <c r="W243" i="20"/>
  <c r="D243" i="20"/>
  <c r="E243" i="20" s="1"/>
  <c r="F243" i="20" s="1"/>
  <c r="W279" i="18"/>
  <c r="D279" i="18"/>
  <c r="E279" i="18" s="1"/>
  <c r="F279" i="18" s="1"/>
  <c r="W297" i="20"/>
  <c r="D297" i="20"/>
  <c r="E297" i="20" s="1"/>
  <c r="F297" i="20" s="1"/>
  <c r="W315" i="18"/>
  <c r="D315" i="18"/>
  <c r="E315" i="18" s="1"/>
  <c r="F315" i="18" s="1"/>
  <c r="W329" i="20"/>
  <c r="D329" i="20"/>
  <c r="E329" i="20" s="1"/>
  <c r="F329" i="20" s="1"/>
  <c r="W343" i="18"/>
  <c r="D343" i="18"/>
  <c r="E343" i="18" s="1"/>
  <c r="F343" i="18" s="1"/>
  <c r="W345" i="20"/>
  <c r="D345" i="20"/>
  <c r="E345" i="20" s="1"/>
  <c r="F345" i="20" s="1"/>
  <c r="W351" i="18"/>
  <c r="D351" i="18"/>
  <c r="E351" i="18" s="1"/>
  <c r="F351" i="18" s="1"/>
  <c r="W355" i="20"/>
  <c r="D355" i="20"/>
  <c r="E355" i="20" s="1"/>
  <c r="F355" i="20" s="1"/>
  <c r="W377" i="18"/>
  <c r="D377" i="18"/>
  <c r="E377" i="18" s="1"/>
  <c r="F377" i="18" s="1"/>
  <c r="W24" i="20"/>
  <c r="D24" i="20"/>
  <c r="E24" i="20" s="1"/>
  <c r="F24" i="20" s="1"/>
  <c r="W30" i="18"/>
  <c r="D30" i="18"/>
  <c r="E30" i="18" s="1"/>
  <c r="F30" i="18" s="1"/>
  <c r="W36" i="20"/>
  <c r="D36" i="20"/>
  <c r="E36" i="20" s="1"/>
  <c r="F36" i="20" s="1"/>
  <c r="W40" i="18"/>
  <c r="D40" i="18"/>
  <c r="E40" i="18" s="1"/>
  <c r="F40" i="18" s="1"/>
  <c r="W44" i="20"/>
  <c r="D44" i="20"/>
  <c r="E44" i="20" s="1"/>
  <c r="F44" i="20" s="1"/>
  <c r="W54" i="18"/>
  <c r="D54" i="18"/>
  <c r="E54" i="18" s="1"/>
  <c r="F54" i="18" s="1"/>
  <c r="W58" i="20"/>
  <c r="D58" i="20"/>
  <c r="E58" i="20" s="1"/>
  <c r="F58" i="20" s="1"/>
  <c r="W68" i="18"/>
  <c r="D68" i="18"/>
  <c r="E68" i="18" s="1"/>
  <c r="F68" i="18" s="1"/>
  <c r="W72" i="20"/>
  <c r="D72" i="20"/>
  <c r="E72" i="20" s="1"/>
  <c r="F72" i="20" s="1"/>
  <c r="W82" i="18"/>
  <c r="D82" i="18"/>
  <c r="E82" i="18" s="1"/>
  <c r="F82" i="18" s="1"/>
  <c r="W102" i="20"/>
  <c r="D102" i="20"/>
  <c r="E102" i="20" s="1"/>
  <c r="F102" i="20" s="1"/>
  <c r="W134" i="18"/>
  <c r="D134" i="18"/>
  <c r="E134" i="18" s="1"/>
  <c r="F134" i="18" s="1"/>
  <c r="W156" i="20"/>
  <c r="D156" i="20"/>
  <c r="E156" i="20" s="1"/>
  <c r="F156" i="20" s="1"/>
  <c r="W158" i="18"/>
  <c r="D158" i="18"/>
  <c r="E158" i="18" s="1"/>
  <c r="F158" i="18" s="1"/>
  <c r="W162" i="20"/>
  <c r="D162" i="20"/>
  <c r="E162" i="20" s="1"/>
  <c r="F162" i="20" s="1"/>
  <c r="W168" i="18"/>
  <c r="D168" i="18"/>
  <c r="E168" i="18" s="1"/>
  <c r="F168" i="18" s="1"/>
  <c r="W186" i="18"/>
  <c r="D186" i="18"/>
  <c r="E186" i="18" s="1"/>
  <c r="F186" i="18" s="1"/>
  <c r="W190" i="20"/>
  <c r="D190" i="20"/>
  <c r="E190" i="20" s="1"/>
  <c r="F190" i="20" s="1"/>
  <c r="W198" i="20"/>
  <c r="D198" i="20"/>
  <c r="E198" i="20" s="1"/>
  <c r="F198" i="20" s="1"/>
  <c r="W200" i="18"/>
  <c r="D200" i="18"/>
  <c r="E200" i="18" s="1"/>
  <c r="F200" i="18" s="1"/>
  <c r="W206" i="20"/>
  <c r="D206" i="20"/>
  <c r="E206" i="20" s="1"/>
  <c r="F206" i="20" s="1"/>
  <c r="W212" i="18"/>
  <c r="D212" i="18"/>
  <c r="E212" i="18" s="1"/>
  <c r="F212" i="18" s="1"/>
  <c r="W214" i="20"/>
  <c r="D214" i="20"/>
  <c r="E214" i="20" s="1"/>
  <c r="F214" i="20" s="1"/>
  <c r="W224" i="18"/>
  <c r="D224" i="18"/>
  <c r="E224" i="18" s="1"/>
  <c r="F224" i="18" s="1"/>
  <c r="W240" i="20"/>
  <c r="D240" i="20"/>
  <c r="E240" i="20" s="1"/>
  <c r="F240" i="20" s="1"/>
  <c r="W242" i="18"/>
  <c r="D242" i="18"/>
  <c r="E242" i="18" s="1"/>
  <c r="F242" i="18" s="1"/>
  <c r="W264" i="20"/>
  <c r="D264" i="20"/>
  <c r="E264" i="20" s="1"/>
  <c r="F264" i="20" s="1"/>
  <c r="W286" i="18"/>
  <c r="D286" i="18"/>
  <c r="E286" i="18" s="1"/>
  <c r="F286" i="18" s="1"/>
  <c r="W290" i="20"/>
  <c r="D290" i="20"/>
  <c r="E290" i="20" s="1"/>
  <c r="F290" i="20" s="1"/>
  <c r="W312" i="18"/>
  <c r="D312" i="18"/>
  <c r="E312" i="18" s="1"/>
  <c r="F312" i="18" s="1"/>
  <c r="W314" i="20"/>
  <c r="D314" i="20"/>
  <c r="E314" i="20" s="1"/>
  <c r="F314" i="20" s="1"/>
  <c r="W338" i="18"/>
  <c r="D338" i="18"/>
  <c r="E338" i="18" s="1"/>
  <c r="F338" i="18" s="1"/>
  <c r="W340" i="20"/>
  <c r="D340" i="20"/>
  <c r="E340" i="20" s="1"/>
  <c r="F340" i="20" s="1"/>
  <c r="W342" i="18"/>
  <c r="D342" i="18"/>
  <c r="E342" i="18" s="1"/>
  <c r="F342" i="18" s="1"/>
  <c r="W356" i="20"/>
  <c r="D356" i="20"/>
  <c r="E356" i="20" s="1"/>
  <c r="F356" i="20" s="1"/>
  <c r="W358" i="18"/>
  <c r="D358" i="18"/>
  <c r="E358" i="18" s="1"/>
  <c r="F358" i="18" s="1"/>
  <c r="W366" i="18"/>
  <c r="D366" i="18"/>
  <c r="E366" i="18" s="1"/>
  <c r="F366" i="18" s="1"/>
  <c r="W137" i="20"/>
  <c r="D137" i="20"/>
  <c r="E137" i="20" s="1"/>
  <c r="F137" i="20" s="1"/>
  <c r="W64" i="18"/>
  <c r="D64" i="18"/>
  <c r="E64" i="18" s="1"/>
  <c r="F64" i="18" s="1"/>
  <c r="W78" i="20"/>
  <c r="D78" i="20"/>
  <c r="E78" i="20" s="1"/>
  <c r="F78" i="20" s="1"/>
  <c r="W222" i="18"/>
  <c r="D222" i="18"/>
  <c r="E222" i="18" s="1"/>
  <c r="F222" i="18" s="1"/>
  <c r="W90" i="20"/>
  <c r="D90" i="20"/>
  <c r="E90" i="20" s="1"/>
  <c r="F90" i="20" s="1"/>
  <c r="W205" i="18"/>
  <c r="D205" i="18"/>
  <c r="E205" i="18" s="1"/>
  <c r="F205" i="18" s="1"/>
  <c r="W289" i="20"/>
  <c r="D289" i="20"/>
  <c r="E289" i="20" s="1"/>
  <c r="F289" i="20" s="1"/>
  <c r="W204" i="18"/>
  <c r="D204" i="18"/>
  <c r="E204" i="18" s="1"/>
  <c r="F204" i="18" s="1"/>
  <c r="W378" i="20"/>
  <c r="D378" i="20"/>
  <c r="E378" i="20" s="1"/>
  <c r="F378" i="20" s="1"/>
  <c r="W207" i="18"/>
  <c r="D207" i="18"/>
  <c r="E207" i="18" s="1"/>
  <c r="F207" i="18" s="1"/>
  <c r="W182" i="20"/>
  <c r="D182" i="20"/>
  <c r="E182" i="20" s="1"/>
  <c r="F182" i="20" s="1"/>
  <c r="W252" i="18"/>
  <c r="D252" i="18"/>
  <c r="E252" i="18" s="1"/>
  <c r="F252" i="18" s="1"/>
  <c r="W310" i="20"/>
  <c r="D310" i="20"/>
  <c r="E310" i="20" s="1"/>
  <c r="F310" i="20" s="1"/>
  <c r="W299" i="18"/>
  <c r="D299" i="18"/>
  <c r="E299" i="18" s="1"/>
  <c r="F299" i="18" s="1"/>
  <c r="W236" i="20"/>
  <c r="D236" i="20"/>
  <c r="E236" i="20" s="1"/>
  <c r="F236" i="20" s="1"/>
  <c r="W305" i="18"/>
  <c r="D305" i="18"/>
  <c r="E305" i="18" s="1"/>
  <c r="F305" i="18" s="1"/>
  <c r="W311" i="20"/>
  <c r="D311" i="20"/>
  <c r="E311" i="20" s="1"/>
  <c r="F311" i="20" s="1"/>
  <c r="W306" i="18"/>
  <c r="D306" i="18"/>
  <c r="E306" i="18" s="1"/>
  <c r="F306" i="18" s="1"/>
  <c r="W98" i="20"/>
  <c r="D98" i="20"/>
  <c r="E98" i="20" s="1"/>
  <c r="F98" i="20" s="1"/>
  <c r="W152" i="18"/>
  <c r="D152" i="18"/>
  <c r="E152" i="18" s="1"/>
  <c r="F152" i="18" s="1"/>
  <c r="W374" i="20"/>
  <c r="D374" i="20"/>
  <c r="E374" i="20" s="1"/>
  <c r="F374" i="20" s="1"/>
  <c r="W353" i="18"/>
  <c r="D353" i="18"/>
  <c r="E353" i="18" s="1"/>
  <c r="F353" i="18" s="1"/>
  <c r="W163" i="20"/>
  <c r="D163" i="20"/>
  <c r="E163" i="20" s="1"/>
  <c r="F163" i="20" s="1"/>
  <c r="W52" i="18"/>
  <c r="D52" i="18"/>
  <c r="E52" i="18" s="1"/>
  <c r="F52" i="18" s="1"/>
  <c r="W157" i="20"/>
  <c r="D157" i="20"/>
  <c r="E157" i="20" s="1"/>
  <c r="F157" i="20" s="1"/>
  <c r="W229" i="18"/>
  <c r="D229" i="18"/>
  <c r="E229" i="18" s="1"/>
  <c r="F229" i="18" s="1"/>
  <c r="W321" i="20"/>
  <c r="D321" i="20"/>
  <c r="E321" i="20" s="1"/>
  <c r="F321" i="20" s="1"/>
  <c r="W103" i="18"/>
  <c r="D103" i="18"/>
  <c r="E103" i="18" s="1"/>
  <c r="F103" i="18" s="1"/>
  <c r="W125" i="20"/>
  <c r="D125" i="20"/>
  <c r="E125" i="20" s="1"/>
  <c r="F125" i="20" s="1"/>
  <c r="W32" i="18"/>
  <c r="D32" i="18"/>
  <c r="E32" i="18" s="1"/>
  <c r="F32" i="18" s="1"/>
  <c r="W332" i="20"/>
  <c r="D332" i="20"/>
  <c r="E332" i="20" s="1"/>
  <c r="F332" i="20" s="1"/>
  <c r="W235" i="18"/>
  <c r="D235" i="18"/>
  <c r="E235" i="18" s="1"/>
  <c r="F235" i="18" s="1"/>
  <c r="W309" i="20"/>
  <c r="D309" i="20"/>
  <c r="E309" i="20" s="1"/>
  <c r="F309" i="20" s="1"/>
  <c r="W331" i="18"/>
  <c r="D331" i="18"/>
  <c r="E331" i="18" s="1"/>
  <c r="F331" i="18" s="1"/>
  <c r="W73" i="20"/>
  <c r="D73" i="20"/>
  <c r="E73" i="20" s="1"/>
  <c r="F73" i="20" s="1"/>
  <c r="W251" i="18"/>
  <c r="D251" i="18"/>
  <c r="E251" i="18" s="1"/>
  <c r="F251" i="18" s="1"/>
  <c r="W62" i="20"/>
  <c r="D62" i="20"/>
  <c r="E62" i="20" s="1"/>
  <c r="F62" i="20" s="1"/>
  <c r="W100" i="18"/>
  <c r="D100" i="18"/>
  <c r="E100" i="18" s="1"/>
  <c r="F100" i="18" s="1"/>
  <c r="W81" i="20"/>
  <c r="D81" i="20"/>
  <c r="E81" i="20" s="1"/>
  <c r="F81" i="20" s="1"/>
  <c r="W153" i="18"/>
  <c r="D153" i="18"/>
  <c r="E153" i="18" s="1"/>
  <c r="F153" i="18" s="1"/>
  <c r="W295" i="20"/>
  <c r="D295" i="20"/>
  <c r="E295" i="20" s="1"/>
  <c r="F295" i="20" s="1"/>
  <c r="W38" i="18"/>
  <c r="D38" i="18"/>
  <c r="E38" i="18" s="1"/>
  <c r="F38" i="18" s="1"/>
  <c r="W76" i="20"/>
  <c r="D76" i="20"/>
  <c r="E76" i="20" s="1"/>
  <c r="F76" i="20" s="1"/>
  <c r="W132" i="18"/>
  <c r="D132" i="18"/>
  <c r="E132" i="18" s="1"/>
  <c r="F132" i="18" s="1"/>
  <c r="W232" i="20"/>
  <c r="D232" i="20"/>
  <c r="E232" i="20" s="1"/>
  <c r="F232" i="20" s="1"/>
  <c r="W174" i="18"/>
  <c r="D174" i="18"/>
  <c r="E174" i="18" s="1"/>
  <c r="F174" i="18" s="1"/>
  <c r="W372" i="18"/>
  <c r="D372" i="18"/>
  <c r="E372" i="18" s="1"/>
  <c r="F372" i="18" s="1"/>
  <c r="W53" i="18"/>
  <c r="D53" i="18"/>
  <c r="E53" i="18" s="1"/>
  <c r="F53" i="18" s="1"/>
  <c r="W65" i="18"/>
  <c r="D65" i="18"/>
  <c r="E65" i="18" s="1"/>
  <c r="F65" i="18" s="1"/>
  <c r="W139" i="18"/>
  <c r="D139" i="18"/>
  <c r="E139" i="18" s="1"/>
  <c r="F139" i="18" s="1"/>
  <c r="W143" i="18"/>
  <c r="D143" i="18"/>
  <c r="E143" i="18" s="1"/>
  <c r="F143" i="18" s="1"/>
  <c r="W169" i="18"/>
  <c r="D169" i="18"/>
  <c r="E169" i="18" s="1"/>
  <c r="F169" i="18" s="1"/>
  <c r="W191" i="18"/>
  <c r="D191" i="18"/>
  <c r="E191" i="18" s="1"/>
  <c r="F191" i="18" s="1"/>
  <c r="W203" i="18"/>
  <c r="D203" i="18"/>
  <c r="E203" i="18" s="1"/>
  <c r="F203" i="18" s="1"/>
  <c r="W223" i="18"/>
  <c r="D223" i="18"/>
  <c r="E223" i="18" s="1"/>
  <c r="F223" i="18" s="1"/>
  <c r="W245" i="18"/>
  <c r="D245" i="18"/>
  <c r="E245" i="18" s="1"/>
  <c r="F245" i="18" s="1"/>
  <c r="W267" i="18"/>
  <c r="D267" i="18"/>
  <c r="E267" i="18" s="1"/>
  <c r="F267" i="18" s="1"/>
  <c r="W277" i="18"/>
  <c r="D277" i="18"/>
  <c r="E277" i="18" s="1"/>
  <c r="F277" i="18" s="1"/>
  <c r="W307" i="18"/>
  <c r="D307" i="18"/>
  <c r="E307" i="18" s="1"/>
  <c r="F307" i="18" s="1"/>
  <c r="W325" i="18"/>
  <c r="D325" i="18"/>
  <c r="E325" i="18" s="1"/>
  <c r="F325" i="18" s="1"/>
  <c r="W357" i="18"/>
  <c r="D357" i="18"/>
  <c r="E357" i="18" s="1"/>
  <c r="F357" i="18" s="1"/>
  <c r="W373" i="18"/>
  <c r="D373" i="18"/>
  <c r="E373" i="18" s="1"/>
  <c r="F373" i="18" s="1"/>
  <c r="B288" i="22"/>
  <c r="W288" i="18"/>
  <c r="D288" i="18"/>
  <c r="E288" i="18" s="1"/>
  <c r="F288" i="18" s="1"/>
  <c r="B20" i="20"/>
  <c r="B18" i="22"/>
  <c r="W18" i="18"/>
  <c r="D18" i="18"/>
  <c r="E18" i="18" s="1"/>
  <c r="F18" i="18" s="1"/>
  <c r="B27" i="20"/>
  <c r="B28" i="22"/>
  <c r="W28" i="18"/>
  <c r="D28" i="18"/>
  <c r="E28" i="18" s="1"/>
  <c r="F28" i="18" s="1"/>
  <c r="B48" i="20"/>
  <c r="B122" i="22"/>
  <c r="W122" i="18"/>
  <c r="D122" i="18"/>
  <c r="E122" i="18" s="1"/>
  <c r="F122" i="18" s="1"/>
  <c r="B124" i="20"/>
  <c r="B138" i="22"/>
  <c r="W138" i="18"/>
  <c r="D138" i="18"/>
  <c r="E138" i="18" s="1"/>
  <c r="F138" i="18" s="1"/>
  <c r="B160" i="20"/>
  <c r="B172" i="22"/>
  <c r="W172" i="18"/>
  <c r="D172" i="18"/>
  <c r="E172" i="18" s="1"/>
  <c r="F172" i="18" s="1"/>
  <c r="B184" i="20"/>
  <c r="B202" i="22"/>
  <c r="W202" i="18"/>
  <c r="D202" i="18"/>
  <c r="E202" i="18" s="1"/>
  <c r="F202" i="18" s="1"/>
  <c r="B234" i="20"/>
  <c r="B238" i="22"/>
  <c r="W238" i="18"/>
  <c r="D238" i="18"/>
  <c r="E238" i="18" s="1"/>
  <c r="F238" i="18" s="1"/>
  <c r="B256" i="20"/>
  <c r="B262" i="22"/>
  <c r="W262" i="18"/>
  <c r="D262" i="18"/>
  <c r="E262" i="18" s="1"/>
  <c r="F262" i="18" s="1"/>
  <c r="B266" i="20"/>
  <c r="B280" i="22"/>
  <c r="W280" i="18"/>
  <c r="D280" i="18"/>
  <c r="E280" i="18" s="1"/>
  <c r="F280" i="18" s="1"/>
  <c r="B292" i="20"/>
  <c r="B304" i="22"/>
  <c r="W304" i="18"/>
  <c r="D304" i="18"/>
  <c r="E304" i="18" s="1"/>
  <c r="F304" i="18" s="1"/>
  <c r="B322" i="20"/>
  <c r="B324" i="22"/>
  <c r="W324" i="18"/>
  <c r="D324" i="18"/>
  <c r="E324" i="18" s="1"/>
  <c r="F324" i="18" s="1"/>
  <c r="B330" i="20"/>
  <c r="B344" i="22"/>
  <c r="W344" i="18"/>
  <c r="D344" i="18"/>
  <c r="E344" i="18" s="1"/>
  <c r="F344" i="18" s="1"/>
  <c r="B350" i="20"/>
  <c r="B360" i="22"/>
  <c r="W360" i="18"/>
  <c r="D360" i="18"/>
  <c r="E360" i="18" s="1"/>
  <c r="F360" i="18" s="1"/>
  <c r="B364" i="20"/>
  <c r="B370" i="22"/>
  <c r="W370" i="18"/>
  <c r="D370" i="18"/>
  <c r="E370" i="18" s="1"/>
  <c r="F370" i="18" s="1"/>
  <c r="B26" i="20"/>
  <c r="B25" i="22"/>
  <c r="W25" i="18"/>
  <c r="D25" i="18"/>
  <c r="E25" i="18" s="1"/>
  <c r="F25" i="18" s="1"/>
  <c r="B41" i="20"/>
  <c r="B51" i="22"/>
  <c r="W51" i="18"/>
  <c r="D51" i="18"/>
  <c r="E51" i="18" s="1"/>
  <c r="F51" i="18" s="1"/>
  <c r="B57" i="20"/>
  <c r="B85" i="22"/>
  <c r="W85" i="18"/>
  <c r="D85" i="18"/>
  <c r="E85" i="18" s="1"/>
  <c r="F85" i="18" s="1"/>
  <c r="B91" i="20"/>
  <c r="B109" i="22"/>
  <c r="W109" i="18"/>
  <c r="D109" i="18"/>
  <c r="E109" i="18" s="1"/>
  <c r="F109" i="18" s="1"/>
  <c r="B113" i="20"/>
  <c r="B115" i="22"/>
  <c r="W115" i="18"/>
  <c r="D115" i="18"/>
  <c r="E115" i="18" s="1"/>
  <c r="F115" i="18" s="1"/>
  <c r="B117" i="20"/>
  <c r="B121" i="22"/>
  <c r="W121" i="18"/>
  <c r="D121" i="18"/>
  <c r="E121" i="18" s="1"/>
  <c r="F121" i="18" s="1"/>
  <c r="B129" i="20"/>
  <c r="B133" i="22"/>
  <c r="W133" i="18"/>
  <c r="D133" i="18"/>
  <c r="E133" i="18" s="1"/>
  <c r="F133" i="18" s="1"/>
  <c r="B165" i="20"/>
  <c r="B199" i="22"/>
  <c r="W199" i="18"/>
  <c r="D199" i="18"/>
  <c r="E199" i="18" s="1"/>
  <c r="F199" i="18" s="1"/>
  <c r="B213" i="20"/>
  <c r="B217" i="22"/>
  <c r="W217" i="18"/>
  <c r="D217" i="18"/>
  <c r="E217" i="18" s="1"/>
  <c r="F217" i="18" s="1"/>
  <c r="B225" i="20"/>
  <c r="B237" i="22"/>
  <c r="W237" i="18"/>
  <c r="D237" i="18"/>
  <c r="E237" i="18" s="1"/>
  <c r="F237" i="18" s="1"/>
  <c r="B239" i="20"/>
  <c r="B243" i="22"/>
  <c r="W243" i="18"/>
  <c r="D243" i="18"/>
  <c r="E243" i="18" s="1"/>
  <c r="F243" i="18" s="1"/>
  <c r="B279" i="20"/>
  <c r="B297" i="22"/>
  <c r="W297" i="18"/>
  <c r="D297" i="18"/>
  <c r="E297" i="18" s="1"/>
  <c r="F297" i="18" s="1"/>
  <c r="B315" i="20"/>
  <c r="B329" i="22"/>
  <c r="W329" i="18"/>
  <c r="D329" i="18"/>
  <c r="E329" i="18" s="1"/>
  <c r="F329" i="18" s="1"/>
  <c r="B343" i="20"/>
  <c r="B345" i="22"/>
  <c r="W345" i="18"/>
  <c r="D345" i="18"/>
  <c r="E345" i="18" s="1"/>
  <c r="F345" i="18" s="1"/>
  <c r="B351" i="20"/>
  <c r="B355" i="22"/>
  <c r="W355" i="18"/>
  <c r="D355" i="18"/>
  <c r="E355" i="18" s="1"/>
  <c r="F355" i="18" s="1"/>
  <c r="B377" i="20"/>
  <c r="B24" i="22"/>
  <c r="W24" i="18"/>
  <c r="D24" i="18"/>
  <c r="E24" i="18" s="1"/>
  <c r="F24" i="18" s="1"/>
  <c r="B30" i="20"/>
  <c r="B36" i="22"/>
  <c r="W36" i="18"/>
  <c r="D36" i="18"/>
  <c r="E36" i="18" s="1"/>
  <c r="F36" i="18" s="1"/>
  <c r="B40" i="20"/>
  <c r="B44" i="22"/>
  <c r="W44" i="18"/>
  <c r="D44" i="18"/>
  <c r="E44" i="18" s="1"/>
  <c r="F44" i="18" s="1"/>
  <c r="B54" i="20"/>
  <c r="B58" i="22"/>
  <c r="W58" i="18"/>
  <c r="D58" i="18"/>
  <c r="E58" i="18" s="1"/>
  <c r="F58" i="18" s="1"/>
  <c r="B68" i="20"/>
  <c r="B72" i="22"/>
  <c r="W72" i="18"/>
  <c r="D72" i="18"/>
  <c r="E72" i="18" s="1"/>
  <c r="F72" i="18" s="1"/>
  <c r="B82" i="20"/>
  <c r="B102" i="22"/>
  <c r="W102" i="18"/>
  <c r="D102" i="18"/>
  <c r="E102" i="18" s="1"/>
  <c r="F102" i="18" s="1"/>
  <c r="B134" i="20"/>
  <c r="B156" i="22"/>
  <c r="W156" i="18"/>
  <c r="D156" i="18"/>
  <c r="E156" i="18" s="1"/>
  <c r="F156" i="18" s="1"/>
  <c r="B158" i="20"/>
  <c r="B162" i="22"/>
  <c r="W162" i="18"/>
  <c r="D162" i="18"/>
  <c r="E162" i="18" s="1"/>
  <c r="F162" i="18" s="1"/>
  <c r="B168" i="20"/>
  <c r="B186" i="20"/>
  <c r="B190" i="22"/>
  <c r="W190" i="18"/>
  <c r="D190" i="18"/>
  <c r="E190" i="18" s="1"/>
  <c r="F190" i="18" s="1"/>
  <c r="B198" i="22"/>
  <c r="W198" i="18"/>
  <c r="D198" i="18"/>
  <c r="E198" i="18" s="1"/>
  <c r="F198" i="18" s="1"/>
  <c r="B200" i="20"/>
  <c r="B206" i="22"/>
  <c r="W206" i="18"/>
  <c r="D206" i="18"/>
  <c r="E206" i="18" s="1"/>
  <c r="F206" i="18" s="1"/>
  <c r="B212" i="20"/>
  <c r="B214" i="22"/>
  <c r="W214" i="18"/>
  <c r="D214" i="18"/>
  <c r="E214" i="18" s="1"/>
  <c r="F214" i="18" s="1"/>
  <c r="B224" i="20"/>
  <c r="B240" i="22"/>
  <c r="W240" i="18"/>
  <c r="D240" i="18"/>
  <c r="E240" i="18" s="1"/>
  <c r="F240" i="18" s="1"/>
  <c r="B242" i="20"/>
  <c r="B264" i="22"/>
  <c r="W264" i="18"/>
  <c r="D264" i="18"/>
  <c r="E264" i="18" s="1"/>
  <c r="F264" i="18" s="1"/>
  <c r="B286" i="20"/>
  <c r="B290" i="22"/>
  <c r="W290" i="18"/>
  <c r="D290" i="18"/>
  <c r="E290" i="18" s="1"/>
  <c r="F290" i="18" s="1"/>
  <c r="B312" i="20"/>
  <c r="B314" i="22"/>
  <c r="W314" i="18"/>
  <c r="D314" i="18"/>
  <c r="E314" i="18" s="1"/>
  <c r="F314" i="18" s="1"/>
  <c r="B338" i="20"/>
  <c r="B340" i="22"/>
  <c r="W340" i="18"/>
  <c r="D340" i="18"/>
  <c r="E340" i="18" s="1"/>
  <c r="F340" i="18" s="1"/>
  <c r="B342" i="20"/>
  <c r="B356" i="22"/>
  <c r="W356" i="18"/>
  <c r="D356" i="18"/>
  <c r="E356" i="18" s="1"/>
  <c r="F356" i="18" s="1"/>
  <c r="B358" i="20"/>
  <c r="B366" i="20"/>
  <c r="B137" i="22"/>
  <c r="W137" i="18"/>
  <c r="D137" i="18"/>
  <c r="E137" i="18" s="1"/>
  <c r="F137" i="18" s="1"/>
  <c r="B64" i="20"/>
  <c r="B78" i="22"/>
  <c r="W78" i="18"/>
  <c r="D78" i="18"/>
  <c r="E78" i="18" s="1"/>
  <c r="F78" i="18" s="1"/>
  <c r="B222" i="20"/>
  <c r="B90" i="22"/>
  <c r="W90" i="18"/>
  <c r="D90" i="18"/>
  <c r="E90" i="18" s="1"/>
  <c r="F90" i="18" s="1"/>
  <c r="B205" i="20"/>
  <c r="B289" i="22"/>
  <c r="W289" i="18"/>
  <c r="D289" i="18"/>
  <c r="E289" i="18" s="1"/>
  <c r="F289" i="18" s="1"/>
  <c r="B204" i="20"/>
  <c r="B378" i="22"/>
  <c r="W378" i="18"/>
  <c r="D378" i="18"/>
  <c r="E378" i="18" s="1"/>
  <c r="F378" i="18" s="1"/>
  <c r="B207" i="20"/>
  <c r="B182" i="22"/>
  <c r="W182" i="18"/>
  <c r="D182" i="18"/>
  <c r="E182" i="18" s="1"/>
  <c r="F182" i="18" s="1"/>
  <c r="B252" i="20"/>
  <c r="B310" i="22"/>
  <c r="W310" i="18"/>
  <c r="D310" i="18"/>
  <c r="E310" i="18" s="1"/>
  <c r="F310" i="18" s="1"/>
  <c r="B299" i="20"/>
  <c r="B236" i="22"/>
  <c r="W236" i="18"/>
  <c r="D236" i="18"/>
  <c r="E236" i="18" s="1"/>
  <c r="F236" i="18" s="1"/>
  <c r="B305" i="20"/>
  <c r="B311" i="22"/>
  <c r="W311" i="18"/>
  <c r="D311" i="18"/>
  <c r="E311" i="18" s="1"/>
  <c r="F311" i="18" s="1"/>
  <c r="B306" i="20"/>
  <c r="B98" i="22"/>
  <c r="W98" i="18"/>
  <c r="D98" i="18"/>
  <c r="E98" i="18" s="1"/>
  <c r="F98" i="18" s="1"/>
  <c r="B152" i="20"/>
  <c r="B374" i="22"/>
  <c r="W374" i="18"/>
  <c r="D374" i="18"/>
  <c r="E374" i="18" s="1"/>
  <c r="F374" i="18" s="1"/>
  <c r="B353" i="20"/>
  <c r="B163" i="22"/>
  <c r="W163" i="18"/>
  <c r="D163" i="18"/>
  <c r="E163" i="18" s="1"/>
  <c r="F163" i="18" s="1"/>
  <c r="B52" i="20"/>
  <c r="B157" i="22"/>
  <c r="W157" i="18"/>
  <c r="D157" i="18"/>
  <c r="E157" i="18" s="1"/>
  <c r="F157" i="18" s="1"/>
  <c r="B229" i="20"/>
  <c r="B321" i="22"/>
  <c r="W321" i="18"/>
  <c r="D321" i="18"/>
  <c r="E321" i="18" s="1"/>
  <c r="F321" i="18" s="1"/>
  <c r="B103" i="20"/>
  <c r="B125" i="22"/>
  <c r="W125" i="18"/>
  <c r="D125" i="18"/>
  <c r="E125" i="18" s="1"/>
  <c r="F125" i="18" s="1"/>
  <c r="B32" i="20"/>
  <c r="B332" i="22"/>
  <c r="W332" i="18"/>
  <c r="D332" i="18"/>
  <c r="E332" i="18" s="1"/>
  <c r="F332" i="18" s="1"/>
  <c r="B235" i="20"/>
  <c r="B309" i="22"/>
  <c r="W309" i="18"/>
  <c r="D309" i="18"/>
  <c r="E309" i="18" s="1"/>
  <c r="F309" i="18" s="1"/>
  <c r="B331" i="20"/>
  <c r="B73" i="22"/>
  <c r="W73" i="18"/>
  <c r="D73" i="18"/>
  <c r="E73" i="18" s="1"/>
  <c r="F73" i="18" s="1"/>
  <c r="B251" i="20"/>
  <c r="B62" i="22"/>
  <c r="W62" i="18"/>
  <c r="D62" i="18"/>
  <c r="E62" i="18" s="1"/>
  <c r="F62" i="18" s="1"/>
  <c r="B100" i="20"/>
  <c r="B81" i="22"/>
  <c r="W81" i="18"/>
  <c r="D81" i="18"/>
  <c r="E81" i="18" s="1"/>
  <c r="F81" i="18" s="1"/>
  <c r="B153" i="20"/>
  <c r="B295" i="22"/>
  <c r="W295" i="18"/>
  <c r="D295" i="18"/>
  <c r="E295" i="18" s="1"/>
  <c r="F295" i="18" s="1"/>
  <c r="B38" i="20"/>
  <c r="B76" i="22"/>
  <c r="W76" i="18"/>
  <c r="D76" i="18"/>
  <c r="E76" i="18" s="1"/>
  <c r="F76" i="18" s="1"/>
  <c r="B132" i="20"/>
  <c r="B232" i="22"/>
  <c r="W232" i="18"/>
  <c r="D232" i="18"/>
  <c r="E232" i="18" s="1"/>
  <c r="F232" i="18" s="1"/>
  <c r="B174" i="20"/>
  <c r="G352" i="17"/>
  <c r="BZ352" i="6" s="1"/>
  <c r="H352" i="17"/>
  <c r="AA352" i="17"/>
  <c r="Z352" i="17" s="1"/>
  <c r="Y352" i="17" s="1"/>
  <c r="G377" i="17"/>
  <c r="BZ377" i="6" s="1"/>
  <c r="AA377" i="17"/>
  <c r="Z377" i="17" s="1"/>
  <c r="Y377" i="17" s="1"/>
  <c r="G192" i="17"/>
  <c r="BZ192" i="6" s="1"/>
  <c r="AA192" i="17"/>
  <c r="Z192" i="17" s="1"/>
  <c r="Y192" i="17" s="1"/>
  <c r="H192" i="17"/>
  <c r="G21" i="17"/>
  <c r="BZ21" i="6" s="1"/>
  <c r="AA21" i="17"/>
  <c r="Z21" i="17" s="1"/>
  <c r="Y21" i="17" s="1"/>
  <c r="H21" i="17"/>
  <c r="G302" i="17"/>
  <c r="BZ302" i="6" s="1"/>
  <c r="AA302" i="17"/>
  <c r="Z302" i="17" s="1"/>
  <c r="Y302" i="17" s="1"/>
  <c r="H302" i="17"/>
  <c r="G113" i="17"/>
  <c r="BZ113" i="6" s="1"/>
  <c r="AA113" i="17"/>
  <c r="Z113" i="17" s="1"/>
  <c r="Y113" i="17" s="1"/>
  <c r="H113" i="17"/>
  <c r="G83" i="17"/>
  <c r="BZ83" i="6" s="1"/>
  <c r="AA83" i="17"/>
  <c r="Z83" i="17" s="1"/>
  <c r="Y83" i="17" s="1"/>
  <c r="H83" i="17"/>
  <c r="G379" i="17"/>
  <c r="BZ379" i="6" s="1"/>
  <c r="AA379" i="17"/>
  <c r="Z379" i="17" s="1"/>
  <c r="Y379" i="17" s="1"/>
  <c r="G247" i="17"/>
  <c r="BZ247" i="6" s="1"/>
  <c r="H247" i="17"/>
  <c r="AA247" i="17"/>
  <c r="Z247" i="17" s="1"/>
  <c r="Y247" i="17" s="1"/>
  <c r="G124" i="17"/>
  <c r="BZ124" i="6" s="1"/>
  <c r="H124" i="17"/>
  <c r="AA124" i="17"/>
  <c r="Z124" i="17" s="1"/>
  <c r="Y124" i="17" s="1"/>
  <c r="G230" i="17"/>
  <c r="BZ230" i="6" s="1"/>
  <c r="H230" i="17"/>
  <c r="AA230" i="17"/>
  <c r="Z230" i="17" s="1"/>
  <c r="Y230" i="17" s="1"/>
  <c r="G105" i="17"/>
  <c r="BZ105" i="6" s="1"/>
  <c r="AA105" i="17"/>
  <c r="Z105" i="17" s="1"/>
  <c r="Y105" i="17" s="1"/>
  <c r="H105" i="17"/>
  <c r="G19" i="17"/>
  <c r="BZ19" i="6" s="1"/>
  <c r="AA19" i="17"/>
  <c r="Z19" i="17" s="1"/>
  <c r="Y19" i="17" s="1"/>
  <c r="H19" i="17"/>
  <c r="G371" i="17"/>
  <c r="BZ371" i="6" s="1"/>
  <c r="AA371" i="17"/>
  <c r="Z371" i="17" s="1"/>
  <c r="Y371" i="17" s="1"/>
  <c r="G304" i="17"/>
  <c r="BZ304" i="6" s="1"/>
  <c r="AA304" i="17"/>
  <c r="Z304" i="17" s="1"/>
  <c r="Y304" i="17" s="1"/>
  <c r="H304" i="17"/>
  <c r="G193" i="17"/>
  <c r="BZ193" i="6" s="1"/>
  <c r="H193" i="17"/>
  <c r="AA193" i="17"/>
  <c r="Z193" i="17" s="1"/>
  <c r="Y193" i="17" s="1"/>
  <c r="G278" i="17"/>
  <c r="BZ278" i="6" s="1"/>
  <c r="AA278" i="17"/>
  <c r="Z278" i="17" s="1"/>
  <c r="Y278" i="17" s="1"/>
  <c r="H278" i="17"/>
  <c r="G283" i="17"/>
  <c r="BZ283" i="6" s="1"/>
  <c r="AA283" i="17"/>
  <c r="Z283" i="17" s="1"/>
  <c r="Y283" i="17" s="1"/>
  <c r="H283" i="17"/>
  <c r="G65" i="17"/>
  <c r="BZ65" i="6" s="1"/>
  <c r="AA65" i="17"/>
  <c r="Z65" i="17" s="1"/>
  <c r="Y65" i="17" s="1"/>
  <c r="H65" i="17"/>
  <c r="G18" i="17"/>
  <c r="BZ18" i="6" s="1"/>
  <c r="H18" i="17"/>
  <c r="AA18" i="17"/>
  <c r="Z18" i="17" s="1"/>
  <c r="Y18" i="17" s="1"/>
  <c r="G123" i="17"/>
  <c r="BZ123" i="6" s="1"/>
  <c r="AA123" i="17"/>
  <c r="Z123" i="17" s="1"/>
  <c r="Y123" i="17" s="1"/>
  <c r="H123" i="17"/>
  <c r="G148" i="17"/>
  <c r="BZ148" i="6" s="1"/>
  <c r="AA148" i="17"/>
  <c r="Z148" i="17" s="1"/>
  <c r="Y148" i="17" s="1"/>
  <c r="H148" i="17"/>
  <c r="G62" i="17"/>
  <c r="BZ62" i="6" s="1"/>
  <c r="AA62" i="17"/>
  <c r="Z62" i="17" s="1"/>
  <c r="Y62" i="17" s="1"/>
  <c r="H62" i="17"/>
  <c r="G142" i="17"/>
  <c r="BZ142" i="6" s="1"/>
  <c r="AA142" i="17"/>
  <c r="Z142" i="17" s="1"/>
  <c r="Y142" i="17" s="1"/>
  <c r="H142" i="17"/>
  <c r="G194" i="17"/>
  <c r="BZ194" i="6" s="1"/>
  <c r="H194" i="17"/>
  <c r="AA194" i="17"/>
  <c r="Z194" i="17" s="1"/>
  <c r="Y194" i="17" s="1"/>
  <c r="G20" i="17"/>
  <c r="BZ20" i="6" s="1"/>
  <c r="H20" i="17"/>
  <c r="AA20" i="17"/>
  <c r="Z20" i="17" s="1"/>
  <c r="Y20" i="17" s="1"/>
  <c r="G173" i="17"/>
  <c r="BZ173" i="6" s="1"/>
  <c r="AA173" i="17"/>
  <c r="Z173" i="17" s="1"/>
  <c r="Y173" i="17" s="1"/>
  <c r="H173" i="17"/>
  <c r="G159" i="17"/>
  <c r="BZ159" i="6" s="1"/>
  <c r="H159" i="17"/>
  <c r="AA159" i="17"/>
  <c r="Z159" i="17" s="1"/>
  <c r="Y159" i="17" s="1"/>
  <c r="G256" i="17"/>
  <c r="BZ256" i="6" s="1"/>
  <c r="AA256" i="17"/>
  <c r="Z256" i="17" s="1"/>
  <c r="Y256" i="17" s="1"/>
  <c r="H256" i="17"/>
  <c r="G353" i="17"/>
  <c r="BZ353" i="6" s="1"/>
  <c r="H353" i="17"/>
  <c r="AA353" i="17"/>
  <c r="Z353" i="17" s="1"/>
  <c r="Y353" i="17" s="1"/>
  <c r="G310" i="17"/>
  <c r="BZ310" i="6" s="1"/>
  <c r="H310" i="17"/>
  <c r="AA310" i="17"/>
  <c r="Z310" i="17" s="1"/>
  <c r="Y310" i="17" s="1"/>
  <c r="G254" i="17"/>
  <c r="BZ254" i="6" s="1"/>
  <c r="H254" i="17"/>
  <c r="AA254" i="17"/>
  <c r="Z254" i="17" s="1"/>
  <c r="Y254" i="17" s="1"/>
  <c r="G156" i="17"/>
  <c r="BZ156" i="6" s="1"/>
  <c r="AA156" i="17"/>
  <c r="Z156" i="17" s="1"/>
  <c r="Y156" i="17" s="1"/>
  <c r="H156" i="17"/>
  <c r="G44" i="17"/>
  <c r="BZ44" i="6" s="1"/>
  <c r="AA44" i="17"/>
  <c r="Z44" i="17" s="1"/>
  <c r="Y44" i="17" s="1"/>
  <c r="H44" i="17"/>
  <c r="G359" i="17"/>
  <c r="BZ359" i="6" s="1"/>
  <c r="AA359" i="17"/>
  <c r="Z359" i="17" s="1"/>
  <c r="Y359" i="17" s="1"/>
  <c r="G129" i="17"/>
  <c r="BZ129" i="6" s="1"/>
  <c r="H129" i="17"/>
  <c r="AA129" i="17"/>
  <c r="Z129" i="17" s="1"/>
  <c r="Y129" i="17" s="1"/>
  <c r="G52" i="17"/>
  <c r="BZ52" i="6" s="1"/>
  <c r="H52" i="17"/>
  <c r="AA52" i="17"/>
  <c r="Z52" i="17" s="1"/>
  <c r="Y52" i="17" s="1"/>
  <c r="G365" i="17"/>
  <c r="BZ365" i="6" s="1"/>
  <c r="AA365" i="17"/>
  <c r="Z365" i="17" s="1"/>
  <c r="Y365" i="17" s="1"/>
  <c r="G301" i="17"/>
  <c r="BZ301" i="6" s="1"/>
  <c r="H301" i="17"/>
  <c r="AA301" i="17"/>
  <c r="Z301" i="17" s="1"/>
  <c r="Y301" i="17" s="1"/>
  <c r="G348" i="17"/>
  <c r="BZ348" i="6" s="1"/>
  <c r="H348" i="17"/>
  <c r="AA348" i="17"/>
  <c r="Z348" i="17" s="1"/>
  <c r="Y348" i="17" s="1"/>
  <c r="G264" i="17"/>
  <c r="BZ264" i="6" s="1"/>
  <c r="H264" i="17"/>
  <c r="AA264" i="17"/>
  <c r="Z264" i="17" s="1"/>
  <c r="Y264" i="17" s="1"/>
  <c r="G220" i="17"/>
  <c r="BZ220" i="6" s="1"/>
  <c r="AA220" i="17"/>
  <c r="Z220" i="17" s="1"/>
  <c r="Y220" i="17" s="1"/>
  <c r="H220" i="17"/>
  <c r="G213" i="17"/>
  <c r="BZ213" i="6" s="1"/>
  <c r="H213" i="17"/>
  <c r="AA213" i="17"/>
  <c r="Z213" i="17" s="1"/>
  <c r="Y213" i="17" s="1"/>
  <c r="G75" i="17"/>
  <c r="BZ75" i="6" s="1"/>
  <c r="H75" i="17"/>
  <c r="AA75" i="17"/>
  <c r="Z75" i="17" s="1"/>
  <c r="Y75" i="17" s="1"/>
  <c r="H43" i="17"/>
  <c r="AA43" i="17"/>
  <c r="Z43" i="17" s="1"/>
  <c r="Y43" i="17" s="1"/>
  <c r="G43" i="17"/>
  <c r="BZ43" i="6" s="1"/>
  <c r="G340" i="17"/>
  <c r="BZ340" i="6" s="1"/>
  <c r="H340" i="17"/>
  <c r="AA340" i="17"/>
  <c r="Z340" i="17" s="1"/>
  <c r="Y340" i="17" s="1"/>
  <c r="G181" i="17"/>
  <c r="BZ181" i="6" s="1"/>
  <c r="AA181" i="17"/>
  <c r="Z181" i="17" s="1"/>
  <c r="Y181" i="17" s="1"/>
  <c r="H181" i="17"/>
  <c r="G286" i="17"/>
  <c r="BZ286" i="6" s="1"/>
  <c r="H286" i="17"/>
  <c r="AA286" i="17"/>
  <c r="Z286" i="17" s="1"/>
  <c r="Y286" i="17" s="1"/>
  <c r="G149" i="17"/>
  <c r="BZ149" i="6" s="1"/>
  <c r="AA149" i="17"/>
  <c r="Z149" i="17" s="1"/>
  <c r="Y149" i="17" s="1"/>
  <c r="H149" i="17"/>
  <c r="G325" i="17"/>
  <c r="BZ325" i="6" s="1"/>
  <c r="H325" i="17"/>
  <c r="AA325" i="17"/>
  <c r="Z325" i="17" s="1"/>
  <c r="Y325" i="17" s="1"/>
  <c r="G242" i="17"/>
  <c r="BZ242" i="6" s="1"/>
  <c r="H242" i="17"/>
  <c r="AA242" i="17"/>
  <c r="Z242" i="17" s="1"/>
  <c r="Y242" i="17" s="1"/>
  <c r="G172" i="17"/>
  <c r="BZ172" i="6" s="1"/>
  <c r="H172" i="17"/>
  <c r="AA172" i="17"/>
  <c r="Z172" i="17" s="1"/>
  <c r="Y172" i="17" s="1"/>
  <c r="G366" i="17"/>
  <c r="BZ366" i="6" s="1"/>
  <c r="AA366" i="17"/>
  <c r="Z366" i="17" s="1"/>
  <c r="Y366" i="17" s="1"/>
  <c r="G234" i="17"/>
  <c r="BZ234" i="6" s="1"/>
  <c r="H234" i="17"/>
  <c r="AA234" i="17"/>
  <c r="Z234" i="17" s="1"/>
  <c r="Y234" i="17" s="1"/>
  <c r="G243" i="17"/>
  <c r="BZ243" i="6" s="1"/>
  <c r="AA243" i="17"/>
  <c r="Z243" i="17" s="1"/>
  <c r="Y243" i="17" s="1"/>
  <c r="H243" i="17"/>
  <c r="G285" i="17"/>
  <c r="BZ285" i="6" s="1"/>
  <c r="H285" i="17"/>
  <c r="AA285" i="17"/>
  <c r="Z285" i="17" s="1"/>
  <c r="Y285" i="17" s="1"/>
  <c r="G357" i="17"/>
  <c r="BZ357" i="6" s="1"/>
  <c r="AA357" i="17"/>
  <c r="Z357" i="17" s="1"/>
  <c r="Y357" i="17" s="1"/>
  <c r="G330" i="17"/>
  <c r="BZ330" i="6" s="1"/>
  <c r="H330" i="17"/>
  <c r="AA330" i="17"/>
  <c r="Z330" i="17" s="1"/>
  <c r="Y330" i="17" s="1"/>
  <c r="G339" i="17"/>
  <c r="BZ339" i="6" s="1"/>
  <c r="AA339" i="17"/>
  <c r="Z339" i="17" s="1"/>
  <c r="Y339" i="17" s="1"/>
  <c r="H339" i="17"/>
  <c r="G180" i="17"/>
  <c r="BZ180" i="6" s="1"/>
  <c r="H180" i="17"/>
  <c r="AA180" i="17"/>
  <c r="Z180" i="17" s="1"/>
  <c r="Y180" i="17" s="1"/>
  <c r="G294" i="17"/>
  <c r="BZ294" i="6" s="1"/>
  <c r="AA294" i="17"/>
  <c r="Z294" i="17" s="1"/>
  <c r="Y294" i="17" s="1"/>
  <c r="H294" i="17"/>
  <c r="G103" i="17"/>
  <c r="BZ103" i="6" s="1"/>
  <c r="H103" i="17"/>
  <c r="AA103" i="17"/>
  <c r="Z103" i="17" s="1"/>
  <c r="Y103" i="17" s="1"/>
  <c r="G117" i="17"/>
  <c r="BZ117" i="6" s="1"/>
  <c r="H117" i="17"/>
  <c r="AA117" i="17"/>
  <c r="Z117" i="17" s="1"/>
  <c r="Y117" i="17" s="1"/>
  <c r="G70" i="17"/>
  <c r="BZ70" i="6" s="1"/>
  <c r="H70" i="17"/>
  <c r="AA70" i="17"/>
  <c r="Z70" i="17" s="1"/>
  <c r="Y70" i="17" s="1"/>
  <c r="G199" i="17"/>
  <c r="BZ199" i="6" s="1"/>
  <c r="AA199" i="17"/>
  <c r="Z199" i="17" s="1"/>
  <c r="Y199" i="17" s="1"/>
  <c r="H199" i="17"/>
  <c r="G17" i="17"/>
  <c r="BZ17" i="6" s="1"/>
  <c r="AA17" i="17"/>
  <c r="Z17" i="17" s="1"/>
  <c r="Y17" i="17" s="1"/>
  <c r="H17" i="17"/>
  <c r="G249" i="17"/>
  <c r="BZ249" i="6" s="1"/>
  <c r="AA249" i="17"/>
  <c r="Z249" i="17" s="1"/>
  <c r="Y249" i="17" s="1"/>
  <c r="H249" i="17"/>
  <c r="G45" i="17"/>
  <c r="BZ45" i="6" s="1"/>
  <c r="H45" i="17"/>
  <c r="AA45" i="17"/>
  <c r="Z45" i="17" s="1"/>
  <c r="Y45" i="17" s="1"/>
  <c r="G104" i="17"/>
  <c r="BZ104" i="6" s="1"/>
  <c r="H104" i="17"/>
  <c r="AA104" i="17"/>
  <c r="Z104" i="17" s="1"/>
  <c r="Y104" i="17" s="1"/>
  <c r="G39" i="17"/>
  <c r="BZ39" i="6" s="1"/>
  <c r="AA39" i="17"/>
  <c r="Z39" i="17" s="1"/>
  <c r="Y39" i="17" s="1"/>
  <c r="H39" i="17"/>
  <c r="G195" i="17"/>
  <c r="BZ195" i="6" s="1"/>
  <c r="AA195" i="17"/>
  <c r="Z195" i="17" s="1"/>
  <c r="Y195" i="17" s="1"/>
  <c r="H195" i="17"/>
  <c r="G314" i="17"/>
  <c r="BZ314" i="6" s="1"/>
  <c r="AA314" i="17"/>
  <c r="Z314" i="17" s="1"/>
  <c r="Y314" i="17" s="1"/>
  <c r="H314" i="17"/>
  <c r="G253" i="17"/>
  <c r="BZ253" i="6" s="1"/>
  <c r="AA253" i="17"/>
  <c r="Z253" i="17" s="1"/>
  <c r="Y253" i="17" s="1"/>
  <c r="H253" i="17"/>
  <c r="G24" i="17"/>
  <c r="BZ24" i="6" s="1"/>
  <c r="H24" i="17"/>
  <c r="AA24" i="17"/>
  <c r="Z24" i="17" s="1"/>
  <c r="Y24" i="17" s="1"/>
  <c r="G170" i="17"/>
  <c r="BZ170" i="6" s="1"/>
  <c r="H170" i="17"/>
  <c r="AA170" i="17"/>
  <c r="Z170" i="17" s="1"/>
  <c r="Y170" i="17" s="1"/>
  <c r="G177" i="17"/>
  <c r="BZ177" i="6" s="1"/>
  <c r="H177" i="17"/>
  <c r="AA177" i="17"/>
  <c r="Z177" i="17" s="1"/>
  <c r="Y177" i="17" s="1"/>
  <c r="G108" i="17"/>
  <c r="BZ108" i="6" s="1"/>
  <c r="AA108" i="17"/>
  <c r="Z108" i="17" s="1"/>
  <c r="Y108" i="17" s="1"/>
  <c r="H108" i="17"/>
  <c r="G346" i="17"/>
  <c r="BZ346" i="6" s="1"/>
  <c r="H346" i="17"/>
  <c r="AA346" i="17"/>
  <c r="Z346" i="17" s="1"/>
  <c r="Y346" i="17" s="1"/>
  <c r="G122" i="17"/>
  <c r="BZ122" i="6" s="1"/>
  <c r="H122" i="17"/>
  <c r="AA122" i="17"/>
  <c r="Z122" i="17" s="1"/>
  <c r="Y122" i="17" s="1"/>
  <c r="G74" i="17"/>
  <c r="BZ74" i="6" s="1"/>
  <c r="H74" i="17"/>
  <c r="AA74" i="17"/>
  <c r="Z74" i="17" s="1"/>
  <c r="Y74" i="17" s="1"/>
  <c r="G58" i="17"/>
  <c r="BZ58" i="6" s="1"/>
  <c r="H58" i="17"/>
  <c r="AA58" i="17"/>
  <c r="Z58" i="17" s="1"/>
  <c r="Y58" i="17" s="1"/>
  <c r="G151" i="17"/>
  <c r="BZ151" i="6" s="1"/>
  <c r="H151" i="17"/>
  <c r="AA151" i="17"/>
  <c r="Z151" i="17" s="1"/>
  <c r="Y151" i="17" s="1"/>
  <c r="G63" i="17"/>
  <c r="BZ63" i="6" s="1"/>
  <c r="H63" i="17"/>
  <c r="AA63" i="17"/>
  <c r="Z63" i="17" s="1"/>
  <c r="Y63" i="17" s="1"/>
  <c r="G23" i="17"/>
  <c r="BZ23" i="6" s="1"/>
  <c r="H23" i="17"/>
  <c r="AA23" i="17"/>
  <c r="Z23" i="17" s="1"/>
  <c r="Y23" i="17" s="1"/>
  <c r="G96" i="17"/>
  <c r="BZ96" i="6" s="1"/>
  <c r="H96" i="17"/>
  <c r="AA96" i="17"/>
  <c r="Z96" i="17" s="1"/>
  <c r="Y96" i="17" s="1"/>
  <c r="G204" i="17"/>
  <c r="BZ204" i="6" s="1"/>
  <c r="AA204" i="17"/>
  <c r="Z204" i="17" s="1"/>
  <c r="Y204" i="17" s="1"/>
  <c r="H204" i="17"/>
  <c r="G257" i="17"/>
  <c r="BZ257" i="6" s="1"/>
  <c r="H257" i="17"/>
  <c r="AA257" i="17"/>
  <c r="Z257" i="17" s="1"/>
  <c r="Y257" i="17" s="1"/>
  <c r="G85" i="17"/>
  <c r="BZ85" i="6" s="1"/>
  <c r="H85" i="17"/>
  <c r="AA85" i="17"/>
  <c r="Z85" i="17" s="1"/>
  <c r="Y85" i="17" s="1"/>
  <c r="G246" i="17"/>
  <c r="BZ246" i="6" s="1"/>
  <c r="AA246" i="17"/>
  <c r="Z246" i="17" s="1"/>
  <c r="Y246" i="17" s="1"/>
  <c r="H246" i="17"/>
  <c r="G37" i="17"/>
  <c r="BZ37" i="6" s="1"/>
  <c r="AA37" i="17"/>
  <c r="Z37" i="17" s="1"/>
  <c r="Y37" i="17" s="1"/>
  <c r="H37" i="17"/>
  <c r="G98" i="17"/>
  <c r="BZ98" i="6" s="1"/>
  <c r="H98" i="17"/>
  <c r="AA98" i="17"/>
  <c r="Z98" i="17" s="1"/>
  <c r="Y98" i="17" s="1"/>
  <c r="G120" i="17"/>
  <c r="BZ120" i="6" s="1"/>
  <c r="H120" i="17"/>
  <c r="AA120" i="17"/>
  <c r="Z120" i="17" s="1"/>
  <c r="Y120" i="17" s="1"/>
  <c r="G72" i="17"/>
  <c r="BZ72" i="6" s="1"/>
  <c r="H72" i="17"/>
  <c r="AA72" i="17"/>
  <c r="Z72" i="17" s="1"/>
  <c r="Y72" i="17" s="1"/>
  <c r="G126" i="17"/>
  <c r="BZ126" i="6" s="1"/>
  <c r="H126" i="17"/>
  <c r="AA126" i="17"/>
  <c r="Z126" i="17" s="1"/>
  <c r="Y126" i="17" s="1"/>
  <c r="H153" i="17"/>
  <c r="G153" i="17"/>
  <c r="BZ153" i="6" s="1"/>
  <c r="AA153" i="17"/>
  <c r="Z153" i="17" s="1"/>
  <c r="Y153" i="17" s="1"/>
  <c r="G217" i="17"/>
  <c r="BZ217" i="6" s="1"/>
  <c r="H217" i="17"/>
  <c r="AA217" i="17"/>
  <c r="Z217" i="17" s="1"/>
  <c r="Y217" i="17" s="1"/>
  <c r="G344" i="17"/>
  <c r="BZ344" i="6" s="1"/>
  <c r="H344" i="17"/>
  <c r="AA344" i="17"/>
  <c r="Z344" i="17" s="1"/>
  <c r="Y344" i="17" s="1"/>
  <c r="G197" i="17"/>
  <c r="BZ197" i="6" s="1"/>
  <c r="H197" i="17"/>
  <c r="AA197" i="17"/>
  <c r="Z197" i="17" s="1"/>
  <c r="Y197" i="17" s="1"/>
  <c r="G327" i="17"/>
  <c r="BZ327" i="6" s="1"/>
  <c r="AA327" i="17"/>
  <c r="Z327" i="17" s="1"/>
  <c r="Y327" i="17" s="1"/>
  <c r="H327" i="17"/>
  <c r="G61" i="17"/>
  <c r="BZ61" i="6" s="1"/>
  <c r="H61" i="17"/>
  <c r="AA61" i="17"/>
  <c r="Z61" i="17" s="1"/>
  <c r="Y61" i="17" s="1"/>
  <c r="G92" i="17"/>
  <c r="BZ92" i="6" s="1"/>
  <c r="AA92" i="17"/>
  <c r="Z92" i="17" s="1"/>
  <c r="Y92" i="17" s="1"/>
  <c r="H92" i="17"/>
  <c r="G26" i="17"/>
  <c r="BZ26" i="6" s="1"/>
  <c r="AA26" i="17"/>
  <c r="Z26" i="17" s="1"/>
  <c r="Y26" i="17" s="1"/>
  <c r="H26" i="17"/>
  <c r="G374" i="17"/>
  <c r="BZ374" i="6" s="1"/>
  <c r="AA374" i="17"/>
  <c r="Z374" i="17" s="1"/>
  <c r="Y374" i="17" s="1"/>
  <c r="G223" i="17"/>
  <c r="BZ223" i="6" s="1"/>
  <c r="H223" i="17"/>
  <c r="AA223" i="17"/>
  <c r="Z223" i="17" s="1"/>
  <c r="Y223" i="17" s="1"/>
  <c r="G210" i="17"/>
  <c r="BZ210" i="6" s="1"/>
  <c r="AA210" i="17"/>
  <c r="Z210" i="17" s="1"/>
  <c r="Y210" i="17" s="1"/>
  <c r="H210" i="17"/>
  <c r="G175" i="17"/>
  <c r="BZ175" i="6" s="1"/>
  <c r="H175" i="17"/>
  <c r="AA175" i="17"/>
  <c r="Z175" i="17" s="1"/>
  <c r="Y175" i="17" s="1"/>
  <c r="G284" i="17"/>
  <c r="BZ284" i="6" s="1"/>
  <c r="H284" i="17"/>
  <c r="AA284" i="17"/>
  <c r="Z284" i="17" s="1"/>
  <c r="Y284" i="17" s="1"/>
  <c r="G101" i="17"/>
  <c r="BZ101" i="6" s="1"/>
  <c r="H101" i="17"/>
  <c r="AA101" i="17"/>
  <c r="Z101" i="17" s="1"/>
  <c r="Y101" i="17" s="1"/>
  <c r="G205" i="17"/>
  <c r="BZ205" i="6" s="1"/>
  <c r="H205" i="17"/>
  <c r="AA205" i="17"/>
  <c r="Z205" i="17" s="1"/>
  <c r="Y205" i="17" s="1"/>
  <c r="G31" i="17"/>
  <c r="BZ31" i="6" s="1"/>
  <c r="H31" i="17"/>
  <c r="AA31" i="17"/>
  <c r="Z31" i="17" s="1"/>
  <c r="Y31" i="17" s="1"/>
  <c r="G46" i="17"/>
  <c r="BZ46" i="6" s="1"/>
  <c r="H46" i="17"/>
  <c r="AA46" i="17"/>
  <c r="Z46" i="17" s="1"/>
  <c r="Y46" i="17" s="1"/>
  <c r="G309" i="17"/>
  <c r="BZ309" i="6" s="1"/>
  <c r="AA309" i="17"/>
  <c r="Z309" i="17" s="1"/>
  <c r="Y309" i="17" s="1"/>
  <c r="H309" i="17"/>
  <c r="G161" i="17"/>
  <c r="BZ161" i="6" s="1"/>
  <c r="H161" i="17"/>
  <c r="AA161" i="17"/>
  <c r="Z161" i="17" s="1"/>
  <c r="Y161" i="17" s="1"/>
  <c r="G188" i="17"/>
  <c r="BZ188" i="6" s="1"/>
  <c r="AA188" i="17"/>
  <c r="Z188" i="17" s="1"/>
  <c r="Y188" i="17" s="1"/>
  <c r="H188" i="17"/>
  <c r="G259" i="17"/>
  <c r="BZ259" i="6" s="1"/>
  <c r="H259" i="17"/>
  <c r="AA259" i="17"/>
  <c r="Z259" i="17" s="1"/>
  <c r="Y259" i="17" s="1"/>
  <c r="G99" i="17"/>
  <c r="BZ99" i="6" s="1"/>
  <c r="H99" i="17"/>
  <c r="AA99" i="17"/>
  <c r="Z99" i="17" s="1"/>
  <c r="Y99" i="17" s="1"/>
  <c r="G238" i="17"/>
  <c r="BZ238" i="6" s="1"/>
  <c r="H238" i="17"/>
  <c r="AA238" i="17"/>
  <c r="Z238" i="17" s="1"/>
  <c r="Y238" i="17" s="1"/>
  <c r="G237" i="17"/>
  <c r="BZ237" i="6" s="1"/>
  <c r="H237" i="17"/>
  <c r="AA237" i="17"/>
  <c r="Z237" i="17" s="1"/>
  <c r="Y237" i="17" s="1"/>
  <c r="H279" i="17"/>
  <c r="G279" i="17"/>
  <c r="BZ279" i="6" s="1"/>
  <c r="AA279" i="17"/>
  <c r="Z279" i="17" s="1"/>
  <c r="Y279" i="17" s="1"/>
  <c r="G166" i="17"/>
  <c r="BZ166" i="6" s="1"/>
  <c r="H166" i="17"/>
  <c r="AA166" i="17"/>
  <c r="Z166" i="17" s="1"/>
  <c r="Y166" i="17" s="1"/>
  <c r="G239" i="17"/>
  <c r="BZ239" i="6" s="1"/>
  <c r="AA239" i="17"/>
  <c r="Z239" i="17" s="1"/>
  <c r="Y239" i="17" s="1"/>
  <c r="H239" i="17"/>
  <c r="G174" i="17"/>
  <c r="BZ174" i="6" s="1"/>
  <c r="H174" i="17"/>
  <c r="AA174" i="17"/>
  <c r="Z174" i="17" s="1"/>
  <c r="Y174" i="17" s="1"/>
  <c r="G231" i="17"/>
  <c r="BZ231" i="6" s="1"/>
  <c r="H231" i="17"/>
  <c r="AA231" i="17"/>
  <c r="Z231" i="17" s="1"/>
  <c r="Y231" i="17" s="1"/>
  <c r="G291" i="17"/>
  <c r="BZ291" i="6" s="1"/>
  <c r="H291" i="17"/>
  <c r="AA291" i="17"/>
  <c r="Z291" i="17" s="1"/>
  <c r="Y291" i="17" s="1"/>
  <c r="G206" i="17"/>
  <c r="BZ206" i="6" s="1"/>
  <c r="AA206" i="17"/>
  <c r="Z206" i="17" s="1"/>
  <c r="Y206" i="17" s="1"/>
  <c r="H206" i="17"/>
  <c r="G354" i="17"/>
  <c r="BZ354" i="6" s="1"/>
  <c r="AA354" i="17"/>
  <c r="Z354" i="17" s="1"/>
  <c r="Y354" i="17" s="1"/>
  <c r="G119" i="17"/>
  <c r="BZ119" i="6" s="1"/>
  <c r="H119" i="17"/>
  <c r="AA119" i="17"/>
  <c r="Z119" i="17" s="1"/>
  <c r="Y119" i="17" s="1"/>
  <c r="G272" i="17"/>
  <c r="BZ272" i="6" s="1"/>
  <c r="H272" i="17"/>
  <c r="AA272" i="17"/>
  <c r="Z272" i="17" s="1"/>
  <c r="Y272" i="17" s="1"/>
  <c r="G93" i="17"/>
  <c r="BZ93" i="6" s="1"/>
  <c r="H93" i="17"/>
  <c r="AA93" i="17"/>
  <c r="Z93" i="17" s="1"/>
  <c r="Y93" i="17" s="1"/>
  <c r="G187" i="17"/>
  <c r="BZ187" i="6" s="1"/>
  <c r="AA187" i="17"/>
  <c r="Z187" i="17" s="1"/>
  <c r="Y187" i="17" s="1"/>
  <c r="H187" i="17"/>
  <c r="G290" i="17"/>
  <c r="BZ290" i="6" s="1"/>
  <c r="AA290" i="17"/>
  <c r="Z290" i="17" s="1"/>
  <c r="Y290" i="17" s="1"/>
  <c r="H290" i="17"/>
  <c r="G241" i="17"/>
  <c r="BZ241" i="6" s="1"/>
  <c r="AA241" i="17"/>
  <c r="Z241" i="17" s="1"/>
  <c r="Y241" i="17" s="1"/>
  <c r="H241" i="17"/>
  <c r="G226" i="17"/>
  <c r="BZ226" i="6" s="1"/>
  <c r="AA226" i="17"/>
  <c r="Z226" i="17" s="1"/>
  <c r="Y226" i="17" s="1"/>
  <c r="H226" i="17"/>
  <c r="G25" i="17"/>
  <c r="BZ25" i="6" s="1"/>
  <c r="AA25" i="17"/>
  <c r="Z25" i="17" s="1"/>
  <c r="Y25" i="17" s="1"/>
  <c r="H25" i="17"/>
  <c r="G89" i="17"/>
  <c r="BZ89" i="6" s="1"/>
  <c r="AA89" i="17"/>
  <c r="Z89" i="17" s="1"/>
  <c r="Y89" i="17" s="1"/>
  <c r="H89" i="17"/>
  <c r="G244" i="17"/>
  <c r="BZ244" i="6" s="1"/>
  <c r="AA244" i="17"/>
  <c r="Z244" i="17" s="1"/>
  <c r="Y244" i="17" s="1"/>
  <c r="H244" i="17"/>
  <c r="G287" i="17"/>
  <c r="BZ287" i="6" s="1"/>
  <c r="AA287" i="17"/>
  <c r="Z287" i="17" s="1"/>
  <c r="Y287" i="17" s="1"/>
  <c r="H287" i="17"/>
  <c r="G355" i="17"/>
  <c r="BZ355" i="6" s="1"/>
  <c r="AA355" i="17"/>
  <c r="Z355" i="17" s="1"/>
  <c r="Y355" i="17" s="1"/>
  <c r="G107" i="17"/>
  <c r="BZ107" i="6" s="1"/>
  <c r="H107" i="17"/>
  <c r="AA107" i="17"/>
  <c r="Z107" i="17" s="1"/>
  <c r="Y107" i="17" s="1"/>
  <c r="G66" i="17"/>
  <c r="BZ66" i="6" s="1"/>
  <c r="AA66" i="17"/>
  <c r="Z66" i="17" s="1"/>
  <c r="Y66" i="17" s="1"/>
  <c r="H66" i="17"/>
  <c r="G229" i="17"/>
  <c r="BZ229" i="6" s="1"/>
  <c r="H229" i="17"/>
  <c r="AA229" i="17"/>
  <c r="Z229" i="17" s="1"/>
  <c r="Y229" i="17" s="1"/>
  <c r="G341" i="17"/>
  <c r="BZ341" i="6" s="1"/>
  <c r="AA341" i="17"/>
  <c r="Z341" i="17" s="1"/>
  <c r="Y341" i="17" s="1"/>
  <c r="H341" i="17"/>
  <c r="G358" i="17"/>
  <c r="BZ358" i="6" s="1"/>
  <c r="AA358" i="17"/>
  <c r="Z358" i="17" s="1"/>
  <c r="Y358" i="17" s="1"/>
  <c r="G319" i="17"/>
  <c r="BZ319" i="6" s="1"/>
  <c r="H319" i="17"/>
  <c r="AA319" i="17"/>
  <c r="Z319" i="17" s="1"/>
  <c r="Y319" i="17" s="1"/>
  <c r="G47" i="17"/>
  <c r="BZ47" i="6" s="1"/>
  <c r="H47" i="17"/>
  <c r="AA47" i="17"/>
  <c r="Z47" i="17" s="1"/>
  <c r="Y47" i="17" s="1"/>
  <c r="G313" i="17"/>
  <c r="BZ313" i="6" s="1"/>
  <c r="H313" i="17"/>
  <c r="AA313" i="17"/>
  <c r="Z313" i="17" s="1"/>
  <c r="Y313" i="17" s="1"/>
  <c r="G186" i="17"/>
  <c r="BZ186" i="6" s="1"/>
  <c r="H186" i="17"/>
  <c r="AA186" i="17"/>
  <c r="Z186" i="17" s="1"/>
  <c r="Y186" i="17" s="1"/>
  <c r="G335" i="17"/>
  <c r="BZ335" i="6" s="1"/>
  <c r="AA335" i="17"/>
  <c r="Z335" i="17" s="1"/>
  <c r="Y335" i="17" s="1"/>
  <c r="H335" i="17"/>
  <c r="G130" i="17"/>
  <c r="BZ130" i="6" s="1"/>
  <c r="AA130" i="17"/>
  <c r="Z130" i="17" s="1"/>
  <c r="Y130" i="17" s="1"/>
  <c r="H130" i="17"/>
  <c r="G163" i="17"/>
  <c r="BZ163" i="6" s="1"/>
  <c r="AA163" i="17"/>
  <c r="Z163" i="17" s="1"/>
  <c r="Y163" i="17" s="1"/>
  <c r="H163" i="17"/>
  <c r="G373" i="17"/>
  <c r="BZ373" i="6" s="1"/>
  <c r="AA373" i="17"/>
  <c r="Z373" i="17" s="1"/>
  <c r="Y373" i="17" s="1"/>
  <c r="G317" i="17"/>
  <c r="BZ317" i="6" s="1"/>
  <c r="H317" i="17"/>
  <c r="AA317" i="17"/>
  <c r="Z317" i="17" s="1"/>
  <c r="Y317" i="17" s="1"/>
  <c r="H281" i="17"/>
  <c r="G281" i="17"/>
  <c r="BZ281" i="6" s="1"/>
  <c r="AA281" i="17"/>
  <c r="Z281" i="17" s="1"/>
  <c r="Y281" i="17" s="1"/>
  <c r="G133" i="17"/>
  <c r="BZ133" i="6" s="1"/>
  <c r="H133" i="17"/>
  <c r="AA133" i="17"/>
  <c r="Z133" i="17" s="1"/>
  <c r="Y133" i="17" s="1"/>
  <c r="G250" i="17"/>
  <c r="BZ250" i="6" s="1"/>
  <c r="H250" i="17"/>
  <c r="AA250" i="17"/>
  <c r="Z250" i="17" s="1"/>
  <c r="Y250" i="17" s="1"/>
  <c r="G78" i="17"/>
  <c r="BZ78" i="6" s="1"/>
  <c r="H78" i="17"/>
  <c r="AA78" i="17"/>
  <c r="Z78" i="17" s="1"/>
  <c r="Y78" i="17" s="1"/>
  <c r="G375" i="17"/>
  <c r="BZ375" i="6" s="1"/>
  <c r="AA375" i="17"/>
  <c r="Z375" i="17" s="1"/>
  <c r="Y375" i="17" s="1"/>
  <c r="G67" i="17"/>
  <c r="BZ67" i="6" s="1"/>
  <c r="H67" i="17"/>
  <c r="AA67" i="17"/>
  <c r="Z67" i="17" s="1"/>
  <c r="Y67" i="17" s="1"/>
  <c r="G112" i="17"/>
  <c r="BZ112" i="6" s="1"/>
  <c r="H112" i="17"/>
  <c r="AA112" i="17"/>
  <c r="Z112" i="17" s="1"/>
  <c r="Y112" i="17" s="1"/>
  <c r="G305" i="17"/>
  <c r="BZ305" i="6" s="1"/>
  <c r="H305" i="17"/>
  <c r="AA305" i="17"/>
  <c r="Z305" i="17" s="1"/>
  <c r="Y305" i="17" s="1"/>
  <c r="G368" i="17"/>
  <c r="BZ368" i="6" s="1"/>
  <c r="AA368" i="17"/>
  <c r="Z368" i="17" s="1"/>
  <c r="Y368" i="17" s="1"/>
  <c r="G141" i="17"/>
  <c r="BZ141" i="6" s="1"/>
  <c r="H141" i="17"/>
  <c r="AA141" i="17"/>
  <c r="Z141" i="17" s="1"/>
  <c r="Y141" i="17" s="1"/>
  <c r="G54" i="17"/>
  <c r="BZ54" i="6" s="1"/>
  <c r="AA54" i="17"/>
  <c r="Z54" i="17" s="1"/>
  <c r="Y54" i="17" s="1"/>
  <c r="H54" i="17"/>
  <c r="G274" i="17"/>
  <c r="BZ274" i="6" s="1"/>
  <c r="H274" i="17"/>
  <c r="AA274" i="17"/>
  <c r="Z274" i="17" s="1"/>
  <c r="Y274" i="17" s="1"/>
  <c r="G73" i="17"/>
  <c r="BZ73" i="6" s="1"/>
  <c r="H73" i="17"/>
  <c r="AA73" i="17"/>
  <c r="Z73" i="17" s="1"/>
  <c r="Y73" i="17" s="1"/>
  <c r="G84" i="17"/>
  <c r="BZ84" i="6" s="1"/>
  <c r="H84" i="17"/>
  <c r="AA84" i="17"/>
  <c r="Z84" i="17" s="1"/>
  <c r="Y84" i="17" s="1"/>
  <c r="G224" i="17"/>
  <c r="BZ224" i="6" s="1"/>
  <c r="H224" i="17"/>
  <c r="AA224" i="17"/>
  <c r="Z224" i="17" s="1"/>
  <c r="Y224" i="17" s="1"/>
  <c r="G147" i="17"/>
  <c r="BZ147" i="6" s="1"/>
  <c r="H147" i="17"/>
  <c r="AA147" i="17"/>
  <c r="Z147" i="17" s="1"/>
  <c r="Y147" i="17" s="1"/>
  <c r="G82" i="17"/>
  <c r="BZ82" i="6" s="1"/>
  <c r="H82" i="17"/>
  <c r="AA82" i="17"/>
  <c r="Z82" i="17" s="1"/>
  <c r="Y82" i="17" s="1"/>
  <c r="G150" i="17"/>
  <c r="BZ150" i="6" s="1"/>
  <c r="H150" i="17"/>
  <c r="AA150" i="17"/>
  <c r="Z150" i="17" s="1"/>
  <c r="Y150" i="17" s="1"/>
  <c r="G16" i="17"/>
  <c r="BZ16" i="6" s="1"/>
  <c r="H16" i="17"/>
  <c r="AA16" i="17"/>
  <c r="Z16" i="17" s="1"/>
  <c r="Y16" i="17" s="1"/>
  <c r="G347" i="17"/>
  <c r="BZ347" i="6" s="1"/>
  <c r="H347" i="17"/>
  <c r="AA347" i="17"/>
  <c r="Z347" i="17" s="1"/>
  <c r="Y347" i="17" s="1"/>
  <c r="G114" i="17"/>
  <c r="BZ114" i="6" s="1"/>
  <c r="H114" i="17"/>
  <c r="AA114" i="17"/>
  <c r="Z114" i="17" s="1"/>
  <c r="Y114" i="17" s="1"/>
  <c r="G128" i="17"/>
  <c r="BZ128" i="6" s="1"/>
  <c r="H128" i="17"/>
  <c r="AA128" i="17"/>
  <c r="Z128" i="17" s="1"/>
  <c r="Y128" i="17" s="1"/>
  <c r="G262" i="17"/>
  <c r="BZ262" i="6" s="1"/>
  <c r="H262" i="17"/>
  <c r="AA262" i="17"/>
  <c r="Z262" i="17" s="1"/>
  <c r="Y262" i="17" s="1"/>
  <c r="G269" i="17"/>
  <c r="BZ269" i="6" s="1"/>
  <c r="H269" i="17"/>
  <c r="AA269" i="17"/>
  <c r="Z269" i="17" s="1"/>
  <c r="Y269" i="17" s="1"/>
  <c r="G178" i="17"/>
  <c r="BZ178" i="6" s="1"/>
  <c r="H178" i="17"/>
  <c r="AA178" i="17"/>
  <c r="Z178" i="17" s="1"/>
  <c r="Y178" i="17" s="1"/>
  <c r="G90" i="17"/>
  <c r="BZ90" i="6" s="1"/>
  <c r="AA90" i="17"/>
  <c r="Z90" i="17" s="1"/>
  <c r="Y90" i="17" s="1"/>
  <c r="H90" i="17"/>
  <c r="G270" i="17"/>
  <c r="BZ270" i="6" s="1"/>
  <c r="AA270" i="17"/>
  <c r="Z270" i="17" s="1"/>
  <c r="Y270" i="17" s="1"/>
  <c r="H270" i="17"/>
  <c r="G49" i="17"/>
  <c r="BZ49" i="6" s="1"/>
  <c r="AA49" i="17"/>
  <c r="Z49" i="17" s="1"/>
  <c r="Y49" i="17" s="1"/>
  <c r="H49" i="17"/>
  <c r="G132" i="17"/>
  <c r="BZ132" i="6" s="1"/>
  <c r="AA132" i="17"/>
  <c r="Z132" i="17" s="1"/>
  <c r="Y132" i="17" s="1"/>
  <c r="H132" i="17"/>
  <c r="G76" i="17"/>
  <c r="BZ76" i="6" s="1"/>
  <c r="AA76" i="17"/>
  <c r="Z76" i="17" s="1"/>
  <c r="Y76" i="17" s="1"/>
  <c r="H76" i="17"/>
  <c r="G315" i="17"/>
  <c r="BZ315" i="6" s="1"/>
  <c r="AA315" i="17"/>
  <c r="Z315" i="17" s="1"/>
  <c r="Y315" i="17" s="1"/>
  <c r="H315" i="17"/>
  <c r="G369" i="17"/>
  <c r="BZ369" i="6" s="1"/>
  <c r="AA369" i="17"/>
  <c r="Z369" i="17" s="1"/>
  <c r="Y369" i="17" s="1"/>
  <c r="G288" i="17"/>
  <c r="BZ288" i="6" s="1"/>
  <c r="H288" i="17"/>
  <c r="AA288" i="17"/>
  <c r="Z288" i="17" s="1"/>
  <c r="Y288" i="17" s="1"/>
  <c r="G324" i="17"/>
  <c r="BZ324" i="6" s="1"/>
  <c r="AA324" i="17"/>
  <c r="Z324" i="17" s="1"/>
  <c r="Y324" i="17" s="1"/>
  <c r="H324" i="17"/>
  <c r="G69" i="17"/>
  <c r="BZ69" i="6" s="1"/>
  <c r="H69" i="17"/>
  <c r="AA69" i="17"/>
  <c r="Z69" i="17" s="1"/>
  <c r="Y69" i="17" s="1"/>
  <c r="G40" i="17"/>
  <c r="BZ40" i="6" s="1"/>
  <c r="H40" i="17"/>
  <c r="AA40" i="17"/>
  <c r="Z40" i="17" s="1"/>
  <c r="Y40" i="17" s="1"/>
  <c r="G211" i="17"/>
  <c r="BZ211" i="6" s="1"/>
  <c r="H211" i="17"/>
  <c r="AA211" i="17"/>
  <c r="Z211" i="17" s="1"/>
  <c r="Y211" i="17" s="1"/>
  <c r="G34" i="17"/>
  <c r="BZ34" i="6" s="1"/>
  <c r="H34" i="17"/>
  <c r="AA34" i="17"/>
  <c r="Z34" i="17" s="1"/>
  <c r="Y34" i="17" s="1"/>
  <c r="G263" i="17"/>
  <c r="BZ263" i="6" s="1"/>
  <c r="H263" i="17"/>
  <c r="AA263" i="17"/>
  <c r="Z263" i="17" s="1"/>
  <c r="Y263" i="17" s="1"/>
  <c r="G222" i="17"/>
  <c r="BZ222" i="6" s="1"/>
  <c r="AA222" i="17"/>
  <c r="Z222" i="17" s="1"/>
  <c r="Y222" i="17" s="1"/>
  <c r="H222" i="17"/>
  <c r="G50" i="17"/>
  <c r="BZ50" i="6" s="1"/>
  <c r="H50" i="17"/>
  <c r="AA50" i="17"/>
  <c r="Z50" i="17" s="1"/>
  <c r="Y50" i="17" s="1"/>
  <c r="G167" i="17"/>
  <c r="BZ167" i="6" s="1"/>
  <c r="AA167" i="17"/>
  <c r="Z167" i="17" s="1"/>
  <c r="Y167" i="17" s="1"/>
  <c r="H167" i="17"/>
  <c r="G127" i="17"/>
  <c r="BZ127" i="6" s="1"/>
  <c r="H127" i="17"/>
  <c r="AA127" i="17"/>
  <c r="Z127" i="17" s="1"/>
  <c r="Y127" i="17" s="1"/>
  <c r="G100" i="17"/>
  <c r="BZ100" i="6" s="1"/>
  <c r="H100" i="17"/>
  <c r="AA100" i="17"/>
  <c r="Z100" i="17" s="1"/>
  <c r="Y100" i="17" s="1"/>
  <c r="G342" i="17"/>
  <c r="BZ342" i="6" s="1"/>
  <c r="H342" i="17"/>
  <c r="AA342" i="17"/>
  <c r="Z342" i="17" s="1"/>
  <c r="Y342" i="17" s="1"/>
  <c r="G277" i="17"/>
  <c r="BZ277" i="6" s="1"/>
  <c r="AA277" i="17"/>
  <c r="Z277" i="17" s="1"/>
  <c r="Y277" i="17" s="1"/>
  <c r="H277" i="17"/>
  <c r="G196" i="17"/>
  <c r="BZ196" i="6" s="1"/>
  <c r="AA196" i="17"/>
  <c r="Z196" i="17" s="1"/>
  <c r="Y196" i="17" s="1"/>
  <c r="H196" i="17"/>
  <c r="G233" i="17"/>
  <c r="BZ233" i="6" s="1"/>
  <c r="AA233" i="17"/>
  <c r="Z233" i="17" s="1"/>
  <c r="Y233" i="17" s="1"/>
  <c r="H233" i="17"/>
  <c r="G121" i="17"/>
  <c r="BZ121" i="6" s="1"/>
  <c r="AA121" i="17"/>
  <c r="Z121" i="17" s="1"/>
  <c r="Y121" i="17" s="1"/>
  <c r="H121" i="17"/>
  <c r="G53" i="17"/>
  <c r="BZ53" i="6" s="1"/>
  <c r="AA53" i="17"/>
  <c r="Z53" i="17" s="1"/>
  <c r="Y53" i="17" s="1"/>
  <c r="H53" i="17"/>
  <c r="G329" i="17"/>
  <c r="BZ329" i="6" s="1"/>
  <c r="H329" i="17"/>
  <c r="AA329" i="17"/>
  <c r="Z329" i="17" s="1"/>
  <c r="Y329" i="17" s="1"/>
  <c r="G245" i="17"/>
  <c r="BZ245" i="6" s="1"/>
  <c r="H245" i="17"/>
  <c r="AA245" i="17"/>
  <c r="Z245" i="17" s="1"/>
  <c r="Y245" i="17" s="1"/>
  <c r="G258" i="17"/>
  <c r="BZ258" i="6" s="1"/>
  <c r="H258" i="17"/>
  <c r="AA258" i="17"/>
  <c r="Z258" i="17" s="1"/>
  <c r="Y258" i="17" s="1"/>
  <c r="G323" i="17"/>
  <c r="BZ323" i="6" s="1"/>
  <c r="AA323" i="17"/>
  <c r="Z323" i="17" s="1"/>
  <c r="Y323" i="17" s="1"/>
  <c r="H323" i="17"/>
  <c r="G138" i="17"/>
  <c r="BZ138" i="6" s="1"/>
  <c r="AA138" i="17"/>
  <c r="Z138" i="17" s="1"/>
  <c r="Y138" i="17" s="1"/>
  <c r="H138" i="17"/>
  <c r="G343" i="17"/>
  <c r="BZ343" i="6" s="1"/>
  <c r="H343" i="17"/>
  <c r="AA343" i="17"/>
  <c r="Z343" i="17" s="1"/>
  <c r="Y343" i="17" s="1"/>
  <c r="G200" i="17"/>
  <c r="BZ200" i="6" s="1"/>
  <c r="AA200" i="17"/>
  <c r="Z200" i="17" s="1"/>
  <c r="Y200" i="17" s="1"/>
  <c r="H200" i="17"/>
  <c r="G137" i="17"/>
  <c r="BZ137" i="6" s="1"/>
  <c r="AA137" i="17"/>
  <c r="Z137" i="17" s="1"/>
  <c r="Y137" i="17" s="1"/>
  <c r="H137" i="17"/>
  <c r="G48" i="17"/>
  <c r="BZ48" i="6" s="1"/>
  <c r="H48" i="17"/>
  <c r="AA48" i="17"/>
  <c r="Z48" i="17" s="1"/>
  <c r="Y48" i="17" s="1"/>
  <c r="G185" i="17"/>
  <c r="BZ185" i="6" s="1"/>
  <c r="H185" i="17"/>
  <c r="AA185" i="17"/>
  <c r="Z185" i="17" s="1"/>
  <c r="Y185" i="17" s="1"/>
  <c r="G261" i="17"/>
  <c r="BZ261" i="6" s="1"/>
  <c r="H261" i="17"/>
  <c r="AA261" i="17"/>
  <c r="Z261" i="17" s="1"/>
  <c r="Y261" i="17" s="1"/>
  <c r="G336" i="17"/>
  <c r="BZ336" i="6" s="1"/>
  <c r="H336" i="17"/>
  <c r="AA336" i="17"/>
  <c r="Z336" i="17" s="1"/>
  <c r="Y336" i="17" s="1"/>
  <c r="G182" i="17"/>
  <c r="BZ182" i="6" s="1"/>
  <c r="H182" i="17"/>
  <c r="AA182" i="17"/>
  <c r="Z182" i="17" s="1"/>
  <c r="Y182" i="17" s="1"/>
  <c r="G376" i="17"/>
  <c r="BZ376" i="6" s="1"/>
  <c r="AA376" i="17"/>
  <c r="Z376" i="17" s="1"/>
  <c r="Y376" i="17" s="1"/>
  <c r="G320" i="17"/>
  <c r="BZ320" i="6" s="1"/>
  <c r="H320" i="17"/>
  <c r="AA320" i="17"/>
  <c r="Z320" i="17" s="1"/>
  <c r="Y320" i="17" s="1"/>
  <c r="G80" i="17"/>
  <c r="BZ80" i="6" s="1"/>
  <c r="H80" i="17"/>
  <c r="AA80" i="17"/>
  <c r="Z80" i="17" s="1"/>
  <c r="Y80" i="17" s="1"/>
  <c r="G212" i="17"/>
  <c r="BZ212" i="6" s="1"/>
  <c r="H212" i="17"/>
  <c r="AA212" i="17"/>
  <c r="Z212" i="17" s="1"/>
  <c r="Y212" i="17" s="1"/>
  <c r="G139" i="17"/>
  <c r="BZ139" i="6" s="1"/>
  <c r="H139" i="17"/>
  <c r="AA139" i="17"/>
  <c r="Z139" i="17" s="1"/>
  <c r="Y139" i="17" s="1"/>
  <c r="G338" i="17"/>
  <c r="BZ338" i="6" s="1"/>
  <c r="H338" i="17"/>
  <c r="AA338" i="17"/>
  <c r="Z338" i="17" s="1"/>
  <c r="Y338" i="17" s="1"/>
  <c r="G255" i="17"/>
  <c r="BZ255" i="6" s="1"/>
  <c r="H255" i="17"/>
  <c r="AA255" i="17"/>
  <c r="Z255" i="17" s="1"/>
  <c r="Y255" i="17" s="1"/>
  <c r="G221" i="17"/>
  <c r="BZ221" i="6" s="1"/>
  <c r="AA221" i="17"/>
  <c r="Z221" i="17" s="1"/>
  <c r="Y221" i="17" s="1"/>
  <c r="H221" i="17"/>
  <c r="G236" i="17"/>
  <c r="BZ236" i="6" s="1"/>
  <c r="AA236" i="17"/>
  <c r="Z236" i="17" s="1"/>
  <c r="Y236" i="17" s="1"/>
  <c r="H236" i="17"/>
  <c r="G136" i="17"/>
  <c r="BZ136" i="6" s="1"/>
  <c r="AA136" i="17"/>
  <c r="Z136" i="17" s="1"/>
  <c r="Y136" i="17" s="1"/>
  <c r="H136" i="17"/>
  <c r="G38" i="17"/>
  <c r="BZ38" i="6" s="1"/>
  <c r="AA38" i="17"/>
  <c r="Z38" i="17" s="1"/>
  <c r="Y38" i="17" s="1"/>
  <c r="H38" i="17"/>
  <c r="AA207" i="17"/>
  <c r="Z207" i="17" s="1"/>
  <c r="Y207" i="17" s="1"/>
  <c r="G207" i="17"/>
  <c r="BZ207" i="6" s="1"/>
  <c r="H207" i="17"/>
  <c r="G248" i="17"/>
  <c r="BZ248" i="6" s="1"/>
  <c r="H248" i="17"/>
  <c r="AA248" i="17"/>
  <c r="Z248" i="17" s="1"/>
  <c r="Y248" i="17" s="1"/>
  <c r="G228" i="17"/>
  <c r="BZ228" i="6" s="1"/>
  <c r="AA228" i="17"/>
  <c r="Z228" i="17" s="1"/>
  <c r="Y228" i="17" s="1"/>
  <c r="H228" i="17"/>
  <c r="G88" i="17"/>
  <c r="BZ88" i="6" s="1"/>
  <c r="AA88" i="17"/>
  <c r="Z88" i="17" s="1"/>
  <c r="Y88" i="17" s="1"/>
  <c r="H88" i="17"/>
  <c r="G60" i="17"/>
  <c r="BZ60" i="6" s="1"/>
  <c r="AA60" i="17"/>
  <c r="Z60" i="17" s="1"/>
  <c r="Y60" i="17" s="1"/>
  <c r="H60" i="17"/>
  <c r="H184" i="17"/>
  <c r="G184" i="17"/>
  <c r="BZ184" i="6" s="1"/>
  <c r="AA184" i="17"/>
  <c r="Z184" i="17" s="1"/>
  <c r="Y184" i="17" s="1"/>
  <c r="G349" i="17"/>
  <c r="BZ349" i="6" s="1"/>
  <c r="AA349" i="17"/>
  <c r="Z349" i="17" s="1"/>
  <c r="Y349" i="17" s="1"/>
  <c r="H349" i="17"/>
  <c r="G322" i="17"/>
  <c r="BZ322" i="6" s="1"/>
  <c r="AA322" i="17"/>
  <c r="Z322" i="17" s="1"/>
  <c r="Y322" i="17" s="1"/>
  <c r="H322" i="17"/>
  <c r="G55" i="17"/>
  <c r="BZ55" i="6" s="1"/>
  <c r="AA55" i="17"/>
  <c r="Z55" i="17" s="1"/>
  <c r="Y55" i="17" s="1"/>
  <c r="H55" i="17"/>
  <c r="G28" i="17"/>
  <c r="BZ28" i="6" s="1"/>
  <c r="H28" i="17"/>
  <c r="AA28" i="17"/>
  <c r="Z28" i="17" s="1"/>
  <c r="Y28" i="17" s="1"/>
  <c r="G273" i="17"/>
  <c r="BZ273" i="6" s="1"/>
  <c r="AA273" i="17"/>
  <c r="Z273" i="17" s="1"/>
  <c r="Y273" i="17" s="1"/>
  <c r="H273" i="17"/>
  <c r="G115" i="17"/>
  <c r="BZ115" i="6" s="1"/>
  <c r="AA115" i="17"/>
  <c r="Z115" i="17" s="1"/>
  <c r="Y115" i="17" s="1"/>
  <c r="H115" i="17"/>
  <c r="G260" i="17"/>
  <c r="BZ260" i="6" s="1"/>
  <c r="AA260" i="17"/>
  <c r="Z260" i="17" s="1"/>
  <c r="Y260" i="17" s="1"/>
  <c r="H260" i="17"/>
  <c r="G267" i="17"/>
  <c r="BZ267" i="6" s="1"/>
  <c r="AA267" i="17"/>
  <c r="Z267" i="17" s="1"/>
  <c r="Y267" i="17" s="1"/>
  <c r="H267" i="17"/>
  <c r="G146" i="17"/>
  <c r="BZ146" i="6" s="1"/>
  <c r="H146" i="17"/>
  <c r="AA146" i="17"/>
  <c r="Z146" i="17" s="1"/>
  <c r="Y146" i="17" s="1"/>
  <c r="H87" i="17"/>
  <c r="G87" i="17"/>
  <c r="BZ87" i="6" s="1"/>
  <c r="AA87" i="17"/>
  <c r="Z87" i="17" s="1"/>
  <c r="Y87" i="17" s="1"/>
  <c r="G240" i="17"/>
  <c r="BZ240" i="6" s="1"/>
  <c r="H240" i="17"/>
  <c r="AA240" i="17"/>
  <c r="Z240" i="17" s="1"/>
  <c r="Y240" i="17" s="1"/>
  <c r="G227" i="17"/>
  <c r="BZ227" i="6" s="1"/>
  <c r="AA227" i="17"/>
  <c r="Z227" i="17" s="1"/>
  <c r="Y227" i="17" s="1"/>
  <c r="H227" i="17"/>
  <c r="G225" i="17"/>
  <c r="BZ225" i="6" s="1"/>
  <c r="AA225" i="17"/>
  <c r="Z225" i="17" s="1"/>
  <c r="Y225" i="17" s="1"/>
  <c r="H225" i="17"/>
  <c r="G144" i="17"/>
  <c r="BZ144" i="6" s="1"/>
  <c r="H144" i="17"/>
  <c r="AA144" i="17"/>
  <c r="Z144" i="17" s="1"/>
  <c r="Y144" i="17" s="1"/>
  <c r="G168" i="17"/>
  <c r="BZ168" i="6" s="1"/>
  <c r="H168" i="17"/>
  <c r="AA168" i="17"/>
  <c r="Z168" i="17" s="1"/>
  <c r="Y168" i="17" s="1"/>
  <c r="G252" i="17"/>
  <c r="BZ252" i="6" s="1"/>
  <c r="AA252" i="17"/>
  <c r="Z252" i="17" s="1"/>
  <c r="Y252" i="17" s="1"/>
  <c r="H252" i="17"/>
  <c r="G333" i="17"/>
  <c r="BZ333" i="6" s="1"/>
  <c r="AA333" i="17"/>
  <c r="Z333" i="17" s="1"/>
  <c r="Y333" i="17" s="1"/>
  <c r="H333" i="17"/>
  <c r="G183" i="17"/>
  <c r="BZ183" i="6" s="1"/>
  <c r="AA183" i="17"/>
  <c r="Z183" i="17" s="1"/>
  <c r="Y183" i="17" s="1"/>
  <c r="H183" i="17"/>
  <c r="G308" i="17"/>
  <c r="BZ308" i="6" s="1"/>
  <c r="AA308" i="17"/>
  <c r="Z308" i="17" s="1"/>
  <c r="Y308" i="17" s="1"/>
  <c r="H308" i="17"/>
  <c r="G198" i="17"/>
  <c r="BZ198" i="6" s="1"/>
  <c r="H198" i="17"/>
  <c r="AA198" i="17"/>
  <c r="Z198" i="17" s="1"/>
  <c r="Y198" i="17" s="1"/>
  <c r="G295" i="17"/>
  <c r="BZ295" i="6" s="1"/>
  <c r="H295" i="17"/>
  <c r="AA295" i="17"/>
  <c r="Z295" i="17" s="1"/>
  <c r="Y295" i="17" s="1"/>
  <c r="G164" i="17"/>
  <c r="BZ164" i="6" s="1"/>
  <c r="H164" i="17"/>
  <c r="AA164" i="17"/>
  <c r="Z164" i="17" s="1"/>
  <c r="Y164" i="17" s="1"/>
  <c r="G276" i="17"/>
  <c r="BZ276" i="6" s="1"/>
  <c r="AA276" i="17"/>
  <c r="Z276" i="17" s="1"/>
  <c r="Y276" i="17" s="1"/>
  <c r="H276" i="17"/>
  <c r="G266" i="17"/>
  <c r="BZ266" i="6" s="1"/>
  <c r="H266" i="17"/>
  <c r="AA266" i="17"/>
  <c r="Z266" i="17" s="1"/>
  <c r="Y266" i="17" s="1"/>
  <c r="H297" i="17"/>
  <c r="G297" i="17"/>
  <c r="BZ297" i="6" s="1"/>
  <c r="AA297" i="17"/>
  <c r="Z297" i="17" s="1"/>
  <c r="Y297" i="17" s="1"/>
  <c r="H337" i="17"/>
  <c r="G337" i="17"/>
  <c r="BZ337" i="6" s="1"/>
  <c r="AA337" i="17"/>
  <c r="Z337" i="17" s="1"/>
  <c r="Y337" i="17" s="1"/>
  <c r="H311" i="17"/>
  <c r="G311" i="17"/>
  <c r="BZ311" i="6" s="1"/>
  <c r="AA311" i="17"/>
  <c r="Z311" i="17" s="1"/>
  <c r="Y311" i="17" s="1"/>
  <c r="G271" i="17"/>
  <c r="BZ271" i="6" s="1"/>
  <c r="H271" i="17"/>
  <c r="AA271" i="17"/>
  <c r="Z271" i="17" s="1"/>
  <c r="Y271" i="17" s="1"/>
  <c r="G331" i="17"/>
  <c r="BZ331" i="6" s="1"/>
  <c r="H331" i="17"/>
  <c r="AA331" i="17"/>
  <c r="Z331" i="17" s="1"/>
  <c r="Y331" i="17" s="1"/>
  <c r="G35" i="17"/>
  <c r="BZ35" i="6" s="1"/>
  <c r="H35" i="17"/>
  <c r="AA35" i="17"/>
  <c r="Z35" i="17" s="1"/>
  <c r="Y35" i="17" s="1"/>
  <c r="G162" i="17"/>
  <c r="BZ162" i="6" s="1"/>
  <c r="H162" i="17"/>
  <c r="AA162" i="17"/>
  <c r="Z162" i="17" s="1"/>
  <c r="Y162" i="17" s="1"/>
  <c r="G370" i="17"/>
  <c r="BZ370" i="6" s="1"/>
  <c r="AA370" i="17"/>
  <c r="Z370" i="17" s="1"/>
  <c r="Y370" i="17" s="1"/>
  <c r="G171" i="17"/>
  <c r="BZ171" i="6" s="1"/>
  <c r="AA171" i="17"/>
  <c r="Z171" i="17" s="1"/>
  <c r="Y171" i="17" s="1"/>
  <c r="H171" i="17"/>
  <c r="G328" i="17"/>
  <c r="BZ328" i="6" s="1"/>
  <c r="AA328" i="17"/>
  <c r="Z328" i="17" s="1"/>
  <c r="Y328" i="17" s="1"/>
  <c r="H328" i="17"/>
  <c r="G345" i="17"/>
  <c r="BZ345" i="6" s="1"/>
  <c r="AA345" i="17"/>
  <c r="Z345" i="17" s="1"/>
  <c r="Y345" i="17" s="1"/>
  <c r="H345" i="17"/>
  <c r="G165" i="17"/>
  <c r="BZ165" i="6" s="1"/>
  <c r="AA165" i="17"/>
  <c r="Z165" i="17" s="1"/>
  <c r="Y165" i="17" s="1"/>
  <c r="H165" i="17"/>
  <c r="G363" i="17"/>
  <c r="BZ363" i="6" s="1"/>
  <c r="AA363" i="17"/>
  <c r="Z363" i="17" s="1"/>
  <c r="Y363" i="17" s="1"/>
  <c r="G361" i="17"/>
  <c r="BZ361" i="6" s="1"/>
  <c r="AA361" i="17"/>
  <c r="Z361" i="17" s="1"/>
  <c r="Y361" i="17" s="1"/>
  <c r="G289" i="17"/>
  <c r="BZ289" i="6" s="1"/>
  <c r="H289" i="17"/>
  <c r="AA289" i="17"/>
  <c r="Z289" i="17" s="1"/>
  <c r="Y289" i="17" s="1"/>
  <c r="G214" i="17"/>
  <c r="BZ214" i="6" s="1"/>
  <c r="H214" i="17"/>
  <c r="AA214" i="17"/>
  <c r="Z214" i="17" s="1"/>
  <c r="Y214" i="17" s="1"/>
  <c r="G215" i="17"/>
  <c r="BZ215" i="6" s="1"/>
  <c r="H215" i="17"/>
  <c r="AA215" i="17"/>
  <c r="Z215" i="17" s="1"/>
  <c r="Y215" i="17" s="1"/>
  <c r="G155" i="17"/>
  <c r="BZ155" i="6" s="1"/>
  <c r="H155" i="17"/>
  <c r="AA155" i="17"/>
  <c r="Z155" i="17" s="1"/>
  <c r="Y155" i="17" s="1"/>
  <c r="G216" i="17"/>
  <c r="BZ216" i="6" s="1"/>
  <c r="AA216" i="17"/>
  <c r="Z216" i="17" s="1"/>
  <c r="Y216" i="17" s="1"/>
  <c r="H216" i="17"/>
  <c r="G116" i="17"/>
  <c r="BZ116" i="6" s="1"/>
  <c r="AA116" i="17"/>
  <c r="Z116" i="17" s="1"/>
  <c r="Y116" i="17" s="1"/>
  <c r="H116" i="17"/>
  <c r="G30" i="17"/>
  <c r="BZ30" i="6" s="1"/>
  <c r="AA30" i="17"/>
  <c r="Z30" i="17" s="1"/>
  <c r="Y30" i="17" s="1"/>
  <c r="H30" i="17"/>
  <c r="G111" i="17"/>
  <c r="BZ111" i="6" s="1"/>
  <c r="AA111" i="17"/>
  <c r="Z111" i="17" s="1"/>
  <c r="Y111" i="17" s="1"/>
  <c r="H111" i="17"/>
  <c r="G189" i="17"/>
  <c r="BZ189" i="6" s="1"/>
  <c r="AA189" i="17"/>
  <c r="Z189" i="17" s="1"/>
  <c r="Y189" i="17" s="1"/>
  <c r="H189" i="17"/>
  <c r="G94" i="17"/>
  <c r="BZ94" i="6" s="1"/>
  <c r="AA94" i="17"/>
  <c r="Z94" i="17" s="1"/>
  <c r="Y94" i="17" s="1"/>
  <c r="H94" i="17"/>
  <c r="G299" i="17"/>
  <c r="BZ299" i="6" s="1"/>
  <c r="H299" i="17"/>
  <c r="AA299" i="17"/>
  <c r="Z299" i="17" s="1"/>
  <c r="Y299" i="17" s="1"/>
  <c r="G41" i="17"/>
  <c r="BZ41" i="6" s="1"/>
  <c r="H41" i="17"/>
  <c r="AA41" i="17"/>
  <c r="Z41" i="17" s="1"/>
  <c r="Y41" i="17" s="1"/>
  <c r="G202" i="17"/>
  <c r="BZ202" i="6" s="1"/>
  <c r="AA202" i="17"/>
  <c r="Z202" i="17" s="1"/>
  <c r="Y202" i="17" s="1"/>
  <c r="H202" i="17"/>
  <c r="G109" i="17"/>
  <c r="BZ109" i="6" s="1"/>
  <c r="AA109" i="17"/>
  <c r="Z109" i="17" s="1"/>
  <c r="Y109" i="17" s="1"/>
  <c r="H109" i="17"/>
  <c r="G334" i="17"/>
  <c r="BZ334" i="6" s="1"/>
  <c r="H334" i="17"/>
  <c r="AA334" i="17"/>
  <c r="Z334" i="17" s="1"/>
  <c r="Y334" i="17" s="1"/>
  <c r="H203" i="17"/>
  <c r="G203" i="17"/>
  <c r="BZ203" i="6" s="1"/>
  <c r="AA203" i="17"/>
  <c r="Z203" i="17" s="1"/>
  <c r="Y203" i="17" s="1"/>
  <c r="G312" i="17"/>
  <c r="BZ312" i="6" s="1"/>
  <c r="H312" i="17"/>
  <c r="AA312" i="17"/>
  <c r="Z312" i="17" s="1"/>
  <c r="Y312" i="17" s="1"/>
  <c r="G42" i="17"/>
  <c r="BZ42" i="6" s="1"/>
  <c r="AA42" i="17"/>
  <c r="Z42" i="17" s="1"/>
  <c r="Y42" i="17" s="1"/>
  <c r="H42" i="17"/>
  <c r="G118" i="17"/>
  <c r="BZ118" i="6" s="1"/>
  <c r="H118" i="17"/>
  <c r="AA118" i="17"/>
  <c r="Z118" i="17" s="1"/>
  <c r="Y118" i="17" s="1"/>
  <c r="G265" i="17"/>
  <c r="BZ265" i="6" s="1"/>
  <c r="H265" i="17"/>
  <c r="AA265" i="17"/>
  <c r="Z265" i="17" s="1"/>
  <c r="Y265" i="17" s="1"/>
  <c r="AA36" i="17"/>
  <c r="Z36" i="17" s="1"/>
  <c r="Y36" i="17" s="1"/>
  <c r="G36" i="17"/>
  <c r="BZ36" i="6" s="1"/>
  <c r="H36" i="17"/>
  <c r="G367" i="17"/>
  <c r="BZ367" i="6" s="1"/>
  <c r="AA367" i="17"/>
  <c r="Z367" i="17" s="1"/>
  <c r="Y367" i="17" s="1"/>
  <c r="G125" i="17"/>
  <c r="BZ125" i="6" s="1"/>
  <c r="H125" i="17"/>
  <c r="AA125" i="17"/>
  <c r="Z125" i="17" s="1"/>
  <c r="Y125" i="17" s="1"/>
  <c r="G282" i="17"/>
  <c r="BZ282" i="6" s="1"/>
  <c r="H282" i="17"/>
  <c r="AA282" i="17"/>
  <c r="Z282" i="17" s="1"/>
  <c r="Y282" i="17" s="1"/>
  <c r="G106" i="17"/>
  <c r="BZ106" i="6" s="1"/>
  <c r="AA106" i="17"/>
  <c r="Z106" i="17" s="1"/>
  <c r="Y106" i="17" s="1"/>
  <c r="H106" i="17"/>
  <c r="G298" i="17"/>
  <c r="BZ298" i="6" s="1"/>
  <c r="AA298" i="17"/>
  <c r="Z298" i="17" s="1"/>
  <c r="Y298" i="17" s="1"/>
  <c r="H298" i="17"/>
  <c r="G293" i="17"/>
  <c r="BZ293" i="6" s="1"/>
  <c r="AA293" i="17"/>
  <c r="Z293" i="17" s="1"/>
  <c r="Y293" i="17" s="1"/>
  <c r="H293" i="17"/>
  <c r="G160" i="17"/>
  <c r="BZ160" i="6" s="1"/>
  <c r="AA160" i="17"/>
  <c r="Z160" i="17" s="1"/>
  <c r="Y160" i="17" s="1"/>
  <c r="H160" i="17"/>
  <c r="G86" i="17"/>
  <c r="BZ86" i="6" s="1"/>
  <c r="AA86" i="17"/>
  <c r="Z86" i="17" s="1"/>
  <c r="Y86" i="17" s="1"/>
  <c r="H86" i="17"/>
  <c r="G33" i="17"/>
  <c r="BZ33" i="6" s="1"/>
  <c r="AA33" i="17"/>
  <c r="Z33" i="17" s="1"/>
  <c r="Y33" i="17" s="1"/>
  <c r="H33" i="17"/>
  <c r="G134" i="17"/>
  <c r="BZ134" i="6" s="1"/>
  <c r="AA134" i="17"/>
  <c r="Z134" i="17" s="1"/>
  <c r="Y134" i="17" s="1"/>
  <c r="H134" i="17"/>
  <c r="G303" i="17"/>
  <c r="BZ303" i="6" s="1"/>
  <c r="AA303" i="17"/>
  <c r="Z303" i="17" s="1"/>
  <c r="Y303" i="17" s="1"/>
  <c r="H303" i="17"/>
  <c r="G157" i="17"/>
  <c r="BZ157" i="6" s="1"/>
  <c r="AA157" i="17"/>
  <c r="Z157" i="17" s="1"/>
  <c r="Y157" i="17" s="1"/>
  <c r="H157" i="17"/>
  <c r="G351" i="17"/>
  <c r="BZ351" i="6" s="1"/>
  <c r="AA351" i="17"/>
  <c r="Z351" i="17" s="1"/>
  <c r="Y351" i="17" s="1"/>
  <c r="H351" i="17"/>
  <c r="G251" i="17"/>
  <c r="BZ251" i="6" s="1"/>
  <c r="AA251" i="17"/>
  <c r="Z251" i="17" s="1"/>
  <c r="Y251" i="17" s="1"/>
  <c r="H251" i="17"/>
  <c r="G209" i="17"/>
  <c r="BZ209" i="6" s="1"/>
  <c r="AA209" i="17"/>
  <c r="Z209" i="17" s="1"/>
  <c r="Y209" i="17" s="1"/>
  <c r="H209" i="17"/>
  <c r="AA81" i="17"/>
  <c r="Z81" i="17" s="1"/>
  <c r="Y81" i="17" s="1"/>
  <c r="G81" i="17"/>
  <c r="BZ81" i="6" s="1"/>
  <c r="H81" i="17"/>
  <c r="G321" i="17"/>
  <c r="BZ321" i="6" s="1"/>
  <c r="H321" i="17"/>
  <c r="AA321" i="17"/>
  <c r="Z321" i="17" s="1"/>
  <c r="Y321" i="17" s="1"/>
  <c r="G208" i="17"/>
  <c r="BZ208" i="6" s="1"/>
  <c r="AA208" i="17"/>
  <c r="Z208" i="17" s="1"/>
  <c r="Y208" i="17" s="1"/>
  <c r="H208" i="17"/>
  <c r="G280" i="17"/>
  <c r="BZ280" i="6" s="1"/>
  <c r="H280" i="17"/>
  <c r="AA280" i="17"/>
  <c r="Z280" i="17" s="1"/>
  <c r="Y280" i="17" s="1"/>
  <c r="G145" i="17"/>
  <c r="BZ145" i="6" s="1"/>
  <c r="H145" i="17"/>
  <c r="AA145" i="17"/>
  <c r="Z145" i="17" s="1"/>
  <c r="Y145" i="17" s="1"/>
  <c r="G268" i="17"/>
  <c r="BZ268" i="6" s="1"/>
  <c r="H268" i="17"/>
  <c r="AA268" i="17"/>
  <c r="Z268" i="17" s="1"/>
  <c r="Y268" i="17" s="1"/>
  <c r="G378" i="17"/>
  <c r="BZ378" i="6" s="1"/>
  <c r="AA378" i="17"/>
  <c r="Z378" i="17" s="1"/>
  <c r="Y378" i="17" s="1"/>
  <c r="G190" i="17"/>
  <c r="BZ190" i="6" s="1"/>
  <c r="H190" i="17"/>
  <c r="AA190" i="17"/>
  <c r="Z190" i="17" s="1"/>
  <c r="Y190" i="17" s="1"/>
  <c r="AA158" i="17"/>
  <c r="Z158" i="17" s="1"/>
  <c r="Y158" i="17" s="1"/>
  <c r="G158" i="17"/>
  <c r="BZ158" i="6" s="1"/>
  <c r="H158" i="17"/>
  <c r="G191" i="17"/>
  <c r="BZ191" i="6" s="1"/>
  <c r="H191" i="17"/>
  <c r="AA191" i="17"/>
  <c r="Z191" i="17" s="1"/>
  <c r="Y191" i="17" s="1"/>
  <c r="H219" i="17"/>
  <c r="G219" i="17"/>
  <c r="BZ219" i="6" s="1"/>
  <c r="AA219" i="17"/>
  <c r="Z219" i="17" s="1"/>
  <c r="Y219" i="17" s="1"/>
  <c r="G68" i="17"/>
  <c r="BZ68" i="6" s="1"/>
  <c r="H68" i="17"/>
  <c r="AA68" i="17"/>
  <c r="Z68" i="17" s="1"/>
  <c r="Y68" i="17" s="1"/>
  <c r="G350" i="17"/>
  <c r="BZ350" i="6" s="1"/>
  <c r="H350" i="17"/>
  <c r="AA350" i="17"/>
  <c r="Z350" i="17" s="1"/>
  <c r="Y350" i="17" s="1"/>
  <c r="H51" i="17"/>
  <c r="G51" i="17"/>
  <c r="BZ51" i="6" s="1"/>
  <c r="AA51" i="17"/>
  <c r="Z51" i="17" s="1"/>
  <c r="Y51" i="17" s="1"/>
  <c r="G131" i="17"/>
  <c r="BZ131" i="6" s="1"/>
  <c r="AA131" i="17"/>
  <c r="Z131" i="17" s="1"/>
  <c r="Y131" i="17" s="1"/>
  <c r="H131" i="17"/>
  <c r="G318" i="17"/>
  <c r="BZ318" i="6" s="1"/>
  <c r="H318" i="17"/>
  <c r="AA318" i="17"/>
  <c r="Z318" i="17" s="1"/>
  <c r="Y318" i="17" s="1"/>
  <c r="G135" i="17"/>
  <c r="BZ135" i="6" s="1"/>
  <c r="H135" i="17"/>
  <c r="AA135" i="17"/>
  <c r="Z135" i="17" s="1"/>
  <c r="Y135" i="17" s="1"/>
  <c r="AA356" i="17"/>
  <c r="Z356" i="17" s="1"/>
  <c r="Y356" i="17" s="1"/>
  <c r="G356" i="17"/>
  <c r="BZ356" i="6" s="1"/>
  <c r="G372" i="17"/>
  <c r="BZ372" i="6" s="1"/>
  <c r="AA372" i="17"/>
  <c r="Z372" i="17" s="1"/>
  <c r="Y372" i="17" s="1"/>
  <c r="G110" i="17"/>
  <c r="BZ110" i="6" s="1"/>
  <c r="H110" i="17"/>
  <c r="AA110" i="17"/>
  <c r="Z110" i="17" s="1"/>
  <c r="Y110" i="17" s="1"/>
  <c r="G22" i="17"/>
  <c r="BZ22" i="6" s="1"/>
  <c r="H22" i="17"/>
  <c r="AA22" i="17"/>
  <c r="Z22" i="17" s="1"/>
  <c r="Y22" i="17" s="1"/>
  <c r="G29" i="17"/>
  <c r="BZ29" i="6" s="1"/>
  <c r="H29" i="17"/>
  <c r="AA29" i="17"/>
  <c r="Z29" i="17" s="1"/>
  <c r="Y29" i="17" s="1"/>
  <c r="G235" i="17"/>
  <c r="BZ235" i="6" s="1"/>
  <c r="H235" i="17"/>
  <c r="AA235" i="17"/>
  <c r="Z235" i="17" s="1"/>
  <c r="Y235" i="17" s="1"/>
  <c r="G179" i="17"/>
  <c r="BZ179" i="6" s="1"/>
  <c r="H179" i="17"/>
  <c r="AA179" i="17"/>
  <c r="Z179" i="17" s="1"/>
  <c r="Y179" i="17" s="1"/>
  <c r="G332" i="17"/>
  <c r="BZ332" i="6" s="1"/>
  <c r="H332" i="17"/>
  <c r="AA332" i="17"/>
  <c r="Z332" i="17" s="1"/>
  <c r="Y332" i="17" s="1"/>
  <c r="G296" i="17"/>
  <c r="BZ296" i="6" s="1"/>
  <c r="H296" i="17"/>
  <c r="AA296" i="17"/>
  <c r="Z296" i="17" s="1"/>
  <c r="Y296" i="17" s="1"/>
  <c r="H232" i="17"/>
  <c r="G232" i="17"/>
  <c r="BZ232" i="6" s="1"/>
  <c r="AA232" i="17"/>
  <c r="Z232" i="17" s="1"/>
  <c r="Y232" i="17" s="1"/>
  <c r="H64" i="17"/>
  <c r="G64" i="17"/>
  <c r="BZ64" i="6" s="1"/>
  <c r="AA64" i="17"/>
  <c r="Z64" i="17" s="1"/>
  <c r="Y64" i="17" s="1"/>
  <c r="H140" i="17"/>
  <c r="G140" i="17"/>
  <c r="BZ140" i="6" s="1"/>
  <c r="AA140" i="17"/>
  <c r="Z140" i="17" s="1"/>
  <c r="Y140" i="17" s="1"/>
  <c r="G360" i="17"/>
  <c r="BZ360" i="6" s="1"/>
  <c r="AA360" i="17"/>
  <c r="Z360" i="17" s="1"/>
  <c r="Y360" i="17" s="1"/>
  <c r="H71" i="17"/>
  <c r="G71" i="17"/>
  <c r="BZ71" i="6" s="1"/>
  <c r="AA71" i="17"/>
  <c r="Z71" i="17" s="1"/>
  <c r="Y71" i="17" s="1"/>
  <c r="G95" i="17"/>
  <c r="BZ95" i="6" s="1"/>
  <c r="H95" i="17"/>
  <c r="AA95" i="17"/>
  <c r="Z95" i="17" s="1"/>
  <c r="Y95" i="17" s="1"/>
  <c r="G143" i="17"/>
  <c r="BZ143" i="6" s="1"/>
  <c r="H143" i="17"/>
  <c r="AA143" i="17"/>
  <c r="Z143" i="17" s="1"/>
  <c r="Y143" i="17" s="1"/>
  <c r="G364" i="17"/>
  <c r="BZ364" i="6" s="1"/>
  <c r="AA364" i="17"/>
  <c r="Z364" i="17" s="1"/>
  <c r="Y364" i="17" s="1"/>
  <c r="H154" i="17"/>
  <c r="G154" i="17"/>
  <c r="BZ154" i="6" s="1"/>
  <c r="AA154" i="17"/>
  <c r="Z154" i="17" s="1"/>
  <c r="Y154" i="17" s="1"/>
  <c r="H218" i="17"/>
  <c r="G218" i="17"/>
  <c r="BZ218" i="6" s="1"/>
  <c r="AA218" i="17"/>
  <c r="Z218" i="17" s="1"/>
  <c r="Y218" i="17" s="1"/>
  <c r="G306" i="17"/>
  <c r="BZ306" i="6" s="1"/>
  <c r="H306" i="17"/>
  <c r="AA306" i="17"/>
  <c r="Z306" i="17" s="1"/>
  <c r="Y306" i="17" s="1"/>
  <c r="H326" i="17"/>
  <c r="G326" i="17"/>
  <c r="BZ326" i="6" s="1"/>
  <c r="AA326" i="17"/>
  <c r="Z326" i="17" s="1"/>
  <c r="Y326" i="17" s="1"/>
  <c r="G91" i="17"/>
  <c r="BZ91" i="6" s="1"/>
  <c r="AA91" i="17"/>
  <c r="Z91" i="17" s="1"/>
  <c r="Y91" i="17" s="1"/>
  <c r="H91" i="17"/>
  <c r="G59" i="17"/>
  <c r="BZ59" i="6" s="1"/>
  <c r="H59" i="17"/>
  <c r="AA59" i="17"/>
  <c r="Z59" i="17" s="1"/>
  <c r="Y59" i="17" s="1"/>
  <c r="G56" i="17"/>
  <c r="BZ56" i="6" s="1"/>
  <c r="AA56" i="17"/>
  <c r="Z56" i="17" s="1"/>
  <c r="Y56" i="17" s="1"/>
  <c r="H56" i="17"/>
  <c r="G152" i="17"/>
  <c r="BZ152" i="6" s="1"/>
  <c r="AA152" i="17"/>
  <c r="Z152" i="17" s="1"/>
  <c r="Y152" i="17" s="1"/>
  <c r="H152" i="17"/>
  <c r="G275" i="17"/>
  <c r="BZ275" i="6" s="1"/>
  <c r="H275" i="17"/>
  <c r="AA275" i="17"/>
  <c r="Z275" i="17" s="1"/>
  <c r="Y275" i="17" s="1"/>
  <c r="G79" i="17"/>
  <c r="BZ79" i="6" s="1"/>
  <c r="H79" i="17"/>
  <c r="AA79" i="17"/>
  <c r="Z79" i="17" s="1"/>
  <c r="Y79" i="17" s="1"/>
  <c r="G32" i="17"/>
  <c r="BZ32" i="6" s="1"/>
  <c r="AA32" i="17"/>
  <c r="Z32" i="17" s="1"/>
  <c r="Y32" i="17" s="1"/>
  <c r="H32" i="17"/>
  <c r="G57" i="17"/>
  <c r="BZ57" i="6" s="1"/>
  <c r="AA57" i="17"/>
  <c r="Z57" i="17" s="1"/>
  <c r="Y57" i="17" s="1"/>
  <c r="H57" i="17"/>
  <c r="G97" i="17"/>
  <c r="BZ97" i="6" s="1"/>
  <c r="AA97" i="17"/>
  <c r="Z97" i="17" s="1"/>
  <c r="Y97" i="17" s="1"/>
  <c r="H97" i="17"/>
  <c r="G292" i="17"/>
  <c r="BZ292" i="6" s="1"/>
  <c r="AA292" i="17"/>
  <c r="Z292" i="17" s="1"/>
  <c r="Y292" i="17" s="1"/>
  <c r="H292" i="17"/>
  <c r="G77" i="17"/>
  <c r="BZ77" i="6" s="1"/>
  <c r="H77" i="17"/>
  <c r="AA77" i="17"/>
  <c r="Z77" i="17" s="1"/>
  <c r="Y77" i="17" s="1"/>
  <c r="AA27" i="17"/>
  <c r="Z27" i="17" s="1"/>
  <c r="Y27" i="17" s="1"/>
  <c r="G27" i="17"/>
  <c r="BZ27" i="6" s="1"/>
  <c r="H27" i="17"/>
  <c r="H201" i="17"/>
  <c r="G201" i="17"/>
  <c r="BZ201" i="6" s="1"/>
  <c r="AA201" i="17"/>
  <c r="Z201" i="17" s="1"/>
  <c r="Y201" i="17" s="1"/>
  <c r="G300" i="17"/>
  <c r="BZ300" i="6" s="1"/>
  <c r="AA300" i="17"/>
  <c r="Z300" i="17" s="1"/>
  <c r="Y300" i="17" s="1"/>
  <c r="H300" i="17"/>
  <c r="G176" i="17"/>
  <c r="BZ176" i="6" s="1"/>
  <c r="H176" i="17"/>
  <c r="AA176" i="17"/>
  <c r="Z176" i="17" s="1"/>
  <c r="Y176" i="17" s="1"/>
  <c r="J102" i="17"/>
  <c r="I102" i="17"/>
  <c r="G169" i="17"/>
  <c r="BZ169" i="6" s="1"/>
  <c r="H169" i="17"/>
  <c r="AA169" i="17"/>
  <c r="Z169" i="17" s="1"/>
  <c r="Y169" i="17" s="1"/>
  <c r="G102" i="17"/>
  <c r="BZ102" i="6" s="1"/>
  <c r="AA102" i="17"/>
  <c r="Z102" i="17" s="1"/>
  <c r="Y102" i="17" s="1"/>
  <c r="G307" i="17"/>
  <c r="BZ307" i="6" s="1"/>
  <c r="AA307" i="17"/>
  <c r="Z307" i="17" s="1"/>
  <c r="Y307" i="17" s="1"/>
  <c r="H307" i="17"/>
  <c r="H316" i="17"/>
  <c r="AA316" i="17"/>
  <c r="Z316" i="17" s="1"/>
  <c r="Y316" i="17" s="1"/>
  <c r="G316" i="17"/>
  <c r="BZ316" i="6" s="1"/>
  <c r="AJ11" i="17" l="1"/>
  <c r="AJ5" i="20"/>
  <c r="D15" i="20"/>
  <c r="AK5" i="20"/>
  <c r="AJ9" i="18"/>
  <c r="AJ7" i="18"/>
  <c r="W15" i="20"/>
  <c r="B15" i="22"/>
  <c r="J176" i="17"/>
  <c r="I176" i="17"/>
  <c r="H176" i="18" s="1"/>
  <c r="I27" i="17"/>
  <c r="H27" i="18" s="1"/>
  <c r="J27" i="17"/>
  <c r="I77" i="17"/>
  <c r="H77" i="18" s="1"/>
  <c r="J77" i="17"/>
  <c r="I292" i="17"/>
  <c r="H292" i="18" s="1"/>
  <c r="J292" i="17"/>
  <c r="I152" i="17"/>
  <c r="H152" i="18" s="1"/>
  <c r="J152" i="17"/>
  <c r="I326" i="17"/>
  <c r="H326" i="18" s="1"/>
  <c r="J326" i="17"/>
  <c r="J306" i="17"/>
  <c r="I306" i="17"/>
  <c r="H306" i="18" s="1"/>
  <c r="I218" i="17"/>
  <c r="H218" i="18" s="1"/>
  <c r="J218" i="17"/>
  <c r="J143" i="17"/>
  <c r="I143" i="17"/>
  <c r="H143" i="18" s="1"/>
  <c r="J332" i="17"/>
  <c r="I332" i="17"/>
  <c r="H332" i="18" s="1"/>
  <c r="J22" i="17"/>
  <c r="I22" i="17"/>
  <c r="H22" i="18" s="1"/>
  <c r="I51" i="17"/>
  <c r="H51" i="18" s="1"/>
  <c r="J51" i="17"/>
  <c r="I190" i="17"/>
  <c r="H190" i="18" s="1"/>
  <c r="J190" i="17"/>
  <c r="J280" i="17"/>
  <c r="I280" i="17"/>
  <c r="H280" i="18" s="1"/>
  <c r="J81" i="17"/>
  <c r="I81" i="17"/>
  <c r="H81" i="18" s="1"/>
  <c r="I251" i="17"/>
  <c r="H251" i="18" s="1"/>
  <c r="J251" i="17"/>
  <c r="J134" i="17"/>
  <c r="I134" i="17"/>
  <c r="H134" i="18" s="1"/>
  <c r="J293" i="17"/>
  <c r="I293" i="17"/>
  <c r="H293" i="18" s="1"/>
  <c r="I106" i="17"/>
  <c r="H106" i="18" s="1"/>
  <c r="J106" i="17"/>
  <c r="J265" i="17"/>
  <c r="I265" i="17"/>
  <c r="H265" i="18" s="1"/>
  <c r="J202" i="17"/>
  <c r="I202" i="17"/>
  <c r="H202" i="18" s="1"/>
  <c r="I216" i="17"/>
  <c r="H216" i="18" s="1"/>
  <c r="J216" i="17"/>
  <c r="J155" i="17"/>
  <c r="I155" i="17"/>
  <c r="H155" i="18" s="1"/>
  <c r="I214" i="17"/>
  <c r="H214" i="18" s="1"/>
  <c r="J214" i="17"/>
  <c r="J345" i="17"/>
  <c r="I345" i="17"/>
  <c r="H345" i="18" s="1"/>
  <c r="J171" i="17"/>
  <c r="I171" i="17"/>
  <c r="H171" i="18" s="1"/>
  <c r="J35" i="17"/>
  <c r="I35" i="17"/>
  <c r="H35" i="18" s="1"/>
  <c r="I271" i="17"/>
  <c r="H271" i="18" s="1"/>
  <c r="J271" i="17"/>
  <c r="I311" i="17"/>
  <c r="H311" i="18" s="1"/>
  <c r="J311" i="17"/>
  <c r="J297" i="17"/>
  <c r="I297" i="17"/>
  <c r="H297" i="18" s="1"/>
  <c r="I266" i="17"/>
  <c r="H266" i="18" s="1"/>
  <c r="J266" i="17"/>
  <c r="J276" i="17"/>
  <c r="I276" i="17"/>
  <c r="H276" i="18" s="1"/>
  <c r="I164" i="17"/>
  <c r="H164" i="18" s="1"/>
  <c r="J164" i="17"/>
  <c r="I198" i="17"/>
  <c r="H198" i="18" s="1"/>
  <c r="J198" i="17"/>
  <c r="J308" i="17"/>
  <c r="I308" i="17"/>
  <c r="H308" i="18" s="1"/>
  <c r="J333" i="17"/>
  <c r="I333" i="17"/>
  <c r="H333" i="18" s="1"/>
  <c r="I144" i="17"/>
  <c r="H144" i="18" s="1"/>
  <c r="J144" i="17"/>
  <c r="J225" i="17"/>
  <c r="I225" i="17"/>
  <c r="H225" i="18" s="1"/>
  <c r="I260" i="17"/>
  <c r="H260" i="18" s="1"/>
  <c r="J260" i="17"/>
  <c r="J273" i="17"/>
  <c r="I273" i="17"/>
  <c r="H273" i="18" s="1"/>
  <c r="J28" i="17"/>
  <c r="I28" i="17"/>
  <c r="H28" i="18" s="1"/>
  <c r="J55" i="17"/>
  <c r="I55" i="17"/>
  <c r="H55" i="18" s="1"/>
  <c r="J349" i="17"/>
  <c r="I349" i="17"/>
  <c r="H349" i="18" s="1"/>
  <c r="J60" i="17"/>
  <c r="I60" i="17"/>
  <c r="H60" i="18" s="1"/>
  <c r="I228" i="17"/>
  <c r="H228" i="18" s="1"/>
  <c r="J228" i="17"/>
  <c r="I248" i="17"/>
  <c r="H248" i="18" s="1"/>
  <c r="J248" i="17"/>
  <c r="J207" i="17"/>
  <c r="I207" i="17"/>
  <c r="H207" i="18" s="1"/>
  <c r="J136" i="17"/>
  <c r="I136" i="17"/>
  <c r="H136" i="18" s="1"/>
  <c r="I221" i="17"/>
  <c r="H221" i="18" s="1"/>
  <c r="J221" i="17"/>
  <c r="I255" i="17"/>
  <c r="H255" i="18" s="1"/>
  <c r="J255" i="17"/>
  <c r="I139" i="17"/>
  <c r="H139" i="18" s="1"/>
  <c r="J139" i="17"/>
  <c r="J80" i="17"/>
  <c r="I80" i="17"/>
  <c r="H80" i="18" s="1"/>
  <c r="I336" i="17"/>
  <c r="J336" i="17"/>
  <c r="I185" i="17"/>
  <c r="H185" i="18" s="1"/>
  <c r="J185" i="17"/>
  <c r="I200" i="17"/>
  <c r="H200" i="18" s="1"/>
  <c r="J200" i="17"/>
  <c r="J343" i="17"/>
  <c r="I343" i="17"/>
  <c r="H343" i="18" s="1"/>
  <c r="I138" i="17"/>
  <c r="H138" i="18" s="1"/>
  <c r="J138" i="17"/>
  <c r="I245" i="17"/>
  <c r="H245" i="18" s="1"/>
  <c r="J245" i="17"/>
  <c r="J121" i="17"/>
  <c r="I121" i="17"/>
  <c r="H121" i="18" s="1"/>
  <c r="I196" i="17"/>
  <c r="H196" i="18" s="1"/>
  <c r="J196" i="17"/>
  <c r="I100" i="17"/>
  <c r="H100" i="18" s="1"/>
  <c r="J100" i="17"/>
  <c r="J34" i="17"/>
  <c r="I34" i="17"/>
  <c r="H34" i="18" s="1"/>
  <c r="J40" i="17"/>
  <c r="I40" i="17"/>
  <c r="H40" i="18" s="1"/>
  <c r="I315" i="17"/>
  <c r="H315" i="18" s="1"/>
  <c r="J315" i="17"/>
  <c r="I132" i="17"/>
  <c r="H132" i="18" s="1"/>
  <c r="J132" i="17"/>
  <c r="I270" i="17"/>
  <c r="H270" i="18" s="1"/>
  <c r="J270" i="17"/>
  <c r="I269" i="17"/>
  <c r="H269" i="18" s="1"/>
  <c r="J269" i="17"/>
  <c r="I128" i="17"/>
  <c r="H128" i="18" s="1"/>
  <c r="J128" i="17"/>
  <c r="J347" i="17"/>
  <c r="I347" i="17"/>
  <c r="H347" i="18" s="1"/>
  <c r="J150" i="17"/>
  <c r="I150" i="17"/>
  <c r="H150" i="18" s="1"/>
  <c r="J147" i="17"/>
  <c r="I147" i="17"/>
  <c r="H147" i="18" s="1"/>
  <c r="I84" i="17"/>
  <c r="H84" i="18" s="1"/>
  <c r="J84" i="17"/>
  <c r="J274" i="17"/>
  <c r="I274" i="17"/>
  <c r="H274" i="18" s="1"/>
  <c r="J54" i="17"/>
  <c r="I54" i="17"/>
  <c r="H54" i="18" s="1"/>
  <c r="J141" i="17"/>
  <c r="I141" i="17"/>
  <c r="H141" i="18" s="1"/>
  <c r="I305" i="17"/>
  <c r="H305" i="18" s="1"/>
  <c r="J305" i="17"/>
  <c r="I67" i="17"/>
  <c r="H67" i="18" s="1"/>
  <c r="J67" i="17"/>
  <c r="J78" i="17"/>
  <c r="I78" i="17"/>
  <c r="H78" i="18" s="1"/>
  <c r="I133" i="17"/>
  <c r="H133" i="18" s="1"/>
  <c r="J133" i="17"/>
  <c r="J281" i="17"/>
  <c r="I281" i="17"/>
  <c r="H281" i="18" s="1"/>
  <c r="J317" i="17"/>
  <c r="I317" i="17"/>
  <c r="H317" i="18" s="1"/>
  <c r="J130" i="17"/>
  <c r="I130" i="17"/>
  <c r="H130" i="18" s="1"/>
  <c r="J313" i="17"/>
  <c r="I313" i="17"/>
  <c r="H313" i="18" s="1"/>
  <c r="J319" i="17"/>
  <c r="I319" i="17"/>
  <c r="H319" i="18" s="1"/>
  <c r="I287" i="17"/>
  <c r="H287" i="18" s="1"/>
  <c r="J287" i="17"/>
  <c r="I89" i="17"/>
  <c r="H89" i="18" s="1"/>
  <c r="J89" i="17"/>
  <c r="J226" i="17"/>
  <c r="I226" i="17"/>
  <c r="H226" i="18" s="1"/>
  <c r="J290" i="17"/>
  <c r="I290" i="17"/>
  <c r="H290" i="18" s="1"/>
  <c r="I93" i="17"/>
  <c r="H93" i="18" s="1"/>
  <c r="J93" i="17"/>
  <c r="I119" i="17"/>
  <c r="H119" i="18" s="1"/>
  <c r="J119" i="17"/>
  <c r="J231" i="17"/>
  <c r="I231" i="17"/>
  <c r="H231" i="18" s="1"/>
  <c r="J238" i="17"/>
  <c r="I238" i="17"/>
  <c r="H238" i="18" s="1"/>
  <c r="I259" i="17"/>
  <c r="H259" i="18" s="1"/>
  <c r="J259" i="17"/>
  <c r="J188" i="17"/>
  <c r="I188" i="17"/>
  <c r="H188" i="18" s="1"/>
  <c r="I161" i="17"/>
  <c r="H161" i="18" s="1"/>
  <c r="J161" i="17"/>
  <c r="I309" i="17"/>
  <c r="H309" i="18" s="1"/>
  <c r="J309" i="17"/>
  <c r="I46" i="17"/>
  <c r="H46" i="18" s="1"/>
  <c r="J46" i="17"/>
  <c r="I205" i="17"/>
  <c r="H205" i="18" s="1"/>
  <c r="J205" i="17"/>
  <c r="J284" i="17"/>
  <c r="I284" i="17"/>
  <c r="H284" i="18" s="1"/>
  <c r="I26" i="17"/>
  <c r="H26" i="18" s="1"/>
  <c r="J26" i="17"/>
  <c r="J344" i="17"/>
  <c r="I344" i="17"/>
  <c r="H344" i="18" s="1"/>
  <c r="J72" i="17"/>
  <c r="I72" i="17"/>
  <c r="H72" i="18" s="1"/>
  <c r="I98" i="17"/>
  <c r="H98" i="18" s="1"/>
  <c r="J98" i="17"/>
  <c r="I37" i="17"/>
  <c r="H37" i="18" s="1"/>
  <c r="J37" i="17"/>
  <c r="J257" i="17"/>
  <c r="I257" i="17"/>
  <c r="H257" i="18" s="1"/>
  <c r="J204" i="17"/>
  <c r="I204" i="17"/>
  <c r="H204" i="18" s="1"/>
  <c r="I96" i="17"/>
  <c r="H96" i="18" s="1"/>
  <c r="J96" i="17"/>
  <c r="I63" i="17"/>
  <c r="H63" i="18" s="1"/>
  <c r="J63" i="17"/>
  <c r="J58" i="17"/>
  <c r="I58" i="17"/>
  <c r="H58" i="18" s="1"/>
  <c r="J122" i="17"/>
  <c r="I122" i="17"/>
  <c r="H122" i="18" s="1"/>
  <c r="J170" i="17"/>
  <c r="I170" i="17"/>
  <c r="H170" i="18" s="1"/>
  <c r="J314" i="17"/>
  <c r="I314" i="17"/>
  <c r="H314" i="18" s="1"/>
  <c r="J39" i="17"/>
  <c r="I39" i="17"/>
  <c r="H39" i="18" s="1"/>
  <c r="I104" i="17"/>
  <c r="H104" i="18" s="1"/>
  <c r="J104" i="17"/>
  <c r="I17" i="17"/>
  <c r="H17" i="18" s="1"/>
  <c r="J17" i="17"/>
  <c r="J117" i="17"/>
  <c r="I117" i="17"/>
  <c r="H117" i="18" s="1"/>
  <c r="J242" i="17"/>
  <c r="I242" i="17"/>
  <c r="H242" i="18" s="1"/>
  <c r="I213" i="17"/>
  <c r="H213" i="18" s="1"/>
  <c r="J213" i="17"/>
  <c r="J220" i="17"/>
  <c r="I220" i="17"/>
  <c r="H220" i="18" s="1"/>
  <c r="J264" i="17"/>
  <c r="I264" i="17"/>
  <c r="H264" i="18" s="1"/>
  <c r="J301" i="17"/>
  <c r="I301" i="17"/>
  <c r="H301" i="18" s="1"/>
  <c r="I52" i="17"/>
  <c r="H52" i="18" s="1"/>
  <c r="J52" i="17"/>
  <c r="I44" i="17"/>
  <c r="H44" i="18" s="1"/>
  <c r="J44" i="17"/>
  <c r="J310" i="17"/>
  <c r="I310" i="17"/>
  <c r="H310" i="18" s="1"/>
  <c r="J194" i="17"/>
  <c r="I194" i="17"/>
  <c r="H194" i="18" s="1"/>
  <c r="J142" i="17"/>
  <c r="I142" i="17"/>
  <c r="H142" i="18" s="1"/>
  <c r="I148" i="17"/>
  <c r="H148" i="18" s="1"/>
  <c r="J148" i="17"/>
  <c r="I283" i="17"/>
  <c r="H283" i="18" s="1"/>
  <c r="J283" i="17"/>
  <c r="I105" i="17"/>
  <c r="H105" i="18" s="1"/>
  <c r="J105" i="17"/>
  <c r="I230" i="17"/>
  <c r="H230" i="18" s="1"/>
  <c r="J230" i="17"/>
  <c r="I247" i="17"/>
  <c r="H247" i="18" s="1"/>
  <c r="J247" i="17"/>
  <c r="I113" i="17"/>
  <c r="H113" i="18" s="1"/>
  <c r="J113" i="17"/>
  <c r="I21" i="17"/>
  <c r="H21" i="18" s="1"/>
  <c r="J21" i="17"/>
  <c r="I352" i="17"/>
  <c r="H352" i="18" s="1"/>
  <c r="J352" i="17"/>
  <c r="W174" i="20"/>
  <c r="D174" i="20"/>
  <c r="E174" i="20" s="1"/>
  <c r="F174" i="20" s="1"/>
  <c r="B174" i="22"/>
  <c r="W132" i="20"/>
  <c r="D132" i="20"/>
  <c r="E132" i="20" s="1"/>
  <c r="F132" i="20" s="1"/>
  <c r="B132" i="22"/>
  <c r="W38" i="20"/>
  <c r="D38" i="20"/>
  <c r="E38" i="20" s="1"/>
  <c r="F38" i="20" s="1"/>
  <c r="B38" i="22"/>
  <c r="W153" i="20"/>
  <c r="D153" i="20"/>
  <c r="E153" i="20" s="1"/>
  <c r="F153" i="20" s="1"/>
  <c r="B153" i="22"/>
  <c r="W100" i="20"/>
  <c r="D100" i="20"/>
  <c r="E100" i="20" s="1"/>
  <c r="F100" i="20" s="1"/>
  <c r="B100" i="22"/>
  <c r="W251" i="20"/>
  <c r="D251" i="20"/>
  <c r="E251" i="20" s="1"/>
  <c r="F251" i="20" s="1"/>
  <c r="B251" i="22"/>
  <c r="W331" i="20"/>
  <c r="D331" i="20"/>
  <c r="E331" i="20" s="1"/>
  <c r="F331" i="20" s="1"/>
  <c r="B331" i="22"/>
  <c r="W235" i="20"/>
  <c r="D235" i="20"/>
  <c r="E235" i="20" s="1"/>
  <c r="F235" i="20" s="1"/>
  <c r="B235" i="22"/>
  <c r="W32" i="20"/>
  <c r="D32" i="20"/>
  <c r="E32" i="20" s="1"/>
  <c r="F32" i="20" s="1"/>
  <c r="B32" i="22"/>
  <c r="W103" i="20"/>
  <c r="D103" i="20"/>
  <c r="E103" i="20" s="1"/>
  <c r="F103" i="20" s="1"/>
  <c r="B103" i="22"/>
  <c r="W229" i="20"/>
  <c r="D229" i="20"/>
  <c r="E229" i="20" s="1"/>
  <c r="F229" i="20" s="1"/>
  <c r="B229" i="22"/>
  <c r="W52" i="20"/>
  <c r="D52" i="20"/>
  <c r="E52" i="20" s="1"/>
  <c r="F52" i="20" s="1"/>
  <c r="B52" i="22"/>
  <c r="W353" i="20"/>
  <c r="D353" i="20"/>
  <c r="E353" i="20" s="1"/>
  <c r="F353" i="20" s="1"/>
  <c r="B353" i="22"/>
  <c r="W152" i="20"/>
  <c r="D152" i="20"/>
  <c r="E152" i="20" s="1"/>
  <c r="F152" i="20" s="1"/>
  <c r="B152" i="22"/>
  <c r="W306" i="20"/>
  <c r="D306" i="20"/>
  <c r="E306" i="20" s="1"/>
  <c r="F306" i="20" s="1"/>
  <c r="B306" i="22"/>
  <c r="W305" i="20"/>
  <c r="D305" i="20"/>
  <c r="E305" i="20" s="1"/>
  <c r="F305" i="20" s="1"/>
  <c r="B305" i="22"/>
  <c r="W299" i="20"/>
  <c r="D299" i="20"/>
  <c r="E299" i="20" s="1"/>
  <c r="F299" i="20" s="1"/>
  <c r="B299" i="22"/>
  <c r="W252" i="20"/>
  <c r="D252" i="20"/>
  <c r="E252" i="20" s="1"/>
  <c r="F252" i="20" s="1"/>
  <c r="B252" i="22"/>
  <c r="W207" i="20"/>
  <c r="D207" i="20"/>
  <c r="E207" i="20" s="1"/>
  <c r="F207" i="20" s="1"/>
  <c r="B207" i="22"/>
  <c r="W204" i="20"/>
  <c r="D204" i="20"/>
  <c r="E204" i="20" s="1"/>
  <c r="F204" i="20" s="1"/>
  <c r="B204" i="22"/>
  <c r="W205" i="20"/>
  <c r="D205" i="20"/>
  <c r="E205" i="20" s="1"/>
  <c r="F205" i="20" s="1"/>
  <c r="B205" i="22"/>
  <c r="W222" i="20"/>
  <c r="D222" i="20"/>
  <c r="E222" i="20" s="1"/>
  <c r="F222" i="20" s="1"/>
  <c r="B222" i="22"/>
  <c r="W64" i="20"/>
  <c r="D64" i="20"/>
  <c r="E64" i="20" s="1"/>
  <c r="F64" i="20" s="1"/>
  <c r="B64" i="22"/>
  <c r="W366" i="20"/>
  <c r="D366" i="20"/>
  <c r="E366" i="20" s="1"/>
  <c r="F366" i="20" s="1"/>
  <c r="B366" i="22"/>
  <c r="W358" i="20"/>
  <c r="D358" i="20"/>
  <c r="E358" i="20" s="1"/>
  <c r="F358" i="20" s="1"/>
  <c r="B358" i="22"/>
  <c r="W342" i="20"/>
  <c r="D342" i="20"/>
  <c r="E342" i="20" s="1"/>
  <c r="F342" i="20" s="1"/>
  <c r="B342" i="22"/>
  <c r="W338" i="20"/>
  <c r="D338" i="20"/>
  <c r="E338" i="20" s="1"/>
  <c r="F338" i="20" s="1"/>
  <c r="B338" i="22"/>
  <c r="W312" i="20"/>
  <c r="D312" i="20"/>
  <c r="E312" i="20" s="1"/>
  <c r="F312" i="20" s="1"/>
  <c r="B312" i="22"/>
  <c r="W286" i="20"/>
  <c r="D286" i="20"/>
  <c r="E286" i="20" s="1"/>
  <c r="F286" i="20" s="1"/>
  <c r="B286" i="22"/>
  <c r="W242" i="20"/>
  <c r="D242" i="20"/>
  <c r="E242" i="20" s="1"/>
  <c r="F242" i="20" s="1"/>
  <c r="B242" i="22"/>
  <c r="W224" i="20"/>
  <c r="D224" i="20"/>
  <c r="E224" i="20" s="1"/>
  <c r="F224" i="20" s="1"/>
  <c r="B224" i="22"/>
  <c r="W212" i="20"/>
  <c r="D212" i="20"/>
  <c r="E212" i="20" s="1"/>
  <c r="F212" i="20" s="1"/>
  <c r="B212" i="22"/>
  <c r="W200" i="20"/>
  <c r="D200" i="20"/>
  <c r="E200" i="20" s="1"/>
  <c r="F200" i="20" s="1"/>
  <c r="B200" i="22"/>
  <c r="G190" i="18"/>
  <c r="CA190" i="6" s="1"/>
  <c r="AA190" i="18"/>
  <c r="Z190" i="18" s="1"/>
  <c r="Y190" i="18" s="1"/>
  <c r="D190" i="22"/>
  <c r="E190" i="22" s="1"/>
  <c r="F190" i="22" s="1"/>
  <c r="W190" i="22"/>
  <c r="B190" i="23"/>
  <c r="W168" i="20"/>
  <c r="D168" i="20"/>
  <c r="E168" i="20" s="1"/>
  <c r="F168" i="20" s="1"/>
  <c r="B168" i="22"/>
  <c r="W158" i="20"/>
  <c r="D158" i="20"/>
  <c r="E158" i="20" s="1"/>
  <c r="F158" i="20" s="1"/>
  <c r="B158" i="22"/>
  <c r="W134" i="20"/>
  <c r="D134" i="20"/>
  <c r="E134" i="20" s="1"/>
  <c r="F134" i="20" s="1"/>
  <c r="B134" i="22"/>
  <c r="D82" i="20"/>
  <c r="E82" i="20" s="1"/>
  <c r="F82" i="20" s="1"/>
  <c r="W82" i="20"/>
  <c r="B82" i="22"/>
  <c r="W68" i="20"/>
  <c r="D68" i="20"/>
  <c r="E68" i="20" s="1"/>
  <c r="F68" i="20" s="1"/>
  <c r="B68" i="22"/>
  <c r="W54" i="20"/>
  <c r="D54" i="20"/>
  <c r="E54" i="20" s="1"/>
  <c r="F54" i="20" s="1"/>
  <c r="B54" i="22"/>
  <c r="W40" i="20"/>
  <c r="D40" i="20"/>
  <c r="E40" i="20" s="1"/>
  <c r="F40" i="20" s="1"/>
  <c r="B40" i="22"/>
  <c r="W30" i="20"/>
  <c r="D30" i="20"/>
  <c r="E30" i="20" s="1"/>
  <c r="F30" i="20" s="1"/>
  <c r="B30" i="22"/>
  <c r="W377" i="20"/>
  <c r="D377" i="20"/>
  <c r="E377" i="20" s="1"/>
  <c r="F377" i="20" s="1"/>
  <c r="B377" i="22"/>
  <c r="W351" i="20"/>
  <c r="D351" i="20"/>
  <c r="E351" i="20" s="1"/>
  <c r="F351" i="20" s="1"/>
  <c r="B351" i="22"/>
  <c r="W343" i="20"/>
  <c r="D343" i="20"/>
  <c r="E343" i="20" s="1"/>
  <c r="F343" i="20" s="1"/>
  <c r="B343" i="22"/>
  <c r="W315" i="20"/>
  <c r="D315" i="20"/>
  <c r="E315" i="20" s="1"/>
  <c r="F315" i="20" s="1"/>
  <c r="B315" i="22"/>
  <c r="W279" i="20"/>
  <c r="D279" i="20"/>
  <c r="E279" i="20" s="1"/>
  <c r="F279" i="20" s="1"/>
  <c r="B279" i="22"/>
  <c r="W239" i="20"/>
  <c r="D239" i="20"/>
  <c r="E239" i="20" s="1"/>
  <c r="F239" i="20" s="1"/>
  <c r="B239" i="22"/>
  <c r="W225" i="20"/>
  <c r="D225" i="20"/>
  <c r="E225" i="20" s="1"/>
  <c r="F225" i="20" s="1"/>
  <c r="B225" i="22"/>
  <c r="W213" i="20"/>
  <c r="D213" i="20"/>
  <c r="E213" i="20" s="1"/>
  <c r="F213" i="20" s="1"/>
  <c r="B213" i="22"/>
  <c r="W165" i="20"/>
  <c r="D165" i="20"/>
  <c r="E165" i="20" s="1"/>
  <c r="F165" i="20" s="1"/>
  <c r="B165" i="22"/>
  <c r="W129" i="20"/>
  <c r="D129" i="20"/>
  <c r="E129" i="20" s="1"/>
  <c r="F129" i="20" s="1"/>
  <c r="B129" i="22"/>
  <c r="W117" i="20"/>
  <c r="D117" i="20"/>
  <c r="E117" i="20" s="1"/>
  <c r="F117" i="20" s="1"/>
  <c r="B117" i="22"/>
  <c r="W113" i="20"/>
  <c r="D113" i="20"/>
  <c r="E113" i="20" s="1"/>
  <c r="F113" i="20" s="1"/>
  <c r="B113" i="22"/>
  <c r="W91" i="20"/>
  <c r="D91" i="20"/>
  <c r="E91" i="20" s="1"/>
  <c r="F91" i="20" s="1"/>
  <c r="B91" i="22"/>
  <c r="W57" i="20"/>
  <c r="D57" i="20"/>
  <c r="E57" i="20" s="1"/>
  <c r="F57" i="20" s="1"/>
  <c r="B57" i="22"/>
  <c r="W41" i="20"/>
  <c r="D41" i="20"/>
  <c r="E41" i="20" s="1"/>
  <c r="F41" i="20" s="1"/>
  <c r="B41" i="22"/>
  <c r="W26" i="20"/>
  <c r="D26" i="20"/>
  <c r="E26" i="20" s="1"/>
  <c r="F26" i="20" s="1"/>
  <c r="B26" i="22"/>
  <c r="W364" i="20"/>
  <c r="D364" i="20"/>
  <c r="E364" i="20" s="1"/>
  <c r="F364" i="20" s="1"/>
  <c r="B364" i="22"/>
  <c r="W350" i="20"/>
  <c r="D350" i="20"/>
  <c r="E350" i="20" s="1"/>
  <c r="F350" i="20" s="1"/>
  <c r="B350" i="22"/>
  <c r="W330" i="20"/>
  <c r="D330" i="20"/>
  <c r="E330" i="20" s="1"/>
  <c r="F330" i="20" s="1"/>
  <c r="B330" i="22"/>
  <c r="W322" i="20"/>
  <c r="D322" i="20"/>
  <c r="E322" i="20" s="1"/>
  <c r="F322" i="20" s="1"/>
  <c r="B322" i="22"/>
  <c r="W292" i="20"/>
  <c r="D292" i="20"/>
  <c r="E292" i="20" s="1"/>
  <c r="F292" i="20" s="1"/>
  <c r="B292" i="22"/>
  <c r="W266" i="20"/>
  <c r="D266" i="20"/>
  <c r="E266" i="20" s="1"/>
  <c r="F266" i="20" s="1"/>
  <c r="B266" i="22"/>
  <c r="W256" i="20"/>
  <c r="D256" i="20"/>
  <c r="E256" i="20" s="1"/>
  <c r="F256" i="20" s="1"/>
  <c r="B256" i="22"/>
  <c r="W234" i="20"/>
  <c r="D234" i="20"/>
  <c r="E234" i="20" s="1"/>
  <c r="F234" i="20" s="1"/>
  <c r="B234" i="22"/>
  <c r="W184" i="20"/>
  <c r="D184" i="20"/>
  <c r="E184" i="20" s="1"/>
  <c r="F184" i="20" s="1"/>
  <c r="B184" i="22"/>
  <c r="W160" i="20"/>
  <c r="D160" i="20"/>
  <c r="E160" i="20" s="1"/>
  <c r="F160" i="20" s="1"/>
  <c r="B160" i="22"/>
  <c r="W124" i="20"/>
  <c r="D124" i="20"/>
  <c r="E124" i="20" s="1"/>
  <c r="F124" i="20" s="1"/>
  <c r="B124" i="22"/>
  <c r="W48" i="20"/>
  <c r="D48" i="20"/>
  <c r="E48" i="20" s="1"/>
  <c r="F48" i="20" s="1"/>
  <c r="B48" i="22"/>
  <c r="D27" i="20"/>
  <c r="E27" i="20" s="1"/>
  <c r="F27" i="20" s="1"/>
  <c r="W27" i="20"/>
  <c r="B27" i="22"/>
  <c r="W20" i="20"/>
  <c r="D20" i="20"/>
  <c r="E20" i="20" s="1"/>
  <c r="F20" i="20" s="1"/>
  <c r="B20" i="22"/>
  <c r="G373" i="18"/>
  <c r="CA373" i="6" s="1"/>
  <c r="AA373" i="18"/>
  <c r="Z373" i="18" s="1"/>
  <c r="Y373" i="18" s="1"/>
  <c r="G357" i="18"/>
  <c r="CA357" i="6" s="1"/>
  <c r="AA357" i="18"/>
  <c r="Z357" i="18" s="1"/>
  <c r="Y357" i="18" s="1"/>
  <c r="G325" i="18"/>
  <c r="CA325" i="6" s="1"/>
  <c r="AA325" i="18"/>
  <c r="Z325" i="18" s="1"/>
  <c r="Y325" i="18" s="1"/>
  <c r="G307" i="18"/>
  <c r="CA307" i="6" s="1"/>
  <c r="AA307" i="18"/>
  <c r="Z307" i="18" s="1"/>
  <c r="Y307" i="18" s="1"/>
  <c r="G277" i="18"/>
  <c r="CA277" i="6" s="1"/>
  <c r="AA277" i="18"/>
  <c r="Z277" i="18" s="1"/>
  <c r="Y277" i="18" s="1"/>
  <c r="G267" i="18"/>
  <c r="CA267" i="6" s="1"/>
  <c r="AA267" i="18"/>
  <c r="Z267" i="18" s="1"/>
  <c r="Y267" i="18" s="1"/>
  <c r="G245" i="18"/>
  <c r="CA245" i="6" s="1"/>
  <c r="AA245" i="18"/>
  <c r="Z245" i="18" s="1"/>
  <c r="Y245" i="18" s="1"/>
  <c r="G223" i="18"/>
  <c r="CA223" i="6" s="1"/>
  <c r="AA223" i="18"/>
  <c r="Z223" i="18" s="1"/>
  <c r="Y223" i="18" s="1"/>
  <c r="G203" i="18"/>
  <c r="CA203" i="6" s="1"/>
  <c r="AA203" i="18"/>
  <c r="Z203" i="18" s="1"/>
  <c r="Y203" i="18" s="1"/>
  <c r="G191" i="18"/>
  <c r="CA191" i="6" s="1"/>
  <c r="AA191" i="18"/>
  <c r="Z191" i="18" s="1"/>
  <c r="Y191" i="18" s="1"/>
  <c r="G169" i="18"/>
  <c r="CA169" i="6" s="1"/>
  <c r="AA169" i="18"/>
  <c r="Z169" i="18" s="1"/>
  <c r="Y169" i="18" s="1"/>
  <c r="G143" i="18"/>
  <c r="CA143" i="6" s="1"/>
  <c r="AA143" i="18"/>
  <c r="Z143" i="18" s="1"/>
  <c r="Y143" i="18" s="1"/>
  <c r="G139" i="18"/>
  <c r="CA139" i="6" s="1"/>
  <c r="AA139" i="18"/>
  <c r="Z139" i="18" s="1"/>
  <c r="Y139" i="18" s="1"/>
  <c r="G65" i="18"/>
  <c r="CA65" i="6" s="1"/>
  <c r="AA65" i="18"/>
  <c r="Z65" i="18" s="1"/>
  <c r="Y65" i="18" s="1"/>
  <c r="G53" i="18"/>
  <c r="CA53" i="6" s="1"/>
  <c r="AA53" i="18"/>
  <c r="Z53" i="18" s="1"/>
  <c r="Y53" i="18" s="1"/>
  <c r="G372" i="18"/>
  <c r="CA372" i="6" s="1"/>
  <c r="AA372" i="18"/>
  <c r="Z372" i="18" s="1"/>
  <c r="Y372" i="18" s="1"/>
  <c r="G174" i="18"/>
  <c r="CA174" i="6" s="1"/>
  <c r="AA174" i="18"/>
  <c r="Z174" i="18" s="1"/>
  <c r="Y174" i="18" s="1"/>
  <c r="G232" i="20"/>
  <c r="CB232" i="6" s="1"/>
  <c r="AA232" i="20"/>
  <c r="Z232" i="20" s="1"/>
  <c r="Y232" i="20" s="1"/>
  <c r="G132" i="18"/>
  <c r="CA132" i="6" s="1"/>
  <c r="AA132" i="18"/>
  <c r="Z132" i="18" s="1"/>
  <c r="Y132" i="18" s="1"/>
  <c r="G76" i="20"/>
  <c r="CB76" i="6" s="1"/>
  <c r="AA76" i="20"/>
  <c r="Z76" i="20" s="1"/>
  <c r="Y76" i="20" s="1"/>
  <c r="G38" i="18"/>
  <c r="CA38" i="6" s="1"/>
  <c r="AA38" i="18"/>
  <c r="Z38" i="18" s="1"/>
  <c r="Y38" i="18" s="1"/>
  <c r="G295" i="20"/>
  <c r="CB295" i="6" s="1"/>
  <c r="AA295" i="20"/>
  <c r="Z295" i="20" s="1"/>
  <c r="Y295" i="20" s="1"/>
  <c r="G153" i="18"/>
  <c r="CA153" i="6" s="1"/>
  <c r="AA153" i="18"/>
  <c r="Z153" i="18" s="1"/>
  <c r="Y153" i="18" s="1"/>
  <c r="G81" i="20"/>
  <c r="CB81" i="6" s="1"/>
  <c r="AA81" i="20"/>
  <c r="Z81" i="20" s="1"/>
  <c r="Y81" i="20" s="1"/>
  <c r="G100" i="18"/>
  <c r="CA100" i="6" s="1"/>
  <c r="AA100" i="18"/>
  <c r="Z100" i="18" s="1"/>
  <c r="Y100" i="18" s="1"/>
  <c r="AA62" i="20"/>
  <c r="Z62" i="20" s="1"/>
  <c r="Y62" i="20" s="1"/>
  <c r="G62" i="20"/>
  <c r="CB62" i="6" s="1"/>
  <c r="G251" i="18"/>
  <c r="CA251" i="6" s="1"/>
  <c r="AA251" i="18"/>
  <c r="Z251" i="18" s="1"/>
  <c r="Y251" i="18" s="1"/>
  <c r="G73" i="20"/>
  <c r="CB73" i="6" s="1"/>
  <c r="AA73" i="20"/>
  <c r="Z73" i="20" s="1"/>
  <c r="Y73" i="20" s="1"/>
  <c r="G331" i="18"/>
  <c r="CA331" i="6" s="1"/>
  <c r="AA331" i="18"/>
  <c r="Z331" i="18" s="1"/>
  <c r="Y331" i="18" s="1"/>
  <c r="G309" i="20"/>
  <c r="CB309" i="6" s="1"/>
  <c r="AA309" i="20"/>
  <c r="Z309" i="20" s="1"/>
  <c r="Y309" i="20" s="1"/>
  <c r="G235" i="18"/>
  <c r="CA235" i="6" s="1"/>
  <c r="AA235" i="18"/>
  <c r="Z235" i="18" s="1"/>
  <c r="Y235" i="18" s="1"/>
  <c r="G332" i="20"/>
  <c r="CB332" i="6" s="1"/>
  <c r="AA332" i="20"/>
  <c r="Z332" i="20" s="1"/>
  <c r="Y332" i="20" s="1"/>
  <c r="G32" i="18"/>
  <c r="CA32" i="6" s="1"/>
  <c r="AA32" i="18"/>
  <c r="Z32" i="18" s="1"/>
  <c r="Y32" i="18" s="1"/>
  <c r="G125" i="20"/>
  <c r="CB125" i="6" s="1"/>
  <c r="AA125" i="20"/>
  <c r="Z125" i="20" s="1"/>
  <c r="Y125" i="20" s="1"/>
  <c r="G103" i="18"/>
  <c r="CA103" i="6" s="1"/>
  <c r="AA103" i="18"/>
  <c r="Z103" i="18" s="1"/>
  <c r="Y103" i="18" s="1"/>
  <c r="G321" i="20"/>
  <c r="CB321" i="6" s="1"/>
  <c r="AA321" i="20"/>
  <c r="Z321" i="20" s="1"/>
  <c r="Y321" i="20" s="1"/>
  <c r="G229" i="18"/>
  <c r="CA229" i="6" s="1"/>
  <c r="AA229" i="18"/>
  <c r="Z229" i="18" s="1"/>
  <c r="Y229" i="18" s="1"/>
  <c r="G157" i="20"/>
  <c r="CB157" i="6" s="1"/>
  <c r="AA157" i="20"/>
  <c r="Z157" i="20" s="1"/>
  <c r="Y157" i="20" s="1"/>
  <c r="G52" i="18"/>
  <c r="CA52" i="6" s="1"/>
  <c r="AA52" i="18"/>
  <c r="Z52" i="18" s="1"/>
  <c r="Y52" i="18" s="1"/>
  <c r="G163" i="20"/>
  <c r="CB163" i="6" s="1"/>
  <c r="AA163" i="20"/>
  <c r="Z163" i="20" s="1"/>
  <c r="Y163" i="20" s="1"/>
  <c r="G353" i="18"/>
  <c r="CA353" i="6" s="1"/>
  <c r="AA353" i="18"/>
  <c r="Z353" i="18" s="1"/>
  <c r="Y353" i="18" s="1"/>
  <c r="G374" i="20"/>
  <c r="CB374" i="6" s="1"/>
  <c r="AA374" i="20"/>
  <c r="Z374" i="20" s="1"/>
  <c r="Y374" i="20" s="1"/>
  <c r="G152" i="18"/>
  <c r="CA152" i="6" s="1"/>
  <c r="AA152" i="18"/>
  <c r="Z152" i="18" s="1"/>
  <c r="Y152" i="18" s="1"/>
  <c r="G98" i="20"/>
  <c r="CB98" i="6" s="1"/>
  <c r="AA98" i="20"/>
  <c r="Z98" i="20" s="1"/>
  <c r="Y98" i="20" s="1"/>
  <c r="G306" i="18"/>
  <c r="CA306" i="6" s="1"/>
  <c r="AA306" i="18"/>
  <c r="Z306" i="18" s="1"/>
  <c r="Y306" i="18" s="1"/>
  <c r="G311" i="20"/>
  <c r="CB311" i="6" s="1"/>
  <c r="AA311" i="20"/>
  <c r="Z311" i="20" s="1"/>
  <c r="Y311" i="20" s="1"/>
  <c r="G305" i="18"/>
  <c r="CA305" i="6" s="1"/>
  <c r="AA305" i="18"/>
  <c r="Z305" i="18" s="1"/>
  <c r="Y305" i="18" s="1"/>
  <c r="G236" i="20"/>
  <c r="CB236" i="6" s="1"/>
  <c r="AA236" i="20"/>
  <c r="Z236" i="20" s="1"/>
  <c r="Y236" i="20" s="1"/>
  <c r="G299" i="18"/>
  <c r="CA299" i="6" s="1"/>
  <c r="AA299" i="18"/>
  <c r="Z299" i="18" s="1"/>
  <c r="Y299" i="18" s="1"/>
  <c r="G310" i="20"/>
  <c r="CB310" i="6" s="1"/>
  <c r="AA310" i="20"/>
  <c r="Z310" i="20" s="1"/>
  <c r="Y310" i="20" s="1"/>
  <c r="G252" i="18"/>
  <c r="CA252" i="6" s="1"/>
  <c r="AA252" i="18"/>
  <c r="Z252" i="18" s="1"/>
  <c r="Y252" i="18" s="1"/>
  <c r="G182" i="20"/>
  <c r="CB182" i="6" s="1"/>
  <c r="AA182" i="20"/>
  <c r="Z182" i="20" s="1"/>
  <c r="Y182" i="20" s="1"/>
  <c r="G207" i="18"/>
  <c r="CA207" i="6" s="1"/>
  <c r="AA207" i="18"/>
  <c r="Z207" i="18" s="1"/>
  <c r="Y207" i="18" s="1"/>
  <c r="G378" i="20"/>
  <c r="CB378" i="6" s="1"/>
  <c r="AA378" i="20"/>
  <c r="Z378" i="20" s="1"/>
  <c r="Y378" i="20" s="1"/>
  <c r="G204" i="18"/>
  <c r="CA204" i="6" s="1"/>
  <c r="AA204" i="18"/>
  <c r="Z204" i="18" s="1"/>
  <c r="Y204" i="18" s="1"/>
  <c r="G289" i="20"/>
  <c r="CB289" i="6" s="1"/>
  <c r="AA289" i="20"/>
  <c r="Z289" i="20" s="1"/>
  <c r="Y289" i="20" s="1"/>
  <c r="G205" i="18"/>
  <c r="CA205" i="6" s="1"/>
  <c r="AA205" i="18"/>
  <c r="Z205" i="18" s="1"/>
  <c r="Y205" i="18" s="1"/>
  <c r="G90" i="20"/>
  <c r="CB90" i="6" s="1"/>
  <c r="AA90" i="20"/>
  <c r="Z90" i="20" s="1"/>
  <c r="Y90" i="20" s="1"/>
  <c r="G222" i="18"/>
  <c r="CA222" i="6" s="1"/>
  <c r="AA222" i="18"/>
  <c r="Z222" i="18" s="1"/>
  <c r="Y222" i="18" s="1"/>
  <c r="G78" i="20"/>
  <c r="CB78" i="6" s="1"/>
  <c r="AA78" i="20"/>
  <c r="Z78" i="20" s="1"/>
  <c r="Y78" i="20" s="1"/>
  <c r="G64" i="18"/>
  <c r="CA64" i="6" s="1"/>
  <c r="AA64" i="18"/>
  <c r="Z64" i="18" s="1"/>
  <c r="Y64" i="18" s="1"/>
  <c r="G137" i="20"/>
  <c r="CB137" i="6" s="1"/>
  <c r="AA137" i="20"/>
  <c r="Z137" i="20" s="1"/>
  <c r="Y137" i="20" s="1"/>
  <c r="G366" i="18"/>
  <c r="CA366" i="6" s="1"/>
  <c r="AA366" i="18"/>
  <c r="Z366" i="18" s="1"/>
  <c r="Y366" i="18" s="1"/>
  <c r="G358" i="18"/>
  <c r="CA358" i="6" s="1"/>
  <c r="AA358" i="18"/>
  <c r="Z358" i="18" s="1"/>
  <c r="Y358" i="18" s="1"/>
  <c r="G356" i="20"/>
  <c r="CB356" i="6" s="1"/>
  <c r="AA356" i="20"/>
  <c r="Z356" i="20" s="1"/>
  <c r="Y356" i="20" s="1"/>
  <c r="G342" i="18"/>
  <c r="CA342" i="6" s="1"/>
  <c r="AA342" i="18"/>
  <c r="Z342" i="18" s="1"/>
  <c r="Y342" i="18" s="1"/>
  <c r="G340" i="20"/>
  <c r="CB340" i="6" s="1"/>
  <c r="AA340" i="20"/>
  <c r="Z340" i="20" s="1"/>
  <c r="Y340" i="20" s="1"/>
  <c r="G338" i="18"/>
  <c r="CA338" i="6" s="1"/>
  <c r="AA338" i="18"/>
  <c r="Z338" i="18" s="1"/>
  <c r="Y338" i="18" s="1"/>
  <c r="G314" i="20"/>
  <c r="CB314" i="6" s="1"/>
  <c r="AA314" i="20"/>
  <c r="Z314" i="20" s="1"/>
  <c r="Y314" i="20" s="1"/>
  <c r="G312" i="18"/>
  <c r="CA312" i="6" s="1"/>
  <c r="AA312" i="18"/>
  <c r="Z312" i="18" s="1"/>
  <c r="Y312" i="18" s="1"/>
  <c r="G290" i="20"/>
  <c r="CB290" i="6" s="1"/>
  <c r="AA290" i="20"/>
  <c r="Z290" i="20" s="1"/>
  <c r="Y290" i="20" s="1"/>
  <c r="G286" i="18"/>
  <c r="CA286" i="6" s="1"/>
  <c r="AA286" i="18"/>
  <c r="Z286" i="18" s="1"/>
  <c r="Y286" i="18" s="1"/>
  <c r="G264" i="20"/>
  <c r="CB264" i="6" s="1"/>
  <c r="AA264" i="20"/>
  <c r="Z264" i="20" s="1"/>
  <c r="Y264" i="20" s="1"/>
  <c r="G242" i="18"/>
  <c r="CA242" i="6" s="1"/>
  <c r="AA242" i="18"/>
  <c r="Z242" i="18" s="1"/>
  <c r="Y242" i="18" s="1"/>
  <c r="G240" i="20"/>
  <c r="CB240" i="6" s="1"/>
  <c r="AA240" i="20"/>
  <c r="Z240" i="20" s="1"/>
  <c r="Y240" i="20" s="1"/>
  <c r="G224" i="18"/>
  <c r="CA224" i="6" s="1"/>
  <c r="AA224" i="18"/>
  <c r="Z224" i="18" s="1"/>
  <c r="Y224" i="18" s="1"/>
  <c r="G214" i="20"/>
  <c r="CB214" i="6" s="1"/>
  <c r="AA214" i="20"/>
  <c r="Z214" i="20" s="1"/>
  <c r="Y214" i="20" s="1"/>
  <c r="G212" i="18"/>
  <c r="CA212" i="6" s="1"/>
  <c r="AA212" i="18"/>
  <c r="Z212" i="18" s="1"/>
  <c r="Y212" i="18" s="1"/>
  <c r="G206" i="20"/>
  <c r="CB206" i="6" s="1"/>
  <c r="AA206" i="20"/>
  <c r="Z206" i="20" s="1"/>
  <c r="Y206" i="20" s="1"/>
  <c r="G200" i="18"/>
  <c r="CA200" i="6" s="1"/>
  <c r="AA200" i="18"/>
  <c r="Z200" i="18" s="1"/>
  <c r="Y200" i="18" s="1"/>
  <c r="G198" i="20"/>
  <c r="CB198" i="6" s="1"/>
  <c r="AA198" i="20"/>
  <c r="Z198" i="20" s="1"/>
  <c r="Y198" i="20" s="1"/>
  <c r="G190" i="20"/>
  <c r="CB190" i="6" s="1"/>
  <c r="AA190" i="20"/>
  <c r="Z190" i="20" s="1"/>
  <c r="Y190" i="20" s="1"/>
  <c r="G186" i="18"/>
  <c r="CA186" i="6" s="1"/>
  <c r="AA186" i="18"/>
  <c r="Z186" i="18" s="1"/>
  <c r="Y186" i="18" s="1"/>
  <c r="G168" i="18"/>
  <c r="CA168" i="6" s="1"/>
  <c r="AA168" i="18"/>
  <c r="Z168" i="18" s="1"/>
  <c r="Y168" i="18" s="1"/>
  <c r="G162" i="20"/>
  <c r="CB162" i="6" s="1"/>
  <c r="AA162" i="20"/>
  <c r="Z162" i="20" s="1"/>
  <c r="Y162" i="20" s="1"/>
  <c r="G158" i="18"/>
  <c r="CA158" i="6" s="1"/>
  <c r="AA158" i="18"/>
  <c r="Z158" i="18" s="1"/>
  <c r="Y158" i="18" s="1"/>
  <c r="G156" i="20"/>
  <c r="CB156" i="6" s="1"/>
  <c r="AA156" i="20"/>
  <c r="Z156" i="20" s="1"/>
  <c r="Y156" i="20" s="1"/>
  <c r="G134" i="18"/>
  <c r="CA134" i="6" s="1"/>
  <c r="AA134" i="18"/>
  <c r="Z134" i="18" s="1"/>
  <c r="Y134" i="18" s="1"/>
  <c r="G102" i="20"/>
  <c r="CB102" i="6" s="1"/>
  <c r="AA102" i="20"/>
  <c r="Z102" i="20" s="1"/>
  <c r="Y102" i="20" s="1"/>
  <c r="G82" i="18"/>
  <c r="CA82" i="6" s="1"/>
  <c r="AA82" i="18"/>
  <c r="Z82" i="18" s="1"/>
  <c r="Y82" i="18" s="1"/>
  <c r="G72" i="20"/>
  <c r="CB72" i="6" s="1"/>
  <c r="AA72" i="20"/>
  <c r="Z72" i="20" s="1"/>
  <c r="Y72" i="20" s="1"/>
  <c r="G68" i="18"/>
  <c r="CA68" i="6" s="1"/>
  <c r="AA68" i="18"/>
  <c r="Z68" i="18" s="1"/>
  <c r="Y68" i="18" s="1"/>
  <c r="G58" i="20"/>
  <c r="CB58" i="6" s="1"/>
  <c r="AA58" i="20"/>
  <c r="Z58" i="20" s="1"/>
  <c r="Y58" i="20" s="1"/>
  <c r="G54" i="18"/>
  <c r="CA54" i="6" s="1"/>
  <c r="AA54" i="18"/>
  <c r="Z54" i="18" s="1"/>
  <c r="Y54" i="18" s="1"/>
  <c r="G44" i="20"/>
  <c r="CB44" i="6" s="1"/>
  <c r="AA44" i="20"/>
  <c r="Z44" i="20" s="1"/>
  <c r="Y44" i="20" s="1"/>
  <c r="G40" i="18"/>
  <c r="CA40" i="6" s="1"/>
  <c r="AA40" i="18"/>
  <c r="Z40" i="18" s="1"/>
  <c r="Y40" i="18" s="1"/>
  <c r="G36" i="20"/>
  <c r="CB36" i="6" s="1"/>
  <c r="AA36" i="20"/>
  <c r="Z36" i="20" s="1"/>
  <c r="Y36" i="20" s="1"/>
  <c r="G30" i="18"/>
  <c r="CA30" i="6" s="1"/>
  <c r="AA30" i="18"/>
  <c r="Z30" i="18" s="1"/>
  <c r="Y30" i="18" s="1"/>
  <c r="G24" i="20"/>
  <c r="CB24" i="6" s="1"/>
  <c r="AA24" i="20"/>
  <c r="Z24" i="20" s="1"/>
  <c r="Y24" i="20" s="1"/>
  <c r="G377" i="18"/>
  <c r="CA377" i="6" s="1"/>
  <c r="AA377" i="18"/>
  <c r="Z377" i="18" s="1"/>
  <c r="Y377" i="18" s="1"/>
  <c r="G355" i="20"/>
  <c r="CB355" i="6" s="1"/>
  <c r="AA355" i="20"/>
  <c r="Z355" i="20" s="1"/>
  <c r="Y355" i="20" s="1"/>
  <c r="G351" i="18"/>
  <c r="CA351" i="6" s="1"/>
  <c r="AA351" i="18"/>
  <c r="Z351" i="18" s="1"/>
  <c r="Y351" i="18" s="1"/>
  <c r="G345" i="20"/>
  <c r="CB345" i="6" s="1"/>
  <c r="AA345" i="20"/>
  <c r="Z345" i="20" s="1"/>
  <c r="Y345" i="20" s="1"/>
  <c r="G343" i="18"/>
  <c r="CA343" i="6" s="1"/>
  <c r="AA343" i="18"/>
  <c r="Z343" i="18" s="1"/>
  <c r="Y343" i="18" s="1"/>
  <c r="G329" i="20"/>
  <c r="CB329" i="6" s="1"/>
  <c r="AA329" i="20"/>
  <c r="Z329" i="20" s="1"/>
  <c r="Y329" i="20" s="1"/>
  <c r="G315" i="18"/>
  <c r="CA315" i="6" s="1"/>
  <c r="AA315" i="18"/>
  <c r="Z315" i="18" s="1"/>
  <c r="Y315" i="18" s="1"/>
  <c r="G297" i="20"/>
  <c r="CB297" i="6" s="1"/>
  <c r="AA297" i="20"/>
  <c r="Z297" i="20" s="1"/>
  <c r="Y297" i="20" s="1"/>
  <c r="G279" i="18"/>
  <c r="CA279" i="6" s="1"/>
  <c r="AA279" i="18"/>
  <c r="Z279" i="18" s="1"/>
  <c r="Y279" i="18" s="1"/>
  <c r="G243" i="20"/>
  <c r="CB243" i="6" s="1"/>
  <c r="AA243" i="20"/>
  <c r="Z243" i="20" s="1"/>
  <c r="Y243" i="20" s="1"/>
  <c r="G239" i="18"/>
  <c r="CA239" i="6" s="1"/>
  <c r="AA239" i="18"/>
  <c r="Z239" i="18" s="1"/>
  <c r="Y239" i="18" s="1"/>
  <c r="G237" i="20"/>
  <c r="CB237" i="6" s="1"/>
  <c r="AA237" i="20"/>
  <c r="Z237" i="20" s="1"/>
  <c r="Y237" i="20" s="1"/>
  <c r="G225" i="18"/>
  <c r="CA225" i="6" s="1"/>
  <c r="AA225" i="18"/>
  <c r="Z225" i="18" s="1"/>
  <c r="Y225" i="18" s="1"/>
  <c r="G217" i="20"/>
  <c r="CB217" i="6" s="1"/>
  <c r="AA217" i="20"/>
  <c r="Z217" i="20" s="1"/>
  <c r="Y217" i="20" s="1"/>
  <c r="G213" i="18"/>
  <c r="CA213" i="6" s="1"/>
  <c r="AA213" i="18"/>
  <c r="Z213" i="18" s="1"/>
  <c r="Y213" i="18" s="1"/>
  <c r="G199" i="20"/>
  <c r="CB199" i="6" s="1"/>
  <c r="AA199" i="20"/>
  <c r="Z199" i="20" s="1"/>
  <c r="Y199" i="20" s="1"/>
  <c r="G165" i="18"/>
  <c r="CA165" i="6" s="1"/>
  <c r="AA165" i="18"/>
  <c r="Z165" i="18" s="1"/>
  <c r="Y165" i="18" s="1"/>
  <c r="G133" i="20"/>
  <c r="CB133" i="6" s="1"/>
  <c r="AA133" i="20"/>
  <c r="Z133" i="20" s="1"/>
  <c r="Y133" i="20" s="1"/>
  <c r="G129" i="18"/>
  <c r="CA129" i="6" s="1"/>
  <c r="AA129" i="18"/>
  <c r="Z129" i="18" s="1"/>
  <c r="Y129" i="18" s="1"/>
  <c r="G121" i="20"/>
  <c r="CB121" i="6" s="1"/>
  <c r="AA121" i="20"/>
  <c r="Z121" i="20" s="1"/>
  <c r="Y121" i="20" s="1"/>
  <c r="G117" i="18"/>
  <c r="CA117" i="6" s="1"/>
  <c r="AA117" i="18"/>
  <c r="Z117" i="18" s="1"/>
  <c r="Y117" i="18" s="1"/>
  <c r="G115" i="20"/>
  <c r="CB115" i="6" s="1"/>
  <c r="AA115" i="20"/>
  <c r="Z115" i="20" s="1"/>
  <c r="Y115" i="20" s="1"/>
  <c r="G113" i="18"/>
  <c r="CA113" i="6" s="1"/>
  <c r="AA113" i="18"/>
  <c r="Z113" i="18" s="1"/>
  <c r="Y113" i="18" s="1"/>
  <c r="G109" i="20"/>
  <c r="CB109" i="6" s="1"/>
  <c r="AA109" i="20"/>
  <c r="Z109" i="20" s="1"/>
  <c r="Y109" i="20" s="1"/>
  <c r="G91" i="18"/>
  <c r="CA91" i="6" s="1"/>
  <c r="AA91" i="18"/>
  <c r="Z91" i="18" s="1"/>
  <c r="Y91" i="18" s="1"/>
  <c r="G85" i="20"/>
  <c r="CB85" i="6" s="1"/>
  <c r="AA85" i="20"/>
  <c r="Z85" i="20" s="1"/>
  <c r="Y85" i="20" s="1"/>
  <c r="G57" i="18"/>
  <c r="CA57" i="6" s="1"/>
  <c r="AA57" i="18"/>
  <c r="Z57" i="18" s="1"/>
  <c r="Y57" i="18" s="1"/>
  <c r="G51" i="20"/>
  <c r="CB51" i="6" s="1"/>
  <c r="AA51" i="20"/>
  <c r="Z51" i="20" s="1"/>
  <c r="Y51" i="20" s="1"/>
  <c r="G41" i="18"/>
  <c r="CA41" i="6" s="1"/>
  <c r="AA41" i="18"/>
  <c r="Z41" i="18" s="1"/>
  <c r="Y41" i="18" s="1"/>
  <c r="G25" i="20"/>
  <c r="CB25" i="6" s="1"/>
  <c r="AA25" i="20"/>
  <c r="Z25" i="20" s="1"/>
  <c r="Y25" i="20" s="1"/>
  <c r="G26" i="18"/>
  <c r="CA26" i="6" s="1"/>
  <c r="AA26" i="18"/>
  <c r="Z26" i="18" s="1"/>
  <c r="Y26" i="18" s="1"/>
  <c r="G370" i="20"/>
  <c r="CB370" i="6" s="1"/>
  <c r="AA370" i="20"/>
  <c r="Z370" i="20" s="1"/>
  <c r="Y370" i="20" s="1"/>
  <c r="G364" i="18"/>
  <c r="CA364" i="6" s="1"/>
  <c r="AA364" i="18"/>
  <c r="Z364" i="18" s="1"/>
  <c r="Y364" i="18" s="1"/>
  <c r="G360" i="20"/>
  <c r="CB360" i="6" s="1"/>
  <c r="AA360" i="20"/>
  <c r="Z360" i="20" s="1"/>
  <c r="Y360" i="20" s="1"/>
  <c r="G350" i="18"/>
  <c r="CA350" i="6" s="1"/>
  <c r="AA350" i="18"/>
  <c r="Z350" i="18" s="1"/>
  <c r="Y350" i="18" s="1"/>
  <c r="G344" i="20"/>
  <c r="CB344" i="6" s="1"/>
  <c r="AA344" i="20"/>
  <c r="Z344" i="20" s="1"/>
  <c r="Y344" i="20" s="1"/>
  <c r="G330" i="18"/>
  <c r="CA330" i="6" s="1"/>
  <c r="AA330" i="18"/>
  <c r="Z330" i="18" s="1"/>
  <c r="Y330" i="18" s="1"/>
  <c r="G324" i="20"/>
  <c r="CB324" i="6" s="1"/>
  <c r="AA324" i="20"/>
  <c r="Z324" i="20" s="1"/>
  <c r="Y324" i="20" s="1"/>
  <c r="G322" i="18"/>
  <c r="CA322" i="6" s="1"/>
  <c r="AA322" i="18"/>
  <c r="Z322" i="18" s="1"/>
  <c r="Y322" i="18" s="1"/>
  <c r="G304" i="20"/>
  <c r="CB304" i="6" s="1"/>
  <c r="AA304" i="20"/>
  <c r="Z304" i="20" s="1"/>
  <c r="Y304" i="20" s="1"/>
  <c r="G292" i="18"/>
  <c r="CA292" i="6" s="1"/>
  <c r="AA292" i="18"/>
  <c r="Z292" i="18" s="1"/>
  <c r="Y292" i="18" s="1"/>
  <c r="G280" i="20"/>
  <c r="CB280" i="6" s="1"/>
  <c r="AA280" i="20"/>
  <c r="Z280" i="20" s="1"/>
  <c r="Y280" i="20" s="1"/>
  <c r="G266" i="18"/>
  <c r="CA266" i="6" s="1"/>
  <c r="AA266" i="18"/>
  <c r="Z266" i="18" s="1"/>
  <c r="Y266" i="18" s="1"/>
  <c r="G256" i="18"/>
  <c r="CA256" i="6" s="1"/>
  <c r="AA256" i="18"/>
  <c r="Z256" i="18" s="1"/>
  <c r="Y256" i="18" s="1"/>
  <c r="G238" i="20"/>
  <c r="CB238" i="6" s="1"/>
  <c r="AA238" i="20"/>
  <c r="Z238" i="20" s="1"/>
  <c r="Y238" i="20" s="1"/>
  <c r="G234" i="18"/>
  <c r="CA234" i="6" s="1"/>
  <c r="AA234" i="18"/>
  <c r="Z234" i="18" s="1"/>
  <c r="Y234" i="18" s="1"/>
  <c r="G202" i="20"/>
  <c r="CB202" i="6" s="1"/>
  <c r="AA202" i="20"/>
  <c r="Z202" i="20" s="1"/>
  <c r="Y202" i="20" s="1"/>
  <c r="G184" i="18"/>
  <c r="CA184" i="6" s="1"/>
  <c r="AA184" i="18"/>
  <c r="Z184" i="18" s="1"/>
  <c r="Y184" i="18" s="1"/>
  <c r="G172" i="20"/>
  <c r="CB172" i="6" s="1"/>
  <c r="AA172" i="20"/>
  <c r="Z172" i="20" s="1"/>
  <c r="Y172" i="20" s="1"/>
  <c r="G160" i="18"/>
  <c r="CA160" i="6" s="1"/>
  <c r="AA160" i="18"/>
  <c r="Z160" i="18" s="1"/>
  <c r="Y160" i="18" s="1"/>
  <c r="G138" i="20"/>
  <c r="CB138" i="6" s="1"/>
  <c r="AA138" i="20"/>
  <c r="Z138" i="20" s="1"/>
  <c r="Y138" i="20" s="1"/>
  <c r="G124" i="18"/>
  <c r="CA124" i="6" s="1"/>
  <c r="AA124" i="18"/>
  <c r="Z124" i="18" s="1"/>
  <c r="Y124" i="18" s="1"/>
  <c r="G122" i="20"/>
  <c r="CB122" i="6" s="1"/>
  <c r="AA122" i="20"/>
  <c r="Z122" i="20" s="1"/>
  <c r="Y122" i="20" s="1"/>
  <c r="G48" i="18"/>
  <c r="CA48" i="6" s="1"/>
  <c r="AA48" i="18"/>
  <c r="Z48" i="18" s="1"/>
  <c r="Y48" i="18" s="1"/>
  <c r="G28" i="20"/>
  <c r="CB28" i="6" s="1"/>
  <c r="AA28" i="20"/>
  <c r="Z28" i="20" s="1"/>
  <c r="Y28" i="20" s="1"/>
  <c r="G27" i="18"/>
  <c r="CA27" i="6" s="1"/>
  <c r="AA27" i="18"/>
  <c r="Z27" i="18" s="1"/>
  <c r="Y27" i="18" s="1"/>
  <c r="G18" i="20"/>
  <c r="CB18" i="6" s="1"/>
  <c r="AA18" i="20"/>
  <c r="Z18" i="20" s="1"/>
  <c r="Y18" i="20" s="1"/>
  <c r="G20" i="18"/>
  <c r="CA20" i="6" s="1"/>
  <c r="AA20" i="18"/>
  <c r="Z20" i="18" s="1"/>
  <c r="Y20" i="18" s="1"/>
  <c r="G288" i="20"/>
  <c r="CB288" i="6" s="1"/>
  <c r="AA288" i="20"/>
  <c r="Z288" i="20" s="1"/>
  <c r="Y288" i="20" s="1"/>
  <c r="W359" i="20"/>
  <c r="D359" i="20"/>
  <c r="E359" i="20" s="1"/>
  <c r="F359" i="20" s="1"/>
  <c r="B359" i="22"/>
  <c r="G357" i="20"/>
  <c r="CB357" i="6" s="1"/>
  <c r="AA357" i="20"/>
  <c r="Z357" i="20" s="1"/>
  <c r="Y357" i="20" s="1"/>
  <c r="W313" i="20"/>
  <c r="D313" i="20"/>
  <c r="E313" i="20" s="1"/>
  <c r="F313" i="20" s="1"/>
  <c r="B313" i="22"/>
  <c r="G307" i="20"/>
  <c r="CB307" i="6" s="1"/>
  <c r="AA307" i="20"/>
  <c r="Z307" i="20" s="1"/>
  <c r="Y307" i="20" s="1"/>
  <c r="W269" i="20"/>
  <c r="D269" i="20"/>
  <c r="E269" i="20" s="1"/>
  <c r="F269" i="20" s="1"/>
  <c r="B269" i="22"/>
  <c r="G267" i="20"/>
  <c r="CB267" i="6" s="1"/>
  <c r="AA267" i="20"/>
  <c r="Z267" i="20" s="1"/>
  <c r="Y267" i="20" s="1"/>
  <c r="W231" i="20"/>
  <c r="D231" i="20"/>
  <c r="E231" i="20" s="1"/>
  <c r="F231" i="20" s="1"/>
  <c r="B231" i="22"/>
  <c r="W193" i="20"/>
  <c r="D193" i="20"/>
  <c r="E193" i="20" s="1"/>
  <c r="F193" i="20" s="1"/>
  <c r="B193" i="22"/>
  <c r="G191" i="20"/>
  <c r="CB191" i="6" s="1"/>
  <c r="AA191" i="20"/>
  <c r="Z191" i="20" s="1"/>
  <c r="Y191" i="20" s="1"/>
  <c r="W151" i="20"/>
  <c r="D151" i="20"/>
  <c r="E151" i="20" s="1"/>
  <c r="F151" i="20" s="1"/>
  <c r="B151" i="22"/>
  <c r="G143" i="20"/>
  <c r="CB143" i="6" s="1"/>
  <c r="AA143" i="20"/>
  <c r="Z143" i="20" s="1"/>
  <c r="Y143" i="20" s="1"/>
  <c r="W107" i="20"/>
  <c r="D107" i="20"/>
  <c r="E107" i="20" s="1"/>
  <c r="F107" i="20" s="1"/>
  <c r="B107" i="22"/>
  <c r="G65" i="20"/>
  <c r="CB65" i="6" s="1"/>
  <c r="AA65" i="20"/>
  <c r="Z65" i="20" s="1"/>
  <c r="Y65" i="20" s="1"/>
  <c r="W39" i="20"/>
  <c r="D39" i="20"/>
  <c r="E39" i="20" s="1"/>
  <c r="F39" i="20" s="1"/>
  <c r="B39" i="22"/>
  <c r="G372" i="20"/>
  <c r="CB372" i="6" s="1"/>
  <c r="AA372" i="20"/>
  <c r="Z372" i="20" s="1"/>
  <c r="Y372" i="20" s="1"/>
  <c r="W348" i="20"/>
  <c r="D348" i="20"/>
  <c r="E348" i="20" s="1"/>
  <c r="F348" i="20" s="1"/>
  <c r="B348" i="22"/>
  <c r="G300" i="18"/>
  <c r="CA300" i="6" s="1"/>
  <c r="AA300" i="18"/>
  <c r="Z300" i="18" s="1"/>
  <c r="Y300" i="18" s="1"/>
  <c r="W296" i="20"/>
  <c r="D296" i="20"/>
  <c r="E296" i="20" s="1"/>
  <c r="F296" i="20" s="1"/>
  <c r="B296" i="22"/>
  <c r="G228" i="18"/>
  <c r="CA228" i="6" s="1"/>
  <c r="AA228" i="18"/>
  <c r="Z228" i="18" s="1"/>
  <c r="Y228" i="18" s="1"/>
  <c r="W218" i="20"/>
  <c r="D218" i="20"/>
  <c r="E218" i="20" s="1"/>
  <c r="F218" i="20" s="1"/>
  <c r="B218" i="22"/>
  <c r="G164" i="18"/>
  <c r="CA164" i="6" s="1"/>
  <c r="AA164" i="18"/>
  <c r="Z164" i="18" s="1"/>
  <c r="Y164" i="18" s="1"/>
  <c r="G148" i="20"/>
  <c r="CB148" i="6" s="1"/>
  <c r="AA148" i="20"/>
  <c r="Z148" i="20" s="1"/>
  <c r="Y148" i="20" s="1"/>
  <c r="G146" i="18"/>
  <c r="CA146" i="6" s="1"/>
  <c r="AA146" i="18"/>
  <c r="Z146" i="18" s="1"/>
  <c r="Y146" i="18" s="1"/>
  <c r="W144" i="20"/>
  <c r="D144" i="20"/>
  <c r="E144" i="20" s="1"/>
  <c r="F144" i="20" s="1"/>
  <c r="B144" i="22"/>
  <c r="G120" i="18"/>
  <c r="CA120" i="6" s="1"/>
  <c r="AA120" i="18"/>
  <c r="Z120" i="18" s="1"/>
  <c r="Y120" i="18" s="1"/>
  <c r="W112" i="20"/>
  <c r="D112" i="20"/>
  <c r="E112" i="20" s="1"/>
  <c r="F112" i="20" s="1"/>
  <c r="B112" i="22"/>
  <c r="G94" i="18"/>
  <c r="CA94" i="6" s="1"/>
  <c r="AA94" i="18"/>
  <c r="Z94" i="18" s="1"/>
  <c r="Y94" i="18" s="1"/>
  <c r="W94" i="22"/>
  <c r="D94" i="22"/>
  <c r="E94" i="22" s="1"/>
  <c r="F94" i="22" s="1"/>
  <c r="B94" i="23"/>
  <c r="G80" i="18"/>
  <c r="CA80" i="6" s="1"/>
  <c r="AA80" i="18"/>
  <c r="Z80" i="18" s="1"/>
  <c r="Y80" i="18" s="1"/>
  <c r="W80" i="22"/>
  <c r="D80" i="22"/>
  <c r="E80" i="22" s="1"/>
  <c r="F80" i="22" s="1"/>
  <c r="B80" i="23"/>
  <c r="W371" i="20"/>
  <c r="D371" i="20"/>
  <c r="E371" i="20" s="1"/>
  <c r="F371" i="20" s="1"/>
  <c r="B371" i="22"/>
  <c r="G339" i="18"/>
  <c r="CA339" i="6" s="1"/>
  <c r="AA339" i="18"/>
  <c r="Z339" i="18" s="1"/>
  <c r="Y339" i="18" s="1"/>
  <c r="W339" i="22"/>
  <c r="D339" i="22"/>
  <c r="E339" i="22" s="1"/>
  <c r="F339" i="22" s="1"/>
  <c r="B339" i="23"/>
  <c r="G303" i="18"/>
  <c r="CA303" i="6" s="1"/>
  <c r="AA303" i="18"/>
  <c r="Z303" i="18" s="1"/>
  <c r="Y303" i="18" s="1"/>
  <c r="W303" i="22"/>
  <c r="D303" i="22"/>
  <c r="E303" i="22" s="1"/>
  <c r="F303" i="22" s="1"/>
  <c r="B303" i="23"/>
  <c r="G291" i="18"/>
  <c r="CA291" i="6" s="1"/>
  <c r="AA291" i="18"/>
  <c r="Z291" i="18" s="1"/>
  <c r="Y291" i="18" s="1"/>
  <c r="W291" i="22"/>
  <c r="D291" i="22"/>
  <c r="E291" i="22" s="1"/>
  <c r="F291" i="22" s="1"/>
  <c r="B291" i="23"/>
  <c r="G275" i="18"/>
  <c r="CA275" i="6" s="1"/>
  <c r="AA275" i="18"/>
  <c r="Z275" i="18" s="1"/>
  <c r="Y275" i="18" s="1"/>
  <c r="W275" i="22"/>
  <c r="D275" i="22"/>
  <c r="E275" i="22" s="1"/>
  <c r="F275" i="22" s="1"/>
  <c r="B275" i="23"/>
  <c r="W233" i="20"/>
  <c r="D233" i="20"/>
  <c r="E233" i="20" s="1"/>
  <c r="F233" i="20" s="1"/>
  <c r="B233" i="22"/>
  <c r="W215" i="20"/>
  <c r="D215" i="20"/>
  <c r="E215" i="20" s="1"/>
  <c r="F215" i="20" s="1"/>
  <c r="B215" i="22"/>
  <c r="W201" i="20"/>
  <c r="D201" i="20"/>
  <c r="E201" i="20" s="1"/>
  <c r="F201" i="20" s="1"/>
  <c r="B201" i="22"/>
  <c r="W181" i="20"/>
  <c r="D181" i="20"/>
  <c r="E181" i="20" s="1"/>
  <c r="F181" i="20" s="1"/>
  <c r="B181" i="22"/>
  <c r="W145" i="20"/>
  <c r="D145" i="20"/>
  <c r="E145" i="20" s="1"/>
  <c r="F145" i="20" s="1"/>
  <c r="B145" i="22"/>
  <c r="W123" i="20"/>
  <c r="D123" i="20"/>
  <c r="E123" i="20" s="1"/>
  <c r="F123" i="20" s="1"/>
  <c r="B123" i="22"/>
  <c r="W87" i="20"/>
  <c r="D87" i="20"/>
  <c r="E87" i="20" s="1"/>
  <c r="F87" i="20" s="1"/>
  <c r="B87" i="22"/>
  <c r="D71" i="20"/>
  <c r="E71" i="20" s="1"/>
  <c r="F71" i="20" s="1"/>
  <c r="W71" i="20"/>
  <c r="B71" i="22"/>
  <c r="W49" i="20"/>
  <c r="D49" i="20"/>
  <c r="E49" i="20" s="1"/>
  <c r="F49" i="20" s="1"/>
  <c r="B49" i="22"/>
  <c r="W45" i="20"/>
  <c r="D45" i="20"/>
  <c r="E45" i="20" s="1"/>
  <c r="F45" i="20" s="1"/>
  <c r="B45" i="22"/>
  <c r="W31" i="20"/>
  <c r="D31" i="20"/>
  <c r="E31" i="20" s="1"/>
  <c r="F31" i="20" s="1"/>
  <c r="B31" i="22"/>
  <c r="W21" i="20"/>
  <c r="D21" i="20"/>
  <c r="E21" i="20" s="1"/>
  <c r="F21" i="20" s="1"/>
  <c r="B21" i="22"/>
  <c r="W352" i="20"/>
  <c r="D352" i="20"/>
  <c r="E352" i="20" s="1"/>
  <c r="F352" i="20" s="1"/>
  <c r="B352" i="22"/>
  <c r="W328" i="20"/>
  <c r="D328" i="20"/>
  <c r="E328" i="20" s="1"/>
  <c r="F328" i="20" s="1"/>
  <c r="B328" i="22"/>
  <c r="W318" i="20"/>
  <c r="D318" i="20"/>
  <c r="E318" i="20" s="1"/>
  <c r="F318" i="20" s="1"/>
  <c r="B318" i="22"/>
  <c r="W282" i="20"/>
  <c r="D282" i="20"/>
  <c r="E282" i="20" s="1"/>
  <c r="F282" i="20" s="1"/>
  <c r="B282" i="22"/>
  <c r="W274" i="20"/>
  <c r="D274" i="20"/>
  <c r="E274" i="20" s="1"/>
  <c r="F274" i="20" s="1"/>
  <c r="B274" i="22"/>
  <c r="W268" i="20"/>
  <c r="D268" i="20"/>
  <c r="E268" i="20" s="1"/>
  <c r="F268" i="20" s="1"/>
  <c r="B268" i="22"/>
  <c r="W254" i="20"/>
  <c r="D254" i="20"/>
  <c r="E254" i="20" s="1"/>
  <c r="F254" i="20" s="1"/>
  <c r="B254" i="22"/>
  <c r="W230" i="20"/>
  <c r="D230" i="20"/>
  <c r="E230" i="20" s="1"/>
  <c r="F230" i="20" s="1"/>
  <c r="B230" i="22"/>
  <c r="W178" i="20"/>
  <c r="D178" i="20"/>
  <c r="E178" i="20" s="1"/>
  <c r="F178" i="20" s="1"/>
  <c r="B178" i="22"/>
  <c r="W170" i="20"/>
  <c r="D170" i="20"/>
  <c r="E170" i="20" s="1"/>
  <c r="F170" i="20" s="1"/>
  <c r="B170" i="22"/>
  <c r="W136" i="20"/>
  <c r="D136" i="20"/>
  <c r="E136" i="20" s="1"/>
  <c r="F136" i="20" s="1"/>
  <c r="B136" i="22"/>
  <c r="W118" i="20"/>
  <c r="D118" i="20"/>
  <c r="E118" i="20" s="1"/>
  <c r="F118" i="20" s="1"/>
  <c r="B118" i="22"/>
  <c r="W106" i="20"/>
  <c r="D106" i="20"/>
  <c r="E106" i="20" s="1"/>
  <c r="F106" i="20" s="1"/>
  <c r="B106" i="22"/>
  <c r="W92" i="20"/>
  <c r="D92" i="20"/>
  <c r="E92" i="20" s="1"/>
  <c r="F92" i="20" s="1"/>
  <c r="B92" i="22"/>
  <c r="W70" i="20"/>
  <c r="D70" i="20"/>
  <c r="E70" i="20" s="1"/>
  <c r="F70" i="20" s="1"/>
  <c r="B70" i="22"/>
  <c r="W50" i="20"/>
  <c r="D50" i="20"/>
  <c r="E50" i="20" s="1"/>
  <c r="F50" i="20" s="1"/>
  <c r="B50" i="22"/>
  <c r="G361" i="20"/>
  <c r="CB361" i="6" s="1"/>
  <c r="AA361" i="20"/>
  <c r="Z361" i="20" s="1"/>
  <c r="Y361" i="20" s="1"/>
  <c r="G323" i="18"/>
  <c r="CA323" i="6" s="1"/>
  <c r="AA323" i="18"/>
  <c r="Z323" i="18" s="1"/>
  <c r="Y323" i="18" s="1"/>
  <c r="G317" i="20"/>
  <c r="CB317" i="6" s="1"/>
  <c r="AA317" i="20"/>
  <c r="Z317" i="20" s="1"/>
  <c r="Y317" i="20" s="1"/>
  <c r="G281" i="18"/>
  <c r="CA281" i="6" s="1"/>
  <c r="AA281" i="18"/>
  <c r="Z281" i="18" s="1"/>
  <c r="Y281" i="18" s="1"/>
  <c r="G273" i="20"/>
  <c r="CB273" i="6" s="1"/>
  <c r="AA273" i="20"/>
  <c r="Z273" i="20" s="1"/>
  <c r="Y273" i="20" s="1"/>
  <c r="G271" i="18"/>
  <c r="CA271" i="6" s="1"/>
  <c r="AA271" i="18"/>
  <c r="Z271" i="18" s="1"/>
  <c r="Y271" i="18" s="1"/>
  <c r="G263" i="20"/>
  <c r="CB263" i="6" s="1"/>
  <c r="AA263" i="20"/>
  <c r="Z263" i="20" s="1"/>
  <c r="Y263" i="20" s="1"/>
  <c r="G255" i="20"/>
  <c r="CB255" i="6" s="1"/>
  <c r="AA255" i="20"/>
  <c r="Z255" i="20" s="1"/>
  <c r="Y255" i="20" s="1"/>
  <c r="G249" i="18"/>
  <c r="CA249" i="6" s="1"/>
  <c r="AA249" i="18"/>
  <c r="Z249" i="18" s="1"/>
  <c r="Y249" i="18" s="1"/>
  <c r="G247" i="20"/>
  <c r="CB247" i="6" s="1"/>
  <c r="AA247" i="20"/>
  <c r="Z247" i="20" s="1"/>
  <c r="Y247" i="20" s="1"/>
  <c r="G219" i="18"/>
  <c r="CA219" i="6" s="1"/>
  <c r="AA219" i="18"/>
  <c r="Z219" i="18" s="1"/>
  <c r="Y219" i="18" s="1"/>
  <c r="G197" i="20"/>
  <c r="CB197" i="6" s="1"/>
  <c r="AA197" i="20"/>
  <c r="Z197" i="20" s="1"/>
  <c r="Y197" i="20" s="1"/>
  <c r="G185" i="18"/>
  <c r="CA185" i="6" s="1"/>
  <c r="AA185" i="18"/>
  <c r="Z185" i="18" s="1"/>
  <c r="Y185" i="18" s="1"/>
  <c r="G183" i="20"/>
  <c r="CB183" i="6" s="1"/>
  <c r="AA183" i="20"/>
  <c r="Z183" i="20" s="1"/>
  <c r="Y183" i="20" s="1"/>
  <c r="G173" i="18"/>
  <c r="CA173" i="6" s="1"/>
  <c r="AA173" i="18"/>
  <c r="Z173" i="18" s="1"/>
  <c r="Y173" i="18" s="1"/>
  <c r="G167" i="20"/>
  <c r="CB167" i="6" s="1"/>
  <c r="AA167" i="20"/>
  <c r="Z167" i="20" s="1"/>
  <c r="Y167" i="20" s="1"/>
  <c r="G159" i="18"/>
  <c r="CA159" i="6" s="1"/>
  <c r="AA159" i="18"/>
  <c r="Z159" i="18" s="1"/>
  <c r="Y159" i="18" s="1"/>
  <c r="G155" i="20"/>
  <c r="CB155" i="6" s="1"/>
  <c r="AA155" i="20"/>
  <c r="Z155" i="20" s="1"/>
  <c r="Y155" i="20" s="1"/>
  <c r="G127" i="18"/>
  <c r="CA127" i="6" s="1"/>
  <c r="AA127" i="18"/>
  <c r="Z127" i="18" s="1"/>
  <c r="Y127" i="18" s="1"/>
  <c r="G101" i="20"/>
  <c r="CB101" i="6" s="1"/>
  <c r="AA101" i="20"/>
  <c r="Z101" i="20" s="1"/>
  <c r="Y101" i="20" s="1"/>
  <c r="G99" i="18"/>
  <c r="CA99" i="6" s="1"/>
  <c r="AA99" i="18"/>
  <c r="Z99" i="18" s="1"/>
  <c r="Y99" i="18" s="1"/>
  <c r="G97" i="20"/>
  <c r="CB97" i="6" s="1"/>
  <c r="AA97" i="20"/>
  <c r="Z97" i="20" s="1"/>
  <c r="Y97" i="20" s="1"/>
  <c r="G89" i="18"/>
  <c r="CA89" i="6" s="1"/>
  <c r="AA89" i="18"/>
  <c r="Z89" i="18" s="1"/>
  <c r="Y89" i="18" s="1"/>
  <c r="G83" i="20"/>
  <c r="CB83" i="6" s="1"/>
  <c r="AA83" i="20"/>
  <c r="Z83" i="20" s="1"/>
  <c r="Y83" i="20" s="1"/>
  <c r="G77" i="18"/>
  <c r="CA77" i="6" s="1"/>
  <c r="AA77" i="18"/>
  <c r="Z77" i="18" s="1"/>
  <c r="Y77" i="18" s="1"/>
  <c r="G63" i="20"/>
  <c r="CB63" i="6" s="1"/>
  <c r="AA63" i="20"/>
  <c r="Z63" i="20" s="1"/>
  <c r="Y63" i="20" s="1"/>
  <c r="G61" i="18"/>
  <c r="CA61" i="6" s="1"/>
  <c r="AA61" i="18"/>
  <c r="Z61" i="18" s="1"/>
  <c r="Y61" i="18" s="1"/>
  <c r="G55" i="20"/>
  <c r="CB55" i="6" s="1"/>
  <c r="AA55" i="20"/>
  <c r="Z55" i="20" s="1"/>
  <c r="Y55" i="20" s="1"/>
  <c r="G37" i="18"/>
  <c r="CA37" i="6" s="1"/>
  <c r="AA37" i="18"/>
  <c r="Z37" i="18" s="1"/>
  <c r="Y37" i="18" s="1"/>
  <c r="G88" i="20"/>
  <c r="CB88" i="6" s="1"/>
  <c r="AA88" i="20"/>
  <c r="Z88" i="20" s="1"/>
  <c r="Y88" i="20" s="1"/>
  <c r="G265" i="18"/>
  <c r="CA265" i="6" s="1"/>
  <c r="AA265" i="18"/>
  <c r="Z265" i="18" s="1"/>
  <c r="Y265" i="18" s="1"/>
  <c r="G287" i="20"/>
  <c r="CB287" i="6" s="1"/>
  <c r="AA287" i="20"/>
  <c r="Z287" i="20" s="1"/>
  <c r="Y287" i="20" s="1"/>
  <c r="G130" i="18"/>
  <c r="CA130" i="6" s="1"/>
  <c r="AA130" i="18"/>
  <c r="Z130" i="18" s="1"/>
  <c r="Y130" i="18" s="1"/>
  <c r="G19" i="20"/>
  <c r="CB19" i="6" s="1"/>
  <c r="AA19" i="20"/>
  <c r="Z19" i="20" s="1"/>
  <c r="Y19" i="20" s="1"/>
  <c r="G161" i="18"/>
  <c r="CA161" i="6" s="1"/>
  <c r="AA161" i="18"/>
  <c r="Z161" i="18" s="1"/>
  <c r="Y161" i="18" s="1"/>
  <c r="W175" i="20"/>
  <c r="D175" i="20"/>
  <c r="E175" i="20" s="1"/>
  <c r="F175" i="20" s="1"/>
  <c r="B175" i="22"/>
  <c r="G363" i="18"/>
  <c r="CA363" i="6" s="1"/>
  <c r="AA363" i="18"/>
  <c r="Z363" i="18" s="1"/>
  <c r="Y363" i="18" s="1"/>
  <c r="W379" i="20"/>
  <c r="D379" i="20"/>
  <c r="E379" i="20" s="1"/>
  <c r="F379" i="20" s="1"/>
  <c r="B379" i="22"/>
  <c r="W375" i="20"/>
  <c r="D375" i="20"/>
  <c r="E375" i="20" s="1"/>
  <c r="F375" i="20" s="1"/>
  <c r="B375" i="22"/>
  <c r="AA373" i="20"/>
  <c r="Z373" i="20" s="1"/>
  <c r="Y373" i="20" s="1"/>
  <c r="G373" i="20"/>
  <c r="CB373" i="6" s="1"/>
  <c r="W337" i="20"/>
  <c r="D337" i="20"/>
  <c r="E337" i="20" s="1"/>
  <c r="F337" i="20" s="1"/>
  <c r="B337" i="22"/>
  <c r="G325" i="20"/>
  <c r="CB325" i="6" s="1"/>
  <c r="AA325" i="20"/>
  <c r="Z325" i="20" s="1"/>
  <c r="Y325" i="20" s="1"/>
  <c r="W301" i="20"/>
  <c r="D301" i="20"/>
  <c r="E301" i="20" s="1"/>
  <c r="F301" i="20" s="1"/>
  <c r="B301" i="22"/>
  <c r="G277" i="20"/>
  <c r="CB277" i="6" s="1"/>
  <c r="AA277" i="20"/>
  <c r="Z277" i="20" s="1"/>
  <c r="Y277" i="20" s="1"/>
  <c r="W257" i="20"/>
  <c r="D257" i="20"/>
  <c r="E257" i="20" s="1"/>
  <c r="F257" i="20" s="1"/>
  <c r="B257" i="22"/>
  <c r="G245" i="20"/>
  <c r="CB245" i="6" s="1"/>
  <c r="AA245" i="20"/>
  <c r="Z245" i="20" s="1"/>
  <c r="Y245" i="20" s="1"/>
  <c r="W211" i="20"/>
  <c r="D211" i="20"/>
  <c r="E211" i="20" s="1"/>
  <c r="F211" i="20" s="1"/>
  <c r="B211" i="22"/>
  <c r="G203" i="20"/>
  <c r="CB203" i="6" s="1"/>
  <c r="AA203" i="20"/>
  <c r="Z203" i="20" s="1"/>
  <c r="Y203" i="20" s="1"/>
  <c r="W179" i="20"/>
  <c r="D179" i="20"/>
  <c r="E179" i="20" s="1"/>
  <c r="F179" i="20" s="1"/>
  <c r="B179" i="22"/>
  <c r="G169" i="20"/>
  <c r="CB169" i="6" s="1"/>
  <c r="AA169" i="20"/>
  <c r="Z169" i="20" s="1"/>
  <c r="Y169" i="20" s="1"/>
  <c r="W141" i="20"/>
  <c r="D141" i="20"/>
  <c r="E141" i="20" s="1"/>
  <c r="F141" i="20" s="1"/>
  <c r="B141" i="22"/>
  <c r="G139" i="20"/>
  <c r="CB139" i="6" s="1"/>
  <c r="AA139" i="20"/>
  <c r="Z139" i="20" s="1"/>
  <c r="Y139" i="20" s="1"/>
  <c r="W59" i="20"/>
  <c r="D59" i="20"/>
  <c r="E59" i="20" s="1"/>
  <c r="F59" i="20" s="1"/>
  <c r="B59" i="22"/>
  <c r="G53" i="20"/>
  <c r="CB53" i="6" s="1"/>
  <c r="AA53" i="20"/>
  <c r="Z53" i="20" s="1"/>
  <c r="Y53" i="20" s="1"/>
  <c r="G348" i="18"/>
  <c r="CA348" i="6" s="1"/>
  <c r="AA348" i="18"/>
  <c r="Z348" i="18" s="1"/>
  <c r="Y348" i="18" s="1"/>
  <c r="G326" i="18"/>
  <c r="CA326" i="6" s="1"/>
  <c r="AA326" i="18"/>
  <c r="Z326" i="18" s="1"/>
  <c r="Y326" i="18" s="1"/>
  <c r="G296" i="18"/>
  <c r="CA296" i="6" s="1"/>
  <c r="AA296" i="18"/>
  <c r="Z296" i="18" s="1"/>
  <c r="Y296" i="18" s="1"/>
  <c r="G250" i="18"/>
  <c r="CA250" i="6" s="1"/>
  <c r="AA250" i="18"/>
  <c r="Z250" i="18" s="1"/>
  <c r="Y250" i="18" s="1"/>
  <c r="G218" i="18"/>
  <c r="CA218" i="6" s="1"/>
  <c r="AA218" i="18"/>
  <c r="Z218" i="18" s="1"/>
  <c r="Y218" i="18" s="1"/>
  <c r="G188" i="18"/>
  <c r="CA188" i="6" s="1"/>
  <c r="AA188" i="18"/>
  <c r="Z188" i="18" s="1"/>
  <c r="Y188" i="18" s="1"/>
  <c r="G148" i="18"/>
  <c r="CA148" i="6" s="1"/>
  <c r="AA148" i="18"/>
  <c r="Z148" i="18" s="1"/>
  <c r="Y148" i="18" s="1"/>
  <c r="G144" i="18"/>
  <c r="CA144" i="6" s="1"/>
  <c r="AA144" i="18"/>
  <c r="Z144" i="18" s="1"/>
  <c r="Y144" i="18" s="1"/>
  <c r="G126" i="18"/>
  <c r="CA126" i="6" s="1"/>
  <c r="AA126" i="18"/>
  <c r="Z126" i="18" s="1"/>
  <c r="Y126" i="18" s="1"/>
  <c r="G112" i="18"/>
  <c r="CA112" i="6" s="1"/>
  <c r="AA112" i="18"/>
  <c r="Z112" i="18" s="1"/>
  <c r="Y112" i="18" s="1"/>
  <c r="G96" i="18"/>
  <c r="CA96" i="6" s="1"/>
  <c r="AA96" i="18"/>
  <c r="Z96" i="18" s="1"/>
  <c r="Y96" i="18" s="1"/>
  <c r="G94" i="20"/>
  <c r="CB94" i="6" s="1"/>
  <c r="AA94" i="20"/>
  <c r="Z94" i="20" s="1"/>
  <c r="Y94" i="20" s="1"/>
  <c r="G86" i="18"/>
  <c r="CA86" i="6" s="1"/>
  <c r="AA86" i="18"/>
  <c r="Z86" i="18" s="1"/>
  <c r="Y86" i="18" s="1"/>
  <c r="G80" i="20"/>
  <c r="CB80" i="6" s="1"/>
  <c r="AA80" i="20"/>
  <c r="Z80" i="20" s="1"/>
  <c r="Y80" i="20" s="1"/>
  <c r="G34" i="18"/>
  <c r="CA34" i="6" s="1"/>
  <c r="AA34" i="18"/>
  <c r="Z34" i="18" s="1"/>
  <c r="Y34" i="18" s="1"/>
  <c r="G371" i="18"/>
  <c r="CA371" i="6" s="1"/>
  <c r="AA371" i="18"/>
  <c r="Z371" i="18" s="1"/>
  <c r="Y371" i="18" s="1"/>
  <c r="G341" i="18"/>
  <c r="CA341" i="6" s="1"/>
  <c r="AA341" i="18"/>
  <c r="Z341" i="18" s="1"/>
  <c r="Y341" i="18" s="1"/>
  <c r="G339" i="20"/>
  <c r="CB339" i="6" s="1"/>
  <c r="AA339" i="20"/>
  <c r="Z339" i="20" s="1"/>
  <c r="Y339" i="20" s="1"/>
  <c r="G327" i="18"/>
  <c r="CA327" i="6" s="1"/>
  <c r="AA327" i="18"/>
  <c r="Z327" i="18" s="1"/>
  <c r="Y327" i="18" s="1"/>
  <c r="G303" i="20"/>
  <c r="CB303" i="6" s="1"/>
  <c r="AA303" i="20"/>
  <c r="Z303" i="20" s="1"/>
  <c r="Y303" i="20" s="1"/>
  <c r="G293" i="18"/>
  <c r="CA293" i="6" s="1"/>
  <c r="AA293" i="18"/>
  <c r="Z293" i="18" s="1"/>
  <c r="Y293" i="18" s="1"/>
  <c r="G291" i="20"/>
  <c r="CB291" i="6" s="1"/>
  <c r="AA291" i="20"/>
  <c r="Z291" i="20" s="1"/>
  <c r="Y291" i="20" s="1"/>
  <c r="G285" i="18"/>
  <c r="CA285" i="6" s="1"/>
  <c r="AA285" i="18"/>
  <c r="Z285" i="18" s="1"/>
  <c r="Y285" i="18" s="1"/>
  <c r="G275" i="20"/>
  <c r="CB275" i="6" s="1"/>
  <c r="AA275" i="20"/>
  <c r="Z275" i="20" s="1"/>
  <c r="Y275" i="20" s="1"/>
  <c r="G259" i="18"/>
  <c r="CA259" i="6" s="1"/>
  <c r="AA259" i="18"/>
  <c r="Z259" i="18" s="1"/>
  <c r="Y259" i="18" s="1"/>
  <c r="G233" i="18"/>
  <c r="CA233" i="6" s="1"/>
  <c r="AA233" i="18"/>
  <c r="Z233" i="18" s="1"/>
  <c r="Y233" i="18" s="1"/>
  <c r="G221" i="20"/>
  <c r="CB221" i="6" s="1"/>
  <c r="AA221" i="20"/>
  <c r="Z221" i="20" s="1"/>
  <c r="Y221" i="20" s="1"/>
  <c r="G215" i="18"/>
  <c r="CA215" i="6" s="1"/>
  <c r="AA215" i="18"/>
  <c r="Z215" i="18" s="1"/>
  <c r="Y215" i="18" s="1"/>
  <c r="G209" i="20"/>
  <c r="CB209" i="6" s="1"/>
  <c r="AA209" i="20"/>
  <c r="Z209" i="20" s="1"/>
  <c r="Y209" i="20" s="1"/>
  <c r="G201" i="18"/>
  <c r="CA201" i="6" s="1"/>
  <c r="AA201" i="18"/>
  <c r="Z201" i="18" s="1"/>
  <c r="Y201" i="18" s="1"/>
  <c r="G195" i="20"/>
  <c r="CB195" i="6" s="1"/>
  <c r="AA195" i="20"/>
  <c r="Z195" i="20" s="1"/>
  <c r="Y195" i="20" s="1"/>
  <c r="G181" i="18"/>
  <c r="CA181" i="6" s="1"/>
  <c r="AA181" i="18"/>
  <c r="Z181" i="18" s="1"/>
  <c r="Y181" i="18" s="1"/>
  <c r="G147" i="20"/>
  <c r="CB147" i="6" s="1"/>
  <c r="AA147" i="20"/>
  <c r="Z147" i="20" s="1"/>
  <c r="Y147" i="20" s="1"/>
  <c r="G145" i="18"/>
  <c r="CA145" i="6" s="1"/>
  <c r="AA145" i="18"/>
  <c r="Z145" i="18" s="1"/>
  <c r="Y145" i="18" s="1"/>
  <c r="G131" i="20"/>
  <c r="CB131" i="6" s="1"/>
  <c r="AA131" i="20"/>
  <c r="Z131" i="20" s="1"/>
  <c r="Y131" i="20" s="1"/>
  <c r="G123" i="18"/>
  <c r="CA123" i="6" s="1"/>
  <c r="AA123" i="18"/>
  <c r="Z123" i="18" s="1"/>
  <c r="Y123" i="18" s="1"/>
  <c r="G93" i="20"/>
  <c r="CB93" i="6" s="1"/>
  <c r="AA93" i="20"/>
  <c r="Z93" i="20" s="1"/>
  <c r="Y93" i="20" s="1"/>
  <c r="G87" i="18"/>
  <c r="CA87" i="6" s="1"/>
  <c r="AA87" i="18"/>
  <c r="Z87" i="18" s="1"/>
  <c r="Y87" i="18" s="1"/>
  <c r="G79" i="20"/>
  <c r="CB79" i="6" s="1"/>
  <c r="AA79" i="20"/>
  <c r="Z79" i="20" s="1"/>
  <c r="Y79" i="20" s="1"/>
  <c r="G71" i="18"/>
  <c r="CA71" i="6" s="1"/>
  <c r="AA71" i="18"/>
  <c r="Z71" i="18" s="1"/>
  <c r="Y71" i="18" s="1"/>
  <c r="G69" i="20"/>
  <c r="CB69" i="6" s="1"/>
  <c r="AA69" i="20"/>
  <c r="Z69" i="20" s="1"/>
  <c r="Y69" i="20" s="1"/>
  <c r="G49" i="18"/>
  <c r="CA49" i="6" s="1"/>
  <c r="AA49" i="18"/>
  <c r="Z49" i="18" s="1"/>
  <c r="Y49" i="18" s="1"/>
  <c r="G47" i="20"/>
  <c r="CB47" i="6" s="1"/>
  <c r="AA47" i="20"/>
  <c r="Z47" i="20" s="1"/>
  <c r="Y47" i="20" s="1"/>
  <c r="G45" i="18"/>
  <c r="CA45" i="6" s="1"/>
  <c r="AA45" i="18"/>
  <c r="Z45" i="18" s="1"/>
  <c r="Y45" i="18" s="1"/>
  <c r="G33" i="20"/>
  <c r="CB33" i="6" s="1"/>
  <c r="AA33" i="20"/>
  <c r="Z33" i="20" s="1"/>
  <c r="Y33" i="20" s="1"/>
  <c r="G31" i="18"/>
  <c r="CA31" i="6" s="1"/>
  <c r="AA31" i="18"/>
  <c r="Z31" i="18" s="1"/>
  <c r="Y31" i="18" s="1"/>
  <c r="G23" i="18"/>
  <c r="CA23" i="6" s="1"/>
  <c r="AA23" i="18"/>
  <c r="Z23" i="18" s="1"/>
  <c r="Y23" i="18" s="1"/>
  <c r="G21" i="18"/>
  <c r="CA21" i="6" s="1"/>
  <c r="AA21" i="18"/>
  <c r="Z21" i="18" s="1"/>
  <c r="Y21" i="18" s="1"/>
  <c r="G258" i="18"/>
  <c r="CA258" i="6" s="1"/>
  <c r="AA258" i="18"/>
  <c r="Z258" i="18" s="1"/>
  <c r="Y258" i="18" s="1"/>
  <c r="G352" i="18"/>
  <c r="CA352" i="6" s="1"/>
  <c r="AA352" i="18"/>
  <c r="Z352" i="18" s="1"/>
  <c r="Y352" i="18" s="1"/>
  <c r="G336" i="20"/>
  <c r="CB336" i="6" s="1"/>
  <c r="AA336" i="20"/>
  <c r="Z336" i="20" s="1"/>
  <c r="Y336" i="20" s="1"/>
  <c r="G328" i="18"/>
  <c r="CA328" i="6" s="1"/>
  <c r="AA328" i="18"/>
  <c r="Z328" i="18" s="1"/>
  <c r="Y328" i="18" s="1"/>
  <c r="G320" i="20"/>
  <c r="CB320" i="6" s="1"/>
  <c r="AA320" i="20"/>
  <c r="Z320" i="20" s="1"/>
  <c r="Y320" i="20" s="1"/>
  <c r="G318" i="18"/>
  <c r="CA318" i="6" s="1"/>
  <c r="AA318" i="18"/>
  <c r="Z318" i="18" s="1"/>
  <c r="Y318" i="18" s="1"/>
  <c r="G308" i="20"/>
  <c r="CB308" i="6" s="1"/>
  <c r="AA308" i="20"/>
  <c r="Z308" i="20" s="1"/>
  <c r="Y308" i="20" s="1"/>
  <c r="G282" i="18"/>
  <c r="CA282" i="6" s="1"/>
  <c r="AA282" i="18"/>
  <c r="Z282" i="18" s="1"/>
  <c r="Y282" i="18" s="1"/>
  <c r="G276" i="20"/>
  <c r="CB276" i="6" s="1"/>
  <c r="AA276" i="20"/>
  <c r="Z276" i="20" s="1"/>
  <c r="Y276" i="20" s="1"/>
  <c r="G274" i="18"/>
  <c r="CA274" i="6" s="1"/>
  <c r="AA274" i="18"/>
  <c r="Z274" i="18" s="1"/>
  <c r="Y274" i="18" s="1"/>
  <c r="G270" i="20"/>
  <c r="CB270" i="6" s="1"/>
  <c r="AA270" i="20"/>
  <c r="Z270" i="20" s="1"/>
  <c r="Y270" i="20" s="1"/>
  <c r="G268" i="18"/>
  <c r="CA268" i="6" s="1"/>
  <c r="AA268" i="18"/>
  <c r="Z268" i="18" s="1"/>
  <c r="Y268" i="18" s="1"/>
  <c r="G260" i="20"/>
  <c r="CB260" i="6" s="1"/>
  <c r="AA260" i="20"/>
  <c r="Z260" i="20" s="1"/>
  <c r="Y260" i="20" s="1"/>
  <c r="G254" i="18"/>
  <c r="CA254" i="6" s="1"/>
  <c r="AA254" i="18"/>
  <c r="Z254" i="18" s="1"/>
  <c r="Y254" i="18" s="1"/>
  <c r="G246" i="20"/>
  <c r="CB246" i="6" s="1"/>
  <c r="AA246" i="20"/>
  <c r="Z246" i="20" s="1"/>
  <c r="Y246" i="20" s="1"/>
  <c r="G230" i="18"/>
  <c r="CA230" i="6" s="1"/>
  <c r="AA230" i="18"/>
  <c r="Z230" i="18" s="1"/>
  <c r="Y230" i="18" s="1"/>
  <c r="G220" i="20"/>
  <c r="CB220" i="6" s="1"/>
  <c r="AA220" i="20"/>
  <c r="Z220" i="20" s="1"/>
  <c r="Y220" i="20" s="1"/>
  <c r="G178" i="18"/>
  <c r="CA178" i="6" s="1"/>
  <c r="AA178" i="18"/>
  <c r="Z178" i="18" s="1"/>
  <c r="Y178" i="18" s="1"/>
  <c r="G176" i="20"/>
  <c r="CB176" i="6" s="1"/>
  <c r="AA176" i="20"/>
  <c r="Z176" i="20" s="1"/>
  <c r="Y176" i="20" s="1"/>
  <c r="G170" i="18"/>
  <c r="CA170" i="6" s="1"/>
  <c r="AA170" i="18"/>
  <c r="Z170" i="18" s="1"/>
  <c r="Y170" i="18" s="1"/>
  <c r="G140" i="20"/>
  <c r="CB140" i="6" s="1"/>
  <c r="AA140" i="20"/>
  <c r="Z140" i="20" s="1"/>
  <c r="Y140" i="20" s="1"/>
  <c r="G136" i="18"/>
  <c r="CA136" i="6" s="1"/>
  <c r="AA136" i="18"/>
  <c r="Z136" i="18" s="1"/>
  <c r="Y136" i="18" s="1"/>
  <c r="G128" i="20"/>
  <c r="CB128" i="6" s="1"/>
  <c r="AA128" i="20"/>
  <c r="Z128" i="20" s="1"/>
  <c r="Y128" i="20" s="1"/>
  <c r="G118" i="18"/>
  <c r="CA118" i="6" s="1"/>
  <c r="AA118" i="18"/>
  <c r="Z118" i="18" s="1"/>
  <c r="Y118" i="18" s="1"/>
  <c r="G110" i="20"/>
  <c r="CB110" i="6" s="1"/>
  <c r="AA110" i="20"/>
  <c r="Z110" i="20" s="1"/>
  <c r="Y110" i="20" s="1"/>
  <c r="G106" i="18"/>
  <c r="CA106" i="6" s="1"/>
  <c r="AA106" i="18"/>
  <c r="Z106" i="18" s="1"/>
  <c r="Y106" i="18" s="1"/>
  <c r="G104" i="20"/>
  <c r="CB104" i="6" s="1"/>
  <c r="AA104" i="20"/>
  <c r="Z104" i="20" s="1"/>
  <c r="Y104" i="20" s="1"/>
  <c r="G92" i="18"/>
  <c r="CA92" i="6" s="1"/>
  <c r="AA92" i="18"/>
  <c r="Z92" i="18" s="1"/>
  <c r="Y92" i="18" s="1"/>
  <c r="G84" i="20"/>
  <c r="CB84" i="6" s="1"/>
  <c r="AA84" i="20"/>
  <c r="Z84" i="20" s="1"/>
  <c r="Y84" i="20" s="1"/>
  <c r="G70" i="18"/>
  <c r="CA70" i="6" s="1"/>
  <c r="AA70" i="18"/>
  <c r="Z70" i="18" s="1"/>
  <c r="Y70" i="18" s="1"/>
  <c r="G56" i="20"/>
  <c r="CB56" i="6" s="1"/>
  <c r="AA56" i="20"/>
  <c r="Z56" i="20" s="1"/>
  <c r="Y56" i="20" s="1"/>
  <c r="G50" i="18"/>
  <c r="CA50" i="6" s="1"/>
  <c r="AA50" i="18"/>
  <c r="Z50" i="18" s="1"/>
  <c r="Y50" i="18" s="1"/>
  <c r="G42" i="20"/>
  <c r="CB42" i="6" s="1"/>
  <c r="AA42" i="20"/>
  <c r="Z42" i="20" s="1"/>
  <c r="Y42" i="20" s="1"/>
  <c r="G361" i="18"/>
  <c r="CA361" i="6" s="1"/>
  <c r="AA361" i="18"/>
  <c r="Z361" i="18" s="1"/>
  <c r="Y361" i="18" s="1"/>
  <c r="G317" i="18"/>
  <c r="CA317" i="6" s="1"/>
  <c r="AA317" i="18"/>
  <c r="Z317" i="18" s="1"/>
  <c r="Y317" i="18" s="1"/>
  <c r="G273" i="18"/>
  <c r="CA273" i="6" s="1"/>
  <c r="AA273" i="18"/>
  <c r="Z273" i="18" s="1"/>
  <c r="Y273" i="18" s="1"/>
  <c r="G263" i="18"/>
  <c r="CA263" i="6" s="1"/>
  <c r="AA263" i="18"/>
  <c r="Z263" i="18" s="1"/>
  <c r="Y263" i="18" s="1"/>
  <c r="G255" i="18"/>
  <c r="CA255" i="6" s="1"/>
  <c r="AA255" i="18"/>
  <c r="Z255" i="18" s="1"/>
  <c r="Y255" i="18" s="1"/>
  <c r="G247" i="18"/>
  <c r="CA247" i="6" s="1"/>
  <c r="AA247" i="18"/>
  <c r="Z247" i="18" s="1"/>
  <c r="Y247" i="18" s="1"/>
  <c r="G197" i="18"/>
  <c r="CA197" i="6" s="1"/>
  <c r="AA197" i="18"/>
  <c r="Z197" i="18" s="1"/>
  <c r="Y197" i="18" s="1"/>
  <c r="G183" i="18"/>
  <c r="CA183" i="6" s="1"/>
  <c r="AA183" i="18"/>
  <c r="Z183" i="18" s="1"/>
  <c r="Y183" i="18" s="1"/>
  <c r="G167" i="18"/>
  <c r="CA167" i="6" s="1"/>
  <c r="AA167" i="18"/>
  <c r="Z167" i="18" s="1"/>
  <c r="Y167" i="18" s="1"/>
  <c r="G155" i="18"/>
  <c r="CA155" i="6" s="1"/>
  <c r="AA155" i="18"/>
  <c r="Z155" i="18" s="1"/>
  <c r="Y155" i="18" s="1"/>
  <c r="G101" i="18"/>
  <c r="CA101" i="6" s="1"/>
  <c r="AA101" i="18"/>
  <c r="Z101" i="18" s="1"/>
  <c r="Y101" i="18" s="1"/>
  <c r="G97" i="18"/>
  <c r="CA97" i="6" s="1"/>
  <c r="AA97" i="18"/>
  <c r="Z97" i="18" s="1"/>
  <c r="Y97" i="18" s="1"/>
  <c r="G83" i="18"/>
  <c r="CA83" i="6" s="1"/>
  <c r="AA83" i="18"/>
  <c r="Z83" i="18" s="1"/>
  <c r="Y83" i="18" s="1"/>
  <c r="G63" i="18"/>
  <c r="CA63" i="6" s="1"/>
  <c r="AA63" i="18"/>
  <c r="Z63" i="18" s="1"/>
  <c r="Y63" i="18" s="1"/>
  <c r="G55" i="18"/>
  <c r="CA55" i="6" s="1"/>
  <c r="AA55" i="18"/>
  <c r="Z55" i="18" s="1"/>
  <c r="Y55" i="18" s="1"/>
  <c r="G88" i="18"/>
  <c r="CA88" i="6" s="1"/>
  <c r="AA88" i="18"/>
  <c r="Z88" i="18" s="1"/>
  <c r="Y88" i="18" s="1"/>
  <c r="G287" i="18"/>
  <c r="CA287" i="6" s="1"/>
  <c r="AA287" i="18"/>
  <c r="Z287" i="18" s="1"/>
  <c r="Y287" i="18" s="1"/>
  <c r="G19" i="18"/>
  <c r="CA19" i="6" s="1"/>
  <c r="AA19" i="18"/>
  <c r="Z19" i="18" s="1"/>
  <c r="Y19" i="18" s="1"/>
  <c r="G175" i="18"/>
  <c r="CA175" i="6" s="1"/>
  <c r="AA175" i="18"/>
  <c r="Z175" i="18" s="1"/>
  <c r="Y175" i="18" s="1"/>
  <c r="G116" i="18"/>
  <c r="CA116" i="6" s="1"/>
  <c r="AA116" i="18"/>
  <c r="Z116" i="18" s="1"/>
  <c r="Y116" i="18" s="1"/>
  <c r="G284" i="18"/>
  <c r="CA284" i="6" s="1"/>
  <c r="AA284" i="18"/>
  <c r="Z284" i="18" s="1"/>
  <c r="Y284" i="18" s="1"/>
  <c r="G241" i="18"/>
  <c r="CA241" i="6" s="1"/>
  <c r="AA241" i="18"/>
  <c r="Z241" i="18" s="1"/>
  <c r="Y241" i="18" s="1"/>
  <c r="G302" i="18"/>
  <c r="CA302" i="6" s="1"/>
  <c r="AA302" i="18"/>
  <c r="Z302" i="18" s="1"/>
  <c r="Y302" i="18" s="1"/>
  <c r="G189" i="18"/>
  <c r="CA189" i="6" s="1"/>
  <c r="AA189" i="18"/>
  <c r="Z189" i="18" s="1"/>
  <c r="Y189" i="18" s="1"/>
  <c r="G367" i="18"/>
  <c r="CA367" i="6" s="1"/>
  <c r="AA367" i="18"/>
  <c r="Z367" i="18" s="1"/>
  <c r="Y367" i="18" s="1"/>
  <c r="G154" i="18"/>
  <c r="CA154" i="6" s="1"/>
  <c r="AA154" i="18"/>
  <c r="Z154" i="18" s="1"/>
  <c r="Y154" i="18" s="1"/>
  <c r="G335" i="18"/>
  <c r="CA335" i="6" s="1"/>
  <c r="AA335" i="18"/>
  <c r="Z335" i="18" s="1"/>
  <c r="Y335" i="18" s="1"/>
  <c r="G194" i="18"/>
  <c r="CA194" i="6" s="1"/>
  <c r="AA194" i="18"/>
  <c r="Z194" i="18" s="1"/>
  <c r="Y194" i="18" s="1"/>
  <c r="G135" i="18"/>
  <c r="CA135" i="6" s="1"/>
  <c r="AA135" i="18"/>
  <c r="Z135" i="18" s="1"/>
  <c r="Y135" i="18" s="1"/>
  <c r="G272" i="18"/>
  <c r="CA272" i="6" s="1"/>
  <c r="AA272" i="18"/>
  <c r="Z272" i="18" s="1"/>
  <c r="Y272" i="18" s="1"/>
  <c r="G171" i="18"/>
  <c r="CA171" i="6" s="1"/>
  <c r="AA171" i="18"/>
  <c r="Z171" i="18" s="1"/>
  <c r="Y171" i="18" s="1"/>
  <c r="G346" i="18"/>
  <c r="CA346" i="6" s="1"/>
  <c r="AA346" i="18"/>
  <c r="Z346" i="18" s="1"/>
  <c r="Y346" i="18" s="1"/>
  <c r="G75" i="18"/>
  <c r="CA75" i="6" s="1"/>
  <c r="AA75" i="18"/>
  <c r="Z75" i="18" s="1"/>
  <c r="Y75" i="18" s="1"/>
  <c r="G283" i="18"/>
  <c r="CA283" i="6" s="1"/>
  <c r="AA283" i="18"/>
  <c r="Z283" i="18" s="1"/>
  <c r="Y283" i="18" s="1"/>
  <c r="G261" i="18"/>
  <c r="CA261" i="6" s="1"/>
  <c r="AA261" i="18"/>
  <c r="Z261" i="18" s="1"/>
  <c r="Y261" i="18" s="1"/>
  <c r="G248" i="18"/>
  <c r="CA248" i="6" s="1"/>
  <c r="AA248" i="18"/>
  <c r="Z248" i="18" s="1"/>
  <c r="Y248" i="18" s="1"/>
  <c r="G74" i="18"/>
  <c r="CA74" i="6" s="1"/>
  <c r="AA74" i="18"/>
  <c r="Z74" i="18" s="1"/>
  <c r="Y74" i="18" s="1"/>
  <c r="G22" i="18"/>
  <c r="CA22" i="6" s="1"/>
  <c r="AA22" i="18"/>
  <c r="Z22" i="18" s="1"/>
  <c r="Y22" i="18" s="1"/>
  <c r="G349" i="18"/>
  <c r="CA349" i="6" s="1"/>
  <c r="AA349" i="18"/>
  <c r="Z349" i="18" s="1"/>
  <c r="Y349" i="18" s="1"/>
  <c r="G46" i="18"/>
  <c r="CA46" i="6" s="1"/>
  <c r="AA46" i="18"/>
  <c r="Z46" i="18" s="1"/>
  <c r="Y46" i="18" s="1"/>
  <c r="G67" i="18"/>
  <c r="CA67" i="6" s="1"/>
  <c r="AA67" i="18"/>
  <c r="Z67" i="18" s="1"/>
  <c r="Y67" i="18" s="1"/>
  <c r="G226" i="18"/>
  <c r="CA226" i="6" s="1"/>
  <c r="AA226" i="18"/>
  <c r="Z226" i="18" s="1"/>
  <c r="Y226" i="18" s="1"/>
  <c r="G187" i="18"/>
  <c r="CA187" i="6" s="1"/>
  <c r="AA187" i="18"/>
  <c r="Z187" i="18" s="1"/>
  <c r="Y187" i="18" s="1"/>
  <c r="G150" i="18"/>
  <c r="CA150" i="6" s="1"/>
  <c r="AA150" i="18"/>
  <c r="Z150" i="18" s="1"/>
  <c r="Y150" i="18" s="1"/>
  <c r="G365" i="18"/>
  <c r="CA365" i="6" s="1"/>
  <c r="AA365" i="18"/>
  <c r="Z365" i="18" s="1"/>
  <c r="Y365" i="18" s="1"/>
  <c r="G29" i="18"/>
  <c r="CA29" i="6" s="1"/>
  <c r="AA29" i="18"/>
  <c r="Z29" i="18" s="1"/>
  <c r="Y29" i="18" s="1"/>
  <c r="G60" i="18"/>
  <c r="CA60" i="6" s="1"/>
  <c r="AA60" i="18"/>
  <c r="Z60" i="18" s="1"/>
  <c r="Y60" i="18" s="1"/>
  <c r="G180" i="18"/>
  <c r="CA180" i="6" s="1"/>
  <c r="AA180" i="18"/>
  <c r="Z180" i="18" s="1"/>
  <c r="Y180" i="18" s="1"/>
  <c r="G196" i="18"/>
  <c r="CA196" i="6" s="1"/>
  <c r="AA196" i="18"/>
  <c r="Z196" i="18" s="1"/>
  <c r="Y196" i="18" s="1"/>
  <c r="E15" i="20"/>
  <c r="G146" i="20"/>
  <c r="CB146" i="6" s="1"/>
  <c r="AA146" i="20"/>
  <c r="Z146" i="20" s="1"/>
  <c r="Y146" i="20" s="1"/>
  <c r="W142" i="22"/>
  <c r="D142" i="22"/>
  <c r="E142" i="22" s="1"/>
  <c r="F142" i="22" s="1"/>
  <c r="B142" i="23"/>
  <c r="AA120" i="20"/>
  <c r="Z120" i="20" s="1"/>
  <c r="Y120" i="20" s="1"/>
  <c r="G120" i="20"/>
  <c r="CB120" i="6" s="1"/>
  <c r="W108" i="22"/>
  <c r="D108" i="22"/>
  <c r="E108" i="22" s="1"/>
  <c r="F108" i="22" s="1"/>
  <c r="B108" i="23"/>
  <c r="G323" i="20"/>
  <c r="CB323" i="6" s="1"/>
  <c r="AA323" i="20"/>
  <c r="Z323" i="20" s="1"/>
  <c r="Y323" i="20" s="1"/>
  <c r="W317" i="23"/>
  <c r="D317" i="23"/>
  <c r="E317" i="23" s="1"/>
  <c r="F317" i="23" s="1"/>
  <c r="B317" i="24"/>
  <c r="G271" i="20"/>
  <c r="CB271" i="6" s="1"/>
  <c r="AA271" i="20"/>
  <c r="Z271" i="20" s="1"/>
  <c r="Y271" i="20" s="1"/>
  <c r="W263" i="23"/>
  <c r="D263" i="23"/>
  <c r="E263" i="23" s="1"/>
  <c r="F263" i="23" s="1"/>
  <c r="B263" i="24"/>
  <c r="G255" i="22"/>
  <c r="CC255" i="6" s="1"/>
  <c r="AA255" i="22"/>
  <c r="Z255" i="22" s="1"/>
  <c r="Y255" i="22" s="1"/>
  <c r="W219" i="22"/>
  <c r="D219" i="22"/>
  <c r="E219" i="22" s="1"/>
  <c r="F219" i="22" s="1"/>
  <c r="B219" i="23"/>
  <c r="G197" i="22"/>
  <c r="CC197" i="6" s="1"/>
  <c r="AA197" i="22"/>
  <c r="Z197" i="22" s="1"/>
  <c r="Y197" i="22" s="1"/>
  <c r="W173" i="22"/>
  <c r="D173" i="22"/>
  <c r="E173" i="22" s="1"/>
  <c r="F173" i="22" s="1"/>
  <c r="B173" i="23"/>
  <c r="G167" i="22"/>
  <c r="CC167" i="6" s="1"/>
  <c r="AA167" i="22"/>
  <c r="Z167" i="22" s="1"/>
  <c r="Y167" i="22" s="1"/>
  <c r="W127" i="22"/>
  <c r="D127" i="22"/>
  <c r="E127" i="22" s="1"/>
  <c r="F127" i="22" s="1"/>
  <c r="B127" i="23"/>
  <c r="G101" i="22"/>
  <c r="CC101" i="6" s="1"/>
  <c r="AA101" i="22"/>
  <c r="Z101" i="22" s="1"/>
  <c r="Y101" i="22" s="1"/>
  <c r="W89" i="22"/>
  <c r="D89" i="22"/>
  <c r="E89" i="22" s="1"/>
  <c r="F89" i="22" s="1"/>
  <c r="B89" i="23"/>
  <c r="G83" i="22"/>
  <c r="CC83" i="6" s="1"/>
  <c r="AA83" i="22"/>
  <c r="Z83" i="22" s="1"/>
  <c r="Y83" i="22" s="1"/>
  <c r="W61" i="22"/>
  <c r="D61" i="22"/>
  <c r="E61" i="22" s="1"/>
  <c r="F61" i="22" s="1"/>
  <c r="B61" i="23"/>
  <c r="G55" i="22"/>
  <c r="CC55" i="6" s="1"/>
  <c r="AA55" i="22"/>
  <c r="Z55" i="22" s="1"/>
  <c r="Y55" i="22" s="1"/>
  <c r="W265" i="22"/>
  <c r="D265" i="22"/>
  <c r="E265" i="22" s="1"/>
  <c r="F265" i="22" s="1"/>
  <c r="B265" i="23"/>
  <c r="G287" i="22"/>
  <c r="CC287" i="6" s="1"/>
  <c r="AA287" i="22"/>
  <c r="Z287" i="22" s="1"/>
  <c r="Y287" i="22" s="1"/>
  <c r="W161" i="22"/>
  <c r="D161" i="22"/>
  <c r="E161" i="22" s="1"/>
  <c r="F161" i="22" s="1"/>
  <c r="B161" i="23"/>
  <c r="G253" i="20"/>
  <c r="CB253" i="6" s="1"/>
  <c r="AA253" i="20"/>
  <c r="Z253" i="20" s="1"/>
  <c r="Y253" i="20" s="1"/>
  <c r="W116" i="23"/>
  <c r="D116" i="23"/>
  <c r="E116" i="23" s="1"/>
  <c r="F116" i="23" s="1"/>
  <c r="B116" i="24"/>
  <c r="G116" i="22"/>
  <c r="CC116" i="6" s="1"/>
  <c r="AA116" i="22"/>
  <c r="Z116" i="22" s="1"/>
  <c r="Y116" i="22" s="1"/>
  <c r="G369" i="20"/>
  <c r="CB369" i="6" s="1"/>
  <c r="AA369" i="20"/>
  <c r="Z369" i="20" s="1"/>
  <c r="Y369" i="20" s="1"/>
  <c r="W241" i="23"/>
  <c r="D241" i="23"/>
  <c r="E241" i="23" s="1"/>
  <c r="F241" i="23" s="1"/>
  <c r="B241" i="24"/>
  <c r="G347" i="20"/>
  <c r="CB347" i="6" s="1"/>
  <c r="AA347" i="20"/>
  <c r="Z347" i="20" s="1"/>
  <c r="Y347" i="20" s="1"/>
  <c r="W367" i="23"/>
  <c r="D367" i="23"/>
  <c r="E367" i="23" s="1"/>
  <c r="F367" i="23" s="1"/>
  <c r="B367" i="24"/>
  <c r="G376" i="20"/>
  <c r="CB376" i="6" s="1"/>
  <c r="AA376" i="20"/>
  <c r="Z376" i="20" s="1"/>
  <c r="Y376" i="20" s="1"/>
  <c r="W335" i="23"/>
  <c r="D335" i="23"/>
  <c r="E335" i="23" s="1"/>
  <c r="F335" i="23" s="1"/>
  <c r="B335" i="24"/>
  <c r="G368" i="20"/>
  <c r="CB368" i="6" s="1"/>
  <c r="AA368" i="20"/>
  <c r="Z368" i="20" s="1"/>
  <c r="Y368" i="20" s="1"/>
  <c r="W135" i="23"/>
  <c r="D135" i="23"/>
  <c r="E135" i="23" s="1"/>
  <c r="F135" i="23" s="1"/>
  <c r="B135" i="24"/>
  <c r="G272" i="22"/>
  <c r="CC272" i="6" s="1"/>
  <c r="AA272" i="22"/>
  <c r="Z272" i="22" s="1"/>
  <c r="Y272" i="22" s="1"/>
  <c r="W278" i="22"/>
  <c r="D278" i="22"/>
  <c r="E278" i="22" s="1"/>
  <c r="F278" i="22" s="1"/>
  <c r="B278" i="23"/>
  <c r="G346" i="22"/>
  <c r="CC346" i="6" s="1"/>
  <c r="AA346" i="22"/>
  <c r="Z346" i="22" s="1"/>
  <c r="Y346" i="22" s="1"/>
  <c r="W111" i="22"/>
  <c r="D111" i="22"/>
  <c r="E111" i="22" s="1"/>
  <c r="F111" i="22" s="1"/>
  <c r="B111" i="23"/>
  <c r="G283" i="22"/>
  <c r="CC283" i="6" s="1"/>
  <c r="AA283" i="22"/>
  <c r="Z283" i="22" s="1"/>
  <c r="Y283" i="22" s="1"/>
  <c r="W17" i="22"/>
  <c r="D17" i="22"/>
  <c r="E17" i="22" s="1"/>
  <c r="F17" i="22" s="1"/>
  <c r="B17" i="23"/>
  <c r="G248" i="22"/>
  <c r="CC248" i="6" s="1"/>
  <c r="AA248" i="22"/>
  <c r="Z248" i="22" s="1"/>
  <c r="Y248" i="22" s="1"/>
  <c r="W319" i="22"/>
  <c r="D319" i="22"/>
  <c r="E319" i="22" s="1"/>
  <c r="F319" i="22" s="1"/>
  <c r="B319" i="23"/>
  <c r="G22" i="22"/>
  <c r="CC22" i="6" s="1"/>
  <c r="AA22" i="22"/>
  <c r="Z22" i="22" s="1"/>
  <c r="Y22" i="22" s="1"/>
  <c r="W166" i="22"/>
  <c r="D166" i="22"/>
  <c r="E166" i="22" s="1"/>
  <c r="F166" i="22" s="1"/>
  <c r="B166" i="23"/>
  <c r="G46" i="22"/>
  <c r="CC46" i="6" s="1"/>
  <c r="AA46" i="22"/>
  <c r="Z46" i="22" s="1"/>
  <c r="Y46" i="22" s="1"/>
  <c r="W177" i="22"/>
  <c r="D177" i="22"/>
  <c r="E177" i="22" s="1"/>
  <c r="F177" i="22" s="1"/>
  <c r="B177" i="23"/>
  <c r="G298" i="20"/>
  <c r="CB298" i="6" s="1"/>
  <c r="AA298" i="20"/>
  <c r="Z298" i="20" s="1"/>
  <c r="Y298" i="20" s="1"/>
  <c r="W187" i="23"/>
  <c r="D187" i="23"/>
  <c r="E187" i="23" s="1"/>
  <c r="F187" i="23" s="1"/>
  <c r="B187" i="24"/>
  <c r="G316" i="20"/>
  <c r="CB316" i="6" s="1"/>
  <c r="AA316" i="20"/>
  <c r="Z316" i="20" s="1"/>
  <c r="Y316" i="20" s="1"/>
  <c r="W365" i="23"/>
  <c r="D365" i="23"/>
  <c r="E365" i="23" s="1"/>
  <c r="F365" i="23" s="1"/>
  <c r="B365" i="24"/>
  <c r="G149" i="20"/>
  <c r="CB149" i="6" s="1"/>
  <c r="AA149" i="20"/>
  <c r="Z149" i="20" s="1"/>
  <c r="Y149" i="20" s="1"/>
  <c r="W60" i="23"/>
  <c r="D60" i="23"/>
  <c r="E60" i="23" s="1"/>
  <c r="F60" i="23" s="1"/>
  <c r="B60" i="24"/>
  <c r="G333" i="20"/>
  <c r="CB333" i="6" s="1"/>
  <c r="AA333" i="20"/>
  <c r="Z333" i="20" s="1"/>
  <c r="Y333" i="20" s="1"/>
  <c r="W180" i="23"/>
  <c r="D180" i="23"/>
  <c r="E180" i="23" s="1"/>
  <c r="F180" i="23" s="1"/>
  <c r="B180" i="24"/>
  <c r="G180" i="22"/>
  <c r="CC180" i="6" s="1"/>
  <c r="AA180" i="22"/>
  <c r="Z180" i="22" s="1"/>
  <c r="Y180" i="22" s="1"/>
  <c r="G363" i="20"/>
  <c r="CB363" i="6" s="1"/>
  <c r="AA363" i="20"/>
  <c r="Z363" i="20" s="1"/>
  <c r="Y363" i="20" s="1"/>
  <c r="W334" i="22"/>
  <c r="D334" i="22"/>
  <c r="E334" i="22" s="1"/>
  <c r="F334" i="22" s="1"/>
  <c r="B334" i="23"/>
  <c r="G300" i="20"/>
  <c r="CB300" i="6" s="1"/>
  <c r="AA300" i="20"/>
  <c r="Z300" i="20" s="1"/>
  <c r="Y300" i="20" s="1"/>
  <c r="W294" i="22"/>
  <c r="D294" i="22"/>
  <c r="E294" i="22" s="1"/>
  <c r="F294" i="22" s="1"/>
  <c r="B294" i="23"/>
  <c r="G228" i="20"/>
  <c r="CB228" i="6" s="1"/>
  <c r="AA228" i="20"/>
  <c r="Z228" i="20" s="1"/>
  <c r="Y228" i="20" s="1"/>
  <c r="W192" i="22"/>
  <c r="D192" i="22"/>
  <c r="E192" i="22" s="1"/>
  <c r="F192" i="22" s="1"/>
  <c r="B192" i="23"/>
  <c r="G164" i="20"/>
  <c r="CB164" i="6" s="1"/>
  <c r="AA164" i="20"/>
  <c r="Z164" i="20" s="1"/>
  <c r="Y164" i="20" s="1"/>
  <c r="W148" i="23"/>
  <c r="D148" i="23"/>
  <c r="E148" i="23" s="1"/>
  <c r="F148" i="23" s="1"/>
  <c r="B148" i="24"/>
  <c r="G361" i="22"/>
  <c r="CC361" i="6" s="1"/>
  <c r="AA361" i="22"/>
  <c r="Z361" i="22" s="1"/>
  <c r="Y361" i="22" s="1"/>
  <c r="W281" i="22"/>
  <c r="D281" i="22"/>
  <c r="E281" i="22" s="1"/>
  <c r="F281" i="22" s="1"/>
  <c r="B281" i="23"/>
  <c r="G273" i="22"/>
  <c r="CC273" i="6" s="1"/>
  <c r="AA273" i="22"/>
  <c r="Z273" i="22" s="1"/>
  <c r="Y273" i="22" s="1"/>
  <c r="W249" i="22"/>
  <c r="D249" i="22"/>
  <c r="E249" i="22" s="1"/>
  <c r="F249" i="22" s="1"/>
  <c r="B249" i="23"/>
  <c r="G247" i="22"/>
  <c r="CC247" i="6" s="1"/>
  <c r="AA247" i="22"/>
  <c r="Z247" i="22" s="1"/>
  <c r="Y247" i="22" s="1"/>
  <c r="W185" i="22"/>
  <c r="D185" i="22"/>
  <c r="E185" i="22" s="1"/>
  <c r="F185" i="22" s="1"/>
  <c r="B185" i="23"/>
  <c r="G183" i="22"/>
  <c r="CC183" i="6" s="1"/>
  <c r="AA183" i="22"/>
  <c r="Z183" i="22" s="1"/>
  <c r="Y183" i="22" s="1"/>
  <c r="W159" i="22"/>
  <c r="D159" i="22"/>
  <c r="E159" i="22" s="1"/>
  <c r="F159" i="22" s="1"/>
  <c r="B159" i="23"/>
  <c r="G155" i="22"/>
  <c r="CC155" i="6" s="1"/>
  <c r="AA155" i="22"/>
  <c r="Z155" i="22" s="1"/>
  <c r="Y155" i="22" s="1"/>
  <c r="W99" i="22"/>
  <c r="D99" i="22"/>
  <c r="E99" i="22" s="1"/>
  <c r="F99" i="22" s="1"/>
  <c r="B99" i="23"/>
  <c r="G97" i="22"/>
  <c r="CC97" i="6" s="1"/>
  <c r="AA97" i="22"/>
  <c r="Z97" i="22" s="1"/>
  <c r="Y97" i="22" s="1"/>
  <c r="W77" i="22"/>
  <c r="D77" i="22"/>
  <c r="E77" i="22" s="1"/>
  <c r="F77" i="22" s="1"/>
  <c r="B77" i="23"/>
  <c r="G63" i="22"/>
  <c r="CC63" i="6" s="1"/>
  <c r="AA63" i="22"/>
  <c r="Z63" i="22" s="1"/>
  <c r="Y63" i="22" s="1"/>
  <c r="W37" i="22"/>
  <c r="D37" i="22"/>
  <c r="E37" i="22" s="1"/>
  <c r="F37" i="22" s="1"/>
  <c r="B37" i="23"/>
  <c r="G88" i="22"/>
  <c r="CC88" i="6" s="1"/>
  <c r="AA88" i="22"/>
  <c r="Z88" i="22" s="1"/>
  <c r="Y88" i="22" s="1"/>
  <c r="W130" i="22"/>
  <c r="D130" i="22"/>
  <c r="E130" i="22" s="1"/>
  <c r="F130" i="22" s="1"/>
  <c r="B130" i="23"/>
  <c r="G19" i="22"/>
  <c r="CC19" i="6" s="1"/>
  <c r="AA19" i="22"/>
  <c r="Z19" i="22" s="1"/>
  <c r="Y19" i="22" s="1"/>
  <c r="W244" i="22"/>
  <c r="D244" i="22"/>
  <c r="E244" i="22" s="1"/>
  <c r="F244" i="22" s="1"/>
  <c r="B244" i="23"/>
  <c r="G284" i="22"/>
  <c r="CC284" i="6" s="1"/>
  <c r="AA284" i="22"/>
  <c r="Z284" i="22" s="1"/>
  <c r="Y284" i="22" s="1"/>
  <c r="W210" i="22"/>
  <c r="D210" i="22"/>
  <c r="E210" i="22" s="1"/>
  <c r="F210" i="22" s="1"/>
  <c r="B210" i="23"/>
  <c r="G302" i="22"/>
  <c r="CC302" i="6" s="1"/>
  <c r="AA302" i="22"/>
  <c r="Z302" i="22" s="1"/>
  <c r="Y302" i="22" s="1"/>
  <c r="W189" i="23"/>
  <c r="D189" i="23"/>
  <c r="E189" i="23" s="1"/>
  <c r="F189" i="23" s="1"/>
  <c r="B189" i="24"/>
  <c r="G114" i="20"/>
  <c r="CB114" i="6" s="1"/>
  <c r="AA114" i="20"/>
  <c r="Z114" i="20" s="1"/>
  <c r="Y114" i="20" s="1"/>
  <c r="W154" i="23"/>
  <c r="D154" i="23"/>
  <c r="E154" i="23" s="1"/>
  <c r="F154" i="23" s="1"/>
  <c r="B154" i="24"/>
  <c r="G66" i="20"/>
  <c r="CB66" i="6" s="1"/>
  <c r="AA66" i="20"/>
  <c r="Z66" i="20" s="1"/>
  <c r="Y66" i="20" s="1"/>
  <c r="W194" i="23"/>
  <c r="D194" i="23"/>
  <c r="E194" i="23" s="1"/>
  <c r="F194" i="23" s="1"/>
  <c r="B194" i="24"/>
  <c r="G95" i="20"/>
  <c r="CB95" i="6" s="1"/>
  <c r="AA95" i="20"/>
  <c r="Z95" i="20" s="1"/>
  <c r="Y95" i="20" s="1"/>
  <c r="W171" i="23"/>
  <c r="D171" i="23"/>
  <c r="E171" i="23" s="1"/>
  <c r="F171" i="23" s="1"/>
  <c r="B171" i="24"/>
  <c r="G43" i="20"/>
  <c r="CB43" i="6" s="1"/>
  <c r="AA43" i="20"/>
  <c r="Z43" i="20" s="1"/>
  <c r="Y43" i="20" s="1"/>
  <c r="W75" i="23"/>
  <c r="D75" i="23"/>
  <c r="E75" i="23" s="1"/>
  <c r="F75" i="23" s="1"/>
  <c r="B75" i="24"/>
  <c r="G216" i="20"/>
  <c r="CB216" i="6" s="1"/>
  <c r="AA216" i="20"/>
  <c r="Z216" i="20" s="1"/>
  <c r="Y216" i="20" s="1"/>
  <c r="W261" i="23"/>
  <c r="D261" i="23"/>
  <c r="E261" i="23" s="1"/>
  <c r="F261" i="23" s="1"/>
  <c r="B261" i="24"/>
  <c r="G354" i="20"/>
  <c r="CB354" i="6" s="1"/>
  <c r="AA354" i="20"/>
  <c r="Z354" i="20" s="1"/>
  <c r="Y354" i="20" s="1"/>
  <c r="W74" i="23"/>
  <c r="D74" i="23"/>
  <c r="E74" i="23" s="1"/>
  <c r="F74" i="23" s="1"/>
  <c r="B74" i="24"/>
  <c r="G227" i="20"/>
  <c r="CB227" i="6" s="1"/>
  <c r="AA227" i="20"/>
  <c r="Z227" i="20" s="1"/>
  <c r="Y227" i="20" s="1"/>
  <c r="W349" i="23"/>
  <c r="D349" i="23"/>
  <c r="E349" i="23" s="1"/>
  <c r="F349" i="23" s="1"/>
  <c r="B349" i="24"/>
  <c r="G35" i="20"/>
  <c r="CB35" i="6" s="1"/>
  <c r="AA35" i="20"/>
  <c r="Z35" i="20" s="1"/>
  <c r="Y35" i="20" s="1"/>
  <c r="W67" i="23"/>
  <c r="D67" i="23"/>
  <c r="E67" i="23" s="1"/>
  <c r="F67" i="23" s="1"/>
  <c r="B67" i="24"/>
  <c r="G208" i="20"/>
  <c r="CB208" i="6" s="1"/>
  <c r="AA208" i="20"/>
  <c r="Z208" i="20" s="1"/>
  <c r="Y208" i="20" s="1"/>
  <c r="W226" i="23"/>
  <c r="D226" i="23"/>
  <c r="E226" i="23" s="1"/>
  <c r="F226" i="23" s="1"/>
  <c r="B226" i="24"/>
  <c r="G16" i="20"/>
  <c r="CB16" i="6" s="1"/>
  <c r="AA16" i="20"/>
  <c r="Z16" i="20" s="1"/>
  <c r="Y16" i="20" s="1"/>
  <c r="W150" i="23"/>
  <c r="D150" i="23"/>
  <c r="E150" i="23" s="1"/>
  <c r="F150" i="23" s="1"/>
  <c r="B150" i="24"/>
  <c r="G105" i="20"/>
  <c r="CB105" i="6" s="1"/>
  <c r="AA105" i="20"/>
  <c r="Z105" i="20" s="1"/>
  <c r="Y105" i="20" s="1"/>
  <c r="W29" i="23"/>
  <c r="D29" i="23"/>
  <c r="E29" i="23" s="1"/>
  <c r="F29" i="23" s="1"/>
  <c r="B29" i="24"/>
  <c r="F15" i="18"/>
  <c r="I316" i="17"/>
  <c r="H316" i="18" s="1"/>
  <c r="J316" i="17"/>
  <c r="J300" i="17"/>
  <c r="I300" i="17"/>
  <c r="H300" i="18" s="1"/>
  <c r="I57" i="17"/>
  <c r="H57" i="18" s="1"/>
  <c r="J57" i="17"/>
  <c r="I275" i="17"/>
  <c r="H275" i="18" s="1"/>
  <c r="J275" i="17"/>
  <c r="J64" i="17"/>
  <c r="I64" i="17"/>
  <c r="H64" i="18" s="1"/>
  <c r="J235" i="17"/>
  <c r="I235" i="17"/>
  <c r="H235" i="18" s="1"/>
  <c r="I135" i="17"/>
  <c r="H135" i="18" s="1"/>
  <c r="J135" i="17"/>
  <c r="I68" i="17"/>
  <c r="H68" i="18" s="1"/>
  <c r="J68" i="17"/>
  <c r="I219" i="17"/>
  <c r="H219" i="18" s="1"/>
  <c r="J219" i="17"/>
  <c r="I191" i="17"/>
  <c r="H191" i="18" s="1"/>
  <c r="J191" i="17"/>
  <c r="I158" i="17"/>
  <c r="H158" i="18" s="1"/>
  <c r="J158" i="17"/>
  <c r="J268" i="17"/>
  <c r="I268" i="17"/>
  <c r="H268" i="18" s="1"/>
  <c r="J208" i="17"/>
  <c r="I208" i="17"/>
  <c r="H208" i="18" s="1"/>
  <c r="I321" i="17"/>
  <c r="H321" i="18" s="1"/>
  <c r="J321" i="17"/>
  <c r="I157" i="17"/>
  <c r="H157" i="18" s="1"/>
  <c r="J157" i="17"/>
  <c r="J86" i="17"/>
  <c r="I86" i="17"/>
  <c r="H86" i="18" s="1"/>
  <c r="J282" i="17"/>
  <c r="I282" i="17"/>
  <c r="H282" i="18" s="1"/>
  <c r="I36" i="17"/>
  <c r="H36" i="18" s="1"/>
  <c r="J36" i="17"/>
  <c r="I41" i="17"/>
  <c r="H41" i="18" s="1"/>
  <c r="J41" i="17"/>
  <c r="J189" i="17"/>
  <c r="I189" i="17"/>
  <c r="H189" i="18" s="1"/>
  <c r="I30" i="17"/>
  <c r="H30" i="18" s="1"/>
  <c r="J30" i="17"/>
  <c r="I307" i="17"/>
  <c r="H307" i="18" s="1"/>
  <c r="J307" i="17"/>
  <c r="J169" i="17"/>
  <c r="I169" i="17"/>
  <c r="H169" i="18" s="1"/>
  <c r="I201" i="17"/>
  <c r="H201" i="18" s="1"/>
  <c r="J201" i="17"/>
  <c r="I97" i="17"/>
  <c r="H97" i="18" s="1"/>
  <c r="J97" i="17"/>
  <c r="J32" i="17"/>
  <c r="I32" i="17"/>
  <c r="H32" i="18" s="1"/>
  <c r="I79" i="17"/>
  <c r="H79" i="18" s="1"/>
  <c r="J79" i="17"/>
  <c r="J56" i="17"/>
  <c r="I56" i="17"/>
  <c r="H56" i="18" s="1"/>
  <c r="J59" i="17"/>
  <c r="I59" i="17"/>
  <c r="H59" i="18" s="1"/>
  <c r="I91" i="17"/>
  <c r="H91" i="18" s="1"/>
  <c r="J91" i="17"/>
  <c r="J154" i="17"/>
  <c r="I154" i="17"/>
  <c r="H154" i="18" s="1"/>
  <c r="I95" i="17"/>
  <c r="H95" i="18" s="1"/>
  <c r="J95" i="17"/>
  <c r="I71" i="17"/>
  <c r="H71" i="18" s="1"/>
  <c r="J71" i="17"/>
  <c r="J140" i="17"/>
  <c r="I140" i="17"/>
  <c r="H140" i="18" s="1"/>
  <c r="J232" i="17"/>
  <c r="I232" i="17"/>
  <c r="H232" i="18" s="1"/>
  <c r="J296" i="17"/>
  <c r="I296" i="17"/>
  <c r="H296" i="18" s="1"/>
  <c r="I179" i="17"/>
  <c r="H179" i="18" s="1"/>
  <c r="J179" i="17"/>
  <c r="J29" i="17"/>
  <c r="I29" i="17"/>
  <c r="H29" i="18" s="1"/>
  <c r="I110" i="17"/>
  <c r="H110" i="18" s="1"/>
  <c r="J110" i="17"/>
  <c r="I318" i="17"/>
  <c r="H318" i="18" s="1"/>
  <c r="J318" i="17"/>
  <c r="I131" i="17"/>
  <c r="H131" i="18" s="1"/>
  <c r="J131" i="17"/>
  <c r="I350" i="17"/>
  <c r="H350" i="18" s="1"/>
  <c r="J350" i="17"/>
  <c r="J145" i="17"/>
  <c r="I145" i="17"/>
  <c r="H145" i="18" s="1"/>
  <c r="J209" i="17"/>
  <c r="I209" i="17"/>
  <c r="H209" i="18" s="1"/>
  <c r="I351" i="17"/>
  <c r="H351" i="18" s="1"/>
  <c r="J351" i="17"/>
  <c r="I303" i="17"/>
  <c r="H303" i="18" s="1"/>
  <c r="J303" i="17"/>
  <c r="I33" i="17"/>
  <c r="H33" i="18" s="1"/>
  <c r="J33" i="17"/>
  <c r="J160" i="17"/>
  <c r="I160" i="17"/>
  <c r="H160" i="18" s="1"/>
  <c r="I298" i="17"/>
  <c r="H298" i="18" s="1"/>
  <c r="J298" i="17"/>
  <c r="J125" i="17"/>
  <c r="I125" i="17"/>
  <c r="H125" i="18" s="1"/>
  <c r="I118" i="17"/>
  <c r="H118" i="18" s="1"/>
  <c r="J118" i="17"/>
  <c r="I42" i="17"/>
  <c r="H42" i="18" s="1"/>
  <c r="J42" i="17"/>
  <c r="I312" i="17"/>
  <c r="H312" i="18" s="1"/>
  <c r="J312" i="17"/>
  <c r="J203" i="17"/>
  <c r="I203" i="17"/>
  <c r="H203" i="18" s="1"/>
  <c r="I334" i="17"/>
  <c r="H334" i="18" s="1"/>
  <c r="J334" i="17"/>
  <c r="I109" i="17"/>
  <c r="H109" i="18" s="1"/>
  <c r="J109" i="17"/>
  <c r="I299" i="17"/>
  <c r="H299" i="18" s="1"/>
  <c r="J299" i="17"/>
  <c r="I94" i="17"/>
  <c r="H94" i="18" s="1"/>
  <c r="J94" i="17"/>
  <c r="J111" i="17"/>
  <c r="I111" i="17"/>
  <c r="H111" i="18" s="1"/>
  <c r="I116" i="17"/>
  <c r="H116" i="18" s="1"/>
  <c r="J116" i="17"/>
  <c r="I215" i="17"/>
  <c r="H215" i="18" s="1"/>
  <c r="J215" i="17"/>
  <c r="J289" i="17"/>
  <c r="I289" i="17"/>
  <c r="H289" i="18" s="1"/>
  <c r="I165" i="17"/>
  <c r="H165" i="18" s="1"/>
  <c r="J165" i="17"/>
  <c r="I328" i="17"/>
  <c r="H328" i="18" s="1"/>
  <c r="J328" i="17"/>
  <c r="J162" i="17"/>
  <c r="I162" i="17"/>
  <c r="H162" i="18" s="1"/>
  <c r="J331" i="17"/>
  <c r="I331" i="17"/>
  <c r="H331" i="18" s="1"/>
  <c r="J337" i="17"/>
  <c r="I337" i="17"/>
  <c r="H337" i="18" s="1"/>
  <c r="J295" i="17"/>
  <c r="I295" i="17"/>
  <c r="H295" i="18" s="1"/>
  <c r="J183" i="17"/>
  <c r="I183" i="17"/>
  <c r="H183" i="18" s="1"/>
  <c r="J252" i="17"/>
  <c r="I252" i="17"/>
  <c r="H252" i="18" s="1"/>
  <c r="I168" i="17"/>
  <c r="H168" i="18" s="1"/>
  <c r="J168" i="17"/>
  <c r="J227" i="17"/>
  <c r="I227" i="17"/>
  <c r="H227" i="18" s="1"/>
  <c r="J240" i="17"/>
  <c r="I240" i="17"/>
  <c r="H240" i="18" s="1"/>
  <c r="J87" i="17"/>
  <c r="I87" i="17"/>
  <c r="H87" i="18" s="1"/>
  <c r="I146" i="17"/>
  <c r="H146" i="18" s="1"/>
  <c r="J146" i="17"/>
  <c r="J267" i="17"/>
  <c r="I267" i="17"/>
  <c r="H267" i="18" s="1"/>
  <c r="J115" i="17"/>
  <c r="I115" i="17"/>
  <c r="H115" i="18" s="1"/>
  <c r="I322" i="17"/>
  <c r="H322" i="18" s="1"/>
  <c r="J322" i="17"/>
  <c r="I184" i="17"/>
  <c r="H184" i="18" s="1"/>
  <c r="J184" i="17"/>
  <c r="I88" i="17"/>
  <c r="H88" i="18" s="1"/>
  <c r="J88" i="17"/>
  <c r="J38" i="17"/>
  <c r="I38" i="17"/>
  <c r="H38" i="18" s="1"/>
  <c r="J236" i="17"/>
  <c r="I236" i="17"/>
  <c r="H236" i="18" s="1"/>
  <c r="J338" i="17"/>
  <c r="I338" i="17"/>
  <c r="H338" i="18" s="1"/>
  <c r="J212" i="17"/>
  <c r="I212" i="17"/>
  <c r="H212" i="18" s="1"/>
  <c r="I320" i="17"/>
  <c r="H320" i="18" s="1"/>
  <c r="J320" i="17"/>
  <c r="J182" i="17"/>
  <c r="I182" i="17"/>
  <c r="H182" i="18" s="1"/>
  <c r="I261" i="17"/>
  <c r="H261" i="18" s="1"/>
  <c r="J261" i="17"/>
  <c r="J48" i="17"/>
  <c r="I48" i="17"/>
  <c r="H48" i="18" s="1"/>
  <c r="I137" i="17"/>
  <c r="H137" i="18" s="1"/>
  <c r="J137" i="17"/>
  <c r="I323" i="17"/>
  <c r="H323" i="18" s="1"/>
  <c r="J323" i="17"/>
  <c r="I258" i="17"/>
  <c r="H258" i="18" s="1"/>
  <c r="J258" i="17"/>
  <c r="I329" i="17"/>
  <c r="H329" i="18" s="1"/>
  <c r="J329" i="17"/>
  <c r="J53" i="17"/>
  <c r="I53" i="17"/>
  <c r="H53" i="18" s="1"/>
  <c r="I233" i="17"/>
  <c r="H233" i="18" s="1"/>
  <c r="J233" i="17"/>
  <c r="I277" i="17"/>
  <c r="H277" i="18" s="1"/>
  <c r="J277" i="17"/>
  <c r="I342" i="17"/>
  <c r="H342" i="18" s="1"/>
  <c r="J342" i="17"/>
  <c r="J127" i="17"/>
  <c r="I127" i="17"/>
  <c r="H127" i="18" s="1"/>
  <c r="I167" i="17"/>
  <c r="H167" i="18" s="1"/>
  <c r="J167" i="17"/>
  <c r="J50" i="17"/>
  <c r="I50" i="17"/>
  <c r="H50" i="18" s="1"/>
  <c r="I222" i="17"/>
  <c r="H222" i="18" s="1"/>
  <c r="J222" i="17"/>
  <c r="J263" i="17"/>
  <c r="I263" i="17"/>
  <c r="H263" i="18" s="1"/>
  <c r="I211" i="17"/>
  <c r="H211" i="18" s="1"/>
  <c r="J211" i="17"/>
  <c r="I69" i="17"/>
  <c r="H69" i="18" s="1"/>
  <c r="J69" i="17"/>
  <c r="J324" i="17"/>
  <c r="I324" i="17"/>
  <c r="H324" i="18" s="1"/>
  <c r="I288" i="17"/>
  <c r="H288" i="18" s="1"/>
  <c r="J288" i="17"/>
  <c r="I76" i="17"/>
  <c r="H76" i="18" s="1"/>
  <c r="J76" i="17"/>
  <c r="J49" i="17"/>
  <c r="I49" i="17"/>
  <c r="H49" i="18" s="1"/>
  <c r="I90" i="17"/>
  <c r="H90" i="18" s="1"/>
  <c r="J90" i="17"/>
  <c r="J178" i="17"/>
  <c r="I178" i="17"/>
  <c r="H178" i="18" s="1"/>
  <c r="J262" i="17"/>
  <c r="I262" i="17"/>
  <c r="H262" i="18" s="1"/>
  <c r="I114" i="17"/>
  <c r="H114" i="18" s="1"/>
  <c r="J114" i="17"/>
  <c r="I16" i="17"/>
  <c r="H16" i="18" s="1"/>
  <c r="J16" i="17"/>
  <c r="I82" i="17"/>
  <c r="H82" i="18" s="1"/>
  <c r="J82" i="17"/>
  <c r="I224" i="17"/>
  <c r="H224" i="18" s="1"/>
  <c r="J224" i="17"/>
  <c r="J73" i="17"/>
  <c r="I73" i="17"/>
  <c r="H73" i="18" s="1"/>
  <c r="J112" i="17"/>
  <c r="I112" i="17"/>
  <c r="H112" i="18" s="1"/>
  <c r="I250" i="17"/>
  <c r="H250" i="18" s="1"/>
  <c r="J250" i="17"/>
  <c r="J163" i="17"/>
  <c r="I163" i="17"/>
  <c r="H163" i="18" s="1"/>
  <c r="I335" i="17"/>
  <c r="H335" i="18" s="1"/>
  <c r="J335" i="17"/>
  <c r="I186" i="17"/>
  <c r="H186" i="18" s="1"/>
  <c r="J186" i="17"/>
  <c r="J47" i="17"/>
  <c r="I47" i="17"/>
  <c r="H47" i="18" s="1"/>
  <c r="I341" i="17"/>
  <c r="H341" i="18" s="1"/>
  <c r="J341" i="17"/>
  <c r="J229" i="17"/>
  <c r="I229" i="17"/>
  <c r="H229" i="18" s="1"/>
  <c r="J66" i="17"/>
  <c r="I66" i="17"/>
  <c r="H66" i="18" s="1"/>
  <c r="J107" i="17"/>
  <c r="I107" i="17"/>
  <c r="H107" i="18" s="1"/>
  <c r="I244" i="17"/>
  <c r="H244" i="18" s="1"/>
  <c r="J244" i="17"/>
  <c r="I25" i="17"/>
  <c r="H25" i="18" s="1"/>
  <c r="J25" i="17"/>
  <c r="I241" i="17"/>
  <c r="H241" i="18" s="1"/>
  <c r="J241" i="17"/>
  <c r="J187" i="17"/>
  <c r="I187" i="17"/>
  <c r="H187" i="18" s="1"/>
  <c r="I272" i="17"/>
  <c r="H272" i="18" s="1"/>
  <c r="J272" i="17"/>
  <c r="I206" i="17"/>
  <c r="H206" i="18" s="1"/>
  <c r="J206" i="17"/>
  <c r="I291" i="17"/>
  <c r="H291" i="18" s="1"/>
  <c r="J291" i="17"/>
  <c r="J174" i="17"/>
  <c r="I174" i="17"/>
  <c r="H174" i="18" s="1"/>
  <c r="I239" i="17"/>
  <c r="H239" i="18" s="1"/>
  <c r="J239" i="17"/>
  <c r="I166" i="17"/>
  <c r="H166" i="18" s="1"/>
  <c r="J166" i="17"/>
  <c r="J279" i="17"/>
  <c r="I279" i="17"/>
  <c r="H279" i="18" s="1"/>
  <c r="J237" i="17"/>
  <c r="I237" i="17"/>
  <c r="H237" i="18" s="1"/>
  <c r="J99" i="17"/>
  <c r="I99" i="17"/>
  <c r="H99" i="18" s="1"/>
  <c r="I31" i="17"/>
  <c r="H31" i="18" s="1"/>
  <c r="J31" i="17"/>
  <c r="J101" i="17"/>
  <c r="I101" i="17"/>
  <c r="H101" i="18" s="1"/>
  <c r="I175" i="17"/>
  <c r="H175" i="18" s="1"/>
  <c r="J175" i="17"/>
  <c r="J210" i="17"/>
  <c r="I210" i="17"/>
  <c r="H210" i="18" s="1"/>
  <c r="I223" i="17"/>
  <c r="H223" i="18" s="1"/>
  <c r="J223" i="17"/>
  <c r="J92" i="17"/>
  <c r="I92" i="17"/>
  <c r="H92" i="18" s="1"/>
  <c r="J61" i="17"/>
  <c r="I61" i="17"/>
  <c r="H61" i="18" s="1"/>
  <c r="I327" i="17"/>
  <c r="H327" i="18" s="1"/>
  <c r="J327" i="17"/>
  <c r="J197" i="17"/>
  <c r="I197" i="17"/>
  <c r="H197" i="18" s="1"/>
  <c r="J217" i="17"/>
  <c r="I217" i="17"/>
  <c r="H217" i="18" s="1"/>
  <c r="I153" i="17"/>
  <c r="H153" i="18" s="1"/>
  <c r="J153" i="17"/>
  <c r="J126" i="17"/>
  <c r="I126" i="17"/>
  <c r="H126" i="18" s="1"/>
  <c r="I120" i="17"/>
  <c r="H120" i="18" s="1"/>
  <c r="J120" i="17"/>
  <c r="J246" i="17"/>
  <c r="I246" i="17"/>
  <c r="H246" i="18" s="1"/>
  <c r="J85" i="17"/>
  <c r="I85" i="17"/>
  <c r="H85" i="18" s="1"/>
  <c r="J23" i="17"/>
  <c r="I23" i="17"/>
  <c r="H23" i="18" s="1"/>
  <c r="I151" i="17"/>
  <c r="H151" i="18" s="1"/>
  <c r="J151" i="17"/>
  <c r="I74" i="17"/>
  <c r="H74" i="18" s="1"/>
  <c r="J74" i="17"/>
  <c r="I346" i="17"/>
  <c r="H346" i="18" s="1"/>
  <c r="J346" i="17"/>
  <c r="J108" i="17"/>
  <c r="I108" i="17"/>
  <c r="H108" i="18" s="1"/>
  <c r="I177" i="17"/>
  <c r="H177" i="18" s="1"/>
  <c r="J177" i="17"/>
  <c r="J24" i="17"/>
  <c r="I24" i="17"/>
  <c r="H24" i="18" s="1"/>
  <c r="I253" i="17"/>
  <c r="H253" i="18" s="1"/>
  <c r="J253" i="17"/>
  <c r="J195" i="17"/>
  <c r="I195" i="17"/>
  <c r="H195" i="18" s="1"/>
  <c r="J45" i="17"/>
  <c r="I45" i="17"/>
  <c r="H45" i="18" s="1"/>
  <c r="I249" i="17"/>
  <c r="H249" i="18" s="1"/>
  <c r="J249" i="17"/>
  <c r="J199" i="17"/>
  <c r="I199" i="17"/>
  <c r="H199" i="18" s="1"/>
  <c r="I70" i="17"/>
  <c r="H70" i="18" s="1"/>
  <c r="J70" i="17"/>
  <c r="J103" i="17"/>
  <c r="I103" i="17"/>
  <c r="H103" i="18" s="1"/>
  <c r="I294" i="17"/>
  <c r="H294" i="18" s="1"/>
  <c r="J294" i="17"/>
  <c r="I180" i="17"/>
  <c r="H180" i="18" s="1"/>
  <c r="J180" i="17"/>
  <c r="I339" i="17"/>
  <c r="H339" i="18" s="1"/>
  <c r="J339" i="17"/>
  <c r="J330" i="17"/>
  <c r="I330" i="17"/>
  <c r="H330" i="18" s="1"/>
  <c r="I285" i="17"/>
  <c r="H285" i="18" s="1"/>
  <c r="J285" i="17"/>
  <c r="J243" i="17"/>
  <c r="I243" i="17"/>
  <c r="H243" i="18" s="1"/>
  <c r="J234" i="17"/>
  <c r="I234" i="17"/>
  <c r="H234" i="18" s="1"/>
  <c r="J172" i="17"/>
  <c r="I172" i="17"/>
  <c r="H172" i="18" s="1"/>
  <c r="J325" i="17"/>
  <c r="I325" i="17"/>
  <c r="H325" i="18" s="1"/>
  <c r="I149" i="17"/>
  <c r="H149" i="18" s="1"/>
  <c r="J149" i="17"/>
  <c r="I286" i="17"/>
  <c r="H286" i="18" s="1"/>
  <c r="J286" i="17"/>
  <c r="I181" i="17"/>
  <c r="H181" i="18" s="1"/>
  <c r="J181" i="17"/>
  <c r="J340" i="17"/>
  <c r="I340" i="17"/>
  <c r="H340" i="18" s="1"/>
  <c r="J43" i="17"/>
  <c r="I43" i="17"/>
  <c r="H43" i="18" s="1"/>
  <c r="J75" i="17"/>
  <c r="I75" i="17"/>
  <c r="H75" i="18" s="1"/>
  <c r="I348" i="17"/>
  <c r="H348" i="18" s="1"/>
  <c r="J348" i="17"/>
  <c r="I129" i="17"/>
  <c r="H129" i="18" s="1"/>
  <c r="J129" i="17"/>
  <c r="I156" i="17"/>
  <c r="H156" i="18" s="1"/>
  <c r="J156" i="17"/>
  <c r="I254" i="17"/>
  <c r="H254" i="18" s="1"/>
  <c r="J254" i="17"/>
  <c r="J353" i="17"/>
  <c r="I353" i="17"/>
  <c r="H353" i="18" s="1"/>
  <c r="I256" i="17"/>
  <c r="H256" i="18" s="1"/>
  <c r="J256" i="17"/>
  <c r="J159" i="17"/>
  <c r="I159" i="17"/>
  <c r="H159" i="18" s="1"/>
  <c r="I173" i="17"/>
  <c r="H173" i="18" s="1"/>
  <c r="J173" i="17"/>
  <c r="I20" i="17"/>
  <c r="H20" i="18" s="1"/>
  <c r="J20" i="17"/>
  <c r="J62" i="17"/>
  <c r="I62" i="17"/>
  <c r="H62" i="18" s="1"/>
  <c r="I123" i="17"/>
  <c r="H123" i="18" s="1"/>
  <c r="J123" i="17"/>
  <c r="J18" i="17"/>
  <c r="I18" i="17"/>
  <c r="H18" i="18" s="1"/>
  <c r="J65" i="17"/>
  <c r="I65" i="17"/>
  <c r="H65" i="18" s="1"/>
  <c r="J278" i="17"/>
  <c r="I278" i="17"/>
  <c r="H278" i="18" s="1"/>
  <c r="I193" i="17"/>
  <c r="H193" i="18" s="1"/>
  <c r="J193" i="17"/>
  <c r="J304" i="17"/>
  <c r="I304" i="17"/>
  <c r="H304" i="18" s="1"/>
  <c r="I19" i="17"/>
  <c r="H19" i="18" s="1"/>
  <c r="J19" i="17"/>
  <c r="I124" i="17"/>
  <c r="H124" i="18" s="1"/>
  <c r="J124" i="17"/>
  <c r="J83" i="17"/>
  <c r="I83" i="17"/>
  <c r="H83" i="18" s="1"/>
  <c r="J302" i="17"/>
  <c r="I302" i="17"/>
  <c r="H302" i="18" s="1"/>
  <c r="J192" i="17"/>
  <c r="I192" i="17"/>
  <c r="H192" i="18" s="1"/>
  <c r="G232" i="18"/>
  <c r="CA232" i="6" s="1"/>
  <c r="AA232" i="18"/>
  <c r="Z232" i="18" s="1"/>
  <c r="Y232" i="18" s="1"/>
  <c r="W232" i="22"/>
  <c r="D232" i="22"/>
  <c r="E232" i="22" s="1"/>
  <c r="F232" i="22" s="1"/>
  <c r="B232" i="23"/>
  <c r="G76" i="18"/>
  <c r="CA76" i="6" s="1"/>
  <c r="AA76" i="18"/>
  <c r="Z76" i="18" s="1"/>
  <c r="Y76" i="18" s="1"/>
  <c r="W76" i="22"/>
  <c r="D76" i="22"/>
  <c r="E76" i="22" s="1"/>
  <c r="F76" i="22" s="1"/>
  <c r="B76" i="23"/>
  <c r="G295" i="18"/>
  <c r="CA295" i="6" s="1"/>
  <c r="AA295" i="18"/>
  <c r="Z295" i="18" s="1"/>
  <c r="Y295" i="18" s="1"/>
  <c r="W295" i="22"/>
  <c r="D295" i="22"/>
  <c r="E295" i="22" s="1"/>
  <c r="F295" i="22" s="1"/>
  <c r="B295" i="23"/>
  <c r="G81" i="18"/>
  <c r="CA81" i="6" s="1"/>
  <c r="AA81" i="18"/>
  <c r="Z81" i="18" s="1"/>
  <c r="Y81" i="18" s="1"/>
  <c r="W81" i="22"/>
  <c r="D81" i="22"/>
  <c r="E81" i="22" s="1"/>
  <c r="F81" i="22" s="1"/>
  <c r="B81" i="23"/>
  <c r="G62" i="18"/>
  <c r="CA62" i="6" s="1"/>
  <c r="AA62" i="18"/>
  <c r="Z62" i="18" s="1"/>
  <c r="Y62" i="18" s="1"/>
  <c r="W62" i="22"/>
  <c r="D62" i="22"/>
  <c r="E62" i="22" s="1"/>
  <c r="F62" i="22" s="1"/>
  <c r="B62" i="23"/>
  <c r="G73" i="18"/>
  <c r="CA73" i="6" s="1"/>
  <c r="AA73" i="18"/>
  <c r="Z73" i="18" s="1"/>
  <c r="Y73" i="18" s="1"/>
  <c r="W73" i="22"/>
  <c r="D73" i="22"/>
  <c r="E73" i="22" s="1"/>
  <c r="F73" i="22" s="1"/>
  <c r="B73" i="23"/>
  <c r="G309" i="18"/>
  <c r="CA309" i="6" s="1"/>
  <c r="AA309" i="18"/>
  <c r="Z309" i="18" s="1"/>
  <c r="Y309" i="18" s="1"/>
  <c r="W309" i="22"/>
  <c r="D309" i="22"/>
  <c r="E309" i="22" s="1"/>
  <c r="F309" i="22" s="1"/>
  <c r="B309" i="23"/>
  <c r="G332" i="18"/>
  <c r="CA332" i="6" s="1"/>
  <c r="AA332" i="18"/>
  <c r="Z332" i="18" s="1"/>
  <c r="Y332" i="18" s="1"/>
  <c r="W332" i="22"/>
  <c r="D332" i="22"/>
  <c r="E332" i="22" s="1"/>
  <c r="F332" i="22" s="1"/>
  <c r="B332" i="23"/>
  <c r="G125" i="18"/>
  <c r="CA125" i="6" s="1"/>
  <c r="AA125" i="18"/>
  <c r="Z125" i="18" s="1"/>
  <c r="Y125" i="18" s="1"/>
  <c r="W125" i="22"/>
  <c r="D125" i="22"/>
  <c r="E125" i="22" s="1"/>
  <c r="F125" i="22" s="1"/>
  <c r="B125" i="23"/>
  <c r="G321" i="18"/>
  <c r="CA321" i="6" s="1"/>
  <c r="AA321" i="18"/>
  <c r="Z321" i="18" s="1"/>
  <c r="Y321" i="18" s="1"/>
  <c r="W321" i="22"/>
  <c r="D321" i="22"/>
  <c r="E321" i="22" s="1"/>
  <c r="F321" i="22" s="1"/>
  <c r="B321" i="23"/>
  <c r="G157" i="18"/>
  <c r="CA157" i="6" s="1"/>
  <c r="AA157" i="18"/>
  <c r="Z157" i="18" s="1"/>
  <c r="Y157" i="18" s="1"/>
  <c r="W157" i="22"/>
  <c r="D157" i="22"/>
  <c r="E157" i="22" s="1"/>
  <c r="F157" i="22" s="1"/>
  <c r="B157" i="23"/>
  <c r="G163" i="18"/>
  <c r="CA163" i="6" s="1"/>
  <c r="AA163" i="18"/>
  <c r="Z163" i="18" s="1"/>
  <c r="Y163" i="18" s="1"/>
  <c r="W163" i="22"/>
  <c r="D163" i="22"/>
  <c r="E163" i="22" s="1"/>
  <c r="F163" i="22" s="1"/>
  <c r="B163" i="23"/>
  <c r="G374" i="18"/>
  <c r="CA374" i="6" s="1"/>
  <c r="AA374" i="18"/>
  <c r="Z374" i="18" s="1"/>
  <c r="Y374" i="18" s="1"/>
  <c r="D374" i="22"/>
  <c r="E374" i="22" s="1"/>
  <c r="F374" i="22" s="1"/>
  <c r="W374" i="22"/>
  <c r="B374" i="23"/>
  <c r="G98" i="18"/>
  <c r="CA98" i="6" s="1"/>
  <c r="AA98" i="18"/>
  <c r="Z98" i="18" s="1"/>
  <c r="Y98" i="18" s="1"/>
  <c r="W98" i="22"/>
  <c r="D98" i="22"/>
  <c r="E98" i="22" s="1"/>
  <c r="F98" i="22" s="1"/>
  <c r="B98" i="23"/>
  <c r="G311" i="18"/>
  <c r="CA311" i="6" s="1"/>
  <c r="AA311" i="18"/>
  <c r="Z311" i="18" s="1"/>
  <c r="Y311" i="18" s="1"/>
  <c r="W311" i="22"/>
  <c r="D311" i="22"/>
  <c r="E311" i="22" s="1"/>
  <c r="F311" i="22" s="1"/>
  <c r="B311" i="23"/>
  <c r="G236" i="18"/>
  <c r="CA236" i="6" s="1"/>
  <c r="AA236" i="18"/>
  <c r="Z236" i="18" s="1"/>
  <c r="Y236" i="18" s="1"/>
  <c r="W236" i="22"/>
  <c r="D236" i="22"/>
  <c r="E236" i="22" s="1"/>
  <c r="F236" i="22" s="1"/>
  <c r="B236" i="23"/>
  <c r="G310" i="18"/>
  <c r="CA310" i="6" s="1"/>
  <c r="AA310" i="18"/>
  <c r="Z310" i="18" s="1"/>
  <c r="Y310" i="18" s="1"/>
  <c r="W310" i="22"/>
  <c r="D310" i="22"/>
  <c r="E310" i="22" s="1"/>
  <c r="F310" i="22" s="1"/>
  <c r="B310" i="23"/>
  <c r="G182" i="18"/>
  <c r="CA182" i="6" s="1"/>
  <c r="AA182" i="18"/>
  <c r="Z182" i="18" s="1"/>
  <c r="Y182" i="18" s="1"/>
  <c r="W182" i="22"/>
  <c r="D182" i="22"/>
  <c r="E182" i="22" s="1"/>
  <c r="F182" i="22" s="1"/>
  <c r="B182" i="23"/>
  <c r="G378" i="18"/>
  <c r="CA378" i="6" s="1"/>
  <c r="AA378" i="18"/>
  <c r="Z378" i="18" s="1"/>
  <c r="Y378" i="18" s="1"/>
  <c r="W378" i="22"/>
  <c r="D378" i="22"/>
  <c r="E378" i="22" s="1"/>
  <c r="F378" i="22" s="1"/>
  <c r="B378" i="23"/>
  <c r="G289" i="18"/>
  <c r="CA289" i="6" s="1"/>
  <c r="AA289" i="18"/>
  <c r="Z289" i="18" s="1"/>
  <c r="Y289" i="18" s="1"/>
  <c r="W289" i="22"/>
  <c r="D289" i="22"/>
  <c r="E289" i="22" s="1"/>
  <c r="F289" i="22" s="1"/>
  <c r="B289" i="23"/>
  <c r="G90" i="18"/>
  <c r="CA90" i="6" s="1"/>
  <c r="AA90" i="18"/>
  <c r="Z90" i="18" s="1"/>
  <c r="Y90" i="18" s="1"/>
  <c r="W90" i="22"/>
  <c r="D90" i="22"/>
  <c r="E90" i="22" s="1"/>
  <c r="F90" i="22" s="1"/>
  <c r="B90" i="23"/>
  <c r="G78" i="18"/>
  <c r="CA78" i="6" s="1"/>
  <c r="AA78" i="18"/>
  <c r="Z78" i="18" s="1"/>
  <c r="Y78" i="18" s="1"/>
  <c r="W78" i="22"/>
  <c r="D78" i="22"/>
  <c r="E78" i="22" s="1"/>
  <c r="F78" i="22" s="1"/>
  <c r="B78" i="23"/>
  <c r="G137" i="18"/>
  <c r="CA137" i="6" s="1"/>
  <c r="AA137" i="18"/>
  <c r="Z137" i="18" s="1"/>
  <c r="Y137" i="18" s="1"/>
  <c r="W137" i="22"/>
  <c r="D137" i="22"/>
  <c r="E137" i="22" s="1"/>
  <c r="F137" i="22" s="1"/>
  <c r="B137" i="23"/>
  <c r="G356" i="18"/>
  <c r="CA356" i="6" s="1"/>
  <c r="AA356" i="18"/>
  <c r="Z356" i="18" s="1"/>
  <c r="Y356" i="18" s="1"/>
  <c r="W356" i="22"/>
  <c r="D356" i="22"/>
  <c r="E356" i="22" s="1"/>
  <c r="F356" i="22" s="1"/>
  <c r="B356" i="23"/>
  <c r="G340" i="18"/>
  <c r="CA340" i="6" s="1"/>
  <c r="AA340" i="18"/>
  <c r="Z340" i="18" s="1"/>
  <c r="Y340" i="18" s="1"/>
  <c r="W340" i="22"/>
  <c r="D340" i="22"/>
  <c r="E340" i="22" s="1"/>
  <c r="F340" i="22" s="1"/>
  <c r="B340" i="23"/>
  <c r="G314" i="18"/>
  <c r="CA314" i="6" s="1"/>
  <c r="AA314" i="18"/>
  <c r="Z314" i="18" s="1"/>
  <c r="Y314" i="18" s="1"/>
  <c r="W314" i="22"/>
  <c r="D314" i="22"/>
  <c r="E314" i="22" s="1"/>
  <c r="F314" i="22" s="1"/>
  <c r="B314" i="23"/>
  <c r="G290" i="18"/>
  <c r="CA290" i="6" s="1"/>
  <c r="AA290" i="18"/>
  <c r="Z290" i="18" s="1"/>
  <c r="Y290" i="18" s="1"/>
  <c r="W290" i="22"/>
  <c r="D290" i="22"/>
  <c r="E290" i="22" s="1"/>
  <c r="F290" i="22" s="1"/>
  <c r="B290" i="23"/>
  <c r="G264" i="18"/>
  <c r="CA264" i="6" s="1"/>
  <c r="AA264" i="18"/>
  <c r="Z264" i="18" s="1"/>
  <c r="Y264" i="18" s="1"/>
  <c r="W264" i="22"/>
  <c r="D264" i="22"/>
  <c r="E264" i="22" s="1"/>
  <c r="F264" i="22" s="1"/>
  <c r="B264" i="23"/>
  <c r="G240" i="18"/>
  <c r="CA240" i="6" s="1"/>
  <c r="AA240" i="18"/>
  <c r="Z240" i="18" s="1"/>
  <c r="Y240" i="18" s="1"/>
  <c r="W240" i="22"/>
  <c r="D240" i="22"/>
  <c r="E240" i="22" s="1"/>
  <c r="F240" i="22" s="1"/>
  <c r="B240" i="23"/>
  <c r="G214" i="18"/>
  <c r="CA214" i="6" s="1"/>
  <c r="AA214" i="18"/>
  <c r="Z214" i="18" s="1"/>
  <c r="Y214" i="18" s="1"/>
  <c r="W214" i="22"/>
  <c r="D214" i="22"/>
  <c r="E214" i="22" s="1"/>
  <c r="F214" i="22" s="1"/>
  <c r="B214" i="23"/>
  <c r="G206" i="18"/>
  <c r="CA206" i="6" s="1"/>
  <c r="AA206" i="18"/>
  <c r="Z206" i="18" s="1"/>
  <c r="Y206" i="18" s="1"/>
  <c r="W206" i="22"/>
  <c r="D206" i="22"/>
  <c r="E206" i="22" s="1"/>
  <c r="F206" i="22" s="1"/>
  <c r="B206" i="23"/>
  <c r="G198" i="18"/>
  <c r="CA198" i="6" s="1"/>
  <c r="AA198" i="18"/>
  <c r="Z198" i="18" s="1"/>
  <c r="Y198" i="18" s="1"/>
  <c r="W198" i="22"/>
  <c r="D198" i="22"/>
  <c r="E198" i="22" s="1"/>
  <c r="F198" i="22" s="1"/>
  <c r="B198" i="23"/>
  <c r="W186" i="20"/>
  <c r="D186" i="20"/>
  <c r="E186" i="20" s="1"/>
  <c r="F186" i="20" s="1"/>
  <c r="B186" i="22"/>
  <c r="G162" i="18"/>
  <c r="CA162" i="6" s="1"/>
  <c r="AA162" i="18"/>
  <c r="Z162" i="18" s="1"/>
  <c r="Y162" i="18" s="1"/>
  <c r="W162" i="22"/>
  <c r="D162" i="22"/>
  <c r="E162" i="22" s="1"/>
  <c r="F162" i="22" s="1"/>
  <c r="B162" i="23"/>
  <c r="G156" i="18"/>
  <c r="CA156" i="6" s="1"/>
  <c r="AA156" i="18"/>
  <c r="Z156" i="18" s="1"/>
  <c r="Y156" i="18" s="1"/>
  <c r="W156" i="22"/>
  <c r="D156" i="22"/>
  <c r="E156" i="22" s="1"/>
  <c r="F156" i="22" s="1"/>
  <c r="B156" i="23"/>
  <c r="G102" i="18"/>
  <c r="CA102" i="6" s="1"/>
  <c r="AA102" i="18"/>
  <c r="Z102" i="18" s="1"/>
  <c r="Y102" i="18" s="1"/>
  <c r="H102" i="18"/>
  <c r="W102" i="22"/>
  <c r="D102" i="22"/>
  <c r="E102" i="22" s="1"/>
  <c r="F102" i="22" s="1"/>
  <c r="B102" i="23"/>
  <c r="G72" i="18"/>
  <c r="CA72" i="6" s="1"/>
  <c r="AA72" i="18"/>
  <c r="Z72" i="18" s="1"/>
  <c r="Y72" i="18" s="1"/>
  <c r="W72" i="22"/>
  <c r="D72" i="22"/>
  <c r="E72" i="22" s="1"/>
  <c r="F72" i="22" s="1"/>
  <c r="B72" i="23"/>
  <c r="G58" i="18"/>
  <c r="CA58" i="6" s="1"/>
  <c r="AA58" i="18"/>
  <c r="Z58" i="18" s="1"/>
  <c r="Y58" i="18" s="1"/>
  <c r="W58" i="22"/>
  <c r="D58" i="22"/>
  <c r="E58" i="22" s="1"/>
  <c r="F58" i="22" s="1"/>
  <c r="B58" i="23"/>
  <c r="G44" i="18"/>
  <c r="CA44" i="6" s="1"/>
  <c r="AA44" i="18"/>
  <c r="Z44" i="18" s="1"/>
  <c r="Y44" i="18" s="1"/>
  <c r="W44" i="22"/>
  <c r="D44" i="22"/>
  <c r="E44" i="22" s="1"/>
  <c r="F44" i="22" s="1"/>
  <c r="B44" i="23"/>
  <c r="G36" i="18"/>
  <c r="CA36" i="6" s="1"/>
  <c r="AA36" i="18"/>
  <c r="Z36" i="18" s="1"/>
  <c r="Y36" i="18" s="1"/>
  <c r="W36" i="22"/>
  <c r="D36" i="22"/>
  <c r="E36" i="22" s="1"/>
  <c r="F36" i="22" s="1"/>
  <c r="B36" i="23"/>
  <c r="G24" i="18"/>
  <c r="CA24" i="6" s="1"/>
  <c r="AA24" i="18"/>
  <c r="Z24" i="18" s="1"/>
  <c r="Y24" i="18" s="1"/>
  <c r="W24" i="22"/>
  <c r="D24" i="22"/>
  <c r="E24" i="22" s="1"/>
  <c r="F24" i="22" s="1"/>
  <c r="B24" i="23"/>
  <c r="G355" i="18"/>
  <c r="CA355" i="6" s="1"/>
  <c r="AA355" i="18"/>
  <c r="Z355" i="18" s="1"/>
  <c r="Y355" i="18" s="1"/>
  <c r="W355" i="22"/>
  <c r="D355" i="22"/>
  <c r="E355" i="22" s="1"/>
  <c r="F355" i="22" s="1"/>
  <c r="B355" i="23"/>
  <c r="G345" i="18"/>
  <c r="CA345" i="6" s="1"/>
  <c r="AA345" i="18"/>
  <c r="Z345" i="18" s="1"/>
  <c r="Y345" i="18" s="1"/>
  <c r="W345" i="22"/>
  <c r="D345" i="22"/>
  <c r="E345" i="22" s="1"/>
  <c r="F345" i="22" s="1"/>
  <c r="B345" i="23"/>
  <c r="G329" i="18"/>
  <c r="CA329" i="6" s="1"/>
  <c r="AA329" i="18"/>
  <c r="Z329" i="18" s="1"/>
  <c r="Y329" i="18" s="1"/>
  <c r="W329" i="22"/>
  <c r="D329" i="22"/>
  <c r="E329" i="22" s="1"/>
  <c r="F329" i="22" s="1"/>
  <c r="B329" i="23"/>
  <c r="G297" i="18"/>
  <c r="CA297" i="6" s="1"/>
  <c r="AA297" i="18"/>
  <c r="Z297" i="18" s="1"/>
  <c r="Y297" i="18" s="1"/>
  <c r="W297" i="22"/>
  <c r="D297" i="22"/>
  <c r="E297" i="22" s="1"/>
  <c r="F297" i="22" s="1"/>
  <c r="B297" i="23"/>
  <c r="G243" i="18"/>
  <c r="CA243" i="6" s="1"/>
  <c r="AA243" i="18"/>
  <c r="Z243" i="18" s="1"/>
  <c r="Y243" i="18" s="1"/>
  <c r="W243" i="22"/>
  <c r="D243" i="22"/>
  <c r="E243" i="22" s="1"/>
  <c r="F243" i="22" s="1"/>
  <c r="B243" i="23"/>
  <c r="G237" i="18"/>
  <c r="CA237" i="6" s="1"/>
  <c r="AA237" i="18"/>
  <c r="Z237" i="18" s="1"/>
  <c r="Y237" i="18" s="1"/>
  <c r="W237" i="22"/>
  <c r="D237" i="22"/>
  <c r="E237" i="22" s="1"/>
  <c r="F237" i="22" s="1"/>
  <c r="B237" i="23"/>
  <c r="G217" i="18"/>
  <c r="CA217" i="6" s="1"/>
  <c r="AA217" i="18"/>
  <c r="Z217" i="18" s="1"/>
  <c r="Y217" i="18" s="1"/>
  <c r="W217" i="22"/>
  <c r="D217" i="22"/>
  <c r="E217" i="22" s="1"/>
  <c r="F217" i="22" s="1"/>
  <c r="B217" i="23"/>
  <c r="G199" i="18"/>
  <c r="CA199" i="6" s="1"/>
  <c r="AA199" i="18"/>
  <c r="Z199" i="18" s="1"/>
  <c r="Y199" i="18" s="1"/>
  <c r="W199" i="22"/>
  <c r="D199" i="22"/>
  <c r="E199" i="22" s="1"/>
  <c r="F199" i="22" s="1"/>
  <c r="B199" i="23"/>
  <c r="G133" i="18"/>
  <c r="CA133" i="6" s="1"/>
  <c r="AA133" i="18"/>
  <c r="Z133" i="18" s="1"/>
  <c r="Y133" i="18" s="1"/>
  <c r="W133" i="22"/>
  <c r="D133" i="22"/>
  <c r="E133" i="22" s="1"/>
  <c r="F133" i="22" s="1"/>
  <c r="B133" i="23"/>
  <c r="G121" i="18"/>
  <c r="CA121" i="6" s="1"/>
  <c r="AA121" i="18"/>
  <c r="Z121" i="18" s="1"/>
  <c r="Y121" i="18" s="1"/>
  <c r="W121" i="22"/>
  <c r="D121" i="22"/>
  <c r="E121" i="22" s="1"/>
  <c r="F121" i="22" s="1"/>
  <c r="B121" i="23"/>
  <c r="G115" i="18"/>
  <c r="CA115" i="6" s="1"/>
  <c r="AA115" i="18"/>
  <c r="Z115" i="18" s="1"/>
  <c r="Y115" i="18" s="1"/>
  <c r="W115" i="22"/>
  <c r="D115" i="22"/>
  <c r="E115" i="22" s="1"/>
  <c r="F115" i="22" s="1"/>
  <c r="B115" i="23"/>
  <c r="G109" i="18"/>
  <c r="CA109" i="6" s="1"/>
  <c r="AA109" i="18"/>
  <c r="Z109" i="18" s="1"/>
  <c r="Y109" i="18" s="1"/>
  <c r="W109" i="22"/>
  <c r="D109" i="22"/>
  <c r="E109" i="22" s="1"/>
  <c r="F109" i="22" s="1"/>
  <c r="B109" i="23"/>
  <c r="G85" i="18"/>
  <c r="CA85" i="6" s="1"/>
  <c r="AA85" i="18"/>
  <c r="Z85" i="18" s="1"/>
  <c r="Y85" i="18" s="1"/>
  <c r="W85" i="22"/>
  <c r="D85" i="22"/>
  <c r="E85" i="22" s="1"/>
  <c r="F85" i="22" s="1"/>
  <c r="B85" i="23"/>
  <c r="G51" i="18"/>
  <c r="CA51" i="6" s="1"/>
  <c r="AA51" i="18"/>
  <c r="Z51" i="18" s="1"/>
  <c r="Y51" i="18" s="1"/>
  <c r="W51" i="22"/>
  <c r="D51" i="22"/>
  <c r="E51" i="22" s="1"/>
  <c r="F51" i="22" s="1"/>
  <c r="B51" i="23"/>
  <c r="G25" i="18"/>
  <c r="CA25" i="6" s="1"/>
  <c r="AA25" i="18"/>
  <c r="Z25" i="18" s="1"/>
  <c r="Y25" i="18" s="1"/>
  <c r="W25" i="22"/>
  <c r="D25" i="22"/>
  <c r="E25" i="22" s="1"/>
  <c r="F25" i="22" s="1"/>
  <c r="B25" i="23"/>
  <c r="G370" i="18"/>
  <c r="CA370" i="6" s="1"/>
  <c r="AA370" i="18"/>
  <c r="Z370" i="18" s="1"/>
  <c r="Y370" i="18" s="1"/>
  <c r="W370" i="22"/>
  <c r="D370" i="22"/>
  <c r="E370" i="22" s="1"/>
  <c r="F370" i="22" s="1"/>
  <c r="B370" i="23"/>
  <c r="G360" i="18"/>
  <c r="CA360" i="6" s="1"/>
  <c r="AA360" i="18"/>
  <c r="Z360" i="18" s="1"/>
  <c r="Y360" i="18" s="1"/>
  <c r="W360" i="22"/>
  <c r="D360" i="22"/>
  <c r="E360" i="22" s="1"/>
  <c r="F360" i="22" s="1"/>
  <c r="B360" i="23"/>
  <c r="G344" i="18"/>
  <c r="CA344" i="6" s="1"/>
  <c r="AA344" i="18"/>
  <c r="Z344" i="18" s="1"/>
  <c r="Y344" i="18" s="1"/>
  <c r="W344" i="22"/>
  <c r="D344" i="22"/>
  <c r="E344" i="22" s="1"/>
  <c r="F344" i="22" s="1"/>
  <c r="B344" i="23"/>
  <c r="G324" i="18"/>
  <c r="CA324" i="6" s="1"/>
  <c r="AA324" i="18"/>
  <c r="Z324" i="18" s="1"/>
  <c r="Y324" i="18" s="1"/>
  <c r="W324" i="22"/>
  <c r="D324" i="22"/>
  <c r="E324" i="22" s="1"/>
  <c r="F324" i="22" s="1"/>
  <c r="B324" i="23"/>
  <c r="G304" i="18"/>
  <c r="CA304" i="6" s="1"/>
  <c r="AA304" i="18"/>
  <c r="Z304" i="18" s="1"/>
  <c r="Y304" i="18" s="1"/>
  <c r="W304" i="22"/>
  <c r="D304" i="22"/>
  <c r="E304" i="22" s="1"/>
  <c r="F304" i="22" s="1"/>
  <c r="B304" i="23"/>
  <c r="G280" i="18"/>
  <c r="CA280" i="6" s="1"/>
  <c r="AA280" i="18"/>
  <c r="Z280" i="18" s="1"/>
  <c r="Y280" i="18" s="1"/>
  <c r="W280" i="22"/>
  <c r="D280" i="22"/>
  <c r="E280" i="22" s="1"/>
  <c r="F280" i="22" s="1"/>
  <c r="B280" i="23"/>
  <c r="G262" i="18"/>
  <c r="CA262" i="6" s="1"/>
  <c r="AA262" i="18"/>
  <c r="Z262" i="18" s="1"/>
  <c r="Y262" i="18" s="1"/>
  <c r="D262" i="22"/>
  <c r="E262" i="22" s="1"/>
  <c r="F262" i="22" s="1"/>
  <c r="W262" i="22"/>
  <c r="B262" i="23"/>
  <c r="G238" i="18"/>
  <c r="CA238" i="6" s="1"/>
  <c r="AA238" i="18"/>
  <c r="Z238" i="18" s="1"/>
  <c r="Y238" i="18" s="1"/>
  <c r="W238" i="22"/>
  <c r="D238" i="22"/>
  <c r="E238" i="22" s="1"/>
  <c r="F238" i="22" s="1"/>
  <c r="B238" i="23"/>
  <c r="G202" i="18"/>
  <c r="CA202" i="6" s="1"/>
  <c r="AA202" i="18"/>
  <c r="Z202" i="18" s="1"/>
  <c r="Y202" i="18" s="1"/>
  <c r="W202" i="22"/>
  <c r="D202" i="22"/>
  <c r="E202" i="22" s="1"/>
  <c r="F202" i="22" s="1"/>
  <c r="B202" i="23"/>
  <c r="G172" i="18"/>
  <c r="CA172" i="6" s="1"/>
  <c r="AA172" i="18"/>
  <c r="Z172" i="18" s="1"/>
  <c r="Y172" i="18" s="1"/>
  <c r="W172" i="22"/>
  <c r="D172" i="22"/>
  <c r="E172" i="22" s="1"/>
  <c r="F172" i="22" s="1"/>
  <c r="B172" i="23"/>
  <c r="G138" i="18"/>
  <c r="CA138" i="6" s="1"/>
  <c r="AA138" i="18"/>
  <c r="Z138" i="18" s="1"/>
  <c r="Y138" i="18" s="1"/>
  <c r="W138" i="22"/>
  <c r="D138" i="22"/>
  <c r="E138" i="22" s="1"/>
  <c r="F138" i="22" s="1"/>
  <c r="B138" i="23"/>
  <c r="G122" i="18"/>
  <c r="CA122" i="6" s="1"/>
  <c r="AA122" i="18"/>
  <c r="Z122" i="18" s="1"/>
  <c r="Y122" i="18" s="1"/>
  <c r="W122" i="22"/>
  <c r="D122" i="22"/>
  <c r="E122" i="22" s="1"/>
  <c r="F122" i="22" s="1"/>
  <c r="B122" i="23"/>
  <c r="G28" i="18"/>
  <c r="CA28" i="6" s="1"/>
  <c r="AA28" i="18"/>
  <c r="Z28" i="18" s="1"/>
  <c r="Y28" i="18" s="1"/>
  <c r="W28" i="22"/>
  <c r="D28" i="22"/>
  <c r="E28" i="22" s="1"/>
  <c r="F28" i="22" s="1"/>
  <c r="B28" i="23"/>
  <c r="G18" i="18"/>
  <c r="CA18" i="6" s="1"/>
  <c r="AA18" i="18"/>
  <c r="Z18" i="18" s="1"/>
  <c r="Y18" i="18" s="1"/>
  <c r="W18" i="22"/>
  <c r="D18" i="22"/>
  <c r="E18" i="22" s="1"/>
  <c r="F18" i="22" s="1"/>
  <c r="B18" i="23"/>
  <c r="G288" i="18"/>
  <c r="CA288" i="6" s="1"/>
  <c r="AA288" i="18"/>
  <c r="Z288" i="18" s="1"/>
  <c r="Y288" i="18" s="1"/>
  <c r="W288" i="22"/>
  <c r="D288" i="22"/>
  <c r="E288" i="22" s="1"/>
  <c r="F288" i="22" s="1"/>
  <c r="B288" i="23"/>
  <c r="G262" i="20"/>
  <c r="CB262" i="6" s="1"/>
  <c r="AA262" i="20"/>
  <c r="Z262" i="20" s="1"/>
  <c r="Y262" i="20" s="1"/>
  <c r="G359" i="18"/>
  <c r="CA359" i="6" s="1"/>
  <c r="AA359" i="18"/>
  <c r="Z359" i="18" s="1"/>
  <c r="Y359" i="18" s="1"/>
  <c r="W357" i="22"/>
  <c r="D357" i="22"/>
  <c r="E357" i="22" s="1"/>
  <c r="F357" i="22" s="1"/>
  <c r="B357" i="23"/>
  <c r="G313" i="18"/>
  <c r="CA313" i="6" s="1"/>
  <c r="AA313" i="18"/>
  <c r="Z313" i="18" s="1"/>
  <c r="Y313" i="18" s="1"/>
  <c r="W307" i="22"/>
  <c r="D307" i="22"/>
  <c r="E307" i="22" s="1"/>
  <c r="F307" i="22" s="1"/>
  <c r="B307" i="23"/>
  <c r="G269" i="18"/>
  <c r="CA269" i="6" s="1"/>
  <c r="AA269" i="18"/>
  <c r="Z269" i="18" s="1"/>
  <c r="Y269" i="18" s="1"/>
  <c r="W267" i="22"/>
  <c r="D267" i="22"/>
  <c r="E267" i="22" s="1"/>
  <c r="F267" i="22" s="1"/>
  <c r="B267" i="23"/>
  <c r="G231" i="18"/>
  <c r="CA231" i="6" s="1"/>
  <c r="AA231" i="18"/>
  <c r="Z231" i="18" s="1"/>
  <c r="Y231" i="18" s="1"/>
  <c r="W223" i="22"/>
  <c r="D223" i="22"/>
  <c r="E223" i="22" s="1"/>
  <c r="F223" i="22" s="1"/>
  <c r="B223" i="23"/>
  <c r="G223" i="20"/>
  <c r="CB223" i="6" s="1"/>
  <c r="AA223" i="20"/>
  <c r="Z223" i="20" s="1"/>
  <c r="Y223" i="20" s="1"/>
  <c r="G193" i="18"/>
  <c r="CA193" i="6" s="1"/>
  <c r="AA193" i="18"/>
  <c r="Z193" i="18" s="1"/>
  <c r="Y193" i="18" s="1"/>
  <c r="D191" i="22"/>
  <c r="E191" i="22" s="1"/>
  <c r="F191" i="22" s="1"/>
  <c r="W191" i="22"/>
  <c r="B191" i="23"/>
  <c r="G151" i="18"/>
  <c r="CA151" i="6" s="1"/>
  <c r="AA151" i="18"/>
  <c r="Z151" i="18" s="1"/>
  <c r="Y151" i="18" s="1"/>
  <c r="W143" i="22"/>
  <c r="D143" i="22"/>
  <c r="E143" i="22" s="1"/>
  <c r="F143" i="22" s="1"/>
  <c r="B143" i="23"/>
  <c r="G107" i="18"/>
  <c r="CA107" i="6" s="1"/>
  <c r="AA107" i="18"/>
  <c r="Z107" i="18" s="1"/>
  <c r="Y107" i="18" s="1"/>
  <c r="W65" i="22"/>
  <c r="D65" i="22"/>
  <c r="E65" i="22" s="1"/>
  <c r="F65" i="22" s="1"/>
  <c r="B65" i="23"/>
  <c r="G39" i="18"/>
  <c r="CA39" i="6" s="1"/>
  <c r="AA39" i="18"/>
  <c r="Z39" i="18" s="1"/>
  <c r="Y39" i="18" s="1"/>
  <c r="W372" i="22"/>
  <c r="D372" i="22"/>
  <c r="E372" i="22" s="1"/>
  <c r="F372" i="22" s="1"/>
  <c r="B372" i="23"/>
  <c r="G334" i="18"/>
  <c r="CA334" i="6" s="1"/>
  <c r="AA334" i="18"/>
  <c r="Z334" i="18" s="1"/>
  <c r="Y334" i="18" s="1"/>
  <c r="W326" i="20"/>
  <c r="D326" i="20"/>
  <c r="E326" i="20" s="1"/>
  <c r="F326" i="20" s="1"/>
  <c r="B326" i="22"/>
  <c r="G294" i="18"/>
  <c r="CA294" i="6" s="1"/>
  <c r="AA294" i="18"/>
  <c r="Z294" i="18" s="1"/>
  <c r="Y294" i="18" s="1"/>
  <c r="W250" i="20"/>
  <c r="D250" i="20"/>
  <c r="E250" i="20" s="1"/>
  <c r="F250" i="20" s="1"/>
  <c r="B250" i="22"/>
  <c r="G192" i="18"/>
  <c r="CA192" i="6" s="1"/>
  <c r="AA192" i="18"/>
  <c r="Z192" i="18" s="1"/>
  <c r="Y192" i="18" s="1"/>
  <c r="W188" i="20"/>
  <c r="D188" i="20"/>
  <c r="E188" i="20" s="1"/>
  <c r="F188" i="20" s="1"/>
  <c r="B188" i="22"/>
  <c r="G142" i="18"/>
  <c r="CA142" i="6" s="1"/>
  <c r="AA142" i="18"/>
  <c r="Z142" i="18" s="1"/>
  <c r="Y142" i="18" s="1"/>
  <c r="W126" i="20"/>
  <c r="D126" i="20"/>
  <c r="E126" i="20" s="1"/>
  <c r="F126" i="20" s="1"/>
  <c r="B126" i="22"/>
  <c r="G108" i="18"/>
  <c r="CA108" i="6" s="1"/>
  <c r="AA108" i="18"/>
  <c r="Z108" i="18" s="1"/>
  <c r="Y108" i="18" s="1"/>
  <c r="W96" i="20"/>
  <c r="D96" i="20"/>
  <c r="E96" i="20" s="1"/>
  <c r="F96" i="20" s="1"/>
  <c r="B96" i="22"/>
  <c r="W86" i="20"/>
  <c r="D86" i="20"/>
  <c r="E86" i="20" s="1"/>
  <c r="F86" i="20" s="1"/>
  <c r="B86" i="22"/>
  <c r="W34" i="20"/>
  <c r="D34" i="20"/>
  <c r="E34" i="20" s="1"/>
  <c r="F34" i="20" s="1"/>
  <c r="B34" i="22"/>
  <c r="W341" i="20"/>
  <c r="D341" i="20"/>
  <c r="E341" i="20" s="1"/>
  <c r="F341" i="20" s="1"/>
  <c r="B341" i="22"/>
  <c r="W327" i="20"/>
  <c r="D327" i="20"/>
  <c r="E327" i="20" s="1"/>
  <c r="F327" i="20" s="1"/>
  <c r="B327" i="22"/>
  <c r="W293" i="20"/>
  <c r="D293" i="20"/>
  <c r="E293" i="20" s="1"/>
  <c r="F293" i="20" s="1"/>
  <c r="B293" i="22"/>
  <c r="W285" i="20"/>
  <c r="D285" i="20"/>
  <c r="E285" i="20" s="1"/>
  <c r="F285" i="20" s="1"/>
  <c r="B285" i="22"/>
  <c r="W259" i="20"/>
  <c r="D259" i="20"/>
  <c r="E259" i="20" s="1"/>
  <c r="F259" i="20" s="1"/>
  <c r="B259" i="22"/>
  <c r="G221" i="18"/>
  <c r="CA221" i="6" s="1"/>
  <c r="AA221" i="18"/>
  <c r="Z221" i="18" s="1"/>
  <c r="Y221" i="18" s="1"/>
  <c r="W221" i="22"/>
  <c r="D221" i="22"/>
  <c r="E221" i="22" s="1"/>
  <c r="F221" i="22" s="1"/>
  <c r="B221" i="23"/>
  <c r="G209" i="18"/>
  <c r="CA209" i="6" s="1"/>
  <c r="AA209" i="18"/>
  <c r="Z209" i="18" s="1"/>
  <c r="Y209" i="18" s="1"/>
  <c r="W209" i="22"/>
  <c r="D209" i="22"/>
  <c r="E209" i="22" s="1"/>
  <c r="F209" i="22" s="1"/>
  <c r="B209" i="23"/>
  <c r="G195" i="18"/>
  <c r="CA195" i="6" s="1"/>
  <c r="AA195" i="18"/>
  <c r="Z195" i="18" s="1"/>
  <c r="Y195" i="18" s="1"/>
  <c r="W195" i="22"/>
  <c r="D195" i="22"/>
  <c r="E195" i="22" s="1"/>
  <c r="F195" i="22" s="1"/>
  <c r="B195" i="23"/>
  <c r="G147" i="18"/>
  <c r="CA147" i="6" s="1"/>
  <c r="AA147" i="18"/>
  <c r="Z147" i="18" s="1"/>
  <c r="Y147" i="18" s="1"/>
  <c r="W147" i="22"/>
  <c r="D147" i="22"/>
  <c r="E147" i="22" s="1"/>
  <c r="F147" i="22" s="1"/>
  <c r="B147" i="23"/>
  <c r="G131" i="18"/>
  <c r="CA131" i="6" s="1"/>
  <c r="AA131" i="18"/>
  <c r="Z131" i="18" s="1"/>
  <c r="Y131" i="18" s="1"/>
  <c r="W131" i="22"/>
  <c r="D131" i="22"/>
  <c r="E131" i="22" s="1"/>
  <c r="F131" i="22" s="1"/>
  <c r="B131" i="23"/>
  <c r="G93" i="18"/>
  <c r="CA93" i="6" s="1"/>
  <c r="AA93" i="18"/>
  <c r="Z93" i="18" s="1"/>
  <c r="Y93" i="18" s="1"/>
  <c r="W93" i="22"/>
  <c r="D93" i="22"/>
  <c r="E93" i="22" s="1"/>
  <c r="F93" i="22" s="1"/>
  <c r="B93" i="23"/>
  <c r="G79" i="18"/>
  <c r="CA79" i="6" s="1"/>
  <c r="AA79" i="18"/>
  <c r="Z79" i="18" s="1"/>
  <c r="Y79" i="18" s="1"/>
  <c r="D79" i="22"/>
  <c r="E79" i="22" s="1"/>
  <c r="F79" i="22" s="1"/>
  <c r="W79" i="22"/>
  <c r="B79" i="23"/>
  <c r="G69" i="18"/>
  <c r="CA69" i="6" s="1"/>
  <c r="AA69" i="18"/>
  <c r="Z69" i="18" s="1"/>
  <c r="Y69" i="18" s="1"/>
  <c r="W69" i="22"/>
  <c r="D69" i="22"/>
  <c r="E69" i="22" s="1"/>
  <c r="F69" i="22" s="1"/>
  <c r="B69" i="23"/>
  <c r="G47" i="18"/>
  <c r="CA47" i="6" s="1"/>
  <c r="AA47" i="18"/>
  <c r="Z47" i="18" s="1"/>
  <c r="Y47" i="18" s="1"/>
  <c r="W47" i="22"/>
  <c r="D47" i="22"/>
  <c r="E47" i="22" s="1"/>
  <c r="F47" i="22" s="1"/>
  <c r="B47" i="23"/>
  <c r="G33" i="18"/>
  <c r="CA33" i="6" s="1"/>
  <c r="AA33" i="18"/>
  <c r="Z33" i="18" s="1"/>
  <c r="Y33" i="18" s="1"/>
  <c r="W33" i="22"/>
  <c r="D33" i="22"/>
  <c r="E33" i="22" s="1"/>
  <c r="F33" i="22" s="1"/>
  <c r="B33" i="23"/>
  <c r="W23" i="20"/>
  <c r="D23" i="20"/>
  <c r="E23" i="20" s="1"/>
  <c r="F23" i="20" s="1"/>
  <c r="B23" i="22"/>
  <c r="W258" i="20"/>
  <c r="D258" i="20"/>
  <c r="E258" i="20" s="1"/>
  <c r="F258" i="20" s="1"/>
  <c r="B258" i="22"/>
  <c r="G336" i="18"/>
  <c r="CA336" i="6" s="1"/>
  <c r="AA336" i="18"/>
  <c r="Z336" i="18" s="1"/>
  <c r="Y336" i="18" s="1"/>
  <c r="H336" i="18"/>
  <c r="W336" i="22"/>
  <c r="D336" i="22"/>
  <c r="E336" i="22" s="1"/>
  <c r="F336" i="22" s="1"/>
  <c r="B336" i="23"/>
  <c r="G320" i="18"/>
  <c r="CA320" i="6" s="1"/>
  <c r="AA320" i="18"/>
  <c r="Z320" i="18" s="1"/>
  <c r="Y320" i="18" s="1"/>
  <c r="W320" i="22"/>
  <c r="D320" i="22"/>
  <c r="E320" i="22" s="1"/>
  <c r="F320" i="22" s="1"/>
  <c r="B320" i="23"/>
  <c r="G308" i="18"/>
  <c r="CA308" i="6" s="1"/>
  <c r="AA308" i="18"/>
  <c r="Z308" i="18" s="1"/>
  <c r="Y308" i="18" s="1"/>
  <c r="W308" i="22"/>
  <c r="D308" i="22"/>
  <c r="E308" i="22" s="1"/>
  <c r="F308" i="22" s="1"/>
  <c r="B308" i="23"/>
  <c r="G276" i="18"/>
  <c r="CA276" i="6" s="1"/>
  <c r="AA276" i="18"/>
  <c r="Z276" i="18" s="1"/>
  <c r="Y276" i="18" s="1"/>
  <c r="W276" i="22"/>
  <c r="D276" i="22"/>
  <c r="E276" i="22" s="1"/>
  <c r="F276" i="22" s="1"/>
  <c r="B276" i="23"/>
  <c r="G270" i="18"/>
  <c r="CA270" i="6" s="1"/>
  <c r="AA270" i="18"/>
  <c r="Z270" i="18" s="1"/>
  <c r="Y270" i="18" s="1"/>
  <c r="W270" i="22"/>
  <c r="D270" i="22"/>
  <c r="E270" i="22" s="1"/>
  <c r="F270" i="22" s="1"/>
  <c r="B270" i="23"/>
  <c r="G260" i="18"/>
  <c r="CA260" i="6" s="1"/>
  <c r="AA260" i="18"/>
  <c r="Z260" i="18" s="1"/>
  <c r="Y260" i="18" s="1"/>
  <c r="W260" i="22"/>
  <c r="D260" i="22"/>
  <c r="E260" i="22" s="1"/>
  <c r="F260" i="22" s="1"/>
  <c r="B260" i="23"/>
  <c r="G246" i="18"/>
  <c r="CA246" i="6" s="1"/>
  <c r="AA246" i="18"/>
  <c r="Z246" i="18" s="1"/>
  <c r="Y246" i="18" s="1"/>
  <c r="W246" i="22"/>
  <c r="D246" i="22"/>
  <c r="E246" i="22" s="1"/>
  <c r="F246" i="22" s="1"/>
  <c r="B246" i="23"/>
  <c r="G220" i="18"/>
  <c r="CA220" i="6" s="1"/>
  <c r="AA220" i="18"/>
  <c r="Z220" i="18" s="1"/>
  <c r="Y220" i="18" s="1"/>
  <c r="W220" i="22"/>
  <c r="D220" i="22"/>
  <c r="E220" i="22" s="1"/>
  <c r="F220" i="22" s="1"/>
  <c r="B220" i="23"/>
  <c r="G176" i="18"/>
  <c r="CA176" i="6" s="1"/>
  <c r="AA176" i="18"/>
  <c r="Z176" i="18" s="1"/>
  <c r="Y176" i="18" s="1"/>
  <c r="W176" i="22"/>
  <c r="D176" i="22"/>
  <c r="E176" i="22" s="1"/>
  <c r="F176" i="22" s="1"/>
  <c r="B176" i="23"/>
  <c r="G140" i="18"/>
  <c r="CA140" i="6" s="1"/>
  <c r="AA140" i="18"/>
  <c r="Z140" i="18" s="1"/>
  <c r="Y140" i="18" s="1"/>
  <c r="W140" i="22"/>
  <c r="D140" i="22"/>
  <c r="E140" i="22" s="1"/>
  <c r="F140" i="22" s="1"/>
  <c r="B140" i="23"/>
  <c r="G128" i="18"/>
  <c r="CA128" i="6" s="1"/>
  <c r="AA128" i="18"/>
  <c r="Z128" i="18" s="1"/>
  <c r="Y128" i="18" s="1"/>
  <c r="W128" i="22"/>
  <c r="D128" i="22"/>
  <c r="E128" i="22" s="1"/>
  <c r="F128" i="22" s="1"/>
  <c r="B128" i="23"/>
  <c r="G110" i="18"/>
  <c r="CA110" i="6" s="1"/>
  <c r="AA110" i="18"/>
  <c r="Z110" i="18" s="1"/>
  <c r="Y110" i="18" s="1"/>
  <c r="W110" i="22"/>
  <c r="D110" i="22"/>
  <c r="E110" i="22" s="1"/>
  <c r="F110" i="22" s="1"/>
  <c r="B110" i="23"/>
  <c r="G104" i="18"/>
  <c r="CA104" i="6" s="1"/>
  <c r="AA104" i="18"/>
  <c r="Z104" i="18" s="1"/>
  <c r="Y104" i="18" s="1"/>
  <c r="W104" i="22"/>
  <c r="D104" i="22"/>
  <c r="E104" i="22" s="1"/>
  <c r="F104" i="22" s="1"/>
  <c r="B104" i="23"/>
  <c r="G84" i="18"/>
  <c r="CA84" i="6" s="1"/>
  <c r="AA84" i="18"/>
  <c r="Z84" i="18" s="1"/>
  <c r="Y84" i="18" s="1"/>
  <c r="W84" i="22"/>
  <c r="D84" i="22"/>
  <c r="E84" i="22" s="1"/>
  <c r="F84" i="22" s="1"/>
  <c r="B84" i="23"/>
  <c r="G56" i="18"/>
  <c r="CA56" i="6" s="1"/>
  <c r="AA56" i="18"/>
  <c r="Z56" i="18" s="1"/>
  <c r="Y56" i="18" s="1"/>
  <c r="W56" i="22"/>
  <c r="D56" i="22"/>
  <c r="E56" i="22" s="1"/>
  <c r="F56" i="22" s="1"/>
  <c r="B56" i="23"/>
  <c r="G42" i="18"/>
  <c r="CA42" i="6" s="1"/>
  <c r="AA42" i="18"/>
  <c r="Z42" i="18" s="1"/>
  <c r="Y42" i="18" s="1"/>
  <c r="W42" i="22"/>
  <c r="D42" i="22"/>
  <c r="E42" i="22" s="1"/>
  <c r="F42" i="22" s="1"/>
  <c r="B42" i="23"/>
  <c r="G253" i="18"/>
  <c r="CA253" i="6" s="1"/>
  <c r="AA253" i="18"/>
  <c r="Z253" i="18" s="1"/>
  <c r="Y253" i="18" s="1"/>
  <c r="G116" i="20"/>
  <c r="CB116" i="6" s="1"/>
  <c r="AA116" i="20"/>
  <c r="Z116" i="20" s="1"/>
  <c r="Y116" i="20" s="1"/>
  <c r="G244" i="18"/>
  <c r="CA244" i="6" s="1"/>
  <c r="AA244" i="18"/>
  <c r="Z244" i="18" s="1"/>
  <c r="Y244" i="18" s="1"/>
  <c r="G284" i="20"/>
  <c r="CB284" i="6" s="1"/>
  <c r="AA284" i="20"/>
  <c r="Z284" i="20" s="1"/>
  <c r="Y284" i="20" s="1"/>
  <c r="G369" i="18"/>
  <c r="CA369" i="6" s="1"/>
  <c r="AA369" i="18"/>
  <c r="Z369" i="18" s="1"/>
  <c r="Y369" i="18" s="1"/>
  <c r="G241" i="20"/>
  <c r="CB241" i="6" s="1"/>
  <c r="AA241" i="20"/>
  <c r="Z241" i="20" s="1"/>
  <c r="Y241" i="20" s="1"/>
  <c r="G210" i="18"/>
  <c r="CA210" i="6" s="1"/>
  <c r="AA210" i="18"/>
  <c r="Z210" i="18" s="1"/>
  <c r="Y210" i="18" s="1"/>
  <c r="G302" i="20"/>
  <c r="CB302" i="6" s="1"/>
  <c r="AA302" i="20"/>
  <c r="Z302" i="20" s="1"/>
  <c r="Y302" i="20" s="1"/>
  <c r="G189" i="20"/>
  <c r="CB189" i="6" s="1"/>
  <c r="AA189" i="20"/>
  <c r="Z189" i="20" s="1"/>
  <c r="Y189" i="20" s="1"/>
  <c r="G347" i="18"/>
  <c r="CA347" i="6" s="1"/>
  <c r="AA347" i="18"/>
  <c r="Z347" i="18" s="1"/>
  <c r="Y347" i="18" s="1"/>
  <c r="G367" i="20"/>
  <c r="CB367" i="6" s="1"/>
  <c r="AA367" i="20"/>
  <c r="Z367" i="20" s="1"/>
  <c r="Y367" i="20" s="1"/>
  <c r="G114" i="18"/>
  <c r="CA114" i="6" s="1"/>
  <c r="AA114" i="18"/>
  <c r="Z114" i="18" s="1"/>
  <c r="Y114" i="18" s="1"/>
  <c r="G154" i="20"/>
  <c r="CB154" i="6" s="1"/>
  <c r="AA154" i="20"/>
  <c r="Z154" i="20" s="1"/>
  <c r="Y154" i="20" s="1"/>
  <c r="G376" i="18"/>
  <c r="CA376" i="6" s="1"/>
  <c r="AA376" i="18"/>
  <c r="Z376" i="18" s="1"/>
  <c r="Y376" i="18" s="1"/>
  <c r="G335" i="20"/>
  <c r="CB335" i="6" s="1"/>
  <c r="AA335" i="20"/>
  <c r="Z335" i="20" s="1"/>
  <c r="Y335" i="20" s="1"/>
  <c r="G66" i="18"/>
  <c r="CA66" i="6" s="1"/>
  <c r="AA66" i="18"/>
  <c r="Z66" i="18" s="1"/>
  <c r="Y66" i="18" s="1"/>
  <c r="G194" i="20"/>
  <c r="CB194" i="6" s="1"/>
  <c r="AA194" i="20"/>
  <c r="Z194" i="20" s="1"/>
  <c r="Y194" i="20" s="1"/>
  <c r="G368" i="18"/>
  <c r="CA368" i="6" s="1"/>
  <c r="AA368" i="18"/>
  <c r="Z368" i="18" s="1"/>
  <c r="Y368" i="18" s="1"/>
  <c r="G135" i="20"/>
  <c r="CB135" i="6" s="1"/>
  <c r="AA135" i="20"/>
  <c r="Z135" i="20" s="1"/>
  <c r="Y135" i="20" s="1"/>
  <c r="G272" i="20"/>
  <c r="CB272" i="6" s="1"/>
  <c r="AA272" i="20"/>
  <c r="Z272" i="20" s="1"/>
  <c r="Y272" i="20" s="1"/>
  <c r="G95" i="18"/>
  <c r="CA95" i="6" s="1"/>
  <c r="AA95" i="18"/>
  <c r="Z95" i="18" s="1"/>
  <c r="Y95" i="18" s="1"/>
  <c r="G171" i="20"/>
  <c r="CB171" i="6" s="1"/>
  <c r="AA171" i="20"/>
  <c r="Z171" i="20" s="1"/>
  <c r="Y171" i="20" s="1"/>
  <c r="G278" i="18"/>
  <c r="CA278" i="6" s="1"/>
  <c r="AA278" i="18"/>
  <c r="Z278" i="18" s="1"/>
  <c r="Y278" i="18" s="1"/>
  <c r="G346" i="20"/>
  <c r="CB346" i="6" s="1"/>
  <c r="AA346" i="20"/>
  <c r="Z346" i="20" s="1"/>
  <c r="Y346" i="20" s="1"/>
  <c r="G43" i="18"/>
  <c r="CA43" i="6" s="1"/>
  <c r="AA43" i="18"/>
  <c r="Z43" i="18" s="1"/>
  <c r="Y43" i="18" s="1"/>
  <c r="G75" i="20"/>
  <c r="CB75" i="6" s="1"/>
  <c r="AA75" i="20"/>
  <c r="Z75" i="20" s="1"/>
  <c r="Y75" i="20" s="1"/>
  <c r="G111" i="18"/>
  <c r="CA111" i="6" s="1"/>
  <c r="AA111" i="18"/>
  <c r="Z111" i="18" s="1"/>
  <c r="Y111" i="18" s="1"/>
  <c r="G283" i="20"/>
  <c r="CB283" i="6" s="1"/>
  <c r="AA283" i="20"/>
  <c r="Z283" i="20" s="1"/>
  <c r="Y283" i="20" s="1"/>
  <c r="G216" i="18"/>
  <c r="CA216" i="6" s="1"/>
  <c r="AA216" i="18"/>
  <c r="Z216" i="18" s="1"/>
  <c r="Y216" i="18" s="1"/>
  <c r="G261" i="20"/>
  <c r="CB261" i="6" s="1"/>
  <c r="AA261" i="20"/>
  <c r="Z261" i="20" s="1"/>
  <c r="Y261" i="20" s="1"/>
  <c r="G17" i="18"/>
  <c r="CA17" i="6" s="1"/>
  <c r="AA17" i="18"/>
  <c r="Z17" i="18" s="1"/>
  <c r="Y17" i="18" s="1"/>
  <c r="G248" i="20"/>
  <c r="CB248" i="6" s="1"/>
  <c r="AA248" i="20"/>
  <c r="Z248" i="20" s="1"/>
  <c r="Y248" i="20" s="1"/>
  <c r="G354" i="18"/>
  <c r="CA354" i="6" s="1"/>
  <c r="AA354" i="18"/>
  <c r="Z354" i="18" s="1"/>
  <c r="Y354" i="18" s="1"/>
  <c r="G74" i="20"/>
  <c r="CB74" i="6" s="1"/>
  <c r="AA74" i="20"/>
  <c r="Z74" i="20" s="1"/>
  <c r="Y74" i="20" s="1"/>
  <c r="G319" i="18"/>
  <c r="CA319" i="6" s="1"/>
  <c r="AA319" i="18"/>
  <c r="Z319" i="18" s="1"/>
  <c r="Y319" i="18" s="1"/>
  <c r="G22" i="20"/>
  <c r="CB22" i="6" s="1"/>
  <c r="AA22" i="20"/>
  <c r="Z22" i="20" s="1"/>
  <c r="Y22" i="20" s="1"/>
  <c r="G227" i="18"/>
  <c r="CA227" i="6" s="1"/>
  <c r="AA227" i="18"/>
  <c r="Z227" i="18" s="1"/>
  <c r="Y227" i="18" s="1"/>
  <c r="G349" i="20"/>
  <c r="CB349" i="6" s="1"/>
  <c r="AA349" i="20"/>
  <c r="Z349" i="20" s="1"/>
  <c r="Y349" i="20" s="1"/>
  <c r="G166" i="18"/>
  <c r="CA166" i="6" s="1"/>
  <c r="AA166" i="18"/>
  <c r="Z166" i="18" s="1"/>
  <c r="Y166" i="18" s="1"/>
  <c r="G46" i="20"/>
  <c r="CB46" i="6" s="1"/>
  <c r="AA46" i="20"/>
  <c r="Z46" i="20" s="1"/>
  <c r="Y46" i="20" s="1"/>
  <c r="G35" i="18"/>
  <c r="CA35" i="6" s="1"/>
  <c r="AA35" i="18"/>
  <c r="Z35" i="18" s="1"/>
  <c r="Y35" i="18" s="1"/>
  <c r="G67" i="20"/>
  <c r="CB67" i="6" s="1"/>
  <c r="AA67" i="20"/>
  <c r="Z67" i="20" s="1"/>
  <c r="Y67" i="20" s="1"/>
  <c r="G177" i="18"/>
  <c r="CA177" i="6" s="1"/>
  <c r="AA177" i="18"/>
  <c r="Z177" i="18" s="1"/>
  <c r="Y177" i="18" s="1"/>
  <c r="G208" i="18"/>
  <c r="CA208" i="6" s="1"/>
  <c r="AA208" i="18"/>
  <c r="Z208" i="18" s="1"/>
  <c r="Y208" i="18" s="1"/>
  <c r="G226" i="20"/>
  <c r="CB226" i="6" s="1"/>
  <c r="AA226" i="20"/>
  <c r="Z226" i="20" s="1"/>
  <c r="Y226" i="20" s="1"/>
  <c r="G298" i="18"/>
  <c r="CA298" i="6" s="1"/>
  <c r="AA298" i="18"/>
  <c r="Z298" i="18" s="1"/>
  <c r="Y298" i="18" s="1"/>
  <c r="G187" i="20"/>
  <c r="CB187" i="6" s="1"/>
  <c r="AA187" i="20"/>
  <c r="Z187" i="20" s="1"/>
  <c r="Y187" i="20" s="1"/>
  <c r="G16" i="18"/>
  <c r="CA16" i="6" s="1"/>
  <c r="AA16" i="18"/>
  <c r="Z16" i="18" s="1"/>
  <c r="Y16" i="18" s="1"/>
  <c r="G150" i="20"/>
  <c r="CB150" i="6" s="1"/>
  <c r="AA150" i="20"/>
  <c r="Z150" i="20" s="1"/>
  <c r="Y150" i="20" s="1"/>
  <c r="G316" i="18"/>
  <c r="CA316" i="6" s="1"/>
  <c r="AA316" i="18"/>
  <c r="Z316" i="18" s="1"/>
  <c r="Y316" i="18" s="1"/>
  <c r="G365" i="20"/>
  <c r="CB365" i="6" s="1"/>
  <c r="AA365" i="20"/>
  <c r="Z365" i="20" s="1"/>
  <c r="Y365" i="20" s="1"/>
  <c r="G105" i="18"/>
  <c r="CA105" i="6" s="1"/>
  <c r="AA105" i="18"/>
  <c r="Z105" i="18" s="1"/>
  <c r="Y105" i="18" s="1"/>
  <c r="G29" i="20"/>
  <c r="CB29" i="6" s="1"/>
  <c r="AA29" i="20"/>
  <c r="Z29" i="20" s="1"/>
  <c r="Y29" i="20" s="1"/>
  <c r="G149" i="18"/>
  <c r="CA149" i="6" s="1"/>
  <c r="AA149" i="18"/>
  <c r="Z149" i="18" s="1"/>
  <c r="Y149" i="18" s="1"/>
  <c r="G60" i="20"/>
  <c r="CB60" i="6" s="1"/>
  <c r="AA60" i="20"/>
  <c r="Z60" i="20" s="1"/>
  <c r="Y60" i="20" s="1"/>
  <c r="G119" i="18"/>
  <c r="CA119" i="6" s="1"/>
  <c r="AA119" i="18"/>
  <c r="Z119" i="18" s="1"/>
  <c r="Y119" i="18" s="1"/>
  <c r="G333" i="18"/>
  <c r="CA333" i="6" s="1"/>
  <c r="AA333" i="18"/>
  <c r="Z333" i="18" s="1"/>
  <c r="Y333" i="18" s="1"/>
  <c r="G180" i="20"/>
  <c r="CB180" i="6" s="1"/>
  <c r="AA180" i="20"/>
  <c r="Z180" i="20" s="1"/>
  <c r="Y180" i="20" s="1"/>
  <c r="W196" i="20"/>
  <c r="D196" i="20"/>
  <c r="E196" i="20" s="1"/>
  <c r="F196" i="20" s="1"/>
  <c r="B196" i="22"/>
  <c r="F15" i="17"/>
  <c r="G375" i="18"/>
  <c r="CA375" i="6" s="1"/>
  <c r="AA375" i="18"/>
  <c r="Z375" i="18" s="1"/>
  <c r="Y375" i="18" s="1"/>
  <c r="W373" i="22"/>
  <c r="D373" i="22"/>
  <c r="E373" i="22" s="1"/>
  <c r="F373" i="22" s="1"/>
  <c r="B373" i="23"/>
  <c r="G337" i="18"/>
  <c r="CA337" i="6" s="1"/>
  <c r="AA337" i="18"/>
  <c r="Z337" i="18" s="1"/>
  <c r="Y337" i="18" s="1"/>
  <c r="W325" i="22"/>
  <c r="D325" i="22"/>
  <c r="E325" i="22" s="1"/>
  <c r="F325" i="22" s="1"/>
  <c r="B325" i="23"/>
  <c r="G301" i="18"/>
  <c r="CA301" i="6" s="1"/>
  <c r="AA301" i="18"/>
  <c r="Z301" i="18" s="1"/>
  <c r="Y301" i="18" s="1"/>
  <c r="W277" i="22"/>
  <c r="D277" i="22"/>
  <c r="E277" i="22" s="1"/>
  <c r="F277" i="22" s="1"/>
  <c r="B277" i="23"/>
  <c r="G257" i="18"/>
  <c r="CA257" i="6" s="1"/>
  <c r="AA257" i="18"/>
  <c r="Z257" i="18" s="1"/>
  <c r="Y257" i="18" s="1"/>
  <c r="W245" i="22"/>
  <c r="D245" i="22"/>
  <c r="E245" i="22" s="1"/>
  <c r="F245" i="22" s="1"/>
  <c r="B245" i="23"/>
  <c r="G211" i="18"/>
  <c r="CA211" i="6" s="1"/>
  <c r="AA211" i="18"/>
  <c r="Z211" i="18" s="1"/>
  <c r="Y211" i="18" s="1"/>
  <c r="W203" i="22"/>
  <c r="D203" i="22"/>
  <c r="E203" i="22" s="1"/>
  <c r="F203" i="22" s="1"/>
  <c r="B203" i="23"/>
  <c r="G179" i="18"/>
  <c r="CA179" i="6" s="1"/>
  <c r="AA179" i="18"/>
  <c r="Z179" i="18" s="1"/>
  <c r="Y179" i="18" s="1"/>
  <c r="W169" i="22"/>
  <c r="D169" i="22"/>
  <c r="E169" i="22" s="1"/>
  <c r="F169" i="22" s="1"/>
  <c r="B169" i="23"/>
  <c r="G141" i="18"/>
  <c r="CA141" i="6" s="1"/>
  <c r="AA141" i="18"/>
  <c r="Z141" i="18" s="1"/>
  <c r="Y141" i="18" s="1"/>
  <c r="W139" i="22"/>
  <c r="D139" i="22"/>
  <c r="E139" i="22" s="1"/>
  <c r="F139" i="22" s="1"/>
  <c r="B139" i="23"/>
  <c r="G59" i="18"/>
  <c r="CA59" i="6" s="1"/>
  <c r="AA59" i="18"/>
  <c r="Z59" i="18" s="1"/>
  <c r="Y59" i="18" s="1"/>
  <c r="W53" i="22"/>
  <c r="D53" i="22"/>
  <c r="E53" i="22" s="1"/>
  <c r="F53" i="22" s="1"/>
  <c r="B53" i="23"/>
  <c r="G379" i="18"/>
  <c r="CA379" i="6" s="1"/>
  <c r="AA379" i="18"/>
  <c r="Z379" i="18" s="1"/>
  <c r="Y379" i="18" s="1"/>
  <c r="W146" i="22"/>
  <c r="D146" i="22"/>
  <c r="E146" i="22" s="1"/>
  <c r="F146" i="22" s="1"/>
  <c r="B146" i="23"/>
  <c r="G142" i="20"/>
  <c r="CB142" i="6" s="1"/>
  <c r="AA142" i="20"/>
  <c r="Z142" i="20" s="1"/>
  <c r="Y142" i="20" s="1"/>
  <c r="W120" i="22"/>
  <c r="D120" i="22"/>
  <c r="E120" i="22" s="1"/>
  <c r="F120" i="22" s="1"/>
  <c r="B120" i="23"/>
  <c r="G108" i="20"/>
  <c r="CB108" i="6" s="1"/>
  <c r="AA108" i="20"/>
  <c r="Z108" i="20" s="1"/>
  <c r="Y108" i="20" s="1"/>
  <c r="W323" i="22"/>
  <c r="D323" i="22"/>
  <c r="E323" i="22" s="1"/>
  <c r="F323" i="22" s="1"/>
  <c r="B323" i="23"/>
  <c r="G317" i="22"/>
  <c r="CC317" i="6" s="1"/>
  <c r="AA317" i="22"/>
  <c r="Z317" i="22" s="1"/>
  <c r="Y317" i="22" s="1"/>
  <c r="W271" i="22"/>
  <c r="D271" i="22"/>
  <c r="E271" i="22" s="1"/>
  <c r="F271" i="22" s="1"/>
  <c r="B271" i="23"/>
  <c r="G263" i="22"/>
  <c r="CC263" i="6" s="1"/>
  <c r="AA263" i="22"/>
  <c r="Z263" i="22" s="1"/>
  <c r="Y263" i="22" s="1"/>
  <c r="W255" i="23"/>
  <c r="D255" i="23"/>
  <c r="E255" i="23" s="1"/>
  <c r="F255" i="23" s="1"/>
  <c r="B255" i="24"/>
  <c r="G219" i="20"/>
  <c r="CB219" i="6" s="1"/>
  <c r="AA219" i="20"/>
  <c r="Z219" i="20" s="1"/>
  <c r="Y219" i="20" s="1"/>
  <c r="W197" i="23"/>
  <c r="D197" i="23"/>
  <c r="E197" i="23" s="1"/>
  <c r="F197" i="23" s="1"/>
  <c r="B197" i="24"/>
  <c r="G173" i="20"/>
  <c r="CB173" i="6" s="1"/>
  <c r="AA173" i="20"/>
  <c r="Z173" i="20" s="1"/>
  <c r="Y173" i="20" s="1"/>
  <c r="W167" i="23"/>
  <c r="D167" i="23"/>
  <c r="E167" i="23" s="1"/>
  <c r="F167" i="23" s="1"/>
  <c r="B167" i="24"/>
  <c r="G127" i="20"/>
  <c r="CB127" i="6" s="1"/>
  <c r="AA127" i="20"/>
  <c r="Z127" i="20" s="1"/>
  <c r="Y127" i="20" s="1"/>
  <c r="W101" i="23"/>
  <c r="D101" i="23"/>
  <c r="E101" i="23" s="1"/>
  <c r="F101" i="23" s="1"/>
  <c r="B101" i="24"/>
  <c r="G89" i="20"/>
  <c r="CB89" i="6" s="1"/>
  <c r="AA89" i="20"/>
  <c r="Z89" i="20" s="1"/>
  <c r="Y89" i="20" s="1"/>
  <c r="W83" i="23"/>
  <c r="D83" i="23"/>
  <c r="E83" i="23" s="1"/>
  <c r="F83" i="23" s="1"/>
  <c r="B83" i="24"/>
  <c r="G61" i="20"/>
  <c r="CB61" i="6" s="1"/>
  <c r="AA61" i="20"/>
  <c r="Z61" i="20" s="1"/>
  <c r="Y61" i="20" s="1"/>
  <c r="W55" i="23"/>
  <c r="D55" i="23"/>
  <c r="E55" i="23" s="1"/>
  <c r="F55" i="23" s="1"/>
  <c r="B55" i="24"/>
  <c r="G265" i="20"/>
  <c r="CB265" i="6" s="1"/>
  <c r="AA265" i="20"/>
  <c r="Z265" i="20" s="1"/>
  <c r="Y265" i="20" s="1"/>
  <c r="W287" i="23"/>
  <c r="D287" i="23"/>
  <c r="E287" i="23" s="1"/>
  <c r="F287" i="23" s="1"/>
  <c r="B287" i="24"/>
  <c r="G161" i="20"/>
  <c r="CB161" i="6" s="1"/>
  <c r="AA161" i="20"/>
  <c r="Z161" i="20" s="1"/>
  <c r="Y161" i="20" s="1"/>
  <c r="W253" i="22"/>
  <c r="D253" i="22"/>
  <c r="E253" i="22" s="1"/>
  <c r="F253" i="22" s="1"/>
  <c r="B253" i="23"/>
  <c r="W369" i="22"/>
  <c r="D369" i="22"/>
  <c r="E369" i="22" s="1"/>
  <c r="F369" i="22" s="1"/>
  <c r="B369" i="23"/>
  <c r="G241" i="22"/>
  <c r="CC241" i="6" s="1"/>
  <c r="AA241" i="22"/>
  <c r="Z241" i="22" s="1"/>
  <c r="Y241" i="22" s="1"/>
  <c r="W347" i="22"/>
  <c r="D347" i="22"/>
  <c r="E347" i="22" s="1"/>
  <c r="F347" i="22" s="1"/>
  <c r="B347" i="23"/>
  <c r="G367" i="22"/>
  <c r="CC367" i="6" s="1"/>
  <c r="AA367" i="22"/>
  <c r="Z367" i="22" s="1"/>
  <c r="Y367" i="22" s="1"/>
  <c r="W376" i="22"/>
  <c r="D376" i="22"/>
  <c r="E376" i="22" s="1"/>
  <c r="F376" i="22" s="1"/>
  <c r="B376" i="23"/>
  <c r="G335" i="22"/>
  <c r="CC335" i="6" s="1"/>
  <c r="AA335" i="22"/>
  <c r="Z335" i="22" s="1"/>
  <c r="Y335" i="22" s="1"/>
  <c r="W368" i="22"/>
  <c r="D368" i="22"/>
  <c r="E368" i="22" s="1"/>
  <c r="F368" i="22" s="1"/>
  <c r="B368" i="23"/>
  <c r="G135" i="22"/>
  <c r="CC135" i="6" s="1"/>
  <c r="AA135" i="22"/>
  <c r="Z135" i="22" s="1"/>
  <c r="Y135" i="22" s="1"/>
  <c r="W272" i="23"/>
  <c r="D272" i="23"/>
  <c r="E272" i="23" s="1"/>
  <c r="F272" i="23" s="1"/>
  <c r="B272" i="24"/>
  <c r="G278" i="20"/>
  <c r="CB278" i="6" s="1"/>
  <c r="AA278" i="20"/>
  <c r="Z278" i="20" s="1"/>
  <c r="Y278" i="20" s="1"/>
  <c r="W346" i="23"/>
  <c r="D346" i="23"/>
  <c r="E346" i="23" s="1"/>
  <c r="F346" i="23" s="1"/>
  <c r="B346" i="24"/>
  <c r="G111" i="20"/>
  <c r="CB111" i="6" s="1"/>
  <c r="AA111" i="20"/>
  <c r="Z111" i="20" s="1"/>
  <c r="Y111" i="20" s="1"/>
  <c r="W283" i="23"/>
  <c r="D283" i="23"/>
  <c r="E283" i="23" s="1"/>
  <c r="F283" i="23" s="1"/>
  <c r="B283" i="24"/>
  <c r="G17" i="20"/>
  <c r="CB17" i="6" s="1"/>
  <c r="AA17" i="20"/>
  <c r="Z17" i="20" s="1"/>
  <c r="Y17" i="20" s="1"/>
  <c r="W248" i="23"/>
  <c r="D248" i="23"/>
  <c r="E248" i="23" s="1"/>
  <c r="F248" i="23" s="1"/>
  <c r="B248" i="24"/>
  <c r="G319" i="20"/>
  <c r="CB319" i="6" s="1"/>
  <c r="AA319" i="20"/>
  <c r="Z319" i="20" s="1"/>
  <c r="Y319" i="20" s="1"/>
  <c r="W22" i="23"/>
  <c r="D22" i="23"/>
  <c r="E22" i="23" s="1"/>
  <c r="F22" i="23" s="1"/>
  <c r="B22" i="24"/>
  <c r="G166" i="20"/>
  <c r="CB166" i="6" s="1"/>
  <c r="AA166" i="20"/>
  <c r="Z166" i="20" s="1"/>
  <c r="Y166" i="20" s="1"/>
  <c r="W46" i="23"/>
  <c r="D46" i="23"/>
  <c r="E46" i="23" s="1"/>
  <c r="F46" i="23" s="1"/>
  <c r="B46" i="24"/>
  <c r="G177" i="20"/>
  <c r="CB177" i="6" s="1"/>
  <c r="AA177" i="20"/>
  <c r="Z177" i="20" s="1"/>
  <c r="Y177" i="20" s="1"/>
  <c r="W298" i="22"/>
  <c r="D298" i="22"/>
  <c r="E298" i="22" s="1"/>
  <c r="F298" i="22" s="1"/>
  <c r="B298" i="23"/>
  <c r="G187" i="22"/>
  <c r="CC187" i="6" s="1"/>
  <c r="AA187" i="22"/>
  <c r="Z187" i="22" s="1"/>
  <c r="Y187" i="22" s="1"/>
  <c r="W316" i="22"/>
  <c r="D316" i="22"/>
  <c r="E316" i="22" s="1"/>
  <c r="F316" i="22" s="1"/>
  <c r="B316" i="23"/>
  <c r="G365" i="22"/>
  <c r="CC365" i="6" s="1"/>
  <c r="AA365" i="22"/>
  <c r="Z365" i="22" s="1"/>
  <c r="Y365" i="22" s="1"/>
  <c r="W149" i="22"/>
  <c r="D149" i="22"/>
  <c r="E149" i="22" s="1"/>
  <c r="F149" i="22" s="1"/>
  <c r="B149" i="23"/>
  <c r="G60" i="22"/>
  <c r="CC60" i="6" s="1"/>
  <c r="AA60" i="22"/>
  <c r="Z60" i="22" s="1"/>
  <c r="Y60" i="22" s="1"/>
  <c r="W333" i="22"/>
  <c r="D333" i="22"/>
  <c r="E333" i="22" s="1"/>
  <c r="F333" i="22" s="1"/>
  <c r="B333" i="23"/>
  <c r="W363" i="22"/>
  <c r="D363" i="22"/>
  <c r="E363" i="22" s="1"/>
  <c r="F363" i="22" s="1"/>
  <c r="B363" i="23"/>
  <c r="G334" i="20"/>
  <c r="CB334" i="6" s="1"/>
  <c r="AA334" i="20"/>
  <c r="Z334" i="20" s="1"/>
  <c r="Y334" i="20" s="1"/>
  <c r="W300" i="22"/>
  <c r="D300" i="22"/>
  <c r="E300" i="22" s="1"/>
  <c r="F300" i="22" s="1"/>
  <c r="B300" i="23"/>
  <c r="G294" i="20"/>
  <c r="CB294" i="6" s="1"/>
  <c r="AA294" i="20"/>
  <c r="Z294" i="20" s="1"/>
  <c r="Y294" i="20" s="1"/>
  <c r="D228" i="22"/>
  <c r="E228" i="22" s="1"/>
  <c r="F228" i="22" s="1"/>
  <c r="W228" i="22"/>
  <c r="B228" i="23"/>
  <c r="G192" i="20"/>
  <c r="CB192" i="6" s="1"/>
  <c r="AA192" i="20"/>
  <c r="Z192" i="20" s="1"/>
  <c r="Y192" i="20" s="1"/>
  <c r="W164" i="22"/>
  <c r="D164" i="22"/>
  <c r="E164" i="22" s="1"/>
  <c r="F164" i="22" s="1"/>
  <c r="B164" i="23"/>
  <c r="G148" i="22"/>
  <c r="CC148" i="6" s="1"/>
  <c r="AA148" i="22"/>
  <c r="Z148" i="22" s="1"/>
  <c r="Y148" i="22" s="1"/>
  <c r="W361" i="23"/>
  <c r="D361" i="23"/>
  <c r="E361" i="23" s="1"/>
  <c r="F361" i="23" s="1"/>
  <c r="B361" i="24"/>
  <c r="G281" i="20"/>
  <c r="CB281" i="6" s="1"/>
  <c r="AA281" i="20"/>
  <c r="Z281" i="20" s="1"/>
  <c r="Y281" i="20" s="1"/>
  <c r="W273" i="23"/>
  <c r="D273" i="23"/>
  <c r="E273" i="23" s="1"/>
  <c r="F273" i="23" s="1"/>
  <c r="B273" i="24"/>
  <c r="G249" i="20"/>
  <c r="CB249" i="6" s="1"/>
  <c r="AA249" i="20"/>
  <c r="Z249" i="20" s="1"/>
  <c r="Y249" i="20" s="1"/>
  <c r="W247" i="23"/>
  <c r="D247" i="23"/>
  <c r="E247" i="23" s="1"/>
  <c r="F247" i="23" s="1"/>
  <c r="B247" i="24"/>
  <c r="G185" i="20"/>
  <c r="CB185" i="6" s="1"/>
  <c r="AA185" i="20"/>
  <c r="Z185" i="20" s="1"/>
  <c r="Y185" i="20" s="1"/>
  <c r="W183" i="23"/>
  <c r="D183" i="23"/>
  <c r="E183" i="23" s="1"/>
  <c r="F183" i="23" s="1"/>
  <c r="B183" i="24"/>
  <c r="G159" i="20"/>
  <c r="CB159" i="6" s="1"/>
  <c r="AA159" i="20"/>
  <c r="Z159" i="20" s="1"/>
  <c r="Y159" i="20" s="1"/>
  <c r="W155" i="23"/>
  <c r="D155" i="23"/>
  <c r="E155" i="23" s="1"/>
  <c r="F155" i="23" s="1"/>
  <c r="B155" i="24"/>
  <c r="G99" i="20"/>
  <c r="CB99" i="6" s="1"/>
  <c r="AA99" i="20"/>
  <c r="Z99" i="20" s="1"/>
  <c r="Y99" i="20" s="1"/>
  <c r="W97" i="23"/>
  <c r="D97" i="23"/>
  <c r="E97" i="23" s="1"/>
  <c r="F97" i="23" s="1"/>
  <c r="B97" i="24"/>
  <c r="G77" i="20"/>
  <c r="CB77" i="6" s="1"/>
  <c r="AA77" i="20"/>
  <c r="Z77" i="20" s="1"/>
  <c r="Y77" i="20" s="1"/>
  <c r="W63" i="23"/>
  <c r="D63" i="23"/>
  <c r="E63" i="23" s="1"/>
  <c r="F63" i="23" s="1"/>
  <c r="B63" i="24"/>
  <c r="G37" i="20"/>
  <c r="CB37" i="6" s="1"/>
  <c r="AA37" i="20"/>
  <c r="Z37" i="20" s="1"/>
  <c r="Y37" i="20" s="1"/>
  <c r="W88" i="23"/>
  <c r="D88" i="23"/>
  <c r="E88" i="23" s="1"/>
  <c r="F88" i="23" s="1"/>
  <c r="B88" i="24"/>
  <c r="G130" i="20"/>
  <c r="CB130" i="6" s="1"/>
  <c r="AA130" i="20"/>
  <c r="Z130" i="20" s="1"/>
  <c r="Y130" i="20" s="1"/>
  <c r="W19" i="23"/>
  <c r="D19" i="23"/>
  <c r="E19" i="23" s="1"/>
  <c r="F19" i="23" s="1"/>
  <c r="B19" i="24"/>
  <c r="G244" i="20"/>
  <c r="CB244" i="6" s="1"/>
  <c r="AA244" i="20"/>
  <c r="Z244" i="20" s="1"/>
  <c r="Y244" i="20" s="1"/>
  <c r="W284" i="23"/>
  <c r="D284" i="23"/>
  <c r="E284" i="23" s="1"/>
  <c r="F284" i="23" s="1"/>
  <c r="B284" i="24"/>
  <c r="G210" i="20"/>
  <c r="CB210" i="6" s="1"/>
  <c r="AA210" i="20"/>
  <c r="Z210" i="20" s="1"/>
  <c r="Y210" i="20" s="1"/>
  <c r="W302" i="23"/>
  <c r="D302" i="23"/>
  <c r="E302" i="23" s="1"/>
  <c r="F302" i="23" s="1"/>
  <c r="B302" i="24"/>
  <c r="G189" i="22"/>
  <c r="CC189" i="6" s="1"/>
  <c r="AA189" i="22"/>
  <c r="Z189" i="22" s="1"/>
  <c r="Y189" i="22" s="1"/>
  <c r="W114" i="22"/>
  <c r="D114" i="22"/>
  <c r="E114" i="22" s="1"/>
  <c r="F114" i="22" s="1"/>
  <c r="B114" i="23"/>
  <c r="G154" i="22"/>
  <c r="CC154" i="6" s="1"/>
  <c r="AA154" i="22"/>
  <c r="Z154" i="22" s="1"/>
  <c r="Y154" i="22" s="1"/>
  <c r="D66" i="22"/>
  <c r="E66" i="22" s="1"/>
  <c r="F66" i="22" s="1"/>
  <c r="W66" i="22"/>
  <c r="B66" i="23"/>
  <c r="G194" i="22"/>
  <c r="CC194" i="6" s="1"/>
  <c r="AA194" i="22"/>
  <c r="Z194" i="22" s="1"/>
  <c r="Y194" i="22" s="1"/>
  <c r="W95" i="22"/>
  <c r="D95" i="22"/>
  <c r="E95" i="22" s="1"/>
  <c r="F95" i="22" s="1"/>
  <c r="B95" i="23"/>
  <c r="G171" i="22"/>
  <c r="CC171" i="6" s="1"/>
  <c r="AA171" i="22"/>
  <c r="Z171" i="22" s="1"/>
  <c r="Y171" i="22" s="1"/>
  <c r="W43" i="22"/>
  <c r="D43" i="22"/>
  <c r="E43" i="22" s="1"/>
  <c r="F43" i="22" s="1"/>
  <c r="B43" i="23"/>
  <c r="G75" i="22"/>
  <c r="CC75" i="6" s="1"/>
  <c r="AA75" i="22"/>
  <c r="Z75" i="22" s="1"/>
  <c r="Y75" i="22" s="1"/>
  <c r="W216" i="22"/>
  <c r="D216" i="22"/>
  <c r="E216" i="22" s="1"/>
  <c r="F216" i="22" s="1"/>
  <c r="B216" i="23"/>
  <c r="G261" i="22"/>
  <c r="CC261" i="6" s="1"/>
  <c r="AA261" i="22"/>
  <c r="Z261" i="22" s="1"/>
  <c r="Y261" i="22" s="1"/>
  <c r="W354" i="22"/>
  <c r="D354" i="22"/>
  <c r="E354" i="22" s="1"/>
  <c r="F354" i="22" s="1"/>
  <c r="B354" i="23"/>
  <c r="G74" i="22"/>
  <c r="CC74" i="6" s="1"/>
  <c r="AA74" i="22"/>
  <c r="Z74" i="22" s="1"/>
  <c r="Y74" i="22" s="1"/>
  <c r="W227" i="22"/>
  <c r="D227" i="22"/>
  <c r="E227" i="22" s="1"/>
  <c r="F227" i="22" s="1"/>
  <c r="B227" i="23"/>
  <c r="G349" i="22"/>
  <c r="CC349" i="6" s="1"/>
  <c r="AA349" i="22"/>
  <c r="Z349" i="22" s="1"/>
  <c r="Y349" i="22" s="1"/>
  <c r="W35" i="22"/>
  <c r="D35" i="22"/>
  <c r="E35" i="22" s="1"/>
  <c r="F35" i="22" s="1"/>
  <c r="B35" i="23"/>
  <c r="G67" i="22"/>
  <c r="CC67" i="6" s="1"/>
  <c r="AA67" i="22"/>
  <c r="Z67" i="22" s="1"/>
  <c r="Y67" i="22" s="1"/>
  <c r="W208" i="22"/>
  <c r="D208" i="22"/>
  <c r="E208" i="22" s="1"/>
  <c r="F208" i="22" s="1"/>
  <c r="B208" i="23"/>
  <c r="G226" i="22"/>
  <c r="CC226" i="6" s="1"/>
  <c r="AA226" i="22"/>
  <c r="Z226" i="22" s="1"/>
  <c r="Y226" i="22" s="1"/>
  <c r="D16" i="22"/>
  <c r="E16" i="22" s="1"/>
  <c r="F16" i="22" s="1"/>
  <c r="W16" i="22"/>
  <c r="B16" i="23"/>
  <c r="G150" i="22"/>
  <c r="CC150" i="6" s="1"/>
  <c r="AA150" i="22"/>
  <c r="Z150" i="22" s="1"/>
  <c r="Y150" i="22" s="1"/>
  <c r="W105" i="22"/>
  <c r="D105" i="22"/>
  <c r="E105" i="22" s="1"/>
  <c r="F105" i="22" s="1"/>
  <c r="B105" i="23"/>
  <c r="G29" i="22"/>
  <c r="CC29" i="6" s="1"/>
  <c r="AA29" i="22"/>
  <c r="Z29" i="22" s="1"/>
  <c r="Y29" i="22" s="1"/>
  <c r="W119" i="22"/>
  <c r="D119" i="22"/>
  <c r="E119" i="22" s="1"/>
  <c r="F119" i="22" s="1"/>
  <c r="B119" i="23"/>
  <c r="G119" i="20"/>
  <c r="CB119" i="6" s="1"/>
  <c r="AA119" i="20"/>
  <c r="Z119" i="20" s="1"/>
  <c r="Y119" i="20" s="1"/>
  <c r="AJ9" i="20" l="1"/>
  <c r="AJ7" i="20"/>
  <c r="W15" i="22"/>
  <c r="AJ5" i="22"/>
  <c r="AJ11" i="18"/>
  <c r="AK7" i="20"/>
  <c r="D15" i="22"/>
  <c r="B15" i="23"/>
  <c r="J302" i="18"/>
  <c r="I302" i="18"/>
  <c r="J83" i="18"/>
  <c r="I83" i="18"/>
  <c r="J65" i="18"/>
  <c r="I65" i="18"/>
  <c r="J159" i="18"/>
  <c r="I159" i="18"/>
  <c r="I353" i="18"/>
  <c r="BA353" i="6" s="1"/>
  <c r="D353" i="6" s="1"/>
  <c r="J353" i="18"/>
  <c r="J75" i="18"/>
  <c r="I75" i="18"/>
  <c r="J325" i="18"/>
  <c r="I325" i="18"/>
  <c r="J234" i="18"/>
  <c r="I234" i="18"/>
  <c r="BA234" i="6" s="1"/>
  <c r="D234" i="6" s="1"/>
  <c r="J330" i="18"/>
  <c r="I330" i="18"/>
  <c r="BA330" i="6" s="1"/>
  <c r="D330" i="6" s="1"/>
  <c r="J103" i="18"/>
  <c r="I103" i="18"/>
  <c r="BA103" i="6" s="1"/>
  <c r="D103" i="6" s="1"/>
  <c r="I45" i="18"/>
  <c r="BA45" i="6" s="1"/>
  <c r="D45" i="6" s="1"/>
  <c r="J45" i="18"/>
  <c r="J23" i="18"/>
  <c r="I23" i="18"/>
  <c r="BA23" i="6" s="1"/>
  <c r="D23" i="6" s="1"/>
  <c r="J126" i="18"/>
  <c r="I126" i="18"/>
  <c r="BA126" i="6" s="1"/>
  <c r="D126" i="6" s="1"/>
  <c r="J197" i="18"/>
  <c r="I197" i="18"/>
  <c r="I61" i="18"/>
  <c r="J61" i="18"/>
  <c r="J92" i="18"/>
  <c r="I92" i="18"/>
  <c r="BA92" i="6" s="1"/>
  <c r="D92" i="6" s="1"/>
  <c r="J101" i="18"/>
  <c r="I101" i="18"/>
  <c r="J99" i="18"/>
  <c r="I99" i="18"/>
  <c r="I279" i="18"/>
  <c r="BA279" i="6" s="1"/>
  <c r="D279" i="6" s="1"/>
  <c r="J279" i="18"/>
  <c r="J174" i="18"/>
  <c r="I174" i="18"/>
  <c r="BA174" i="6" s="1"/>
  <c r="D174" i="6" s="1"/>
  <c r="J187" i="18"/>
  <c r="I187" i="18"/>
  <c r="J229" i="18"/>
  <c r="I229" i="18"/>
  <c r="BA229" i="6" s="1"/>
  <c r="D229" i="6" s="1"/>
  <c r="J112" i="18"/>
  <c r="I112" i="18"/>
  <c r="BA112" i="6" s="1"/>
  <c r="D112" i="6" s="1"/>
  <c r="J178" i="18"/>
  <c r="I178" i="18"/>
  <c r="BA178" i="6" s="1"/>
  <c r="D178" i="6" s="1"/>
  <c r="J49" i="18"/>
  <c r="I49" i="18"/>
  <c r="BA49" i="6" s="1"/>
  <c r="D49" i="6" s="1"/>
  <c r="J263" i="18"/>
  <c r="I263" i="18"/>
  <c r="J50" i="18"/>
  <c r="I50" i="18"/>
  <c r="BA50" i="6" s="1"/>
  <c r="D50" i="6" s="1"/>
  <c r="J127" i="18"/>
  <c r="I127" i="18"/>
  <c r="I53" i="18"/>
  <c r="J53" i="18"/>
  <c r="J48" i="18"/>
  <c r="I48" i="18"/>
  <c r="BA48" i="6" s="1"/>
  <c r="D48" i="6" s="1"/>
  <c r="J212" i="18"/>
  <c r="I212" i="18"/>
  <c r="BA212" i="6" s="1"/>
  <c r="D212" i="6" s="1"/>
  <c r="I338" i="18"/>
  <c r="BA338" i="6" s="1"/>
  <c r="D338" i="6" s="1"/>
  <c r="J338" i="18"/>
  <c r="J38" i="18"/>
  <c r="I38" i="18"/>
  <c r="BA38" i="6" s="1"/>
  <c r="D38" i="6" s="1"/>
  <c r="J267" i="18"/>
  <c r="I267" i="18"/>
  <c r="J87" i="18"/>
  <c r="I87" i="18"/>
  <c r="BA87" i="6" s="1"/>
  <c r="D87" i="6" s="1"/>
  <c r="J252" i="18"/>
  <c r="I252" i="18"/>
  <c r="BA252" i="6" s="1"/>
  <c r="D252" i="6" s="1"/>
  <c r="J183" i="18"/>
  <c r="I183" i="18"/>
  <c r="I331" i="18"/>
  <c r="BA331" i="6" s="1"/>
  <c r="D331" i="6" s="1"/>
  <c r="J331" i="18"/>
  <c r="I203" i="18"/>
  <c r="J203" i="18"/>
  <c r="J160" i="18"/>
  <c r="I160" i="18"/>
  <c r="BA160" i="6" s="1"/>
  <c r="D160" i="6" s="1"/>
  <c r="J145" i="18"/>
  <c r="I145" i="18"/>
  <c r="BA145" i="6" s="1"/>
  <c r="D145" i="6" s="1"/>
  <c r="I29" i="18"/>
  <c r="J29" i="18"/>
  <c r="J296" i="18"/>
  <c r="I296" i="18"/>
  <c r="BA296" i="6" s="1"/>
  <c r="D296" i="6" s="1"/>
  <c r="J154" i="18"/>
  <c r="I154" i="18"/>
  <c r="I32" i="18"/>
  <c r="BA32" i="6" s="1"/>
  <c r="D32" i="6" s="1"/>
  <c r="J32" i="18"/>
  <c r="J169" i="18"/>
  <c r="I169" i="18"/>
  <c r="J189" i="18"/>
  <c r="I189" i="18"/>
  <c r="J282" i="18"/>
  <c r="I282" i="18"/>
  <c r="BA282" i="6" s="1"/>
  <c r="D282" i="6" s="1"/>
  <c r="I86" i="18"/>
  <c r="BA86" i="6" s="1"/>
  <c r="D86" i="6" s="1"/>
  <c r="J86" i="18"/>
  <c r="J268" i="18"/>
  <c r="I268" i="18"/>
  <c r="BA268" i="6" s="1"/>
  <c r="D268" i="6" s="1"/>
  <c r="J235" i="18"/>
  <c r="I235" i="18"/>
  <c r="BA235" i="6" s="1"/>
  <c r="D235" i="6" s="1"/>
  <c r="J64" i="18"/>
  <c r="I64" i="18"/>
  <c r="BA64" i="6" s="1"/>
  <c r="D64" i="6" s="1"/>
  <c r="I300" i="18"/>
  <c r="J300" i="18"/>
  <c r="I124" i="18"/>
  <c r="BA124" i="6" s="1"/>
  <c r="D124" i="6" s="1"/>
  <c r="J124" i="18"/>
  <c r="J19" i="18"/>
  <c r="I19" i="18"/>
  <c r="J123" i="18"/>
  <c r="I123" i="18"/>
  <c r="BA123" i="6" s="1"/>
  <c r="D123" i="6" s="1"/>
  <c r="J20" i="18"/>
  <c r="I20" i="18"/>
  <c r="BA20" i="6" s="1"/>
  <c r="D20" i="6" s="1"/>
  <c r="J173" i="18"/>
  <c r="I173" i="18"/>
  <c r="J256" i="18"/>
  <c r="I256" i="18"/>
  <c r="BA256" i="6" s="1"/>
  <c r="D256" i="6" s="1"/>
  <c r="J254" i="18"/>
  <c r="I254" i="18"/>
  <c r="BA254" i="6" s="1"/>
  <c r="D254" i="6" s="1"/>
  <c r="I129" i="18"/>
  <c r="BA129" i="6" s="1"/>
  <c r="D129" i="6" s="1"/>
  <c r="J129" i="18"/>
  <c r="I348" i="18"/>
  <c r="BA348" i="6" s="1"/>
  <c r="D348" i="6" s="1"/>
  <c r="J348" i="18"/>
  <c r="J181" i="18"/>
  <c r="I181" i="18"/>
  <c r="BA181" i="6" s="1"/>
  <c r="D181" i="6" s="1"/>
  <c r="J286" i="18"/>
  <c r="I286" i="18"/>
  <c r="BA286" i="6" s="1"/>
  <c r="D286" i="6" s="1"/>
  <c r="J285" i="18"/>
  <c r="I285" i="18"/>
  <c r="BA285" i="6" s="1"/>
  <c r="D285" i="6" s="1"/>
  <c r="J339" i="18"/>
  <c r="I339" i="18"/>
  <c r="J180" i="18"/>
  <c r="I180" i="18"/>
  <c r="J70" i="18"/>
  <c r="I70" i="18"/>
  <c r="BA70" i="6" s="1"/>
  <c r="D70" i="6" s="1"/>
  <c r="J249" i="18"/>
  <c r="I249" i="18"/>
  <c r="J346" i="18"/>
  <c r="I346" i="18"/>
  <c r="J74" i="18"/>
  <c r="I74" i="18"/>
  <c r="J120" i="18"/>
  <c r="I120" i="18"/>
  <c r="J153" i="18"/>
  <c r="I153" i="18"/>
  <c r="BA153" i="6" s="1"/>
  <c r="D153" i="6" s="1"/>
  <c r="I327" i="18"/>
  <c r="BA327" i="6" s="1"/>
  <c r="D327" i="6" s="1"/>
  <c r="J327" i="18"/>
  <c r="J223" i="18"/>
  <c r="I223" i="18"/>
  <c r="J175" i="18"/>
  <c r="I175" i="18"/>
  <c r="BA175" i="6" s="1"/>
  <c r="D175" i="6" s="1"/>
  <c r="J31" i="18"/>
  <c r="I31" i="18"/>
  <c r="BA31" i="6" s="1"/>
  <c r="D31" i="6" s="1"/>
  <c r="J239" i="18"/>
  <c r="I239" i="18"/>
  <c r="BA239" i="6" s="1"/>
  <c r="J291" i="18"/>
  <c r="I291" i="18"/>
  <c r="J272" i="18"/>
  <c r="I272" i="18"/>
  <c r="I241" i="18"/>
  <c r="J241" i="18"/>
  <c r="J341" i="18"/>
  <c r="I341" i="18"/>
  <c r="BA341" i="6" s="1"/>
  <c r="D341" i="6" s="1"/>
  <c r="J186" i="18"/>
  <c r="I186" i="18"/>
  <c r="BA186" i="6" s="1"/>
  <c r="D186" i="6" s="1"/>
  <c r="J335" i="18"/>
  <c r="I335" i="18"/>
  <c r="J250" i="18"/>
  <c r="I250" i="18"/>
  <c r="BA250" i="6" s="1"/>
  <c r="D250" i="6" s="1"/>
  <c r="I224" i="18"/>
  <c r="BA224" i="6" s="1"/>
  <c r="D224" i="6" s="1"/>
  <c r="J224" i="18"/>
  <c r="I82" i="18"/>
  <c r="BA82" i="6" s="1"/>
  <c r="D82" i="6" s="1"/>
  <c r="J82" i="18"/>
  <c r="J222" i="18"/>
  <c r="I222" i="18"/>
  <c r="BA222" i="6" s="1"/>
  <c r="D222" i="6" s="1"/>
  <c r="J167" i="18"/>
  <c r="I167" i="18"/>
  <c r="J342" i="18"/>
  <c r="I342" i="18"/>
  <c r="BA342" i="6" s="1"/>
  <c r="D342" i="6" s="1"/>
  <c r="J277" i="18"/>
  <c r="I277" i="18"/>
  <c r="J233" i="18"/>
  <c r="I233" i="18"/>
  <c r="BA233" i="6" s="1"/>
  <c r="D233" i="6" s="1"/>
  <c r="J258" i="18"/>
  <c r="I258" i="18"/>
  <c r="BA258" i="6" s="1"/>
  <c r="D258" i="6" s="1"/>
  <c r="J323" i="18"/>
  <c r="I323" i="18"/>
  <c r="J261" i="18"/>
  <c r="I261" i="18"/>
  <c r="J88" i="18"/>
  <c r="I88" i="18"/>
  <c r="J184" i="18"/>
  <c r="I184" i="18"/>
  <c r="BA184" i="6" s="1"/>
  <c r="D184" i="6" s="1"/>
  <c r="J322" i="18"/>
  <c r="I322" i="18"/>
  <c r="BA322" i="6" s="1"/>
  <c r="D322" i="6" s="1"/>
  <c r="I146" i="18"/>
  <c r="J146" i="18"/>
  <c r="J168" i="18"/>
  <c r="I168" i="18"/>
  <c r="BA168" i="6" s="1"/>
  <c r="D168" i="6" s="1"/>
  <c r="J328" i="18"/>
  <c r="I328" i="18"/>
  <c r="BA328" i="6" s="1"/>
  <c r="D328" i="6" s="1"/>
  <c r="J165" i="18"/>
  <c r="I165" i="18"/>
  <c r="BA165" i="6" s="1"/>
  <c r="D165" i="6" s="1"/>
  <c r="J215" i="18"/>
  <c r="I215" i="18"/>
  <c r="BA215" i="6" s="1"/>
  <c r="D215" i="6" s="1"/>
  <c r="J116" i="18"/>
  <c r="I116" i="18"/>
  <c r="J94" i="18"/>
  <c r="I94" i="18"/>
  <c r="J299" i="18"/>
  <c r="I299" i="18"/>
  <c r="BA299" i="6" s="1"/>
  <c r="D299" i="6" s="1"/>
  <c r="J312" i="18"/>
  <c r="I312" i="18"/>
  <c r="BA312" i="6" s="1"/>
  <c r="D312" i="6" s="1"/>
  <c r="I118" i="18"/>
  <c r="BA118" i="6" s="1"/>
  <c r="D118" i="6" s="1"/>
  <c r="J118" i="18"/>
  <c r="J303" i="18"/>
  <c r="I303" i="18"/>
  <c r="J351" i="18"/>
  <c r="I351" i="18"/>
  <c r="BA351" i="6" s="1"/>
  <c r="J350" i="18"/>
  <c r="I350" i="18"/>
  <c r="BA350" i="6" s="1"/>
  <c r="D350" i="6" s="1"/>
  <c r="J318" i="18"/>
  <c r="I318" i="18"/>
  <c r="BA318" i="6" s="1"/>
  <c r="D318" i="6" s="1"/>
  <c r="J71" i="18"/>
  <c r="I71" i="18"/>
  <c r="BA71" i="6" s="1"/>
  <c r="J91" i="18"/>
  <c r="I91" i="18"/>
  <c r="BA91" i="6" s="1"/>
  <c r="D91" i="6" s="1"/>
  <c r="J97" i="18"/>
  <c r="I97" i="18"/>
  <c r="J201" i="18"/>
  <c r="I201" i="18"/>
  <c r="BA201" i="6" s="1"/>
  <c r="D201" i="6" s="1"/>
  <c r="J307" i="18"/>
  <c r="I307" i="18"/>
  <c r="I30" i="18"/>
  <c r="BA30" i="6" s="1"/>
  <c r="D30" i="6" s="1"/>
  <c r="J30" i="18"/>
  <c r="I41" i="18"/>
  <c r="BA41" i="6" s="1"/>
  <c r="D41" i="6" s="1"/>
  <c r="J41" i="18"/>
  <c r="J158" i="18"/>
  <c r="I158" i="18"/>
  <c r="BA158" i="6" s="1"/>
  <c r="D158" i="6" s="1"/>
  <c r="J191" i="18"/>
  <c r="I191" i="18"/>
  <c r="J219" i="18"/>
  <c r="I219" i="18"/>
  <c r="I68" i="18"/>
  <c r="BA68" i="6" s="1"/>
  <c r="D68" i="6" s="1"/>
  <c r="J68" i="18"/>
  <c r="I135" i="18"/>
  <c r="J135" i="18"/>
  <c r="J275" i="18"/>
  <c r="I275" i="18"/>
  <c r="J57" i="18"/>
  <c r="I57" i="18"/>
  <c r="BA57" i="6" s="1"/>
  <c r="W119" i="23"/>
  <c r="D119" i="23"/>
  <c r="E119" i="23" s="1"/>
  <c r="F119" i="23" s="1"/>
  <c r="B119" i="24"/>
  <c r="W105" i="23"/>
  <c r="D105" i="23"/>
  <c r="E105" i="23" s="1"/>
  <c r="F105" i="23" s="1"/>
  <c r="B105" i="24"/>
  <c r="W16" i="23"/>
  <c r="D16" i="23"/>
  <c r="E16" i="23" s="1"/>
  <c r="F16" i="23" s="1"/>
  <c r="B16" i="24"/>
  <c r="G16" i="22"/>
  <c r="CC16" i="6" s="1"/>
  <c r="AA16" i="22"/>
  <c r="Z16" i="22" s="1"/>
  <c r="Y16" i="22" s="1"/>
  <c r="D208" i="23"/>
  <c r="E208" i="23" s="1"/>
  <c r="F208" i="23" s="1"/>
  <c r="W208" i="23"/>
  <c r="B208" i="24"/>
  <c r="W35" i="23"/>
  <c r="D35" i="23"/>
  <c r="E35" i="23" s="1"/>
  <c r="F35" i="23" s="1"/>
  <c r="B35" i="24"/>
  <c r="W227" i="23"/>
  <c r="D227" i="23"/>
  <c r="E227" i="23" s="1"/>
  <c r="F227" i="23" s="1"/>
  <c r="B227" i="24"/>
  <c r="W354" i="23"/>
  <c r="D354" i="23"/>
  <c r="E354" i="23" s="1"/>
  <c r="F354" i="23" s="1"/>
  <c r="B354" i="24"/>
  <c r="W216" i="23"/>
  <c r="D216" i="23"/>
  <c r="E216" i="23" s="1"/>
  <c r="F216" i="23" s="1"/>
  <c r="B216" i="24"/>
  <c r="W43" i="23"/>
  <c r="D43" i="23"/>
  <c r="E43" i="23" s="1"/>
  <c r="F43" i="23" s="1"/>
  <c r="B43" i="24"/>
  <c r="W95" i="23"/>
  <c r="D95" i="23"/>
  <c r="E95" i="23" s="1"/>
  <c r="F95" i="23" s="1"/>
  <c r="B95" i="24"/>
  <c r="W66" i="23"/>
  <c r="D66" i="23"/>
  <c r="E66" i="23" s="1"/>
  <c r="F66" i="23" s="1"/>
  <c r="B66" i="24"/>
  <c r="G66" i="22"/>
  <c r="CC66" i="6" s="1"/>
  <c r="AA66" i="22"/>
  <c r="Z66" i="22" s="1"/>
  <c r="Y66" i="22" s="1"/>
  <c r="W114" i="23"/>
  <c r="D114" i="23"/>
  <c r="E114" i="23" s="1"/>
  <c r="F114" i="23" s="1"/>
  <c r="B114" i="24"/>
  <c r="W302" i="24"/>
  <c r="D302" i="24"/>
  <c r="E302" i="24" s="1"/>
  <c r="F302" i="24" s="1"/>
  <c r="B302" i="25"/>
  <c r="W284" i="24"/>
  <c r="D284" i="24"/>
  <c r="E284" i="24" s="1"/>
  <c r="F284" i="24" s="1"/>
  <c r="B284" i="25"/>
  <c r="D19" i="24"/>
  <c r="E19" i="24" s="1"/>
  <c r="F19" i="24" s="1"/>
  <c r="W19" i="24"/>
  <c r="B19" i="25"/>
  <c r="W88" i="24"/>
  <c r="D88" i="24"/>
  <c r="E88" i="24" s="1"/>
  <c r="F88" i="24" s="1"/>
  <c r="B88" i="25"/>
  <c r="W63" i="24"/>
  <c r="D63" i="24"/>
  <c r="E63" i="24" s="1"/>
  <c r="F63" i="24" s="1"/>
  <c r="B63" i="25"/>
  <c r="W97" i="24"/>
  <c r="D97" i="24"/>
  <c r="E97" i="24" s="1"/>
  <c r="F97" i="24" s="1"/>
  <c r="B97" i="25"/>
  <c r="W155" i="24"/>
  <c r="D155" i="24"/>
  <c r="E155" i="24" s="1"/>
  <c r="F155" i="24" s="1"/>
  <c r="B155" i="25"/>
  <c r="W183" i="24"/>
  <c r="D183" i="24"/>
  <c r="E183" i="24" s="1"/>
  <c r="F183" i="24" s="1"/>
  <c r="B183" i="25"/>
  <c r="W247" i="24"/>
  <c r="D247" i="24"/>
  <c r="E247" i="24" s="1"/>
  <c r="F247" i="24" s="1"/>
  <c r="B247" i="25"/>
  <c r="W273" i="24"/>
  <c r="D273" i="24"/>
  <c r="E273" i="24" s="1"/>
  <c r="F273" i="24" s="1"/>
  <c r="B273" i="25"/>
  <c r="D361" i="24"/>
  <c r="E361" i="24" s="1"/>
  <c r="F361" i="24" s="1"/>
  <c r="W361" i="24"/>
  <c r="B361" i="25"/>
  <c r="W164" i="23"/>
  <c r="D164" i="23"/>
  <c r="E164" i="23" s="1"/>
  <c r="F164" i="23" s="1"/>
  <c r="B164" i="24"/>
  <c r="W228" i="23"/>
  <c r="D228" i="23"/>
  <c r="E228" i="23" s="1"/>
  <c r="F228" i="23" s="1"/>
  <c r="B228" i="24"/>
  <c r="G228" i="22"/>
  <c r="CC228" i="6" s="1"/>
  <c r="AA228" i="22"/>
  <c r="Z228" i="22" s="1"/>
  <c r="Y228" i="22" s="1"/>
  <c r="W300" i="23"/>
  <c r="D300" i="23"/>
  <c r="E300" i="23" s="1"/>
  <c r="F300" i="23" s="1"/>
  <c r="B300" i="24"/>
  <c r="W363" i="23"/>
  <c r="D363" i="23"/>
  <c r="E363" i="23" s="1"/>
  <c r="F363" i="23" s="1"/>
  <c r="B363" i="24"/>
  <c r="G333" i="22"/>
  <c r="CC333" i="6" s="1"/>
  <c r="AA333" i="22"/>
  <c r="Z333" i="22" s="1"/>
  <c r="Y333" i="22" s="1"/>
  <c r="AA149" i="22"/>
  <c r="Z149" i="22" s="1"/>
  <c r="Y149" i="22" s="1"/>
  <c r="G149" i="22"/>
  <c r="CC149" i="6" s="1"/>
  <c r="G316" i="22"/>
  <c r="CC316" i="6" s="1"/>
  <c r="AA316" i="22"/>
  <c r="Z316" i="22" s="1"/>
  <c r="Y316" i="22" s="1"/>
  <c r="G298" i="22"/>
  <c r="CC298" i="6" s="1"/>
  <c r="AA298" i="22"/>
  <c r="Z298" i="22" s="1"/>
  <c r="Y298" i="22" s="1"/>
  <c r="AA46" i="23"/>
  <c r="Z46" i="23" s="1"/>
  <c r="Y46" i="23" s="1"/>
  <c r="G46" i="23"/>
  <c r="CD46" i="6" s="1"/>
  <c r="G22" i="23"/>
  <c r="CD22" i="6" s="1"/>
  <c r="AA22" i="23"/>
  <c r="Z22" i="23" s="1"/>
  <c r="Y22" i="23" s="1"/>
  <c r="G248" i="23"/>
  <c r="CD248" i="6" s="1"/>
  <c r="AA248" i="23"/>
  <c r="Z248" i="23" s="1"/>
  <c r="Y248" i="23" s="1"/>
  <c r="G283" i="23"/>
  <c r="CD283" i="6" s="1"/>
  <c r="AA283" i="23"/>
  <c r="Z283" i="23" s="1"/>
  <c r="Y283" i="23" s="1"/>
  <c r="G346" i="23"/>
  <c r="CD346" i="6" s="1"/>
  <c r="AA346" i="23"/>
  <c r="Z346" i="23" s="1"/>
  <c r="Y346" i="23" s="1"/>
  <c r="AA272" i="23"/>
  <c r="Z272" i="23" s="1"/>
  <c r="Y272" i="23" s="1"/>
  <c r="G272" i="23"/>
  <c r="CD272" i="6" s="1"/>
  <c r="G368" i="22"/>
  <c r="CC368" i="6" s="1"/>
  <c r="AA368" i="22"/>
  <c r="Z368" i="22" s="1"/>
  <c r="Y368" i="22" s="1"/>
  <c r="G376" i="22"/>
  <c r="CC376" i="6" s="1"/>
  <c r="AA376" i="22"/>
  <c r="Z376" i="22" s="1"/>
  <c r="Y376" i="22" s="1"/>
  <c r="G347" i="22"/>
  <c r="CC347" i="6" s="1"/>
  <c r="AA347" i="22"/>
  <c r="Z347" i="22" s="1"/>
  <c r="Y347" i="22" s="1"/>
  <c r="G369" i="22"/>
  <c r="CC369" i="6" s="1"/>
  <c r="AA369" i="22"/>
  <c r="Z369" i="22" s="1"/>
  <c r="Y369" i="22" s="1"/>
  <c r="W253" i="23"/>
  <c r="D253" i="23"/>
  <c r="E253" i="23" s="1"/>
  <c r="F253" i="23" s="1"/>
  <c r="B253" i="24"/>
  <c r="W287" i="24"/>
  <c r="D287" i="24"/>
  <c r="E287" i="24" s="1"/>
  <c r="F287" i="24" s="1"/>
  <c r="B287" i="25"/>
  <c r="W55" i="24"/>
  <c r="D55" i="24"/>
  <c r="E55" i="24" s="1"/>
  <c r="F55" i="24" s="1"/>
  <c r="B55" i="25"/>
  <c r="W83" i="24"/>
  <c r="D83" i="24"/>
  <c r="E83" i="24" s="1"/>
  <c r="F83" i="24" s="1"/>
  <c r="B83" i="25"/>
  <c r="W101" i="24"/>
  <c r="D101" i="24"/>
  <c r="E101" i="24" s="1"/>
  <c r="F101" i="24" s="1"/>
  <c r="B101" i="25"/>
  <c r="W167" i="24"/>
  <c r="D167" i="24"/>
  <c r="E167" i="24" s="1"/>
  <c r="F167" i="24" s="1"/>
  <c r="B167" i="25"/>
  <c r="W197" i="24"/>
  <c r="D197" i="24"/>
  <c r="E197" i="24" s="1"/>
  <c r="F197" i="24" s="1"/>
  <c r="B197" i="25"/>
  <c r="W255" i="24"/>
  <c r="D255" i="24"/>
  <c r="E255" i="24" s="1"/>
  <c r="F255" i="24" s="1"/>
  <c r="B255" i="25"/>
  <c r="W271" i="23"/>
  <c r="D271" i="23"/>
  <c r="E271" i="23" s="1"/>
  <c r="F271" i="23" s="1"/>
  <c r="B271" i="24"/>
  <c r="W323" i="23"/>
  <c r="D323" i="23"/>
  <c r="E323" i="23" s="1"/>
  <c r="F323" i="23" s="1"/>
  <c r="B323" i="24"/>
  <c r="W120" i="23"/>
  <c r="D120" i="23"/>
  <c r="E120" i="23" s="1"/>
  <c r="F120" i="23" s="1"/>
  <c r="B120" i="24"/>
  <c r="W146" i="23"/>
  <c r="D146" i="23"/>
  <c r="E146" i="23" s="1"/>
  <c r="F146" i="23" s="1"/>
  <c r="B146" i="24"/>
  <c r="G53" i="22"/>
  <c r="CC53" i="6" s="1"/>
  <c r="AA53" i="22"/>
  <c r="Z53" i="22" s="1"/>
  <c r="Y53" i="22" s="1"/>
  <c r="J59" i="18"/>
  <c r="I59" i="18"/>
  <c r="BA59" i="6" s="1"/>
  <c r="D59" i="6" s="1"/>
  <c r="G139" i="22"/>
  <c r="CC139" i="6" s="1"/>
  <c r="AA139" i="22"/>
  <c r="Z139" i="22" s="1"/>
  <c r="Y139" i="22" s="1"/>
  <c r="J141" i="18"/>
  <c r="I141" i="18"/>
  <c r="BA141" i="6" s="1"/>
  <c r="G169" i="22"/>
  <c r="CC169" i="6" s="1"/>
  <c r="AA169" i="22"/>
  <c r="Z169" i="22" s="1"/>
  <c r="Y169" i="22" s="1"/>
  <c r="I179" i="18"/>
  <c r="BA179" i="6" s="1"/>
  <c r="D179" i="6" s="1"/>
  <c r="J179" i="18"/>
  <c r="G203" i="22"/>
  <c r="CC203" i="6" s="1"/>
  <c r="AA203" i="22"/>
  <c r="Z203" i="22" s="1"/>
  <c r="Y203" i="22" s="1"/>
  <c r="J211" i="18"/>
  <c r="I211" i="18"/>
  <c r="BA211" i="6" s="1"/>
  <c r="G245" i="22"/>
  <c r="CC245" i="6" s="1"/>
  <c r="AA245" i="22"/>
  <c r="Z245" i="22" s="1"/>
  <c r="Y245" i="22" s="1"/>
  <c r="G277" i="22"/>
  <c r="CC277" i="6" s="1"/>
  <c r="AA277" i="22"/>
  <c r="Z277" i="22" s="1"/>
  <c r="Y277" i="22" s="1"/>
  <c r="J301" i="18"/>
  <c r="I301" i="18"/>
  <c r="BA301" i="6" s="1"/>
  <c r="D301" i="6" s="1"/>
  <c r="G325" i="22"/>
  <c r="CC325" i="6" s="1"/>
  <c r="AA325" i="22"/>
  <c r="Z325" i="22" s="1"/>
  <c r="Y325" i="22" s="1"/>
  <c r="J337" i="18"/>
  <c r="I337" i="18"/>
  <c r="BA337" i="6" s="1"/>
  <c r="G373" i="22"/>
  <c r="CC373" i="6" s="1"/>
  <c r="AA373" i="22"/>
  <c r="Z373" i="22" s="1"/>
  <c r="Y373" i="22" s="1"/>
  <c r="G196" i="20"/>
  <c r="CB196" i="6" s="1"/>
  <c r="AA196" i="20"/>
  <c r="Z196" i="20" s="1"/>
  <c r="Y196" i="20" s="1"/>
  <c r="J119" i="18"/>
  <c r="I119" i="18"/>
  <c r="J149" i="18"/>
  <c r="I149" i="18"/>
  <c r="J105" i="18"/>
  <c r="I105" i="18"/>
  <c r="I316" i="18"/>
  <c r="J316" i="18"/>
  <c r="J16" i="18"/>
  <c r="I16" i="18"/>
  <c r="I298" i="18"/>
  <c r="J298" i="18"/>
  <c r="J208" i="18"/>
  <c r="I208" i="18"/>
  <c r="J35" i="18"/>
  <c r="I35" i="18"/>
  <c r="I227" i="18"/>
  <c r="J227" i="18"/>
  <c r="J216" i="18"/>
  <c r="I216" i="18"/>
  <c r="J66" i="18"/>
  <c r="I66" i="18"/>
  <c r="J114" i="18"/>
  <c r="I114" i="18"/>
  <c r="I347" i="18"/>
  <c r="J347" i="18"/>
  <c r="J244" i="18"/>
  <c r="I244" i="18"/>
  <c r="W42" i="23"/>
  <c r="D42" i="23"/>
  <c r="E42" i="23" s="1"/>
  <c r="F42" i="23" s="1"/>
  <c r="B42" i="24"/>
  <c r="W56" i="23"/>
  <c r="D56" i="23"/>
  <c r="E56" i="23" s="1"/>
  <c r="F56" i="23" s="1"/>
  <c r="B56" i="24"/>
  <c r="W84" i="23"/>
  <c r="D84" i="23"/>
  <c r="E84" i="23" s="1"/>
  <c r="F84" i="23" s="1"/>
  <c r="B84" i="24"/>
  <c r="W104" i="23"/>
  <c r="D104" i="23"/>
  <c r="E104" i="23" s="1"/>
  <c r="F104" i="23" s="1"/>
  <c r="B104" i="24"/>
  <c r="W110" i="23"/>
  <c r="D110" i="23"/>
  <c r="E110" i="23" s="1"/>
  <c r="F110" i="23" s="1"/>
  <c r="B110" i="24"/>
  <c r="W128" i="23"/>
  <c r="D128" i="23"/>
  <c r="E128" i="23" s="1"/>
  <c r="F128" i="23" s="1"/>
  <c r="B128" i="24"/>
  <c r="W140" i="23"/>
  <c r="D140" i="23"/>
  <c r="E140" i="23" s="1"/>
  <c r="F140" i="23" s="1"/>
  <c r="B140" i="24"/>
  <c r="W176" i="23"/>
  <c r="D176" i="23"/>
  <c r="E176" i="23" s="1"/>
  <c r="F176" i="23" s="1"/>
  <c r="B176" i="24"/>
  <c r="W220" i="23"/>
  <c r="D220" i="23"/>
  <c r="E220" i="23" s="1"/>
  <c r="F220" i="23" s="1"/>
  <c r="B220" i="24"/>
  <c r="W246" i="23"/>
  <c r="D246" i="23"/>
  <c r="E246" i="23" s="1"/>
  <c r="F246" i="23" s="1"/>
  <c r="B246" i="24"/>
  <c r="J246" i="18"/>
  <c r="I246" i="18"/>
  <c r="W260" i="23"/>
  <c r="D260" i="23"/>
  <c r="E260" i="23" s="1"/>
  <c r="F260" i="23" s="1"/>
  <c r="B260" i="24"/>
  <c r="W270" i="23"/>
  <c r="D270" i="23"/>
  <c r="E270" i="23" s="1"/>
  <c r="F270" i="23" s="1"/>
  <c r="B270" i="24"/>
  <c r="W276" i="23"/>
  <c r="D276" i="23"/>
  <c r="E276" i="23" s="1"/>
  <c r="F276" i="23" s="1"/>
  <c r="B276" i="24"/>
  <c r="W308" i="23"/>
  <c r="D308" i="23"/>
  <c r="E308" i="23" s="1"/>
  <c r="F308" i="23" s="1"/>
  <c r="B308" i="24"/>
  <c r="W320" i="23"/>
  <c r="D320" i="23"/>
  <c r="E320" i="23" s="1"/>
  <c r="F320" i="23" s="1"/>
  <c r="B320" i="24"/>
  <c r="W336" i="23"/>
  <c r="D336" i="23"/>
  <c r="E336" i="23" s="1"/>
  <c r="F336" i="23" s="1"/>
  <c r="B336" i="24"/>
  <c r="W258" i="22"/>
  <c r="D258" i="22"/>
  <c r="E258" i="22" s="1"/>
  <c r="F258" i="22" s="1"/>
  <c r="B258" i="23"/>
  <c r="G23" i="20"/>
  <c r="CB23" i="6" s="1"/>
  <c r="H23" i="20"/>
  <c r="AA23" i="20"/>
  <c r="Z23" i="20" s="1"/>
  <c r="Y23" i="20" s="1"/>
  <c r="W33" i="23"/>
  <c r="D33" i="23"/>
  <c r="E33" i="23" s="1"/>
  <c r="F33" i="23" s="1"/>
  <c r="B33" i="24"/>
  <c r="W47" i="23"/>
  <c r="D47" i="23"/>
  <c r="E47" i="23" s="1"/>
  <c r="F47" i="23" s="1"/>
  <c r="B47" i="24"/>
  <c r="J47" i="18"/>
  <c r="I47" i="18"/>
  <c r="W69" i="23"/>
  <c r="D69" i="23"/>
  <c r="E69" i="23" s="1"/>
  <c r="F69" i="23" s="1"/>
  <c r="B69" i="24"/>
  <c r="W79" i="23"/>
  <c r="D79" i="23"/>
  <c r="E79" i="23" s="1"/>
  <c r="F79" i="23" s="1"/>
  <c r="B79" i="24"/>
  <c r="G79" i="22"/>
  <c r="CC79" i="6" s="1"/>
  <c r="AA79" i="22"/>
  <c r="Z79" i="22" s="1"/>
  <c r="Y79" i="22" s="1"/>
  <c r="W93" i="23"/>
  <c r="D93" i="23"/>
  <c r="E93" i="23" s="1"/>
  <c r="F93" i="23" s="1"/>
  <c r="B93" i="24"/>
  <c r="W131" i="23"/>
  <c r="D131" i="23"/>
  <c r="E131" i="23" s="1"/>
  <c r="F131" i="23" s="1"/>
  <c r="B131" i="24"/>
  <c r="W147" i="23"/>
  <c r="D147" i="23"/>
  <c r="E147" i="23" s="1"/>
  <c r="F147" i="23" s="1"/>
  <c r="B147" i="24"/>
  <c r="W195" i="23"/>
  <c r="D195" i="23"/>
  <c r="E195" i="23" s="1"/>
  <c r="F195" i="23" s="1"/>
  <c r="B195" i="24"/>
  <c r="W209" i="23"/>
  <c r="D209" i="23"/>
  <c r="E209" i="23" s="1"/>
  <c r="F209" i="23" s="1"/>
  <c r="B209" i="24"/>
  <c r="W221" i="23"/>
  <c r="D221" i="23"/>
  <c r="E221" i="23" s="1"/>
  <c r="F221" i="23" s="1"/>
  <c r="B221" i="24"/>
  <c r="W259" i="22"/>
  <c r="D259" i="22"/>
  <c r="E259" i="22" s="1"/>
  <c r="F259" i="22" s="1"/>
  <c r="B259" i="23"/>
  <c r="G285" i="20"/>
  <c r="CB285" i="6" s="1"/>
  <c r="H285" i="20"/>
  <c r="AA285" i="20"/>
  <c r="Z285" i="20" s="1"/>
  <c r="Y285" i="20" s="1"/>
  <c r="W293" i="22"/>
  <c r="D293" i="22"/>
  <c r="E293" i="22" s="1"/>
  <c r="F293" i="22" s="1"/>
  <c r="B293" i="23"/>
  <c r="G327" i="20"/>
  <c r="CB327" i="6" s="1"/>
  <c r="AA327" i="20"/>
  <c r="Z327" i="20" s="1"/>
  <c r="Y327" i="20" s="1"/>
  <c r="W341" i="22"/>
  <c r="D341" i="22"/>
  <c r="E341" i="22" s="1"/>
  <c r="F341" i="22" s="1"/>
  <c r="B341" i="23"/>
  <c r="G34" i="20"/>
  <c r="CB34" i="6" s="1"/>
  <c r="AA34" i="20"/>
  <c r="Z34" i="20" s="1"/>
  <c r="Y34" i="20" s="1"/>
  <c r="W86" i="22"/>
  <c r="D86" i="22"/>
  <c r="E86" i="22" s="1"/>
  <c r="F86" i="22" s="1"/>
  <c r="B86" i="23"/>
  <c r="G96" i="20"/>
  <c r="CB96" i="6" s="1"/>
  <c r="AA96" i="20"/>
  <c r="Z96" i="20" s="1"/>
  <c r="Y96" i="20" s="1"/>
  <c r="J108" i="18"/>
  <c r="I108" i="18"/>
  <c r="G126" i="20"/>
  <c r="CB126" i="6" s="1"/>
  <c r="AA126" i="20"/>
  <c r="Z126" i="20" s="1"/>
  <c r="Y126" i="20" s="1"/>
  <c r="I142" i="18"/>
  <c r="J142" i="18"/>
  <c r="G188" i="20"/>
  <c r="CB188" i="6" s="1"/>
  <c r="AA188" i="20"/>
  <c r="Z188" i="20" s="1"/>
  <c r="Y188" i="20" s="1"/>
  <c r="J192" i="18"/>
  <c r="I192" i="18"/>
  <c r="G250" i="20"/>
  <c r="CB250" i="6" s="1"/>
  <c r="AA250" i="20"/>
  <c r="Z250" i="20" s="1"/>
  <c r="Y250" i="20" s="1"/>
  <c r="G326" i="20"/>
  <c r="CB326" i="6" s="1"/>
  <c r="AA326" i="20"/>
  <c r="Z326" i="20" s="1"/>
  <c r="Y326" i="20" s="1"/>
  <c r="J334" i="18"/>
  <c r="I334" i="18"/>
  <c r="G372" i="22"/>
  <c r="CC372" i="6" s="1"/>
  <c r="AA372" i="22"/>
  <c r="Z372" i="22" s="1"/>
  <c r="Y372" i="22" s="1"/>
  <c r="J39" i="18"/>
  <c r="I39" i="18"/>
  <c r="BA39" i="6" s="1"/>
  <c r="D39" i="6" s="1"/>
  <c r="G65" i="22"/>
  <c r="CC65" i="6" s="1"/>
  <c r="AA65" i="22"/>
  <c r="Z65" i="22" s="1"/>
  <c r="Y65" i="22" s="1"/>
  <c r="G143" i="22"/>
  <c r="CC143" i="6" s="1"/>
  <c r="AA143" i="22"/>
  <c r="Z143" i="22" s="1"/>
  <c r="Y143" i="22" s="1"/>
  <c r="J151" i="18"/>
  <c r="I151" i="18"/>
  <c r="BA151" i="6" s="1"/>
  <c r="D151" i="6" s="1"/>
  <c r="J193" i="18"/>
  <c r="I193" i="18"/>
  <c r="BA193" i="6" s="1"/>
  <c r="D193" i="6" s="1"/>
  <c r="W223" i="23"/>
  <c r="B223" i="24"/>
  <c r="D223" i="23"/>
  <c r="E223" i="23" s="1"/>
  <c r="F223" i="23" s="1"/>
  <c r="W267" i="23"/>
  <c r="B267" i="24"/>
  <c r="D267" i="23"/>
  <c r="E267" i="23" s="1"/>
  <c r="F267" i="23" s="1"/>
  <c r="W307" i="23"/>
  <c r="D307" i="23"/>
  <c r="E307" i="23" s="1"/>
  <c r="F307" i="23" s="1"/>
  <c r="B307" i="24"/>
  <c r="W357" i="23"/>
  <c r="B357" i="24"/>
  <c r="D357" i="23"/>
  <c r="E357" i="23" s="1"/>
  <c r="F357" i="23" s="1"/>
  <c r="G288" i="22"/>
  <c r="CC288" i="6" s="1"/>
  <c r="AA288" i="22"/>
  <c r="Z288" i="22" s="1"/>
  <c r="Y288" i="22" s="1"/>
  <c r="J288" i="18"/>
  <c r="I288" i="18"/>
  <c r="G18" i="22"/>
  <c r="CC18" i="6" s="1"/>
  <c r="AA18" i="22"/>
  <c r="Z18" i="22" s="1"/>
  <c r="Y18" i="22" s="1"/>
  <c r="J18" i="18"/>
  <c r="I18" i="18"/>
  <c r="G28" i="22"/>
  <c r="CC28" i="6" s="1"/>
  <c r="AA28" i="22"/>
  <c r="Z28" i="22" s="1"/>
  <c r="Y28" i="22" s="1"/>
  <c r="G122" i="22"/>
  <c r="CC122" i="6" s="1"/>
  <c r="AA122" i="22"/>
  <c r="Z122" i="22" s="1"/>
  <c r="Y122" i="22" s="1"/>
  <c r="G138" i="22"/>
  <c r="CC138" i="6" s="1"/>
  <c r="AA138" i="22"/>
  <c r="Z138" i="22" s="1"/>
  <c r="Y138" i="22" s="1"/>
  <c r="G172" i="22"/>
  <c r="CC172" i="6" s="1"/>
  <c r="AA172" i="22"/>
  <c r="Z172" i="22" s="1"/>
  <c r="Y172" i="22" s="1"/>
  <c r="G202" i="22"/>
  <c r="CC202" i="6" s="1"/>
  <c r="AA202" i="22"/>
  <c r="Z202" i="22" s="1"/>
  <c r="Y202" i="22" s="1"/>
  <c r="I202" i="18"/>
  <c r="J202" i="18"/>
  <c r="G238" i="22"/>
  <c r="CC238" i="6" s="1"/>
  <c r="AA238" i="22"/>
  <c r="Z238" i="22" s="1"/>
  <c r="Y238" i="22" s="1"/>
  <c r="J238" i="18"/>
  <c r="I238" i="18"/>
  <c r="G280" i="22"/>
  <c r="CC280" i="6" s="1"/>
  <c r="AA280" i="22"/>
  <c r="Z280" i="22" s="1"/>
  <c r="Y280" i="22" s="1"/>
  <c r="J280" i="18"/>
  <c r="I280" i="18"/>
  <c r="G304" i="22"/>
  <c r="CC304" i="6" s="1"/>
  <c r="AA304" i="22"/>
  <c r="Z304" i="22" s="1"/>
  <c r="Y304" i="22" s="1"/>
  <c r="I304" i="18"/>
  <c r="J304" i="18"/>
  <c r="G324" i="22"/>
  <c r="CC324" i="6" s="1"/>
  <c r="AA324" i="22"/>
  <c r="Z324" i="22" s="1"/>
  <c r="Y324" i="22" s="1"/>
  <c r="I324" i="18"/>
  <c r="J324" i="18"/>
  <c r="G344" i="22"/>
  <c r="CC344" i="6" s="1"/>
  <c r="AA344" i="22"/>
  <c r="Z344" i="22" s="1"/>
  <c r="Y344" i="22" s="1"/>
  <c r="J344" i="18"/>
  <c r="I344" i="18"/>
  <c r="G360" i="22"/>
  <c r="CC360" i="6" s="1"/>
  <c r="AA360" i="22"/>
  <c r="Z360" i="22" s="1"/>
  <c r="Y360" i="22" s="1"/>
  <c r="G370" i="22"/>
  <c r="CC370" i="6" s="1"/>
  <c r="AA370" i="22"/>
  <c r="Z370" i="22" s="1"/>
  <c r="Y370" i="22" s="1"/>
  <c r="G25" i="22"/>
  <c r="CC25" i="6" s="1"/>
  <c r="AA25" i="22"/>
  <c r="Z25" i="22" s="1"/>
  <c r="Y25" i="22" s="1"/>
  <c r="G51" i="22"/>
  <c r="CC51" i="6" s="1"/>
  <c r="AA51" i="22"/>
  <c r="Z51" i="22" s="1"/>
  <c r="Y51" i="22" s="1"/>
  <c r="J51" i="18"/>
  <c r="I51" i="18"/>
  <c r="G85" i="22"/>
  <c r="CC85" i="6" s="1"/>
  <c r="AA85" i="22"/>
  <c r="Z85" i="22" s="1"/>
  <c r="Y85" i="22" s="1"/>
  <c r="J85" i="18"/>
  <c r="I85" i="18"/>
  <c r="G109" i="22"/>
  <c r="CC109" i="6" s="1"/>
  <c r="AA109" i="22"/>
  <c r="Z109" i="22" s="1"/>
  <c r="Y109" i="22" s="1"/>
  <c r="J109" i="18"/>
  <c r="I109" i="18"/>
  <c r="G115" i="22"/>
  <c r="CC115" i="6" s="1"/>
  <c r="AA115" i="22"/>
  <c r="Z115" i="22" s="1"/>
  <c r="Y115" i="22" s="1"/>
  <c r="J115" i="18"/>
  <c r="I115" i="18"/>
  <c r="G121" i="22"/>
  <c r="CC121" i="6" s="1"/>
  <c r="AA121" i="22"/>
  <c r="Z121" i="22" s="1"/>
  <c r="Y121" i="22" s="1"/>
  <c r="J121" i="18"/>
  <c r="I121" i="18"/>
  <c r="G133" i="22"/>
  <c r="CC133" i="6" s="1"/>
  <c r="AA133" i="22"/>
  <c r="Z133" i="22" s="1"/>
  <c r="Y133" i="22" s="1"/>
  <c r="J133" i="18"/>
  <c r="I133" i="18"/>
  <c r="G199" i="22"/>
  <c r="CC199" i="6" s="1"/>
  <c r="AA199" i="22"/>
  <c r="Z199" i="22" s="1"/>
  <c r="Y199" i="22" s="1"/>
  <c r="J199" i="18"/>
  <c r="I199" i="18"/>
  <c r="G217" i="22"/>
  <c r="CC217" i="6" s="1"/>
  <c r="AA217" i="22"/>
  <c r="Z217" i="22" s="1"/>
  <c r="Y217" i="22" s="1"/>
  <c r="G237" i="22"/>
  <c r="CC237" i="6" s="1"/>
  <c r="AA237" i="22"/>
  <c r="Z237" i="22" s="1"/>
  <c r="Y237" i="22" s="1"/>
  <c r="G243" i="22"/>
  <c r="CC243" i="6" s="1"/>
  <c r="AA243" i="22"/>
  <c r="Z243" i="22" s="1"/>
  <c r="Y243" i="22" s="1"/>
  <c r="J243" i="18"/>
  <c r="I243" i="18"/>
  <c r="G297" i="22"/>
  <c r="CC297" i="6" s="1"/>
  <c r="AA297" i="22"/>
  <c r="Z297" i="22" s="1"/>
  <c r="Y297" i="22" s="1"/>
  <c r="J297" i="18"/>
  <c r="I297" i="18"/>
  <c r="G329" i="22"/>
  <c r="CC329" i="6" s="1"/>
  <c r="AA329" i="22"/>
  <c r="Z329" i="22" s="1"/>
  <c r="Y329" i="22" s="1"/>
  <c r="G345" i="22"/>
  <c r="CC345" i="6" s="1"/>
  <c r="AA345" i="22"/>
  <c r="Z345" i="22" s="1"/>
  <c r="Y345" i="22" s="1"/>
  <c r="J345" i="18"/>
  <c r="I345" i="18"/>
  <c r="G355" i="22"/>
  <c r="CC355" i="6" s="1"/>
  <c r="AA355" i="22"/>
  <c r="Z355" i="22" s="1"/>
  <c r="Y355" i="22" s="1"/>
  <c r="G24" i="22"/>
  <c r="CC24" i="6" s="1"/>
  <c r="AA24" i="22"/>
  <c r="Z24" i="22" s="1"/>
  <c r="Y24" i="22" s="1"/>
  <c r="G36" i="22"/>
  <c r="CC36" i="6" s="1"/>
  <c r="AA36" i="22"/>
  <c r="Z36" i="22" s="1"/>
  <c r="Y36" i="22" s="1"/>
  <c r="J36" i="18"/>
  <c r="I36" i="18"/>
  <c r="G44" i="22"/>
  <c r="CC44" i="6" s="1"/>
  <c r="AA44" i="22"/>
  <c r="Z44" i="22" s="1"/>
  <c r="Y44" i="22" s="1"/>
  <c r="I44" i="18"/>
  <c r="J44" i="18"/>
  <c r="G58" i="22"/>
  <c r="CC58" i="6" s="1"/>
  <c r="AA58" i="22"/>
  <c r="Z58" i="22" s="1"/>
  <c r="Y58" i="22" s="1"/>
  <c r="J58" i="18"/>
  <c r="I58" i="18"/>
  <c r="G72" i="22"/>
  <c r="CC72" i="6" s="1"/>
  <c r="AA72" i="22"/>
  <c r="Z72" i="22" s="1"/>
  <c r="Y72" i="22" s="1"/>
  <c r="J72" i="18"/>
  <c r="I72" i="18"/>
  <c r="G102" i="22"/>
  <c r="CC102" i="6" s="1"/>
  <c r="AA102" i="22"/>
  <c r="Z102" i="22" s="1"/>
  <c r="Y102" i="22" s="1"/>
  <c r="J102" i="18"/>
  <c r="I102" i="18"/>
  <c r="G156" i="22"/>
  <c r="CC156" i="6" s="1"/>
  <c r="AA156" i="22"/>
  <c r="Z156" i="22" s="1"/>
  <c r="Y156" i="22" s="1"/>
  <c r="J156" i="18"/>
  <c r="I156" i="18"/>
  <c r="G162" i="22"/>
  <c r="CC162" i="6" s="1"/>
  <c r="AA162" i="22"/>
  <c r="Z162" i="22" s="1"/>
  <c r="Y162" i="22" s="1"/>
  <c r="I162" i="18"/>
  <c r="J162" i="18"/>
  <c r="G186" i="20"/>
  <c r="CB186" i="6" s="1"/>
  <c r="AA186" i="20"/>
  <c r="Z186" i="20" s="1"/>
  <c r="Y186" i="20" s="1"/>
  <c r="W198" i="23"/>
  <c r="D198" i="23"/>
  <c r="E198" i="23" s="1"/>
  <c r="F198" i="23" s="1"/>
  <c r="B198" i="24"/>
  <c r="W206" i="23"/>
  <c r="B206" i="24"/>
  <c r="D206" i="23"/>
  <c r="E206" i="23" s="1"/>
  <c r="F206" i="23" s="1"/>
  <c r="W214" i="23"/>
  <c r="B214" i="24"/>
  <c r="D214" i="23"/>
  <c r="E214" i="23" s="1"/>
  <c r="F214" i="23" s="1"/>
  <c r="W240" i="23"/>
  <c r="D240" i="23"/>
  <c r="E240" i="23" s="1"/>
  <c r="F240" i="23" s="1"/>
  <c r="B240" i="24"/>
  <c r="J240" i="18"/>
  <c r="I240" i="18"/>
  <c r="W264" i="23"/>
  <c r="B264" i="24"/>
  <c r="D264" i="23"/>
  <c r="E264" i="23" s="1"/>
  <c r="F264" i="23" s="1"/>
  <c r="W290" i="23"/>
  <c r="B290" i="24"/>
  <c r="D290" i="23"/>
  <c r="E290" i="23" s="1"/>
  <c r="F290" i="23" s="1"/>
  <c r="W314" i="23"/>
  <c r="D314" i="23"/>
  <c r="E314" i="23" s="1"/>
  <c r="F314" i="23" s="1"/>
  <c r="B314" i="24"/>
  <c r="W340" i="23"/>
  <c r="D340" i="23"/>
  <c r="E340" i="23" s="1"/>
  <c r="F340" i="23" s="1"/>
  <c r="B340" i="24"/>
  <c r="W356" i="23"/>
  <c r="D356" i="23"/>
  <c r="E356" i="23" s="1"/>
  <c r="F356" i="23" s="1"/>
  <c r="B356" i="24"/>
  <c r="W137" i="23"/>
  <c r="D137" i="23"/>
  <c r="E137" i="23" s="1"/>
  <c r="F137" i="23" s="1"/>
  <c r="B137" i="24"/>
  <c r="W78" i="23"/>
  <c r="B78" i="24"/>
  <c r="D78" i="23"/>
  <c r="E78" i="23" s="1"/>
  <c r="F78" i="23" s="1"/>
  <c r="W90" i="23"/>
  <c r="D90" i="23"/>
  <c r="E90" i="23" s="1"/>
  <c r="F90" i="23" s="1"/>
  <c r="B90" i="24"/>
  <c r="W289" i="23"/>
  <c r="D289" i="23"/>
  <c r="E289" i="23" s="1"/>
  <c r="F289" i="23" s="1"/>
  <c r="B289" i="24"/>
  <c r="W378" i="23"/>
  <c r="D378" i="23"/>
  <c r="E378" i="23" s="1"/>
  <c r="F378" i="23" s="1"/>
  <c r="B378" i="24"/>
  <c r="W182" i="23"/>
  <c r="B182" i="24"/>
  <c r="D182" i="23"/>
  <c r="E182" i="23" s="1"/>
  <c r="F182" i="23" s="1"/>
  <c r="W310" i="23"/>
  <c r="B310" i="24"/>
  <c r="D310" i="23"/>
  <c r="E310" i="23" s="1"/>
  <c r="F310" i="23" s="1"/>
  <c r="J310" i="18"/>
  <c r="I310" i="18"/>
  <c r="W236" i="23"/>
  <c r="B236" i="24"/>
  <c r="D236" i="23"/>
  <c r="E236" i="23" s="1"/>
  <c r="F236" i="23" s="1"/>
  <c r="W311" i="23"/>
  <c r="B311" i="24"/>
  <c r="D311" i="23"/>
  <c r="E311" i="23" s="1"/>
  <c r="F311" i="23" s="1"/>
  <c r="W98" i="23"/>
  <c r="D98" i="23"/>
  <c r="E98" i="23" s="1"/>
  <c r="F98" i="23" s="1"/>
  <c r="B98" i="24"/>
  <c r="W374" i="23"/>
  <c r="D374" i="23"/>
  <c r="E374" i="23" s="1"/>
  <c r="F374" i="23" s="1"/>
  <c r="B374" i="24"/>
  <c r="G374" i="22"/>
  <c r="CC374" i="6" s="1"/>
  <c r="AA374" i="22"/>
  <c r="Z374" i="22" s="1"/>
  <c r="Y374" i="22" s="1"/>
  <c r="W163" i="23"/>
  <c r="D163" i="23"/>
  <c r="E163" i="23" s="1"/>
  <c r="F163" i="23" s="1"/>
  <c r="B163" i="24"/>
  <c r="W157" i="23"/>
  <c r="B157" i="24"/>
  <c r="D157" i="23"/>
  <c r="E157" i="23" s="1"/>
  <c r="F157" i="23" s="1"/>
  <c r="W321" i="23"/>
  <c r="B321" i="24"/>
  <c r="D321" i="23"/>
  <c r="E321" i="23" s="1"/>
  <c r="F321" i="23" s="1"/>
  <c r="W125" i="23"/>
  <c r="D125" i="23"/>
  <c r="E125" i="23" s="1"/>
  <c r="F125" i="23" s="1"/>
  <c r="B125" i="24"/>
  <c r="J125" i="18"/>
  <c r="I125" i="18"/>
  <c r="W332" i="23"/>
  <c r="D332" i="23"/>
  <c r="E332" i="23" s="1"/>
  <c r="F332" i="23" s="1"/>
  <c r="B332" i="24"/>
  <c r="W309" i="23"/>
  <c r="D309" i="23"/>
  <c r="E309" i="23" s="1"/>
  <c r="F309" i="23" s="1"/>
  <c r="B309" i="24"/>
  <c r="W73" i="23"/>
  <c r="B73" i="24"/>
  <c r="D73" i="23"/>
  <c r="E73" i="23" s="1"/>
  <c r="F73" i="23" s="1"/>
  <c r="W62" i="23"/>
  <c r="D62" i="23"/>
  <c r="E62" i="23" s="1"/>
  <c r="F62" i="23" s="1"/>
  <c r="B62" i="24"/>
  <c r="W81" i="23"/>
  <c r="B81" i="24"/>
  <c r="D81" i="23"/>
  <c r="E81" i="23" s="1"/>
  <c r="F81" i="23" s="1"/>
  <c r="W295" i="23"/>
  <c r="B295" i="24"/>
  <c r="D295" i="23"/>
  <c r="E295" i="23" s="1"/>
  <c r="F295" i="23" s="1"/>
  <c r="W76" i="23"/>
  <c r="D76" i="23"/>
  <c r="E76" i="23" s="1"/>
  <c r="F76" i="23" s="1"/>
  <c r="B76" i="24"/>
  <c r="W232" i="23"/>
  <c r="B232" i="24"/>
  <c r="D232" i="23"/>
  <c r="E232" i="23" s="1"/>
  <c r="F232" i="23" s="1"/>
  <c r="G15" i="18"/>
  <c r="CA15" i="6" s="1"/>
  <c r="AA15" i="18"/>
  <c r="AL9" i="18" s="1"/>
  <c r="G29" i="23"/>
  <c r="CD29" i="6" s="1"/>
  <c r="AA29" i="23"/>
  <c r="Z29" i="23" s="1"/>
  <c r="Y29" i="23" s="1"/>
  <c r="G150" i="23"/>
  <c r="CD150" i="6" s="1"/>
  <c r="AA150" i="23"/>
  <c r="Z150" i="23" s="1"/>
  <c r="Y150" i="23" s="1"/>
  <c r="G226" i="23"/>
  <c r="CD226" i="6" s="1"/>
  <c r="AA226" i="23"/>
  <c r="Z226" i="23" s="1"/>
  <c r="Y226" i="23" s="1"/>
  <c r="G67" i="23"/>
  <c r="CD67" i="6" s="1"/>
  <c r="AA67" i="23"/>
  <c r="Z67" i="23" s="1"/>
  <c r="Y67" i="23" s="1"/>
  <c r="G349" i="23"/>
  <c r="CD349" i="6" s="1"/>
  <c r="AA349" i="23"/>
  <c r="Z349" i="23" s="1"/>
  <c r="Y349" i="23" s="1"/>
  <c r="G74" i="23"/>
  <c r="CD74" i="6" s="1"/>
  <c r="AA74" i="23"/>
  <c r="Z74" i="23" s="1"/>
  <c r="Y74" i="23" s="1"/>
  <c r="G261" i="23"/>
  <c r="CD261" i="6" s="1"/>
  <c r="AA261" i="23"/>
  <c r="Z261" i="23" s="1"/>
  <c r="Y261" i="23" s="1"/>
  <c r="G75" i="23"/>
  <c r="CD75" i="6" s="1"/>
  <c r="AA75" i="23"/>
  <c r="Z75" i="23" s="1"/>
  <c r="Y75" i="23" s="1"/>
  <c r="G171" i="23"/>
  <c r="CD171" i="6" s="1"/>
  <c r="AA171" i="23"/>
  <c r="Z171" i="23" s="1"/>
  <c r="Y171" i="23" s="1"/>
  <c r="G194" i="23"/>
  <c r="CD194" i="6" s="1"/>
  <c r="AA194" i="23"/>
  <c r="Z194" i="23" s="1"/>
  <c r="Y194" i="23" s="1"/>
  <c r="G154" i="23"/>
  <c r="CD154" i="6" s="1"/>
  <c r="AA154" i="23"/>
  <c r="Z154" i="23" s="1"/>
  <c r="Y154" i="23" s="1"/>
  <c r="G189" i="23"/>
  <c r="CD189" i="6" s="1"/>
  <c r="AA189" i="23"/>
  <c r="Z189" i="23" s="1"/>
  <c r="Y189" i="23" s="1"/>
  <c r="G210" i="22"/>
  <c r="CC210" i="6" s="1"/>
  <c r="AA210" i="22"/>
  <c r="Z210" i="22" s="1"/>
  <c r="Y210" i="22" s="1"/>
  <c r="G244" i="22"/>
  <c r="CC244" i="6" s="1"/>
  <c r="AA244" i="22"/>
  <c r="Z244" i="22" s="1"/>
  <c r="Y244" i="22" s="1"/>
  <c r="G130" i="22"/>
  <c r="CC130" i="6" s="1"/>
  <c r="AA130" i="22"/>
  <c r="Z130" i="22" s="1"/>
  <c r="Y130" i="22" s="1"/>
  <c r="G37" i="22"/>
  <c r="CC37" i="6" s="1"/>
  <c r="AA37" i="22"/>
  <c r="Z37" i="22" s="1"/>
  <c r="Y37" i="22" s="1"/>
  <c r="G77" i="22"/>
  <c r="CC77" i="6" s="1"/>
  <c r="AA77" i="22"/>
  <c r="Z77" i="22" s="1"/>
  <c r="Y77" i="22" s="1"/>
  <c r="G99" i="22"/>
  <c r="CC99" i="6" s="1"/>
  <c r="AA99" i="22"/>
  <c r="Z99" i="22" s="1"/>
  <c r="Y99" i="22" s="1"/>
  <c r="G159" i="22"/>
  <c r="CC159" i="6" s="1"/>
  <c r="AA159" i="22"/>
  <c r="Z159" i="22" s="1"/>
  <c r="Y159" i="22" s="1"/>
  <c r="G185" i="22"/>
  <c r="CC185" i="6" s="1"/>
  <c r="AA185" i="22"/>
  <c r="Z185" i="22" s="1"/>
  <c r="Y185" i="22" s="1"/>
  <c r="G249" i="22"/>
  <c r="CC249" i="6" s="1"/>
  <c r="AA249" i="22"/>
  <c r="Z249" i="22" s="1"/>
  <c r="Y249" i="22" s="1"/>
  <c r="G281" i="22"/>
  <c r="CC281" i="6" s="1"/>
  <c r="AA281" i="22"/>
  <c r="Z281" i="22" s="1"/>
  <c r="Y281" i="22" s="1"/>
  <c r="G148" i="23"/>
  <c r="CD148" i="6" s="1"/>
  <c r="AA148" i="23"/>
  <c r="Z148" i="23" s="1"/>
  <c r="Y148" i="23" s="1"/>
  <c r="G192" i="22"/>
  <c r="CC192" i="6" s="1"/>
  <c r="AA192" i="22"/>
  <c r="Z192" i="22" s="1"/>
  <c r="Y192" i="22" s="1"/>
  <c r="G294" i="22"/>
  <c r="CC294" i="6" s="1"/>
  <c r="AA294" i="22"/>
  <c r="Z294" i="22" s="1"/>
  <c r="Y294" i="22" s="1"/>
  <c r="G334" i="22"/>
  <c r="CC334" i="6" s="1"/>
  <c r="AA334" i="22"/>
  <c r="Z334" i="22" s="1"/>
  <c r="Y334" i="22" s="1"/>
  <c r="W180" i="24"/>
  <c r="D180" i="24"/>
  <c r="E180" i="24" s="1"/>
  <c r="F180" i="24" s="1"/>
  <c r="B180" i="25"/>
  <c r="W60" i="24"/>
  <c r="D60" i="24"/>
  <c r="E60" i="24" s="1"/>
  <c r="F60" i="24" s="1"/>
  <c r="B60" i="25"/>
  <c r="W365" i="24"/>
  <c r="D365" i="24"/>
  <c r="E365" i="24" s="1"/>
  <c r="F365" i="24" s="1"/>
  <c r="B365" i="25"/>
  <c r="W187" i="24"/>
  <c r="D187" i="24"/>
  <c r="E187" i="24" s="1"/>
  <c r="F187" i="24" s="1"/>
  <c r="B187" i="25"/>
  <c r="W177" i="23"/>
  <c r="D177" i="23"/>
  <c r="E177" i="23" s="1"/>
  <c r="F177" i="23" s="1"/>
  <c r="B177" i="24"/>
  <c r="W166" i="23"/>
  <c r="D166" i="23"/>
  <c r="E166" i="23" s="1"/>
  <c r="F166" i="23" s="1"/>
  <c r="B166" i="24"/>
  <c r="W319" i="23"/>
  <c r="D319" i="23"/>
  <c r="E319" i="23" s="1"/>
  <c r="F319" i="23" s="1"/>
  <c r="B319" i="24"/>
  <c r="W17" i="23"/>
  <c r="D17" i="23"/>
  <c r="E17" i="23" s="1"/>
  <c r="F17" i="23" s="1"/>
  <c r="B17" i="24"/>
  <c r="W111" i="23"/>
  <c r="D111" i="23"/>
  <c r="E111" i="23" s="1"/>
  <c r="F111" i="23" s="1"/>
  <c r="B111" i="24"/>
  <c r="W278" i="23"/>
  <c r="D278" i="23"/>
  <c r="E278" i="23" s="1"/>
  <c r="F278" i="23" s="1"/>
  <c r="B278" i="24"/>
  <c r="W135" i="24"/>
  <c r="D135" i="24"/>
  <c r="E135" i="24" s="1"/>
  <c r="F135" i="24" s="1"/>
  <c r="B135" i="25"/>
  <c r="W335" i="24"/>
  <c r="D335" i="24"/>
  <c r="E335" i="24" s="1"/>
  <c r="F335" i="24" s="1"/>
  <c r="B335" i="25"/>
  <c r="W367" i="24"/>
  <c r="D367" i="24"/>
  <c r="E367" i="24" s="1"/>
  <c r="F367" i="24" s="1"/>
  <c r="B367" i="25"/>
  <c r="W241" i="24"/>
  <c r="D241" i="24"/>
  <c r="E241" i="24" s="1"/>
  <c r="F241" i="24" s="1"/>
  <c r="B241" i="25"/>
  <c r="G116" i="23"/>
  <c r="CD116" i="6" s="1"/>
  <c r="AA116" i="23"/>
  <c r="Z116" i="23" s="1"/>
  <c r="Y116" i="23" s="1"/>
  <c r="G161" i="22"/>
  <c r="CC161" i="6" s="1"/>
  <c r="AA161" i="22"/>
  <c r="Z161" i="22" s="1"/>
  <c r="Y161" i="22" s="1"/>
  <c r="G265" i="22"/>
  <c r="CC265" i="6" s="1"/>
  <c r="AA265" i="22"/>
  <c r="Z265" i="22" s="1"/>
  <c r="Y265" i="22" s="1"/>
  <c r="AA61" i="22"/>
  <c r="Z61" i="22" s="1"/>
  <c r="Y61" i="22" s="1"/>
  <c r="G61" i="22"/>
  <c r="CC61" i="6" s="1"/>
  <c r="G89" i="22"/>
  <c r="CC89" i="6" s="1"/>
  <c r="AA89" i="22"/>
  <c r="Z89" i="22" s="1"/>
  <c r="Y89" i="22" s="1"/>
  <c r="G127" i="22"/>
  <c r="CC127" i="6" s="1"/>
  <c r="AA127" i="22"/>
  <c r="Z127" i="22" s="1"/>
  <c r="Y127" i="22" s="1"/>
  <c r="G173" i="22"/>
  <c r="CC173" i="6" s="1"/>
  <c r="AA173" i="22"/>
  <c r="Z173" i="22" s="1"/>
  <c r="Y173" i="22" s="1"/>
  <c r="G219" i="22"/>
  <c r="CC219" i="6" s="1"/>
  <c r="AA219" i="22"/>
  <c r="Z219" i="22" s="1"/>
  <c r="Y219" i="22" s="1"/>
  <c r="G263" i="23"/>
  <c r="CD263" i="6" s="1"/>
  <c r="AA263" i="23"/>
  <c r="Z263" i="23" s="1"/>
  <c r="Y263" i="23" s="1"/>
  <c r="G317" i="23"/>
  <c r="CD317" i="6" s="1"/>
  <c r="AA317" i="23"/>
  <c r="Z317" i="23" s="1"/>
  <c r="Y317" i="23" s="1"/>
  <c r="G108" i="22"/>
  <c r="CC108" i="6" s="1"/>
  <c r="AA108" i="22"/>
  <c r="Z108" i="22" s="1"/>
  <c r="Y108" i="22" s="1"/>
  <c r="G142" i="22"/>
  <c r="CC142" i="6" s="1"/>
  <c r="AA142" i="22"/>
  <c r="Z142" i="22" s="1"/>
  <c r="Y142" i="22" s="1"/>
  <c r="F15" i="20"/>
  <c r="J196" i="18"/>
  <c r="I196" i="18"/>
  <c r="BA196" i="6" s="1"/>
  <c r="D196" i="6" s="1"/>
  <c r="J60" i="18"/>
  <c r="I60" i="18"/>
  <c r="J67" i="18"/>
  <c r="I67" i="18"/>
  <c r="J349" i="18"/>
  <c r="I349" i="18"/>
  <c r="J248" i="18"/>
  <c r="I248" i="18"/>
  <c r="J283" i="18"/>
  <c r="I283" i="18"/>
  <c r="I171" i="18"/>
  <c r="J171" i="18"/>
  <c r="J194" i="18"/>
  <c r="I194" i="18"/>
  <c r="J284" i="18"/>
  <c r="I284" i="18"/>
  <c r="J287" i="18"/>
  <c r="I287" i="18"/>
  <c r="J55" i="18"/>
  <c r="I55" i="18"/>
  <c r="J255" i="18"/>
  <c r="I255" i="18"/>
  <c r="J273" i="18"/>
  <c r="I273" i="18"/>
  <c r="I106" i="18"/>
  <c r="BA106" i="6" s="1"/>
  <c r="D106" i="6" s="1"/>
  <c r="J106" i="18"/>
  <c r="J136" i="18"/>
  <c r="I136" i="18"/>
  <c r="BA136" i="6" s="1"/>
  <c r="D136" i="6" s="1"/>
  <c r="J230" i="18"/>
  <c r="I230" i="18"/>
  <c r="BA230" i="6" s="1"/>
  <c r="D230" i="6" s="1"/>
  <c r="J274" i="18"/>
  <c r="I274" i="18"/>
  <c r="BA274" i="6" s="1"/>
  <c r="D274" i="6" s="1"/>
  <c r="J352" i="18"/>
  <c r="I352" i="18"/>
  <c r="BA352" i="6" s="1"/>
  <c r="D352" i="6" s="1"/>
  <c r="J21" i="18"/>
  <c r="I21" i="18"/>
  <c r="BA21" i="6" s="1"/>
  <c r="D21" i="6" s="1"/>
  <c r="J96" i="18"/>
  <c r="I96" i="18"/>
  <c r="BA96" i="6" s="1"/>
  <c r="D96" i="6" s="1"/>
  <c r="J144" i="18"/>
  <c r="I144" i="18"/>
  <c r="BA144" i="6" s="1"/>
  <c r="D144" i="6" s="1"/>
  <c r="J188" i="18"/>
  <c r="I188" i="18"/>
  <c r="BA188" i="6" s="1"/>
  <c r="D188" i="6" s="1"/>
  <c r="J326" i="18"/>
  <c r="I326" i="18"/>
  <c r="BA326" i="6" s="1"/>
  <c r="D326" i="6" s="1"/>
  <c r="G59" i="20"/>
  <c r="CB59" i="6" s="1"/>
  <c r="AA59" i="20"/>
  <c r="Z59" i="20" s="1"/>
  <c r="Y59" i="20" s="1"/>
  <c r="G141" i="20"/>
  <c r="CB141" i="6" s="1"/>
  <c r="AA141" i="20"/>
  <c r="Z141" i="20" s="1"/>
  <c r="Y141" i="20" s="1"/>
  <c r="G179" i="20"/>
  <c r="CB179" i="6" s="1"/>
  <c r="AA179" i="20"/>
  <c r="Z179" i="20" s="1"/>
  <c r="Y179" i="20" s="1"/>
  <c r="G211" i="20"/>
  <c r="CB211" i="6" s="1"/>
  <c r="AA211" i="20"/>
  <c r="Z211" i="20" s="1"/>
  <c r="Y211" i="20" s="1"/>
  <c r="G257" i="20"/>
  <c r="CB257" i="6" s="1"/>
  <c r="AA257" i="20"/>
  <c r="Z257" i="20" s="1"/>
  <c r="Y257" i="20" s="1"/>
  <c r="G301" i="20"/>
  <c r="CB301" i="6" s="1"/>
  <c r="AA301" i="20"/>
  <c r="Z301" i="20" s="1"/>
  <c r="Y301" i="20" s="1"/>
  <c r="G337" i="20"/>
  <c r="CB337" i="6" s="1"/>
  <c r="AA337" i="20"/>
  <c r="Z337" i="20" s="1"/>
  <c r="Y337" i="20" s="1"/>
  <c r="G375" i="20"/>
  <c r="CB375" i="6" s="1"/>
  <c r="AA375" i="20"/>
  <c r="Z375" i="20" s="1"/>
  <c r="Y375" i="20" s="1"/>
  <c r="D15" i="23"/>
  <c r="G379" i="20"/>
  <c r="CB379" i="6" s="1"/>
  <c r="AA379" i="20"/>
  <c r="Z379" i="20" s="1"/>
  <c r="Y379" i="20" s="1"/>
  <c r="G175" i="20"/>
  <c r="CB175" i="6" s="1"/>
  <c r="AA175" i="20"/>
  <c r="Z175" i="20" s="1"/>
  <c r="Y175" i="20" s="1"/>
  <c r="J161" i="18"/>
  <c r="I161" i="18"/>
  <c r="J130" i="18"/>
  <c r="I130" i="18"/>
  <c r="J265" i="18"/>
  <c r="I265" i="18"/>
  <c r="J37" i="18"/>
  <c r="I37" i="18"/>
  <c r="I77" i="18"/>
  <c r="J77" i="18"/>
  <c r="J89" i="18"/>
  <c r="I89" i="18"/>
  <c r="J185" i="18"/>
  <c r="I185" i="18"/>
  <c r="J271" i="18"/>
  <c r="I271" i="18"/>
  <c r="G50" i="20"/>
  <c r="CB50" i="6" s="1"/>
  <c r="AA50" i="20"/>
  <c r="Z50" i="20" s="1"/>
  <c r="Y50" i="20" s="1"/>
  <c r="W70" i="22"/>
  <c r="D70" i="22"/>
  <c r="E70" i="22" s="1"/>
  <c r="F70" i="22" s="1"/>
  <c r="B70" i="23"/>
  <c r="G92" i="20"/>
  <c r="CB92" i="6" s="1"/>
  <c r="AA92" i="20"/>
  <c r="Z92" i="20" s="1"/>
  <c r="Y92" i="20" s="1"/>
  <c r="W106" i="22"/>
  <c r="D106" i="22"/>
  <c r="E106" i="22" s="1"/>
  <c r="F106" i="22" s="1"/>
  <c r="B106" i="23"/>
  <c r="G118" i="20"/>
  <c r="CB118" i="6" s="1"/>
  <c r="AA118" i="20"/>
  <c r="Z118" i="20" s="1"/>
  <c r="Y118" i="20" s="1"/>
  <c r="W136" i="22"/>
  <c r="D136" i="22"/>
  <c r="E136" i="22" s="1"/>
  <c r="F136" i="22" s="1"/>
  <c r="B136" i="23"/>
  <c r="G170" i="20"/>
  <c r="CB170" i="6" s="1"/>
  <c r="AA170" i="20"/>
  <c r="Z170" i="20" s="1"/>
  <c r="Y170" i="20" s="1"/>
  <c r="W178" i="22"/>
  <c r="D178" i="22"/>
  <c r="E178" i="22" s="1"/>
  <c r="F178" i="22" s="1"/>
  <c r="B178" i="23"/>
  <c r="G230" i="20"/>
  <c r="CB230" i="6" s="1"/>
  <c r="AA230" i="20"/>
  <c r="Z230" i="20" s="1"/>
  <c r="Y230" i="20" s="1"/>
  <c r="W254" i="22"/>
  <c r="D254" i="22"/>
  <c r="E254" i="22" s="1"/>
  <c r="F254" i="22" s="1"/>
  <c r="B254" i="23"/>
  <c r="G268" i="20"/>
  <c r="CB268" i="6" s="1"/>
  <c r="AA268" i="20"/>
  <c r="Z268" i="20" s="1"/>
  <c r="Y268" i="20" s="1"/>
  <c r="W274" i="22"/>
  <c r="D274" i="22"/>
  <c r="E274" i="22" s="1"/>
  <c r="F274" i="22" s="1"/>
  <c r="B274" i="23"/>
  <c r="G282" i="20"/>
  <c r="CB282" i="6" s="1"/>
  <c r="AA282" i="20"/>
  <c r="Z282" i="20" s="1"/>
  <c r="Y282" i="20" s="1"/>
  <c r="W318" i="22"/>
  <c r="D318" i="22"/>
  <c r="E318" i="22" s="1"/>
  <c r="F318" i="22" s="1"/>
  <c r="B318" i="23"/>
  <c r="G328" i="20"/>
  <c r="CB328" i="6" s="1"/>
  <c r="AA328" i="20"/>
  <c r="Z328" i="20" s="1"/>
  <c r="Y328" i="20" s="1"/>
  <c r="W352" i="22"/>
  <c r="D352" i="22"/>
  <c r="E352" i="22" s="1"/>
  <c r="F352" i="22" s="1"/>
  <c r="B352" i="23"/>
  <c r="G21" i="20"/>
  <c r="CB21" i="6" s="1"/>
  <c r="AA21" i="20"/>
  <c r="Z21" i="20" s="1"/>
  <c r="Y21" i="20" s="1"/>
  <c r="W31" i="22"/>
  <c r="D31" i="22"/>
  <c r="E31" i="22" s="1"/>
  <c r="F31" i="22" s="1"/>
  <c r="B31" i="23"/>
  <c r="G45" i="20"/>
  <c r="CB45" i="6" s="1"/>
  <c r="AA45" i="20"/>
  <c r="Z45" i="20" s="1"/>
  <c r="Y45" i="20" s="1"/>
  <c r="W49" i="22"/>
  <c r="D49" i="22"/>
  <c r="E49" i="22" s="1"/>
  <c r="F49" i="22" s="1"/>
  <c r="B49" i="23"/>
  <c r="W87" i="22"/>
  <c r="D87" i="22"/>
  <c r="E87" i="22" s="1"/>
  <c r="F87" i="22" s="1"/>
  <c r="B87" i="23"/>
  <c r="G123" i="20"/>
  <c r="CB123" i="6" s="1"/>
  <c r="AA123" i="20"/>
  <c r="Z123" i="20" s="1"/>
  <c r="Y123" i="20" s="1"/>
  <c r="W145" i="22"/>
  <c r="D145" i="22"/>
  <c r="E145" i="22" s="1"/>
  <c r="F145" i="22" s="1"/>
  <c r="B145" i="23"/>
  <c r="G181" i="20"/>
  <c r="CB181" i="6" s="1"/>
  <c r="AA181" i="20"/>
  <c r="Z181" i="20" s="1"/>
  <c r="Y181" i="20" s="1"/>
  <c r="W201" i="22"/>
  <c r="D201" i="22"/>
  <c r="E201" i="22" s="1"/>
  <c r="F201" i="22" s="1"/>
  <c r="B201" i="23"/>
  <c r="G215" i="20"/>
  <c r="CB215" i="6" s="1"/>
  <c r="AA215" i="20"/>
  <c r="Z215" i="20" s="1"/>
  <c r="Y215" i="20" s="1"/>
  <c r="W233" i="22"/>
  <c r="D233" i="22"/>
  <c r="E233" i="22" s="1"/>
  <c r="F233" i="22" s="1"/>
  <c r="B233" i="23"/>
  <c r="G275" i="22"/>
  <c r="CC275" i="6" s="1"/>
  <c r="AA275" i="22"/>
  <c r="Z275" i="22" s="1"/>
  <c r="Y275" i="22" s="1"/>
  <c r="G291" i="22"/>
  <c r="CC291" i="6" s="1"/>
  <c r="AA291" i="22"/>
  <c r="Z291" i="22" s="1"/>
  <c r="Y291" i="22" s="1"/>
  <c r="G303" i="22"/>
  <c r="CC303" i="6" s="1"/>
  <c r="AA303" i="22"/>
  <c r="Z303" i="22" s="1"/>
  <c r="Y303" i="22" s="1"/>
  <c r="G339" i="22"/>
  <c r="CC339" i="6" s="1"/>
  <c r="AA339" i="22"/>
  <c r="Z339" i="22" s="1"/>
  <c r="Y339" i="22" s="1"/>
  <c r="G371" i="20"/>
  <c r="CB371" i="6" s="1"/>
  <c r="AA371" i="20"/>
  <c r="Z371" i="20" s="1"/>
  <c r="Y371" i="20" s="1"/>
  <c r="W80" i="23"/>
  <c r="D80" i="23"/>
  <c r="E80" i="23" s="1"/>
  <c r="F80" i="23" s="1"/>
  <c r="B80" i="24"/>
  <c r="W94" i="23"/>
  <c r="D94" i="23"/>
  <c r="E94" i="23" s="1"/>
  <c r="F94" i="23" s="1"/>
  <c r="B94" i="24"/>
  <c r="W112" i="22"/>
  <c r="D112" i="22"/>
  <c r="E112" i="22" s="1"/>
  <c r="F112" i="22" s="1"/>
  <c r="B112" i="23"/>
  <c r="W144" i="22"/>
  <c r="D144" i="22"/>
  <c r="E144" i="22" s="1"/>
  <c r="F144" i="22" s="1"/>
  <c r="B144" i="23"/>
  <c r="W218" i="22"/>
  <c r="D218" i="22"/>
  <c r="E218" i="22" s="1"/>
  <c r="F218" i="22" s="1"/>
  <c r="B218" i="23"/>
  <c r="J228" i="18"/>
  <c r="I228" i="18"/>
  <c r="W296" i="22"/>
  <c r="D296" i="22"/>
  <c r="E296" i="22" s="1"/>
  <c r="F296" i="22" s="1"/>
  <c r="B296" i="23"/>
  <c r="W348" i="22"/>
  <c r="D348" i="22"/>
  <c r="E348" i="22" s="1"/>
  <c r="F348" i="22" s="1"/>
  <c r="B348" i="23"/>
  <c r="W39" i="22"/>
  <c r="D39" i="22"/>
  <c r="E39" i="22" s="1"/>
  <c r="F39" i="22" s="1"/>
  <c r="B39" i="23"/>
  <c r="W107" i="22"/>
  <c r="D107" i="22"/>
  <c r="E107" i="22" s="1"/>
  <c r="F107" i="22" s="1"/>
  <c r="B107" i="23"/>
  <c r="W151" i="22"/>
  <c r="D151" i="22"/>
  <c r="E151" i="22" s="1"/>
  <c r="F151" i="22" s="1"/>
  <c r="B151" i="23"/>
  <c r="D193" i="22"/>
  <c r="E193" i="22" s="1"/>
  <c r="F193" i="22" s="1"/>
  <c r="W193" i="22"/>
  <c r="B193" i="23"/>
  <c r="G231" i="20"/>
  <c r="CB231" i="6" s="1"/>
  <c r="AA231" i="20"/>
  <c r="Z231" i="20" s="1"/>
  <c r="Y231" i="20" s="1"/>
  <c r="G269" i="20"/>
  <c r="CB269" i="6" s="1"/>
  <c r="AA269" i="20"/>
  <c r="Z269" i="20" s="1"/>
  <c r="Y269" i="20" s="1"/>
  <c r="G313" i="20"/>
  <c r="CB313" i="6" s="1"/>
  <c r="AA313" i="20"/>
  <c r="Z313" i="20" s="1"/>
  <c r="Y313" i="20" s="1"/>
  <c r="G359" i="20"/>
  <c r="CB359" i="6" s="1"/>
  <c r="AA359" i="20"/>
  <c r="Z359" i="20" s="1"/>
  <c r="Y359" i="20" s="1"/>
  <c r="J292" i="18"/>
  <c r="I292" i="18"/>
  <c r="BA292" i="6" s="1"/>
  <c r="D292" i="6" s="1"/>
  <c r="J113" i="18"/>
  <c r="I113" i="18"/>
  <c r="BA113" i="6" s="1"/>
  <c r="J117" i="18"/>
  <c r="I117" i="18"/>
  <c r="BA117" i="6" s="1"/>
  <c r="D117" i="6" s="1"/>
  <c r="I213" i="18"/>
  <c r="BA213" i="6" s="1"/>
  <c r="D213" i="6" s="1"/>
  <c r="J213" i="18"/>
  <c r="J225" i="18"/>
  <c r="I225" i="18"/>
  <c r="BA225" i="6" s="1"/>
  <c r="J315" i="18"/>
  <c r="I315" i="18"/>
  <c r="BA315" i="6" s="1"/>
  <c r="D315" i="6" s="1"/>
  <c r="J40" i="18"/>
  <c r="I40" i="18"/>
  <c r="BA40" i="6" s="1"/>
  <c r="D40" i="6" s="1"/>
  <c r="J54" i="18"/>
  <c r="I54" i="18"/>
  <c r="BA54" i="6" s="1"/>
  <c r="D54" i="6" s="1"/>
  <c r="I134" i="18"/>
  <c r="BA134" i="6" s="1"/>
  <c r="D134" i="6" s="1"/>
  <c r="J134" i="18"/>
  <c r="J200" i="18"/>
  <c r="I200" i="18"/>
  <c r="BA200" i="6" s="1"/>
  <c r="D200" i="6" s="1"/>
  <c r="J242" i="18"/>
  <c r="I242" i="18"/>
  <c r="BA242" i="6" s="1"/>
  <c r="D242" i="6" s="1"/>
  <c r="J205" i="18"/>
  <c r="I205" i="18"/>
  <c r="BA205" i="6" s="1"/>
  <c r="D205" i="6" s="1"/>
  <c r="I204" i="18"/>
  <c r="BA204" i="6" s="1"/>
  <c r="D204" i="6" s="1"/>
  <c r="J204" i="18"/>
  <c r="J207" i="18"/>
  <c r="I207" i="18"/>
  <c r="BA207" i="6" s="1"/>
  <c r="D207" i="6" s="1"/>
  <c r="J305" i="18"/>
  <c r="I305" i="18"/>
  <c r="BA305" i="6" s="1"/>
  <c r="D305" i="6" s="1"/>
  <c r="J306" i="18"/>
  <c r="I306" i="18"/>
  <c r="BA306" i="6" s="1"/>
  <c r="D306" i="6" s="1"/>
  <c r="J152" i="18"/>
  <c r="I152" i="18"/>
  <c r="BA152" i="6" s="1"/>
  <c r="D152" i="6" s="1"/>
  <c r="J52" i="18"/>
  <c r="I52" i="18"/>
  <c r="BA52" i="6" s="1"/>
  <c r="D52" i="6" s="1"/>
  <c r="J251" i="18"/>
  <c r="I251" i="18"/>
  <c r="BA251" i="6" s="1"/>
  <c r="D251" i="6" s="1"/>
  <c r="J100" i="18"/>
  <c r="I100" i="18"/>
  <c r="BA100" i="6" s="1"/>
  <c r="D100" i="6" s="1"/>
  <c r="J132" i="18"/>
  <c r="I132" i="18"/>
  <c r="BA132" i="6" s="1"/>
  <c r="D132" i="6" s="1"/>
  <c r="I245" i="18"/>
  <c r="J245" i="18"/>
  <c r="G20" i="20"/>
  <c r="CB20" i="6" s="1"/>
  <c r="AA20" i="20"/>
  <c r="Z20" i="20" s="1"/>
  <c r="Y20" i="20" s="1"/>
  <c r="W27" i="22"/>
  <c r="D27" i="22"/>
  <c r="E27" i="22" s="1"/>
  <c r="F27" i="22" s="1"/>
  <c r="B27" i="23"/>
  <c r="G27" i="20"/>
  <c r="CB27" i="6" s="1"/>
  <c r="AA27" i="20"/>
  <c r="Z27" i="20" s="1"/>
  <c r="Y27" i="20" s="1"/>
  <c r="G48" i="20"/>
  <c r="CB48" i="6" s="1"/>
  <c r="AA48" i="20"/>
  <c r="Z48" i="20" s="1"/>
  <c r="Y48" i="20" s="1"/>
  <c r="W124" i="22"/>
  <c r="D124" i="22"/>
  <c r="E124" i="22" s="1"/>
  <c r="F124" i="22" s="1"/>
  <c r="B124" i="23"/>
  <c r="G160" i="20"/>
  <c r="CB160" i="6" s="1"/>
  <c r="AA160" i="20"/>
  <c r="Z160" i="20" s="1"/>
  <c r="Y160" i="20" s="1"/>
  <c r="W184" i="22"/>
  <c r="D184" i="22"/>
  <c r="E184" i="22" s="1"/>
  <c r="F184" i="22" s="1"/>
  <c r="B184" i="23"/>
  <c r="G234" i="20"/>
  <c r="CB234" i="6" s="1"/>
  <c r="AA234" i="20"/>
  <c r="Z234" i="20" s="1"/>
  <c r="Y234" i="20" s="1"/>
  <c r="W256" i="22"/>
  <c r="D256" i="22"/>
  <c r="E256" i="22" s="1"/>
  <c r="F256" i="22" s="1"/>
  <c r="B256" i="23"/>
  <c r="G266" i="20"/>
  <c r="CB266" i="6" s="1"/>
  <c r="AA266" i="20"/>
  <c r="Z266" i="20" s="1"/>
  <c r="Y266" i="20" s="1"/>
  <c r="W292" i="22"/>
  <c r="D292" i="22"/>
  <c r="E292" i="22" s="1"/>
  <c r="F292" i="22" s="1"/>
  <c r="B292" i="23"/>
  <c r="G322" i="20"/>
  <c r="CB322" i="6" s="1"/>
  <c r="AA322" i="20"/>
  <c r="Z322" i="20" s="1"/>
  <c r="Y322" i="20" s="1"/>
  <c r="W330" i="22"/>
  <c r="D330" i="22"/>
  <c r="E330" i="22" s="1"/>
  <c r="F330" i="22" s="1"/>
  <c r="B330" i="23"/>
  <c r="G350" i="20"/>
  <c r="CB350" i="6" s="1"/>
  <c r="AA350" i="20"/>
  <c r="Z350" i="20" s="1"/>
  <c r="Y350" i="20" s="1"/>
  <c r="W364" i="22"/>
  <c r="D364" i="22"/>
  <c r="E364" i="22" s="1"/>
  <c r="F364" i="22" s="1"/>
  <c r="B364" i="23"/>
  <c r="G26" i="20"/>
  <c r="CB26" i="6" s="1"/>
  <c r="AA26" i="20"/>
  <c r="Z26" i="20" s="1"/>
  <c r="Y26" i="20" s="1"/>
  <c r="W41" i="22"/>
  <c r="D41" i="22"/>
  <c r="E41" i="22" s="1"/>
  <c r="F41" i="22" s="1"/>
  <c r="B41" i="23"/>
  <c r="G57" i="20"/>
  <c r="CB57" i="6" s="1"/>
  <c r="AA57" i="20"/>
  <c r="Z57" i="20" s="1"/>
  <c r="Y57" i="20" s="1"/>
  <c r="W91" i="22"/>
  <c r="D91" i="22"/>
  <c r="E91" i="22" s="1"/>
  <c r="F91" i="22" s="1"/>
  <c r="B91" i="23"/>
  <c r="G113" i="20"/>
  <c r="CB113" i="6" s="1"/>
  <c r="AA113" i="20"/>
  <c r="Z113" i="20" s="1"/>
  <c r="Y113" i="20" s="1"/>
  <c r="W117" i="22"/>
  <c r="D117" i="22"/>
  <c r="E117" i="22" s="1"/>
  <c r="F117" i="22" s="1"/>
  <c r="B117" i="23"/>
  <c r="G129" i="20"/>
  <c r="CB129" i="6" s="1"/>
  <c r="AA129" i="20"/>
  <c r="Z129" i="20" s="1"/>
  <c r="Y129" i="20" s="1"/>
  <c r="W165" i="22"/>
  <c r="D165" i="22"/>
  <c r="E165" i="22" s="1"/>
  <c r="F165" i="22" s="1"/>
  <c r="B165" i="23"/>
  <c r="G213" i="20"/>
  <c r="CB213" i="6" s="1"/>
  <c r="AA213" i="20"/>
  <c r="Z213" i="20" s="1"/>
  <c r="Y213" i="20" s="1"/>
  <c r="W225" i="22"/>
  <c r="D225" i="22"/>
  <c r="E225" i="22" s="1"/>
  <c r="F225" i="22" s="1"/>
  <c r="B225" i="23"/>
  <c r="G239" i="20"/>
  <c r="CB239" i="6" s="1"/>
  <c r="AA239" i="20"/>
  <c r="Z239" i="20" s="1"/>
  <c r="Y239" i="20" s="1"/>
  <c r="W279" i="22"/>
  <c r="D279" i="22"/>
  <c r="E279" i="22" s="1"/>
  <c r="F279" i="22" s="1"/>
  <c r="B279" i="23"/>
  <c r="G315" i="20"/>
  <c r="CB315" i="6" s="1"/>
  <c r="AA315" i="20"/>
  <c r="Z315" i="20" s="1"/>
  <c r="Y315" i="20" s="1"/>
  <c r="W343" i="22"/>
  <c r="D343" i="22"/>
  <c r="E343" i="22" s="1"/>
  <c r="F343" i="22" s="1"/>
  <c r="B343" i="23"/>
  <c r="G351" i="20"/>
  <c r="CB351" i="6" s="1"/>
  <c r="AA351" i="20"/>
  <c r="Z351" i="20" s="1"/>
  <c r="Y351" i="20" s="1"/>
  <c r="W377" i="22"/>
  <c r="D377" i="22"/>
  <c r="E377" i="22" s="1"/>
  <c r="F377" i="22" s="1"/>
  <c r="B377" i="23"/>
  <c r="G30" i="20"/>
  <c r="CB30" i="6" s="1"/>
  <c r="AA30" i="20"/>
  <c r="Z30" i="20" s="1"/>
  <c r="Y30" i="20" s="1"/>
  <c r="W40" i="22"/>
  <c r="D40" i="22"/>
  <c r="E40" i="22" s="1"/>
  <c r="F40" i="22" s="1"/>
  <c r="B40" i="23"/>
  <c r="G54" i="20"/>
  <c r="CB54" i="6" s="1"/>
  <c r="AA54" i="20"/>
  <c r="Z54" i="20" s="1"/>
  <c r="Y54" i="20" s="1"/>
  <c r="W68" i="22"/>
  <c r="D68" i="22"/>
  <c r="E68" i="22" s="1"/>
  <c r="F68" i="22" s="1"/>
  <c r="B68" i="23"/>
  <c r="W134" i="22"/>
  <c r="D134" i="22"/>
  <c r="E134" i="22" s="1"/>
  <c r="F134" i="22" s="1"/>
  <c r="B134" i="23"/>
  <c r="G158" i="20"/>
  <c r="CB158" i="6" s="1"/>
  <c r="AA158" i="20"/>
  <c r="Z158" i="20" s="1"/>
  <c r="Y158" i="20" s="1"/>
  <c r="W168" i="22"/>
  <c r="D168" i="22"/>
  <c r="E168" i="22" s="1"/>
  <c r="F168" i="22" s="1"/>
  <c r="B168" i="23"/>
  <c r="J190" i="18"/>
  <c r="I190" i="18"/>
  <c r="G200" i="20"/>
  <c r="CB200" i="6" s="1"/>
  <c r="AA200" i="20"/>
  <c r="Z200" i="20" s="1"/>
  <c r="Y200" i="20" s="1"/>
  <c r="W212" i="22"/>
  <c r="D212" i="22"/>
  <c r="E212" i="22" s="1"/>
  <c r="F212" i="22" s="1"/>
  <c r="B212" i="23"/>
  <c r="G224" i="20"/>
  <c r="CB224" i="6" s="1"/>
  <c r="AA224" i="20"/>
  <c r="Z224" i="20" s="1"/>
  <c r="Y224" i="20" s="1"/>
  <c r="W242" i="22"/>
  <c r="D242" i="22"/>
  <c r="E242" i="22" s="1"/>
  <c r="F242" i="22" s="1"/>
  <c r="B242" i="23"/>
  <c r="G286" i="20"/>
  <c r="CB286" i="6" s="1"/>
  <c r="AA286" i="20"/>
  <c r="Z286" i="20" s="1"/>
  <c r="Y286" i="20" s="1"/>
  <c r="W312" i="22"/>
  <c r="D312" i="22"/>
  <c r="E312" i="22" s="1"/>
  <c r="F312" i="22" s="1"/>
  <c r="B312" i="23"/>
  <c r="G338" i="20"/>
  <c r="CB338" i="6" s="1"/>
  <c r="AA338" i="20"/>
  <c r="Z338" i="20" s="1"/>
  <c r="Y338" i="20" s="1"/>
  <c r="W342" i="22"/>
  <c r="D342" i="22"/>
  <c r="E342" i="22" s="1"/>
  <c r="F342" i="22" s="1"/>
  <c r="B342" i="23"/>
  <c r="G358" i="20"/>
  <c r="CB358" i="6" s="1"/>
  <c r="AA358" i="20"/>
  <c r="Z358" i="20" s="1"/>
  <c r="Y358" i="20" s="1"/>
  <c r="W366" i="22"/>
  <c r="D366" i="22"/>
  <c r="E366" i="22" s="1"/>
  <c r="F366" i="22" s="1"/>
  <c r="B380" i="22"/>
  <c r="B366" i="23"/>
  <c r="G64" i="20"/>
  <c r="CB64" i="6" s="1"/>
  <c r="AA64" i="20"/>
  <c r="Z64" i="20" s="1"/>
  <c r="Y64" i="20" s="1"/>
  <c r="W222" i="22"/>
  <c r="D222" i="22"/>
  <c r="E222" i="22" s="1"/>
  <c r="F222" i="22" s="1"/>
  <c r="B222" i="23"/>
  <c r="G205" i="20"/>
  <c r="CB205" i="6" s="1"/>
  <c r="AA205" i="20"/>
  <c r="Z205" i="20" s="1"/>
  <c r="Y205" i="20" s="1"/>
  <c r="W204" i="22"/>
  <c r="D204" i="22"/>
  <c r="E204" i="22" s="1"/>
  <c r="F204" i="22" s="1"/>
  <c r="B204" i="23"/>
  <c r="G207" i="20"/>
  <c r="CB207" i="6" s="1"/>
  <c r="AA207" i="20"/>
  <c r="Z207" i="20" s="1"/>
  <c r="Y207" i="20" s="1"/>
  <c r="W252" i="22"/>
  <c r="D252" i="22"/>
  <c r="E252" i="22" s="1"/>
  <c r="F252" i="22" s="1"/>
  <c r="B252" i="23"/>
  <c r="G299" i="20"/>
  <c r="CB299" i="6" s="1"/>
  <c r="AA299" i="20"/>
  <c r="Z299" i="20" s="1"/>
  <c r="Y299" i="20" s="1"/>
  <c r="W305" i="22"/>
  <c r="D305" i="22"/>
  <c r="E305" i="22" s="1"/>
  <c r="F305" i="22" s="1"/>
  <c r="B305" i="23"/>
  <c r="G306" i="20"/>
  <c r="CB306" i="6" s="1"/>
  <c r="AA306" i="20"/>
  <c r="Z306" i="20" s="1"/>
  <c r="Y306" i="20" s="1"/>
  <c r="W152" i="22"/>
  <c r="D152" i="22"/>
  <c r="E152" i="22" s="1"/>
  <c r="F152" i="22" s="1"/>
  <c r="B152" i="23"/>
  <c r="G353" i="20"/>
  <c r="CB353" i="6" s="1"/>
  <c r="AA353" i="20"/>
  <c r="Z353" i="20" s="1"/>
  <c r="Y353" i="20" s="1"/>
  <c r="W52" i="22"/>
  <c r="D52" i="22"/>
  <c r="E52" i="22" s="1"/>
  <c r="F52" i="22" s="1"/>
  <c r="B52" i="23"/>
  <c r="G229" i="20"/>
  <c r="CB229" i="6" s="1"/>
  <c r="AA229" i="20"/>
  <c r="Z229" i="20" s="1"/>
  <c r="Y229" i="20" s="1"/>
  <c r="W103" i="22"/>
  <c r="D103" i="22"/>
  <c r="E103" i="22" s="1"/>
  <c r="F103" i="22" s="1"/>
  <c r="B103" i="23"/>
  <c r="G32" i="20"/>
  <c r="CB32" i="6" s="1"/>
  <c r="AA32" i="20"/>
  <c r="Z32" i="20" s="1"/>
  <c r="Y32" i="20" s="1"/>
  <c r="W235" i="22"/>
  <c r="D235" i="22"/>
  <c r="E235" i="22" s="1"/>
  <c r="F235" i="22" s="1"/>
  <c r="B235" i="23"/>
  <c r="G331" i="20"/>
  <c r="CB331" i="6" s="1"/>
  <c r="AA331" i="20"/>
  <c r="Z331" i="20" s="1"/>
  <c r="Y331" i="20" s="1"/>
  <c r="W251" i="22"/>
  <c r="D251" i="22"/>
  <c r="E251" i="22" s="1"/>
  <c r="F251" i="22" s="1"/>
  <c r="B251" i="23"/>
  <c r="G100" i="20"/>
  <c r="CB100" i="6" s="1"/>
  <c r="AA100" i="20"/>
  <c r="Z100" i="20" s="1"/>
  <c r="Y100" i="20" s="1"/>
  <c r="W153" i="22"/>
  <c r="D153" i="22"/>
  <c r="E153" i="22" s="1"/>
  <c r="F153" i="22" s="1"/>
  <c r="B153" i="23"/>
  <c r="G38" i="20"/>
  <c r="CB38" i="6" s="1"/>
  <c r="AA38" i="20"/>
  <c r="Z38" i="20" s="1"/>
  <c r="Y38" i="20" s="1"/>
  <c r="W132" i="22"/>
  <c r="D132" i="22"/>
  <c r="E132" i="22" s="1"/>
  <c r="F132" i="22" s="1"/>
  <c r="B132" i="23"/>
  <c r="G174" i="20"/>
  <c r="CB174" i="6" s="1"/>
  <c r="AA174" i="20"/>
  <c r="Z174" i="20" s="1"/>
  <c r="Y174" i="20" s="1"/>
  <c r="G119" i="22"/>
  <c r="CC119" i="6" s="1"/>
  <c r="AA119" i="22"/>
  <c r="Z119" i="22" s="1"/>
  <c r="Y119" i="22" s="1"/>
  <c r="G105" i="22"/>
  <c r="CC105" i="6" s="1"/>
  <c r="AA105" i="22"/>
  <c r="Z105" i="22" s="1"/>
  <c r="Y105" i="22" s="1"/>
  <c r="G208" i="22"/>
  <c r="CC208" i="6" s="1"/>
  <c r="AA208" i="22"/>
  <c r="Z208" i="22" s="1"/>
  <c r="Y208" i="22" s="1"/>
  <c r="G35" i="22"/>
  <c r="CC35" i="6" s="1"/>
  <c r="AA35" i="22"/>
  <c r="Z35" i="22" s="1"/>
  <c r="Y35" i="22" s="1"/>
  <c r="G227" i="22"/>
  <c r="CC227" i="6" s="1"/>
  <c r="AA227" i="22"/>
  <c r="Z227" i="22" s="1"/>
  <c r="Y227" i="22" s="1"/>
  <c r="G354" i="22"/>
  <c r="CC354" i="6" s="1"/>
  <c r="AA354" i="22"/>
  <c r="Z354" i="22" s="1"/>
  <c r="Y354" i="22" s="1"/>
  <c r="G216" i="22"/>
  <c r="CC216" i="6" s="1"/>
  <c r="AA216" i="22"/>
  <c r="Z216" i="22" s="1"/>
  <c r="Y216" i="22" s="1"/>
  <c r="G43" i="22"/>
  <c r="CC43" i="6" s="1"/>
  <c r="AA43" i="22"/>
  <c r="Z43" i="22" s="1"/>
  <c r="Y43" i="22" s="1"/>
  <c r="G95" i="22"/>
  <c r="CC95" i="6" s="1"/>
  <c r="AA95" i="22"/>
  <c r="Z95" i="22" s="1"/>
  <c r="Y95" i="22" s="1"/>
  <c r="G114" i="22"/>
  <c r="CC114" i="6" s="1"/>
  <c r="AA114" i="22"/>
  <c r="Z114" i="22" s="1"/>
  <c r="Y114" i="22" s="1"/>
  <c r="G302" i="23"/>
  <c r="CD302" i="6" s="1"/>
  <c r="AA302" i="23"/>
  <c r="Z302" i="23" s="1"/>
  <c r="Y302" i="23" s="1"/>
  <c r="G284" i="23"/>
  <c r="CD284" i="6" s="1"/>
  <c r="AA284" i="23"/>
  <c r="Z284" i="23" s="1"/>
  <c r="Y284" i="23" s="1"/>
  <c r="G19" i="23"/>
  <c r="CD19" i="6" s="1"/>
  <c r="AA19" i="23"/>
  <c r="Z19" i="23" s="1"/>
  <c r="Y19" i="23" s="1"/>
  <c r="G88" i="23"/>
  <c r="CD88" i="6" s="1"/>
  <c r="AA88" i="23"/>
  <c r="Z88" i="23" s="1"/>
  <c r="Y88" i="23" s="1"/>
  <c r="AA63" i="23"/>
  <c r="Z63" i="23" s="1"/>
  <c r="Y63" i="23" s="1"/>
  <c r="G63" i="23"/>
  <c r="CD63" i="6" s="1"/>
  <c r="G97" i="23"/>
  <c r="CD97" i="6" s="1"/>
  <c r="AA97" i="23"/>
  <c r="Z97" i="23" s="1"/>
  <c r="Y97" i="23" s="1"/>
  <c r="G155" i="23"/>
  <c r="CD155" i="6" s="1"/>
  <c r="AA155" i="23"/>
  <c r="Z155" i="23" s="1"/>
  <c r="Y155" i="23" s="1"/>
  <c r="G183" i="23"/>
  <c r="CD183" i="6" s="1"/>
  <c r="AA183" i="23"/>
  <c r="Z183" i="23" s="1"/>
  <c r="Y183" i="23" s="1"/>
  <c r="G247" i="23"/>
  <c r="CD247" i="6" s="1"/>
  <c r="AA247" i="23"/>
  <c r="Z247" i="23" s="1"/>
  <c r="Y247" i="23" s="1"/>
  <c r="G273" i="23"/>
  <c r="CD273" i="6" s="1"/>
  <c r="AA273" i="23"/>
  <c r="Z273" i="23" s="1"/>
  <c r="Y273" i="23" s="1"/>
  <c r="G361" i="23"/>
  <c r="CD361" i="6" s="1"/>
  <c r="AA361" i="23"/>
  <c r="Z361" i="23" s="1"/>
  <c r="Y361" i="23" s="1"/>
  <c r="G164" i="22"/>
  <c r="CC164" i="6" s="1"/>
  <c r="AA164" i="22"/>
  <c r="Z164" i="22" s="1"/>
  <c r="Y164" i="22" s="1"/>
  <c r="G300" i="22"/>
  <c r="CC300" i="6" s="1"/>
  <c r="AA300" i="22"/>
  <c r="Z300" i="22" s="1"/>
  <c r="Y300" i="22" s="1"/>
  <c r="G363" i="22"/>
  <c r="CC363" i="6" s="1"/>
  <c r="AA363" i="22"/>
  <c r="Z363" i="22" s="1"/>
  <c r="Y363" i="22" s="1"/>
  <c r="W333" i="23"/>
  <c r="D333" i="23"/>
  <c r="E333" i="23" s="1"/>
  <c r="F333" i="23" s="1"/>
  <c r="B333" i="24"/>
  <c r="W149" i="23"/>
  <c r="D149" i="23"/>
  <c r="E149" i="23" s="1"/>
  <c r="F149" i="23" s="1"/>
  <c r="B149" i="24"/>
  <c r="W316" i="23"/>
  <c r="D316" i="23"/>
  <c r="E316" i="23" s="1"/>
  <c r="F316" i="23" s="1"/>
  <c r="B316" i="24"/>
  <c r="W298" i="23"/>
  <c r="D298" i="23"/>
  <c r="E298" i="23" s="1"/>
  <c r="F298" i="23" s="1"/>
  <c r="B298" i="24"/>
  <c r="W46" i="24"/>
  <c r="D46" i="24"/>
  <c r="E46" i="24" s="1"/>
  <c r="F46" i="24" s="1"/>
  <c r="B46" i="25"/>
  <c r="W22" i="24"/>
  <c r="D22" i="24"/>
  <c r="E22" i="24" s="1"/>
  <c r="F22" i="24" s="1"/>
  <c r="B22" i="25"/>
  <c r="W248" i="24"/>
  <c r="D248" i="24"/>
  <c r="E248" i="24" s="1"/>
  <c r="F248" i="24" s="1"/>
  <c r="B248" i="25"/>
  <c r="W283" i="24"/>
  <c r="D283" i="24"/>
  <c r="E283" i="24" s="1"/>
  <c r="F283" i="24" s="1"/>
  <c r="B283" i="25"/>
  <c r="W346" i="24"/>
  <c r="D346" i="24"/>
  <c r="E346" i="24" s="1"/>
  <c r="F346" i="24" s="1"/>
  <c r="B346" i="25"/>
  <c r="D272" i="24"/>
  <c r="E272" i="24" s="1"/>
  <c r="F272" i="24" s="1"/>
  <c r="W272" i="24"/>
  <c r="B272" i="25"/>
  <c r="W368" i="23"/>
  <c r="D368" i="23"/>
  <c r="E368" i="23" s="1"/>
  <c r="F368" i="23" s="1"/>
  <c r="B368" i="24"/>
  <c r="W376" i="23"/>
  <c r="D376" i="23"/>
  <c r="E376" i="23" s="1"/>
  <c r="F376" i="23" s="1"/>
  <c r="B376" i="24"/>
  <c r="W347" i="23"/>
  <c r="D347" i="23"/>
  <c r="E347" i="23" s="1"/>
  <c r="F347" i="23" s="1"/>
  <c r="B347" i="24"/>
  <c r="W369" i="23"/>
  <c r="D369" i="23"/>
  <c r="E369" i="23" s="1"/>
  <c r="F369" i="23" s="1"/>
  <c r="B369" i="24"/>
  <c r="G253" i="22"/>
  <c r="CC253" i="6" s="1"/>
  <c r="AA253" i="22"/>
  <c r="Z253" i="22" s="1"/>
  <c r="Y253" i="22" s="1"/>
  <c r="G287" i="23"/>
  <c r="CD287" i="6" s="1"/>
  <c r="AA287" i="23"/>
  <c r="Z287" i="23" s="1"/>
  <c r="Y287" i="23" s="1"/>
  <c r="G55" i="23"/>
  <c r="CD55" i="6" s="1"/>
  <c r="AA55" i="23"/>
  <c r="Z55" i="23" s="1"/>
  <c r="Y55" i="23" s="1"/>
  <c r="G83" i="23"/>
  <c r="CD83" i="6" s="1"/>
  <c r="AA83" i="23"/>
  <c r="Z83" i="23" s="1"/>
  <c r="Y83" i="23" s="1"/>
  <c r="G101" i="23"/>
  <c r="CD101" i="6" s="1"/>
  <c r="AA101" i="23"/>
  <c r="Z101" i="23" s="1"/>
  <c r="Y101" i="23" s="1"/>
  <c r="G167" i="23"/>
  <c r="CD167" i="6" s="1"/>
  <c r="AA167" i="23"/>
  <c r="Z167" i="23" s="1"/>
  <c r="Y167" i="23" s="1"/>
  <c r="G197" i="23"/>
  <c r="CD197" i="6" s="1"/>
  <c r="AA197" i="23"/>
  <c r="Z197" i="23" s="1"/>
  <c r="Y197" i="23" s="1"/>
  <c r="G255" i="23"/>
  <c r="CD255" i="6" s="1"/>
  <c r="AA255" i="23"/>
  <c r="Z255" i="23" s="1"/>
  <c r="Y255" i="23" s="1"/>
  <c r="G271" i="22"/>
  <c r="CC271" i="6" s="1"/>
  <c r="AA271" i="22"/>
  <c r="Z271" i="22" s="1"/>
  <c r="Y271" i="22" s="1"/>
  <c r="G323" i="22"/>
  <c r="CC323" i="6" s="1"/>
  <c r="AA323" i="22"/>
  <c r="Z323" i="22" s="1"/>
  <c r="Y323" i="22" s="1"/>
  <c r="G120" i="22"/>
  <c r="CC120" i="6" s="1"/>
  <c r="AA120" i="22"/>
  <c r="Z120" i="22" s="1"/>
  <c r="Y120" i="22" s="1"/>
  <c r="G146" i="22"/>
  <c r="CC146" i="6" s="1"/>
  <c r="AA146" i="22"/>
  <c r="Z146" i="22" s="1"/>
  <c r="Y146" i="22" s="1"/>
  <c r="W53" i="23"/>
  <c r="D53" i="23"/>
  <c r="E53" i="23" s="1"/>
  <c r="F53" i="23" s="1"/>
  <c r="B53" i="24"/>
  <c r="W139" i="23"/>
  <c r="D139" i="23"/>
  <c r="E139" i="23" s="1"/>
  <c r="F139" i="23" s="1"/>
  <c r="B139" i="24"/>
  <c r="W169" i="23"/>
  <c r="B169" i="24"/>
  <c r="D169" i="23"/>
  <c r="E169" i="23" s="1"/>
  <c r="F169" i="23" s="1"/>
  <c r="W203" i="23"/>
  <c r="D203" i="23"/>
  <c r="E203" i="23" s="1"/>
  <c r="F203" i="23" s="1"/>
  <c r="B203" i="24"/>
  <c r="W245" i="23"/>
  <c r="B245" i="24"/>
  <c r="D245" i="23"/>
  <c r="E245" i="23" s="1"/>
  <c r="F245" i="23" s="1"/>
  <c r="J257" i="18"/>
  <c r="I257" i="18"/>
  <c r="BA257" i="6" s="1"/>
  <c r="D257" i="6" s="1"/>
  <c r="W277" i="23"/>
  <c r="B277" i="24"/>
  <c r="D277" i="23"/>
  <c r="E277" i="23" s="1"/>
  <c r="F277" i="23" s="1"/>
  <c r="W325" i="23"/>
  <c r="B325" i="24"/>
  <c r="D325" i="23"/>
  <c r="E325" i="23" s="1"/>
  <c r="F325" i="23" s="1"/>
  <c r="W373" i="23"/>
  <c r="B373" i="24"/>
  <c r="D373" i="23"/>
  <c r="E373" i="23" s="1"/>
  <c r="F373" i="23" s="1"/>
  <c r="H15" i="17"/>
  <c r="G15" i="17"/>
  <c r="BZ15" i="6" s="1"/>
  <c r="AA15" i="17"/>
  <c r="AL9" i="17" s="1"/>
  <c r="W196" i="22"/>
  <c r="D196" i="22"/>
  <c r="E196" i="22" s="1"/>
  <c r="F196" i="22" s="1"/>
  <c r="B196" i="23"/>
  <c r="J333" i="18"/>
  <c r="I333" i="18"/>
  <c r="J177" i="18"/>
  <c r="I177" i="18"/>
  <c r="J166" i="18"/>
  <c r="I166" i="18"/>
  <c r="I319" i="18"/>
  <c r="J319" i="18"/>
  <c r="J17" i="18"/>
  <c r="I17" i="18"/>
  <c r="J111" i="18"/>
  <c r="I111" i="18"/>
  <c r="I43" i="18"/>
  <c r="J43" i="18"/>
  <c r="J278" i="18"/>
  <c r="I278" i="18"/>
  <c r="J95" i="18"/>
  <c r="I95" i="18"/>
  <c r="I210" i="18"/>
  <c r="J210" i="18"/>
  <c r="J253" i="18"/>
  <c r="I253" i="18"/>
  <c r="G42" i="22"/>
  <c r="CC42" i="6" s="1"/>
  <c r="AA42" i="22"/>
  <c r="Z42" i="22" s="1"/>
  <c r="Y42" i="22" s="1"/>
  <c r="J42" i="18"/>
  <c r="I42" i="18"/>
  <c r="G56" i="22"/>
  <c r="CC56" i="6" s="1"/>
  <c r="AA56" i="22"/>
  <c r="Z56" i="22" s="1"/>
  <c r="Y56" i="22" s="1"/>
  <c r="J56" i="18"/>
  <c r="I56" i="18"/>
  <c r="G84" i="22"/>
  <c r="CC84" i="6" s="1"/>
  <c r="AA84" i="22"/>
  <c r="Z84" i="22" s="1"/>
  <c r="Y84" i="22" s="1"/>
  <c r="J84" i="18"/>
  <c r="I84" i="18"/>
  <c r="G104" i="22"/>
  <c r="CC104" i="6" s="1"/>
  <c r="AA104" i="22"/>
  <c r="Z104" i="22" s="1"/>
  <c r="Y104" i="22" s="1"/>
  <c r="I104" i="18"/>
  <c r="J104" i="18"/>
  <c r="G110" i="22"/>
  <c r="CC110" i="6" s="1"/>
  <c r="AA110" i="22"/>
  <c r="Z110" i="22" s="1"/>
  <c r="Y110" i="22" s="1"/>
  <c r="J110" i="18"/>
  <c r="I110" i="18"/>
  <c r="G128" i="22"/>
  <c r="CC128" i="6" s="1"/>
  <c r="AA128" i="22"/>
  <c r="Z128" i="22" s="1"/>
  <c r="Y128" i="22" s="1"/>
  <c r="J128" i="18"/>
  <c r="I128" i="18"/>
  <c r="G140" i="22"/>
  <c r="CC140" i="6" s="1"/>
  <c r="AA140" i="22"/>
  <c r="Z140" i="22" s="1"/>
  <c r="Y140" i="22" s="1"/>
  <c r="J140" i="18"/>
  <c r="I140" i="18"/>
  <c r="G176" i="22"/>
  <c r="CC176" i="6" s="1"/>
  <c r="AA176" i="22"/>
  <c r="Z176" i="22" s="1"/>
  <c r="Y176" i="22" s="1"/>
  <c r="J176" i="18"/>
  <c r="I176" i="18"/>
  <c r="G220" i="22"/>
  <c r="CC220" i="6" s="1"/>
  <c r="AA220" i="22"/>
  <c r="Z220" i="22" s="1"/>
  <c r="Y220" i="22" s="1"/>
  <c r="J220" i="18"/>
  <c r="I220" i="18"/>
  <c r="G246" i="22"/>
  <c r="CC246" i="6" s="1"/>
  <c r="AA246" i="22"/>
  <c r="Z246" i="22" s="1"/>
  <c r="Y246" i="22" s="1"/>
  <c r="G260" i="22"/>
  <c r="CC260" i="6" s="1"/>
  <c r="AA260" i="22"/>
  <c r="Z260" i="22" s="1"/>
  <c r="Y260" i="22" s="1"/>
  <c r="J260" i="18"/>
  <c r="I260" i="18"/>
  <c r="G270" i="22"/>
  <c r="CC270" i="6" s="1"/>
  <c r="AA270" i="22"/>
  <c r="Z270" i="22" s="1"/>
  <c r="Y270" i="22" s="1"/>
  <c r="I270" i="18"/>
  <c r="J270" i="18"/>
  <c r="G276" i="22"/>
  <c r="CC276" i="6" s="1"/>
  <c r="AA276" i="22"/>
  <c r="Z276" i="22" s="1"/>
  <c r="Y276" i="22" s="1"/>
  <c r="J276" i="18"/>
  <c r="I276" i="18"/>
  <c r="G308" i="22"/>
  <c r="CC308" i="6" s="1"/>
  <c r="AA308" i="22"/>
  <c r="Z308" i="22" s="1"/>
  <c r="Y308" i="22" s="1"/>
  <c r="J308" i="18"/>
  <c r="I308" i="18"/>
  <c r="G320" i="22"/>
  <c r="CC320" i="6" s="1"/>
  <c r="AA320" i="22"/>
  <c r="Z320" i="22" s="1"/>
  <c r="Y320" i="22" s="1"/>
  <c r="J320" i="18"/>
  <c r="I320" i="18"/>
  <c r="G336" i="22"/>
  <c r="CC336" i="6" s="1"/>
  <c r="AA336" i="22"/>
  <c r="Z336" i="22" s="1"/>
  <c r="Y336" i="22" s="1"/>
  <c r="J336" i="18"/>
  <c r="I336" i="18"/>
  <c r="G258" i="20"/>
  <c r="CB258" i="6" s="1"/>
  <c r="AA258" i="20"/>
  <c r="Z258" i="20" s="1"/>
  <c r="Y258" i="20" s="1"/>
  <c r="W23" i="22"/>
  <c r="D23" i="22"/>
  <c r="E23" i="22" s="1"/>
  <c r="F23" i="22" s="1"/>
  <c r="B23" i="23"/>
  <c r="G33" i="22"/>
  <c r="CC33" i="6" s="1"/>
  <c r="AA33" i="22"/>
  <c r="Z33" i="22" s="1"/>
  <c r="Y33" i="22" s="1"/>
  <c r="I33" i="18"/>
  <c r="J33" i="18"/>
  <c r="G47" i="22"/>
  <c r="CC47" i="6" s="1"/>
  <c r="AA47" i="22"/>
  <c r="Z47" i="22" s="1"/>
  <c r="Y47" i="22" s="1"/>
  <c r="G69" i="22"/>
  <c r="CC69" i="6" s="1"/>
  <c r="AA69" i="22"/>
  <c r="Z69" i="22" s="1"/>
  <c r="Y69" i="22" s="1"/>
  <c r="J69" i="18"/>
  <c r="I69" i="18"/>
  <c r="I79" i="18"/>
  <c r="J79" i="18"/>
  <c r="G93" i="22"/>
  <c r="CC93" i="6" s="1"/>
  <c r="AA93" i="22"/>
  <c r="Z93" i="22" s="1"/>
  <c r="Y93" i="22" s="1"/>
  <c r="I93" i="18"/>
  <c r="J93" i="18"/>
  <c r="G131" i="22"/>
  <c r="CC131" i="6" s="1"/>
  <c r="AA131" i="22"/>
  <c r="Z131" i="22" s="1"/>
  <c r="Y131" i="22" s="1"/>
  <c r="J131" i="18"/>
  <c r="I131" i="18"/>
  <c r="G147" i="22"/>
  <c r="CC147" i="6" s="1"/>
  <c r="AA147" i="22"/>
  <c r="Z147" i="22" s="1"/>
  <c r="Y147" i="22" s="1"/>
  <c r="J147" i="18"/>
  <c r="I147" i="18"/>
  <c r="G195" i="22"/>
  <c r="CC195" i="6" s="1"/>
  <c r="AA195" i="22"/>
  <c r="Z195" i="22" s="1"/>
  <c r="Y195" i="22" s="1"/>
  <c r="I195" i="18"/>
  <c r="J195" i="18"/>
  <c r="G209" i="22"/>
  <c r="CC209" i="6" s="1"/>
  <c r="AA209" i="22"/>
  <c r="Z209" i="22" s="1"/>
  <c r="Y209" i="22" s="1"/>
  <c r="J209" i="18"/>
  <c r="I209" i="18"/>
  <c r="G221" i="22"/>
  <c r="CC221" i="6" s="1"/>
  <c r="AA221" i="22"/>
  <c r="Z221" i="22" s="1"/>
  <c r="Y221" i="22" s="1"/>
  <c r="J221" i="18"/>
  <c r="I221" i="18"/>
  <c r="G259" i="20"/>
  <c r="CB259" i="6" s="1"/>
  <c r="AA259" i="20"/>
  <c r="Z259" i="20" s="1"/>
  <c r="Y259" i="20" s="1"/>
  <c r="D285" i="22"/>
  <c r="E285" i="22" s="1"/>
  <c r="F285" i="22" s="1"/>
  <c r="W285" i="22"/>
  <c r="B285" i="23"/>
  <c r="G293" i="20"/>
  <c r="CB293" i="6" s="1"/>
  <c r="AA293" i="20"/>
  <c r="Z293" i="20" s="1"/>
  <c r="Y293" i="20" s="1"/>
  <c r="W327" i="22"/>
  <c r="D327" i="22"/>
  <c r="E327" i="22" s="1"/>
  <c r="F327" i="22" s="1"/>
  <c r="B327" i="23"/>
  <c r="G341" i="20"/>
  <c r="CB341" i="6" s="1"/>
  <c r="AA341" i="20"/>
  <c r="Z341" i="20" s="1"/>
  <c r="Y341" i="20" s="1"/>
  <c r="D34" i="22"/>
  <c r="E34" i="22" s="1"/>
  <c r="F34" i="22" s="1"/>
  <c r="W34" i="22"/>
  <c r="B34" i="23"/>
  <c r="G86" i="20"/>
  <c r="CB86" i="6" s="1"/>
  <c r="AA86" i="20"/>
  <c r="Z86" i="20" s="1"/>
  <c r="Y86" i="20" s="1"/>
  <c r="W96" i="22"/>
  <c r="D96" i="22"/>
  <c r="E96" i="22" s="1"/>
  <c r="F96" i="22" s="1"/>
  <c r="B96" i="23"/>
  <c r="W126" i="22"/>
  <c r="D126" i="22"/>
  <c r="E126" i="22" s="1"/>
  <c r="F126" i="22" s="1"/>
  <c r="B126" i="23"/>
  <c r="W188" i="22"/>
  <c r="D188" i="22"/>
  <c r="E188" i="22" s="1"/>
  <c r="F188" i="22" s="1"/>
  <c r="B188" i="23"/>
  <c r="W250" i="22"/>
  <c r="D250" i="22"/>
  <c r="E250" i="22" s="1"/>
  <c r="F250" i="22" s="1"/>
  <c r="B250" i="23"/>
  <c r="I294" i="18"/>
  <c r="J294" i="18"/>
  <c r="W326" i="22"/>
  <c r="D326" i="22"/>
  <c r="E326" i="22" s="1"/>
  <c r="F326" i="22" s="1"/>
  <c r="B326" i="23"/>
  <c r="W372" i="23"/>
  <c r="B372" i="24"/>
  <c r="D372" i="23"/>
  <c r="E372" i="23" s="1"/>
  <c r="F372" i="23" s="1"/>
  <c r="W65" i="23"/>
  <c r="B65" i="24"/>
  <c r="D65" i="23"/>
  <c r="E65" i="23" s="1"/>
  <c r="F65" i="23" s="1"/>
  <c r="I107" i="18"/>
  <c r="BA107" i="6" s="1"/>
  <c r="D107" i="6" s="1"/>
  <c r="J107" i="18"/>
  <c r="W143" i="23"/>
  <c r="D143" i="23"/>
  <c r="E143" i="23" s="1"/>
  <c r="F143" i="23" s="1"/>
  <c r="B143" i="24"/>
  <c r="W191" i="23"/>
  <c r="D191" i="23"/>
  <c r="E191" i="23" s="1"/>
  <c r="F191" i="23" s="1"/>
  <c r="B191" i="24"/>
  <c r="G191" i="22"/>
  <c r="CC191" i="6" s="1"/>
  <c r="AA191" i="22"/>
  <c r="Z191" i="22" s="1"/>
  <c r="Y191" i="22" s="1"/>
  <c r="G223" i="22"/>
  <c r="CC223" i="6" s="1"/>
  <c r="AA223" i="22"/>
  <c r="Z223" i="22" s="1"/>
  <c r="Y223" i="22" s="1"/>
  <c r="J231" i="18"/>
  <c r="I231" i="18"/>
  <c r="BA231" i="6" s="1"/>
  <c r="D231" i="6" s="1"/>
  <c r="G267" i="22"/>
  <c r="CC267" i="6" s="1"/>
  <c r="AA267" i="22"/>
  <c r="Z267" i="22" s="1"/>
  <c r="Y267" i="22" s="1"/>
  <c r="I269" i="18"/>
  <c r="BA269" i="6" s="1"/>
  <c r="D269" i="6" s="1"/>
  <c r="J269" i="18"/>
  <c r="G307" i="22"/>
  <c r="CC307" i="6" s="1"/>
  <c r="AA307" i="22"/>
  <c r="Z307" i="22" s="1"/>
  <c r="Y307" i="22" s="1"/>
  <c r="I313" i="18"/>
  <c r="BA313" i="6" s="1"/>
  <c r="D313" i="6" s="1"/>
  <c r="J313" i="18"/>
  <c r="G357" i="22"/>
  <c r="CC357" i="6" s="1"/>
  <c r="AA357" i="22"/>
  <c r="Z357" i="22" s="1"/>
  <c r="Y357" i="22" s="1"/>
  <c r="W288" i="23"/>
  <c r="B288" i="24"/>
  <c r="D288" i="23"/>
  <c r="E288" i="23" s="1"/>
  <c r="F288" i="23" s="1"/>
  <c r="W18" i="23"/>
  <c r="B18" i="24"/>
  <c r="D18" i="23"/>
  <c r="E18" i="23" s="1"/>
  <c r="F18" i="23" s="1"/>
  <c r="W28" i="23"/>
  <c r="B28" i="24"/>
  <c r="D28" i="23"/>
  <c r="E28" i="23" s="1"/>
  <c r="F28" i="23" s="1"/>
  <c r="J28" i="18"/>
  <c r="I28" i="18"/>
  <c r="W122" i="23"/>
  <c r="B122" i="24"/>
  <c r="D122" i="23"/>
  <c r="E122" i="23" s="1"/>
  <c r="F122" i="23" s="1"/>
  <c r="J122" i="18"/>
  <c r="I122" i="18"/>
  <c r="W138" i="23"/>
  <c r="D138" i="23"/>
  <c r="E138" i="23" s="1"/>
  <c r="F138" i="23" s="1"/>
  <c r="B138" i="24"/>
  <c r="J138" i="18"/>
  <c r="I138" i="18"/>
  <c r="W172" i="23"/>
  <c r="D172" i="23"/>
  <c r="E172" i="23" s="1"/>
  <c r="F172" i="23" s="1"/>
  <c r="B172" i="24"/>
  <c r="J172" i="18"/>
  <c r="I172" i="18"/>
  <c r="W202" i="23"/>
  <c r="D202" i="23"/>
  <c r="E202" i="23" s="1"/>
  <c r="F202" i="23" s="1"/>
  <c r="B202" i="24"/>
  <c r="W238" i="23"/>
  <c r="D238" i="23"/>
  <c r="E238" i="23" s="1"/>
  <c r="F238" i="23" s="1"/>
  <c r="B238" i="24"/>
  <c r="W262" i="23"/>
  <c r="D262" i="23"/>
  <c r="E262" i="23" s="1"/>
  <c r="F262" i="23" s="1"/>
  <c r="B262" i="24"/>
  <c r="G262" i="22"/>
  <c r="CC262" i="6" s="1"/>
  <c r="AA262" i="22"/>
  <c r="Z262" i="22" s="1"/>
  <c r="Y262" i="22" s="1"/>
  <c r="J262" i="18"/>
  <c r="I262" i="18"/>
  <c r="W280" i="23"/>
  <c r="D280" i="23"/>
  <c r="E280" i="23" s="1"/>
  <c r="F280" i="23" s="1"/>
  <c r="B280" i="24"/>
  <c r="W304" i="23"/>
  <c r="D304" i="23"/>
  <c r="E304" i="23" s="1"/>
  <c r="F304" i="23" s="1"/>
  <c r="B304" i="24"/>
  <c r="W324" i="23"/>
  <c r="D324" i="23"/>
  <c r="E324" i="23" s="1"/>
  <c r="F324" i="23" s="1"/>
  <c r="B324" i="24"/>
  <c r="W344" i="23"/>
  <c r="D344" i="23"/>
  <c r="E344" i="23" s="1"/>
  <c r="F344" i="23" s="1"/>
  <c r="B344" i="24"/>
  <c r="W360" i="23"/>
  <c r="B360" i="24"/>
  <c r="D360" i="23"/>
  <c r="E360" i="23" s="1"/>
  <c r="F360" i="23" s="1"/>
  <c r="W370" i="23"/>
  <c r="D370" i="23"/>
  <c r="E370" i="23" s="1"/>
  <c r="F370" i="23" s="1"/>
  <c r="B370" i="24"/>
  <c r="W25" i="23"/>
  <c r="D25" i="23"/>
  <c r="E25" i="23" s="1"/>
  <c r="F25" i="23" s="1"/>
  <c r="B25" i="24"/>
  <c r="I25" i="18"/>
  <c r="J25" i="18"/>
  <c r="W51" i="23"/>
  <c r="B51" i="24"/>
  <c r="D51" i="23"/>
  <c r="E51" i="23" s="1"/>
  <c r="F51" i="23" s="1"/>
  <c r="W85" i="23"/>
  <c r="D85" i="23"/>
  <c r="E85" i="23" s="1"/>
  <c r="F85" i="23" s="1"/>
  <c r="B85" i="24"/>
  <c r="W109" i="23"/>
  <c r="B109" i="24"/>
  <c r="D109" i="23"/>
  <c r="E109" i="23" s="1"/>
  <c r="F109" i="23" s="1"/>
  <c r="W115" i="23"/>
  <c r="B115" i="24"/>
  <c r="D115" i="23"/>
  <c r="E115" i="23" s="1"/>
  <c r="F115" i="23" s="1"/>
  <c r="W121" i="23"/>
  <c r="B121" i="24"/>
  <c r="D121" i="23"/>
  <c r="E121" i="23" s="1"/>
  <c r="F121" i="23" s="1"/>
  <c r="W133" i="23"/>
  <c r="B133" i="24"/>
  <c r="D133" i="23"/>
  <c r="E133" i="23" s="1"/>
  <c r="F133" i="23" s="1"/>
  <c r="W199" i="23"/>
  <c r="B199" i="24"/>
  <c r="D199" i="23"/>
  <c r="E199" i="23" s="1"/>
  <c r="F199" i="23" s="1"/>
  <c r="W217" i="23"/>
  <c r="B217" i="24"/>
  <c r="D217" i="23"/>
  <c r="E217" i="23" s="1"/>
  <c r="F217" i="23" s="1"/>
  <c r="J217" i="18"/>
  <c r="I217" i="18"/>
  <c r="W237" i="23"/>
  <c r="D237" i="23"/>
  <c r="E237" i="23" s="1"/>
  <c r="F237" i="23" s="1"/>
  <c r="B237" i="24"/>
  <c r="J237" i="18"/>
  <c r="I237" i="18"/>
  <c r="W243" i="23"/>
  <c r="D243" i="23"/>
  <c r="E243" i="23" s="1"/>
  <c r="F243" i="23" s="1"/>
  <c r="B243" i="24"/>
  <c r="W297" i="23"/>
  <c r="D297" i="23"/>
  <c r="E297" i="23" s="1"/>
  <c r="F297" i="23" s="1"/>
  <c r="B297" i="24"/>
  <c r="W329" i="23"/>
  <c r="B329" i="24"/>
  <c r="D329" i="23"/>
  <c r="E329" i="23" s="1"/>
  <c r="F329" i="23" s="1"/>
  <c r="J329" i="18"/>
  <c r="I329" i="18"/>
  <c r="W345" i="23"/>
  <c r="B345" i="24"/>
  <c r="D345" i="23"/>
  <c r="E345" i="23" s="1"/>
  <c r="F345" i="23" s="1"/>
  <c r="W355" i="23"/>
  <c r="D355" i="23"/>
  <c r="E355" i="23" s="1"/>
  <c r="F355" i="23" s="1"/>
  <c r="B355" i="24"/>
  <c r="W24" i="23"/>
  <c r="B24" i="24"/>
  <c r="D24" i="23"/>
  <c r="E24" i="23" s="1"/>
  <c r="F24" i="23" s="1"/>
  <c r="J24" i="18"/>
  <c r="I24" i="18"/>
  <c r="W36" i="23"/>
  <c r="D36" i="23"/>
  <c r="E36" i="23" s="1"/>
  <c r="F36" i="23" s="1"/>
  <c r="B36" i="24"/>
  <c r="W44" i="23"/>
  <c r="D44" i="23"/>
  <c r="E44" i="23" s="1"/>
  <c r="F44" i="23" s="1"/>
  <c r="B44" i="24"/>
  <c r="W58" i="23"/>
  <c r="B58" i="24"/>
  <c r="D58" i="23"/>
  <c r="E58" i="23" s="1"/>
  <c r="F58" i="23" s="1"/>
  <c r="W72" i="23"/>
  <c r="B72" i="24"/>
  <c r="D72" i="23"/>
  <c r="E72" i="23" s="1"/>
  <c r="F72" i="23" s="1"/>
  <c r="W102" i="23"/>
  <c r="B102" i="24"/>
  <c r="D102" i="23"/>
  <c r="E102" i="23" s="1"/>
  <c r="F102" i="23" s="1"/>
  <c r="W156" i="23"/>
  <c r="D156" i="23"/>
  <c r="E156" i="23" s="1"/>
  <c r="F156" i="23" s="1"/>
  <c r="B156" i="24"/>
  <c r="W162" i="23"/>
  <c r="B162" i="24"/>
  <c r="D162" i="23"/>
  <c r="E162" i="23" s="1"/>
  <c r="F162" i="23" s="1"/>
  <c r="W186" i="22"/>
  <c r="D186" i="22"/>
  <c r="E186" i="22" s="1"/>
  <c r="F186" i="22" s="1"/>
  <c r="B186" i="23"/>
  <c r="AA198" i="22"/>
  <c r="Z198" i="22" s="1"/>
  <c r="Y198" i="22" s="1"/>
  <c r="G198" i="22"/>
  <c r="CC198" i="6" s="1"/>
  <c r="J198" i="18"/>
  <c r="I198" i="18"/>
  <c r="G206" i="22"/>
  <c r="CC206" i="6" s="1"/>
  <c r="AA206" i="22"/>
  <c r="Z206" i="22" s="1"/>
  <c r="Y206" i="22" s="1"/>
  <c r="I206" i="18"/>
  <c r="J206" i="18"/>
  <c r="G214" i="22"/>
  <c r="CC214" i="6" s="1"/>
  <c r="AA214" i="22"/>
  <c r="Z214" i="22" s="1"/>
  <c r="Y214" i="22" s="1"/>
  <c r="J214" i="18"/>
  <c r="I214" i="18"/>
  <c r="G240" i="22"/>
  <c r="CC240" i="6" s="1"/>
  <c r="AA240" i="22"/>
  <c r="Z240" i="22" s="1"/>
  <c r="Y240" i="22" s="1"/>
  <c r="G264" i="22"/>
  <c r="CC264" i="6" s="1"/>
  <c r="AA264" i="22"/>
  <c r="Z264" i="22" s="1"/>
  <c r="Y264" i="22" s="1"/>
  <c r="J264" i="18"/>
  <c r="I264" i="18"/>
  <c r="G290" i="22"/>
  <c r="CC290" i="6" s="1"/>
  <c r="AA290" i="22"/>
  <c r="Z290" i="22" s="1"/>
  <c r="Y290" i="22" s="1"/>
  <c r="J290" i="18"/>
  <c r="I290" i="18"/>
  <c r="G314" i="22"/>
  <c r="CC314" i="6" s="1"/>
  <c r="AA314" i="22"/>
  <c r="Z314" i="22" s="1"/>
  <c r="Y314" i="22" s="1"/>
  <c r="J314" i="18"/>
  <c r="I314" i="18"/>
  <c r="G340" i="22"/>
  <c r="CC340" i="6" s="1"/>
  <c r="AA340" i="22"/>
  <c r="Z340" i="22" s="1"/>
  <c r="Y340" i="22" s="1"/>
  <c r="J340" i="18"/>
  <c r="I340" i="18"/>
  <c r="G356" i="22"/>
  <c r="CC356" i="6" s="1"/>
  <c r="AA356" i="22"/>
  <c r="Z356" i="22" s="1"/>
  <c r="Y356" i="22" s="1"/>
  <c r="G137" i="22"/>
  <c r="CC137" i="6" s="1"/>
  <c r="AA137" i="22"/>
  <c r="Z137" i="22" s="1"/>
  <c r="Y137" i="22" s="1"/>
  <c r="J137" i="18"/>
  <c r="I137" i="18"/>
  <c r="G78" i="22"/>
  <c r="CC78" i="6" s="1"/>
  <c r="AA78" i="22"/>
  <c r="Z78" i="22" s="1"/>
  <c r="Y78" i="22" s="1"/>
  <c r="J78" i="18"/>
  <c r="I78" i="18"/>
  <c r="G90" i="22"/>
  <c r="CC90" i="6" s="1"/>
  <c r="AA90" i="22"/>
  <c r="Z90" i="22" s="1"/>
  <c r="Y90" i="22" s="1"/>
  <c r="J90" i="18"/>
  <c r="I90" i="18"/>
  <c r="G289" i="22"/>
  <c r="CC289" i="6" s="1"/>
  <c r="AA289" i="22"/>
  <c r="Z289" i="22" s="1"/>
  <c r="Y289" i="22" s="1"/>
  <c r="J289" i="18"/>
  <c r="I289" i="18"/>
  <c r="G378" i="22"/>
  <c r="CC378" i="6" s="1"/>
  <c r="AA378" i="22"/>
  <c r="Z378" i="22" s="1"/>
  <c r="Y378" i="22" s="1"/>
  <c r="G182" i="22"/>
  <c r="CC182" i="6" s="1"/>
  <c r="AA182" i="22"/>
  <c r="Z182" i="22" s="1"/>
  <c r="Y182" i="22" s="1"/>
  <c r="J182" i="18"/>
  <c r="I182" i="18"/>
  <c r="G310" i="22"/>
  <c r="CC310" i="6" s="1"/>
  <c r="AA310" i="22"/>
  <c r="Z310" i="22" s="1"/>
  <c r="Y310" i="22" s="1"/>
  <c r="G236" i="22"/>
  <c r="CC236" i="6" s="1"/>
  <c r="AA236" i="22"/>
  <c r="Z236" i="22" s="1"/>
  <c r="Y236" i="22" s="1"/>
  <c r="J236" i="18"/>
  <c r="I236" i="18"/>
  <c r="G311" i="22"/>
  <c r="CC311" i="6" s="1"/>
  <c r="AA311" i="22"/>
  <c r="Z311" i="22" s="1"/>
  <c r="Y311" i="22" s="1"/>
  <c r="J311" i="18"/>
  <c r="I311" i="18"/>
  <c r="G98" i="22"/>
  <c r="CC98" i="6" s="1"/>
  <c r="AA98" i="22"/>
  <c r="Z98" i="22" s="1"/>
  <c r="Y98" i="22" s="1"/>
  <c r="J98" i="18"/>
  <c r="I98" i="18"/>
  <c r="G163" i="22"/>
  <c r="CC163" i="6" s="1"/>
  <c r="AA163" i="22"/>
  <c r="Z163" i="22" s="1"/>
  <c r="Y163" i="22" s="1"/>
  <c r="J163" i="18"/>
  <c r="I163" i="18"/>
  <c r="G157" i="22"/>
  <c r="CC157" i="6" s="1"/>
  <c r="AA157" i="22"/>
  <c r="Z157" i="22" s="1"/>
  <c r="Y157" i="22" s="1"/>
  <c r="J157" i="18"/>
  <c r="I157" i="18"/>
  <c r="G321" i="22"/>
  <c r="CC321" i="6" s="1"/>
  <c r="AA321" i="22"/>
  <c r="Z321" i="22" s="1"/>
  <c r="Y321" i="22" s="1"/>
  <c r="J321" i="18"/>
  <c r="I321" i="18"/>
  <c r="G125" i="22"/>
  <c r="CC125" i="6" s="1"/>
  <c r="AA125" i="22"/>
  <c r="Z125" i="22" s="1"/>
  <c r="Y125" i="22" s="1"/>
  <c r="G332" i="22"/>
  <c r="CC332" i="6" s="1"/>
  <c r="AA332" i="22"/>
  <c r="Z332" i="22" s="1"/>
  <c r="Y332" i="22" s="1"/>
  <c r="J332" i="18"/>
  <c r="I332" i="18"/>
  <c r="G309" i="22"/>
  <c r="CC309" i="6" s="1"/>
  <c r="AA309" i="22"/>
  <c r="Z309" i="22" s="1"/>
  <c r="Y309" i="22" s="1"/>
  <c r="I309" i="18"/>
  <c r="J309" i="18"/>
  <c r="G73" i="22"/>
  <c r="CC73" i="6" s="1"/>
  <c r="AA73" i="22"/>
  <c r="Z73" i="22" s="1"/>
  <c r="Y73" i="22" s="1"/>
  <c r="J73" i="18"/>
  <c r="I73" i="18"/>
  <c r="G62" i="22"/>
  <c r="CC62" i="6" s="1"/>
  <c r="AA62" i="22"/>
  <c r="Z62" i="22" s="1"/>
  <c r="Y62" i="22" s="1"/>
  <c r="J62" i="18"/>
  <c r="I62" i="18"/>
  <c r="G81" i="22"/>
  <c r="CC81" i="6" s="1"/>
  <c r="AA81" i="22"/>
  <c r="Z81" i="22" s="1"/>
  <c r="Y81" i="22" s="1"/>
  <c r="I81" i="18"/>
  <c r="J81" i="18"/>
  <c r="G295" i="22"/>
  <c r="CC295" i="6" s="1"/>
  <c r="AA295" i="22"/>
  <c r="Z295" i="22" s="1"/>
  <c r="Y295" i="22" s="1"/>
  <c r="J295" i="18"/>
  <c r="I295" i="18"/>
  <c r="G76" i="22"/>
  <c r="CC76" i="6" s="1"/>
  <c r="AA76" i="22"/>
  <c r="Z76" i="22" s="1"/>
  <c r="Y76" i="22" s="1"/>
  <c r="J76" i="18"/>
  <c r="I76" i="18"/>
  <c r="G232" i="22"/>
  <c r="CC232" i="6" s="1"/>
  <c r="AA232" i="22"/>
  <c r="Z232" i="22" s="1"/>
  <c r="Y232" i="22" s="1"/>
  <c r="I232" i="18"/>
  <c r="J232" i="18"/>
  <c r="D29" i="24"/>
  <c r="E29" i="24" s="1"/>
  <c r="F29" i="24" s="1"/>
  <c r="W29" i="24"/>
  <c r="B29" i="25"/>
  <c r="W150" i="24"/>
  <c r="D150" i="24"/>
  <c r="E150" i="24" s="1"/>
  <c r="F150" i="24" s="1"/>
  <c r="B150" i="25"/>
  <c r="W226" i="24"/>
  <c r="D226" i="24"/>
  <c r="E226" i="24" s="1"/>
  <c r="F226" i="24" s="1"/>
  <c r="B226" i="25"/>
  <c r="D67" i="24"/>
  <c r="E67" i="24" s="1"/>
  <c r="F67" i="24" s="1"/>
  <c r="W67" i="24"/>
  <c r="B67" i="25"/>
  <c r="W349" i="24"/>
  <c r="D349" i="24"/>
  <c r="E349" i="24" s="1"/>
  <c r="F349" i="24" s="1"/>
  <c r="B349" i="25"/>
  <c r="W74" i="24"/>
  <c r="D74" i="24"/>
  <c r="E74" i="24" s="1"/>
  <c r="F74" i="24" s="1"/>
  <c r="B74" i="25"/>
  <c r="W261" i="24"/>
  <c r="D261" i="24"/>
  <c r="E261" i="24" s="1"/>
  <c r="F261" i="24" s="1"/>
  <c r="B261" i="25"/>
  <c r="W75" i="24"/>
  <c r="D75" i="24"/>
  <c r="E75" i="24" s="1"/>
  <c r="F75" i="24" s="1"/>
  <c r="B75" i="25"/>
  <c r="W171" i="24"/>
  <c r="D171" i="24"/>
  <c r="E171" i="24" s="1"/>
  <c r="F171" i="24" s="1"/>
  <c r="B171" i="25"/>
  <c r="W194" i="24"/>
  <c r="D194" i="24"/>
  <c r="E194" i="24" s="1"/>
  <c r="F194" i="24" s="1"/>
  <c r="B194" i="25"/>
  <c r="D154" i="24"/>
  <c r="E154" i="24" s="1"/>
  <c r="F154" i="24" s="1"/>
  <c r="W154" i="24"/>
  <c r="B154" i="25"/>
  <c r="W189" i="24"/>
  <c r="D189" i="24"/>
  <c r="E189" i="24" s="1"/>
  <c r="F189" i="24" s="1"/>
  <c r="B189" i="25"/>
  <c r="W210" i="23"/>
  <c r="D210" i="23"/>
  <c r="E210" i="23" s="1"/>
  <c r="F210" i="23" s="1"/>
  <c r="B210" i="24"/>
  <c r="W244" i="23"/>
  <c r="D244" i="23"/>
  <c r="E244" i="23" s="1"/>
  <c r="F244" i="23" s="1"/>
  <c r="B244" i="24"/>
  <c r="W130" i="23"/>
  <c r="D130" i="23"/>
  <c r="E130" i="23" s="1"/>
  <c r="F130" i="23" s="1"/>
  <c r="B130" i="24"/>
  <c r="W37" i="23"/>
  <c r="D37" i="23"/>
  <c r="E37" i="23" s="1"/>
  <c r="F37" i="23" s="1"/>
  <c r="B37" i="24"/>
  <c r="W77" i="23"/>
  <c r="D77" i="23"/>
  <c r="E77" i="23" s="1"/>
  <c r="F77" i="23" s="1"/>
  <c r="B77" i="24"/>
  <c r="W99" i="23"/>
  <c r="D99" i="23"/>
  <c r="E99" i="23" s="1"/>
  <c r="F99" i="23" s="1"/>
  <c r="B99" i="24"/>
  <c r="W159" i="23"/>
  <c r="D159" i="23"/>
  <c r="E159" i="23" s="1"/>
  <c r="F159" i="23" s="1"/>
  <c r="B159" i="24"/>
  <c r="W185" i="23"/>
  <c r="D185" i="23"/>
  <c r="E185" i="23" s="1"/>
  <c r="F185" i="23" s="1"/>
  <c r="B185" i="24"/>
  <c r="W249" i="23"/>
  <c r="D249" i="23"/>
  <c r="E249" i="23" s="1"/>
  <c r="F249" i="23" s="1"/>
  <c r="B249" i="24"/>
  <c r="W281" i="23"/>
  <c r="D281" i="23"/>
  <c r="E281" i="23" s="1"/>
  <c r="F281" i="23" s="1"/>
  <c r="B281" i="24"/>
  <c r="W148" i="24"/>
  <c r="D148" i="24"/>
  <c r="E148" i="24" s="1"/>
  <c r="F148" i="24" s="1"/>
  <c r="B148" i="25"/>
  <c r="W192" i="23"/>
  <c r="D192" i="23"/>
  <c r="E192" i="23" s="1"/>
  <c r="F192" i="23" s="1"/>
  <c r="B192" i="24"/>
  <c r="W294" i="23"/>
  <c r="D294" i="23"/>
  <c r="E294" i="23" s="1"/>
  <c r="F294" i="23" s="1"/>
  <c r="B294" i="24"/>
  <c r="W334" i="23"/>
  <c r="D334" i="23"/>
  <c r="E334" i="23" s="1"/>
  <c r="F334" i="23" s="1"/>
  <c r="B334" i="24"/>
  <c r="AA180" i="23"/>
  <c r="Z180" i="23" s="1"/>
  <c r="Y180" i="23" s="1"/>
  <c r="G180" i="23"/>
  <c r="CD180" i="6" s="1"/>
  <c r="G60" i="23"/>
  <c r="CD60" i="6" s="1"/>
  <c r="AA60" i="23"/>
  <c r="Z60" i="23" s="1"/>
  <c r="Y60" i="23" s="1"/>
  <c r="G365" i="23"/>
  <c r="CD365" i="6" s="1"/>
  <c r="AA365" i="23"/>
  <c r="Z365" i="23" s="1"/>
  <c r="Y365" i="23" s="1"/>
  <c r="G187" i="23"/>
  <c r="CD187" i="6" s="1"/>
  <c r="AA187" i="23"/>
  <c r="Z187" i="23" s="1"/>
  <c r="Y187" i="23" s="1"/>
  <c r="G177" i="22"/>
  <c r="CC177" i="6" s="1"/>
  <c r="AA177" i="22"/>
  <c r="Z177" i="22" s="1"/>
  <c r="Y177" i="22" s="1"/>
  <c r="G166" i="22"/>
  <c r="CC166" i="6" s="1"/>
  <c r="AA166" i="22"/>
  <c r="Z166" i="22" s="1"/>
  <c r="Y166" i="22" s="1"/>
  <c r="G319" i="22"/>
  <c r="CC319" i="6" s="1"/>
  <c r="AA319" i="22"/>
  <c r="Z319" i="22" s="1"/>
  <c r="Y319" i="22" s="1"/>
  <c r="G17" i="22"/>
  <c r="CC17" i="6" s="1"/>
  <c r="AA17" i="22"/>
  <c r="Z17" i="22" s="1"/>
  <c r="Y17" i="22" s="1"/>
  <c r="G111" i="22"/>
  <c r="CC111" i="6" s="1"/>
  <c r="AA111" i="22"/>
  <c r="Z111" i="22" s="1"/>
  <c r="Y111" i="22" s="1"/>
  <c r="G278" i="22"/>
  <c r="CC278" i="6" s="1"/>
  <c r="AA278" i="22"/>
  <c r="Z278" i="22" s="1"/>
  <c r="Y278" i="22" s="1"/>
  <c r="G135" i="23"/>
  <c r="CD135" i="6" s="1"/>
  <c r="AA135" i="23"/>
  <c r="Z135" i="23" s="1"/>
  <c r="Y135" i="23" s="1"/>
  <c r="G335" i="23"/>
  <c r="CD335" i="6" s="1"/>
  <c r="AA335" i="23"/>
  <c r="Z335" i="23" s="1"/>
  <c r="Y335" i="23" s="1"/>
  <c r="G367" i="23"/>
  <c r="CD367" i="6" s="1"/>
  <c r="AA367" i="23"/>
  <c r="Z367" i="23" s="1"/>
  <c r="Y367" i="23" s="1"/>
  <c r="G241" i="23"/>
  <c r="CD241" i="6" s="1"/>
  <c r="AA241" i="23"/>
  <c r="Z241" i="23" s="1"/>
  <c r="Y241" i="23" s="1"/>
  <c r="W116" i="24"/>
  <c r="D116" i="24"/>
  <c r="E116" i="24" s="1"/>
  <c r="F116" i="24" s="1"/>
  <c r="B116" i="25"/>
  <c r="W161" i="23"/>
  <c r="D161" i="23"/>
  <c r="E161" i="23" s="1"/>
  <c r="F161" i="23" s="1"/>
  <c r="B161" i="24"/>
  <c r="W265" i="23"/>
  <c r="D265" i="23"/>
  <c r="E265" i="23" s="1"/>
  <c r="F265" i="23" s="1"/>
  <c r="B265" i="24"/>
  <c r="W61" i="23"/>
  <c r="D61" i="23"/>
  <c r="E61" i="23" s="1"/>
  <c r="F61" i="23" s="1"/>
  <c r="B61" i="24"/>
  <c r="W89" i="23"/>
  <c r="D89" i="23"/>
  <c r="E89" i="23" s="1"/>
  <c r="F89" i="23" s="1"/>
  <c r="B89" i="24"/>
  <c r="W127" i="23"/>
  <c r="D127" i="23"/>
  <c r="E127" i="23" s="1"/>
  <c r="F127" i="23" s="1"/>
  <c r="B127" i="24"/>
  <c r="W173" i="23"/>
  <c r="D173" i="23"/>
  <c r="E173" i="23" s="1"/>
  <c r="F173" i="23" s="1"/>
  <c r="B173" i="24"/>
  <c r="W219" i="23"/>
  <c r="D219" i="23"/>
  <c r="E219" i="23" s="1"/>
  <c r="F219" i="23" s="1"/>
  <c r="B219" i="24"/>
  <c r="D263" i="24"/>
  <c r="E263" i="24" s="1"/>
  <c r="F263" i="24" s="1"/>
  <c r="W263" i="24"/>
  <c r="B263" i="25"/>
  <c r="W317" i="24"/>
  <c r="D317" i="24"/>
  <c r="E317" i="24" s="1"/>
  <c r="F317" i="24" s="1"/>
  <c r="B317" i="25"/>
  <c r="W108" i="23"/>
  <c r="D108" i="23"/>
  <c r="E108" i="23" s="1"/>
  <c r="F108" i="23" s="1"/>
  <c r="B108" i="24"/>
  <c r="W142" i="23"/>
  <c r="D142" i="23"/>
  <c r="E142" i="23" s="1"/>
  <c r="F142" i="23" s="1"/>
  <c r="B142" i="24"/>
  <c r="J150" i="18"/>
  <c r="I150" i="18"/>
  <c r="J226" i="18"/>
  <c r="I226" i="18"/>
  <c r="I46" i="18"/>
  <c r="J46" i="18"/>
  <c r="J22" i="18"/>
  <c r="I22" i="18"/>
  <c r="I63" i="18"/>
  <c r="J63" i="18"/>
  <c r="J155" i="18"/>
  <c r="I155" i="18"/>
  <c r="J247" i="18"/>
  <c r="I247" i="18"/>
  <c r="I317" i="18"/>
  <c r="J317" i="18"/>
  <c r="J170" i="18"/>
  <c r="I170" i="18"/>
  <c r="BA170" i="6" s="1"/>
  <c r="D170" i="6" s="1"/>
  <c r="I259" i="18"/>
  <c r="BA259" i="6" s="1"/>
  <c r="D259" i="6" s="1"/>
  <c r="J259" i="18"/>
  <c r="J293" i="18"/>
  <c r="I293" i="18"/>
  <c r="BA293" i="6" s="1"/>
  <c r="D293" i="6" s="1"/>
  <c r="J34" i="18"/>
  <c r="I34" i="18"/>
  <c r="BA34" i="6" s="1"/>
  <c r="D34" i="6" s="1"/>
  <c r="J148" i="18"/>
  <c r="I148" i="18"/>
  <c r="J218" i="18"/>
  <c r="I218" i="18"/>
  <c r="BA218" i="6" s="1"/>
  <c r="D218" i="6" s="1"/>
  <c r="W59" i="22"/>
  <c r="D59" i="22"/>
  <c r="E59" i="22" s="1"/>
  <c r="F59" i="22" s="1"/>
  <c r="B59" i="23"/>
  <c r="W141" i="22"/>
  <c r="D141" i="22"/>
  <c r="E141" i="22" s="1"/>
  <c r="F141" i="22" s="1"/>
  <c r="B141" i="23"/>
  <c r="W179" i="22"/>
  <c r="D179" i="22"/>
  <c r="E179" i="22" s="1"/>
  <c r="F179" i="22" s="1"/>
  <c r="B179" i="23"/>
  <c r="W211" i="22"/>
  <c r="D211" i="22"/>
  <c r="E211" i="22" s="1"/>
  <c r="F211" i="22" s="1"/>
  <c r="B211" i="23"/>
  <c r="W257" i="22"/>
  <c r="D257" i="22"/>
  <c r="E257" i="22" s="1"/>
  <c r="F257" i="22" s="1"/>
  <c r="B257" i="23"/>
  <c r="W301" i="22"/>
  <c r="D301" i="22"/>
  <c r="E301" i="22" s="1"/>
  <c r="F301" i="22" s="1"/>
  <c r="B301" i="23"/>
  <c r="W337" i="22"/>
  <c r="D337" i="22"/>
  <c r="E337" i="22" s="1"/>
  <c r="F337" i="22" s="1"/>
  <c r="B337" i="23"/>
  <c r="W375" i="22"/>
  <c r="D375" i="22"/>
  <c r="E375" i="22" s="1"/>
  <c r="F375" i="22" s="1"/>
  <c r="B375" i="23"/>
  <c r="W379" i="22"/>
  <c r="D379" i="22"/>
  <c r="E379" i="22" s="1"/>
  <c r="F379" i="22" s="1"/>
  <c r="B379" i="23"/>
  <c r="W175" i="22"/>
  <c r="D175" i="22"/>
  <c r="E175" i="22" s="1"/>
  <c r="F175" i="22" s="1"/>
  <c r="B175" i="23"/>
  <c r="J281" i="18"/>
  <c r="I281" i="18"/>
  <c r="W50" i="22"/>
  <c r="D50" i="22"/>
  <c r="E50" i="22" s="1"/>
  <c r="F50" i="22" s="1"/>
  <c r="B50" i="23"/>
  <c r="G70" i="20"/>
  <c r="CB70" i="6" s="1"/>
  <c r="AA70" i="20"/>
  <c r="Z70" i="20" s="1"/>
  <c r="Y70" i="20" s="1"/>
  <c r="W92" i="22"/>
  <c r="D92" i="22"/>
  <c r="E92" i="22" s="1"/>
  <c r="F92" i="22" s="1"/>
  <c r="B92" i="23"/>
  <c r="G106" i="20"/>
  <c r="CB106" i="6" s="1"/>
  <c r="AA106" i="20"/>
  <c r="Z106" i="20" s="1"/>
  <c r="Y106" i="20" s="1"/>
  <c r="D118" i="22"/>
  <c r="E118" i="22" s="1"/>
  <c r="F118" i="22" s="1"/>
  <c r="W118" i="22"/>
  <c r="B118" i="23"/>
  <c r="G136" i="20"/>
  <c r="CB136" i="6" s="1"/>
  <c r="AA136" i="20"/>
  <c r="Z136" i="20" s="1"/>
  <c r="Y136" i="20" s="1"/>
  <c r="W170" i="22"/>
  <c r="D170" i="22"/>
  <c r="E170" i="22" s="1"/>
  <c r="F170" i="22" s="1"/>
  <c r="B170" i="23"/>
  <c r="G178" i="20"/>
  <c r="CB178" i="6" s="1"/>
  <c r="AA178" i="20"/>
  <c r="Z178" i="20" s="1"/>
  <c r="Y178" i="20" s="1"/>
  <c r="W230" i="22"/>
  <c r="D230" i="22"/>
  <c r="E230" i="22" s="1"/>
  <c r="F230" i="22" s="1"/>
  <c r="B230" i="23"/>
  <c r="G254" i="20"/>
  <c r="CB254" i="6" s="1"/>
  <c r="AA254" i="20"/>
  <c r="Z254" i="20" s="1"/>
  <c r="Y254" i="20" s="1"/>
  <c r="W268" i="22"/>
  <c r="D268" i="22"/>
  <c r="E268" i="22" s="1"/>
  <c r="F268" i="22" s="1"/>
  <c r="B268" i="23"/>
  <c r="G274" i="20"/>
  <c r="CB274" i="6" s="1"/>
  <c r="AA274" i="20"/>
  <c r="Z274" i="20" s="1"/>
  <c r="Y274" i="20" s="1"/>
  <c r="W282" i="22"/>
  <c r="D282" i="22"/>
  <c r="E282" i="22" s="1"/>
  <c r="F282" i="22" s="1"/>
  <c r="B282" i="23"/>
  <c r="G318" i="20"/>
  <c r="CB318" i="6" s="1"/>
  <c r="H318" i="20"/>
  <c r="AA318" i="20"/>
  <c r="Z318" i="20" s="1"/>
  <c r="Y318" i="20" s="1"/>
  <c r="W328" i="22"/>
  <c r="D328" i="22"/>
  <c r="E328" i="22" s="1"/>
  <c r="F328" i="22" s="1"/>
  <c r="B328" i="23"/>
  <c r="G352" i="20"/>
  <c r="CB352" i="6" s="1"/>
  <c r="AA352" i="20"/>
  <c r="Z352" i="20" s="1"/>
  <c r="Y352" i="20" s="1"/>
  <c r="W21" i="22"/>
  <c r="D21" i="22"/>
  <c r="E21" i="22" s="1"/>
  <c r="F21" i="22" s="1"/>
  <c r="B21" i="23"/>
  <c r="G31" i="20"/>
  <c r="CB31" i="6" s="1"/>
  <c r="AA31" i="20"/>
  <c r="Z31" i="20" s="1"/>
  <c r="Y31" i="20" s="1"/>
  <c r="W45" i="22"/>
  <c r="D45" i="22"/>
  <c r="E45" i="22" s="1"/>
  <c r="F45" i="22" s="1"/>
  <c r="B45" i="23"/>
  <c r="G49" i="20"/>
  <c r="CB49" i="6" s="1"/>
  <c r="AA49" i="20"/>
  <c r="Z49" i="20" s="1"/>
  <c r="Y49" i="20" s="1"/>
  <c r="W71" i="22"/>
  <c r="D71" i="22"/>
  <c r="E71" i="22" s="1"/>
  <c r="F71" i="22" s="1"/>
  <c r="B71" i="23"/>
  <c r="G71" i="20"/>
  <c r="CB71" i="6" s="1"/>
  <c r="AA71" i="20"/>
  <c r="Z71" i="20" s="1"/>
  <c r="Y71" i="20" s="1"/>
  <c r="G87" i="20"/>
  <c r="CB87" i="6" s="1"/>
  <c r="AA87" i="20"/>
  <c r="Z87" i="20" s="1"/>
  <c r="Y87" i="20" s="1"/>
  <c r="W123" i="22"/>
  <c r="D123" i="22"/>
  <c r="E123" i="22" s="1"/>
  <c r="F123" i="22" s="1"/>
  <c r="B123" i="23"/>
  <c r="G145" i="20"/>
  <c r="CB145" i="6" s="1"/>
  <c r="AA145" i="20"/>
  <c r="Z145" i="20" s="1"/>
  <c r="Y145" i="20" s="1"/>
  <c r="W181" i="22"/>
  <c r="D181" i="22"/>
  <c r="E181" i="22" s="1"/>
  <c r="F181" i="22" s="1"/>
  <c r="B181" i="23"/>
  <c r="G201" i="20"/>
  <c r="CB201" i="6" s="1"/>
  <c r="AA201" i="20"/>
  <c r="Z201" i="20" s="1"/>
  <c r="Y201" i="20" s="1"/>
  <c r="W215" i="22"/>
  <c r="D215" i="22"/>
  <c r="E215" i="22" s="1"/>
  <c r="F215" i="22" s="1"/>
  <c r="B215" i="23"/>
  <c r="G233" i="20"/>
  <c r="CB233" i="6" s="1"/>
  <c r="AA233" i="20"/>
  <c r="Z233" i="20" s="1"/>
  <c r="Y233" i="20" s="1"/>
  <c r="W275" i="23"/>
  <c r="D275" i="23"/>
  <c r="E275" i="23" s="1"/>
  <c r="F275" i="23" s="1"/>
  <c r="B275" i="24"/>
  <c r="W291" i="23"/>
  <c r="D291" i="23"/>
  <c r="E291" i="23" s="1"/>
  <c r="F291" i="23" s="1"/>
  <c r="B291" i="24"/>
  <c r="W303" i="23"/>
  <c r="D303" i="23"/>
  <c r="E303" i="23" s="1"/>
  <c r="F303" i="23" s="1"/>
  <c r="B303" i="24"/>
  <c r="W339" i="23"/>
  <c r="D339" i="23"/>
  <c r="E339" i="23" s="1"/>
  <c r="F339" i="23" s="1"/>
  <c r="B339" i="24"/>
  <c r="D371" i="22"/>
  <c r="E371" i="22" s="1"/>
  <c r="F371" i="22" s="1"/>
  <c r="W371" i="22"/>
  <c r="B371" i="23"/>
  <c r="G80" i="22"/>
  <c r="CC80" i="6" s="1"/>
  <c r="AA80" i="22"/>
  <c r="Z80" i="22" s="1"/>
  <c r="Y80" i="22" s="1"/>
  <c r="J80" i="18"/>
  <c r="I80" i="18"/>
  <c r="G94" i="22"/>
  <c r="CC94" i="6" s="1"/>
  <c r="AA94" i="22"/>
  <c r="Z94" i="22" s="1"/>
  <c r="Y94" i="22" s="1"/>
  <c r="AA112" i="20"/>
  <c r="Z112" i="20" s="1"/>
  <c r="Y112" i="20" s="1"/>
  <c r="G112" i="20"/>
  <c r="CB112" i="6" s="1"/>
  <c r="G144" i="20"/>
  <c r="CB144" i="6" s="1"/>
  <c r="AA144" i="20"/>
  <c r="Z144" i="20" s="1"/>
  <c r="Y144" i="20" s="1"/>
  <c r="J164" i="18"/>
  <c r="I164" i="18"/>
  <c r="G218" i="20"/>
  <c r="CB218" i="6" s="1"/>
  <c r="AA218" i="20"/>
  <c r="Z218" i="20" s="1"/>
  <c r="Y218" i="20" s="1"/>
  <c r="G296" i="20"/>
  <c r="CB296" i="6" s="1"/>
  <c r="AA296" i="20"/>
  <c r="Z296" i="20" s="1"/>
  <c r="Y296" i="20" s="1"/>
  <c r="G348" i="20"/>
  <c r="CB348" i="6" s="1"/>
  <c r="AA348" i="20"/>
  <c r="Z348" i="20" s="1"/>
  <c r="Y348" i="20" s="1"/>
  <c r="G39" i="20"/>
  <c r="CB39" i="6" s="1"/>
  <c r="AA39" i="20"/>
  <c r="Z39" i="20" s="1"/>
  <c r="Y39" i="20" s="1"/>
  <c r="G107" i="20"/>
  <c r="CB107" i="6" s="1"/>
  <c r="AA107" i="20"/>
  <c r="Z107" i="20" s="1"/>
  <c r="Y107" i="20" s="1"/>
  <c r="G151" i="20"/>
  <c r="CB151" i="6" s="1"/>
  <c r="AA151" i="20"/>
  <c r="Z151" i="20" s="1"/>
  <c r="Y151" i="20" s="1"/>
  <c r="G193" i="20"/>
  <c r="CB193" i="6" s="1"/>
  <c r="AA193" i="20"/>
  <c r="Z193" i="20" s="1"/>
  <c r="Y193" i="20" s="1"/>
  <c r="W231" i="22"/>
  <c r="D231" i="22"/>
  <c r="E231" i="22" s="1"/>
  <c r="F231" i="22" s="1"/>
  <c r="B231" i="23"/>
  <c r="W269" i="22"/>
  <c r="D269" i="22"/>
  <c r="E269" i="22" s="1"/>
  <c r="F269" i="22" s="1"/>
  <c r="B269" i="23"/>
  <c r="W313" i="22"/>
  <c r="D313" i="22"/>
  <c r="E313" i="22" s="1"/>
  <c r="F313" i="22" s="1"/>
  <c r="B313" i="23"/>
  <c r="W359" i="22"/>
  <c r="D359" i="22"/>
  <c r="E359" i="22" s="1"/>
  <c r="F359" i="22" s="1"/>
  <c r="B359" i="23"/>
  <c r="I27" i="18"/>
  <c r="BA27" i="6" s="1"/>
  <c r="D27" i="6" s="1"/>
  <c r="J27" i="18"/>
  <c r="I266" i="18"/>
  <c r="BA266" i="6" s="1"/>
  <c r="D266" i="6" s="1"/>
  <c r="J266" i="18"/>
  <c r="J26" i="18"/>
  <c r="I26" i="18"/>
  <c r="BA26" i="6" s="1"/>
  <c r="D26" i="6" s="1"/>
  <c r="J343" i="18"/>
  <c r="I343" i="18"/>
  <c r="BA343" i="6" s="1"/>
  <c r="D343" i="6" s="1"/>
  <c r="J139" i="18"/>
  <c r="I139" i="18"/>
  <c r="J143" i="18"/>
  <c r="I143" i="18"/>
  <c r="D20" i="22"/>
  <c r="E20" i="22" s="1"/>
  <c r="F20" i="22" s="1"/>
  <c r="W20" i="22"/>
  <c r="B20" i="23"/>
  <c r="W48" i="22"/>
  <c r="D48" i="22"/>
  <c r="E48" i="22" s="1"/>
  <c r="F48" i="22" s="1"/>
  <c r="B48" i="23"/>
  <c r="G124" i="20"/>
  <c r="CB124" i="6" s="1"/>
  <c r="AA124" i="20"/>
  <c r="Z124" i="20" s="1"/>
  <c r="Y124" i="20" s="1"/>
  <c r="W160" i="22"/>
  <c r="D160" i="22"/>
  <c r="E160" i="22" s="1"/>
  <c r="F160" i="22" s="1"/>
  <c r="B160" i="23"/>
  <c r="G184" i="20"/>
  <c r="CB184" i="6" s="1"/>
  <c r="AA184" i="20"/>
  <c r="Z184" i="20" s="1"/>
  <c r="Y184" i="20" s="1"/>
  <c r="W234" i="22"/>
  <c r="D234" i="22"/>
  <c r="E234" i="22" s="1"/>
  <c r="F234" i="22" s="1"/>
  <c r="B234" i="23"/>
  <c r="G256" i="20"/>
  <c r="CB256" i="6" s="1"/>
  <c r="AA256" i="20"/>
  <c r="Z256" i="20" s="1"/>
  <c r="Y256" i="20" s="1"/>
  <c r="W266" i="22"/>
  <c r="D266" i="22"/>
  <c r="E266" i="22" s="1"/>
  <c r="F266" i="22" s="1"/>
  <c r="B266" i="23"/>
  <c r="G292" i="20"/>
  <c r="CB292" i="6" s="1"/>
  <c r="AA292" i="20"/>
  <c r="Z292" i="20" s="1"/>
  <c r="Y292" i="20" s="1"/>
  <c r="W322" i="22"/>
  <c r="D322" i="22"/>
  <c r="E322" i="22" s="1"/>
  <c r="F322" i="22" s="1"/>
  <c r="B322" i="23"/>
  <c r="G330" i="20"/>
  <c r="CB330" i="6" s="1"/>
  <c r="AA330" i="20"/>
  <c r="Z330" i="20" s="1"/>
  <c r="Y330" i="20" s="1"/>
  <c r="W350" i="22"/>
  <c r="D350" i="22"/>
  <c r="E350" i="22" s="1"/>
  <c r="F350" i="22" s="1"/>
  <c r="B350" i="23"/>
  <c r="G364" i="20"/>
  <c r="CB364" i="6" s="1"/>
  <c r="AA364" i="20"/>
  <c r="Z364" i="20" s="1"/>
  <c r="Y364" i="20" s="1"/>
  <c r="W26" i="22"/>
  <c r="D26" i="22"/>
  <c r="E26" i="22" s="1"/>
  <c r="F26" i="22" s="1"/>
  <c r="B26" i="23"/>
  <c r="G41" i="20"/>
  <c r="CB41" i="6" s="1"/>
  <c r="AA41" i="20"/>
  <c r="Z41" i="20" s="1"/>
  <c r="Y41" i="20" s="1"/>
  <c r="W57" i="22"/>
  <c r="D57" i="22"/>
  <c r="E57" i="22" s="1"/>
  <c r="F57" i="22" s="1"/>
  <c r="B57" i="23"/>
  <c r="G91" i="20"/>
  <c r="CB91" i="6" s="1"/>
  <c r="AA91" i="20"/>
  <c r="Z91" i="20" s="1"/>
  <c r="Y91" i="20" s="1"/>
  <c r="W113" i="22"/>
  <c r="D113" i="22"/>
  <c r="E113" i="22" s="1"/>
  <c r="F113" i="22" s="1"/>
  <c r="B113" i="23"/>
  <c r="G117" i="20"/>
  <c r="CB117" i="6" s="1"/>
  <c r="AA117" i="20"/>
  <c r="Z117" i="20" s="1"/>
  <c r="Y117" i="20" s="1"/>
  <c r="W129" i="22"/>
  <c r="D129" i="22"/>
  <c r="E129" i="22" s="1"/>
  <c r="F129" i="22" s="1"/>
  <c r="B129" i="23"/>
  <c r="G165" i="20"/>
  <c r="CB165" i="6" s="1"/>
  <c r="AA165" i="20"/>
  <c r="Z165" i="20" s="1"/>
  <c r="Y165" i="20" s="1"/>
  <c r="W213" i="22"/>
  <c r="D213" i="22"/>
  <c r="E213" i="22" s="1"/>
  <c r="F213" i="22" s="1"/>
  <c r="B213" i="23"/>
  <c r="G225" i="20"/>
  <c r="CB225" i="6" s="1"/>
  <c r="AA225" i="20"/>
  <c r="Z225" i="20" s="1"/>
  <c r="Y225" i="20" s="1"/>
  <c r="W239" i="22"/>
  <c r="D239" i="22"/>
  <c r="E239" i="22" s="1"/>
  <c r="F239" i="22" s="1"/>
  <c r="B239" i="23"/>
  <c r="G279" i="20"/>
  <c r="CB279" i="6" s="1"/>
  <c r="AA279" i="20"/>
  <c r="Z279" i="20" s="1"/>
  <c r="Y279" i="20" s="1"/>
  <c r="D315" i="22"/>
  <c r="E315" i="22" s="1"/>
  <c r="F315" i="22" s="1"/>
  <c r="W315" i="22"/>
  <c r="B315" i="23"/>
  <c r="G343" i="20"/>
  <c r="CB343" i="6" s="1"/>
  <c r="AA343" i="20"/>
  <c r="Z343" i="20" s="1"/>
  <c r="Y343" i="20" s="1"/>
  <c r="W351" i="22"/>
  <c r="D351" i="22"/>
  <c r="E351" i="22" s="1"/>
  <c r="F351" i="22" s="1"/>
  <c r="B351" i="23"/>
  <c r="G377" i="20"/>
  <c r="CB377" i="6" s="1"/>
  <c r="AA377" i="20"/>
  <c r="Z377" i="20" s="1"/>
  <c r="Y377" i="20" s="1"/>
  <c r="W30" i="22"/>
  <c r="D30" i="22"/>
  <c r="E30" i="22" s="1"/>
  <c r="F30" i="22" s="1"/>
  <c r="B30" i="23"/>
  <c r="G40" i="20"/>
  <c r="CB40" i="6" s="1"/>
  <c r="AA40" i="20"/>
  <c r="Z40" i="20" s="1"/>
  <c r="Y40" i="20" s="1"/>
  <c r="W54" i="22"/>
  <c r="D54" i="22"/>
  <c r="E54" i="22" s="1"/>
  <c r="F54" i="22" s="1"/>
  <c r="B54" i="23"/>
  <c r="G68" i="20"/>
  <c r="CB68" i="6" s="1"/>
  <c r="AA68" i="20"/>
  <c r="Z68" i="20" s="1"/>
  <c r="Y68" i="20" s="1"/>
  <c r="W82" i="22"/>
  <c r="D82" i="22"/>
  <c r="E82" i="22" s="1"/>
  <c r="F82" i="22" s="1"/>
  <c r="B82" i="23"/>
  <c r="G82" i="20"/>
  <c r="CB82" i="6" s="1"/>
  <c r="AA82" i="20"/>
  <c r="Z82" i="20" s="1"/>
  <c r="Y82" i="20" s="1"/>
  <c r="G134" i="20"/>
  <c r="CB134" i="6" s="1"/>
  <c r="AA134" i="20"/>
  <c r="Z134" i="20" s="1"/>
  <c r="Y134" i="20" s="1"/>
  <c r="D158" i="22"/>
  <c r="E158" i="22" s="1"/>
  <c r="F158" i="22" s="1"/>
  <c r="W158" i="22"/>
  <c r="B158" i="23"/>
  <c r="G168" i="20"/>
  <c r="CB168" i="6" s="1"/>
  <c r="AA168" i="20"/>
  <c r="Z168" i="20" s="1"/>
  <c r="Y168" i="20" s="1"/>
  <c r="W190" i="23"/>
  <c r="D190" i="23"/>
  <c r="E190" i="23" s="1"/>
  <c r="F190" i="23" s="1"/>
  <c r="B190" i="24"/>
  <c r="G190" i="22"/>
  <c r="CC190" i="6" s="1"/>
  <c r="AA190" i="22"/>
  <c r="Z190" i="22" s="1"/>
  <c r="Y190" i="22" s="1"/>
  <c r="W200" i="22"/>
  <c r="D200" i="22"/>
  <c r="E200" i="22" s="1"/>
  <c r="F200" i="22" s="1"/>
  <c r="B200" i="23"/>
  <c r="G212" i="20"/>
  <c r="CB212" i="6" s="1"/>
  <c r="AA212" i="20"/>
  <c r="Z212" i="20" s="1"/>
  <c r="Y212" i="20" s="1"/>
  <c r="W224" i="22"/>
  <c r="D224" i="22"/>
  <c r="E224" i="22" s="1"/>
  <c r="F224" i="22" s="1"/>
  <c r="B224" i="23"/>
  <c r="G242" i="20"/>
  <c r="CB242" i="6" s="1"/>
  <c r="AA242" i="20"/>
  <c r="Z242" i="20" s="1"/>
  <c r="Y242" i="20" s="1"/>
  <c r="W286" i="22"/>
  <c r="D286" i="22"/>
  <c r="E286" i="22" s="1"/>
  <c r="F286" i="22" s="1"/>
  <c r="B286" i="23"/>
  <c r="G312" i="20"/>
  <c r="CB312" i="6" s="1"/>
  <c r="AA312" i="20"/>
  <c r="Z312" i="20" s="1"/>
  <c r="Y312" i="20" s="1"/>
  <c r="W338" i="22"/>
  <c r="D338" i="22"/>
  <c r="E338" i="22" s="1"/>
  <c r="F338" i="22" s="1"/>
  <c r="B338" i="23"/>
  <c r="G342" i="20"/>
  <c r="CB342" i="6" s="1"/>
  <c r="AA342" i="20"/>
  <c r="Z342" i="20" s="1"/>
  <c r="Y342" i="20" s="1"/>
  <c r="W358" i="22"/>
  <c r="D358" i="22"/>
  <c r="E358" i="22" s="1"/>
  <c r="F358" i="22" s="1"/>
  <c r="B358" i="23"/>
  <c r="G366" i="20"/>
  <c r="CB366" i="6" s="1"/>
  <c r="AA366" i="20"/>
  <c r="Z366" i="20" s="1"/>
  <c r="Y366" i="20" s="1"/>
  <c r="W64" i="22"/>
  <c r="D64" i="22"/>
  <c r="E64" i="22" s="1"/>
  <c r="F64" i="22" s="1"/>
  <c r="B64" i="23"/>
  <c r="G222" i="20"/>
  <c r="CB222" i="6" s="1"/>
  <c r="AA222" i="20"/>
  <c r="Z222" i="20" s="1"/>
  <c r="Y222" i="20" s="1"/>
  <c r="W205" i="22"/>
  <c r="D205" i="22"/>
  <c r="E205" i="22" s="1"/>
  <c r="F205" i="22" s="1"/>
  <c r="B205" i="23"/>
  <c r="G204" i="20"/>
  <c r="CB204" i="6" s="1"/>
  <c r="AA204" i="20"/>
  <c r="Z204" i="20" s="1"/>
  <c r="Y204" i="20" s="1"/>
  <c r="W207" i="22"/>
  <c r="D207" i="22"/>
  <c r="E207" i="22" s="1"/>
  <c r="F207" i="22" s="1"/>
  <c r="B207" i="23"/>
  <c r="G252" i="20"/>
  <c r="CB252" i="6" s="1"/>
  <c r="AA252" i="20"/>
  <c r="Z252" i="20" s="1"/>
  <c r="Y252" i="20" s="1"/>
  <c r="W299" i="22"/>
  <c r="D299" i="22"/>
  <c r="E299" i="22" s="1"/>
  <c r="F299" i="22" s="1"/>
  <c r="B299" i="23"/>
  <c r="G305" i="20"/>
  <c r="CB305" i="6" s="1"/>
  <c r="AA305" i="20"/>
  <c r="Z305" i="20" s="1"/>
  <c r="Y305" i="20" s="1"/>
  <c r="W306" i="22"/>
  <c r="D306" i="22"/>
  <c r="E306" i="22" s="1"/>
  <c r="F306" i="22" s="1"/>
  <c r="B306" i="23"/>
  <c r="G152" i="20"/>
  <c r="CB152" i="6" s="1"/>
  <c r="AA152" i="20"/>
  <c r="Z152" i="20" s="1"/>
  <c r="Y152" i="20" s="1"/>
  <c r="W353" i="22"/>
  <c r="D353" i="22"/>
  <c r="E353" i="22" s="1"/>
  <c r="F353" i="22" s="1"/>
  <c r="B353" i="23"/>
  <c r="G52" i="20"/>
  <c r="CB52" i="6" s="1"/>
  <c r="AA52" i="20"/>
  <c r="Z52" i="20" s="1"/>
  <c r="Y52" i="20" s="1"/>
  <c r="W229" i="22"/>
  <c r="D229" i="22"/>
  <c r="E229" i="22" s="1"/>
  <c r="F229" i="22" s="1"/>
  <c r="B229" i="23"/>
  <c r="G103" i="20"/>
  <c r="CB103" i="6" s="1"/>
  <c r="AA103" i="20"/>
  <c r="Z103" i="20" s="1"/>
  <c r="Y103" i="20" s="1"/>
  <c r="W32" i="22"/>
  <c r="D32" i="22"/>
  <c r="E32" i="22" s="1"/>
  <c r="F32" i="22" s="1"/>
  <c r="B32" i="23"/>
  <c r="G235" i="20"/>
  <c r="CB235" i="6" s="1"/>
  <c r="AA235" i="20"/>
  <c r="Z235" i="20" s="1"/>
  <c r="Y235" i="20" s="1"/>
  <c r="D331" i="22"/>
  <c r="E331" i="22" s="1"/>
  <c r="F331" i="22" s="1"/>
  <c r="W331" i="22"/>
  <c r="B331" i="23"/>
  <c r="G251" i="20"/>
  <c r="CB251" i="6" s="1"/>
  <c r="AA251" i="20"/>
  <c r="Z251" i="20" s="1"/>
  <c r="Y251" i="20" s="1"/>
  <c r="W100" i="22"/>
  <c r="D100" i="22"/>
  <c r="E100" i="22" s="1"/>
  <c r="F100" i="22" s="1"/>
  <c r="B100" i="23"/>
  <c r="G153" i="20"/>
  <c r="CB153" i="6" s="1"/>
  <c r="AA153" i="20"/>
  <c r="Z153" i="20" s="1"/>
  <c r="Y153" i="20" s="1"/>
  <c r="W38" i="22"/>
  <c r="D38" i="22"/>
  <c r="E38" i="22" s="1"/>
  <c r="F38" i="22" s="1"/>
  <c r="B38" i="23"/>
  <c r="G132" i="20"/>
  <c r="CB132" i="6" s="1"/>
  <c r="AA132" i="20"/>
  <c r="Z132" i="20" s="1"/>
  <c r="Y132" i="20" s="1"/>
  <c r="W174" i="22"/>
  <c r="D174" i="22"/>
  <c r="E174" i="22" s="1"/>
  <c r="F174" i="22" s="1"/>
  <c r="B174" i="23"/>
  <c r="AK5" i="23" l="1"/>
  <c r="AJ11" i="20"/>
  <c r="W15" i="23"/>
  <c r="AJ5" i="23"/>
  <c r="AK9" i="20"/>
  <c r="AK11" i="20" s="1"/>
  <c r="AM9" i="20"/>
  <c r="E15" i="22"/>
  <c r="AJ9" i="22" s="1"/>
  <c r="AJ7" i="22"/>
  <c r="H71" i="20"/>
  <c r="I71" i="20" s="1"/>
  <c r="H71" i="22" s="1"/>
  <c r="H49" i="20"/>
  <c r="J49" i="20" s="1"/>
  <c r="H31" i="20"/>
  <c r="J31" i="20" s="1"/>
  <c r="H254" i="20"/>
  <c r="I254" i="20" s="1"/>
  <c r="H254" i="22" s="1"/>
  <c r="H178" i="20"/>
  <c r="J178" i="20" s="1"/>
  <c r="H352" i="20"/>
  <c r="J352" i="20" s="1"/>
  <c r="H274" i="20"/>
  <c r="J274" i="20" s="1"/>
  <c r="H106" i="20"/>
  <c r="J106" i="20" s="1"/>
  <c r="H322" i="20"/>
  <c r="I322" i="20" s="1"/>
  <c r="H322" i="22" s="1"/>
  <c r="H234" i="20"/>
  <c r="I234" i="20" s="1"/>
  <c r="H234" i="22" s="1"/>
  <c r="H160" i="20"/>
  <c r="I160" i="20" s="1"/>
  <c r="H160" i="22" s="1"/>
  <c r="H153" i="20"/>
  <c r="J153" i="20" s="1"/>
  <c r="H252" i="20"/>
  <c r="I252" i="20" s="1"/>
  <c r="H252" i="22" s="1"/>
  <c r="H165" i="20"/>
  <c r="J165" i="20" s="1"/>
  <c r="H256" i="20"/>
  <c r="J256" i="20" s="1"/>
  <c r="H91" i="20"/>
  <c r="I91" i="20" s="1"/>
  <c r="H91" i="22" s="1"/>
  <c r="H330" i="20"/>
  <c r="J330" i="20" s="1"/>
  <c r="H296" i="20"/>
  <c r="I296" i="20" s="1"/>
  <c r="H296" i="22" s="1"/>
  <c r="H331" i="20"/>
  <c r="I331" i="20" s="1"/>
  <c r="H331" i="22" s="1"/>
  <c r="H213" i="20"/>
  <c r="J213" i="20" s="1"/>
  <c r="B15" i="24"/>
  <c r="H337" i="20"/>
  <c r="I337" i="20" s="1"/>
  <c r="H337" i="22" s="1"/>
  <c r="H132" i="20"/>
  <c r="I132" i="20" s="1"/>
  <c r="H132" i="22" s="1"/>
  <c r="H251" i="20"/>
  <c r="J251" i="20" s="1"/>
  <c r="H52" i="20"/>
  <c r="J52" i="20" s="1"/>
  <c r="H152" i="20"/>
  <c r="I152" i="20" s="1"/>
  <c r="H152" i="22" s="1"/>
  <c r="H305" i="20"/>
  <c r="J305" i="20" s="1"/>
  <c r="H242" i="20"/>
  <c r="I242" i="20" s="1"/>
  <c r="H242" i="22" s="1"/>
  <c r="H82" i="20"/>
  <c r="I82" i="20" s="1"/>
  <c r="H82" i="22" s="1"/>
  <c r="H124" i="20"/>
  <c r="J124" i="20" s="1"/>
  <c r="H353" i="20"/>
  <c r="I353" i="20" s="1"/>
  <c r="H353" i="22" s="1"/>
  <c r="H207" i="20"/>
  <c r="J207" i="20" s="1"/>
  <c r="H54" i="20"/>
  <c r="I54" i="20" s="1"/>
  <c r="H54" i="22" s="1"/>
  <c r="H30" i="20"/>
  <c r="J30" i="20" s="1"/>
  <c r="H59" i="20"/>
  <c r="I59" i="20" s="1"/>
  <c r="H59" i="22" s="1"/>
  <c r="H68" i="20"/>
  <c r="J68" i="20" s="1"/>
  <c r="H40" i="20"/>
  <c r="J40" i="20" s="1"/>
  <c r="H343" i="20"/>
  <c r="J343" i="20" s="1"/>
  <c r="H279" i="20"/>
  <c r="I279" i="20" s="1"/>
  <c r="H279" i="22" s="1"/>
  <c r="H225" i="20"/>
  <c r="I225" i="20" s="1"/>
  <c r="H225" i="22" s="1"/>
  <c r="H117" i="20"/>
  <c r="I117" i="20" s="1"/>
  <c r="H117" i="22" s="1"/>
  <c r="H41" i="20"/>
  <c r="J41" i="20" s="1"/>
  <c r="H292" i="20"/>
  <c r="I292" i="20" s="1"/>
  <c r="H292" i="22" s="1"/>
  <c r="H193" i="20"/>
  <c r="I193" i="20" s="1"/>
  <c r="H193" i="22" s="1"/>
  <c r="H348" i="20"/>
  <c r="I348" i="20" s="1"/>
  <c r="H348" i="22" s="1"/>
  <c r="H86" i="20"/>
  <c r="I86" i="20" s="1"/>
  <c r="H86" i="22" s="1"/>
  <c r="H32" i="20"/>
  <c r="I32" i="20" s="1"/>
  <c r="H32" i="22" s="1"/>
  <c r="H338" i="20"/>
  <c r="J338" i="20" s="1"/>
  <c r="H224" i="20"/>
  <c r="J224" i="20" s="1"/>
  <c r="H129" i="20"/>
  <c r="I129" i="20" s="1"/>
  <c r="H129" i="22" s="1"/>
  <c r="H45" i="20"/>
  <c r="J45" i="20" s="1"/>
  <c r="H118" i="20"/>
  <c r="I118" i="20" s="1"/>
  <c r="H118" i="22" s="1"/>
  <c r="H301" i="20"/>
  <c r="J301" i="20" s="1"/>
  <c r="H211" i="20"/>
  <c r="J211" i="20" s="1"/>
  <c r="H141" i="20"/>
  <c r="J141" i="20" s="1"/>
  <c r="H327" i="20"/>
  <c r="I327" i="20" s="1"/>
  <c r="H327" i="22" s="1"/>
  <c r="H174" i="20"/>
  <c r="J174" i="20" s="1"/>
  <c r="H38" i="20"/>
  <c r="I38" i="20" s="1"/>
  <c r="H38" i="22" s="1"/>
  <c r="H306" i="20"/>
  <c r="I306" i="20" s="1"/>
  <c r="H306" i="22" s="1"/>
  <c r="H315" i="20"/>
  <c r="J315" i="20" s="1"/>
  <c r="H239" i="20"/>
  <c r="J239" i="20" s="1"/>
  <c r="H215" i="20"/>
  <c r="J215" i="20" s="1"/>
  <c r="H181" i="20"/>
  <c r="I181" i="20" s="1"/>
  <c r="H181" i="22" s="1"/>
  <c r="H123" i="20"/>
  <c r="I123" i="20" s="1"/>
  <c r="H123" i="22" s="1"/>
  <c r="H179" i="20"/>
  <c r="J179" i="20" s="1"/>
  <c r="H204" i="20"/>
  <c r="I204" i="20" s="1"/>
  <c r="H204" i="22" s="1"/>
  <c r="H342" i="20"/>
  <c r="J342" i="20" s="1"/>
  <c r="H312" i="20"/>
  <c r="J312" i="20" s="1"/>
  <c r="H212" i="20"/>
  <c r="I212" i="20" s="1"/>
  <c r="H212" i="22" s="1"/>
  <c r="H134" i="20"/>
  <c r="I134" i="20" s="1"/>
  <c r="H134" i="22" s="1"/>
  <c r="H151" i="20"/>
  <c r="J151" i="20" s="1"/>
  <c r="H39" i="20"/>
  <c r="J39" i="20" s="1"/>
  <c r="H144" i="20"/>
  <c r="J144" i="20" s="1"/>
  <c r="H112" i="20"/>
  <c r="I112" i="20" s="1"/>
  <c r="H112" i="22" s="1"/>
  <c r="H233" i="20"/>
  <c r="I233" i="20" s="1"/>
  <c r="H233" i="22" s="1"/>
  <c r="H229" i="20"/>
  <c r="J229" i="20" s="1"/>
  <c r="H158" i="20"/>
  <c r="J158" i="20" s="1"/>
  <c r="H57" i="20"/>
  <c r="I57" i="20" s="1"/>
  <c r="H57" i="22" s="1"/>
  <c r="H20" i="20"/>
  <c r="J20" i="20" s="1"/>
  <c r="H92" i="20"/>
  <c r="I92" i="20" s="1"/>
  <c r="H92" i="22" s="1"/>
  <c r="H50" i="20"/>
  <c r="J50" i="20" s="1"/>
  <c r="H250" i="20"/>
  <c r="J250" i="20" s="1"/>
  <c r="H235" i="20"/>
  <c r="J235" i="20" s="1"/>
  <c r="H103" i="20"/>
  <c r="I103" i="20" s="1"/>
  <c r="H103" i="22" s="1"/>
  <c r="H222" i="20"/>
  <c r="I222" i="20" s="1"/>
  <c r="H222" i="22" s="1"/>
  <c r="H168" i="20"/>
  <c r="J168" i="20" s="1"/>
  <c r="H184" i="20"/>
  <c r="I184" i="20" s="1"/>
  <c r="H184" i="22" s="1"/>
  <c r="H107" i="20"/>
  <c r="I107" i="20" s="1"/>
  <c r="H107" i="22" s="1"/>
  <c r="H218" i="20"/>
  <c r="J218" i="20" s="1"/>
  <c r="H201" i="20"/>
  <c r="J201" i="20" s="1"/>
  <c r="H145" i="20"/>
  <c r="J145" i="20" s="1"/>
  <c r="H87" i="20"/>
  <c r="I87" i="20" s="1"/>
  <c r="H87" i="22" s="1"/>
  <c r="H136" i="20"/>
  <c r="J136" i="20" s="1"/>
  <c r="H70" i="20"/>
  <c r="I70" i="20" s="1"/>
  <c r="H70" i="22" s="1"/>
  <c r="H341" i="20"/>
  <c r="J341" i="20" s="1"/>
  <c r="H258" i="20"/>
  <c r="I258" i="20" s="1"/>
  <c r="H258" i="22" s="1"/>
  <c r="H100" i="20"/>
  <c r="J100" i="20" s="1"/>
  <c r="H299" i="20"/>
  <c r="I299" i="20" s="1"/>
  <c r="H299" i="22" s="1"/>
  <c r="H205" i="20"/>
  <c r="I205" i="20" s="1"/>
  <c r="H205" i="22" s="1"/>
  <c r="H64" i="20"/>
  <c r="I64" i="20" s="1"/>
  <c r="H64" i="22" s="1"/>
  <c r="H286" i="20"/>
  <c r="J286" i="20" s="1"/>
  <c r="H200" i="20"/>
  <c r="J200" i="20" s="1"/>
  <c r="H351" i="20"/>
  <c r="I351" i="20" s="1"/>
  <c r="H351" i="22" s="1"/>
  <c r="H113" i="20"/>
  <c r="J113" i="20" s="1"/>
  <c r="H350" i="20"/>
  <c r="I350" i="20" s="1"/>
  <c r="H350" i="22" s="1"/>
  <c r="H48" i="20"/>
  <c r="I48" i="20" s="1"/>
  <c r="H48" i="22" s="1"/>
  <c r="H21" i="20"/>
  <c r="I21" i="20" s="1"/>
  <c r="H21" i="22" s="1"/>
  <c r="H328" i="20"/>
  <c r="I328" i="20" s="1"/>
  <c r="H328" i="22" s="1"/>
  <c r="H282" i="20"/>
  <c r="J282" i="20" s="1"/>
  <c r="H268" i="20"/>
  <c r="I268" i="20" s="1"/>
  <c r="H268" i="22" s="1"/>
  <c r="H230" i="20"/>
  <c r="J230" i="20" s="1"/>
  <c r="H175" i="20"/>
  <c r="I175" i="20" s="1"/>
  <c r="H175" i="22" s="1"/>
  <c r="H186" i="20"/>
  <c r="I186" i="20" s="1"/>
  <c r="H186" i="22" s="1"/>
  <c r="H126" i="20"/>
  <c r="J126" i="20" s="1"/>
  <c r="I330" i="20"/>
  <c r="H330" i="22" s="1"/>
  <c r="W322" i="23"/>
  <c r="D322" i="23"/>
  <c r="E322" i="23" s="1"/>
  <c r="F322" i="23" s="1"/>
  <c r="B322" i="24"/>
  <c r="W266" i="23"/>
  <c r="D266" i="23"/>
  <c r="E266" i="23" s="1"/>
  <c r="F266" i="23" s="1"/>
  <c r="B266" i="24"/>
  <c r="W234" i="23"/>
  <c r="D234" i="23"/>
  <c r="E234" i="23" s="1"/>
  <c r="F234" i="23" s="1"/>
  <c r="B234" i="24"/>
  <c r="W160" i="23"/>
  <c r="D160" i="23"/>
  <c r="E160" i="23" s="1"/>
  <c r="F160" i="23" s="1"/>
  <c r="B160" i="24"/>
  <c r="W48" i="23"/>
  <c r="D48" i="23"/>
  <c r="E48" i="23" s="1"/>
  <c r="F48" i="23" s="1"/>
  <c r="B48" i="24"/>
  <c r="BA143" i="6"/>
  <c r="D143" i="6" s="1"/>
  <c r="H143" i="20"/>
  <c r="BA139" i="6"/>
  <c r="D139" i="6" s="1"/>
  <c r="H139" i="20"/>
  <c r="W359" i="23"/>
  <c r="D359" i="23"/>
  <c r="E359" i="23" s="1"/>
  <c r="F359" i="23" s="1"/>
  <c r="B359" i="24"/>
  <c r="G313" i="22"/>
  <c r="CC313" i="6" s="1"/>
  <c r="AA313" i="22"/>
  <c r="Z313" i="22" s="1"/>
  <c r="Y313" i="22" s="1"/>
  <c r="W269" i="23"/>
  <c r="D269" i="23"/>
  <c r="E269" i="23" s="1"/>
  <c r="F269" i="23" s="1"/>
  <c r="B269" i="24"/>
  <c r="G231" i="22"/>
  <c r="CC231" i="6" s="1"/>
  <c r="AA231" i="22"/>
  <c r="Z231" i="22" s="1"/>
  <c r="Y231" i="22" s="1"/>
  <c r="BA80" i="6"/>
  <c r="D80" i="6" s="1"/>
  <c r="H80" i="20"/>
  <c r="W339" i="24"/>
  <c r="D339" i="24"/>
  <c r="E339" i="24" s="1"/>
  <c r="F339" i="24" s="1"/>
  <c r="B339" i="25"/>
  <c r="G303" i="23"/>
  <c r="CD303" i="6" s="1"/>
  <c r="AA303" i="23"/>
  <c r="Z303" i="23" s="1"/>
  <c r="Y303" i="23" s="1"/>
  <c r="W291" i="24"/>
  <c r="D291" i="24"/>
  <c r="E291" i="24" s="1"/>
  <c r="F291" i="24" s="1"/>
  <c r="B291" i="25"/>
  <c r="G275" i="23"/>
  <c r="CD275" i="6" s="1"/>
  <c r="AA275" i="23"/>
  <c r="Z275" i="23" s="1"/>
  <c r="Y275" i="23" s="1"/>
  <c r="G215" i="22"/>
  <c r="CC215" i="6" s="1"/>
  <c r="AA215" i="22"/>
  <c r="Z215" i="22" s="1"/>
  <c r="Y215" i="22" s="1"/>
  <c r="G181" i="22"/>
  <c r="CC181" i="6" s="1"/>
  <c r="AA181" i="22"/>
  <c r="Z181" i="22" s="1"/>
  <c r="Y181" i="22" s="1"/>
  <c r="G123" i="22"/>
  <c r="CC123" i="6" s="1"/>
  <c r="AA123" i="22"/>
  <c r="Z123" i="22" s="1"/>
  <c r="Y123" i="22" s="1"/>
  <c r="J71" i="20"/>
  <c r="W71" i="23"/>
  <c r="D71" i="23"/>
  <c r="E71" i="23" s="1"/>
  <c r="F71" i="23" s="1"/>
  <c r="B71" i="24"/>
  <c r="W45" i="23"/>
  <c r="D45" i="23"/>
  <c r="E45" i="23" s="1"/>
  <c r="F45" i="23" s="1"/>
  <c r="B45" i="24"/>
  <c r="W21" i="23"/>
  <c r="D21" i="23"/>
  <c r="E21" i="23" s="1"/>
  <c r="F21" i="23" s="1"/>
  <c r="B21" i="24"/>
  <c r="W328" i="23"/>
  <c r="D328" i="23"/>
  <c r="E328" i="23" s="1"/>
  <c r="F328" i="23" s="1"/>
  <c r="B328" i="24"/>
  <c r="J318" i="20"/>
  <c r="I318" i="20"/>
  <c r="H318" i="22" s="1"/>
  <c r="W282" i="23"/>
  <c r="D282" i="23"/>
  <c r="E282" i="23" s="1"/>
  <c r="F282" i="23" s="1"/>
  <c r="B282" i="24"/>
  <c r="W268" i="23"/>
  <c r="D268" i="23"/>
  <c r="E268" i="23" s="1"/>
  <c r="F268" i="23" s="1"/>
  <c r="B268" i="24"/>
  <c r="J254" i="20"/>
  <c r="D230" i="23"/>
  <c r="E230" i="23" s="1"/>
  <c r="F230" i="23" s="1"/>
  <c r="W230" i="23"/>
  <c r="B230" i="24"/>
  <c r="W170" i="23"/>
  <c r="D170" i="23"/>
  <c r="E170" i="23" s="1"/>
  <c r="F170" i="23" s="1"/>
  <c r="B170" i="24"/>
  <c r="W118" i="23"/>
  <c r="D118" i="23"/>
  <c r="E118" i="23" s="1"/>
  <c r="F118" i="23" s="1"/>
  <c r="B118" i="24"/>
  <c r="G118" i="22"/>
  <c r="CC118" i="6" s="1"/>
  <c r="AA118" i="22"/>
  <c r="Z118" i="22" s="1"/>
  <c r="Y118" i="22" s="1"/>
  <c r="W92" i="23"/>
  <c r="D92" i="23"/>
  <c r="E92" i="23" s="1"/>
  <c r="F92" i="23" s="1"/>
  <c r="B92" i="24"/>
  <c r="W50" i="23"/>
  <c r="D50" i="23"/>
  <c r="E50" i="23" s="1"/>
  <c r="F50" i="23" s="1"/>
  <c r="B50" i="24"/>
  <c r="G175" i="22"/>
  <c r="CC175" i="6" s="1"/>
  <c r="AA175" i="22"/>
  <c r="Z175" i="22" s="1"/>
  <c r="Y175" i="22" s="1"/>
  <c r="W379" i="23"/>
  <c r="D379" i="23"/>
  <c r="E379" i="23" s="1"/>
  <c r="F379" i="23" s="1"/>
  <c r="B379" i="24"/>
  <c r="G375" i="22"/>
  <c r="CC375" i="6" s="1"/>
  <c r="AA375" i="22"/>
  <c r="Z375" i="22" s="1"/>
  <c r="Y375" i="22" s="1"/>
  <c r="W337" i="23"/>
  <c r="D337" i="23"/>
  <c r="E337" i="23" s="1"/>
  <c r="F337" i="23" s="1"/>
  <c r="B337" i="24"/>
  <c r="G301" i="22"/>
  <c r="CC301" i="6" s="1"/>
  <c r="AA301" i="22"/>
  <c r="Z301" i="22" s="1"/>
  <c r="Y301" i="22" s="1"/>
  <c r="W257" i="23"/>
  <c r="D257" i="23"/>
  <c r="E257" i="23" s="1"/>
  <c r="F257" i="23" s="1"/>
  <c r="B257" i="24"/>
  <c r="G211" i="22"/>
  <c r="CC211" i="6" s="1"/>
  <c r="AA211" i="22"/>
  <c r="Z211" i="22" s="1"/>
  <c r="Y211" i="22" s="1"/>
  <c r="W179" i="23"/>
  <c r="D179" i="23"/>
  <c r="E179" i="23" s="1"/>
  <c r="F179" i="23" s="1"/>
  <c r="B179" i="24"/>
  <c r="G141" i="22"/>
  <c r="CC141" i="6" s="1"/>
  <c r="AA141" i="22"/>
  <c r="Z141" i="22" s="1"/>
  <c r="Y141" i="22" s="1"/>
  <c r="W59" i="23"/>
  <c r="D59" i="23"/>
  <c r="E59" i="23" s="1"/>
  <c r="F59" i="23" s="1"/>
  <c r="B59" i="24"/>
  <c r="BA317" i="6"/>
  <c r="D317" i="6" s="1"/>
  <c r="H317" i="20"/>
  <c r="BA63" i="6"/>
  <c r="D63" i="6" s="1"/>
  <c r="H63" i="20"/>
  <c r="BA46" i="6"/>
  <c r="D46" i="6" s="1"/>
  <c r="H46" i="20"/>
  <c r="W142" i="24"/>
  <c r="D142" i="24"/>
  <c r="E142" i="24" s="1"/>
  <c r="F142" i="24" s="1"/>
  <c r="B142" i="25"/>
  <c r="G108" i="23"/>
  <c r="CD108" i="6" s="1"/>
  <c r="AA108" i="23"/>
  <c r="Z108" i="23" s="1"/>
  <c r="Y108" i="23" s="1"/>
  <c r="W317" i="25"/>
  <c r="D317" i="25"/>
  <c r="E317" i="25" s="1"/>
  <c r="F317" i="25" s="1"/>
  <c r="W219" i="24"/>
  <c r="D219" i="24"/>
  <c r="E219" i="24" s="1"/>
  <c r="F219" i="24" s="1"/>
  <c r="B219" i="25"/>
  <c r="G173" i="23"/>
  <c r="CD173" i="6" s="1"/>
  <c r="AA173" i="23"/>
  <c r="Z173" i="23" s="1"/>
  <c r="Y173" i="23" s="1"/>
  <c r="W127" i="24"/>
  <c r="D127" i="24"/>
  <c r="E127" i="24" s="1"/>
  <c r="F127" i="24" s="1"/>
  <c r="B127" i="25"/>
  <c r="G89" i="23"/>
  <c r="CD89" i="6" s="1"/>
  <c r="AA89" i="23"/>
  <c r="Z89" i="23" s="1"/>
  <c r="Y89" i="23" s="1"/>
  <c r="W61" i="24"/>
  <c r="D61" i="24"/>
  <c r="E61" i="24" s="1"/>
  <c r="F61" i="24" s="1"/>
  <c r="B61" i="25"/>
  <c r="G265" i="23"/>
  <c r="CD265" i="6" s="1"/>
  <c r="AA265" i="23"/>
  <c r="Z265" i="23" s="1"/>
  <c r="Y265" i="23" s="1"/>
  <c r="W161" i="24"/>
  <c r="D161" i="24"/>
  <c r="E161" i="24" s="1"/>
  <c r="F161" i="24" s="1"/>
  <c r="B161" i="25"/>
  <c r="AA116" i="24"/>
  <c r="Z116" i="24" s="1"/>
  <c r="Y116" i="24" s="1"/>
  <c r="G116" i="24"/>
  <c r="CE116" i="6" s="1"/>
  <c r="W334" i="24"/>
  <c r="D334" i="24"/>
  <c r="E334" i="24" s="1"/>
  <c r="F334" i="24" s="1"/>
  <c r="B334" i="25"/>
  <c r="G294" i="23"/>
  <c r="CD294" i="6" s="1"/>
  <c r="AA294" i="23"/>
  <c r="Z294" i="23" s="1"/>
  <c r="Y294" i="23" s="1"/>
  <c r="W192" i="24"/>
  <c r="D192" i="24"/>
  <c r="E192" i="24" s="1"/>
  <c r="F192" i="24" s="1"/>
  <c r="B192" i="25"/>
  <c r="G148" i="24"/>
  <c r="CE148" i="6" s="1"/>
  <c r="AA148" i="24"/>
  <c r="Z148" i="24" s="1"/>
  <c r="Y148" i="24" s="1"/>
  <c r="W281" i="24"/>
  <c r="D281" i="24"/>
  <c r="E281" i="24" s="1"/>
  <c r="F281" i="24" s="1"/>
  <c r="B281" i="25"/>
  <c r="G249" i="23"/>
  <c r="CD249" i="6" s="1"/>
  <c r="AA249" i="23"/>
  <c r="Z249" i="23" s="1"/>
  <c r="Y249" i="23" s="1"/>
  <c r="W185" i="24"/>
  <c r="D185" i="24"/>
  <c r="E185" i="24" s="1"/>
  <c r="F185" i="24" s="1"/>
  <c r="B185" i="25"/>
  <c r="G159" i="23"/>
  <c r="CD159" i="6" s="1"/>
  <c r="AA159" i="23"/>
  <c r="Z159" i="23" s="1"/>
  <c r="Y159" i="23" s="1"/>
  <c r="W99" i="24"/>
  <c r="D99" i="24"/>
  <c r="E99" i="24" s="1"/>
  <c r="F99" i="24" s="1"/>
  <c r="B99" i="25"/>
  <c r="G77" i="23"/>
  <c r="CD77" i="6" s="1"/>
  <c r="AA77" i="23"/>
  <c r="Z77" i="23" s="1"/>
  <c r="Y77" i="23" s="1"/>
  <c r="W37" i="24"/>
  <c r="D37" i="24"/>
  <c r="E37" i="24" s="1"/>
  <c r="F37" i="24" s="1"/>
  <c r="B37" i="25"/>
  <c r="G130" i="23"/>
  <c r="CD130" i="6" s="1"/>
  <c r="AA130" i="23"/>
  <c r="Z130" i="23" s="1"/>
  <c r="Y130" i="23" s="1"/>
  <c r="W244" i="24"/>
  <c r="D244" i="24"/>
  <c r="E244" i="24" s="1"/>
  <c r="F244" i="24" s="1"/>
  <c r="B244" i="25"/>
  <c r="AA210" i="23"/>
  <c r="Z210" i="23" s="1"/>
  <c r="Y210" i="23" s="1"/>
  <c r="G210" i="23"/>
  <c r="CD210" i="6" s="1"/>
  <c r="W189" i="25"/>
  <c r="D189" i="25"/>
  <c r="E189" i="25" s="1"/>
  <c r="F189" i="25" s="1"/>
  <c r="W194" i="25"/>
  <c r="D194" i="25"/>
  <c r="E194" i="25" s="1"/>
  <c r="F194" i="25" s="1"/>
  <c r="G171" i="24"/>
  <c r="CE171" i="6" s="1"/>
  <c r="AA171" i="24"/>
  <c r="Z171" i="24" s="1"/>
  <c r="Y171" i="24" s="1"/>
  <c r="W75" i="25"/>
  <c r="D75" i="25"/>
  <c r="E75" i="25" s="1"/>
  <c r="F75" i="25" s="1"/>
  <c r="G261" i="24"/>
  <c r="CE261" i="6" s="1"/>
  <c r="AA261" i="24"/>
  <c r="Z261" i="24" s="1"/>
  <c r="Y261" i="24" s="1"/>
  <c r="W74" i="25"/>
  <c r="D74" i="25"/>
  <c r="E74" i="25" s="1"/>
  <c r="F74" i="25" s="1"/>
  <c r="G349" i="24"/>
  <c r="CE349" i="6" s="1"/>
  <c r="AA349" i="24"/>
  <c r="Z349" i="24" s="1"/>
  <c r="Y349" i="24" s="1"/>
  <c r="W67" i="25"/>
  <c r="D67" i="25"/>
  <c r="E67" i="25" s="1"/>
  <c r="F67" i="25" s="1"/>
  <c r="AA67" i="24"/>
  <c r="Z67" i="24" s="1"/>
  <c r="Y67" i="24" s="1"/>
  <c r="G67" i="24"/>
  <c r="CE67" i="6" s="1"/>
  <c r="AA226" i="24"/>
  <c r="Z226" i="24" s="1"/>
  <c r="Y226" i="24" s="1"/>
  <c r="G226" i="24"/>
  <c r="CE226" i="6" s="1"/>
  <c r="W150" i="25"/>
  <c r="D150" i="25"/>
  <c r="E150" i="25" s="1"/>
  <c r="F150" i="25" s="1"/>
  <c r="BA232" i="6"/>
  <c r="D232" i="6" s="1"/>
  <c r="H232" i="20"/>
  <c r="BA76" i="6"/>
  <c r="D76" i="6" s="1"/>
  <c r="H76" i="20"/>
  <c r="BA73" i="6"/>
  <c r="D73" i="6" s="1"/>
  <c r="H73" i="20"/>
  <c r="BA309" i="6"/>
  <c r="H309" i="20"/>
  <c r="BA332" i="6"/>
  <c r="D332" i="6" s="1"/>
  <c r="H332" i="20"/>
  <c r="BA321" i="6"/>
  <c r="D321" i="6" s="1"/>
  <c r="H321" i="20"/>
  <c r="BA163" i="6"/>
  <c r="D163" i="6" s="1"/>
  <c r="H163" i="20"/>
  <c r="BA311" i="6"/>
  <c r="D311" i="6" s="1"/>
  <c r="H311" i="20"/>
  <c r="BA90" i="6"/>
  <c r="D90" i="6" s="1"/>
  <c r="H90" i="20"/>
  <c r="BA137" i="6"/>
  <c r="D137" i="6" s="1"/>
  <c r="H137" i="20"/>
  <c r="BA340" i="6"/>
  <c r="D340" i="6" s="1"/>
  <c r="H340" i="20"/>
  <c r="BA290" i="6"/>
  <c r="D290" i="6" s="1"/>
  <c r="H290" i="20"/>
  <c r="W186" i="23"/>
  <c r="D186" i="23"/>
  <c r="E186" i="23" s="1"/>
  <c r="F186" i="23" s="1"/>
  <c r="B186" i="24"/>
  <c r="W162" i="24"/>
  <c r="D162" i="24"/>
  <c r="E162" i="24" s="1"/>
  <c r="F162" i="24" s="1"/>
  <c r="B162" i="25"/>
  <c r="W156" i="24"/>
  <c r="D156" i="24"/>
  <c r="E156" i="24" s="1"/>
  <c r="F156" i="24" s="1"/>
  <c r="B156" i="25"/>
  <c r="W102" i="24"/>
  <c r="D102" i="24"/>
  <c r="E102" i="24" s="1"/>
  <c r="F102" i="24" s="1"/>
  <c r="B102" i="25"/>
  <c r="G72" i="23"/>
  <c r="CD72" i="6" s="1"/>
  <c r="AA72" i="23"/>
  <c r="Z72" i="23" s="1"/>
  <c r="Y72" i="23" s="1"/>
  <c r="W58" i="24"/>
  <c r="D58" i="24"/>
  <c r="E58" i="24" s="1"/>
  <c r="F58" i="24" s="1"/>
  <c r="B58" i="25"/>
  <c r="W44" i="24"/>
  <c r="D44" i="24"/>
  <c r="E44" i="24" s="1"/>
  <c r="F44" i="24" s="1"/>
  <c r="B44" i="25"/>
  <c r="G36" i="23"/>
  <c r="CD36" i="6" s="1"/>
  <c r="AA36" i="23"/>
  <c r="Z36" i="23" s="1"/>
  <c r="Y36" i="23" s="1"/>
  <c r="BA24" i="6"/>
  <c r="D24" i="6" s="1"/>
  <c r="H24" i="20"/>
  <c r="G24" i="23"/>
  <c r="CD24" i="6" s="1"/>
  <c r="AA24" i="23"/>
  <c r="Z24" i="23" s="1"/>
  <c r="Y24" i="23" s="1"/>
  <c r="G355" i="23"/>
  <c r="CD355" i="6" s="1"/>
  <c r="AA355" i="23"/>
  <c r="Z355" i="23" s="1"/>
  <c r="Y355" i="23" s="1"/>
  <c r="G345" i="23"/>
  <c r="CD345" i="6" s="1"/>
  <c r="AA345" i="23"/>
  <c r="Z345" i="23" s="1"/>
  <c r="Y345" i="23" s="1"/>
  <c r="W329" i="24"/>
  <c r="D329" i="24"/>
  <c r="E329" i="24" s="1"/>
  <c r="F329" i="24" s="1"/>
  <c r="B329" i="25"/>
  <c r="W297" i="24"/>
  <c r="D297" i="24"/>
  <c r="E297" i="24" s="1"/>
  <c r="F297" i="24" s="1"/>
  <c r="B297" i="25"/>
  <c r="G243" i="23"/>
  <c r="CD243" i="6" s="1"/>
  <c r="AA243" i="23"/>
  <c r="Z243" i="23" s="1"/>
  <c r="Y243" i="23" s="1"/>
  <c r="BA237" i="6"/>
  <c r="D237" i="6" s="1"/>
  <c r="H237" i="20"/>
  <c r="D237" i="24"/>
  <c r="E237" i="24" s="1"/>
  <c r="F237" i="24" s="1"/>
  <c r="W237" i="24"/>
  <c r="B237" i="25"/>
  <c r="W217" i="24"/>
  <c r="D217" i="24"/>
  <c r="E217" i="24" s="1"/>
  <c r="F217" i="24" s="1"/>
  <c r="B217" i="25"/>
  <c r="G199" i="23"/>
  <c r="CD199" i="6" s="1"/>
  <c r="AA199" i="23"/>
  <c r="Z199" i="23" s="1"/>
  <c r="Y199" i="23" s="1"/>
  <c r="W133" i="24"/>
  <c r="D133" i="24"/>
  <c r="E133" i="24" s="1"/>
  <c r="F133" i="24" s="1"/>
  <c r="B133" i="25"/>
  <c r="G121" i="23"/>
  <c r="CD121" i="6" s="1"/>
  <c r="AA121" i="23"/>
  <c r="Z121" i="23" s="1"/>
  <c r="Y121" i="23" s="1"/>
  <c r="W115" i="24"/>
  <c r="D115" i="24"/>
  <c r="E115" i="24" s="1"/>
  <c r="F115" i="24" s="1"/>
  <c r="B115" i="25"/>
  <c r="G109" i="23"/>
  <c r="CD109" i="6" s="1"/>
  <c r="AA109" i="23"/>
  <c r="Z109" i="23" s="1"/>
  <c r="Y109" i="23" s="1"/>
  <c r="G85" i="23"/>
  <c r="CD85" i="6" s="1"/>
  <c r="AA85" i="23"/>
  <c r="Z85" i="23" s="1"/>
  <c r="Y85" i="23" s="1"/>
  <c r="G51" i="23"/>
  <c r="CD51" i="6" s="1"/>
  <c r="AA51" i="23"/>
  <c r="Z51" i="23" s="1"/>
  <c r="Y51" i="23" s="1"/>
  <c r="BA25" i="6"/>
  <c r="D25" i="6" s="1"/>
  <c r="H25" i="20"/>
  <c r="G25" i="23"/>
  <c r="CD25" i="6" s="1"/>
  <c r="AA25" i="23"/>
  <c r="Z25" i="23" s="1"/>
  <c r="Y25" i="23" s="1"/>
  <c r="W370" i="24"/>
  <c r="D370" i="24"/>
  <c r="E370" i="24" s="1"/>
  <c r="F370" i="24" s="1"/>
  <c r="B370" i="25"/>
  <c r="W360" i="24"/>
  <c r="D360" i="24"/>
  <c r="E360" i="24" s="1"/>
  <c r="F360" i="24" s="1"/>
  <c r="B360" i="25"/>
  <c r="W344" i="24"/>
  <c r="D344" i="24"/>
  <c r="E344" i="24" s="1"/>
  <c r="F344" i="24" s="1"/>
  <c r="B344" i="25"/>
  <c r="G324" i="23"/>
  <c r="CD324" i="6" s="1"/>
  <c r="AA324" i="23"/>
  <c r="Z324" i="23" s="1"/>
  <c r="Y324" i="23" s="1"/>
  <c r="W304" i="24"/>
  <c r="D304" i="24"/>
  <c r="E304" i="24" s="1"/>
  <c r="F304" i="24" s="1"/>
  <c r="B304" i="25"/>
  <c r="G280" i="23"/>
  <c r="CD280" i="6" s="1"/>
  <c r="AA280" i="23"/>
  <c r="Z280" i="23" s="1"/>
  <c r="Y280" i="23" s="1"/>
  <c r="BA262" i="6"/>
  <c r="D262" i="6" s="1"/>
  <c r="H262" i="20"/>
  <c r="G262" i="23"/>
  <c r="CD262" i="6" s="1"/>
  <c r="AA262" i="23"/>
  <c r="Z262" i="23" s="1"/>
  <c r="Y262" i="23" s="1"/>
  <c r="D238" i="24"/>
  <c r="E238" i="24" s="1"/>
  <c r="F238" i="24" s="1"/>
  <c r="W238" i="24"/>
  <c r="B238" i="25"/>
  <c r="G202" i="23"/>
  <c r="CD202" i="6" s="1"/>
  <c r="AA202" i="23"/>
  <c r="Z202" i="23" s="1"/>
  <c r="Y202" i="23" s="1"/>
  <c r="BA172" i="6"/>
  <c r="D172" i="6" s="1"/>
  <c r="H172" i="20"/>
  <c r="W172" i="24"/>
  <c r="D172" i="24"/>
  <c r="E172" i="24" s="1"/>
  <c r="F172" i="24" s="1"/>
  <c r="B172" i="25"/>
  <c r="G138" i="23"/>
  <c r="CD138" i="6" s="1"/>
  <c r="AA138" i="23"/>
  <c r="Z138" i="23" s="1"/>
  <c r="Y138" i="23" s="1"/>
  <c r="BA122" i="6"/>
  <c r="D122" i="6" s="1"/>
  <c r="H122" i="20"/>
  <c r="G122" i="23"/>
  <c r="CD122" i="6" s="1"/>
  <c r="AA122" i="23"/>
  <c r="Z122" i="23" s="1"/>
  <c r="Y122" i="23" s="1"/>
  <c r="W28" i="24"/>
  <c r="D28" i="24"/>
  <c r="E28" i="24" s="1"/>
  <c r="F28" i="24" s="1"/>
  <c r="B28" i="25"/>
  <c r="G18" i="23"/>
  <c r="CD18" i="6" s="1"/>
  <c r="AA18" i="23"/>
  <c r="Z18" i="23" s="1"/>
  <c r="Y18" i="23" s="1"/>
  <c r="D288" i="24"/>
  <c r="E288" i="24" s="1"/>
  <c r="F288" i="24" s="1"/>
  <c r="W288" i="24"/>
  <c r="B288" i="25"/>
  <c r="G191" i="23"/>
  <c r="CD191" i="6" s="1"/>
  <c r="AA191" i="23"/>
  <c r="Z191" i="23" s="1"/>
  <c r="Y191" i="23" s="1"/>
  <c r="W143" i="24"/>
  <c r="D143" i="24"/>
  <c r="E143" i="24" s="1"/>
  <c r="F143" i="24" s="1"/>
  <c r="B143" i="25"/>
  <c r="W65" i="24"/>
  <c r="D65" i="24"/>
  <c r="E65" i="24" s="1"/>
  <c r="F65" i="24" s="1"/>
  <c r="B65" i="25"/>
  <c r="G372" i="23"/>
  <c r="CD372" i="6" s="1"/>
  <c r="AA372" i="23"/>
  <c r="Z372" i="23" s="1"/>
  <c r="Y372" i="23" s="1"/>
  <c r="G326" i="22"/>
  <c r="CC326" i="6" s="1"/>
  <c r="AA326" i="22"/>
  <c r="Z326" i="22" s="1"/>
  <c r="Y326" i="22" s="1"/>
  <c r="W250" i="23"/>
  <c r="D250" i="23"/>
  <c r="E250" i="23" s="1"/>
  <c r="F250" i="23" s="1"/>
  <c r="B250" i="24"/>
  <c r="G188" i="22"/>
  <c r="CC188" i="6" s="1"/>
  <c r="AA188" i="22"/>
  <c r="Z188" i="22" s="1"/>
  <c r="Y188" i="22" s="1"/>
  <c r="W126" i="23"/>
  <c r="D126" i="23"/>
  <c r="E126" i="23" s="1"/>
  <c r="F126" i="23" s="1"/>
  <c r="B126" i="24"/>
  <c r="G96" i="22"/>
  <c r="CC96" i="6" s="1"/>
  <c r="AA96" i="22"/>
  <c r="Z96" i="22" s="1"/>
  <c r="Y96" i="22" s="1"/>
  <c r="G327" i="22"/>
  <c r="CC327" i="6" s="1"/>
  <c r="AA327" i="22"/>
  <c r="Z327" i="22" s="1"/>
  <c r="Y327" i="22" s="1"/>
  <c r="H259" i="20"/>
  <c r="BA209" i="6"/>
  <c r="D209" i="6" s="1"/>
  <c r="H209" i="20"/>
  <c r="BA195" i="6"/>
  <c r="D195" i="6" s="1"/>
  <c r="H195" i="20"/>
  <c r="BA147" i="6"/>
  <c r="D147" i="6" s="1"/>
  <c r="H147" i="20"/>
  <c r="BA79" i="6"/>
  <c r="D79" i="6" s="1"/>
  <c r="H79" i="20"/>
  <c r="BA33" i="6"/>
  <c r="D33" i="6" s="1"/>
  <c r="H33" i="20"/>
  <c r="W23" i="23"/>
  <c r="D23" i="23"/>
  <c r="E23" i="23" s="1"/>
  <c r="F23" i="23" s="1"/>
  <c r="B23" i="24"/>
  <c r="BA336" i="6"/>
  <c r="D336" i="6" s="1"/>
  <c r="H336" i="20"/>
  <c r="BA308" i="6"/>
  <c r="D308" i="6" s="1"/>
  <c r="H308" i="20"/>
  <c r="BA176" i="6"/>
  <c r="D176" i="6" s="1"/>
  <c r="H176" i="20"/>
  <c r="BA128" i="6"/>
  <c r="D128" i="6" s="1"/>
  <c r="H128" i="20"/>
  <c r="BA56" i="6"/>
  <c r="D56" i="6" s="1"/>
  <c r="H56" i="20"/>
  <c r="BA253" i="6"/>
  <c r="H253" i="20"/>
  <c r="BA95" i="6"/>
  <c r="D95" i="6" s="1"/>
  <c r="H95" i="20"/>
  <c r="BA278" i="6"/>
  <c r="D278" i="6" s="1"/>
  <c r="H278" i="20"/>
  <c r="BA111" i="6"/>
  <c r="D111" i="6" s="1"/>
  <c r="H111" i="20"/>
  <c r="BA17" i="6"/>
  <c r="D17" i="6" s="1"/>
  <c r="H17" i="20"/>
  <c r="BA166" i="6"/>
  <c r="D166" i="6" s="1"/>
  <c r="H166" i="20"/>
  <c r="BA177" i="6"/>
  <c r="D177" i="6" s="1"/>
  <c r="H177" i="20"/>
  <c r="BA333" i="6"/>
  <c r="D333" i="6" s="1"/>
  <c r="H333" i="20"/>
  <c r="W196" i="23"/>
  <c r="D196" i="23"/>
  <c r="E196" i="23" s="1"/>
  <c r="F196" i="23" s="1"/>
  <c r="B196" i="24"/>
  <c r="Z15" i="17"/>
  <c r="AL7" i="17" s="1"/>
  <c r="J15" i="17"/>
  <c r="I15" i="17"/>
  <c r="G373" i="23"/>
  <c r="CD373" i="6" s="1"/>
  <c r="AA373" i="23"/>
  <c r="Z373" i="23" s="1"/>
  <c r="Y373" i="23" s="1"/>
  <c r="W325" i="24"/>
  <c r="D325" i="24"/>
  <c r="E325" i="24" s="1"/>
  <c r="F325" i="24" s="1"/>
  <c r="B325" i="25"/>
  <c r="G277" i="23"/>
  <c r="CD277" i="6" s="1"/>
  <c r="AA277" i="23"/>
  <c r="Z277" i="23" s="1"/>
  <c r="Y277" i="23" s="1"/>
  <c r="W245" i="24"/>
  <c r="D245" i="24"/>
  <c r="E245" i="24" s="1"/>
  <c r="F245" i="24" s="1"/>
  <c r="B245" i="25"/>
  <c r="W203" i="24"/>
  <c r="D203" i="24"/>
  <c r="E203" i="24" s="1"/>
  <c r="F203" i="24" s="1"/>
  <c r="B203" i="25"/>
  <c r="W169" i="24"/>
  <c r="D169" i="24"/>
  <c r="E169" i="24" s="1"/>
  <c r="F169" i="24" s="1"/>
  <c r="B169" i="25"/>
  <c r="W139" i="24"/>
  <c r="D139" i="24"/>
  <c r="E139" i="24" s="1"/>
  <c r="F139" i="24" s="1"/>
  <c r="B139" i="25"/>
  <c r="G53" i="23"/>
  <c r="CD53" i="6" s="1"/>
  <c r="AA53" i="23"/>
  <c r="Z53" i="23" s="1"/>
  <c r="Y53" i="23" s="1"/>
  <c r="G369" i="23"/>
  <c r="CD369" i="6" s="1"/>
  <c r="AA369" i="23"/>
  <c r="Z369" i="23" s="1"/>
  <c r="Y369" i="23" s="1"/>
  <c r="W347" i="24"/>
  <c r="D347" i="24"/>
  <c r="E347" i="24" s="1"/>
  <c r="F347" i="24" s="1"/>
  <c r="B347" i="25"/>
  <c r="G376" i="23"/>
  <c r="CD376" i="6" s="1"/>
  <c r="AA376" i="23"/>
  <c r="Z376" i="23" s="1"/>
  <c r="Y376" i="23" s="1"/>
  <c r="W368" i="24"/>
  <c r="D368" i="24"/>
  <c r="E368" i="24" s="1"/>
  <c r="F368" i="24" s="1"/>
  <c r="B368" i="25"/>
  <c r="W346" i="25"/>
  <c r="D346" i="25"/>
  <c r="E346" i="25" s="1"/>
  <c r="F346" i="25" s="1"/>
  <c r="G283" i="24"/>
  <c r="CE283" i="6" s="1"/>
  <c r="AA283" i="24"/>
  <c r="Z283" i="24" s="1"/>
  <c r="Y283" i="24" s="1"/>
  <c r="W248" i="25"/>
  <c r="D248" i="25"/>
  <c r="E248" i="25" s="1"/>
  <c r="F248" i="25" s="1"/>
  <c r="G22" i="24"/>
  <c r="CE22" i="6" s="1"/>
  <c r="AA22" i="24"/>
  <c r="Z22" i="24" s="1"/>
  <c r="Y22" i="24" s="1"/>
  <c r="W46" i="25"/>
  <c r="D46" i="25"/>
  <c r="E46" i="25" s="1"/>
  <c r="F46" i="25" s="1"/>
  <c r="G298" i="23"/>
  <c r="CD298" i="6" s="1"/>
  <c r="AA298" i="23"/>
  <c r="Z298" i="23" s="1"/>
  <c r="Y298" i="23" s="1"/>
  <c r="W316" i="24"/>
  <c r="D316" i="24"/>
  <c r="E316" i="24" s="1"/>
  <c r="F316" i="24" s="1"/>
  <c r="B316" i="25"/>
  <c r="G149" i="23"/>
  <c r="CD149" i="6" s="1"/>
  <c r="AA149" i="23"/>
  <c r="Z149" i="23" s="1"/>
  <c r="Y149" i="23" s="1"/>
  <c r="D333" i="24"/>
  <c r="E333" i="24" s="1"/>
  <c r="F333" i="24" s="1"/>
  <c r="W333" i="24"/>
  <c r="B333" i="25"/>
  <c r="W132" i="23"/>
  <c r="D132" i="23"/>
  <c r="E132" i="23" s="1"/>
  <c r="F132" i="23" s="1"/>
  <c r="B132" i="24"/>
  <c r="W153" i="23"/>
  <c r="D153" i="23"/>
  <c r="E153" i="23" s="1"/>
  <c r="F153" i="23" s="1"/>
  <c r="B153" i="24"/>
  <c r="W251" i="23"/>
  <c r="D251" i="23"/>
  <c r="E251" i="23" s="1"/>
  <c r="F251" i="23" s="1"/>
  <c r="B251" i="24"/>
  <c r="W235" i="23"/>
  <c r="D235" i="23"/>
  <c r="E235" i="23" s="1"/>
  <c r="F235" i="23" s="1"/>
  <c r="B235" i="24"/>
  <c r="W103" i="23"/>
  <c r="D103" i="23"/>
  <c r="E103" i="23" s="1"/>
  <c r="F103" i="23" s="1"/>
  <c r="B103" i="24"/>
  <c r="W52" i="23"/>
  <c r="D52" i="23"/>
  <c r="E52" i="23" s="1"/>
  <c r="F52" i="23" s="1"/>
  <c r="B52" i="24"/>
  <c r="W152" i="23"/>
  <c r="D152" i="23"/>
  <c r="E152" i="23" s="1"/>
  <c r="F152" i="23" s="1"/>
  <c r="B152" i="24"/>
  <c r="W305" i="23"/>
  <c r="D305" i="23"/>
  <c r="E305" i="23" s="1"/>
  <c r="F305" i="23" s="1"/>
  <c r="B305" i="24"/>
  <c r="W252" i="23"/>
  <c r="D252" i="23"/>
  <c r="E252" i="23" s="1"/>
  <c r="F252" i="23" s="1"/>
  <c r="B252" i="24"/>
  <c r="W204" i="23"/>
  <c r="D204" i="23"/>
  <c r="E204" i="23" s="1"/>
  <c r="F204" i="23" s="1"/>
  <c r="B204" i="24"/>
  <c r="W222" i="23"/>
  <c r="D222" i="23"/>
  <c r="E222" i="23" s="1"/>
  <c r="F222" i="23" s="1"/>
  <c r="B222" i="24"/>
  <c r="W366" i="23"/>
  <c r="D366" i="23"/>
  <c r="E366" i="23" s="1"/>
  <c r="F366" i="23" s="1"/>
  <c r="B366" i="24"/>
  <c r="G366" i="22"/>
  <c r="CC366" i="6" s="1"/>
  <c r="AA366" i="22"/>
  <c r="Z366" i="22" s="1"/>
  <c r="Y366" i="22" s="1"/>
  <c r="G342" i="22"/>
  <c r="CC342" i="6" s="1"/>
  <c r="AA342" i="22"/>
  <c r="Z342" i="22" s="1"/>
  <c r="Y342" i="22" s="1"/>
  <c r="G312" i="22"/>
  <c r="CC312" i="6" s="1"/>
  <c r="AA312" i="22"/>
  <c r="Z312" i="22" s="1"/>
  <c r="Y312" i="22" s="1"/>
  <c r="G242" i="22"/>
  <c r="CC242" i="6" s="1"/>
  <c r="AA242" i="22"/>
  <c r="Z242" i="22" s="1"/>
  <c r="Y242" i="22" s="1"/>
  <c r="G212" i="22"/>
  <c r="CC212" i="6" s="1"/>
  <c r="AA212" i="22"/>
  <c r="Z212" i="22" s="1"/>
  <c r="Y212" i="22" s="1"/>
  <c r="G168" i="22"/>
  <c r="CC168" i="6" s="1"/>
  <c r="AA168" i="22"/>
  <c r="Z168" i="22" s="1"/>
  <c r="Y168" i="22" s="1"/>
  <c r="G134" i="22"/>
  <c r="CC134" i="6" s="1"/>
  <c r="AA134" i="22"/>
  <c r="Z134" i="22" s="1"/>
  <c r="Y134" i="22" s="1"/>
  <c r="W68" i="23"/>
  <c r="D68" i="23"/>
  <c r="E68" i="23" s="1"/>
  <c r="F68" i="23" s="1"/>
  <c r="B68" i="24"/>
  <c r="W40" i="23"/>
  <c r="D40" i="23"/>
  <c r="E40" i="23" s="1"/>
  <c r="F40" i="23" s="1"/>
  <c r="B40" i="24"/>
  <c r="W377" i="23"/>
  <c r="D377" i="23"/>
  <c r="E377" i="23" s="1"/>
  <c r="F377" i="23" s="1"/>
  <c r="B377" i="24"/>
  <c r="W343" i="23"/>
  <c r="D343" i="23"/>
  <c r="E343" i="23" s="1"/>
  <c r="F343" i="23" s="1"/>
  <c r="B343" i="24"/>
  <c r="W279" i="23"/>
  <c r="D279" i="23"/>
  <c r="E279" i="23" s="1"/>
  <c r="F279" i="23" s="1"/>
  <c r="B279" i="24"/>
  <c r="W225" i="23"/>
  <c r="D225" i="23"/>
  <c r="E225" i="23" s="1"/>
  <c r="F225" i="23" s="1"/>
  <c r="B225" i="24"/>
  <c r="W165" i="23"/>
  <c r="D165" i="23"/>
  <c r="E165" i="23" s="1"/>
  <c r="F165" i="23" s="1"/>
  <c r="B165" i="24"/>
  <c r="W117" i="23"/>
  <c r="D117" i="23"/>
  <c r="E117" i="23" s="1"/>
  <c r="F117" i="23" s="1"/>
  <c r="B117" i="24"/>
  <c r="W91" i="23"/>
  <c r="D91" i="23"/>
  <c r="E91" i="23" s="1"/>
  <c r="F91" i="23" s="1"/>
  <c r="B91" i="24"/>
  <c r="W41" i="23"/>
  <c r="D41" i="23"/>
  <c r="E41" i="23" s="1"/>
  <c r="F41" i="23" s="1"/>
  <c r="B41" i="24"/>
  <c r="H26" i="20"/>
  <c r="W364" i="23"/>
  <c r="D364" i="23"/>
  <c r="E364" i="23" s="1"/>
  <c r="F364" i="23" s="1"/>
  <c r="B364" i="24"/>
  <c r="W330" i="23"/>
  <c r="D330" i="23"/>
  <c r="E330" i="23" s="1"/>
  <c r="F330" i="23" s="1"/>
  <c r="B330" i="24"/>
  <c r="W292" i="23"/>
  <c r="D292" i="23"/>
  <c r="E292" i="23" s="1"/>
  <c r="F292" i="23" s="1"/>
  <c r="B292" i="24"/>
  <c r="W256" i="23"/>
  <c r="D256" i="23"/>
  <c r="E256" i="23" s="1"/>
  <c r="F256" i="23" s="1"/>
  <c r="B256" i="24"/>
  <c r="W184" i="23"/>
  <c r="D184" i="23"/>
  <c r="E184" i="23" s="1"/>
  <c r="F184" i="23" s="1"/>
  <c r="B184" i="24"/>
  <c r="W124" i="23"/>
  <c r="D124" i="23"/>
  <c r="E124" i="23" s="1"/>
  <c r="F124" i="23" s="1"/>
  <c r="B124" i="24"/>
  <c r="G27" i="22"/>
  <c r="CC27" i="6" s="1"/>
  <c r="AA27" i="22"/>
  <c r="Z27" i="22" s="1"/>
  <c r="Y27" i="22" s="1"/>
  <c r="BA245" i="6"/>
  <c r="D245" i="6" s="1"/>
  <c r="H245" i="20"/>
  <c r="W151" i="23"/>
  <c r="D151" i="23"/>
  <c r="E151" i="23" s="1"/>
  <c r="F151" i="23" s="1"/>
  <c r="B151" i="24"/>
  <c r="G107" i="22"/>
  <c r="CC107" i="6" s="1"/>
  <c r="AA107" i="22"/>
  <c r="Z107" i="22" s="1"/>
  <c r="Y107" i="22" s="1"/>
  <c r="W39" i="23"/>
  <c r="D39" i="23"/>
  <c r="E39" i="23" s="1"/>
  <c r="F39" i="23" s="1"/>
  <c r="B39" i="24"/>
  <c r="G348" i="22"/>
  <c r="CC348" i="6" s="1"/>
  <c r="AA348" i="22"/>
  <c r="Z348" i="22" s="1"/>
  <c r="Y348" i="22" s="1"/>
  <c r="W296" i="23"/>
  <c r="D296" i="23"/>
  <c r="E296" i="23" s="1"/>
  <c r="F296" i="23" s="1"/>
  <c r="B296" i="24"/>
  <c r="G218" i="22"/>
  <c r="CC218" i="6" s="1"/>
  <c r="AA218" i="22"/>
  <c r="Z218" i="22" s="1"/>
  <c r="Y218" i="22" s="1"/>
  <c r="W144" i="23"/>
  <c r="D144" i="23"/>
  <c r="E144" i="23" s="1"/>
  <c r="F144" i="23" s="1"/>
  <c r="B144" i="24"/>
  <c r="G112" i="22"/>
  <c r="CC112" i="6" s="1"/>
  <c r="AA112" i="22"/>
  <c r="Z112" i="22" s="1"/>
  <c r="Y112" i="22" s="1"/>
  <c r="D94" i="24"/>
  <c r="E94" i="24" s="1"/>
  <c r="F94" i="24" s="1"/>
  <c r="W94" i="24"/>
  <c r="B94" i="25"/>
  <c r="G80" i="23"/>
  <c r="CD80" i="6" s="1"/>
  <c r="AA80" i="23"/>
  <c r="Z80" i="23" s="1"/>
  <c r="Y80" i="23" s="1"/>
  <c r="G233" i="22"/>
  <c r="CC233" i="6" s="1"/>
  <c r="AA233" i="22"/>
  <c r="Z233" i="22" s="1"/>
  <c r="Y233" i="22" s="1"/>
  <c r="G201" i="22"/>
  <c r="CC201" i="6" s="1"/>
  <c r="AA201" i="22"/>
  <c r="Z201" i="22" s="1"/>
  <c r="Y201" i="22" s="1"/>
  <c r="G145" i="22"/>
  <c r="CC145" i="6" s="1"/>
  <c r="AA145" i="22"/>
  <c r="Z145" i="22" s="1"/>
  <c r="Y145" i="22" s="1"/>
  <c r="G87" i="22"/>
  <c r="CC87" i="6" s="1"/>
  <c r="AA87" i="22"/>
  <c r="Z87" i="22" s="1"/>
  <c r="Y87" i="22" s="1"/>
  <c r="W49" i="23"/>
  <c r="D49" i="23"/>
  <c r="E49" i="23" s="1"/>
  <c r="F49" i="23" s="1"/>
  <c r="B49" i="24"/>
  <c r="W31" i="23"/>
  <c r="D31" i="23"/>
  <c r="E31" i="23" s="1"/>
  <c r="F31" i="23" s="1"/>
  <c r="B31" i="24"/>
  <c r="W352" i="23"/>
  <c r="D352" i="23"/>
  <c r="E352" i="23" s="1"/>
  <c r="F352" i="23" s="1"/>
  <c r="B352" i="24"/>
  <c r="W318" i="23"/>
  <c r="D318" i="23"/>
  <c r="E318" i="23" s="1"/>
  <c r="F318" i="23" s="1"/>
  <c r="B318" i="24"/>
  <c r="W274" i="23"/>
  <c r="D274" i="23"/>
  <c r="E274" i="23" s="1"/>
  <c r="F274" i="23" s="1"/>
  <c r="B274" i="24"/>
  <c r="W254" i="23"/>
  <c r="D254" i="23"/>
  <c r="E254" i="23" s="1"/>
  <c r="F254" i="23" s="1"/>
  <c r="B254" i="24"/>
  <c r="W178" i="23"/>
  <c r="D178" i="23"/>
  <c r="E178" i="23" s="1"/>
  <c r="F178" i="23" s="1"/>
  <c r="B178" i="24"/>
  <c r="H170" i="20"/>
  <c r="W136" i="23"/>
  <c r="D136" i="23"/>
  <c r="E136" i="23" s="1"/>
  <c r="F136" i="23" s="1"/>
  <c r="B136" i="24"/>
  <c r="W106" i="23"/>
  <c r="D106" i="23"/>
  <c r="E106" i="23" s="1"/>
  <c r="F106" i="23" s="1"/>
  <c r="B106" i="24"/>
  <c r="W70" i="23"/>
  <c r="D70" i="23"/>
  <c r="E70" i="23" s="1"/>
  <c r="F70" i="23" s="1"/>
  <c r="B70" i="24"/>
  <c r="BA271" i="6"/>
  <c r="D271" i="6" s="1"/>
  <c r="H271" i="20"/>
  <c r="BA185" i="6"/>
  <c r="D185" i="6" s="1"/>
  <c r="H185" i="20"/>
  <c r="BA89" i="6"/>
  <c r="D89" i="6" s="1"/>
  <c r="H89" i="20"/>
  <c r="BA37" i="6"/>
  <c r="D37" i="6" s="1"/>
  <c r="H37" i="20"/>
  <c r="BA265" i="6"/>
  <c r="D265" i="6" s="1"/>
  <c r="H265" i="20"/>
  <c r="BA130" i="6"/>
  <c r="D130" i="6" s="1"/>
  <c r="H130" i="20"/>
  <c r="BA161" i="6"/>
  <c r="D161" i="6" s="1"/>
  <c r="H161" i="20"/>
  <c r="H257" i="20"/>
  <c r="BA273" i="6"/>
  <c r="D273" i="6" s="1"/>
  <c r="H273" i="20"/>
  <c r="BA255" i="6"/>
  <c r="D255" i="6" s="1"/>
  <c r="H255" i="20"/>
  <c r="BA55" i="6"/>
  <c r="D55" i="6" s="1"/>
  <c r="H55" i="20"/>
  <c r="BA287" i="6"/>
  <c r="D287" i="6" s="1"/>
  <c r="H287" i="20"/>
  <c r="BA284" i="6"/>
  <c r="D284" i="6" s="1"/>
  <c r="H284" i="20"/>
  <c r="BA194" i="6"/>
  <c r="D194" i="6" s="1"/>
  <c r="H194" i="20"/>
  <c r="BA283" i="6"/>
  <c r="D283" i="6" s="1"/>
  <c r="H283" i="20"/>
  <c r="BA248" i="6"/>
  <c r="D248" i="6" s="1"/>
  <c r="H248" i="20"/>
  <c r="BA349" i="6"/>
  <c r="D349" i="6" s="1"/>
  <c r="H349" i="20"/>
  <c r="BA67" i="6"/>
  <c r="D67" i="6" s="1"/>
  <c r="H67" i="20"/>
  <c r="BA60" i="6"/>
  <c r="D60" i="6" s="1"/>
  <c r="H60" i="20"/>
  <c r="G15" i="20"/>
  <c r="CB15" i="6" s="1"/>
  <c r="AA15" i="20"/>
  <c r="G241" i="24"/>
  <c r="CE241" i="6" s="1"/>
  <c r="AA241" i="24"/>
  <c r="Z241" i="24" s="1"/>
  <c r="Y241" i="24" s="1"/>
  <c r="W367" i="25"/>
  <c r="D367" i="25"/>
  <c r="E367" i="25" s="1"/>
  <c r="F367" i="25" s="1"/>
  <c r="G335" i="24"/>
  <c r="CE335" i="6" s="1"/>
  <c r="AA335" i="24"/>
  <c r="Z335" i="24" s="1"/>
  <c r="Y335" i="24" s="1"/>
  <c r="W135" i="25"/>
  <c r="D135" i="25"/>
  <c r="E135" i="25" s="1"/>
  <c r="F135" i="25" s="1"/>
  <c r="G278" i="23"/>
  <c r="CD278" i="6" s="1"/>
  <c r="AA278" i="23"/>
  <c r="Z278" i="23" s="1"/>
  <c r="Y278" i="23" s="1"/>
  <c r="W111" i="24"/>
  <c r="D111" i="24"/>
  <c r="E111" i="24" s="1"/>
  <c r="F111" i="24" s="1"/>
  <c r="B111" i="25"/>
  <c r="G17" i="23"/>
  <c r="CD17" i="6" s="1"/>
  <c r="AA17" i="23"/>
  <c r="Z17" i="23" s="1"/>
  <c r="Y17" i="23" s="1"/>
  <c r="W319" i="24"/>
  <c r="D319" i="24"/>
  <c r="E319" i="24" s="1"/>
  <c r="F319" i="24" s="1"/>
  <c r="B319" i="25"/>
  <c r="G166" i="23"/>
  <c r="CD166" i="6" s="1"/>
  <c r="AA166" i="23"/>
  <c r="Z166" i="23" s="1"/>
  <c r="Y166" i="23" s="1"/>
  <c r="W177" i="24"/>
  <c r="D177" i="24"/>
  <c r="E177" i="24" s="1"/>
  <c r="F177" i="24" s="1"/>
  <c r="B177" i="25"/>
  <c r="AA187" i="24"/>
  <c r="Z187" i="24" s="1"/>
  <c r="Y187" i="24" s="1"/>
  <c r="G187" i="24"/>
  <c r="CE187" i="6" s="1"/>
  <c r="W365" i="25"/>
  <c r="D365" i="25"/>
  <c r="E365" i="25" s="1"/>
  <c r="F365" i="25" s="1"/>
  <c r="G60" i="24"/>
  <c r="CE60" i="6" s="1"/>
  <c r="AA60" i="24"/>
  <c r="Z60" i="24" s="1"/>
  <c r="Y60" i="24" s="1"/>
  <c r="W180" i="25"/>
  <c r="D180" i="25"/>
  <c r="E180" i="25" s="1"/>
  <c r="F180" i="25" s="1"/>
  <c r="G232" i="23"/>
  <c r="CD232" i="6" s="1"/>
  <c r="AA232" i="23"/>
  <c r="Z232" i="23" s="1"/>
  <c r="Y232" i="23" s="1"/>
  <c r="G76" i="23"/>
  <c r="CD76" i="6" s="1"/>
  <c r="AA76" i="23"/>
  <c r="Z76" i="23" s="1"/>
  <c r="Y76" i="23" s="1"/>
  <c r="AA295" i="23"/>
  <c r="Z295" i="23" s="1"/>
  <c r="Y295" i="23" s="1"/>
  <c r="G295" i="23"/>
  <c r="CD295" i="6" s="1"/>
  <c r="W81" i="24"/>
  <c r="D81" i="24"/>
  <c r="E81" i="24" s="1"/>
  <c r="F81" i="24" s="1"/>
  <c r="B81" i="25"/>
  <c r="W62" i="24"/>
  <c r="D62" i="24"/>
  <c r="E62" i="24" s="1"/>
  <c r="F62" i="24" s="1"/>
  <c r="B62" i="25"/>
  <c r="W73" i="24"/>
  <c r="D73" i="24"/>
  <c r="E73" i="24" s="1"/>
  <c r="F73" i="24" s="1"/>
  <c r="B73" i="25"/>
  <c r="W309" i="24"/>
  <c r="D309" i="24"/>
  <c r="E309" i="24" s="1"/>
  <c r="F309" i="24" s="1"/>
  <c r="B309" i="25"/>
  <c r="G332" i="23"/>
  <c r="CD332" i="6" s="1"/>
  <c r="AA332" i="23"/>
  <c r="Z332" i="23" s="1"/>
  <c r="Y332" i="23" s="1"/>
  <c r="BA125" i="6"/>
  <c r="D125" i="6" s="1"/>
  <c r="H125" i="20"/>
  <c r="W125" i="24"/>
  <c r="D125" i="24"/>
  <c r="E125" i="24" s="1"/>
  <c r="F125" i="24" s="1"/>
  <c r="B125" i="25"/>
  <c r="W321" i="24"/>
  <c r="D321" i="24"/>
  <c r="E321" i="24" s="1"/>
  <c r="F321" i="24" s="1"/>
  <c r="B321" i="25"/>
  <c r="G157" i="23"/>
  <c r="CD157" i="6" s="1"/>
  <c r="AA157" i="23"/>
  <c r="Z157" i="23" s="1"/>
  <c r="Y157" i="23" s="1"/>
  <c r="G163" i="23"/>
  <c r="CD163" i="6" s="1"/>
  <c r="AA163" i="23"/>
  <c r="Z163" i="23" s="1"/>
  <c r="Y163" i="23" s="1"/>
  <c r="G374" i="23"/>
  <c r="CD374" i="6" s="1"/>
  <c r="AA374" i="23"/>
  <c r="Z374" i="23" s="1"/>
  <c r="Y374" i="23" s="1"/>
  <c r="D98" i="24"/>
  <c r="E98" i="24" s="1"/>
  <c r="F98" i="24" s="1"/>
  <c r="W98" i="24"/>
  <c r="B98" i="25"/>
  <c r="D311" i="24"/>
  <c r="E311" i="24" s="1"/>
  <c r="F311" i="24" s="1"/>
  <c r="W311" i="24"/>
  <c r="B311" i="25"/>
  <c r="G236" i="23"/>
  <c r="CD236" i="6" s="1"/>
  <c r="AA236" i="23"/>
  <c r="Z236" i="23" s="1"/>
  <c r="Y236" i="23" s="1"/>
  <c r="D310" i="24"/>
  <c r="E310" i="24" s="1"/>
  <c r="F310" i="24" s="1"/>
  <c r="W310" i="24"/>
  <c r="B310" i="25"/>
  <c r="G182" i="23"/>
  <c r="CD182" i="6" s="1"/>
  <c r="AA182" i="23"/>
  <c r="Z182" i="23" s="1"/>
  <c r="Y182" i="23" s="1"/>
  <c r="G378" i="23"/>
  <c r="CD378" i="6" s="1"/>
  <c r="AA378" i="23"/>
  <c r="Z378" i="23" s="1"/>
  <c r="Y378" i="23" s="1"/>
  <c r="D289" i="24"/>
  <c r="E289" i="24" s="1"/>
  <c r="F289" i="24" s="1"/>
  <c r="W289" i="24"/>
  <c r="B289" i="25"/>
  <c r="G90" i="23"/>
  <c r="CD90" i="6" s="1"/>
  <c r="AA90" i="23"/>
  <c r="Z90" i="23" s="1"/>
  <c r="Y90" i="23" s="1"/>
  <c r="G78" i="23"/>
  <c r="CD78" i="6" s="1"/>
  <c r="AA78" i="23"/>
  <c r="Z78" i="23" s="1"/>
  <c r="Y78" i="23" s="1"/>
  <c r="G137" i="23"/>
  <c r="CD137" i="6" s="1"/>
  <c r="AA137" i="23"/>
  <c r="Z137" i="23" s="1"/>
  <c r="Y137" i="23" s="1"/>
  <c r="W356" i="24"/>
  <c r="D356" i="24"/>
  <c r="E356" i="24" s="1"/>
  <c r="F356" i="24" s="1"/>
  <c r="B356" i="25"/>
  <c r="G340" i="23"/>
  <c r="CD340" i="6" s="1"/>
  <c r="AA340" i="23"/>
  <c r="Z340" i="23" s="1"/>
  <c r="Y340" i="23" s="1"/>
  <c r="W314" i="24"/>
  <c r="D314" i="24"/>
  <c r="E314" i="24" s="1"/>
  <c r="F314" i="24" s="1"/>
  <c r="B314" i="25"/>
  <c r="W290" i="24"/>
  <c r="D290" i="24"/>
  <c r="E290" i="24" s="1"/>
  <c r="F290" i="24" s="1"/>
  <c r="B290" i="25"/>
  <c r="G264" i="23"/>
  <c r="CD264" i="6" s="1"/>
  <c r="AA264" i="23"/>
  <c r="Z264" i="23" s="1"/>
  <c r="Y264" i="23" s="1"/>
  <c r="G240" i="23"/>
  <c r="CD240" i="6" s="1"/>
  <c r="AA240" i="23"/>
  <c r="Z240" i="23" s="1"/>
  <c r="Y240" i="23" s="1"/>
  <c r="G214" i="23"/>
  <c r="CD214" i="6" s="1"/>
  <c r="AA214" i="23"/>
  <c r="Z214" i="23" s="1"/>
  <c r="Y214" i="23" s="1"/>
  <c r="W206" i="24"/>
  <c r="D206" i="24"/>
  <c r="E206" i="24" s="1"/>
  <c r="F206" i="24" s="1"/>
  <c r="B206" i="25"/>
  <c r="W198" i="24"/>
  <c r="D198" i="24"/>
  <c r="E198" i="24" s="1"/>
  <c r="F198" i="24" s="1"/>
  <c r="B198" i="25"/>
  <c r="BA102" i="6"/>
  <c r="D102" i="6" s="1"/>
  <c r="H102" i="20"/>
  <c r="BA58" i="6"/>
  <c r="D58" i="6" s="1"/>
  <c r="H58" i="20"/>
  <c r="BA44" i="6"/>
  <c r="D44" i="6" s="1"/>
  <c r="H44" i="20"/>
  <c r="BA36" i="6"/>
  <c r="D36" i="6" s="1"/>
  <c r="H36" i="20"/>
  <c r="BA243" i="6"/>
  <c r="D243" i="6" s="1"/>
  <c r="H243" i="20"/>
  <c r="BA133" i="6"/>
  <c r="D133" i="6" s="1"/>
  <c r="H133" i="20"/>
  <c r="BA115" i="6"/>
  <c r="D115" i="6" s="1"/>
  <c r="H115" i="20"/>
  <c r="BA85" i="6"/>
  <c r="H85" i="20"/>
  <c r="BA304" i="6"/>
  <c r="D304" i="6" s="1"/>
  <c r="H304" i="20"/>
  <c r="BA280" i="6"/>
  <c r="D280" i="6" s="1"/>
  <c r="H280" i="20"/>
  <c r="BA288" i="6"/>
  <c r="D288" i="6" s="1"/>
  <c r="H288" i="20"/>
  <c r="W357" i="24"/>
  <c r="D357" i="24"/>
  <c r="E357" i="24" s="1"/>
  <c r="F357" i="24" s="1"/>
  <c r="B357" i="25"/>
  <c r="W307" i="24"/>
  <c r="D307" i="24"/>
  <c r="E307" i="24" s="1"/>
  <c r="F307" i="24" s="1"/>
  <c r="B307" i="25"/>
  <c r="W267" i="24"/>
  <c r="D267" i="24"/>
  <c r="E267" i="24" s="1"/>
  <c r="F267" i="24" s="1"/>
  <c r="B267" i="25"/>
  <c r="G223" i="23"/>
  <c r="CD223" i="6" s="1"/>
  <c r="AA223" i="23"/>
  <c r="Z223" i="23" s="1"/>
  <c r="Y223" i="23" s="1"/>
  <c r="BA334" i="6"/>
  <c r="D334" i="6" s="1"/>
  <c r="H334" i="20"/>
  <c r="H326" i="20"/>
  <c r="BA192" i="6"/>
  <c r="D192" i="6" s="1"/>
  <c r="H192" i="20"/>
  <c r="BA142" i="6"/>
  <c r="D142" i="6" s="1"/>
  <c r="H142" i="20"/>
  <c r="BA108" i="6"/>
  <c r="D108" i="6" s="1"/>
  <c r="H108" i="20"/>
  <c r="G86" i="22"/>
  <c r="CC86" i="6" s="1"/>
  <c r="AA86" i="22"/>
  <c r="Z86" i="22" s="1"/>
  <c r="Y86" i="22" s="1"/>
  <c r="H34" i="20"/>
  <c r="G341" i="22"/>
  <c r="CC341" i="6" s="1"/>
  <c r="AA341" i="22"/>
  <c r="Z341" i="22" s="1"/>
  <c r="Y341" i="22" s="1"/>
  <c r="G293" i="22"/>
  <c r="CC293" i="6" s="1"/>
  <c r="AA293" i="22"/>
  <c r="Z293" i="22" s="1"/>
  <c r="Y293" i="22" s="1"/>
  <c r="G259" i="22"/>
  <c r="CC259" i="6" s="1"/>
  <c r="AA259" i="22"/>
  <c r="Z259" i="22" s="1"/>
  <c r="Y259" i="22" s="1"/>
  <c r="W221" i="24"/>
  <c r="D221" i="24"/>
  <c r="E221" i="24" s="1"/>
  <c r="F221" i="24" s="1"/>
  <c r="B221" i="25"/>
  <c r="G209" i="23"/>
  <c r="CD209" i="6" s="1"/>
  <c r="AA209" i="23"/>
  <c r="Z209" i="23" s="1"/>
  <c r="Y209" i="23" s="1"/>
  <c r="W195" i="24"/>
  <c r="D195" i="24"/>
  <c r="E195" i="24" s="1"/>
  <c r="F195" i="24" s="1"/>
  <c r="B195" i="25"/>
  <c r="G147" i="23"/>
  <c r="CD147" i="6" s="1"/>
  <c r="AA147" i="23"/>
  <c r="Z147" i="23" s="1"/>
  <c r="Y147" i="23" s="1"/>
  <c r="W131" i="24"/>
  <c r="D131" i="24"/>
  <c r="E131" i="24" s="1"/>
  <c r="F131" i="24" s="1"/>
  <c r="B131" i="25"/>
  <c r="G93" i="23"/>
  <c r="CD93" i="6" s="1"/>
  <c r="AA93" i="23"/>
  <c r="Z93" i="23" s="1"/>
  <c r="Y93" i="23" s="1"/>
  <c r="G79" i="23"/>
  <c r="CD79" i="6" s="1"/>
  <c r="AA79" i="23"/>
  <c r="Z79" i="23" s="1"/>
  <c r="Y79" i="23" s="1"/>
  <c r="D69" i="24"/>
  <c r="E69" i="24" s="1"/>
  <c r="F69" i="24" s="1"/>
  <c r="W69" i="24"/>
  <c r="B69" i="25"/>
  <c r="G47" i="23"/>
  <c r="CD47" i="6" s="1"/>
  <c r="AA47" i="23"/>
  <c r="Z47" i="23" s="1"/>
  <c r="Y47" i="23" s="1"/>
  <c r="W33" i="24"/>
  <c r="D33" i="24"/>
  <c r="E33" i="24" s="1"/>
  <c r="F33" i="24" s="1"/>
  <c r="B33" i="25"/>
  <c r="J23" i="20"/>
  <c r="I23" i="20"/>
  <c r="H23" i="22" s="1"/>
  <c r="W258" i="23"/>
  <c r="D258" i="23"/>
  <c r="E258" i="23" s="1"/>
  <c r="F258" i="23" s="1"/>
  <c r="B258" i="24"/>
  <c r="G336" i="23"/>
  <c r="CD336" i="6" s="1"/>
  <c r="AA336" i="23"/>
  <c r="Z336" i="23" s="1"/>
  <c r="Y336" i="23" s="1"/>
  <c r="W320" i="24"/>
  <c r="D320" i="24"/>
  <c r="E320" i="24" s="1"/>
  <c r="F320" i="24" s="1"/>
  <c r="B320" i="25"/>
  <c r="G308" i="23"/>
  <c r="CD308" i="6" s="1"/>
  <c r="AA308" i="23"/>
  <c r="Z308" i="23" s="1"/>
  <c r="Y308" i="23" s="1"/>
  <c r="W276" i="24"/>
  <c r="D276" i="24"/>
  <c r="E276" i="24" s="1"/>
  <c r="F276" i="24" s="1"/>
  <c r="B276" i="25"/>
  <c r="G270" i="23"/>
  <c r="CD270" i="6" s="1"/>
  <c r="AA270" i="23"/>
  <c r="Z270" i="23" s="1"/>
  <c r="Y270" i="23" s="1"/>
  <c r="D260" i="24"/>
  <c r="E260" i="24" s="1"/>
  <c r="F260" i="24" s="1"/>
  <c r="W260" i="24"/>
  <c r="B260" i="25"/>
  <c r="G246" i="23"/>
  <c r="CD246" i="6" s="1"/>
  <c r="AA246" i="23"/>
  <c r="Z246" i="23" s="1"/>
  <c r="Y246" i="23" s="1"/>
  <c r="W220" i="24"/>
  <c r="D220" i="24"/>
  <c r="E220" i="24" s="1"/>
  <c r="F220" i="24" s="1"/>
  <c r="B220" i="25"/>
  <c r="AA176" i="23"/>
  <c r="Z176" i="23" s="1"/>
  <c r="Y176" i="23" s="1"/>
  <c r="G176" i="23"/>
  <c r="CD176" i="6" s="1"/>
  <c r="W140" i="24"/>
  <c r="D140" i="24"/>
  <c r="E140" i="24" s="1"/>
  <c r="F140" i="24" s="1"/>
  <c r="B140" i="25"/>
  <c r="AA128" i="23"/>
  <c r="Z128" i="23" s="1"/>
  <c r="Y128" i="23" s="1"/>
  <c r="G128" i="23"/>
  <c r="CD128" i="6" s="1"/>
  <c r="W110" i="24"/>
  <c r="D110" i="24"/>
  <c r="E110" i="24" s="1"/>
  <c r="F110" i="24" s="1"/>
  <c r="B110" i="25"/>
  <c r="G104" i="23"/>
  <c r="CD104" i="6" s="1"/>
  <c r="AA104" i="23"/>
  <c r="Z104" i="23" s="1"/>
  <c r="Y104" i="23" s="1"/>
  <c r="W84" i="24"/>
  <c r="D84" i="24"/>
  <c r="E84" i="24" s="1"/>
  <c r="F84" i="24" s="1"/>
  <c r="B84" i="25"/>
  <c r="G56" i="23"/>
  <c r="CD56" i="6" s="1"/>
  <c r="AA56" i="23"/>
  <c r="Z56" i="23" s="1"/>
  <c r="Y56" i="23" s="1"/>
  <c r="W42" i="24"/>
  <c r="D42" i="24"/>
  <c r="E42" i="24" s="1"/>
  <c r="F42" i="24" s="1"/>
  <c r="B42" i="25"/>
  <c r="BA347" i="6"/>
  <c r="D347" i="6" s="1"/>
  <c r="H347" i="20"/>
  <c r="BA227" i="6"/>
  <c r="D227" i="6" s="1"/>
  <c r="H227" i="20"/>
  <c r="BA298" i="6"/>
  <c r="D298" i="6" s="1"/>
  <c r="H298" i="20"/>
  <c r="BA316" i="6"/>
  <c r="D316" i="6" s="1"/>
  <c r="H316" i="20"/>
  <c r="H196" i="20"/>
  <c r="D337" i="6"/>
  <c r="G146" i="23"/>
  <c r="CD146" i="6" s="1"/>
  <c r="AA146" i="23"/>
  <c r="Z146" i="23" s="1"/>
  <c r="Y146" i="23" s="1"/>
  <c r="W120" i="24"/>
  <c r="D120" i="24"/>
  <c r="E120" i="24" s="1"/>
  <c r="F120" i="24" s="1"/>
  <c r="B120" i="25"/>
  <c r="G323" i="23"/>
  <c r="CD323" i="6" s="1"/>
  <c r="AA323" i="23"/>
  <c r="Z323" i="23" s="1"/>
  <c r="Y323" i="23" s="1"/>
  <c r="D271" i="24"/>
  <c r="E271" i="24" s="1"/>
  <c r="F271" i="24" s="1"/>
  <c r="W271" i="24"/>
  <c r="B271" i="25"/>
  <c r="AA255" i="24"/>
  <c r="Z255" i="24" s="1"/>
  <c r="Y255" i="24" s="1"/>
  <c r="G255" i="24"/>
  <c r="CE255" i="6" s="1"/>
  <c r="W197" i="25"/>
  <c r="D197" i="25"/>
  <c r="E197" i="25" s="1"/>
  <c r="F197" i="25" s="1"/>
  <c r="G167" i="24"/>
  <c r="CE167" i="6" s="1"/>
  <c r="AA167" i="24"/>
  <c r="Z167" i="24" s="1"/>
  <c r="Y167" i="24" s="1"/>
  <c r="W101" i="25"/>
  <c r="D101" i="25"/>
  <c r="E101" i="25" s="1"/>
  <c r="F101" i="25" s="1"/>
  <c r="G83" i="24"/>
  <c r="CE83" i="6" s="1"/>
  <c r="AA83" i="24"/>
  <c r="Z83" i="24" s="1"/>
  <c r="Y83" i="24" s="1"/>
  <c r="W55" i="25"/>
  <c r="D55" i="25"/>
  <c r="E55" i="25" s="1"/>
  <c r="F55" i="25" s="1"/>
  <c r="G287" i="24"/>
  <c r="CE287" i="6" s="1"/>
  <c r="AA287" i="24"/>
  <c r="Z287" i="24" s="1"/>
  <c r="Y287" i="24" s="1"/>
  <c r="W253" i="24"/>
  <c r="D253" i="24"/>
  <c r="E253" i="24" s="1"/>
  <c r="F253" i="24" s="1"/>
  <c r="B253" i="25"/>
  <c r="G363" i="23"/>
  <c r="CD363" i="6" s="1"/>
  <c r="AA363" i="23"/>
  <c r="Z363" i="23" s="1"/>
  <c r="Y363" i="23" s="1"/>
  <c r="D300" i="24"/>
  <c r="E300" i="24" s="1"/>
  <c r="F300" i="24" s="1"/>
  <c r="W300" i="24"/>
  <c r="B300" i="25"/>
  <c r="W228" i="24"/>
  <c r="D228" i="24"/>
  <c r="E228" i="24" s="1"/>
  <c r="F228" i="24" s="1"/>
  <c r="B228" i="25"/>
  <c r="G164" i="23"/>
  <c r="CD164" i="6" s="1"/>
  <c r="AA164" i="23"/>
  <c r="Z164" i="23" s="1"/>
  <c r="Y164" i="23" s="1"/>
  <c r="W361" i="25"/>
  <c r="D361" i="25"/>
  <c r="E361" i="25" s="1"/>
  <c r="F361" i="25" s="1"/>
  <c r="G361" i="24"/>
  <c r="CE361" i="6" s="1"/>
  <c r="AA361" i="24"/>
  <c r="Z361" i="24" s="1"/>
  <c r="Y361" i="24" s="1"/>
  <c r="G273" i="24"/>
  <c r="CE273" i="6" s="1"/>
  <c r="AA273" i="24"/>
  <c r="Z273" i="24" s="1"/>
  <c r="Y273" i="24" s="1"/>
  <c r="W247" i="25"/>
  <c r="D247" i="25"/>
  <c r="E247" i="25" s="1"/>
  <c r="F247" i="25" s="1"/>
  <c r="G183" i="24"/>
  <c r="CE183" i="6" s="1"/>
  <c r="AA183" i="24"/>
  <c r="Z183" i="24" s="1"/>
  <c r="Y183" i="24" s="1"/>
  <c r="W155" i="25"/>
  <c r="D155" i="25"/>
  <c r="E155" i="25" s="1"/>
  <c r="F155" i="25" s="1"/>
  <c r="G97" i="24"/>
  <c r="CE97" i="6" s="1"/>
  <c r="AA97" i="24"/>
  <c r="Z97" i="24" s="1"/>
  <c r="Y97" i="24" s="1"/>
  <c r="W63" i="25"/>
  <c r="D63" i="25"/>
  <c r="E63" i="25" s="1"/>
  <c r="F63" i="25" s="1"/>
  <c r="G88" i="24"/>
  <c r="CE88" i="6" s="1"/>
  <c r="AA88" i="24"/>
  <c r="Z88" i="24" s="1"/>
  <c r="Y88" i="24" s="1"/>
  <c r="W19" i="25"/>
  <c r="D19" i="25"/>
  <c r="E19" i="25" s="1"/>
  <c r="F19" i="25" s="1"/>
  <c r="G19" i="24"/>
  <c r="CE19" i="6" s="1"/>
  <c r="AA19" i="24"/>
  <c r="Z19" i="24" s="1"/>
  <c r="Y19" i="24" s="1"/>
  <c r="G284" i="24"/>
  <c r="CE284" i="6" s="1"/>
  <c r="AA284" i="24"/>
  <c r="Z284" i="24" s="1"/>
  <c r="Y284" i="24" s="1"/>
  <c r="W302" i="25"/>
  <c r="D302" i="25"/>
  <c r="E302" i="25" s="1"/>
  <c r="F302" i="25" s="1"/>
  <c r="G114" i="23"/>
  <c r="CD114" i="6" s="1"/>
  <c r="AA114" i="23"/>
  <c r="Z114" i="23" s="1"/>
  <c r="Y114" i="23" s="1"/>
  <c r="G66" i="23"/>
  <c r="CD66" i="6" s="1"/>
  <c r="AA66" i="23"/>
  <c r="Z66" i="23" s="1"/>
  <c r="Y66" i="23" s="1"/>
  <c r="D95" i="24"/>
  <c r="E95" i="24" s="1"/>
  <c r="F95" i="24" s="1"/>
  <c r="W95" i="24"/>
  <c r="B95" i="25"/>
  <c r="G43" i="23"/>
  <c r="CD43" i="6" s="1"/>
  <c r="AA43" i="23"/>
  <c r="Z43" i="23" s="1"/>
  <c r="Y43" i="23" s="1"/>
  <c r="W216" i="24"/>
  <c r="D216" i="24"/>
  <c r="E216" i="24" s="1"/>
  <c r="F216" i="24" s="1"/>
  <c r="B216" i="25"/>
  <c r="G354" i="23"/>
  <c r="CD354" i="6" s="1"/>
  <c r="AA354" i="23"/>
  <c r="Z354" i="23" s="1"/>
  <c r="Y354" i="23" s="1"/>
  <c r="W227" i="24"/>
  <c r="D227" i="24"/>
  <c r="E227" i="24" s="1"/>
  <c r="F227" i="24" s="1"/>
  <c r="B227" i="25"/>
  <c r="G35" i="23"/>
  <c r="CD35" i="6" s="1"/>
  <c r="AA35" i="23"/>
  <c r="Z35" i="23" s="1"/>
  <c r="Y35" i="23" s="1"/>
  <c r="W208" i="24"/>
  <c r="D208" i="24"/>
  <c r="E208" i="24" s="1"/>
  <c r="F208" i="24" s="1"/>
  <c r="B208" i="25"/>
  <c r="G208" i="23"/>
  <c r="CD208" i="6" s="1"/>
  <c r="AA208" i="23"/>
  <c r="Z208" i="23" s="1"/>
  <c r="Y208" i="23" s="1"/>
  <c r="W16" i="24"/>
  <c r="D16" i="24"/>
  <c r="E16" i="24" s="1"/>
  <c r="F16" i="24" s="1"/>
  <c r="B16" i="25"/>
  <c r="G105" i="23"/>
  <c r="CD105" i="6" s="1"/>
  <c r="AA105" i="23"/>
  <c r="Z105" i="23" s="1"/>
  <c r="Y105" i="23" s="1"/>
  <c r="W119" i="24"/>
  <c r="D119" i="24"/>
  <c r="E119" i="24" s="1"/>
  <c r="F119" i="24" s="1"/>
  <c r="B119" i="25"/>
  <c r="BA135" i="6"/>
  <c r="D135" i="6" s="1"/>
  <c r="H135" i="20"/>
  <c r="BA146" i="6"/>
  <c r="D146" i="6" s="1"/>
  <c r="H146" i="20"/>
  <c r="BA241" i="6"/>
  <c r="D241" i="6" s="1"/>
  <c r="H241" i="20"/>
  <c r="BA189" i="6"/>
  <c r="D189" i="6" s="1"/>
  <c r="H189" i="20"/>
  <c r="BA169" i="6"/>
  <c r="H169" i="20"/>
  <c r="BA154" i="6"/>
  <c r="D154" i="6" s="1"/>
  <c r="H154" i="20"/>
  <c r="BA183" i="6"/>
  <c r="H183" i="20"/>
  <c r="BA267" i="6"/>
  <c r="H267" i="20"/>
  <c r="BA127" i="6"/>
  <c r="H127" i="20"/>
  <c r="BA263" i="6"/>
  <c r="D263" i="6" s="1"/>
  <c r="H263" i="20"/>
  <c r="BA187" i="6"/>
  <c r="D187" i="6" s="1"/>
  <c r="H187" i="20"/>
  <c r="BA99" i="6"/>
  <c r="H99" i="20"/>
  <c r="BA101" i="6"/>
  <c r="D101" i="6" s="1"/>
  <c r="H101" i="20"/>
  <c r="BA197" i="6"/>
  <c r="H197" i="20"/>
  <c r="BA325" i="6"/>
  <c r="D325" i="6" s="1"/>
  <c r="H325" i="20"/>
  <c r="BA75" i="6"/>
  <c r="D75" i="6" s="1"/>
  <c r="H75" i="20"/>
  <c r="BA159" i="6"/>
  <c r="D159" i="6" s="1"/>
  <c r="H159" i="20"/>
  <c r="BA65" i="6"/>
  <c r="D65" i="6" s="1"/>
  <c r="H65" i="20"/>
  <c r="BA83" i="6"/>
  <c r="D83" i="6" s="1"/>
  <c r="H83" i="20"/>
  <c r="BA302" i="6"/>
  <c r="D302" i="6" s="1"/>
  <c r="H302" i="20"/>
  <c r="G174" i="22"/>
  <c r="CC174" i="6" s="1"/>
  <c r="AA174" i="22"/>
  <c r="Z174" i="22" s="1"/>
  <c r="Y174" i="22" s="1"/>
  <c r="G38" i="22"/>
  <c r="CC38" i="6" s="1"/>
  <c r="AA38" i="22"/>
  <c r="Z38" i="22" s="1"/>
  <c r="Y38" i="22" s="1"/>
  <c r="G100" i="22"/>
  <c r="CC100" i="6" s="1"/>
  <c r="AA100" i="22"/>
  <c r="Z100" i="22" s="1"/>
  <c r="Y100" i="22" s="1"/>
  <c r="G32" i="22"/>
  <c r="CC32" i="6" s="1"/>
  <c r="AA32" i="22"/>
  <c r="Z32" i="22" s="1"/>
  <c r="Y32" i="22" s="1"/>
  <c r="G229" i="22"/>
  <c r="CC229" i="6" s="1"/>
  <c r="AA229" i="22"/>
  <c r="Z229" i="22" s="1"/>
  <c r="Y229" i="22" s="1"/>
  <c r="G353" i="22"/>
  <c r="CC353" i="6" s="1"/>
  <c r="AA353" i="22"/>
  <c r="Z353" i="22" s="1"/>
  <c r="Y353" i="22" s="1"/>
  <c r="G306" i="22"/>
  <c r="CC306" i="6" s="1"/>
  <c r="AA306" i="22"/>
  <c r="Z306" i="22" s="1"/>
  <c r="Y306" i="22" s="1"/>
  <c r="G299" i="22"/>
  <c r="CC299" i="6" s="1"/>
  <c r="AA299" i="22"/>
  <c r="Z299" i="22" s="1"/>
  <c r="Y299" i="22" s="1"/>
  <c r="G207" i="22"/>
  <c r="CC207" i="6" s="1"/>
  <c r="AA207" i="22"/>
  <c r="Z207" i="22" s="1"/>
  <c r="Y207" i="22" s="1"/>
  <c r="G205" i="22"/>
  <c r="CC205" i="6" s="1"/>
  <c r="AA205" i="22"/>
  <c r="Z205" i="22" s="1"/>
  <c r="Y205" i="22" s="1"/>
  <c r="G64" i="22"/>
  <c r="CC64" i="6" s="1"/>
  <c r="AA64" i="22"/>
  <c r="Z64" i="22" s="1"/>
  <c r="Y64" i="22" s="1"/>
  <c r="G358" i="22"/>
  <c r="CC358" i="6" s="1"/>
  <c r="AA358" i="22"/>
  <c r="Z358" i="22" s="1"/>
  <c r="Y358" i="22" s="1"/>
  <c r="G338" i="22"/>
  <c r="CC338" i="6" s="1"/>
  <c r="AA338" i="22"/>
  <c r="Z338" i="22" s="1"/>
  <c r="Y338" i="22" s="1"/>
  <c r="G286" i="22"/>
  <c r="CC286" i="6" s="1"/>
  <c r="AA286" i="22"/>
  <c r="Z286" i="22" s="1"/>
  <c r="Y286" i="22" s="1"/>
  <c r="G224" i="22"/>
  <c r="CC224" i="6" s="1"/>
  <c r="AA224" i="22"/>
  <c r="Z224" i="22" s="1"/>
  <c r="Y224" i="22" s="1"/>
  <c r="G200" i="22"/>
  <c r="CC200" i="6" s="1"/>
  <c r="AA200" i="22"/>
  <c r="Z200" i="22" s="1"/>
  <c r="Y200" i="22" s="1"/>
  <c r="G190" i="23"/>
  <c r="CD190" i="6" s="1"/>
  <c r="AA190" i="23"/>
  <c r="Z190" i="23" s="1"/>
  <c r="Y190" i="23" s="1"/>
  <c r="W82" i="23"/>
  <c r="D82" i="23"/>
  <c r="E82" i="23" s="1"/>
  <c r="F82" i="23" s="1"/>
  <c r="B82" i="24"/>
  <c r="W54" i="23"/>
  <c r="D54" i="23"/>
  <c r="E54" i="23" s="1"/>
  <c r="F54" i="23" s="1"/>
  <c r="B54" i="24"/>
  <c r="W30" i="23"/>
  <c r="D30" i="23"/>
  <c r="E30" i="23" s="1"/>
  <c r="F30" i="23" s="1"/>
  <c r="B30" i="24"/>
  <c r="W351" i="23"/>
  <c r="D351" i="23"/>
  <c r="E351" i="23" s="1"/>
  <c r="F351" i="23" s="1"/>
  <c r="B351" i="24"/>
  <c r="W315" i="23"/>
  <c r="D315" i="23"/>
  <c r="E315" i="23" s="1"/>
  <c r="F315" i="23" s="1"/>
  <c r="B315" i="24"/>
  <c r="G315" i="22"/>
  <c r="CC315" i="6" s="1"/>
  <c r="AA315" i="22"/>
  <c r="Z315" i="22" s="1"/>
  <c r="Y315" i="22" s="1"/>
  <c r="W239" i="23"/>
  <c r="D239" i="23"/>
  <c r="E239" i="23" s="1"/>
  <c r="F239" i="23" s="1"/>
  <c r="B239" i="24"/>
  <c r="W213" i="23"/>
  <c r="D213" i="23"/>
  <c r="E213" i="23" s="1"/>
  <c r="F213" i="23" s="1"/>
  <c r="B213" i="24"/>
  <c r="W129" i="23"/>
  <c r="D129" i="23"/>
  <c r="E129" i="23" s="1"/>
  <c r="F129" i="23" s="1"/>
  <c r="B129" i="24"/>
  <c r="W113" i="23"/>
  <c r="D113" i="23"/>
  <c r="E113" i="23" s="1"/>
  <c r="F113" i="23" s="1"/>
  <c r="B113" i="24"/>
  <c r="W57" i="23"/>
  <c r="D57" i="23"/>
  <c r="E57" i="23" s="1"/>
  <c r="F57" i="23" s="1"/>
  <c r="B57" i="24"/>
  <c r="W26" i="23"/>
  <c r="D26" i="23"/>
  <c r="E26" i="23" s="1"/>
  <c r="F26" i="23" s="1"/>
  <c r="B26" i="24"/>
  <c r="W350" i="23"/>
  <c r="D350" i="23"/>
  <c r="E350" i="23" s="1"/>
  <c r="F350" i="23" s="1"/>
  <c r="B350" i="24"/>
  <c r="W174" i="23"/>
  <c r="D174" i="23"/>
  <c r="E174" i="23" s="1"/>
  <c r="F174" i="23" s="1"/>
  <c r="B174" i="24"/>
  <c r="W38" i="23"/>
  <c r="D38" i="23"/>
  <c r="E38" i="23" s="1"/>
  <c r="F38" i="23" s="1"/>
  <c r="B38" i="24"/>
  <c r="W100" i="23"/>
  <c r="D100" i="23"/>
  <c r="E100" i="23" s="1"/>
  <c r="F100" i="23" s="1"/>
  <c r="B100" i="24"/>
  <c r="W331" i="23"/>
  <c r="D331" i="23"/>
  <c r="E331" i="23" s="1"/>
  <c r="F331" i="23" s="1"/>
  <c r="B331" i="24"/>
  <c r="G331" i="22"/>
  <c r="CC331" i="6" s="1"/>
  <c r="AA331" i="22"/>
  <c r="Z331" i="22" s="1"/>
  <c r="Y331" i="22" s="1"/>
  <c r="W32" i="23"/>
  <c r="D32" i="23"/>
  <c r="E32" i="23" s="1"/>
  <c r="F32" i="23" s="1"/>
  <c r="B32" i="24"/>
  <c r="W229" i="23"/>
  <c r="D229" i="23"/>
  <c r="E229" i="23" s="1"/>
  <c r="F229" i="23" s="1"/>
  <c r="B229" i="24"/>
  <c r="W353" i="23"/>
  <c r="D353" i="23"/>
  <c r="E353" i="23" s="1"/>
  <c r="F353" i="23" s="1"/>
  <c r="B353" i="24"/>
  <c r="W306" i="23"/>
  <c r="D306" i="23"/>
  <c r="E306" i="23" s="1"/>
  <c r="F306" i="23" s="1"/>
  <c r="B306" i="24"/>
  <c r="W299" i="23"/>
  <c r="D299" i="23"/>
  <c r="E299" i="23" s="1"/>
  <c r="F299" i="23" s="1"/>
  <c r="B299" i="24"/>
  <c r="W207" i="23"/>
  <c r="D207" i="23"/>
  <c r="E207" i="23" s="1"/>
  <c r="F207" i="23" s="1"/>
  <c r="B207" i="24"/>
  <c r="W205" i="23"/>
  <c r="D205" i="23"/>
  <c r="E205" i="23" s="1"/>
  <c r="F205" i="23" s="1"/>
  <c r="B205" i="24"/>
  <c r="W64" i="23"/>
  <c r="D64" i="23"/>
  <c r="E64" i="23" s="1"/>
  <c r="F64" i="23" s="1"/>
  <c r="B64" i="24"/>
  <c r="W358" i="23"/>
  <c r="D358" i="23"/>
  <c r="E358" i="23" s="1"/>
  <c r="F358" i="23" s="1"/>
  <c r="B358" i="24"/>
  <c r="W338" i="23"/>
  <c r="D338" i="23"/>
  <c r="E338" i="23" s="1"/>
  <c r="F338" i="23" s="1"/>
  <c r="B338" i="24"/>
  <c r="D286" i="23"/>
  <c r="E286" i="23" s="1"/>
  <c r="F286" i="23" s="1"/>
  <c r="W286" i="23"/>
  <c r="B286" i="24"/>
  <c r="W224" i="23"/>
  <c r="D224" i="23"/>
  <c r="E224" i="23" s="1"/>
  <c r="F224" i="23" s="1"/>
  <c r="B224" i="24"/>
  <c r="W200" i="23"/>
  <c r="D200" i="23"/>
  <c r="E200" i="23" s="1"/>
  <c r="F200" i="23" s="1"/>
  <c r="B200" i="24"/>
  <c r="W190" i="24"/>
  <c r="D190" i="24"/>
  <c r="E190" i="24" s="1"/>
  <c r="F190" i="24" s="1"/>
  <c r="B190" i="25"/>
  <c r="W158" i="23"/>
  <c r="D158" i="23"/>
  <c r="E158" i="23" s="1"/>
  <c r="F158" i="23" s="1"/>
  <c r="B158" i="24"/>
  <c r="G158" i="22"/>
  <c r="CC158" i="6" s="1"/>
  <c r="AA158" i="22"/>
  <c r="Z158" i="22" s="1"/>
  <c r="Y158" i="22" s="1"/>
  <c r="G82" i="22"/>
  <c r="CC82" i="6" s="1"/>
  <c r="AA82" i="22"/>
  <c r="Z82" i="22" s="1"/>
  <c r="Y82" i="22" s="1"/>
  <c r="G54" i="22"/>
  <c r="CC54" i="6" s="1"/>
  <c r="AA54" i="22"/>
  <c r="Z54" i="22" s="1"/>
  <c r="Y54" i="22" s="1"/>
  <c r="G30" i="22"/>
  <c r="CC30" i="6" s="1"/>
  <c r="AA30" i="22"/>
  <c r="Z30" i="22" s="1"/>
  <c r="Y30" i="22" s="1"/>
  <c r="G351" i="22"/>
  <c r="CC351" i="6" s="1"/>
  <c r="AA351" i="22"/>
  <c r="Z351" i="22" s="1"/>
  <c r="Y351" i="22" s="1"/>
  <c r="G239" i="22"/>
  <c r="CC239" i="6" s="1"/>
  <c r="AA239" i="22"/>
  <c r="Z239" i="22" s="1"/>
  <c r="Y239" i="22" s="1"/>
  <c r="G213" i="22"/>
  <c r="CC213" i="6" s="1"/>
  <c r="AA213" i="22"/>
  <c r="Z213" i="22" s="1"/>
  <c r="Y213" i="22" s="1"/>
  <c r="G129" i="22"/>
  <c r="CC129" i="6" s="1"/>
  <c r="AA129" i="22"/>
  <c r="Z129" i="22" s="1"/>
  <c r="Y129" i="22" s="1"/>
  <c r="G113" i="22"/>
  <c r="CC113" i="6" s="1"/>
  <c r="AA113" i="22"/>
  <c r="Z113" i="22" s="1"/>
  <c r="Y113" i="22" s="1"/>
  <c r="G57" i="22"/>
  <c r="CC57" i="6" s="1"/>
  <c r="AA57" i="22"/>
  <c r="Z57" i="22" s="1"/>
  <c r="Y57" i="22" s="1"/>
  <c r="G26" i="22"/>
  <c r="CC26" i="6" s="1"/>
  <c r="AA26" i="22"/>
  <c r="Z26" i="22" s="1"/>
  <c r="Y26" i="22" s="1"/>
  <c r="G350" i="22"/>
  <c r="CC350" i="6" s="1"/>
  <c r="AA350" i="22"/>
  <c r="Z350" i="22" s="1"/>
  <c r="Y350" i="22" s="1"/>
  <c r="G322" i="22"/>
  <c r="CC322" i="6" s="1"/>
  <c r="AA322" i="22"/>
  <c r="Z322" i="22" s="1"/>
  <c r="Y322" i="22" s="1"/>
  <c r="G266" i="22"/>
  <c r="CC266" i="6" s="1"/>
  <c r="AA266" i="22"/>
  <c r="Z266" i="22" s="1"/>
  <c r="Y266" i="22" s="1"/>
  <c r="G234" i="22"/>
  <c r="CC234" i="6" s="1"/>
  <c r="AA234" i="22"/>
  <c r="Z234" i="22" s="1"/>
  <c r="Y234" i="22" s="1"/>
  <c r="G160" i="22"/>
  <c r="CC160" i="6" s="1"/>
  <c r="AA160" i="22"/>
  <c r="Z160" i="22" s="1"/>
  <c r="Y160" i="22" s="1"/>
  <c r="G48" i="22"/>
  <c r="CC48" i="6" s="1"/>
  <c r="AA48" i="22"/>
  <c r="Z48" i="22" s="1"/>
  <c r="Y48" i="22" s="1"/>
  <c r="W20" i="23"/>
  <c r="D20" i="23"/>
  <c r="E20" i="23" s="1"/>
  <c r="F20" i="23" s="1"/>
  <c r="B20" i="24"/>
  <c r="G20" i="22"/>
  <c r="CC20" i="6" s="1"/>
  <c r="AA20" i="22"/>
  <c r="Z20" i="22" s="1"/>
  <c r="Y20" i="22" s="1"/>
  <c r="G359" i="22"/>
  <c r="CC359" i="6" s="1"/>
  <c r="AA359" i="22"/>
  <c r="Z359" i="22" s="1"/>
  <c r="Y359" i="22" s="1"/>
  <c r="W313" i="23"/>
  <c r="D313" i="23"/>
  <c r="E313" i="23" s="1"/>
  <c r="F313" i="23" s="1"/>
  <c r="B313" i="24"/>
  <c r="G269" i="22"/>
  <c r="CC269" i="6" s="1"/>
  <c r="AA269" i="22"/>
  <c r="Z269" i="22" s="1"/>
  <c r="Y269" i="22" s="1"/>
  <c r="W231" i="23"/>
  <c r="D231" i="23"/>
  <c r="E231" i="23" s="1"/>
  <c r="F231" i="23" s="1"/>
  <c r="B231" i="24"/>
  <c r="BA164" i="6"/>
  <c r="D164" i="6" s="1"/>
  <c r="H164" i="20"/>
  <c r="W371" i="23"/>
  <c r="D371" i="23"/>
  <c r="E371" i="23" s="1"/>
  <c r="F371" i="23" s="1"/>
  <c r="B371" i="24"/>
  <c r="G371" i="22"/>
  <c r="CC371" i="6" s="1"/>
  <c r="AA371" i="22"/>
  <c r="Z371" i="22" s="1"/>
  <c r="Y371" i="22" s="1"/>
  <c r="G339" i="23"/>
  <c r="CD339" i="6" s="1"/>
  <c r="AA339" i="23"/>
  <c r="Z339" i="23" s="1"/>
  <c r="Y339" i="23" s="1"/>
  <c r="W303" i="24"/>
  <c r="D303" i="24"/>
  <c r="E303" i="24" s="1"/>
  <c r="F303" i="24" s="1"/>
  <c r="B303" i="25"/>
  <c r="G291" i="23"/>
  <c r="CD291" i="6" s="1"/>
  <c r="AA291" i="23"/>
  <c r="Z291" i="23" s="1"/>
  <c r="Y291" i="23" s="1"/>
  <c r="W275" i="24"/>
  <c r="D275" i="24"/>
  <c r="E275" i="24" s="1"/>
  <c r="F275" i="24" s="1"/>
  <c r="B275" i="25"/>
  <c r="W215" i="23"/>
  <c r="D215" i="23"/>
  <c r="E215" i="23" s="1"/>
  <c r="F215" i="23" s="1"/>
  <c r="B215" i="24"/>
  <c r="W181" i="23"/>
  <c r="D181" i="23"/>
  <c r="E181" i="23" s="1"/>
  <c r="F181" i="23" s="1"/>
  <c r="B181" i="24"/>
  <c r="W123" i="23"/>
  <c r="D123" i="23"/>
  <c r="E123" i="23" s="1"/>
  <c r="F123" i="23" s="1"/>
  <c r="B123" i="24"/>
  <c r="G71" i="22"/>
  <c r="CC71" i="6" s="1"/>
  <c r="AA71" i="22"/>
  <c r="Z71" i="22" s="1"/>
  <c r="Y71" i="22" s="1"/>
  <c r="G45" i="22"/>
  <c r="CC45" i="6" s="1"/>
  <c r="AA45" i="22"/>
  <c r="Z45" i="22" s="1"/>
  <c r="Y45" i="22" s="1"/>
  <c r="G21" i="22"/>
  <c r="CC21" i="6" s="1"/>
  <c r="AA21" i="22"/>
  <c r="Z21" i="22" s="1"/>
  <c r="Y21" i="22" s="1"/>
  <c r="G328" i="22"/>
  <c r="CC328" i="6" s="1"/>
  <c r="AA328" i="22"/>
  <c r="Z328" i="22" s="1"/>
  <c r="Y328" i="22" s="1"/>
  <c r="G282" i="22"/>
  <c r="CC282" i="6" s="1"/>
  <c r="AA282" i="22"/>
  <c r="Z282" i="22" s="1"/>
  <c r="Y282" i="22" s="1"/>
  <c r="G268" i="22"/>
  <c r="CC268" i="6" s="1"/>
  <c r="AA268" i="22"/>
  <c r="Z268" i="22" s="1"/>
  <c r="Y268" i="22" s="1"/>
  <c r="G230" i="22"/>
  <c r="CC230" i="6" s="1"/>
  <c r="AA230" i="22"/>
  <c r="Z230" i="22" s="1"/>
  <c r="Y230" i="22" s="1"/>
  <c r="G170" i="22"/>
  <c r="CC170" i="6" s="1"/>
  <c r="AA170" i="22"/>
  <c r="Z170" i="22" s="1"/>
  <c r="Y170" i="22" s="1"/>
  <c r="G92" i="22"/>
  <c r="CC92" i="6" s="1"/>
  <c r="AA92" i="22"/>
  <c r="Z92" i="22" s="1"/>
  <c r="Y92" i="22" s="1"/>
  <c r="G50" i="22"/>
  <c r="CC50" i="6" s="1"/>
  <c r="AA50" i="22"/>
  <c r="Z50" i="22" s="1"/>
  <c r="Y50" i="22" s="1"/>
  <c r="BA281" i="6"/>
  <c r="H281" i="20"/>
  <c r="W175" i="23"/>
  <c r="D175" i="23"/>
  <c r="E175" i="23" s="1"/>
  <c r="F175" i="23" s="1"/>
  <c r="B175" i="24"/>
  <c r="G379" i="22"/>
  <c r="CC379" i="6" s="1"/>
  <c r="AA379" i="22"/>
  <c r="Z379" i="22" s="1"/>
  <c r="Y379" i="22" s="1"/>
  <c r="F15" i="22"/>
  <c r="W375" i="23"/>
  <c r="D375" i="23"/>
  <c r="E375" i="23" s="1"/>
  <c r="F375" i="23" s="1"/>
  <c r="B375" i="24"/>
  <c r="G337" i="22"/>
  <c r="CC337" i="6" s="1"/>
  <c r="AA337" i="22"/>
  <c r="Z337" i="22" s="1"/>
  <c r="Y337" i="22" s="1"/>
  <c r="W301" i="23"/>
  <c r="D301" i="23"/>
  <c r="E301" i="23" s="1"/>
  <c r="F301" i="23" s="1"/>
  <c r="B301" i="24"/>
  <c r="G257" i="22"/>
  <c r="CC257" i="6" s="1"/>
  <c r="AA257" i="22"/>
  <c r="Z257" i="22" s="1"/>
  <c r="Y257" i="22" s="1"/>
  <c r="W211" i="23"/>
  <c r="D211" i="23"/>
  <c r="E211" i="23" s="1"/>
  <c r="F211" i="23" s="1"/>
  <c r="B211" i="24"/>
  <c r="G179" i="22"/>
  <c r="CC179" i="6" s="1"/>
  <c r="AA179" i="22"/>
  <c r="Z179" i="22" s="1"/>
  <c r="Y179" i="22" s="1"/>
  <c r="W141" i="23"/>
  <c r="D141" i="23"/>
  <c r="E141" i="23" s="1"/>
  <c r="F141" i="23" s="1"/>
  <c r="B141" i="24"/>
  <c r="AA59" i="22"/>
  <c r="Z59" i="22" s="1"/>
  <c r="Y59" i="22" s="1"/>
  <c r="G59" i="22"/>
  <c r="CC59" i="6" s="1"/>
  <c r="BA148" i="6"/>
  <c r="D148" i="6" s="1"/>
  <c r="H148" i="20"/>
  <c r="BA247" i="6"/>
  <c r="D247" i="6" s="1"/>
  <c r="H247" i="20"/>
  <c r="BA155" i="6"/>
  <c r="H155" i="20"/>
  <c r="BA22" i="6"/>
  <c r="D22" i="6" s="1"/>
  <c r="H22" i="20"/>
  <c r="BA226" i="6"/>
  <c r="D226" i="6" s="1"/>
  <c r="H226" i="20"/>
  <c r="BA150" i="6"/>
  <c r="D150" i="6" s="1"/>
  <c r="H150" i="20"/>
  <c r="G142" i="23"/>
  <c r="CD142" i="6" s="1"/>
  <c r="AA142" i="23"/>
  <c r="Z142" i="23" s="1"/>
  <c r="Y142" i="23" s="1"/>
  <c r="W108" i="24"/>
  <c r="D108" i="24"/>
  <c r="E108" i="24" s="1"/>
  <c r="F108" i="24" s="1"/>
  <c r="B108" i="25"/>
  <c r="AA317" i="24"/>
  <c r="Z317" i="24" s="1"/>
  <c r="Y317" i="24" s="1"/>
  <c r="G317" i="24"/>
  <c r="CE317" i="6" s="1"/>
  <c r="W263" i="25"/>
  <c r="D263" i="25"/>
  <c r="E263" i="25" s="1"/>
  <c r="F263" i="25" s="1"/>
  <c r="G263" i="24"/>
  <c r="CE263" i="6" s="1"/>
  <c r="AA263" i="24"/>
  <c r="Z263" i="24" s="1"/>
  <c r="Y263" i="24" s="1"/>
  <c r="G219" i="23"/>
  <c r="CD219" i="6" s="1"/>
  <c r="AA219" i="23"/>
  <c r="Z219" i="23" s="1"/>
  <c r="Y219" i="23" s="1"/>
  <c r="W173" i="24"/>
  <c r="D173" i="24"/>
  <c r="E173" i="24" s="1"/>
  <c r="F173" i="24" s="1"/>
  <c r="B173" i="25"/>
  <c r="G127" i="23"/>
  <c r="CD127" i="6" s="1"/>
  <c r="AA127" i="23"/>
  <c r="Z127" i="23" s="1"/>
  <c r="Y127" i="23" s="1"/>
  <c r="W89" i="24"/>
  <c r="D89" i="24"/>
  <c r="E89" i="24" s="1"/>
  <c r="F89" i="24" s="1"/>
  <c r="B89" i="25"/>
  <c r="G61" i="23"/>
  <c r="CD61" i="6" s="1"/>
  <c r="AA61" i="23"/>
  <c r="Z61" i="23" s="1"/>
  <c r="Y61" i="23" s="1"/>
  <c r="W265" i="24"/>
  <c r="D265" i="24"/>
  <c r="E265" i="24" s="1"/>
  <c r="F265" i="24" s="1"/>
  <c r="B265" i="25"/>
  <c r="G161" i="23"/>
  <c r="CD161" i="6" s="1"/>
  <c r="AA161" i="23"/>
  <c r="Z161" i="23" s="1"/>
  <c r="Y161" i="23" s="1"/>
  <c r="W116" i="25"/>
  <c r="D116" i="25"/>
  <c r="E116" i="25" s="1"/>
  <c r="F116" i="25" s="1"/>
  <c r="G334" i="23"/>
  <c r="CD334" i="6" s="1"/>
  <c r="AA334" i="23"/>
  <c r="Z334" i="23" s="1"/>
  <c r="Y334" i="23" s="1"/>
  <c r="W294" i="24"/>
  <c r="D294" i="24"/>
  <c r="E294" i="24" s="1"/>
  <c r="F294" i="24" s="1"/>
  <c r="B294" i="25"/>
  <c r="G192" i="23"/>
  <c r="CD192" i="6" s="1"/>
  <c r="AA192" i="23"/>
  <c r="Z192" i="23" s="1"/>
  <c r="Y192" i="23" s="1"/>
  <c r="W148" i="25"/>
  <c r="D148" i="25"/>
  <c r="E148" i="25" s="1"/>
  <c r="F148" i="25" s="1"/>
  <c r="G281" i="23"/>
  <c r="CD281" i="6" s="1"/>
  <c r="AA281" i="23"/>
  <c r="Z281" i="23" s="1"/>
  <c r="Y281" i="23" s="1"/>
  <c r="W249" i="24"/>
  <c r="D249" i="24"/>
  <c r="E249" i="24" s="1"/>
  <c r="F249" i="24" s="1"/>
  <c r="B249" i="25"/>
  <c r="G185" i="23"/>
  <c r="CD185" i="6" s="1"/>
  <c r="AA185" i="23"/>
  <c r="Z185" i="23" s="1"/>
  <c r="Y185" i="23" s="1"/>
  <c r="W159" i="24"/>
  <c r="D159" i="24"/>
  <c r="E159" i="24" s="1"/>
  <c r="F159" i="24" s="1"/>
  <c r="B159" i="25"/>
  <c r="G99" i="23"/>
  <c r="CD99" i="6" s="1"/>
  <c r="AA99" i="23"/>
  <c r="Z99" i="23" s="1"/>
  <c r="Y99" i="23" s="1"/>
  <c r="W77" i="24"/>
  <c r="D77" i="24"/>
  <c r="E77" i="24" s="1"/>
  <c r="F77" i="24" s="1"/>
  <c r="B77" i="25"/>
  <c r="G37" i="23"/>
  <c r="CD37" i="6" s="1"/>
  <c r="AA37" i="23"/>
  <c r="Z37" i="23" s="1"/>
  <c r="Y37" i="23" s="1"/>
  <c r="W130" i="24"/>
  <c r="D130" i="24"/>
  <c r="E130" i="24" s="1"/>
  <c r="F130" i="24" s="1"/>
  <c r="B130" i="25"/>
  <c r="G244" i="23"/>
  <c r="CD244" i="6" s="1"/>
  <c r="AA244" i="23"/>
  <c r="Z244" i="23" s="1"/>
  <c r="Y244" i="23" s="1"/>
  <c r="W210" i="24"/>
  <c r="D210" i="24"/>
  <c r="E210" i="24" s="1"/>
  <c r="F210" i="24" s="1"/>
  <c r="B210" i="25"/>
  <c r="G189" i="24"/>
  <c r="CE189" i="6" s="1"/>
  <c r="AA189" i="24"/>
  <c r="Z189" i="24" s="1"/>
  <c r="Y189" i="24" s="1"/>
  <c r="W154" i="25"/>
  <c r="D154" i="25"/>
  <c r="E154" i="25" s="1"/>
  <c r="F154" i="25" s="1"/>
  <c r="G154" i="24"/>
  <c r="CE154" i="6" s="1"/>
  <c r="AA154" i="24"/>
  <c r="Z154" i="24" s="1"/>
  <c r="Y154" i="24" s="1"/>
  <c r="G194" i="24"/>
  <c r="CE194" i="6" s="1"/>
  <c r="AA194" i="24"/>
  <c r="Z194" i="24" s="1"/>
  <c r="Y194" i="24" s="1"/>
  <c r="W171" i="25"/>
  <c r="D171" i="25"/>
  <c r="E171" i="25" s="1"/>
  <c r="F171" i="25" s="1"/>
  <c r="G75" i="24"/>
  <c r="CE75" i="6" s="1"/>
  <c r="AA75" i="24"/>
  <c r="Z75" i="24" s="1"/>
  <c r="Y75" i="24" s="1"/>
  <c r="W261" i="25"/>
  <c r="D261" i="25"/>
  <c r="E261" i="25" s="1"/>
  <c r="F261" i="25" s="1"/>
  <c r="G74" i="24"/>
  <c r="CE74" i="6" s="1"/>
  <c r="AA74" i="24"/>
  <c r="Z74" i="24" s="1"/>
  <c r="Y74" i="24" s="1"/>
  <c r="W349" i="25"/>
  <c r="D349" i="25"/>
  <c r="E349" i="25" s="1"/>
  <c r="F349" i="25" s="1"/>
  <c r="W226" i="25"/>
  <c r="D226" i="25"/>
  <c r="E226" i="25" s="1"/>
  <c r="F226" i="25" s="1"/>
  <c r="G150" i="24"/>
  <c r="CE150" i="6" s="1"/>
  <c r="AA150" i="24"/>
  <c r="Z150" i="24" s="1"/>
  <c r="Y150" i="24" s="1"/>
  <c r="W29" i="25"/>
  <c r="D29" i="25"/>
  <c r="E29" i="25" s="1"/>
  <c r="F29" i="25" s="1"/>
  <c r="G29" i="24"/>
  <c r="CE29" i="6" s="1"/>
  <c r="AA29" i="24"/>
  <c r="Z29" i="24" s="1"/>
  <c r="Y29" i="24" s="1"/>
  <c r="BA295" i="6"/>
  <c r="H295" i="20"/>
  <c r="BA81" i="6"/>
  <c r="D81" i="6" s="1"/>
  <c r="H81" i="20"/>
  <c r="BA62" i="6"/>
  <c r="D62" i="6" s="1"/>
  <c r="H62" i="20"/>
  <c r="BA157" i="6"/>
  <c r="D157" i="6" s="1"/>
  <c r="H157" i="20"/>
  <c r="BA98" i="6"/>
  <c r="D98" i="6" s="1"/>
  <c r="H98" i="20"/>
  <c r="BA236" i="6"/>
  <c r="D236" i="6" s="1"/>
  <c r="H236" i="20"/>
  <c r="BA182" i="6"/>
  <c r="D182" i="6" s="1"/>
  <c r="H182" i="20"/>
  <c r="BA289" i="6"/>
  <c r="D289" i="6" s="1"/>
  <c r="H289" i="20"/>
  <c r="BA78" i="6"/>
  <c r="D78" i="6" s="1"/>
  <c r="H78" i="20"/>
  <c r="BA314" i="6"/>
  <c r="D314" i="6" s="1"/>
  <c r="H314" i="20"/>
  <c r="BA264" i="6"/>
  <c r="D264" i="6" s="1"/>
  <c r="H264" i="20"/>
  <c r="BA214" i="6"/>
  <c r="D214" i="6" s="1"/>
  <c r="H214" i="20"/>
  <c r="BA206" i="6"/>
  <c r="D206" i="6" s="1"/>
  <c r="H206" i="20"/>
  <c r="BA198" i="6"/>
  <c r="D198" i="6" s="1"/>
  <c r="H198" i="20"/>
  <c r="G186" i="22"/>
  <c r="CC186" i="6" s="1"/>
  <c r="AA186" i="22"/>
  <c r="Z186" i="22" s="1"/>
  <c r="Y186" i="22" s="1"/>
  <c r="G162" i="23"/>
  <c r="CD162" i="6" s="1"/>
  <c r="AA162" i="23"/>
  <c r="Z162" i="23" s="1"/>
  <c r="Y162" i="23" s="1"/>
  <c r="G156" i="23"/>
  <c r="CD156" i="6" s="1"/>
  <c r="AA156" i="23"/>
  <c r="Z156" i="23" s="1"/>
  <c r="Y156" i="23" s="1"/>
  <c r="G102" i="23"/>
  <c r="CD102" i="6" s="1"/>
  <c r="AA102" i="23"/>
  <c r="Z102" i="23" s="1"/>
  <c r="Y102" i="23" s="1"/>
  <c r="W72" i="24"/>
  <c r="D72" i="24"/>
  <c r="E72" i="24" s="1"/>
  <c r="F72" i="24" s="1"/>
  <c r="B72" i="25"/>
  <c r="G58" i="23"/>
  <c r="CD58" i="6" s="1"/>
  <c r="AA58" i="23"/>
  <c r="Z58" i="23" s="1"/>
  <c r="Y58" i="23" s="1"/>
  <c r="G44" i="23"/>
  <c r="CD44" i="6" s="1"/>
  <c r="AA44" i="23"/>
  <c r="Z44" i="23" s="1"/>
  <c r="Y44" i="23" s="1"/>
  <c r="W36" i="24"/>
  <c r="D36" i="24"/>
  <c r="E36" i="24" s="1"/>
  <c r="F36" i="24" s="1"/>
  <c r="B36" i="25"/>
  <c r="W24" i="24"/>
  <c r="D24" i="24"/>
  <c r="E24" i="24" s="1"/>
  <c r="F24" i="24" s="1"/>
  <c r="B24" i="25"/>
  <c r="W355" i="24"/>
  <c r="D355" i="24"/>
  <c r="E355" i="24" s="1"/>
  <c r="F355" i="24" s="1"/>
  <c r="B355" i="25"/>
  <c r="W345" i="24"/>
  <c r="D345" i="24"/>
  <c r="E345" i="24" s="1"/>
  <c r="F345" i="24" s="1"/>
  <c r="B345" i="25"/>
  <c r="BA329" i="6"/>
  <c r="D329" i="6" s="1"/>
  <c r="H329" i="20"/>
  <c r="G329" i="23"/>
  <c r="CD329" i="6" s="1"/>
  <c r="AA329" i="23"/>
  <c r="Z329" i="23" s="1"/>
  <c r="Y329" i="23" s="1"/>
  <c r="G297" i="23"/>
  <c r="CD297" i="6" s="1"/>
  <c r="AA297" i="23"/>
  <c r="Z297" i="23" s="1"/>
  <c r="Y297" i="23" s="1"/>
  <c r="D243" i="24"/>
  <c r="E243" i="24" s="1"/>
  <c r="F243" i="24" s="1"/>
  <c r="W243" i="24"/>
  <c r="B243" i="25"/>
  <c r="G237" i="23"/>
  <c r="CD237" i="6" s="1"/>
  <c r="AA237" i="23"/>
  <c r="Z237" i="23" s="1"/>
  <c r="Y237" i="23" s="1"/>
  <c r="BA217" i="6"/>
  <c r="D217" i="6" s="1"/>
  <c r="H217" i="20"/>
  <c r="G217" i="23"/>
  <c r="CD217" i="6" s="1"/>
  <c r="AA217" i="23"/>
  <c r="Z217" i="23" s="1"/>
  <c r="Y217" i="23" s="1"/>
  <c r="W199" i="24"/>
  <c r="D199" i="24"/>
  <c r="E199" i="24" s="1"/>
  <c r="F199" i="24" s="1"/>
  <c r="B199" i="25"/>
  <c r="G133" i="23"/>
  <c r="CD133" i="6" s="1"/>
  <c r="AA133" i="23"/>
  <c r="Z133" i="23" s="1"/>
  <c r="Y133" i="23" s="1"/>
  <c r="D121" i="24"/>
  <c r="E121" i="24" s="1"/>
  <c r="F121" i="24" s="1"/>
  <c r="W121" i="24"/>
  <c r="B121" i="25"/>
  <c r="G115" i="23"/>
  <c r="CD115" i="6" s="1"/>
  <c r="AA115" i="23"/>
  <c r="Z115" i="23" s="1"/>
  <c r="Y115" i="23" s="1"/>
  <c r="W109" i="24"/>
  <c r="D109" i="24"/>
  <c r="E109" i="24" s="1"/>
  <c r="F109" i="24" s="1"/>
  <c r="B109" i="25"/>
  <c r="W85" i="24"/>
  <c r="D85" i="24"/>
  <c r="E85" i="24" s="1"/>
  <c r="F85" i="24" s="1"/>
  <c r="B85" i="25"/>
  <c r="W51" i="24"/>
  <c r="D51" i="24"/>
  <c r="E51" i="24" s="1"/>
  <c r="F51" i="24" s="1"/>
  <c r="B51" i="25"/>
  <c r="W25" i="24"/>
  <c r="D25" i="24"/>
  <c r="E25" i="24" s="1"/>
  <c r="F25" i="24" s="1"/>
  <c r="B25" i="25"/>
  <c r="G370" i="23"/>
  <c r="CD370" i="6" s="1"/>
  <c r="AA370" i="23"/>
  <c r="Z370" i="23" s="1"/>
  <c r="Y370" i="23" s="1"/>
  <c r="G360" i="23"/>
  <c r="CD360" i="6" s="1"/>
  <c r="AA360" i="23"/>
  <c r="Z360" i="23" s="1"/>
  <c r="Y360" i="23" s="1"/>
  <c r="G344" i="23"/>
  <c r="CD344" i="6" s="1"/>
  <c r="AA344" i="23"/>
  <c r="Z344" i="23" s="1"/>
  <c r="Y344" i="23" s="1"/>
  <c r="W324" i="24"/>
  <c r="D324" i="24"/>
  <c r="E324" i="24" s="1"/>
  <c r="F324" i="24" s="1"/>
  <c r="B324" i="25"/>
  <c r="G304" i="23"/>
  <c r="CD304" i="6" s="1"/>
  <c r="AA304" i="23"/>
  <c r="Z304" i="23" s="1"/>
  <c r="Y304" i="23" s="1"/>
  <c r="D280" i="24"/>
  <c r="E280" i="24" s="1"/>
  <c r="F280" i="24" s="1"/>
  <c r="W280" i="24"/>
  <c r="B280" i="25"/>
  <c r="W262" i="24"/>
  <c r="D262" i="24"/>
  <c r="E262" i="24" s="1"/>
  <c r="F262" i="24" s="1"/>
  <c r="B262" i="25"/>
  <c r="AA238" i="23"/>
  <c r="Z238" i="23" s="1"/>
  <c r="Y238" i="23" s="1"/>
  <c r="G238" i="23"/>
  <c r="CD238" i="6" s="1"/>
  <c r="W202" i="24"/>
  <c r="D202" i="24"/>
  <c r="E202" i="24" s="1"/>
  <c r="F202" i="24" s="1"/>
  <c r="B202" i="25"/>
  <c r="G172" i="23"/>
  <c r="CD172" i="6" s="1"/>
  <c r="AA172" i="23"/>
  <c r="Z172" i="23" s="1"/>
  <c r="Y172" i="23" s="1"/>
  <c r="BA138" i="6"/>
  <c r="D138" i="6" s="1"/>
  <c r="H138" i="20"/>
  <c r="W138" i="24"/>
  <c r="D138" i="24"/>
  <c r="E138" i="24" s="1"/>
  <c r="F138" i="24" s="1"/>
  <c r="B138" i="25"/>
  <c r="W122" i="24"/>
  <c r="D122" i="24"/>
  <c r="E122" i="24" s="1"/>
  <c r="F122" i="24" s="1"/>
  <c r="B122" i="25"/>
  <c r="BA28" i="6"/>
  <c r="D28" i="6" s="1"/>
  <c r="H28" i="20"/>
  <c r="G28" i="23"/>
  <c r="CD28" i="6" s="1"/>
  <c r="AA28" i="23"/>
  <c r="Z28" i="23" s="1"/>
  <c r="Y28" i="23" s="1"/>
  <c r="W18" i="24"/>
  <c r="D18" i="24"/>
  <c r="E18" i="24" s="1"/>
  <c r="F18" i="24" s="1"/>
  <c r="B18" i="25"/>
  <c r="G288" i="23"/>
  <c r="CD288" i="6" s="1"/>
  <c r="AA288" i="23"/>
  <c r="Z288" i="23" s="1"/>
  <c r="Y288" i="23" s="1"/>
  <c r="W191" i="24"/>
  <c r="D191" i="24"/>
  <c r="E191" i="24" s="1"/>
  <c r="F191" i="24" s="1"/>
  <c r="B191" i="25"/>
  <c r="G143" i="23"/>
  <c r="CD143" i="6" s="1"/>
  <c r="AA143" i="23"/>
  <c r="Z143" i="23" s="1"/>
  <c r="Y143" i="23" s="1"/>
  <c r="G65" i="23"/>
  <c r="CD65" i="6" s="1"/>
  <c r="AA65" i="23"/>
  <c r="Z65" i="23" s="1"/>
  <c r="Y65" i="23" s="1"/>
  <c r="W372" i="24"/>
  <c r="D372" i="24"/>
  <c r="E372" i="24" s="1"/>
  <c r="F372" i="24" s="1"/>
  <c r="B372" i="25"/>
  <c r="W326" i="23"/>
  <c r="D326" i="23"/>
  <c r="E326" i="23" s="1"/>
  <c r="F326" i="23" s="1"/>
  <c r="B326" i="24"/>
  <c r="BA294" i="6"/>
  <c r="D294" i="6" s="1"/>
  <c r="H294" i="20"/>
  <c r="G250" i="22"/>
  <c r="CC250" i="6" s="1"/>
  <c r="AA250" i="22"/>
  <c r="Z250" i="22" s="1"/>
  <c r="Y250" i="22" s="1"/>
  <c r="W188" i="23"/>
  <c r="D188" i="23"/>
  <c r="E188" i="23" s="1"/>
  <c r="F188" i="23" s="1"/>
  <c r="B188" i="24"/>
  <c r="G126" i="22"/>
  <c r="CC126" i="6" s="1"/>
  <c r="AA126" i="22"/>
  <c r="Z126" i="22" s="1"/>
  <c r="Y126" i="22" s="1"/>
  <c r="W96" i="23"/>
  <c r="D96" i="23"/>
  <c r="E96" i="23" s="1"/>
  <c r="F96" i="23" s="1"/>
  <c r="B96" i="24"/>
  <c r="W34" i="23"/>
  <c r="D34" i="23"/>
  <c r="E34" i="23" s="1"/>
  <c r="F34" i="23" s="1"/>
  <c r="B34" i="24"/>
  <c r="G34" i="22"/>
  <c r="CC34" i="6" s="1"/>
  <c r="AA34" i="22"/>
  <c r="Z34" i="22" s="1"/>
  <c r="Y34" i="22" s="1"/>
  <c r="W327" i="23"/>
  <c r="D327" i="23"/>
  <c r="E327" i="23" s="1"/>
  <c r="F327" i="23" s="1"/>
  <c r="B327" i="24"/>
  <c r="H293" i="20"/>
  <c r="W285" i="23"/>
  <c r="D285" i="23"/>
  <c r="E285" i="23" s="1"/>
  <c r="F285" i="23" s="1"/>
  <c r="B285" i="24"/>
  <c r="G285" i="22"/>
  <c r="CC285" i="6" s="1"/>
  <c r="AA285" i="22"/>
  <c r="Z285" i="22" s="1"/>
  <c r="Y285" i="22" s="1"/>
  <c r="BA221" i="6"/>
  <c r="D221" i="6" s="1"/>
  <c r="H221" i="20"/>
  <c r="BA131" i="6"/>
  <c r="D131" i="6" s="1"/>
  <c r="H131" i="20"/>
  <c r="BA93" i="6"/>
  <c r="D93" i="6" s="1"/>
  <c r="H93" i="20"/>
  <c r="BA69" i="6"/>
  <c r="D69" i="6" s="1"/>
  <c r="H69" i="20"/>
  <c r="G23" i="22"/>
  <c r="CC23" i="6" s="1"/>
  <c r="AA23" i="22"/>
  <c r="Z23" i="22" s="1"/>
  <c r="Y23" i="22" s="1"/>
  <c r="BA320" i="6"/>
  <c r="D320" i="6" s="1"/>
  <c r="H320" i="20"/>
  <c r="BA276" i="6"/>
  <c r="D276" i="6" s="1"/>
  <c r="H276" i="20"/>
  <c r="BA270" i="6"/>
  <c r="D270" i="6" s="1"/>
  <c r="H270" i="20"/>
  <c r="BA260" i="6"/>
  <c r="D260" i="6" s="1"/>
  <c r="H260" i="20"/>
  <c r="BA220" i="6"/>
  <c r="D220" i="6" s="1"/>
  <c r="H220" i="20"/>
  <c r="BA140" i="6"/>
  <c r="D140" i="6" s="1"/>
  <c r="H140" i="20"/>
  <c r="BA110" i="6"/>
  <c r="D110" i="6" s="1"/>
  <c r="H110" i="20"/>
  <c r="BA104" i="6"/>
  <c r="D104" i="6" s="1"/>
  <c r="H104" i="20"/>
  <c r="BA84" i="6"/>
  <c r="D84" i="6" s="1"/>
  <c r="H84" i="20"/>
  <c r="BA42" i="6"/>
  <c r="D42" i="6" s="1"/>
  <c r="H42" i="20"/>
  <c r="BA210" i="6"/>
  <c r="D210" i="6" s="1"/>
  <c r="H210" i="20"/>
  <c r="BA43" i="6"/>
  <c r="H43" i="20"/>
  <c r="BA319" i="6"/>
  <c r="D319" i="6" s="1"/>
  <c r="H319" i="20"/>
  <c r="G196" i="22"/>
  <c r="CC196" i="6" s="1"/>
  <c r="AA196" i="22"/>
  <c r="Z196" i="22" s="1"/>
  <c r="Y196" i="22" s="1"/>
  <c r="W373" i="24"/>
  <c r="D373" i="24"/>
  <c r="E373" i="24" s="1"/>
  <c r="F373" i="24" s="1"/>
  <c r="B373" i="25"/>
  <c r="G325" i="23"/>
  <c r="CD325" i="6" s="1"/>
  <c r="AA325" i="23"/>
  <c r="Z325" i="23" s="1"/>
  <c r="Y325" i="23" s="1"/>
  <c r="W277" i="24"/>
  <c r="D277" i="24"/>
  <c r="E277" i="24" s="1"/>
  <c r="F277" i="24" s="1"/>
  <c r="B277" i="25"/>
  <c r="G245" i="23"/>
  <c r="CD245" i="6" s="1"/>
  <c r="AA245" i="23"/>
  <c r="Z245" i="23" s="1"/>
  <c r="Y245" i="23" s="1"/>
  <c r="G203" i="23"/>
  <c r="CD203" i="6" s="1"/>
  <c r="AA203" i="23"/>
  <c r="Z203" i="23" s="1"/>
  <c r="Y203" i="23" s="1"/>
  <c r="G169" i="23"/>
  <c r="CD169" i="6" s="1"/>
  <c r="AA169" i="23"/>
  <c r="Z169" i="23" s="1"/>
  <c r="Y169" i="23" s="1"/>
  <c r="G139" i="23"/>
  <c r="CD139" i="6" s="1"/>
  <c r="AA139" i="23"/>
  <c r="Z139" i="23" s="1"/>
  <c r="Y139" i="23" s="1"/>
  <c r="W53" i="24"/>
  <c r="D53" i="24"/>
  <c r="E53" i="24" s="1"/>
  <c r="F53" i="24" s="1"/>
  <c r="B53" i="25"/>
  <c r="W369" i="24"/>
  <c r="D369" i="24"/>
  <c r="E369" i="24" s="1"/>
  <c r="F369" i="24" s="1"/>
  <c r="B369" i="25"/>
  <c r="AA347" i="23"/>
  <c r="Z347" i="23" s="1"/>
  <c r="Y347" i="23" s="1"/>
  <c r="G347" i="23"/>
  <c r="CD347" i="6" s="1"/>
  <c r="W376" i="24"/>
  <c r="D376" i="24"/>
  <c r="E376" i="24" s="1"/>
  <c r="F376" i="24" s="1"/>
  <c r="B376" i="25"/>
  <c r="G368" i="23"/>
  <c r="CD368" i="6" s="1"/>
  <c r="AA368" i="23"/>
  <c r="Z368" i="23" s="1"/>
  <c r="Y368" i="23" s="1"/>
  <c r="W272" i="25"/>
  <c r="D272" i="25"/>
  <c r="E272" i="25" s="1"/>
  <c r="F272" i="25" s="1"/>
  <c r="G272" i="24"/>
  <c r="CE272" i="6" s="1"/>
  <c r="AA272" i="24"/>
  <c r="Z272" i="24" s="1"/>
  <c r="Y272" i="24" s="1"/>
  <c r="G346" i="24"/>
  <c r="CE346" i="6" s="1"/>
  <c r="AA346" i="24"/>
  <c r="Z346" i="24" s="1"/>
  <c r="Y346" i="24" s="1"/>
  <c r="W283" i="25"/>
  <c r="D283" i="25"/>
  <c r="E283" i="25" s="1"/>
  <c r="F283" i="25" s="1"/>
  <c r="G248" i="24"/>
  <c r="CE248" i="6" s="1"/>
  <c r="AA248" i="24"/>
  <c r="Z248" i="24" s="1"/>
  <c r="Y248" i="24" s="1"/>
  <c r="W22" i="25"/>
  <c r="D22" i="25"/>
  <c r="E22" i="25" s="1"/>
  <c r="F22" i="25" s="1"/>
  <c r="G46" i="24"/>
  <c r="CE46" i="6" s="1"/>
  <c r="AA46" i="24"/>
  <c r="Z46" i="24" s="1"/>
  <c r="Y46" i="24" s="1"/>
  <c r="W298" i="24"/>
  <c r="D298" i="24"/>
  <c r="E298" i="24" s="1"/>
  <c r="F298" i="24" s="1"/>
  <c r="B298" i="25"/>
  <c r="G316" i="23"/>
  <c r="CD316" i="6" s="1"/>
  <c r="AA316" i="23"/>
  <c r="Z316" i="23" s="1"/>
  <c r="Y316" i="23" s="1"/>
  <c r="W149" i="24"/>
  <c r="D149" i="24"/>
  <c r="E149" i="24" s="1"/>
  <c r="F149" i="24" s="1"/>
  <c r="B149" i="25"/>
  <c r="G333" i="23"/>
  <c r="CD333" i="6" s="1"/>
  <c r="AA333" i="23"/>
  <c r="Z333" i="23" s="1"/>
  <c r="Y333" i="23" s="1"/>
  <c r="G132" i="22"/>
  <c r="CC132" i="6" s="1"/>
  <c r="AA132" i="22"/>
  <c r="Z132" i="22" s="1"/>
  <c r="Y132" i="22" s="1"/>
  <c r="G153" i="22"/>
  <c r="CC153" i="6" s="1"/>
  <c r="AA153" i="22"/>
  <c r="Z153" i="22" s="1"/>
  <c r="Y153" i="22" s="1"/>
  <c r="G251" i="22"/>
  <c r="CC251" i="6" s="1"/>
  <c r="AA251" i="22"/>
  <c r="Z251" i="22" s="1"/>
  <c r="Y251" i="22" s="1"/>
  <c r="G235" i="22"/>
  <c r="CC235" i="6" s="1"/>
  <c r="AA235" i="22"/>
  <c r="Z235" i="22" s="1"/>
  <c r="Y235" i="22" s="1"/>
  <c r="G103" i="22"/>
  <c r="CC103" i="6" s="1"/>
  <c r="AA103" i="22"/>
  <c r="Z103" i="22" s="1"/>
  <c r="Y103" i="22" s="1"/>
  <c r="G52" i="22"/>
  <c r="CC52" i="6" s="1"/>
  <c r="AA52" i="22"/>
  <c r="Z52" i="22" s="1"/>
  <c r="Y52" i="22" s="1"/>
  <c r="G152" i="22"/>
  <c r="CC152" i="6" s="1"/>
  <c r="AA152" i="22"/>
  <c r="Z152" i="22" s="1"/>
  <c r="Y152" i="22" s="1"/>
  <c r="G305" i="22"/>
  <c r="CC305" i="6" s="1"/>
  <c r="AA305" i="22"/>
  <c r="Z305" i="22" s="1"/>
  <c r="Y305" i="22" s="1"/>
  <c r="G252" i="22"/>
  <c r="CC252" i="6" s="1"/>
  <c r="AA252" i="22"/>
  <c r="Z252" i="22" s="1"/>
  <c r="Y252" i="22" s="1"/>
  <c r="G204" i="22"/>
  <c r="CC204" i="6" s="1"/>
  <c r="AA204" i="22"/>
  <c r="Z204" i="22" s="1"/>
  <c r="Y204" i="22" s="1"/>
  <c r="G222" i="22"/>
  <c r="CC222" i="6" s="1"/>
  <c r="AA222" i="22"/>
  <c r="Z222" i="22" s="1"/>
  <c r="Y222" i="22" s="1"/>
  <c r="W380" i="22"/>
  <c r="D380" i="22"/>
  <c r="E380" i="22" s="1"/>
  <c r="F380" i="22" s="1"/>
  <c r="W342" i="23"/>
  <c r="D342" i="23"/>
  <c r="E342" i="23" s="1"/>
  <c r="F342" i="23" s="1"/>
  <c r="B342" i="24"/>
  <c r="W312" i="23"/>
  <c r="D312" i="23"/>
  <c r="E312" i="23" s="1"/>
  <c r="F312" i="23" s="1"/>
  <c r="B312" i="24"/>
  <c r="W242" i="23"/>
  <c r="D242" i="23"/>
  <c r="E242" i="23" s="1"/>
  <c r="F242" i="23" s="1"/>
  <c r="B242" i="24"/>
  <c r="W212" i="23"/>
  <c r="D212" i="23"/>
  <c r="E212" i="23" s="1"/>
  <c r="F212" i="23" s="1"/>
  <c r="B212" i="24"/>
  <c r="BA190" i="6"/>
  <c r="D190" i="6" s="1"/>
  <c r="H190" i="20"/>
  <c r="W168" i="23"/>
  <c r="D168" i="23"/>
  <c r="E168" i="23" s="1"/>
  <c r="F168" i="23" s="1"/>
  <c r="B168" i="24"/>
  <c r="W134" i="23"/>
  <c r="D134" i="23"/>
  <c r="E134" i="23" s="1"/>
  <c r="F134" i="23" s="1"/>
  <c r="B134" i="24"/>
  <c r="G68" i="22"/>
  <c r="CC68" i="6" s="1"/>
  <c r="AA68" i="22"/>
  <c r="Z68" i="22" s="1"/>
  <c r="Y68" i="22" s="1"/>
  <c r="G40" i="22"/>
  <c r="CC40" i="6" s="1"/>
  <c r="AA40" i="22"/>
  <c r="Z40" i="22" s="1"/>
  <c r="Y40" i="22" s="1"/>
  <c r="G377" i="22"/>
  <c r="CC377" i="6" s="1"/>
  <c r="AA377" i="22"/>
  <c r="Z377" i="22" s="1"/>
  <c r="Y377" i="22" s="1"/>
  <c r="G343" i="22"/>
  <c r="CC343" i="6" s="1"/>
  <c r="AA343" i="22"/>
  <c r="Z343" i="22" s="1"/>
  <c r="Y343" i="22" s="1"/>
  <c r="G279" i="22"/>
  <c r="CC279" i="6" s="1"/>
  <c r="AA279" i="22"/>
  <c r="Z279" i="22" s="1"/>
  <c r="Y279" i="22" s="1"/>
  <c r="G225" i="22"/>
  <c r="CC225" i="6" s="1"/>
  <c r="AA225" i="22"/>
  <c r="Z225" i="22" s="1"/>
  <c r="Y225" i="22" s="1"/>
  <c r="G165" i="22"/>
  <c r="CC165" i="6" s="1"/>
  <c r="AA165" i="22"/>
  <c r="Z165" i="22" s="1"/>
  <c r="Y165" i="22" s="1"/>
  <c r="G117" i="22"/>
  <c r="CC117" i="6" s="1"/>
  <c r="AA117" i="22"/>
  <c r="Z117" i="22" s="1"/>
  <c r="Y117" i="22" s="1"/>
  <c r="G91" i="22"/>
  <c r="CC91" i="6" s="1"/>
  <c r="AA91" i="22"/>
  <c r="Z91" i="22" s="1"/>
  <c r="Y91" i="22" s="1"/>
  <c r="G41" i="22"/>
  <c r="CC41" i="6" s="1"/>
  <c r="AA41" i="22"/>
  <c r="Z41" i="22" s="1"/>
  <c r="Y41" i="22" s="1"/>
  <c r="G364" i="22"/>
  <c r="CC364" i="6" s="1"/>
  <c r="AA364" i="22"/>
  <c r="Z364" i="22" s="1"/>
  <c r="Y364" i="22" s="1"/>
  <c r="G330" i="22"/>
  <c r="CC330" i="6" s="1"/>
  <c r="AA330" i="22"/>
  <c r="Z330" i="22" s="1"/>
  <c r="Y330" i="22" s="1"/>
  <c r="G292" i="22"/>
  <c r="CC292" i="6" s="1"/>
  <c r="AA292" i="22"/>
  <c r="Z292" i="22" s="1"/>
  <c r="Y292" i="22" s="1"/>
  <c r="H266" i="20"/>
  <c r="G256" i="22"/>
  <c r="CC256" i="6" s="1"/>
  <c r="AA256" i="22"/>
  <c r="Z256" i="22" s="1"/>
  <c r="Y256" i="22" s="1"/>
  <c r="G184" i="22"/>
  <c r="CC184" i="6" s="1"/>
  <c r="AA184" i="22"/>
  <c r="Z184" i="22" s="1"/>
  <c r="Y184" i="22" s="1"/>
  <c r="G124" i="22"/>
  <c r="CC124" i="6" s="1"/>
  <c r="AA124" i="22"/>
  <c r="Z124" i="22" s="1"/>
  <c r="Y124" i="22" s="1"/>
  <c r="H27" i="20"/>
  <c r="W27" i="23"/>
  <c r="D27" i="23"/>
  <c r="E27" i="23" s="1"/>
  <c r="F27" i="23" s="1"/>
  <c r="B27" i="24"/>
  <c r="D225" i="6"/>
  <c r="D113" i="6"/>
  <c r="H313" i="20"/>
  <c r="H269" i="20"/>
  <c r="H231" i="20"/>
  <c r="W193" i="23"/>
  <c r="D193" i="23"/>
  <c r="E193" i="23" s="1"/>
  <c r="F193" i="23" s="1"/>
  <c r="B193" i="24"/>
  <c r="G193" i="22"/>
  <c r="CC193" i="6" s="1"/>
  <c r="AA193" i="22"/>
  <c r="Z193" i="22" s="1"/>
  <c r="Y193" i="22" s="1"/>
  <c r="G151" i="22"/>
  <c r="CC151" i="6" s="1"/>
  <c r="AA151" i="22"/>
  <c r="Z151" i="22" s="1"/>
  <c r="Y151" i="22" s="1"/>
  <c r="W107" i="23"/>
  <c r="D107" i="23"/>
  <c r="E107" i="23" s="1"/>
  <c r="F107" i="23" s="1"/>
  <c r="B107" i="24"/>
  <c r="G39" i="22"/>
  <c r="CC39" i="6" s="1"/>
  <c r="AA39" i="22"/>
  <c r="Z39" i="22" s="1"/>
  <c r="Y39" i="22" s="1"/>
  <c r="W348" i="23"/>
  <c r="D348" i="23"/>
  <c r="E348" i="23" s="1"/>
  <c r="F348" i="23" s="1"/>
  <c r="B348" i="24"/>
  <c r="G296" i="22"/>
  <c r="CC296" i="6" s="1"/>
  <c r="AA296" i="22"/>
  <c r="Z296" i="22" s="1"/>
  <c r="Y296" i="22" s="1"/>
  <c r="BA228" i="6"/>
  <c r="D228" i="6" s="1"/>
  <c r="H228" i="20"/>
  <c r="W218" i="23"/>
  <c r="D218" i="23"/>
  <c r="E218" i="23" s="1"/>
  <c r="F218" i="23" s="1"/>
  <c r="B218" i="24"/>
  <c r="G144" i="22"/>
  <c r="CC144" i="6" s="1"/>
  <c r="AA144" i="22"/>
  <c r="Z144" i="22" s="1"/>
  <c r="Y144" i="22" s="1"/>
  <c r="W112" i="23"/>
  <c r="D112" i="23"/>
  <c r="E112" i="23" s="1"/>
  <c r="F112" i="23" s="1"/>
  <c r="B112" i="24"/>
  <c r="G94" i="23"/>
  <c r="CD94" i="6" s="1"/>
  <c r="AA94" i="23"/>
  <c r="Z94" i="23" s="1"/>
  <c r="Y94" i="23" s="1"/>
  <c r="W80" i="24"/>
  <c r="D80" i="24"/>
  <c r="E80" i="24" s="1"/>
  <c r="F80" i="24" s="1"/>
  <c r="B80" i="25"/>
  <c r="W233" i="23"/>
  <c r="D233" i="23"/>
  <c r="E233" i="23" s="1"/>
  <c r="F233" i="23" s="1"/>
  <c r="B233" i="24"/>
  <c r="W201" i="23"/>
  <c r="D201" i="23"/>
  <c r="E201" i="23" s="1"/>
  <c r="F201" i="23" s="1"/>
  <c r="B201" i="24"/>
  <c r="W145" i="23"/>
  <c r="D145" i="23"/>
  <c r="E145" i="23" s="1"/>
  <c r="F145" i="23" s="1"/>
  <c r="B145" i="24"/>
  <c r="W87" i="23"/>
  <c r="D87" i="23"/>
  <c r="E87" i="23" s="1"/>
  <c r="F87" i="23" s="1"/>
  <c r="B87" i="24"/>
  <c r="G49" i="22"/>
  <c r="CC49" i="6" s="1"/>
  <c r="AA49" i="22"/>
  <c r="Z49" i="22" s="1"/>
  <c r="Y49" i="22" s="1"/>
  <c r="G31" i="22"/>
  <c r="CC31" i="6" s="1"/>
  <c r="AA31" i="22"/>
  <c r="Z31" i="22" s="1"/>
  <c r="Y31" i="22" s="1"/>
  <c r="G352" i="22"/>
  <c r="CC352" i="6" s="1"/>
  <c r="AA352" i="22"/>
  <c r="Z352" i="22" s="1"/>
  <c r="Y352" i="22" s="1"/>
  <c r="G318" i="22"/>
  <c r="CC318" i="6" s="1"/>
  <c r="AA318" i="22"/>
  <c r="Z318" i="22" s="1"/>
  <c r="Y318" i="22" s="1"/>
  <c r="G274" i="22"/>
  <c r="CC274" i="6" s="1"/>
  <c r="AA274" i="22"/>
  <c r="Z274" i="22" s="1"/>
  <c r="Y274" i="22" s="1"/>
  <c r="G254" i="22"/>
  <c r="CC254" i="6" s="1"/>
  <c r="AA254" i="22"/>
  <c r="Z254" i="22" s="1"/>
  <c r="Y254" i="22" s="1"/>
  <c r="G178" i="22"/>
  <c r="CC178" i="6" s="1"/>
  <c r="AA178" i="22"/>
  <c r="Z178" i="22" s="1"/>
  <c r="Y178" i="22" s="1"/>
  <c r="G136" i="22"/>
  <c r="CC136" i="6" s="1"/>
  <c r="AA136" i="22"/>
  <c r="Z136" i="22" s="1"/>
  <c r="Y136" i="22" s="1"/>
  <c r="G106" i="22"/>
  <c r="CC106" i="6" s="1"/>
  <c r="AA106" i="22"/>
  <c r="Z106" i="22" s="1"/>
  <c r="Y106" i="22" s="1"/>
  <c r="G70" i="22"/>
  <c r="CC70" i="6" s="1"/>
  <c r="AA70" i="22"/>
  <c r="Z70" i="22" s="1"/>
  <c r="Y70" i="22" s="1"/>
  <c r="BA77" i="6"/>
  <c r="D77" i="6" s="1"/>
  <c r="H77" i="20"/>
  <c r="E15" i="23"/>
  <c r="BA171" i="6"/>
  <c r="D171" i="6" s="1"/>
  <c r="H171" i="20"/>
  <c r="W241" i="25"/>
  <c r="D241" i="25"/>
  <c r="E241" i="25" s="1"/>
  <c r="F241" i="25" s="1"/>
  <c r="G367" i="24"/>
  <c r="CE367" i="6" s="1"/>
  <c r="AA367" i="24"/>
  <c r="Z367" i="24" s="1"/>
  <c r="Y367" i="24" s="1"/>
  <c r="W335" i="25"/>
  <c r="D335" i="25"/>
  <c r="E335" i="25" s="1"/>
  <c r="F335" i="25" s="1"/>
  <c r="AA135" i="24"/>
  <c r="Z135" i="24" s="1"/>
  <c r="Y135" i="24" s="1"/>
  <c r="G135" i="24"/>
  <c r="CE135" i="6" s="1"/>
  <c r="W278" i="24"/>
  <c r="D278" i="24"/>
  <c r="E278" i="24" s="1"/>
  <c r="F278" i="24" s="1"/>
  <c r="B278" i="25"/>
  <c r="AA111" i="23"/>
  <c r="Z111" i="23" s="1"/>
  <c r="Y111" i="23" s="1"/>
  <c r="G111" i="23"/>
  <c r="CD111" i="6" s="1"/>
  <c r="W17" i="24"/>
  <c r="D17" i="24"/>
  <c r="E17" i="24" s="1"/>
  <c r="F17" i="24" s="1"/>
  <c r="B17" i="25"/>
  <c r="AA319" i="23"/>
  <c r="Z319" i="23" s="1"/>
  <c r="Y319" i="23" s="1"/>
  <c r="G319" i="23"/>
  <c r="CD319" i="6" s="1"/>
  <c r="D166" i="24"/>
  <c r="E166" i="24" s="1"/>
  <c r="F166" i="24" s="1"/>
  <c r="W166" i="24"/>
  <c r="B166" i="25"/>
  <c r="G177" i="23"/>
  <c r="CD177" i="6" s="1"/>
  <c r="AA177" i="23"/>
  <c r="Z177" i="23" s="1"/>
  <c r="Y177" i="23" s="1"/>
  <c r="W187" i="25"/>
  <c r="D187" i="25"/>
  <c r="E187" i="25" s="1"/>
  <c r="F187" i="25" s="1"/>
  <c r="AA365" i="24"/>
  <c r="Z365" i="24" s="1"/>
  <c r="Y365" i="24" s="1"/>
  <c r="G365" i="24"/>
  <c r="CE365" i="6" s="1"/>
  <c r="W60" i="25"/>
  <c r="D60" i="25"/>
  <c r="E60" i="25" s="1"/>
  <c r="F60" i="25" s="1"/>
  <c r="AA180" i="24"/>
  <c r="Z180" i="24" s="1"/>
  <c r="Y180" i="24" s="1"/>
  <c r="G180" i="24"/>
  <c r="CE180" i="6" s="1"/>
  <c r="Z15" i="18"/>
  <c r="AL7" i="18" s="1"/>
  <c r="W232" i="24"/>
  <c r="D232" i="24"/>
  <c r="E232" i="24" s="1"/>
  <c r="F232" i="24" s="1"/>
  <c r="B232" i="25"/>
  <c r="W76" i="24"/>
  <c r="D76" i="24"/>
  <c r="E76" i="24" s="1"/>
  <c r="F76" i="24" s="1"/>
  <c r="B76" i="25"/>
  <c r="W295" i="24"/>
  <c r="D295" i="24"/>
  <c r="E295" i="24" s="1"/>
  <c r="F295" i="24" s="1"/>
  <c r="B295" i="25"/>
  <c r="G81" i="23"/>
  <c r="CD81" i="6" s="1"/>
  <c r="AA81" i="23"/>
  <c r="Z81" i="23" s="1"/>
  <c r="Y81" i="23" s="1"/>
  <c r="G62" i="23"/>
  <c r="CD62" i="6" s="1"/>
  <c r="AA62" i="23"/>
  <c r="Z62" i="23" s="1"/>
  <c r="Y62" i="23" s="1"/>
  <c r="G73" i="23"/>
  <c r="CD73" i="6" s="1"/>
  <c r="AA73" i="23"/>
  <c r="Z73" i="23" s="1"/>
  <c r="Y73" i="23" s="1"/>
  <c r="G309" i="23"/>
  <c r="CD309" i="6" s="1"/>
  <c r="AA309" i="23"/>
  <c r="Z309" i="23" s="1"/>
  <c r="Y309" i="23" s="1"/>
  <c r="W332" i="24"/>
  <c r="D332" i="24"/>
  <c r="E332" i="24" s="1"/>
  <c r="F332" i="24" s="1"/>
  <c r="B332" i="25"/>
  <c r="G125" i="23"/>
  <c r="CD125" i="6" s="1"/>
  <c r="AA125" i="23"/>
  <c r="Z125" i="23" s="1"/>
  <c r="Y125" i="23" s="1"/>
  <c r="G321" i="23"/>
  <c r="CD321" i="6" s="1"/>
  <c r="AA321" i="23"/>
  <c r="Z321" i="23" s="1"/>
  <c r="Y321" i="23" s="1"/>
  <c r="W157" i="24"/>
  <c r="D157" i="24"/>
  <c r="E157" i="24" s="1"/>
  <c r="F157" i="24" s="1"/>
  <c r="B157" i="25"/>
  <c r="W163" i="24"/>
  <c r="D163" i="24"/>
  <c r="E163" i="24" s="1"/>
  <c r="F163" i="24" s="1"/>
  <c r="B163" i="25"/>
  <c r="W374" i="24"/>
  <c r="D374" i="24"/>
  <c r="E374" i="24" s="1"/>
  <c r="F374" i="24" s="1"/>
  <c r="B374" i="25"/>
  <c r="G98" i="23"/>
  <c r="CD98" i="6" s="1"/>
  <c r="AA98" i="23"/>
  <c r="Z98" i="23" s="1"/>
  <c r="Y98" i="23" s="1"/>
  <c r="G311" i="23"/>
  <c r="CD311" i="6" s="1"/>
  <c r="AA311" i="23"/>
  <c r="Z311" i="23" s="1"/>
  <c r="Y311" i="23" s="1"/>
  <c r="W236" i="24"/>
  <c r="D236" i="24"/>
  <c r="E236" i="24" s="1"/>
  <c r="F236" i="24" s="1"/>
  <c r="B236" i="25"/>
  <c r="BA310" i="6"/>
  <c r="D310" i="6" s="1"/>
  <c r="H310" i="20"/>
  <c r="G310" i="23"/>
  <c r="CD310" i="6" s="1"/>
  <c r="AA310" i="23"/>
  <c r="Z310" i="23" s="1"/>
  <c r="Y310" i="23" s="1"/>
  <c r="W182" i="24"/>
  <c r="D182" i="24"/>
  <c r="E182" i="24" s="1"/>
  <c r="F182" i="24" s="1"/>
  <c r="B182" i="25"/>
  <c r="D378" i="24"/>
  <c r="E378" i="24" s="1"/>
  <c r="F378" i="24" s="1"/>
  <c r="W378" i="24"/>
  <c r="B378" i="25"/>
  <c r="G289" i="23"/>
  <c r="CD289" i="6" s="1"/>
  <c r="AA289" i="23"/>
  <c r="Z289" i="23" s="1"/>
  <c r="Y289" i="23" s="1"/>
  <c r="D90" i="24"/>
  <c r="E90" i="24" s="1"/>
  <c r="F90" i="24" s="1"/>
  <c r="W90" i="24"/>
  <c r="B90" i="25"/>
  <c r="W78" i="24"/>
  <c r="D78" i="24"/>
  <c r="E78" i="24" s="1"/>
  <c r="F78" i="24" s="1"/>
  <c r="B78" i="25"/>
  <c r="W137" i="24"/>
  <c r="D137" i="24"/>
  <c r="E137" i="24" s="1"/>
  <c r="F137" i="24" s="1"/>
  <c r="B137" i="25"/>
  <c r="AA356" i="23"/>
  <c r="Z356" i="23" s="1"/>
  <c r="Y356" i="23" s="1"/>
  <c r="G356" i="23"/>
  <c r="CD356" i="6" s="1"/>
  <c r="W340" i="24"/>
  <c r="D340" i="24"/>
  <c r="E340" i="24" s="1"/>
  <c r="F340" i="24" s="1"/>
  <c r="B340" i="25"/>
  <c r="G314" i="23"/>
  <c r="CD314" i="6" s="1"/>
  <c r="AA314" i="23"/>
  <c r="Z314" i="23" s="1"/>
  <c r="Y314" i="23" s="1"/>
  <c r="G290" i="23"/>
  <c r="CD290" i="6" s="1"/>
  <c r="AA290" i="23"/>
  <c r="Z290" i="23" s="1"/>
  <c r="Y290" i="23" s="1"/>
  <c r="W264" i="24"/>
  <c r="D264" i="24"/>
  <c r="E264" i="24" s="1"/>
  <c r="F264" i="24" s="1"/>
  <c r="B264" i="25"/>
  <c r="BA240" i="6"/>
  <c r="D240" i="6" s="1"/>
  <c r="H240" i="20"/>
  <c r="W240" i="24"/>
  <c r="D240" i="24"/>
  <c r="E240" i="24" s="1"/>
  <c r="F240" i="24" s="1"/>
  <c r="B240" i="25"/>
  <c r="W214" i="24"/>
  <c r="D214" i="24"/>
  <c r="E214" i="24" s="1"/>
  <c r="F214" i="24" s="1"/>
  <c r="B214" i="25"/>
  <c r="G206" i="23"/>
  <c r="CD206" i="6" s="1"/>
  <c r="AA206" i="23"/>
  <c r="Z206" i="23" s="1"/>
  <c r="Y206" i="23" s="1"/>
  <c r="G198" i="23"/>
  <c r="CD198" i="6" s="1"/>
  <c r="AA198" i="23"/>
  <c r="Z198" i="23" s="1"/>
  <c r="Y198" i="23" s="1"/>
  <c r="BA162" i="6"/>
  <c r="D162" i="6" s="1"/>
  <c r="H162" i="20"/>
  <c r="BA156" i="6"/>
  <c r="D156" i="6" s="1"/>
  <c r="H156" i="20"/>
  <c r="BA72" i="6"/>
  <c r="D72" i="6" s="1"/>
  <c r="H72" i="20"/>
  <c r="BA345" i="6"/>
  <c r="D345" i="6" s="1"/>
  <c r="H345" i="20"/>
  <c r="BA297" i="6"/>
  <c r="D297" i="6" s="1"/>
  <c r="H297" i="20"/>
  <c r="BA199" i="6"/>
  <c r="D199" i="6" s="1"/>
  <c r="H199" i="20"/>
  <c r="BA121" i="6"/>
  <c r="D121" i="6" s="1"/>
  <c r="H121" i="20"/>
  <c r="BA109" i="6"/>
  <c r="D109" i="6" s="1"/>
  <c r="H109" i="20"/>
  <c r="BA51" i="6"/>
  <c r="D51" i="6" s="1"/>
  <c r="H51" i="20"/>
  <c r="BA344" i="6"/>
  <c r="D344" i="6" s="1"/>
  <c r="H344" i="20"/>
  <c r="BA324" i="6"/>
  <c r="D324" i="6" s="1"/>
  <c r="H324" i="20"/>
  <c r="BA238" i="6"/>
  <c r="D238" i="6" s="1"/>
  <c r="H238" i="20"/>
  <c r="BA202" i="6"/>
  <c r="D202" i="6" s="1"/>
  <c r="H202" i="20"/>
  <c r="BA18" i="6"/>
  <c r="D18" i="6" s="1"/>
  <c r="H18" i="20"/>
  <c r="G357" i="23"/>
  <c r="CD357" i="6" s="1"/>
  <c r="AA357" i="23"/>
  <c r="Z357" i="23" s="1"/>
  <c r="Y357" i="23" s="1"/>
  <c r="G307" i="23"/>
  <c r="CD307" i="6" s="1"/>
  <c r="AA307" i="23"/>
  <c r="Z307" i="23" s="1"/>
  <c r="Y307" i="23" s="1"/>
  <c r="G267" i="23"/>
  <c r="CD267" i="6" s="1"/>
  <c r="AA267" i="23"/>
  <c r="Z267" i="23" s="1"/>
  <c r="Y267" i="23" s="1"/>
  <c r="W223" i="24"/>
  <c r="D223" i="24"/>
  <c r="E223" i="24" s="1"/>
  <c r="F223" i="24" s="1"/>
  <c r="B223" i="25"/>
  <c r="H188" i="20"/>
  <c r="H96" i="20"/>
  <c r="W86" i="23"/>
  <c r="D86" i="23"/>
  <c r="E86" i="23" s="1"/>
  <c r="F86" i="23" s="1"/>
  <c r="B86" i="24"/>
  <c r="W341" i="23"/>
  <c r="D341" i="23"/>
  <c r="E341" i="23" s="1"/>
  <c r="F341" i="23" s="1"/>
  <c r="B341" i="24"/>
  <c r="W293" i="23"/>
  <c r="D293" i="23"/>
  <c r="E293" i="23" s="1"/>
  <c r="F293" i="23" s="1"/>
  <c r="B293" i="24"/>
  <c r="I285" i="20"/>
  <c r="H285" i="22" s="1"/>
  <c r="J285" i="20"/>
  <c r="W259" i="23"/>
  <c r="D259" i="23"/>
  <c r="E259" i="23" s="1"/>
  <c r="F259" i="23" s="1"/>
  <c r="B259" i="24"/>
  <c r="G221" i="23"/>
  <c r="CD221" i="6" s="1"/>
  <c r="AA221" i="23"/>
  <c r="Z221" i="23" s="1"/>
  <c r="Y221" i="23" s="1"/>
  <c r="W209" i="24"/>
  <c r="D209" i="24"/>
  <c r="E209" i="24" s="1"/>
  <c r="F209" i="24" s="1"/>
  <c r="B209" i="25"/>
  <c r="G195" i="23"/>
  <c r="CD195" i="6" s="1"/>
  <c r="AA195" i="23"/>
  <c r="Z195" i="23" s="1"/>
  <c r="Y195" i="23" s="1"/>
  <c r="W147" i="24"/>
  <c r="D147" i="24"/>
  <c r="E147" i="24" s="1"/>
  <c r="F147" i="24" s="1"/>
  <c r="B147" i="25"/>
  <c r="G131" i="23"/>
  <c r="CD131" i="6" s="1"/>
  <c r="AA131" i="23"/>
  <c r="Z131" i="23" s="1"/>
  <c r="Y131" i="23" s="1"/>
  <c r="D93" i="24"/>
  <c r="E93" i="24" s="1"/>
  <c r="F93" i="24" s="1"/>
  <c r="W93" i="24"/>
  <c r="B93" i="25"/>
  <c r="W79" i="24"/>
  <c r="D79" i="24"/>
  <c r="E79" i="24" s="1"/>
  <c r="F79" i="24" s="1"/>
  <c r="B79" i="25"/>
  <c r="G69" i="23"/>
  <c r="CD69" i="6" s="1"/>
  <c r="AA69" i="23"/>
  <c r="Z69" i="23" s="1"/>
  <c r="Y69" i="23" s="1"/>
  <c r="BA47" i="6"/>
  <c r="D47" i="6" s="1"/>
  <c r="H47" i="20"/>
  <c r="W47" i="24"/>
  <c r="D47" i="24"/>
  <c r="E47" i="24" s="1"/>
  <c r="F47" i="24" s="1"/>
  <c r="B47" i="25"/>
  <c r="G33" i="23"/>
  <c r="CD33" i="6" s="1"/>
  <c r="AA33" i="23"/>
  <c r="Z33" i="23" s="1"/>
  <c r="Y33" i="23" s="1"/>
  <c r="G258" i="22"/>
  <c r="CC258" i="6" s="1"/>
  <c r="AA258" i="22"/>
  <c r="Z258" i="22" s="1"/>
  <c r="Y258" i="22" s="1"/>
  <c r="W336" i="24"/>
  <c r="D336" i="24"/>
  <c r="E336" i="24" s="1"/>
  <c r="F336" i="24" s="1"/>
  <c r="B336" i="25"/>
  <c r="G320" i="23"/>
  <c r="CD320" i="6" s="1"/>
  <c r="AA320" i="23"/>
  <c r="Z320" i="23" s="1"/>
  <c r="Y320" i="23" s="1"/>
  <c r="W308" i="24"/>
  <c r="D308" i="24"/>
  <c r="E308" i="24" s="1"/>
  <c r="F308" i="24" s="1"/>
  <c r="B308" i="25"/>
  <c r="G276" i="23"/>
  <c r="CD276" i="6" s="1"/>
  <c r="AA276" i="23"/>
  <c r="Z276" i="23" s="1"/>
  <c r="Y276" i="23" s="1"/>
  <c r="W270" i="24"/>
  <c r="D270" i="24"/>
  <c r="E270" i="24" s="1"/>
  <c r="F270" i="24" s="1"/>
  <c r="B270" i="25"/>
  <c r="G260" i="23"/>
  <c r="CD260" i="6" s="1"/>
  <c r="AA260" i="23"/>
  <c r="Z260" i="23" s="1"/>
  <c r="Y260" i="23" s="1"/>
  <c r="BA246" i="6"/>
  <c r="D246" i="6" s="1"/>
  <c r="H246" i="20"/>
  <c r="W246" i="24"/>
  <c r="D246" i="24"/>
  <c r="E246" i="24" s="1"/>
  <c r="F246" i="24" s="1"/>
  <c r="B246" i="25"/>
  <c r="G220" i="23"/>
  <c r="CD220" i="6" s="1"/>
  <c r="AA220" i="23"/>
  <c r="Z220" i="23" s="1"/>
  <c r="Y220" i="23" s="1"/>
  <c r="W176" i="24"/>
  <c r="D176" i="24"/>
  <c r="E176" i="24" s="1"/>
  <c r="F176" i="24" s="1"/>
  <c r="B176" i="25"/>
  <c r="G140" i="23"/>
  <c r="CD140" i="6" s="1"/>
  <c r="AA140" i="23"/>
  <c r="Z140" i="23" s="1"/>
  <c r="Y140" i="23" s="1"/>
  <c r="W128" i="24"/>
  <c r="D128" i="24"/>
  <c r="E128" i="24" s="1"/>
  <c r="F128" i="24" s="1"/>
  <c r="B128" i="25"/>
  <c r="G110" i="23"/>
  <c r="CD110" i="6" s="1"/>
  <c r="AA110" i="23"/>
  <c r="Z110" i="23" s="1"/>
  <c r="Y110" i="23" s="1"/>
  <c r="W104" i="24"/>
  <c r="D104" i="24"/>
  <c r="E104" i="24" s="1"/>
  <c r="F104" i="24" s="1"/>
  <c r="B104" i="25"/>
  <c r="G84" i="23"/>
  <c r="CD84" i="6" s="1"/>
  <c r="AA84" i="23"/>
  <c r="Z84" i="23" s="1"/>
  <c r="Y84" i="23" s="1"/>
  <c r="W56" i="24"/>
  <c r="D56" i="24"/>
  <c r="E56" i="24" s="1"/>
  <c r="F56" i="24" s="1"/>
  <c r="B56" i="25"/>
  <c r="G42" i="23"/>
  <c r="CD42" i="6" s="1"/>
  <c r="AA42" i="23"/>
  <c r="Z42" i="23" s="1"/>
  <c r="Y42" i="23" s="1"/>
  <c r="BA244" i="6"/>
  <c r="D244" i="6" s="1"/>
  <c r="H244" i="20"/>
  <c r="BA114" i="6"/>
  <c r="D114" i="6" s="1"/>
  <c r="H114" i="20"/>
  <c r="BA66" i="6"/>
  <c r="D66" i="6" s="1"/>
  <c r="H66" i="20"/>
  <c r="BA216" i="6"/>
  <c r="D216" i="6" s="1"/>
  <c r="H216" i="20"/>
  <c r="BA35" i="6"/>
  <c r="D35" i="6" s="1"/>
  <c r="H35" i="20"/>
  <c r="BA208" i="6"/>
  <c r="D208" i="6" s="1"/>
  <c r="H208" i="20"/>
  <c r="BA16" i="6"/>
  <c r="D16" i="6" s="1"/>
  <c r="H16" i="20"/>
  <c r="BA105" i="6"/>
  <c r="D105" i="6" s="1"/>
  <c r="H105" i="20"/>
  <c r="BA149" i="6"/>
  <c r="D149" i="6" s="1"/>
  <c r="H149" i="20"/>
  <c r="BA119" i="6"/>
  <c r="D119" i="6" s="1"/>
  <c r="H119" i="20"/>
  <c r="D211" i="6"/>
  <c r="D141" i="6"/>
  <c r="W146" i="24"/>
  <c r="D146" i="24"/>
  <c r="E146" i="24" s="1"/>
  <c r="F146" i="24" s="1"/>
  <c r="B146" i="25"/>
  <c r="G120" i="23"/>
  <c r="CD120" i="6" s="1"/>
  <c r="AA120" i="23"/>
  <c r="Z120" i="23" s="1"/>
  <c r="Y120" i="23" s="1"/>
  <c r="D323" i="24"/>
  <c r="E323" i="24" s="1"/>
  <c r="F323" i="24" s="1"/>
  <c r="W323" i="24"/>
  <c r="B323" i="25"/>
  <c r="G271" i="23"/>
  <c r="CD271" i="6" s="1"/>
  <c r="AA271" i="23"/>
  <c r="Z271" i="23" s="1"/>
  <c r="Y271" i="23" s="1"/>
  <c r="W255" i="25"/>
  <c r="D255" i="25"/>
  <c r="E255" i="25" s="1"/>
  <c r="F255" i="25" s="1"/>
  <c r="AA197" i="24"/>
  <c r="Z197" i="24" s="1"/>
  <c r="Y197" i="24" s="1"/>
  <c r="G197" i="24"/>
  <c r="CE197" i="6" s="1"/>
  <c r="W167" i="25"/>
  <c r="D167" i="25"/>
  <c r="E167" i="25" s="1"/>
  <c r="F167" i="25" s="1"/>
  <c r="G101" i="24"/>
  <c r="CE101" i="6" s="1"/>
  <c r="AA101" i="24"/>
  <c r="Z101" i="24" s="1"/>
  <c r="Y101" i="24" s="1"/>
  <c r="W83" i="25"/>
  <c r="D83" i="25"/>
  <c r="E83" i="25" s="1"/>
  <c r="F83" i="25" s="1"/>
  <c r="G55" i="24"/>
  <c r="CE55" i="6" s="1"/>
  <c r="AA55" i="24"/>
  <c r="Z55" i="24" s="1"/>
  <c r="Y55" i="24" s="1"/>
  <c r="W287" i="25"/>
  <c r="D287" i="25"/>
  <c r="E287" i="25" s="1"/>
  <c r="F287" i="25" s="1"/>
  <c r="G253" i="23"/>
  <c r="CD253" i="6" s="1"/>
  <c r="AA253" i="23"/>
  <c r="Z253" i="23" s="1"/>
  <c r="Y253" i="23" s="1"/>
  <c r="W363" i="24"/>
  <c r="D363" i="24"/>
  <c r="E363" i="24" s="1"/>
  <c r="F363" i="24" s="1"/>
  <c r="B363" i="25"/>
  <c r="G300" i="23"/>
  <c r="CD300" i="6" s="1"/>
  <c r="AA300" i="23"/>
  <c r="Z300" i="23" s="1"/>
  <c r="Y300" i="23" s="1"/>
  <c r="G228" i="23"/>
  <c r="CD228" i="6" s="1"/>
  <c r="AA228" i="23"/>
  <c r="Z228" i="23" s="1"/>
  <c r="Y228" i="23" s="1"/>
  <c r="D164" i="24"/>
  <c r="E164" i="24" s="1"/>
  <c r="F164" i="24" s="1"/>
  <c r="W164" i="24"/>
  <c r="B164" i="25"/>
  <c r="W273" i="25"/>
  <c r="D273" i="25"/>
  <c r="E273" i="25" s="1"/>
  <c r="F273" i="25" s="1"/>
  <c r="G247" i="24"/>
  <c r="CE247" i="6" s="1"/>
  <c r="AA247" i="24"/>
  <c r="Z247" i="24" s="1"/>
  <c r="Y247" i="24" s="1"/>
  <c r="W183" i="25"/>
  <c r="D183" i="25"/>
  <c r="E183" i="25" s="1"/>
  <c r="F183" i="25" s="1"/>
  <c r="AA155" i="24"/>
  <c r="Z155" i="24" s="1"/>
  <c r="Y155" i="24" s="1"/>
  <c r="G155" i="24"/>
  <c r="CE155" i="6" s="1"/>
  <c r="W97" i="25"/>
  <c r="D97" i="25"/>
  <c r="E97" i="25" s="1"/>
  <c r="F97" i="25" s="1"/>
  <c r="G63" i="24"/>
  <c r="CE63" i="6" s="1"/>
  <c r="AA63" i="24"/>
  <c r="Z63" i="24" s="1"/>
  <c r="Y63" i="24" s="1"/>
  <c r="W88" i="25"/>
  <c r="D88" i="25"/>
  <c r="E88" i="25" s="1"/>
  <c r="F88" i="25" s="1"/>
  <c r="W284" i="25"/>
  <c r="D284" i="25"/>
  <c r="E284" i="25" s="1"/>
  <c r="F284" i="25" s="1"/>
  <c r="G302" i="24"/>
  <c r="CE302" i="6" s="1"/>
  <c r="AA302" i="24"/>
  <c r="Z302" i="24" s="1"/>
  <c r="Y302" i="24" s="1"/>
  <c r="W114" i="24"/>
  <c r="D114" i="24"/>
  <c r="E114" i="24" s="1"/>
  <c r="F114" i="24" s="1"/>
  <c r="B114" i="25"/>
  <c r="W66" i="24"/>
  <c r="D66" i="24"/>
  <c r="E66" i="24" s="1"/>
  <c r="F66" i="24" s="1"/>
  <c r="B66" i="25"/>
  <c r="G95" i="23"/>
  <c r="CD95" i="6" s="1"/>
  <c r="AA95" i="23"/>
  <c r="Z95" i="23" s="1"/>
  <c r="Y95" i="23" s="1"/>
  <c r="W43" i="24"/>
  <c r="D43" i="24"/>
  <c r="E43" i="24" s="1"/>
  <c r="F43" i="24" s="1"/>
  <c r="B43" i="25"/>
  <c r="G216" i="23"/>
  <c r="CD216" i="6" s="1"/>
  <c r="AA216" i="23"/>
  <c r="Z216" i="23" s="1"/>
  <c r="Y216" i="23" s="1"/>
  <c r="W354" i="24"/>
  <c r="D354" i="24"/>
  <c r="E354" i="24" s="1"/>
  <c r="F354" i="24" s="1"/>
  <c r="B354" i="25"/>
  <c r="G227" i="23"/>
  <c r="CD227" i="6" s="1"/>
  <c r="AA227" i="23"/>
  <c r="Z227" i="23" s="1"/>
  <c r="Y227" i="23" s="1"/>
  <c r="W35" i="24"/>
  <c r="D35" i="24"/>
  <c r="E35" i="24" s="1"/>
  <c r="F35" i="24" s="1"/>
  <c r="B35" i="25"/>
  <c r="G16" i="23"/>
  <c r="CD16" i="6" s="1"/>
  <c r="AA16" i="23"/>
  <c r="Z16" i="23" s="1"/>
  <c r="Y16" i="23" s="1"/>
  <c r="W105" i="24"/>
  <c r="D105" i="24"/>
  <c r="E105" i="24" s="1"/>
  <c r="F105" i="24" s="1"/>
  <c r="B105" i="25"/>
  <c r="G119" i="23"/>
  <c r="CD119" i="6" s="1"/>
  <c r="AA119" i="23"/>
  <c r="Z119" i="23" s="1"/>
  <c r="Y119" i="23" s="1"/>
  <c r="D57" i="6"/>
  <c r="BA275" i="6"/>
  <c r="D275" i="6" s="1"/>
  <c r="H275" i="20"/>
  <c r="BA219" i="6"/>
  <c r="D219" i="6" s="1"/>
  <c r="H219" i="20"/>
  <c r="BA191" i="6"/>
  <c r="D191" i="6" s="1"/>
  <c r="H191" i="20"/>
  <c r="BA307" i="6"/>
  <c r="D307" i="6" s="1"/>
  <c r="H307" i="20"/>
  <c r="BA97" i="6"/>
  <c r="D97" i="6" s="1"/>
  <c r="H97" i="20"/>
  <c r="D71" i="6"/>
  <c r="D351" i="6"/>
  <c r="BA303" i="6"/>
  <c r="D303" i="6" s="1"/>
  <c r="H303" i="20"/>
  <c r="BA94" i="6"/>
  <c r="D94" i="6" s="1"/>
  <c r="H94" i="20"/>
  <c r="BA116" i="6"/>
  <c r="D116" i="6" s="1"/>
  <c r="H116" i="20"/>
  <c r="BA88" i="6"/>
  <c r="D88" i="6" s="1"/>
  <c r="H88" i="20"/>
  <c r="BA261" i="6"/>
  <c r="D261" i="6" s="1"/>
  <c r="H261" i="20"/>
  <c r="BA323" i="6"/>
  <c r="H323" i="20"/>
  <c r="BA277" i="6"/>
  <c r="D277" i="6" s="1"/>
  <c r="H277" i="20"/>
  <c r="BA167" i="6"/>
  <c r="D167" i="6" s="1"/>
  <c r="H167" i="20"/>
  <c r="BA335" i="6"/>
  <c r="D335" i="6" s="1"/>
  <c r="H335" i="20"/>
  <c r="BA272" i="6"/>
  <c r="D272" i="6" s="1"/>
  <c r="H272" i="20"/>
  <c r="BA291" i="6"/>
  <c r="D291" i="6" s="1"/>
  <c r="H291" i="20"/>
  <c r="D239" i="6"/>
  <c r="BA223" i="6"/>
  <c r="D223" i="6" s="1"/>
  <c r="H223" i="20"/>
  <c r="BA120" i="6"/>
  <c r="D120" i="6" s="1"/>
  <c r="H120" i="20"/>
  <c r="BA74" i="6"/>
  <c r="D74" i="6" s="1"/>
  <c r="H74" i="20"/>
  <c r="BA346" i="6"/>
  <c r="D346" i="6" s="1"/>
  <c r="H346" i="20"/>
  <c r="BA249" i="6"/>
  <c r="D249" i="6" s="1"/>
  <c r="H249" i="20"/>
  <c r="BA180" i="6"/>
  <c r="D180" i="6" s="1"/>
  <c r="H180" i="20"/>
  <c r="BA339" i="6"/>
  <c r="D339" i="6" s="1"/>
  <c r="H339" i="20"/>
  <c r="BA173" i="6"/>
  <c r="D173" i="6" s="1"/>
  <c r="H173" i="20"/>
  <c r="BA19" i="6"/>
  <c r="D19" i="6" s="1"/>
  <c r="H19" i="20"/>
  <c r="BA300" i="6"/>
  <c r="D300" i="6" s="1"/>
  <c r="H300" i="20"/>
  <c r="BA29" i="6"/>
  <c r="H29" i="20"/>
  <c r="BA203" i="6"/>
  <c r="D203" i="6" s="1"/>
  <c r="H203" i="20"/>
  <c r="BA53" i="6"/>
  <c r="D53" i="6" s="1"/>
  <c r="H53" i="20"/>
  <c r="BA61" i="6"/>
  <c r="D61" i="6" s="1"/>
  <c r="H61" i="20"/>
  <c r="AK7" i="23" l="1"/>
  <c r="AJ11" i="22"/>
  <c r="AJ9" i="23"/>
  <c r="AM7" i="20"/>
  <c r="AL9" i="20"/>
  <c r="AJ7" i="23"/>
  <c r="D15" i="24"/>
  <c r="E15" i="24" s="1"/>
  <c r="AJ5" i="24"/>
  <c r="I178" i="20"/>
  <c r="H178" i="22" s="1"/>
  <c r="I178" i="22" s="1"/>
  <c r="H178" i="23" s="1"/>
  <c r="I274" i="20"/>
  <c r="H274" i="22" s="1"/>
  <c r="I274" i="22" s="1"/>
  <c r="H274" i="23" s="1"/>
  <c r="I31" i="20"/>
  <c r="H31" i="22" s="1"/>
  <c r="I31" i="22" s="1"/>
  <c r="H31" i="23" s="1"/>
  <c r="I352" i="20"/>
  <c r="H352" i="22" s="1"/>
  <c r="J352" i="22" s="1"/>
  <c r="I49" i="20"/>
  <c r="H49" i="22" s="1"/>
  <c r="I49" i="22" s="1"/>
  <c r="H49" i="23" s="1"/>
  <c r="I301" i="20"/>
  <c r="H301" i="22" s="1"/>
  <c r="I301" i="22" s="1"/>
  <c r="H301" i="23" s="1"/>
  <c r="I215" i="20"/>
  <c r="H215" i="22" s="1"/>
  <c r="I215" i="22" s="1"/>
  <c r="H215" i="23" s="1"/>
  <c r="J234" i="20"/>
  <c r="J234" i="22" s="1"/>
  <c r="I106" i="20"/>
  <c r="H106" i="22" s="1"/>
  <c r="I106" i="22" s="1"/>
  <c r="H106" i="23" s="1"/>
  <c r="J123" i="20"/>
  <c r="J123" i="22" s="1"/>
  <c r="J48" i="20"/>
  <c r="J48" i="22" s="1"/>
  <c r="I113" i="20"/>
  <c r="H113" i="22" s="1"/>
  <c r="J113" i="22" s="1"/>
  <c r="J322" i="20"/>
  <c r="J322" i="22" s="1"/>
  <c r="J160" i="20"/>
  <c r="J160" i="22" s="1"/>
  <c r="I141" i="20"/>
  <c r="H141" i="22" s="1"/>
  <c r="J141" i="22" s="1"/>
  <c r="I224" i="20"/>
  <c r="H224" i="22" s="1"/>
  <c r="J224" i="22" s="1"/>
  <c r="I213" i="20"/>
  <c r="H213" i="22" s="1"/>
  <c r="I213" i="22" s="1"/>
  <c r="H213" i="23" s="1"/>
  <c r="J296" i="20"/>
  <c r="J296" i="22" s="1"/>
  <c r="I45" i="20"/>
  <c r="H45" i="22" s="1"/>
  <c r="J45" i="22" s="1"/>
  <c r="I256" i="20"/>
  <c r="H256" i="22" s="1"/>
  <c r="J256" i="22" s="1"/>
  <c r="J331" i="20"/>
  <c r="J331" i="22" s="1"/>
  <c r="B15" i="25"/>
  <c r="I342" i="20"/>
  <c r="H342" i="22" s="1"/>
  <c r="J342" i="22" s="1"/>
  <c r="I153" i="20"/>
  <c r="H153" i="22" s="1"/>
  <c r="J153" i="22" s="1"/>
  <c r="I165" i="20"/>
  <c r="H165" i="22" s="1"/>
  <c r="J165" i="22" s="1"/>
  <c r="W15" i="24"/>
  <c r="I200" i="20"/>
  <c r="H200" i="22" s="1"/>
  <c r="I200" i="22" s="1"/>
  <c r="H200" i="23" s="1"/>
  <c r="J242" i="20"/>
  <c r="J242" i="22" s="1"/>
  <c r="J252" i="20"/>
  <c r="J252" i="22" s="1"/>
  <c r="J91" i="20"/>
  <c r="J91" i="22" s="1"/>
  <c r="J32" i="20"/>
  <c r="J32" i="22" s="1"/>
  <c r="J38" i="20"/>
  <c r="J38" i="22" s="1"/>
  <c r="I20" i="20"/>
  <c r="H20" i="22" s="1"/>
  <c r="I20" i="22" s="1"/>
  <c r="H20" i="23" s="1"/>
  <c r="I341" i="20"/>
  <c r="H341" i="22" s="1"/>
  <c r="I341" i="22" s="1"/>
  <c r="H341" i="23" s="1"/>
  <c r="I136" i="20"/>
  <c r="H136" i="22" s="1"/>
  <c r="J136" i="22" s="1"/>
  <c r="I305" i="20"/>
  <c r="H305" i="22" s="1"/>
  <c r="J305" i="22" s="1"/>
  <c r="J225" i="20"/>
  <c r="J225" i="22" s="1"/>
  <c r="I179" i="20"/>
  <c r="H179" i="22" s="1"/>
  <c r="I179" i="22" s="1"/>
  <c r="H179" i="23" s="1"/>
  <c r="I40" i="20"/>
  <c r="H40" i="22" s="1"/>
  <c r="I40" i="22" s="1"/>
  <c r="H40" i="23" s="1"/>
  <c r="J59" i="20"/>
  <c r="J59" i="22" s="1"/>
  <c r="I315" i="20"/>
  <c r="H315" i="22" s="1"/>
  <c r="J315" i="22" s="1"/>
  <c r="J54" i="20"/>
  <c r="J54" i="22" s="1"/>
  <c r="J353" i="20"/>
  <c r="J348" i="20"/>
  <c r="J348" i="22" s="1"/>
  <c r="I124" i="20"/>
  <c r="H124" i="22" s="1"/>
  <c r="J124" i="22" s="1"/>
  <c r="J292" i="20"/>
  <c r="J205" i="20"/>
  <c r="J205" i="22" s="1"/>
  <c r="I100" i="20"/>
  <c r="H100" i="22" s="1"/>
  <c r="J100" i="22" s="1"/>
  <c r="J184" i="20"/>
  <c r="J184" i="22" s="1"/>
  <c r="J212" i="20"/>
  <c r="J212" i="22" s="1"/>
  <c r="I52" i="20"/>
  <c r="H52" i="22" s="1"/>
  <c r="J52" i="22" s="1"/>
  <c r="J132" i="20"/>
  <c r="J132" i="22" s="1"/>
  <c r="I41" i="20"/>
  <c r="H41" i="22" s="1"/>
  <c r="I41" i="22" s="1"/>
  <c r="H41" i="23" s="1"/>
  <c r="I343" i="20"/>
  <c r="H343" i="22" s="1"/>
  <c r="J343" i="22" s="1"/>
  <c r="I235" i="20"/>
  <c r="H235" i="22" s="1"/>
  <c r="J235" i="22" s="1"/>
  <c r="I282" i="20"/>
  <c r="H282" i="22" s="1"/>
  <c r="I282" i="22" s="1"/>
  <c r="H282" i="23" s="1"/>
  <c r="J337" i="20"/>
  <c r="I145" i="20"/>
  <c r="H145" i="22" s="1"/>
  <c r="I145" i="22" s="1"/>
  <c r="H145" i="23" s="1"/>
  <c r="I218" i="20"/>
  <c r="H218" i="22" s="1"/>
  <c r="J218" i="22" s="1"/>
  <c r="J222" i="20"/>
  <c r="J222" i="22" s="1"/>
  <c r="J186" i="20"/>
  <c r="J186" i="22" s="1"/>
  <c r="I50" i="20"/>
  <c r="H50" i="22" s="1"/>
  <c r="J50" i="22" s="1"/>
  <c r="I230" i="20"/>
  <c r="H230" i="22" s="1"/>
  <c r="J230" i="22" s="1"/>
  <c r="J21" i="20"/>
  <c r="J21" i="22" s="1"/>
  <c r="I158" i="20"/>
  <c r="H158" i="22" s="1"/>
  <c r="I158" i="22" s="1"/>
  <c r="H158" i="23" s="1"/>
  <c r="I144" i="20"/>
  <c r="H144" i="22" s="1"/>
  <c r="I144" i="22" s="1"/>
  <c r="H144" i="23" s="1"/>
  <c r="J327" i="20"/>
  <c r="J327" i="22" s="1"/>
  <c r="J107" i="20"/>
  <c r="J107" i="22" s="1"/>
  <c r="J134" i="20"/>
  <c r="J134" i="22" s="1"/>
  <c r="I168" i="20"/>
  <c r="H168" i="22" s="1"/>
  <c r="I168" i="22" s="1"/>
  <c r="H168" i="23" s="1"/>
  <c r="I312" i="20"/>
  <c r="H312" i="22" s="1"/>
  <c r="J312" i="22" s="1"/>
  <c r="J152" i="20"/>
  <c r="J152" i="22" s="1"/>
  <c r="I286" i="20"/>
  <c r="H286" i="22" s="1"/>
  <c r="J286" i="22" s="1"/>
  <c r="J64" i="20"/>
  <c r="J64" i="22" s="1"/>
  <c r="J299" i="20"/>
  <c r="J299" i="22" s="1"/>
  <c r="J82" i="20"/>
  <c r="J82" i="22" s="1"/>
  <c r="I251" i="20"/>
  <c r="H251" i="22" s="1"/>
  <c r="J251" i="22" s="1"/>
  <c r="J204" i="20"/>
  <c r="J204" i="22" s="1"/>
  <c r="I250" i="20"/>
  <c r="H250" i="22" s="1"/>
  <c r="I250" i="22" s="1"/>
  <c r="H250" i="23" s="1"/>
  <c r="J350" i="20"/>
  <c r="J57" i="20"/>
  <c r="J57" i="22" s="1"/>
  <c r="I207" i="20"/>
  <c r="H207" i="22" s="1"/>
  <c r="I207" i="22" s="1"/>
  <c r="H207" i="23" s="1"/>
  <c r="J92" i="20"/>
  <c r="J92" i="22" s="1"/>
  <c r="J118" i="20"/>
  <c r="J118" i="22" s="1"/>
  <c r="J268" i="20"/>
  <c r="J268" i="22" s="1"/>
  <c r="J328" i="20"/>
  <c r="I239" i="20"/>
  <c r="H239" i="22" s="1"/>
  <c r="I239" i="22" s="1"/>
  <c r="H239" i="23" s="1"/>
  <c r="I30" i="20"/>
  <c r="H30" i="22" s="1"/>
  <c r="J30" i="22" s="1"/>
  <c r="I229" i="20"/>
  <c r="H229" i="22" s="1"/>
  <c r="I229" i="22" s="1"/>
  <c r="H229" i="23" s="1"/>
  <c r="I174" i="20"/>
  <c r="H174" i="22" s="1"/>
  <c r="J174" i="22" s="1"/>
  <c r="J258" i="20"/>
  <c r="J258" i="22" s="1"/>
  <c r="J175" i="20"/>
  <c r="J175" i="22" s="1"/>
  <c r="J181" i="20"/>
  <c r="J181" i="22" s="1"/>
  <c r="J351" i="20"/>
  <c r="J351" i="22" s="1"/>
  <c r="J86" i="20"/>
  <c r="J86" i="22" s="1"/>
  <c r="J70" i="20"/>
  <c r="J70" i="22" s="1"/>
  <c r="J87" i="20"/>
  <c r="J87" i="22" s="1"/>
  <c r="I201" i="20"/>
  <c r="H201" i="22" s="1"/>
  <c r="I201" i="22" s="1"/>
  <c r="H201" i="23" s="1"/>
  <c r="I39" i="20"/>
  <c r="H39" i="22" s="1"/>
  <c r="J39" i="22" s="1"/>
  <c r="J193" i="20"/>
  <c r="J117" i="20"/>
  <c r="J117" i="22" s="1"/>
  <c r="J279" i="20"/>
  <c r="J279" i="22" s="1"/>
  <c r="I68" i="20"/>
  <c r="H68" i="22" s="1"/>
  <c r="I68" i="22" s="1"/>
  <c r="H68" i="23" s="1"/>
  <c r="J103" i="20"/>
  <c r="J103" i="22" s="1"/>
  <c r="I126" i="20"/>
  <c r="H126" i="22" s="1"/>
  <c r="I126" i="22" s="1"/>
  <c r="H126" i="23" s="1"/>
  <c r="I211" i="20"/>
  <c r="H211" i="22" s="1"/>
  <c r="J211" i="22" s="1"/>
  <c r="J129" i="20"/>
  <c r="J129" i="22" s="1"/>
  <c r="I338" i="20"/>
  <c r="H338" i="22" s="1"/>
  <c r="I338" i="22" s="1"/>
  <c r="H338" i="23" s="1"/>
  <c r="J306" i="20"/>
  <c r="J306" i="22" s="1"/>
  <c r="J112" i="20"/>
  <c r="J112" i="22" s="1"/>
  <c r="J233" i="20"/>
  <c r="J233" i="22" s="1"/>
  <c r="I151" i="20"/>
  <c r="H151" i="22" s="1"/>
  <c r="I151" i="22" s="1"/>
  <c r="H151" i="23" s="1"/>
  <c r="W4" i="6"/>
  <c r="I327" i="22"/>
  <c r="H327" i="23" s="1"/>
  <c r="I175" i="22"/>
  <c r="H175" i="23" s="1"/>
  <c r="I123" i="22"/>
  <c r="H123" i="23" s="1"/>
  <c r="I181" i="22"/>
  <c r="H181" i="23" s="1"/>
  <c r="I48" i="22"/>
  <c r="H48" i="23" s="1"/>
  <c r="I64" i="22"/>
  <c r="H64" i="23" s="1"/>
  <c r="I205" i="22"/>
  <c r="H205" i="23" s="1"/>
  <c r="I299" i="22"/>
  <c r="H299" i="23" s="1"/>
  <c r="I331" i="22"/>
  <c r="H331" i="23" s="1"/>
  <c r="I86" i="22"/>
  <c r="H86" i="23" s="1"/>
  <c r="I107" i="22"/>
  <c r="H107" i="23" s="1"/>
  <c r="I82" i="22"/>
  <c r="H82" i="23" s="1"/>
  <c r="J285" i="22"/>
  <c r="I285" i="22"/>
  <c r="H285" i="23" s="1"/>
  <c r="I322" i="22"/>
  <c r="H322" i="23" s="1"/>
  <c r="I351" i="22"/>
  <c r="H351" i="23" s="1"/>
  <c r="I87" i="22"/>
  <c r="H87" i="23" s="1"/>
  <c r="I134" i="22"/>
  <c r="H134" i="23" s="1"/>
  <c r="I212" i="22"/>
  <c r="H212" i="23" s="1"/>
  <c r="I242" i="22"/>
  <c r="H242" i="23" s="1"/>
  <c r="I118" i="22"/>
  <c r="H118" i="23" s="1"/>
  <c r="J191" i="20"/>
  <c r="I191" i="20"/>
  <c r="H191" i="22" s="1"/>
  <c r="J219" i="20"/>
  <c r="I219" i="20"/>
  <c r="H219" i="22" s="1"/>
  <c r="J275" i="20"/>
  <c r="I275" i="20"/>
  <c r="H275" i="22" s="1"/>
  <c r="G105" i="24"/>
  <c r="CE105" i="6" s="1"/>
  <c r="AA105" i="24"/>
  <c r="Z105" i="24" s="1"/>
  <c r="Y105" i="24" s="1"/>
  <c r="G35" i="24"/>
  <c r="CE35" i="6" s="1"/>
  <c r="AA35" i="24"/>
  <c r="Z35" i="24" s="1"/>
  <c r="Y35" i="24" s="1"/>
  <c r="G354" i="24"/>
  <c r="CE354" i="6" s="1"/>
  <c r="AA354" i="24"/>
  <c r="Z354" i="24" s="1"/>
  <c r="Y354" i="24" s="1"/>
  <c r="G43" i="24"/>
  <c r="CE43" i="6" s="1"/>
  <c r="AA43" i="24"/>
  <c r="Z43" i="24" s="1"/>
  <c r="Y43" i="24" s="1"/>
  <c r="G66" i="24"/>
  <c r="CE66" i="6" s="1"/>
  <c r="AA66" i="24"/>
  <c r="Z66" i="24" s="1"/>
  <c r="Y66" i="24" s="1"/>
  <c r="W114" i="25"/>
  <c r="D114" i="25"/>
  <c r="E114" i="25" s="1"/>
  <c r="F114" i="25" s="1"/>
  <c r="G284" i="25"/>
  <c r="CF284" i="6" s="1"/>
  <c r="AA284" i="25"/>
  <c r="Z284" i="25" s="1"/>
  <c r="Y284" i="25" s="1"/>
  <c r="G88" i="25"/>
  <c r="CF88" i="6" s="1"/>
  <c r="AA88" i="25"/>
  <c r="Z88" i="25" s="1"/>
  <c r="Y88" i="25" s="1"/>
  <c r="G183" i="25"/>
  <c r="CF183" i="6" s="1"/>
  <c r="AA183" i="25"/>
  <c r="Z183" i="25" s="1"/>
  <c r="Y183" i="25" s="1"/>
  <c r="W363" i="25"/>
  <c r="D363" i="25"/>
  <c r="E363" i="25" s="1"/>
  <c r="F363" i="25" s="1"/>
  <c r="G287" i="25"/>
  <c r="CF287" i="6" s="1"/>
  <c r="AA287" i="25"/>
  <c r="Z287" i="25" s="1"/>
  <c r="Y287" i="25" s="1"/>
  <c r="G167" i="25"/>
  <c r="CF167" i="6" s="1"/>
  <c r="AA167" i="25"/>
  <c r="Z167" i="25" s="1"/>
  <c r="Y167" i="25" s="1"/>
  <c r="W323" i="25"/>
  <c r="D323" i="25"/>
  <c r="E323" i="25" s="1"/>
  <c r="F323" i="25" s="1"/>
  <c r="G323" i="24"/>
  <c r="CE323" i="6" s="1"/>
  <c r="AA323" i="24"/>
  <c r="Z323" i="24" s="1"/>
  <c r="Y323" i="24" s="1"/>
  <c r="W146" i="25"/>
  <c r="D146" i="25"/>
  <c r="E146" i="25" s="1"/>
  <c r="F146" i="25" s="1"/>
  <c r="AB4" i="6"/>
  <c r="W56" i="25"/>
  <c r="D56" i="25"/>
  <c r="E56" i="25" s="1"/>
  <c r="F56" i="25" s="1"/>
  <c r="W104" i="25"/>
  <c r="D104" i="25"/>
  <c r="E104" i="25" s="1"/>
  <c r="F104" i="25" s="1"/>
  <c r="W128" i="25"/>
  <c r="D128" i="25"/>
  <c r="E128" i="25" s="1"/>
  <c r="F128" i="25" s="1"/>
  <c r="W176" i="25"/>
  <c r="D176" i="25"/>
  <c r="E176" i="25" s="1"/>
  <c r="F176" i="25" s="1"/>
  <c r="W246" i="25"/>
  <c r="D246" i="25"/>
  <c r="E246" i="25" s="1"/>
  <c r="F246" i="25" s="1"/>
  <c r="W270" i="25"/>
  <c r="D270" i="25"/>
  <c r="E270" i="25" s="1"/>
  <c r="F270" i="25" s="1"/>
  <c r="W308" i="25"/>
  <c r="D308" i="25"/>
  <c r="E308" i="25" s="1"/>
  <c r="F308" i="25" s="1"/>
  <c r="W336" i="25"/>
  <c r="D336" i="25"/>
  <c r="E336" i="25" s="1"/>
  <c r="F336" i="25" s="1"/>
  <c r="AA47" i="24"/>
  <c r="Z47" i="24" s="1"/>
  <c r="Y47" i="24" s="1"/>
  <c r="G47" i="24"/>
  <c r="CE47" i="6" s="1"/>
  <c r="J47" i="20"/>
  <c r="I47" i="20"/>
  <c r="H47" i="22" s="1"/>
  <c r="G79" i="24"/>
  <c r="CE79" i="6" s="1"/>
  <c r="AA79" i="24"/>
  <c r="Z79" i="24" s="1"/>
  <c r="Y79" i="24" s="1"/>
  <c r="W93" i="25"/>
  <c r="D93" i="25"/>
  <c r="E93" i="25" s="1"/>
  <c r="F93" i="25" s="1"/>
  <c r="AA93" i="24"/>
  <c r="Z93" i="24" s="1"/>
  <c r="Y93" i="24" s="1"/>
  <c r="G93" i="24"/>
  <c r="CE93" i="6" s="1"/>
  <c r="W147" i="25"/>
  <c r="D147" i="25"/>
  <c r="E147" i="25" s="1"/>
  <c r="F147" i="25" s="1"/>
  <c r="W209" i="25"/>
  <c r="D209" i="25"/>
  <c r="E209" i="25" s="1"/>
  <c r="F209" i="25" s="1"/>
  <c r="D259" i="24"/>
  <c r="E259" i="24" s="1"/>
  <c r="F259" i="24" s="1"/>
  <c r="W259" i="24"/>
  <c r="B259" i="25"/>
  <c r="G293" i="23"/>
  <c r="CD293" i="6" s="1"/>
  <c r="AA293" i="23"/>
  <c r="Z293" i="23" s="1"/>
  <c r="Y293" i="23" s="1"/>
  <c r="W341" i="24"/>
  <c r="D341" i="24"/>
  <c r="E341" i="24" s="1"/>
  <c r="F341" i="24" s="1"/>
  <c r="B341" i="25"/>
  <c r="G86" i="23"/>
  <c r="CD86" i="6" s="1"/>
  <c r="AA86" i="23"/>
  <c r="Z86" i="23" s="1"/>
  <c r="Y86" i="23" s="1"/>
  <c r="I96" i="20"/>
  <c r="H96" i="22" s="1"/>
  <c r="J96" i="20"/>
  <c r="D223" i="25"/>
  <c r="E223" i="25" s="1"/>
  <c r="F223" i="25" s="1"/>
  <c r="W223" i="25"/>
  <c r="J18" i="20"/>
  <c r="I18" i="20"/>
  <c r="H18" i="22" s="1"/>
  <c r="J202" i="20"/>
  <c r="I202" i="20"/>
  <c r="H202" i="22" s="1"/>
  <c r="I238" i="20"/>
  <c r="H238" i="22" s="1"/>
  <c r="J238" i="20"/>
  <c r="I324" i="20"/>
  <c r="H324" i="22" s="1"/>
  <c r="J324" i="20"/>
  <c r="J344" i="20"/>
  <c r="I344" i="20"/>
  <c r="H344" i="22" s="1"/>
  <c r="J51" i="20"/>
  <c r="I51" i="20"/>
  <c r="H51" i="22" s="1"/>
  <c r="I109" i="20"/>
  <c r="H109" i="22" s="1"/>
  <c r="J109" i="20"/>
  <c r="J121" i="20"/>
  <c r="I121" i="20"/>
  <c r="H121" i="22" s="1"/>
  <c r="I199" i="20"/>
  <c r="H199" i="22" s="1"/>
  <c r="J199" i="20"/>
  <c r="I297" i="20"/>
  <c r="H297" i="22" s="1"/>
  <c r="J297" i="20"/>
  <c r="I345" i="20"/>
  <c r="H345" i="22" s="1"/>
  <c r="J345" i="20"/>
  <c r="I72" i="20"/>
  <c r="H72" i="22" s="1"/>
  <c r="J72" i="20"/>
  <c r="J156" i="20"/>
  <c r="I156" i="20"/>
  <c r="H156" i="22" s="1"/>
  <c r="I162" i="20"/>
  <c r="H162" i="22" s="1"/>
  <c r="J162" i="20"/>
  <c r="W214" i="25"/>
  <c r="D214" i="25"/>
  <c r="E214" i="25" s="1"/>
  <c r="F214" i="25" s="1"/>
  <c r="G240" i="24"/>
  <c r="CE240" i="6" s="1"/>
  <c r="AA240" i="24"/>
  <c r="Z240" i="24" s="1"/>
  <c r="Y240" i="24" s="1"/>
  <c r="J240" i="20"/>
  <c r="I240" i="20"/>
  <c r="H240" i="22" s="1"/>
  <c r="W264" i="25"/>
  <c r="D264" i="25"/>
  <c r="E264" i="25" s="1"/>
  <c r="F264" i="25" s="1"/>
  <c r="G340" i="24"/>
  <c r="CE340" i="6" s="1"/>
  <c r="AA340" i="24"/>
  <c r="Z340" i="24" s="1"/>
  <c r="Y340" i="24" s="1"/>
  <c r="D137" i="25"/>
  <c r="E137" i="25" s="1"/>
  <c r="F137" i="25" s="1"/>
  <c r="W137" i="25"/>
  <c r="G78" i="24"/>
  <c r="CE78" i="6" s="1"/>
  <c r="AA78" i="24"/>
  <c r="Z78" i="24" s="1"/>
  <c r="Y78" i="24" s="1"/>
  <c r="D90" i="25"/>
  <c r="E90" i="25" s="1"/>
  <c r="F90" i="25" s="1"/>
  <c r="W90" i="25"/>
  <c r="G90" i="24"/>
  <c r="CE90" i="6" s="1"/>
  <c r="AA90" i="24"/>
  <c r="Z90" i="24" s="1"/>
  <c r="Y90" i="24" s="1"/>
  <c r="D378" i="25"/>
  <c r="E378" i="25" s="1"/>
  <c r="F378" i="25" s="1"/>
  <c r="W378" i="25"/>
  <c r="G378" i="24"/>
  <c r="CE378" i="6" s="1"/>
  <c r="AA378" i="24"/>
  <c r="Z378" i="24" s="1"/>
  <c r="Y378" i="24" s="1"/>
  <c r="G182" i="24"/>
  <c r="CE182" i="6" s="1"/>
  <c r="AA182" i="24"/>
  <c r="Z182" i="24" s="1"/>
  <c r="Y182" i="24" s="1"/>
  <c r="AA236" i="24"/>
  <c r="Z236" i="24" s="1"/>
  <c r="Y236" i="24" s="1"/>
  <c r="G236" i="24"/>
  <c r="CE236" i="6" s="1"/>
  <c r="D374" i="25"/>
  <c r="E374" i="25" s="1"/>
  <c r="F374" i="25" s="1"/>
  <c r="W374" i="25"/>
  <c r="G163" i="24"/>
  <c r="CE163" i="6" s="1"/>
  <c r="AA163" i="24"/>
  <c r="Z163" i="24" s="1"/>
  <c r="Y163" i="24" s="1"/>
  <c r="W157" i="25"/>
  <c r="D157" i="25"/>
  <c r="E157" i="25" s="1"/>
  <c r="F157" i="25" s="1"/>
  <c r="G332" i="24"/>
  <c r="CE332" i="6" s="1"/>
  <c r="AA332" i="24"/>
  <c r="Z332" i="24" s="1"/>
  <c r="Y332" i="24" s="1"/>
  <c r="D295" i="25"/>
  <c r="E295" i="25" s="1"/>
  <c r="F295" i="25" s="1"/>
  <c r="W295" i="25"/>
  <c r="G76" i="24"/>
  <c r="CE76" i="6" s="1"/>
  <c r="AA76" i="24"/>
  <c r="Z76" i="24" s="1"/>
  <c r="Y76" i="24" s="1"/>
  <c r="W232" i="25"/>
  <c r="D232" i="25"/>
  <c r="E232" i="25" s="1"/>
  <c r="F232" i="25" s="1"/>
  <c r="Y15" i="18"/>
  <c r="AL5" i="18" s="1"/>
  <c r="AL11" i="18" s="1"/>
  <c r="AJ3" i="18" s="1"/>
  <c r="O15" i="19" s="1"/>
  <c r="G60" i="25"/>
  <c r="CF60" i="6" s="1"/>
  <c r="AA60" i="25"/>
  <c r="Z60" i="25" s="1"/>
  <c r="Y60" i="25" s="1"/>
  <c r="W166" i="25"/>
  <c r="D166" i="25"/>
  <c r="E166" i="25" s="1"/>
  <c r="F166" i="25" s="1"/>
  <c r="G166" i="24"/>
  <c r="CE166" i="6" s="1"/>
  <c r="AA166" i="24"/>
  <c r="Z166" i="24" s="1"/>
  <c r="Y166" i="24" s="1"/>
  <c r="W17" i="25"/>
  <c r="D17" i="25"/>
  <c r="E17" i="25" s="1"/>
  <c r="F17" i="25" s="1"/>
  <c r="W278" i="25"/>
  <c r="D278" i="25"/>
  <c r="E278" i="25" s="1"/>
  <c r="F278" i="25" s="1"/>
  <c r="G335" i="25"/>
  <c r="CF335" i="6" s="1"/>
  <c r="AA335" i="25"/>
  <c r="Z335" i="25" s="1"/>
  <c r="Y335" i="25" s="1"/>
  <c r="J171" i="20"/>
  <c r="I171" i="20"/>
  <c r="H171" i="22" s="1"/>
  <c r="I70" i="22"/>
  <c r="H70" i="23" s="1"/>
  <c r="I254" i="22"/>
  <c r="H254" i="23" s="1"/>
  <c r="J254" i="22"/>
  <c r="I318" i="22"/>
  <c r="H318" i="23" s="1"/>
  <c r="J318" i="22"/>
  <c r="G87" i="23"/>
  <c r="CD87" i="6" s="1"/>
  <c r="AA87" i="23"/>
  <c r="Z87" i="23" s="1"/>
  <c r="Y87" i="23" s="1"/>
  <c r="W145" i="24"/>
  <c r="D145" i="24"/>
  <c r="E145" i="24" s="1"/>
  <c r="F145" i="24" s="1"/>
  <c r="B145" i="25"/>
  <c r="G201" i="23"/>
  <c r="CD201" i="6" s="1"/>
  <c r="AA201" i="23"/>
  <c r="Z201" i="23" s="1"/>
  <c r="Y201" i="23" s="1"/>
  <c r="W233" i="24"/>
  <c r="D233" i="24"/>
  <c r="E233" i="24" s="1"/>
  <c r="F233" i="24" s="1"/>
  <c r="B233" i="25"/>
  <c r="G80" i="24"/>
  <c r="CE80" i="6" s="1"/>
  <c r="AA80" i="24"/>
  <c r="Z80" i="24" s="1"/>
  <c r="Y80" i="24" s="1"/>
  <c r="G112" i="23"/>
  <c r="CD112" i="6" s="1"/>
  <c r="AA112" i="23"/>
  <c r="Z112" i="23" s="1"/>
  <c r="Y112" i="23" s="1"/>
  <c r="G218" i="23"/>
  <c r="CD218" i="6" s="1"/>
  <c r="AA218" i="23"/>
  <c r="Z218" i="23" s="1"/>
  <c r="Y218" i="23" s="1"/>
  <c r="J228" i="20"/>
  <c r="I228" i="20"/>
  <c r="H228" i="22" s="1"/>
  <c r="AA348" i="23"/>
  <c r="Z348" i="23" s="1"/>
  <c r="Y348" i="23" s="1"/>
  <c r="G348" i="23"/>
  <c r="CD348" i="6" s="1"/>
  <c r="G107" i="23"/>
  <c r="CD107" i="6" s="1"/>
  <c r="AA107" i="23"/>
  <c r="Z107" i="23" s="1"/>
  <c r="Y107" i="23" s="1"/>
  <c r="I193" i="22"/>
  <c r="H193" i="23" s="1"/>
  <c r="J193" i="22"/>
  <c r="W193" i="24"/>
  <c r="D193" i="24"/>
  <c r="E193" i="24" s="1"/>
  <c r="F193" i="24" s="1"/>
  <c r="B193" i="25"/>
  <c r="J269" i="20"/>
  <c r="I269" i="20"/>
  <c r="H269" i="22" s="1"/>
  <c r="AC4" i="6"/>
  <c r="B27" i="25"/>
  <c r="W27" i="24"/>
  <c r="D27" i="24"/>
  <c r="E27" i="24" s="1"/>
  <c r="F27" i="24" s="1"/>
  <c r="I184" i="22"/>
  <c r="H184" i="23" s="1"/>
  <c r="I330" i="22"/>
  <c r="H330" i="23" s="1"/>
  <c r="J330" i="22"/>
  <c r="I117" i="22"/>
  <c r="H117" i="23" s="1"/>
  <c r="I225" i="22"/>
  <c r="H225" i="23" s="1"/>
  <c r="G134" i="23"/>
  <c r="CD134" i="6" s="1"/>
  <c r="AA134" i="23"/>
  <c r="Z134" i="23" s="1"/>
  <c r="Y134" i="23" s="1"/>
  <c r="W168" i="24"/>
  <c r="B168" i="25"/>
  <c r="D168" i="24"/>
  <c r="E168" i="24" s="1"/>
  <c r="F168" i="24" s="1"/>
  <c r="G212" i="23"/>
  <c r="CD212" i="6" s="1"/>
  <c r="AA212" i="23"/>
  <c r="Z212" i="23" s="1"/>
  <c r="Y212" i="23" s="1"/>
  <c r="W242" i="24"/>
  <c r="B242" i="25"/>
  <c r="D242" i="24"/>
  <c r="E242" i="24" s="1"/>
  <c r="F242" i="24" s="1"/>
  <c r="G312" i="23"/>
  <c r="CD312" i="6" s="1"/>
  <c r="AA312" i="23"/>
  <c r="Z312" i="23" s="1"/>
  <c r="Y312" i="23" s="1"/>
  <c r="W342" i="24"/>
  <c r="D342" i="24"/>
  <c r="E342" i="24" s="1"/>
  <c r="F342" i="24" s="1"/>
  <c r="B342" i="25"/>
  <c r="I222" i="22"/>
  <c r="H222" i="23" s="1"/>
  <c r="I204" i="22"/>
  <c r="H204" i="23" s="1"/>
  <c r="I252" i="22"/>
  <c r="H252" i="23" s="1"/>
  <c r="I152" i="22"/>
  <c r="H152" i="23" s="1"/>
  <c r="G149" i="24"/>
  <c r="CE149" i="6" s="1"/>
  <c r="AA149" i="24"/>
  <c r="Z149" i="24" s="1"/>
  <c r="Y149" i="24" s="1"/>
  <c r="G298" i="24"/>
  <c r="CE298" i="6" s="1"/>
  <c r="AA298" i="24"/>
  <c r="Z298" i="24" s="1"/>
  <c r="Y298" i="24" s="1"/>
  <c r="G283" i="25"/>
  <c r="CF283" i="6" s="1"/>
  <c r="AA283" i="25"/>
  <c r="Z283" i="25" s="1"/>
  <c r="Y283" i="25" s="1"/>
  <c r="G272" i="25"/>
  <c r="CF272" i="6" s="1"/>
  <c r="AA272" i="25"/>
  <c r="Z272" i="25" s="1"/>
  <c r="Y272" i="25" s="1"/>
  <c r="G376" i="24"/>
  <c r="CE376" i="6" s="1"/>
  <c r="AA376" i="24"/>
  <c r="Z376" i="24" s="1"/>
  <c r="Y376" i="24" s="1"/>
  <c r="G369" i="24"/>
  <c r="CE369" i="6" s="1"/>
  <c r="AA369" i="24"/>
  <c r="Z369" i="24" s="1"/>
  <c r="Y369" i="24" s="1"/>
  <c r="W53" i="25"/>
  <c r="D53" i="25"/>
  <c r="E53" i="25" s="1"/>
  <c r="F53" i="25" s="1"/>
  <c r="G277" i="24"/>
  <c r="CE277" i="6" s="1"/>
  <c r="AA277" i="24"/>
  <c r="Z277" i="24" s="1"/>
  <c r="Y277" i="24" s="1"/>
  <c r="G373" i="24"/>
  <c r="CE373" i="6" s="1"/>
  <c r="AA373" i="24"/>
  <c r="Z373" i="24" s="1"/>
  <c r="Y373" i="24" s="1"/>
  <c r="P4" i="6"/>
  <c r="D43" i="6"/>
  <c r="I69" i="20"/>
  <c r="H69" i="22" s="1"/>
  <c r="J69" i="20"/>
  <c r="J93" i="20"/>
  <c r="I93" i="20"/>
  <c r="H93" i="22" s="1"/>
  <c r="J131" i="20"/>
  <c r="I131" i="20"/>
  <c r="H131" i="22" s="1"/>
  <c r="I221" i="20"/>
  <c r="H221" i="22" s="1"/>
  <c r="J221" i="20"/>
  <c r="G285" i="23"/>
  <c r="CD285" i="6" s="1"/>
  <c r="AA285" i="23"/>
  <c r="Z285" i="23" s="1"/>
  <c r="Y285" i="23" s="1"/>
  <c r="J293" i="20"/>
  <c r="I293" i="20"/>
  <c r="H293" i="22" s="1"/>
  <c r="G327" i="23"/>
  <c r="CD327" i="6" s="1"/>
  <c r="AA327" i="23"/>
  <c r="Z327" i="23" s="1"/>
  <c r="Y327" i="23" s="1"/>
  <c r="G34" i="23"/>
  <c r="CD34" i="6" s="1"/>
  <c r="AA34" i="23"/>
  <c r="Z34" i="23" s="1"/>
  <c r="Y34" i="23" s="1"/>
  <c r="W96" i="24"/>
  <c r="D96" i="24"/>
  <c r="E96" i="24" s="1"/>
  <c r="F96" i="24" s="1"/>
  <c r="B96" i="25"/>
  <c r="W188" i="24"/>
  <c r="D188" i="24"/>
  <c r="E188" i="24" s="1"/>
  <c r="F188" i="24" s="1"/>
  <c r="B188" i="25"/>
  <c r="J294" i="20"/>
  <c r="I294" i="20"/>
  <c r="H294" i="22" s="1"/>
  <c r="W326" i="24"/>
  <c r="D326" i="24"/>
  <c r="E326" i="24" s="1"/>
  <c r="F326" i="24" s="1"/>
  <c r="B326" i="25"/>
  <c r="G372" i="24"/>
  <c r="CE372" i="6" s="1"/>
  <c r="AA372" i="24"/>
  <c r="Z372" i="24" s="1"/>
  <c r="Y372" i="24" s="1"/>
  <c r="D191" i="25"/>
  <c r="E191" i="25" s="1"/>
  <c r="F191" i="25" s="1"/>
  <c r="W191" i="25"/>
  <c r="W18" i="25"/>
  <c r="D18" i="25"/>
  <c r="E18" i="25" s="1"/>
  <c r="F18" i="25" s="1"/>
  <c r="J28" i="20"/>
  <c r="I28" i="20"/>
  <c r="H28" i="22" s="1"/>
  <c r="W122" i="25"/>
  <c r="D122" i="25"/>
  <c r="E122" i="25" s="1"/>
  <c r="F122" i="25" s="1"/>
  <c r="G138" i="24"/>
  <c r="CE138" i="6" s="1"/>
  <c r="AA138" i="24"/>
  <c r="Z138" i="24" s="1"/>
  <c r="Y138" i="24" s="1"/>
  <c r="I138" i="20"/>
  <c r="H138" i="22" s="1"/>
  <c r="J138" i="20"/>
  <c r="G202" i="24"/>
  <c r="CE202" i="6" s="1"/>
  <c r="AA202" i="24"/>
  <c r="Z202" i="24" s="1"/>
  <c r="Y202" i="24" s="1"/>
  <c r="G262" i="24"/>
  <c r="CE262" i="6" s="1"/>
  <c r="AA262" i="24"/>
  <c r="Z262" i="24" s="1"/>
  <c r="Y262" i="24" s="1"/>
  <c r="D280" i="25"/>
  <c r="E280" i="25" s="1"/>
  <c r="F280" i="25" s="1"/>
  <c r="W280" i="25"/>
  <c r="AA280" i="24"/>
  <c r="Z280" i="24" s="1"/>
  <c r="Y280" i="24" s="1"/>
  <c r="G280" i="24"/>
  <c r="CE280" i="6" s="1"/>
  <c r="W324" i="25"/>
  <c r="D324" i="25"/>
  <c r="E324" i="25" s="1"/>
  <c r="F324" i="25" s="1"/>
  <c r="D25" i="25"/>
  <c r="E25" i="25" s="1"/>
  <c r="F25" i="25" s="1"/>
  <c r="W25" i="25"/>
  <c r="G51" i="24"/>
  <c r="CE51" i="6" s="1"/>
  <c r="AA51" i="24"/>
  <c r="Z51" i="24" s="1"/>
  <c r="Y51" i="24" s="1"/>
  <c r="D85" i="25"/>
  <c r="E85" i="25" s="1"/>
  <c r="F85" i="25" s="1"/>
  <c r="W85" i="25"/>
  <c r="G109" i="24"/>
  <c r="CE109" i="6" s="1"/>
  <c r="AA109" i="24"/>
  <c r="Z109" i="24" s="1"/>
  <c r="Y109" i="24" s="1"/>
  <c r="G199" i="24"/>
  <c r="CE199" i="6" s="1"/>
  <c r="AA199" i="24"/>
  <c r="Z199" i="24" s="1"/>
  <c r="Y199" i="24" s="1"/>
  <c r="D243" i="25"/>
  <c r="E243" i="25" s="1"/>
  <c r="F243" i="25" s="1"/>
  <c r="W243" i="25"/>
  <c r="G243" i="24"/>
  <c r="CE243" i="6" s="1"/>
  <c r="AA243" i="24"/>
  <c r="Z243" i="24" s="1"/>
  <c r="Y243" i="24" s="1"/>
  <c r="G345" i="24"/>
  <c r="CE345" i="6" s="1"/>
  <c r="AA345" i="24"/>
  <c r="Z345" i="24" s="1"/>
  <c r="Y345" i="24" s="1"/>
  <c r="W355" i="25"/>
  <c r="D355" i="25"/>
  <c r="E355" i="25" s="1"/>
  <c r="F355" i="25" s="1"/>
  <c r="G24" i="24"/>
  <c r="CE24" i="6" s="1"/>
  <c r="AA24" i="24"/>
  <c r="Z24" i="24" s="1"/>
  <c r="Y24" i="24" s="1"/>
  <c r="W36" i="25"/>
  <c r="D36" i="25"/>
  <c r="E36" i="25" s="1"/>
  <c r="F36" i="25" s="1"/>
  <c r="G72" i="24"/>
  <c r="CE72" i="6" s="1"/>
  <c r="AA72" i="24"/>
  <c r="Z72" i="24" s="1"/>
  <c r="Y72" i="24" s="1"/>
  <c r="I186" i="22"/>
  <c r="H186" i="23" s="1"/>
  <c r="I198" i="20"/>
  <c r="H198" i="22" s="1"/>
  <c r="J198" i="20"/>
  <c r="I206" i="20"/>
  <c r="H206" i="22" s="1"/>
  <c r="J206" i="20"/>
  <c r="I214" i="20"/>
  <c r="H214" i="22" s="1"/>
  <c r="J214" i="20"/>
  <c r="I264" i="20"/>
  <c r="H264" i="22" s="1"/>
  <c r="J264" i="20"/>
  <c r="I314" i="20"/>
  <c r="H314" i="22" s="1"/>
  <c r="J314" i="20"/>
  <c r="J78" i="20"/>
  <c r="I78" i="20"/>
  <c r="H78" i="22" s="1"/>
  <c r="I289" i="20"/>
  <c r="H289" i="22" s="1"/>
  <c r="J289" i="20"/>
  <c r="J182" i="20"/>
  <c r="I182" i="20"/>
  <c r="H182" i="22" s="1"/>
  <c r="I236" i="20"/>
  <c r="H236" i="22" s="1"/>
  <c r="J236" i="20"/>
  <c r="I98" i="20"/>
  <c r="H98" i="22" s="1"/>
  <c r="J98" i="20"/>
  <c r="I157" i="20"/>
  <c r="H157" i="22" s="1"/>
  <c r="J157" i="20"/>
  <c r="J62" i="20"/>
  <c r="I62" i="20"/>
  <c r="H62" i="22" s="1"/>
  <c r="J81" i="20"/>
  <c r="I81" i="20"/>
  <c r="H81" i="22" s="1"/>
  <c r="J295" i="20"/>
  <c r="I295" i="20"/>
  <c r="H295" i="22" s="1"/>
  <c r="G226" i="25"/>
  <c r="CF226" i="6" s="1"/>
  <c r="AA226" i="25"/>
  <c r="Z226" i="25" s="1"/>
  <c r="Y226" i="25" s="1"/>
  <c r="G349" i="25"/>
  <c r="CF349" i="6" s="1"/>
  <c r="AA349" i="25"/>
  <c r="Z349" i="25" s="1"/>
  <c r="Y349" i="25" s="1"/>
  <c r="G171" i="25"/>
  <c r="CF171" i="6" s="1"/>
  <c r="AA171" i="25"/>
  <c r="Z171" i="25" s="1"/>
  <c r="Y171" i="25" s="1"/>
  <c r="AA154" i="25"/>
  <c r="Z154" i="25" s="1"/>
  <c r="Y154" i="25" s="1"/>
  <c r="G154" i="25"/>
  <c r="CF154" i="6" s="1"/>
  <c r="AA210" i="24"/>
  <c r="Z210" i="24" s="1"/>
  <c r="Y210" i="24" s="1"/>
  <c r="G210" i="24"/>
  <c r="CE210" i="6" s="1"/>
  <c r="G130" i="24"/>
  <c r="CE130" i="6" s="1"/>
  <c r="AA130" i="24"/>
  <c r="Z130" i="24" s="1"/>
  <c r="Y130" i="24" s="1"/>
  <c r="AA77" i="24"/>
  <c r="Z77" i="24" s="1"/>
  <c r="Y77" i="24" s="1"/>
  <c r="G77" i="24"/>
  <c r="CE77" i="6" s="1"/>
  <c r="G159" i="24"/>
  <c r="CE159" i="6" s="1"/>
  <c r="AA159" i="24"/>
  <c r="Z159" i="24" s="1"/>
  <c r="Y159" i="24" s="1"/>
  <c r="G249" i="24"/>
  <c r="CE249" i="6" s="1"/>
  <c r="AA249" i="24"/>
  <c r="Z249" i="24" s="1"/>
  <c r="Y249" i="24" s="1"/>
  <c r="W294" i="25"/>
  <c r="D294" i="25"/>
  <c r="E294" i="25" s="1"/>
  <c r="F294" i="25" s="1"/>
  <c r="G116" i="25"/>
  <c r="CF116" i="6" s="1"/>
  <c r="AA116" i="25"/>
  <c r="Z116" i="25" s="1"/>
  <c r="Y116" i="25" s="1"/>
  <c r="G265" i="24"/>
  <c r="CE265" i="6" s="1"/>
  <c r="AA265" i="24"/>
  <c r="Z265" i="24" s="1"/>
  <c r="Y265" i="24" s="1"/>
  <c r="G89" i="24"/>
  <c r="CE89" i="6" s="1"/>
  <c r="AA89" i="24"/>
  <c r="Z89" i="24" s="1"/>
  <c r="Y89" i="24" s="1"/>
  <c r="G173" i="24"/>
  <c r="CE173" i="6" s="1"/>
  <c r="AA173" i="24"/>
  <c r="Z173" i="24" s="1"/>
  <c r="Y173" i="24" s="1"/>
  <c r="G263" i="25"/>
  <c r="CF263" i="6" s="1"/>
  <c r="AA263" i="25"/>
  <c r="Z263" i="25" s="1"/>
  <c r="Y263" i="25" s="1"/>
  <c r="G108" i="24"/>
  <c r="CE108" i="6" s="1"/>
  <c r="AA108" i="24"/>
  <c r="Z108" i="24" s="1"/>
  <c r="Y108" i="24" s="1"/>
  <c r="X4" i="6"/>
  <c r="D155" i="6"/>
  <c r="W141" i="24"/>
  <c r="B141" i="25"/>
  <c r="D141" i="24"/>
  <c r="E141" i="24" s="1"/>
  <c r="F141" i="24" s="1"/>
  <c r="B211" i="25"/>
  <c r="W211" i="24"/>
  <c r="D211" i="24"/>
  <c r="E211" i="24" s="1"/>
  <c r="F211" i="24" s="1"/>
  <c r="W301" i="24"/>
  <c r="D301" i="24"/>
  <c r="E301" i="24" s="1"/>
  <c r="F301" i="24" s="1"/>
  <c r="B301" i="25"/>
  <c r="I337" i="22"/>
  <c r="H337" i="23" s="1"/>
  <c r="J337" i="22"/>
  <c r="D375" i="24"/>
  <c r="E375" i="24" s="1"/>
  <c r="F375" i="24" s="1"/>
  <c r="B375" i="25"/>
  <c r="W375" i="24"/>
  <c r="G175" i="23"/>
  <c r="CD175" i="6" s="1"/>
  <c r="AA175" i="23"/>
  <c r="Z175" i="23" s="1"/>
  <c r="Y175" i="23" s="1"/>
  <c r="I281" i="20"/>
  <c r="H281" i="22" s="1"/>
  <c r="J281" i="20"/>
  <c r="I92" i="22"/>
  <c r="H92" i="23" s="1"/>
  <c r="J328" i="22"/>
  <c r="I328" i="22"/>
  <c r="H328" i="23" s="1"/>
  <c r="J71" i="22"/>
  <c r="I71" i="22"/>
  <c r="H71" i="23" s="1"/>
  <c r="W123" i="24"/>
  <c r="D123" i="24"/>
  <c r="E123" i="24" s="1"/>
  <c r="F123" i="24" s="1"/>
  <c r="B123" i="25"/>
  <c r="G181" i="23"/>
  <c r="CD181" i="6" s="1"/>
  <c r="AA181" i="23"/>
  <c r="Z181" i="23" s="1"/>
  <c r="Y181" i="23" s="1"/>
  <c r="W215" i="24"/>
  <c r="D215" i="24"/>
  <c r="E215" i="24" s="1"/>
  <c r="F215" i="24" s="1"/>
  <c r="B215" i="25"/>
  <c r="G275" i="24"/>
  <c r="CE275" i="6" s="1"/>
  <c r="AA275" i="24"/>
  <c r="Z275" i="24" s="1"/>
  <c r="Y275" i="24" s="1"/>
  <c r="G303" i="24"/>
  <c r="CE303" i="6" s="1"/>
  <c r="AA303" i="24"/>
  <c r="Z303" i="24" s="1"/>
  <c r="Y303" i="24" s="1"/>
  <c r="W371" i="24"/>
  <c r="D371" i="24"/>
  <c r="E371" i="24" s="1"/>
  <c r="F371" i="24" s="1"/>
  <c r="B371" i="25"/>
  <c r="G231" i="23"/>
  <c r="CD231" i="6" s="1"/>
  <c r="AA231" i="23"/>
  <c r="Z231" i="23" s="1"/>
  <c r="Y231" i="23" s="1"/>
  <c r="G313" i="23"/>
  <c r="CD313" i="6" s="1"/>
  <c r="AA313" i="23"/>
  <c r="Z313" i="23" s="1"/>
  <c r="Y313" i="23" s="1"/>
  <c r="W20" i="24"/>
  <c r="D20" i="24"/>
  <c r="E20" i="24" s="1"/>
  <c r="F20" i="24" s="1"/>
  <c r="B20" i="25"/>
  <c r="I160" i="22"/>
  <c r="H160" i="23" s="1"/>
  <c r="I234" i="22"/>
  <c r="H234" i="23" s="1"/>
  <c r="I57" i="22"/>
  <c r="H57" i="23" s="1"/>
  <c r="I129" i="22"/>
  <c r="H129" i="23" s="1"/>
  <c r="I54" i="22"/>
  <c r="H54" i="23" s="1"/>
  <c r="D158" i="24"/>
  <c r="E158" i="24" s="1"/>
  <c r="F158" i="24" s="1"/>
  <c r="B158" i="25"/>
  <c r="W158" i="24"/>
  <c r="G190" i="24"/>
  <c r="CE190" i="6" s="1"/>
  <c r="AA190" i="24"/>
  <c r="Z190" i="24" s="1"/>
  <c r="Y190" i="24" s="1"/>
  <c r="W200" i="24"/>
  <c r="D200" i="24"/>
  <c r="E200" i="24" s="1"/>
  <c r="F200" i="24" s="1"/>
  <c r="B200" i="25"/>
  <c r="G224" i="23"/>
  <c r="CD224" i="6" s="1"/>
  <c r="AA224" i="23"/>
  <c r="Z224" i="23" s="1"/>
  <c r="Y224" i="23" s="1"/>
  <c r="B286" i="25"/>
  <c r="W286" i="24"/>
  <c r="D286" i="24"/>
  <c r="E286" i="24" s="1"/>
  <c r="F286" i="24" s="1"/>
  <c r="G286" i="23"/>
  <c r="CD286" i="6" s="1"/>
  <c r="AA286" i="23"/>
  <c r="Z286" i="23" s="1"/>
  <c r="Y286" i="23" s="1"/>
  <c r="G338" i="23"/>
  <c r="CD338" i="6" s="1"/>
  <c r="AA338" i="23"/>
  <c r="Z338" i="23" s="1"/>
  <c r="Y338" i="23" s="1"/>
  <c r="D358" i="24"/>
  <c r="E358" i="24" s="1"/>
  <c r="F358" i="24" s="1"/>
  <c r="B358" i="25"/>
  <c r="W358" i="24"/>
  <c r="G64" i="23"/>
  <c r="CD64" i="6" s="1"/>
  <c r="AA64" i="23"/>
  <c r="Z64" i="23" s="1"/>
  <c r="Y64" i="23" s="1"/>
  <c r="B205" i="25"/>
  <c r="W205" i="24"/>
  <c r="D205" i="24"/>
  <c r="E205" i="24" s="1"/>
  <c r="F205" i="24" s="1"/>
  <c r="G207" i="23"/>
  <c r="CD207" i="6" s="1"/>
  <c r="AA207" i="23"/>
  <c r="Z207" i="23" s="1"/>
  <c r="Y207" i="23" s="1"/>
  <c r="W299" i="24"/>
  <c r="B299" i="25"/>
  <c r="D299" i="24"/>
  <c r="E299" i="24" s="1"/>
  <c r="F299" i="24" s="1"/>
  <c r="G306" i="23"/>
  <c r="CD306" i="6" s="1"/>
  <c r="AA306" i="23"/>
  <c r="Z306" i="23" s="1"/>
  <c r="Y306" i="23" s="1"/>
  <c r="W353" i="24"/>
  <c r="B353" i="25"/>
  <c r="D353" i="24"/>
  <c r="E353" i="24" s="1"/>
  <c r="F353" i="24" s="1"/>
  <c r="G229" i="23"/>
  <c r="CD229" i="6" s="1"/>
  <c r="AA229" i="23"/>
  <c r="Z229" i="23" s="1"/>
  <c r="Y229" i="23" s="1"/>
  <c r="B32" i="25"/>
  <c r="W32" i="24"/>
  <c r="D32" i="24"/>
  <c r="E32" i="24" s="1"/>
  <c r="F32" i="24" s="1"/>
  <c r="B331" i="25"/>
  <c r="W331" i="24"/>
  <c r="D331" i="24"/>
  <c r="E331" i="24" s="1"/>
  <c r="F331" i="24" s="1"/>
  <c r="G100" i="23"/>
  <c r="CD100" i="6" s="1"/>
  <c r="AA100" i="23"/>
  <c r="Z100" i="23" s="1"/>
  <c r="Y100" i="23" s="1"/>
  <c r="W38" i="24"/>
  <c r="D38" i="24"/>
  <c r="E38" i="24" s="1"/>
  <c r="F38" i="24" s="1"/>
  <c r="B38" i="25"/>
  <c r="G174" i="23"/>
  <c r="CD174" i="6" s="1"/>
  <c r="AA174" i="23"/>
  <c r="Z174" i="23" s="1"/>
  <c r="Y174" i="23" s="1"/>
  <c r="W350" i="24"/>
  <c r="B350" i="25"/>
  <c r="D350" i="24"/>
  <c r="E350" i="24" s="1"/>
  <c r="F350" i="24" s="1"/>
  <c r="AA26" i="23"/>
  <c r="Z26" i="23" s="1"/>
  <c r="Y26" i="23" s="1"/>
  <c r="G26" i="23"/>
  <c r="CD26" i="6" s="1"/>
  <c r="B57" i="25"/>
  <c r="W57" i="24"/>
  <c r="D57" i="24"/>
  <c r="E57" i="24" s="1"/>
  <c r="F57" i="24" s="1"/>
  <c r="G113" i="23"/>
  <c r="CD113" i="6" s="1"/>
  <c r="AA113" i="23"/>
  <c r="Z113" i="23" s="1"/>
  <c r="Y113" i="23" s="1"/>
  <c r="D129" i="24"/>
  <c r="E129" i="24" s="1"/>
  <c r="F129" i="24" s="1"/>
  <c r="B129" i="25"/>
  <c r="W129" i="24"/>
  <c r="G213" i="23"/>
  <c r="CD213" i="6" s="1"/>
  <c r="AA213" i="23"/>
  <c r="Z213" i="23" s="1"/>
  <c r="Y213" i="23" s="1"/>
  <c r="W239" i="24"/>
  <c r="B239" i="25"/>
  <c r="D239" i="24"/>
  <c r="E239" i="24" s="1"/>
  <c r="F239" i="24" s="1"/>
  <c r="W315" i="24"/>
  <c r="B315" i="25"/>
  <c r="D315" i="24"/>
  <c r="E315" i="24" s="1"/>
  <c r="F315" i="24" s="1"/>
  <c r="G351" i="23"/>
  <c r="CD351" i="6" s="1"/>
  <c r="AA351" i="23"/>
  <c r="Z351" i="23" s="1"/>
  <c r="Y351" i="23" s="1"/>
  <c r="W30" i="24"/>
  <c r="B30" i="25"/>
  <c r="D30" i="24"/>
  <c r="E30" i="24" s="1"/>
  <c r="F30" i="24" s="1"/>
  <c r="G54" i="23"/>
  <c r="CD54" i="6" s="1"/>
  <c r="AA54" i="23"/>
  <c r="Z54" i="23" s="1"/>
  <c r="Y54" i="23" s="1"/>
  <c r="W82" i="24"/>
  <c r="D82" i="24"/>
  <c r="E82" i="24" s="1"/>
  <c r="F82" i="24" s="1"/>
  <c r="B82" i="25"/>
  <c r="I38" i="22"/>
  <c r="H38" i="23" s="1"/>
  <c r="J302" i="20"/>
  <c r="I302" i="20"/>
  <c r="H302" i="22" s="1"/>
  <c r="J83" i="20"/>
  <c r="I83" i="20"/>
  <c r="H83" i="22" s="1"/>
  <c r="I65" i="20"/>
  <c r="H65" i="22" s="1"/>
  <c r="J65" i="20"/>
  <c r="J159" i="20"/>
  <c r="I159" i="20"/>
  <c r="H159" i="22" s="1"/>
  <c r="J75" i="20"/>
  <c r="I75" i="20"/>
  <c r="H75" i="22" s="1"/>
  <c r="I325" i="20"/>
  <c r="H325" i="22" s="1"/>
  <c r="J325" i="20"/>
  <c r="J197" i="20"/>
  <c r="I197" i="20"/>
  <c r="H197" i="22" s="1"/>
  <c r="I101" i="20"/>
  <c r="H101" i="22" s="1"/>
  <c r="J101" i="20"/>
  <c r="J99" i="20"/>
  <c r="I99" i="20"/>
  <c r="H99" i="22" s="1"/>
  <c r="I187" i="20"/>
  <c r="H187" i="22" s="1"/>
  <c r="J187" i="20"/>
  <c r="J263" i="20"/>
  <c r="I263" i="20"/>
  <c r="H263" i="22" s="1"/>
  <c r="I127" i="20"/>
  <c r="H127" i="22" s="1"/>
  <c r="J127" i="20"/>
  <c r="J267" i="20"/>
  <c r="I267" i="20"/>
  <c r="H267" i="22" s="1"/>
  <c r="I183" i="20"/>
  <c r="H183" i="22" s="1"/>
  <c r="J183" i="20"/>
  <c r="J154" i="20"/>
  <c r="I154" i="20"/>
  <c r="H154" i="22" s="1"/>
  <c r="J169" i="20"/>
  <c r="I169" i="20"/>
  <c r="H169" i="22" s="1"/>
  <c r="J189" i="20"/>
  <c r="I189" i="20"/>
  <c r="H189" i="22" s="1"/>
  <c r="I241" i="20"/>
  <c r="H241" i="22" s="1"/>
  <c r="J241" i="20"/>
  <c r="I146" i="20"/>
  <c r="H146" i="22" s="1"/>
  <c r="J146" i="20"/>
  <c r="J135" i="20"/>
  <c r="I135" i="20"/>
  <c r="H135" i="22" s="1"/>
  <c r="D119" i="25"/>
  <c r="E119" i="25" s="1"/>
  <c r="F119" i="25" s="1"/>
  <c r="W119" i="25"/>
  <c r="W16" i="25"/>
  <c r="D16" i="25"/>
  <c r="E16" i="25" s="1"/>
  <c r="F16" i="25" s="1"/>
  <c r="W208" i="25"/>
  <c r="D208" i="25"/>
  <c r="E208" i="25" s="1"/>
  <c r="F208" i="25" s="1"/>
  <c r="W227" i="25"/>
  <c r="D227" i="25"/>
  <c r="E227" i="25" s="1"/>
  <c r="F227" i="25" s="1"/>
  <c r="W216" i="25"/>
  <c r="D216" i="25"/>
  <c r="E216" i="25" s="1"/>
  <c r="F216" i="25" s="1"/>
  <c r="W95" i="25"/>
  <c r="D95" i="25"/>
  <c r="E95" i="25" s="1"/>
  <c r="F95" i="25" s="1"/>
  <c r="G95" i="24"/>
  <c r="CE95" i="6" s="1"/>
  <c r="AA95" i="24"/>
  <c r="Z95" i="24" s="1"/>
  <c r="Y95" i="24" s="1"/>
  <c r="AA63" i="25"/>
  <c r="Z63" i="25" s="1"/>
  <c r="Y63" i="25" s="1"/>
  <c r="G63" i="25"/>
  <c r="CF63" i="6" s="1"/>
  <c r="G247" i="25"/>
  <c r="CF247" i="6" s="1"/>
  <c r="AA247" i="25"/>
  <c r="Z247" i="25" s="1"/>
  <c r="Y247" i="25" s="1"/>
  <c r="G361" i="25"/>
  <c r="CF361" i="6" s="1"/>
  <c r="AA361" i="25"/>
  <c r="Z361" i="25" s="1"/>
  <c r="Y361" i="25" s="1"/>
  <c r="G228" i="24"/>
  <c r="CE228" i="6" s="1"/>
  <c r="AA228" i="24"/>
  <c r="Z228" i="24" s="1"/>
  <c r="Y228" i="24" s="1"/>
  <c r="W300" i="25"/>
  <c r="D300" i="25"/>
  <c r="E300" i="25" s="1"/>
  <c r="F300" i="25" s="1"/>
  <c r="G300" i="24"/>
  <c r="CE300" i="6" s="1"/>
  <c r="AA300" i="24"/>
  <c r="Z300" i="24" s="1"/>
  <c r="Y300" i="24" s="1"/>
  <c r="W253" i="25"/>
  <c r="D253" i="25"/>
  <c r="E253" i="25" s="1"/>
  <c r="F253" i="25" s="1"/>
  <c r="AA55" i="25"/>
  <c r="Z55" i="25" s="1"/>
  <c r="Y55" i="25" s="1"/>
  <c r="G55" i="25"/>
  <c r="CF55" i="6" s="1"/>
  <c r="G197" i="25"/>
  <c r="CF197" i="6" s="1"/>
  <c r="AA197" i="25"/>
  <c r="Z197" i="25" s="1"/>
  <c r="Y197" i="25" s="1"/>
  <c r="G120" i="24"/>
  <c r="CE120" i="6" s="1"/>
  <c r="AA120" i="24"/>
  <c r="Z120" i="24" s="1"/>
  <c r="Y120" i="24" s="1"/>
  <c r="AK4" i="6"/>
  <c r="I316" i="20"/>
  <c r="H316" i="22" s="1"/>
  <c r="J316" i="20"/>
  <c r="J298" i="20"/>
  <c r="I298" i="20"/>
  <c r="H298" i="22" s="1"/>
  <c r="I227" i="20"/>
  <c r="H227" i="22" s="1"/>
  <c r="J227" i="20"/>
  <c r="J347" i="20"/>
  <c r="I347" i="20"/>
  <c r="H347" i="22" s="1"/>
  <c r="W42" i="25"/>
  <c r="D42" i="25"/>
  <c r="E42" i="25" s="1"/>
  <c r="F42" i="25" s="1"/>
  <c r="W84" i="25"/>
  <c r="D84" i="25"/>
  <c r="E84" i="25" s="1"/>
  <c r="F84" i="25" s="1"/>
  <c r="W110" i="25"/>
  <c r="D110" i="25"/>
  <c r="E110" i="25" s="1"/>
  <c r="F110" i="25" s="1"/>
  <c r="W140" i="25"/>
  <c r="D140" i="25"/>
  <c r="E140" i="25" s="1"/>
  <c r="F140" i="25" s="1"/>
  <c r="W220" i="25"/>
  <c r="D220" i="25"/>
  <c r="E220" i="25" s="1"/>
  <c r="F220" i="25" s="1"/>
  <c r="W260" i="25"/>
  <c r="D260" i="25"/>
  <c r="E260" i="25" s="1"/>
  <c r="F260" i="25" s="1"/>
  <c r="G260" i="24"/>
  <c r="CE260" i="6" s="1"/>
  <c r="AA260" i="24"/>
  <c r="Z260" i="24" s="1"/>
  <c r="Y260" i="24" s="1"/>
  <c r="W276" i="25"/>
  <c r="D276" i="25"/>
  <c r="E276" i="25" s="1"/>
  <c r="F276" i="25" s="1"/>
  <c r="W320" i="25"/>
  <c r="D320" i="25"/>
  <c r="E320" i="25" s="1"/>
  <c r="F320" i="25" s="1"/>
  <c r="W258" i="24"/>
  <c r="D258" i="24"/>
  <c r="E258" i="24" s="1"/>
  <c r="F258" i="24" s="1"/>
  <c r="B258" i="25"/>
  <c r="G33" i="24"/>
  <c r="CE33" i="6" s="1"/>
  <c r="AA33" i="24"/>
  <c r="Z33" i="24" s="1"/>
  <c r="Y33" i="24" s="1"/>
  <c r="W131" i="25"/>
  <c r="D131" i="25"/>
  <c r="E131" i="25" s="1"/>
  <c r="F131" i="25" s="1"/>
  <c r="W195" i="25"/>
  <c r="D195" i="25"/>
  <c r="E195" i="25" s="1"/>
  <c r="F195" i="25" s="1"/>
  <c r="W221" i="25"/>
  <c r="D221" i="25"/>
  <c r="E221" i="25" s="1"/>
  <c r="F221" i="25" s="1"/>
  <c r="J34" i="20"/>
  <c r="I34" i="20"/>
  <c r="H34" i="22" s="1"/>
  <c r="J108" i="20"/>
  <c r="I108" i="20"/>
  <c r="H108" i="22" s="1"/>
  <c r="J142" i="20"/>
  <c r="I142" i="20"/>
  <c r="H142" i="22" s="1"/>
  <c r="J192" i="20"/>
  <c r="I192" i="20"/>
  <c r="H192" i="22" s="1"/>
  <c r="J326" i="20"/>
  <c r="I326" i="20"/>
  <c r="H326" i="22" s="1"/>
  <c r="W267" i="25"/>
  <c r="D267" i="25"/>
  <c r="E267" i="25" s="1"/>
  <c r="F267" i="25" s="1"/>
  <c r="AA307" i="24"/>
  <c r="Z307" i="24" s="1"/>
  <c r="Y307" i="24" s="1"/>
  <c r="G307" i="24"/>
  <c r="CE307" i="6" s="1"/>
  <c r="W357" i="25"/>
  <c r="D357" i="25"/>
  <c r="E357" i="25" s="1"/>
  <c r="F357" i="25" s="1"/>
  <c r="D85" i="6"/>
  <c r="S4" i="6"/>
  <c r="AA198" i="24"/>
  <c r="Z198" i="24" s="1"/>
  <c r="Y198" i="24" s="1"/>
  <c r="G198" i="24"/>
  <c r="CE198" i="6" s="1"/>
  <c r="D206" i="25"/>
  <c r="E206" i="25" s="1"/>
  <c r="F206" i="25" s="1"/>
  <c r="W206" i="25"/>
  <c r="D290" i="25"/>
  <c r="E290" i="25" s="1"/>
  <c r="F290" i="25" s="1"/>
  <c r="W290" i="25"/>
  <c r="G314" i="24"/>
  <c r="CE314" i="6" s="1"/>
  <c r="AA314" i="24"/>
  <c r="Z314" i="24" s="1"/>
  <c r="Y314" i="24" s="1"/>
  <c r="G356" i="24"/>
  <c r="CE356" i="6" s="1"/>
  <c r="AA356" i="24"/>
  <c r="Z356" i="24" s="1"/>
  <c r="Y356" i="24" s="1"/>
  <c r="D289" i="25"/>
  <c r="E289" i="25" s="1"/>
  <c r="F289" i="25" s="1"/>
  <c r="W289" i="25"/>
  <c r="G289" i="24"/>
  <c r="CE289" i="6" s="1"/>
  <c r="AA289" i="24"/>
  <c r="Z289" i="24" s="1"/>
  <c r="Y289" i="24" s="1"/>
  <c r="D98" i="25"/>
  <c r="E98" i="25" s="1"/>
  <c r="F98" i="25" s="1"/>
  <c r="W98" i="25"/>
  <c r="AA98" i="24"/>
  <c r="Z98" i="24" s="1"/>
  <c r="Y98" i="24" s="1"/>
  <c r="G98" i="24"/>
  <c r="CE98" i="6" s="1"/>
  <c r="D321" i="25"/>
  <c r="E321" i="25" s="1"/>
  <c r="F321" i="25" s="1"/>
  <c r="W321" i="25"/>
  <c r="AA125" i="24"/>
  <c r="Z125" i="24" s="1"/>
  <c r="Y125" i="24" s="1"/>
  <c r="G125" i="24"/>
  <c r="CE125" i="6" s="1"/>
  <c r="I125" i="20"/>
  <c r="H125" i="22" s="1"/>
  <c r="J125" i="20"/>
  <c r="G309" i="24"/>
  <c r="CE309" i="6" s="1"/>
  <c r="AA309" i="24"/>
  <c r="Z309" i="24" s="1"/>
  <c r="Y309" i="24" s="1"/>
  <c r="W73" i="25"/>
  <c r="D73" i="25"/>
  <c r="E73" i="25" s="1"/>
  <c r="F73" i="25" s="1"/>
  <c r="G62" i="24"/>
  <c r="CE62" i="6" s="1"/>
  <c r="AA62" i="24"/>
  <c r="Z62" i="24" s="1"/>
  <c r="Y62" i="24" s="1"/>
  <c r="W81" i="25"/>
  <c r="D81" i="25"/>
  <c r="E81" i="25" s="1"/>
  <c r="F81" i="25" s="1"/>
  <c r="G365" i="25"/>
  <c r="CF365" i="6" s="1"/>
  <c r="AA365" i="25"/>
  <c r="Z365" i="25" s="1"/>
  <c r="Y365" i="25" s="1"/>
  <c r="G177" i="24"/>
  <c r="CE177" i="6" s="1"/>
  <c r="AA177" i="24"/>
  <c r="Z177" i="24" s="1"/>
  <c r="Y177" i="24" s="1"/>
  <c r="G319" i="24"/>
  <c r="CE319" i="6" s="1"/>
  <c r="AA319" i="24"/>
  <c r="Z319" i="24" s="1"/>
  <c r="Y319" i="24" s="1"/>
  <c r="G111" i="24"/>
  <c r="CE111" i="6" s="1"/>
  <c r="AA111" i="24"/>
  <c r="Z111" i="24" s="1"/>
  <c r="Y111" i="24" s="1"/>
  <c r="G367" i="25"/>
  <c r="CF367" i="6" s="1"/>
  <c r="AA367" i="25"/>
  <c r="Z367" i="25" s="1"/>
  <c r="Y367" i="25" s="1"/>
  <c r="J60" i="20"/>
  <c r="I60" i="20"/>
  <c r="H60" i="22" s="1"/>
  <c r="J67" i="20"/>
  <c r="I67" i="20"/>
  <c r="H67" i="22" s="1"/>
  <c r="I349" i="20"/>
  <c r="H349" i="22" s="1"/>
  <c r="J349" i="20"/>
  <c r="J248" i="20"/>
  <c r="I248" i="20"/>
  <c r="H248" i="22" s="1"/>
  <c r="J283" i="20"/>
  <c r="I283" i="20"/>
  <c r="H283" i="22" s="1"/>
  <c r="J194" i="20"/>
  <c r="I194" i="20"/>
  <c r="H194" i="22" s="1"/>
  <c r="I284" i="20"/>
  <c r="H284" i="22" s="1"/>
  <c r="J284" i="20"/>
  <c r="I287" i="20"/>
  <c r="H287" i="22" s="1"/>
  <c r="J287" i="20"/>
  <c r="I55" i="20"/>
  <c r="H55" i="22" s="1"/>
  <c r="J55" i="20"/>
  <c r="J255" i="20"/>
  <c r="I255" i="20"/>
  <c r="H255" i="22" s="1"/>
  <c r="I273" i="20"/>
  <c r="H273" i="22" s="1"/>
  <c r="J273" i="20"/>
  <c r="J257" i="20"/>
  <c r="I257" i="20"/>
  <c r="H257" i="22" s="1"/>
  <c r="J161" i="20"/>
  <c r="I161" i="20"/>
  <c r="H161" i="22" s="1"/>
  <c r="J130" i="20"/>
  <c r="I130" i="20"/>
  <c r="H130" i="22" s="1"/>
  <c r="I265" i="20"/>
  <c r="H265" i="22" s="1"/>
  <c r="J265" i="20"/>
  <c r="I37" i="20"/>
  <c r="H37" i="22" s="1"/>
  <c r="J37" i="20"/>
  <c r="J89" i="20"/>
  <c r="I89" i="20"/>
  <c r="H89" i="22" s="1"/>
  <c r="I185" i="20"/>
  <c r="H185" i="22" s="1"/>
  <c r="J185" i="20"/>
  <c r="J271" i="20"/>
  <c r="I271" i="20"/>
  <c r="H271" i="22" s="1"/>
  <c r="D70" i="24"/>
  <c r="E70" i="24" s="1"/>
  <c r="F70" i="24" s="1"/>
  <c r="W70" i="24"/>
  <c r="B70" i="25"/>
  <c r="G106" i="23"/>
  <c r="CD106" i="6" s="1"/>
  <c r="AA106" i="23"/>
  <c r="Z106" i="23" s="1"/>
  <c r="Y106" i="23" s="1"/>
  <c r="W136" i="24"/>
  <c r="D136" i="24"/>
  <c r="E136" i="24" s="1"/>
  <c r="F136" i="24" s="1"/>
  <c r="B136" i="25"/>
  <c r="W178" i="24"/>
  <c r="D178" i="24"/>
  <c r="E178" i="24" s="1"/>
  <c r="F178" i="24" s="1"/>
  <c r="B178" i="25"/>
  <c r="G254" i="23"/>
  <c r="CD254" i="6" s="1"/>
  <c r="AA254" i="23"/>
  <c r="Z254" i="23" s="1"/>
  <c r="Y254" i="23" s="1"/>
  <c r="W274" i="24"/>
  <c r="D274" i="24"/>
  <c r="E274" i="24" s="1"/>
  <c r="F274" i="24" s="1"/>
  <c r="B274" i="25"/>
  <c r="G318" i="23"/>
  <c r="CD318" i="6" s="1"/>
  <c r="AA318" i="23"/>
  <c r="Z318" i="23" s="1"/>
  <c r="Y318" i="23" s="1"/>
  <c r="W352" i="24"/>
  <c r="D352" i="24"/>
  <c r="E352" i="24" s="1"/>
  <c r="F352" i="24" s="1"/>
  <c r="B352" i="25"/>
  <c r="G31" i="23"/>
  <c r="CD31" i="6" s="1"/>
  <c r="AA31" i="23"/>
  <c r="Z31" i="23" s="1"/>
  <c r="Y31" i="23" s="1"/>
  <c r="W49" i="24"/>
  <c r="D49" i="24"/>
  <c r="E49" i="24" s="1"/>
  <c r="F49" i="24" s="1"/>
  <c r="B49" i="25"/>
  <c r="W94" i="25"/>
  <c r="D94" i="25"/>
  <c r="E94" i="25" s="1"/>
  <c r="F94" i="25" s="1"/>
  <c r="G94" i="24"/>
  <c r="CE94" i="6" s="1"/>
  <c r="AA94" i="24"/>
  <c r="Z94" i="24" s="1"/>
  <c r="Y94" i="24" s="1"/>
  <c r="I112" i="22"/>
  <c r="H112" i="23" s="1"/>
  <c r="W144" i="24"/>
  <c r="D144" i="24"/>
  <c r="E144" i="24" s="1"/>
  <c r="F144" i="24" s="1"/>
  <c r="B144" i="25"/>
  <c r="D296" i="24"/>
  <c r="E296" i="24" s="1"/>
  <c r="F296" i="24" s="1"/>
  <c r="W296" i="24"/>
  <c r="B296" i="25"/>
  <c r="I348" i="22"/>
  <c r="H348" i="23" s="1"/>
  <c r="W39" i="24"/>
  <c r="D39" i="24"/>
  <c r="E39" i="24" s="1"/>
  <c r="F39" i="24" s="1"/>
  <c r="B39" i="25"/>
  <c r="W151" i="24"/>
  <c r="B151" i="25"/>
  <c r="D151" i="24"/>
  <c r="E151" i="24" s="1"/>
  <c r="F151" i="24" s="1"/>
  <c r="J245" i="20"/>
  <c r="I245" i="20"/>
  <c r="H245" i="22" s="1"/>
  <c r="G124" i="23"/>
  <c r="CD124" i="6" s="1"/>
  <c r="AA124" i="23"/>
  <c r="Z124" i="23" s="1"/>
  <c r="Y124" i="23" s="1"/>
  <c r="W184" i="24"/>
  <c r="B184" i="25"/>
  <c r="D184" i="24"/>
  <c r="E184" i="24" s="1"/>
  <c r="F184" i="24" s="1"/>
  <c r="G256" i="23"/>
  <c r="CD256" i="6" s="1"/>
  <c r="AA256" i="23"/>
  <c r="Z256" i="23" s="1"/>
  <c r="Y256" i="23" s="1"/>
  <c r="W292" i="24"/>
  <c r="D292" i="24"/>
  <c r="E292" i="24" s="1"/>
  <c r="F292" i="24" s="1"/>
  <c r="B292" i="25"/>
  <c r="G330" i="23"/>
  <c r="CD330" i="6" s="1"/>
  <c r="AA330" i="23"/>
  <c r="Z330" i="23" s="1"/>
  <c r="Y330" i="23" s="1"/>
  <c r="W364" i="24"/>
  <c r="B364" i="25"/>
  <c r="D364" i="24"/>
  <c r="E364" i="24" s="1"/>
  <c r="F364" i="24" s="1"/>
  <c r="B41" i="25"/>
  <c r="W41" i="24"/>
  <c r="D41" i="24"/>
  <c r="E41" i="24" s="1"/>
  <c r="F41" i="24" s="1"/>
  <c r="G91" i="23"/>
  <c r="CD91" i="6" s="1"/>
  <c r="AA91" i="23"/>
  <c r="Z91" i="23" s="1"/>
  <c r="Y91" i="23" s="1"/>
  <c r="W117" i="24"/>
  <c r="B117" i="25"/>
  <c r="D117" i="24"/>
  <c r="E117" i="24" s="1"/>
  <c r="F117" i="24" s="1"/>
  <c r="G165" i="23"/>
  <c r="CD165" i="6" s="1"/>
  <c r="AA165" i="23"/>
  <c r="Z165" i="23" s="1"/>
  <c r="Y165" i="23" s="1"/>
  <c r="W225" i="24"/>
  <c r="B225" i="25"/>
  <c r="D225" i="24"/>
  <c r="E225" i="24" s="1"/>
  <c r="F225" i="24" s="1"/>
  <c r="G279" i="23"/>
  <c r="CD279" i="6" s="1"/>
  <c r="AA279" i="23"/>
  <c r="Z279" i="23" s="1"/>
  <c r="Y279" i="23" s="1"/>
  <c r="W343" i="24"/>
  <c r="B343" i="25"/>
  <c r="D343" i="24"/>
  <c r="E343" i="24" s="1"/>
  <c r="F343" i="24" s="1"/>
  <c r="G377" i="23"/>
  <c r="CD377" i="6" s="1"/>
  <c r="AA377" i="23"/>
  <c r="Z377" i="23" s="1"/>
  <c r="Y377" i="23" s="1"/>
  <c r="W40" i="24"/>
  <c r="B40" i="25"/>
  <c r="D40" i="24"/>
  <c r="E40" i="24" s="1"/>
  <c r="F40" i="24" s="1"/>
  <c r="AA68" i="23"/>
  <c r="Z68" i="23" s="1"/>
  <c r="Y68" i="23" s="1"/>
  <c r="G68" i="23"/>
  <c r="CD68" i="6" s="1"/>
  <c r="AA366" i="23"/>
  <c r="Z366" i="23" s="1"/>
  <c r="Y366" i="23" s="1"/>
  <c r="G366" i="23"/>
  <c r="CD366" i="6" s="1"/>
  <c r="D222" i="24"/>
  <c r="E222" i="24" s="1"/>
  <c r="F222" i="24" s="1"/>
  <c r="B222" i="25"/>
  <c r="W222" i="24"/>
  <c r="G204" i="23"/>
  <c r="CD204" i="6" s="1"/>
  <c r="AA204" i="23"/>
  <c r="Z204" i="23" s="1"/>
  <c r="Y204" i="23" s="1"/>
  <c r="W252" i="24"/>
  <c r="B252" i="25"/>
  <c r="D252" i="24"/>
  <c r="E252" i="24" s="1"/>
  <c r="F252" i="24" s="1"/>
  <c r="G305" i="23"/>
  <c r="CD305" i="6" s="1"/>
  <c r="AA305" i="23"/>
  <c r="Z305" i="23" s="1"/>
  <c r="Y305" i="23" s="1"/>
  <c r="B152" i="25"/>
  <c r="W152" i="24"/>
  <c r="D152" i="24"/>
  <c r="E152" i="24" s="1"/>
  <c r="F152" i="24" s="1"/>
  <c r="G52" i="23"/>
  <c r="CD52" i="6" s="1"/>
  <c r="AA52" i="23"/>
  <c r="Z52" i="23" s="1"/>
  <c r="Y52" i="23" s="1"/>
  <c r="W103" i="24"/>
  <c r="D103" i="24"/>
  <c r="E103" i="24" s="1"/>
  <c r="F103" i="24" s="1"/>
  <c r="B103" i="25"/>
  <c r="G235" i="23"/>
  <c r="CD235" i="6" s="1"/>
  <c r="AA235" i="23"/>
  <c r="Z235" i="23" s="1"/>
  <c r="Y235" i="23" s="1"/>
  <c r="D251" i="24"/>
  <c r="E251" i="24" s="1"/>
  <c r="F251" i="24" s="1"/>
  <c r="B251" i="25"/>
  <c r="W251" i="24"/>
  <c r="G153" i="23"/>
  <c r="CD153" i="6" s="1"/>
  <c r="AA153" i="23"/>
  <c r="Z153" i="23" s="1"/>
  <c r="Y153" i="23" s="1"/>
  <c r="W132" i="24"/>
  <c r="D132" i="24"/>
  <c r="E132" i="24" s="1"/>
  <c r="F132" i="24" s="1"/>
  <c r="B132" i="25"/>
  <c r="AA316" i="24"/>
  <c r="Z316" i="24" s="1"/>
  <c r="Y316" i="24" s="1"/>
  <c r="G316" i="24"/>
  <c r="CE316" i="6" s="1"/>
  <c r="G248" i="25"/>
  <c r="CF248" i="6" s="1"/>
  <c r="AA248" i="25"/>
  <c r="Z248" i="25" s="1"/>
  <c r="Y248" i="25" s="1"/>
  <c r="G368" i="24"/>
  <c r="CE368" i="6" s="1"/>
  <c r="AA368" i="24"/>
  <c r="Z368" i="24" s="1"/>
  <c r="Y368" i="24" s="1"/>
  <c r="G347" i="24"/>
  <c r="CE347" i="6" s="1"/>
  <c r="AA347" i="24"/>
  <c r="Z347" i="24" s="1"/>
  <c r="Y347" i="24" s="1"/>
  <c r="W139" i="25"/>
  <c r="D139" i="25"/>
  <c r="E139" i="25" s="1"/>
  <c r="F139" i="25" s="1"/>
  <c r="G169" i="24"/>
  <c r="CE169" i="6" s="1"/>
  <c r="AA169" i="24"/>
  <c r="Z169" i="24" s="1"/>
  <c r="Y169" i="24" s="1"/>
  <c r="W203" i="25"/>
  <c r="D203" i="25"/>
  <c r="E203" i="25" s="1"/>
  <c r="F203" i="25" s="1"/>
  <c r="AA245" i="24"/>
  <c r="Z245" i="24" s="1"/>
  <c r="Y245" i="24" s="1"/>
  <c r="G245" i="24"/>
  <c r="CE245" i="6" s="1"/>
  <c r="G325" i="24"/>
  <c r="CE325" i="6" s="1"/>
  <c r="AA325" i="24"/>
  <c r="Z325" i="24" s="1"/>
  <c r="Y325" i="24" s="1"/>
  <c r="W196" i="24"/>
  <c r="D196" i="24"/>
  <c r="E196" i="24" s="1"/>
  <c r="F196" i="24" s="1"/>
  <c r="B196" i="25"/>
  <c r="D253" i="6"/>
  <c r="AE4" i="6"/>
  <c r="G23" i="23"/>
  <c r="CD23" i="6" s="1"/>
  <c r="AA23" i="23"/>
  <c r="Z23" i="23" s="1"/>
  <c r="Y23" i="23" s="1"/>
  <c r="J33" i="20"/>
  <c r="I33" i="20"/>
  <c r="H33" i="22" s="1"/>
  <c r="J79" i="20"/>
  <c r="I79" i="20"/>
  <c r="H79" i="22" s="1"/>
  <c r="I147" i="20"/>
  <c r="H147" i="22" s="1"/>
  <c r="J147" i="20"/>
  <c r="J195" i="20"/>
  <c r="I195" i="20"/>
  <c r="H195" i="22" s="1"/>
  <c r="J209" i="20"/>
  <c r="I209" i="20"/>
  <c r="H209" i="22" s="1"/>
  <c r="J259" i="20"/>
  <c r="I259" i="20"/>
  <c r="H259" i="22" s="1"/>
  <c r="G126" i="23"/>
  <c r="CD126" i="6" s="1"/>
  <c r="AA126" i="23"/>
  <c r="Z126" i="23" s="1"/>
  <c r="Y126" i="23" s="1"/>
  <c r="G250" i="23"/>
  <c r="CD250" i="6" s="1"/>
  <c r="AA250" i="23"/>
  <c r="Z250" i="23" s="1"/>
  <c r="Y250" i="23" s="1"/>
  <c r="D65" i="25"/>
  <c r="E65" i="25" s="1"/>
  <c r="F65" i="25" s="1"/>
  <c r="W65" i="25"/>
  <c r="AA143" i="24"/>
  <c r="Z143" i="24" s="1"/>
  <c r="Y143" i="24" s="1"/>
  <c r="G143" i="24"/>
  <c r="CE143" i="6" s="1"/>
  <c r="AA28" i="24"/>
  <c r="Z28" i="24" s="1"/>
  <c r="Y28" i="24" s="1"/>
  <c r="G28" i="24"/>
  <c r="CE28" i="6" s="1"/>
  <c r="W172" i="25"/>
  <c r="D172" i="25"/>
  <c r="E172" i="25" s="1"/>
  <c r="F172" i="25" s="1"/>
  <c r="D238" i="25"/>
  <c r="E238" i="25" s="1"/>
  <c r="F238" i="25" s="1"/>
  <c r="W238" i="25"/>
  <c r="G238" i="24"/>
  <c r="CE238" i="6" s="1"/>
  <c r="AA238" i="24"/>
  <c r="Z238" i="24" s="1"/>
  <c r="Y238" i="24" s="1"/>
  <c r="I262" i="20"/>
  <c r="H262" i="22" s="1"/>
  <c r="J262" i="20"/>
  <c r="AA304" i="24"/>
  <c r="Z304" i="24" s="1"/>
  <c r="Y304" i="24" s="1"/>
  <c r="G304" i="24"/>
  <c r="CE304" i="6" s="1"/>
  <c r="G344" i="24"/>
  <c r="CE344" i="6" s="1"/>
  <c r="AA344" i="24"/>
  <c r="Z344" i="24" s="1"/>
  <c r="Y344" i="24" s="1"/>
  <c r="W360" i="25"/>
  <c r="D360" i="25"/>
  <c r="E360" i="25" s="1"/>
  <c r="F360" i="25" s="1"/>
  <c r="G370" i="24"/>
  <c r="CE370" i="6" s="1"/>
  <c r="AA370" i="24"/>
  <c r="Z370" i="24" s="1"/>
  <c r="Y370" i="24" s="1"/>
  <c r="D115" i="25"/>
  <c r="E115" i="25" s="1"/>
  <c r="F115" i="25" s="1"/>
  <c r="W115" i="25"/>
  <c r="D133" i="25"/>
  <c r="E133" i="25" s="1"/>
  <c r="F133" i="25" s="1"/>
  <c r="W133" i="25"/>
  <c r="W217" i="25"/>
  <c r="D217" i="25"/>
  <c r="E217" i="25" s="1"/>
  <c r="F217" i="25" s="1"/>
  <c r="J237" i="20"/>
  <c r="I237" i="20"/>
  <c r="H237" i="22" s="1"/>
  <c r="G297" i="24"/>
  <c r="CE297" i="6" s="1"/>
  <c r="AA297" i="24"/>
  <c r="Z297" i="24" s="1"/>
  <c r="Y297" i="24" s="1"/>
  <c r="D329" i="25"/>
  <c r="E329" i="25" s="1"/>
  <c r="F329" i="25" s="1"/>
  <c r="W329" i="25"/>
  <c r="J24" i="20"/>
  <c r="I24" i="20"/>
  <c r="H24" i="22" s="1"/>
  <c r="AA44" i="24"/>
  <c r="Z44" i="24" s="1"/>
  <c r="Y44" i="24" s="1"/>
  <c r="G44" i="24"/>
  <c r="CE44" i="6" s="1"/>
  <c r="D58" i="25"/>
  <c r="E58" i="25" s="1"/>
  <c r="F58" i="25" s="1"/>
  <c r="W58" i="25"/>
  <c r="W102" i="25"/>
  <c r="D102" i="25"/>
  <c r="E102" i="25" s="1"/>
  <c r="F102" i="25" s="1"/>
  <c r="G156" i="24"/>
  <c r="CE156" i="6" s="1"/>
  <c r="AA156" i="24"/>
  <c r="Z156" i="24" s="1"/>
  <c r="Y156" i="24" s="1"/>
  <c r="W162" i="25"/>
  <c r="D162" i="25"/>
  <c r="E162" i="25" s="1"/>
  <c r="F162" i="25" s="1"/>
  <c r="AA186" i="23"/>
  <c r="Z186" i="23" s="1"/>
  <c r="Y186" i="23" s="1"/>
  <c r="G186" i="23"/>
  <c r="CD186" i="6" s="1"/>
  <c r="J290" i="20"/>
  <c r="I290" i="20"/>
  <c r="H290" i="22" s="1"/>
  <c r="J340" i="20"/>
  <c r="I340" i="20"/>
  <c r="H340" i="22" s="1"/>
  <c r="J137" i="20"/>
  <c r="I137" i="20"/>
  <c r="H137" i="22" s="1"/>
  <c r="J90" i="20"/>
  <c r="I90" i="20"/>
  <c r="H90" i="22" s="1"/>
  <c r="J311" i="20"/>
  <c r="I311" i="20"/>
  <c r="H311" i="22" s="1"/>
  <c r="J163" i="20"/>
  <c r="I163" i="20"/>
  <c r="H163" i="22" s="1"/>
  <c r="I321" i="20"/>
  <c r="H321" i="22" s="1"/>
  <c r="J321" i="20"/>
  <c r="J332" i="20"/>
  <c r="I332" i="20"/>
  <c r="H332" i="22" s="1"/>
  <c r="J309" i="20"/>
  <c r="I309" i="20"/>
  <c r="H309" i="22" s="1"/>
  <c r="I73" i="20"/>
  <c r="H73" i="22" s="1"/>
  <c r="J73" i="20"/>
  <c r="J76" i="20"/>
  <c r="I76" i="20"/>
  <c r="H76" i="22" s="1"/>
  <c r="J232" i="20"/>
  <c r="I232" i="20"/>
  <c r="H232" i="22" s="1"/>
  <c r="G74" i="25"/>
  <c r="CF74" i="6" s="1"/>
  <c r="AA74" i="25"/>
  <c r="Z74" i="25" s="1"/>
  <c r="Y74" i="25" s="1"/>
  <c r="G194" i="25"/>
  <c r="CF194" i="6" s="1"/>
  <c r="AA194" i="25"/>
  <c r="Z194" i="25" s="1"/>
  <c r="Y194" i="25" s="1"/>
  <c r="G189" i="25"/>
  <c r="CF189" i="6" s="1"/>
  <c r="AA189" i="25"/>
  <c r="Z189" i="25" s="1"/>
  <c r="Y189" i="25" s="1"/>
  <c r="G244" i="24"/>
  <c r="CE244" i="6" s="1"/>
  <c r="AA244" i="24"/>
  <c r="Z244" i="24" s="1"/>
  <c r="Y244" i="24" s="1"/>
  <c r="G37" i="24"/>
  <c r="CE37" i="6" s="1"/>
  <c r="AA37" i="24"/>
  <c r="Z37" i="24" s="1"/>
  <c r="Y37" i="24" s="1"/>
  <c r="G99" i="24"/>
  <c r="CE99" i="6" s="1"/>
  <c r="AA99" i="24"/>
  <c r="Z99" i="24" s="1"/>
  <c r="Y99" i="24" s="1"/>
  <c r="G185" i="24"/>
  <c r="CE185" i="6" s="1"/>
  <c r="AA185" i="24"/>
  <c r="Z185" i="24" s="1"/>
  <c r="Y185" i="24" s="1"/>
  <c r="G281" i="24"/>
  <c r="CE281" i="6" s="1"/>
  <c r="AA281" i="24"/>
  <c r="Z281" i="24" s="1"/>
  <c r="Y281" i="24" s="1"/>
  <c r="G192" i="24"/>
  <c r="CE192" i="6" s="1"/>
  <c r="AA192" i="24"/>
  <c r="Z192" i="24" s="1"/>
  <c r="Y192" i="24" s="1"/>
  <c r="AA334" i="24"/>
  <c r="Z334" i="24" s="1"/>
  <c r="Y334" i="24" s="1"/>
  <c r="G334" i="24"/>
  <c r="CE334" i="6" s="1"/>
  <c r="G161" i="24"/>
  <c r="CE161" i="6" s="1"/>
  <c r="AA161" i="24"/>
  <c r="Z161" i="24" s="1"/>
  <c r="Y161" i="24" s="1"/>
  <c r="G61" i="24"/>
  <c r="CE61" i="6" s="1"/>
  <c r="AA61" i="24"/>
  <c r="Z61" i="24" s="1"/>
  <c r="Y61" i="24" s="1"/>
  <c r="G127" i="24"/>
  <c r="CE127" i="6" s="1"/>
  <c r="AA127" i="24"/>
  <c r="Z127" i="24" s="1"/>
  <c r="Y127" i="24" s="1"/>
  <c r="G219" i="24"/>
  <c r="CE219" i="6" s="1"/>
  <c r="AA219" i="24"/>
  <c r="Z219" i="24" s="1"/>
  <c r="Y219" i="24" s="1"/>
  <c r="G317" i="25"/>
  <c r="CF317" i="6" s="1"/>
  <c r="AA317" i="25"/>
  <c r="Z317" i="25" s="1"/>
  <c r="Y317" i="25" s="1"/>
  <c r="G142" i="24"/>
  <c r="CE142" i="6" s="1"/>
  <c r="AA142" i="24"/>
  <c r="Z142" i="24" s="1"/>
  <c r="Y142" i="24" s="1"/>
  <c r="J46" i="20"/>
  <c r="I46" i="20"/>
  <c r="H46" i="22" s="1"/>
  <c r="J63" i="20"/>
  <c r="I63" i="20"/>
  <c r="H63" i="22" s="1"/>
  <c r="I317" i="20"/>
  <c r="H317" i="22" s="1"/>
  <c r="J317" i="20"/>
  <c r="B59" i="25"/>
  <c r="W59" i="24"/>
  <c r="D59" i="24"/>
  <c r="E59" i="24" s="1"/>
  <c r="F59" i="24" s="1"/>
  <c r="W179" i="24"/>
  <c r="B179" i="25"/>
  <c r="D179" i="24"/>
  <c r="E179" i="24" s="1"/>
  <c r="F179" i="24" s="1"/>
  <c r="W257" i="24"/>
  <c r="B257" i="25"/>
  <c r="D257" i="24"/>
  <c r="E257" i="24" s="1"/>
  <c r="F257" i="24" s="1"/>
  <c r="D337" i="24"/>
  <c r="E337" i="24" s="1"/>
  <c r="F337" i="24" s="1"/>
  <c r="B337" i="25"/>
  <c r="W337" i="24"/>
  <c r="G379" i="23"/>
  <c r="CD379" i="6" s="1"/>
  <c r="AA379" i="23"/>
  <c r="Z379" i="23" s="1"/>
  <c r="Y379" i="23" s="1"/>
  <c r="G50" i="23"/>
  <c r="CD50" i="6" s="1"/>
  <c r="AA50" i="23"/>
  <c r="Z50" i="23" s="1"/>
  <c r="Y50" i="23" s="1"/>
  <c r="W92" i="24"/>
  <c r="D92" i="24"/>
  <c r="E92" i="24" s="1"/>
  <c r="F92" i="24" s="1"/>
  <c r="B92" i="25"/>
  <c r="W118" i="24"/>
  <c r="D118" i="24"/>
  <c r="E118" i="24" s="1"/>
  <c r="F118" i="24" s="1"/>
  <c r="B118" i="25"/>
  <c r="G170" i="23"/>
  <c r="CD170" i="6" s="1"/>
  <c r="AA170" i="23"/>
  <c r="Z170" i="23" s="1"/>
  <c r="Y170" i="23" s="1"/>
  <c r="W230" i="24"/>
  <c r="D230" i="24"/>
  <c r="E230" i="24" s="1"/>
  <c r="F230" i="24" s="1"/>
  <c r="B230" i="25"/>
  <c r="G230" i="23"/>
  <c r="CD230" i="6" s="1"/>
  <c r="AA230" i="23"/>
  <c r="Z230" i="23" s="1"/>
  <c r="Y230" i="23" s="1"/>
  <c r="AA268" i="23"/>
  <c r="Z268" i="23" s="1"/>
  <c r="Y268" i="23" s="1"/>
  <c r="G268" i="23"/>
  <c r="CD268" i="6" s="1"/>
  <c r="W282" i="24"/>
  <c r="D282" i="24"/>
  <c r="E282" i="24" s="1"/>
  <c r="F282" i="24" s="1"/>
  <c r="B282" i="25"/>
  <c r="G328" i="23"/>
  <c r="CD328" i="6" s="1"/>
  <c r="AA328" i="23"/>
  <c r="Z328" i="23" s="1"/>
  <c r="Y328" i="23" s="1"/>
  <c r="W21" i="24"/>
  <c r="D21" i="24"/>
  <c r="E21" i="24" s="1"/>
  <c r="F21" i="24" s="1"/>
  <c r="B21" i="25"/>
  <c r="G45" i="23"/>
  <c r="CD45" i="6" s="1"/>
  <c r="AA45" i="23"/>
  <c r="Z45" i="23" s="1"/>
  <c r="Y45" i="23" s="1"/>
  <c r="W71" i="24"/>
  <c r="D71" i="24"/>
  <c r="E71" i="24" s="1"/>
  <c r="F71" i="24" s="1"/>
  <c r="B71" i="25"/>
  <c r="G291" i="24"/>
  <c r="CE291" i="6" s="1"/>
  <c r="AA291" i="24"/>
  <c r="Z291" i="24" s="1"/>
  <c r="Y291" i="24" s="1"/>
  <c r="G339" i="24"/>
  <c r="CE339" i="6" s="1"/>
  <c r="AA339" i="24"/>
  <c r="Z339" i="24" s="1"/>
  <c r="Y339" i="24" s="1"/>
  <c r="J80" i="20"/>
  <c r="I80" i="20"/>
  <c r="H80" i="22" s="1"/>
  <c r="G269" i="23"/>
  <c r="CD269" i="6" s="1"/>
  <c r="AA269" i="23"/>
  <c r="Z269" i="23" s="1"/>
  <c r="Y269" i="23" s="1"/>
  <c r="G359" i="23"/>
  <c r="CD359" i="6" s="1"/>
  <c r="AA359" i="23"/>
  <c r="Z359" i="23" s="1"/>
  <c r="Y359" i="23" s="1"/>
  <c r="J139" i="20"/>
  <c r="I139" i="20"/>
  <c r="H139" i="22" s="1"/>
  <c r="J143" i="20"/>
  <c r="I143" i="20"/>
  <c r="H143" i="22" s="1"/>
  <c r="W48" i="24"/>
  <c r="D48" i="24"/>
  <c r="E48" i="24" s="1"/>
  <c r="F48" i="24" s="1"/>
  <c r="B48" i="25"/>
  <c r="G160" i="23"/>
  <c r="CD160" i="6" s="1"/>
  <c r="AA160" i="23"/>
  <c r="Z160" i="23" s="1"/>
  <c r="Y160" i="23" s="1"/>
  <c r="W234" i="24"/>
  <c r="D234" i="24"/>
  <c r="E234" i="24" s="1"/>
  <c r="F234" i="24" s="1"/>
  <c r="B234" i="25"/>
  <c r="G266" i="23"/>
  <c r="CD266" i="6" s="1"/>
  <c r="AA266" i="23"/>
  <c r="Z266" i="23" s="1"/>
  <c r="Y266" i="23" s="1"/>
  <c r="W322" i="24"/>
  <c r="B322" i="25"/>
  <c r="D322" i="24"/>
  <c r="E322" i="24" s="1"/>
  <c r="F322" i="24" s="1"/>
  <c r="O4" i="6"/>
  <c r="D29" i="6"/>
  <c r="J19" i="20"/>
  <c r="I19" i="20"/>
  <c r="H19" i="22" s="1"/>
  <c r="I173" i="20"/>
  <c r="H173" i="22" s="1"/>
  <c r="J173" i="20"/>
  <c r="I339" i="20"/>
  <c r="H339" i="22" s="1"/>
  <c r="J339" i="20"/>
  <c r="I180" i="20"/>
  <c r="H180" i="22" s="1"/>
  <c r="J180" i="20"/>
  <c r="J249" i="20"/>
  <c r="I249" i="20"/>
  <c r="H249" i="22" s="1"/>
  <c r="I346" i="20"/>
  <c r="H346" i="22" s="1"/>
  <c r="J346" i="20"/>
  <c r="I74" i="20"/>
  <c r="H74" i="22" s="1"/>
  <c r="J74" i="20"/>
  <c r="I120" i="20"/>
  <c r="H120" i="22" s="1"/>
  <c r="J120" i="20"/>
  <c r="J223" i="20"/>
  <c r="I223" i="20"/>
  <c r="H223" i="22" s="1"/>
  <c r="I291" i="20"/>
  <c r="H291" i="22" s="1"/>
  <c r="J291" i="20"/>
  <c r="J272" i="20"/>
  <c r="I272" i="20"/>
  <c r="H272" i="22" s="1"/>
  <c r="I335" i="20"/>
  <c r="H335" i="22" s="1"/>
  <c r="J335" i="20"/>
  <c r="J167" i="20"/>
  <c r="I167" i="20"/>
  <c r="H167" i="22" s="1"/>
  <c r="J277" i="20"/>
  <c r="I277" i="20"/>
  <c r="H277" i="22" s="1"/>
  <c r="J323" i="20"/>
  <c r="I323" i="20"/>
  <c r="H323" i="22" s="1"/>
  <c r="I261" i="20"/>
  <c r="H261" i="22" s="1"/>
  <c r="J261" i="20"/>
  <c r="J88" i="20"/>
  <c r="I88" i="20"/>
  <c r="H88" i="22" s="1"/>
  <c r="I116" i="20"/>
  <c r="H116" i="22" s="1"/>
  <c r="J116" i="20"/>
  <c r="I94" i="20"/>
  <c r="H94" i="22" s="1"/>
  <c r="J94" i="20"/>
  <c r="J303" i="20"/>
  <c r="I303" i="20"/>
  <c r="H303" i="22" s="1"/>
  <c r="I97" i="20"/>
  <c r="H97" i="22" s="1"/>
  <c r="J97" i="20"/>
  <c r="J307" i="20"/>
  <c r="I307" i="20"/>
  <c r="H307" i="22" s="1"/>
  <c r="J61" i="20"/>
  <c r="I61" i="20"/>
  <c r="H61" i="22" s="1"/>
  <c r="I53" i="20"/>
  <c r="H53" i="22" s="1"/>
  <c r="J53" i="20"/>
  <c r="J203" i="20"/>
  <c r="I203" i="20"/>
  <c r="H203" i="22" s="1"/>
  <c r="I29" i="20"/>
  <c r="H29" i="22" s="1"/>
  <c r="J29" i="20"/>
  <c r="I300" i="20"/>
  <c r="H300" i="22" s="1"/>
  <c r="J300" i="20"/>
  <c r="AD4" i="6"/>
  <c r="AJ4" i="6"/>
  <c r="D323" i="6"/>
  <c r="R4" i="6"/>
  <c r="Q4" i="6"/>
  <c r="W105" i="25"/>
  <c r="D105" i="25"/>
  <c r="E105" i="25" s="1"/>
  <c r="F105" i="25" s="1"/>
  <c r="W35" i="25"/>
  <c r="D35" i="25"/>
  <c r="E35" i="25" s="1"/>
  <c r="F35" i="25" s="1"/>
  <c r="W354" i="25"/>
  <c r="D354" i="25"/>
  <c r="E354" i="25" s="1"/>
  <c r="F354" i="25" s="1"/>
  <c r="W43" i="25"/>
  <c r="D43" i="25"/>
  <c r="E43" i="25" s="1"/>
  <c r="F43" i="25" s="1"/>
  <c r="W66" i="25"/>
  <c r="D66" i="25"/>
  <c r="E66" i="25" s="1"/>
  <c r="F66" i="25" s="1"/>
  <c r="AA114" i="24"/>
  <c r="Z114" i="24" s="1"/>
  <c r="Y114" i="24" s="1"/>
  <c r="G114" i="24"/>
  <c r="CE114" i="6" s="1"/>
  <c r="G97" i="25"/>
  <c r="CF97" i="6" s="1"/>
  <c r="AA97" i="25"/>
  <c r="Z97" i="25" s="1"/>
  <c r="Y97" i="25" s="1"/>
  <c r="G273" i="25"/>
  <c r="CF273" i="6" s="1"/>
  <c r="AA273" i="25"/>
  <c r="Z273" i="25" s="1"/>
  <c r="Y273" i="25" s="1"/>
  <c r="W164" i="25"/>
  <c r="D164" i="25"/>
  <c r="E164" i="25" s="1"/>
  <c r="F164" i="25" s="1"/>
  <c r="G164" i="24"/>
  <c r="CE164" i="6" s="1"/>
  <c r="AA164" i="24"/>
  <c r="Z164" i="24" s="1"/>
  <c r="Y164" i="24" s="1"/>
  <c r="G363" i="24"/>
  <c r="CE363" i="6" s="1"/>
  <c r="AA363" i="24"/>
  <c r="Z363" i="24" s="1"/>
  <c r="Y363" i="24" s="1"/>
  <c r="G83" i="25"/>
  <c r="CF83" i="6" s="1"/>
  <c r="AA83" i="25"/>
  <c r="Z83" i="25" s="1"/>
  <c r="Y83" i="25" s="1"/>
  <c r="AA255" i="25"/>
  <c r="Z255" i="25" s="1"/>
  <c r="Y255" i="25" s="1"/>
  <c r="G255" i="25"/>
  <c r="CF255" i="6" s="1"/>
  <c r="AA146" i="24"/>
  <c r="Z146" i="24" s="1"/>
  <c r="Y146" i="24" s="1"/>
  <c r="G146" i="24"/>
  <c r="CE146" i="6" s="1"/>
  <c r="I119" i="20"/>
  <c r="H119" i="22" s="1"/>
  <c r="J119" i="20"/>
  <c r="J149" i="20"/>
  <c r="I149" i="20"/>
  <c r="H149" i="22" s="1"/>
  <c r="I105" i="20"/>
  <c r="H105" i="22" s="1"/>
  <c r="J105" i="20"/>
  <c r="J16" i="20"/>
  <c r="I16" i="20"/>
  <c r="H16" i="22" s="1"/>
  <c r="J208" i="20"/>
  <c r="I208" i="20"/>
  <c r="H208" i="22" s="1"/>
  <c r="J35" i="20"/>
  <c r="I35" i="20"/>
  <c r="H35" i="22" s="1"/>
  <c r="I216" i="20"/>
  <c r="H216" i="22" s="1"/>
  <c r="J216" i="20"/>
  <c r="I66" i="20"/>
  <c r="H66" i="22" s="1"/>
  <c r="J66" i="20"/>
  <c r="I114" i="20"/>
  <c r="H114" i="22" s="1"/>
  <c r="J114" i="20"/>
  <c r="J244" i="20"/>
  <c r="I244" i="20"/>
  <c r="H244" i="22" s="1"/>
  <c r="G56" i="24"/>
  <c r="CE56" i="6" s="1"/>
  <c r="AA56" i="24"/>
  <c r="Z56" i="24" s="1"/>
  <c r="Y56" i="24" s="1"/>
  <c r="G104" i="24"/>
  <c r="CE104" i="6" s="1"/>
  <c r="AA104" i="24"/>
  <c r="Z104" i="24" s="1"/>
  <c r="Y104" i="24" s="1"/>
  <c r="G128" i="24"/>
  <c r="CE128" i="6" s="1"/>
  <c r="AA128" i="24"/>
  <c r="Z128" i="24" s="1"/>
  <c r="Y128" i="24" s="1"/>
  <c r="G176" i="24"/>
  <c r="CE176" i="6" s="1"/>
  <c r="AA176" i="24"/>
  <c r="Z176" i="24" s="1"/>
  <c r="Y176" i="24" s="1"/>
  <c r="G246" i="24"/>
  <c r="CE246" i="6" s="1"/>
  <c r="AA246" i="24"/>
  <c r="Z246" i="24" s="1"/>
  <c r="Y246" i="24" s="1"/>
  <c r="I246" i="20"/>
  <c r="H246" i="22" s="1"/>
  <c r="J246" i="20"/>
  <c r="AA270" i="24"/>
  <c r="Z270" i="24" s="1"/>
  <c r="Y270" i="24" s="1"/>
  <c r="G270" i="24"/>
  <c r="CE270" i="6" s="1"/>
  <c r="G308" i="24"/>
  <c r="CE308" i="6" s="1"/>
  <c r="AA308" i="24"/>
  <c r="Z308" i="24" s="1"/>
  <c r="Y308" i="24" s="1"/>
  <c r="G336" i="24"/>
  <c r="CE336" i="6" s="1"/>
  <c r="AA336" i="24"/>
  <c r="Z336" i="24" s="1"/>
  <c r="Y336" i="24" s="1"/>
  <c r="I258" i="22"/>
  <c r="H258" i="23" s="1"/>
  <c r="W47" i="25"/>
  <c r="D47" i="25"/>
  <c r="E47" i="25" s="1"/>
  <c r="F47" i="25" s="1"/>
  <c r="W79" i="25"/>
  <c r="D79" i="25"/>
  <c r="E79" i="25" s="1"/>
  <c r="F79" i="25" s="1"/>
  <c r="G147" i="24"/>
  <c r="CE147" i="6" s="1"/>
  <c r="AA147" i="24"/>
  <c r="Z147" i="24" s="1"/>
  <c r="Y147" i="24" s="1"/>
  <c r="G209" i="24"/>
  <c r="CE209" i="6" s="1"/>
  <c r="AA209" i="24"/>
  <c r="Z209" i="24" s="1"/>
  <c r="Y209" i="24" s="1"/>
  <c r="G259" i="23"/>
  <c r="CD259" i="6" s="1"/>
  <c r="AA259" i="23"/>
  <c r="Z259" i="23" s="1"/>
  <c r="Y259" i="23" s="1"/>
  <c r="W293" i="24"/>
  <c r="D293" i="24"/>
  <c r="E293" i="24" s="1"/>
  <c r="F293" i="24" s="1"/>
  <c r="B293" i="25"/>
  <c r="G341" i="23"/>
  <c r="CD341" i="6" s="1"/>
  <c r="AA341" i="23"/>
  <c r="Z341" i="23" s="1"/>
  <c r="Y341" i="23" s="1"/>
  <c r="W86" i="24"/>
  <c r="D86" i="24"/>
  <c r="E86" i="24" s="1"/>
  <c r="F86" i="24" s="1"/>
  <c r="B86" i="25"/>
  <c r="J188" i="20"/>
  <c r="I188" i="20"/>
  <c r="H188" i="22" s="1"/>
  <c r="AA223" i="24"/>
  <c r="Z223" i="24" s="1"/>
  <c r="Y223" i="24" s="1"/>
  <c r="G223" i="24"/>
  <c r="CE223" i="6" s="1"/>
  <c r="AA214" i="24"/>
  <c r="Z214" i="24" s="1"/>
  <c r="Y214" i="24" s="1"/>
  <c r="G214" i="24"/>
  <c r="CE214" i="6" s="1"/>
  <c r="W240" i="25"/>
  <c r="D240" i="25"/>
  <c r="E240" i="25" s="1"/>
  <c r="F240" i="25" s="1"/>
  <c r="AA264" i="24"/>
  <c r="Z264" i="24" s="1"/>
  <c r="Y264" i="24" s="1"/>
  <c r="G264" i="24"/>
  <c r="CE264" i="6" s="1"/>
  <c r="W340" i="25"/>
  <c r="D340" i="25"/>
  <c r="E340" i="25" s="1"/>
  <c r="F340" i="25" s="1"/>
  <c r="G137" i="24"/>
  <c r="CE137" i="6" s="1"/>
  <c r="AA137" i="24"/>
  <c r="Z137" i="24" s="1"/>
  <c r="Y137" i="24" s="1"/>
  <c r="W78" i="25"/>
  <c r="D78" i="25"/>
  <c r="E78" i="25" s="1"/>
  <c r="F78" i="25" s="1"/>
  <c r="W182" i="25"/>
  <c r="D182" i="25"/>
  <c r="E182" i="25" s="1"/>
  <c r="F182" i="25" s="1"/>
  <c r="I310" i="20"/>
  <c r="H310" i="22" s="1"/>
  <c r="J310" i="20"/>
  <c r="D236" i="25"/>
  <c r="E236" i="25" s="1"/>
  <c r="F236" i="25" s="1"/>
  <c r="W236" i="25"/>
  <c r="G374" i="24"/>
  <c r="CE374" i="6" s="1"/>
  <c r="AA374" i="24"/>
  <c r="Z374" i="24" s="1"/>
  <c r="Y374" i="24" s="1"/>
  <c r="D163" i="25"/>
  <c r="E163" i="25" s="1"/>
  <c r="F163" i="25" s="1"/>
  <c r="W163" i="25"/>
  <c r="AA157" i="24"/>
  <c r="Z157" i="24" s="1"/>
  <c r="Y157" i="24" s="1"/>
  <c r="G157" i="24"/>
  <c r="CE157" i="6" s="1"/>
  <c r="W332" i="25"/>
  <c r="D332" i="25"/>
  <c r="E332" i="25" s="1"/>
  <c r="F332" i="25" s="1"/>
  <c r="AA295" i="24"/>
  <c r="Z295" i="24" s="1"/>
  <c r="Y295" i="24" s="1"/>
  <c r="G295" i="24"/>
  <c r="CE295" i="6" s="1"/>
  <c r="W76" i="25"/>
  <c r="D76" i="25"/>
  <c r="E76" i="25" s="1"/>
  <c r="F76" i="25" s="1"/>
  <c r="G232" i="24"/>
  <c r="CE232" i="6" s="1"/>
  <c r="AA232" i="24"/>
  <c r="Z232" i="24" s="1"/>
  <c r="Y232" i="24" s="1"/>
  <c r="AA187" i="25"/>
  <c r="Z187" i="25" s="1"/>
  <c r="Y187" i="25" s="1"/>
  <c r="G187" i="25"/>
  <c r="CF187" i="6" s="1"/>
  <c r="G17" i="24"/>
  <c r="CE17" i="6" s="1"/>
  <c r="AA17" i="24"/>
  <c r="Z17" i="24" s="1"/>
  <c r="Y17" i="24" s="1"/>
  <c r="G278" i="24"/>
  <c r="CE278" i="6" s="1"/>
  <c r="AA278" i="24"/>
  <c r="Z278" i="24" s="1"/>
  <c r="Y278" i="24" s="1"/>
  <c r="G241" i="25"/>
  <c r="CF241" i="6" s="1"/>
  <c r="AA241" i="25"/>
  <c r="Z241" i="25" s="1"/>
  <c r="Y241" i="25" s="1"/>
  <c r="F15" i="23"/>
  <c r="J77" i="20"/>
  <c r="I77" i="20"/>
  <c r="H77" i="22" s="1"/>
  <c r="W87" i="24"/>
  <c r="D87" i="24"/>
  <c r="E87" i="24" s="1"/>
  <c r="F87" i="24" s="1"/>
  <c r="B87" i="25"/>
  <c r="G145" i="23"/>
  <c r="CD145" i="6" s="1"/>
  <c r="AA145" i="23"/>
  <c r="Z145" i="23" s="1"/>
  <c r="Y145" i="23" s="1"/>
  <c r="W201" i="24"/>
  <c r="D201" i="24"/>
  <c r="E201" i="24" s="1"/>
  <c r="F201" i="24" s="1"/>
  <c r="B201" i="25"/>
  <c r="G233" i="23"/>
  <c r="CD233" i="6" s="1"/>
  <c r="AA233" i="23"/>
  <c r="Z233" i="23" s="1"/>
  <c r="Y233" i="23" s="1"/>
  <c r="W80" i="25"/>
  <c r="D80" i="25"/>
  <c r="E80" i="25" s="1"/>
  <c r="F80" i="25" s="1"/>
  <c r="W112" i="24"/>
  <c r="D112" i="24"/>
  <c r="E112" i="24" s="1"/>
  <c r="F112" i="24" s="1"/>
  <c r="B112" i="25"/>
  <c r="W218" i="24"/>
  <c r="D218" i="24"/>
  <c r="E218" i="24" s="1"/>
  <c r="F218" i="24" s="1"/>
  <c r="B218" i="25"/>
  <c r="I296" i="22"/>
  <c r="H296" i="23" s="1"/>
  <c r="D348" i="24"/>
  <c r="E348" i="24" s="1"/>
  <c r="F348" i="24" s="1"/>
  <c r="W348" i="24"/>
  <c r="B348" i="25"/>
  <c r="B107" i="25"/>
  <c r="W107" i="24"/>
  <c r="D107" i="24"/>
  <c r="E107" i="24" s="1"/>
  <c r="F107" i="24" s="1"/>
  <c r="G193" i="23"/>
  <c r="CD193" i="6" s="1"/>
  <c r="AA193" i="23"/>
  <c r="Z193" i="23" s="1"/>
  <c r="Y193" i="23" s="1"/>
  <c r="I231" i="20"/>
  <c r="H231" i="22" s="1"/>
  <c r="J231" i="20"/>
  <c r="I313" i="20"/>
  <c r="H313" i="22" s="1"/>
  <c r="J313" i="20"/>
  <c r="U4" i="6"/>
  <c r="G27" i="23"/>
  <c r="CD27" i="6" s="1"/>
  <c r="AA27" i="23"/>
  <c r="Z27" i="23" s="1"/>
  <c r="Y27" i="23" s="1"/>
  <c r="J27" i="20"/>
  <c r="I27" i="20"/>
  <c r="H27" i="22" s="1"/>
  <c r="I266" i="20"/>
  <c r="H266" i="22" s="1"/>
  <c r="J266" i="20"/>
  <c r="I292" i="22"/>
  <c r="H292" i="23" s="1"/>
  <c r="J292" i="22"/>
  <c r="I91" i="22"/>
  <c r="H91" i="23" s="1"/>
  <c r="I279" i="22"/>
  <c r="H279" i="23" s="1"/>
  <c r="D134" i="24"/>
  <c r="E134" i="24" s="1"/>
  <c r="F134" i="24" s="1"/>
  <c r="B134" i="25"/>
  <c r="W134" i="24"/>
  <c r="G168" i="23"/>
  <c r="CD168" i="6" s="1"/>
  <c r="AA168" i="23"/>
  <c r="Z168" i="23" s="1"/>
  <c r="Y168" i="23" s="1"/>
  <c r="I190" i="20"/>
  <c r="H190" i="22" s="1"/>
  <c r="J190" i="20"/>
  <c r="B212" i="25"/>
  <c r="W212" i="24"/>
  <c r="D212" i="24"/>
  <c r="E212" i="24" s="1"/>
  <c r="F212" i="24" s="1"/>
  <c r="G242" i="23"/>
  <c r="CD242" i="6" s="1"/>
  <c r="AA242" i="23"/>
  <c r="Z242" i="23" s="1"/>
  <c r="Y242" i="23" s="1"/>
  <c r="W312" i="24"/>
  <c r="D312" i="24"/>
  <c r="E312" i="24" s="1"/>
  <c r="F312" i="24" s="1"/>
  <c r="B312" i="25"/>
  <c r="G342" i="23"/>
  <c r="CD342" i="6" s="1"/>
  <c r="AA342" i="23"/>
  <c r="Z342" i="23" s="1"/>
  <c r="Y342" i="23" s="1"/>
  <c r="G380" i="22"/>
  <c r="CC380" i="6" s="1"/>
  <c r="AA380" i="22"/>
  <c r="Z380" i="22" s="1"/>
  <c r="Y380" i="22" s="1"/>
  <c r="H380" i="22"/>
  <c r="I103" i="22"/>
  <c r="H103" i="23" s="1"/>
  <c r="I132" i="22"/>
  <c r="H132" i="23" s="1"/>
  <c r="W149" i="25"/>
  <c r="D149" i="25"/>
  <c r="E149" i="25" s="1"/>
  <c r="F149" i="25" s="1"/>
  <c r="W298" i="25"/>
  <c r="D298" i="25"/>
  <c r="E298" i="25" s="1"/>
  <c r="F298" i="25" s="1"/>
  <c r="G22" i="25"/>
  <c r="CF22" i="6" s="1"/>
  <c r="AA22" i="25"/>
  <c r="Z22" i="25" s="1"/>
  <c r="Y22" i="25" s="1"/>
  <c r="W376" i="25"/>
  <c r="D376" i="25"/>
  <c r="E376" i="25" s="1"/>
  <c r="F376" i="25" s="1"/>
  <c r="W369" i="25"/>
  <c r="D369" i="25"/>
  <c r="E369" i="25" s="1"/>
  <c r="F369" i="25" s="1"/>
  <c r="G53" i="24"/>
  <c r="CE53" i="6" s="1"/>
  <c r="AA53" i="24"/>
  <c r="Z53" i="24" s="1"/>
  <c r="Y53" i="24" s="1"/>
  <c r="W277" i="25"/>
  <c r="D277" i="25"/>
  <c r="E277" i="25" s="1"/>
  <c r="F277" i="25" s="1"/>
  <c r="W373" i="25"/>
  <c r="D373" i="25"/>
  <c r="E373" i="25" s="1"/>
  <c r="F373" i="25" s="1"/>
  <c r="I319" i="20"/>
  <c r="H319" i="22" s="1"/>
  <c r="J319" i="20"/>
  <c r="J43" i="20"/>
  <c r="I43" i="20"/>
  <c r="H43" i="22" s="1"/>
  <c r="I210" i="20"/>
  <c r="H210" i="22" s="1"/>
  <c r="J210" i="20"/>
  <c r="I42" i="20"/>
  <c r="H42" i="22" s="1"/>
  <c r="J42" i="20"/>
  <c r="I84" i="20"/>
  <c r="H84" i="22" s="1"/>
  <c r="J84" i="20"/>
  <c r="I104" i="20"/>
  <c r="H104" i="22" s="1"/>
  <c r="J104" i="20"/>
  <c r="J110" i="20"/>
  <c r="I110" i="20"/>
  <c r="H110" i="22" s="1"/>
  <c r="J140" i="20"/>
  <c r="I140" i="20"/>
  <c r="H140" i="22" s="1"/>
  <c r="I220" i="20"/>
  <c r="H220" i="22" s="1"/>
  <c r="J220" i="20"/>
  <c r="I260" i="20"/>
  <c r="H260" i="22" s="1"/>
  <c r="J260" i="20"/>
  <c r="J270" i="20"/>
  <c r="I270" i="20"/>
  <c r="H270" i="22" s="1"/>
  <c r="J276" i="20"/>
  <c r="I276" i="20"/>
  <c r="H276" i="22" s="1"/>
  <c r="I320" i="20"/>
  <c r="H320" i="22" s="1"/>
  <c r="J320" i="20"/>
  <c r="I23" i="22"/>
  <c r="H23" i="23" s="1"/>
  <c r="J23" i="22"/>
  <c r="W285" i="24"/>
  <c r="D285" i="24"/>
  <c r="E285" i="24" s="1"/>
  <c r="F285" i="24" s="1"/>
  <c r="B285" i="25"/>
  <c r="W327" i="24"/>
  <c r="D327" i="24"/>
  <c r="E327" i="24" s="1"/>
  <c r="F327" i="24" s="1"/>
  <c r="B327" i="25"/>
  <c r="D34" i="24"/>
  <c r="E34" i="24" s="1"/>
  <c r="F34" i="24" s="1"/>
  <c r="W34" i="24"/>
  <c r="B34" i="25"/>
  <c r="G96" i="23"/>
  <c r="CD96" i="6" s="1"/>
  <c r="AA96" i="23"/>
  <c r="Z96" i="23" s="1"/>
  <c r="Y96" i="23" s="1"/>
  <c r="G188" i="23"/>
  <c r="CD188" i="6" s="1"/>
  <c r="AA188" i="23"/>
  <c r="Z188" i="23" s="1"/>
  <c r="Y188" i="23" s="1"/>
  <c r="G326" i="23"/>
  <c r="CD326" i="6" s="1"/>
  <c r="AA326" i="23"/>
  <c r="Z326" i="23" s="1"/>
  <c r="Y326" i="23" s="1"/>
  <c r="W372" i="25"/>
  <c r="D372" i="25"/>
  <c r="E372" i="25" s="1"/>
  <c r="F372" i="25" s="1"/>
  <c r="G191" i="24"/>
  <c r="CE191" i="6" s="1"/>
  <c r="AA191" i="24"/>
  <c r="Z191" i="24" s="1"/>
  <c r="Y191" i="24" s="1"/>
  <c r="G18" i="24"/>
  <c r="CE18" i="6" s="1"/>
  <c r="AA18" i="24"/>
  <c r="Z18" i="24" s="1"/>
  <c r="Y18" i="24" s="1"/>
  <c r="G122" i="24"/>
  <c r="CE122" i="6" s="1"/>
  <c r="AA122" i="24"/>
  <c r="Z122" i="24" s="1"/>
  <c r="Y122" i="24" s="1"/>
  <c r="D138" i="25"/>
  <c r="E138" i="25" s="1"/>
  <c r="F138" i="25" s="1"/>
  <c r="W138" i="25"/>
  <c r="W202" i="25"/>
  <c r="D202" i="25"/>
  <c r="E202" i="25" s="1"/>
  <c r="F202" i="25" s="1"/>
  <c r="W262" i="25"/>
  <c r="D262" i="25"/>
  <c r="E262" i="25" s="1"/>
  <c r="F262" i="25" s="1"/>
  <c r="G324" i="24"/>
  <c r="CE324" i="6" s="1"/>
  <c r="AA324" i="24"/>
  <c r="Z324" i="24" s="1"/>
  <c r="Y324" i="24" s="1"/>
  <c r="G25" i="24"/>
  <c r="CE25" i="6" s="1"/>
  <c r="AA25" i="24"/>
  <c r="Z25" i="24" s="1"/>
  <c r="Y25" i="24" s="1"/>
  <c r="D51" i="25"/>
  <c r="E51" i="25" s="1"/>
  <c r="F51" i="25" s="1"/>
  <c r="W51" i="25"/>
  <c r="G85" i="24"/>
  <c r="CE85" i="6" s="1"/>
  <c r="AA85" i="24"/>
  <c r="Z85" i="24" s="1"/>
  <c r="Y85" i="24" s="1"/>
  <c r="W109" i="25"/>
  <c r="D109" i="25"/>
  <c r="E109" i="25" s="1"/>
  <c r="F109" i="25" s="1"/>
  <c r="W121" i="25"/>
  <c r="D121" i="25"/>
  <c r="E121" i="25" s="1"/>
  <c r="F121" i="25" s="1"/>
  <c r="G121" i="24"/>
  <c r="CE121" i="6" s="1"/>
  <c r="AA121" i="24"/>
  <c r="Z121" i="24" s="1"/>
  <c r="Y121" i="24" s="1"/>
  <c r="D199" i="25"/>
  <c r="E199" i="25" s="1"/>
  <c r="F199" i="25" s="1"/>
  <c r="W199" i="25"/>
  <c r="I217" i="20"/>
  <c r="H217" i="22" s="1"/>
  <c r="J217" i="20"/>
  <c r="I329" i="20"/>
  <c r="H329" i="22" s="1"/>
  <c r="J329" i="20"/>
  <c r="W345" i="25"/>
  <c r="D345" i="25"/>
  <c r="E345" i="25" s="1"/>
  <c r="F345" i="25" s="1"/>
  <c r="G355" i="24"/>
  <c r="CE355" i="6" s="1"/>
  <c r="AA355" i="24"/>
  <c r="Z355" i="24" s="1"/>
  <c r="Y355" i="24" s="1"/>
  <c r="D24" i="25"/>
  <c r="E24" i="25" s="1"/>
  <c r="F24" i="25" s="1"/>
  <c r="W24" i="25"/>
  <c r="G36" i="24"/>
  <c r="CE36" i="6" s="1"/>
  <c r="AA36" i="24"/>
  <c r="Z36" i="24" s="1"/>
  <c r="Y36" i="24" s="1"/>
  <c r="D72" i="25"/>
  <c r="E72" i="25" s="1"/>
  <c r="F72" i="25" s="1"/>
  <c r="W72" i="25"/>
  <c r="D295" i="6"/>
  <c r="AH4" i="6"/>
  <c r="G29" i="25"/>
  <c r="CF29" i="6" s="1"/>
  <c r="AA29" i="25"/>
  <c r="Z29" i="25" s="1"/>
  <c r="Y29" i="25" s="1"/>
  <c r="G261" i="25"/>
  <c r="CF261" i="6" s="1"/>
  <c r="AA261" i="25"/>
  <c r="Z261" i="25" s="1"/>
  <c r="Y261" i="25" s="1"/>
  <c r="W210" i="25"/>
  <c r="D210" i="25"/>
  <c r="E210" i="25" s="1"/>
  <c r="F210" i="25" s="1"/>
  <c r="W130" i="25"/>
  <c r="D130" i="25"/>
  <c r="E130" i="25" s="1"/>
  <c r="F130" i="25" s="1"/>
  <c r="W77" i="25"/>
  <c r="D77" i="25"/>
  <c r="E77" i="25" s="1"/>
  <c r="F77" i="25" s="1"/>
  <c r="W159" i="25"/>
  <c r="D159" i="25"/>
  <c r="E159" i="25" s="1"/>
  <c r="F159" i="25" s="1"/>
  <c r="W249" i="25"/>
  <c r="D249" i="25"/>
  <c r="E249" i="25" s="1"/>
  <c r="F249" i="25" s="1"/>
  <c r="G148" i="25"/>
  <c r="CF148" i="6" s="1"/>
  <c r="AA148" i="25"/>
  <c r="Z148" i="25" s="1"/>
  <c r="Y148" i="25" s="1"/>
  <c r="G294" i="24"/>
  <c r="CE294" i="6" s="1"/>
  <c r="AA294" i="24"/>
  <c r="Z294" i="24" s="1"/>
  <c r="Y294" i="24" s="1"/>
  <c r="W265" i="25"/>
  <c r="D265" i="25"/>
  <c r="E265" i="25" s="1"/>
  <c r="F265" i="25" s="1"/>
  <c r="W89" i="25"/>
  <c r="D89" i="25"/>
  <c r="E89" i="25" s="1"/>
  <c r="F89" i="25" s="1"/>
  <c r="W173" i="25"/>
  <c r="D173" i="25"/>
  <c r="E173" i="25" s="1"/>
  <c r="F173" i="25" s="1"/>
  <c r="W108" i="25"/>
  <c r="D108" i="25"/>
  <c r="E108" i="25" s="1"/>
  <c r="F108" i="25" s="1"/>
  <c r="I150" i="20"/>
  <c r="H150" i="22" s="1"/>
  <c r="J150" i="20"/>
  <c r="J226" i="20"/>
  <c r="I226" i="20"/>
  <c r="H226" i="22" s="1"/>
  <c r="J22" i="20"/>
  <c r="I22" i="20"/>
  <c r="H22" i="22" s="1"/>
  <c r="J155" i="20"/>
  <c r="I155" i="20"/>
  <c r="H155" i="22" s="1"/>
  <c r="I247" i="20"/>
  <c r="H247" i="22" s="1"/>
  <c r="J247" i="20"/>
  <c r="J148" i="20"/>
  <c r="I148" i="20"/>
  <c r="H148" i="22" s="1"/>
  <c r="I59" i="22"/>
  <c r="H59" i="23" s="1"/>
  <c r="G141" i="23"/>
  <c r="CD141" i="6" s="1"/>
  <c r="AA141" i="23"/>
  <c r="Z141" i="23" s="1"/>
  <c r="Y141" i="23" s="1"/>
  <c r="G211" i="23"/>
  <c r="CD211" i="6" s="1"/>
  <c r="AA211" i="23"/>
  <c r="Z211" i="23" s="1"/>
  <c r="Y211" i="23" s="1"/>
  <c r="G301" i="23"/>
  <c r="CD301" i="6" s="1"/>
  <c r="AA301" i="23"/>
  <c r="Z301" i="23" s="1"/>
  <c r="Y301" i="23" s="1"/>
  <c r="G375" i="23"/>
  <c r="CD375" i="6" s="1"/>
  <c r="AA375" i="23"/>
  <c r="Z375" i="23" s="1"/>
  <c r="Y375" i="23" s="1"/>
  <c r="AA15" i="22"/>
  <c r="AL9" i="22" s="1"/>
  <c r="G15" i="22"/>
  <c r="CC15" i="6" s="1"/>
  <c r="W175" i="24"/>
  <c r="D175" i="24"/>
  <c r="E175" i="24" s="1"/>
  <c r="F175" i="24" s="1"/>
  <c r="B175" i="25"/>
  <c r="AG4" i="6"/>
  <c r="D281" i="6"/>
  <c r="I268" i="22"/>
  <c r="H268" i="23" s="1"/>
  <c r="I21" i="22"/>
  <c r="H21" i="23" s="1"/>
  <c r="G123" i="23"/>
  <c r="CD123" i="6" s="1"/>
  <c r="AA123" i="23"/>
  <c r="Z123" i="23" s="1"/>
  <c r="Y123" i="23" s="1"/>
  <c r="W181" i="24"/>
  <c r="D181" i="24"/>
  <c r="E181" i="24" s="1"/>
  <c r="F181" i="24" s="1"/>
  <c r="B181" i="25"/>
  <c r="G215" i="23"/>
  <c r="CD215" i="6" s="1"/>
  <c r="AA215" i="23"/>
  <c r="Z215" i="23" s="1"/>
  <c r="Y215" i="23" s="1"/>
  <c r="W275" i="25"/>
  <c r="D275" i="25"/>
  <c r="E275" i="25" s="1"/>
  <c r="F275" i="25" s="1"/>
  <c r="W303" i="25"/>
  <c r="D303" i="25"/>
  <c r="E303" i="25" s="1"/>
  <c r="F303" i="25" s="1"/>
  <c r="G371" i="23"/>
  <c r="CD371" i="6" s="1"/>
  <c r="AA371" i="23"/>
  <c r="Z371" i="23" s="1"/>
  <c r="Y371" i="23" s="1"/>
  <c r="I164" i="20"/>
  <c r="H164" i="22" s="1"/>
  <c r="J164" i="20"/>
  <c r="W231" i="24"/>
  <c r="B231" i="25"/>
  <c r="D231" i="24"/>
  <c r="E231" i="24" s="1"/>
  <c r="F231" i="24" s="1"/>
  <c r="W313" i="24"/>
  <c r="B313" i="25"/>
  <c r="D313" i="24"/>
  <c r="E313" i="24" s="1"/>
  <c r="F313" i="24" s="1"/>
  <c r="G20" i="23"/>
  <c r="CD20" i="6" s="1"/>
  <c r="AA20" i="23"/>
  <c r="Z20" i="23" s="1"/>
  <c r="Y20" i="23" s="1"/>
  <c r="I350" i="22"/>
  <c r="H350" i="23" s="1"/>
  <c r="J350" i="22"/>
  <c r="G158" i="23"/>
  <c r="CD158" i="6" s="1"/>
  <c r="AA158" i="23"/>
  <c r="Z158" i="23" s="1"/>
  <c r="Y158" i="23" s="1"/>
  <c r="W190" i="25"/>
  <c r="D190" i="25"/>
  <c r="E190" i="25" s="1"/>
  <c r="F190" i="25" s="1"/>
  <c r="G200" i="23"/>
  <c r="CD200" i="6" s="1"/>
  <c r="AA200" i="23"/>
  <c r="Z200" i="23" s="1"/>
  <c r="Y200" i="23" s="1"/>
  <c r="W224" i="24"/>
  <c r="B224" i="25"/>
  <c r="D224" i="24"/>
  <c r="E224" i="24" s="1"/>
  <c r="F224" i="24" s="1"/>
  <c r="D338" i="24"/>
  <c r="E338" i="24" s="1"/>
  <c r="F338" i="24" s="1"/>
  <c r="B338" i="25"/>
  <c r="W338" i="24"/>
  <c r="G358" i="23"/>
  <c r="CD358" i="6" s="1"/>
  <c r="AA358" i="23"/>
  <c r="Z358" i="23" s="1"/>
  <c r="Y358" i="23" s="1"/>
  <c r="W64" i="24"/>
  <c r="B64" i="25"/>
  <c r="D64" i="24"/>
  <c r="E64" i="24" s="1"/>
  <c r="F64" i="24" s="1"/>
  <c r="G205" i="23"/>
  <c r="CD205" i="6" s="1"/>
  <c r="AA205" i="23"/>
  <c r="Z205" i="23" s="1"/>
  <c r="Y205" i="23" s="1"/>
  <c r="W207" i="24"/>
  <c r="D207" i="24"/>
  <c r="E207" i="24" s="1"/>
  <c r="F207" i="24" s="1"/>
  <c r="B207" i="25"/>
  <c r="G299" i="23"/>
  <c r="CD299" i="6" s="1"/>
  <c r="AA299" i="23"/>
  <c r="Z299" i="23" s="1"/>
  <c r="Y299" i="23" s="1"/>
  <c r="W306" i="24"/>
  <c r="B306" i="25"/>
  <c r="D306" i="24"/>
  <c r="E306" i="24" s="1"/>
  <c r="F306" i="24" s="1"/>
  <c r="G353" i="23"/>
  <c r="CD353" i="6" s="1"/>
  <c r="AA353" i="23"/>
  <c r="Z353" i="23" s="1"/>
  <c r="Y353" i="23" s="1"/>
  <c r="D229" i="24"/>
  <c r="E229" i="24" s="1"/>
  <c r="F229" i="24" s="1"/>
  <c r="B229" i="25"/>
  <c r="W229" i="24"/>
  <c r="G32" i="23"/>
  <c r="CD32" i="6" s="1"/>
  <c r="AA32" i="23"/>
  <c r="Z32" i="23" s="1"/>
  <c r="Y32" i="23" s="1"/>
  <c r="G331" i="23"/>
  <c r="CD331" i="6" s="1"/>
  <c r="AA331" i="23"/>
  <c r="Z331" i="23" s="1"/>
  <c r="Y331" i="23" s="1"/>
  <c r="W100" i="24"/>
  <c r="B100" i="25"/>
  <c r="D100" i="24"/>
  <c r="E100" i="24" s="1"/>
  <c r="F100" i="24" s="1"/>
  <c r="G38" i="23"/>
  <c r="CD38" i="6" s="1"/>
  <c r="AA38" i="23"/>
  <c r="Z38" i="23" s="1"/>
  <c r="Y38" i="23" s="1"/>
  <c r="W174" i="24"/>
  <c r="D174" i="24"/>
  <c r="E174" i="24" s="1"/>
  <c r="F174" i="24" s="1"/>
  <c r="B174" i="25"/>
  <c r="G350" i="23"/>
  <c r="CD350" i="6" s="1"/>
  <c r="AA350" i="23"/>
  <c r="Z350" i="23" s="1"/>
  <c r="Y350" i="23" s="1"/>
  <c r="W26" i="24"/>
  <c r="D26" i="24"/>
  <c r="E26" i="24" s="1"/>
  <c r="F26" i="24" s="1"/>
  <c r="B26" i="25"/>
  <c r="G57" i="23"/>
  <c r="CD57" i="6" s="1"/>
  <c r="AA57" i="23"/>
  <c r="Z57" i="23" s="1"/>
  <c r="Y57" i="23" s="1"/>
  <c r="D113" i="24"/>
  <c r="E113" i="24" s="1"/>
  <c r="F113" i="24" s="1"/>
  <c r="B113" i="25"/>
  <c r="W113" i="24"/>
  <c r="G129" i="23"/>
  <c r="CD129" i="6" s="1"/>
  <c r="AA129" i="23"/>
  <c r="Z129" i="23" s="1"/>
  <c r="Y129" i="23" s="1"/>
  <c r="D213" i="24"/>
  <c r="E213" i="24" s="1"/>
  <c r="F213" i="24" s="1"/>
  <c r="B213" i="25"/>
  <c r="W213" i="24"/>
  <c r="AA239" i="23"/>
  <c r="Z239" i="23" s="1"/>
  <c r="Y239" i="23" s="1"/>
  <c r="G239" i="23"/>
  <c r="CD239" i="6" s="1"/>
  <c r="G315" i="23"/>
  <c r="CD315" i="6" s="1"/>
  <c r="AA315" i="23"/>
  <c r="Z315" i="23" s="1"/>
  <c r="Y315" i="23" s="1"/>
  <c r="B351" i="25"/>
  <c r="W351" i="24"/>
  <c r="D351" i="24"/>
  <c r="E351" i="24" s="1"/>
  <c r="F351" i="24" s="1"/>
  <c r="G30" i="23"/>
  <c r="CD30" i="6" s="1"/>
  <c r="AA30" i="23"/>
  <c r="Z30" i="23" s="1"/>
  <c r="Y30" i="23" s="1"/>
  <c r="W54" i="24"/>
  <c r="B54" i="25"/>
  <c r="D54" i="24"/>
  <c r="E54" i="24" s="1"/>
  <c r="F54" i="24" s="1"/>
  <c r="G82" i="23"/>
  <c r="CD82" i="6" s="1"/>
  <c r="AA82" i="23"/>
  <c r="Z82" i="23" s="1"/>
  <c r="Y82" i="23" s="1"/>
  <c r="I306" i="22"/>
  <c r="H306" i="23" s="1"/>
  <c r="J353" i="22"/>
  <c r="I353" i="22"/>
  <c r="H353" i="23" s="1"/>
  <c r="I32" i="22"/>
  <c r="H32" i="23" s="1"/>
  <c r="AA4" i="6"/>
  <c r="D197" i="6"/>
  <c r="D99" i="6"/>
  <c r="T4" i="6"/>
  <c r="D127" i="6"/>
  <c r="V4" i="6"/>
  <c r="AF4" i="6"/>
  <c r="D267" i="6"/>
  <c r="Z4" i="6"/>
  <c r="D183" i="6"/>
  <c r="D169" i="6"/>
  <c r="Y4" i="6"/>
  <c r="G119" i="24"/>
  <c r="CE119" i="6" s="1"/>
  <c r="AA119" i="24"/>
  <c r="Z119" i="24" s="1"/>
  <c r="Y119" i="24" s="1"/>
  <c r="G16" i="24"/>
  <c r="CE16" i="6" s="1"/>
  <c r="AA16" i="24"/>
  <c r="Z16" i="24" s="1"/>
  <c r="Y16" i="24" s="1"/>
  <c r="AA208" i="24"/>
  <c r="Z208" i="24" s="1"/>
  <c r="Y208" i="24" s="1"/>
  <c r="G208" i="24"/>
  <c r="CE208" i="6" s="1"/>
  <c r="G227" i="24"/>
  <c r="CE227" i="6" s="1"/>
  <c r="AA227" i="24"/>
  <c r="Z227" i="24" s="1"/>
  <c r="Y227" i="24" s="1"/>
  <c r="G216" i="24"/>
  <c r="CE216" i="6" s="1"/>
  <c r="AA216" i="24"/>
  <c r="Z216" i="24" s="1"/>
  <c r="Y216" i="24" s="1"/>
  <c r="G302" i="25"/>
  <c r="CF302" i="6" s="1"/>
  <c r="AA302" i="25"/>
  <c r="Z302" i="25" s="1"/>
  <c r="Y302" i="25" s="1"/>
  <c r="G19" i="25"/>
  <c r="CF19" i="6" s="1"/>
  <c r="AA19" i="25"/>
  <c r="Z19" i="25" s="1"/>
  <c r="Y19" i="25" s="1"/>
  <c r="AA155" i="25"/>
  <c r="Z155" i="25" s="1"/>
  <c r="Y155" i="25" s="1"/>
  <c r="G155" i="25"/>
  <c r="CF155" i="6" s="1"/>
  <c r="W228" i="25"/>
  <c r="D228" i="25"/>
  <c r="E228" i="25" s="1"/>
  <c r="F228" i="25" s="1"/>
  <c r="G253" i="24"/>
  <c r="CE253" i="6" s="1"/>
  <c r="AA253" i="24"/>
  <c r="Z253" i="24" s="1"/>
  <c r="Y253" i="24" s="1"/>
  <c r="G101" i="25"/>
  <c r="CF101" i="6" s="1"/>
  <c r="AA101" i="25"/>
  <c r="Z101" i="25" s="1"/>
  <c r="Y101" i="25" s="1"/>
  <c r="W271" i="25"/>
  <c r="D271" i="25"/>
  <c r="E271" i="25" s="1"/>
  <c r="F271" i="25" s="1"/>
  <c r="G271" i="24"/>
  <c r="CE271" i="6" s="1"/>
  <c r="AA271" i="24"/>
  <c r="Z271" i="24" s="1"/>
  <c r="Y271" i="24" s="1"/>
  <c r="W120" i="25"/>
  <c r="D120" i="25"/>
  <c r="E120" i="25" s="1"/>
  <c r="F120" i="25" s="1"/>
  <c r="I196" i="20"/>
  <c r="H196" i="22" s="1"/>
  <c r="J196" i="20"/>
  <c r="G42" i="24"/>
  <c r="CE42" i="6" s="1"/>
  <c r="AA42" i="24"/>
  <c r="Z42" i="24" s="1"/>
  <c r="Y42" i="24" s="1"/>
  <c r="G84" i="24"/>
  <c r="CE84" i="6" s="1"/>
  <c r="AA84" i="24"/>
  <c r="Z84" i="24" s="1"/>
  <c r="Y84" i="24" s="1"/>
  <c r="G110" i="24"/>
  <c r="CE110" i="6" s="1"/>
  <c r="AA110" i="24"/>
  <c r="Z110" i="24" s="1"/>
  <c r="Y110" i="24" s="1"/>
  <c r="AA140" i="24"/>
  <c r="Z140" i="24" s="1"/>
  <c r="Y140" i="24" s="1"/>
  <c r="G140" i="24"/>
  <c r="CE140" i="6" s="1"/>
  <c r="G220" i="24"/>
  <c r="CE220" i="6" s="1"/>
  <c r="AA220" i="24"/>
  <c r="Z220" i="24" s="1"/>
  <c r="Y220" i="24" s="1"/>
  <c r="G276" i="24"/>
  <c r="CE276" i="6" s="1"/>
  <c r="AA276" i="24"/>
  <c r="Z276" i="24" s="1"/>
  <c r="Y276" i="24" s="1"/>
  <c r="G320" i="24"/>
  <c r="CE320" i="6" s="1"/>
  <c r="AA320" i="24"/>
  <c r="Z320" i="24" s="1"/>
  <c r="Y320" i="24" s="1"/>
  <c r="G258" i="23"/>
  <c r="CD258" i="6" s="1"/>
  <c r="AA258" i="23"/>
  <c r="Z258" i="23" s="1"/>
  <c r="Y258" i="23" s="1"/>
  <c r="W33" i="25"/>
  <c r="D33" i="25"/>
  <c r="E33" i="25" s="1"/>
  <c r="F33" i="25" s="1"/>
  <c r="W69" i="25"/>
  <c r="D69" i="25"/>
  <c r="E69" i="25" s="1"/>
  <c r="F69" i="25" s="1"/>
  <c r="G69" i="24"/>
  <c r="CE69" i="6" s="1"/>
  <c r="AA69" i="24"/>
  <c r="Z69" i="24" s="1"/>
  <c r="Y69" i="24" s="1"/>
  <c r="G131" i="24"/>
  <c r="CE131" i="6" s="1"/>
  <c r="AA131" i="24"/>
  <c r="Z131" i="24" s="1"/>
  <c r="Y131" i="24" s="1"/>
  <c r="G195" i="24"/>
  <c r="CE195" i="6" s="1"/>
  <c r="AA195" i="24"/>
  <c r="Z195" i="24" s="1"/>
  <c r="Y195" i="24" s="1"/>
  <c r="AA221" i="24"/>
  <c r="Z221" i="24" s="1"/>
  <c r="Y221" i="24" s="1"/>
  <c r="G221" i="24"/>
  <c r="CE221" i="6" s="1"/>
  <c r="I334" i="20"/>
  <c r="H334" i="22" s="1"/>
  <c r="J334" i="20"/>
  <c r="AA267" i="24"/>
  <c r="Z267" i="24" s="1"/>
  <c r="Y267" i="24" s="1"/>
  <c r="G267" i="24"/>
  <c r="CE267" i="6" s="1"/>
  <c r="W307" i="25"/>
  <c r="D307" i="25"/>
  <c r="E307" i="25" s="1"/>
  <c r="F307" i="25" s="1"/>
  <c r="G357" i="24"/>
  <c r="CE357" i="6" s="1"/>
  <c r="AA357" i="24"/>
  <c r="Z357" i="24" s="1"/>
  <c r="Y357" i="24" s="1"/>
  <c r="J288" i="20"/>
  <c r="I288" i="20"/>
  <c r="H288" i="22" s="1"/>
  <c r="I280" i="20"/>
  <c r="H280" i="22" s="1"/>
  <c r="J280" i="20"/>
  <c r="I304" i="20"/>
  <c r="H304" i="22" s="1"/>
  <c r="J304" i="20"/>
  <c r="J85" i="20"/>
  <c r="I85" i="20"/>
  <c r="H85" i="22" s="1"/>
  <c r="I115" i="20"/>
  <c r="H115" i="22" s="1"/>
  <c r="J115" i="20"/>
  <c r="I133" i="20"/>
  <c r="H133" i="22" s="1"/>
  <c r="J133" i="20"/>
  <c r="J243" i="20"/>
  <c r="I243" i="20"/>
  <c r="H243" i="22" s="1"/>
  <c r="I36" i="20"/>
  <c r="H36" i="22" s="1"/>
  <c r="J36" i="20"/>
  <c r="I44" i="20"/>
  <c r="H44" i="22" s="1"/>
  <c r="J44" i="20"/>
  <c r="J58" i="20"/>
  <c r="I58" i="20"/>
  <c r="H58" i="22" s="1"/>
  <c r="I102" i="20"/>
  <c r="H102" i="22" s="1"/>
  <c r="J102" i="20"/>
  <c r="D198" i="25"/>
  <c r="E198" i="25" s="1"/>
  <c r="F198" i="25" s="1"/>
  <c r="W198" i="25"/>
  <c r="AA206" i="24"/>
  <c r="Z206" i="24" s="1"/>
  <c r="Y206" i="24" s="1"/>
  <c r="G206" i="24"/>
  <c r="CE206" i="6" s="1"/>
  <c r="G290" i="24"/>
  <c r="CE290" i="6" s="1"/>
  <c r="AA290" i="24"/>
  <c r="Z290" i="24" s="1"/>
  <c r="Y290" i="24" s="1"/>
  <c r="W314" i="25"/>
  <c r="D314" i="25"/>
  <c r="E314" i="25" s="1"/>
  <c r="F314" i="25" s="1"/>
  <c r="D356" i="25"/>
  <c r="E356" i="25" s="1"/>
  <c r="F356" i="25" s="1"/>
  <c r="W356" i="25"/>
  <c r="D310" i="25"/>
  <c r="E310" i="25" s="1"/>
  <c r="F310" i="25" s="1"/>
  <c r="W310" i="25"/>
  <c r="G310" i="24"/>
  <c r="CE310" i="6" s="1"/>
  <c r="AA310" i="24"/>
  <c r="Z310" i="24" s="1"/>
  <c r="Y310" i="24" s="1"/>
  <c r="D311" i="25"/>
  <c r="E311" i="25" s="1"/>
  <c r="F311" i="25" s="1"/>
  <c r="W311" i="25"/>
  <c r="G311" i="24"/>
  <c r="CE311" i="6" s="1"/>
  <c r="AA311" i="24"/>
  <c r="Z311" i="24" s="1"/>
  <c r="Y311" i="24" s="1"/>
  <c r="G321" i="24"/>
  <c r="CE321" i="6" s="1"/>
  <c r="AA321" i="24"/>
  <c r="Z321" i="24" s="1"/>
  <c r="Y321" i="24" s="1"/>
  <c r="D125" i="25"/>
  <c r="E125" i="25" s="1"/>
  <c r="F125" i="25" s="1"/>
  <c r="W125" i="25"/>
  <c r="D309" i="25"/>
  <c r="E309" i="25" s="1"/>
  <c r="F309" i="25" s="1"/>
  <c r="W309" i="25"/>
  <c r="G73" i="24"/>
  <c r="CE73" i="6" s="1"/>
  <c r="AA73" i="24"/>
  <c r="Z73" i="24" s="1"/>
  <c r="Y73" i="24" s="1"/>
  <c r="D62" i="25"/>
  <c r="E62" i="25" s="1"/>
  <c r="F62" i="25" s="1"/>
  <c r="W62" i="25"/>
  <c r="AA81" i="24"/>
  <c r="Z81" i="24" s="1"/>
  <c r="Y81" i="24" s="1"/>
  <c r="G81" i="24"/>
  <c r="CE81" i="6" s="1"/>
  <c r="G180" i="25"/>
  <c r="CF180" i="6" s="1"/>
  <c r="AA180" i="25"/>
  <c r="Z180" i="25" s="1"/>
  <c r="Y180" i="25" s="1"/>
  <c r="W177" i="25"/>
  <c r="D177" i="25"/>
  <c r="E177" i="25" s="1"/>
  <c r="F177" i="25" s="1"/>
  <c r="W319" i="25"/>
  <c r="D319" i="25"/>
  <c r="E319" i="25" s="1"/>
  <c r="F319" i="25" s="1"/>
  <c r="W111" i="25"/>
  <c r="D111" i="25"/>
  <c r="E111" i="25" s="1"/>
  <c r="F111" i="25" s="1"/>
  <c r="G135" i="25"/>
  <c r="CF135" i="6" s="1"/>
  <c r="AA135" i="25"/>
  <c r="Z135" i="25" s="1"/>
  <c r="Y135" i="25" s="1"/>
  <c r="Z15" i="20"/>
  <c r="AL7" i="20" s="1"/>
  <c r="G70" i="23"/>
  <c r="CD70" i="6" s="1"/>
  <c r="AA70" i="23"/>
  <c r="Z70" i="23" s="1"/>
  <c r="Y70" i="23" s="1"/>
  <c r="W106" i="24"/>
  <c r="D106" i="24"/>
  <c r="E106" i="24" s="1"/>
  <c r="F106" i="24" s="1"/>
  <c r="B106" i="25"/>
  <c r="G136" i="23"/>
  <c r="CD136" i="6" s="1"/>
  <c r="AA136" i="23"/>
  <c r="Z136" i="23" s="1"/>
  <c r="Y136" i="23" s="1"/>
  <c r="J170" i="20"/>
  <c r="I170" i="20"/>
  <c r="H170" i="22" s="1"/>
  <c r="G178" i="23"/>
  <c r="CD178" i="6" s="1"/>
  <c r="AA178" i="23"/>
  <c r="Z178" i="23" s="1"/>
  <c r="Y178" i="23" s="1"/>
  <c r="W254" i="24"/>
  <c r="D254" i="24"/>
  <c r="E254" i="24" s="1"/>
  <c r="F254" i="24" s="1"/>
  <c r="B254" i="25"/>
  <c r="G274" i="23"/>
  <c r="CD274" i="6" s="1"/>
  <c r="AA274" i="23"/>
  <c r="Z274" i="23" s="1"/>
  <c r="Y274" i="23" s="1"/>
  <c r="W318" i="24"/>
  <c r="D318" i="24"/>
  <c r="E318" i="24" s="1"/>
  <c r="F318" i="24" s="1"/>
  <c r="B318" i="25"/>
  <c r="G352" i="23"/>
  <c r="CD352" i="6" s="1"/>
  <c r="AA352" i="23"/>
  <c r="Z352" i="23" s="1"/>
  <c r="Y352" i="23" s="1"/>
  <c r="W31" i="24"/>
  <c r="D31" i="24"/>
  <c r="E31" i="24" s="1"/>
  <c r="F31" i="24" s="1"/>
  <c r="B31" i="25"/>
  <c r="G49" i="23"/>
  <c r="CD49" i="6" s="1"/>
  <c r="AA49" i="23"/>
  <c r="Z49" i="23" s="1"/>
  <c r="Y49" i="23" s="1"/>
  <c r="I233" i="22"/>
  <c r="H233" i="23" s="1"/>
  <c r="G144" i="23"/>
  <c r="CD144" i="6" s="1"/>
  <c r="AA144" i="23"/>
  <c r="Z144" i="23" s="1"/>
  <c r="Y144" i="23" s="1"/>
  <c r="G296" i="23"/>
  <c r="CD296" i="6" s="1"/>
  <c r="AA296" i="23"/>
  <c r="Z296" i="23" s="1"/>
  <c r="Y296" i="23" s="1"/>
  <c r="G39" i="23"/>
  <c r="CD39" i="6" s="1"/>
  <c r="AA39" i="23"/>
  <c r="Z39" i="23" s="1"/>
  <c r="Y39" i="23" s="1"/>
  <c r="G151" i="23"/>
  <c r="CD151" i="6" s="1"/>
  <c r="AA151" i="23"/>
  <c r="Z151" i="23" s="1"/>
  <c r="Y151" i="23" s="1"/>
  <c r="W124" i="24"/>
  <c r="D124" i="24"/>
  <c r="E124" i="24" s="1"/>
  <c r="F124" i="24" s="1"/>
  <c r="B124" i="25"/>
  <c r="G184" i="23"/>
  <c r="CD184" i="6" s="1"/>
  <c r="AA184" i="23"/>
  <c r="Z184" i="23" s="1"/>
  <c r="Y184" i="23" s="1"/>
  <c r="W256" i="24"/>
  <c r="D256" i="24"/>
  <c r="E256" i="24" s="1"/>
  <c r="F256" i="24" s="1"/>
  <c r="B256" i="25"/>
  <c r="G292" i="23"/>
  <c r="CD292" i="6" s="1"/>
  <c r="AA292" i="23"/>
  <c r="Z292" i="23" s="1"/>
  <c r="Y292" i="23" s="1"/>
  <c r="W330" i="24"/>
  <c r="D330" i="24"/>
  <c r="E330" i="24" s="1"/>
  <c r="F330" i="24" s="1"/>
  <c r="B330" i="25"/>
  <c r="G364" i="23"/>
  <c r="CD364" i="6" s="1"/>
  <c r="AA364" i="23"/>
  <c r="Z364" i="23" s="1"/>
  <c r="Y364" i="23" s="1"/>
  <c r="J26" i="20"/>
  <c r="I26" i="20"/>
  <c r="H26" i="22" s="1"/>
  <c r="G41" i="23"/>
  <c r="CD41" i="6" s="1"/>
  <c r="AA41" i="23"/>
  <c r="Z41" i="23" s="1"/>
  <c r="Y41" i="23" s="1"/>
  <c r="B91" i="25"/>
  <c r="W91" i="24"/>
  <c r="D91" i="24"/>
  <c r="E91" i="24" s="1"/>
  <c r="F91" i="24" s="1"/>
  <c r="G117" i="23"/>
  <c r="CD117" i="6" s="1"/>
  <c r="AA117" i="23"/>
  <c r="Z117" i="23" s="1"/>
  <c r="Y117" i="23" s="1"/>
  <c r="W165" i="24"/>
  <c r="D165" i="24"/>
  <c r="E165" i="24" s="1"/>
  <c r="F165" i="24" s="1"/>
  <c r="B165" i="25"/>
  <c r="G225" i="23"/>
  <c r="CD225" i="6" s="1"/>
  <c r="AA225" i="23"/>
  <c r="Z225" i="23" s="1"/>
  <c r="Y225" i="23" s="1"/>
  <c r="D279" i="24"/>
  <c r="E279" i="24" s="1"/>
  <c r="F279" i="24" s="1"/>
  <c r="B279" i="25"/>
  <c r="W279" i="24"/>
  <c r="G343" i="23"/>
  <c r="CD343" i="6" s="1"/>
  <c r="AA343" i="23"/>
  <c r="Z343" i="23" s="1"/>
  <c r="Y343" i="23" s="1"/>
  <c r="W377" i="24"/>
  <c r="D377" i="24"/>
  <c r="E377" i="24" s="1"/>
  <c r="F377" i="24" s="1"/>
  <c r="B377" i="25"/>
  <c r="G40" i="23"/>
  <c r="CD40" i="6" s="1"/>
  <c r="AA40" i="23"/>
  <c r="Z40" i="23" s="1"/>
  <c r="Y40" i="23" s="1"/>
  <c r="W68" i="24"/>
  <c r="B68" i="25"/>
  <c r="D68" i="24"/>
  <c r="E68" i="24" s="1"/>
  <c r="F68" i="24" s="1"/>
  <c r="D366" i="24"/>
  <c r="E366" i="24" s="1"/>
  <c r="F366" i="24" s="1"/>
  <c r="B366" i="25"/>
  <c r="W366" i="24"/>
  <c r="G222" i="23"/>
  <c r="CD222" i="6" s="1"/>
  <c r="AA222" i="23"/>
  <c r="Z222" i="23" s="1"/>
  <c r="Y222" i="23" s="1"/>
  <c r="D204" i="24"/>
  <c r="E204" i="24" s="1"/>
  <c r="F204" i="24" s="1"/>
  <c r="B204" i="25"/>
  <c r="W204" i="24"/>
  <c r="G252" i="23"/>
  <c r="CD252" i="6" s="1"/>
  <c r="AA252" i="23"/>
  <c r="Z252" i="23" s="1"/>
  <c r="Y252" i="23" s="1"/>
  <c r="B305" i="25"/>
  <c r="W305" i="24"/>
  <c r="D305" i="24"/>
  <c r="E305" i="24" s="1"/>
  <c r="F305" i="24" s="1"/>
  <c r="G152" i="23"/>
  <c r="CD152" i="6" s="1"/>
  <c r="AA152" i="23"/>
  <c r="Z152" i="23" s="1"/>
  <c r="Y152" i="23" s="1"/>
  <c r="B52" i="25"/>
  <c r="W52" i="24"/>
  <c r="D52" i="24"/>
  <c r="E52" i="24" s="1"/>
  <c r="F52" i="24" s="1"/>
  <c r="G103" i="23"/>
  <c r="CD103" i="6" s="1"/>
  <c r="AA103" i="23"/>
  <c r="Z103" i="23" s="1"/>
  <c r="Y103" i="23" s="1"/>
  <c r="W235" i="24"/>
  <c r="D235" i="24"/>
  <c r="E235" i="24" s="1"/>
  <c r="F235" i="24" s="1"/>
  <c r="B235" i="25"/>
  <c r="G251" i="23"/>
  <c r="CD251" i="6" s="1"/>
  <c r="AA251" i="23"/>
  <c r="Z251" i="23" s="1"/>
  <c r="Y251" i="23" s="1"/>
  <c r="W153" i="24"/>
  <c r="D153" i="24"/>
  <c r="E153" i="24" s="1"/>
  <c r="F153" i="24" s="1"/>
  <c r="B153" i="25"/>
  <c r="G132" i="23"/>
  <c r="CD132" i="6" s="1"/>
  <c r="AA132" i="23"/>
  <c r="Z132" i="23" s="1"/>
  <c r="Y132" i="23" s="1"/>
  <c r="W333" i="25"/>
  <c r="D333" i="25"/>
  <c r="E333" i="25" s="1"/>
  <c r="F333" i="25" s="1"/>
  <c r="G333" i="24"/>
  <c r="CE333" i="6" s="1"/>
  <c r="AA333" i="24"/>
  <c r="Z333" i="24" s="1"/>
  <c r="Y333" i="24" s="1"/>
  <c r="W316" i="25"/>
  <c r="D316" i="25"/>
  <c r="E316" i="25" s="1"/>
  <c r="F316" i="25" s="1"/>
  <c r="G46" i="25"/>
  <c r="CF46" i="6" s="1"/>
  <c r="AA46" i="25"/>
  <c r="Z46" i="25" s="1"/>
  <c r="Y46" i="25" s="1"/>
  <c r="G346" i="25"/>
  <c r="CF346" i="6" s="1"/>
  <c r="AA346" i="25"/>
  <c r="Z346" i="25" s="1"/>
  <c r="Y346" i="25" s="1"/>
  <c r="W368" i="25"/>
  <c r="D368" i="25"/>
  <c r="E368" i="25" s="1"/>
  <c r="F368" i="25" s="1"/>
  <c r="W347" i="25"/>
  <c r="D347" i="25"/>
  <c r="E347" i="25" s="1"/>
  <c r="F347" i="25" s="1"/>
  <c r="G139" i="24"/>
  <c r="CE139" i="6" s="1"/>
  <c r="AA139" i="24"/>
  <c r="Z139" i="24" s="1"/>
  <c r="Y139" i="24" s="1"/>
  <c r="W169" i="25"/>
  <c r="D169" i="25"/>
  <c r="E169" i="25" s="1"/>
  <c r="F169" i="25" s="1"/>
  <c r="G203" i="24"/>
  <c r="CE203" i="6" s="1"/>
  <c r="AA203" i="24"/>
  <c r="Z203" i="24" s="1"/>
  <c r="Y203" i="24" s="1"/>
  <c r="W245" i="25"/>
  <c r="D245" i="25"/>
  <c r="E245" i="25" s="1"/>
  <c r="F245" i="25" s="1"/>
  <c r="W325" i="25"/>
  <c r="D325" i="25"/>
  <c r="E325" i="25" s="1"/>
  <c r="F325" i="25" s="1"/>
  <c r="H15" i="18"/>
  <c r="Y15" i="17"/>
  <c r="AL5" i="17" s="1"/>
  <c r="AL11" i="17" s="1"/>
  <c r="AJ3" i="17" s="1"/>
  <c r="O14" i="19" s="1"/>
  <c r="G196" i="23"/>
  <c r="CD196" i="6" s="1"/>
  <c r="AA196" i="23"/>
  <c r="Z196" i="23" s="1"/>
  <c r="Y196" i="23" s="1"/>
  <c r="I333" i="20"/>
  <c r="H333" i="22" s="1"/>
  <c r="J333" i="20"/>
  <c r="I177" i="20"/>
  <c r="H177" i="22" s="1"/>
  <c r="J177" i="20"/>
  <c r="J166" i="20"/>
  <c r="I166" i="20"/>
  <c r="H166" i="22" s="1"/>
  <c r="J17" i="20"/>
  <c r="I17" i="20"/>
  <c r="H17" i="22" s="1"/>
  <c r="J111" i="20"/>
  <c r="I111" i="20"/>
  <c r="H111" i="22" s="1"/>
  <c r="J278" i="20"/>
  <c r="I278" i="20"/>
  <c r="H278" i="22" s="1"/>
  <c r="J95" i="20"/>
  <c r="I95" i="20"/>
  <c r="H95" i="22" s="1"/>
  <c r="J253" i="20"/>
  <c r="I253" i="20"/>
  <c r="H253" i="22" s="1"/>
  <c r="I56" i="20"/>
  <c r="H56" i="22" s="1"/>
  <c r="J56" i="20"/>
  <c r="J128" i="20"/>
  <c r="I128" i="20"/>
  <c r="H128" i="22" s="1"/>
  <c r="I176" i="20"/>
  <c r="H176" i="22" s="1"/>
  <c r="J176" i="20"/>
  <c r="J308" i="20"/>
  <c r="I308" i="20"/>
  <c r="H308" i="22" s="1"/>
  <c r="I336" i="20"/>
  <c r="H336" i="22" s="1"/>
  <c r="J336" i="20"/>
  <c r="W23" i="24"/>
  <c r="D23" i="24"/>
  <c r="E23" i="24" s="1"/>
  <c r="F23" i="24" s="1"/>
  <c r="B23" i="25"/>
  <c r="W126" i="24"/>
  <c r="D126" i="24"/>
  <c r="E126" i="24" s="1"/>
  <c r="F126" i="24" s="1"/>
  <c r="B126" i="25"/>
  <c r="W250" i="24"/>
  <c r="D250" i="24"/>
  <c r="E250" i="24" s="1"/>
  <c r="F250" i="24" s="1"/>
  <c r="B250" i="25"/>
  <c r="AA65" i="24"/>
  <c r="Z65" i="24" s="1"/>
  <c r="Y65" i="24" s="1"/>
  <c r="G65" i="24"/>
  <c r="CE65" i="6" s="1"/>
  <c r="D143" i="25"/>
  <c r="E143" i="25" s="1"/>
  <c r="F143" i="25" s="1"/>
  <c r="W143" i="25"/>
  <c r="W288" i="25"/>
  <c r="D288" i="25"/>
  <c r="E288" i="25" s="1"/>
  <c r="F288" i="25" s="1"/>
  <c r="G288" i="24"/>
  <c r="CE288" i="6" s="1"/>
  <c r="AA288" i="24"/>
  <c r="Z288" i="24" s="1"/>
  <c r="Y288" i="24" s="1"/>
  <c r="W28" i="25"/>
  <c r="D28" i="25"/>
  <c r="E28" i="25" s="1"/>
  <c r="F28" i="25" s="1"/>
  <c r="I122" i="20"/>
  <c r="H122" i="22" s="1"/>
  <c r="J122" i="20"/>
  <c r="G172" i="24"/>
  <c r="CE172" i="6" s="1"/>
  <c r="AA172" i="24"/>
  <c r="Z172" i="24" s="1"/>
  <c r="Y172" i="24" s="1"/>
  <c r="I172" i="20"/>
  <c r="H172" i="22" s="1"/>
  <c r="J172" i="20"/>
  <c r="D304" i="25"/>
  <c r="E304" i="25" s="1"/>
  <c r="F304" i="25" s="1"/>
  <c r="W304" i="25"/>
  <c r="D344" i="25"/>
  <c r="E344" i="25" s="1"/>
  <c r="F344" i="25" s="1"/>
  <c r="W344" i="25"/>
  <c r="G360" i="24"/>
  <c r="CE360" i="6" s="1"/>
  <c r="AA360" i="24"/>
  <c r="Z360" i="24" s="1"/>
  <c r="Y360" i="24" s="1"/>
  <c r="W370" i="25"/>
  <c r="D370" i="25"/>
  <c r="E370" i="25" s="1"/>
  <c r="F370" i="25" s="1"/>
  <c r="I25" i="20"/>
  <c r="H25" i="22" s="1"/>
  <c r="J25" i="20"/>
  <c r="G115" i="24"/>
  <c r="CE115" i="6" s="1"/>
  <c r="AA115" i="24"/>
  <c r="Z115" i="24" s="1"/>
  <c r="Y115" i="24" s="1"/>
  <c r="AA133" i="24"/>
  <c r="Z133" i="24" s="1"/>
  <c r="Y133" i="24" s="1"/>
  <c r="G133" i="24"/>
  <c r="CE133" i="6" s="1"/>
  <c r="G217" i="24"/>
  <c r="CE217" i="6" s="1"/>
  <c r="AA217" i="24"/>
  <c r="Z217" i="24" s="1"/>
  <c r="Y217" i="24" s="1"/>
  <c r="W237" i="25"/>
  <c r="D237" i="25"/>
  <c r="E237" i="25" s="1"/>
  <c r="F237" i="25" s="1"/>
  <c r="AA237" i="24"/>
  <c r="Z237" i="24" s="1"/>
  <c r="Y237" i="24" s="1"/>
  <c r="G237" i="24"/>
  <c r="CE237" i="6" s="1"/>
  <c r="W297" i="25"/>
  <c r="D297" i="25"/>
  <c r="E297" i="25" s="1"/>
  <c r="F297" i="25" s="1"/>
  <c r="G329" i="24"/>
  <c r="CE329" i="6" s="1"/>
  <c r="AA329" i="24"/>
  <c r="Z329" i="24" s="1"/>
  <c r="Y329" i="24" s="1"/>
  <c r="W44" i="25"/>
  <c r="D44" i="25"/>
  <c r="E44" i="25" s="1"/>
  <c r="F44" i="25" s="1"/>
  <c r="G58" i="24"/>
  <c r="CE58" i="6" s="1"/>
  <c r="AA58" i="24"/>
  <c r="Z58" i="24" s="1"/>
  <c r="Y58" i="24" s="1"/>
  <c r="G102" i="24"/>
  <c r="CE102" i="6" s="1"/>
  <c r="AA102" i="24"/>
  <c r="Z102" i="24" s="1"/>
  <c r="Y102" i="24" s="1"/>
  <c r="D156" i="25"/>
  <c r="E156" i="25" s="1"/>
  <c r="F156" i="25" s="1"/>
  <c r="W156" i="25"/>
  <c r="G162" i="24"/>
  <c r="CE162" i="6" s="1"/>
  <c r="AA162" i="24"/>
  <c r="Z162" i="24" s="1"/>
  <c r="Y162" i="24" s="1"/>
  <c r="W186" i="24"/>
  <c r="B186" i="25"/>
  <c r="D186" i="24"/>
  <c r="E186" i="24" s="1"/>
  <c r="F186" i="24" s="1"/>
  <c r="AI4" i="6"/>
  <c r="D309" i="6"/>
  <c r="G150" i="25"/>
  <c r="CF150" i="6" s="1"/>
  <c r="AA150" i="25"/>
  <c r="Z150" i="25" s="1"/>
  <c r="Y150" i="25" s="1"/>
  <c r="AA67" i="25"/>
  <c r="Z67" i="25" s="1"/>
  <c r="Y67" i="25" s="1"/>
  <c r="G67" i="25"/>
  <c r="CF67" i="6" s="1"/>
  <c r="G75" i="25"/>
  <c r="CF75" i="6" s="1"/>
  <c r="AA75" i="25"/>
  <c r="Z75" i="25" s="1"/>
  <c r="Y75" i="25" s="1"/>
  <c r="W244" i="25"/>
  <c r="D244" i="25"/>
  <c r="E244" i="25" s="1"/>
  <c r="F244" i="25" s="1"/>
  <c r="W37" i="25"/>
  <c r="D37" i="25"/>
  <c r="E37" i="25" s="1"/>
  <c r="F37" i="25" s="1"/>
  <c r="W99" i="25"/>
  <c r="D99" i="25"/>
  <c r="E99" i="25" s="1"/>
  <c r="F99" i="25" s="1"/>
  <c r="W185" i="25"/>
  <c r="D185" i="25"/>
  <c r="E185" i="25" s="1"/>
  <c r="F185" i="25" s="1"/>
  <c r="W281" i="25"/>
  <c r="D281" i="25"/>
  <c r="E281" i="25" s="1"/>
  <c r="F281" i="25" s="1"/>
  <c r="W192" i="25"/>
  <c r="D192" i="25"/>
  <c r="E192" i="25" s="1"/>
  <c r="F192" i="25" s="1"/>
  <c r="W334" i="25"/>
  <c r="D334" i="25"/>
  <c r="E334" i="25" s="1"/>
  <c r="F334" i="25" s="1"/>
  <c r="W161" i="25"/>
  <c r="D161" i="25"/>
  <c r="E161" i="25" s="1"/>
  <c r="F161" i="25" s="1"/>
  <c r="W61" i="25"/>
  <c r="D61" i="25"/>
  <c r="E61" i="25" s="1"/>
  <c r="F61" i="25" s="1"/>
  <c r="W127" i="25"/>
  <c r="D127" i="25"/>
  <c r="E127" i="25" s="1"/>
  <c r="F127" i="25" s="1"/>
  <c r="W219" i="25"/>
  <c r="D219" i="25"/>
  <c r="E219" i="25" s="1"/>
  <c r="F219" i="25" s="1"/>
  <c r="W142" i="25"/>
  <c r="D142" i="25"/>
  <c r="E142" i="25" s="1"/>
  <c r="F142" i="25" s="1"/>
  <c r="G59" i="23"/>
  <c r="CD59" i="6" s="1"/>
  <c r="AA59" i="23"/>
  <c r="Z59" i="23" s="1"/>
  <c r="Y59" i="23" s="1"/>
  <c r="G179" i="23"/>
  <c r="CD179" i="6" s="1"/>
  <c r="AA179" i="23"/>
  <c r="Z179" i="23" s="1"/>
  <c r="Y179" i="23" s="1"/>
  <c r="G257" i="23"/>
  <c r="CD257" i="6" s="1"/>
  <c r="AA257" i="23"/>
  <c r="Z257" i="23" s="1"/>
  <c r="Y257" i="23" s="1"/>
  <c r="G337" i="23"/>
  <c r="CD337" i="6" s="1"/>
  <c r="AA337" i="23"/>
  <c r="Z337" i="23" s="1"/>
  <c r="Y337" i="23" s="1"/>
  <c r="D379" i="24"/>
  <c r="E379" i="24" s="1"/>
  <c r="F379" i="24" s="1"/>
  <c r="W379" i="24"/>
  <c r="B379" i="25"/>
  <c r="W50" i="24"/>
  <c r="D50" i="24"/>
  <c r="E50" i="24" s="1"/>
  <c r="F50" i="24" s="1"/>
  <c r="B50" i="25"/>
  <c r="G92" i="23"/>
  <c r="CD92" i="6" s="1"/>
  <c r="AA92" i="23"/>
  <c r="Z92" i="23" s="1"/>
  <c r="Y92" i="23" s="1"/>
  <c r="G118" i="23"/>
  <c r="CD118" i="6" s="1"/>
  <c r="AA118" i="23"/>
  <c r="Z118" i="23" s="1"/>
  <c r="Y118" i="23" s="1"/>
  <c r="W170" i="24"/>
  <c r="D170" i="24"/>
  <c r="E170" i="24" s="1"/>
  <c r="F170" i="24" s="1"/>
  <c r="B170" i="25"/>
  <c r="W268" i="24"/>
  <c r="D268" i="24"/>
  <c r="E268" i="24" s="1"/>
  <c r="F268" i="24" s="1"/>
  <c r="B268" i="25"/>
  <c r="G282" i="23"/>
  <c r="CD282" i="6" s="1"/>
  <c r="AA282" i="23"/>
  <c r="Z282" i="23" s="1"/>
  <c r="Y282" i="23" s="1"/>
  <c r="W328" i="24"/>
  <c r="D328" i="24"/>
  <c r="E328" i="24" s="1"/>
  <c r="F328" i="24" s="1"/>
  <c r="B328" i="25"/>
  <c r="G21" i="23"/>
  <c r="CD21" i="6" s="1"/>
  <c r="AA21" i="23"/>
  <c r="Z21" i="23" s="1"/>
  <c r="Y21" i="23" s="1"/>
  <c r="W45" i="24"/>
  <c r="D45" i="24"/>
  <c r="E45" i="24" s="1"/>
  <c r="F45" i="24" s="1"/>
  <c r="B45" i="25"/>
  <c r="G71" i="23"/>
  <c r="CD71" i="6" s="1"/>
  <c r="AA71" i="23"/>
  <c r="Z71" i="23" s="1"/>
  <c r="Y71" i="23" s="1"/>
  <c r="W291" i="25"/>
  <c r="D291" i="25"/>
  <c r="E291" i="25" s="1"/>
  <c r="F291" i="25" s="1"/>
  <c r="W339" i="25"/>
  <c r="D339" i="25"/>
  <c r="E339" i="25" s="1"/>
  <c r="F339" i="25" s="1"/>
  <c r="W269" i="24"/>
  <c r="D269" i="24"/>
  <c r="E269" i="24" s="1"/>
  <c r="F269" i="24" s="1"/>
  <c r="B269" i="25"/>
  <c r="W359" i="24"/>
  <c r="B359" i="25"/>
  <c r="D359" i="24"/>
  <c r="E359" i="24" s="1"/>
  <c r="F359" i="24" s="1"/>
  <c r="AA48" i="23"/>
  <c r="Z48" i="23" s="1"/>
  <c r="Y48" i="23" s="1"/>
  <c r="G48" i="23"/>
  <c r="CD48" i="6" s="1"/>
  <c r="W160" i="24"/>
  <c r="D160" i="24"/>
  <c r="E160" i="24" s="1"/>
  <c r="F160" i="24" s="1"/>
  <c r="B160" i="25"/>
  <c r="G234" i="23"/>
  <c r="CD234" i="6" s="1"/>
  <c r="AA234" i="23"/>
  <c r="Z234" i="23" s="1"/>
  <c r="Y234" i="23" s="1"/>
  <c r="W266" i="24"/>
  <c r="B266" i="25"/>
  <c r="D266" i="24"/>
  <c r="E266" i="24" s="1"/>
  <c r="F266" i="24" s="1"/>
  <c r="G322" i="23"/>
  <c r="CD322" i="6" s="1"/>
  <c r="AA322" i="23"/>
  <c r="Z322" i="23" s="1"/>
  <c r="Y322" i="23" s="1"/>
  <c r="AK9" i="23" l="1"/>
  <c r="AM9" i="23"/>
  <c r="AK11" i="23"/>
  <c r="J106" i="22"/>
  <c r="J31" i="22"/>
  <c r="J31" i="23" s="1"/>
  <c r="AJ11" i="23"/>
  <c r="J274" i="22"/>
  <c r="W15" i="25"/>
  <c r="AJ5" i="25"/>
  <c r="AJ9" i="24"/>
  <c r="J49" i="22"/>
  <c r="J49" i="23" s="1"/>
  <c r="J178" i="22"/>
  <c r="J178" i="23" s="1"/>
  <c r="AJ7" i="24"/>
  <c r="I352" i="22"/>
  <c r="H352" i="23" s="1"/>
  <c r="J352" i="23" s="1"/>
  <c r="J215" i="22"/>
  <c r="J215" i="23" s="1"/>
  <c r="J301" i="22"/>
  <c r="J301" i="23" s="1"/>
  <c r="D15" i="25"/>
  <c r="I305" i="22"/>
  <c r="H305" i="23" s="1"/>
  <c r="I305" i="23" s="1"/>
  <c r="H305" i="24" s="1"/>
  <c r="I256" i="22"/>
  <c r="H256" i="23" s="1"/>
  <c r="I256" i="23" s="1"/>
  <c r="H256" i="24" s="1"/>
  <c r="I113" i="22"/>
  <c r="H113" i="23" s="1"/>
  <c r="I113" i="23" s="1"/>
  <c r="H113" i="24" s="1"/>
  <c r="I45" i="22"/>
  <c r="H45" i="23" s="1"/>
  <c r="J45" i="23" s="1"/>
  <c r="I153" i="22"/>
  <c r="H153" i="23" s="1"/>
  <c r="I153" i="23" s="1"/>
  <c r="H153" i="24" s="1"/>
  <c r="J213" i="22"/>
  <c r="J213" i="23" s="1"/>
  <c r="I224" i="22"/>
  <c r="H224" i="23" s="1"/>
  <c r="I224" i="23" s="1"/>
  <c r="H224" i="24" s="1"/>
  <c r="I141" i="22"/>
  <c r="H141" i="23" s="1"/>
  <c r="I141" i="23" s="1"/>
  <c r="H141" i="24" s="1"/>
  <c r="I218" i="22"/>
  <c r="H218" i="23" s="1"/>
  <c r="I218" i="23" s="1"/>
  <c r="H218" i="24" s="1"/>
  <c r="I286" i="22"/>
  <c r="H286" i="23" s="1"/>
  <c r="J286" i="23" s="1"/>
  <c r="J144" i="22"/>
  <c r="J144" i="23" s="1"/>
  <c r="J282" i="22"/>
  <c r="J282" i="23" s="1"/>
  <c r="J179" i="22"/>
  <c r="J179" i="23" s="1"/>
  <c r="I100" i="22"/>
  <c r="H100" i="23" s="1"/>
  <c r="J100" i="23" s="1"/>
  <c r="J145" i="22"/>
  <c r="J145" i="23" s="1"/>
  <c r="J341" i="22"/>
  <c r="J341" i="23" s="1"/>
  <c r="I343" i="22"/>
  <c r="H343" i="23" s="1"/>
  <c r="I343" i="23" s="1"/>
  <c r="H343" i="24" s="1"/>
  <c r="I165" i="22"/>
  <c r="H165" i="23" s="1"/>
  <c r="J165" i="23" s="1"/>
  <c r="I342" i="22"/>
  <c r="H342" i="23" s="1"/>
  <c r="I342" i="23" s="1"/>
  <c r="H342" i="24" s="1"/>
  <c r="I235" i="22"/>
  <c r="H235" i="23" s="1"/>
  <c r="I235" i="23" s="1"/>
  <c r="H235" i="24" s="1"/>
  <c r="J40" i="22"/>
  <c r="J40" i="23" s="1"/>
  <c r="J41" i="22"/>
  <c r="J41" i="23" s="1"/>
  <c r="J200" i="22"/>
  <c r="J200" i="23" s="1"/>
  <c r="J68" i="22"/>
  <c r="J68" i="23" s="1"/>
  <c r="I136" i="22"/>
  <c r="H136" i="23" s="1"/>
  <c r="J136" i="23" s="1"/>
  <c r="J20" i="22"/>
  <c r="J20" i="23" s="1"/>
  <c r="J158" i="22"/>
  <c r="J158" i="23" s="1"/>
  <c r="J250" i="22"/>
  <c r="J250" i="23" s="1"/>
  <c r="I52" i="22"/>
  <c r="H52" i="23" s="1"/>
  <c r="I52" i="23" s="1"/>
  <c r="H52" i="24" s="1"/>
  <c r="I315" i="22"/>
  <c r="H315" i="23" s="1"/>
  <c r="J315" i="23" s="1"/>
  <c r="I230" i="22"/>
  <c r="H230" i="23" s="1"/>
  <c r="J230" i="23" s="1"/>
  <c r="I251" i="22"/>
  <c r="H251" i="23" s="1"/>
  <c r="J251" i="23" s="1"/>
  <c r="I124" i="22"/>
  <c r="H124" i="23" s="1"/>
  <c r="J124" i="23" s="1"/>
  <c r="I312" i="22"/>
  <c r="H312" i="23" s="1"/>
  <c r="J312" i="23" s="1"/>
  <c r="J229" i="22"/>
  <c r="J229" i="23" s="1"/>
  <c r="J239" i="22"/>
  <c r="J239" i="23" s="1"/>
  <c r="J168" i="22"/>
  <c r="J168" i="23" s="1"/>
  <c r="J207" i="22"/>
  <c r="J207" i="23" s="1"/>
  <c r="I174" i="22"/>
  <c r="H174" i="23" s="1"/>
  <c r="J174" i="23" s="1"/>
  <c r="J338" i="22"/>
  <c r="J338" i="23" s="1"/>
  <c r="I30" i="22"/>
  <c r="H30" i="23" s="1"/>
  <c r="I30" i="23" s="1"/>
  <c r="H30" i="24" s="1"/>
  <c r="I50" i="22"/>
  <c r="H50" i="23" s="1"/>
  <c r="J50" i="23" s="1"/>
  <c r="I211" i="22"/>
  <c r="H211" i="23" s="1"/>
  <c r="I211" i="23" s="1"/>
  <c r="H211" i="24" s="1"/>
  <c r="J126" i="22"/>
  <c r="J126" i="23" s="1"/>
  <c r="J201" i="22"/>
  <c r="J201" i="23" s="1"/>
  <c r="I39" i="22"/>
  <c r="H39" i="23" s="1"/>
  <c r="J39" i="23" s="1"/>
  <c r="J151" i="22"/>
  <c r="J151" i="23" s="1"/>
  <c r="J233" i="23"/>
  <c r="I233" i="23"/>
  <c r="H233" i="24" s="1"/>
  <c r="I306" i="23"/>
  <c r="H306" i="24" s="1"/>
  <c r="J306" i="23"/>
  <c r="I207" i="23"/>
  <c r="H207" i="24" s="1"/>
  <c r="J23" i="23"/>
  <c r="I23" i="23"/>
  <c r="H23" i="24" s="1"/>
  <c r="J305" i="23"/>
  <c r="J279" i="23"/>
  <c r="I279" i="23"/>
  <c r="H279" i="24" s="1"/>
  <c r="I31" i="23"/>
  <c r="H31" i="24" s="1"/>
  <c r="I348" i="23"/>
  <c r="H348" i="24" s="1"/>
  <c r="J348" i="23"/>
  <c r="J112" i="23"/>
  <c r="I112" i="23"/>
  <c r="H112" i="24" s="1"/>
  <c r="I229" i="23"/>
  <c r="H229" i="24" s="1"/>
  <c r="J32" i="23"/>
  <c r="I32" i="23"/>
  <c r="H32" i="24" s="1"/>
  <c r="I353" i="23"/>
  <c r="H353" i="24" s="1"/>
  <c r="J353" i="23"/>
  <c r="I268" i="23"/>
  <c r="H268" i="24" s="1"/>
  <c r="J268" i="23"/>
  <c r="I250" i="23"/>
  <c r="H250" i="24" s="1"/>
  <c r="I68" i="23"/>
  <c r="H68" i="24" s="1"/>
  <c r="I91" i="23"/>
  <c r="H91" i="24" s="1"/>
  <c r="J91" i="23"/>
  <c r="J106" i="23"/>
  <c r="I106" i="23"/>
  <c r="H106" i="24" s="1"/>
  <c r="W266" i="25"/>
  <c r="D266" i="25"/>
  <c r="E266" i="25" s="1"/>
  <c r="F266" i="25" s="1"/>
  <c r="J234" i="23"/>
  <c r="I234" i="23"/>
  <c r="H234" i="24" s="1"/>
  <c r="I48" i="23"/>
  <c r="H48" i="24" s="1"/>
  <c r="J48" i="23"/>
  <c r="W269" i="25"/>
  <c r="D269" i="25"/>
  <c r="E269" i="25" s="1"/>
  <c r="F269" i="25" s="1"/>
  <c r="J71" i="23"/>
  <c r="I71" i="23"/>
  <c r="H71" i="24" s="1"/>
  <c r="W45" i="25"/>
  <c r="D45" i="25"/>
  <c r="E45" i="25" s="1"/>
  <c r="F45" i="25" s="1"/>
  <c r="W328" i="25"/>
  <c r="D328" i="25"/>
  <c r="E328" i="25" s="1"/>
  <c r="F328" i="25" s="1"/>
  <c r="I282" i="23"/>
  <c r="H282" i="24" s="1"/>
  <c r="W268" i="25"/>
  <c r="D268" i="25"/>
  <c r="E268" i="25" s="1"/>
  <c r="F268" i="25" s="1"/>
  <c r="AA170" i="24"/>
  <c r="Z170" i="24" s="1"/>
  <c r="Y170" i="24" s="1"/>
  <c r="G170" i="24"/>
  <c r="CE170" i="6" s="1"/>
  <c r="I92" i="23"/>
  <c r="H92" i="24" s="1"/>
  <c r="J92" i="23"/>
  <c r="W50" i="25"/>
  <c r="D50" i="25"/>
  <c r="E50" i="25" s="1"/>
  <c r="F50" i="25" s="1"/>
  <c r="G186" i="24"/>
  <c r="CE186" i="6" s="1"/>
  <c r="AA186" i="24"/>
  <c r="Z186" i="24" s="1"/>
  <c r="Y186" i="24" s="1"/>
  <c r="G237" i="25"/>
  <c r="CF237" i="6" s="1"/>
  <c r="AA237" i="25"/>
  <c r="Z237" i="25" s="1"/>
  <c r="Y237" i="25" s="1"/>
  <c r="J122" i="22"/>
  <c r="I122" i="22"/>
  <c r="H122" i="23" s="1"/>
  <c r="AA288" i="25"/>
  <c r="Z288" i="25" s="1"/>
  <c r="Y288" i="25" s="1"/>
  <c r="G288" i="25"/>
  <c r="CF288" i="6" s="1"/>
  <c r="G250" i="24"/>
  <c r="CE250" i="6" s="1"/>
  <c r="AA250" i="24"/>
  <c r="Z250" i="24" s="1"/>
  <c r="Y250" i="24" s="1"/>
  <c r="W126" i="25"/>
  <c r="D126" i="25"/>
  <c r="E126" i="25" s="1"/>
  <c r="F126" i="25" s="1"/>
  <c r="G23" i="24"/>
  <c r="CE23" i="6" s="1"/>
  <c r="AA23" i="24"/>
  <c r="Z23" i="24" s="1"/>
  <c r="Y23" i="24" s="1"/>
  <c r="I308" i="22"/>
  <c r="H308" i="23" s="1"/>
  <c r="J308" i="22"/>
  <c r="I128" i="22"/>
  <c r="H128" i="23" s="1"/>
  <c r="J128" i="22"/>
  <c r="J253" i="22"/>
  <c r="I253" i="22"/>
  <c r="H253" i="23" s="1"/>
  <c r="J95" i="22"/>
  <c r="I95" i="22"/>
  <c r="H95" i="23" s="1"/>
  <c r="I278" i="22"/>
  <c r="H278" i="23" s="1"/>
  <c r="J278" i="22"/>
  <c r="I111" i="22"/>
  <c r="H111" i="23" s="1"/>
  <c r="J111" i="22"/>
  <c r="J17" i="22"/>
  <c r="I17" i="22"/>
  <c r="H17" i="23" s="1"/>
  <c r="J166" i="22"/>
  <c r="I166" i="22"/>
  <c r="H166" i="23" s="1"/>
  <c r="G169" i="25"/>
  <c r="CF169" i="6" s="1"/>
  <c r="AA169" i="25"/>
  <c r="Z169" i="25" s="1"/>
  <c r="Y169" i="25" s="1"/>
  <c r="AA333" i="25"/>
  <c r="Z333" i="25" s="1"/>
  <c r="Y333" i="25" s="1"/>
  <c r="G333" i="25"/>
  <c r="CF333" i="6" s="1"/>
  <c r="J132" i="23"/>
  <c r="I132" i="23"/>
  <c r="H132" i="24" s="1"/>
  <c r="AA153" i="24"/>
  <c r="Z153" i="24" s="1"/>
  <c r="Y153" i="24" s="1"/>
  <c r="G153" i="24"/>
  <c r="CE153" i="6" s="1"/>
  <c r="G235" i="24"/>
  <c r="CE235" i="6" s="1"/>
  <c r="AA235" i="24"/>
  <c r="Z235" i="24" s="1"/>
  <c r="Y235" i="24" s="1"/>
  <c r="I103" i="23"/>
  <c r="H103" i="24" s="1"/>
  <c r="J103" i="23"/>
  <c r="I152" i="23"/>
  <c r="H152" i="24" s="1"/>
  <c r="J152" i="23"/>
  <c r="I252" i="23"/>
  <c r="H252" i="24" s="1"/>
  <c r="J252" i="23"/>
  <c r="W204" i="25"/>
  <c r="D204" i="25"/>
  <c r="E204" i="25" s="1"/>
  <c r="F204" i="25" s="1"/>
  <c r="I222" i="23"/>
  <c r="H222" i="24" s="1"/>
  <c r="J222" i="23"/>
  <c r="W366" i="25"/>
  <c r="D366" i="25"/>
  <c r="E366" i="25" s="1"/>
  <c r="F366" i="25" s="1"/>
  <c r="G68" i="24"/>
  <c r="CE68" i="6" s="1"/>
  <c r="AA68" i="24"/>
  <c r="Z68" i="24" s="1"/>
  <c r="Y68" i="24" s="1"/>
  <c r="W377" i="25"/>
  <c r="D377" i="25"/>
  <c r="E377" i="25" s="1"/>
  <c r="F377" i="25" s="1"/>
  <c r="G279" i="24"/>
  <c r="CE279" i="6" s="1"/>
  <c r="AA279" i="24"/>
  <c r="Z279" i="24" s="1"/>
  <c r="Y279" i="24" s="1"/>
  <c r="J225" i="23"/>
  <c r="I225" i="23"/>
  <c r="H225" i="24" s="1"/>
  <c r="W165" i="25"/>
  <c r="D165" i="25"/>
  <c r="E165" i="25" s="1"/>
  <c r="F165" i="25" s="1"/>
  <c r="G91" i="24"/>
  <c r="CE91" i="6" s="1"/>
  <c r="AA91" i="24"/>
  <c r="Z91" i="24" s="1"/>
  <c r="Y91" i="24" s="1"/>
  <c r="W91" i="25"/>
  <c r="D91" i="25"/>
  <c r="E91" i="25" s="1"/>
  <c r="F91" i="25" s="1"/>
  <c r="J26" i="22"/>
  <c r="I26" i="22"/>
  <c r="H26" i="23" s="1"/>
  <c r="G330" i="24"/>
  <c r="CE330" i="6" s="1"/>
  <c r="AA330" i="24"/>
  <c r="Z330" i="24" s="1"/>
  <c r="Y330" i="24" s="1"/>
  <c r="I292" i="23"/>
  <c r="H292" i="24" s="1"/>
  <c r="J292" i="23"/>
  <c r="G256" i="24"/>
  <c r="CE256" i="6" s="1"/>
  <c r="AA256" i="24"/>
  <c r="Z256" i="24" s="1"/>
  <c r="Y256" i="24" s="1"/>
  <c r="I184" i="23"/>
  <c r="H184" i="24" s="1"/>
  <c r="J184" i="23"/>
  <c r="G124" i="24"/>
  <c r="CE124" i="6" s="1"/>
  <c r="AA124" i="24"/>
  <c r="Z124" i="24" s="1"/>
  <c r="Y124" i="24" s="1"/>
  <c r="I151" i="23"/>
  <c r="H151" i="24" s="1"/>
  <c r="I49" i="23"/>
  <c r="H49" i="24" s="1"/>
  <c r="AA31" i="24"/>
  <c r="Z31" i="24" s="1"/>
  <c r="Y31" i="24" s="1"/>
  <c r="G31" i="24"/>
  <c r="CE31" i="6" s="1"/>
  <c r="G318" i="24"/>
  <c r="CE318" i="6" s="1"/>
  <c r="AA318" i="24"/>
  <c r="Z318" i="24" s="1"/>
  <c r="Y318" i="24" s="1"/>
  <c r="G254" i="24"/>
  <c r="CE254" i="6" s="1"/>
  <c r="AA254" i="24"/>
  <c r="Z254" i="24" s="1"/>
  <c r="Y254" i="24" s="1"/>
  <c r="W106" i="25"/>
  <c r="D106" i="25"/>
  <c r="E106" i="25" s="1"/>
  <c r="F106" i="25" s="1"/>
  <c r="F15" i="24"/>
  <c r="Y15" i="20"/>
  <c r="G62" i="25"/>
  <c r="CF62" i="6" s="1"/>
  <c r="AA62" i="25"/>
  <c r="Z62" i="25" s="1"/>
  <c r="Y62" i="25" s="1"/>
  <c r="G310" i="25"/>
  <c r="CF310" i="6" s="1"/>
  <c r="AA310" i="25"/>
  <c r="Z310" i="25" s="1"/>
  <c r="Y310" i="25" s="1"/>
  <c r="G356" i="25"/>
  <c r="CF356" i="6" s="1"/>
  <c r="AA356" i="25"/>
  <c r="Z356" i="25" s="1"/>
  <c r="Y356" i="25" s="1"/>
  <c r="G198" i="25"/>
  <c r="CF198" i="6" s="1"/>
  <c r="AA198" i="25"/>
  <c r="Z198" i="25" s="1"/>
  <c r="Y198" i="25" s="1"/>
  <c r="I102" i="22"/>
  <c r="H102" i="23" s="1"/>
  <c r="J102" i="22"/>
  <c r="I44" i="22"/>
  <c r="H44" i="23" s="1"/>
  <c r="J44" i="22"/>
  <c r="I36" i="22"/>
  <c r="H36" i="23" s="1"/>
  <c r="J36" i="22"/>
  <c r="I133" i="22"/>
  <c r="H133" i="23" s="1"/>
  <c r="J133" i="22"/>
  <c r="J115" i="22"/>
  <c r="I115" i="22"/>
  <c r="H115" i="23" s="1"/>
  <c r="J304" i="22"/>
  <c r="I304" i="22"/>
  <c r="H304" i="23" s="1"/>
  <c r="I280" i="22"/>
  <c r="H280" i="23" s="1"/>
  <c r="J280" i="22"/>
  <c r="G307" i="25"/>
  <c r="CF307" i="6" s="1"/>
  <c r="AA307" i="25"/>
  <c r="Z307" i="25" s="1"/>
  <c r="Y307" i="25" s="1"/>
  <c r="J334" i="22"/>
  <c r="I334" i="22"/>
  <c r="H334" i="23" s="1"/>
  <c r="J258" i="23"/>
  <c r="I258" i="23"/>
  <c r="H258" i="24" s="1"/>
  <c r="J196" i="22"/>
  <c r="I196" i="22"/>
  <c r="H196" i="23" s="1"/>
  <c r="G271" i="25"/>
  <c r="CF271" i="6" s="1"/>
  <c r="AA271" i="25"/>
  <c r="Z271" i="25" s="1"/>
  <c r="Y271" i="25" s="1"/>
  <c r="G228" i="25"/>
  <c r="CF228" i="6" s="1"/>
  <c r="AA228" i="25"/>
  <c r="Z228" i="25" s="1"/>
  <c r="Y228" i="25" s="1"/>
  <c r="I82" i="23"/>
  <c r="H82" i="24" s="1"/>
  <c r="J82" i="23"/>
  <c r="W54" i="25"/>
  <c r="D54" i="25"/>
  <c r="E54" i="25" s="1"/>
  <c r="F54" i="25" s="1"/>
  <c r="G213" i="24"/>
  <c r="CE213" i="6" s="1"/>
  <c r="AA213" i="24"/>
  <c r="Z213" i="24" s="1"/>
  <c r="Y213" i="24" s="1"/>
  <c r="G113" i="24"/>
  <c r="CE113" i="6" s="1"/>
  <c r="AA113" i="24"/>
  <c r="Z113" i="24" s="1"/>
  <c r="Y113" i="24" s="1"/>
  <c r="W26" i="25"/>
  <c r="D26" i="25"/>
  <c r="E26" i="25" s="1"/>
  <c r="F26" i="25" s="1"/>
  <c r="I350" i="23"/>
  <c r="H350" i="24" s="1"/>
  <c r="J350" i="23"/>
  <c r="W174" i="25"/>
  <c r="D174" i="25"/>
  <c r="E174" i="25" s="1"/>
  <c r="F174" i="25" s="1"/>
  <c r="J38" i="23"/>
  <c r="I38" i="23"/>
  <c r="H38" i="24" s="1"/>
  <c r="AA100" i="24"/>
  <c r="Z100" i="24" s="1"/>
  <c r="Y100" i="24" s="1"/>
  <c r="G100" i="24"/>
  <c r="CE100" i="6" s="1"/>
  <c r="W229" i="25"/>
  <c r="D229" i="25"/>
  <c r="E229" i="25" s="1"/>
  <c r="F229" i="25" s="1"/>
  <c r="W306" i="25"/>
  <c r="D306" i="25"/>
  <c r="E306" i="25" s="1"/>
  <c r="F306" i="25" s="1"/>
  <c r="J299" i="23"/>
  <c r="I299" i="23"/>
  <c r="H299" i="24" s="1"/>
  <c r="G207" i="24"/>
  <c r="CE207" i="6" s="1"/>
  <c r="AA207" i="24"/>
  <c r="Z207" i="24" s="1"/>
  <c r="Y207" i="24" s="1"/>
  <c r="W64" i="25"/>
  <c r="D64" i="25"/>
  <c r="E64" i="25" s="1"/>
  <c r="F64" i="25" s="1"/>
  <c r="W338" i="25"/>
  <c r="D338" i="25"/>
  <c r="E338" i="25" s="1"/>
  <c r="F338" i="25" s="1"/>
  <c r="G224" i="24"/>
  <c r="CE224" i="6" s="1"/>
  <c r="AA224" i="24"/>
  <c r="Z224" i="24" s="1"/>
  <c r="Y224" i="24" s="1"/>
  <c r="I200" i="23"/>
  <c r="H200" i="24" s="1"/>
  <c r="G190" i="25"/>
  <c r="CF190" i="6" s="1"/>
  <c r="AA190" i="25"/>
  <c r="Z190" i="25" s="1"/>
  <c r="Y190" i="25" s="1"/>
  <c r="I158" i="23"/>
  <c r="H158" i="24" s="1"/>
  <c r="I20" i="23"/>
  <c r="H20" i="24" s="1"/>
  <c r="G313" i="24"/>
  <c r="CE313" i="6" s="1"/>
  <c r="AA313" i="24"/>
  <c r="Z313" i="24" s="1"/>
  <c r="Y313" i="24" s="1"/>
  <c r="W231" i="25"/>
  <c r="D231" i="25"/>
  <c r="E231" i="25" s="1"/>
  <c r="F231" i="25" s="1"/>
  <c r="W181" i="25"/>
  <c r="D181" i="25"/>
  <c r="E181" i="25" s="1"/>
  <c r="F181" i="25" s="1"/>
  <c r="W175" i="25"/>
  <c r="D175" i="25"/>
  <c r="E175" i="25" s="1"/>
  <c r="F175" i="25" s="1"/>
  <c r="J148" i="22"/>
  <c r="I148" i="22"/>
  <c r="H148" i="23" s="1"/>
  <c r="J155" i="22"/>
  <c r="I155" i="22"/>
  <c r="H155" i="23" s="1"/>
  <c r="I22" i="22"/>
  <c r="H22" i="23" s="1"/>
  <c r="J22" i="22"/>
  <c r="I226" i="22"/>
  <c r="H226" i="23" s="1"/>
  <c r="J226" i="22"/>
  <c r="AA108" i="25"/>
  <c r="Z108" i="25" s="1"/>
  <c r="Y108" i="25" s="1"/>
  <c r="G108" i="25"/>
  <c r="CF108" i="6" s="1"/>
  <c r="G173" i="25"/>
  <c r="CF173" i="6" s="1"/>
  <c r="AA173" i="25"/>
  <c r="Z173" i="25" s="1"/>
  <c r="Y173" i="25" s="1"/>
  <c r="AA89" i="25"/>
  <c r="Z89" i="25" s="1"/>
  <c r="Y89" i="25" s="1"/>
  <c r="G89" i="25"/>
  <c r="CF89" i="6" s="1"/>
  <c r="G265" i="25"/>
  <c r="CF265" i="6" s="1"/>
  <c r="AA265" i="25"/>
  <c r="Z265" i="25" s="1"/>
  <c r="Y265" i="25" s="1"/>
  <c r="G249" i="25"/>
  <c r="CF249" i="6" s="1"/>
  <c r="AA249" i="25"/>
  <c r="Z249" i="25" s="1"/>
  <c r="Y249" i="25" s="1"/>
  <c r="G159" i="25"/>
  <c r="CF159" i="6" s="1"/>
  <c r="AA159" i="25"/>
  <c r="Z159" i="25" s="1"/>
  <c r="Y159" i="25" s="1"/>
  <c r="AA77" i="25"/>
  <c r="Z77" i="25" s="1"/>
  <c r="Y77" i="25" s="1"/>
  <c r="G77" i="25"/>
  <c r="CF77" i="6" s="1"/>
  <c r="G130" i="25"/>
  <c r="CF130" i="6" s="1"/>
  <c r="AA130" i="25"/>
  <c r="Z130" i="25" s="1"/>
  <c r="Y130" i="25" s="1"/>
  <c r="G210" i="25"/>
  <c r="CF210" i="6" s="1"/>
  <c r="AA210" i="25"/>
  <c r="Z210" i="25" s="1"/>
  <c r="Y210" i="25" s="1"/>
  <c r="G24" i="25"/>
  <c r="CF24" i="6" s="1"/>
  <c r="AA24" i="25"/>
  <c r="Z24" i="25" s="1"/>
  <c r="Y24" i="25" s="1"/>
  <c r="G345" i="25"/>
  <c r="CF345" i="6" s="1"/>
  <c r="AA345" i="25"/>
  <c r="Z345" i="25" s="1"/>
  <c r="Y345" i="25" s="1"/>
  <c r="AA262" i="25"/>
  <c r="Z262" i="25" s="1"/>
  <c r="Y262" i="25" s="1"/>
  <c r="G262" i="25"/>
  <c r="CF262" i="6" s="1"/>
  <c r="G202" i="25"/>
  <c r="CF202" i="6" s="1"/>
  <c r="AA202" i="25"/>
  <c r="Z202" i="25" s="1"/>
  <c r="Y202" i="25" s="1"/>
  <c r="W34" i="25"/>
  <c r="D34" i="25"/>
  <c r="E34" i="25" s="1"/>
  <c r="F34" i="25" s="1"/>
  <c r="G34" i="24"/>
  <c r="CE34" i="6" s="1"/>
  <c r="AA34" i="24"/>
  <c r="Z34" i="24" s="1"/>
  <c r="Y34" i="24" s="1"/>
  <c r="G327" i="24"/>
  <c r="CE327" i="6" s="1"/>
  <c r="AA327" i="24"/>
  <c r="Z327" i="24" s="1"/>
  <c r="Y327" i="24" s="1"/>
  <c r="W285" i="25"/>
  <c r="D285" i="25"/>
  <c r="E285" i="25" s="1"/>
  <c r="F285" i="25" s="1"/>
  <c r="I320" i="22"/>
  <c r="H320" i="23" s="1"/>
  <c r="J320" i="22"/>
  <c r="J260" i="22"/>
  <c r="I260" i="22"/>
  <c r="H260" i="23" s="1"/>
  <c r="J220" i="22"/>
  <c r="I220" i="22"/>
  <c r="H220" i="23" s="1"/>
  <c r="I104" i="22"/>
  <c r="H104" i="23" s="1"/>
  <c r="J104" i="22"/>
  <c r="J84" i="22"/>
  <c r="I84" i="22"/>
  <c r="H84" i="23" s="1"/>
  <c r="J42" i="22"/>
  <c r="I42" i="22"/>
  <c r="H42" i="23" s="1"/>
  <c r="J210" i="22"/>
  <c r="I210" i="22"/>
  <c r="H210" i="23" s="1"/>
  <c r="J319" i="22"/>
  <c r="I319" i="22"/>
  <c r="H319" i="23" s="1"/>
  <c r="G369" i="25"/>
  <c r="CF369" i="6" s="1"/>
  <c r="AA369" i="25"/>
  <c r="Z369" i="25" s="1"/>
  <c r="Y369" i="25" s="1"/>
  <c r="G376" i="25"/>
  <c r="CF376" i="6" s="1"/>
  <c r="AA376" i="25"/>
  <c r="Z376" i="25" s="1"/>
  <c r="Y376" i="25" s="1"/>
  <c r="AA312" i="24"/>
  <c r="Z312" i="24" s="1"/>
  <c r="Y312" i="24" s="1"/>
  <c r="G312" i="24"/>
  <c r="CE312" i="6" s="1"/>
  <c r="W134" i="25"/>
  <c r="D134" i="25"/>
  <c r="E134" i="25" s="1"/>
  <c r="F134" i="25" s="1"/>
  <c r="I27" i="22"/>
  <c r="H27" i="23" s="1"/>
  <c r="J27" i="22"/>
  <c r="I193" i="23"/>
  <c r="H193" i="24" s="1"/>
  <c r="J193" i="23"/>
  <c r="W348" i="25"/>
  <c r="D348" i="25"/>
  <c r="E348" i="25" s="1"/>
  <c r="F348" i="25" s="1"/>
  <c r="G348" i="24"/>
  <c r="CE348" i="6" s="1"/>
  <c r="AA348" i="24"/>
  <c r="Z348" i="24" s="1"/>
  <c r="Y348" i="24" s="1"/>
  <c r="G218" i="24"/>
  <c r="CE218" i="6" s="1"/>
  <c r="AA218" i="24"/>
  <c r="Z218" i="24" s="1"/>
  <c r="Y218" i="24" s="1"/>
  <c r="W112" i="25"/>
  <c r="D112" i="25"/>
  <c r="E112" i="25" s="1"/>
  <c r="F112" i="25" s="1"/>
  <c r="W201" i="25"/>
  <c r="D201" i="25"/>
  <c r="E201" i="25" s="1"/>
  <c r="F201" i="25" s="1"/>
  <c r="W87" i="25"/>
  <c r="D87" i="25"/>
  <c r="E87" i="25" s="1"/>
  <c r="F87" i="25" s="1"/>
  <c r="G15" i="23"/>
  <c r="CD15" i="6" s="1"/>
  <c r="AA15" i="23"/>
  <c r="G76" i="25"/>
  <c r="CF76" i="6" s="1"/>
  <c r="AA76" i="25"/>
  <c r="Z76" i="25" s="1"/>
  <c r="Y76" i="25" s="1"/>
  <c r="G236" i="25"/>
  <c r="CF236" i="6" s="1"/>
  <c r="AA236" i="25"/>
  <c r="Z236" i="25" s="1"/>
  <c r="Y236" i="25" s="1"/>
  <c r="I310" i="22"/>
  <c r="H310" i="23" s="1"/>
  <c r="J310" i="22"/>
  <c r="G340" i="25"/>
  <c r="CF340" i="6" s="1"/>
  <c r="AA340" i="25"/>
  <c r="Z340" i="25" s="1"/>
  <c r="Y340" i="25" s="1"/>
  <c r="AA86" i="24"/>
  <c r="Z86" i="24" s="1"/>
  <c r="Y86" i="24" s="1"/>
  <c r="G86" i="24"/>
  <c r="CE86" i="6" s="1"/>
  <c r="I341" i="23"/>
  <c r="H341" i="24" s="1"/>
  <c r="G293" i="24"/>
  <c r="CE293" i="6" s="1"/>
  <c r="AA293" i="24"/>
  <c r="Z293" i="24" s="1"/>
  <c r="Y293" i="24" s="1"/>
  <c r="I114" i="22"/>
  <c r="H114" i="23" s="1"/>
  <c r="J114" i="22"/>
  <c r="J66" i="22"/>
  <c r="I66" i="22"/>
  <c r="H66" i="23" s="1"/>
  <c r="J216" i="22"/>
  <c r="I216" i="22"/>
  <c r="H216" i="23" s="1"/>
  <c r="I105" i="22"/>
  <c r="H105" i="23" s="1"/>
  <c r="J105" i="22"/>
  <c r="I119" i="22"/>
  <c r="H119" i="23" s="1"/>
  <c r="J119" i="22"/>
  <c r="AA164" i="25"/>
  <c r="Z164" i="25" s="1"/>
  <c r="Y164" i="25" s="1"/>
  <c r="G164" i="25"/>
  <c r="CF164" i="6" s="1"/>
  <c r="I203" i="22"/>
  <c r="H203" i="23" s="1"/>
  <c r="J203" i="22"/>
  <c r="J61" i="22"/>
  <c r="I61" i="22"/>
  <c r="H61" i="23" s="1"/>
  <c r="I307" i="22"/>
  <c r="H307" i="23" s="1"/>
  <c r="J307" i="22"/>
  <c r="J303" i="22"/>
  <c r="I303" i="22"/>
  <c r="H303" i="23" s="1"/>
  <c r="J88" i="22"/>
  <c r="I88" i="22"/>
  <c r="H88" i="23" s="1"/>
  <c r="J323" i="22"/>
  <c r="I323" i="22"/>
  <c r="H323" i="23" s="1"/>
  <c r="I277" i="22"/>
  <c r="H277" i="23" s="1"/>
  <c r="J277" i="22"/>
  <c r="I167" i="22"/>
  <c r="H167" i="23" s="1"/>
  <c r="J167" i="22"/>
  <c r="I272" i="22"/>
  <c r="H272" i="23" s="1"/>
  <c r="J272" i="22"/>
  <c r="I223" i="22"/>
  <c r="H223" i="23" s="1"/>
  <c r="J223" i="22"/>
  <c r="J249" i="22"/>
  <c r="I249" i="22"/>
  <c r="H249" i="23" s="1"/>
  <c r="I19" i="22"/>
  <c r="H19" i="23" s="1"/>
  <c r="J19" i="22"/>
  <c r="G322" i="24"/>
  <c r="CE322" i="6" s="1"/>
  <c r="AA322" i="24"/>
  <c r="Z322" i="24" s="1"/>
  <c r="Y322" i="24" s="1"/>
  <c r="W234" i="25"/>
  <c r="D234" i="25"/>
  <c r="E234" i="25" s="1"/>
  <c r="F234" i="25" s="1"/>
  <c r="W48" i="25"/>
  <c r="D48" i="25"/>
  <c r="E48" i="25" s="1"/>
  <c r="F48" i="25" s="1"/>
  <c r="G71" i="24"/>
  <c r="CE71" i="6" s="1"/>
  <c r="AA71" i="24"/>
  <c r="Z71" i="24" s="1"/>
  <c r="Y71" i="24" s="1"/>
  <c r="G21" i="24"/>
  <c r="CE21" i="6" s="1"/>
  <c r="AA21" i="24"/>
  <c r="Z21" i="24" s="1"/>
  <c r="Y21" i="24" s="1"/>
  <c r="AA282" i="24"/>
  <c r="Z282" i="24" s="1"/>
  <c r="Y282" i="24" s="1"/>
  <c r="G282" i="24"/>
  <c r="CE282" i="6" s="1"/>
  <c r="W230" i="25"/>
  <c r="D230" i="25"/>
  <c r="E230" i="25" s="1"/>
  <c r="F230" i="25" s="1"/>
  <c r="W118" i="25"/>
  <c r="D118" i="25"/>
  <c r="E118" i="25" s="1"/>
  <c r="F118" i="25" s="1"/>
  <c r="G92" i="24"/>
  <c r="CE92" i="6" s="1"/>
  <c r="AA92" i="24"/>
  <c r="Z92" i="24" s="1"/>
  <c r="Y92" i="24" s="1"/>
  <c r="G337" i="24"/>
  <c r="CE337" i="6" s="1"/>
  <c r="AA337" i="24"/>
  <c r="Z337" i="24" s="1"/>
  <c r="Y337" i="24" s="1"/>
  <c r="W257" i="25"/>
  <c r="D257" i="25"/>
  <c r="E257" i="25" s="1"/>
  <c r="F257" i="25" s="1"/>
  <c r="G179" i="24"/>
  <c r="CE179" i="6" s="1"/>
  <c r="AA179" i="24"/>
  <c r="Z179" i="24" s="1"/>
  <c r="Y179" i="24" s="1"/>
  <c r="J63" i="22"/>
  <c r="I63" i="22"/>
  <c r="H63" i="23" s="1"/>
  <c r="I46" i="22"/>
  <c r="H46" i="23" s="1"/>
  <c r="J46" i="22"/>
  <c r="I232" i="22"/>
  <c r="H232" i="23" s="1"/>
  <c r="J232" i="22"/>
  <c r="I76" i="22"/>
  <c r="H76" i="23" s="1"/>
  <c r="J76" i="22"/>
  <c r="J309" i="22"/>
  <c r="I309" i="22"/>
  <c r="H309" i="23" s="1"/>
  <c r="I332" i="22"/>
  <c r="H332" i="23" s="1"/>
  <c r="J332" i="22"/>
  <c r="J163" i="22"/>
  <c r="I163" i="22"/>
  <c r="H163" i="23" s="1"/>
  <c r="I311" i="22"/>
  <c r="H311" i="23" s="1"/>
  <c r="J311" i="22"/>
  <c r="I90" i="22"/>
  <c r="H90" i="23" s="1"/>
  <c r="J90" i="22"/>
  <c r="J137" i="22"/>
  <c r="I137" i="22"/>
  <c r="H137" i="23" s="1"/>
  <c r="J340" i="22"/>
  <c r="I340" i="22"/>
  <c r="H340" i="23" s="1"/>
  <c r="J290" i="22"/>
  <c r="I290" i="22"/>
  <c r="H290" i="23" s="1"/>
  <c r="J186" i="23"/>
  <c r="I186" i="23"/>
  <c r="H186" i="24" s="1"/>
  <c r="G102" i="25"/>
  <c r="CF102" i="6" s="1"/>
  <c r="AA102" i="25"/>
  <c r="Z102" i="25" s="1"/>
  <c r="Y102" i="25" s="1"/>
  <c r="G329" i="25"/>
  <c r="CF329" i="6" s="1"/>
  <c r="AA329" i="25"/>
  <c r="Z329" i="25" s="1"/>
  <c r="Y329" i="25" s="1"/>
  <c r="J237" i="22"/>
  <c r="I237" i="22"/>
  <c r="H237" i="23" s="1"/>
  <c r="G217" i="25"/>
  <c r="CF217" i="6" s="1"/>
  <c r="AA217" i="25"/>
  <c r="Z217" i="25" s="1"/>
  <c r="Y217" i="25" s="1"/>
  <c r="I262" i="22"/>
  <c r="H262" i="23" s="1"/>
  <c r="J262" i="22"/>
  <c r="G172" i="25"/>
  <c r="CF172" i="6" s="1"/>
  <c r="AA172" i="25"/>
  <c r="Z172" i="25" s="1"/>
  <c r="Y172" i="25" s="1"/>
  <c r="I259" i="22"/>
  <c r="H259" i="23" s="1"/>
  <c r="J259" i="22"/>
  <c r="J209" i="22"/>
  <c r="I209" i="22"/>
  <c r="H209" i="23" s="1"/>
  <c r="J195" i="22"/>
  <c r="I195" i="22"/>
  <c r="H195" i="23" s="1"/>
  <c r="I79" i="22"/>
  <c r="H79" i="23" s="1"/>
  <c r="J79" i="22"/>
  <c r="J33" i="22"/>
  <c r="I33" i="22"/>
  <c r="H33" i="23" s="1"/>
  <c r="AA196" i="24"/>
  <c r="Z196" i="24" s="1"/>
  <c r="Y196" i="24" s="1"/>
  <c r="G196" i="24"/>
  <c r="CE196" i="6" s="1"/>
  <c r="G203" i="25"/>
  <c r="CF203" i="6" s="1"/>
  <c r="AA203" i="25"/>
  <c r="Z203" i="25" s="1"/>
  <c r="Y203" i="25" s="1"/>
  <c r="AA132" i="24"/>
  <c r="Z132" i="24" s="1"/>
  <c r="Y132" i="24" s="1"/>
  <c r="G132" i="24"/>
  <c r="CE132" i="6" s="1"/>
  <c r="W251" i="25"/>
  <c r="D251" i="25"/>
  <c r="E251" i="25" s="1"/>
  <c r="F251" i="25" s="1"/>
  <c r="G103" i="24"/>
  <c r="CE103" i="6" s="1"/>
  <c r="AA103" i="24"/>
  <c r="Z103" i="24" s="1"/>
  <c r="Y103" i="24" s="1"/>
  <c r="W252" i="25"/>
  <c r="D252" i="25"/>
  <c r="E252" i="25" s="1"/>
  <c r="F252" i="25" s="1"/>
  <c r="W222" i="25"/>
  <c r="D222" i="25"/>
  <c r="E222" i="25" s="1"/>
  <c r="F222" i="25" s="1"/>
  <c r="G40" i="24"/>
  <c r="CE40" i="6" s="1"/>
  <c r="AA40" i="24"/>
  <c r="Z40" i="24" s="1"/>
  <c r="Y40" i="24" s="1"/>
  <c r="G343" i="24"/>
  <c r="CE343" i="6" s="1"/>
  <c r="AA343" i="24"/>
  <c r="Z343" i="24" s="1"/>
  <c r="Y343" i="24" s="1"/>
  <c r="G225" i="24"/>
  <c r="CE225" i="6" s="1"/>
  <c r="AA225" i="24"/>
  <c r="Z225" i="24" s="1"/>
  <c r="Y225" i="24" s="1"/>
  <c r="G117" i="24"/>
  <c r="CE117" i="6" s="1"/>
  <c r="AA117" i="24"/>
  <c r="Z117" i="24" s="1"/>
  <c r="Y117" i="24" s="1"/>
  <c r="G41" i="24"/>
  <c r="CE41" i="6" s="1"/>
  <c r="AA41" i="24"/>
  <c r="Z41" i="24" s="1"/>
  <c r="Y41" i="24" s="1"/>
  <c r="W41" i="25"/>
  <c r="D41" i="25"/>
  <c r="E41" i="25" s="1"/>
  <c r="F41" i="25" s="1"/>
  <c r="W364" i="25"/>
  <c r="D364" i="25"/>
  <c r="E364" i="25" s="1"/>
  <c r="F364" i="25" s="1"/>
  <c r="J330" i="23"/>
  <c r="I330" i="23"/>
  <c r="H330" i="24" s="1"/>
  <c r="AA292" i="24"/>
  <c r="Z292" i="24" s="1"/>
  <c r="Y292" i="24" s="1"/>
  <c r="G292" i="24"/>
  <c r="CE292" i="6" s="1"/>
  <c r="W184" i="25"/>
  <c r="D184" i="25"/>
  <c r="E184" i="25" s="1"/>
  <c r="F184" i="25" s="1"/>
  <c r="W151" i="25"/>
  <c r="D151" i="25"/>
  <c r="E151" i="25" s="1"/>
  <c r="F151" i="25" s="1"/>
  <c r="W39" i="25"/>
  <c r="D39" i="25"/>
  <c r="E39" i="25" s="1"/>
  <c r="F39" i="25" s="1"/>
  <c r="W144" i="25"/>
  <c r="D144" i="25"/>
  <c r="E144" i="25" s="1"/>
  <c r="F144" i="25" s="1"/>
  <c r="G94" i="25"/>
  <c r="CF94" i="6" s="1"/>
  <c r="AA94" i="25"/>
  <c r="Z94" i="25" s="1"/>
  <c r="Y94" i="25" s="1"/>
  <c r="W49" i="25"/>
  <c r="D49" i="25"/>
  <c r="E49" i="25" s="1"/>
  <c r="F49" i="25" s="1"/>
  <c r="W352" i="25"/>
  <c r="D352" i="25"/>
  <c r="E352" i="25" s="1"/>
  <c r="F352" i="25" s="1"/>
  <c r="W274" i="25"/>
  <c r="D274" i="25"/>
  <c r="E274" i="25" s="1"/>
  <c r="F274" i="25" s="1"/>
  <c r="W178" i="25"/>
  <c r="D178" i="25"/>
  <c r="E178" i="25" s="1"/>
  <c r="F178" i="25" s="1"/>
  <c r="G136" i="24"/>
  <c r="CE136" i="6" s="1"/>
  <c r="AA136" i="24"/>
  <c r="Z136" i="24" s="1"/>
  <c r="Y136" i="24" s="1"/>
  <c r="J271" i="22"/>
  <c r="I271" i="22"/>
  <c r="H271" i="23" s="1"/>
  <c r="I89" i="22"/>
  <c r="H89" i="23" s="1"/>
  <c r="J89" i="22"/>
  <c r="I130" i="22"/>
  <c r="H130" i="23" s="1"/>
  <c r="J130" i="22"/>
  <c r="I161" i="22"/>
  <c r="H161" i="23" s="1"/>
  <c r="J161" i="22"/>
  <c r="I257" i="22"/>
  <c r="H257" i="23" s="1"/>
  <c r="J257" i="22"/>
  <c r="I255" i="22"/>
  <c r="H255" i="23" s="1"/>
  <c r="J255" i="22"/>
  <c r="I194" i="22"/>
  <c r="H194" i="23" s="1"/>
  <c r="J194" i="22"/>
  <c r="J283" i="22"/>
  <c r="I283" i="22"/>
  <c r="H283" i="23" s="1"/>
  <c r="J248" i="22"/>
  <c r="I248" i="22"/>
  <c r="H248" i="23" s="1"/>
  <c r="J67" i="22"/>
  <c r="I67" i="22"/>
  <c r="H67" i="23" s="1"/>
  <c r="I60" i="22"/>
  <c r="H60" i="23" s="1"/>
  <c r="J60" i="22"/>
  <c r="G81" i="25"/>
  <c r="CF81" i="6" s="1"/>
  <c r="AA81" i="25"/>
  <c r="Z81" i="25" s="1"/>
  <c r="Y81" i="25" s="1"/>
  <c r="G321" i="25"/>
  <c r="CF321" i="6" s="1"/>
  <c r="AA321" i="25"/>
  <c r="Z321" i="25" s="1"/>
  <c r="Y321" i="25" s="1"/>
  <c r="AA289" i="25"/>
  <c r="Z289" i="25" s="1"/>
  <c r="Y289" i="25" s="1"/>
  <c r="G289" i="25"/>
  <c r="CF289" i="6" s="1"/>
  <c r="G290" i="25"/>
  <c r="CF290" i="6" s="1"/>
  <c r="AA290" i="25"/>
  <c r="Z290" i="25" s="1"/>
  <c r="Y290" i="25" s="1"/>
  <c r="AA206" i="25"/>
  <c r="Z206" i="25" s="1"/>
  <c r="Y206" i="25" s="1"/>
  <c r="G206" i="25"/>
  <c r="CF206" i="6" s="1"/>
  <c r="G357" i="25"/>
  <c r="CF357" i="6" s="1"/>
  <c r="AA357" i="25"/>
  <c r="Z357" i="25" s="1"/>
  <c r="Y357" i="25" s="1"/>
  <c r="W258" i="25"/>
  <c r="D258" i="25"/>
  <c r="E258" i="25" s="1"/>
  <c r="F258" i="25" s="1"/>
  <c r="AA260" i="25"/>
  <c r="Z260" i="25" s="1"/>
  <c r="Y260" i="25" s="1"/>
  <c r="G260" i="25"/>
  <c r="CF260" i="6" s="1"/>
  <c r="G220" i="25"/>
  <c r="CF220" i="6" s="1"/>
  <c r="AA220" i="25"/>
  <c r="Z220" i="25" s="1"/>
  <c r="Y220" i="25" s="1"/>
  <c r="G140" i="25"/>
  <c r="CF140" i="6" s="1"/>
  <c r="AA140" i="25"/>
  <c r="Z140" i="25" s="1"/>
  <c r="Y140" i="25" s="1"/>
  <c r="G110" i="25"/>
  <c r="CF110" i="6" s="1"/>
  <c r="AA110" i="25"/>
  <c r="Z110" i="25" s="1"/>
  <c r="Y110" i="25" s="1"/>
  <c r="G84" i="25"/>
  <c r="CF84" i="6" s="1"/>
  <c r="AA84" i="25"/>
  <c r="Z84" i="25" s="1"/>
  <c r="Y84" i="25" s="1"/>
  <c r="G42" i="25"/>
  <c r="CF42" i="6" s="1"/>
  <c r="AA42" i="25"/>
  <c r="Z42" i="25" s="1"/>
  <c r="Y42" i="25" s="1"/>
  <c r="J347" i="22"/>
  <c r="I347" i="22"/>
  <c r="H347" i="23" s="1"/>
  <c r="I298" i="22"/>
  <c r="H298" i="23" s="1"/>
  <c r="J298" i="22"/>
  <c r="G253" i="25"/>
  <c r="CF253" i="6" s="1"/>
  <c r="AA253" i="25"/>
  <c r="Z253" i="25" s="1"/>
  <c r="Y253" i="25" s="1"/>
  <c r="G95" i="25"/>
  <c r="CF95" i="6" s="1"/>
  <c r="AA95" i="25"/>
  <c r="Z95" i="25" s="1"/>
  <c r="Y95" i="25" s="1"/>
  <c r="G216" i="25"/>
  <c r="CF216" i="6" s="1"/>
  <c r="AA216" i="25"/>
  <c r="Z216" i="25" s="1"/>
  <c r="Y216" i="25" s="1"/>
  <c r="G227" i="25"/>
  <c r="CF227" i="6" s="1"/>
  <c r="AA227" i="25"/>
  <c r="Z227" i="25" s="1"/>
  <c r="Y227" i="25" s="1"/>
  <c r="G208" i="25"/>
  <c r="CF208" i="6" s="1"/>
  <c r="AA208" i="25"/>
  <c r="Z208" i="25" s="1"/>
  <c r="Y208" i="25" s="1"/>
  <c r="G16" i="25"/>
  <c r="CF16" i="6" s="1"/>
  <c r="AA16" i="25"/>
  <c r="Z16" i="25" s="1"/>
  <c r="Y16" i="25" s="1"/>
  <c r="I135" i="22"/>
  <c r="H135" i="23" s="1"/>
  <c r="J135" i="22"/>
  <c r="J189" i="22"/>
  <c r="I189" i="22"/>
  <c r="H189" i="23" s="1"/>
  <c r="J169" i="22"/>
  <c r="I169" i="22"/>
  <c r="H169" i="23" s="1"/>
  <c r="I154" i="22"/>
  <c r="H154" i="23" s="1"/>
  <c r="J154" i="22"/>
  <c r="I267" i="22"/>
  <c r="H267" i="23" s="1"/>
  <c r="J267" i="22"/>
  <c r="I263" i="22"/>
  <c r="H263" i="23" s="1"/>
  <c r="J263" i="22"/>
  <c r="J99" i="22"/>
  <c r="I99" i="22"/>
  <c r="H99" i="23" s="1"/>
  <c r="I197" i="22"/>
  <c r="H197" i="23" s="1"/>
  <c r="J197" i="22"/>
  <c r="J75" i="22"/>
  <c r="I75" i="22"/>
  <c r="H75" i="23" s="1"/>
  <c r="I159" i="22"/>
  <c r="H159" i="23" s="1"/>
  <c r="J159" i="22"/>
  <c r="J83" i="22"/>
  <c r="I83" i="22"/>
  <c r="H83" i="23" s="1"/>
  <c r="I302" i="22"/>
  <c r="H302" i="23" s="1"/>
  <c r="J302" i="22"/>
  <c r="W82" i="25"/>
  <c r="D82" i="25"/>
  <c r="E82" i="25" s="1"/>
  <c r="F82" i="25" s="1"/>
  <c r="G30" i="24"/>
  <c r="CE30" i="6" s="1"/>
  <c r="AA30" i="24"/>
  <c r="Z30" i="24" s="1"/>
  <c r="Y30" i="24" s="1"/>
  <c r="G315" i="24"/>
  <c r="CE315" i="6" s="1"/>
  <c r="AA315" i="24"/>
  <c r="Z315" i="24" s="1"/>
  <c r="Y315" i="24" s="1"/>
  <c r="W239" i="25"/>
  <c r="D239" i="25"/>
  <c r="E239" i="25" s="1"/>
  <c r="F239" i="25" s="1"/>
  <c r="I213" i="23"/>
  <c r="H213" i="24" s="1"/>
  <c r="W129" i="25"/>
  <c r="D129" i="25"/>
  <c r="E129" i="25" s="1"/>
  <c r="F129" i="25" s="1"/>
  <c r="W350" i="25"/>
  <c r="D350" i="25"/>
  <c r="E350" i="25" s="1"/>
  <c r="F350" i="25" s="1"/>
  <c r="G38" i="24"/>
  <c r="CE38" i="6" s="1"/>
  <c r="AA38" i="24"/>
  <c r="Z38" i="24" s="1"/>
  <c r="Y38" i="24" s="1"/>
  <c r="G32" i="24"/>
  <c r="CE32" i="6" s="1"/>
  <c r="AA32" i="24"/>
  <c r="Z32" i="24" s="1"/>
  <c r="Y32" i="24" s="1"/>
  <c r="W32" i="25"/>
  <c r="D32" i="25"/>
  <c r="E32" i="25" s="1"/>
  <c r="F32" i="25" s="1"/>
  <c r="AA353" i="24"/>
  <c r="Z353" i="24" s="1"/>
  <c r="Y353" i="24" s="1"/>
  <c r="G353" i="24"/>
  <c r="CE353" i="6" s="1"/>
  <c r="G299" i="24"/>
  <c r="CE299" i="6" s="1"/>
  <c r="AA299" i="24"/>
  <c r="Z299" i="24" s="1"/>
  <c r="Y299" i="24" s="1"/>
  <c r="G205" i="24"/>
  <c r="CE205" i="6" s="1"/>
  <c r="AA205" i="24"/>
  <c r="Z205" i="24" s="1"/>
  <c r="Y205" i="24" s="1"/>
  <c r="W205" i="25"/>
  <c r="D205" i="25"/>
  <c r="E205" i="25" s="1"/>
  <c r="F205" i="25" s="1"/>
  <c r="G358" i="24"/>
  <c r="CE358" i="6" s="1"/>
  <c r="AA358" i="24"/>
  <c r="Z358" i="24" s="1"/>
  <c r="Y358" i="24" s="1"/>
  <c r="I338" i="23"/>
  <c r="H338" i="24" s="1"/>
  <c r="G200" i="24"/>
  <c r="CE200" i="6" s="1"/>
  <c r="AA200" i="24"/>
  <c r="Z200" i="24" s="1"/>
  <c r="Y200" i="24" s="1"/>
  <c r="W158" i="25"/>
  <c r="D158" i="25"/>
  <c r="E158" i="25" s="1"/>
  <c r="F158" i="25" s="1"/>
  <c r="W20" i="25"/>
  <c r="D20" i="25"/>
  <c r="E20" i="25" s="1"/>
  <c r="F20" i="25" s="1"/>
  <c r="G371" i="24"/>
  <c r="CE371" i="6" s="1"/>
  <c r="AA371" i="24"/>
  <c r="Z371" i="24" s="1"/>
  <c r="Y371" i="24" s="1"/>
  <c r="W215" i="25"/>
  <c r="D215" i="25"/>
  <c r="E215" i="25" s="1"/>
  <c r="F215" i="25" s="1"/>
  <c r="W123" i="25"/>
  <c r="D123" i="25"/>
  <c r="E123" i="25" s="1"/>
  <c r="F123" i="25" s="1"/>
  <c r="J281" i="22"/>
  <c r="I281" i="22"/>
  <c r="H281" i="23" s="1"/>
  <c r="G375" i="24"/>
  <c r="CE375" i="6" s="1"/>
  <c r="AA375" i="24"/>
  <c r="Z375" i="24" s="1"/>
  <c r="Y375" i="24" s="1"/>
  <c r="G301" i="24"/>
  <c r="CE301" i="6" s="1"/>
  <c r="AA301" i="24"/>
  <c r="Z301" i="24" s="1"/>
  <c r="Y301" i="24" s="1"/>
  <c r="AA211" i="24"/>
  <c r="Z211" i="24" s="1"/>
  <c r="Y211" i="24" s="1"/>
  <c r="G211" i="24"/>
  <c r="CE211" i="6" s="1"/>
  <c r="W211" i="25"/>
  <c r="D211" i="25"/>
  <c r="E211" i="25" s="1"/>
  <c r="F211" i="25" s="1"/>
  <c r="W141" i="25"/>
  <c r="D141" i="25"/>
  <c r="E141" i="25" s="1"/>
  <c r="F141" i="25" s="1"/>
  <c r="AA294" i="25"/>
  <c r="Z294" i="25" s="1"/>
  <c r="Y294" i="25" s="1"/>
  <c r="G294" i="25"/>
  <c r="CF294" i="6" s="1"/>
  <c r="J157" i="22"/>
  <c r="I157" i="22"/>
  <c r="H157" i="23" s="1"/>
  <c r="I98" i="22"/>
  <c r="H98" i="23" s="1"/>
  <c r="J98" i="22"/>
  <c r="J236" i="22"/>
  <c r="I236" i="22"/>
  <c r="H236" i="23" s="1"/>
  <c r="J289" i="22"/>
  <c r="I289" i="22"/>
  <c r="H289" i="23" s="1"/>
  <c r="J314" i="22"/>
  <c r="I314" i="22"/>
  <c r="H314" i="23" s="1"/>
  <c r="I264" i="22"/>
  <c r="H264" i="23" s="1"/>
  <c r="J264" i="22"/>
  <c r="I214" i="22"/>
  <c r="H214" i="23" s="1"/>
  <c r="J214" i="22"/>
  <c r="J206" i="22"/>
  <c r="I206" i="22"/>
  <c r="H206" i="23" s="1"/>
  <c r="I198" i="22"/>
  <c r="H198" i="23" s="1"/>
  <c r="J198" i="22"/>
  <c r="AA36" i="25"/>
  <c r="Z36" i="25" s="1"/>
  <c r="Y36" i="25" s="1"/>
  <c r="G36" i="25"/>
  <c r="CF36" i="6" s="1"/>
  <c r="G243" i="25"/>
  <c r="CF243" i="6" s="1"/>
  <c r="AA243" i="25"/>
  <c r="Z243" i="25" s="1"/>
  <c r="Y243" i="25" s="1"/>
  <c r="G85" i="25"/>
  <c r="CF85" i="6" s="1"/>
  <c r="AA85" i="25"/>
  <c r="Z85" i="25" s="1"/>
  <c r="Y85" i="25" s="1"/>
  <c r="G324" i="25"/>
  <c r="CF324" i="6" s="1"/>
  <c r="AA324" i="25"/>
  <c r="Z324" i="25" s="1"/>
  <c r="Y324" i="25" s="1"/>
  <c r="G280" i="25"/>
  <c r="CF280" i="6" s="1"/>
  <c r="AA280" i="25"/>
  <c r="Z280" i="25" s="1"/>
  <c r="Y280" i="25" s="1"/>
  <c r="J138" i="22"/>
  <c r="I138" i="22"/>
  <c r="H138" i="23" s="1"/>
  <c r="G122" i="25"/>
  <c r="CF122" i="6" s="1"/>
  <c r="AA122" i="25"/>
  <c r="Z122" i="25" s="1"/>
  <c r="Y122" i="25" s="1"/>
  <c r="I28" i="22"/>
  <c r="H28" i="23" s="1"/>
  <c r="J28" i="22"/>
  <c r="G18" i="25"/>
  <c r="CF18" i="6" s="1"/>
  <c r="AA18" i="25"/>
  <c r="Z18" i="25" s="1"/>
  <c r="Y18" i="25" s="1"/>
  <c r="AA326" i="24"/>
  <c r="Z326" i="24" s="1"/>
  <c r="Y326" i="24" s="1"/>
  <c r="G326" i="24"/>
  <c r="CE326" i="6" s="1"/>
  <c r="J294" i="22"/>
  <c r="I294" i="22"/>
  <c r="H294" i="23" s="1"/>
  <c r="W188" i="25"/>
  <c r="D188" i="25"/>
  <c r="E188" i="25" s="1"/>
  <c r="F188" i="25" s="1"/>
  <c r="AA96" i="24"/>
  <c r="Z96" i="24" s="1"/>
  <c r="Y96" i="24" s="1"/>
  <c r="G96" i="24"/>
  <c r="CE96" i="6" s="1"/>
  <c r="I293" i="22"/>
  <c r="H293" i="23" s="1"/>
  <c r="J293" i="22"/>
  <c r="J221" i="22"/>
  <c r="I221" i="22"/>
  <c r="H221" i="23" s="1"/>
  <c r="J69" i="22"/>
  <c r="I69" i="22"/>
  <c r="H69" i="23" s="1"/>
  <c r="G53" i="25"/>
  <c r="CF53" i="6" s="1"/>
  <c r="AA53" i="25"/>
  <c r="Z53" i="25" s="1"/>
  <c r="Y53" i="25" s="1"/>
  <c r="W342" i="25"/>
  <c r="D342" i="25"/>
  <c r="E342" i="25" s="1"/>
  <c r="F342" i="25" s="1"/>
  <c r="G242" i="24"/>
  <c r="CE242" i="6" s="1"/>
  <c r="AA242" i="24"/>
  <c r="Z242" i="24" s="1"/>
  <c r="Y242" i="24" s="1"/>
  <c r="J212" i="23"/>
  <c r="I212" i="23"/>
  <c r="H212" i="24" s="1"/>
  <c r="G168" i="24"/>
  <c r="CE168" i="6" s="1"/>
  <c r="AA168" i="24"/>
  <c r="Z168" i="24" s="1"/>
  <c r="Y168" i="24" s="1"/>
  <c r="G27" i="24"/>
  <c r="CE27" i="6" s="1"/>
  <c r="AA27" i="24"/>
  <c r="Z27" i="24" s="1"/>
  <c r="Y27" i="24" s="1"/>
  <c r="W27" i="25"/>
  <c r="D27" i="25"/>
  <c r="E27" i="25" s="1"/>
  <c r="F27" i="25" s="1"/>
  <c r="I269" i="22"/>
  <c r="H269" i="23" s="1"/>
  <c r="J269" i="22"/>
  <c r="W193" i="25"/>
  <c r="D193" i="25"/>
  <c r="E193" i="25" s="1"/>
  <c r="F193" i="25" s="1"/>
  <c r="W233" i="25"/>
  <c r="D233" i="25"/>
  <c r="E233" i="25" s="1"/>
  <c r="F233" i="25" s="1"/>
  <c r="W145" i="25"/>
  <c r="D145" i="25"/>
  <c r="E145" i="25" s="1"/>
  <c r="F145" i="25" s="1"/>
  <c r="G278" i="25"/>
  <c r="CF278" i="6" s="1"/>
  <c r="AA278" i="25"/>
  <c r="Z278" i="25" s="1"/>
  <c r="Y278" i="25" s="1"/>
  <c r="G17" i="25"/>
  <c r="CF17" i="6" s="1"/>
  <c r="AA17" i="25"/>
  <c r="Z17" i="25" s="1"/>
  <c r="Y17" i="25" s="1"/>
  <c r="G378" i="25"/>
  <c r="CF378" i="6" s="1"/>
  <c r="AA378" i="25"/>
  <c r="Z378" i="25" s="1"/>
  <c r="Y378" i="25" s="1"/>
  <c r="AA137" i="25"/>
  <c r="Z137" i="25" s="1"/>
  <c r="Y137" i="25" s="1"/>
  <c r="G137" i="25"/>
  <c r="CF137" i="6" s="1"/>
  <c r="AA214" i="25"/>
  <c r="Z214" i="25" s="1"/>
  <c r="Y214" i="25" s="1"/>
  <c r="G214" i="25"/>
  <c r="CF214" i="6" s="1"/>
  <c r="I156" i="22"/>
  <c r="H156" i="23" s="1"/>
  <c r="J156" i="22"/>
  <c r="I121" i="22"/>
  <c r="H121" i="23" s="1"/>
  <c r="J121" i="22"/>
  <c r="I51" i="22"/>
  <c r="H51" i="23" s="1"/>
  <c r="J51" i="22"/>
  <c r="I344" i="22"/>
  <c r="H344" i="23" s="1"/>
  <c r="J344" i="22"/>
  <c r="J202" i="22"/>
  <c r="I202" i="22"/>
  <c r="H202" i="23" s="1"/>
  <c r="I18" i="22"/>
  <c r="H18" i="23" s="1"/>
  <c r="J18" i="22"/>
  <c r="I86" i="23"/>
  <c r="H86" i="24" s="1"/>
  <c r="J86" i="23"/>
  <c r="AA341" i="24"/>
  <c r="Z341" i="24" s="1"/>
  <c r="Y341" i="24" s="1"/>
  <c r="G341" i="24"/>
  <c r="CE341" i="6" s="1"/>
  <c r="G209" i="25"/>
  <c r="CF209" i="6" s="1"/>
  <c r="AA209" i="25"/>
  <c r="Z209" i="25" s="1"/>
  <c r="Y209" i="25" s="1"/>
  <c r="G147" i="25"/>
  <c r="CF147" i="6" s="1"/>
  <c r="AA147" i="25"/>
  <c r="Z147" i="25" s="1"/>
  <c r="Y147" i="25" s="1"/>
  <c r="I47" i="22"/>
  <c r="H47" i="23" s="1"/>
  <c r="J47" i="22"/>
  <c r="AA146" i="25"/>
  <c r="Z146" i="25" s="1"/>
  <c r="Y146" i="25" s="1"/>
  <c r="G146" i="25"/>
  <c r="CF146" i="6" s="1"/>
  <c r="G114" i="25"/>
  <c r="CF114" i="6" s="1"/>
  <c r="AA114" i="25"/>
  <c r="Z114" i="25" s="1"/>
  <c r="Y114" i="25" s="1"/>
  <c r="G160" i="24"/>
  <c r="CE160" i="6" s="1"/>
  <c r="AA160" i="24"/>
  <c r="Z160" i="24" s="1"/>
  <c r="Y160" i="24" s="1"/>
  <c r="W359" i="25"/>
  <c r="D359" i="25"/>
  <c r="E359" i="25" s="1"/>
  <c r="F359" i="25" s="1"/>
  <c r="I179" i="23"/>
  <c r="H179" i="24" s="1"/>
  <c r="J59" i="23"/>
  <c r="I59" i="23"/>
  <c r="H59" i="24" s="1"/>
  <c r="G44" i="25"/>
  <c r="CF44" i="6" s="1"/>
  <c r="AA44" i="25"/>
  <c r="Z44" i="25" s="1"/>
  <c r="Y44" i="25" s="1"/>
  <c r="J25" i="22"/>
  <c r="I25" i="22"/>
  <c r="H25" i="23" s="1"/>
  <c r="I322" i="23"/>
  <c r="H322" i="24" s="1"/>
  <c r="J322" i="23"/>
  <c r="G266" i="24"/>
  <c r="CE266" i="6" s="1"/>
  <c r="AA266" i="24"/>
  <c r="Z266" i="24" s="1"/>
  <c r="Y266" i="24" s="1"/>
  <c r="W160" i="25"/>
  <c r="D160" i="25"/>
  <c r="E160" i="25" s="1"/>
  <c r="F160" i="25" s="1"/>
  <c r="AA359" i="24"/>
  <c r="Z359" i="24" s="1"/>
  <c r="Y359" i="24" s="1"/>
  <c r="G359" i="24"/>
  <c r="CE359" i="6" s="1"/>
  <c r="G269" i="24"/>
  <c r="CE269" i="6" s="1"/>
  <c r="AA269" i="24"/>
  <c r="Z269" i="24" s="1"/>
  <c r="Y269" i="24" s="1"/>
  <c r="G339" i="25"/>
  <c r="CF339" i="6" s="1"/>
  <c r="AA339" i="25"/>
  <c r="Z339" i="25" s="1"/>
  <c r="Y339" i="25" s="1"/>
  <c r="G291" i="25"/>
  <c r="CF291" i="6" s="1"/>
  <c r="AA291" i="25"/>
  <c r="Z291" i="25" s="1"/>
  <c r="Y291" i="25" s="1"/>
  <c r="G45" i="24"/>
  <c r="CE45" i="6" s="1"/>
  <c r="AA45" i="24"/>
  <c r="Z45" i="24" s="1"/>
  <c r="Y45" i="24" s="1"/>
  <c r="J21" i="23"/>
  <c r="I21" i="23"/>
  <c r="H21" i="24" s="1"/>
  <c r="G328" i="24"/>
  <c r="CE328" i="6" s="1"/>
  <c r="AA328" i="24"/>
  <c r="Z328" i="24" s="1"/>
  <c r="Y328" i="24" s="1"/>
  <c r="G268" i="24"/>
  <c r="CE268" i="6" s="1"/>
  <c r="AA268" i="24"/>
  <c r="Z268" i="24" s="1"/>
  <c r="Y268" i="24" s="1"/>
  <c r="W170" i="25"/>
  <c r="D170" i="25"/>
  <c r="E170" i="25" s="1"/>
  <c r="F170" i="25" s="1"/>
  <c r="I118" i="23"/>
  <c r="H118" i="24" s="1"/>
  <c r="J118" i="23"/>
  <c r="G50" i="24"/>
  <c r="CE50" i="6" s="1"/>
  <c r="AA50" i="24"/>
  <c r="Z50" i="24" s="1"/>
  <c r="Y50" i="24" s="1"/>
  <c r="W379" i="25"/>
  <c r="D379" i="25"/>
  <c r="E379" i="25" s="1"/>
  <c r="F379" i="25" s="1"/>
  <c r="G379" i="24"/>
  <c r="CE379" i="6" s="1"/>
  <c r="AA379" i="24"/>
  <c r="Z379" i="24" s="1"/>
  <c r="Y379" i="24" s="1"/>
  <c r="I337" i="23"/>
  <c r="H337" i="24" s="1"/>
  <c r="J337" i="23"/>
  <c r="G142" i="25"/>
  <c r="CF142" i="6" s="1"/>
  <c r="AA142" i="25"/>
  <c r="Z142" i="25" s="1"/>
  <c r="Y142" i="25" s="1"/>
  <c r="G219" i="25"/>
  <c r="CF219" i="6" s="1"/>
  <c r="AA219" i="25"/>
  <c r="Z219" i="25" s="1"/>
  <c r="Y219" i="25" s="1"/>
  <c r="G127" i="25"/>
  <c r="CF127" i="6" s="1"/>
  <c r="AA127" i="25"/>
  <c r="Z127" i="25" s="1"/>
  <c r="Y127" i="25" s="1"/>
  <c r="G61" i="25"/>
  <c r="CF61" i="6" s="1"/>
  <c r="AA61" i="25"/>
  <c r="Z61" i="25" s="1"/>
  <c r="Y61" i="25" s="1"/>
  <c r="G161" i="25"/>
  <c r="CF161" i="6" s="1"/>
  <c r="AA161" i="25"/>
  <c r="Z161" i="25" s="1"/>
  <c r="Y161" i="25" s="1"/>
  <c r="G334" i="25"/>
  <c r="CF334" i="6" s="1"/>
  <c r="AA334" i="25"/>
  <c r="Z334" i="25" s="1"/>
  <c r="Y334" i="25" s="1"/>
  <c r="AA192" i="25"/>
  <c r="Z192" i="25" s="1"/>
  <c r="Y192" i="25" s="1"/>
  <c r="G192" i="25"/>
  <c r="CF192" i="6" s="1"/>
  <c r="AA281" i="25"/>
  <c r="Z281" i="25" s="1"/>
  <c r="Y281" i="25" s="1"/>
  <c r="G281" i="25"/>
  <c r="CF281" i="6" s="1"/>
  <c r="G185" i="25"/>
  <c r="CF185" i="6" s="1"/>
  <c r="AA185" i="25"/>
  <c r="Z185" i="25" s="1"/>
  <c r="Y185" i="25" s="1"/>
  <c r="G99" i="25"/>
  <c r="CF99" i="6" s="1"/>
  <c r="AA99" i="25"/>
  <c r="Z99" i="25" s="1"/>
  <c r="Y99" i="25" s="1"/>
  <c r="G37" i="25"/>
  <c r="CF37" i="6" s="1"/>
  <c r="AA37" i="25"/>
  <c r="Z37" i="25" s="1"/>
  <c r="Y37" i="25" s="1"/>
  <c r="G244" i="25"/>
  <c r="CF244" i="6" s="1"/>
  <c r="AA244" i="25"/>
  <c r="Z244" i="25" s="1"/>
  <c r="Y244" i="25" s="1"/>
  <c r="W186" i="25"/>
  <c r="D186" i="25"/>
  <c r="E186" i="25" s="1"/>
  <c r="F186" i="25" s="1"/>
  <c r="G156" i="25"/>
  <c r="CF156" i="6" s="1"/>
  <c r="AA156" i="25"/>
  <c r="Z156" i="25" s="1"/>
  <c r="Y156" i="25" s="1"/>
  <c r="AA297" i="25"/>
  <c r="Z297" i="25" s="1"/>
  <c r="Y297" i="25" s="1"/>
  <c r="G297" i="25"/>
  <c r="CF297" i="6" s="1"/>
  <c r="G370" i="25"/>
  <c r="CF370" i="6" s="1"/>
  <c r="AA370" i="25"/>
  <c r="Z370" i="25" s="1"/>
  <c r="Y370" i="25" s="1"/>
  <c r="AA344" i="25"/>
  <c r="Z344" i="25" s="1"/>
  <c r="Y344" i="25" s="1"/>
  <c r="G344" i="25"/>
  <c r="CF344" i="6" s="1"/>
  <c r="G304" i="25"/>
  <c r="CF304" i="6" s="1"/>
  <c r="AA304" i="25"/>
  <c r="Z304" i="25" s="1"/>
  <c r="Y304" i="25" s="1"/>
  <c r="I172" i="22"/>
  <c r="H172" i="23" s="1"/>
  <c r="J172" i="22"/>
  <c r="G28" i="25"/>
  <c r="CF28" i="6" s="1"/>
  <c r="AA28" i="25"/>
  <c r="Z28" i="25" s="1"/>
  <c r="Y28" i="25" s="1"/>
  <c r="G143" i="25"/>
  <c r="CF143" i="6" s="1"/>
  <c r="AA143" i="25"/>
  <c r="Z143" i="25" s="1"/>
  <c r="Y143" i="25" s="1"/>
  <c r="W250" i="25"/>
  <c r="D250" i="25"/>
  <c r="E250" i="25" s="1"/>
  <c r="F250" i="25" s="1"/>
  <c r="G126" i="24"/>
  <c r="CE126" i="6" s="1"/>
  <c r="AA126" i="24"/>
  <c r="Z126" i="24" s="1"/>
  <c r="Y126" i="24" s="1"/>
  <c r="W23" i="25"/>
  <c r="D23" i="25"/>
  <c r="E23" i="25" s="1"/>
  <c r="F23" i="25" s="1"/>
  <c r="J336" i="22"/>
  <c r="I336" i="22"/>
  <c r="H336" i="23" s="1"/>
  <c r="J176" i="22"/>
  <c r="I176" i="22"/>
  <c r="H176" i="23" s="1"/>
  <c r="J56" i="22"/>
  <c r="I56" i="22"/>
  <c r="H56" i="23" s="1"/>
  <c r="J177" i="22"/>
  <c r="I177" i="22"/>
  <c r="H177" i="23" s="1"/>
  <c r="I333" i="22"/>
  <c r="H333" i="23" s="1"/>
  <c r="J333" i="22"/>
  <c r="J15" i="18"/>
  <c r="I15" i="18"/>
  <c r="G325" i="25"/>
  <c r="CF325" i="6" s="1"/>
  <c r="AA325" i="25"/>
  <c r="Z325" i="25" s="1"/>
  <c r="Y325" i="25" s="1"/>
  <c r="AA245" i="25"/>
  <c r="Z245" i="25" s="1"/>
  <c r="Y245" i="25" s="1"/>
  <c r="G245" i="25"/>
  <c r="CF245" i="6" s="1"/>
  <c r="G347" i="25"/>
  <c r="CF347" i="6" s="1"/>
  <c r="AA347" i="25"/>
  <c r="Z347" i="25" s="1"/>
  <c r="Y347" i="25" s="1"/>
  <c r="G368" i="25"/>
  <c r="CF368" i="6" s="1"/>
  <c r="AA368" i="25"/>
  <c r="Z368" i="25" s="1"/>
  <c r="Y368" i="25" s="1"/>
  <c r="G316" i="25"/>
  <c r="CF316" i="6" s="1"/>
  <c r="AA316" i="25"/>
  <c r="Z316" i="25" s="1"/>
  <c r="Y316" i="25" s="1"/>
  <c r="W153" i="25"/>
  <c r="D153" i="25"/>
  <c r="E153" i="25" s="1"/>
  <c r="F153" i="25" s="1"/>
  <c r="W235" i="25"/>
  <c r="D235" i="25"/>
  <c r="E235" i="25" s="1"/>
  <c r="F235" i="25" s="1"/>
  <c r="AA52" i="24"/>
  <c r="Z52" i="24" s="1"/>
  <c r="Y52" i="24" s="1"/>
  <c r="G52" i="24"/>
  <c r="CE52" i="6" s="1"/>
  <c r="W52" i="25"/>
  <c r="D52" i="25"/>
  <c r="E52" i="25" s="1"/>
  <c r="F52" i="25" s="1"/>
  <c r="G305" i="24"/>
  <c r="CE305" i="6" s="1"/>
  <c r="AA305" i="24"/>
  <c r="Z305" i="24" s="1"/>
  <c r="Y305" i="24" s="1"/>
  <c r="W305" i="25"/>
  <c r="D305" i="25"/>
  <c r="E305" i="25" s="1"/>
  <c r="F305" i="25" s="1"/>
  <c r="G204" i="24"/>
  <c r="CE204" i="6" s="1"/>
  <c r="AA204" i="24"/>
  <c r="Z204" i="24" s="1"/>
  <c r="Y204" i="24" s="1"/>
  <c r="G366" i="24"/>
  <c r="CE366" i="6" s="1"/>
  <c r="AA366" i="24"/>
  <c r="Z366" i="24" s="1"/>
  <c r="Y366" i="24" s="1"/>
  <c r="W68" i="25"/>
  <c r="D68" i="25"/>
  <c r="E68" i="25" s="1"/>
  <c r="F68" i="25" s="1"/>
  <c r="I40" i="23"/>
  <c r="H40" i="24" s="1"/>
  <c r="G377" i="24"/>
  <c r="CE377" i="6" s="1"/>
  <c r="AA377" i="24"/>
  <c r="Z377" i="24" s="1"/>
  <c r="Y377" i="24" s="1"/>
  <c r="W279" i="25"/>
  <c r="D279" i="25"/>
  <c r="E279" i="25" s="1"/>
  <c r="F279" i="25" s="1"/>
  <c r="AA165" i="24"/>
  <c r="Z165" i="24" s="1"/>
  <c r="Y165" i="24" s="1"/>
  <c r="G165" i="24"/>
  <c r="CE165" i="6" s="1"/>
  <c r="I117" i="23"/>
  <c r="H117" i="24" s="1"/>
  <c r="J117" i="23"/>
  <c r="I41" i="23"/>
  <c r="H41" i="24" s="1"/>
  <c r="W330" i="25"/>
  <c r="D330" i="25"/>
  <c r="E330" i="25" s="1"/>
  <c r="F330" i="25" s="1"/>
  <c r="W256" i="25"/>
  <c r="D256" i="25"/>
  <c r="E256" i="25" s="1"/>
  <c r="F256" i="25" s="1"/>
  <c r="W124" i="25"/>
  <c r="D124" i="25"/>
  <c r="E124" i="25" s="1"/>
  <c r="F124" i="25" s="1"/>
  <c r="J296" i="23"/>
  <c r="I296" i="23"/>
  <c r="H296" i="24" s="1"/>
  <c r="I144" i="23"/>
  <c r="H144" i="24" s="1"/>
  <c r="W31" i="25"/>
  <c r="D31" i="25"/>
  <c r="E31" i="25" s="1"/>
  <c r="F31" i="25" s="1"/>
  <c r="W318" i="25"/>
  <c r="D318" i="25"/>
  <c r="E318" i="25" s="1"/>
  <c r="F318" i="25" s="1"/>
  <c r="J274" i="23"/>
  <c r="I274" i="23"/>
  <c r="H274" i="24" s="1"/>
  <c r="W254" i="25"/>
  <c r="D254" i="25"/>
  <c r="E254" i="25" s="1"/>
  <c r="F254" i="25" s="1"/>
  <c r="I178" i="23"/>
  <c r="H178" i="24" s="1"/>
  <c r="I170" i="22"/>
  <c r="H170" i="23" s="1"/>
  <c r="J170" i="22"/>
  <c r="G106" i="24"/>
  <c r="CE106" i="6" s="1"/>
  <c r="AA106" i="24"/>
  <c r="Z106" i="24" s="1"/>
  <c r="Y106" i="24" s="1"/>
  <c r="I70" i="23"/>
  <c r="H70" i="24" s="1"/>
  <c r="J70" i="23"/>
  <c r="G111" i="25"/>
  <c r="CF111" i="6" s="1"/>
  <c r="AA111" i="25"/>
  <c r="Z111" i="25" s="1"/>
  <c r="Y111" i="25" s="1"/>
  <c r="G319" i="25"/>
  <c r="CF319" i="6" s="1"/>
  <c r="AA319" i="25"/>
  <c r="Z319" i="25" s="1"/>
  <c r="Y319" i="25" s="1"/>
  <c r="G177" i="25"/>
  <c r="CF177" i="6" s="1"/>
  <c r="AA177" i="25"/>
  <c r="Z177" i="25" s="1"/>
  <c r="Y177" i="25" s="1"/>
  <c r="AA309" i="25"/>
  <c r="Z309" i="25" s="1"/>
  <c r="Y309" i="25" s="1"/>
  <c r="G309" i="25"/>
  <c r="CF309" i="6" s="1"/>
  <c r="G125" i="25"/>
  <c r="CF125" i="6" s="1"/>
  <c r="AA125" i="25"/>
  <c r="Z125" i="25" s="1"/>
  <c r="Y125" i="25" s="1"/>
  <c r="G311" i="25"/>
  <c r="CF311" i="6" s="1"/>
  <c r="AA311" i="25"/>
  <c r="Z311" i="25" s="1"/>
  <c r="Y311" i="25" s="1"/>
  <c r="G314" i="25"/>
  <c r="CF314" i="6" s="1"/>
  <c r="AA314" i="25"/>
  <c r="Z314" i="25" s="1"/>
  <c r="Y314" i="25" s="1"/>
  <c r="I58" i="22"/>
  <c r="H58" i="23" s="1"/>
  <c r="J58" i="22"/>
  <c r="J243" i="22"/>
  <c r="I243" i="22"/>
  <c r="H243" i="23" s="1"/>
  <c r="J85" i="22"/>
  <c r="I85" i="22"/>
  <c r="H85" i="23" s="1"/>
  <c r="I288" i="22"/>
  <c r="H288" i="23" s="1"/>
  <c r="J288" i="22"/>
  <c r="AA69" i="25"/>
  <c r="Z69" i="25" s="1"/>
  <c r="Y69" i="25" s="1"/>
  <c r="G69" i="25"/>
  <c r="CF69" i="6" s="1"/>
  <c r="AA33" i="25"/>
  <c r="Z33" i="25" s="1"/>
  <c r="Y33" i="25" s="1"/>
  <c r="G33" i="25"/>
  <c r="CF33" i="6" s="1"/>
  <c r="G120" i="25"/>
  <c r="CF120" i="6" s="1"/>
  <c r="AA120" i="25"/>
  <c r="Z120" i="25" s="1"/>
  <c r="Y120" i="25" s="1"/>
  <c r="G54" i="24"/>
  <c r="CE54" i="6" s="1"/>
  <c r="AA54" i="24"/>
  <c r="Z54" i="24" s="1"/>
  <c r="Y54" i="24" s="1"/>
  <c r="AA351" i="24"/>
  <c r="Z351" i="24" s="1"/>
  <c r="Y351" i="24" s="1"/>
  <c r="G351" i="24"/>
  <c r="CE351" i="6" s="1"/>
  <c r="W351" i="25"/>
  <c r="D351" i="25"/>
  <c r="E351" i="25" s="1"/>
  <c r="F351" i="25" s="1"/>
  <c r="I239" i="23"/>
  <c r="H239" i="24" s="1"/>
  <c r="W213" i="25"/>
  <c r="D213" i="25"/>
  <c r="E213" i="25" s="1"/>
  <c r="F213" i="25" s="1"/>
  <c r="J129" i="23"/>
  <c r="I129" i="23"/>
  <c r="H129" i="24" s="1"/>
  <c r="W113" i="25"/>
  <c r="D113" i="25"/>
  <c r="E113" i="25" s="1"/>
  <c r="F113" i="25" s="1"/>
  <c r="I57" i="23"/>
  <c r="H57" i="24" s="1"/>
  <c r="J57" i="23"/>
  <c r="G26" i="24"/>
  <c r="CE26" i="6" s="1"/>
  <c r="AA26" i="24"/>
  <c r="Z26" i="24" s="1"/>
  <c r="Y26" i="24" s="1"/>
  <c r="G174" i="24"/>
  <c r="CE174" i="6" s="1"/>
  <c r="AA174" i="24"/>
  <c r="Z174" i="24" s="1"/>
  <c r="Y174" i="24" s="1"/>
  <c r="W100" i="25"/>
  <c r="D100" i="25"/>
  <c r="E100" i="25" s="1"/>
  <c r="F100" i="25" s="1"/>
  <c r="I331" i="23"/>
  <c r="H331" i="24" s="1"/>
  <c r="J331" i="23"/>
  <c r="G229" i="24"/>
  <c r="CE229" i="6" s="1"/>
  <c r="AA229" i="24"/>
  <c r="Z229" i="24" s="1"/>
  <c r="Y229" i="24" s="1"/>
  <c r="G306" i="24"/>
  <c r="CE306" i="6" s="1"/>
  <c r="AA306" i="24"/>
  <c r="Z306" i="24" s="1"/>
  <c r="Y306" i="24" s="1"/>
  <c r="W207" i="25"/>
  <c r="D207" i="25"/>
  <c r="E207" i="25" s="1"/>
  <c r="F207" i="25" s="1"/>
  <c r="I205" i="23"/>
  <c r="H205" i="24" s="1"/>
  <c r="J205" i="23"/>
  <c r="G64" i="24"/>
  <c r="CE64" i="6" s="1"/>
  <c r="AA64" i="24"/>
  <c r="Z64" i="24" s="1"/>
  <c r="Y64" i="24" s="1"/>
  <c r="G338" i="24"/>
  <c r="CE338" i="6" s="1"/>
  <c r="AA338" i="24"/>
  <c r="Z338" i="24" s="1"/>
  <c r="Y338" i="24" s="1"/>
  <c r="W224" i="25"/>
  <c r="D224" i="25"/>
  <c r="E224" i="25" s="1"/>
  <c r="F224" i="25" s="1"/>
  <c r="W313" i="25"/>
  <c r="D313" i="25"/>
  <c r="E313" i="25" s="1"/>
  <c r="F313" i="25" s="1"/>
  <c r="G231" i="24"/>
  <c r="CE231" i="6" s="1"/>
  <c r="AA231" i="24"/>
  <c r="Z231" i="24" s="1"/>
  <c r="Y231" i="24" s="1"/>
  <c r="I164" i="22"/>
  <c r="H164" i="23" s="1"/>
  <c r="J164" i="22"/>
  <c r="G303" i="25"/>
  <c r="CF303" i="6" s="1"/>
  <c r="AA303" i="25"/>
  <c r="Z303" i="25" s="1"/>
  <c r="Y303" i="25" s="1"/>
  <c r="G275" i="25"/>
  <c r="CF275" i="6" s="1"/>
  <c r="AA275" i="25"/>
  <c r="Z275" i="25" s="1"/>
  <c r="Y275" i="25" s="1"/>
  <c r="I215" i="23"/>
  <c r="H215" i="24" s="1"/>
  <c r="G181" i="24"/>
  <c r="CE181" i="6" s="1"/>
  <c r="AA181" i="24"/>
  <c r="Z181" i="24" s="1"/>
  <c r="Y181" i="24" s="1"/>
  <c r="J123" i="23"/>
  <c r="I123" i="23"/>
  <c r="H123" i="24" s="1"/>
  <c r="G175" i="24"/>
  <c r="CE175" i="6" s="1"/>
  <c r="AA175" i="24"/>
  <c r="Z175" i="24" s="1"/>
  <c r="Y175" i="24" s="1"/>
  <c r="Z15" i="22"/>
  <c r="AL7" i="22" s="1"/>
  <c r="I301" i="23"/>
  <c r="H301" i="24" s="1"/>
  <c r="J247" i="22"/>
  <c r="I247" i="22"/>
  <c r="H247" i="23" s="1"/>
  <c r="J150" i="22"/>
  <c r="I150" i="22"/>
  <c r="H150" i="23" s="1"/>
  <c r="AA72" i="25"/>
  <c r="Z72" i="25" s="1"/>
  <c r="Y72" i="25" s="1"/>
  <c r="G72" i="25"/>
  <c r="CF72" i="6" s="1"/>
  <c r="I329" i="22"/>
  <c r="H329" i="23" s="1"/>
  <c r="J329" i="22"/>
  <c r="I217" i="22"/>
  <c r="H217" i="23" s="1"/>
  <c r="J217" i="22"/>
  <c r="AA199" i="25"/>
  <c r="Z199" i="25" s="1"/>
  <c r="Y199" i="25" s="1"/>
  <c r="G199" i="25"/>
  <c r="CF199" i="6" s="1"/>
  <c r="G121" i="25"/>
  <c r="CF121" i="6" s="1"/>
  <c r="AA121" i="25"/>
  <c r="Z121" i="25" s="1"/>
  <c r="Y121" i="25" s="1"/>
  <c r="G109" i="25"/>
  <c r="CF109" i="6" s="1"/>
  <c r="AA109" i="25"/>
  <c r="Z109" i="25" s="1"/>
  <c r="Y109" i="25" s="1"/>
  <c r="G51" i="25"/>
  <c r="CF51" i="6" s="1"/>
  <c r="AA51" i="25"/>
  <c r="Z51" i="25" s="1"/>
  <c r="Y51" i="25" s="1"/>
  <c r="G138" i="25"/>
  <c r="CF138" i="6" s="1"/>
  <c r="AA138" i="25"/>
  <c r="Z138" i="25" s="1"/>
  <c r="Y138" i="25" s="1"/>
  <c r="G372" i="25"/>
  <c r="CF372" i="6" s="1"/>
  <c r="AA372" i="25"/>
  <c r="Z372" i="25" s="1"/>
  <c r="Y372" i="25" s="1"/>
  <c r="W327" i="25"/>
  <c r="D327" i="25"/>
  <c r="E327" i="25" s="1"/>
  <c r="F327" i="25" s="1"/>
  <c r="G285" i="24"/>
  <c r="CE285" i="6" s="1"/>
  <c r="AA285" i="24"/>
  <c r="Z285" i="24" s="1"/>
  <c r="Y285" i="24" s="1"/>
  <c r="J276" i="22"/>
  <c r="I276" i="22"/>
  <c r="H276" i="23" s="1"/>
  <c r="J270" i="22"/>
  <c r="I270" i="22"/>
  <c r="H270" i="23" s="1"/>
  <c r="J140" i="22"/>
  <c r="I140" i="22"/>
  <c r="H140" i="23" s="1"/>
  <c r="I110" i="22"/>
  <c r="H110" i="23" s="1"/>
  <c r="J110" i="22"/>
  <c r="I43" i="22"/>
  <c r="H43" i="23" s="1"/>
  <c r="J43" i="22"/>
  <c r="G373" i="25"/>
  <c r="CF373" i="6" s="1"/>
  <c r="AA373" i="25"/>
  <c r="Z373" i="25" s="1"/>
  <c r="Y373" i="25" s="1"/>
  <c r="G277" i="25"/>
  <c r="CF277" i="6" s="1"/>
  <c r="AA277" i="25"/>
  <c r="Z277" i="25" s="1"/>
  <c r="Y277" i="25" s="1"/>
  <c r="G298" i="25"/>
  <c r="CF298" i="6" s="1"/>
  <c r="AA298" i="25"/>
  <c r="Z298" i="25" s="1"/>
  <c r="Y298" i="25" s="1"/>
  <c r="AA149" i="25"/>
  <c r="Z149" i="25" s="1"/>
  <c r="Y149" i="25" s="1"/>
  <c r="G149" i="25"/>
  <c r="CF149" i="6" s="1"/>
  <c r="J380" i="22"/>
  <c r="I380" i="22"/>
  <c r="H380" i="23" s="1"/>
  <c r="W312" i="25"/>
  <c r="D312" i="25"/>
  <c r="E312" i="25" s="1"/>
  <c r="F312" i="25" s="1"/>
  <c r="J242" i="23"/>
  <c r="I242" i="23"/>
  <c r="H242" i="24" s="1"/>
  <c r="AA212" i="24"/>
  <c r="Z212" i="24" s="1"/>
  <c r="Y212" i="24" s="1"/>
  <c r="G212" i="24"/>
  <c r="CE212" i="6" s="1"/>
  <c r="W212" i="25"/>
  <c r="D212" i="25"/>
  <c r="E212" i="25" s="1"/>
  <c r="F212" i="25" s="1"/>
  <c r="I190" i="22"/>
  <c r="H190" i="23" s="1"/>
  <c r="J190" i="22"/>
  <c r="I168" i="23"/>
  <c r="H168" i="24" s="1"/>
  <c r="AA134" i="24"/>
  <c r="Z134" i="24" s="1"/>
  <c r="Y134" i="24" s="1"/>
  <c r="G134" i="24"/>
  <c r="CE134" i="6" s="1"/>
  <c r="I266" i="22"/>
  <c r="H266" i="23" s="1"/>
  <c r="J266" i="22"/>
  <c r="J313" i="22"/>
  <c r="I313" i="22"/>
  <c r="H313" i="23" s="1"/>
  <c r="J231" i="22"/>
  <c r="I231" i="22"/>
  <c r="H231" i="23" s="1"/>
  <c r="G107" i="24"/>
  <c r="CE107" i="6" s="1"/>
  <c r="AA107" i="24"/>
  <c r="Z107" i="24" s="1"/>
  <c r="Y107" i="24" s="1"/>
  <c r="W107" i="25"/>
  <c r="D107" i="25"/>
  <c r="E107" i="25" s="1"/>
  <c r="F107" i="25" s="1"/>
  <c r="W218" i="25"/>
  <c r="D218" i="25"/>
  <c r="E218" i="25" s="1"/>
  <c r="F218" i="25" s="1"/>
  <c r="G112" i="24"/>
  <c r="CE112" i="6" s="1"/>
  <c r="AA112" i="24"/>
  <c r="Z112" i="24" s="1"/>
  <c r="Y112" i="24" s="1"/>
  <c r="G80" i="25"/>
  <c r="CF80" i="6" s="1"/>
  <c r="AA80" i="25"/>
  <c r="Z80" i="25" s="1"/>
  <c r="Y80" i="25" s="1"/>
  <c r="AA201" i="24"/>
  <c r="Z201" i="24" s="1"/>
  <c r="Y201" i="24" s="1"/>
  <c r="G201" i="24"/>
  <c r="CE201" i="6" s="1"/>
  <c r="I145" i="23"/>
  <c r="H145" i="24" s="1"/>
  <c r="G87" i="24"/>
  <c r="CE87" i="6" s="1"/>
  <c r="AA87" i="24"/>
  <c r="Z87" i="24" s="1"/>
  <c r="Y87" i="24" s="1"/>
  <c r="J77" i="22"/>
  <c r="I77" i="22"/>
  <c r="H77" i="23" s="1"/>
  <c r="G332" i="25"/>
  <c r="CF332" i="6" s="1"/>
  <c r="AA332" i="25"/>
  <c r="Z332" i="25" s="1"/>
  <c r="Y332" i="25" s="1"/>
  <c r="G163" i="25"/>
  <c r="CF163" i="6" s="1"/>
  <c r="AA163" i="25"/>
  <c r="Z163" i="25" s="1"/>
  <c r="Y163" i="25" s="1"/>
  <c r="G182" i="25"/>
  <c r="CF182" i="6" s="1"/>
  <c r="AA182" i="25"/>
  <c r="Z182" i="25" s="1"/>
  <c r="Y182" i="25" s="1"/>
  <c r="G78" i="25"/>
  <c r="CF78" i="6" s="1"/>
  <c r="AA78" i="25"/>
  <c r="Z78" i="25" s="1"/>
  <c r="Y78" i="25" s="1"/>
  <c r="G240" i="25"/>
  <c r="CF240" i="6" s="1"/>
  <c r="AA240" i="25"/>
  <c r="Z240" i="25" s="1"/>
  <c r="Y240" i="25" s="1"/>
  <c r="I188" i="22"/>
  <c r="H188" i="23" s="1"/>
  <c r="J188" i="22"/>
  <c r="W86" i="25"/>
  <c r="D86" i="25"/>
  <c r="E86" i="25" s="1"/>
  <c r="F86" i="25" s="1"/>
  <c r="W293" i="25"/>
  <c r="D293" i="25"/>
  <c r="E293" i="25" s="1"/>
  <c r="F293" i="25" s="1"/>
  <c r="AA79" i="25"/>
  <c r="Z79" i="25" s="1"/>
  <c r="Y79" i="25" s="1"/>
  <c r="G79" i="25"/>
  <c r="CF79" i="6" s="1"/>
  <c r="G47" i="25"/>
  <c r="CF47" i="6" s="1"/>
  <c r="AA47" i="25"/>
  <c r="Z47" i="25" s="1"/>
  <c r="Y47" i="25" s="1"/>
  <c r="I246" i="22"/>
  <c r="H246" i="23" s="1"/>
  <c r="J246" i="22"/>
  <c r="J244" i="22"/>
  <c r="I244" i="22"/>
  <c r="H244" i="23" s="1"/>
  <c r="I35" i="22"/>
  <c r="H35" i="23" s="1"/>
  <c r="J35" i="22"/>
  <c r="I208" i="22"/>
  <c r="H208" i="23" s="1"/>
  <c r="J208" i="22"/>
  <c r="I16" i="22"/>
  <c r="H16" i="23" s="1"/>
  <c r="J16" i="22"/>
  <c r="I149" i="22"/>
  <c r="H149" i="23" s="1"/>
  <c r="J149" i="22"/>
  <c r="G66" i="25"/>
  <c r="CF66" i="6" s="1"/>
  <c r="AA66" i="25"/>
  <c r="Z66" i="25" s="1"/>
  <c r="Y66" i="25" s="1"/>
  <c r="G43" i="25"/>
  <c r="CF43" i="6" s="1"/>
  <c r="AA43" i="25"/>
  <c r="Z43" i="25" s="1"/>
  <c r="Y43" i="25" s="1"/>
  <c r="G354" i="25"/>
  <c r="CF354" i="6" s="1"/>
  <c r="AA354" i="25"/>
  <c r="Z354" i="25" s="1"/>
  <c r="Y354" i="25" s="1"/>
  <c r="AA35" i="25"/>
  <c r="Z35" i="25" s="1"/>
  <c r="Y35" i="25" s="1"/>
  <c r="G35" i="25"/>
  <c r="CF35" i="6" s="1"/>
  <c r="AA105" i="25"/>
  <c r="Z105" i="25" s="1"/>
  <c r="Y105" i="25" s="1"/>
  <c r="G105" i="25"/>
  <c r="CF105" i="6" s="1"/>
  <c r="I300" i="22"/>
  <c r="H300" i="23" s="1"/>
  <c r="J300" i="22"/>
  <c r="J29" i="22"/>
  <c r="I29" i="22"/>
  <c r="H29" i="23" s="1"/>
  <c r="I53" i="22"/>
  <c r="H53" i="23" s="1"/>
  <c r="J53" i="22"/>
  <c r="J97" i="22"/>
  <c r="I97" i="22"/>
  <c r="H97" i="23" s="1"/>
  <c r="I94" i="22"/>
  <c r="H94" i="23" s="1"/>
  <c r="J94" i="22"/>
  <c r="J116" i="22"/>
  <c r="I116" i="22"/>
  <c r="H116" i="23" s="1"/>
  <c r="J261" i="22"/>
  <c r="I261" i="22"/>
  <c r="H261" i="23" s="1"/>
  <c r="I335" i="22"/>
  <c r="H335" i="23" s="1"/>
  <c r="J335" i="22"/>
  <c r="J291" i="22"/>
  <c r="I291" i="22"/>
  <c r="H291" i="23" s="1"/>
  <c r="J120" i="22"/>
  <c r="I120" i="22"/>
  <c r="H120" i="23" s="1"/>
  <c r="I74" i="22"/>
  <c r="H74" i="23" s="1"/>
  <c r="J74" i="22"/>
  <c r="J346" i="22"/>
  <c r="I346" i="22"/>
  <c r="H346" i="23" s="1"/>
  <c r="I180" i="22"/>
  <c r="H180" i="23" s="1"/>
  <c r="J180" i="22"/>
  <c r="J339" i="22"/>
  <c r="I339" i="22"/>
  <c r="H339" i="23" s="1"/>
  <c r="J173" i="22"/>
  <c r="I173" i="22"/>
  <c r="H173" i="23" s="1"/>
  <c r="W322" i="25"/>
  <c r="D322" i="25"/>
  <c r="E322" i="25" s="1"/>
  <c r="F322" i="25" s="1"/>
  <c r="AA234" i="24"/>
  <c r="Z234" i="24" s="1"/>
  <c r="Y234" i="24" s="1"/>
  <c r="G234" i="24"/>
  <c r="CE234" i="6" s="1"/>
  <c r="I160" i="23"/>
  <c r="H160" i="24" s="1"/>
  <c r="J160" i="23"/>
  <c r="G48" i="24"/>
  <c r="CE48" i="6" s="1"/>
  <c r="AA48" i="24"/>
  <c r="Z48" i="24" s="1"/>
  <c r="Y48" i="24" s="1"/>
  <c r="J143" i="22"/>
  <c r="I143" i="22"/>
  <c r="H143" i="23" s="1"/>
  <c r="I139" i="22"/>
  <c r="H139" i="23" s="1"/>
  <c r="J139" i="22"/>
  <c r="I80" i="22"/>
  <c r="H80" i="23" s="1"/>
  <c r="J80" i="22"/>
  <c r="W71" i="25"/>
  <c r="D71" i="25"/>
  <c r="E71" i="25" s="1"/>
  <c r="F71" i="25" s="1"/>
  <c r="W21" i="25"/>
  <c r="D21" i="25"/>
  <c r="E21" i="25" s="1"/>
  <c r="F21" i="25" s="1"/>
  <c r="J328" i="23"/>
  <c r="I328" i="23"/>
  <c r="H328" i="24" s="1"/>
  <c r="W282" i="25"/>
  <c r="D282" i="25"/>
  <c r="E282" i="25" s="1"/>
  <c r="F282" i="25" s="1"/>
  <c r="G230" i="24"/>
  <c r="CE230" i="6" s="1"/>
  <c r="AA230" i="24"/>
  <c r="Z230" i="24" s="1"/>
  <c r="Y230" i="24" s="1"/>
  <c r="G118" i="24"/>
  <c r="CE118" i="6" s="1"/>
  <c r="AA118" i="24"/>
  <c r="Z118" i="24" s="1"/>
  <c r="Y118" i="24" s="1"/>
  <c r="W92" i="25"/>
  <c r="D92" i="25"/>
  <c r="E92" i="25" s="1"/>
  <c r="F92" i="25" s="1"/>
  <c r="W337" i="25"/>
  <c r="D337" i="25"/>
  <c r="E337" i="25" s="1"/>
  <c r="F337" i="25" s="1"/>
  <c r="G257" i="24"/>
  <c r="CE257" i="6" s="1"/>
  <c r="AA257" i="24"/>
  <c r="Z257" i="24" s="1"/>
  <c r="Y257" i="24" s="1"/>
  <c r="W179" i="25"/>
  <c r="D179" i="25"/>
  <c r="E179" i="25" s="1"/>
  <c r="F179" i="25" s="1"/>
  <c r="G59" i="24"/>
  <c r="CE59" i="6" s="1"/>
  <c r="AA59" i="24"/>
  <c r="Z59" i="24" s="1"/>
  <c r="Y59" i="24" s="1"/>
  <c r="W59" i="25"/>
  <c r="D59" i="25"/>
  <c r="E59" i="25" s="1"/>
  <c r="F59" i="25" s="1"/>
  <c r="J317" i="22"/>
  <c r="I317" i="22"/>
  <c r="H317" i="23" s="1"/>
  <c r="I73" i="22"/>
  <c r="H73" i="23" s="1"/>
  <c r="J73" i="22"/>
  <c r="J321" i="22"/>
  <c r="I321" i="22"/>
  <c r="H321" i="23" s="1"/>
  <c r="G162" i="25"/>
  <c r="CF162" i="6" s="1"/>
  <c r="AA162" i="25"/>
  <c r="Z162" i="25" s="1"/>
  <c r="Y162" i="25" s="1"/>
  <c r="G58" i="25"/>
  <c r="CF58" i="6" s="1"/>
  <c r="AA58" i="25"/>
  <c r="Z58" i="25" s="1"/>
  <c r="Y58" i="25" s="1"/>
  <c r="I24" i="22"/>
  <c r="H24" i="23" s="1"/>
  <c r="J24" i="22"/>
  <c r="G133" i="25"/>
  <c r="CF133" i="6" s="1"/>
  <c r="AA133" i="25"/>
  <c r="Z133" i="25" s="1"/>
  <c r="Y133" i="25" s="1"/>
  <c r="AA115" i="25"/>
  <c r="Z115" i="25" s="1"/>
  <c r="Y115" i="25" s="1"/>
  <c r="G115" i="25"/>
  <c r="CF115" i="6" s="1"/>
  <c r="G360" i="25"/>
  <c r="CF360" i="6" s="1"/>
  <c r="AA360" i="25"/>
  <c r="Z360" i="25" s="1"/>
  <c r="Y360" i="25" s="1"/>
  <c r="G238" i="25"/>
  <c r="CF238" i="6" s="1"/>
  <c r="AA238" i="25"/>
  <c r="Z238" i="25" s="1"/>
  <c r="Y238" i="25" s="1"/>
  <c r="G65" i="25"/>
  <c r="CF65" i="6" s="1"/>
  <c r="AA65" i="25"/>
  <c r="Z65" i="25" s="1"/>
  <c r="Y65" i="25" s="1"/>
  <c r="I126" i="23"/>
  <c r="H126" i="24" s="1"/>
  <c r="J147" i="22"/>
  <c r="I147" i="22"/>
  <c r="H147" i="23" s="1"/>
  <c r="W196" i="25"/>
  <c r="D196" i="25"/>
  <c r="E196" i="25" s="1"/>
  <c r="F196" i="25" s="1"/>
  <c r="G139" i="25"/>
  <c r="CF139" i="6" s="1"/>
  <c r="AA139" i="25"/>
  <c r="Z139" i="25" s="1"/>
  <c r="Y139" i="25" s="1"/>
  <c r="W132" i="25"/>
  <c r="D132" i="25"/>
  <c r="E132" i="25" s="1"/>
  <c r="F132" i="25" s="1"/>
  <c r="G251" i="24"/>
  <c r="CE251" i="6" s="1"/>
  <c r="AA251" i="24"/>
  <c r="Z251" i="24" s="1"/>
  <c r="Y251" i="24" s="1"/>
  <c r="W103" i="25"/>
  <c r="D103" i="25"/>
  <c r="E103" i="25" s="1"/>
  <c r="F103" i="25" s="1"/>
  <c r="AA152" i="24"/>
  <c r="Z152" i="24" s="1"/>
  <c r="Y152" i="24" s="1"/>
  <c r="G152" i="24"/>
  <c r="CE152" i="6" s="1"/>
  <c r="W152" i="25"/>
  <c r="D152" i="25"/>
  <c r="E152" i="25" s="1"/>
  <c r="F152" i="25" s="1"/>
  <c r="AA252" i="24"/>
  <c r="Z252" i="24" s="1"/>
  <c r="Y252" i="24" s="1"/>
  <c r="G252" i="24"/>
  <c r="CE252" i="6" s="1"/>
  <c r="J204" i="23"/>
  <c r="I204" i="23"/>
  <c r="H204" i="24" s="1"/>
  <c r="G222" i="24"/>
  <c r="CE222" i="6" s="1"/>
  <c r="AA222" i="24"/>
  <c r="Z222" i="24" s="1"/>
  <c r="Y222" i="24" s="1"/>
  <c r="W40" i="25"/>
  <c r="D40" i="25"/>
  <c r="E40" i="25" s="1"/>
  <c r="F40" i="25" s="1"/>
  <c r="W343" i="25"/>
  <c r="D343" i="25"/>
  <c r="E343" i="25" s="1"/>
  <c r="F343" i="25" s="1"/>
  <c r="W225" i="25"/>
  <c r="D225" i="25"/>
  <c r="E225" i="25" s="1"/>
  <c r="F225" i="25" s="1"/>
  <c r="W117" i="25"/>
  <c r="D117" i="25"/>
  <c r="E117" i="25" s="1"/>
  <c r="F117" i="25" s="1"/>
  <c r="G364" i="24"/>
  <c r="CE364" i="6" s="1"/>
  <c r="AA364" i="24"/>
  <c r="Z364" i="24" s="1"/>
  <c r="Y364" i="24" s="1"/>
  <c r="W292" i="25"/>
  <c r="D292" i="25"/>
  <c r="E292" i="25" s="1"/>
  <c r="F292" i="25" s="1"/>
  <c r="G184" i="24"/>
  <c r="CE184" i="6" s="1"/>
  <c r="AA184" i="24"/>
  <c r="Z184" i="24" s="1"/>
  <c r="Y184" i="24" s="1"/>
  <c r="I245" i="22"/>
  <c r="H245" i="23" s="1"/>
  <c r="J245" i="22"/>
  <c r="G151" i="24"/>
  <c r="CE151" i="6" s="1"/>
  <c r="AA151" i="24"/>
  <c r="Z151" i="24" s="1"/>
  <c r="Y151" i="24" s="1"/>
  <c r="G39" i="24"/>
  <c r="CE39" i="6" s="1"/>
  <c r="AA39" i="24"/>
  <c r="Z39" i="24" s="1"/>
  <c r="Y39" i="24" s="1"/>
  <c r="W296" i="25"/>
  <c r="D296" i="25"/>
  <c r="E296" i="25" s="1"/>
  <c r="F296" i="25" s="1"/>
  <c r="G296" i="24"/>
  <c r="CE296" i="6" s="1"/>
  <c r="AA296" i="24"/>
  <c r="Z296" i="24" s="1"/>
  <c r="Y296" i="24" s="1"/>
  <c r="AA144" i="24"/>
  <c r="Z144" i="24" s="1"/>
  <c r="Y144" i="24" s="1"/>
  <c r="G144" i="24"/>
  <c r="CE144" i="6" s="1"/>
  <c r="G49" i="24"/>
  <c r="CE49" i="6" s="1"/>
  <c r="AA49" i="24"/>
  <c r="Z49" i="24" s="1"/>
  <c r="Y49" i="24" s="1"/>
  <c r="G352" i="24"/>
  <c r="CE352" i="6" s="1"/>
  <c r="AA352" i="24"/>
  <c r="Z352" i="24" s="1"/>
  <c r="Y352" i="24" s="1"/>
  <c r="J318" i="23"/>
  <c r="I318" i="23"/>
  <c r="H318" i="24" s="1"/>
  <c r="G274" i="24"/>
  <c r="CE274" i="6" s="1"/>
  <c r="AA274" i="24"/>
  <c r="Z274" i="24" s="1"/>
  <c r="Y274" i="24" s="1"/>
  <c r="J254" i="23"/>
  <c r="I254" i="23"/>
  <c r="H254" i="24" s="1"/>
  <c r="G178" i="24"/>
  <c r="CE178" i="6" s="1"/>
  <c r="AA178" i="24"/>
  <c r="Z178" i="24" s="1"/>
  <c r="Y178" i="24" s="1"/>
  <c r="W136" i="25"/>
  <c r="D136" i="25"/>
  <c r="E136" i="25" s="1"/>
  <c r="F136" i="25" s="1"/>
  <c r="W70" i="25"/>
  <c r="D70" i="25"/>
  <c r="E70" i="25" s="1"/>
  <c r="F70" i="25" s="1"/>
  <c r="G70" i="24"/>
  <c r="CE70" i="6" s="1"/>
  <c r="AA70" i="24"/>
  <c r="Z70" i="24" s="1"/>
  <c r="Y70" i="24" s="1"/>
  <c r="J185" i="22"/>
  <c r="I185" i="22"/>
  <c r="H185" i="23" s="1"/>
  <c r="J37" i="22"/>
  <c r="I37" i="22"/>
  <c r="H37" i="23" s="1"/>
  <c r="J265" i="22"/>
  <c r="I265" i="22"/>
  <c r="H265" i="23" s="1"/>
  <c r="I273" i="22"/>
  <c r="H273" i="23" s="1"/>
  <c r="J273" i="22"/>
  <c r="J55" i="22"/>
  <c r="I55" i="22"/>
  <c r="H55" i="23" s="1"/>
  <c r="I287" i="22"/>
  <c r="H287" i="23" s="1"/>
  <c r="J287" i="22"/>
  <c r="I284" i="22"/>
  <c r="H284" i="23" s="1"/>
  <c r="J284" i="22"/>
  <c r="J349" i="22"/>
  <c r="I349" i="22"/>
  <c r="H349" i="23" s="1"/>
  <c r="G73" i="25"/>
  <c r="CF73" i="6" s="1"/>
  <c r="AA73" i="25"/>
  <c r="Z73" i="25" s="1"/>
  <c r="Y73" i="25" s="1"/>
  <c r="I125" i="22"/>
  <c r="H125" i="23" s="1"/>
  <c r="J125" i="22"/>
  <c r="G98" i="25"/>
  <c r="CF98" i="6" s="1"/>
  <c r="AA98" i="25"/>
  <c r="Z98" i="25" s="1"/>
  <c r="Y98" i="25" s="1"/>
  <c r="AA267" i="25"/>
  <c r="Z267" i="25" s="1"/>
  <c r="Y267" i="25" s="1"/>
  <c r="G267" i="25"/>
  <c r="CF267" i="6" s="1"/>
  <c r="J326" i="22"/>
  <c r="I326" i="22"/>
  <c r="H326" i="23" s="1"/>
  <c r="J192" i="22"/>
  <c r="I192" i="22"/>
  <c r="H192" i="23" s="1"/>
  <c r="J142" i="22"/>
  <c r="I142" i="22"/>
  <c r="H142" i="23" s="1"/>
  <c r="J108" i="22"/>
  <c r="I108" i="22"/>
  <c r="H108" i="23" s="1"/>
  <c r="J34" i="22"/>
  <c r="I34" i="22"/>
  <c r="H34" i="23" s="1"/>
  <c r="G221" i="25"/>
  <c r="CF221" i="6" s="1"/>
  <c r="AA221" i="25"/>
  <c r="Z221" i="25" s="1"/>
  <c r="Y221" i="25" s="1"/>
  <c r="G195" i="25"/>
  <c r="CF195" i="6" s="1"/>
  <c r="AA195" i="25"/>
  <c r="Z195" i="25" s="1"/>
  <c r="Y195" i="25" s="1"/>
  <c r="G131" i="25"/>
  <c r="CF131" i="6" s="1"/>
  <c r="AA131" i="25"/>
  <c r="Z131" i="25" s="1"/>
  <c r="Y131" i="25" s="1"/>
  <c r="G258" i="24"/>
  <c r="CE258" i="6" s="1"/>
  <c r="AA258" i="24"/>
  <c r="Z258" i="24" s="1"/>
  <c r="Y258" i="24" s="1"/>
  <c r="G320" i="25"/>
  <c r="CF320" i="6" s="1"/>
  <c r="AA320" i="25"/>
  <c r="Z320" i="25" s="1"/>
  <c r="Y320" i="25" s="1"/>
  <c r="AA276" i="25"/>
  <c r="Z276" i="25" s="1"/>
  <c r="Y276" i="25" s="1"/>
  <c r="G276" i="25"/>
  <c r="CF276" i="6" s="1"/>
  <c r="I227" i="22"/>
  <c r="H227" i="23" s="1"/>
  <c r="J227" i="22"/>
  <c r="J316" i="22"/>
  <c r="I316" i="22"/>
  <c r="H316" i="23" s="1"/>
  <c r="AA300" i="25"/>
  <c r="Z300" i="25" s="1"/>
  <c r="Y300" i="25" s="1"/>
  <c r="G300" i="25"/>
  <c r="CF300" i="6" s="1"/>
  <c r="G119" i="25"/>
  <c r="CF119" i="6" s="1"/>
  <c r="AA119" i="25"/>
  <c r="Z119" i="25" s="1"/>
  <c r="Y119" i="25" s="1"/>
  <c r="J146" i="22"/>
  <c r="I146" i="22"/>
  <c r="H146" i="23" s="1"/>
  <c r="J241" i="22"/>
  <c r="I241" i="22"/>
  <c r="H241" i="23" s="1"/>
  <c r="I183" i="22"/>
  <c r="H183" i="23" s="1"/>
  <c r="J183" i="22"/>
  <c r="I127" i="22"/>
  <c r="H127" i="23" s="1"/>
  <c r="J127" i="22"/>
  <c r="I187" i="22"/>
  <c r="H187" i="23" s="1"/>
  <c r="J187" i="22"/>
  <c r="J101" i="22"/>
  <c r="I101" i="22"/>
  <c r="H101" i="23" s="1"/>
  <c r="J325" i="22"/>
  <c r="I325" i="22"/>
  <c r="H325" i="23" s="1"/>
  <c r="J65" i="22"/>
  <c r="I65" i="22"/>
  <c r="H65" i="23" s="1"/>
  <c r="G82" i="24"/>
  <c r="CE82" i="6" s="1"/>
  <c r="AA82" i="24"/>
  <c r="Z82" i="24" s="1"/>
  <c r="Y82" i="24" s="1"/>
  <c r="I54" i="23"/>
  <c r="H54" i="24" s="1"/>
  <c r="J54" i="23"/>
  <c r="W30" i="25"/>
  <c r="D30" i="25"/>
  <c r="E30" i="25" s="1"/>
  <c r="F30" i="25" s="1"/>
  <c r="I351" i="23"/>
  <c r="H351" i="24" s="1"/>
  <c r="J351" i="23"/>
  <c r="W315" i="25"/>
  <c r="D315" i="25"/>
  <c r="E315" i="25" s="1"/>
  <c r="F315" i="25" s="1"/>
  <c r="AA239" i="24"/>
  <c r="Z239" i="24" s="1"/>
  <c r="Y239" i="24" s="1"/>
  <c r="G239" i="24"/>
  <c r="CE239" i="6" s="1"/>
  <c r="G129" i="24"/>
  <c r="CE129" i="6" s="1"/>
  <c r="AA129" i="24"/>
  <c r="Z129" i="24" s="1"/>
  <c r="Y129" i="24" s="1"/>
  <c r="G57" i="24"/>
  <c r="CE57" i="6" s="1"/>
  <c r="AA57" i="24"/>
  <c r="Z57" i="24" s="1"/>
  <c r="Y57" i="24" s="1"/>
  <c r="W57" i="25"/>
  <c r="D57" i="25"/>
  <c r="E57" i="25" s="1"/>
  <c r="F57" i="25" s="1"/>
  <c r="G350" i="24"/>
  <c r="CE350" i="6" s="1"/>
  <c r="AA350" i="24"/>
  <c r="Z350" i="24" s="1"/>
  <c r="Y350" i="24" s="1"/>
  <c r="W38" i="25"/>
  <c r="D38" i="25"/>
  <c r="E38" i="25" s="1"/>
  <c r="F38" i="25" s="1"/>
  <c r="AA331" i="24"/>
  <c r="Z331" i="24" s="1"/>
  <c r="Y331" i="24" s="1"/>
  <c r="G331" i="24"/>
  <c r="CE331" i="6" s="1"/>
  <c r="W331" i="25"/>
  <c r="D331" i="25"/>
  <c r="E331" i="25" s="1"/>
  <c r="F331" i="25" s="1"/>
  <c r="W353" i="25"/>
  <c r="D353" i="25"/>
  <c r="E353" i="25" s="1"/>
  <c r="F353" i="25" s="1"/>
  <c r="W299" i="25"/>
  <c r="D299" i="25"/>
  <c r="E299" i="25" s="1"/>
  <c r="F299" i="25" s="1"/>
  <c r="J64" i="23"/>
  <c r="I64" i="23"/>
  <c r="H64" i="24" s="1"/>
  <c r="W358" i="25"/>
  <c r="D358" i="25"/>
  <c r="E358" i="25" s="1"/>
  <c r="F358" i="25" s="1"/>
  <c r="G286" i="24"/>
  <c r="CE286" i="6" s="1"/>
  <c r="AA286" i="24"/>
  <c r="Z286" i="24" s="1"/>
  <c r="Y286" i="24" s="1"/>
  <c r="W286" i="25"/>
  <c r="D286" i="25"/>
  <c r="E286" i="25" s="1"/>
  <c r="F286" i="25" s="1"/>
  <c r="W200" i="25"/>
  <c r="D200" i="25"/>
  <c r="E200" i="25" s="1"/>
  <c r="F200" i="25" s="1"/>
  <c r="G158" i="24"/>
  <c r="CE158" i="6" s="1"/>
  <c r="AA158" i="24"/>
  <c r="Z158" i="24" s="1"/>
  <c r="Y158" i="24" s="1"/>
  <c r="G20" i="24"/>
  <c r="CE20" i="6" s="1"/>
  <c r="AA20" i="24"/>
  <c r="Z20" i="24" s="1"/>
  <c r="Y20" i="24" s="1"/>
  <c r="W371" i="25"/>
  <c r="D371" i="25"/>
  <c r="E371" i="25" s="1"/>
  <c r="F371" i="25" s="1"/>
  <c r="G215" i="24"/>
  <c r="CE215" i="6" s="1"/>
  <c r="AA215" i="24"/>
  <c r="Z215" i="24" s="1"/>
  <c r="Y215" i="24" s="1"/>
  <c r="I181" i="23"/>
  <c r="H181" i="24" s="1"/>
  <c r="J181" i="23"/>
  <c r="G123" i="24"/>
  <c r="CE123" i="6" s="1"/>
  <c r="AA123" i="24"/>
  <c r="Z123" i="24" s="1"/>
  <c r="Y123" i="24" s="1"/>
  <c r="J175" i="23"/>
  <c r="I175" i="23"/>
  <c r="H175" i="24" s="1"/>
  <c r="W375" i="25"/>
  <c r="D375" i="25"/>
  <c r="E375" i="25" s="1"/>
  <c r="F375" i="25" s="1"/>
  <c r="W301" i="25"/>
  <c r="D301" i="25"/>
  <c r="E301" i="25" s="1"/>
  <c r="F301" i="25" s="1"/>
  <c r="G141" i="24"/>
  <c r="CE141" i="6" s="1"/>
  <c r="AA141" i="24"/>
  <c r="Z141" i="24" s="1"/>
  <c r="Y141" i="24" s="1"/>
  <c r="J295" i="22"/>
  <c r="I295" i="22"/>
  <c r="H295" i="23" s="1"/>
  <c r="J81" i="22"/>
  <c r="I81" i="22"/>
  <c r="H81" i="23" s="1"/>
  <c r="J62" i="22"/>
  <c r="I62" i="22"/>
  <c r="H62" i="23" s="1"/>
  <c r="J182" i="22"/>
  <c r="I182" i="22"/>
  <c r="H182" i="23" s="1"/>
  <c r="J78" i="22"/>
  <c r="I78" i="22"/>
  <c r="H78" i="23" s="1"/>
  <c r="G355" i="25"/>
  <c r="CF355" i="6" s="1"/>
  <c r="AA355" i="25"/>
  <c r="Z355" i="25" s="1"/>
  <c r="Y355" i="25" s="1"/>
  <c r="G25" i="25"/>
  <c r="CF25" i="6" s="1"/>
  <c r="AA25" i="25"/>
  <c r="Z25" i="25" s="1"/>
  <c r="Y25" i="25" s="1"/>
  <c r="G191" i="25"/>
  <c r="CF191" i="6" s="1"/>
  <c r="AA191" i="25"/>
  <c r="Z191" i="25" s="1"/>
  <c r="Y191" i="25" s="1"/>
  <c r="W326" i="25"/>
  <c r="D326" i="25"/>
  <c r="E326" i="25" s="1"/>
  <c r="F326" i="25" s="1"/>
  <c r="G188" i="24"/>
  <c r="CE188" i="6" s="1"/>
  <c r="AA188" i="24"/>
  <c r="Z188" i="24" s="1"/>
  <c r="Y188" i="24" s="1"/>
  <c r="W96" i="25"/>
  <c r="D96" i="25"/>
  <c r="E96" i="25" s="1"/>
  <c r="F96" i="25" s="1"/>
  <c r="J327" i="23"/>
  <c r="I327" i="23"/>
  <c r="H327" i="24" s="1"/>
  <c r="J285" i="23"/>
  <c r="I285" i="23"/>
  <c r="H285" i="24" s="1"/>
  <c r="I131" i="22"/>
  <c r="H131" i="23" s="1"/>
  <c r="J131" i="22"/>
  <c r="I93" i="22"/>
  <c r="H93" i="23" s="1"/>
  <c r="J93" i="22"/>
  <c r="G342" i="24"/>
  <c r="CE342" i="6" s="1"/>
  <c r="AA342" i="24"/>
  <c r="Z342" i="24" s="1"/>
  <c r="Y342" i="24" s="1"/>
  <c r="W242" i="25"/>
  <c r="D242" i="25"/>
  <c r="E242" i="25" s="1"/>
  <c r="F242" i="25" s="1"/>
  <c r="W168" i="25"/>
  <c r="D168" i="25"/>
  <c r="E168" i="25" s="1"/>
  <c r="F168" i="25" s="1"/>
  <c r="I134" i="23"/>
  <c r="H134" i="24" s="1"/>
  <c r="J134" i="23"/>
  <c r="G193" i="24"/>
  <c r="CE193" i="6" s="1"/>
  <c r="AA193" i="24"/>
  <c r="Z193" i="24" s="1"/>
  <c r="Y193" i="24" s="1"/>
  <c r="J107" i="23"/>
  <c r="I107" i="23"/>
  <c r="H107" i="24" s="1"/>
  <c r="I228" i="22"/>
  <c r="H228" i="23" s="1"/>
  <c r="J228" i="22"/>
  <c r="G233" i="24"/>
  <c r="CE233" i="6" s="1"/>
  <c r="AA233" i="24"/>
  <c r="Z233" i="24" s="1"/>
  <c r="Y233" i="24" s="1"/>
  <c r="I201" i="23"/>
  <c r="H201" i="24" s="1"/>
  <c r="AA145" i="24"/>
  <c r="Z145" i="24" s="1"/>
  <c r="Y145" i="24" s="1"/>
  <c r="G145" i="24"/>
  <c r="CE145" i="6" s="1"/>
  <c r="I87" i="23"/>
  <c r="H87" i="24" s="1"/>
  <c r="J87" i="23"/>
  <c r="I171" i="22"/>
  <c r="H171" i="23" s="1"/>
  <c r="J171" i="22"/>
  <c r="G166" i="25"/>
  <c r="CF166" i="6" s="1"/>
  <c r="AA166" i="25"/>
  <c r="Z166" i="25" s="1"/>
  <c r="Y166" i="25" s="1"/>
  <c r="G232" i="25"/>
  <c r="CF232" i="6" s="1"/>
  <c r="AA232" i="25"/>
  <c r="Z232" i="25" s="1"/>
  <c r="Y232" i="25" s="1"/>
  <c r="G295" i="25"/>
  <c r="CF295" i="6" s="1"/>
  <c r="AA295" i="25"/>
  <c r="Z295" i="25" s="1"/>
  <c r="Y295" i="25" s="1"/>
  <c r="AA157" i="25"/>
  <c r="Z157" i="25" s="1"/>
  <c r="Y157" i="25" s="1"/>
  <c r="G157" i="25"/>
  <c r="CF157" i="6" s="1"/>
  <c r="G374" i="25"/>
  <c r="CF374" i="6" s="1"/>
  <c r="AA374" i="25"/>
  <c r="Z374" i="25" s="1"/>
  <c r="Y374" i="25" s="1"/>
  <c r="G90" i="25"/>
  <c r="CF90" i="6" s="1"/>
  <c r="AA90" i="25"/>
  <c r="Z90" i="25" s="1"/>
  <c r="Y90" i="25" s="1"/>
  <c r="AA264" i="25"/>
  <c r="Z264" i="25" s="1"/>
  <c r="Y264" i="25" s="1"/>
  <c r="G264" i="25"/>
  <c r="CF264" i="6" s="1"/>
  <c r="I240" i="22"/>
  <c r="H240" i="23" s="1"/>
  <c r="J240" i="22"/>
  <c r="I162" i="22"/>
  <c r="H162" i="23" s="1"/>
  <c r="J162" i="22"/>
  <c r="J72" i="22"/>
  <c r="I72" i="22"/>
  <c r="H72" i="23" s="1"/>
  <c r="I345" i="22"/>
  <c r="H345" i="23" s="1"/>
  <c r="J345" i="22"/>
  <c r="I297" i="22"/>
  <c r="H297" i="23" s="1"/>
  <c r="J297" i="22"/>
  <c r="I199" i="22"/>
  <c r="H199" i="23" s="1"/>
  <c r="J199" i="22"/>
  <c r="I109" i="22"/>
  <c r="H109" i="23" s="1"/>
  <c r="J109" i="22"/>
  <c r="I324" i="22"/>
  <c r="H324" i="23" s="1"/>
  <c r="J324" i="22"/>
  <c r="J238" i="22"/>
  <c r="I238" i="22"/>
  <c r="H238" i="23" s="1"/>
  <c r="G223" i="25"/>
  <c r="CF223" i="6" s="1"/>
  <c r="AA223" i="25"/>
  <c r="Z223" i="25" s="1"/>
  <c r="Y223" i="25" s="1"/>
  <c r="I96" i="22"/>
  <c r="H96" i="23" s="1"/>
  <c r="J96" i="22"/>
  <c r="W341" i="25"/>
  <c r="D341" i="25"/>
  <c r="E341" i="25" s="1"/>
  <c r="F341" i="25" s="1"/>
  <c r="W259" i="25"/>
  <c r="D259" i="25"/>
  <c r="E259" i="25" s="1"/>
  <c r="F259" i="25" s="1"/>
  <c r="G259" i="24"/>
  <c r="CE259" i="6" s="1"/>
  <c r="AA259" i="24"/>
  <c r="Z259" i="24" s="1"/>
  <c r="Y259" i="24" s="1"/>
  <c r="G93" i="25"/>
  <c r="CF93" i="6" s="1"/>
  <c r="AA93" i="25"/>
  <c r="Z93" i="25" s="1"/>
  <c r="Y93" i="25" s="1"/>
  <c r="G336" i="25"/>
  <c r="CF336" i="6" s="1"/>
  <c r="AA336" i="25"/>
  <c r="Z336" i="25" s="1"/>
  <c r="Y336" i="25" s="1"/>
  <c r="G308" i="25"/>
  <c r="CF308" i="6" s="1"/>
  <c r="AA308" i="25"/>
  <c r="Z308" i="25" s="1"/>
  <c r="Y308" i="25" s="1"/>
  <c r="G270" i="25"/>
  <c r="CF270" i="6" s="1"/>
  <c r="AA270" i="25"/>
  <c r="Z270" i="25" s="1"/>
  <c r="Y270" i="25" s="1"/>
  <c r="G246" i="25"/>
  <c r="CF246" i="6" s="1"/>
  <c r="AA246" i="25"/>
  <c r="Z246" i="25" s="1"/>
  <c r="Y246" i="25" s="1"/>
  <c r="G176" i="25"/>
  <c r="CF176" i="6" s="1"/>
  <c r="AA176" i="25"/>
  <c r="Z176" i="25" s="1"/>
  <c r="Y176" i="25" s="1"/>
  <c r="G128" i="25"/>
  <c r="CF128" i="6" s="1"/>
  <c r="AA128" i="25"/>
  <c r="Z128" i="25" s="1"/>
  <c r="Y128" i="25" s="1"/>
  <c r="G104" i="25"/>
  <c r="CF104" i="6" s="1"/>
  <c r="AA104" i="25"/>
  <c r="Z104" i="25" s="1"/>
  <c r="Y104" i="25" s="1"/>
  <c r="G56" i="25"/>
  <c r="CF56" i="6" s="1"/>
  <c r="AA56" i="25"/>
  <c r="Z56" i="25" s="1"/>
  <c r="Y56" i="25" s="1"/>
  <c r="G323" i="25"/>
  <c r="CF323" i="6" s="1"/>
  <c r="AA323" i="25"/>
  <c r="Z323" i="25" s="1"/>
  <c r="Y323" i="25" s="1"/>
  <c r="G363" i="25"/>
  <c r="CF363" i="6" s="1"/>
  <c r="AA363" i="25"/>
  <c r="Z363" i="25" s="1"/>
  <c r="Y363" i="25" s="1"/>
  <c r="J275" i="22"/>
  <c r="I275" i="22"/>
  <c r="H275" i="23" s="1"/>
  <c r="J219" i="22"/>
  <c r="I219" i="22"/>
  <c r="H219" i="23" s="1"/>
  <c r="J191" i="22"/>
  <c r="I191" i="22"/>
  <c r="H191" i="23" s="1"/>
  <c r="AL9" i="23" l="1"/>
  <c r="AM7" i="23"/>
  <c r="I352" i="23"/>
  <c r="H352" i="24" s="1"/>
  <c r="I352" i="24" s="1"/>
  <c r="H352" i="25" s="1"/>
  <c r="J113" i="23"/>
  <c r="J113" i="24" s="1"/>
  <c r="AJ11" i="24"/>
  <c r="AM5" i="20"/>
  <c r="AM11" i="20" s="1"/>
  <c r="AK3" i="20" s="1"/>
  <c r="Q16" i="19" s="1"/>
  <c r="AL5" i="20"/>
  <c r="AL11" i="20" s="1"/>
  <c r="AJ3" i="20" s="1"/>
  <c r="O16" i="19" s="1"/>
  <c r="E15" i="25"/>
  <c r="AJ9" i="25" s="1"/>
  <c r="AJ7" i="25"/>
  <c r="I45" i="23"/>
  <c r="H45" i="24" s="1"/>
  <c r="J45" i="24" s="1"/>
  <c r="J218" i="23"/>
  <c r="J256" i="23"/>
  <c r="J256" i="24" s="1"/>
  <c r="J224" i="23"/>
  <c r="J224" i="24" s="1"/>
  <c r="J342" i="23"/>
  <c r="J342" i="24" s="1"/>
  <c r="J343" i="23"/>
  <c r="J343" i="24" s="1"/>
  <c r="J153" i="23"/>
  <c r="J153" i="24" s="1"/>
  <c r="I286" i="23"/>
  <c r="H286" i="24" s="1"/>
  <c r="J286" i="24" s="1"/>
  <c r="J141" i="23"/>
  <c r="J141" i="24" s="1"/>
  <c r="I165" i="23"/>
  <c r="H165" i="24" s="1"/>
  <c r="I165" i="24" s="1"/>
  <c r="H165" i="25" s="1"/>
  <c r="I124" i="23"/>
  <c r="H124" i="24" s="1"/>
  <c r="I124" i="24" s="1"/>
  <c r="H124" i="25" s="1"/>
  <c r="I230" i="23"/>
  <c r="H230" i="24" s="1"/>
  <c r="I230" i="24" s="1"/>
  <c r="H230" i="25" s="1"/>
  <c r="I100" i="23"/>
  <c r="H100" i="24" s="1"/>
  <c r="J100" i="24" s="1"/>
  <c r="J52" i="23"/>
  <c r="J52" i="24" s="1"/>
  <c r="I136" i="23"/>
  <c r="H136" i="24" s="1"/>
  <c r="J136" i="24" s="1"/>
  <c r="I174" i="23"/>
  <c r="H174" i="24" s="1"/>
  <c r="J174" i="24" s="1"/>
  <c r="J235" i="23"/>
  <c r="J235" i="24" s="1"/>
  <c r="I251" i="23"/>
  <c r="H251" i="24" s="1"/>
  <c r="I251" i="24" s="1"/>
  <c r="H251" i="25" s="1"/>
  <c r="I315" i="23"/>
  <c r="H315" i="24" s="1"/>
  <c r="J315" i="24" s="1"/>
  <c r="I39" i="23"/>
  <c r="H39" i="24" s="1"/>
  <c r="J39" i="24" s="1"/>
  <c r="J211" i="23"/>
  <c r="J211" i="24" s="1"/>
  <c r="J30" i="23"/>
  <c r="J30" i="24" s="1"/>
  <c r="I312" i="23"/>
  <c r="H312" i="24" s="1"/>
  <c r="J312" i="24" s="1"/>
  <c r="I50" i="23"/>
  <c r="H50" i="24" s="1"/>
  <c r="I50" i="24" s="1"/>
  <c r="H50" i="25" s="1"/>
  <c r="I87" i="24"/>
  <c r="H87" i="25" s="1"/>
  <c r="J87" i="24"/>
  <c r="J201" i="24"/>
  <c r="I201" i="24"/>
  <c r="H201" i="25" s="1"/>
  <c r="I312" i="24"/>
  <c r="H312" i="25" s="1"/>
  <c r="J175" i="24"/>
  <c r="I175" i="24"/>
  <c r="H175" i="25" s="1"/>
  <c r="I181" i="24"/>
  <c r="H181" i="25" s="1"/>
  <c r="J181" i="24"/>
  <c r="I224" i="24"/>
  <c r="H224" i="25" s="1"/>
  <c r="I254" i="24"/>
  <c r="H254" i="25" s="1"/>
  <c r="J254" i="24"/>
  <c r="I204" i="24"/>
  <c r="H204" i="25" s="1"/>
  <c r="J204" i="24"/>
  <c r="J328" i="24"/>
  <c r="I328" i="24"/>
  <c r="H328" i="25" s="1"/>
  <c r="J160" i="24"/>
  <c r="I160" i="24"/>
  <c r="H160" i="25" s="1"/>
  <c r="I41" i="24"/>
  <c r="H41" i="25" s="1"/>
  <c r="J41" i="24"/>
  <c r="J117" i="24"/>
  <c r="I117" i="24"/>
  <c r="H117" i="25" s="1"/>
  <c r="J40" i="24"/>
  <c r="I40" i="24"/>
  <c r="H40" i="25" s="1"/>
  <c r="J337" i="24"/>
  <c r="I337" i="24"/>
  <c r="H337" i="25" s="1"/>
  <c r="I86" i="24"/>
  <c r="H86" i="25" s="1"/>
  <c r="J86" i="24"/>
  <c r="J213" i="24"/>
  <c r="I213" i="24"/>
  <c r="H213" i="25" s="1"/>
  <c r="J330" i="24"/>
  <c r="I330" i="24"/>
  <c r="H330" i="25" s="1"/>
  <c r="I186" i="24"/>
  <c r="H186" i="25" s="1"/>
  <c r="J186" i="24"/>
  <c r="I218" i="24"/>
  <c r="H218" i="25" s="1"/>
  <c r="J218" i="24"/>
  <c r="I107" i="24"/>
  <c r="H107" i="25" s="1"/>
  <c r="J107" i="24"/>
  <c r="J134" i="24"/>
  <c r="I134" i="24"/>
  <c r="H134" i="25" s="1"/>
  <c r="J285" i="24"/>
  <c r="I285" i="24"/>
  <c r="H285" i="25" s="1"/>
  <c r="I327" i="24"/>
  <c r="H327" i="25" s="1"/>
  <c r="J327" i="24"/>
  <c r="I64" i="24"/>
  <c r="H64" i="25" s="1"/>
  <c r="J64" i="24"/>
  <c r="I113" i="24"/>
  <c r="H113" i="25" s="1"/>
  <c r="I351" i="24"/>
  <c r="H351" i="25" s="1"/>
  <c r="J351" i="24"/>
  <c r="J54" i="24"/>
  <c r="I54" i="24"/>
  <c r="H54" i="25" s="1"/>
  <c r="I318" i="24"/>
  <c r="H318" i="25" s="1"/>
  <c r="J318" i="24"/>
  <c r="I126" i="24"/>
  <c r="H126" i="25" s="1"/>
  <c r="J126" i="24"/>
  <c r="J168" i="24"/>
  <c r="I168" i="24"/>
  <c r="H168" i="25" s="1"/>
  <c r="J242" i="24"/>
  <c r="I242" i="24"/>
  <c r="H242" i="25" s="1"/>
  <c r="I301" i="24"/>
  <c r="H301" i="25" s="1"/>
  <c r="J301" i="24"/>
  <c r="J205" i="24"/>
  <c r="I205" i="24"/>
  <c r="H205" i="25" s="1"/>
  <c r="J21" i="24"/>
  <c r="I21" i="24"/>
  <c r="H21" i="25" s="1"/>
  <c r="I322" i="24"/>
  <c r="H322" i="25" s="1"/>
  <c r="J322" i="24"/>
  <c r="J179" i="24"/>
  <c r="I179" i="24"/>
  <c r="H179" i="25" s="1"/>
  <c r="I235" i="24"/>
  <c r="H235" i="25" s="1"/>
  <c r="J96" i="23"/>
  <c r="I96" i="23"/>
  <c r="H96" i="24" s="1"/>
  <c r="I238" i="23"/>
  <c r="H238" i="24" s="1"/>
  <c r="J238" i="23"/>
  <c r="J72" i="23"/>
  <c r="I72" i="23"/>
  <c r="H72" i="24" s="1"/>
  <c r="J171" i="23"/>
  <c r="I171" i="23"/>
  <c r="H171" i="24" s="1"/>
  <c r="I228" i="23"/>
  <c r="H228" i="24" s="1"/>
  <c r="J228" i="23"/>
  <c r="G168" i="25"/>
  <c r="CF168" i="6" s="1"/>
  <c r="AA168" i="25"/>
  <c r="Z168" i="25" s="1"/>
  <c r="Y168" i="25" s="1"/>
  <c r="G242" i="25"/>
  <c r="CF242" i="6" s="1"/>
  <c r="AA242" i="25"/>
  <c r="Z242" i="25" s="1"/>
  <c r="Y242" i="25" s="1"/>
  <c r="I342" i="24"/>
  <c r="H342" i="25" s="1"/>
  <c r="I93" i="23"/>
  <c r="H93" i="24" s="1"/>
  <c r="J93" i="23"/>
  <c r="J131" i="23"/>
  <c r="I131" i="23"/>
  <c r="H131" i="24" s="1"/>
  <c r="G326" i="25"/>
  <c r="CF326" i="6" s="1"/>
  <c r="AA326" i="25"/>
  <c r="Z326" i="25" s="1"/>
  <c r="Y326" i="25" s="1"/>
  <c r="I141" i="24"/>
  <c r="H141" i="25" s="1"/>
  <c r="G301" i="25"/>
  <c r="CF301" i="6" s="1"/>
  <c r="AA301" i="25"/>
  <c r="Z301" i="25" s="1"/>
  <c r="Y301" i="25" s="1"/>
  <c r="G375" i="25"/>
  <c r="CF375" i="6" s="1"/>
  <c r="AA375" i="25"/>
  <c r="Z375" i="25" s="1"/>
  <c r="Y375" i="25" s="1"/>
  <c r="J123" i="24"/>
  <c r="I123" i="24"/>
  <c r="H123" i="25" s="1"/>
  <c r="I215" i="24"/>
  <c r="H215" i="25" s="1"/>
  <c r="J215" i="24"/>
  <c r="G371" i="25"/>
  <c r="CF371" i="6" s="1"/>
  <c r="AA371" i="25"/>
  <c r="Z371" i="25" s="1"/>
  <c r="Y371" i="25" s="1"/>
  <c r="J20" i="24"/>
  <c r="I20" i="24"/>
  <c r="H20" i="25" s="1"/>
  <c r="G200" i="25"/>
  <c r="CF200" i="6" s="1"/>
  <c r="AA200" i="25"/>
  <c r="Z200" i="25" s="1"/>
  <c r="Y200" i="25" s="1"/>
  <c r="G286" i="25"/>
  <c r="CF286" i="6" s="1"/>
  <c r="AA286" i="25"/>
  <c r="Z286" i="25" s="1"/>
  <c r="Y286" i="25" s="1"/>
  <c r="J331" i="24"/>
  <c r="I331" i="24"/>
  <c r="H331" i="25" s="1"/>
  <c r="AA38" i="25"/>
  <c r="Z38" i="25" s="1"/>
  <c r="Y38" i="25" s="1"/>
  <c r="G38" i="25"/>
  <c r="CF38" i="6" s="1"/>
  <c r="G315" i="25"/>
  <c r="CF315" i="6" s="1"/>
  <c r="AA315" i="25"/>
  <c r="Z315" i="25" s="1"/>
  <c r="Y315" i="25" s="1"/>
  <c r="G30" i="25"/>
  <c r="CF30" i="6" s="1"/>
  <c r="AA30" i="25"/>
  <c r="Z30" i="25" s="1"/>
  <c r="Y30" i="25" s="1"/>
  <c r="J187" i="23"/>
  <c r="I187" i="23"/>
  <c r="H187" i="24" s="1"/>
  <c r="I127" i="23"/>
  <c r="H127" i="24" s="1"/>
  <c r="J127" i="23"/>
  <c r="J183" i="23"/>
  <c r="I183" i="23"/>
  <c r="H183" i="24" s="1"/>
  <c r="I227" i="23"/>
  <c r="H227" i="24" s="1"/>
  <c r="J227" i="23"/>
  <c r="J125" i="23"/>
  <c r="I125" i="23"/>
  <c r="H125" i="24" s="1"/>
  <c r="J349" i="23"/>
  <c r="I349" i="23"/>
  <c r="H349" i="24" s="1"/>
  <c r="J55" i="23"/>
  <c r="I55" i="23"/>
  <c r="H55" i="24" s="1"/>
  <c r="G70" i="25"/>
  <c r="CF70" i="6" s="1"/>
  <c r="AA70" i="25"/>
  <c r="Z70" i="25" s="1"/>
  <c r="Y70" i="25" s="1"/>
  <c r="G136" i="25"/>
  <c r="CF136" i="6" s="1"/>
  <c r="AA136" i="25"/>
  <c r="Z136" i="25" s="1"/>
  <c r="Y136" i="25" s="1"/>
  <c r="I178" i="24"/>
  <c r="H178" i="25" s="1"/>
  <c r="J178" i="24"/>
  <c r="J49" i="24"/>
  <c r="I49" i="24"/>
  <c r="H49" i="25" s="1"/>
  <c r="AA296" i="25"/>
  <c r="Z296" i="25" s="1"/>
  <c r="Y296" i="25" s="1"/>
  <c r="G296" i="25"/>
  <c r="CF296" i="6" s="1"/>
  <c r="J151" i="24"/>
  <c r="I151" i="24"/>
  <c r="H151" i="25" s="1"/>
  <c r="I184" i="24"/>
  <c r="H184" i="25" s="1"/>
  <c r="J184" i="24"/>
  <c r="G117" i="25"/>
  <c r="CF117" i="6" s="1"/>
  <c r="AA117" i="25"/>
  <c r="Z117" i="25" s="1"/>
  <c r="Y117" i="25" s="1"/>
  <c r="G225" i="25"/>
  <c r="CF225" i="6" s="1"/>
  <c r="AA225" i="25"/>
  <c r="Z225" i="25" s="1"/>
  <c r="Y225" i="25" s="1"/>
  <c r="AA343" i="25"/>
  <c r="Z343" i="25" s="1"/>
  <c r="Y343" i="25" s="1"/>
  <c r="G343" i="25"/>
  <c r="CF343" i="6" s="1"/>
  <c r="G40" i="25"/>
  <c r="CF40" i="6" s="1"/>
  <c r="AA40" i="25"/>
  <c r="Z40" i="25" s="1"/>
  <c r="Y40" i="25" s="1"/>
  <c r="J222" i="24"/>
  <c r="I222" i="24"/>
  <c r="H222" i="25" s="1"/>
  <c r="I252" i="24"/>
  <c r="H252" i="25" s="1"/>
  <c r="J252" i="24"/>
  <c r="AA152" i="25"/>
  <c r="Z152" i="25" s="1"/>
  <c r="Y152" i="25" s="1"/>
  <c r="G152" i="25"/>
  <c r="CF152" i="6" s="1"/>
  <c r="I152" i="24"/>
  <c r="H152" i="25" s="1"/>
  <c r="J152" i="24"/>
  <c r="G132" i="25"/>
  <c r="CF132" i="6" s="1"/>
  <c r="AA132" i="25"/>
  <c r="Z132" i="25" s="1"/>
  <c r="Y132" i="25" s="1"/>
  <c r="I321" i="23"/>
  <c r="H321" i="24" s="1"/>
  <c r="J321" i="23"/>
  <c r="I317" i="23"/>
  <c r="H317" i="24" s="1"/>
  <c r="J317" i="23"/>
  <c r="AA59" i="25"/>
  <c r="Z59" i="25" s="1"/>
  <c r="Y59" i="25" s="1"/>
  <c r="G59" i="25"/>
  <c r="CF59" i="6" s="1"/>
  <c r="J59" i="24"/>
  <c r="I59" i="24"/>
  <c r="H59" i="25" s="1"/>
  <c r="G337" i="25"/>
  <c r="CF337" i="6" s="1"/>
  <c r="AA337" i="25"/>
  <c r="Z337" i="25" s="1"/>
  <c r="Y337" i="25" s="1"/>
  <c r="AA92" i="25"/>
  <c r="Z92" i="25" s="1"/>
  <c r="Y92" i="25" s="1"/>
  <c r="G92" i="25"/>
  <c r="CF92" i="6" s="1"/>
  <c r="G282" i="25"/>
  <c r="CF282" i="6" s="1"/>
  <c r="AA282" i="25"/>
  <c r="Z282" i="25" s="1"/>
  <c r="Y282" i="25" s="1"/>
  <c r="G21" i="25"/>
  <c r="CF21" i="6" s="1"/>
  <c r="AA21" i="25"/>
  <c r="Z21" i="25" s="1"/>
  <c r="Y21" i="25" s="1"/>
  <c r="AA71" i="25"/>
  <c r="Z71" i="25" s="1"/>
  <c r="Y71" i="25" s="1"/>
  <c r="G71" i="25"/>
  <c r="CF71" i="6" s="1"/>
  <c r="J143" i="23"/>
  <c r="I143" i="23"/>
  <c r="H143" i="24" s="1"/>
  <c r="G322" i="25"/>
  <c r="CF322" i="6" s="1"/>
  <c r="AA322" i="25"/>
  <c r="Z322" i="25" s="1"/>
  <c r="Y322" i="25" s="1"/>
  <c r="I173" i="23"/>
  <c r="H173" i="24" s="1"/>
  <c r="J173" i="23"/>
  <c r="J339" i="23"/>
  <c r="I339" i="23"/>
  <c r="H339" i="24" s="1"/>
  <c r="I346" i="23"/>
  <c r="H346" i="24" s="1"/>
  <c r="J346" i="23"/>
  <c r="I120" i="23"/>
  <c r="H120" i="24" s="1"/>
  <c r="J120" i="23"/>
  <c r="J291" i="23"/>
  <c r="I291" i="23"/>
  <c r="H291" i="24" s="1"/>
  <c r="J261" i="23"/>
  <c r="I261" i="23"/>
  <c r="H261" i="24" s="1"/>
  <c r="I116" i="23"/>
  <c r="H116" i="24" s="1"/>
  <c r="J116" i="23"/>
  <c r="I97" i="23"/>
  <c r="H97" i="24" s="1"/>
  <c r="J97" i="23"/>
  <c r="I29" i="23"/>
  <c r="H29" i="24" s="1"/>
  <c r="J29" i="23"/>
  <c r="I149" i="23"/>
  <c r="H149" i="24" s="1"/>
  <c r="J149" i="23"/>
  <c r="J16" i="23"/>
  <c r="I16" i="23"/>
  <c r="H16" i="24" s="1"/>
  <c r="I208" i="23"/>
  <c r="H208" i="24" s="1"/>
  <c r="J208" i="23"/>
  <c r="I35" i="23"/>
  <c r="H35" i="24" s="1"/>
  <c r="J35" i="23"/>
  <c r="I246" i="23"/>
  <c r="H246" i="24" s="1"/>
  <c r="J246" i="23"/>
  <c r="J188" i="23"/>
  <c r="I188" i="23"/>
  <c r="H188" i="24" s="1"/>
  <c r="J231" i="23"/>
  <c r="I231" i="23"/>
  <c r="H231" i="24" s="1"/>
  <c r="J313" i="23"/>
  <c r="I313" i="23"/>
  <c r="H313" i="24" s="1"/>
  <c r="J190" i="23"/>
  <c r="I190" i="23"/>
  <c r="H190" i="24" s="1"/>
  <c r="G312" i="25"/>
  <c r="CF312" i="6" s="1"/>
  <c r="AA312" i="25"/>
  <c r="Z312" i="25" s="1"/>
  <c r="Y312" i="25" s="1"/>
  <c r="J380" i="23"/>
  <c r="I380" i="23"/>
  <c r="H380" i="24" s="1"/>
  <c r="J140" i="23"/>
  <c r="I140" i="23"/>
  <c r="H140" i="24" s="1"/>
  <c r="J270" i="23"/>
  <c r="I270" i="23"/>
  <c r="H270" i="24" s="1"/>
  <c r="J276" i="23"/>
  <c r="I276" i="23"/>
  <c r="H276" i="24" s="1"/>
  <c r="J217" i="23"/>
  <c r="I217" i="23"/>
  <c r="H217" i="24" s="1"/>
  <c r="J329" i="23"/>
  <c r="I329" i="23"/>
  <c r="H329" i="24" s="1"/>
  <c r="J150" i="23"/>
  <c r="I150" i="23"/>
  <c r="H150" i="24" s="1"/>
  <c r="J247" i="23"/>
  <c r="I247" i="23"/>
  <c r="H247" i="24" s="1"/>
  <c r="J338" i="24"/>
  <c r="I338" i="24"/>
  <c r="H338" i="25" s="1"/>
  <c r="J85" i="23"/>
  <c r="I85" i="23"/>
  <c r="H85" i="24" s="1"/>
  <c r="I243" i="23"/>
  <c r="H243" i="24" s="1"/>
  <c r="J243" i="23"/>
  <c r="J106" i="24"/>
  <c r="I106" i="24"/>
  <c r="H106" i="25" s="1"/>
  <c r="G254" i="25"/>
  <c r="CF254" i="6" s="1"/>
  <c r="AA254" i="25"/>
  <c r="Z254" i="25" s="1"/>
  <c r="Y254" i="25" s="1"/>
  <c r="G318" i="25"/>
  <c r="CF318" i="6" s="1"/>
  <c r="AA318" i="25"/>
  <c r="Z318" i="25" s="1"/>
  <c r="Y318" i="25" s="1"/>
  <c r="G31" i="25"/>
  <c r="CF31" i="6" s="1"/>
  <c r="AA31" i="25"/>
  <c r="Z31" i="25" s="1"/>
  <c r="Y31" i="25" s="1"/>
  <c r="G124" i="25"/>
  <c r="CF124" i="6" s="1"/>
  <c r="AA124" i="25"/>
  <c r="Z124" i="25" s="1"/>
  <c r="Y124" i="25" s="1"/>
  <c r="G256" i="25"/>
  <c r="CF256" i="6" s="1"/>
  <c r="AA256" i="25"/>
  <c r="Z256" i="25" s="1"/>
  <c r="Y256" i="25" s="1"/>
  <c r="AA330" i="25"/>
  <c r="Z330" i="25" s="1"/>
  <c r="Y330" i="25" s="1"/>
  <c r="G330" i="25"/>
  <c r="CF330" i="6" s="1"/>
  <c r="AA68" i="25"/>
  <c r="Z68" i="25" s="1"/>
  <c r="Y68" i="25" s="1"/>
  <c r="G68" i="25"/>
  <c r="CF68" i="6" s="1"/>
  <c r="AA305" i="25"/>
  <c r="Z305" i="25" s="1"/>
  <c r="Y305" i="25" s="1"/>
  <c r="G305" i="25"/>
  <c r="CF305" i="6" s="1"/>
  <c r="I52" i="24"/>
  <c r="H52" i="25" s="1"/>
  <c r="G235" i="25"/>
  <c r="CF235" i="6" s="1"/>
  <c r="AA235" i="25"/>
  <c r="Z235" i="25" s="1"/>
  <c r="Y235" i="25" s="1"/>
  <c r="G153" i="25"/>
  <c r="CF153" i="6" s="1"/>
  <c r="AA153" i="25"/>
  <c r="Z153" i="25" s="1"/>
  <c r="Y153" i="25" s="1"/>
  <c r="J333" i="23"/>
  <c r="I333" i="23"/>
  <c r="H333" i="24" s="1"/>
  <c r="G250" i="25"/>
  <c r="CF250" i="6" s="1"/>
  <c r="AA250" i="25"/>
  <c r="Z250" i="25" s="1"/>
  <c r="Y250" i="25" s="1"/>
  <c r="G379" i="25"/>
  <c r="CF379" i="6" s="1"/>
  <c r="AA379" i="25"/>
  <c r="Z379" i="25" s="1"/>
  <c r="Y379" i="25" s="1"/>
  <c r="J268" i="24"/>
  <c r="I268" i="24"/>
  <c r="H268" i="25" s="1"/>
  <c r="G160" i="25"/>
  <c r="CF160" i="6" s="1"/>
  <c r="AA160" i="25"/>
  <c r="Z160" i="25" s="1"/>
  <c r="Y160" i="25" s="1"/>
  <c r="AA359" i="25"/>
  <c r="Z359" i="25" s="1"/>
  <c r="Y359" i="25" s="1"/>
  <c r="G359" i="25"/>
  <c r="CF359" i="6" s="1"/>
  <c r="I47" i="23"/>
  <c r="H47" i="24" s="1"/>
  <c r="J47" i="23"/>
  <c r="I341" i="24"/>
  <c r="H341" i="25" s="1"/>
  <c r="J341" i="24"/>
  <c r="J202" i="23"/>
  <c r="I202" i="23"/>
  <c r="H202" i="24" s="1"/>
  <c r="J269" i="23"/>
  <c r="I269" i="23"/>
  <c r="H269" i="24" s="1"/>
  <c r="AA342" i="25"/>
  <c r="Z342" i="25" s="1"/>
  <c r="Y342" i="25" s="1"/>
  <c r="G342" i="25"/>
  <c r="CF342" i="6" s="1"/>
  <c r="I293" i="23"/>
  <c r="H293" i="24" s="1"/>
  <c r="J293" i="23"/>
  <c r="G188" i="25"/>
  <c r="CF188" i="6" s="1"/>
  <c r="AA188" i="25"/>
  <c r="Z188" i="25" s="1"/>
  <c r="Y188" i="25" s="1"/>
  <c r="J294" i="23"/>
  <c r="I294" i="23"/>
  <c r="H294" i="24" s="1"/>
  <c r="J206" i="23"/>
  <c r="I206" i="23"/>
  <c r="H206" i="24" s="1"/>
  <c r="I314" i="23"/>
  <c r="H314" i="24" s="1"/>
  <c r="J314" i="23"/>
  <c r="J289" i="23"/>
  <c r="I289" i="23"/>
  <c r="H289" i="24" s="1"/>
  <c r="I236" i="23"/>
  <c r="H236" i="24" s="1"/>
  <c r="J236" i="23"/>
  <c r="I157" i="23"/>
  <c r="H157" i="24" s="1"/>
  <c r="J157" i="23"/>
  <c r="G20" i="25"/>
  <c r="CF20" i="6" s="1"/>
  <c r="AA20" i="25"/>
  <c r="Z20" i="25" s="1"/>
  <c r="Y20" i="25" s="1"/>
  <c r="AA158" i="25"/>
  <c r="Z158" i="25" s="1"/>
  <c r="Y158" i="25" s="1"/>
  <c r="G158" i="25"/>
  <c r="CF158" i="6" s="1"/>
  <c r="I200" i="24"/>
  <c r="H200" i="25" s="1"/>
  <c r="J200" i="24"/>
  <c r="G205" i="25"/>
  <c r="CF205" i="6" s="1"/>
  <c r="AA205" i="25"/>
  <c r="Z205" i="25" s="1"/>
  <c r="Y205" i="25" s="1"/>
  <c r="I299" i="24"/>
  <c r="H299" i="25" s="1"/>
  <c r="J299" i="24"/>
  <c r="I353" i="24"/>
  <c r="H353" i="25" s="1"/>
  <c r="J353" i="24"/>
  <c r="I38" i="24"/>
  <c r="H38" i="25" s="1"/>
  <c r="J38" i="24"/>
  <c r="I30" i="24"/>
  <c r="H30" i="25" s="1"/>
  <c r="J302" i="23"/>
  <c r="I302" i="23"/>
  <c r="H302" i="24" s="1"/>
  <c r="I159" i="23"/>
  <c r="H159" i="24" s="1"/>
  <c r="J159" i="23"/>
  <c r="J197" i="23"/>
  <c r="I197" i="23"/>
  <c r="H197" i="24" s="1"/>
  <c r="I263" i="23"/>
  <c r="H263" i="24" s="1"/>
  <c r="J263" i="23"/>
  <c r="I267" i="23"/>
  <c r="H267" i="24" s="1"/>
  <c r="J267" i="23"/>
  <c r="I154" i="23"/>
  <c r="H154" i="24" s="1"/>
  <c r="J154" i="23"/>
  <c r="I135" i="23"/>
  <c r="H135" i="24" s="1"/>
  <c r="J135" i="23"/>
  <c r="I298" i="23"/>
  <c r="H298" i="24" s="1"/>
  <c r="J298" i="23"/>
  <c r="J67" i="23"/>
  <c r="I67" i="23"/>
  <c r="H67" i="24" s="1"/>
  <c r="I248" i="23"/>
  <c r="H248" i="24" s="1"/>
  <c r="J248" i="23"/>
  <c r="I283" i="23"/>
  <c r="H283" i="24" s="1"/>
  <c r="J283" i="23"/>
  <c r="J161" i="23"/>
  <c r="I161" i="23"/>
  <c r="H161" i="24" s="1"/>
  <c r="J130" i="23"/>
  <c r="I130" i="23"/>
  <c r="H130" i="24" s="1"/>
  <c r="J89" i="23"/>
  <c r="I89" i="23"/>
  <c r="H89" i="24" s="1"/>
  <c r="G178" i="25"/>
  <c r="CF178" i="6" s="1"/>
  <c r="AA178" i="25"/>
  <c r="Z178" i="25" s="1"/>
  <c r="Y178" i="25" s="1"/>
  <c r="G274" i="25"/>
  <c r="CF274" i="6" s="1"/>
  <c r="AA274" i="25"/>
  <c r="Z274" i="25" s="1"/>
  <c r="Y274" i="25" s="1"/>
  <c r="G352" i="25"/>
  <c r="CF352" i="6" s="1"/>
  <c r="AA352" i="25"/>
  <c r="Z352" i="25" s="1"/>
  <c r="Y352" i="25" s="1"/>
  <c r="G49" i="25"/>
  <c r="CF49" i="6" s="1"/>
  <c r="AA49" i="25"/>
  <c r="Z49" i="25" s="1"/>
  <c r="Y49" i="25" s="1"/>
  <c r="G364" i="25"/>
  <c r="CF364" i="6" s="1"/>
  <c r="AA364" i="25"/>
  <c r="Z364" i="25" s="1"/>
  <c r="Y364" i="25" s="1"/>
  <c r="G41" i="25"/>
  <c r="CF41" i="6" s="1"/>
  <c r="AA41" i="25"/>
  <c r="Z41" i="25" s="1"/>
  <c r="Y41" i="25" s="1"/>
  <c r="I225" i="24"/>
  <c r="H225" i="25" s="1"/>
  <c r="J225" i="24"/>
  <c r="I343" i="24"/>
  <c r="H343" i="25" s="1"/>
  <c r="G251" i="25"/>
  <c r="CF251" i="6" s="1"/>
  <c r="AA251" i="25"/>
  <c r="Z251" i="25" s="1"/>
  <c r="Y251" i="25" s="1"/>
  <c r="I132" i="24"/>
  <c r="H132" i="25" s="1"/>
  <c r="J132" i="24"/>
  <c r="I33" i="23"/>
  <c r="H33" i="24" s="1"/>
  <c r="J33" i="23"/>
  <c r="I195" i="23"/>
  <c r="H195" i="24" s="1"/>
  <c r="J195" i="23"/>
  <c r="I209" i="23"/>
  <c r="H209" i="24" s="1"/>
  <c r="J209" i="23"/>
  <c r="J262" i="23"/>
  <c r="I262" i="23"/>
  <c r="H262" i="24" s="1"/>
  <c r="I237" i="23"/>
  <c r="H237" i="24" s="1"/>
  <c r="J237" i="23"/>
  <c r="J290" i="23"/>
  <c r="I290" i="23"/>
  <c r="H290" i="24" s="1"/>
  <c r="J340" i="23"/>
  <c r="I340" i="23"/>
  <c r="H340" i="24" s="1"/>
  <c r="J137" i="23"/>
  <c r="I137" i="23"/>
  <c r="H137" i="24" s="1"/>
  <c r="I163" i="23"/>
  <c r="H163" i="24" s="1"/>
  <c r="J163" i="23"/>
  <c r="I309" i="23"/>
  <c r="H309" i="24" s="1"/>
  <c r="J309" i="23"/>
  <c r="J63" i="23"/>
  <c r="I63" i="23"/>
  <c r="H63" i="24" s="1"/>
  <c r="G48" i="25"/>
  <c r="CF48" i="6" s="1"/>
  <c r="AA48" i="25"/>
  <c r="Z48" i="25" s="1"/>
  <c r="Y48" i="25" s="1"/>
  <c r="G234" i="25"/>
  <c r="CF234" i="6" s="1"/>
  <c r="AA234" i="25"/>
  <c r="Z234" i="25" s="1"/>
  <c r="Y234" i="25" s="1"/>
  <c r="I19" i="23"/>
  <c r="H19" i="24" s="1"/>
  <c r="J19" i="23"/>
  <c r="J223" i="23"/>
  <c r="I223" i="23"/>
  <c r="H223" i="24" s="1"/>
  <c r="J272" i="23"/>
  <c r="I272" i="23"/>
  <c r="H272" i="24" s="1"/>
  <c r="J167" i="23"/>
  <c r="I167" i="23"/>
  <c r="H167" i="24" s="1"/>
  <c r="J277" i="23"/>
  <c r="I277" i="23"/>
  <c r="H277" i="24" s="1"/>
  <c r="J307" i="23"/>
  <c r="I307" i="23"/>
  <c r="H307" i="24" s="1"/>
  <c r="J203" i="23"/>
  <c r="I203" i="23"/>
  <c r="H203" i="24" s="1"/>
  <c r="J216" i="23"/>
  <c r="I216" i="23"/>
  <c r="H216" i="24" s="1"/>
  <c r="J66" i="23"/>
  <c r="I66" i="23"/>
  <c r="H66" i="24" s="1"/>
  <c r="Z15" i="23"/>
  <c r="AL7" i="23" s="1"/>
  <c r="G87" i="25"/>
  <c r="CF87" i="6" s="1"/>
  <c r="AA87" i="25"/>
  <c r="Z87" i="25" s="1"/>
  <c r="Y87" i="25" s="1"/>
  <c r="G201" i="25"/>
  <c r="CF201" i="6" s="1"/>
  <c r="AA201" i="25"/>
  <c r="Z201" i="25" s="1"/>
  <c r="Y201" i="25" s="1"/>
  <c r="AA112" i="25"/>
  <c r="Z112" i="25" s="1"/>
  <c r="Y112" i="25" s="1"/>
  <c r="G112" i="25"/>
  <c r="CF112" i="6" s="1"/>
  <c r="J348" i="24"/>
  <c r="I348" i="24"/>
  <c r="H348" i="25" s="1"/>
  <c r="G348" i="25"/>
  <c r="CF348" i="6" s="1"/>
  <c r="AA348" i="25"/>
  <c r="Z348" i="25" s="1"/>
  <c r="Y348" i="25" s="1"/>
  <c r="G134" i="25"/>
  <c r="CF134" i="6" s="1"/>
  <c r="AA134" i="25"/>
  <c r="Z134" i="25" s="1"/>
  <c r="Y134" i="25" s="1"/>
  <c r="J104" i="23"/>
  <c r="I104" i="23"/>
  <c r="H104" i="24" s="1"/>
  <c r="J320" i="23"/>
  <c r="I320" i="23"/>
  <c r="H320" i="24" s="1"/>
  <c r="I155" i="23"/>
  <c r="H155" i="24" s="1"/>
  <c r="J155" i="23"/>
  <c r="I148" i="23"/>
  <c r="H148" i="24" s="1"/>
  <c r="J148" i="23"/>
  <c r="G338" i="25"/>
  <c r="CF338" i="6" s="1"/>
  <c r="AA338" i="25"/>
  <c r="Z338" i="25" s="1"/>
  <c r="Y338" i="25" s="1"/>
  <c r="G64" i="25"/>
  <c r="CF64" i="6" s="1"/>
  <c r="AA64" i="25"/>
  <c r="Z64" i="25" s="1"/>
  <c r="Y64" i="25" s="1"/>
  <c r="I207" i="24"/>
  <c r="H207" i="25" s="1"/>
  <c r="J207" i="24"/>
  <c r="AA174" i="25"/>
  <c r="Z174" i="25" s="1"/>
  <c r="Y174" i="25" s="1"/>
  <c r="G174" i="25"/>
  <c r="CF174" i="6" s="1"/>
  <c r="G26" i="25"/>
  <c r="CF26" i="6" s="1"/>
  <c r="AA26" i="25"/>
  <c r="Z26" i="25" s="1"/>
  <c r="Y26" i="25" s="1"/>
  <c r="G54" i="25"/>
  <c r="CF54" i="6" s="1"/>
  <c r="AA54" i="25"/>
  <c r="Z54" i="25" s="1"/>
  <c r="Y54" i="25" s="1"/>
  <c r="I196" i="23"/>
  <c r="H196" i="24" s="1"/>
  <c r="J196" i="23"/>
  <c r="J334" i="23"/>
  <c r="I334" i="23"/>
  <c r="H334" i="24" s="1"/>
  <c r="J280" i="23"/>
  <c r="I280" i="23"/>
  <c r="H280" i="24" s="1"/>
  <c r="J133" i="23"/>
  <c r="I133" i="23"/>
  <c r="H133" i="24" s="1"/>
  <c r="J36" i="23"/>
  <c r="I36" i="23"/>
  <c r="H36" i="24" s="1"/>
  <c r="I44" i="23"/>
  <c r="H44" i="24" s="1"/>
  <c r="J44" i="23"/>
  <c r="J102" i="23"/>
  <c r="I102" i="23"/>
  <c r="H102" i="24" s="1"/>
  <c r="AA15" i="24"/>
  <c r="AL9" i="24" s="1"/>
  <c r="G15" i="24"/>
  <c r="CE15" i="6" s="1"/>
  <c r="AA106" i="25"/>
  <c r="Z106" i="25" s="1"/>
  <c r="Y106" i="25" s="1"/>
  <c r="G106" i="25"/>
  <c r="CF106" i="6" s="1"/>
  <c r="I26" i="23"/>
  <c r="H26" i="24" s="1"/>
  <c r="J26" i="23"/>
  <c r="AA91" i="25"/>
  <c r="Z91" i="25" s="1"/>
  <c r="Y91" i="25" s="1"/>
  <c r="G91" i="25"/>
  <c r="CF91" i="6" s="1"/>
  <c r="J91" i="24"/>
  <c r="I91" i="24"/>
  <c r="H91" i="25" s="1"/>
  <c r="I279" i="24"/>
  <c r="H279" i="25" s="1"/>
  <c r="J279" i="24"/>
  <c r="AA377" i="25"/>
  <c r="Z377" i="25" s="1"/>
  <c r="Y377" i="25" s="1"/>
  <c r="G377" i="25"/>
  <c r="CF377" i="6" s="1"/>
  <c r="I153" i="24"/>
  <c r="H153" i="25" s="1"/>
  <c r="I166" i="23"/>
  <c r="H166" i="24" s="1"/>
  <c r="J166" i="23"/>
  <c r="J17" i="23"/>
  <c r="I17" i="23"/>
  <c r="H17" i="24" s="1"/>
  <c r="J95" i="23"/>
  <c r="I95" i="23"/>
  <c r="H95" i="24" s="1"/>
  <c r="J253" i="23"/>
  <c r="I253" i="23"/>
  <c r="H253" i="24" s="1"/>
  <c r="AA268" i="25"/>
  <c r="Z268" i="25" s="1"/>
  <c r="Y268" i="25" s="1"/>
  <c r="G268" i="25"/>
  <c r="CF268" i="6" s="1"/>
  <c r="G328" i="25"/>
  <c r="CF328" i="6" s="1"/>
  <c r="AA328" i="25"/>
  <c r="Z328" i="25" s="1"/>
  <c r="Y328" i="25" s="1"/>
  <c r="AA45" i="25"/>
  <c r="Z45" i="25" s="1"/>
  <c r="Y45" i="25" s="1"/>
  <c r="G45" i="25"/>
  <c r="CF45" i="6" s="1"/>
  <c r="G269" i="25"/>
  <c r="CF269" i="6" s="1"/>
  <c r="AA269" i="25"/>
  <c r="Z269" i="25" s="1"/>
  <c r="Y269" i="25" s="1"/>
  <c r="AA266" i="25"/>
  <c r="Z266" i="25" s="1"/>
  <c r="Y266" i="25" s="1"/>
  <c r="G266" i="25"/>
  <c r="CF266" i="6" s="1"/>
  <c r="I191" i="23"/>
  <c r="H191" i="24" s="1"/>
  <c r="J191" i="23"/>
  <c r="J219" i="23"/>
  <c r="I219" i="23"/>
  <c r="H219" i="24" s="1"/>
  <c r="J275" i="23"/>
  <c r="I275" i="23"/>
  <c r="H275" i="24" s="1"/>
  <c r="G259" i="25"/>
  <c r="CF259" i="6" s="1"/>
  <c r="AA259" i="25"/>
  <c r="Z259" i="25" s="1"/>
  <c r="Y259" i="25" s="1"/>
  <c r="AA341" i="25"/>
  <c r="Z341" i="25" s="1"/>
  <c r="Y341" i="25" s="1"/>
  <c r="G341" i="25"/>
  <c r="CF341" i="6" s="1"/>
  <c r="J324" i="23"/>
  <c r="I324" i="23"/>
  <c r="H324" i="24" s="1"/>
  <c r="I109" i="23"/>
  <c r="H109" i="24" s="1"/>
  <c r="J109" i="23"/>
  <c r="I199" i="23"/>
  <c r="H199" i="24" s="1"/>
  <c r="J199" i="23"/>
  <c r="J297" i="23"/>
  <c r="I297" i="23"/>
  <c r="H297" i="24" s="1"/>
  <c r="I345" i="23"/>
  <c r="H345" i="24" s="1"/>
  <c r="J345" i="23"/>
  <c r="J162" i="23"/>
  <c r="I162" i="23"/>
  <c r="H162" i="24" s="1"/>
  <c r="J240" i="23"/>
  <c r="I240" i="23"/>
  <c r="H240" i="24" s="1"/>
  <c r="J145" i="24"/>
  <c r="I145" i="24"/>
  <c r="H145" i="25" s="1"/>
  <c r="J233" i="24"/>
  <c r="I233" i="24"/>
  <c r="H233" i="25" s="1"/>
  <c r="I193" i="24"/>
  <c r="H193" i="25" s="1"/>
  <c r="J193" i="24"/>
  <c r="G96" i="25"/>
  <c r="CF96" i="6" s="1"/>
  <c r="AA96" i="25"/>
  <c r="Z96" i="25" s="1"/>
  <c r="Y96" i="25" s="1"/>
  <c r="I78" i="23"/>
  <c r="H78" i="24" s="1"/>
  <c r="J78" i="23"/>
  <c r="I182" i="23"/>
  <c r="H182" i="24" s="1"/>
  <c r="J182" i="23"/>
  <c r="J62" i="23"/>
  <c r="I62" i="23"/>
  <c r="H62" i="24" s="1"/>
  <c r="I81" i="23"/>
  <c r="H81" i="24" s="1"/>
  <c r="J81" i="23"/>
  <c r="I295" i="23"/>
  <c r="H295" i="24" s="1"/>
  <c r="J295" i="23"/>
  <c r="J158" i="24"/>
  <c r="I158" i="24"/>
  <c r="H158" i="25" s="1"/>
  <c r="G358" i="25"/>
  <c r="CF358" i="6" s="1"/>
  <c r="AA358" i="25"/>
  <c r="Z358" i="25" s="1"/>
  <c r="Y358" i="25" s="1"/>
  <c r="G299" i="25"/>
  <c r="CF299" i="6" s="1"/>
  <c r="AA299" i="25"/>
  <c r="Z299" i="25" s="1"/>
  <c r="Y299" i="25" s="1"/>
  <c r="G353" i="25"/>
  <c r="CF353" i="6" s="1"/>
  <c r="AA353" i="25"/>
  <c r="Z353" i="25" s="1"/>
  <c r="Y353" i="25" s="1"/>
  <c r="AA331" i="25"/>
  <c r="Z331" i="25" s="1"/>
  <c r="Y331" i="25" s="1"/>
  <c r="G331" i="25"/>
  <c r="CF331" i="6" s="1"/>
  <c r="I350" i="24"/>
  <c r="H350" i="25" s="1"/>
  <c r="J350" i="24"/>
  <c r="AA57" i="25"/>
  <c r="Z57" i="25" s="1"/>
  <c r="Y57" i="25" s="1"/>
  <c r="G57" i="25"/>
  <c r="CF57" i="6" s="1"/>
  <c r="I57" i="24"/>
  <c r="H57" i="25" s="1"/>
  <c r="J57" i="24"/>
  <c r="I129" i="24"/>
  <c r="H129" i="25" s="1"/>
  <c r="J129" i="24"/>
  <c r="J239" i="24"/>
  <c r="I239" i="24"/>
  <c r="H239" i="25" s="1"/>
  <c r="J82" i="24"/>
  <c r="I82" i="24"/>
  <c r="H82" i="25" s="1"/>
  <c r="I65" i="23"/>
  <c r="H65" i="24" s="1"/>
  <c r="J65" i="23"/>
  <c r="I325" i="23"/>
  <c r="H325" i="24" s="1"/>
  <c r="J325" i="23"/>
  <c r="I101" i="23"/>
  <c r="H101" i="24" s="1"/>
  <c r="J101" i="23"/>
  <c r="I241" i="23"/>
  <c r="H241" i="24" s="1"/>
  <c r="J241" i="23"/>
  <c r="J146" i="23"/>
  <c r="I146" i="23"/>
  <c r="H146" i="24" s="1"/>
  <c r="I316" i="23"/>
  <c r="H316" i="24" s="1"/>
  <c r="J316" i="23"/>
  <c r="J258" i="24"/>
  <c r="I258" i="24"/>
  <c r="H258" i="25" s="1"/>
  <c r="J34" i="23"/>
  <c r="I34" i="23"/>
  <c r="H34" i="24" s="1"/>
  <c r="I108" i="23"/>
  <c r="H108" i="24" s="1"/>
  <c r="J108" i="23"/>
  <c r="I142" i="23"/>
  <c r="H142" i="24" s="1"/>
  <c r="J142" i="23"/>
  <c r="J192" i="23"/>
  <c r="I192" i="23"/>
  <c r="H192" i="24" s="1"/>
  <c r="J326" i="23"/>
  <c r="I326" i="23"/>
  <c r="H326" i="24" s="1"/>
  <c r="I284" i="23"/>
  <c r="H284" i="24" s="1"/>
  <c r="J284" i="23"/>
  <c r="I287" i="23"/>
  <c r="H287" i="24" s="1"/>
  <c r="J287" i="23"/>
  <c r="I273" i="23"/>
  <c r="H273" i="24" s="1"/>
  <c r="J273" i="23"/>
  <c r="I265" i="23"/>
  <c r="H265" i="24" s="1"/>
  <c r="J265" i="23"/>
  <c r="J37" i="23"/>
  <c r="I37" i="23"/>
  <c r="H37" i="24" s="1"/>
  <c r="J185" i="23"/>
  <c r="I185" i="23"/>
  <c r="H185" i="24" s="1"/>
  <c r="J70" i="24"/>
  <c r="I70" i="24"/>
  <c r="H70" i="25" s="1"/>
  <c r="I274" i="24"/>
  <c r="H274" i="25" s="1"/>
  <c r="J274" i="24"/>
  <c r="J352" i="24"/>
  <c r="J144" i="24"/>
  <c r="I144" i="24"/>
  <c r="H144" i="25" s="1"/>
  <c r="J296" i="24"/>
  <c r="I296" i="24"/>
  <c r="H296" i="25" s="1"/>
  <c r="J245" i="23"/>
  <c r="I245" i="23"/>
  <c r="H245" i="24" s="1"/>
  <c r="G292" i="25"/>
  <c r="CF292" i="6" s="1"/>
  <c r="AA292" i="25"/>
  <c r="Z292" i="25" s="1"/>
  <c r="Y292" i="25" s="1"/>
  <c r="G103" i="25"/>
  <c r="CF103" i="6" s="1"/>
  <c r="AA103" i="25"/>
  <c r="Z103" i="25" s="1"/>
  <c r="Y103" i="25" s="1"/>
  <c r="AA196" i="25"/>
  <c r="Z196" i="25" s="1"/>
  <c r="Y196" i="25" s="1"/>
  <c r="G196" i="25"/>
  <c r="CF196" i="6" s="1"/>
  <c r="I147" i="23"/>
  <c r="H147" i="24" s="1"/>
  <c r="J147" i="23"/>
  <c r="I24" i="23"/>
  <c r="H24" i="24" s="1"/>
  <c r="J24" i="23"/>
  <c r="J73" i="23"/>
  <c r="I73" i="23"/>
  <c r="H73" i="24" s="1"/>
  <c r="G179" i="25"/>
  <c r="CF179" i="6" s="1"/>
  <c r="AA179" i="25"/>
  <c r="Z179" i="25" s="1"/>
  <c r="Y179" i="25" s="1"/>
  <c r="I118" i="24"/>
  <c r="H118" i="25" s="1"/>
  <c r="J118" i="24"/>
  <c r="I80" i="23"/>
  <c r="H80" i="24" s="1"/>
  <c r="J80" i="23"/>
  <c r="I139" i="23"/>
  <c r="H139" i="24" s="1"/>
  <c r="J139" i="23"/>
  <c r="J48" i="24"/>
  <c r="I48" i="24"/>
  <c r="H48" i="25" s="1"/>
  <c r="I234" i="24"/>
  <c r="H234" i="25" s="1"/>
  <c r="J234" i="24"/>
  <c r="I180" i="23"/>
  <c r="H180" i="24" s="1"/>
  <c r="J180" i="23"/>
  <c r="J74" i="23"/>
  <c r="I74" i="23"/>
  <c r="H74" i="24" s="1"/>
  <c r="I335" i="23"/>
  <c r="H335" i="24" s="1"/>
  <c r="J335" i="23"/>
  <c r="I94" i="23"/>
  <c r="H94" i="24" s="1"/>
  <c r="J94" i="23"/>
  <c r="I53" i="23"/>
  <c r="H53" i="24" s="1"/>
  <c r="J53" i="23"/>
  <c r="I300" i="23"/>
  <c r="H300" i="24" s="1"/>
  <c r="J300" i="23"/>
  <c r="J244" i="23"/>
  <c r="I244" i="23"/>
  <c r="H244" i="24" s="1"/>
  <c r="G293" i="25"/>
  <c r="CF293" i="6" s="1"/>
  <c r="AA293" i="25"/>
  <c r="Z293" i="25" s="1"/>
  <c r="Y293" i="25" s="1"/>
  <c r="G86" i="25"/>
  <c r="CF86" i="6" s="1"/>
  <c r="AA86" i="25"/>
  <c r="Z86" i="25" s="1"/>
  <c r="Y86" i="25" s="1"/>
  <c r="I77" i="23"/>
  <c r="H77" i="24" s="1"/>
  <c r="J77" i="23"/>
  <c r="J112" i="24"/>
  <c r="I112" i="24"/>
  <c r="H112" i="25" s="1"/>
  <c r="G218" i="25"/>
  <c r="CF218" i="6" s="1"/>
  <c r="AA218" i="25"/>
  <c r="Z218" i="25" s="1"/>
  <c r="Y218" i="25" s="1"/>
  <c r="G107" i="25"/>
  <c r="CF107" i="6" s="1"/>
  <c r="AA107" i="25"/>
  <c r="Z107" i="25" s="1"/>
  <c r="Y107" i="25" s="1"/>
  <c r="J266" i="23"/>
  <c r="I266" i="23"/>
  <c r="H266" i="24" s="1"/>
  <c r="G212" i="25"/>
  <c r="CF212" i="6" s="1"/>
  <c r="AA212" i="25"/>
  <c r="Z212" i="25" s="1"/>
  <c r="Y212" i="25" s="1"/>
  <c r="J212" i="24"/>
  <c r="I212" i="24"/>
  <c r="H212" i="25" s="1"/>
  <c r="I43" i="23"/>
  <c r="H43" i="24" s="1"/>
  <c r="J43" i="23"/>
  <c r="I110" i="23"/>
  <c r="H110" i="24" s="1"/>
  <c r="J110" i="23"/>
  <c r="AA327" i="25"/>
  <c r="Z327" i="25" s="1"/>
  <c r="Y327" i="25" s="1"/>
  <c r="G327" i="25"/>
  <c r="CF327" i="6" s="1"/>
  <c r="Y15" i="22"/>
  <c r="AL5" i="22" s="1"/>
  <c r="AL11" i="22" s="1"/>
  <c r="AJ3" i="22" s="1"/>
  <c r="O17" i="19" s="1"/>
  <c r="I164" i="23"/>
  <c r="H164" i="24" s="1"/>
  <c r="J164" i="23"/>
  <c r="AA313" i="25"/>
  <c r="Z313" i="25" s="1"/>
  <c r="Y313" i="25" s="1"/>
  <c r="G313" i="25"/>
  <c r="CF313" i="6" s="1"/>
  <c r="G224" i="25"/>
  <c r="CF224" i="6" s="1"/>
  <c r="AA224" i="25"/>
  <c r="Z224" i="25" s="1"/>
  <c r="Y224" i="25" s="1"/>
  <c r="AA207" i="25"/>
  <c r="Z207" i="25" s="1"/>
  <c r="Y207" i="25" s="1"/>
  <c r="G207" i="25"/>
  <c r="CF207" i="6" s="1"/>
  <c r="I306" i="24"/>
  <c r="H306" i="25" s="1"/>
  <c r="J306" i="24"/>
  <c r="I229" i="24"/>
  <c r="H229" i="25" s="1"/>
  <c r="J229" i="24"/>
  <c r="G100" i="25"/>
  <c r="CF100" i="6" s="1"/>
  <c r="AA100" i="25"/>
  <c r="Z100" i="25" s="1"/>
  <c r="Y100" i="25" s="1"/>
  <c r="AA113" i="25"/>
  <c r="Z113" i="25" s="1"/>
  <c r="Y113" i="25" s="1"/>
  <c r="G113" i="25"/>
  <c r="CF113" i="6" s="1"/>
  <c r="G213" i="25"/>
  <c r="CF213" i="6" s="1"/>
  <c r="AA213" i="25"/>
  <c r="Z213" i="25" s="1"/>
  <c r="Y213" i="25" s="1"/>
  <c r="G351" i="25"/>
  <c r="CF351" i="6" s="1"/>
  <c r="AA351" i="25"/>
  <c r="Z351" i="25" s="1"/>
  <c r="Y351" i="25" s="1"/>
  <c r="J288" i="23"/>
  <c r="I288" i="23"/>
  <c r="H288" i="24" s="1"/>
  <c r="J58" i="23"/>
  <c r="I58" i="23"/>
  <c r="H58" i="24" s="1"/>
  <c r="J170" i="23"/>
  <c r="I170" i="23"/>
  <c r="H170" i="24" s="1"/>
  <c r="G279" i="25"/>
  <c r="CF279" i="6" s="1"/>
  <c r="AA279" i="25"/>
  <c r="Z279" i="25" s="1"/>
  <c r="Y279" i="25" s="1"/>
  <c r="I305" i="24"/>
  <c r="H305" i="25" s="1"/>
  <c r="J305" i="24"/>
  <c r="G52" i="25"/>
  <c r="CF52" i="6" s="1"/>
  <c r="AA52" i="25"/>
  <c r="Z52" i="25" s="1"/>
  <c r="Y52" i="25" s="1"/>
  <c r="H15" i="20"/>
  <c r="I177" i="23"/>
  <c r="H177" i="24" s="1"/>
  <c r="J177" i="23"/>
  <c r="J56" i="23"/>
  <c r="I56" i="23"/>
  <c r="H56" i="24" s="1"/>
  <c r="I176" i="23"/>
  <c r="H176" i="24" s="1"/>
  <c r="J176" i="23"/>
  <c r="J336" i="23"/>
  <c r="I336" i="23"/>
  <c r="H336" i="24" s="1"/>
  <c r="G23" i="25"/>
  <c r="CF23" i="6" s="1"/>
  <c r="AA23" i="25"/>
  <c r="Z23" i="25" s="1"/>
  <c r="Y23" i="25" s="1"/>
  <c r="J172" i="23"/>
  <c r="I172" i="23"/>
  <c r="H172" i="24" s="1"/>
  <c r="G186" i="25"/>
  <c r="CF186" i="6" s="1"/>
  <c r="AA186" i="25"/>
  <c r="Z186" i="25" s="1"/>
  <c r="Y186" i="25" s="1"/>
  <c r="G170" i="25"/>
  <c r="CF170" i="6" s="1"/>
  <c r="AA170" i="25"/>
  <c r="Z170" i="25" s="1"/>
  <c r="Y170" i="25" s="1"/>
  <c r="J25" i="23"/>
  <c r="I25" i="23"/>
  <c r="H25" i="24" s="1"/>
  <c r="I18" i="23"/>
  <c r="H18" i="24" s="1"/>
  <c r="J18" i="23"/>
  <c r="J344" i="23"/>
  <c r="I344" i="23"/>
  <c r="H344" i="24" s="1"/>
  <c r="J51" i="23"/>
  <c r="I51" i="23"/>
  <c r="H51" i="24" s="1"/>
  <c r="J121" i="23"/>
  <c r="I121" i="23"/>
  <c r="H121" i="24" s="1"/>
  <c r="J156" i="23"/>
  <c r="I156" i="23"/>
  <c r="H156" i="24" s="1"/>
  <c r="AA145" i="25"/>
  <c r="Z145" i="25" s="1"/>
  <c r="Y145" i="25" s="1"/>
  <c r="G145" i="25"/>
  <c r="CF145" i="6" s="1"/>
  <c r="AA233" i="25"/>
  <c r="Z233" i="25" s="1"/>
  <c r="Y233" i="25" s="1"/>
  <c r="G233" i="25"/>
  <c r="CF233" i="6" s="1"/>
  <c r="G193" i="25"/>
  <c r="CF193" i="6" s="1"/>
  <c r="AA193" i="25"/>
  <c r="Z193" i="25" s="1"/>
  <c r="Y193" i="25" s="1"/>
  <c r="G27" i="25"/>
  <c r="CF27" i="6" s="1"/>
  <c r="AA27" i="25"/>
  <c r="Z27" i="25" s="1"/>
  <c r="Y27" i="25" s="1"/>
  <c r="J69" i="23"/>
  <c r="I69" i="23"/>
  <c r="H69" i="24" s="1"/>
  <c r="I221" i="23"/>
  <c r="H221" i="24" s="1"/>
  <c r="J221" i="23"/>
  <c r="I28" i="23"/>
  <c r="H28" i="24" s="1"/>
  <c r="J28" i="23"/>
  <c r="J138" i="23"/>
  <c r="I138" i="23"/>
  <c r="H138" i="24" s="1"/>
  <c r="I198" i="23"/>
  <c r="H198" i="24" s="1"/>
  <c r="J198" i="23"/>
  <c r="I214" i="23"/>
  <c r="H214" i="24" s="1"/>
  <c r="J214" i="23"/>
  <c r="I264" i="23"/>
  <c r="H264" i="24" s="1"/>
  <c r="J264" i="23"/>
  <c r="I98" i="23"/>
  <c r="H98" i="24" s="1"/>
  <c r="J98" i="23"/>
  <c r="G141" i="25"/>
  <c r="CF141" i="6" s="1"/>
  <c r="AA141" i="25"/>
  <c r="Z141" i="25" s="1"/>
  <c r="Y141" i="25" s="1"/>
  <c r="G211" i="25"/>
  <c r="CF211" i="6" s="1"/>
  <c r="AA211" i="25"/>
  <c r="Z211" i="25" s="1"/>
  <c r="Y211" i="25" s="1"/>
  <c r="I211" i="24"/>
  <c r="H211" i="25" s="1"/>
  <c r="I281" i="23"/>
  <c r="H281" i="24" s="1"/>
  <c r="J281" i="23"/>
  <c r="AA123" i="25"/>
  <c r="Z123" i="25" s="1"/>
  <c r="Y123" i="25" s="1"/>
  <c r="G123" i="25"/>
  <c r="CF123" i="6" s="1"/>
  <c r="G215" i="25"/>
  <c r="CF215" i="6" s="1"/>
  <c r="AA215" i="25"/>
  <c r="Z215" i="25" s="1"/>
  <c r="Y215" i="25" s="1"/>
  <c r="AA32" i="25"/>
  <c r="Z32" i="25" s="1"/>
  <c r="Y32" i="25" s="1"/>
  <c r="G32" i="25"/>
  <c r="CF32" i="6" s="1"/>
  <c r="J32" i="24"/>
  <c r="I32" i="24"/>
  <c r="H32" i="25" s="1"/>
  <c r="G350" i="25"/>
  <c r="CF350" i="6" s="1"/>
  <c r="AA350" i="25"/>
  <c r="Z350" i="25" s="1"/>
  <c r="Y350" i="25" s="1"/>
  <c r="G129" i="25"/>
  <c r="CF129" i="6" s="1"/>
  <c r="AA129" i="25"/>
  <c r="Z129" i="25" s="1"/>
  <c r="Y129" i="25" s="1"/>
  <c r="G239" i="25"/>
  <c r="CF239" i="6" s="1"/>
  <c r="AA239" i="25"/>
  <c r="Z239" i="25" s="1"/>
  <c r="Y239" i="25" s="1"/>
  <c r="G82" i="25"/>
  <c r="CF82" i="6" s="1"/>
  <c r="AA82" i="25"/>
  <c r="Z82" i="25" s="1"/>
  <c r="Y82" i="25" s="1"/>
  <c r="J83" i="23"/>
  <c r="I83" i="23"/>
  <c r="H83" i="24" s="1"/>
  <c r="I75" i="23"/>
  <c r="H75" i="24" s="1"/>
  <c r="J75" i="23"/>
  <c r="I99" i="23"/>
  <c r="H99" i="24" s="1"/>
  <c r="J99" i="23"/>
  <c r="I169" i="23"/>
  <c r="H169" i="24" s="1"/>
  <c r="J169" i="23"/>
  <c r="J189" i="23"/>
  <c r="I189" i="23"/>
  <c r="H189" i="24" s="1"/>
  <c r="J347" i="23"/>
  <c r="I347" i="23"/>
  <c r="H347" i="24" s="1"/>
  <c r="AA258" i="25"/>
  <c r="Z258" i="25" s="1"/>
  <c r="Y258" i="25" s="1"/>
  <c r="G258" i="25"/>
  <c r="CF258" i="6" s="1"/>
  <c r="I60" i="23"/>
  <c r="H60" i="24" s="1"/>
  <c r="J60" i="23"/>
  <c r="J194" i="23"/>
  <c r="I194" i="23"/>
  <c r="H194" i="24" s="1"/>
  <c r="I255" i="23"/>
  <c r="H255" i="24" s="1"/>
  <c r="J255" i="23"/>
  <c r="J257" i="23"/>
  <c r="I257" i="23"/>
  <c r="H257" i="24" s="1"/>
  <c r="J271" i="23"/>
  <c r="I271" i="23"/>
  <c r="H271" i="24" s="1"/>
  <c r="G144" i="25"/>
  <c r="CF144" i="6" s="1"/>
  <c r="AA144" i="25"/>
  <c r="Z144" i="25" s="1"/>
  <c r="Y144" i="25" s="1"/>
  <c r="G39" i="25"/>
  <c r="CF39" i="6" s="1"/>
  <c r="AA39" i="25"/>
  <c r="Z39" i="25" s="1"/>
  <c r="Y39" i="25" s="1"/>
  <c r="G151" i="25"/>
  <c r="CF151" i="6" s="1"/>
  <c r="AA151" i="25"/>
  <c r="Z151" i="25" s="1"/>
  <c r="Y151" i="25" s="1"/>
  <c r="G184" i="25"/>
  <c r="CF184" i="6" s="1"/>
  <c r="AA184" i="25"/>
  <c r="Z184" i="25" s="1"/>
  <c r="Y184" i="25" s="1"/>
  <c r="I292" i="24"/>
  <c r="H292" i="25" s="1"/>
  <c r="J292" i="24"/>
  <c r="G222" i="25"/>
  <c r="CF222" i="6" s="1"/>
  <c r="AA222" i="25"/>
  <c r="Z222" i="25" s="1"/>
  <c r="Y222" i="25" s="1"/>
  <c r="AA252" i="25"/>
  <c r="Z252" i="25" s="1"/>
  <c r="Y252" i="25" s="1"/>
  <c r="G252" i="25"/>
  <c r="CF252" i="6" s="1"/>
  <c r="I103" i="24"/>
  <c r="H103" i="25" s="1"/>
  <c r="J103" i="24"/>
  <c r="I79" i="23"/>
  <c r="H79" i="24" s="1"/>
  <c r="J79" i="23"/>
  <c r="J259" i="23"/>
  <c r="I259" i="23"/>
  <c r="H259" i="24" s="1"/>
  <c r="J90" i="23"/>
  <c r="I90" i="23"/>
  <c r="H90" i="24" s="1"/>
  <c r="J311" i="23"/>
  <c r="I311" i="23"/>
  <c r="H311" i="24" s="1"/>
  <c r="J332" i="23"/>
  <c r="I332" i="23"/>
  <c r="H332" i="24" s="1"/>
  <c r="I76" i="23"/>
  <c r="H76" i="24" s="1"/>
  <c r="J76" i="23"/>
  <c r="J232" i="23"/>
  <c r="I232" i="23"/>
  <c r="H232" i="24" s="1"/>
  <c r="I46" i="23"/>
  <c r="H46" i="24" s="1"/>
  <c r="J46" i="23"/>
  <c r="G257" i="25"/>
  <c r="CF257" i="6" s="1"/>
  <c r="AA257" i="25"/>
  <c r="Z257" i="25" s="1"/>
  <c r="Y257" i="25" s="1"/>
  <c r="I92" i="24"/>
  <c r="H92" i="25" s="1"/>
  <c r="J92" i="24"/>
  <c r="G118" i="25"/>
  <c r="CF118" i="6" s="1"/>
  <c r="AA118" i="25"/>
  <c r="Z118" i="25" s="1"/>
  <c r="Y118" i="25" s="1"/>
  <c r="G230" i="25"/>
  <c r="CF230" i="6" s="1"/>
  <c r="AA230" i="25"/>
  <c r="Z230" i="25" s="1"/>
  <c r="Y230" i="25" s="1"/>
  <c r="J282" i="24"/>
  <c r="I282" i="24"/>
  <c r="H282" i="25" s="1"/>
  <c r="J71" i="24"/>
  <c r="I71" i="24"/>
  <c r="H71" i="25" s="1"/>
  <c r="I249" i="23"/>
  <c r="H249" i="24" s="1"/>
  <c r="J249" i="23"/>
  <c r="J323" i="23"/>
  <c r="I323" i="23"/>
  <c r="H323" i="24" s="1"/>
  <c r="J88" i="23"/>
  <c r="I88" i="23"/>
  <c r="H88" i="24" s="1"/>
  <c r="I303" i="23"/>
  <c r="H303" i="24" s="1"/>
  <c r="J303" i="23"/>
  <c r="J61" i="23"/>
  <c r="I61" i="23"/>
  <c r="H61" i="24" s="1"/>
  <c r="J119" i="23"/>
  <c r="I119" i="23"/>
  <c r="H119" i="24" s="1"/>
  <c r="J105" i="23"/>
  <c r="I105" i="23"/>
  <c r="H105" i="24" s="1"/>
  <c r="J114" i="23"/>
  <c r="I114" i="23"/>
  <c r="H114" i="24" s="1"/>
  <c r="I310" i="23"/>
  <c r="H310" i="24" s="1"/>
  <c r="J310" i="23"/>
  <c r="I27" i="23"/>
  <c r="H27" i="24" s="1"/>
  <c r="J27" i="23"/>
  <c r="J319" i="23"/>
  <c r="I319" i="23"/>
  <c r="H319" i="24" s="1"/>
  <c r="I210" i="23"/>
  <c r="H210" i="24" s="1"/>
  <c r="J210" i="23"/>
  <c r="J42" i="23"/>
  <c r="I42" i="23"/>
  <c r="H42" i="24" s="1"/>
  <c r="I84" i="23"/>
  <c r="H84" i="24" s="1"/>
  <c r="J84" i="23"/>
  <c r="I220" i="23"/>
  <c r="H220" i="24" s="1"/>
  <c r="J220" i="23"/>
  <c r="J260" i="23"/>
  <c r="I260" i="23"/>
  <c r="H260" i="24" s="1"/>
  <c r="G285" i="25"/>
  <c r="CF285" i="6" s="1"/>
  <c r="AA285" i="25"/>
  <c r="Z285" i="25" s="1"/>
  <c r="Y285" i="25" s="1"/>
  <c r="G34" i="25"/>
  <c r="CF34" i="6" s="1"/>
  <c r="AA34" i="25"/>
  <c r="Z34" i="25" s="1"/>
  <c r="Y34" i="25" s="1"/>
  <c r="J226" i="23"/>
  <c r="I226" i="23"/>
  <c r="H226" i="24" s="1"/>
  <c r="I22" i="23"/>
  <c r="H22" i="24" s="1"/>
  <c r="J22" i="23"/>
  <c r="G175" i="25"/>
  <c r="CF175" i="6" s="1"/>
  <c r="AA175" i="25"/>
  <c r="Z175" i="25" s="1"/>
  <c r="Y175" i="25" s="1"/>
  <c r="G181" i="25"/>
  <c r="CF181" i="6" s="1"/>
  <c r="AA181" i="25"/>
  <c r="Z181" i="25" s="1"/>
  <c r="Y181" i="25" s="1"/>
  <c r="G231" i="25"/>
  <c r="CF231" i="6" s="1"/>
  <c r="AA231" i="25"/>
  <c r="Z231" i="25" s="1"/>
  <c r="Y231" i="25" s="1"/>
  <c r="G306" i="25"/>
  <c r="CF306" i="6" s="1"/>
  <c r="AA306" i="25"/>
  <c r="Z306" i="25" s="1"/>
  <c r="Y306" i="25" s="1"/>
  <c r="AA229" i="25"/>
  <c r="Z229" i="25" s="1"/>
  <c r="Y229" i="25" s="1"/>
  <c r="G229" i="25"/>
  <c r="CF229" i="6" s="1"/>
  <c r="I304" i="23"/>
  <c r="H304" i="24" s="1"/>
  <c r="J304" i="23"/>
  <c r="I115" i="23"/>
  <c r="H115" i="24" s="1"/>
  <c r="J115" i="23"/>
  <c r="J31" i="24"/>
  <c r="I31" i="24"/>
  <c r="H31" i="25" s="1"/>
  <c r="I256" i="24"/>
  <c r="H256" i="25" s="1"/>
  <c r="AA165" i="25"/>
  <c r="Z165" i="25" s="1"/>
  <c r="Y165" i="25" s="1"/>
  <c r="G165" i="25"/>
  <c r="CF165" i="6" s="1"/>
  <c r="I68" i="24"/>
  <c r="H68" i="25" s="1"/>
  <c r="J68" i="24"/>
  <c r="G366" i="25"/>
  <c r="CF366" i="6" s="1"/>
  <c r="AA366" i="25"/>
  <c r="Z366" i="25" s="1"/>
  <c r="Y366" i="25" s="1"/>
  <c r="G204" i="25"/>
  <c r="CF204" i="6" s="1"/>
  <c r="AA204" i="25"/>
  <c r="Z204" i="25" s="1"/>
  <c r="Y204" i="25" s="1"/>
  <c r="I111" i="23"/>
  <c r="H111" i="24" s="1"/>
  <c r="J111" i="23"/>
  <c r="J278" i="23"/>
  <c r="I278" i="23"/>
  <c r="H278" i="24" s="1"/>
  <c r="I128" i="23"/>
  <c r="H128" i="24" s="1"/>
  <c r="J128" i="23"/>
  <c r="J308" i="23"/>
  <c r="I308" i="23"/>
  <c r="H308" i="24" s="1"/>
  <c r="I23" i="24"/>
  <c r="H23" i="25" s="1"/>
  <c r="J23" i="24"/>
  <c r="G126" i="25"/>
  <c r="CF126" i="6" s="1"/>
  <c r="AA126" i="25"/>
  <c r="Z126" i="25" s="1"/>
  <c r="Y126" i="25" s="1"/>
  <c r="J250" i="24"/>
  <c r="I250" i="24"/>
  <c r="H250" i="25" s="1"/>
  <c r="J122" i="23"/>
  <c r="I122" i="23"/>
  <c r="H122" i="24" s="1"/>
  <c r="AA50" i="25"/>
  <c r="Z50" i="25" s="1"/>
  <c r="Y50" i="25" s="1"/>
  <c r="G50" i="25"/>
  <c r="CF50" i="6" s="1"/>
  <c r="I45" i="24" l="1"/>
  <c r="H45" i="25" s="1"/>
  <c r="F15" i="25"/>
  <c r="G15" i="25" s="1"/>
  <c r="CF15" i="6" s="1"/>
  <c r="AJ11" i="25"/>
  <c r="I100" i="24"/>
  <c r="H100" i="25" s="1"/>
  <c r="J100" i="25" s="1"/>
  <c r="I286" i="24"/>
  <c r="H286" i="25" s="1"/>
  <c r="I286" i="25" s="1"/>
  <c r="J165" i="24"/>
  <c r="J165" i="25" s="1"/>
  <c r="I174" i="24"/>
  <c r="H174" i="25" s="1"/>
  <c r="I174" i="25" s="1"/>
  <c r="J230" i="24"/>
  <c r="J230" i="25" s="1"/>
  <c r="J124" i="24"/>
  <c r="J124" i="25" s="1"/>
  <c r="I315" i="24"/>
  <c r="H315" i="25" s="1"/>
  <c r="I315" i="25" s="1"/>
  <c r="I136" i="24"/>
  <c r="H136" i="25" s="1"/>
  <c r="I136" i="25" s="1"/>
  <c r="J251" i="24"/>
  <c r="J251" i="25" s="1"/>
  <c r="J50" i="24"/>
  <c r="J50" i="25" s="1"/>
  <c r="I39" i="24"/>
  <c r="H39" i="25" s="1"/>
  <c r="I39" i="25" s="1"/>
  <c r="J23" i="25"/>
  <c r="I23" i="25"/>
  <c r="J68" i="25"/>
  <c r="I68" i="25"/>
  <c r="I31" i="25"/>
  <c r="J31" i="25"/>
  <c r="I71" i="25"/>
  <c r="J71" i="25"/>
  <c r="I282" i="25"/>
  <c r="J282" i="25"/>
  <c r="I32" i="25"/>
  <c r="J32" i="25"/>
  <c r="J174" i="25"/>
  <c r="J212" i="25"/>
  <c r="I212" i="25"/>
  <c r="I112" i="25"/>
  <c r="J112" i="25"/>
  <c r="J234" i="25"/>
  <c r="I234" i="25"/>
  <c r="I251" i="25"/>
  <c r="J296" i="25"/>
  <c r="I296" i="25"/>
  <c r="I352" i="25"/>
  <c r="J352" i="25"/>
  <c r="J70" i="25"/>
  <c r="I70" i="25"/>
  <c r="J158" i="25"/>
  <c r="I158" i="25"/>
  <c r="J343" i="25"/>
  <c r="I343" i="25"/>
  <c r="J30" i="25"/>
  <c r="I30" i="25"/>
  <c r="I38" i="25"/>
  <c r="J38" i="25"/>
  <c r="J250" i="25"/>
  <c r="I250" i="25"/>
  <c r="I256" i="25"/>
  <c r="J256" i="25"/>
  <c r="I92" i="25"/>
  <c r="J92" i="25"/>
  <c r="I103" i="25"/>
  <c r="J103" i="25"/>
  <c r="J292" i="25"/>
  <c r="I292" i="25"/>
  <c r="I305" i="25"/>
  <c r="J305" i="25"/>
  <c r="J48" i="25"/>
  <c r="I48" i="25"/>
  <c r="I274" i="25"/>
  <c r="J274" i="25"/>
  <c r="J57" i="25"/>
  <c r="I57" i="25"/>
  <c r="I153" i="25"/>
  <c r="J153" i="25"/>
  <c r="I91" i="25"/>
  <c r="J91" i="25"/>
  <c r="I132" i="25"/>
  <c r="J132" i="25"/>
  <c r="J225" i="25"/>
  <c r="I225" i="25"/>
  <c r="I200" i="25"/>
  <c r="J200" i="25"/>
  <c r="I59" i="25"/>
  <c r="J59" i="25"/>
  <c r="J122" i="24"/>
  <c r="I122" i="24"/>
  <c r="H122" i="25" s="1"/>
  <c r="J126" i="25"/>
  <c r="I126" i="25"/>
  <c r="J128" i="24"/>
  <c r="I128" i="24"/>
  <c r="H128" i="25" s="1"/>
  <c r="I111" i="24"/>
  <c r="H111" i="25" s="1"/>
  <c r="J111" i="24"/>
  <c r="J204" i="25"/>
  <c r="I204" i="25"/>
  <c r="I165" i="25"/>
  <c r="J115" i="24"/>
  <c r="I115" i="24"/>
  <c r="H115" i="25" s="1"/>
  <c r="I304" i="24"/>
  <c r="H304" i="25" s="1"/>
  <c r="J304" i="24"/>
  <c r="J306" i="25"/>
  <c r="I306" i="25"/>
  <c r="I181" i="25"/>
  <c r="J181" i="25"/>
  <c r="I22" i="24"/>
  <c r="H22" i="25" s="1"/>
  <c r="J22" i="24"/>
  <c r="J285" i="25"/>
  <c r="I285" i="25"/>
  <c r="I220" i="24"/>
  <c r="H220" i="25" s="1"/>
  <c r="J220" i="24"/>
  <c r="J84" i="24"/>
  <c r="I84" i="24"/>
  <c r="H84" i="25" s="1"/>
  <c r="I210" i="24"/>
  <c r="H210" i="25" s="1"/>
  <c r="J210" i="24"/>
  <c r="I27" i="24"/>
  <c r="H27" i="25" s="1"/>
  <c r="J27" i="24"/>
  <c r="J114" i="24"/>
  <c r="I114" i="24"/>
  <c r="H114" i="25" s="1"/>
  <c r="I105" i="24"/>
  <c r="H105" i="25" s="1"/>
  <c r="J105" i="24"/>
  <c r="J119" i="24"/>
  <c r="I119" i="24"/>
  <c r="H119" i="25" s="1"/>
  <c r="J61" i="24"/>
  <c r="I61" i="24"/>
  <c r="H61" i="25" s="1"/>
  <c r="I88" i="24"/>
  <c r="H88" i="25" s="1"/>
  <c r="J88" i="24"/>
  <c r="I323" i="24"/>
  <c r="H323" i="25" s="1"/>
  <c r="J323" i="24"/>
  <c r="I230" i="25"/>
  <c r="I46" i="24"/>
  <c r="H46" i="25" s="1"/>
  <c r="J46" i="24"/>
  <c r="I76" i="24"/>
  <c r="H76" i="25" s="1"/>
  <c r="J76" i="24"/>
  <c r="I79" i="24"/>
  <c r="H79" i="25" s="1"/>
  <c r="J79" i="24"/>
  <c r="J222" i="25"/>
  <c r="I222" i="25"/>
  <c r="J151" i="25"/>
  <c r="I151" i="25"/>
  <c r="J144" i="25"/>
  <c r="I144" i="25"/>
  <c r="I257" i="24"/>
  <c r="H257" i="25" s="1"/>
  <c r="J257" i="24"/>
  <c r="I194" i="24"/>
  <c r="H194" i="25" s="1"/>
  <c r="J194" i="24"/>
  <c r="J258" i="25"/>
  <c r="I258" i="25"/>
  <c r="J169" i="24"/>
  <c r="I169" i="24"/>
  <c r="H169" i="25" s="1"/>
  <c r="J99" i="24"/>
  <c r="I99" i="24"/>
  <c r="H99" i="25" s="1"/>
  <c r="J75" i="24"/>
  <c r="I75" i="24"/>
  <c r="H75" i="25" s="1"/>
  <c r="I239" i="25"/>
  <c r="J239" i="25"/>
  <c r="J350" i="25"/>
  <c r="I350" i="25"/>
  <c r="I215" i="25"/>
  <c r="J215" i="25"/>
  <c r="J211" i="25"/>
  <c r="I211" i="25"/>
  <c r="J138" i="24"/>
  <c r="I138" i="24"/>
  <c r="H138" i="25" s="1"/>
  <c r="J69" i="24"/>
  <c r="I69" i="24"/>
  <c r="H69" i="25" s="1"/>
  <c r="J233" i="25"/>
  <c r="I233" i="25"/>
  <c r="I156" i="24"/>
  <c r="H156" i="25" s="1"/>
  <c r="J156" i="24"/>
  <c r="J121" i="24"/>
  <c r="I121" i="24"/>
  <c r="H121" i="25" s="1"/>
  <c r="I51" i="24"/>
  <c r="H51" i="25" s="1"/>
  <c r="J51" i="24"/>
  <c r="J344" i="24"/>
  <c r="I344" i="24"/>
  <c r="H344" i="25" s="1"/>
  <c r="I25" i="24"/>
  <c r="H25" i="25" s="1"/>
  <c r="J25" i="24"/>
  <c r="J172" i="24"/>
  <c r="I172" i="24"/>
  <c r="H172" i="25" s="1"/>
  <c r="J176" i="24"/>
  <c r="I176" i="24"/>
  <c r="H176" i="25" s="1"/>
  <c r="J177" i="24"/>
  <c r="I177" i="24"/>
  <c r="H177" i="25" s="1"/>
  <c r="BA15" i="6"/>
  <c r="J52" i="25"/>
  <c r="I52" i="25"/>
  <c r="J170" i="24"/>
  <c r="I170" i="24"/>
  <c r="H170" i="25" s="1"/>
  <c r="J58" i="24"/>
  <c r="I58" i="24"/>
  <c r="H58" i="25" s="1"/>
  <c r="J288" i="24"/>
  <c r="I288" i="24"/>
  <c r="H288" i="25" s="1"/>
  <c r="J351" i="25"/>
  <c r="I351" i="25"/>
  <c r="I113" i="25"/>
  <c r="J113" i="25"/>
  <c r="J207" i="25"/>
  <c r="I207" i="25"/>
  <c r="I164" i="24"/>
  <c r="H164" i="25" s="1"/>
  <c r="J164" i="24"/>
  <c r="J218" i="25"/>
  <c r="I218" i="25"/>
  <c r="J77" i="24"/>
  <c r="I77" i="24"/>
  <c r="H77" i="25" s="1"/>
  <c r="I300" i="24"/>
  <c r="H300" i="25" s="1"/>
  <c r="J300" i="24"/>
  <c r="J53" i="24"/>
  <c r="I53" i="24"/>
  <c r="H53" i="25" s="1"/>
  <c r="J94" i="24"/>
  <c r="I94" i="24"/>
  <c r="H94" i="25" s="1"/>
  <c r="J335" i="24"/>
  <c r="I335" i="24"/>
  <c r="H335" i="25" s="1"/>
  <c r="I180" i="24"/>
  <c r="H180" i="25" s="1"/>
  <c r="J180" i="24"/>
  <c r="J139" i="24"/>
  <c r="I139" i="24"/>
  <c r="H139" i="25" s="1"/>
  <c r="I80" i="24"/>
  <c r="H80" i="25" s="1"/>
  <c r="J80" i="24"/>
  <c r="J73" i="24"/>
  <c r="I73" i="24"/>
  <c r="H73" i="25" s="1"/>
  <c r="I265" i="24"/>
  <c r="H265" i="25" s="1"/>
  <c r="J265" i="24"/>
  <c r="I326" i="24"/>
  <c r="H326" i="25" s="1"/>
  <c r="J326" i="24"/>
  <c r="J192" i="24"/>
  <c r="I192" i="24"/>
  <c r="H192" i="25" s="1"/>
  <c r="I34" i="24"/>
  <c r="H34" i="25" s="1"/>
  <c r="J34" i="24"/>
  <c r="I146" i="24"/>
  <c r="H146" i="25" s="1"/>
  <c r="J146" i="24"/>
  <c r="J353" i="25"/>
  <c r="I353" i="25"/>
  <c r="J295" i="24"/>
  <c r="I295" i="24"/>
  <c r="H295" i="25" s="1"/>
  <c r="I81" i="24"/>
  <c r="H81" i="25" s="1"/>
  <c r="J81" i="24"/>
  <c r="I182" i="24"/>
  <c r="H182" i="25" s="1"/>
  <c r="J182" i="24"/>
  <c r="J78" i="24"/>
  <c r="I78" i="24"/>
  <c r="H78" i="25" s="1"/>
  <c r="J240" i="24"/>
  <c r="I240" i="24"/>
  <c r="H240" i="25" s="1"/>
  <c r="I162" i="24"/>
  <c r="H162" i="25" s="1"/>
  <c r="J162" i="24"/>
  <c r="J297" i="24"/>
  <c r="I297" i="24"/>
  <c r="H297" i="25" s="1"/>
  <c r="J324" i="24"/>
  <c r="I324" i="24"/>
  <c r="H324" i="25" s="1"/>
  <c r="J341" i="25"/>
  <c r="I341" i="25"/>
  <c r="J275" i="24"/>
  <c r="I275" i="24"/>
  <c r="H275" i="25" s="1"/>
  <c r="J219" i="24"/>
  <c r="I219" i="24"/>
  <c r="H219" i="25" s="1"/>
  <c r="I45" i="25"/>
  <c r="J45" i="25"/>
  <c r="J268" i="25"/>
  <c r="I268" i="25"/>
  <c r="J166" i="24"/>
  <c r="I166" i="24"/>
  <c r="H166" i="25" s="1"/>
  <c r="I26" i="24"/>
  <c r="H26" i="25" s="1"/>
  <c r="J26" i="24"/>
  <c r="Z15" i="24"/>
  <c r="AL7" i="24" s="1"/>
  <c r="I44" i="24"/>
  <c r="H44" i="25" s="1"/>
  <c r="J44" i="24"/>
  <c r="I196" i="24"/>
  <c r="H196" i="25" s="1"/>
  <c r="J196" i="24"/>
  <c r="I64" i="25"/>
  <c r="J64" i="25"/>
  <c r="I320" i="24"/>
  <c r="H320" i="25" s="1"/>
  <c r="J320" i="24"/>
  <c r="J104" i="24"/>
  <c r="I104" i="24"/>
  <c r="H104" i="25" s="1"/>
  <c r="J134" i="25"/>
  <c r="I134" i="25"/>
  <c r="J87" i="25"/>
  <c r="I87" i="25"/>
  <c r="Y15" i="23"/>
  <c r="I19" i="24"/>
  <c r="H19" i="25" s="1"/>
  <c r="J19" i="24"/>
  <c r="J309" i="24"/>
  <c r="I309" i="24"/>
  <c r="H309" i="25" s="1"/>
  <c r="I163" i="24"/>
  <c r="H163" i="25" s="1"/>
  <c r="J163" i="24"/>
  <c r="J237" i="24"/>
  <c r="I237" i="24"/>
  <c r="H237" i="25" s="1"/>
  <c r="J209" i="24"/>
  <c r="I209" i="24"/>
  <c r="H209" i="25" s="1"/>
  <c r="J195" i="24"/>
  <c r="I195" i="24"/>
  <c r="H195" i="25" s="1"/>
  <c r="I33" i="24"/>
  <c r="H33" i="25" s="1"/>
  <c r="J33" i="24"/>
  <c r="I41" i="25"/>
  <c r="J41" i="25"/>
  <c r="I49" i="25"/>
  <c r="J49" i="25"/>
  <c r="I89" i="24"/>
  <c r="H89" i="25" s="1"/>
  <c r="J89" i="24"/>
  <c r="J130" i="24"/>
  <c r="I130" i="24"/>
  <c r="H130" i="25" s="1"/>
  <c r="I161" i="24"/>
  <c r="H161" i="25" s="1"/>
  <c r="J161" i="24"/>
  <c r="I283" i="24"/>
  <c r="H283" i="25" s="1"/>
  <c r="J283" i="24"/>
  <c r="I248" i="24"/>
  <c r="H248" i="25" s="1"/>
  <c r="J248" i="24"/>
  <c r="I298" i="24"/>
  <c r="H298" i="25" s="1"/>
  <c r="J298" i="24"/>
  <c r="I135" i="24"/>
  <c r="H135" i="25" s="1"/>
  <c r="J135" i="24"/>
  <c r="I154" i="24"/>
  <c r="H154" i="25" s="1"/>
  <c r="J154" i="24"/>
  <c r="J267" i="24"/>
  <c r="I267" i="24"/>
  <c r="H267" i="25" s="1"/>
  <c r="J263" i="24"/>
  <c r="I263" i="24"/>
  <c r="H263" i="25" s="1"/>
  <c r="I159" i="24"/>
  <c r="H159" i="25" s="1"/>
  <c r="J159" i="24"/>
  <c r="J289" i="24"/>
  <c r="I289" i="24"/>
  <c r="H289" i="25" s="1"/>
  <c r="J206" i="24"/>
  <c r="I206" i="24"/>
  <c r="H206" i="25" s="1"/>
  <c r="J294" i="24"/>
  <c r="I294" i="24"/>
  <c r="H294" i="25" s="1"/>
  <c r="I293" i="24"/>
  <c r="H293" i="25" s="1"/>
  <c r="J293" i="24"/>
  <c r="I269" i="24"/>
  <c r="H269" i="25" s="1"/>
  <c r="J269" i="24"/>
  <c r="I202" i="24"/>
  <c r="H202" i="25" s="1"/>
  <c r="J202" i="24"/>
  <c r="J333" i="24"/>
  <c r="I333" i="24"/>
  <c r="H333" i="25" s="1"/>
  <c r="J330" i="25"/>
  <c r="I330" i="25"/>
  <c r="I124" i="25"/>
  <c r="J318" i="25"/>
  <c r="I318" i="25"/>
  <c r="I85" i="24"/>
  <c r="H85" i="25" s="1"/>
  <c r="J85" i="24"/>
  <c r="J190" i="24"/>
  <c r="I190" i="24"/>
  <c r="H190" i="25" s="1"/>
  <c r="I313" i="24"/>
  <c r="H313" i="25" s="1"/>
  <c r="J313" i="24"/>
  <c r="I231" i="24"/>
  <c r="H231" i="25" s="1"/>
  <c r="J231" i="24"/>
  <c r="I246" i="24"/>
  <c r="H246" i="25" s="1"/>
  <c r="J246" i="24"/>
  <c r="J35" i="24"/>
  <c r="I35" i="24"/>
  <c r="H35" i="25" s="1"/>
  <c r="I208" i="24"/>
  <c r="H208" i="25" s="1"/>
  <c r="J208" i="24"/>
  <c r="J149" i="24"/>
  <c r="I149" i="24"/>
  <c r="H149" i="25" s="1"/>
  <c r="J29" i="24"/>
  <c r="I29" i="24"/>
  <c r="H29" i="25" s="1"/>
  <c r="J97" i="24"/>
  <c r="I97" i="24"/>
  <c r="H97" i="25" s="1"/>
  <c r="I116" i="24"/>
  <c r="H116" i="25" s="1"/>
  <c r="J116" i="24"/>
  <c r="J120" i="24"/>
  <c r="I120" i="24"/>
  <c r="H120" i="25" s="1"/>
  <c r="I346" i="24"/>
  <c r="H346" i="25" s="1"/>
  <c r="J346" i="24"/>
  <c r="J173" i="24"/>
  <c r="I173" i="24"/>
  <c r="H173" i="25" s="1"/>
  <c r="J143" i="24"/>
  <c r="I143" i="24"/>
  <c r="H143" i="25" s="1"/>
  <c r="I337" i="25"/>
  <c r="J337" i="25"/>
  <c r="I40" i="25"/>
  <c r="J40" i="25"/>
  <c r="J227" i="24"/>
  <c r="I227" i="24"/>
  <c r="H227" i="25" s="1"/>
  <c r="J127" i="24"/>
  <c r="I127" i="24"/>
  <c r="H127" i="25" s="1"/>
  <c r="I301" i="25"/>
  <c r="J301" i="25"/>
  <c r="J131" i="24"/>
  <c r="I131" i="24"/>
  <c r="H131" i="25" s="1"/>
  <c r="I242" i="25"/>
  <c r="J242" i="25"/>
  <c r="J171" i="24"/>
  <c r="I171" i="24"/>
  <c r="H171" i="25" s="1"/>
  <c r="J72" i="24"/>
  <c r="I72" i="24"/>
  <c r="H72" i="25" s="1"/>
  <c r="I96" i="24"/>
  <c r="H96" i="25" s="1"/>
  <c r="J96" i="24"/>
  <c r="I50" i="25"/>
  <c r="J308" i="24"/>
  <c r="I308" i="24"/>
  <c r="H308" i="25" s="1"/>
  <c r="J278" i="24"/>
  <c r="I278" i="24"/>
  <c r="H278" i="25" s="1"/>
  <c r="I229" i="25"/>
  <c r="J229" i="25"/>
  <c r="I175" i="25"/>
  <c r="J175" i="25"/>
  <c r="J226" i="24"/>
  <c r="I226" i="24"/>
  <c r="H226" i="25" s="1"/>
  <c r="I260" i="24"/>
  <c r="H260" i="25" s="1"/>
  <c r="J260" i="24"/>
  <c r="J42" i="24"/>
  <c r="I42" i="24"/>
  <c r="H42" i="25" s="1"/>
  <c r="J319" i="24"/>
  <c r="I319" i="24"/>
  <c r="H319" i="25" s="1"/>
  <c r="I310" i="24"/>
  <c r="H310" i="25" s="1"/>
  <c r="J310" i="24"/>
  <c r="J303" i="24"/>
  <c r="I303" i="24"/>
  <c r="H303" i="25" s="1"/>
  <c r="J249" i="24"/>
  <c r="I249" i="24"/>
  <c r="H249" i="25" s="1"/>
  <c r="J118" i="25"/>
  <c r="I118" i="25"/>
  <c r="J232" i="24"/>
  <c r="I232" i="24"/>
  <c r="H232" i="25" s="1"/>
  <c r="J332" i="24"/>
  <c r="I332" i="24"/>
  <c r="H332" i="25" s="1"/>
  <c r="I311" i="24"/>
  <c r="H311" i="25" s="1"/>
  <c r="J311" i="24"/>
  <c r="J90" i="24"/>
  <c r="I90" i="24"/>
  <c r="H90" i="25" s="1"/>
  <c r="I259" i="24"/>
  <c r="H259" i="25" s="1"/>
  <c r="J259" i="24"/>
  <c r="J252" i="25"/>
  <c r="I252" i="25"/>
  <c r="I184" i="25"/>
  <c r="J184" i="25"/>
  <c r="J271" i="24"/>
  <c r="I271" i="24"/>
  <c r="H271" i="25" s="1"/>
  <c r="J255" i="24"/>
  <c r="I255" i="24"/>
  <c r="H255" i="25" s="1"/>
  <c r="I60" i="24"/>
  <c r="H60" i="25" s="1"/>
  <c r="J60" i="24"/>
  <c r="I347" i="24"/>
  <c r="H347" i="25" s="1"/>
  <c r="J347" i="24"/>
  <c r="J189" i="24"/>
  <c r="I189" i="24"/>
  <c r="H189" i="25" s="1"/>
  <c r="I83" i="24"/>
  <c r="H83" i="25" s="1"/>
  <c r="J83" i="24"/>
  <c r="I82" i="25"/>
  <c r="J82" i="25"/>
  <c r="I129" i="25"/>
  <c r="J129" i="25"/>
  <c r="J123" i="25"/>
  <c r="I123" i="25"/>
  <c r="I281" i="24"/>
  <c r="H281" i="25" s="1"/>
  <c r="J281" i="24"/>
  <c r="J141" i="25"/>
  <c r="I141" i="25"/>
  <c r="I98" i="24"/>
  <c r="H98" i="25" s="1"/>
  <c r="J98" i="24"/>
  <c r="I264" i="24"/>
  <c r="H264" i="25" s="1"/>
  <c r="J264" i="24"/>
  <c r="J214" i="24"/>
  <c r="I214" i="24"/>
  <c r="H214" i="25" s="1"/>
  <c r="I198" i="24"/>
  <c r="H198" i="25" s="1"/>
  <c r="J198" i="24"/>
  <c r="I28" i="24"/>
  <c r="H28" i="25" s="1"/>
  <c r="J28" i="24"/>
  <c r="J221" i="24"/>
  <c r="I221" i="24"/>
  <c r="H221" i="25" s="1"/>
  <c r="J193" i="25"/>
  <c r="I193" i="25"/>
  <c r="J145" i="25"/>
  <c r="I145" i="25"/>
  <c r="I18" i="24"/>
  <c r="H18" i="25" s="1"/>
  <c r="J18" i="24"/>
  <c r="I186" i="25"/>
  <c r="J186" i="25"/>
  <c r="I336" i="24"/>
  <c r="H336" i="25" s="1"/>
  <c r="J336" i="24"/>
  <c r="J56" i="24"/>
  <c r="I56" i="24"/>
  <c r="H56" i="25" s="1"/>
  <c r="J15" i="20"/>
  <c r="I15" i="20"/>
  <c r="J279" i="25"/>
  <c r="I279" i="25"/>
  <c r="J213" i="25"/>
  <c r="I213" i="25"/>
  <c r="J224" i="25"/>
  <c r="I224" i="25"/>
  <c r="J327" i="25"/>
  <c r="I327" i="25"/>
  <c r="I110" i="24"/>
  <c r="H110" i="25" s="1"/>
  <c r="J110" i="24"/>
  <c r="J43" i="24"/>
  <c r="I43" i="24"/>
  <c r="H43" i="25" s="1"/>
  <c r="I266" i="24"/>
  <c r="H266" i="25" s="1"/>
  <c r="J266" i="24"/>
  <c r="J107" i="25"/>
  <c r="I107" i="25"/>
  <c r="J86" i="25"/>
  <c r="I86" i="25"/>
  <c r="I244" i="24"/>
  <c r="H244" i="25" s="1"/>
  <c r="J244" i="24"/>
  <c r="J74" i="24"/>
  <c r="I74" i="24"/>
  <c r="H74" i="25" s="1"/>
  <c r="I179" i="25"/>
  <c r="J179" i="25"/>
  <c r="I24" i="24"/>
  <c r="H24" i="25" s="1"/>
  <c r="J24" i="24"/>
  <c r="I147" i="24"/>
  <c r="H147" i="25" s="1"/>
  <c r="J147" i="24"/>
  <c r="I245" i="24"/>
  <c r="H245" i="25" s="1"/>
  <c r="J245" i="24"/>
  <c r="I185" i="24"/>
  <c r="H185" i="25" s="1"/>
  <c r="J185" i="24"/>
  <c r="J37" i="24"/>
  <c r="I37" i="24"/>
  <c r="H37" i="25" s="1"/>
  <c r="I273" i="24"/>
  <c r="H273" i="25" s="1"/>
  <c r="J273" i="24"/>
  <c r="J287" i="24"/>
  <c r="I287" i="24"/>
  <c r="H287" i="25" s="1"/>
  <c r="J284" i="24"/>
  <c r="I284" i="24"/>
  <c r="H284" i="25" s="1"/>
  <c r="I142" i="24"/>
  <c r="H142" i="25" s="1"/>
  <c r="J142" i="24"/>
  <c r="I108" i="24"/>
  <c r="H108" i="25" s="1"/>
  <c r="J108" i="24"/>
  <c r="I316" i="24"/>
  <c r="H316" i="25" s="1"/>
  <c r="J316" i="24"/>
  <c r="I241" i="24"/>
  <c r="H241" i="25" s="1"/>
  <c r="J241" i="24"/>
  <c r="I101" i="24"/>
  <c r="H101" i="25" s="1"/>
  <c r="J101" i="24"/>
  <c r="J325" i="24"/>
  <c r="I325" i="24"/>
  <c r="H325" i="25" s="1"/>
  <c r="J65" i="24"/>
  <c r="I65" i="24"/>
  <c r="H65" i="25" s="1"/>
  <c r="J331" i="25"/>
  <c r="I331" i="25"/>
  <c r="J299" i="25"/>
  <c r="I299" i="25"/>
  <c r="J62" i="24"/>
  <c r="I62" i="24"/>
  <c r="H62" i="25" s="1"/>
  <c r="I345" i="24"/>
  <c r="H345" i="25" s="1"/>
  <c r="J345" i="24"/>
  <c r="I199" i="24"/>
  <c r="H199" i="25" s="1"/>
  <c r="J199" i="24"/>
  <c r="J109" i="24"/>
  <c r="I109" i="24"/>
  <c r="H109" i="25" s="1"/>
  <c r="J191" i="24"/>
  <c r="I191" i="24"/>
  <c r="H191" i="25" s="1"/>
  <c r="J328" i="25"/>
  <c r="I328" i="25"/>
  <c r="I253" i="24"/>
  <c r="H253" i="25" s="1"/>
  <c r="J253" i="24"/>
  <c r="I95" i="24"/>
  <c r="H95" i="25" s="1"/>
  <c r="J95" i="24"/>
  <c r="I17" i="24"/>
  <c r="H17" i="25" s="1"/>
  <c r="J17" i="24"/>
  <c r="I106" i="25"/>
  <c r="J106" i="25"/>
  <c r="J102" i="24"/>
  <c r="I102" i="24"/>
  <c r="H102" i="25" s="1"/>
  <c r="I36" i="24"/>
  <c r="H36" i="25" s="1"/>
  <c r="J36" i="24"/>
  <c r="J133" i="24"/>
  <c r="I133" i="24"/>
  <c r="H133" i="25" s="1"/>
  <c r="I280" i="24"/>
  <c r="H280" i="25" s="1"/>
  <c r="J280" i="24"/>
  <c r="J334" i="24"/>
  <c r="I334" i="24"/>
  <c r="H334" i="25" s="1"/>
  <c r="J54" i="25"/>
  <c r="I54" i="25"/>
  <c r="J338" i="25"/>
  <c r="I338" i="25"/>
  <c r="J148" i="24"/>
  <c r="I148" i="24"/>
  <c r="H148" i="25" s="1"/>
  <c r="J155" i="24"/>
  <c r="I155" i="24"/>
  <c r="H155" i="25" s="1"/>
  <c r="I348" i="25"/>
  <c r="J348" i="25"/>
  <c r="I201" i="25"/>
  <c r="J201" i="25"/>
  <c r="J66" i="24"/>
  <c r="I66" i="24"/>
  <c r="H66" i="25" s="1"/>
  <c r="J216" i="24"/>
  <c r="I216" i="24"/>
  <c r="H216" i="25" s="1"/>
  <c r="I203" i="24"/>
  <c r="H203" i="25" s="1"/>
  <c r="J203" i="24"/>
  <c r="I307" i="24"/>
  <c r="H307" i="25" s="1"/>
  <c r="J307" i="24"/>
  <c r="J277" i="24"/>
  <c r="I277" i="24"/>
  <c r="H277" i="25" s="1"/>
  <c r="J167" i="24"/>
  <c r="I167" i="24"/>
  <c r="H167" i="25" s="1"/>
  <c r="J272" i="24"/>
  <c r="I272" i="24"/>
  <c r="H272" i="25" s="1"/>
  <c r="I223" i="24"/>
  <c r="H223" i="25" s="1"/>
  <c r="J223" i="24"/>
  <c r="I63" i="24"/>
  <c r="H63" i="25" s="1"/>
  <c r="J63" i="24"/>
  <c r="J137" i="24"/>
  <c r="I137" i="24"/>
  <c r="H137" i="25" s="1"/>
  <c r="I340" i="24"/>
  <c r="H340" i="25" s="1"/>
  <c r="J340" i="24"/>
  <c r="J290" i="24"/>
  <c r="I290" i="24"/>
  <c r="H290" i="25" s="1"/>
  <c r="J262" i="24"/>
  <c r="I262" i="24"/>
  <c r="H262" i="25" s="1"/>
  <c r="J178" i="25"/>
  <c r="I178" i="25"/>
  <c r="J67" i="24"/>
  <c r="I67" i="24"/>
  <c r="H67" i="25" s="1"/>
  <c r="I197" i="24"/>
  <c r="H197" i="25" s="1"/>
  <c r="J197" i="24"/>
  <c r="J302" i="24"/>
  <c r="I302" i="24"/>
  <c r="H302" i="25" s="1"/>
  <c r="I205" i="25"/>
  <c r="J205" i="25"/>
  <c r="I20" i="25"/>
  <c r="J20" i="25"/>
  <c r="I157" i="24"/>
  <c r="H157" i="25" s="1"/>
  <c r="J157" i="24"/>
  <c r="I236" i="24"/>
  <c r="H236" i="25" s="1"/>
  <c r="J236" i="24"/>
  <c r="I314" i="24"/>
  <c r="H314" i="25" s="1"/>
  <c r="J314" i="24"/>
  <c r="I342" i="25"/>
  <c r="J342" i="25"/>
  <c r="J47" i="24"/>
  <c r="I47" i="24"/>
  <c r="H47" i="25" s="1"/>
  <c r="I160" i="25"/>
  <c r="J160" i="25"/>
  <c r="J235" i="25"/>
  <c r="I235" i="25"/>
  <c r="I254" i="25"/>
  <c r="J254" i="25"/>
  <c r="J243" i="24"/>
  <c r="I243" i="24"/>
  <c r="H243" i="25" s="1"/>
  <c r="J247" i="24"/>
  <c r="I247" i="24"/>
  <c r="H247" i="25" s="1"/>
  <c r="I150" i="24"/>
  <c r="H150" i="25" s="1"/>
  <c r="J150" i="24"/>
  <c r="J329" i="24"/>
  <c r="I329" i="24"/>
  <c r="H329" i="25" s="1"/>
  <c r="I217" i="24"/>
  <c r="H217" i="25" s="1"/>
  <c r="J217" i="24"/>
  <c r="I276" i="24"/>
  <c r="H276" i="25" s="1"/>
  <c r="J276" i="24"/>
  <c r="J270" i="24"/>
  <c r="I270" i="24"/>
  <c r="H270" i="25" s="1"/>
  <c r="I140" i="24"/>
  <c r="H140" i="25" s="1"/>
  <c r="J140" i="24"/>
  <c r="J380" i="24"/>
  <c r="I380" i="24"/>
  <c r="H380" i="25" s="1"/>
  <c r="I312" i="25"/>
  <c r="J312" i="25"/>
  <c r="I188" i="24"/>
  <c r="H188" i="25" s="1"/>
  <c r="J188" i="24"/>
  <c r="I16" i="24"/>
  <c r="H16" i="25" s="1"/>
  <c r="J16" i="24"/>
  <c r="J261" i="24"/>
  <c r="I261" i="24"/>
  <c r="H261" i="25" s="1"/>
  <c r="J291" i="24"/>
  <c r="I291" i="24"/>
  <c r="H291" i="25" s="1"/>
  <c r="I339" i="24"/>
  <c r="H339" i="25" s="1"/>
  <c r="J339" i="24"/>
  <c r="I322" i="25"/>
  <c r="J322" i="25"/>
  <c r="I21" i="25"/>
  <c r="J21" i="25"/>
  <c r="J317" i="24"/>
  <c r="I317" i="24"/>
  <c r="H317" i="25" s="1"/>
  <c r="I321" i="24"/>
  <c r="H321" i="25" s="1"/>
  <c r="J321" i="24"/>
  <c r="J152" i="25"/>
  <c r="I152" i="25"/>
  <c r="I117" i="25"/>
  <c r="J117" i="25"/>
  <c r="I55" i="24"/>
  <c r="H55" i="25" s="1"/>
  <c r="J55" i="24"/>
  <c r="I349" i="24"/>
  <c r="H349" i="25" s="1"/>
  <c r="J349" i="24"/>
  <c r="I125" i="24"/>
  <c r="H125" i="25" s="1"/>
  <c r="J125" i="24"/>
  <c r="J183" i="24"/>
  <c r="I183" i="24"/>
  <c r="H183" i="25" s="1"/>
  <c r="J187" i="24"/>
  <c r="I187" i="24"/>
  <c r="H187" i="25" s="1"/>
  <c r="J93" i="24"/>
  <c r="I93" i="24"/>
  <c r="H93" i="25" s="1"/>
  <c r="I168" i="25"/>
  <c r="J168" i="25"/>
  <c r="J228" i="24"/>
  <c r="I228" i="24"/>
  <c r="H228" i="25" s="1"/>
  <c r="I238" i="24"/>
  <c r="H238" i="25" s="1"/>
  <c r="J238" i="24"/>
  <c r="AL5" i="23" l="1"/>
  <c r="AL11" i="23" s="1"/>
  <c r="AJ3" i="23" s="1"/>
  <c r="O18" i="19" s="1"/>
  <c r="AM5" i="23"/>
  <c r="AM11" i="23" s="1"/>
  <c r="AK3" i="23" s="1"/>
  <c r="Q18" i="19" s="1"/>
  <c r="AA15" i="25"/>
  <c r="AL9" i="25" s="1"/>
  <c r="J136" i="25"/>
  <c r="J286" i="25"/>
  <c r="I100" i="25"/>
  <c r="J315" i="25"/>
  <c r="J39" i="25"/>
  <c r="I93" i="25"/>
  <c r="J93" i="25"/>
  <c r="I183" i="25"/>
  <c r="J183" i="25"/>
  <c r="I317" i="25"/>
  <c r="J317" i="25"/>
  <c r="I67" i="25"/>
  <c r="J67" i="25"/>
  <c r="J290" i="25"/>
  <c r="I290" i="25"/>
  <c r="I167" i="25"/>
  <c r="J167" i="25"/>
  <c r="J155" i="25"/>
  <c r="I155" i="25"/>
  <c r="J334" i="25"/>
  <c r="I334" i="25"/>
  <c r="J102" i="25"/>
  <c r="I102" i="25"/>
  <c r="I17" i="25"/>
  <c r="J17" i="25"/>
  <c r="I199" i="25"/>
  <c r="J199" i="25"/>
  <c r="H15" i="22"/>
  <c r="J221" i="25"/>
  <c r="I221" i="25"/>
  <c r="I214" i="25"/>
  <c r="J214" i="25"/>
  <c r="J189" i="25"/>
  <c r="I189" i="25"/>
  <c r="J255" i="25"/>
  <c r="I255" i="25"/>
  <c r="I259" i="25"/>
  <c r="J259" i="25"/>
  <c r="J311" i="25"/>
  <c r="I311" i="25"/>
  <c r="J310" i="25"/>
  <c r="I310" i="25"/>
  <c r="I260" i="25"/>
  <c r="J260" i="25"/>
  <c r="J278" i="25"/>
  <c r="I278" i="25"/>
  <c r="I308" i="25"/>
  <c r="J308" i="25"/>
  <c r="J72" i="25"/>
  <c r="I72" i="25"/>
  <c r="J171" i="25"/>
  <c r="I171" i="25"/>
  <c r="I131" i="25"/>
  <c r="J131" i="25"/>
  <c r="J127" i="25"/>
  <c r="I127" i="25"/>
  <c r="I227" i="25"/>
  <c r="J227" i="25"/>
  <c r="J143" i="25"/>
  <c r="I143" i="25"/>
  <c r="J173" i="25"/>
  <c r="I173" i="25"/>
  <c r="I120" i="25"/>
  <c r="J120" i="25"/>
  <c r="I97" i="25"/>
  <c r="J97" i="25"/>
  <c r="I29" i="25"/>
  <c r="J29" i="25"/>
  <c r="I149" i="25"/>
  <c r="J149" i="25"/>
  <c r="I35" i="25"/>
  <c r="J35" i="25"/>
  <c r="J190" i="25"/>
  <c r="I190" i="25"/>
  <c r="J333" i="25"/>
  <c r="I333" i="25"/>
  <c r="I294" i="25"/>
  <c r="J294" i="25"/>
  <c r="J206" i="25"/>
  <c r="I206" i="25"/>
  <c r="I289" i="25"/>
  <c r="J289" i="25"/>
  <c r="J263" i="25"/>
  <c r="I263" i="25"/>
  <c r="I267" i="25"/>
  <c r="J267" i="25"/>
  <c r="I130" i="25"/>
  <c r="J130" i="25"/>
  <c r="I195" i="25"/>
  <c r="J195" i="25"/>
  <c r="J209" i="25"/>
  <c r="I209" i="25"/>
  <c r="J237" i="25"/>
  <c r="I237" i="25"/>
  <c r="J309" i="25"/>
  <c r="I309" i="25"/>
  <c r="J238" i="25"/>
  <c r="I238" i="25"/>
  <c r="J125" i="25"/>
  <c r="I125" i="25"/>
  <c r="J349" i="25"/>
  <c r="I349" i="25"/>
  <c r="J55" i="25"/>
  <c r="I55" i="25"/>
  <c r="J321" i="25"/>
  <c r="I321" i="25"/>
  <c r="J339" i="25"/>
  <c r="I339" i="25"/>
  <c r="J16" i="25"/>
  <c r="I16" i="25"/>
  <c r="I188" i="25"/>
  <c r="J188" i="25"/>
  <c r="J140" i="25"/>
  <c r="I140" i="25"/>
  <c r="J276" i="25"/>
  <c r="I276" i="25"/>
  <c r="J217" i="25"/>
  <c r="I217" i="25"/>
  <c r="I150" i="25"/>
  <c r="J150" i="25"/>
  <c r="J314" i="25"/>
  <c r="I314" i="25"/>
  <c r="I236" i="25"/>
  <c r="J236" i="25"/>
  <c r="I157" i="25"/>
  <c r="J157" i="25"/>
  <c r="I197" i="25"/>
  <c r="J197" i="25"/>
  <c r="I340" i="25"/>
  <c r="J340" i="25"/>
  <c r="J63" i="25"/>
  <c r="I63" i="25"/>
  <c r="J223" i="25"/>
  <c r="I223" i="25"/>
  <c r="I307" i="25"/>
  <c r="J307" i="25"/>
  <c r="I203" i="25"/>
  <c r="J203" i="25"/>
  <c r="J280" i="25"/>
  <c r="I280" i="25"/>
  <c r="J36" i="25"/>
  <c r="I36" i="25"/>
  <c r="J191" i="25"/>
  <c r="I191" i="25"/>
  <c r="I109" i="25"/>
  <c r="J109" i="25"/>
  <c r="I62" i="25"/>
  <c r="J62" i="25"/>
  <c r="J65" i="25"/>
  <c r="I65" i="25"/>
  <c r="I325" i="25"/>
  <c r="J325" i="25"/>
  <c r="J284" i="25"/>
  <c r="I284" i="25"/>
  <c r="I287" i="25"/>
  <c r="J287" i="25"/>
  <c r="I37" i="25"/>
  <c r="J37" i="25"/>
  <c r="I74" i="25"/>
  <c r="J74" i="25"/>
  <c r="I43" i="25"/>
  <c r="J43" i="25"/>
  <c r="I336" i="25"/>
  <c r="J336" i="25"/>
  <c r="J18" i="25"/>
  <c r="I18" i="25"/>
  <c r="I28" i="25"/>
  <c r="J28" i="25"/>
  <c r="I198" i="25"/>
  <c r="J198" i="25"/>
  <c r="I264" i="25"/>
  <c r="J264" i="25"/>
  <c r="I98" i="25"/>
  <c r="J98" i="25"/>
  <c r="J281" i="25"/>
  <c r="I281" i="25"/>
  <c r="J83" i="25"/>
  <c r="I83" i="25"/>
  <c r="I347" i="25"/>
  <c r="J347" i="25"/>
  <c r="I60" i="25"/>
  <c r="J60" i="25"/>
  <c r="J271" i="25"/>
  <c r="I271" i="25"/>
  <c r="J90" i="25"/>
  <c r="I90" i="25"/>
  <c r="J332" i="25"/>
  <c r="I332" i="25"/>
  <c r="I232" i="25"/>
  <c r="J232" i="25"/>
  <c r="J249" i="25"/>
  <c r="I249" i="25"/>
  <c r="J303" i="25"/>
  <c r="I303" i="25"/>
  <c r="J319" i="25"/>
  <c r="I319" i="25"/>
  <c r="J42" i="25"/>
  <c r="I42" i="25"/>
  <c r="I226" i="25"/>
  <c r="J226" i="25"/>
  <c r="I96" i="25"/>
  <c r="J96" i="25"/>
  <c r="J346" i="25"/>
  <c r="I346" i="25"/>
  <c r="I116" i="25"/>
  <c r="J116" i="25"/>
  <c r="I208" i="25"/>
  <c r="J208" i="25"/>
  <c r="I246" i="25"/>
  <c r="J246" i="25"/>
  <c r="I231" i="25"/>
  <c r="J231" i="25"/>
  <c r="I313" i="25"/>
  <c r="J313" i="25"/>
  <c r="J85" i="25"/>
  <c r="I85" i="25"/>
  <c r="J202" i="25"/>
  <c r="I202" i="25"/>
  <c r="J269" i="25"/>
  <c r="I269" i="25"/>
  <c r="J293" i="25"/>
  <c r="I293" i="25"/>
  <c r="I159" i="25"/>
  <c r="J159" i="25"/>
  <c r="I154" i="25"/>
  <c r="J154" i="25"/>
  <c r="I135" i="25"/>
  <c r="J135" i="25"/>
  <c r="I298" i="25"/>
  <c r="J298" i="25"/>
  <c r="I248" i="25"/>
  <c r="J248" i="25"/>
  <c r="J283" i="25"/>
  <c r="I283" i="25"/>
  <c r="I161" i="25"/>
  <c r="J161" i="25"/>
  <c r="J89" i="25"/>
  <c r="I89" i="25"/>
  <c r="J33" i="25"/>
  <c r="I33" i="25"/>
  <c r="I163" i="25"/>
  <c r="J163" i="25"/>
  <c r="I19" i="25"/>
  <c r="J19" i="25"/>
  <c r="J104" i="25"/>
  <c r="I104" i="25"/>
  <c r="I196" i="25"/>
  <c r="J196" i="25"/>
  <c r="J44" i="25"/>
  <c r="I44" i="25"/>
  <c r="I26" i="25"/>
  <c r="J26" i="25"/>
  <c r="J162" i="25"/>
  <c r="I162" i="25"/>
  <c r="I182" i="25"/>
  <c r="J182" i="25"/>
  <c r="I81" i="25"/>
  <c r="J81" i="25"/>
  <c r="I146" i="25"/>
  <c r="J146" i="25"/>
  <c r="I34" i="25"/>
  <c r="J34" i="25"/>
  <c r="J326" i="25"/>
  <c r="I326" i="25"/>
  <c r="I265" i="25"/>
  <c r="J265" i="25"/>
  <c r="I80" i="25"/>
  <c r="J80" i="25"/>
  <c r="I180" i="25"/>
  <c r="J180" i="25"/>
  <c r="J300" i="25"/>
  <c r="I300" i="25"/>
  <c r="I164" i="25"/>
  <c r="J164" i="25"/>
  <c r="D15" i="6"/>
  <c r="N4" i="6"/>
  <c r="I177" i="25"/>
  <c r="J177" i="25"/>
  <c r="J176" i="25"/>
  <c r="I176" i="25"/>
  <c r="I172" i="25"/>
  <c r="J172" i="25"/>
  <c r="I344" i="25"/>
  <c r="J344" i="25"/>
  <c r="J121" i="25"/>
  <c r="I121" i="25"/>
  <c r="J69" i="25"/>
  <c r="I69" i="25"/>
  <c r="J138" i="25"/>
  <c r="I138" i="25"/>
  <c r="I75" i="25"/>
  <c r="J75" i="25"/>
  <c r="I99" i="25"/>
  <c r="J99" i="25"/>
  <c r="J169" i="25"/>
  <c r="I169" i="25"/>
  <c r="I79" i="25"/>
  <c r="J79" i="25"/>
  <c r="I76" i="25"/>
  <c r="J76" i="25"/>
  <c r="I46" i="25"/>
  <c r="J46" i="25"/>
  <c r="J323" i="25"/>
  <c r="I323" i="25"/>
  <c r="J88" i="25"/>
  <c r="I88" i="25"/>
  <c r="I105" i="25"/>
  <c r="J105" i="25"/>
  <c r="I84" i="25"/>
  <c r="J84" i="25"/>
  <c r="J115" i="25"/>
  <c r="I115" i="25"/>
  <c r="J128" i="25"/>
  <c r="I128" i="25"/>
  <c r="J122" i="25"/>
  <c r="I122" i="25"/>
  <c r="J228" i="25"/>
  <c r="I228" i="25"/>
  <c r="I187" i="25"/>
  <c r="J187" i="25"/>
  <c r="I291" i="25"/>
  <c r="J291" i="25"/>
  <c r="J261" i="25"/>
  <c r="I261" i="25"/>
  <c r="I380" i="25"/>
  <c r="J380" i="25"/>
  <c r="I270" i="25"/>
  <c r="J270" i="25"/>
  <c r="I329" i="25"/>
  <c r="J329" i="25"/>
  <c r="I247" i="25"/>
  <c r="J247" i="25"/>
  <c r="J243" i="25"/>
  <c r="I243" i="25"/>
  <c r="I47" i="25"/>
  <c r="J47" i="25"/>
  <c r="I302" i="25"/>
  <c r="J302" i="25"/>
  <c r="J262" i="25"/>
  <c r="I262" i="25"/>
  <c r="I137" i="25"/>
  <c r="J137" i="25"/>
  <c r="J272" i="25"/>
  <c r="I272" i="25"/>
  <c r="I277" i="25"/>
  <c r="J277" i="25"/>
  <c r="J216" i="25"/>
  <c r="I216" i="25"/>
  <c r="I66" i="25"/>
  <c r="J66" i="25"/>
  <c r="J148" i="25"/>
  <c r="I148" i="25"/>
  <c r="J133" i="25"/>
  <c r="I133" i="25"/>
  <c r="I95" i="25"/>
  <c r="J95" i="25"/>
  <c r="I253" i="25"/>
  <c r="J253" i="25"/>
  <c r="I345" i="25"/>
  <c r="J345" i="25"/>
  <c r="J101" i="25"/>
  <c r="I101" i="25"/>
  <c r="I241" i="25"/>
  <c r="J241" i="25"/>
  <c r="J316" i="25"/>
  <c r="I316" i="25"/>
  <c r="I108" i="25"/>
  <c r="J108" i="25"/>
  <c r="I142" i="25"/>
  <c r="J142" i="25"/>
  <c r="I273" i="25"/>
  <c r="J273" i="25"/>
  <c r="J185" i="25"/>
  <c r="I185" i="25"/>
  <c r="J245" i="25"/>
  <c r="I245" i="25"/>
  <c r="I147" i="25"/>
  <c r="J147" i="25"/>
  <c r="J24" i="25"/>
  <c r="I24" i="25"/>
  <c r="I244" i="25"/>
  <c r="J244" i="25"/>
  <c r="I266" i="25"/>
  <c r="J266" i="25"/>
  <c r="I110" i="25"/>
  <c r="J110" i="25"/>
  <c r="I56" i="25"/>
  <c r="J56" i="25"/>
  <c r="I320" i="25"/>
  <c r="J320" i="25"/>
  <c r="Y15" i="24"/>
  <c r="AL5" i="24" s="1"/>
  <c r="AL11" i="24" s="1"/>
  <c r="AJ3" i="24" s="1"/>
  <c r="O19" i="19" s="1"/>
  <c r="I166" i="25"/>
  <c r="J166" i="25"/>
  <c r="I219" i="25"/>
  <c r="J219" i="25"/>
  <c r="I275" i="25"/>
  <c r="J275" i="25"/>
  <c r="I324" i="25"/>
  <c r="J324" i="25"/>
  <c r="I297" i="25"/>
  <c r="J297" i="25"/>
  <c r="I240" i="25"/>
  <c r="J240" i="25"/>
  <c r="J78" i="25"/>
  <c r="I78" i="25"/>
  <c r="J295" i="25"/>
  <c r="I295" i="25"/>
  <c r="I192" i="25"/>
  <c r="J192" i="25"/>
  <c r="J73" i="25"/>
  <c r="I73" i="25"/>
  <c r="J139" i="25"/>
  <c r="I139" i="25"/>
  <c r="I335" i="25"/>
  <c r="J335" i="25"/>
  <c r="J94" i="25"/>
  <c r="I94" i="25"/>
  <c r="J53" i="25"/>
  <c r="I53" i="25"/>
  <c r="I77" i="25"/>
  <c r="J77" i="25"/>
  <c r="I288" i="25"/>
  <c r="J288" i="25"/>
  <c r="J58" i="25"/>
  <c r="I58" i="25"/>
  <c r="I170" i="25"/>
  <c r="J170" i="25"/>
  <c r="J25" i="25"/>
  <c r="I25" i="25"/>
  <c r="J51" i="25"/>
  <c r="I51" i="25"/>
  <c r="J156" i="25"/>
  <c r="I156" i="25"/>
  <c r="I194" i="25"/>
  <c r="J194" i="25"/>
  <c r="J257" i="25"/>
  <c r="I257" i="25"/>
  <c r="Z15" i="25"/>
  <c r="AL7" i="25" s="1"/>
  <c r="I61" i="25"/>
  <c r="J61" i="25"/>
  <c r="I119" i="25"/>
  <c r="J119" i="25"/>
  <c r="J114" i="25"/>
  <c r="I114" i="25"/>
  <c r="J27" i="25"/>
  <c r="I27" i="25"/>
  <c r="J210" i="25"/>
  <c r="I210" i="25"/>
  <c r="J220" i="25"/>
  <c r="I220" i="25"/>
  <c r="J22" i="25"/>
  <c r="I22" i="25"/>
  <c r="J304" i="25"/>
  <c r="I304" i="25"/>
  <c r="J111" i="25"/>
  <c r="I111" i="25"/>
  <c r="Y15" i="25" l="1"/>
  <c r="AL5" i="25" s="1"/>
  <c r="AL11" i="25" s="1"/>
  <c r="AJ3" i="25" s="1"/>
  <c r="O20" i="19" s="1"/>
  <c r="I15" i="22"/>
  <c r="J15" i="22"/>
  <c r="H15" i="23" l="1"/>
  <c r="J15" i="23" l="1"/>
  <c r="I15" i="23"/>
  <c r="H15" i="24" l="1"/>
  <c r="I15" i="24" l="1"/>
  <c r="J15" i="24"/>
  <c r="H15" i="25" l="1"/>
  <c r="I15" i="25" l="1"/>
  <c r="J15" i="25"/>
  <c r="H354" i="15"/>
  <c r="I354" i="15" s="1"/>
  <c r="H354" i="16" l="1"/>
  <c r="I354" i="16" l="1"/>
  <c r="H354" i="17" l="1"/>
  <c r="I354" i="17" l="1"/>
  <c r="H354" i="18" l="1"/>
  <c r="I354" i="18" l="1"/>
  <c r="H354" i="20" l="1"/>
  <c r="I354" i="20" l="1"/>
  <c r="BA354" i="6"/>
  <c r="D354" i="6" l="1"/>
  <c r="H354" i="22"/>
  <c r="I354" i="22" l="1"/>
  <c r="H354" i="23" l="1"/>
  <c r="I354" i="23" l="1"/>
  <c r="H354" i="24" l="1"/>
  <c r="I354" i="24" l="1"/>
  <c r="H354" i="25" l="1"/>
  <c r="I354" i="25" l="1"/>
  <c r="C354" i="6"/>
  <c r="J354" i="15"/>
  <c r="J354" i="16" l="1"/>
  <c r="J354" i="17" l="1"/>
  <c r="J354" i="18" l="1"/>
  <c r="J354" i="20" l="1"/>
  <c r="J354" i="22" l="1"/>
  <c r="J354" i="23" l="1"/>
  <c r="J354" i="24" l="1"/>
  <c r="J354" i="25" l="1"/>
  <c r="C364" i="6"/>
  <c r="C370" i="6"/>
  <c r="C377" i="6"/>
  <c r="C372" i="6"/>
  <c r="C374" i="6"/>
  <c r="C376" i="6"/>
  <c r="C366" i="6"/>
  <c r="C373" i="6"/>
  <c r="C361" i="6"/>
  <c r="C360" i="6"/>
  <c r="C355" i="6"/>
  <c r="C368" i="6"/>
  <c r="C356" i="6"/>
  <c r="C378" i="6"/>
  <c r="C358" i="6"/>
  <c r="C357" i="6"/>
  <c r="C365" i="6"/>
  <c r="C379" i="6"/>
  <c r="C363" i="6"/>
  <c r="C371" i="6"/>
  <c r="C367" i="6"/>
  <c r="H366" i="15"/>
  <c r="J366" i="15" s="1"/>
  <c r="H355" i="15"/>
  <c r="J355" i="15" s="1"/>
  <c r="H369" i="15"/>
  <c r="J369" i="15" s="1"/>
  <c r="H376" i="15"/>
  <c r="J376" i="15" s="1"/>
  <c r="C359" i="6"/>
  <c r="C369" i="6"/>
  <c r="H356" i="15"/>
  <c r="J356" i="15" s="1"/>
  <c r="H363" i="15"/>
  <c r="J363" i="15" s="1"/>
  <c r="C375" i="6"/>
  <c r="H378" i="15"/>
  <c r="J378" i="15" s="1"/>
  <c r="H379" i="15"/>
  <c r="I379" i="15" s="1"/>
  <c r="H379" i="16" s="1"/>
  <c r="H360" i="15"/>
  <c r="J360" i="15" s="1"/>
  <c r="H365" i="15"/>
  <c r="J365" i="15" s="1"/>
  <c r="H361" i="15"/>
  <c r="J361" i="15" s="1"/>
  <c r="H371" i="15"/>
  <c r="J371" i="15" s="1"/>
  <c r="H372" i="15"/>
  <c r="J372" i="15" s="1"/>
  <c r="H357" i="15"/>
  <c r="H368" i="15"/>
  <c r="J368" i="15" s="1"/>
  <c r="H358" i="15"/>
  <c r="J358" i="15" s="1"/>
  <c r="H364" i="15"/>
  <c r="J364" i="15" s="1"/>
  <c r="H359" i="15"/>
  <c r="J359" i="15" s="1"/>
  <c r="H375" i="15"/>
  <c r="J375" i="15" s="1"/>
  <c r="H374" i="15"/>
  <c r="J374" i="15" s="1"/>
  <c r="H377" i="15"/>
  <c r="J377" i="15" s="1"/>
  <c r="H367" i="15"/>
  <c r="J367" i="15" s="1"/>
  <c r="H370" i="15"/>
  <c r="J370" i="15" s="1"/>
  <c r="H373" i="15"/>
  <c r="J373" i="15" s="1"/>
  <c r="I355" i="15" l="1"/>
  <c r="H355" i="16" s="1"/>
  <c r="J355" i="16" s="1"/>
  <c r="I367" i="15"/>
  <c r="H367" i="16" s="1"/>
  <c r="I367" i="16" s="1"/>
  <c r="H367" i="17" s="1"/>
  <c r="I372" i="15"/>
  <c r="H372" i="16" s="1"/>
  <c r="J372" i="16" s="1"/>
  <c r="I359" i="15"/>
  <c r="H359" i="16" s="1"/>
  <c r="I359" i="16" s="1"/>
  <c r="H359" i="17" s="1"/>
  <c r="I364" i="15"/>
  <c r="H364" i="16" s="1"/>
  <c r="J364" i="16" s="1"/>
  <c r="I363" i="15"/>
  <c r="H363" i="16" s="1"/>
  <c r="I363" i="16" s="1"/>
  <c r="H363" i="17" s="1"/>
  <c r="I373" i="15"/>
  <c r="H373" i="16" s="1"/>
  <c r="J373" i="16" s="1"/>
  <c r="I374" i="15"/>
  <c r="H374" i="16" s="1"/>
  <c r="I374" i="16" s="1"/>
  <c r="H374" i="17" s="1"/>
  <c r="I368" i="15"/>
  <c r="H368" i="16" s="1"/>
  <c r="J368" i="16" s="1"/>
  <c r="I360" i="15"/>
  <c r="H360" i="16" s="1"/>
  <c r="J360" i="16" s="1"/>
  <c r="I376" i="15"/>
  <c r="H376" i="16" s="1"/>
  <c r="J376" i="16" s="1"/>
  <c r="J374" i="16"/>
  <c r="J357" i="15"/>
  <c r="I357" i="15"/>
  <c r="H357" i="16" s="1"/>
  <c r="I370" i="15"/>
  <c r="H370" i="16" s="1"/>
  <c r="I377" i="15"/>
  <c r="H377" i="16" s="1"/>
  <c r="I375" i="15"/>
  <c r="H375" i="16" s="1"/>
  <c r="I358" i="15"/>
  <c r="H358" i="16" s="1"/>
  <c r="I379" i="16"/>
  <c r="H379" i="17" s="1"/>
  <c r="J379" i="15"/>
  <c r="I366" i="15"/>
  <c r="H366" i="16" s="1"/>
  <c r="I371" i="15"/>
  <c r="H371" i="16" s="1"/>
  <c r="I361" i="15"/>
  <c r="H361" i="16" s="1"/>
  <c r="I365" i="15"/>
  <c r="H365" i="16" s="1"/>
  <c r="I378" i="15"/>
  <c r="H378" i="16" s="1"/>
  <c r="I356" i="15"/>
  <c r="H356" i="16" s="1"/>
  <c r="I369" i="15"/>
  <c r="H369" i="16" s="1"/>
  <c r="J359" i="16" l="1"/>
  <c r="I360" i="16"/>
  <c r="H360" i="17" s="1"/>
  <c r="I360" i="17" s="1"/>
  <c r="H360" i="18" s="1"/>
  <c r="J363" i="16"/>
  <c r="J363" i="17" s="1"/>
  <c r="J367" i="16"/>
  <c r="J367" i="17" s="1"/>
  <c r="I376" i="16"/>
  <c r="H376" i="17" s="1"/>
  <c r="I376" i="17" s="1"/>
  <c r="H376" i="18" s="1"/>
  <c r="I368" i="16"/>
  <c r="H368" i="17" s="1"/>
  <c r="J368" i="17" s="1"/>
  <c r="I355" i="16"/>
  <c r="H355" i="17" s="1"/>
  <c r="I364" i="16"/>
  <c r="H364" i="17" s="1"/>
  <c r="J364" i="17" s="1"/>
  <c r="I373" i="16"/>
  <c r="H373" i="17" s="1"/>
  <c r="J373" i="17" s="1"/>
  <c r="I372" i="16"/>
  <c r="H372" i="17" s="1"/>
  <c r="J372" i="17" s="1"/>
  <c r="J369" i="16"/>
  <c r="I369" i="16"/>
  <c r="H369" i="17" s="1"/>
  <c r="J378" i="16"/>
  <c r="I378" i="16"/>
  <c r="H378" i="17" s="1"/>
  <c r="J361" i="16"/>
  <c r="I361" i="16"/>
  <c r="H361" i="17" s="1"/>
  <c r="J366" i="16"/>
  <c r="I366" i="16"/>
  <c r="H366" i="17" s="1"/>
  <c r="J379" i="16"/>
  <c r="J379" i="17" s="1"/>
  <c r="J375" i="16"/>
  <c r="I375" i="16"/>
  <c r="H375" i="17" s="1"/>
  <c r="J370" i="16"/>
  <c r="I370" i="16"/>
  <c r="H370" i="17" s="1"/>
  <c r="I363" i="17"/>
  <c r="H363" i="18" s="1"/>
  <c r="J357" i="16"/>
  <c r="I357" i="16"/>
  <c r="H357" i="17" s="1"/>
  <c r="J359" i="17"/>
  <c r="I359" i="17"/>
  <c r="H359" i="18" s="1"/>
  <c r="I367" i="17"/>
  <c r="H367" i="18" s="1"/>
  <c r="J374" i="17"/>
  <c r="I374" i="17"/>
  <c r="H374" i="18" s="1"/>
  <c r="J356" i="16"/>
  <c r="I356" i="16"/>
  <c r="H356" i="17" s="1"/>
  <c r="J365" i="16"/>
  <c r="I365" i="16"/>
  <c r="H365" i="17" s="1"/>
  <c r="J371" i="16"/>
  <c r="I371" i="16"/>
  <c r="H371" i="17" s="1"/>
  <c r="I379" i="17"/>
  <c r="H379" i="18" s="1"/>
  <c r="J358" i="16"/>
  <c r="I358" i="16"/>
  <c r="H358" i="17" s="1"/>
  <c r="J377" i="16"/>
  <c r="I377" i="16"/>
  <c r="H377" i="17" s="1"/>
  <c r="J360" i="17" l="1"/>
  <c r="I364" i="17"/>
  <c r="H364" i="18" s="1"/>
  <c r="I364" i="18" s="1"/>
  <c r="I368" i="17"/>
  <c r="H368" i="18" s="1"/>
  <c r="J368" i="18" s="1"/>
  <c r="J376" i="17"/>
  <c r="J376" i="18" s="1"/>
  <c r="I373" i="17"/>
  <c r="H373" i="18" s="1"/>
  <c r="J373" i="18" s="1"/>
  <c r="I372" i="17"/>
  <c r="H372" i="18" s="1"/>
  <c r="J372" i="18" s="1"/>
  <c r="J377" i="17"/>
  <c r="I377" i="17"/>
  <c r="H377" i="18" s="1"/>
  <c r="J358" i="17"/>
  <c r="I358" i="17"/>
  <c r="H358" i="18" s="1"/>
  <c r="J360" i="18"/>
  <c r="I360" i="18"/>
  <c r="I376" i="18"/>
  <c r="J371" i="17"/>
  <c r="I371" i="17"/>
  <c r="H371" i="18" s="1"/>
  <c r="J365" i="17"/>
  <c r="I365" i="17"/>
  <c r="H365" i="18" s="1"/>
  <c r="J356" i="17"/>
  <c r="I356" i="17"/>
  <c r="H356" i="18" s="1"/>
  <c r="J374" i="18"/>
  <c r="I374" i="18"/>
  <c r="J367" i="18"/>
  <c r="I367" i="18"/>
  <c r="J359" i="18"/>
  <c r="I359" i="18"/>
  <c r="J364" i="18"/>
  <c r="J357" i="17"/>
  <c r="I357" i="17"/>
  <c r="H357" i="18" s="1"/>
  <c r="J363" i="18"/>
  <c r="I363" i="18"/>
  <c r="J355" i="17"/>
  <c r="I355" i="17"/>
  <c r="J370" i="17"/>
  <c r="I370" i="17"/>
  <c r="H370" i="18" s="1"/>
  <c r="J375" i="17"/>
  <c r="I375" i="17"/>
  <c r="H375" i="18" s="1"/>
  <c r="J366" i="17"/>
  <c r="I366" i="17"/>
  <c r="H366" i="18" s="1"/>
  <c r="J361" i="17"/>
  <c r="I361" i="17"/>
  <c r="H361" i="18" s="1"/>
  <c r="I378" i="17"/>
  <c r="H378" i="18" s="1"/>
  <c r="J378" i="17"/>
  <c r="J369" i="17"/>
  <c r="I369" i="17"/>
  <c r="H369" i="18" s="1"/>
  <c r="J379" i="18"/>
  <c r="I379" i="18"/>
  <c r="I368" i="18" l="1"/>
  <c r="I373" i="18"/>
  <c r="I372" i="18"/>
  <c r="BA372" i="6" s="1"/>
  <c r="D372" i="6" s="1"/>
  <c r="H379" i="20"/>
  <c r="BA379" i="6"/>
  <c r="D379" i="6" s="1"/>
  <c r="J378" i="18"/>
  <c r="I378" i="18"/>
  <c r="H355" i="18"/>
  <c r="BA363" i="6"/>
  <c r="D363" i="6" s="1"/>
  <c r="H363" i="20"/>
  <c r="J357" i="18"/>
  <c r="I357" i="18"/>
  <c r="BA364" i="6"/>
  <c r="D364" i="6" s="1"/>
  <c r="H364" i="20"/>
  <c r="BA359" i="6"/>
  <c r="D359" i="6" s="1"/>
  <c r="H359" i="20"/>
  <c r="H367" i="20"/>
  <c r="BA367" i="6"/>
  <c r="D367" i="6" s="1"/>
  <c r="BA374" i="6"/>
  <c r="D374" i="6" s="1"/>
  <c r="H374" i="20"/>
  <c r="BA373" i="6"/>
  <c r="D373" i="6" s="1"/>
  <c r="H373" i="20"/>
  <c r="J356" i="18"/>
  <c r="I356" i="18"/>
  <c r="J365" i="18"/>
  <c r="I365" i="18"/>
  <c r="J371" i="18"/>
  <c r="I371" i="18"/>
  <c r="H376" i="20"/>
  <c r="BA376" i="6"/>
  <c r="D376" i="6" s="1"/>
  <c r="H360" i="20"/>
  <c r="BA360" i="6"/>
  <c r="D360" i="6" s="1"/>
  <c r="H372" i="20"/>
  <c r="J358" i="18"/>
  <c r="I358" i="18"/>
  <c r="J377" i="18"/>
  <c r="I377" i="18"/>
  <c r="J369" i="18"/>
  <c r="I369" i="18"/>
  <c r="J361" i="18"/>
  <c r="I361" i="18"/>
  <c r="J366" i="18"/>
  <c r="I366" i="18"/>
  <c r="BA368" i="6"/>
  <c r="D368" i="6" s="1"/>
  <c r="H368" i="20"/>
  <c r="J375" i="18"/>
  <c r="I375" i="18"/>
  <c r="J370" i="18"/>
  <c r="I370" i="18"/>
  <c r="BA370" i="6" l="1"/>
  <c r="D370" i="6" s="1"/>
  <c r="H370" i="20"/>
  <c r="H375" i="20"/>
  <c r="BA375" i="6"/>
  <c r="D375" i="6" s="1"/>
  <c r="J368" i="20"/>
  <c r="I368" i="20"/>
  <c r="H368" i="22" s="1"/>
  <c r="BA366" i="6"/>
  <c r="D366" i="6" s="1"/>
  <c r="H366" i="20"/>
  <c r="BA361" i="6"/>
  <c r="D361" i="6" s="1"/>
  <c r="H361" i="20"/>
  <c r="BA369" i="6"/>
  <c r="D369" i="6" s="1"/>
  <c r="H369" i="20"/>
  <c r="BA377" i="6"/>
  <c r="D377" i="6" s="1"/>
  <c r="H377" i="20"/>
  <c r="BA358" i="6"/>
  <c r="D358" i="6" s="1"/>
  <c r="H358" i="20"/>
  <c r="J372" i="20"/>
  <c r="I372" i="20"/>
  <c r="H372" i="22" s="1"/>
  <c r="BA371" i="6"/>
  <c r="D371" i="6" s="1"/>
  <c r="H371" i="20"/>
  <c r="BA365" i="6"/>
  <c r="H365" i="20"/>
  <c r="BA356" i="6"/>
  <c r="D356" i="6" s="1"/>
  <c r="H356" i="20"/>
  <c r="J373" i="20"/>
  <c r="I373" i="20"/>
  <c r="H373" i="22" s="1"/>
  <c r="J374" i="20"/>
  <c r="I374" i="20"/>
  <c r="H374" i="22" s="1"/>
  <c r="J359" i="20"/>
  <c r="I359" i="20"/>
  <c r="H359" i="22" s="1"/>
  <c r="J364" i="20"/>
  <c r="I364" i="20"/>
  <c r="H364" i="22" s="1"/>
  <c r="BA357" i="6"/>
  <c r="D357" i="6" s="1"/>
  <c r="H357" i="20"/>
  <c r="J363" i="20"/>
  <c r="I363" i="20"/>
  <c r="H363" i="22" s="1"/>
  <c r="J355" i="18"/>
  <c r="I355" i="18"/>
  <c r="BA378" i="6"/>
  <c r="D378" i="6" s="1"/>
  <c r="H378" i="20"/>
  <c r="J360" i="20"/>
  <c r="I360" i="20"/>
  <c r="H360" i="22" s="1"/>
  <c r="J376" i="20"/>
  <c r="I376" i="20"/>
  <c r="H376" i="22" s="1"/>
  <c r="J367" i="20"/>
  <c r="I367" i="20"/>
  <c r="H367" i="22" s="1"/>
  <c r="J379" i="20"/>
  <c r="I379" i="20"/>
  <c r="H379" i="22" s="1"/>
  <c r="AM4" i="6" l="1"/>
  <c r="D365" i="6"/>
  <c r="J375" i="20"/>
  <c r="I375" i="20"/>
  <c r="H375" i="22" s="1"/>
  <c r="J379" i="22"/>
  <c r="I379" i="22"/>
  <c r="H379" i="23" s="1"/>
  <c r="J367" i="22"/>
  <c r="I367" i="22"/>
  <c r="H367" i="23" s="1"/>
  <c r="J376" i="22"/>
  <c r="I376" i="22"/>
  <c r="H376" i="23" s="1"/>
  <c r="J360" i="22"/>
  <c r="I360" i="22"/>
  <c r="H360" i="23" s="1"/>
  <c r="J378" i="20"/>
  <c r="I378" i="20"/>
  <c r="H378" i="22" s="1"/>
  <c r="H355" i="20"/>
  <c r="J363" i="22"/>
  <c r="I363" i="22"/>
  <c r="H363" i="23" s="1"/>
  <c r="J357" i="20"/>
  <c r="I357" i="20"/>
  <c r="H357" i="22" s="1"/>
  <c r="J364" i="22"/>
  <c r="I364" i="22"/>
  <c r="H364" i="23" s="1"/>
  <c r="J359" i="22"/>
  <c r="I359" i="22"/>
  <c r="H359" i="23" s="1"/>
  <c r="J374" i="22"/>
  <c r="I374" i="22"/>
  <c r="H374" i="23" s="1"/>
  <c r="J373" i="22"/>
  <c r="I373" i="22"/>
  <c r="H373" i="23" s="1"/>
  <c r="J356" i="20"/>
  <c r="I356" i="20"/>
  <c r="H356" i="22" s="1"/>
  <c r="J365" i="20"/>
  <c r="I365" i="20"/>
  <c r="H365" i="22" s="1"/>
  <c r="J371" i="20"/>
  <c r="I371" i="20"/>
  <c r="H371" i="22" s="1"/>
  <c r="J372" i="22"/>
  <c r="I372" i="22"/>
  <c r="H372" i="23" s="1"/>
  <c r="J358" i="20"/>
  <c r="I358" i="20"/>
  <c r="H358" i="22" s="1"/>
  <c r="J377" i="20"/>
  <c r="I377" i="20"/>
  <c r="H377" i="22" s="1"/>
  <c r="J369" i="20"/>
  <c r="I369" i="20"/>
  <c r="H369" i="22" s="1"/>
  <c r="J361" i="20"/>
  <c r="I361" i="20"/>
  <c r="H361" i="22" s="1"/>
  <c r="J366" i="20"/>
  <c r="I366" i="20"/>
  <c r="H366" i="22" s="1"/>
  <c r="J368" i="22"/>
  <c r="I368" i="22"/>
  <c r="H368" i="23" s="1"/>
  <c r="J370" i="20"/>
  <c r="I370" i="20"/>
  <c r="H370" i="22" s="1"/>
  <c r="J368" i="23" l="1"/>
  <c r="I368" i="23"/>
  <c r="H368" i="24" s="1"/>
  <c r="J361" i="22"/>
  <c r="I361" i="22"/>
  <c r="H361" i="23" s="1"/>
  <c r="J377" i="22"/>
  <c r="I377" i="22"/>
  <c r="H377" i="23" s="1"/>
  <c r="J358" i="22"/>
  <c r="I358" i="22"/>
  <c r="H358" i="23" s="1"/>
  <c r="J371" i="22"/>
  <c r="I371" i="22"/>
  <c r="H371" i="23" s="1"/>
  <c r="J373" i="23"/>
  <c r="I373" i="23"/>
  <c r="H373" i="24" s="1"/>
  <c r="J374" i="23"/>
  <c r="I374" i="23"/>
  <c r="H374" i="24" s="1"/>
  <c r="I364" i="23"/>
  <c r="H364" i="24" s="1"/>
  <c r="J364" i="23"/>
  <c r="J363" i="23"/>
  <c r="I363" i="23"/>
  <c r="H363" i="24" s="1"/>
  <c r="J355" i="20"/>
  <c r="I355" i="20"/>
  <c r="J370" i="22"/>
  <c r="I370" i="22"/>
  <c r="H370" i="23" s="1"/>
  <c r="J366" i="22"/>
  <c r="I366" i="22"/>
  <c r="H366" i="23" s="1"/>
  <c r="J369" i="22"/>
  <c r="I369" i="22"/>
  <c r="H369" i="23" s="1"/>
  <c r="J372" i="23"/>
  <c r="I372" i="23"/>
  <c r="H372" i="24" s="1"/>
  <c r="J365" i="22"/>
  <c r="I365" i="22"/>
  <c r="H365" i="23" s="1"/>
  <c r="J356" i="22"/>
  <c r="I356" i="22"/>
  <c r="H356" i="23" s="1"/>
  <c r="J359" i="23"/>
  <c r="I359" i="23"/>
  <c r="H359" i="24" s="1"/>
  <c r="J357" i="22"/>
  <c r="I357" i="22"/>
  <c r="H357" i="23" s="1"/>
  <c r="BA355" i="6"/>
  <c r="J378" i="22"/>
  <c r="I378" i="22"/>
  <c r="H378" i="23" s="1"/>
  <c r="J360" i="23"/>
  <c r="I360" i="23"/>
  <c r="H360" i="24" s="1"/>
  <c r="J376" i="23"/>
  <c r="I376" i="23"/>
  <c r="H376" i="24" s="1"/>
  <c r="J367" i="23"/>
  <c r="I367" i="23"/>
  <c r="H367" i="24" s="1"/>
  <c r="J379" i="23"/>
  <c r="I379" i="23"/>
  <c r="H379" i="24" s="1"/>
  <c r="J375" i="22"/>
  <c r="I375" i="22"/>
  <c r="H375" i="23" s="1"/>
  <c r="J357" i="23" l="1"/>
  <c r="I357" i="23"/>
  <c r="H357" i="24" s="1"/>
  <c r="J359" i="24"/>
  <c r="I359" i="24"/>
  <c r="H359" i="25" s="1"/>
  <c r="J356" i="23"/>
  <c r="I356" i="23"/>
  <c r="H356" i="24" s="1"/>
  <c r="J365" i="23"/>
  <c r="I365" i="23"/>
  <c r="H365" i="24" s="1"/>
  <c r="J372" i="24"/>
  <c r="I372" i="24"/>
  <c r="H372" i="25" s="1"/>
  <c r="J369" i="23"/>
  <c r="I369" i="23"/>
  <c r="H369" i="24" s="1"/>
  <c r="J366" i="23"/>
  <c r="I366" i="23"/>
  <c r="H366" i="24" s="1"/>
  <c r="J370" i="23"/>
  <c r="I370" i="23"/>
  <c r="H370" i="24" s="1"/>
  <c r="H355" i="22"/>
  <c r="J363" i="24"/>
  <c r="I363" i="24"/>
  <c r="H363" i="25" s="1"/>
  <c r="J374" i="24"/>
  <c r="I374" i="24"/>
  <c r="H374" i="25" s="1"/>
  <c r="J373" i="24"/>
  <c r="I373" i="24"/>
  <c r="H373" i="25" s="1"/>
  <c r="J371" i="23"/>
  <c r="I371" i="23"/>
  <c r="H371" i="24" s="1"/>
  <c r="J358" i="23"/>
  <c r="I358" i="23"/>
  <c r="H358" i="24" s="1"/>
  <c r="J377" i="23"/>
  <c r="I377" i="23"/>
  <c r="H377" i="24" s="1"/>
  <c r="J361" i="23"/>
  <c r="I361" i="23"/>
  <c r="H361" i="24" s="1"/>
  <c r="J368" i="24"/>
  <c r="I368" i="24"/>
  <c r="H368" i="25" s="1"/>
  <c r="J375" i="23"/>
  <c r="I375" i="23"/>
  <c r="H375" i="24" s="1"/>
  <c r="J379" i="24"/>
  <c r="I379" i="24"/>
  <c r="H379" i="25" s="1"/>
  <c r="J367" i="24"/>
  <c r="I367" i="24"/>
  <c r="H367" i="25" s="1"/>
  <c r="J376" i="24"/>
  <c r="I376" i="24"/>
  <c r="H376" i="25" s="1"/>
  <c r="J360" i="24"/>
  <c r="I360" i="24"/>
  <c r="H360" i="25" s="1"/>
  <c r="J378" i="23"/>
  <c r="I378" i="23"/>
  <c r="H378" i="24" s="1"/>
  <c r="D355" i="6"/>
  <c r="I364" i="24"/>
  <c r="H364" i="25" s="1"/>
  <c r="J364" i="24"/>
  <c r="J364" i="25" l="1"/>
  <c r="I364" i="25"/>
  <c r="J378" i="24"/>
  <c r="I378" i="24"/>
  <c r="H378" i="25" s="1"/>
  <c r="J360" i="25"/>
  <c r="I360" i="25"/>
  <c r="I376" i="25"/>
  <c r="J376" i="25"/>
  <c r="J367" i="25"/>
  <c r="I367" i="25"/>
  <c r="I379" i="25"/>
  <c r="J379" i="25"/>
  <c r="J375" i="24"/>
  <c r="I375" i="24"/>
  <c r="H375" i="25" s="1"/>
  <c r="I368" i="25"/>
  <c r="J368" i="25"/>
  <c r="J361" i="24"/>
  <c r="I361" i="24"/>
  <c r="H361" i="25" s="1"/>
  <c r="J377" i="24"/>
  <c r="I377" i="24"/>
  <c r="H377" i="25" s="1"/>
  <c r="J358" i="24"/>
  <c r="I358" i="24"/>
  <c r="H358" i="25" s="1"/>
  <c r="J371" i="24"/>
  <c r="I371" i="24"/>
  <c r="H371" i="25" s="1"/>
  <c r="J373" i="25"/>
  <c r="I373" i="25"/>
  <c r="J374" i="25"/>
  <c r="I374" i="25"/>
  <c r="J363" i="25"/>
  <c r="I363" i="25"/>
  <c r="J355" i="22"/>
  <c r="I355" i="22"/>
  <c r="J370" i="24"/>
  <c r="I370" i="24"/>
  <c r="H370" i="25" s="1"/>
  <c r="J366" i="24"/>
  <c r="I366" i="24"/>
  <c r="H366" i="25" s="1"/>
  <c r="I369" i="24"/>
  <c r="H369" i="25" s="1"/>
  <c r="J369" i="24"/>
  <c r="I372" i="25"/>
  <c r="J372" i="25"/>
  <c r="J365" i="24"/>
  <c r="I365" i="24"/>
  <c r="H365" i="25" s="1"/>
  <c r="J356" i="24"/>
  <c r="I356" i="24"/>
  <c r="H356" i="25" s="1"/>
  <c r="I359" i="25"/>
  <c r="J359" i="25"/>
  <c r="J357" i="24"/>
  <c r="I357" i="24"/>
  <c r="H357" i="25" s="1"/>
  <c r="J357" i="25" l="1"/>
  <c r="I357" i="25"/>
  <c r="I365" i="25"/>
  <c r="J365" i="25"/>
  <c r="J370" i="25"/>
  <c r="I370" i="25"/>
  <c r="I369" i="25"/>
  <c r="J369" i="25"/>
  <c r="J356" i="25"/>
  <c r="I356" i="25"/>
  <c r="I366" i="25"/>
  <c r="J366" i="25"/>
  <c r="H355" i="23"/>
  <c r="I371" i="25"/>
  <c r="J371" i="25"/>
  <c r="J358" i="25"/>
  <c r="I358" i="25"/>
  <c r="I377" i="25"/>
  <c r="J377" i="25"/>
  <c r="J361" i="25"/>
  <c r="I361" i="25"/>
  <c r="J375" i="25"/>
  <c r="I375" i="25"/>
  <c r="I378" i="25"/>
  <c r="J378" i="25"/>
  <c r="J355" i="23" l="1"/>
  <c r="I355" i="23"/>
  <c r="H355" i="24" l="1"/>
  <c r="J355" i="24" l="1"/>
  <c r="I355" i="24"/>
  <c r="H355" i="25" l="1"/>
  <c r="I355" i="25" l="1"/>
  <c r="J355" i="25"/>
  <c r="B381" i="1"/>
  <c r="B383" i="1"/>
  <c r="B382" i="1"/>
  <c r="AJ6" i="1"/>
  <c r="AK6" i="1"/>
  <c r="B11" i="19"/>
  <c r="D362" i="1"/>
  <c r="B362" i="15"/>
  <c r="B383" i="15" l="1"/>
  <c r="W362" i="15"/>
  <c r="AJ6" i="15"/>
  <c r="B381" i="15"/>
  <c r="AK6" i="15"/>
  <c r="B382" i="15"/>
  <c r="H9" i="15"/>
  <c r="B12" i="19" s="1"/>
  <c r="D382" i="1"/>
  <c r="D9" i="1"/>
  <c r="D11" i="1" s="1"/>
  <c r="E35" i="19" s="1"/>
  <c r="AJ8" i="1"/>
  <c r="D383" i="1"/>
  <c r="D381" i="1"/>
  <c r="E362" i="1"/>
  <c r="D362" i="15"/>
  <c r="B362" i="16"/>
  <c r="D381" i="15" l="1"/>
  <c r="D382" i="15"/>
  <c r="D9" i="15"/>
  <c r="D11" i="15" s="1"/>
  <c r="E36" i="19" s="1"/>
  <c r="D383" i="15"/>
  <c r="AJ8" i="15"/>
  <c r="E362" i="15"/>
  <c r="B383" i="16"/>
  <c r="AJ6" i="16"/>
  <c r="W362" i="16"/>
  <c r="B381" i="16"/>
  <c r="AK6" i="16"/>
  <c r="B382" i="16"/>
  <c r="H9" i="16"/>
  <c r="B13" i="19" s="1"/>
  <c r="D362" i="16"/>
  <c r="B362" i="17"/>
  <c r="AJ10" i="1"/>
  <c r="AJ12" i="1" s="1"/>
  <c r="AJ13" i="1" s="1"/>
  <c r="E383" i="1"/>
  <c r="AK8" i="1"/>
  <c r="E381" i="1"/>
  <c r="E382" i="1"/>
  <c r="E9" i="1"/>
  <c r="E11" i="1" s="1"/>
  <c r="F362" i="1"/>
  <c r="C11" i="19" l="1"/>
  <c r="C31" i="19" s="1"/>
  <c r="F35" i="19"/>
  <c r="AK6" i="17"/>
  <c r="AJ6" i="17"/>
  <c r="W362" i="17"/>
  <c r="B383" i="17"/>
  <c r="B381" i="17"/>
  <c r="B382" i="17"/>
  <c r="H9" i="17"/>
  <c r="B14" i="19" s="1"/>
  <c r="B362" i="18"/>
  <c r="D362" i="17"/>
  <c r="AK10" i="1"/>
  <c r="AK12" i="1" s="1"/>
  <c r="AK13" i="1" s="1"/>
  <c r="F383" i="1"/>
  <c r="AM10" i="1"/>
  <c r="G362" i="1"/>
  <c r="BW362" i="6" s="1"/>
  <c r="F382" i="1"/>
  <c r="F381" i="1"/>
  <c r="F9" i="1"/>
  <c r="AA362" i="1"/>
  <c r="H362" i="1"/>
  <c r="D381" i="16"/>
  <c r="D383" i="16"/>
  <c r="D382" i="16"/>
  <c r="AJ8" i="16"/>
  <c r="D9" i="16"/>
  <c r="D11" i="16" s="1"/>
  <c r="E37" i="19" s="1"/>
  <c r="E362" i="16"/>
  <c r="AJ10" i="15"/>
  <c r="AJ12" i="15" s="1"/>
  <c r="AJ13" i="15" s="1"/>
  <c r="E381" i="15"/>
  <c r="AK8" i="15"/>
  <c r="E382" i="15"/>
  <c r="E383" i="15"/>
  <c r="E9" i="15"/>
  <c r="E11" i="15" s="1"/>
  <c r="F362" i="15"/>
  <c r="C12" i="19" l="1"/>
  <c r="F36" i="19"/>
  <c r="AJ10" i="16"/>
  <c r="AJ12" i="16" s="1"/>
  <c r="AJ13" i="16" s="1"/>
  <c r="E381" i="16"/>
  <c r="AK8" i="16"/>
  <c r="E383" i="16"/>
  <c r="E382" i="16"/>
  <c r="E9" i="16"/>
  <c r="E11" i="16" s="1"/>
  <c r="F362" i="16"/>
  <c r="J362" i="1"/>
  <c r="I362" i="1"/>
  <c r="H362" i="15" s="1"/>
  <c r="G11" i="19"/>
  <c r="F11" i="1"/>
  <c r="AB9" i="1"/>
  <c r="B381" i="18"/>
  <c r="AK6" i="18"/>
  <c r="B382" i="18"/>
  <c r="AJ6" i="18"/>
  <c r="W362" i="18"/>
  <c r="B383" i="18"/>
  <c r="H9" i="18"/>
  <c r="B15" i="19" s="1"/>
  <c r="D362" i="18"/>
  <c r="B362" i="20"/>
  <c r="F381" i="15"/>
  <c r="F382" i="15"/>
  <c r="F383" i="15"/>
  <c r="G362" i="15"/>
  <c r="BX362" i="6" s="1"/>
  <c r="AK10" i="15"/>
  <c r="AK12" i="15" s="1"/>
  <c r="AK13" i="15" s="1"/>
  <c r="AM10" i="15"/>
  <c r="F9" i="15"/>
  <c r="AA362" i="15"/>
  <c r="AA381" i="1"/>
  <c r="AL10" i="1"/>
  <c r="AA383" i="1"/>
  <c r="AA382" i="1"/>
  <c r="AM8" i="1"/>
  <c r="Z362" i="1"/>
  <c r="AA9" i="1"/>
  <c r="G382" i="1"/>
  <c r="G381" i="1"/>
  <c r="G383" i="1"/>
  <c r="G12" i="1" s="1"/>
  <c r="D382" i="17"/>
  <c r="D381" i="17"/>
  <c r="D383" i="17"/>
  <c r="AJ8" i="17"/>
  <c r="D9" i="17"/>
  <c r="D11" i="17" s="1"/>
  <c r="E38" i="19" s="1"/>
  <c r="E362" i="17"/>
  <c r="J35" i="19" l="1"/>
  <c r="G31" i="19"/>
  <c r="D11" i="19"/>
  <c r="G35" i="19"/>
  <c r="C13" i="19"/>
  <c r="F37" i="19"/>
  <c r="A7" i="6"/>
  <c r="E7" i="7"/>
  <c r="Z382" i="1"/>
  <c r="Z9" i="1"/>
  <c r="Z381" i="1"/>
  <c r="Z383" i="1"/>
  <c r="AL8" i="1"/>
  <c r="Y362" i="1"/>
  <c r="AA382" i="15"/>
  <c r="AL10" i="15"/>
  <c r="AA381" i="15"/>
  <c r="AA383" i="15"/>
  <c r="Z362" i="15"/>
  <c r="AM8" i="15"/>
  <c r="AA9" i="15"/>
  <c r="G382" i="15"/>
  <c r="G381" i="15"/>
  <c r="G383" i="15"/>
  <c r="G12" i="15" s="1"/>
  <c r="D383" i="18"/>
  <c r="AJ8" i="18"/>
  <c r="D381" i="18"/>
  <c r="D382" i="18"/>
  <c r="D9" i="18"/>
  <c r="D11" i="18" s="1"/>
  <c r="E39" i="19" s="1"/>
  <c r="E362" i="18"/>
  <c r="J383" i="1"/>
  <c r="J381" i="1"/>
  <c r="J382" i="1"/>
  <c r="C362" i="6"/>
  <c r="AM10" i="16"/>
  <c r="F381" i="16"/>
  <c r="F382" i="16"/>
  <c r="AK10" i="16"/>
  <c r="AK12" i="16" s="1"/>
  <c r="AK13" i="16" s="1"/>
  <c r="F383" i="16"/>
  <c r="G362" i="16"/>
  <c r="BY362" i="6" s="1"/>
  <c r="F9" i="16"/>
  <c r="AA362" i="16"/>
  <c r="E383" i="17"/>
  <c r="AJ10" i="17"/>
  <c r="AJ12" i="17" s="1"/>
  <c r="AJ13" i="17" s="1"/>
  <c r="E381" i="17"/>
  <c r="E382" i="17"/>
  <c r="AK8" i="17"/>
  <c r="E9" i="17"/>
  <c r="E11" i="17" s="1"/>
  <c r="F362" i="17"/>
  <c r="J362" i="15"/>
  <c r="I362" i="15"/>
  <c r="F11" i="15"/>
  <c r="G12" i="19"/>
  <c r="J36" i="19" s="1"/>
  <c r="AB9" i="15"/>
  <c r="AJ6" i="20"/>
  <c r="B381" i="20"/>
  <c r="B382" i="20"/>
  <c r="B383" i="20"/>
  <c r="W362" i="20"/>
  <c r="AK6" i="20"/>
  <c r="H9" i="20"/>
  <c r="B16" i="19" s="1"/>
  <c r="B32" i="19" s="1"/>
  <c r="D362" i="20"/>
  <c r="B362" i="22"/>
  <c r="I383" i="1"/>
  <c r="I381" i="1"/>
  <c r="B362" i="6"/>
  <c r="I382" i="1"/>
  <c r="E11" i="19" l="1"/>
  <c r="E31" i="19" s="1"/>
  <c r="D31" i="19"/>
  <c r="D12" i="19"/>
  <c r="E12" i="19" s="1"/>
  <c r="F12" i="19" s="1"/>
  <c r="G36" i="19"/>
  <c r="C14" i="19"/>
  <c r="F38" i="19"/>
  <c r="B13" i="6"/>
  <c r="B12" i="6"/>
  <c r="BA362" i="6"/>
  <c r="D383" i="20"/>
  <c r="D9" i="20"/>
  <c r="D11" i="20" s="1"/>
  <c r="E40" i="19" s="1"/>
  <c r="D382" i="20"/>
  <c r="D381" i="20"/>
  <c r="AJ8" i="20"/>
  <c r="E362" i="20"/>
  <c r="J383" i="15"/>
  <c r="J382" i="15"/>
  <c r="J381" i="15"/>
  <c r="AA382" i="16"/>
  <c r="AA383" i="16"/>
  <c r="AA381" i="16"/>
  <c r="AL10" i="16"/>
  <c r="AM8" i="16"/>
  <c r="Z362" i="16"/>
  <c r="AA9" i="16"/>
  <c r="G382" i="16"/>
  <c r="G381" i="16"/>
  <c r="G383" i="16"/>
  <c r="G12" i="16" s="1"/>
  <c r="C13" i="6"/>
  <c r="C12" i="6"/>
  <c r="Z382" i="15"/>
  <c r="Z383" i="15"/>
  <c r="Z381" i="15"/>
  <c r="Z9" i="15"/>
  <c r="AL8" i="15"/>
  <c r="Y362" i="15"/>
  <c r="F11" i="19"/>
  <c r="F31" i="19" s="1"/>
  <c r="W362" i="22"/>
  <c r="B382" i="22"/>
  <c r="AJ6" i="22"/>
  <c r="AK6" i="22"/>
  <c r="B383" i="22"/>
  <c r="B381" i="22"/>
  <c r="H9" i="22"/>
  <c r="B17" i="19" s="1"/>
  <c r="D362" i="22"/>
  <c r="B362" i="23"/>
  <c r="I383" i="15"/>
  <c r="I381" i="15"/>
  <c r="I382" i="15"/>
  <c r="AM10" i="17"/>
  <c r="F382" i="17"/>
  <c r="F381" i="17"/>
  <c r="F383" i="17"/>
  <c r="AK10" i="17"/>
  <c r="AK12" i="17" s="1"/>
  <c r="AK13" i="17" s="1"/>
  <c r="G362" i="17"/>
  <c r="BZ362" i="6" s="1"/>
  <c r="J2" i="6" s="1"/>
  <c r="AA362" i="17"/>
  <c r="F9" i="17"/>
  <c r="H362" i="16"/>
  <c r="G13" i="19"/>
  <c r="J37" i="19" s="1"/>
  <c r="F11" i="16"/>
  <c r="AB9" i="16"/>
  <c r="E382" i="18"/>
  <c r="E381" i="18"/>
  <c r="AK8" i="18"/>
  <c r="AJ10" i="18"/>
  <c r="AJ12" i="18" s="1"/>
  <c r="AJ13" i="18" s="1"/>
  <c r="E383" i="18"/>
  <c r="E9" i="18"/>
  <c r="E11" i="18" s="1"/>
  <c r="F362" i="18"/>
  <c r="B7" i="6"/>
  <c r="K7" i="7"/>
  <c r="Y381" i="1"/>
  <c r="Y382" i="1"/>
  <c r="AM6" i="1"/>
  <c r="AM12" i="1" s="1"/>
  <c r="Y383" i="1"/>
  <c r="AL6" i="1"/>
  <c r="AL12" i="1" s="1"/>
  <c r="X9" i="1"/>
  <c r="C15" i="19" l="1"/>
  <c r="F39" i="19"/>
  <c r="D13" i="19"/>
  <c r="E13" i="19" s="1"/>
  <c r="G37" i="19"/>
  <c r="AL13" i="1"/>
  <c r="AJ4" i="1"/>
  <c r="P11" i="19" s="1"/>
  <c r="M12" i="19" s="1"/>
  <c r="J11" i="19"/>
  <c r="J31" i="19" s="1"/>
  <c r="AA11" i="1"/>
  <c r="AA5" i="1" s="1"/>
  <c r="I11" i="19" s="1"/>
  <c r="Z11" i="1"/>
  <c r="Z5" i="1" s="1"/>
  <c r="H11" i="19" s="1"/>
  <c r="AM10" i="18"/>
  <c r="F382" i="18"/>
  <c r="F381" i="18"/>
  <c r="F383" i="18"/>
  <c r="AK10" i="18"/>
  <c r="AK12" i="18" s="1"/>
  <c r="AK13" i="18" s="1"/>
  <c r="G362" i="18"/>
  <c r="CA362" i="6" s="1"/>
  <c r="AA362" i="18"/>
  <c r="F9" i="18"/>
  <c r="J362" i="16"/>
  <c r="I362" i="16"/>
  <c r="AA382" i="17"/>
  <c r="AA381" i="17"/>
  <c r="AL10" i="17"/>
  <c r="AA383" i="17"/>
  <c r="AA9" i="17"/>
  <c r="AM8" i="17"/>
  <c r="Z362" i="17"/>
  <c r="D382" i="22"/>
  <c r="D381" i="22"/>
  <c r="AJ8" i="22"/>
  <c r="D383" i="22"/>
  <c r="D9" i="22"/>
  <c r="D11" i="22" s="1"/>
  <c r="E41" i="19" s="1"/>
  <c r="E362" i="22"/>
  <c r="AL6" i="15"/>
  <c r="AL12" i="15" s="1"/>
  <c r="Y382" i="15"/>
  <c r="AM6" i="15"/>
  <c r="AM12" i="15" s="1"/>
  <c r="Y381" i="15"/>
  <c r="Y383" i="15"/>
  <c r="X9" i="15"/>
  <c r="Y11" i="15" s="1"/>
  <c r="Q7" i="7"/>
  <c r="C7" i="6"/>
  <c r="Z383" i="16"/>
  <c r="Z381" i="16"/>
  <c r="Z382" i="16"/>
  <c r="Y362" i="16"/>
  <c r="Z9" i="16"/>
  <c r="AL8" i="16"/>
  <c r="E381" i="20"/>
  <c r="E383" i="20"/>
  <c r="AJ10" i="20"/>
  <c r="AJ12" i="20" s="1"/>
  <c r="AJ13" i="20" s="1"/>
  <c r="E382" i="20"/>
  <c r="AK8" i="20"/>
  <c r="E9" i="20"/>
  <c r="E11" i="20" s="1"/>
  <c r="F362" i="20"/>
  <c r="AL4" i="6"/>
  <c r="D362" i="6"/>
  <c r="Y11" i="1"/>
  <c r="AM13" i="1"/>
  <c r="AK4" i="1"/>
  <c r="R11" i="19" s="1"/>
  <c r="N12" i="19" s="1"/>
  <c r="G14" i="19"/>
  <c r="J38" i="19" s="1"/>
  <c r="F11" i="17"/>
  <c r="AB9" i="17"/>
  <c r="G382" i="17"/>
  <c r="G381" i="17"/>
  <c r="G383" i="17"/>
  <c r="G12" i="17" s="1"/>
  <c r="B382" i="23"/>
  <c r="B381" i="23"/>
  <c r="W362" i="23"/>
  <c r="AJ6" i="23"/>
  <c r="B383" i="23"/>
  <c r="AK6" i="23"/>
  <c r="H9" i="23"/>
  <c r="B18" i="19" s="1"/>
  <c r="B362" i="24"/>
  <c r="D362" i="23"/>
  <c r="I35" i="19" l="1"/>
  <c r="I31" i="19"/>
  <c r="H35" i="19"/>
  <c r="H31" i="19"/>
  <c r="D14" i="19"/>
  <c r="E14" i="19" s="1"/>
  <c r="F14" i="19" s="1"/>
  <c r="G38" i="19"/>
  <c r="C16" i="19"/>
  <c r="F40" i="19"/>
  <c r="Z11" i="15"/>
  <c r="Z5" i="15" s="1"/>
  <c r="H12" i="19" s="1"/>
  <c r="H36" i="19" s="1"/>
  <c r="D383" i="23"/>
  <c r="D381" i="23"/>
  <c r="D382" i="23"/>
  <c r="AJ8" i="23"/>
  <c r="D9" i="23"/>
  <c r="D11" i="23" s="1"/>
  <c r="E42" i="19" s="1"/>
  <c r="E362" i="23"/>
  <c r="Y383" i="16"/>
  <c r="Y382" i="16"/>
  <c r="AL6" i="16"/>
  <c r="AL12" i="16" s="1"/>
  <c r="AM6" i="16"/>
  <c r="AM12" i="16" s="1"/>
  <c r="Y381" i="16"/>
  <c r="X9" i="16"/>
  <c r="Y11" i="16" s="1"/>
  <c r="J12" i="19"/>
  <c r="AA11" i="15"/>
  <c r="AA5" i="15" s="1"/>
  <c r="I12" i="19" s="1"/>
  <c r="I36" i="19" s="1"/>
  <c r="E383" i="22"/>
  <c r="E382" i="22"/>
  <c r="AK8" i="22"/>
  <c r="E381" i="22"/>
  <c r="AJ10" i="22"/>
  <c r="AJ12" i="22" s="1"/>
  <c r="AJ13" i="22" s="1"/>
  <c r="E9" i="22"/>
  <c r="E11" i="22" s="1"/>
  <c r="F362" i="22"/>
  <c r="Z381" i="17"/>
  <c r="Z9" i="17"/>
  <c r="Z382" i="17"/>
  <c r="Z383" i="17"/>
  <c r="AL8" i="17"/>
  <c r="Y362" i="17"/>
  <c r="J381" i="16"/>
  <c r="J382" i="16"/>
  <c r="J383" i="16"/>
  <c r="G381" i="18"/>
  <c r="G382" i="18"/>
  <c r="G383" i="18"/>
  <c r="G12" i="18" s="1"/>
  <c r="AL13" i="15"/>
  <c r="AJ4" i="15"/>
  <c r="P12" i="19" s="1"/>
  <c r="M13" i="19" s="1"/>
  <c r="W362" i="24"/>
  <c r="B383" i="24"/>
  <c r="B382" i="24"/>
  <c r="B381" i="24"/>
  <c r="AK6" i="24"/>
  <c r="AJ6" i="24"/>
  <c r="H9" i="24"/>
  <c r="B19" i="19" s="1"/>
  <c r="D362" i="24"/>
  <c r="B362" i="25"/>
  <c r="D7" i="6"/>
  <c r="W7" i="7"/>
  <c r="D12" i="6"/>
  <c r="D13" i="6"/>
  <c r="F381" i="20"/>
  <c r="AM10" i="20"/>
  <c r="F383" i="20"/>
  <c r="AK10" i="20"/>
  <c r="AK12" i="20" s="1"/>
  <c r="AK13" i="20" s="1"/>
  <c r="F382" i="20"/>
  <c r="G362" i="20"/>
  <c r="CB362" i="6" s="1"/>
  <c r="F9" i="20"/>
  <c r="AA362" i="20"/>
  <c r="AM13" i="15"/>
  <c r="AK4" i="15"/>
  <c r="R12" i="19" s="1"/>
  <c r="N13" i="19" s="1"/>
  <c r="I381" i="16"/>
  <c r="I382" i="16"/>
  <c r="I383" i="16"/>
  <c r="H362" i="17"/>
  <c r="F13" i="19"/>
  <c r="F11" i="18"/>
  <c r="G15" i="19"/>
  <c r="J39" i="19" s="1"/>
  <c r="AB9" i="18"/>
  <c r="AA383" i="18"/>
  <c r="AL10" i="18"/>
  <c r="AA381" i="18"/>
  <c r="AA382" i="18"/>
  <c r="AA9" i="18"/>
  <c r="Z362" i="18"/>
  <c r="AM8" i="18"/>
  <c r="C17" i="19" l="1"/>
  <c r="F41" i="19"/>
  <c r="D15" i="19"/>
  <c r="E15" i="19" s="1"/>
  <c r="F15" i="19" s="1"/>
  <c r="G39" i="19"/>
  <c r="AL13" i="16"/>
  <c r="AJ4" i="16"/>
  <c r="P13" i="19" s="1"/>
  <c r="M14" i="19" s="1"/>
  <c r="Z382" i="18"/>
  <c r="Z381" i="18"/>
  <c r="Y362" i="18"/>
  <c r="Z383" i="18"/>
  <c r="Z9" i="18"/>
  <c r="AL8" i="18"/>
  <c r="G382" i="20"/>
  <c r="G383" i="20"/>
  <c r="G12" i="20" s="1"/>
  <c r="G381" i="20"/>
  <c r="AC7" i="7"/>
  <c r="E7" i="6"/>
  <c r="AM6" i="17"/>
  <c r="AM12" i="17" s="1"/>
  <c r="AL6" i="17"/>
  <c r="AL12" i="17" s="1"/>
  <c r="Y383" i="17"/>
  <c r="Y381" i="17"/>
  <c r="Y382" i="17"/>
  <c r="X9" i="17"/>
  <c r="Y11" i="17" s="1"/>
  <c r="AM10" i="22"/>
  <c r="AK10" i="22"/>
  <c r="AK12" i="22" s="1"/>
  <c r="AK13" i="22" s="1"/>
  <c r="F381" i="22"/>
  <c r="F383" i="22"/>
  <c r="F382" i="22"/>
  <c r="G362" i="22"/>
  <c r="CC362" i="6" s="1"/>
  <c r="F9" i="22"/>
  <c r="AA362" i="22"/>
  <c r="E381" i="23"/>
  <c r="E382" i="23"/>
  <c r="AK8" i="23"/>
  <c r="AJ10" i="23"/>
  <c r="AJ12" i="23" s="1"/>
  <c r="AJ13" i="23" s="1"/>
  <c r="E383" i="23"/>
  <c r="E9" i="23"/>
  <c r="E11" i="23" s="1"/>
  <c r="F362" i="23"/>
  <c r="AL10" i="20"/>
  <c r="AA383" i="20"/>
  <c r="AA382" i="20"/>
  <c r="AA381" i="20"/>
  <c r="AM8" i="20"/>
  <c r="AA9" i="20"/>
  <c r="Z362" i="20"/>
  <c r="D381" i="24"/>
  <c r="D383" i="24"/>
  <c r="D382" i="24"/>
  <c r="D9" i="24"/>
  <c r="D11" i="24" s="1"/>
  <c r="E43" i="19" s="1"/>
  <c r="AJ8" i="24"/>
  <c r="E362" i="24"/>
  <c r="I362" i="17"/>
  <c r="J362" i="17"/>
  <c r="F11" i="20"/>
  <c r="G16" i="19"/>
  <c r="J40" i="19" s="1"/>
  <c r="AB9" i="20"/>
  <c r="AK6" i="25"/>
  <c r="W362" i="25"/>
  <c r="B383" i="25"/>
  <c r="AJ6" i="25"/>
  <c r="B382" i="25"/>
  <c r="B381" i="25"/>
  <c r="H9" i="25"/>
  <c r="B20" i="19" s="1"/>
  <c r="D362" i="25"/>
  <c r="Z11" i="17"/>
  <c r="Z5" i="17" s="1"/>
  <c r="H14" i="19" s="1"/>
  <c r="J13" i="19"/>
  <c r="AA11" i="16"/>
  <c r="AA5" i="16" s="1"/>
  <c r="I13" i="19" s="1"/>
  <c r="I37" i="19" s="1"/>
  <c r="Z11" i="16"/>
  <c r="Z5" i="16" s="1"/>
  <c r="H13" i="19" s="1"/>
  <c r="AM13" i="16"/>
  <c r="AK4" i="16"/>
  <c r="R13" i="19" s="1"/>
  <c r="N14" i="19" s="1"/>
  <c r="H38" i="19" l="1"/>
  <c r="H37" i="19"/>
  <c r="C18" i="19"/>
  <c r="F42" i="19"/>
  <c r="D16" i="19"/>
  <c r="E16" i="19" s="1"/>
  <c r="F16" i="19" s="1"/>
  <c r="G40" i="19"/>
  <c r="B9" i="19"/>
  <c r="D382" i="25"/>
  <c r="D9" i="25"/>
  <c r="D11" i="25" s="1"/>
  <c r="E44" i="19" s="1"/>
  <c r="E33" i="19" s="1"/>
  <c r="D383" i="25"/>
  <c r="D381" i="25"/>
  <c r="AJ8" i="25"/>
  <c r="E362" i="25"/>
  <c r="F381" i="23"/>
  <c r="F382" i="23"/>
  <c r="AM10" i="23"/>
  <c r="AK10" i="23"/>
  <c r="AK12" i="23" s="1"/>
  <c r="AK13" i="23" s="1"/>
  <c r="F383" i="23"/>
  <c r="G362" i="23"/>
  <c r="CD362" i="6" s="1"/>
  <c r="AA362" i="23"/>
  <c r="F9" i="23"/>
  <c r="F11" i="22"/>
  <c r="G17" i="19"/>
  <c r="J41" i="19" s="1"/>
  <c r="AB9" i="22"/>
  <c r="J14" i="19"/>
  <c r="AA11" i="17"/>
  <c r="AA5" i="17" s="1"/>
  <c r="I14" i="19" s="1"/>
  <c r="I38" i="19" s="1"/>
  <c r="AM6" i="18"/>
  <c r="AM12" i="18" s="1"/>
  <c r="Y382" i="18"/>
  <c r="AL6" i="18"/>
  <c r="AL12" i="18" s="1"/>
  <c r="Y381" i="18"/>
  <c r="Y383" i="18"/>
  <c r="X9" i="18"/>
  <c r="I382" i="17"/>
  <c r="I383" i="17"/>
  <c r="I381" i="17"/>
  <c r="H362" i="18"/>
  <c r="AJ10" i="24"/>
  <c r="AJ12" i="24" s="1"/>
  <c r="AJ13" i="24" s="1"/>
  <c r="E383" i="24"/>
  <c r="AK8" i="24"/>
  <c r="E382" i="24"/>
  <c r="E381" i="24"/>
  <c r="E9" i="24"/>
  <c r="E11" i="24" s="1"/>
  <c r="F362" i="24"/>
  <c r="Z382" i="20"/>
  <c r="Z381" i="20"/>
  <c r="Z383" i="20"/>
  <c r="Y362" i="20"/>
  <c r="AL8" i="20"/>
  <c r="Z9" i="20"/>
  <c r="AL13" i="17"/>
  <c r="AJ4" i="17"/>
  <c r="P14" i="19" s="1"/>
  <c r="M15" i="19" s="1"/>
  <c r="J381" i="17"/>
  <c r="J382" i="17"/>
  <c r="J383" i="17"/>
  <c r="AL10" i="22"/>
  <c r="AA383" i="22"/>
  <c r="AA381" i="22"/>
  <c r="AA382" i="22"/>
  <c r="AM8" i="22"/>
  <c r="Z362" i="22"/>
  <c r="AA9" i="22"/>
  <c r="G382" i="22"/>
  <c r="G381" i="22"/>
  <c r="G383" i="22"/>
  <c r="G12" i="22" s="1"/>
  <c r="AM13" i="17"/>
  <c r="AK4" i="17"/>
  <c r="R14" i="19" s="1"/>
  <c r="N15" i="19" s="1"/>
  <c r="F7" i="6"/>
  <c r="AI7" i="7"/>
  <c r="C19" i="19" l="1"/>
  <c r="F43" i="19"/>
  <c r="D17" i="19"/>
  <c r="E17" i="19" s="1"/>
  <c r="F17" i="19" s="1"/>
  <c r="G41" i="19"/>
  <c r="AL13" i="18"/>
  <c r="AJ4" i="18"/>
  <c r="P15" i="19" s="1"/>
  <c r="M16" i="19" s="1"/>
  <c r="J15" i="19"/>
  <c r="Z11" i="18"/>
  <c r="Z5" i="18" s="1"/>
  <c r="H15" i="19" s="1"/>
  <c r="AA11" i="18"/>
  <c r="AA5" i="18" s="1"/>
  <c r="I15" i="19" s="1"/>
  <c r="I39" i="19" s="1"/>
  <c r="Y11" i="18"/>
  <c r="AL10" i="23"/>
  <c r="AA383" i="23"/>
  <c r="AA382" i="23"/>
  <c r="AA381" i="23"/>
  <c r="AM8" i="23"/>
  <c r="Z362" i="23"/>
  <c r="AA9" i="23"/>
  <c r="AO7" i="7"/>
  <c r="G7" i="6"/>
  <c r="Z383" i="22"/>
  <c r="Z381" i="22"/>
  <c r="Z382" i="22"/>
  <c r="Y362" i="22"/>
  <c r="AL8" i="22"/>
  <c r="Z9" i="22"/>
  <c r="Y383" i="20"/>
  <c r="AM6" i="20"/>
  <c r="AM12" i="20" s="1"/>
  <c r="AL6" i="20"/>
  <c r="AL12" i="20" s="1"/>
  <c r="X9" i="20"/>
  <c r="Y381" i="20"/>
  <c r="Y382" i="20"/>
  <c r="F383" i="24"/>
  <c r="AM10" i="24"/>
  <c r="AK10" i="24"/>
  <c r="AK12" i="24" s="1"/>
  <c r="AK13" i="24" s="1"/>
  <c r="F382" i="24"/>
  <c r="F381" i="24"/>
  <c r="G362" i="24"/>
  <c r="CE362" i="6" s="1"/>
  <c r="AA362" i="24"/>
  <c r="F9" i="24"/>
  <c r="J362" i="18"/>
  <c r="I362" i="18"/>
  <c r="AM13" i="18"/>
  <c r="AK4" i="18"/>
  <c r="R15" i="19" s="1"/>
  <c r="N16" i="19" s="1"/>
  <c r="G18" i="19"/>
  <c r="J42" i="19" s="1"/>
  <c r="AB9" i="23"/>
  <c r="F11" i="23"/>
  <c r="G381" i="23"/>
  <c r="G382" i="23"/>
  <c r="G383" i="23"/>
  <c r="G12" i="23" s="1"/>
  <c r="E383" i="25"/>
  <c r="AK8" i="25"/>
  <c r="AJ10" i="25"/>
  <c r="AJ12" i="25" s="1"/>
  <c r="AJ13" i="25" s="1"/>
  <c r="E382" i="25"/>
  <c r="E381" i="25"/>
  <c r="E9" i="25"/>
  <c r="E11" i="25" s="1"/>
  <c r="F362" i="25"/>
  <c r="H39" i="19" l="1"/>
  <c r="D18" i="19"/>
  <c r="E18" i="19" s="1"/>
  <c r="F18" i="19" s="1"/>
  <c r="G42" i="19"/>
  <c r="C20" i="19"/>
  <c r="F44" i="19"/>
  <c r="F33" i="19" s="1"/>
  <c r="AL13" i="20"/>
  <c r="AJ4" i="20"/>
  <c r="P16" i="19" s="1"/>
  <c r="M17" i="19" s="1"/>
  <c r="C9" i="19"/>
  <c r="H7" i="6"/>
  <c r="AU7" i="7"/>
  <c r="J382" i="18"/>
  <c r="J381" i="18"/>
  <c r="J383" i="18"/>
  <c r="AA381" i="24"/>
  <c r="AA382" i="24"/>
  <c r="AA383" i="24"/>
  <c r="AL10" i="24"/>
  <c r="AM8" i="24"/>
  <c r="AA9" i="24"/>
  <c r="Z362" i="24"/>
  <c r="AM6" i="22"/>
  <c r="AM12" i="22" s="1"/>
  <c r="Y381" i="22"/>
  <c r="Y382" i="22"/>
  <c r="AL6" i="22"/>
  <c r="AL12" i="22" s="1"/>
  <c r="Y383" i="22"/>
  <c r="X9" i="22"/>
  <c r="Z11" i="22" s="1"/>
  <c r="Z5" i="22" s="1"/>
  <c r="H17" i="19" s="1"/>
  <c r="Z382" i="23"/>
  <c r="Z383" i="23"/>
  <c r="Z381" i="23"/>
  <c r="Y362" i="23"/>
  <c r="AL8" i="23"/>
  <c r="Z9" i="23"/>
  <c r="F382" i="25"/>
  <c r="F383" i="25"/>
  <c r="F381" i="25"/>
  <c r="AM10" i="25"/>
  <c r="AK10" i="25"/>
  <c r="AK12" i="25" s="1"/>
  <c r="AK13" i="25" s="1"/>
  <c r="F9" i="25"/>
  <c r="G362" i="25"/>
  <c r="CF362" i="6" s="1"/>
  <c r="AA362" i="25"/>
  <c r="I382" i="18"/>
  <c r="I383" i="18"/>
  <c r="I381" i="18"/>
  <c r="H362" i="20"/>
  <c r="G19" i="19"/>
  <c r="J43" i="19" s="1"/>
  <c r="F11" i="24"/>
  <c r="AB9" i="24"/>
  <c r="G382" i="24"/>
  <c r="G381" i="24"/>
  <c r="G383" i="24"/>
  <c r="G12" i="24" s="1"/>
  <c r="J16" i="19"/>
  <c r="AA11" i="20"/>
  <c r="AA5" i="20" s="1"/>
  <c r="I16" i="19" s="1"/>
  <c r="I40" i="19" s="1"/>
  <c r="Z11" i="20"/>
  <c r="Z5" i="20" s="1"/>
  <c r="H16" i="19" s="1"/>
  <c r="AM13" i="20"/>
  <c r="AK4" i="20"/>
  <c r="R16" i="19" s="1"/>
  <c r="N17" i="19" s="1"/>
  <c r="Y11" i="20"/>
  <c r="H40" i="19" l="1"/>
  <c r="H41" i="19"/>
  <c r="D19" i="19"/>
  <c r="E19" i="19" s="1"/>
  <c r="F19" i="19" s="1"/>
  <c r="G43" i="19"/>
  <c r="BA7" i="7"/>
  <c r="I7" i="6"/>
  <c r="I362" i="20"/>
  <c r="J362" i="20"/>
  <c r="AL10" i="25"/>
  <c r="AA383" i="25"/>
  <c r="AA382" i="25"/>
  <c r="AM8" i="25"/>
  <c r="AA9" i="25"/>
  <c r="Z362" i="25"/>
  <c r="AA381" i="25"/>
  <c r="G20" i="19"/>
  <c r="F11" i="25"/>
  <c r="AB9" i="25"/>
  <c r="AM6" i="23"/>
  <c r="AM12" i="23" s="1"/>
  <c r="Y381" i="23"/>
  <c r="Y383" i="23"/>
  <c r="AL6" i="23"/>
  <c r="X9" i="23"/>
  <c r="Y11" i="23" s="1"/>
  <c r="Y382" i="23"/>
  <c r="AM13" i="22"/>
  <c r="AK4" i="22"/>
  <c r="R17" i="19" s="1"/>
  <c r="N18" i="19" s="1"/>
  <c r="Z381" i="24"/>
  <c r="Z382" i="24"/>
  <c r="AL8" i="24"/>
  <c r="Y362" i="24"/>
  <c r="Z383" i="24"/>
  <c r="Z9" i="24"/>
  <c r="AL13" i="22"/>
  <c r="AJ4" i="22"/>
  <c r="P17" i="19" s="1"/>
  <c r="M18" i="19" s="1"/>
  <c r="G381" i="25"/>
  <c r="G382" i="25"/>
  <c r="G383" i="25"/>
  <c r="G12" i="25" s="1"/>
  <c r="AL12" i="23"/>
  <c r="J17" i="19"/>
  <c r="AA11" i="22"/>
  <c r="AA5" i="22" s="1"/>
  <c r="I17" i="19" s="1"/>
  <c r="I41" i="19" s="1"/>
  <c r="Y11" i="22"/>
  <c r="J44" i="19" l="1"/>
  <c r="J33" i="19" s="1"/>
  <c r="D20" i="19"/>
  <c r="D9" i="19" s="1"/>
  <c r="G44" i="19"/>
  <c r="G33" i="19" s="1"/>
  <c r="AL13" i="23"/>
  <c r="AJ4" i="23"/>
  <c r="P18" i="19" s="1"/>
  <c r="M19" i="19" s="1"/>
  <c r="AL6" i="24"/>
  <c r="AL12" i="24" s="1"/>
  <c r="AM6" i="24"/>
  <c r="AM12" i="24" s="1"/>
  <c r="Y382" i="24"/>
  <c r="Y381" i="24"/>
  <c r="Y383" i="24"/>
  <c r="X9" i="24"/>
  <c r="J382" i="20"/>
  <c r="J383" i="20"/>
  <c r="J381" i="20"/>
  <c r="BG7" i="7"/>
  <c r="J7" i="6"/>
  <c r="J18" i="19"/>
  <c r="AA11" i="23"/>
  <c r="AA5" i="23" s="1"/>
  <c r="I18" i="19" s="1"/>
  <c r="I42" i="19" s="1"/>
  <c r="Z11" i="23"/>
  <c r="Z5" i="23" s="1"/>
  <c r="H18" i="19" s="1"/>
  <c r="AM13" i="23"/>
  <c r="AK4" i="23"/>
  <c r="R18" i="19" s="1"/>
  <c r="N19" i="19" s="1"/>
  <c r="G9" i="19"/>
  <c r="Z381" i="25"/>
  <c r="Z383" i="25"/>
  <c r="Y362" i="25"/>
  <c r="AL8" i="25"/>
  <c r="Z382" i="25"/>
  <c r="Z9" i="25"/>
  <c r="I382" i="20"/>
  <c r="I381" i="20"/>
  <c r="I383" i="20"/>
  <c r="H362" i="22"/>
  <c r="H42" i="19" l="1"/>
  <c r="E20" i="19"/>
  <c r="F20" i="19" s="1"/>
  <c r="J362" i="22"/>
  <c r="I362" i="22"/>
  <c r="Y383" i="25"/>
  <c r="Y382" i="25"/>
  <c r="X9" i="25"/>
  <c r="Y11" i="25" s="1"/>
  <c r="AM6" i="25"/>
  <c r="AM12" i="25" s="1"/>
  <c r="AL6" i="25"/>
  <c r="AL12" i="25" s="1"/>
  <c r="Y381" i="25"/>
  <c r="AJ4" i="24"/>
  <c r="P19" i="19" s="1"/>
  <c r="M20" i="19" s="1"/>
  <c r="AL13" i="24"/>
  <c r="J19" i="19"/>
  <c r="AA11" i="24"/>
  <c r="AA5" i="24" s="1"/>
  <c r="I19" i="19" s="1"/>
  <c r="I43" i="19" s="1"/>
  <c r="Z11" i="24"/>
  <c r="Z5" i="24" s="1"/>
  <c r="H19" i="19" s="1"/>
  <c r="AM13" i="24"/>
  <c r="AK4" i="24"/>
  <c r="R19" i="19" s="1"/>
  <c r="N20" i="19" s="1"/>
  <c r="Y11" i="24"/>
  <c r="H43" i="19" l="1"/>
  <c r="E9" i="19"/>
  <c r="Z11" i="25"/>
  <c r="Z5" i="25" s="1"/>
  <c r="H20" i="19" s="1"/>
  <c r="H44" i="19" s="1"/>
  <c r="AK4" i="25"/>
  <c r="R20" i="19" s="1"/>
  <c r="AM13" i="25"/>
  <c r="I382" i="22"/>
  <c r="I381" i="22"/>
  <c r="I383" i="22"/>
  <c r="H362" i="23"/>
  <c r="AL13" i="25"/>
  <c r="AJ4" i="25"/>
  <c r="P20" i="19" s="1"/>
  <c r="F9" i="19"/>
  <c r="J20" i="19"/>
  <c r="AA11" i="25"/>
  <c r="AA5" i="25" s="1"/>
  <c r="I20" i="19" s="1"/>
  <c r="J382" i="22"/>
  <c r="J383" i="22"/>
  <c r="J381" i="22"/>
  <c r="O36" i="19" l="1"/>
  <c r="N36" i="19" s="1"/>
  <c r="O33" i="19"/>
  <c r="N33" i="19" s="1"/>
  <c r="O35" i="19"/>
  <c r="N35" i="19" s="1"/>
  <c r="O34" i="19"/>
  <c r="I44" i="19"/>
  <c r="I33" i="19" s="1"/>
  <c r="H33" i="19"/>
  <c r="H9" i="19"/>
  <c r="I9" i="19"/>
  <c r="I362" i="23"/>
  <c r="J362" i="23"/>
  <c r="J9" i="19"/>
  <c r="N34" i="19" l="1"/>
  <c r="N32" i="19" s="1"/>
  <c r="O32" i="19"/>
  <c r="J382" i="23"/>
  <c r="J383" i="23"/>
  <c r="J381" i="23"/>
  <c r="I382" i="23"/>
  <c r="I381" i="23"/>
  <c r="I383" i="23"/>
  <c r="H362" i="24"/>
  <c r="I362" i="24" l="1"/>
  <c r="J362" i="24"/>
  <c r="J383" i="24" l="1"/>
  <c r="J382" i="24"/>
  <c r="J381" i="24"/>
  <c r="I383" i="24"/>
  <c r="I382" i="24"/>
  <c r="I381" i="24"/>
  <c r="H362" i="25"/>
  <c r="J362" i="25" l="1"/>
  <c r="I362" i="25"/>
  <c r="I382" i="25" l="1"/>
  <c r="I381" i="25"/>
  <c r="I383" i="25"/>
  <c r="J383" i="25"/>
  <c r="J382" i="25"/>
  <c r="J381" i="25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Modules JA Solar 60S20 380 Wc garantis à 0,55%/an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AV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Installation des modules PV Toit 1 le 18/6/21, Toit 2 14/10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B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BG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B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BG12" authorId="0" shapeId="0">
      <text>
        <r>
          <rPr>
            <sz val="9"/>
            <color indexed="81"/>
            <rFont val="Tahoma"/>
            <family val="2"/>
          </rPr>
          <t>Perte supplémentaire par dégradation ponctuelle correspondant à 50% des 2 modules mal raccordés à leur optimiseur.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AW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BA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BG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BJ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Mise en service ENEDIS</t>
        </r>
      </text>
    </comment>
    <comment ref="A62" authorId="0" shapeId="0">
      <text>
        <r>
          <rPr>
            <sz val="9"/>
            <color indexed="81"/>
            <rFont val="Tahoma"/>
            <family val="2"/>
          </rPr>
          <t>Correction raccordement 2 modules.</t>
        </r>
      </text>
    </comment>
    <comment ref="L62" authorId="0" shapeId="0">
      <text>
        <r>
          <rPr>
            <sz val="9"/>
            <color indexed="81"/>
            <rFont val="Tahoma"/>
            <family val="2"/>
          </rPr>
          <t>Correction raccordement 2 modules.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H35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Calculs valeur max prend en compte données Espanes à partir de la MeS 6 déc 2021. Pas de feuille spécifique 2021 mais données de production à partir de la colonne AV à droite</t>
        </r>
      </text>
    </comment>
    <comment ref="AV354" authorId="0" shapeId="0">
      <text>
        <r>
          <rPr>
            <sz val="9"/>
            <color indexed="81"/>
            <rFont val="Tahoma"/>
            <family val="2"/>
          </rPr>
          <t>Mise en service ENEDIS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G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 du 26 Févr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sharedStrings.xml><?xml version="1.0" encoding="utf-8"?>
<sst xmlns="http://schemas.openxmlformats.org/spreadsheetml/2006/main" count="2180" uniqueCount="373">
  <si>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</si>
  <si>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</si>
  <si>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</si>
  <si>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</si>
  <si>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</si>
  <si>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</si>
  <si>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</si>
  <si>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</si>
  <si>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</si>
  <si>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</si>
  <si>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</si>
  <si>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</si>
  <si>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</si>
  <si>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</si>
  <si>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</si>
  <si>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</si>
  <si>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</si>
  <si>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</si>
  <si>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</si>
  <si>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</si>
  <si>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</si>
  <si>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</si>
  <si>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</si>
  <si>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</si>
  <si>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</si>
  <si>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</si>
  <si>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</si>
  <si>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</si>
  <si>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</si>
  <si>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</si>
  <si>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</si>
  <si>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</si>
  <si>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</si>
  <si>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</si>
  <si>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</si>
  <si>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</si>
  <si>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</si>
  <si>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</si>
  <si>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</si>
  <si>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</si>
  <si>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</si>
  <si>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</si>
  <si>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</si>
  <si>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</si>
  <si>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</si>
  <si>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</si>
  <si>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</si>
  <si>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</si>
  <si>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</si>
  <si>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</si>
  <si>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</si>
  <si>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</si>
  <si>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</si>
  <si>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</si>
  <si>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</si>
  <si>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</si>
  <si>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</si>
  <si>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</si>
  <si>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</si>
  <si>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</si>
  <si>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</si>
  <si>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</si>
  <si>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</si>
  <si>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</si>
  <si>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</si>
  <si>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</si>
  <si>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</si>
  <si>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</si>
  <si>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</si>
  <si>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</si>
  <si>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</si>
  <si>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</si>
  <si>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</si>
  <si>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</si>
  <si>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</si>
  <si>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</si>
  <si>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</si>
  <si>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</si>
  <si>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</si>
  <si>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</si>
  <si>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</si>
  <si>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</si>
  <si>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</si>
  <si>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</si>
  <si>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</si>
  <si>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</si>
  <si>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</si>
  <si>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</si>
  <si>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</si>
  <si>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</si>
  <si>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</si>
  <si>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</si>
  <si>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</si>
  <si>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</si>
  <si>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</si>
  <si>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</si>
  <si>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</si>
  <si>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</si>
  <si>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</si>
  <si>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</si>
  <si>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</si>
  <si>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</si>
  <si>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</si>
  <si>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</si>
  <si>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</si>
  <si>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</si>
  <si>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</si>
  <si>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</si>
  <si>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</si>
  <si>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</si>
  <si>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</si>
  <si>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</si>
  <si>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</si>
  <si>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</si>
  <si>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</si>
  <si>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</si>
  <si>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</si>
  <si>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</si>
  <si>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</si>
  <si>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</si>
  <si>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</si>
  <si>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</si>
  <si>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</si>
  <si>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</si>
  <si>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</si>
  <si>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</si>
  <si>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</si>
  <si>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</si>
  <si>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</si>
  <si>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</si>
  <si>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</si>
  <si>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</si>
  <si>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</si>
  <si>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</si>
  <si>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</si>
  <si>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</si>
  <si>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</si>
  <si>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</si>
  <si>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</si>
  <si>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</si>
  <si>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</si>
  <si>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</si>
  <si>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</si>
  <si>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</si>
  <si>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</si>
  <si>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</si>
  <si>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</si>
  <si>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</si>
  <si>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</si>
  <si>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</si>
  <si>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</si>
  <si>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</si>
  <si>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</si>
  <si>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</si>
  <si>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</si>
  <si>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</si>
  <si>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2</t>
  </si>
  <si>
    <t>Arbre 3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</si>
  <si>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</si>
  <si>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</si>
  <si>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</si>
  <si>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</si>
  <si>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</si>
  <si>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</si>
  <si>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</si>
  <si>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</si>
  <si>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</si>
  <si>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</si>
  <si>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</si>
  <si>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</si>
  <si>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</si>
  <si>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</si>
  <si>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</si>
  <si>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</si>
  <si>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</si>
  <si>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</si>
  <si>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</si>
  <si>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</si>
  <si>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</si>
  <si>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</si>
  <si>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</si>
  <si>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</si>
  <si>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</si>
  <si>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</si>
  <si>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</si>
  <si>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</si>
  <si>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</si>
  <si>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</si>
  <si>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</si>
  <si>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</si>
  <si>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</si>
  <si>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</si>
  <si>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</si>
  <si>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</si>
  <si>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</si>
  <si>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</si>
  <si>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</si>
  <si>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</si>
  <si>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</si>
  <si>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</si>
  <si>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</si>
  <si>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</si>
  <si>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</si>
  <si>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</si>
  <si>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</si>
  <si>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</si>
  <si>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</si>
  <si>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</si>
  <si>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</si>
  <si>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</si>
  <si>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</si>
  <si>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</si>
  <si>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</si>
  <si>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</si>
  <si>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</si>
  <si>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</si>
  <si>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</si>
  <si>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</si>
  <si>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</si>
  <si>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</si>
  <si>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</si>
  <si>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</si>
  <si>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</si>
  <si>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</si>
  <si>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</si>
  <si>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</si>
  <si>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</si>
  <si>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</si>
  <si>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</si>
  <si>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</si>
  <si>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</si>
  <si>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</si>
  <si>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</si>
  <si>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</si>
  <si>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</si>
  <si>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</si>
  <si>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</si>
  <si>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</si>
  <si>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</si>
  <si>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</si>
  <si>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</si>
  <si>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</si>
  <si>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</si>
  <si>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</si>
  <si>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</si>
  <si>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</si>
  <si>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</si>
  <si>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</si>
  <si>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</si>
  <si>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</si>
  <si>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</si>
  <si>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</si>
  <si>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</si>
  <si>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</si>
  <si>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</si>
  <si>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</si>
  <si>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</si>
  <si>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</si>
  <si>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</si>
  <si>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</si>
  <si>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</si>
  <si>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</si>
  <si>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</si>
  <si>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</si>
  <si>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</si>
  <si>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</si>
  <si>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</si>
  <si>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</si>
  <si>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</si>
  <si>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</si>
  <si>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</si>
  <si>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</si>
  <si>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</si>
  <si>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</si>
  <si>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</si>
  <si>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</si>
  <si>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</si>
  <si>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</si>
  <si>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</si>
  <si>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</si>
  <si>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</si>
  <si>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</si>
  <si>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</si>
  <si>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</si>
  <si>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n° zone:</t>
  </si>
  <si>
    <t>Shift G/D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</si>
  <si>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</si>
  <si>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</si>
  <si>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</si>
  <si>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</si>
  <si>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</si>
  <si>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</si>
  <si>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</si>
  <si>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</si>
  <si>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</si>
  <si>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</si>
  <si>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/ Pousse en hauteur initiale</t>
  </si>
  <si>
    <t>Référence pousse en hauteur:</t>
  </si>
  <si>
    <t>Azimut(s) G &amp; D:</t>
  </si>
  <si>
    <t>Calibration rapports d'angle/H photos</t>
  </si>
  <si>
    <t>Coord. UTM 31 Géoportail</t>
  </si>
  <si>
    <t>Hauteur champ PV sélectionnée:</t>
  </si>
  <si>
    <t>Configu. Masque zone 3</t>
  </si>
  <si>
    <t>Configu. Masque zone 4</t>
  </si>
  <si>
    <t>Configu. Masque zone 2</t>
  </si>
  <si>
    <t>Configu. Masque zone 1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</si>
  <si>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</si>
  <si>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</si>
  <si>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</si>
  <si>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</si>
  <si>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</si>
  <si>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</si>
  <si>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</si>
  <si>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</si>
  <si>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</si>
  <si>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</si>
  <si>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</si>
  <si>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</si>
  <si>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</si>
  <si>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</si>
  <si>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</si>
  <si>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</si>
  <si>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</si>
  <si>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Configu. Masque fixe zone 1</t>
  </si>
  <si>
    <t>Configu. Masque fixe zone 2</t>
  </si>
  <si>
    <t>Configu. Masque fixe zone 3</t>
  </si>
  <si>
    <t>Configu. Masque fixe zone 4</t>
  </si>
  <si>
    <t>Formule de division linéaire de la mesure (angles &lt;10°)</t>
  </si>
  <si>
    <t>Date de relevés hauteurs (ref. 0m):</t>
  </si>
  <si>
    <t>Arbre 7</t>
  </si>
  <si>
    <t>Arbre 8</t>
  </si>
  <si>
    <t>Arbre 9</t>
  </si>
  <si>
    <t>Arbre 10</t>
  </si>
  <si>
    <t>Arbre 11</t>
  </si>
  <si>
    <t>creux</t>
  </si>
  <si>
    <t>Hangar Goussaud Espanès</t>
  </si>
  <si>
    <t>Hauteur 0 = Observateur</t>
  </si>
  <si>
    <t>Bord chemin au centre</t>
  </si>
  <si>
    <t>Porte entrée poulailler Est</t>
  </si>
  <si>
    <t>Espanes Hangar pano arrière</t>
  </si>
  <si>
    <t>Faitage</t>
  </si>
  <si>
    <t>Rive</t>
  </si>
  <si>
    <t>Arbre 1g</t>
  </si>
  <si>
    <t>Arbre 1d</t>
  </si>
  <si>
    <t>Centre du champ PV Ouest.:</t>
  </si>
  <si>
    <t>Centre du champ PV Est.:</t>
  </si>
  <si>
    <t>Ouest / Est (O/E) :</t>
  </si>
  <si>
    <t>O</t>
  </si>
  <si>
    <t>G</t>
  </si>
  <si>
    <t>larg</t>
  </si>
  <si>
    <t>Haut</t>
  </si>
  <si>
    <t>pente toit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</si>
  <si>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</si>
  <si>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</si>
  <si>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</si>
  <si>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</si>
  <si>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</si>
  <si>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</si>
  <si>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</si>
  <si>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</si>
  <si>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</si>
  <si>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</si>
  <si>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</si>
  <si>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</si>
  <si>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</si>
  <si>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I</t>
  </si>
  <si>
    <t>Cumul 22</t>
  </si>
  <si>
    <t>periode net</t>
  </si>
  <si>
    <t>gain par an</t>
  </si>
  <si>
    <t>moyennes annuelles</t>
  </si>
  <si>
    <t>23 hors net</t>
  </si>
  <si>
    <t>Gains depuis le "début" ou depuis dernière "action":</t>
  </si>
  <si>
    <t>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</si>
</sst>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274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0" fontId="34" fillId="34" borderId="0" xfId="33" applyNumberFormat="1" applyFont="1" applyFill="1" applyBorder="1" applyAlignment="1" applyProtection="1">
      <alignment horizontal="center"/>
    </xf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34" borderId="8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171" fontId="31" fillId="34" borderId="23" xfId="0" applyNumberFormat="1" applyFont="1" applyFill="1" applyBorder="1" applyProtection="1"/>
    <xf numFmtId="2" fontId="32" fillId="34" borderId="1" xfId="0" applyNumberFormat="1" applyFont="1" applyFill="1" applyBorder="1" applyProtection="1"/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10" fontId="39" fillId="34" borderId="2" xfId="33" applyNumberFormat="1" applyFont="1" applyFill="1" applyBorder="1" applyAlignment="1" applyProtection="1">
      <alignment horizontal="center"/>
    </xf>
    <xf numFmtId="2" fontId="44" fillId="34" borderId="10" xfId="33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  <protection locked="0"/>
    </xf>
    <xf numFmtId="2" fontId="32" fillId="0" borderId="21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5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2" fontId="34" fillId="34" borderId="22" xfId="0" applyNumberFormat="1" applyFont="1" applyFill="1" applyBorder="1" applyProtection="1"/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5" fillId="0" borderId="26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0" fontId="110" fillId="0" borderId="0" xfId="0" applyFont="1" applyProtection="1"/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1" fillId="0" borderId="28" xfId="0" applyNumberFormat="1" applyFont="1" applyFill="1" applyBorder="1" applyProtection="1">
      <protection locked="0"/>
    </xf>
    <xf numFmtId="0" fontId="111" fillId="0" borderId="0" xfId="0" applyFont="1" applyAlignment="1" applyProtection="1">
      <alignment horizontal="center"/>
    </xf>
    <xf numFmtId="2" fontId="111" fillId="34" borderId="28" xfId="0" applyNumberFormat="1" applyFont="1" applyFill="1" applyBorder="1" applyProtection="1">
      <protection locked="0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9" fontId="66" fillId="0" borderId="19" xfId="33" applyFont="1" applyBorder="1" applyAlignment="1" applyProtection="1">
      <alignment horizontal="center" vertical="center"/>
      <protection locked="0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6" xfId="33" applyNumberFormat="1" applyFont="1" applyBorder="1" applyAlignment="1" applyProtection="1">
      <alignment horizontal="center"/>
      <protection locked="0"/>
    </xf>
    <xf numFmtId="167" fontId="104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2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2" fontId="111" fillId="34" borderId="0" xfId="0" applyNumberFormat="1" applyFont="1" applyFill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1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3" fillId="0" borderId="2" xfId="0" applyNumberFormat="1" applyFont="1" applyBorder="1" applyAlignment="1" applyProtection="1">
      <alignment horizontal="center"/>
    </xf>
    <xf numFmtId="1" fontId="113" fillId="0" borderId="10" xfId="0" applyNumberFormat="1" applyFont="1" applyBorder="1" applyAlignment="1" applyProtection="1">
      <alignment horizontal="center"/>
    </xf>
    <xf numFmtId="1" fontId="113" fillId="0" borderId="17" xfId="0" applyNumberFormat="1" applyFont="1" applyBorder="1" applyAlignment="1" applyProtection="1">
      <alignment horizontal="center"/>
    </xf>
    <xf numFmtId="1" fontId="113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4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5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15" fontId="117" fillId="0" borderId="0" xfId="0" applyNumberFormat="1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7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2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1" xfId="0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4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4" fillId="0" borderId="42" xfId="0" applyFont="1" applyBorder="1" applyAlignment="1" applyProtection="1">
      <alignment horizontal="right"/>
      <protection locked="0"/>
    </xf>
    <xf numFmtId="0" fontId="95" fillId="0" borderId="43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95" fillId="0" borderId="47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4" fillId="0" borderId="48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0" xfId="0" applyNumberFormat="1" applyFont="1" applyBorder="1" applyAlignment="1" applyProtection="1">
      <alignment horizontal="right"/>
      <protection locked="0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26" fillId="0" borderId="0" xfId="0" applyFont="1" applyProtection="1">
      <protection locked="0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right"/>
      <protection locked="0"/>
    </xf>
    <xf numFmtId="179" fontId="33" fillId="0" borderId="0" xfId="0" applyNumberFormat="1" applyFont="1" applyBorder="1" applyAlignment="1" applyProtection="1">
      <alignment horizontal="center"/>
      <protection locked="0"/>
    </xf>
    <xf numFmtId="179" fontId="83" fillId="0" borderId="0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left"/>
      <protection locked="0"/>
    </xf>
    <xf numFmtId="186" fontId="42" fillId="0" borderId="3" xfId="0" applyNumberFormat="1" applyFont="1" applyBorder="1" applyAlignment="1" applyProtection="1">
      <alignment horizontal="center"/>
    </xf>
    <xf numFmtId="9" fontId="117" fillId="0" borderId="19" xfId="33" applyFont="1" applyBorder="1" applyAlignment="1" applyProtection="1">
      <alignment horizontal="center" vertical="center"/>
      <protection locked="0"/>
    </xf>
    <xf numFmtId="2" fontId="32" fillId="0" borderId="20" xfId="0" applyNumberFormat="1" applyFont="1" applyBorder="1" applyProtection="1"/>
    <xf numFmtId="2" fontId="95" fillId="0" borderId="5" xfId="0" applyNumberFormat="1" applyFont="1" applyBorder="1" applyProtection="1">
      <protection locked="0"/>
    </xf>
    <xf numFmtId="2" fontId="95" fillId="0" borderId="0" xfId="0" applyNumberFormat="1" applyFont="1" applyBorder="1" applyProtection="1">
      <protection locked="0"/>
    </xf>
    <xf numFmtId="0" fontId="95" fillId="0" borderId="1" xfId="0" applyFont="1" applyBorder="1" applyAlignment="1" applyProtection="1">
      <alignment horizontal="center"/>
      <protection locked="0"/>
    </xf>
    <xf numFmtId="2" fontId="118" fillId="0" borderId="1" xfId="0" applyNumberFormat="1" applyFont="1" applyBorder="1" applyAlignment="1" applyProtection="1">
      <alignment horizontal="center"/>
      <protection locked="0"/>
    </xf>
    <xf numFmtId="0" fontId="34" fillId="0" borderId="0" xfId="0" applyFont="1" applyProtection="1">
      <protection locked="0"/>
    </xf>
    <xf numFmtId="0" fontId="34" fillId="0" borderId="0" xfId="0" applyFont="1" applyAlignment="1" applyProtection="1">
      <alignment horizontal="center"/>
      <protection locked="0"/>
    </xf>
    <xf numFmtId="2" fontId="34" fillId="0" borderId="0" xfId="0" applyNumberFormat="1" applyFont="1" applyAlignment="1" applyProtection="1">
      <alignment horizontal="right"/>
      <protection locked="0"/>
    </xf>
    <xf numFmtId="2" fontId="34" fillId="0" borderId="0" xfId="0" applyNumberFormat="1" applyFont="1" applyAlignment="1" applyProtection="1">
      <alignment horizontal="center"/>
      <protection locked="0"/>
    </xf>
    <xf numFmtId="2" fontId="100" fillId="0" borderId="0" xfId="0" applyNumberFormat="1" applyFont="1" applyFill="1" applyBorder="1" applyProtection="1"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6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0" fontId="113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3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0" fontId="93" fillId="34" borderId="22" xfId="0" applyFont="1" applyFill="1" applyBorder="1" applyProtection="1"/>
    <xf numFmtId="0" fontId="0" fillId="33" borderId="6" xfId="0" applyFill="1" applyBorder="1" applyAlignment="1" applyProtection="1">
      <alignment horizontal="center" vertical="center"/>
    </xf>
    <xf numFmtId="166" fontId="31" fillId="0" borderId="13" xfId="0" quotePrefix="1" applyNumberFormat="1" applyFont="1" applyBorder="1" applyProtection="1"/>
    <xf numFmtId="166" fontId="31" fillId="0" borderId="5" xfId="0" quotePrefix="1" applyNumberFormat="1" applyFont="1" applyBorder="1" applyProtection="1"/>
    <xf numFmtId="166" fontId="31" fillId="0" borderId="11" xfId="0" quotePrefix="1" applyNumberFormat="1" applyFont="1" applyBorder="1" applyProtection="1"/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0" xfId="0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4" xfId="0" quotePrefix="1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1" xfId="0" applyNumberFormat="1" applyFont="1" applyBorder="1" applyProtection="1"/>
    <xf numFmtId="166" fontId="31" fillId="0" borderId="9" xfId="0" quotePrefix="1" applyNumberFormat="1" applyFont="1" applyBorder="1" applyProtection="1"/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2" fontId="32" fillId="0" borderId="21" xfId="0" applyNumberFormat="1" applyFont="1" applyBorder="1" applyProtection="1">
      <protection locked="0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  <protection locked="0"/>
    </xf>
    <xf numFmtId="1" fontId="66" fillId="0" borderId="3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center"/>
      <protection locked="0"/>
    </xf>
    <xf numFmtId="1" fontId="34" fillId="0" borderId="6" xfId="0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" fontId="66" fillId="0" borderId="3" xfId="0" applyNumberFormat="1" applyFont="1" applyBorder="1" applyAlignment="1" applyProtection="1">
      <alignment horizontal="center"/>
    </xf>
    <xf numFmtId="10" fontId="66" fillId="0" borderId="3" xfId="33" applyNumberFormat="1" applyFont="1" applyBorder="1" applyAlignment="1" applyProtection="1">
      <alignment horizontal="center"/>
    </xf>
    <xf numFmtId="10" fontId="34" fillId="0" borderId="6" xfId="33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0" fontId="85" fillId="0" borderId="0" xfId="0" applyFont="1" applyAlignment="1" applyProtection="1">
      <alignment horizontal="left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52" fillId="0" borderId="31" xfId="0" applyNumberFormat="1" applyFont="1" applyBorder="1" applyAlignment="1" applyProtection="1">
      <alignment horizontal="center" vertical="center"/>
      <protection locked="0"/>
    </xf>
    <xf numFmtId="15" fontId="52" fillId="0" borderId="33" xfId="0" applyNumberFormat="1" applyFont="1" applyBorder="1" applyAlignment="1" applyProtection="1">
      <alignment horizontal="center" vertical="center"/>
      <protection locked="0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0" fontId="122" fillId="0" borderId="0" xfId="0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left"/>
    </xf>
    <xf numFmtId="0" fontId="28" fillId="0" borderId="15" xfId="0" applyFont="1" applyBorder="1" applyAlignment="1" applyProtection="1">
      <alignment horizontal="left"/>
    </xf>
    <xf numFmtId="0" fontId="28" fillId="0" borderId="12" xfId="0" applyFont="1" applyBorder="1" applyAlignment="1" applyProtection="1">
      <alignment horizontal="left"/>
    </xf>
    <xf numFmtId="182" fontId="90" fillId="0" borderId="15" xfId="33" applyNumberFormat="1" applyFont="1" applyFill="1" applyBorder="1" applyAlignment="1" applyProtection="1">
      <alignment horizont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0" borderId="1" xfId="0" applyFont="1" applyBorder="1" applyAlignment="1" applyProtection="1">
      <alignment horizontal="center" vertical="center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" fontId="35" fillId="0" borderId="0" xfId="0" applyNumberFormat="1" applyFont="1" applyAlignment="1" applyProtection="1">
      <alignment horizontal="left"/>
    </xf>
    <xf numFmtId="1" fontId="35" fillId="0" borderId="10" xfId="0" applyNumberFormat="1" applyFont="1" applyBorder="1" applyAlignment="1" applyProtection="1">
      <alignment horizontal="left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53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6.8695101511868772</c:v>
                </c:pt>
                <c:pt idx="6">
                  <c:v>6.6711764669883573</c:v>
                </c:pt>
                <c:pt idx="7">
                  <c:v>6.1618420415424922</c:v>
                </c:pt>
                <c:pt idx="8">
                  <c:v>5.3656962759802802</c:v>
                </c:pt>
                <c:pt idx="9">
                  <c:v>4.3086129638973665</c:v>
                </c:pt>
                <c:pt idx="10">
                  <c:v>3.2243383969993311</c:v>
                </c:pt>
                <c:pt idx="11">
                  <c:v>2.6391249925482336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3.0645266502289989</c:v>
                </c:pt>
                <c:pt idx="1">
                  <c:v>4.1351957264920927</c:v>
                </c:pt>
                <c:pt idx="2">
                  <c:v>5.291943986766503</c:v>
                </c:pt>
                <c:pt idx="3">
                  <c:v>6.1889062299651867</c:v>
                </c:pt>
                <c:pt idx="4">
                  <c:v>6.6110707462754279</c:v>
                </c:pt>
                <c:pt idx="5">
                  <c:v>6.7103429532791008</c:v>
                </c:pt>
                <c:pt idx="6">
                  <c:v>6.5186084670728945</c:v>
                </c:pt>
                <c:pt idx="7">
                  <c:v>6.0236535665123645</c:v>
                </c:pt>
                <c:pt idx="8">
                  <c:v>5.2481504378831545</c:v>
                </c:pt>
                <c:pt idx="9">
                  <c:v>4.2166896964114908</c:v>
                </c:pt>
                <c:pt idx="10">
                  <c:v>3.1564196553657773</c:v>
                </c:pt>
                <c:pt idx="11">
                  <c:v>2.585075508950486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3.0031401681512109</c:v>
                </c:pt>
                <c:pt idx="1">
                  <c:v>4.0757774296540497</c:v>
                </c:pt>
                <c:pt idx="2">
                  <c:v>5.2278100683864865</c:v>
                </c:pt>
                <c:pt idx="3">
                  <c:v>6.3391071952620051</c:v>
                </c:pt>
                <c:pt idx="4">
                  <c:v>6.7524405967106773</c:v>
                </c:pt>
                <c:pt idx="5">
                  <c:v>6.8404527711231218</c:v>
                </c:pt>
                <c:pt idx="6">
                  <c:v>6.629248053141616</c:v>
                </c:pt>
                <c:pt idx="7">
                  <c:v>6.1095427525485615</c:v>
                </c:pt>
                <c:pt idx="8">
                  <c:v>5.3046414218024927</c:v>
                </c:pt>
                <c:pt idx="9">
                  <c:v>4.2457090299919038</c:v>
                </c:pt>
                <c:pt idx="10">
                  <c:v>3.1684016832241708</c:v>
                </c:pt>
                <c:pt idx="11">
                  <c:v>2.615050182258281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3.0383143756621451</c:v>
                </c:pt>
                <c:pt idx="1">
                  <c:v>4.1019479966746086</c:v>
                </c:pt>
                <c:pt idx="2">
                  <c:v>5.2490938715918416</c:v>
                </c:pt>
                <c:pt idx="3">
                  <c:v>6.1367851703490661</c:v>
                </c:pt>
                <c:pt idx="4">
                  <c:v>6.5534700072437575</c:v>
                </c:pt>
                <c:pt idx="5">
                  <c:v>6.65012683752839</c:v>
                </c:pt>
                <c:pt idx="6">
                  <c:v>6.4581196983076756</c:v>
                </c:pt>
                <c:pt idx="7">
                  <c:v>5.9658912857685165</c:v>
                </c:pt>
                <c:pt idx="8">
                  <c:v>5.1966181080598499</c:v>
                </c:pt>
                <c:pt idx="9">
                  <c:v>4.1738461990148918</c:v>
                </c:pt>
                <c:pt idx="10">
                  <c:v>3.1204192130111728</c:v>
                </c:pt>
                <c:pt idx="11">
                  <c:v>2.5549874271092903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2026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2.967609162619596</c:v>
                </c:pt>
                <c:pt idx="1">
                  <c:v>4.0105419003100566</c:v>
                </c:pt>
                <c:pt idx="2">
                  <c:v>5.1354476139770968</c:v>
                </c:pt>
                <c:pt idx="3">
                  <c:v>6.0155782368434219</c:v>
                </c:pt>
                <c:pt idx="4">
                  <c:v>6.691610902988069</c:v>
                </c:pt>
                <c:pt idx="5">
                  <c:v>6.7882284963451811</c:v>
                </c:pt>
                <c:pt idx="6">
                  <c:v>6.5883347884319416</c:v>
                </c:pt>
                <c:pt idx="7">
                  <c:v>6.0813185310930811</c:v>
                </c:pt>
                <c:pt idx="8">
                  <c:v>5.2928272123164009</c:v>
                </c:pt>
                <c:pt idx="9">
                  <c:v>4.2465138763683496</c:v>
                </c:pt>
                <c:pt idx="10">
                  <c:v>3.1693677189959959</c:v>
                </c:pt>
                <c:pt idx="11">
                  <c:v>2.5927344503971139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3.0093551256831326</c:v>
                </c:pt>
                <c:pt idx="1">
                  <c:v>4.0663284659094794</c:v>
                </c:pt>
                <c:pt idx="2">
                  <c:v>5.2049902583282064</c:v>
                </c:pt>
                <c:pt idx="3">
                  <c:v>6.0849012849635482</c:v>
                </c:pt>
                <c:pt idx="4">
                  <c:v>6.4978339401311596</c:v>
                </c:pt>
                <c:pt idx="5">
                  <c:v>6.5935832617386172</c:v>
                </c:pt>
                <c:pt idx="6">
                  <c:v>6.4028011080590161</c:v>
                </c:pt>
                <c:pt idx="7">
                  <c:v>5.9143051457276732</c:v>
                </c:pt>
                <c:pt idx="8">
                  <c:v>5.1515742213544096</c:v>
                </c:pt>
                <c:pt idx="9">
                  <c:v>4.1366094286633341</c:v>
                </c:pt>
                <c:pt idx="10">
                  <c:v>3.0888582969975227</c:v>
                </c:pt>
                <c:pt idx="11">
                  <c:v>2.5291531100506428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2.9375496182315883</c:v>
                </c:pt>
                <c:pt idx="1">
                  <c:v>3.9732743395604562</c:v>
                </c:pt>
                <c:pt idx="2">
                  <c:v>5.089611856984587</c:v>
                </c:pt>
                <c:pt idx="3">
                  <c:v>5.9527108954990249</c:v>
                </c:pt>
                <c:pt idx="4">
                  <c:v>6.6248812032364803</c:v>
                </c:pt>
                <c:pt idx="5">
                  <c:v>6.720560721609516</c:v>
                </c:pt>
                <c:pt idx="6">
                  <c:v>6.522458513229652</c:v>
                </c:pt>
                <c:pt idx="7">
                  <c:v>6.0202930996198223</c:v>
                </c:pt>
                <c:pt idx="8">
                  <c:v>5.2398655197947628</c:v>
                </c:pt>
                <c:pt idx="9">
                  <c:v>4.2030045630454405</c:v>
                </c:pt>
                <c:pt idx="10">
                  <c:v>3.1331411168058061</c:v>
                </c:pt>
                <c:pt idx="11">
                  <c:v>2.563472931402317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2.9751482215351936</c:v>
                </c:pt>
                <c:pt idx="1">
                  <c:v>4.0235529023222156</c:v>
                </c:pt>
                <c:pt idx="2">
                  <c:v>5.1527206374974686</c:v>
                </c:pt>
                <c:pt idx="3">
                  <c:v>6.0255631463202102</c:v>
                </c:pt>
                <c:pt idx="4">
                  <c:v>6.434587232524688</c:v>
                </c:pt>
                <c:pt idx="5">
                  <c:v>6.5291854570376939</c:v>
                </c:pt>
                <c:pt idx="6">
                  <c:v>6.3407287294122492</c:v>
                </c:pt>
                <c:pt idx="7">
                  <c:v>5.8575002023989899</c:v>
                </c:pt>
                <c:pt idx="8">
                  <c:v>5.1017395494408282</c:v>
                </c:pt>
                <c:pt idx="9">
                  <c:v>4.0980434060590207</c:v>
                </c:pt>
                <c:pt idx="10">
                  <c:v>3.0682343870496012</c:v>
                </c:pt>
                <c:pt idx="11">
                  <c:v>2.5122070026565191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2.9177355145142485</c:v>
                </c:pt>
                <c:pt idx="1">
                  <c:v>3.9376701357668833</c:v>
                </c:pt>
                <c:pt idx="2">
                  <c:v>5.0398992758733554</c:v>
                </c:pt>
                <c:pt idx="3">
                  <c:v>5.9033645267891393</c:v>
                </c:pt>
                <c:pt idx="4">
                  <c:v>6.5599869456478741</c:v>
                </c:pt>
                <c:pt idx="5">
                  <c:v>6.6545994160088666</c:v>
                </c:pt>
                <c:pt idx="6">
                  <c:v>6.45893304581167</c:v>
                </c:pt>
                <c:pt idx="7">
                  <c:v>5.9621968359497073</c:v>
                </c:pt>
                <c:pt idx="8">
                  <c:v>5.1889344215140838</c:v>
                </c:pt>
                <c:pt idx="9">
                  <c:v>4.1640036486716534</c:v>
                </c:pt>
                <c:pt idx="10">
                  <c:v>3.1128460209003488</c:v>
                </c:pt>
                <c:pt idx="11">
                  <c:v>2.5464926490995694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2.9556222866488095</c:v>
                </c:pt>
                <c:pt idx="1">
                  <c:v>3.9881623995596334</c:v>
                </c:pt>
                <c:pt idx="2">
                  <c:v>5.1025272939791106</c:v>
                </c:pt>
                <c:pt idx="3">
                  <c:v>5.9652146287164358</c:v>
                </c:pt>
                <c:pt idx="4">
                  <c:v>6.3701102146648676</c:v>
                </c:pt>
                <c:pt idx="5">
                  <c:v>6.4639046656689034</c:v>
                </c:pt>
                <c:pt idx="6">
                  <c:v>6.2771348277961829</c:v>
                </c:pt>
                <c:pt idx="7">
                  <c:v>5.7985235071269434</c:v>
                </c:pt>
                <c:pt idx="8">
                  <c:v>5.0505029555683834</c:v>
                </c:pt>
                <c:pt idx="9">
                  <c:v>4.0564632460531191</c:v>
                </c:pt>
                <c:pt idx="10">
                  <c:v>3.0341054134494834</c:v>
                </c:pt>
                <c:pt idx="11">
                  <c:v>2.4842090605951141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5714648"/>
        <c:axId val="655715824"/>
      </c:lineChart>
      <c:dateAx>
        <c:axId val="655714648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15824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6557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1464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46402</c:v>
                </c:pt>
                <c:pt idx="1">
                  <c:v>46433</c:v>
                </c:pt>
                <c:pt idx="2">
                  <c:v>46461</c:v>
                </c:pt>
                <c:pt idx="3">
                  <c:v>46492</c:v>
                </c:pt>
                <c:pt idx="4">
                  <c:v>46522</c:v>
                </c:pt>
                <c:pt idx="5">
                  <c:v>46553</c:v>
                </c:pt>
                <c:pt idx="6">
                  <c:v>46583</c:v>
                </c:pt>
                <c:pt idx="7">
                  <c:v>46614</c:v>
                </c:pt>
                <c:pt idx="8">
                  <c:v>46645</c:v>
                </c:pt>
                <c:pt idx="9">
                  <c:v>46675</c:v>
                </c:pt>
                <c:pt idx="10">
                  <c:v>46706</c:v>
                </c:pt>
                <c:pt idx="11">
                  <c:v>46736</c:v>
                </c:pt>
                <c:pt idx="12">
                  <c:v>46767</c:v>
                </c:pt>
                <c:pt idx="13">
                  <c:v>46798</c:v>
                </c:pt>
                <c:pt idx="14">
                  <c:v>46826</c:v>
                </c:pt>
                <c:pt idx="15">
                  <c:v>46857</c:v>
                </c:pt>
                <c:pt idx="16">
                  <c:v>46887</c:v>
                </c:pt>
                <c:pt idx="17">
                  <c:v>46918</c:v>
                </c:pt>
                <c:pt idx="18">
                  <c:v>46948</c:v>
                </c:pt>
                <c:pt idx="19">
                  <c:v>46979</c:v>
                </c:pt>
                <c:pt idx="20">
                  <c:v>47010</c:v>
                </c:pt>
                <c:pt idx="21">
                  <c:v>47040</c:v>
                </c:pt>
                <c:pt idx="22">
                  <c:v>47071</c:v>
                </c:pt>
                <c:pt idx="23">
                  <c:v>47101</c:v>
                </c:pt>
                <c:pt idx="24">
                  <c:v>47133</c:v>
                </c:pt>
                <c:pt idx="25">
                  <c:v>47164</c:v>
                </c:pt>
                <c:pt idx="26">
                  <c:v>47192</c:v>
                </c:pt>
                <c:pt idx="27">
                  <c:v>47223</c:v>
                </c:pt>
                <c:pt idx="28">
                  <c:v>47253</c:v>
                </c:pt>
                <c:pt idx="29">
                  <c:v>47284</c:v>
                </c:pt>
                <c:pt idx="30">
                  <c:v>47314</c:v>
                </c:pt>
                <c:pt idx="31">
                  <c:v>47345</c:v>
                </c:pt>
                <c:pt idx="32">
                  <c:v>47376</c:v>
                </c:pt>
                <c:pt idx="33">
                  <c:v>47406</c:v>
                </c:pt>
                <c:pt idx="34">
                  <c:v>47437</c:v>
                </c:pt>
                <c:pt idx="35">
                  <c:v>47467</c:v>
                </c:pt>
                <c:pt idx="36">
                  <c:v>47498</c:v>
                </c:pt>
                <c:pt idx="37">
                  <c:v>47529</c:v>
                </c:pt>
                <c:pt idx="38">
                  <c:v>47557</c:v>
                </c:pt>
                <c:pt idx="39">
                  <c:v>47588</c:v>
                </c:pt>
                <c:pt idx="40">
                  <c:v>47618</c:v>
                </c:pt>
                <c:pt idx="41">
                  <c:v>47649</c:v>
                </c:pt>
                <c:pt idx="42">
                  <c:v>47679</c:v>
                </c:pt>
                <c:pt idx="43">
                  <c:v>47710</c:v>
                </c:pt>
                <c:pt idx="44">
                  <c:v>47741</c:v>
                </c:pt>
                <c:pt idx="45">
                  <c:v>47771</c:v>
                </c:pt>
                <c:pt idx="46">
                  <c:v>47802</c:v>
                </c:pt>
                <c:pt idx="47">
                  <c:v>47832</c:v>
                </c:pt>
                <c:pt idx="48">
                  <c:v>47863</c:v>
                </c:pt>
                <c:pt idx="49">
                  <c:v>47894</c:v>
                </c:pt>
                <c:pt idx="50">
                  <c:v>47922</c:v>
                </c:pt>
                <c:pt idx="51">
                  <c:v>47953</c:v>
                </c:pt>
                <c:pt idx="52">
                  <c:v>47983</c:v>
                </c:pt>
                <c:pt idx="53">
                  <c:v>48014</c:v>
                </c:pt>
                <c:pt idx="54">
                  <c:v>48044</c:v>
                </c:pt>
                <c:pt idx="55">
                  <c:v>48075</c:v>
                </c:pt>
                <c:pt idx="56">
                  <c:v>48106</c:v>
                </c:pt>
                <c:pt idx="57">
                  <c:v>48136</c:v>
                </c:pt>
                <c:pt idx="58">
                  <c:v>48167</c:v>
                </c:pt>
                <c:pt idx="59">
                  <c:v>48197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2.6714039493363373E-2</c:v>
                </c:pt>
                <c:pt idx="1">
                  <c:v>2.7126982186193804E-2</c:v>
                </c:pt>
                <c:pt idx="2">
                  <c:v>2.7499812091007936E-2</c:v>
                </c:pt>
                <c:pt idx="3">
                  <c:v>2.7912421398722853E-2</c:v>
                </c:pt>
                <c:pt idx="4">
                  <c:v>2.8311554047025789E-2</c:v>
                </c:pt>
                <c:pt idx="5">
                  <c:v>2.8723818951427726E-2</c:v>
                </c:pt>
                <c:pt idx="6">
                  <c:v>2.9122618445330595E-2</c:v>
                </c:pt>
                <c:pt idx="7">
                  <c:v>2.953453923389171E-2</c:v>
                </c:pt>
                <c:pt idx="8">
                  <c:v>2.9946285254001892E-2</c:v>
                </c:pt>
                <c:pt idx="9">
                  <c:v>3.0344582811429599E-2</c:v>
                </c:pt>
                <c:pt idx="10">
                  <c:v>3.0755985148809506E-2</c:v>
                </c:pt>
                <c:pt idx="11">
                  <c:v>3.115395024888401E-2</c:v>
                </c:pt>
                <c:pt idx="12">
                  <c:v>3.1565009190404281E-2</c:v>
                </c:pt>
                <c:pt idx="13">
                  <c:v>3.1975893729135341E-2</c:v>
                </c:pt>
                <c:pt idx="14">
                  <c:v>3.2346865406620795E-2</c:v>
                </c:pt>
                <c:pt idx="15">
                  <c:v>3.2757418221866286E-2</c:v>
                </c:pt>
                <c:pt idx="16">
                  <c:v>3.315456154692753E-2</c:v>
                </c:pt>
                <c:pt idx="17">
                  <c:v>3.3564771675405947E-2</c:v>
                </c:pt>
                <c:pt idx="18">
                  <c:v>3.3961583506547099E-2</c:v>
                </c:pt>
                <c:pt idx="19">
                  <c:v>3.4371451234297856E-2</c:v>
                </c:pt>
                <c:pt idx="20">
                  <c:v>3.4781145064663677E-2</c:v>
                </c:pt>
                <c:pt idx="21">
                  <c:v>3.5177457461039063E-2</c:v>
                </c:pt>
                <c:pt idx="22">
                  <c:v>3.5586809321629165E-2</c:v>
                </c:pt>
                <c:pt idx="23">
                  <c:v>3.5982790917657326E-2</c:v>
                </c:pt>
                <c:pt idx="24">
                  <c:v>3.6404992080954046E-2</c:v>
                </c:pt>
                <c:pt idx="25">
                  <c:v>3.6813823127033185E-2</c:v>
                </c:pt>
                <c:pt idx="26">
                  <c:v>3.7182940785829843E-2</c:v>
                </c:pt>
                <c:pt idx="27">
                  <c:v>3.7591441766289924E-2</c:v>
                </c:pt>
                <c:pt idx="28">
                  <c:v>3.7986600273664295E-2</c:v>
                </c:pt>
                <c:pt idx="29">
                  <c:v>3.8394760280015539E-2</c:v>
                </c:pt>
                <c:pt idx="30">
                  <c:v>3.8789588950189136E-2</c:v>
                </c:pt>
                <c:pt idx="31">
                  <c:v>3.9197408267041212E-2</c:v>
                </c:pt>
                <c:pt idx="32">
                  <c:v>3.9605054555601815E-2</c:v>
                </c:pt>
                <c:pt idx="33">
                  <c:v>3.9999386287052907E-2</c:v>
                </c:pt>
                <c:pt idx="34">
                  <c:v>4.0406692314912562E-2</c:v>
                </c:pt>
                <c:pt idx="35">
                  <c:v>4.0800694899269407E-2</c:v>
                </c:pt>
                <c:pt idx="36">
                  <c:v>4.1207660950442371E-2</c:v>
                </c:pt>
                <c:pt idx="37">
                  <c:v>4.1614454335344608E-2</c:v>
                </c:pt>
                <c:pt idx="38">
                  <c:v>4.1981732269075756E-2</c:v>
                </c:pt>
                <c:pt idx="39">
                  <c:v>4.2388197233444114E-2</c:v>
                </c:pt>
                <c:pt idx="40">
                  <c:v>4.2781386225154372E-2</c:v>
                </c:pt>
                <c:pt idx="41">
                  <c:v>4.3187511914868359E-2</c:v>
                </c:pt>
                <c:pt idx="42">
                  <c:v>4.35803727133246E-2</c:v>
                </c:pt>
                <c:pt idx="43">
                  <c:v>4.3986159411575132E-2</c:v>
                </c:pt>
                <c:pt idx="44">
                  <c:v>4.4391773943927348E-2</c:v>
                </c:pt>
                <c:pt idx="45">
                  <c:v>4.4784140280461071E-2</c:v>
                </c:pt>
                <c:pt idx="46">
                  <c:v>4.5189416248010872E-2</c:v>
                </c:pt>
                <c:pt idx="47">
                  <c:v>4.5581455077957633E-2</c:v>
                </c:pt>
                <c:pt idx="48">
                  <c:v>4.5986392763303741E-2</c:v>
                </c:pt>
                <c:pt idx="49">
                  <c:v>4.6391158642967834E-2</c:v>
                </c:pt>
                <c:pt idx="50">
                  <c:v>4.6756606021035818E-2</c:v>
                </c:pt>
                <c:pt idx="51">
                  <c:v>4.7161045117051992E-2</c:v>
                </c:pt>
                <c:pt idx="52">
                  <c:v>4.7552274409391804E-2</c:v>
                </c:pt>
                <c:pt idx="53">
                  <c:v>4.7956375921737626E-2</c:v>
                </c:pt>
                <c:pt idx="54">
                  <c:v>4.834727865657662E-2</c:v>
                </c:pt>
                <c:pt idx="55">
                  <c:v>4.8751042867031691E-2</c:v>
                </c:pt>
                <c:pt idx="56">
                  <c:v>4.9154635769683042E-2</c:v>
                </c:pt>
                <c:pt idx="57">
                  <c:v>4.9545046507054935E-2</c:v>
                </c:pt>
                <c:pt idx="58">
                  <c:v>4.9948302532350053E-2</c:v>
                </c:pt>
                <c:pt idx="59">
                  <c:v>5.0338387395465478E-2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46402</c:v>
                </c:pt>
                <c:pt idx="1">
                  <c:v>46433</c:v>
                </c:pt>
                <c:pt idx="2">
                  <c:v>46461</c:v>
                </c:pt>
                <c:pt idx="3">
                  <c:v>46492</c:v>
                </c:pt>
                <c:pt idx="4">
                  <c:v>46522</c:v>
                </c:pt>
                <c:pt idx="5">
                  <c:v>46553</c:v>
                </c:pt>
                <c:pt idx="6">
                  <c:v>46583</c:v>
                </c:pt>
                <c:pt idx="7">
                  <c:v>46614</c:v>
                </c:pt>
                <c:pt idx="8">
                  <c:v>46645</c:v>
                </c:pt>
                <c:pt idx="9">
                  <c:v>46675</c:v>
                </c:pt>
                <c:pt idx="10">
                  <c:v>46706</c:v>
                </c:pt>
                <c:pt idx="11">
                  <c:v>46736</c:v>
                </c:pt>
                <c:pt idx="12">
                  <c:v>46767</c:v>
                </c:pt>
                <c:pt idx="13">
                  <c:v>46798</c:v>
                </c:pt>
                <c:pt idx="14">
                  <c:v>46826</c:v>
                </c:pt>
                <c:pt idx="15">
                  <c:v>46857</c:v>
                </c:pt>
                <c:pt idx="16">
                  <c:v>46887</c:v>
                </c:pt>
                <c:pt idx="17">
                  <c:v>46918</c:v>
                </c:pt>
                <c:pt idx="18">
                  <c:v>46948</c:v>
                </c:pt>
                <c:pt idx="19">
                  <c:v>46979</c:v>
                </c:pt>
                <c:pt idx="20">
                  <c:v>47010</c:v>
                </c:pt>
                <c:pt idx="21">
                  <c:v>47040</c:v>
                </c:pt>
                <c:pt idx="22">
                  <c:v>47071</c:v>
                </c:pt>
                <c:pt idx="23">
                  <c:v>47101</c:v>
                </c:pt>
                <c:pt idx="24">
                  <c:v>47133</c:v>
                </c:pt>
                <c:pt idx="25">
                  <c:v>47164</c:v>
                </c:pt>
                <c:pt idx="26">
                  <c:v>47192</c:v>
                </c:pt>
                <c:pt idx="27">
                  <c:v>47223</c:v>
                </c:pt>
                <c:pt idx="28">
                  <c:v>47253</c:v>
                </c:pt>
                <c:pt idx="29">
                  <c:v>47284</c:v>
                </c:pt>
                <c:pt idx="30">
                  <c:v>47314</c:v>
                </c:pt>
                <c:pt idx="31">
                  <c:v>47345</c:v>
                </c:pt>
                <c:pt idx="32">
                  <c:v>47376</c:v>
                </c:pt>
                <c:pt idx="33">
                  <c:v>47406</c:v>
                </c:pt>
                <c:pt idx="34">
                  <c:v>47437</c:v>
                </c:pt>
                <c:pt idx="35">
                  <c:v>47467</c:v>
                </c:pt>
                <c:pt idx="36">
                  <c:v>47498</c:v>
                </c:pt>
                <c:pt idx="37">
                  <c:v>47529</c:v>
                </c:pt>
                <c:pt idx="38">
                  <c:v>47557</c:v>
                </c:pt>
                <c:pt idx="39">
                  <c:v>47588</c:v>
                </c:pt>
                <c:pt idx="40">
                  <c:v>47618</c:v>
                </c:pt>
                <c:pt idx="41">
                  <c:v>47649</c:v>
                </c:pt>
                <c:pt idx="42">
                  <c:v>47679</c:v>
                </c:pt>
                <c:pt idx="43">
                  <c:v>47710</c:v>
                </c:pt>
                <c:pt idx="44">
                  <c:v>47741</c:v>
                </c:pt>
                <c:pt idx="45">
                  <c:v>47771</c:v>
                </c:pt>
                <c:pt idx="46">
                  <c:v>47802</c:v>
                </c:pt>
                <c:pt idx="47">
                  <c:v>47832</c:v>
                </c:pt>
                <c:pt idx="48">
                  <c:v>47863</c:v>
                </c:pt>
                <c:pt idx="49">
                  <c:v>47894</c:v>
                </c:pt>
                <c:pt idx="50">
                  <c:v>47922</c:v>
                </c:pt>
                <c:pt idx="51">
                  <c:v>47953</c:v>
                </c:pt>
                <c:pt idx="52">
                  <c:v>47983</c:v>
                </c:pt>
                <c:pt idx="53">
                  <c:v>48014</c:v>
                </c:pt>
                <c:pt idx="54">
                  <c:v>48044</c:v>
                </c:pt>
                <c:pt idx="55">
                  <c:v>48075</c:v>
                </c:pt>
                <c:pt idx="56">
                  <c:v>48106</c:v>
                </c:pt>
                <c:pt idx="57">
                  <c:v>48136</c:v>
                </c:pt>
                <c:pt idx="58">
                  <c:v>48167</c:v>
                </c:pt>
                <c:pt idx="59">
                  <c:v>48197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2.5855388601095756E-2</c:v>
                </c:pt>
                <c:pt idx="1">
                  <c:v>2.7664494654590643E-2</c:v>
                </c:pt>
                <c:pt idx="2">
                  <c:v>2.9259752891232414E-2</c:v>
                </c:pt>
                <c:pt idx="3">
                  <c:v>3.1090264073066604E-2</c:v>
                </c:pt>
                <c:pt idx="4">
                  <c:v>3.3178484110030569E-2</c:v>
                </c:pt>
                <c:pt idx="5">
                  <c:v>3.5505104271914965E-2</c:v>
                </c:pt>
                <c:pt idx="6">
                  <c:v>3.7356847597355428E-2</c:v>
                </c:pt>
                <c:pt idx="7">
                  <c:v>3.8913123622364681E-2</c:v>
                </c:pt>
                <c:pt idx="8">
                  <c:v>4.0284120655994682E-2</c:v>
                </c:pt>
                <c:pt idx="9">
                  <c:v>4.1230144719028451E-2</c:v>
                </c:pt>
                <c:pt idx="10">
                  <c:v>4.1745589309688511E-2</c:v>
                </c:pt>
                <c:pt idx="11">
                  <c:v>4.2532363288761178E-2</c:v>
                </c:pt>
                <c:pt idx="12">
                  <c:v>4.3709988643088317E-2</c:v>
                </c:pt>
                <c:pt idx="13">
                  <c:v>4.4922802918299483E-2</c:v>
                </c:pt>
                <c:pt idx="14">
                  <c:v>4.6004166187344424E-2</c:v>
                </c:pt>
                <c:pt idx="15">
                  <c:v>4.7345454272587142E-2</c:v>
                </c:pt>
                <c:pt idx="16">
                  <c:v>9.2793176441345639E-3</c:v>
                </c:pt>
                <c:pt idx="17">
                  <c:v>1.1933584854867889E-2</c:v>
                </c:pt>
                <c:pt idx="18">
                  <c:v>1.435878733464243E-2</c:v>
                </c:pt>
                <c:pt idx="19">
                  <c:v>1.6683500519842086E-2</c:v>
                </c:pt>
                <c:pt idx="20">
                  <c:v>1.8868096024736436E-2</c:v>
                </c:pt>
                <c:pt idx="21">
                  <c:v>2.0734244947494321E-2</c:v>
                </c:pt>
                <c:pt idx="22">
                  <c:v>2.2339612194319278E-2</c:v>
                </c:pt>
                <c:pt idx="23">
                  <c:v>2.3965787101426023E-2</c:v>
                </c:pt>
                <c:pt idx="24">
                  <c:v>2.5855388601095756E-2</c:v>
                </c:pt>
                <c:pt idx="25">
                  <c:v>2.7664494654590643E-2</c:v>
                </c:pt>
                <c:pt idx="26">
                  <c:v>2.9259752891232414E-2</c:v>
                </c:pt>
                <c:pt idx="27">
                  <c:v>3.1090264073066604E-2</c:v>
                </c:pt>
                <c:pt idx="28">
                  <c:v>3.3178484110030569E-2</c:v>
                </c:pt>
                <c:pt idx="29">
                  <c:v>3.5505104271914965E-2</c:v>
                </c:pt>
                <c:pt idx="30">
                  <c:v>3.7356847597355428E-2</c:v>
                </c:pt>
                <c:pt idx="31">
                  <c:v>3.8913123622364681E-2</c:v>
                </c:pt>
                <c:pt idx="32">
                  <c:v>4.0284120655994682E-2</c:v>
                </c:pt>
                <c:pt idx="33">
                  <c:v>4.1230144719028451E-2</c:v>
                </c:pt>
                <c:pt idx="34">
                  <c:v>4.1745589309688511E-2</c:v>
                </c:pt>
                <c:pt idx="35">
                  <c:v>4.2532363288761178E-2</c:v>
                </c:pt>
                <c:pt idx="36">
                  <c:v>4.3709988643088317E-2</c:v>
                </c:pt>
                <c:pt idx="37">
                  <c:v>4.4922802918299483E-2</c:v>
                </c:pt>
                <c:pt idx="38">
                  <c:v>4.6004166187344424E-2</c:v>
                </c:pt>
                <c:pt idx="39">
                  <c:v>4.7345454272587142E-2</c:v>
                </c:pt>
                <c:pt idx="40">
                  <c:v>9.3585410113166071E-3</c:v>
                </c:pt>
                <c:pt idx="41">
                  <c:v>1.2011722104569892E-2</c:v>
                </c:pt>
                <c:pt idx="42">
                  <c:v>1.4435023624107493E-2</c:v>
                </c:pt>
                <c:pt idx="43">
                  <c:v>1.6757189516313272E-2</c:v>
                </c:pt>
                <c:pt idx="44">
                  <c:v>1.8939088022945368E-2</c:v>
                </c:pt>
                <c:pt idx="45">
                  <c:v>2.0802186823025575E-2</c:v>
                </c:pt>
                <c:pt idx="46">
                  <c:v>2.2403941084313456E-2</c:v>
                </c:pt>
                <c:pt idx="47">
                  <c:v>2.4027333460572134E-2</c:v>
                </c:pt>
                <c:pt idx="48">
                  <c:v>2.5855388601095756E-2</c:v>
                </c:pt>
                <c:pt idx="49">
                  <c:v>2.7664494654590643E-2</c:v>
                </c:pt>
                <c:pt idx="50">
                  <c:v>2.9259752891232414E-2</c:v>
                </c:pt>
                <c:pt idx="51">
                  <c:v>3.1090264073066604E-2</c:v>
                </c:pt>
                <c:pt idx="52">
                  <c:v>3.3178484110030569E-2</c:v>
                </c:pt>
                <c:pt idx="53">
                  <c:v>3.5505104271914965E-2</c:v>
                </c:pt>
                <c:pt idx="54">
                  <c:v>3.7356847597355428E-2</c:v>
                </c:pt>
                <c:pt idx="55">
                  <c:v>3.8913123622364681E-2</c:v>
                </c:pt>
                <c:pt idx="56">
                  <c:v>4.0284120655994682E-2</c:v>
                </c:pt>
                <c:pt idx="57">
                  <c:v>4.1230144719028451E-2</c:v>
                </c:pt>
                <c:pt idx="58">
                  <c:v>4.1745589309688511E-2</c:v>
                </c:pt>
                <c:pt idx="59">
                  <c:v>4.2532363288761178E-2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46402</c:v>
                </c:pt>
                <c:pt idx="1">
                  <c:v>46433</c:v>
                </c:pt>
                <c:pt idx="2">
                  <c:v>46461</c:v>
                </c:pt>
                <c:pt idx="3">
                  <c:v>46492</c:v>
                </c:pt>
                <c:pt idx="4">
                  <c:v>46522</c:v>
                </c:pt>
                <c:pt idx="5">
                  <c:v>46553</c:v>
                </c:pt>
                <c:pt idx="6">
                  <c:v>46583</c:v>
                </c:pt>
                <c:pt idx="7">
                  <c:v>46614</c:v>
                </c:pt>
                <c:pt idx="8">
                  <c:v>46645</c:v>
                </c:pt>
                <c:pt idx="9">
                  <c:v>46675</c:v>
                </c:pt>
                <c:pt idx="10">
                  <c:v>46706</c:v>
                </c:pt>
                <c:pt idx="11">
                  <c:v>46736</c:v>
                </c:pt>
                <c:pt idx="12">
                  <c:v>46767</c:v>
                </c:pt>
                <c:pt idx="13">
                  <c:v>46798</c:v>
                </c:pt>
                <c:pt idx="14">
                  <c:v>46826</c:v>
                </c:pt>
                <c:pt idx="15">
                  <c:v>46857</c:v>
                </c:pt>
                <c:pt idx="16">
                  <c:v>46887</c:v>
                </c:pt>
                <c:pt idx="17">
                  <c:v>46918</c:v>
                </c:pt>
                <c:pt idx="18">
                  <c:v>46948</c:v>
                </c:pt>
                <c:pt idx="19">
                  <c:v>46979</c:v>
                </c:pt>
                <c:pt idx="20">
                  <c:v>47010</c:v>
                </c:pt>
                <c:pt idx="21">
                  <c:v>47040</c:v>
                </c:pt>
                <c:pt idx="22">
                  <c:v>47071</c:v>
                </c:pt>
                <c:pt idx="23">
                  <c:v>47101</c:v>
                </c:pt>
                <c:pt idx="24">
                  <c:v>47133</c:v>
                </c:pt>
                <c:pt idx="25">
                  <c:v>47164</c:v>
                </c:pt>
                <c:pt idx="26">
                  <c:v>47192</c:v>
                </c:pt>
                <c:pt idx="27">
                  <c:v>47223</c:v>
                </c:pt>
                <c:pt idx="28">
                  <c:v>47253</c:v>
                </c:pt>
                <c:pt idx="29">
                  <c:v>47284</c:v>
                </c:pt>
                <c:pt idx="30">
                  <c:v>47314</c:v>
                </c:pt>
                <c:pt idx="31">
                  <c:v>47345</c:v>
                </c:pt>
                <c:pt idx="32">
                  <c:v>47376</c:v>
                </c:pt>
                <c:pt idx="33">
                  <c:v>47406</c:v>
                </c:pt>
                <c:pt idx="34">
                  <c:v>47437</c:v>
                </c:pt>
                <c:pt idx="35">
                  <c:v>47467</c:v>
                </c:pt>
                <c:pt idx="36">
                  <c:v>47498</c:v>
                </c:pt>
                <c:pt idx="37">
                  <c:v>47529</c:v>
                </c:pt>
                <c:pt idx="38">
                  <c:v>47557</c:v>
                </c:pt>
                <c:pt idx="39">
                  <c:v>47588</c:v>
                </c:pt>
                <c:pt idx="40">
                  <c:v>47618</c:v>
                </c:pt>
                <c:pt idx="41">
                  <c:v>47649</c:v>
                </c:pt>
                <c:pt idx="42">
                  <c:v>47679</c:v>
                </c:pt>
                <c:pt idx="43">
                  <c:v>47710</c:v>
                </c:pt>
                <c:pt idx="44">
                  <c:v>47741</c:v>
                </c:pt>
                <c:pt idx="45">
                  <c:v>47771</c:v>
                </c:pt>
                <c:pt idx="46">
                  <c:v>47802</c:v>
                </c:pt>
                <c:pt idx="47">
                  <c:v>47832</c:v>
                </c:pt>
                <c:pt idx="48">
                  <c:v>47863</c:v>
                </c:pt>
                <c:pt idx="49">
                  <c:v>47894</c:v>
                </c:pt>
                <c:pt idx="50">
                  <c:v>47922</c:v>
                </c:pt>
                <c:pt idx="51">
                  <c:v>47953</c:v>
                </c:pt>
                <c:pt idx="52">
                  <c:v>47983</c:v>
                </c:pt>
                <c:pt idx="53">
                  <c:v>48014</c:v>
                </c:pt>
                <c:pt idx="54">
                  <c:v>48044</c:v>
                </c:pt>
                <c:pt idx="55">
                  <c:v>48075</c:v>
                </c:pt>
                <c:pt idx="56">
                  <c:v>48106</c:v>
                </c:pt>
                <c:pt idx="57">
                  <c:v>48136</c:v>
                </c:pt>
                <c:pt idx="58">
                  <c:v>48167</c:v>
                </c:pt>
                <c:pt idx="59">
                  <c:v>48197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3.3902012191825721E-3</c:v>
                </c:pt>
                <c:pt idx="1">
                  <c:v>7.1375559633766474E-4</c:v>
                </c:pt>
                <c:pt idx="2">
                  <c:v>1.51785874256228E-4</c:v>
                </c:pt>
                <c:pt idx="3">
                  <c:v>2.0766181774411289E-4</c:v>
                </c:pt>
                <c:pt idx="4">
                  <c:v>2.3514258613192452E-4</c:v>
                </c:pt>
                <c:pt idx="5">
                  <c:v>1.9334636636828085E-4</c:v>
                </c:pt>
                <c:pt idx="6">
                  <c:v>2.9397257958991657E-4</c:v>
                </c:pt>
                <c:pt idx="7">
                  <c:v>4.2526254746466657E-4</c:v>
                </c:pt>
                <c:pt idx="8">
                  <c:v>3.2626191140170655E-4</c:v>
                </c:pt>
                <c:pt idx="9">
                  <c:v>5.7321604524098965E-4</c:v>
                </c:pt>
                <c:pt idx="10">
                  <c:v>4.2027180834413105E-3</c:v>
                </c:pt>
                <c:pt idx="11">
                  <c:v>3.7093632892543603E-3</c:v>
                </c:pt>
                <c:pt idx="12">
                  <c:v>4.1207130953853305E-3</c:v>
                </c:pt>
                <c:pt idx="13">
                  <c:v>9.2738285952275476E-4</c:v>
                </c:pt>
                <c:pt idx="14">
                  <c:v>1.9034909402690129E-4</c:v>
                </c:pt>
                <c:pt idx="15">
                  <c:v>2.550720237548431E-4</c:v>
                </c:pt>
                <c:pt idx="16">
                  <c:v>2.8969363679565293E-4</c:v>
                </c:pt>
                <c:pt idx="17">
                  <c:v>2.4565346000720049E-4</c:v>
                </c:pt>
                <c:pt idx="18">
                  <c:v>3.6578641665395081E-4</c:v>
                </c:pt>
                <c:pt idx="19">
                  <c:v>5.1881195558126612E-4</c:v>
                </c:pt>
                <c:pt idx="20">
                  <c:v>3.9623130333094861E-4</c:v>
                </c:pt>
                <c:pt idx="21">
                  <c:v>7.2573147124618419E-4</c:v>
                </c:pt>
                <c:pt idx="22">
                  <c:v>5.1339302253773219E-3</c:v>
                </c:pt>
                <c:pt idx="23">
                  <c:v>4.4223299881776925E-3</c:v>
                </c:pt>
                <c:pt idx="24">
                  <c:v>4.8743379557340217E-3</c:v>
                </c:pt>
                <c:pt idx="25">
                  <c:v>1.223849850150896E-3</c:v>
                </c:pt>
                <c:pt idx="26">
                  <c:v>2.3614393616670288E-4</c:v>
                </c:pt>
                <c:pt idx="27">
                  <c:v>1.3710451591054295E-6</c:v>
                </c:pt>
                <c:pt idx="28">
                  <c:v>8.0547998873580057E-6</c:v>
                </c:pt>
                <c:pt idx="29">
                  <c:v>1.1054151834837583E-5</c:v>
                </c:pt>
                <c:pt idx="30">
                  <c:v>2.8167710136270646E-5</c:v>
                </c:pt>
                <c:pt idx="31">
                  <c:v>5.3827404286013519E-5</c:v>
                </c:pt>
                <c:pt idx="32">
                  <c:v>4.2756461626159297E-5</c:v>
                </c:pt>
                <c:pt idx="33">
                  <c:v>7.0421753161434053E-5</c:v>
                </c:pt>
                <c:pt idx="34">
                  <c:v>5.7618295349217276E-4</c:v>
                </c:pt>
                <c:pt idx="35">
                  <c:v>5.2489565262011815E-4</c:v>
                </c:pt>
                <c:pt idx="36">
                  <c:v>5.9299502837002836E-4</c:v>
                </c:pt>
                <c:pt idx="37">
                  <c:v>1.223859334027036E-4</c:v>
                </c:pt>
                <c:pt idx="38">
                  <c:v>2.408468245540328E-5</c:v>
                </c:pt>
                <c:pt idx="39">
                  <c:v>3.7976394972446361E-5</c:v>
                </c:pt>
                <c:pt idx="40">
                  <c:v>4.7996881277253856E-5</c:v>
                </c:pt>
                <c:pt idx="41">
                  <c:v>3.3449416613378952E-5</c:v>
                </c:pt>
                <c:pt idx="42">
                  <c:v>6.5519592124153983E-5</c:v>
                </c:pt>
                <c:pt idx="43">
                  <c:v>1.1467705171698609E-4</c:v>
                </c:pt>
                <c:pt idx="44">
                  <c:v>8.877278791851198E-5</c:v>
                </c:pt>
                <c:pt idx="45">
                  <c:v>1.4522836903598893E-4</c:v>
                </c:pt>
                <c:pt idx="46">
                  <c:v>1.186138837288366E-3</c:v>
                </c:pt>
                <c:pt idx="47">
                  <c:v>1.0781530105837781E-3</c:v>
                </c:pt>
                <c:pt idx="48">
                  <c:v>1.218245802298089E-3</c:v>
                </c:pt>
                <c:pt idx="49">
                  <c:v>2.5072618986006381E-4</c:v>
                </c:pt>
                <c:pt idx="50">
                  <c:v>4.8877937385925209E-5</c:v>
                </c:pt>
                <c:pt idx="51">
                  <c:v>7.4678642665220281E-5</c:v>
                </c:pt>
                <c:pt idx="52">
                  <c:v>8.8792305431142441E-5</c:v>
                </c:pt>
                <c:pt idx="53">
                  <c:v>6.3112902209531572E-5</c:v>
                </c:pt>
                <c:pt idx="54">
                  <c:v>1.1418933099146113E-4</c:v>
                </c:pt>
                <c:pt idx="55">
                  <c:v>1.8482261917191211E-4</c:v>
                </c:pt>
                <c:pt idx="56">
                  <c:v>1.4271760994757324E-4</c:v>
                </c:pt>
                <c:pt idx="57">
                  <c:v>2.339877174839819E-4</c:v>
                </c:pt>
                <c:pt idx="58">
                  <c:v>1.8703130119603725E-3</c:v>
                </c:pt>
                <c:pt idx="59">
                  <c:v>1.6877572786649711E-3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5719352"/>
        <c:axId val="655718960"/>
      </c:lineChart>
      <c:dateAx>
        <c:axId val="655719352"/>
        <c:scaling>
          <c:orientation val="minMax"/>
          <c:max val="48183"/>
          <c:min val="46388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18960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6557189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1935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44576</c:v>
                </c:pt>
                <c:pt idx="1">
                  <c:v>44607</c:v>
                </c:pt>
                <c:pt idx="2">
                  <c:v>44635</c:v>
                </c:pt>
                <c:pt idx="3">
                  <c:v>44666</c:v>
                </c:pt>
                <c:pt idx="4">
                  <c:v>44696</c:v>
                </c:pt>
                <c:pt idx="5">
                  <c:v>44727</c:v>
                </c:pt>
                <c:pt idx="6">
                  <c:v>44757</c:v>
                </c:pt>
                <c:pt idx="7">
                  <c:v>44788</c:v>
                </c:pt>
                <c:pt idx="8">
                  <c:v>44819</c:v>
                </c:pt>
                <c:pt idx="9">
                  <c:v>44849</c:v>
                </c:pt>
                <c:pt idx="10">
                  <c:v>44880</c:v>
                </c:pt>
                <c:pt idx="11">
                  <c:v>44910</c:v>
                </c:pt>
                <c:pt idx="12">
                  <c:v>44941</c:v>
                </c:pt>
                <c:pt idx="13">
                  <c:v>44972</c:v>
                </c:pt>
                <c:pt idx="14">
                  <c:v>45000</c:v>
                </c:pt>
                <c:pt idx="15">
                  <c:v>45031</c:v>
                </c:pt>
                <c:pt idx="16">
                  <c:v>45061</c:v>
                </c:pt>
                <c:pt idx="17">
                  <c:v>45092</c:v>
                </c:pt>
                <c:pt idx="18">
                  <c:v>45122</c:v>
                </c:pt>
                <c:pt idx="19">
                  <c:v>45153</c:v>
                </c:pt>
                <c:pt idx="20">
                  <c:v>45184</c:v>
                </c:pt>
                <c:pt idx="21">
                  <c:v>45214</c:v>
                </c:pt>
                <c:pt idx="22">
                  <c:v>45245</c:v>
                </c:pt>
                <c:pt idx="23">
                  <c:v>45275</c:v>
                </c:pt>
                <c:pt idx="24">
                  <c:v>45306</c:v>
                </c:pt>
                <c:pt idx="25">
                  <c:v>45337</c:v>
                </c:pt>
                <c:pt idx="26">
                  <c:v>45365</c:v>
                </c:pt>
                <c:pt idx="27">
                  <c:v>45396</c:v>
                </c:pt>
                <c:pt idx="28">
                  <c:v>45426</c:v>
                </c:pt>
                <c:pt idx="29">
                  <c:v>45457</c:v>
                </c:pt>
                <c:pt idx="30">
                  <c:v>45487</c:v>
                </c:pt>
                <c:pt idx="31">
                  <c:v>45518</c:v>
                </c:pt>
                <c:pt idx="32">
                  <c:v>45549</c:v>
                </c:pt>
                <c:pt idx="33">
                  <c:v>45579</c:v>
                </c:pt>
                <c:pt idx="34">
                  <c:v>45610</c:v>
                </c:pt>
                <c:pt idx="35">
                  <c:v>45640</c:v>
                </c:pt>
                <c:pt idx="36">
                  <c:v>45672</c:v>
                </c:pt>
                <c:pt idx="37">
                  <c:v>45703</c:v>
                </c:pt>
                <c:pt idx="38">
                  <c:v>45731</c:v>
                </c:pt>
                <c:pt idx="39">
                  <c:v>45762</c:v>
                </c:pt>
                <c:pt idx="40">
                  <c:v>45792</c:v>
                </c:pt>
                <c:pt idx="41">
                  <c:v>45823</c:v>
                </c:pt>
                <c:pt idx="42">
                  <c:v>45853</c:v>
                </c:pt>
                <c:pt idx="43">
                  <c:v>45884</c:v>
                </c:pt>
                <c:pt idx="44">
                  <c:v>45915</c:v>
                </c:pt>
                <c:pt idx="45">
                  <c:v>45945</c:v>
                </c:pt>
                <c:pt idx="46">
                  <c:v>45976</c:v>
                </c:pt>
                <c:pt idx="47">
                  <c:v>46006</c:v>
                </c:pt>
                <c:pt idx="48">
                  <c:v>46037</c:v>
                </c:pt>
                <c:pt idx="49">
                  <c:v>46068</c:v>
                </c:pt>
                <c:pt idx="50">
                  <c:v>46096</c:v>
                </c:pt>
                <c:pt idx="51">
                  <c:v>46127</c:v>
                </c:pt>
                <c:pt idx="52">
                  <c:v>46157</c:v>
                </c:pt>
                <c:pt idx="53">
                  <c:v>46188</c:v>
                </c:pt>
                <c:pt idx="54">
                  <c:v>46218</c:v>
                </c:pt>
                <c:pt idx="55">
                  <c:v>46249</c:v>
                </c:pt>
                <c:pt idx="56">
                  <c:v>46280</c:v>
                </c:pt>
                <c:pt idx="57">
                  <c:v>46310</c:v>
                </c:pt>
                <c:pt idx="58">
                  <c:v>46341</c:v>
                </c:pt>
                <c:pt idx="59">
                  <c:v>46371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1.2716901176439532E-2</c:v>
                </c:pt>
                <c:pt idx="1">
                  <c:v>1.3140296114315997E-2</c:v>
                </c:pt>
                <c:pt idx="2">
                  <c:v>2.8842650725260377E-3</c:v>
                </c:pt>
                <c:pt idx="3">
                  <c:v>3.3073181867724344E-3</c:v>
                </c:pt>
                <c:pt idx="4">
                  <c:v>3.7165535256382665E-3</c:v>
                </c:pt>
                <c:pt idx="5">
                  <c:v>4.139253519168884E-3</c:v>
                </c:pt>
                <c:pt idx="6">
                  <c:v>4.5481472709599791E-3</c:v>
                </c:pt>
                <c:pt idx="7">
                  <c:v>4.9704944385231542E-3</c:v>
                </c:pt>
                <c:pt idx="8">
                  <c:v>5.3926624139641888E-3</c:v>
                </c:pt>
                <c:pt idx="9">
                  <c:v>5.8010415244590385E-3</c:v>
                </c:pt>
                <c:pt idx="10">
                  <c:v>6.2228571180060754E-3</c:v>
                </c:pt>
                <c:pt idx="11">
                  <c:v>6.6308953561163841E-3</c:v>
                </c:pt>
                <c:pt idx="12">
                  <c:v>7.0523588619011424E-3</c:v>
                </c:pt>
                <c:pt idx="13">
                  <c:v>7.4736435504810794E-3</c:v>
                </c:pt>
                <c:pt idx="14">
                  <c:v>7.8540051189744942E-3</c:v>
                </c:pt>
                <c:pt idx="15">
                  <c:v>8.2749496876127759E-3</c:v>
                </c:pt>
                <c:pt idx="16">
                  <c:v>8.6821453502597956E-3</c:v>
                </c:pt>
                <c:pt idx="17">
                  <c:v>9.1027385581766707E-3</c:v>
                </c:pt>
                <c:pt idx="18">
                  <c:v>9.5095943362584201E-3</c:v>
                </c:pt>
                <c:pt idx="19">
                  <c:v>9.9298364767334002E-3</c:v>
                </c:pt>
                <c:pt idx="20">
                  <c:v>1.0349900318200489E-2</c:v>
                </c:pt>
                <c:pt idx="21">
                  <c:v>1.0756244020017514E-2</c:v>
                </c:pt>
                <c:pt idx="22">
                  <c:v>1.1175957235902589E-2</c:v>
                </c:pt>
                <c:pt idx="23">
                  <c:v>1.1581961764282611E-2</c:v>
                </c:pt>
                <c:pt idx="24">
                  <c:v>1.2001324647251566E-2</c:v>
                </c:pt>
                <c:pt idx="25">
                  <c:v>1.2420509604261221E-2</c:v>
                </c:pt>
                <c:pt idx="26">
                  <c:v>1.2798975406743907E-2</c:v>
                </c:pt>
                <c:pt idx="27">
                  <c:v>1.3217821939009E-2</c:v>
                </c:pt>
                <c:pt idx="28">
                  <c:v>1.3622988091419153E-2</c:v>
                </c:pt>
                <c:pt idx="29">
                  <c:v>1.404148501418534E-2</c:v>
                </c:pt>
                <c:pt idx="30">
                  <c:v>1.4446312976054143E-2</c:v>
                </c:pt>
                <c:pt idx="31">
                  <c:v>1.4864460581139105E-2</c:v>
                </c:pt>
                <c:pt idx="32">
                  <c:v>1.5282430775879097E-2</c:v>
                </c:pt>
                <c:pt idx="33">
                  <c:v>1.5686749213730478E-2</c:v>
                </c:pt>
                <c:pt idx="34">
                  <c:v>1.6104370530446888E-2</c:v>
                </c:pt>
                <c:pt idx="35">
                  <c:v>1.65083514853408E-2</c:v>
                </c:pt>
                <c:pt idx="36">
                  <c:v>1.6939081677896928E-2</c:v>
                </c:pt>
                <c:pt idx="37">
                  <c:v>1.7356171658951425E-2</c:v>
                </c:pt>
                <c:pt idx="38">
                  <c:v>1.7732745989083365E-2</c:v>
                </c:pt>
                <c:pt idx="39">
                  <c:v>1.814949923675091E-2</c:v>
                </c:pt>
                <c:pt idx="40">
                  <c:v>1.8552640475497206E-2</c:v>
                </c:pt>
                <c:pt idx="41">
                  <c:v>1.8969045860922074E-2</c:v>
                </c:pt>
                <c:pt idx="42">
                  <c:v>1.9371850599314122E-2</c:v>
                </c:pt>
                <c:pt idx="43">
                  <c:v>1.9787908412855493E-2</c:v>
                </c:pt>
                <c:pt idx="44">
                  <c:v>2.020378970270198E-2</c:v>
                </c:pt>
                <c:pt idx="45">
                  <c:v>2.0606087463543421E-2</c:v>
                </c:pt>
                <c:pt idx="46">
                  <c:v>2.1021621618966813E-2</c:v>
                </c:pt>
                <c:pt idx="47">
                  <c:v>2.1423583583501715E-2</c:v>
                </c:pt>
                <c:pt idx="48">
                  <c:v>2.1838770894253678E-2</c:v>
                </c:pt>
                <c:pt idx="49">
                  <c:v>2.2253782050644988E-2</c:v>
                </c:pt>
                <c:pt idx="50">
                  <c:v>2.2628479490799713E-2</c:v>
                </c:pt>
                <c:pt idx="51">
                  <c:v>2.3043155592122333E-2</c:v>
                </c:pt>
                <c:pt idx="52">
                  <c:v>2.3444287528348928E-2</c:v>
                </c:pt>
                <c:pt idx="53">
                  <c:v>2.3858617501214319E-2</c:v>
                </c:pt>
                <c:pt idx="54">
                  <c:v>2.4259414614243413E-2</c:v>
                </c:pt>
                <c:pt idx="55">
                  <c:v>2.4673398747563691E-2</c:v>
                </c:pt>
                <c:pt idx="56">
                  <c:v>2.5087207237003639E-2</c:v>
                </c:pt>
                <c:pt idx="57">
                  <c:v>2.5487499899316868E-2</c:v>
                </c:pt>
                <c:pt idx="58">
                  <c:v>2.5900962984491738E-2</c:v>
                </c:pt>
                <c:pt idx="59">
                  <c:v>2.630092152414587E-2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44576</c:v>
                </c:pt>
                <c:pt idx="1">
                  <c:v>44607</c:v>
                </c:pt>
                <c:pt idx="2">
                  <c:v>44635</c:v>
                </c:pt>
                <c:pt idx="3">
                  <c:v>44666</c:v>
                </c:pt>
                <c:pt idx="4">
                  <c:v>44696</c:v>
                </c:pt>
                <c:pt idx="5">
                  <c:v>44727</c:v>
                </c:pt>
                <c:pt idx="6">
                  <c:v>44757</c:v>
                </c:pt>
                <c:pt idx="7">
                  <c:v>44788</c:v>
                </c:pt>
                <c:pt idx="8">
                  <c:v>44819</c:v>
                </c:pt>
                <c:pt idx="9">
                  <c:v>44849</c:v>
                </c:pt>
                <c:pt idx="10">
                  <c:v>44880</c:v>
                </c:pt>
                <c:pt idx="11">
                  <c:v>44910</c:v>
                </c:pt>
                <c:pt idx="12">
                  <c:v>44941</c:v>
                </c:pt>
                <c:pt idx="13">
                  <c:v>44972</c:v>
                </c:pt>
                <c:pt idx="14">
                  <c:v>45000</c:v>
                </c:pt>
                <c:pt idx="15">
                  <c:v>45031</c:v>
                </c:pt>
                <c:pt idx="16">
                  <c:v>45061</c:v>
                </c:pt>
                <c:pt idx="17">
                  <c:v>45092</c:v>
                </c:pt>
                <c:pt idx="18">
                  <c:v>45122</c:v>
                </c:pt>
                <c:pt idx="19">
                  <c:v>45153</c:v>
                </c:pt>
                <c:pt idx="20">
                  <c:v>45184</c:v>
                </c:pt>
                <c:pt idx="21">
                  <c:v>45214</c:v>
                </c:pt>
                <c:pt idx="22">
                  <c:v>45245</c:v>
                </c:pt>
                <c:pt idx="23">
                  <c:v>45275</c:v>
                </c:pt>
                <c:pt idx="24">
                  <c:v>45306</c:v>
                </c:pt>
                <c:pt idx="25">
                  <c:v>45337</c:v>
                </c:pt>
                <c:pt idx="26">
                  <c:v>45365</c:v>
                </c:pt>
                <c:pt idx="27">
                  <c:v>45396</c:v>
                </c:pt>
                <c:pt idx="28">
                  <c:v>45426</c:v>
                </c:pt>
                <c:pt idx="29">
                  <c:v>45457</c:v>
                </c:pt>
                <c:pt idx="30">
                  <c:v>45487</c:v>
                </c:pt>
                <c:pt idx="31">
                  <c:v>45518</c:v>
                </c:pt>
                <c:pt idx="32">
                  <c:v>45549</c:v>
                </c:pt>
                <c:pt idx="33">
                  <c:v>45579</c:v>
                </c:pt>
                <c:pt idx="34">
                  <c:v>45610</c:v>
                </c:pt>
                <c:pt idx="35">
                  <c:v>45640</c:v>
                </c:pt>
                <c:pt idx="36">
                  <c:v>45672</c:v>
                </c:pt>
                <c:pt idx="37">
                  <c:v>45703</c:v>
                </c:pt>
                <c:pt idx="38">
                  <c:v>45731</c:v>
                </c:pt>
                <c:pt idx="39">
                  <c:v>45762</c:v>
                </c:pt>
                <c:pt idx="40">
                  <c:v>45792</c:v>
                </c:pt>
                <c:pt idx="41">
                  <c:v>45823</c:v>
                </c:pt>
                <c:pt idx="42">
                  <c:v>45853</c:v>
                </c:pt>
                <c:pt idx="43">
                  <c:v>45884</c:v>
                </c:pt>
                <c:pt idx="44">
                  <c:v>45915</c:v>
                </c:pt>
                <c:pt idx="45">
                  <c:v>45945</c:v>
                </c:pt>
                <c:pt idx="46">
                  <c:v>45976</c:v>
                </c:pt>
                <c:pt idx="47">
                  <c:v>46006</c:v>
                </c:pt>
                <c:pt idx="48">
                  <c:v>46037</c:v>
                </c:pt>
                <c:pt idx="49">
                  <c:v>46068</c:v>
                </c:pt>
                <c:pt idx="50">
                  <c:v>46096</c:v>
                </c:pt>
                <c:pt idx="51">
                  <c:v>46127</c:v>
                </c:pt>
                <c:pt idx="52">
                  <c:v>46157</c:v>
                </c:pt>
                <c:pt idx="53">
                  <c:v>46188</c:v>
                </c:pt>
                <c:pt idx="54">
                  <c:v>46218</c:v>
                </c:pt>
                <c:pt idx="55">
                  <c:v>46249</c:v>
                </c:pt>
                <c:pt idx="56">
                  <c:v>46280</c:v>
                </c:pt>
                <c:pt idx="57">
                  <c:v>46310</c:v>
                </c:pt>
                <c:pt idx="58">
                  <c:v>46341</c:v>
                </c:pt>
                <c:pt idx="59">
                  <c:v>46371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1.0370376892998658E-2</c:v>
                </c:pt>
                <c:pt idx="1">
                  <c:v>1.2314403295171481E-2</c:v>
                </c:pt>
                <c:pt idx="2">
                  <c:v>1.4029963076221213E-2</c:v>
                </c:pt>
                <c:pt idx="3">
                  <c:v>1.5941526666837222E-2</c:v>
                </c:pt>
                <c:pt idx="4">
                  <c:v>1.7950467271827468E-2</c:v>
                </c:pt>
                <c:pt idx="5">
                  <c:v>2.0129341928905493E-2</c:v>
                </c:pt>
                <c:pt idx="6">
                  <c:v>2.2016652928780928E-2</c:v>
                </c:pt>
                <c:pt idx="7">
                  <c:v>2.3745506939243103E-2</c:v>
                </c:pt>
                <c:pt idx="8">
                  <c:v>2.5342232467093374E-2</c:v>
                </c:pt>
                <c:pt idx="9">
                  <c:v>2.66234398237419E-2</c:v>
                </c:pt>
                <c:pt idx="10">
                  <c:v>2.7613804073523568E-2</c:v>
                </c:pt>
                <c:pt idx="11">
                  <c:v>2.8730825035594751E-2</c:v>
                </c:pt>
                <c:pt idx="12">
                  <c:v>3.0111812246640952E-2</c:v>
                </c:pt>
                <c:pt idx="13">
                  <c:v>3.150488344060004E-2</c:v>
                </c:pt>
                <c:pt idx="14">
                  <c:v>3.2744479230110361E-2</c:v>
                </c:pt>
                <c:pt idx="15">
                  <c:v>3.4212418343170417E-2</c:v>
                </c:pt>
                <c:pt idx="16">
                  <c:v>3.5996025035140142E-2</c:v>
                </c:pt>
                <c:pt idx="17">
                  <c:v>3.802856385559903E-2</c:v>
                </c:pt>
                <c:pt idx="18">
                  <c:v>3.9576368547617126E-2</c:v>
                </c:pt>
                <c:pt idx="19">
                  <c:v>4.0814872874093133E-2</c:v>
                </c:pt>
                <c:pt idx="20">
                  <c:v>4.1880239268248132E-2</c:v>
                </c:pt>
                <c:pt idx="21">
                  <c:v>4.2537866329230289E-2</c:v>
                </c:pt>
                <c:pt idx="22">
                  <c:v>4.2767498943870309E-2</c:v>
                </c:pt>
                <c:pt idx="23">
                  <c:v>4.3308710815065515E-2</c:v>
                </c:pt>
                <c:pt idx="24">
                  <c:v>4.4257168793193996E-2</c:v>
                </c:pt>
                <c:pt idx="25">
                  <c:v>4.5255463329744242E-2</c:v>
                </c:pt>
                <c:pt idx="26">
                  <c:v>4.6154016016610913E-2</c:v>
                </c:pt>
                <c:pt idx="27">
                  <c:v>9.063149228566332E-3</c:v>
                </c:pt>
                <c:pt idx="28">
                  <c:v>1.1541910449125829E-2</c:v>
                </c:pt>
                <c:pt idx="29">
                  <c:v>1.4165158508778711E-2</c:v>
                </c:pt>
                <c:pt idx="30">
                  <c:v>1.6536070201533377E-2</c:v>
                </c:pt>
                <c:pt idx="31">
                  <c:v>1.8788033552875193E-2</c:v>
                </c:pt>
                <c:pt idx="32">
                  <c:v>2.0895603691639657E-2</c:v>
                </c:pt>
                <c:pt idx="33">
                  <c:v>2.2674642133357299E-2</c:v>
                </c:pt>
                <c:pt idx="34">
                  <c:v>2.4176823724592345E-2</c:v>
                </c:pt>
                <c:pt idx="35">
                  <c:v>2.5723530483595134E-2</c:v>
                </c:pt>
                <c:pt idx="36">
                  <c:v>2.7549491825129273E-2</c:v>
                </c:pt>
                <c:pt idx="37">
                  <c:v>2.9302019751884869E-2</c:v>
                </c:pt>
                <c:pt idx="38">
                  <c:v>3.0848517942411193E-2</c:v>
                </c:pt>
                <c:pt idx="39">
                  <c:v>3.2632610026463414E-2</c:v>
                </c:pt>
                <c:pt idx="40">
                  <c:v>3.4693484239046578E-2</c:v>
                </c:pt>
                <c:pt idx="41">
                  <c:v>3.699933441625447E-2</c:v>
                </c:pt>
                <c:pt idx="42">
                  <c:v>3.8814725398861494E-2</c:v>
                </c:pt>
                <c:pt idx="43">
                  <c:v>4.0322289164449882E-2</c:v>
                </c:pt>
                <c:pt idx="44">
                  <c:v>4.1641711102743756E-2</c:v>
                </c:pt>
                <c:pt idx="45">
                  <c:v>4.2529407220190718E-2</c:v>
                </c:pt>
                <c:pt idx="46">
                  <c:v>4.297576015583162E-2</c:v>
                </c:pt>
                <c:pt idx="47">
                  <c:v>4.3709323387320989E-2</c:v>
                </c:pt>
                <c:pt idx="48">
                  <c:v>4.4845579994211585E-2</c:v>
                </c:pt>
                <c:pt idx="49">
                  <c:v>4.6020468816902263E-2</c:v>
                </c:pt>
                <c:pt idx="50">
                  <c:v>4.7069147249590396E-2</c:v>
                </c:pt>
                <c:pt idx="51">
                  <c:v>4.8379319683070965E-2</c:v>
                </c:pt>
                <c:pt idx="52">
                  <c:v>9.3585410113166071E-3</c:v>
                </c:pt>
                <c:pt idx="53">
                  <c:v>1.2011722104569892E-2</c:v>
                </c:pt>
                <c:pt idx="54">
                  <c:v>1.4435023624107493E-2</c:v>
                </c:pt>
                <c:pt idx="55">
                  <c:v>1.6757189516313272E-2</c:v>
                </c:pt>
                <c:pt idx="56">
                  <c:v>1.8939088022945368E-2</c:v>
                </c:pt>
                <c:pt idx="57">
                  <c:v>2.0802186823025575E-2</c:v>
                </c:pt>
                <c:pt idx="58">
                  <c:v>2.2403941084313456E-2</c:v>
                </c:pt>
                <c:pt idx="59">
                  <c:v>2.4027333460572134E-2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44576</c:v>
                </c:pt>
                <c:pt idx="1">
                  <c:v>44607</c:v>
                </c:pt>
                <c:pt idx="2">
                  <c:v>44635</c:v>
                </c:pt>
                <c:pt idx="3">
                  <c:v>44666</c:v>
                </c:pt>
                <c:pt idx="4">
                  <c:v>44696</c:v>
                </c:pt>
                <c:pt idx="5">
                  <c:v>44727</c:v>
                </c:pt>
                <c:pt idx="6">
                  <c:v>44757</c:v>
                </c:pt>
                <c:pt idx="7">
                  <c:v>44788</c:v>
                </c:pt>
                <c:pt idx="8">
                  <c:v>44819</c:v>
                </c:pt>
                <c:pt idx="9">
                  <c:v>44849</c:v>
                </c:pt>
                <c:pt idx="10">
                  <c:v>44880</c:v>
                </c:pt>
                <c:pt idx="11">
                  <c:v>44910</c:v>
                </c:pt>
                <c:pt idx="12">
                  <c:v>44941</c:v>
                </c:pt>
                <c:pt idx="13">
                  <c:v>44972</c:v>
                </c:pt>
                <c:pt idx="14">
                  <c:v>45000</c:v>
                </c:pt>
                <c:pt idx="15">
                  <c:v>45031</c:v>
                </c:pt>
                <c:pt idx="16">
                  <c:v>45061</c:v>
                </c:pt>
                <c:pt idx="17">
                  <c:v>45092</c:v>
                </c:pt>
                <c:pt idx="18">
                  <c:v>45122</c:v>
                </c:pt>
                <c:pt idx="19">
                  <c:v>45153</c:v>
                </c:pt>
                <c:pt idx="20">
                  <c:v>45184</c:v>
                </c:pt>
                <c:pt idx="21">
                  <c:v>45214</c:v>
                </c:pt>
                <c:pt idx="22">
                  <c:v>45245</c:v>
                </c:pt>
                <c:pt idx="23">
                  <c:v>45275</c:v>
                </c:pt>
                <c:pt idx="24">
                  <c:v>45306</c:v>
                </c:pt>
                <c:pt idx="25">
                  <c:v>45337</c:v>
                </c:pt>
                <c:pt idx="26">
                  <c:v>45365</c:v>
                </c:pt>
                <c:pt idx="27">
                  <c:v>45396</c:v>
                </c:pt>
                <c:pt idx="28">
                  <c:v>45426</c:v>
                </c:pt>
                <c:pt idx="29">
                  <c:v>45457</c:v>
                </c:pt>
                <c:pt idx="30">
                  <c:v>45487</c:v>
                </c:pt>
                <c:pt idx="31">
                  <c:v>45518</c:v>
                </c:pt>
                <c:pt idx="32">
                  <c:v>45549</c:v>
                </c:pt>
                <c:pt idx="33">
                  <c:v>45579</c:v>
                </c:pt>
                <c:pt idx="34">
                  <c:v>45610</c:v>
                </c:pt>
                <c:pt idx="35">
                  <c:v>45640</c:v>
                </c:pt>
                <c:pt idx="36">
                  <c:v>45672</c:v>
                </c:pt>
                <c:pt idx="37">
                  <c:v>45703</c:v>
                </c:pt>
                <c:pt idx="38">
                  <c:v>45731</c:v>
                </c:pt>
                <c:pt idx="39">
                  <c:v>45762</c:v>
                </c:pt>
                <c:pt idx="40">
                  <c:v>45792</c:v>
                </c:pt>
                <c:pt idx="41">
                  <c:v>45823</c:v>
                </c:pt>
                <c:pt idx="42">
                  <c:v>45853</c:v>
                </c:pt>
                <c:pt idx="43">
                  <c:v>45884</c:v>
                </c:pt>
                <c:pt idx="44">
                  <c:v>45915</c:v>
                </c:pt>
                <c:pt idx="45">
                  <c:v>45945</c:v>
                </c:pt>
                <c:pt idx="46">
                  <c:v>45976</c:v>
                </c:pt>
                <c:pt idx="47">
                  <c:v>46006</c:v>
                </c:pt>
                <c:pt idx="48">
                  <c:v>46037</c:v>
                </c:pt>
                <c:pt idx="49">
                  <c:v>46068</c:v>
                </c:pt>
                <c:pt idx="50">
                  <c:v>46096</c:v>
                </c:pt>
                <c:pt idx="51">
                  <c:v>46127</c:v>
                </c:pt>
                <c:pt idx="52">
                  <c:v>46157</c:v>
                </c:pt>
                <c:pt idx="53">
                  <c:v>46188</c:v>
                </c:pt>
                <c:pt idx="54">
                  <c:v>46218</c:v>
                </c:pt>
                <c:pt idx="55">
                  <c:v>46249</c:v>
                </c:pt>
                <c:pt idx="56">
                  <c:v>46280</c:v>
                </c:pt>
                <c:pt idx="57">
                  <c:v>46310</c:v>
                </c:pt>
                <c:pt idx="58">
                  <c:v>46341</c:v>
                </c:pt>
                <c:pt idx="59">
                  <c:v>46371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5.9075804659459032E-7</c:v>
                </c:pt>
                <c:pt idx="1">
                  <c:v>7.7692904188167429E-7</c:v>
                </c:pt>
                <c:pt idx="2">
                  <c:v>5.3050083728991726E-7</c:v>
                </c:pt>
                <c:pt idx="3">
                  <c:v>3.2004423952567188E-6</c:v>
                </c:pt>
                <c:pt idx="4">
                  <c:v>1.0050954374978106E-5</c:v>
                </c:pt>
                <c:pt idx="5">
                  <c:v>1.2173382649394835E-5</c:v>
                </c:pt>
                <c:pt idx="6">
                  <c:v>3.0034416233114931E-5</c:v>
                </c:pt>
                <c:pt idx="7">
                  <c:v>5.6868440019823893E-5</c:v>
                </c:pt>
                <c:pt idx="8">
                  <c:v>4.5056183949981648E-5</c:v>
                </c:pt>
                <c:pt idx="9">
                  <c:v>7.4160305504863928E-5</c:v>
                </c:pt>
                <c:pt idx="10">
                  <c:v>6.0666624660864058E-4</c:v>
                </c:pt>
                <c:pt idx="11">
                  <c:v>5.5254536739405419E-4</c:v>
                </c:pt>
                <c:pt idx="12">
                  <c:v>6.2424270237282007E-4</c:v>
                </c:pt>
                <c:pt idx="13">
                  <c:v>1.2879989506806816E-4</c:v>
                </c:pt>
                <c:pt idx="14">
                  <c:v>2.5323755767811799E-5</c:v>
                </c:pt>
                <c:pt idx="15">
                  <c:v>3.9805792208597566E-5</c:v>
                </c:pt>
                <c:pt idx="16">
                  <c:v>4.9993035764873899E-5</c:v>
                </c:pt>
                <c:pt idx="17">
                  <c:v>3.4568647427936185E-5</c:v>
                </c:pt>
                <c:pt idx="18">
                  <c:v>6.7386298220998225E-5</c:v>
                </c:pt>
                <c:pt idx="19">
                  <c:v>1.177180874507964E-4</c:v>
                </c:pt>
                <c:pt idx="20">
                  <c:v>9.1072510242334181E-5</c:v>
                </c:pt>
                <c:pt idx="21">
                  <c:v>1.489669213794188E-4</c:v>
                </c:pt>
                <c:pt idx="22">
                  <c:v>1.2166221304048337E-3</c:v>
                </c:pt>
                <c:pt idx="23">
                  <c:v>1.1058027253577141E-3</c:v>
                </c:pt>
                <c:pt idx="24">
                  <c:v>1.2494934763008796E-3</c:v>
                </c:pt>
                <c:pt idx="25">
                  <c:v>2.5714015152542848E-4</c:v>
                </c:pt>
                <c:pt idx="26">
                  <c:v>5.0150428844308933E-5</c:v>
                </c:pt>
                <c:pt idx="27">
                  <c:v>7.6764859934730343E-5</c:v>
                </c:pt>
                <c:pt idx="28">
                  <c:v>9.1020463224100319E-5</c:v>
                </c:pt>
                <c:pt idx="29">
                  <c:v>6.4989148249927319E-5</c:v>
                </c:pt>
                <c:pt idx="30">
                  <c:v>1.1682321070358143E-4</c:v>
                </c:pt>
                <c:pt idx="31">
                  <c:v>1.8839946216000982E-4</c:v>
                </c:pt>
                <c:pt idx="32">
                  <c:v>1.4545220621186973E-4</c:v>
                </c:pt>
                <c:pt idx="33">
                  <c:v>2.3848091139315792E-4</c:v>
                </c:pt>
                <c:pt idx="34">
                  <c:v>1.9047936683142326E-3</c:v>
                </c:pt>
                <c:pt idx="35">
                  <c:v>1.7184383091213358E-3</c:v>
                </c:pt>
                <c:pt idx="36">
                  <c:v>1.9540302100029263E-3</c:v>
                </c:pt>
                <c:pt idx="37">
                  <c:v>3.7929630378777358E-4</c:v>
                </c:pt>
                <c:pt idx="38">
                  <c:v>8.1687227394186819E-5</c:v>
                </c:pt>
                <c:pt idx="39">
                  <c:v>1.1850905382982462E-4</c:v>
                </c:pt>
                <c:pt idx="40">
                  <c:v>1.3560481802619853E-4</c:v>
                </c:pt>
                <c:pt idx="41">
                  <c:v>1.025319198729322E-4</c:v>
                </c:pt>
                <c:pt idx="42">
                  <c:v>1.6952586397273424E-4</c:v>
                </c:pt>
                <c:pt idx="43">
                  <c:v>2.5997035240699008E-4</c:v>
                </c:pt>
                <c:pt idx="44">
                  <c:v>2.0017014875311229E-4</c:v>
                </c:pt>
                <c:pt idx="45">
                  <c:v>3.2838753832705939E-4</c:v>
                </c:pt>
                <c:pt idx="46">
                  <c:v>2.5947348482200671E-3</c:v>
                </c:pt>
                <c:pt idx="47">
                  <c:v>2.3323508210106461E-3</c:v>
                </c:pt>
                <c:pt idx="48">
                  <c:v>2.6601732515518055E-3</c:v>
                </c:pt>
                <c:pt idx="49">
                  <c:v>5.0136760352886692E-4</c:v>
                </c:pt>
                <c:pt idx="50">
                  <c:v>1.1325866528924152E-4</c:v>
                </c:pt>
                <c:pt idx="51">
                  <c:v>1.6061802883349154E-4</c:v>
                </c:pt>
                <c:pt idx="52">
                  <c:v>1.8215403882945879E-4</c:v>
                </c:pt>
                <c:pt idx="53">
                  <c:v>1.4552195829502481E-4</c:v>
                </c:pt>
                <c:pt idx="54">
                  <c:v>2.3061595058664592E-4</c:v>
                </c:pt>
                <c:pt idx="55">
                  <c:v>3.4213712226020213E-4</c:v>
                </c:pt>
                <c:pt idx="56">
                  <c:v>2.6305095993459906E-4</c:v>
                </c:pt>
                <c:pt idx="57">
                  <c:v>4.5037358083821163E-4</c:v>
                </c:pt>
                <c:pt idx="58">
                  <c:v>3.3974506751040519E-3</c:v>
                </c:pt>
                <c:pt idx="59">
                  <c:v>3.020063507201545E-3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5718176"/>
        <c:axId val="655717784"/>
      </c:lineChart>
      <c:dateAx>
        <c:axId val="655718176"/>
        <c:scaling>
          <c:orientation val="minMax"/>
          <c:max val="46357"/>
          <c:min val="44562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1778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65571778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18176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'2022'!Ppv</c:f>
              <c:numCache>
                <c:formatCode>0.00%</c:formatCode>
                <c:ptCount val="366"/>
                <c:pt idx="0">
                  <c:v>1.2525631656964964E-2</c:v>
                </c:pt>
                <c:pt idx="1">
                  <c:v>1.2539294981188664E-2</c:v>
                </c:pt>
                <c:pt idx="2">
                  <c:v>1.255295811837287E-2</c:v>
                </c:pt>
                <c:pt idx="3">
                  <c:v>1.2566621068520245E-2</c:v>
                </c:pt>
                <c:pt idx="4">
                  <c:v>1.2580283831633232E-2</c:v>
                </c:pt>
                <c:pt idx="5">
                  <c:v>1.2593946407714496E-2</c:v>
                </c:pt>
                <c:pt idx="6">
                  <c:v>1.260760879676659E-2</c:v>
                </c:pt>
                <c:pt idx="7">
                  <c:v>1.2621270998792067E-2</c:v>
                </c:pt>
                <c:pt idx="8">
                  <c:v>1.263493301379337E-2</c:v>
                </c:pt>
                <c:pt idx="9">
                  <c:v>1.2648594841773275E-2</c:v>
                </c:pt>
                <c:pt idx="10">
                  <c:v>1.2662256482734224E-2</c:v>
                </c:pt>
                <c:pt idx="11">
                  <c:v>1.267591793667866E-2</c:v>
                </c:pt>
                <c:pt idx="12">
                  <c:v>1.2689579203609358E-2</c:v>
                </c:pt>
                <c:pt idx="13">
                  <c:v>1.2703240283528761E-2</c:v>
                </c:pt>
                <c:pt idx="14">
                  <c:v>1.2716901176439532E-2</c:v>
                </c:pt>
                <c:pt idx="15">
                  <c:v>1.2730561882344005E-2</c:v>
                </c:pt>
                <c:pt idx="16">
                  <c:v>1.2744222401244953E-2</c:v>
                </c:pt>
                <c:pt idx="17">
                  <c:v>1.2757882733144932E-2</c:v>
                </c:pt>
                <c:pt idx="18">
                  <c:v>1.2771542878046382E-2</c:v>
                </c:pt>
                <c:pt idx="19">
                  <c:v>1.278520283595197E-2</c:v>
                </c:pt>
                <c:pt idx="20">
                  <c:v>1.2798862606864136E-2</c:v>
                </c:pt>
                <c:pt idx="21">
                  <c:v>1.2812522190785547E-2</c:v>
                </c:pt>
                <c:pt idx="22">
                  <c:v>1.2826181587718644E-2</c:v>
                </c:pt>
                <c:pt idx="23">
                  <c:v>1.2839840797666202E-2</c:v>
                </c:pt>
                <c:pt idx="24">
                  <c:v>1.2853499820630554E-2</c:v>
                </c:pt>
                <c:pt idx="25">
                  <c:v>1.2867158656614364E-2</c:v>
                </c:pt>
                <c:pt idx="26">
                  <c:v>1.2880817305620185E-2</c:v>
                </c:pt>
                <c:pt idx="27">
                  <c:v>1.2894475767650571E-2</c:v>
                </c:pt>
                <c:pt idx="28">
                  <c:v>1.2908134042708075E-2</c:v>
                </c:pt>
                <c:pt idx="29">
                  <c:v>1.2921792130795251E-2</c:v>
                </c:pt>
                <c:pt idx="30">
                  <c:v>1.2935450031914764E-2</c:v>
                </c:pt>
                <c:pt idx="31">
                  <c:v>1.2949107746068944E-2</c:v>
                </c:pt>
                <c:pt idx="32">
                  <c:v>1.2962765273260568E-2</c:v>
                </c:pt>
                <c:pt idx="33">
                  <c:v>1.2976422613492078E-2</c:v>
                </c:pt>
                <c:pt idx="34">
                  <c:v>1.2990079766766138E-2</c:v>
                </c:pt>
                <c:pt idx="35">
                  <c:v>1.3003736733085192E-2</c:v>
                </c:pt>
                <c:pt idx="36">
                  <c:v>1.3017393512451791E-2</c:v>
                </c:pt>
                <c:pt idx="37">
                  <c:v>1.3031050104868602E-2</c:v>
                </c:pt>
                <c:pt idx="38">
                  <c:v>1.3044706510338178E-2</c:v>
                </c:pt>
                <c:pt idx="39">
                  <c:v>1.305836272886296E-2</c:v>
                </c:pt>
                <c:pt idx="40">
                  <c:v>1.3072018760445614E-2</c:v>
                </c:pt>
                <c:pt idx="41">
                  <c:v>1.3085674605088693E-2</c:v>
                </c:pt>
                <c:pt idx="42">
                  <c:v>1.309933026279464E-2</c:v>
                </c:pt>
                <c:pt idx="43">
                  <c:v>1.3112985733566229E-2</c:v>
                </c:pt>
                <c:pt idx="44">
                  <c:v>1.3126641017405793E-2</c:v>
                </c:pt>
                <c:pt idx="45">
                  <c:v>1.3140296114315997E-2</c:v>
                </c:pt>
                <c:pt idx="46">
                  <c:v>1.3153951024299393E-2</c:v>
                </c:pt>
                <c:pt idx="47">
                  <c:v>2.5293078750181497E-3</c:v>
                </c:pt>
                <c:pt idx="48">
                  <c:v>2.5429624111555915E-3</c:v>
                </c:pt>
                <c:pt idx="49">
                  <c:v>2.5566167603738865E-3</c:v>
                </c:pt>
                <c:pt idx="50">
                  <c:v>2.5702709226756992E-3</c:v>
                </c:pt>
                <c:pt idx="51">
                  <c:v>2.5839248980633611E-3</c:v>
                </c:pt>
                <c:pt idx="52">
                  <c:v>2.5975786865396477E-3</c:v>
                </c:pt>
                <c:pt idx="53">
                  <c:v>2.6112322881071126E-3</c:v>
                </c:pt>
                <c:pt idx="54">
                  <c:v>2.6248857027680872E-3</c:v>
                </c:pt>
                <c:pt idx="55">
                  <c:v>2.638538930525347E-3</c:v>
                </c:pt>
                <c:pt idx="56">
                  <c:v>2.6521919713814457E-3</c:v>
                </c:pt>
                <c:pt idx="57">
                  <c:v>2.6658448253387146E-3</c:v>
                </c:pt>
                <c:pt idx="58">
                  <c:v>2.6794974924000403E-3</c:v>
                </c:pt>
                <c:pt idx="59">
                  <c:v>2.6931499725677543E-3</c:v>
                </c:pt>
                <c:pt idx="60">
                  <c:v>2.7068022658445212E-3</c:v>
                </c:pt>
                <c:pt idx="61">
                  <c:v>2.7204543722327834E-3</c:v>
                </c:pt>
                <c:pt idx="62">
                  <c:v>2.7341062917352055E-3</c:v>
                </c:pt>
                <c:pt idx="63">
                  <c:v>2.7477580243543409E-3</c:v>
                </c:pt>
                <c:pt idx="64">
                  <c:v>2.7614095700927432E-3</c:v>
                </c:pt>
                <c:pt idx="65">
                  <c:v>2.7750609289528549E-3</c:v>
                </c:pt>
                <c:pt idx="66">
                  <c:v>2.7887121009373406E-3</c:v>
                </c:pt>
                <c:pt idx="67">
                  <c:v>2.8023630860488646E-3</c:v>
                </c:pt>
                <c:pt idx="68">
                  <c:v>2.8160138842897586E-3</c:v>
                </c:pt>
                <c:pt idx="69">
                  <c:v>2.8296644956626871E-3</c:v>
                </c:pt>
                <c:pt idx="70">
                  <c:v>2.8433149201702035E-3</c:v>
                </c:pt>
                <c:pt idx="71">
                  <c:v>2.8569651578149724E-3</c:v>
                </c:pt>
                <c:pt idx="72">
                  <c:v>2.8706152085993253E-3</c:v>
                </c:pt>
                <c:pt idx="73">
                  <c:v>2.8842650725260377E-3</c:v>
                </c:pt>
                <c:pt idx="74">
                  <c:v>2.8979147495975521E-3</c:v>
                </c:pt>
                <c:pt idx="75">
                  <c:v>2.9115642398164221E-3</c:v>
                </c:pt>
                <c:pt idx="76">
                  <c:v>2.9252135431853121E-3</c:v>
                </c:pt>
                <c:pt idx="77">
                  <c:v>2.9388626597065537E-3</c:v>
                </c:pt>
                <c:pt idx="78">
                  <c:v>2.9525115893829224E-3</c:v>
                </c:pt>
                <c:pt idx="79">
                  <c:v>2.9661603322169716E-3</c:v>
                </c:pt>
                <c:pt idx="80">
                  <c:v>2.979808888211144E-3</c:v>
                </c:pt>
                <c:pt idx="81">
                  <c:v>2.993457257367993E-3</c:v>
                </c:pt>
                <c:pt idx="82">
                  <c:v>3.0071054396901831E-3</c:v>
                </c:pt>
                <c:pt idx="83">
                  <c:v>3.0207534351802678E-3</c:v>
                </c:pt>
                <c:pt idx="84">
                  <c:v>3.0344012438406898E-3</c:v>
                </c:pt>
                <c:pt idx="85">
                  <c:v>3.0480488656741134E-3</c:v>
                </c:pt>
                <c:pt idx="86">
                  <c:v>3.0616963006829812E-3</c:v>
                </c:pt>
                <c:pt idx="87">
                  <c:v>3.0753435488699576E-3</c:v>
                </c:pt>
                <c:pt idx="88">
                  <c:v>3.0889906102375964E-3</c:v>
                </c:pt>
                <c:pt idx="89">
                  <c:v>3.1026374847884508E-3</c:v>
                </c:pt>
                <c:pt idx="90">
                  <c:v>3.1162841725249635E-3</c:v>
                </c:pt>
                <c:pt idx="91">
                  <c:v>3.1299306734499099E-3</c:v>
                </c:pt>
                <c:pt idx="92">
                  <c:v>3.1435769875656216E-3</c:v>
                </c:pt>
                <c:pt idx="93">
                  <c:v>3.1572231148747631E-3</c:v>
                </c:pt>
                <c:pt idx="94">
                  <c:v>3.1708690553798879E-3</c:v>
                </c:pt>
                <c:pt idx="95">
                  <c:v>3.1845148090835496E-3</c:v>
                </c:pt>
                <c:pt idx="96">
                  <c:v>3.1981603759883015E-3</c:v>
                </c:pt>
                <c:pt idx="97">
                  <c:v>3.2118057560966973E-3</c:v>
                </c:pt>
                <c:pt idx="98">
                  <c:v>3.2254509494112904E-3</c:v>
                </c:pt>
                <c:pt idx="99">
                  <c:v>3.2390959559346344E-3</c:v>
                </c:pt>
                <c:pt idx="100">
                  <c:v>3.2527407756692828E-3</c:v>
                </c:pt>
                <c:pt idx="101">
                  <c:v>3.2663854086179001E-3</c:v>
                </c:pt>
                <c:pt idx="102">
                  <c:v>3.2800298547829287E-3</c:v>
                </c:pt>
                <c:pt idx="103">
                  <c:v>3.2936741141668113E-3</c:v>
                </c:pt>
                <c:pt idx="104">
                  <c:v>3.3073181867724344E-3</c:v>
                </c:pt>
                <c:pt idx="105">
                  <c:v>3.3209620726020184E-3</c:v>
                </c:pt>
                <c:pt idx="106">
                  <c:v>3.3346057716583388E-3</c:v>
                </c:pt>
                <c:pt idx="107">
                  <c:v>3.3482492839438383E-3</c:v>
                </c:pt>
                <c:pt idx="108">
                  <c:v>3.3618926094610702E-3</c:v>
                </c:pt>
                <c:pt idx="109">
                  <c:v>3.3755357482126991E-3</c:v>
                </c:pt>
                <c:pt idx="110">
                  <c:v>3.3891787002012785E-3</c:v>
                </c:pt>
                <c:pt idx="111">
                  <c:v>3.40282146542914E-3</c:v>
                </c:pt>
                <c:pt idx="112">
                  <c:v>3.41646404389917E-3</c:v>
                </c:pt>
                <c:pt idx="113">
                  <c:v>3.4301064356135891E-3</c:v>
                </c:pt>
                <c:pt idx="114">
                  <c:v>3.4437486405752837E-3</c:v>
                </c:pt>
                <c:pt idx="115">
                  <c:v>3.4573906587865855E-3</c:v>
                </c:pt>
                <c:pt idx="116">
                  <c:v>3.4710324902500478E-3</c:v>
                </c:pt>
                <c:pt idx="117">
                  <c:v>3.4846741349683352E-3</c:v>
                </c:pt>
                <c:pt idx="118">
                  <c:v>3.4983155929440013E-3</c:v>
                </c:pt>
                <c:pt idx="119">
                  <c:v>3.5119568641794885E-3</c:v>
                </c:pt>
                <c:pt idx="120">
                  <c:v>3.5255979486775724E-3</c:v>
                </c:pt>
                <c:pt idx="121">
                  <c:v>3.5392388464404734E-3</c:v>
                </c:pt>
                <c:pt idx="122">
                  <c:v>3.5528795574710781E-3</c:v>
                </c:pt>
                <c:pt idx="123">
                  <c:v>3.566520081771718E-3</c:v>
                </c:pt>
                <c:pt idx="124">
                  <c:v>3.5801604193451686E-3</c:v>
                </c:pt>
                <c:pt idx="125">
                  <c:v>3.5938005701937614E-3</c:v>
                </c:pt>
                <c:pt idx="126">
                  <c:v>3.60744053432005E-3</c:v>
                </c:pt>
                <c:pt idx="127">
                  <c:v>3.6210803117268098E-3</c:v>
                </c:pt>
                <c:pt idx="128">
                  <c:v>3.6347199024164834E-3</c:v>
                </c:pt>
                <c:pt idx="129">
                  <c:v>3.6483593063915132E-3</c:v>
                </c:pt>
                <c:pt idx="130">
                  <c:v>3.6619985236546748E-3</c:v>
                </c:pt>
                <c:pt idx="131">
                  <c:v>3.6756375542082997E-3</c:v>
                </c:pt>
                <c:pt idx="132">
                  <c:v>3.6892763980550525E-3</c:v>
                </c:pt>
                <c:pt idx="133">
                  <c:v>3.7029150551975976E-3</c:v>
                </c:pt>
                <c:pt idx="134">
                  <c:v>3.7165535256382665E-3</c:v>
                </c:pt>
                <c:pt idx="135">
                  <c:v>3.7301918093798347E-3</c:v>
                </c:pt>
                <c:pt idx="136">
                  <c:v>3.7438299064246339E-3</c:v>
                </c:pt>
                <c:pt idx="137">
                  <c:v>3.7574678167754394E-3</c:v>
                </c:pt>
                <c:pt idx="138">
                  <c:v>3.7711055404345828E-3</c:v>
                </c:pt>
                <c:pt idx="139">
                  <c:v>3.7847430774048396E-3</c:v>
                </c:pt>
                <c:pt idx="140">
                  <c:v>3.7983804276886524E-3</c:v>
                </c:pt>
                <c:pt idx="141">
                  <c:v>3.8120175912885745E-3</c:v>
                </c:pt>
                <c:pt idx="142">
                  <c:v>3.8256545682071597E-3</c:v>
                </c:pt>
                <c:pt idx="143">
                  <c:v>3.8392913584470723E-3</c:v>
                </c:pt>
                <c:pt idx="144">
                  <c:v>3.8529279620107548E-3</c:v>
                </c:pt>
                <c:pt idx="145">
                  <c:v>3.8665643789006499E-3</c:v>
                </c:pt>
                <c:pt idx="146">
                  <c:v>3.8802006091196439E-3</c:v>
                </c:pt>
                <c:pt idx="147">
                  <c:v>3.8938366526699575E-3</c:v>
                </c:pt>
                <c:pt idx="148">
                  <c:v>3.9074725095543661E-3</c:v>
                </c:pt>
                <c:pt idx="149">
                  <c:v>3.9211081797753122E-3</c:v>
                </c:pt>
                <c:pt idx="150">
                  <c:v>3.9347436633353494E-3</c:v>
                </c:pt>
                <c:pt idx="151">
                  <c:v>3.9483789602370312E-3</c:v>
                </c:pt>
                <c:pt idx="152">
                  <c:v>3.962014070483022E-3</c:v>
                </c:pt>
                <c:pt idx="153">
                  <c:v>3.9756489940758755E-3</c:v>
                </c:pt>
                <c:pt idx="154">
                  <c:v>3.989283731017923E-3</c:v>
                </c:pt>
                <c:pt idx="155">
                  <c:v>4.0029182813119402E-3</c:v>
                </c:pt>
                <c:pt idx="156">
                  <c:v>4.0165526449604805E-3</c:v>
                </c:pt>
                <c:pt idx="157">
                  <c:v>4.0301868219659864E-3</c:v>
                </c:pt>
                <c:pt idx="158">
                  <c:v>4.0438208123310115E-3</c:v>
                </c:pt>
                <c:pt idx="159">
                  <c:v>4.0574546160582203E-3</c:v>
                </c:pt>
                <c:pt idx="160">
                  <c:v>4.0710882331500553E-3</c:v>
                </c:pt>
                <c:pt idx="161">
                  <c:v>4.08472166360907E-3</c:v>
                </c:pt>
                <c:pt idx="162">
                  <c:v>4.0983549074379289E-3</c:v>
                </c:pt>
                <c:pt idx="163">
                  <c:v>4.1119879646391855E-3</c:v>
                </c:pt>
                <c:pt idx="164">
                  <c:v>4.1256208352152823E-3</c:v>
                </c:pt>
                <c:pt idx="165">
                  <c:v>4.139253519168884E-3</c:v>
                </c:pt>
                <c:pt idx="166">
                  <c:v>4.1528860165024328E-3</c:v>
                </c:pt>
                <c:pt idx="167">
                  <c:v>4.1665183272184825E-3</c:v>
                </c:pt>
                <c:pt idx="168">
                  <c:v>4.1801504513198084E-3</c:v>
                </c:pt>
                <c:pt idx="169">
                  <c:v>4.1937823888086312E-3</c:v>
                </c:pt>
                <c:pt idx="170">
                  <c:v>4.2074141396878373E-3</c:v>
                </c:pt>
                <c:pt idx="171">
                  <c:v>4.2210457039597582E-3</c:v>
                </c:pt>
                <c:pt idx="172">
                  <c:v>4.2346770816269474E-3</c:v>
                </c:pt>
                <c:pt idx="173">
                  <c:v>4.2483082726920696E-3</c:v>
                </c:pt>
                <c:pt idx="174">
                  <c:v>4.2619392771576781E-3</c:v>
                </c:pt>
                <c:pt idx="175">
                  <c:v>4.2755700950262154E-3</c:v>
                </c:pt>
                <c:pt idx="176">
                  <c:v>4.2892007263003462E-3</c:v>
                </c:pt>
                <c:pt idx="177">
                  <c:v>4.3028311709825129E-3</c:v>
                </c:pt>
                <c:pt idx="178">
                  <c:v>4.31646142907538E-3</c:v>
                </c:pt>
                <c:pt idx="179">
                  <c:v>4.3300915005815011E-3</c:v>
                </c:pt>
                <c:pt idx="180">
                  <c:v>4.3437213855033185E-3</c:v>
                </c:pt>
                <c:pt idx="181">
                  <c:v>4.357351083843497E-3</c:v>
                </c:pt>
                <c:pt idx="182">
                  <c:v>4.37098059560459E-3</c:v>
                </c:pt>
                <c:pt idx="183">
                  <c:v>4.3846099207890399E-3</c:v>
                </c:pt>
                <c:pt idx="184">
                  <c:v>4.3982390593995113E-3</c:v>
                </c:pt>
                <c:pt idx="185">
                  <c:v>4.4118680114384468E-3</c:v>
                </c:pt>
                <c:pt idx="186">
                  <c:v>4.4254967769086218E-3</c:v>
                </c:pt>
                <c:pt idx="187">
                  <c:v>4.4391253558123678E-3</c:v>
                </c:pt>
                <c:pt idx="188">
                  <c:v>4.4527537481522383E-3</c:v>
                </c:pt>
                <c:pt idx="189">
                  <c:v>4.466381953931009E-3</c:v>
                </c:pt>
                <c:pt idx="190">
                  <c:v>4.4800099731510112E-3</c:v>
                </c:pt>
                <c:pt idx="191">
                  <c:v>4.4936378058147985E-3</c:v>
                </c:pt>
                <c:pt idx="192">
                  <c:v>4.5072654519251465E-3</c:v>
                </c:pt>
                <c:pt idx="193">
                  <c:v>4.5208929114843865E-3</c:v>
                </c:pt>
                <c:pt idx="194">
                  <c:v>4.5345201844950722E-3</c:v>
                </c:pt>
                <c:pt idx="195">
                  <c:v>4.5481472709599791E-3</c:v>
                </c:pt>
                <c:pt idx="196">
                  <c:v>4.5617741708814386E-3</c:v>
                </c:pt>
                <c:pt idx="197">
                  <c:v>4.5754008842621152E-3</c:v>
                </c:pt>
                <c:pt idx="198">
                  <c:v>4.5890274111044516E-3</c:v>
                </c:pt>
                <c:pt idx="199">
                  <c:v>4.6026537514111121E-3</c:v>
                </c:pt>
                <c:pt idx="200">
                  <c:v>4.6162799051846504E-3</c:v>
                </c:pt>
                <c:pt idx="201">
                  <c:v>4.6299058724276199E-3</c:v>
                </c:pt>
                <c:pt idx="202">
                  <c:v>4.6435316531424631E-3</c:v>
                </c:pt>
                <c:pt idx="203">
                  <c:v>4.6571572473318446E-3</c:v>
                </c:pt>
                <c:pt idx="204">
                  <c:v>4.6707826549983178E-3</c:v>
                </c:pt>
                <c:pt idx="205">
                  <c:v>4.6844078761443253E-3</c:v>
                </c:pt>
                <c:pt idx="206">
                  <c:v>4.6980329107725316E-3</c:v>
                </c:pt>
                <c:pt idx="207">
                  <c:v>4.7116577588854902E-3</c:v>
                </c:pt>
                <c:pt idx="208">
                  <c:v>4.7252824204856436E-3</c:v>
                </c:pt>
                <c:pt idx="209">
                  <c:v>4.7389068955757674E-3</c:v>
                </c:pt>
                <c:pt idx="210">
                  <c:v>4.752531184158082E-3</c:v>
                </c:pt>
                <c:pt idx="211">
                  <c:v>4.7661552862354739E-3</c:v>
                </c:pt>
                <c:pt idx="212">
                  <c:v>4.7797792018102747E-3</c:v>
                </c:pt>
                <c:pt idx="213">
                  <c:v>4.7934029308851489E-3</c:v>
                </c:pt>
                <c:pt idx="214">
                  <c:v>4.807026473462539E-3</c:v>
                </c:pt>
                <c:pt idx="215">
                  <c:v>4.8206498295451095E-3</c:v>
                </c:pt>
                <c:pt idx="216">
                  <c:v>4.8342729991354139E-3</c:v>
                </c:pt>
                <c:pt idx="217">
                  <c:v>4.8478959822360057E-3</c:v>
                </c:pt>
                <c:pt idx="218">
                  <c:v>4.8615187788493275E-3</c:v>
                </c:pt>
                <c:pt idx="219">
                  <c:v>4.8751413889780437E-3</c:v>
                </c:pt>
                <c:pt idx="220">
                  <c:v>4.8887638126245969E-3</c:v>
                </c:pt>
                <c:pt idx="221">
                  <c:v>4.9023860497916516E-3</c:v>
                </c:pt>
                <c:pt idx="222">
                  <c:v>4.9160081004816503E-3</c:v>
                </c:pt>
                <c:pt idx="223">
                  <c:v>4.9296299646973685E-3</c:v>
                </c:pt>
                <c:pt idx="224">
                  <c:v>4.9432516424411377E-3</c:v>
                </c:pt>
                <c:pt idx="225">
                  <c:v>4.9568731337155114E-3</c:v>
                </c:pt>
                <c:pt idx="226">
                  <c:v>4.9704944385231542E-3</c:v>
                </c:pt>
                <c:pt idx="227">
                  <c:v>4.9841155568666196E-3</c:v>
                </c:pt>
                <c:pt idx="228">
                  <c:v>4.99773648874835E-3</c:v>
                </c:pt>
                <c:pt idx="229">
                  <c:v>5.011357234170899E-3</c:v>
                </c:pt>
                <c:pt idx="230">
                  <c:v>5.0249777931370421E-3</c:v>
                </c:pt>
                <c:pt idx="231">
                  <c:v>5.0385981656489998E-3</c:v>
                </c:pt>
                <c:pt idx="232">
                  <c:v>5.0522183517096586E-3</c:v>
                </c:pt>
                <c:pt idx="233">
                  <c:v>5.0658383513213501E-3</c:v>
                </c:pt>
                <c:pt idx="234">
                  <c:v>5.0794581644866277E-3</c:v>
                </c:pt>
                <c:pt idx="235">
                  <c:v>5.093077791208156E-3</c:v>
                </c:pt>
                <c:pt idx="236">
                  <c:v>5.1066972314883774E-3</c:v>
                </c:pt>
                <c:pt idx="237">
                  <c:v>5.1203164853299565E-3</c:v>
                </c:pt>
                <c:pt idx="238">
                  <c:v>5.1339355527353359E-3</c:v>
                </c:pt>
                <c:pt idx="239">
                  <c:v>5.1475544337071799E-3</c:v>
                </c:pt>
                <c:pt idx="240">
                  <c:v>5.1611731282479312E-3</c:v>
                </c:pt>
                <c:pt idx="241">
                  <c:v>5.1747916363602542E-3</c:v>
                </c:pt>
                <c:pt idx="242">
                  <c:v>5.1884099580465914E-3</c:v>
                </c:pt>
                <c:pt idx="243">
                  <c:v>5.2020280933094964E-3</c:v>
                </c:pt>
                <c:pt idx="244">
                  <c:v>5.2156460421516337E-3</c:v>
                </c:pt>
                <c:pt idx="245">
                  <c:v>5.2292638045755568E-3</c:v>
                </c:pt>
                <c:pt idx="246">
                  <c:v>5.2428813805835972E-3</c:v>
                </c:pt>
                <c:pt idx="247">
                  <c:v>5.2564987701785304E-3</c:v>
                </c:pt>
                <c:pt idx="248">
                  <c:v>5.2701159733627989E-3</c:v>
                </c:pt>
                <c:pt idx="249">
                  <c:v>5.2837329901390673E-3</c:v>
                </c:pt>
                <c:pt idx="250">
                  <c:v>5.297349820509778E-3</c:v>
                </c:pt>
                <c:pt idx="251">
                  <c:v>5.3109664644774845E-3</c:v>
                </c:pt>
                <c:pt idx="252">
                  <c:v>5.3245829220447405E-3</c:v>
                </c:pt>
                <c:pt idx="253">
                  <c:v>5.3381991932142103E-3</c:v>
                </c:pt>
                <c:pt idx="254">
                  <c:v>5.3518152779883366E-3</c:v>
                </c:pt>
                <c:pt idx="255">
                  <c:v>5.3654311763696727E-3</c:v>
                </c:pt>
                <c:pt idx="256">
                  <c:v>5.3790468883607723E-3</c:v>
                </c:pt>
                <c:pt idx="257">
                  <c:v>5.3926624139641888E-3</c:v>
                </c:pt>
                <c:pt idx="258">
                  <c:v>5.4062777531825867E-3</c:v>
                </c:pt>
                <c:pt idx="259">
                  <c:v>5.4198929060184087E-3</c:v>
                </c:pt>
                <c:pt idx="260">
                  <c:v>5.4335078724742081E-3</c:v>
                </c:pt>
                <c:pt idx="261">
                  <c:v>5.4471226525525385E-3</c:v>
                </c:pt>
                <c:pt idx="262">
                  <c:v>5.4607372462559534E-3</c:v>
                </c:pt>
                <c:pt idx="263">
                  <c:v>5.4743516535870063E-3</c:v>
                </c:pt>
                <c:pt idx="264">
                  <c:v>5.4879658745482507E-3</c:v>
                </c:pt>
                <c:pt idx="265">
                  <c:v>5.5015799091422402E-3</c:v>
                </c:pt>
                <c:pt idx="266">
                  <c:v>5.5151937573716392E-3</c:v>
                </c:pt>
                <c:pt idx="267">
                  <c:v>5.5288074192387793E-3</c:v>
                </c:pt>
                <c:pt idx="268">
                  <c:v>5.5424208947463249E-3</c:v>
                </c:pt>
                <c:pt idx="269">
                  <c:v>5.5560341838968297E-3</c:v>
                </c:pt>
                <c:pt idx="270">
                  <c:v>5.569647286692847E-3</c:v>
                </c:pt>
                <c:pt idx="271">
                  <c:v>5.5832602031369305E-3</c:v>
                </c:pt>
                <c:pt idx="272">
                  <c:v>5.5968729332316336E-3</c:v>
                </c:pt>
                <c:pt idx="273">
                  <c:v>5.6104854769793988E-3</c:v>
                </c:pt>
                <c:pt idx="274">
                  <c:v>5.6240978343830017E-3</c:v>
                </c:pt>
                <c:pt idx="275">
                  <c:v>5.6377100054447737E-3</c:v>
                </c:pt>
                <c:pt idx="276">
                  <c:v>5.6513219901673795E-3</c:v>
                </c:pt>
                <c:pt idx="277">
                  <c:v>5.6649337885533724E-3</c:v>
                </c:pt>
                <c:pt idx="278">
                  <c:v>5.678545400605195E-3</c:v>
                </c:pt>
                <c:pt idx="279">
                  <c:v>5.6921568263256228E-3</c:v>
                </c:pt>
                <c:pt idx="280">
                  <c:v>5.7057680657169874E-3</c:v>
                </c:pt>
                <c:pt idx="281">
                  <c:v>5.7193791187818421E-3</c:v>
                </c:pt>
                <c:pt idx="282">
                  <c:v>5.7329899855228517E-3</c:v>
                </c:pt>
                <c:pt idx="283">
                  <c:v>5.7466006659425695E-3</c:v>
                </c:pt>
                <c:pt idx="284">
                  <c:v>5.760211160043438E-3</c:v>
                </c:pt>
                <c:pt idx="285">
                  <c:v>5.7738214678281219E-3</c:v>
                </c:pt>
                <c:pt idx="286">
                  <c:v>5.7874315892991746E-3</c:v>
                </c:pt>
                <c:pt idx="287">
                  <c:v>5.8010415244590385E-3</c:v>
                </c:pt>
                <c:pt idx="288">
                  <c:v>5.8146512733102673E-3</c:v>
                </c:pt>
                <c:pt idx="289">
                  <c:v>5.8282608358555255E-3</c:v>
                </c:pt>
                <c:pt idx="290">
                  <c:v>5.8418702120972554E-3</c:v>
                </c:pt>
                <c:pt idx="291">
                  <c:v>5.8554794020381218E-3</c:v>
                </c:pt>
                <c:pt idx="292">
                  <c:v>5.869088405680567E-3</c:v>
                </c:pt>
                <c:pt idx="293">
                  <c:v>5.8826972230271446E-3</c:v>
                </c:pt>
                <c:pt idx="294">
                  <c:v>5.8963058540805191E-3</c:v>
                </c:pt>
                <c:pt idx="295">
                  <c:v>5.909914298843133E-3</c:v>
                </c:pt>
                <c:pt idx="296">
                  <c:v>5.9235225573175398E-3</c:v>
                </c:pt>
                <c:pt idx="297">
                  <c:v>5.9371306295062931E-3</c:v>
                </c:pt>
                <c:pt idx="298">
                  <c:v>5.9507385154120573E-3</c:v>
                </c:pt>
                <c:pt idx="299">
                  <c:v>5.964346215037164E-3</c:v>
                </c:pt>
                <c:pt idx="300">
                  <c:v>5.9779537283843887E-3</c:v>
                </c:pt>
                <c:pt idx="301">
                  <c:v>5.9915610554561738E-3</c:v>
                </c:pt>
                <c:pt idx="302">
                  <c:v>6.0051681962550729E-3</c:v>
                </c:pt>
                <c:pt idx="303">
                  <c:v>6.0187751507836396E-3</c:v>
                </c:pt>
                <c:pt idx="304">
                  <c:v>6.0323819190444272E-3</c:v>
                </c:pt>
                <c:pt idx="305">
                  <c:v>6.0459885010398784E-3</c:v>
                </c:pt>
                <c:pt idx="306">
                  <c:v>6.0595948967727686E-3</c:v>
                </c:pt>
                <c:pt idx="307">
                  <c:v>6.0732011062455404E-3</c:v>
                </c:pt>
                <c:pt idx="308">
                  <c:v>6.0868071294606363E-3</c:v>
                </c:pt>
                <c:pt idx="309">
                  <c:v>6.1004129664208318E-3</c:v>
                </c:pt>
                <c:pt idx="310">
                  <c:v>6.1140186171284583E-3</c:v>
                </c:pt>
                <c:pt idx="311">
                  <c:v>6.1276240815860694E-3</c:v>
                </c:pt>
                <c:pt idx="312">
                  <c:v>6.1412293597964407E-3</c:v>
                </c:pt>
                <c:pt idx="313">
                  <c:v>6.1548344517619036E-3</c:v>
                </c:pt>
                <c:pt idx="314">
                  <c:v>6.1684393574851226E-3</c:v>
                </c:pt>
                <c:pt idx="315">
                  <c:v>6.1820440769685403E-3</c:v>
                </c:pt>
                <c:pt idx="316">
                  <c:v>6.1956486102148212E-3</c:v>
                </c:pt>
                <c:pt idx="317">
                  <c:v>6.2092529572265187E-3</c:v>
                </c:pt>
                <c:pt idx="318">
                  <c:v>6.2228571180060754E-3</c:v>
                </c:pt>
                <c:pt idx="319">
                  <c:v>6.2364610925561559E-3</c:v>
                </c:pt>
                <c:pt idx="320">
                  <c:v>6.2500648808790915E-3</c:v>
                </c:pt>
                <c:pt idx="321">
                  <c:v>6.2636684829777689E-3</c:v>
                </c:pt>
                <c:pt idx="322">
                  <c:v>6.2772718988544085E-3</c:v>
                </c:pt>
                <c:pt idx="323">
                  <c:v>6.2908751285117859E-3</c:v>
                </c:pt>
                <c:pt idx="324">
                  <c:v>6.3044781719523435E-3</c:v>
                </c:pt>
                <c:pt idx="325">
                  <c:v>6.3180810291787459E-3</c:v>
                </c:pt>
                <c:pt idx="326">
                  <c:v>6.3316837001933246E-3</c:v>
                </c:pt>
                <c:pt idx="327">
                  <c:v>6.3452861849988551E-3</c:v>
                </c:pt>
                <c:pt idx="328">
                  <c:v>6.3588884835977799E-3</c:v>
                </c:pt>
                <c:pt idx="329">
                  <c:v>6.3724905959926526E-3</c:v>
                </c:pt>
                <c:pt idx="330">
                  <c:v>6.3860925221860265E-3</c:v>
                </c:pt>
                <c:pt idx="331">
                  <c:v>6.3996942621804553E-3</c:v>
                </c:pt>
                <c:pt idx="332">
                  <c:v>6.4132958159784925E-3</c:v>
                </c:pt>
                <c:pt idx="333">
                  <c:v>6.4268971835825806E-3</c:v>
                </c:pt>
                <c:pt idx="334">
                  <c:v>6.440498364995495E-3</c:v>
                </c:pt>
                <c:pt idx="335">
                  <c:v>6.4540993602195673E-3</c:v>
                </c:pt>
                <c:pt idx="336">
                  <c:v>6.4677001692575731E-3</c:v>
                </c:pt>
                <c:pt idx="337">
                  <c:v>6.4813007921118437E-3</c:v>
                </c:pt>
                <c:pt idx="338">
                  <c:v>6.4949012287849328E-3</c:v>
                </c:pt>
                <c:pt idx="339">
                  <c:v>6.5085014792795048E-3</c:v>
                </c:pt>
                <c:pt idx="340">
                  <c:v>6.5221015435981133E-3</c:v>
                </c:pt>
                <c:pt idx="341">
                  <c:v>6.5357014217433118E-3</c:v>
                </c:pt>
                <c:pt idx="342">
                  <c:v>6.5493011137174317E-3</c:v>
                </c:pt>
                <c:pt idx="343">
                  <c:v>6.5629006195233597E-3</c:v>
                </c:pt>
                <c:pt idx="344">
                  <c:v>6.5764999391634271E-3</c:v>
                </c:pt>
                <c:pt idx="345">
                  <c:v>6.5900990726401876E-3</c:v>
                </c:pt>
                <c:pt idx="346">
                  <c:v>6.6036980199561945E-3</c:v>
                </c:pt>
                <c:pt idx="347">
                  <c:v>6.6172967811141126E-3</c:v>
                </c:pt>
                <c:pt idx="348">
                  <c:v>6.6308953561163841E-3</c:v>
                </c:pt>
                <c:pt idx="349">
                  <c:v>6.6444937449655628E-3</c:v>
                </c:pt>
                <c:pt idx="350">
                  <c:v>6.658091947664313E-3</c:v>
                </c:pt>
                <c:pt idx="351">
                  <c:v>6.6716899642149663E-3</c:v>
                </c:pt>
                <c:pt idx="352">
                  <c:v>6.6852877946201872E-3</c:v>
                </c:pt>
                <c:pt idx="353">
                  <c:v>6.6988854388826402E-3</c:v>
                </c:pt>
                <c:pt idx="354">
                  <c:v>6.7124828970046568E-3</c:v>
                </c:pt>
                <c:pt idx="355">
                  <c:v>6.7260801689890126E-3</c:v>
                </c:pt>
                <c:pt idx="356">
                  <c:v>6.739677254838039E-3</c:v>
                </c:pt>
                <c:pt idx="357">
                  <c:v>6.7532741545544006E-3</c:v>
                </c:pt>
                <c:pt idx="358">
                  <c:v>6.7668708681405398E-3</c:v>
                </c:pt>
                <c:pt idx="359">
                  <c:v>6.7804673955992323E-3</c:v>
                </c:pt>
                <c:pt idx="360">
                  <c:v>6.7940637369328094E-3</c:v>
                </c:pt>
                <c:pt idx="361">
                  <c:v>6.8076598921438247E-3</c:v>
                </c:pt>
                <c:pt idx="362">
                  <c:v>6.8212558612350538E-3</c:v>
                </c:pt>
                <c:pt idx="363">
                  <c:v>6.834851644208717E-3</c:v>
                </c:pt>
                <c:pt idx="364">
                  <c:v>6.8484472410675901E-3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'2022'!Psa</c:f>
              <c:numCache>
                <c:formatCode>0.00%</c:formatCode>
                <c:ptCount val="366"/>
                <c:pt idx="0">
                  <c:v>9.4781656699833641E-3</c:v>
                </c:pt>
                <c:pt idx="1">
                  <c:v>9.5422000237718983E-3</c:v>
                </c:pt>
                <c:pt idx="2">
                  <c:v>9.6061920444414639E-3</c:v>
                </c:pt>
                <c:pt idx="3">
                  <c:v>9.6701399636731789E-3</c:v>
                </c:pt>
                <c:pt idx="4">
                  <c:v>9.734042246029204E-3</c:v>
                </c:pt>
                <c:pt idx="5">
                  <c:v>9.7978975891908539E-3</c:v>
                </c:pt>
                <c:pt idx="6">
                  <c:v>9.8617049216241891E-3</c:v>
                </c:pt>
                <c:pt idx="7">
                  <c:v>9.925463397765278E-3</c:v>
                </c:pt>
                <c:pt idx="8">
                  <c:v>9.9891723908418079E-3</c:v>
                </c:pt>
                <c:pt idx="9">
                  <c:v>1.0052831483470512E-2</c:v>
                </c:pt>
                <c:pt idx="10">
                  <c:v>1.0116440456191042E-2</c:v>
                </c:pt>
                <c:pt idx="11">
                  <c:v>1.0179999274116334E-2</c:v>
                </c:pt>
                <c:pt idx="12">
                  <c:v>1.0243508071896525E-2</c:v>
                </c:pt>
                <c:pt idx="13">
                  <c:v>1.030696713720893E-2</c:v>
                </c:pt>
                <c:pt idx="14">
                  <c:v>1.0370376892998658E-2</c:v>
                </c:pt>
                <c:pt idx="15">
                  <c:v>1.0433737878705187E-2</c:v>
                </c:pt>
                <c:pt idx="16">
                  <c:v>1.0497050730717461E-2</c:v>
                </c:pt>
                <c:pt idx="17">
                  <c:v>1.0560316162305043E-2</c:v>
                </c:pt>
                <c:pt idx="18">
                  <c:v>1.0623534943275502E-2</c:v>
                </c:pt>
                <c:pt idx="19">
                  <c:v>1.0686707879607377E-2</c:v>
                </c:pt>
                <c:pt idx="20">
                  <c:v>1.0749835793305544E-2</c:v>
                </c:pt>
                <c:pt idx="21">
                  <c:v>1.0812919502719835E-2</c:v>
                </c:pt>
                <c:pt idx="22">
                  <c:v>1.0875959803560166E-2</c:v>
                </c:pt>
                <c:pt idx="23">
                  <c:v>1.0938957450830426E-2</c:v>
                </c:pt>
                <c:pt idx="24">
                  <c:v>1.1001913141891228E-2</c:v>
                </c:pt>
                <c:pt idx="25">
                  <c:v>1.1064827500846497E-2</c:v>
                </c:pt>
                <c:pt idx="26">
                  <c:v>1.1127701064432147E-2</c:v>
                </c:pt>
                <c:pt idx="27">
                  <c:v>1.1190534269566989E-2</c:v>
                </c:pt>
                <c:pt idx="28">
                  <c:v>1.1253327442705617E-2</c:v>
                </c:pt>
                <c:pt idx="29">
                  <c:v>1.1316080791112173E-2</c:v>
                </c:pt>
                <c:pt idx="30">
                  <c:v>1.1378794396151512E-2</c:v>
                </c:pt>
                <c:pt idx="31">
                  <c:v>1.1441468208671242E-2</c:v>
                </c:pt>
                <c:pt idx="32">
                  <c:v>1.1504102046524547E-2</c:v>
                </c:pt>
                <c:pt idx="33">
                  <c:v>1.1566695594260053E-2</c:v>
                </c:pt>
                <c:pt idx="34">
                  <c:v>1.1629248404980936E-2</c:v>
                </c:pt>
                <c:pt idx="35">
                  <c:v>1.1691759904352141E-2</c:v>
                </c:pt>
                <c:pt idx="36">
                  <c:v>1.1754229396711415E-2</c:v>
                </c:pt>
                <c:pt idx="37">
                  <c:v>1.1816656073217521E-2</c:v>
                </c:pt>
                <c:pt idx="38">
                  <c:v>1.1879039021947967E-2</c:v>
                </c:pt>
                <c:pt idx="39">
                  <c:v>1.1941377239838163E-2</c:v>
                </c:pt>
                <c:pt idx="40">
                  <c:v>1.2003669646335492E-2</c:v>
                </c:pt>
                <c:pt idx="41">
                  <c:v>1.2065915098624761E-2</c:v>
                </c:pt>
                <c:pt idx="42">
                  <c:v>1.2128112408265954E-2</c:v>
                </c:pt>
                <c:pt idx="43">
                  <c:v>1.219026035907231E-2</c:v>
                </c:pt>
                <c:pt idx="44">
                  <c:v>1.2252357726044948E-2</c:v>
                </c:pt>
                <c:pt idx="45">
                  <c:v>1.2314403295171481E-2</c:v>
                </c:pt>
                <c:pt idx="46">
                  <c:v>1.2376395883889073E-2</c:v>
                </c:pt>
                <c:pt idx="47">
                  <c:v>1.2438334362007374E-2</c:v>
                </c:pt>
                <c:pt idx="48">
                  <c:v>1.2500217672884926E-2</c:v>
                </c:pt>
                <c:pt idx="49">
                  <c:v>1.2562044854652041E-2</c:v>
                </c:pt>
                <c:pt idx="50">
                  <c:v>1.2623815061275486E-2</c:v>
                </c:pt>
                <c:pt idx="51">
                  <c:v>1.268552758326465E-2</c:v>
                </c:pt>
                <c:pt idx="52">
                  <c:v>1.2747181867825183E-2</c:v>
                </c:pt>
                <c:pt idx="53">
                  <c:v>1.2808777538274552E-2</c:v>
                </c:pt>
                <c:pt idx="54">
                  <c:v>1.2870314412544138E-2</c:v>
                </c:pt>
                <c:pt idx="55">
                  <c:v>1.2931792520604798E-2</c:v>
                </c:pt>
                <c:pt idx="56">
                  <c:v>1.2993212120665792E-2</c:v>
                </c:pt>
                <c:pt idx="57">
                  <c:v>1.305457371401251E-2</c:v>
                </c:pt>
                <c:pt idx="58">
                  <c:v>1.311587805836399E-2</c:v>
                </c:pt>
                <c:pt idx="59">
                  <c:v>1.3177126179648488E-2</c:v>
                </c:pt>
                <c:pt idx="60">
                  <c:v>1.3238319382113149E-2</c:v>
                </c:pt>
                <c:pt idx="61">
                  <c:v>1.3299459256701823E-2</c:v>
                </c:pt>
                <c:pt idx="62">
                  <c:v>1.336054768765392E-2</c:v>
                </c:pt>
                <c:pt idx="63">
                  <c:v>1.3421586857295645E-2</c:v>
                </c:pt>
                <c:pt idx="64">
                  <c:v>1.348257924901327E-2</c:v>
                </c:pt>
                <c:pt idx="65">
                  <c:v>1.3543527648416367E-2</c:v>
                </c:pt>
                <c:pt idx="66">
                  <c:v>1.3604435142716063E-2</c:v>
                </c:pt>
                <c:pt idx="67">
                  <c:v>1.3665305118360083E-2</c:v>
                </c:pt>
                <c:pt idx="68">
                  <c:v>1.3726141256981961E-2</c:v>
                </c:pt>
                <c:pt idx="69">
                  <c:v>1.3786947529736008E-2</c:v>
                </c:pt>
                <c:pt idx="70">
                  <c:v>1.3847728190102803E-2</c:v>
                </c:pt>
                <c:pt idx="71">
                  <c:v>1.3908487765261456E-2</c:v>
                </c:pt>
                <c:pt idx="72">
                  <c:v>1.3969231046134683E-2</c:v>
                </c:pt>
                <c:pt idx="73">
                  <c:v>1.4029963076221213E-2</c:v>
                </c:pt>
                <c:pt idx="74">
                  <c:v>1.409068913933619E-2</c:v>
                </c:pt>
                <c:pt idx="75">
                  <c:v>1.4151414746384936E-2</c:v>
                </c:pt>
                <c:pt idx="76">
                  <c:v>1.421214562129821E-2</c:v>
                </c:pt>
                <c:pt idx="77">
                  <c:v>1.4272887686257852E-2</c:v>
                </c:pt>
                <c:pt idx="78">
                  <c:v>1.4333647046340782E-2</c:v>
                </c:pt>
                <c:pt idx="79">
                  <c:v>1.4394429973706512E-2</c:v>
                </c:pt>
                <c:pt idx="80">
                  <c:v>1.4455242891448851E-2</c:v>
                </c:pt>
                <c:pt idx="81">
                  <c:v>1.4516092357226328E-2</c:v>
                </c:pt>
                <c:pt idx="82">
                  <c:v>1.4576985046778325E-2</c:v>
                </c:pt>
                <c:pt idx="83">
                  <c:v>1.4637927737424776E-2</c:v>
                </c:pt>
                <c:pt idx="84">
                  <c:v>1.469892729163704E-2</c:v>
                </c:pt>
                <c:pt idx="85">
                  <c:v>1.4759990640756683E-2</c:v>
                </c:pt>
                <c:pt idx="86">
                  <c:v>1.4821124768926046E-2</c:v>
                </c:pt>
                <c:pt idx="87">
                  <c:v>1.4882336697282552E-2</c:v>
                </c:pt>
                <c:pt idx="88">
                  <c:v>1.4943633468454749E-2</c:v>
                </c:pt>
                <c:pt idx="89">
                  <c:v>1.5005022131385052E-2</c:v>
                </c:pt>
                <c:pt idx="90">
                  <c:v>1.5066509726490448E-2</c:v>
                </c:pt>
                <c:pt idx="91">
                  <c:v>1.5128103271159203E-2</c:v>
                </c:pt>
                <c:pt idx="92">
                  <c:v>1.5189809745568609E-2</c:v>
                </c:pt>
                <c:pt idx="93">
                  <c:v>1.5251636078796713E-2</c:v>
                </c:pt>
                <c:pt idx="94">
                  <c:v>1.5313589135189345E-2</c:v>
                </c:pt>
                <c:pt idx="95">
                  <c:v>1.5375675700933336E-2</c:v>
                </c:pt>
                <c:pt idx="96">
                  <c:v>1.5437902470777766E-2</c:v>
                </c:pt>
                <c:pt idx="97">
                  <c:v>1.5500276034836976E-2</c:v>
                </c:pt>
                <c:pt idx="98">
                  <c:v>1.5562802865402814E-2</c:v>
                </c:pt>
                <c:pt idx="99">
                  <c:v>1.56254893036889E-2</c:v>
                </c:pt>
                <c:pt idx="100">
                  <c:v>1.5688341546426537E-2</c:v>
                </c:pt>
                <c:pt idx="101">
                  <c:v>1.5751365632231042E-2</c:v>
                </c:pt>
                <c:pt idx="102">
                  <c:v>1.5814567427657484E-2</c:v>
                </c:pt>
                <c:pt idx="103">
                  <c:v>1.5877952612868049E-2</c:v>
                </c:pt>
                <c:pt idx="104">
                  <c:v>1.5941526666837222E-2</c:v>
                </c:pt>
                <c:pt idx="105">
                  <c:v>1.6005294852027795E-2</c:v>
                </c:pt>
                <c:pt idx="106">
                  <c:v>1.6069262198478793E-2</c:v>
                </c:pt>
                <c:pt idx="107">
                  <c:v>1.6133433487256654E-2</c:v>
                </c:pt>
                <c:pt idx="108">
                  <c:v>1.6197813233232401E-2</c:v>
                </c:pt>
                <c:pt idx="109">
                  <c:v>1.6262405667161185E-2</c:v>
                </c:pt>
                <c:pt idx="110">
                  <c:v>1.6327214717055009E-2</c:v>
                </c:pt>
                <c:pt idx="111">
                  <c:v>1.6392243988855408E-2</c:v>
                </c:pt>
                <c:pt idx="112">
                  <c:v>1.6457496746429795E-2</c:v>
                </c:pt>
                <c:pt idx="113">
                  <c:v>1.6522975890932899E-2</c:v>
                </c:pt>
                <c:pt idx="114">
                  <c:v>1.6588683939593011E-2</c:v>
                </c:pt>
                <c:pt idx="115">
                  <c:v>1.6654623004001699E-2</c:v>
                </c:pt>
                <c:pt idx="116">
                  <c:v>1.6720794768004053E-2</c:v>
                </c:pt>
                <c:pt idx="117">
                  <c:v>1.6787200465305501E-2</c:v>
                </c:pt>
                <c:pt idx="118">
                  <c:v>1.6853840856929345E-2</c:v>
                </c:pt>
                <c:pt idx="119">
                  <c:v>1.6920716208676738E-2</c:v>
                </c:pt>
                <c:pt idx="120">
                  <c:v>1.698782626875734E-2</c:v>
                </c:pt>
                <c:pt idx="121">
                  <c:v>1.7055170245774562E-2</c:v>
                </c:pt>
                <c:pt idx="122">
                  <c:v>1.7122746787263009E-2</c:v>
                </c:pt>
                <c:pt idx="123">
                  <c:v>1.7190553958988115E-2</c:v>
                </c:pt>
                <c:pt idx="124">
                  <c:v>1.7258589225228518E-2</c:v>
                </c:pt>
                <c:pt idx="125">
                  <c:v>1.7326849430269624E-2</c:v>
                </c:pt>
                <c:pt idx="126">
                  <c:v>1.7395330781343348E-2</c:v>
                </c:pt>
                <c:pt idx="127">
                  <c:v>1.7464028833252002E-2</c:v>
                </c:pt>
                <c:pt idx="128">
                  <c:v>1.7532938474915567E-2</c:v>
                </c:pt>
                <c:pt idx="129">
                  <c:v>1.7602053918079865E-2</c:v>
                </c:pt>
                <c:pt idx="130">
                  <c:v>1.7671368688418478E-2</c:v>
                </c:pt>
                <c:pt idx="131">
                  <c:v>1.774087561925404E-2</c:v>
                </c:pt>
                <c:pt idx="132">
                  <c:v>1.7810566848114207E-2</c:v>
                </c:pt>
                <c:pt idx="133">
                  <c:v>1.7880433816324925E-2</c:v>
                </c:pt>
                <c:pt idx="134">
                  <c:v>1.7950467271827468E-2</c:v>
                </c:pt>
                <c:pt idx="135">
                  <c:v>1.8020657275387521E-2</c:v>
                </c:pt>
                <c:pt idx="136">
                  <c:v>1.8090993210343555E-2</c:v>
                </c:pt>
                <c:pt idx="137">
                  <c:v>1.8161463796018098E-2</c:v>
                </c:pt>
                <c:pt idx="138">
                  <c:v>1.8232057104890079E-2</c:v>
                </c:pt>
                <c:pt idx="139">
                  <c:v>1.8302760583598473E-2</c:v>
                </c:pt>
                <c:pt idx="140">
                  <c:v>1.8373561077818078E-2</c:v>
                </c:pt>
                <c:pt idx="141">
                  <c:v>1.8444444861017126E-2</c:v>
                </c:pt>
                <c:pt idx="142">
                  <c:v>1.8515397667074079E-2</c:v>
                </c:pt>
                <c:pt idx="143">
                  <c:v>1.8586404726697831E-2</c:v>
                </c:pt>
                <c:pt idx="144">
                  <c:v>1.8657450807561395E-2</c:v>
                </c:pt>
                <c:pt idx="145">
                  <c:v>1.8728520258025145E-2</c:v>
                </c:pt>
                <c:pt idx="146">
                  <c:v>1.8799597054291538E-2</c:v>
                </c:pt>
                <c:pt idx="147">
                  <c:v>1.8870664850799263E-2</c:v>
                </c:pt>
                <c:pt idx="148">
                  <c:v>1.8941707033632248E-2</c:v>
                </c:pt>
                <c:pt idx="149">
                  <c:v>1.901270677668648E-2</c:v>
                </c:pt>
                <c:pt idx="150">
                  <c:v>1.9083647100307816E-2</c:v>
                </c:pt>
                <c:pt idx="151">
                  <c:v>1.9154510932084961E-2</c:v>
                </c:pt>
                <c:pt idx="152">
                  <c:v>1.922528116945545E-2</c:v>
                </c:pt>
                <c:pt idx="153">
                  <c:v>1.929594074375857E-2</c:v>
                </c:pt>
                <c:pt idx="154">
                  <c:v>1.9366472685347802E-2</c:v>
                </c:pt>
                <c:pt idx="155">
                  <c:v>1.9436860189357114E-2</c:v>
                </c:pt>
                <c:pt idx="156">
                  <c:v>1.9507086681700491E-2</c:v>
                </c:pt>
                <c:pt idx="157">
                  <c:v>1.9577135884872421E-2</c:v>
                </c:pt>
                <c:pt idx="158">
                  <c:v>1.9646991883109595E-2</c:v>
                </c:pt>
                <c:pt idx="159">
                  <c:v>1.9716639186469109E-2</c:v>
                </c:pt>
                <c:pt idx="160">
                  <c:v>1.9786062793379421E-2</c:v>
                </c:pt>
                <c:pt idx="161">
                  <c:v>1.9855248251223014E-2</c:v>
                </c:pt>
                <c:pt idx="162">
                  <c:v>1.992418171451811E-2</c:v>
                </c:pt>
                <c:pt idx="163">
                  <c:v>1.9992850000278336E-2</c:v>
                </c:pt>
                <c:pt idx="164">
                  <c:v>2.0061240640144928E-2</c:v>
                </c:pt>
                <c:pt idx="165">
                  <c:v>2.0129341928905493E-2</c:v>
                </c:pt>
                <c:pt idx="166">
                  <c:v>2.0197142969036807E-2</c:v>
                </c:pt>
                <c:pt idx="167">
                  <c:v>2.0264633710935551E-2</c:v>
                </c:pt>
                <c:pt idx="168">
                  <c:v>2.0331804988531273E-2</c:v>
                </c:pt>
                <c:pt idx="169">
                  <c:v>2.0398648550008877E-2</c:v>
                </c:pt>
                <c:pt idx="170">
                  <c:v>2.0465157083403747E-2</c:v>
                </c:pt>
                <c:pt idx="171">
                  <c:v>2.0531324236871307E-2</c:v>
                </c:pt>
                <c:pt idx="172">
                  <c:v>2.0597144633473095E-2</c:v>
                </c:pt>
                <c:pt idx="173">
                  <c:v>2.0662613880363955E-2</c:v>
                </c:pt>
                <c:pt idx="174">
                  <c:v>2.0727728572308406E-2</c:v>
                </c:pt>
                <c:pt idx="175">
                  <c:v>2.079248628949916E-2</c:v>
                </c:pt>
                <c:pt idx="176">
                  <c:v>2.0856885589695572E-2</c:v>
                </c:pt>
                <c:pt idx="177">
                  <c:v>2.0920925994745626E-2</c:v>
                </c:pt>
                <c:pt idx="178">
                  <c:v>2.0984607971599536E-2</c:v>
                </c:pt>
                <c:pt idx="179">
                  <c:v>2.1047932907967481E-2</c:v>
                </c:pt>
                <c:pt idx="180">
                  <c:v>2.1110903082817128E-2</c:v>
                </c:pt>
                <c:pt idx="181">
                  <c:v>2.1173521631947721E-2</c:v>
                </c:pt>
                <c:pt idx="182">
                  <c:v>2.1235792508917072E-2</c:v>
                </c:pt>
                <c:pt idx="183">
                  <c:v>2.129772044163479E-2</c:v>
                </c:pt>
                <c:pt idx="184">
                  <c:v>2.1359310884968979E-2</c:v>
                </c:pt>
                <c:pt idx="185">
                  <c:v>2.1420569969744924E-2</c:v>
                </c:pt>
                <c:pt idx="186">
                  <c:v>2.1481504448541779E-2</c:v>
                </c:pt>
                <c:pt idx="187">
                  <c:v>2.1542121638716851E-2</c:v>
                </c:pt>
                <c:pt idx="188">
                  <c:v>2.160242936310738E-2</c:v>
                </c:pt>
                <c:pt idx="189">
                  <c:v>2.1662435888874829E-2</c:v>
                </c:pt>
                <c:pt idx="190">
                  <c:v>2.172214986496843E-2</c:v>
                </c:pt>
                <c:pt idx="191">
                  <c:v>2.1781580258691334E-2</c:v>
                </c:pt>
                <c:pt idx="192">
                  <c:v>2.1840736291855026E-2</c:v>
                </c:pt>
                <c:pt idx="193">
                  <c:v>2.1899627377005421E-2</c:v>
                </c:pt>
                <c:pt idx="194">
                  <c:v>2.1958263054197093E-2</c:v>
                </c:pt>
                <c:pt idx="195">
                  <c:v>2.2016652928780928E-2</c:v>
                </c:pt>
                <c:pt idx="196">
                  <c:v>2.2074806610654578E-2</c:v>
                </c:pt>
                <c:pt idx="197">
                  <c:v>2.2132733655405332E-2</c:v>
                </c:pt>
                <c:pt idx="198">
                  <c:v>2.2190443507750918E-2</c:v>
                </c:pt>
                <c:pt idx="199">
                  <c:v>2.2247945447656254E-2</c:v>
                </c:pt>
                <c:pt idx="200">
                  <c:v>2.2305248539472688E-2</c:v>
                </c:pt>
                <c:pt idx="201">
                  <c:v>2.2362361584412377E-2</c:v>
                </c:pt>
                <c:pt idx="202">
                  <c:v>2.2419293076632794E-2</c:v>
                </c:pt>
                <c:pt idx="203">
                  <c:v>2.2476051163167386E-2</c:v>
                </c:pt>
                <c:pt idx="204">
                  <c:v>2.2532643607896377E-2</c:v>
                </c:pt>
                <c:pt idx="205">
                  <c:v>2.2589077759709201E-2</c:v>
                </c:pt>
                <c:pt idx="206">
                  <c:v>2.2645360524965349E-2</c:v>
                </c:pt>
                <c:pt idx="207">
                  <c:v>2.2701498344316225E-2</c:v>
                </c:pt>
                <c:pt idx="208">
                  <c:v>2.2757497173905152E-2</c:v>
                </c:pt>
                <c:pt idx="209">
                  <c:v>2.2813362470918648E-2</c:v>
                </c:pt>
                <c:pt idx="210">
                  <c:v>2.2869099183417872E-2</c:v>
                </c:pt>
                <c:pt idx="211">
                  <c:v>2.2924711744337047E-2</c:v>
                </c:pt>
                <c:pt idx="212">
                  <c:v>2.298020406949482E-2</c:v>
                </c:pt>
                <c:pt idx="213">
                  <c:v>2.3035579559425839E-2</c:v>
                </c:pt>
                <c:pt idx="214">
                  <c:v>2.3090841104804256E-2</c:v>
                </c:pt>
                <c:pt idx="215">
                  <c:v>2.3145991095197695E-2</c:v>
                </c:pt>
                <c:pt idx="216">
                  <c:v>2.3201031430860507E-2</c:v>
                </c:pt>
                <c:pt idx="217">
                  <c:v>2.3255963537249888E-2</c:v>
                </c:pt>
                <c:pt idx="218">
                  <c:v>2.3310788381925483E-2</c:v>
                </c:pt>
                <c:pt idx="219">
                  <c:v>2.3365506493476421E-2</c:v>
                </c:pt>
                <c:pt idx="220">
                  <c:v>2.3420117982105571E-2</c:v>
                </c:pt>
                <c:pt idx="221">
                  <c:v>2.3474622561492627E-2</c:v>
                </c:pt>
                <c:pt idx="222">
                  <c:v>2.3529019571552942E-2</c:v>
                </c:pt>
                <c:pt idx="223">
                  <c:v>2.3583308001710032E-2</c:v>
                </c:pt>
                <c:pt idx="224">
                  <c:v>2.363748651430465E-2</c:v>
                </c:pt>
                <c:pt idx="225">
                  <c:v>2.3691553467773272E-2</c:v>
                </c:pt>
                <c:pt idx="226">
                  <c:v>2.3745506939243103E-2</c:v>
                </c:pt>
                <c:pt idx="227">
                  <c:v>2.3799344746209778E-2</c:v>
                </c:pt>
                <c:pt idx="228">
                  <c:v>2.3853064466986124E-2</c:v>
                </c:pt>
                <c:pt idx="229">
                  <c:v>2.3906663459638076E-2</c:v>
                </c:pt>
                <c:pt idx="230">
                  <c:v>2.3960138879153315E-2</c:v>
                </c:pt>
                <c:pt idx="231">
                  <c:v>2.4013487692622158E-2</c:v>
                </c:pt>
                <c:pt idx="232">
                  <c:v>2.4066706692246947E-2</c:v>
                </c:pt>
                <c:pt idx="233">
                  <c:v>2.4119792506034365E-2</c:v>
                </c:pt>
                <c:pt idx="234">
                  <c:v>2.4172741606066656E-2</c:v>
                </c:pt>
                <c:pt idx="235">
                  <c:v>2.4225550314289739E-2</c:v>
                </c:pt>
                <c:pt idx="236">
                  <c:v>2.4278214805799607E-2</c:v>
                </c:pt>
                <c:pt idx="237">
                  <c:v>2.4330731109652406E-2</c:v>
                </c:pt>
                <c:pt idx="238">
                  <c:v>2.4383095107267373E-2</c:v>
                </c:pt>
                <c:pt idx="239">
                  <c:v>2.4435302528535024E-2</c:v>
                </c:pt>
                <c:pt idx="240">
                  <c:v>2.4487348945785699E-2</c:v>
                </c:pt>
                <c:pt idx="241">
                  <c:v>2.4539229765813353E-2</c:v>
                </c:pt>
                <c:pt idx="242">
                  <c:v>2.4590940220189098E-2</c:v>
                </c:pt>
                <c:pt idx="243">
                  <c:v>2.4642475354134104E-2</c:v>
                </c:pt>
                <c:pt idx="244">
                  <c:v>2.4693830014255101E-2</c:v>
                </c:pt>
                <c:pt idx="245">
                  <c:v>2.4744998835474593E-2</c:v>
                </c:pt>
                <c:pt idx="246">
                  <c:v>2.4795976227514151E-2</c:v>
                </c:pt>
                <c:pt idx="247">
                  <c:v>2.4846756361310101E-2</c:v>
                </c:pt>
                <c:pt idx="248">
                  <c:v>2.4897333155757876E-2</c:v>
                </c:pt>
                <c:pt idx="249">
                  <c:v>2.4947700265193568E-2</c:v>
                </c:pt>
                <c:pt idx="250">
                  <c:v>2.4997851068028092E-2</c:v>
                </c:pt>
                <c:pt idx="251">
                  <c:v>2.5047778656951146E-2</c:v>
                </c:pt>
                <c:pt idx="252">
                  <c:v>2.5097475831119043E-2</c:v>
                </c:pt>
                <c:pt idx="253">
                  <c:v>2.5146935090731366E-2</c:v>
                </c:pt>
                <c:pt idx="254">
                  <c:v>2.5196148634387561E-2</c:v>
                </c:pt>
                <c:pt idx="255">
                  <c:v>2.5245108359595151E-2</c:v>
                </c:pt>
                <c:pt idx="256">
                  <c:v>2.5293805866776702E-2</c:v>
                </c:pt>
                <c:pt idx="257">
                  <c:v>2.5342232467093374E-2</c:v>
                </c:pt>
                <c:pt idx="258">
                  <c:v>2.5390379194368581E-2</c:v>
                </c:pt>
                <c:pt idx="259">
                  <c:v>2.5438236821357065E-2</c:v>
                </c:pt>
                <c:pt idx="260">
                  <c:v>2.5485795880561605E-2</c:v>
                </c:pt>
                <c:pt idx="261">
                  <c:v>2.5533046689753876E-2</c:v>
                </c:pt>
                <c:pt idx="262">
                  <c:v>2.5579979382306137E-2</c:v>
                </c:pt>
                <c:pt idx="263">
                  <c:v>2.5626583942388328E-2</c:v>
                </c:pt>
                <c:pt idx="264">
                  <c:v>2.5672850245030972E-2</c:v>
                </c:pt>
                <c:pt idx="265">
                  <c:v>2.5718768100997921E-2</c:v>
                </c:pt>
                <c:pt idx="266">
                  <c:v>2.5764327306356267E-2</c:v>
                </c:pt>
                <c:pt idx="267">
                  <c:v>2.5809517696572724E-2</c:v>
                </c:pt>
                <c:pt idx="268">
                  <c:v>2.5854329204908776E-2</c:v>
                </c:pt>
                <c:pt idx="269">
                  <c:v>2.589875192483012E-2</c:v>
                </c:pt>
                <c:pt idx="270">
                  <c:v>2.5942776176090299E-2</c:v>
                </c:pt>
                <c:pt idx="271">
                  <c:v>2.5986392574095796E-2</c:v>
                </c:pt>
                <c:pt idx="272">
                  <c:v>2.6029592102108545E-2</c:v>
                </c:pt>
                <c:pt idx="273">
                  <c:v>2.6072366185794841E-2</c:v>
                </c:pt>
                <c:pt idx="274">
                  <c:v>2.6114706769585355E-2</c:v>
                </c:pt>
                <c:pt idx="275">
                  <c:v>2.6156606394272239E-2</c:v>
                </c:pt>
                <c:pt idx="276">
                  <c:v>2.6198058275233679E-2</c:v>
                </c:pt>
                <c:pt idx="277">
                  <c:v>2.6239056380647694E-2</c:v>
                </c:pt>
                <c:pt idx="278">
                  <c:v>2.6279595509032368E-2</c:v>
                </c:pt>
                <c:pt idx="279">
                  <c:v>2.6319671365432343E-2</c:v>
                </c:pt>
                <c:pt idx="280">
                  <c:v>2.6359280635559392E-2</c:v>
                </c:pt>
                <c:pt idx="281">
                  <c:v>2.6398421057190005E-2</c:v>
                </c:pt>
                <c:pt idx="282">
                  <c:v>2.6437091488124308E-2</c:v>
                </c:pt>
                <c:pt idx="283">
                  <c:v>2.6475291970018921E-2</c:v>
                </c:pt>
                <c:pt idx="284">
                  <c:v>2.6513023787421496E-2</c:v>
                </c:pt>
                <c:pt idx="285">
                  <c:v>2.6550289521356629E-2</c:v>
                </c:pt>
                <c:pt idx="286">
                  <c:v>2.6587093096841111E-2</c:v>
                </c:pt>
                <c:pt idx="287">
                  <c:v>2.66234398237419E-2</c:v>
                </c:pt>
                <c:pt idx="288">
                  <c:v>2.665933643043121E-2</c:v>
                </c:pt>
                <c:pt idx="289">
                  <c:v>2.6694791089740544E-2</c:v>
                </c:pt>
                <c:pt idx="290">
                  <c:v>2.672981343676847E-2</c:v>
                </c:pt>
                <c:pt idx="291">
                  <c:v>2.6764414578154767E-2</c:v>
                </c:pt>
                <c:pt idx="292">
                  <c:v>2.6798607092496717E-2</c:v>
                </c:pt>
                <c:pt idx="293">
                  <c:v>2.6832405021650043E-2</c:v>
                </c:pt>
                <c:pt idx="294">
                  <c:v>2.6865823852727448E-2</c:v>
                </c:pt>
                <c:pt idx="295">
                  <c:v>2.6898880490681679E-2</c:v>
                </c:pt>
                <c:pt idx="296">
                  <c:v>2.6931593221435332E-2</c:v>
                </c:pt>
                <c:pt idx="297">
                  <c:v>2.6963981665597589E-2</c:v>
                </c:pt>
                <c:pt idx="298">
                  <c:v>2.6996066722886024E-2</c:v>
                </c:pt>
                <c:pt idx="299">
                  <c:v>2.7027870507450587E-2</c:v>
                </c:pt>
                <c:pt idx="300">
                  <c:v>2.7059416274374751E-2</c:v>
                </c:pt>
                <c:pt idx="301">
                  <c:v>2.70907283377055E-2</c:v>
                </c:pt>
                <c:pt idx="302">
                  <c:v>2.7121831980438757E-2</c:v>
                </c:pt>
                <c:pt idx="303">
                  <c:v>2.7152753356958888E-2</c:v>
                </c:pt>
                <c:pt idx="304">
                  <c:v>2.718351938849934E-2</c:v>
                </c:pt>
                <c:pt idx="305">
                  <c:v>2.7214157652256332E-2</c:v>
                </c:pt>
                <c:pt idx="306">
                  <c:v>2.7244696264846893E-2</c:v>
                </c:pt>
                <c:pt idx="307">
                  <c:v>2.7275163760857479E-2</c:v>
                </c:pt>
                <c:pt idx="308">
                  <c:v>2.7305588967277424E-2</c:v>
                </c:pt>
                <c:pt idx="309">
                  <c:v>2.7336000874654327E-2</c:v>
                </c:pt>
                <c:pt idx="310">
                  <c:v>2.7366428505843251E-2</c:v>
                </c:pt>
                <c:pt idx="311">
                  <c:v>2.7396900783250158E-2</c:v>
                </c:pt>
                <c:pt idx="312">
                  <c:v>2.7427446395490732E-2</c:v>
                </c:pt>
                <c:pt idx="313">
                  <c:v>2.7458093664398085E-2</c:v>
                </c:pt>
                <c:pt idx="314">
                  <c:v>2.7488870413318781E-2</c:v>
                </c:pt>
                <c:pt idx="315">
                  <c:v>2.7519803837632587E-2</c:v>
                </c:pt>
                <c:pt idx="316">
                  <c:v>2.7550920378420839E-2</c:v>
                </c:pt>
                <c:pt idx="317">
                  <c:v>2.7582245600189258E-2</c:v>
                </c:pt>
                <c:pt idx="318">
                  <c:v>2.7613804073523568E-2</c:v>
                </c:pt>
                <c:pt idx="319">
                  <c:v>2.7645619263522405E-2</c:v>
                </c:pt>
                <c:pt idx="320">
                  <c:v>2.7677713424809222E-2</c:v>
                </c:pt>
                <c:pt idx="321">
                  <c:v>2.7710107503876626E-2</c:v>
                </c:pt>
                <c:pt idx="322">
                  <c:v>2.7742821049460239E-2</c:v>
                </c:pt>
                <c:pt idx="323">
                  <c:v>2.7775872131577884E-2</c:v>
                </c:pt>
                <c:pt idx="324">
                  <c:v>2.7809277269802393E-2</c:v>
                </c:pt>
                <c:pt idx="325">
                  <c:v>2.784305137126368E-2</c:v>
                </c:pt>
                <c:pt idx="326">
                  <c:v>2.78772076787994E-2</c:v>
                </c:pt>
                <c:pt idx="327">
                  <c:v>2.7911757729592802E-2</c:v>
                </c:pt>
                <c:pt idx="328">
                  <c:v>2.7946711324553026E-2</c:v>
                </c:pt>
                <c:pt idx="329">
                  <c:v>2.7982076508607737E-2</c:v>
                </c:pt>
                <c:pt idx="330">
                  <c:v>2.8017859561990561E-2</c:v>
                </c:pt>
                <c:pt idx="331">
                  <c:v>2.8054065002518565E-2</c:v>
                </c:pt>
                <c:pt idx="332">
                  <c:v>2.8090695598767226E-2</c:v>
                </c:pt>
                <c:pt idx="333">
                  <c:v>2.8127752393963822E-2</c:v>
                </c:pt>
                <c:pt idx="334">
                  <c:v>2.8165234740335249E-2</c:v>
                </c:pt>
                <c:pt idx="335">
                  <c:v>2.820314034356413E-2</c:v>
                </c:pt>
                <c:pt idx="336">
                  <c:v>2.8241465316927557E-2</c:v>
                </c:pt>
                <c:pt idx="337">
                  <c:v>2.8280204244617899E-2</c:v>
                </c:pt>
                <c:pt idx="338">
                  <c:v>2.831935025367454E-2</c:v>
                </c:pt>
                <c:pt idx="339">
                  <c:v>2.8358895093889721E-2</c:v>
                </c:pt>
                <c:pt idx="340">
                  <c:v>2.8398829224992529E-2</c:v>
                </c:pt>
                <c:pt idx="341">
                  <c:v>2.8439141910361902E-2</c:v>
                </c:pt>
                <c:pt idx="342">
                  <c:v>2.8479821316472729E-2</c:v>
                </c:pt>
                <c:pt idx="343">
                  <c:v>2.8520854617240646E-2</c:v>
                </c:pt>
                <c:pt idx="344">
                  <c:v>2.8562228102398959E-2</c:v>
                </c:pt>
                <c:pt idx="345">
                  <c:v>2.8603927289017804E-2</c:v>
                </c:pt>
                <c:pt idx="346">
                  <c:v>2.8645937035259292E-2</c:v>
                </c:pt>
                <c:pt idx="347">
                  <c:v>2.8688241655455356E-2</c:v>
                </c:pt>
                <c:pt idx="348">
                  <c:v>2.8730825035594751E-2</c:v>
                </c:pt>
                <c:pt idx="349">
                  <c:v>2.8773670748314405E-2</c:v>
                </c:pt>
                <c:pt idx="350">
                  <c:v>2.8816762166506721E-2</c:v>
                </c:pt>
                <c:pt idx="351">
                  <c:v>2.8860082574678422E-2</c:v>
                </c:pt>
                <c:pt idx="352">
                  <c:v>2.8903615277228217E-2</c:v>
                </c:pt>
                <c:pt idx="353">
                  <c:v>2.8947343702849054E-2</c:v>
                </c:pt>
                <c:pt idx="354">
                  <c:v>2.8991251504306488E-2</c:v>
                </c:pt>
                <c:pt idx="355">
                  <c:v>2.9035322652896031E-2</c:v>
                </c:pt>
                <c:pt idx="356">
                  <c:v>2.9079541526939635E-2</c:v>
                </c:pt>
                <c:pt idx="357">
                  <c:v>2.912389299374446E-2</c:v>
                </c:pt>
                <c:pt idx="358">
                  <c:v>2.9168362484513356E-2</c:v>
                </c:pt>
                <c:pt idx="359">
                  <c:v>2.9212936061767721E-2</c:v>
                </c:pt>
                <c:pt idx="360">
                  <c:v>2.9257600478917532E-2</c:v>
                </c:pt>
                <c:pt idx="361">
                  <c:v>2.9302343231689055E-2</c:v>
                </c:pt>
                <c:pt idx="362">
                  <c:v>2.934715260119948E-2</c:v>
                </c:pt>
                <c:pt idx="363">
                  <c:v>2.9392017688546278E-2</c:v>
                </c:pt>
                <c:pt idx="364">
                  <c:v>2.9436928440858216E-2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'2022'!Pvg</c:f>
              <c:numCache>
                <c:formatCode>0.00%</c:formatCode>
                <c:ptCount val="366"/>
                <c:pt idx="0">
                  <c:v>1.2784121479255911E-9</c:v>
                </c:pt>
                <c:pt idx="1">
                  <c:v>3.2967681920377492E-8</c:v>
                </c:pt>
                <c:pt idx="2">
                  <c:v>6.6767255123018278E-8</c:v>
                </c:pt>
                <c:pt idx="3">
                  <c:v>1.026437831990738E-7</c:v>
                </c:pt>
                <c:pt idx="4">
                  <c:v>1.4056172235421781E-7</c:v>
                </c:pt>
                <c:pt idx="5">
                  <c:v>1.8048363370003801E-7</c:v>
                </c:pt>
                <c:pt idx="6">
                  <c:v>2.2237045536105855E-7</c:v>
                </c:pt>
                <c:pt idx="7">
                  <c:v>2.6618174295093073E-7</c:v>
                </c:pt>
                <c:pt idx="8">
                  <c:v>3.118448520339244E-7</c:v>
                </c:pt>
                <c:pt idx="9">
                  <c:v>3.5863405573640999E-7</c:v>
                </c:pt>
                <c:pt idx="10">
                  <c:v>4.0590046784031471E-7</c:v>
                </c:pt>
                <c:pt idx="11">
                  <c:v>4.5320823622589567E-7</c:v>
                </c:pt>
                <c:pt idx="12">
                  <c:v>5.0010413030386188E-7</c:v>
                </c:pt>
                <c:pt idx="13">
                  <c:v>5.4611717817689923E-7</c:v>
                </c:pt>
                <c:pt idx="14">
                  <c:v>5.9075804659459032E-7</c:v>
                </c:pt>
                <c:pt idx="15">
                  <c:v>6.3414443049391626E-7</c:v>
                </c:pt>
                <c:pt idx="16">
                  <c:v>6.7706628383791583E-7</c:v>
                </c:pt>
                <c:pt idx="17">
                  <c:v>7.1939673421549562E-7</c:v>
                </c:pt>
                <c:pt idx="18">
                  <c:v>7.6100582482562731E-7</c:v>
                </c:pt>
                <c:pt idx="19">
                  <c:v>8.0176366406176279E-7</c:v>
                </c:pt>
                <c:pt idx="20">
                  <c:v>8.4153852143805281E-7</c:v>
                </c:pt>
                <c:pt idx="21">
                  <c:v>8.8019138908728956E-7</c:v>
                </c:pt>
                <c:pt idx="22">
                  <c:v>9.1749452778162882E-7</c:v>
                </c:pt>
                <c:pt idx="23">
                  <c:v>9.5248753148992636E-7</c:v>
                </c:pt>
                <c:pt idx="24">
                  <c:v>9.8692575462597541E-7</c:v>
                </c:pt>
                <c:pt idx="25">
                  <c:v>1.02084171576044E-6</c:v>
                </c:pt>
                <c:pt idx="26">
                  <c:v>1.0542712745200962E-6</c:v>
                </c:pt>
                <c:pt idx="27">
                  <c:v>1.0872534072054436E-6</c:v>
                </c:pt>
                <c:pt idx="28">
                  <c:v>1.1198300103163108E-6</c:v>
                </c:pt>
                <c:pt idx="29">
                  <c:v>1.1493502202273401E-6</c:v>
                </c:pt>
                <c:pt idx="30">
                  <c:v>1.1739466123732988E-6</c:v>
                </c:pt>
                <c:pt idx="31">
                  <c:v>1.1930378415426603E-6</c:v>
                </c:pt>
                <c:pt idx="32">
                  <c:v>1.2060102750011504E-6</c:v>
                </c:pt>
                <c:pt idx="33">
                  <c:v>1.2122151029431271E-6</c:v>
                </c:pt>
                <c:pt idx="34">
                  <c:v>1.2109652311927166E-6</c:v>
                </c:pt>
                <c:pt idx="35">
                  <c:v>1.2015319474170094E-6</c:v>
                </c:pt>
                <c:pt idx="36">
                  <c:v>1.1830365866887533E-6</c:v>
                </c:pt>
                <c:pt idx="37">
                  <c:v>1.1579644955864863E-6</c:v>
                </c:pt>
                <c:pt idx="38">
                  <c:v>1.1273593195055651E-6</c:v>
                </c:pt>
                <c:pt idx="39">
                  <c:v>1.0909687676246172E-6</c:v>
                </c:pt>
                <c:pt idx="40">
                  <c:v>1.0485233320360215E-6</c:v>
                </c:pt>
                <c:pt idx="41">
                  <c:v>9.9973461770790952E-7</c:v>
                </c:pt>
                <c:pt idx="42">
                  <c:v>9.4429360739733628E-7</c:v>
                </c:pt>
                <c:pt idx="43">
                  <c:v>8.8594744996522001E-7</c:v>
                </c:pt>
                <c:pt idx="44">
                  <c:v>8.299158890124765E-7</c:v>
                </c:pt>
                <c:pt idx="45">
                  <c:v>7.7692904188167429E-7</c:v>
                </c:pt>
                <c:pt idx="46">
                  <c:v>7.2776075425967106E-7</c:v>
                </c:pt>
                <c:pt idx="47">
                  <c:v>6.8323300020751221E-7</c:v>
                </c:pt>
                <c:pt idx="48">
                  <c:v>6.4422071806677552E-7</c:v>
                </c:pt>
                <c:pt idx="49">
                  <c:v>6.1165711488860932E-7</c:v>
                </c:pt>
                <c:pt idx="50">
                  <c:v>5.8649745844977831E-7</c:v>
                </c:pt>
                <c:pt idx="51">
                  <c:v>5.686591920185219E-7</c:v>
                </c:pt>
                <c:pt idx="52">
                  <c:v>5.5308849125392302E-7</c:v>
                </c:pt>
                <c:pt idx="53">
                  <c:v>5.4018273961712459E-7</c:v>
                </c:pt>
                <c:pt idx="54">
                  <c:v>5.3036853955182815E-7</c:v>
                </c:pt>
                <c:pt idx="55">
                  <c:v>5.2410126794362247E-7</c:v>
                </c:pt>
                <c:pt idx="56">
                  <c:v>5.2186722983587292E-7</c:v>
                </c:pt>
                <c:pt idx="57">
                  <c:v>5.248283141830498E-7</c:v>
                </c:pt>
                <c:pt idx="58">
                  <c:v>5.2647377710625162E-7</c:v>
                </c:pt>
                <c:pt idx="59">
                  <c:v>5.2668620184592502E-7</c:v>
                </c:pt>
                <c:pt idx="60">
                  <c:v>5.2534011281563047E-7</c:v>
                </c:pt>
                <c:pt idx="61">
                  <c:v>5.2230137659510743E-7</c:v>
                </c:pt>
                <c:pt idx="62">
                  <c:v>5.1742655356423499E-7</c:v>
                </c:pt>
                <c:pt idx="63">
                  <c:v>5.105621957973243E-7</c:v>
                </c:pt>
                <c:pt idx="64">
                  <c:v>5.0153579064229154E-7</c:v>
                </c:pt>
                <c:pt idx="65">
                  <c:v>4.9226435347217132E-7</c:v>
                </c:pt>
                <c:pt idx="66">
                  <c:v>4.8469943126179442E-7</c:v>
                </c:pt>
                <c:pt idx="67">
                  <c:v>4.7909312250526821E-7</c:v>
                </c:pt>
                <c:pt idx="68">
                  <c:v>4.7571706771892258E-7</c:v>
                </c:pt>
                <c:pt idx="69">
                  <c:v>4.8063313241716522E-7</c:v>
                </c:pt>
                <c:pt idx="70">
                  <c:v>4.8812092328306742E-7</c:v>
                </c:pt>
                <c:pt idx="71">
                  <c:v>4.9915486938320745E-7</c:v>
                </c:pt>
                <c:pt idx="72">
                  <c:v>5.1314672313872683E-7</c:v>
                </c:pt>
                <c:pt idx="73">
                  <c:v>5.3050083728991726E-7</c:v>
                </c:pt>
                <c:pt idx="74">
                  <c:v>5.5164967284500316E-7</c:v>
                </c:pt>
                <c:pt idx="75">
                  <c:v>5.7705563660322939E-7</c:v>
                </c:pt>
                <c:pt idx="76">
                  <c:v>6.0721302645263875E-7</c:v>
                </c:pt>
                <c:pt idx="77">
                  <c:v>6.4265009037292818E-7</c:v>
                </c:pt>
                <c:pt idx="78">
                  <c:v>6.839096782023209E-7</c:v>
                </c:pt>
                <c:pt idx="79">
                  <c:v>7.3084556960600959E-7</c:v>
                </c:pt>
                <c:pt idx="80">
                  <c:v>7.8023702932064308E-7</c:v>
                </c:pt>
                <c:pt idx="81">
                  <c:v>8.322241259807226E-7</c:v>
                </c:pt>
                <c:pt idx="82">
                  <c:v>8.8695690984244288E-7</c:v>
                </c:pt>
                <c:pt idx="83">
                  <c:v>9.4459611761956831E-7</c:v>
                </c:pt>
                <c:pt idx="84">
                  <c:v>1.005313929838322E-6</c:v>
                </c:pt>
                <c:pt idx="85">
                  <c:v>1.0698427539838437E-6</c:v>
                </c:pt>
                <c:pt idx="86">
                  <c:v>1.1371488000887569E-6</c:v>
                </c:pt>
                <c:pt idx="87">
                  <c:v>1.2073578032140175E-6</c:v>
                </c:pt>
                <c:pt idx="88">
                  <c:v>1.2806037948994868E-6</c:v>
                </c:pt>
                <c:pt idx="89">
                  <c:v>1.3570295604820254E-6</c:v>
                </c:pt>
                <c:pt idx="90">
                  <c:v>1.436787125370568E-6</c:v>
                </c:pt>
                <c:pt idx="91">
                  <c:v>1.5200382723913834E-6</c:v>
                </c:pt>
                <c:pt idx="92">
                  <c:v>1.6069041745914358E-6</c:v>
                </c:pt>
                <c:pt idx="93">
                  <c:v>1.6987499640498707E-6</c:v>
                </c:pt>
                <c:pt idx="94">
                  <c:v>1.7973517157379222E-6</c:v>
                </c:pt>
                <c:pt idx="95">
                  <c:v>1.9032519095337792E-6</c:v>
                </c:pt>
                <c:pt idx="96">
                  <c:v>2.0170279347353553E-6</c:v>
                </c:pt>
                <c:pt idx="97">
                  <c:v>2.1392941322503439E-6</c:v>
                </c:pt>
                <c:pt idx="98">
                  <c:v>2.2707039050335131E-6</c:v>
                </c:pt>
                <c:pt idx="99">
                  <c:v>2.4090074860047125E-6</c:v>
                </c:pt>
                <c:pt idx="100">
                  <c:v>2.5535741176442359E-6</c:v>
                </c:pt>
                <c:pt idx="101">
                  <c:v>2.7046963112182524E-6</c:v>
                </c:pt>
                <c:pt idx="102">
                  <c:v>2.8626747210316441E-6</c:v>
                </c:pt>
                <c:pt idx="103">
                  <c:v>3.0278179678561048E-6</c:v>
                </c:pt>
                <c:pt idx="104">
                  <c:v>3.2004423952567188E-6</c:v>
                </c:pt>
                <c:pt idx="105">
                  <c:v>3.3808717547874305E-6</c:v>
                </c:pt>
                <c:pt idx="106">
                  <c:v>3.569504088105785E-6</c:v>
                </c:pt>
                <c:pt idx="107">
                  <c:v>3.7630621238479642E-6</c:v>
                </c:pt>
                <c:pt idx="108">
                  <c:v>3.9588764294341555E-6</c:v>
                </c:pt>
                <c:pt idx="109">
                  <c:v>4.1564534177316669E-6</c:v>
                </c:pt>
                <c:pt idx="110">
                  <c:v>4.35524663249314E-6</c:v>
                </c:pt>
                <c:pt idx="111">
                  <c:v>4.5546436345527941E-6</c:v>
                </c:pt>
                <c:pt idx="112">
                  <c:v>4.7539494974683633E-6</c:v>
                </c:pt>
                <c:pt idx="113">
                  <c:v>4.9532535363626323E-6</c:v>
                </c:pt>
                <c:pt idx="114">
                  <c:v>5.1569679754150448E-6</c:v>
                </c:pt>
                <c:pt idx="115">
                  <c:v>5.3648515596659138E-6</c:v>
                </c:pt>
                <c:pt idx="116">
                  <c:v>5.5766232319964049E-6</c:v>
                </c:pt>
                <c:pt idx="117">
                  <c:v>5.79195908653035E-6</c:v>
                </c:pt>
                <c:pt idx="118">
                  <c:v>6.0104892537351392E-6</c:v>
                </c:pt>
                <c:pt idx="119">
                  <c:v>6.2317947370858147E-6</c:v>
                </c:pt>
                <c:pt idx="120">
                  <c:v>6.4555089315859738E-6</c:v>
                </c:pt>
                <c:pt idx="121">
                  <c:v>6.6805978909558257E-6</c:v>
                </c:pt>
                <c:pt idx="122">
                  <c:v>6.9132651116330814E-6</c:v>
                </c:pt>
                <c:pt idx="123">
                  <c:v>7.1536456542565834E-6</c:v>
                </c:pt>
                <c:pt idx="124">
                  <c:v>7.4018656620558385E-6</c:v>
                </c:pt>
                <c:pt idx="125">
                  <c:v>7.6580411631277348E-6</c:v>
                </c:pt>
                <c:pt idx="126">
                  <c:v>7.9222768282743063E-6</c:v>
                </c:pt>
                <c:pt idx="127">
                  <c:v>8.1897292802975492E-6</c:v>
                </c:pt>
                <c:pt idx="128">
                  <c:v>8.4584127710711796E-6</c:v>
                </c:pt>
                <c:pt idx="129">
                  <c:v>8.7276013545172988E-6</c:v>
                </c:pt>
                <c:pt idx="130">
                  <c:v>8.9965013694518637E-6</c:v>
                </c:pt>
                <c:pt idx="131">
                  <c:v>9.2642491332507298E-6</c:v>
                </c:pt>
                <c:pt idx="132">
                  <c:v>9.5299088864560123E-6</c:v>
                </c:pt>
                <c:pt idx="133">
                  <c:v>9.7924710313381071E-6</c:v>
                </c:pt>
                <c:pt idx="134">
                  <c:v>1.0050954374978106E-5</c:v>
                </c:pt>
                <c:pt idx="135">
                  <c:v>1.0298639661671457E-5</c:v>
                </c:pt>
                <c:pt idx="136">
                  <c:v>1.0534934188936607E-5</c:v>
                </c:pt>
                <c:pt idx="137">
                  <c:v>1.0758076118430675E-5</c:v>
                </c:pt>
                <c:pt idx="138">
                  <c:v>1.0966201585368752E-5</c:v>
                </c:pt>
                <c:pt idx="139">
                  <c:v>1.1157345636736778E-5</c:v>
                </c:pt>
                <c:pt idx="140">
                  <c:v>1.1329443908052274E-5</c:v>
                </c:pt>
                <c:pt idx="141">
                  <c:v>1.1482903848506766E-5</c:v>
                </c:pt>
                <c:pt idx="142">
                  <c:v>1.1624311157442334E-5</c:v>
                </c:pt>
                <c:pt idx="143">
                  <c:v>1.1752482780101002E-5</c:v>
                </c:pt>
                <c:pt idx="144">
                  <c:v>1.1866262372334602E-5</c:v>
                </c:pt>
                <c:pt idx="145">
                  <c:v>1.1964466584906495E-5</c:v>
                </c:pt>
                <c:pt idx="146">
                  <c:v>1.2045888938926003E-5</c:v>
                </c:pt>
                <c:pt idx="147">
                  <c:v>1.2109304051589284E-5</c:v>
                </c:pt>
                <c:pt idx="148">
                  <c:v>1.215348102934373E-5</c:v>
                </c:pt>
                <c:pt idx="149">
                  <c:v>1.2182467478012553E-5</c:v>
                </c:pt>
                <c:pt idx="150">
                  <c:v>1.2204570838123451E-5</c:v>
                </c:pt>
                <c:pt idx="151">
                  <c:v>1.2219834642603838E-5</c:v>
                </c:pt>
                <c:pt idx="152">
                  <c:v>1.2228339635609042E-5</c:v>
                </c:pt>
                <c:pt idx="153">
                  <c:v>1.2230205078030759E-5</c:v>
                </c:pt>
                <c:pt idx="154">
                  <c:v>1.2225589842268145E-5</c:v>
                </c:pt>
                <c:pt idx="155">
                  <c:v>1.2221199610422176E-5</c:v>
                </c:pt>
                <c:pt idx="156">
                  <c:v>1.2213558014506125E-5</c:v>
                </c:pt>
                <c:pt idx="157">
                  <c:v>1.2203110351726134E-5</c:v>
                </c:pt>
                <c:pt idx="158">
                  <c:v>1.2190345103836321E-5</c:v>
                </c:pt>
                <c:pt idx="159">
                  <c:v>1.2175793348838487E-5</c:v>
                </c:pt>
                <c:pt idx="160">
                  <c:v>1.2160027916224361E-5</c:v>
                </c:pt>
                <c:pt idx="161">
                  <c:v>1.2143662296190963E-5</c:v>
                </c:pt>
                <c:pt idx="162">
                  <c:v>1.2127340546426639E-5</c:v>
                </c:pt>
                <c:pt idx="163">
                  <c:v>1.2129449974374715E-5</c:v>
                </c:pt>
                <c:pt idx="164">
                  <c:v>1.2144298623582975E-5</c:v>
                </c:pt>
                <c:pt idx="165">
                  <c:v>1.2173382649394835E-5</c:v>
                </c:pt>
                <c:pt idx="166">
                  <c:v>1.2218228735379098E-5</c:v>
                </c:pt>
                <c:pt idx="167">
                  <c:v>1.2280388869902311E-5</c:v>
                </c:pt>
                <c:pt idx="168">
                  <c:v>1.2361435003650472E-5</c:v>
                </c:pt>
                <c:pt idx="169">
                  <c:v>1.2483262593100537E-5</c:v>
                </c:pt>
                <c:pt idx="170">
                  <c:v>1.2639515299961374E-5</c:v>
                </c:pt>
                <c:pt idx="171">
                  <c:v>1.283251130729954E-5</c:v>
                </c:pt>
                <c:pt idx="172">
                  <c:v>1.3064556877904621E-5</c:v>
                </c:pt>
                <c:pt idx="173">
                  <c:v>1.3337824941351033E-5</c:v>
                </c:pt>
                <c:pt idx="174">
                  <c:v>1.3654445152459775E-5</c:v>
                </c:pt>
                <c:pt idx="175">
                  <c:v>1.4016615568749678E-5</c:v>
                </c:pt>
                <c:pt idx="176">
                  <c:v>1.442643129360448E-5</c:v>
                </c:pt>
                <c:pt idx="177">
                  <c:v>1.4896449874089137E-5</c:v>
                </c:pt>
                <c:pt idx="178">
                  <c:v>1.5405303725496358E-5</c:v>
                </c:pt>
                <c:pt idx="179">
                  <c:v>1.5954406892002794E-5</c:v>
                </c:pt>
                <c:pt idx="180">
                  <c:v>1.654514173470816E-5</c:v>
                </c:pt>
                <c:pt idx="181">
                  <c:v>1.7178859341884419E-5</c:v>
                </c:pt>
                <c:pt idx="182">
                  <c:v>1.7856880523988832E-5</c:v>
                </c:pt>
                <c:pt idx="183">
                  <c:v>1.8591145984041077E-5</c:v>
                </c:pt>
                <c:pt idx="184">
                  <c:v>1.9357083172855442E-5</c:v>
                </c:pt>
                <c:pt idx="185">
                  <c:v>2.0155274424490154E-5</c:v>
                </c:pt>
                <c:pt idx="186">
                  <c:v>2.0986301818145711E-5</c:v>
                </c:pt>
                <c:pt idx="187">
                  <c:v>2.1850750360541059E-5</c:v>
                </c:pt>
                <c:pt idx="188">
                  <c:v>2.2749211345717679E-5</c:v>
                </c:pt>
                <c:pt idx="189">
                  <c:v>2.3682285883089094E-5</c:v>
                </c:pt>
                <c:pt idx="190">
                  <c:v>2.4650552303561985E-5</c:v>
                </c:pt>
                <c:pt idx="191">
                  <c:v>2.566286182892253E-5</c:v>
                </c:pt>
                <c:pt idx="192">
                  <c:v>2.6707160217978658E-5</c:v>
                </c:pt>
                <c:pt idx="193">
                  <c:v>2.7783696665358849E-5</c:v>
                </c:pt>
                <c:pt idx="194">
                  <c:v>2.8892707489008957E-5</c:v>
                </c:pt>
                <c:pt idx="195">
                  <c:v>3.0034416233114931E-5</c:v>
                </c:pt>
                <c:pt idx="196">
                  <c:v>3.1209033630149411E-5</c:v>
                </c:pt>
                <c:pt idx="197">
                  <c:v>3.2395524823478036E-5</c:v>
                </c:pt>
                <c:pt idx="198">
                  <c:v>3.3580967240344893E-5</c:v>
                </c:pt>
                <c:pt idx="199">
                  <c:v>3.4764641732780605E-5</c:v>
                </c:pt>
                <c:pt idx="200">
                  <c:v>3.5945845951076505E-5</c:v>
                </c:pt>
                <c:pt idx="201">
                  <c:v>3.7123893222647082E-5</c:v>
                </c:pt>
                <c:pt idx="202">
                  <c:v>3.8298111271977687E-5</c:v>
                </c:pt>
                <c:pt idx="203">
                  <c:v>3.9467840800935887E-5</c:v>
                </c:pt>
                <c:pt idx="204">
                  <c:v>4.0632839081565344E-5</c:v>
                </c:pt>
                <c:pt idx="205">
                  <c:v>4.1763713868219671E-5</c:v>
                </c:pt>
                <c:pt idx="206">
                  <c:v>4.2849715148803887E-5</c:v>
                </c:pt>
                <c:pt idx="207">
                  <c:v>4.3889610079274262E-5</c:v>
                </c:pt>
                <c:pt idx="208">
                  <c:v>4.488221519133656E-5</c:v>
                </c:pt>
                <c:pt idx="209">
                  <c:v>4.582639263511638E-5</c:v>
                </c:pt>
                <c:pt idx="210">
                  <c:v>4.6721046478927188E-5</c:v>
                </c:pt>
                <c:pt idx="211">
                  <c:v>4.7559495166947447E-5</c:v>
                </c:pt>
                <c:pt idx="212">
                  <c:v>4.8364424332976186E-5</c:v>
                </c:pt>
                <c:pt idx="213">
                  <c:v>4.9135191025875683E-5</c:v>
                </c:pt>
                <c:pt idx="214">
                  <c:v>4.9871172728095631E-5</c:v>
                </c:pt>
                <c:pt idx="215">
                  <c:v>5.057176504737376E-5</c:v>
                </c:pt>
                <c:pt idx="216">
                  <c:v>5.1236379555653294E-5</c:v>
                </c:pt>
                <c:pt idx="217">
                  <c:v>5.1864441771339145E-5</c:v>
                </c:pt>
                <c:pt idx="218">
                  <c:v>5.2455123064545884E-5</c:v>
                </c:pt>
                <c:pt idx="219">
                  <c:v>5.3016261045716844E-5</c:v>
                </c:pt>
                <c:pt idx="220">
                  <c:v>5.357996564077212E-5</c:v>
                </c:pt>
                <c:pt idx="221">
                  <c:v>5.4146528290562019E-5</c:v>
                </c:pt>
                <c:pt idx="222">
                  <c:v>5.4716242254705807E-5</c:v>
                </c:pt>
                <c:pt idx="223">
                  <c:v>5.5289402867298744E-5</c:v>
                </c:pt>
                <c:pt idx="224">
                  <c:v>5.5866307852345975E-5</c:v>
                </c:pt>
                <c:pt idx="225">
                  <c:v>5.6390806670214384E-5</c:v>
                </c:pt>
                <c:pt idx="226">
                  <c:v>5.6868440019823893E-5</c:v>
                </c:pt>
                <c:pt idx="227">
                  <c:v>5.7298698485162382E-5</c:v>
                </c:pt>
                <c:pt idx="228">
                  <c:v>5.7681080140389231E-5</c:v>
                </c:pt>
                <c:pt idx="229">
                  <c:v>5.8015088551196858E-5</c:v>
                </c:pt>
                <c:pt idx="230">
                  <c:v>5.8300230801260347E-5</c:v>
                </c:pt>
                <c:pt idx="231">
                  <c:v>5.8536015520764588E-5</c:v>
                </c:pt>
                <c:pt idx="232">
                  <c:v>5.8721591358821546E-5</c:v>
                </c:pt>
                <c:pt idx="233">
                  <c:v>5.8798509103231762E-5</c:v>
                </c:pt>
                <c:pt idx="234">
                  <c:v>5.8755914500011575E-5</c:v>
                </c:pt>
                <c:pt idx="235">
                  <c:v>5.8592154618601049E-5</c:v>
                </c:pt>
                <c:pt idx="236">
                  <c:v>5.8305584608880821E-5</c:v>
                </c:pt>
                <c:pt idx="237">
                  <c:v>5.7894517608138661E-5</c:v>
                </c:pt>
                <c:pt idx="238">
                  <c:v>5.7357254048808195E-5</c:v>
                </c:pt>
                <c:pt idx="239">
                  <c:v>5.6734855938073175E-5</c:v>
                </c:pt>
                <c:pt idx="240">
                  <c:v>5.6087277219291048E-5</c:v>
                </c:pt>
                <c:pt idx="241">
                  <c:v>5.5414341552308302E-5</c:v>
                </c:pt>
                <c:pt idx="242">
                  <c:v>5.4715860319713866E-5</c:v>
                </c:pt>
                <c:pt idx="243">
                  <c:v>5.3991632515848968E-5</c:v>
                </c:pt>
                <c:pt idx="244">
                  <c:v>5.3241444660415938E-5</c:v>
                </c:pt>
                <c:pt idx="245">
                  <c:v>5.2465070731703555E-5</c:v>
                </c:pt>
                <c:pt idx="246">
                  <c:v>5.1662272139271229E-5</c:v>
                </c:pt>
                <c:pt idx="247">
                  <c:v>5.0856184349269766E-5</c:v>
                </c:pt>
                <c:pt idx="248">
                  <c:v>5.0108883505912536E-5</c:v>
                </c:pt>
                <c:pt idx="249">
                  <c:v>4.9421371027021383E-5</c:v>
                </c:pt>
                <c:pt idx="250">
                  <c:v>4.8794648292183121E-5</c:v>
                </c:pt>
                <c:pt idx="251">
                  <c:v>4.8229717574405876E-5</c:v>
                </c:pt>
                <c:pt idx="252">
                  <c:v>4.7727582901629904E-5</c:v>
                </c:pt>
                <c:pt idx="253">
                  <c:v>4.7245459612391615E-5</c:v>
                </c:pt>
                <c:pt idx="254">
                  <c:v>4.67375994632435E-5</c:v>
                </c:pt>
                <c:pt idx="255">
                  <c:v>4.6203665639644029E-5</c:v>
                </c:pt>
                <c:pt idx="256">
                  <c:v>4.5643312081943197E-5</c:v>
                </c:pt>
                <c:pt idx="257">
                  <c:v>4.5056183949981648E-5</c:v>
                </c:pt>
                <c:pt idx="258">
                  <c:v>4.4441918170777327E-5</c:v>
                </c:pt>
                <c:pt idx="259">
                  <c:v>4.380014407471797E-5</c:v>
                </c:pt>
                <c:pt idx="260">
                  <c:v>4.3131268685912079E-5</c:v>
                </c:pt>
                <c:pt idx="261">
                  <c:v>4.2490028194521311E-5</c:v>
                </c:pt>
                <c:pt idx="262">
                  <c:v>4.1851262209334658E-5</c:v>
                </c:pt>
                <c:pt idx="263">
                  <c:v>4.1214646081086568E-5</c:v>
                </c:pt>
                <c:pt idx="264">
                  <c:v>4.0579869960849018E-5</c:v>
                </c:pt>
                <c:pt idx="265">
                  <c:v>3.9946816532865153E-5</c:v>
                </c:pt>
                <c:pt idx="266">
                  <c:v>3.9315285458233459E-5</c:v>
                </c:pt>
                <c:pt idx="267">
                  <c:v>3.8875160277696751E-5</c:v>
                </c:pt>
                <c:pt idx="268">
                  <c:v>3.8676205327220206E-5</c:v>
                </c:pt>
                <c:pt idx="269">
                  <c:v>3.8721684477527443E-5</c:v>
                </c:pt>
                <c:pt idx="270">
                  <c:v>3.9014833882161201E-5</c:v>
                </c:pt>
                <c:pt idx="271">
                  <c:v>3.9558832793243515E-5</c:v>
                </c:pt>
                <c:pt idx="272">
                  <c:v>4.0356772903301796E-5</c:v>
                </c:pt>
                <c:pt idx="273">
                  <c:v>4.1411626275859948E-5</c:v>
                </c:pt>
                <c:pt idx="274">
                  <c:v>4.2727482433135635E-5</c:v>
                </c:pt>
                <c:pt idx="275">
                  <c:v>4.434290846049449E-5</c:v>
                </c:pt>
                <c:pt idx="276">
                  <c:v>4.6202761430824339E-5</c:v>
                </c:pt>
                <c:pt idx="277">
                  <c:v>4.8309773611022072E-5</c:v>
                </c:pt>
                <c:pt idx="278">
                  <c:v>5.0666591089434769E-5</c:v>
                </c:pt>
                <c:pt idx="279">
                  <c:v>5.3275763583970909E-5</c:v>
                </c:pt>
                <c:pt idx="280">
                  <c:v>5.6139734939548881E-5</c:v>
                </c:pt>
                <c:pt idx="281">
                  <c:v>5.9087075193935922E-5</c:v>
                </c:pt>
                <c:pt idx="282">
                  <c:v>6.1914142861127961E-5</c:v>
                </c:pt>
                <c:pt idx="283">
                  <c:v>6.46184753902123E-5</c:v>
                </c:pt>
                <c:pt idx="284">
                  <c:v>6.7197635383648175E-5</c:v>
                </c:pt>
                <c:pt idx="285">
                  <c:v>6.9649221231805794E-5</c:v>
                </c:pt>
                <c:pt idx="286">
                  <c:v>7.1970877579319303E-5</c:v>
                </c:pt>
                <c:pt idx="287">
                  <c:v>7.4160305504863928E-5</c:v>
                </c:pt>
                <c:pt idx="288">
                  <c:v>7.6217061082488303E-5</c:v>
                </c:pt>
                <c:pt idx="289">
                  <c:v>7.9237574431053722E-5</c:v>
                </c:pt>
                <c:pt idx="290">
                  <c:v>8.319496598749372E-5</c:v>
                </c:pt>
                <c:pt idx="291">
                  <c:v>8.8098089765984043E-5</c:v>
                </c:pt>
                <c:pt idx="292">
                  <c:v>9.3955514866915857E-5</c:v>
                </c:pt>
                <c:pt idx="293">
                  <c:v>1.0077550121189066E-4</c:v>
                </c:pt>
                <c:pt idx="294">
                  <c:v>1.0856597934276596E-4</c:v>
                </c:pt>
                <c:pt idx="295">
                  <c:v>1.1843637910889333E-4</c:v>
                </c:pt>
                <c:pt idx="296">
                  <c:v>1.3058890802055624E-4</c:v>
                </c:pt>
                <c:pt idx="297">
                  <c:v>1.4504348482261551E-4</c:v>
                </c:pt>
                <c:pt idx="298">
                  <c:v>1.6181866729701478E-4</c:v>
                </c:pt>
                <c:pt idx="299">
                  <c:v>1.8093239305121467E-4</c:v>
                </c:pt>
                <c:pt idx="300">
                  <c:v>2.0240197631064924E-4</c:v>
                </c:pt>
                <c:pt idx="301">
                  <c:v>2.2624411154293351E-4</c:v>
                </c:pt>
                <c:pt idx="302">
                  <c:v>2.5248834037116754E-4</c:v>
                </c:pt>
                <c:pt idx="303">
                  <c:v>2.7983891927677425E-4</c:v>
                </c:pt>
                <c:pt idx="304">
                  <c:v>3.0715824795170407E-4</c:v>
                </c:pt>
                <c:pt idx="305">
                  <c:v>3.3444742573836907E-4</c:v>
                </c:pt>
                <c:pt idx="306">
                  <c:v>3.6170698839361868E-4</c:v>
                </c:pt>
                <c:pt idx="307">
                  <c:v>3.8893686614879824E-4</c:v>
                </c:pt>
                <c:pt idx="308">
                  <c:v>4.1613633057692082E-4</c:v>
                </c:pt>
                <c:pt idx="309">
                  <c:v>4.4279832507221871E-4</c:v>
                </c:pt>
                <c:pt idx="310">
                  <c:v>4.6776323898821274E-4</c:v>
                </c:pt>
                <c:pt idx="311">
                  <c:v>4.9101230274665347E-4</c:v>
                </c:pt>
                <c:pt idx="312">
                  <c:v>5.125256621443064E-4</c:v>
                </c:pt>
                <c:pt idx="313">
                  <c:v>5.3228239458992239E-4</c:v>
                </c:pt>
                <c:pt idx="314">
                  <c:v>5.5026053461915581E-4</c:v>
                </c:pt>
                <c:pt idx="315">
                  <c:v>5.6643711251833345E-4</c:v>
                </c:pt>
                <c:pt idx="316">
                  <c:v>5.8085947806702962E-4</c:v>
                </c:pt>
                <c:pt idx="317">
                  <c:v>5.9381213207378701E-4</c:v>
                </c:pt>
                <c:pt idx="318">
                  <c:v>6.0666624660864058E-4</c:v>
                </c:pt>
                <c:pt idx="319">
                  <c:v>6.1941068440058203E-4</c:v>
                </c:pt>
                <c:pt idx="320">
                  <c:v>6.3203175230802612E-4</c:v>
                </c:pt>
                <c:pt idx="321">
                  <c:v>6.4451304040691608E-4</c:v>
                </c:pt>
                <c:pt idx="322">
                  <c:v>6.5683526816229297E-4</c:v>
                </c:pt>
                <c:pt idx="323">
                  <c:v>6.6750871221845135E-4</c:v>
                </c:pt>
                <c:pt idx="324">
                  <c:v>6.7702301137112205E-4</c:v>
                </c:pt>
                <c:pt idx="325">
                  <c:v>6.8533842695434218E-4</c:v>
                </c:pt>
                <c:pt idx="326">
                  <c:v>6.9240891553614401E-4</c:v>
                </c:pt>
                <c:pt idx="327">
                  <c:v>6.9818844796953829E-4</c:v>
                </c:pt>
                <c:pt idx="328">
                  <c:v>7.026322209704298E-4</c:v>
                </c:pt>
                <c:pt idx="329">
                  <c:v>7.0569429474068226E-4</c:v>
                </c:pt>
                <c:pt idx="330">
                  <c:v>7.0743156348192324E-4</c:v>
                </c:pt>
                <c:pt idx="331">
                  <c:v>7.0744711804932589E-4</c:v>
                </c:pt>
                <c:pt idx="332">
                  <c:v>7.054605750909835E-4</c:v>
                </c:pt>
                <c:pt idx="333">
                  <c:v>7.0143765275466603E-4</c:v>
                </c:pt>
                <c:pt idx="334">
                  <c:v>6.9534363601192245E-4</c:v>
                </c:pt>
                <c:pt idx="335">
                  <c:v>6.8714392210835655E-4</c:v>
                </c:pt>
                <c:pt idx="336">
                  <c:v>6.7680463042559447E-4</c:v>
                </c:pt>
                <c:pt idx="337">
                  <c:v>6.6512329556567913E-4</c:v>
                </c:pt>
                <c:pt idx="338">
                  <c:v>6.5361866694854209E-4</c:v>
                </c:pt>
                <c:pt idx="339">
                  <c:v>6.4228028777984537E-4</c:v>
                </c:pt>
                <c:pt idx="340">
                  <c:v>6.3109821865688141E-4</c:v>
                </c:pt>
                <c:pt idx="341">
                  <c:v>6.2006311899042408E-4</c:v>
                </c:pt>
                <c:pt idx="342">
                  <c:v>6.0916632546876074E-4</c:v>
                </c:pt>
                <c:pt idx="343">
                  <c:v>5.9839992732809712E-4</c:v>
                </c:pt>
                <c:pt idx="344">
                  <c:v>5.8779134083436436E-4</c:v>
                </c:pt>
                <c:pt idx="345">
                  <c:v>5.7737441163898187E-4</c:v>
                </c:pt>
                <c:pt idx="346">
                  <c:v>5.6802576093481765E-4</c:v>
                </c:pt>
                <c:pt idx="347">
                  <c:v>5.5974874235475644E-4</c:v>
                </c:pt>
                <c:pt idx="348">
                  <c:v>5.5254536739405419E-4</c:v>
                </c:pt>
                <c:pt idx="349">
                  <c:v>5.4641621579347617E-4</c:v>
                </c:pt>
                <c:pt idx="350">
                  <c:v>5.4136034906914258E-4</c:v>
                </c:pt>
                <c:pt idx="351">
                  <c:v>5.3776536552416969E-4</c:v>
                </c:pt>
                <c:pt idx="352">
                  <c:v>5.3478537656009861E-4</c:v>
                </c:pt>
                <c:pt idx="353">
                  <c:v>5.3241611140968862E-4</c:v>
                </c:pt>
                <c:pt idx="354">
                  <c:v>5.3065239725418902E-4</c:v>
                </c:pt>
                <c:pt idx="355">
                  <c:v>5.2948814356032904E-4</c:v>
                </c:pt>
                <c:pt idx="356">
                  <c:v>5.28909577034226E-4</c:v>
                </c:pt>
                <c:pt idx="357">
                  <c:v>5.2891511620223536E-4</c:v>
                </c:pt>
                <c:pt idx="358">
                  <c:v>5.2947226095091996E-4</c:v>
                </c:pt>
                <c:pt idx="359">
                  <c:v>5.3055534652622183E-4</c:v>
                </c:pt>
                <c:pt idx="360">
                  <c:v>5.3298488557795138E-4</c:v>
                </c:pt>
                <c:pt idx="361">
                  <c:v>5.3636800640935716E-4</c:v>
                </c:pt>
                <c:pt idx="362">
                  <c:v>5.4069411493407006E-4</c:v>
                </c:pt>
                <c:pt idx="363">
                  <c:v>5.4595097221840649E-4</c:v>
                </c:pt>
                <c:pt idx="364">
                  <c:v>5.5212489864228838E-4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728368"/>
        <c:axId val="655728760"/>
      </c:lineChart>
      <c:dateAx>
        <c:axId val="6557283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28760"/>
        <c:crosses val="autoZero"/>
        <c:auto val="1"/>
        <c:lblOffset val="100"/>
        <c:baseTimeUnit val="days"/>
        <c:majorUnit val="1"/>
        <c:majorTimeUnit val="months"/>
      </c:dateAx>
      <c:valAx>
        <c:axId val="6557287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283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'2023'!Ppv</c:f>
              <c:numCache>
                <c:formatCode>0.00%</c:formatCode>
                <c:ptCount val="366"/>
                <c:pt idx="0">
                  <c:v>6.8620426518142263E-3</c:v>
                </c:pt>
                <c:pt idx="1">
                  <c:v>6.8756378764510684E-3</c:v>
                </c:pt>
                <c:pt idx="2">
                  <c:v>6.8892329149806697E-3</c:v>
                </c:pt>
                <c:pt idx="3">
                  <c:v>6.9028277674055838E-3</c:v>
                </c:pt>
                <c:pt idx="4">
                  <c:v>6.9164224337284752E-3</c:v>
                </c:pt>
                <c:pt idx="5">
                  <c:v>6.9300169139517864E-3</c:v>
                </c:pt>
                <c:pt idx="6">
                  <c:v>6.943611208078071E-3</c:v>
                </c:pt>
                <c:pt idx="7">
                  <c:v>6.9572053161097713E-3</c:v>
                </c:pt>
                <c:pt idx="8">
                  <c:v>6.9707992380496631E-3</c:v>
                </c:pt>
                <c:pt idx="9">
                  <c:v>6.9843929739001887E-3</c:v>
                </c:pt>
                <c:pt idx="10">
                  <c:v>6.9979865236637906E-3</c:v>
                </c:pt>
                <c:pt idx="11">
                  <c:v>7.0115798873432444E-3</c:v>
                </c:pt>
                <c:pt idx="12">
                  <c:v>7.0251730649408817E-3</c:v>
                </c:pt>
                <c:pt idx="13">
                  <c:v>7.0387660564593668E-3</c:v>
                </c:pt>
                <c:pt idx="14">
                  <c:v>7.0523588619011424E-3</c:v>
                </c:pt>
                <c:pt idx="15">
                  <c:v>7.0659514812688728E-3</c:v>
                </c:pt>
                <c:pt idx="16">
                  <c:v>7.0795439145651118E-3</c:v>
                </c:pt>
                <c:pt idx="17">
                  <c:v>7.0931361617923017E-3</c:v>
                </c:pt>
                <c:pt idx="18">
                  <c:v>7.106728222952996E-3</c:v>
                </c:pt>
                <c:pt idx="19">
                  <c:v>7.1203200980498593E-3</c:v>
                </c:pt>
                <c:pt idx="20">
                  <c:v>7.1339117870853341E-3</c:v>
                </c:pt>
                <c:pt idx="21">
                  <c:v>7.1475032900619739E-3</c:v>
                </c:pt>
                <c:pt idx="22">
                  <c:v>7.1610946069824433E-3</c:v>
                </c:pt>
                <c:pt idx="23">
                  <c:v>7.1746857378490736E-3</c:v>
                </c:pt>
                <c:pt idx="24">
                  <c:v>7.1882766826646405E-3</c:v>
                </c:pt>
                <c:pt idx="25">
                  <c:v>7.2018674414315864E-3</c:v>
                </c:pt>
                <c:pt idx="26">
                  <c:v>7.2154580141523539E-3</c:v>
                </c:pt>
                <c:pt idx="27">
                  <c:v>7.2290484008297184E-3</c:v>
                </c:pt>
                <c:pt idx="28">
                  <c:v>7.2426386014660116E-3</c:v>
                </c:pt>
                <c:pt idx="29">
                  <c:v>7.2562286160638978E-3</c:v>
                </c:pt>
                <c:pt idx="30">
                  <c:v>7.2698184446259306E-3</c:v>
                </c:pt>
                <c:pt idx="31">
                  <c:v>7.2834080871545526E-3</c:v>
                </c:pt>
                <c:pt idx="32">
                  <c:v>7.2969975436524281E-3</c:v>
                </c:pt>
                <c:pt idx="33">
                  <c:v>7.3105868141219998E-3</c:v>
                </c:pt>
                <c:pt idx="34">
                  <c:v>7.3241758985659322E-3</c:v>
                </c:pt>
                <c:pt idx="35">
                  <c:v>7.3377647969866677E-3</c:v>
                </c:pt>
                <c:pt idx="36">
                  <c:v>7.3513535093868709E-3</c:v>
                </c:pt>
                <c:pt idx="37">
                  <c:v>7.3649420357689843E-3</c:v>
                </c:pt>
                <c:pt idx="38">
                  <c:v>7.3785303761355614E-3</c:v>
                </c:pt>
                <c:pt idx="39">
                  <c:v>7.3921185304891557E-3</c:v>
                </c:pt>
                <c:pt idx="40">
                  <c:v>7.4057064988323207E-3</c:v>
                </c:pt>
                <c:pt idx="41">
                  <c:v>7.4192942811676099E-3</c:v>
                </c:pt>
                <c:pt idx="42">
                  <c:v>7.4328818774976879E-3</c:v>
                </c:pt>
                <c:pt idx="43">
                  <c:v>7.4464692878248862E-3</c:v>
                </c:pt>
                <c:pt idx="44">
                  <c:v>7.4600565121517581E-3</c:v>
                </c:pt>
                <c:pt idx="45">
                  <c:v>7.4736435504810794E-3</c:v>
                </c:pt>
                <c:pt idx="46">
                  <c:v>7.4872304028151815E-3</c:v>
                </c:pt>
                <c:pt idx="47">
                  <c:v>7.5008170691567289E-3</c:v>
                </c:pt>
                <c:pt idx="48">
                  <c:v>7.514403549508164E-3</c:v>
                </c:pt>
                <c:pt idx="49">
                  <c:v>7.5279898438721515E-3</c:v>
                </c:pt>
                <c:pt idx="50">
                  <c:v>7.5415759522511339E-3</c:v>
                </c:pt>
                <c:pt idx="51">
                  <c:v>7.5551618746477756E-3</c:v>
                </c:pt>
                <c:pt idx="52">
                  <c:v>7.5687476110645191E-3</c:v>
                </c:pt>
                <c:pt idx="53">
                  <c:v>7.582333161503918E-3</c:v>
                </c:pt>
                <c:pt idx="54">
                  <c:v>7.5959185259685258E-3</c:v>
                </c:pt>
                <c:pt idx="55">
                  <c:v>7.609503704460896E-3</c:v>
                </c:pt>
                <c:pt idx="56">
                  <c:v>7.623088696983582E-3</c:v>
                </c:pt>
                <c:pt idx="57">
                  <c:v>7.6366735035391375E-3</c:v>
                </c:pt>
                <c:pt idx="58">
                  <c:v>7.650258124130116E-3</c:v>
                </c:pt>
                <c:pt idx="59">
                  <c:v>7.6638425587590708E-3</c:v>
                </c:pt>
                <c:pt idx="60">
                  <c:v>7.6774268074284446E-3</c:v>
                </c:pt>
                <c:pt idx="61">
                  <c:v>7.6910108701410129E-3</c:v>
                </c:pt>
                <c:pt idx="62">
                  <c:v>7.7045947468989961E-3</c:v>
                </c:pt>
                <c:pt idx="63">
                  <c:v>7.7181784377051699E-3</c:v>
                </c:pt>
                <c:pt idx="64">
                  <c:v>7.7317619425620876E-3</c:v>
                </c:pt>
                <c:pt idx="65">
                  <c:v>7.7453452614721918E-3</c:v>
                </c:pt>
                <c:pt idx="66">
                  <c:v>7.7589283944380361E-3</c:v>
                </c:pt>
                <c:pt idx="67">
                  <c:v>7.7725113414621738E-3</c:v>
                </c:pt>
                <c:pt idx="68">
                  <c:v>7.7860941025472696E-3</c:v>
                </c:pt>
                <c:pt idx="69">
                  <c:v>7.799676677695766E-3</c:v>
                </c:pt>
                <c:pt idx="70">
                  <c:v>7.8132590669101054E-3</c:v>
                </c:pt>
                <c:pt idx="71">
                  <c:v>7.8268412701930634E-3</c:v>
                </c:pt>
                <c:pt idx="72">
                  <c:v>7.8404232875469715E-3</c:v>
                </c:pt>
                <c:pt idx="73">
                  <c:v>7.8540051189744942E-3</c:v>
                </c:pt>
                <c:pt idx="74">
                  <c:v>7.8675867644781849E-3</c:v>
                </c:pt>
                <c:pt idx="75">
                  <c:v>7.8811682240604863E-3</c:v>
                </c:pt>
                <c:pt idx="76">
                  <c:v>7.8947494977240629E-3</c:v>
                </c:pt>
                <c:pt idx="77">
                  <c:v>7.9083305854714681E-3</c:v>
                </c:pt>
                <c:pt idx="78">
                  <c:v>7.9219114873050334E-3</c:v>
                </c:pt>
                <c:pt idx="79">
                  <c:v>7.9354922032275343E-3</c:v>
                </c:pt>
                <c:pt idx="80">
                  <c:v>7.9490727332415245E-3</c:v>
                </c:pt>
                <c:pt idx="81">
                  <c:v>7.9626530773493354E-3</c:v>
                </c:pt>
                <c:pt idx="82">
                  <c:v>7.9762332355537424E-3</c:v>
                </c:pt>
                <c:pt idx="83">
                  <c:v>7.9898132078570772E-3</c:v>
                </c:pt>
                <c:pt idx="84">
                  <c:v>8.0033929942621151E-3</c:v>
                </c:pt>
                <c:pt idx="85">
                  <c:v>8.0169725947711878E-3</c:v>
                </c:pt>
                <c:pt idx="86">
                  <c:v>8.0305520093869598E-3</c:v>
                </c:pt>
                <c:pt idx="87">
                  <c:v>8.0441312381119845E-3</c:v>
                </c:pt>
                <c:pt idx="88">
                  <c:v>8.0577102809487045E-3</c:v>
                </c:pt>
                <c:pt idx="89">
                  <c:v>8.0712891378997842E-3</c:v>
                </c:pt>
                <c:pt idx="90">
                  <c:v>8.0848678089676662E-3</c:v>
                </c:pt>
                <c:pt idx="91">
                  <c:v>8.098446294155015E-3</c:v>
                </c:pt>
                <c:pt idx="92">
                  <c:v>8.1120245934642732E-3</c:v>
                </c:pt>
                <c:pt idx="93">
                  <c:v>8.1256027068979941E-3</c:v>
                </c:pt>
                <c:pt idx="94">
                  <c:v>8.1391806344587314E-3</c:v>
                </c:pt>
                <c:pt idx="95">
                  <c:v>8.1527583761490385E-3</c:v>
                </c:pt>
                <c:pt idx="96">
                  <c:v>8.16633593197158E-3</c:v>
                </c:pt>
                <c:pt idx="97">
                  <c:v>8.1799133019286874E-3</c:v>
                </c:pt>
                <c:pt idx="98">
                  <c:v>8.1934904860230251E-3</c:v>
                </c:pt>
                <c:pt idx="99">
                  <c:v>8.2070674842570357E-3</c:v>
                </c:pt>
                <c:pt idx="100">
                  <c:v>8.2206442966333837E-3</c:v>
                </c:pt>
                <c:pt idx="101">
                  <c:v>8.2342209231546226E-3</c:v>
                </c:pt>
                <c:pt idx="102">
                  <c:v>8.2477973638231949E-3</c:v>
                </c:pt>
                <c:pt idx="103">
                  <c:v>8.2613736186417652E-3</c:v>
                </c:pt>
                <c:pt idx="104">
                  <c:v>8.2749496876127759E-3</c:v>
                </c:pt>
                <c:pt idx="105">
                  <c:v>8.2885255707387806E-3</c:v>
                </c:pt>
                <c:pt idx="106">
                  <c:v>8.3021012680223327E-3</c:v>
                </c:pt>
                <c:pt idx="107">
                  <c:v>8.3156767794659858E-3</c:v>
                </c:pt>
                <c:pt idx="108">
                  <c:v>8.3292521050724044E-3</c:v>
                </c:pt>
                <c:pt idx="109">
                  <c:v>8.34282724484392E-3</c:v>
                </c:pt>
                <c:pt idx="110">
                  <c:v>8.3564021987830861E-3</c:v>
                </c:pt>
                <c:pt idx="111">
                  <c:v>8.3699769668926782E-3</c:v>
                </c:pt>
                <c:pt idx="112">
                  <c:v>8.3835515491750279E-3</c:v>
                </c:pt>
                <c:pt idx="113">
                  <c:v>8.3971259456327996E-3</c:v>
                </c:pt>
                <c:pt idx="114">
                  <c:v>8.4107001562684358E-3</c:v>
                </c:pt>
                <c:pt idx="115">
                  <c:v>8.4242741810844901E-3</c:v>
                </c:pt>
                <c:pt idx="116">
                  <c:v>8.437848020083627E-3</c:v>
                </c:pt>
                <c:pt idx="117">
                  <c:v>8.4514216732681779E-3</c:v>
                </c:pt>
                <c:pt idx="118">
                  <c:v>8.4649951406409185E-3</c:v>
                </c:pt>
                <c:pt idx="119">
                  <c:v>8.4785684222042912E-3</c:v>
                </c:pt>
                <c:pt idx="120">
                  <c:v>8.4921415179608495E-3</c:v>
                </c:pt>
                <c:pt idx="121">
                  <c:v>8.5057144279130359E-3</c:v>
                </c:pt>
                <c:pt idx="122">
                  <c:v>8.519287152063626E-3</c:v>
                </c:pt>
                <c:pt idx="123">
                  <c:v>8.5328596904149512E-3</c:v>
                </c:pt>
                <c:pt idx="124">
                  <c:v>8.546432042969565E-3</c:v>
                </c:pt>
                <c:pt idx="125">
                  <c:v>8.5600042097301321E-3</c:v>
                </c:pt>
                <c:pt idx="126">
                  <c:v>8.5735761906990948E-3</c:v>
                </c:pt>
                <c:pt idx="127">
                  <c:v>8.5871479858790067E-3</c:v>
                </c:pt>
                <c:pt idx="128">
                  <c:v>8.6007195952725324E-3</c:v>
                </c:pt>
                <c:pt idx="129">
                  <c:v>8.6142910188821142E-3</c:v>
                </c:pt>
                <c:pt idx="130">
                  <c:v>8.6278622567101948E-3</c:v>
                </c:pt>
                <c:pt idx="131">
                  <c:v>8.6414333087595496E-3</c:v>
                </c:pt>
                <c:pt idx="132">
                  <c:v>8.6550041750325102E-3</c:v>
                </c:pt>
                <c:pt idx="133">
                  <c:v>8.668574855531741E-3</c:v>
                </c:pt>
                <c:pt idx="134">
                  <c:v>8.6821453502597956E-3</c:v>
                </c:pt>
                <c:pt idx="135">
                  <c:v>8.6957156592191165E-3</c:v>
                </c:pt>
                <c:pt idx="136">
                  <c:v>8.7092857824123682E-3</c:v>
                </c:pt>
                <c:pt idx="137">
                  <c:v>8.7228557198419931E-3</c:v>
                </c:pt>
                <c:pt idx="138">
                  <c:v>8.7364254715105449E-3</c:v>
                </c:pt>
                <c:pt idx="139">
                  <c:v>8.749995037420577E-3</c:v>
                </c:pt>
                <c:pt idx="140">
                  <c:v>8.763564417574643E-3</c:v>
                </c:pt>
                <c:pt idx="141">
                  <c:v>8.7771336119754073E-3</c:v>
                </c:pt>
                <c:pt idx="142">
                  <c:v>8.7907026206252015E-3</c:v>
                </c:pt>
                <c:pt idx="143">
                  <c:v>8.80427144352669E-3</c:v>
                </c:pt>
                <c:pt idx="144">
                  <c:v>8.8178400806823154E-3</c:v>
                </c:pt>
                <c:pt idx="145">
                  <c:v>8.8314085320947422E-3</c:v>
                </c:pt>
                <c:pt idx="146">
                  <c:v>8.8449767977665239E-3</c:v>
                </c:pt>
                <c:pt idx="147">
                  <c:v>8.858544877700103E-3</c:v>
                </c:pt>
                <c:pt idx="148">
                  <c:v>8.872112771898033E-3</c:v>
                </c:pt>
                <c:pt idx="149">
                  <c:v>8.8856804803628675E-3</c:v>
                </c:pt>
                <c:pt idx="150">
                  <c:v>8.8992480030971599E-3</c:v>
                </c:pt>
                <c:pt idx="151">
                  <c:v>8.9128153401035748E-3</c:v>
                </c:pt>
                <c:pt idx="152">
                  <c:v>8.9263824913844436E-3</c:v>
                </c:pt>
                <c:pt idx="153">
                  <c:v>8.9399494569424309E-3</c:v>
                </c:pt>
                <c:pt idx="154">
                  <c:v>8.9535162367799792E-3</c:v>
                </c:pt>
                <c:pt idx="155">
                  <c:v>8.967082830899753E-3</c:v>
                </c:pt>
                <c:pt idx="156">
                  <c:v>8.9806492393043058E-3</c:v>
                </c:pt>
                <c:pt idx="157">
                  <c:v>8.9942154619960801E-3</c:v>
                </c:pt>
                <c:pt idx="158">
                  <c:v>9.0077814989776295E-3</c:v>
                </c:pt>
                <c:pt idx="159">
                  <c:v>9.0213473502516184E-3</c:v>
                </c:pt>
                <c:pt idx="160">
                  <c:v>9.0349130158203783E-3</c:v>
                </c:pt>
                <c:pt idx="161">
                  <c:v>9.0484784956865738E-3</c:v>
                </c:pt>
                <c:pt idx="162">
                  <c:v>9.0620437898528694E-3</c:v>
                </c:pt>
                <c:pt idx="163">
                  <c:v>9.0756088983215966E-3</c:v>
                </c:pt>
                <c:pt idx="164">
                  <c:v>9.0891738210953088E-3</c:v>
                </c:pt>
                <c:pt idx="165">
                  <c:v>9.1027385581766707E-3</c:v>
                </c:pt>
                <c:pt idx="166">
                  <c:v>9.1163031095682356E-3</c:v>
                </c:pt>
                <c:pt idx="167">
                  <c:v>9.1298674752724462E-3</c:v>
                </c:pt>
                <c:pt idx="168">
                  <c:v>9.143431655291856E-3</c:v>
                </c:pt>
                <c:pt idx="169">
                  <c:v>9.1569956496290184E-3</c:v>
                </c:pt>
                <c:pt idx="170">
                  <c:v>9.1705594582865979E-3</c:v>
                </c:pt>
                <c:pt idx="171">
                  <c:v>9.1841230812669261E-3</c:v>
                </c:pt>
                <c:pt idx="172">
                  <c:v>9.1976865185726675E-3</c:v>
                </c:pt>
                <c:pt idx="173">
                  <c:v>9.2112497702063756E-3</c:v>
                </c:pt>
                <c:pt idx="174">
                  <c:v>9.2248128361704929E-3</c:v>
                </c:pt>
                <c:pt idx="175">
                  <c:v>9.2383757164676839E-3</c:v>
                </c:pt>
                <c:pt idx="176">
                  <c:v>9.2519384111003911E-3</c:v>
                </c:pt>
                <c:pt idx="177">
                  <c:v>9.265500920071168E-3</c:v>
                </c:pt>
                <c:pt idx="178">
                  <c:v>9.2790632433826792E-3</c:v>
                </c:pt>
                <c:pt idx="179">
                  <c:v>9.2926253810373671E-3</c:v>
                </c:pt>
                <c:pt idx="180">
                  <c:v>9.3061873330376743E-3</c:v>
                </c:pt>
                <c:pt idx="181">
                  <c:v>9.3197490993863763E-3</c:v>
                </c:pt>
                <c:pt idx="182">
                  <c:v>9.3333106800858046E-3</c:v>
                </c:pt>
                <c:pt idx="183">
                  <c:v>9.3468720751386236E-3</c:v>
                </c:pt>
                <c:pt idx="184">
                  <c:v>9.360433284547276E-3</c:v>
                </c:pt>
                <c:pt idx="185">
                  <c:v>9.3739943083144261E-3</c:v>
                </c:pt>
                <c:pt idx="186">
                  <c:v>9.3875551464425167E-3</c:v>
                </c:pt>
                <c:pt idx="187">
                  <c:v>9.401115798934101E-3</c:v>
                </c:pt>
                <c:pt idx="188">
                  <c:v>9.4146762657917327E-3</c:v>
                </c:pt>
                <c:pt idx="189">
                  <c:v>9.4282365470180762E-3</c:v>
                </c:pt>
                <c:pt idx="190">
                  <c:v>9.4417966426154631E-3</c:v>
                </c:pt>
                <c:pt idx="191">
                  <c:v>9.4553565525865579E-3</c:v>
                </c:pt>
                <c:pt idx="192">
                  <c:v>9.4689162769338031E-3</c:v>
                </c:pt>
                <c:pt idx="193">
                  <c:v>9.4824758156598632E-3</c:v>
                </c:pt>
                <c:pt idx="194">
                  <c:v>9.4960351687671807E-3</c:v>
                </c:pt>
                <c:pt idx="195">
                  <c:v>9.5095943362584201E-3</c:v>
                </c:pt>
                <c:pt idx="196">
                  <c:v>9.5231533181360239E-3</c:v>
                </c:pt>
                <c:pt idx="197">
                  <c:v>9.5367121144025457E-3</c:v>
                </c:pt>
                <c:pt idx="198">
                  <c:v>9.550270725060428E-3</c:v>
                </c:pt>
                <c:pt idx="199">
                  <c:v>9.5638291501124462E-3</c:v>
                </c:pt>
                <c:pt idx="200">
                  <c:v>9.5773873895609318E-3</c:v>
                </c:pt>
                <c:pt idx="201">
                  <c:v>9.5909454434085495E-3</c:v>
                </c:pt>
                <c:pt idx="202">
                  <c:v>9.6045033116578526E-3</c:v>
                </c:pt>
                <c:pt idx="203">
                  <c:v>9.6180609943111728E-3</c:v>
                </c:pt>
                <c:pt idx="204">
                  <c:v>9.6316184913713965E-3</c:v>
                </c:pt>
                <c:pt idx="205">
                  <c:v>9.6451758028407442E-3</c:v>
                </c:pt>
                <c:pt idx="206">
                  <c:v>9.6587329287218804E-3</c:v>
                </c:pt>
                <c:pt idx="207">
                  <c:v>9.6722898690173587E-3</c:v>
                </c:pt>
                <c:pt idx="208">
                  <c:v>9.6858466237297325E-3</c:v>
                </c:pt>
                <c:pt idx="209">
                  <c:v>9.6994031928615554E-3</c:v>
                </c:pt>
                <c:pt idx="210">
                  <c:v>9.7129595764152699E-3</c:v>
                </c:pt>
                <c:pt idx="211">
                  <c:v>9.7265157743934294E-3</c:v>
                </c:pt>
                <c:pt idx="212">
                  <c:v>9.7400717867986986E-3</c:v>
                </c:pt>
                <c:pt idx="213">
                  <c:v>9.7536276136335198E-3</c:v>
                </c:pt>
                <c:pt idx="214">
                  <c:v>9.7671832549004467E-3</c:v>
                </c:pt>
                <c:pt idx="215">
                  <c:v>9.7807387106020327E-3</c:v>
                </c:pt>
                <c:pt idx="216">
                  <c:v>9.7942939807408314E-3</c:v>
                </c:pt>
                <c:pt idx="217">
                  <c:v>9.8078490653193962E-3</c:v>
                </c:pt>
                <c:pt idx="218">
                  <c:v>9.8214039643401696E-3</c:v>
                </c:pt>
                <c:pt idx="219">
                  <c:v>9.8349586778058162E-3</c:v>
                </c:pt>
                <c:pt idx="220">
                  <c:v>9.8485132057187785E-3</c:v>
                </c:pt>
                <c:pt idx="221">
                  <c:v>9.862067548081721E-3</c:v>
                </c:pt>
                <c:pt idx="222">
                  <c:v>9.8756217048969752E-3</c:v>
                </c:pt>
                <c:pt idx="223">
                  <c:v>9.8891756761672056E-3</c:v>
                </c:pt>
                <c:pt idx="224">
                  <c:v>9.9027294618950767E-3</c:v>
                </c:pt>
                <c:pt idx="225">
                  <c:v>9.9162830620829201E-3</c:v>
                </c:pt>
                <c:pt idx="226">
                  <c:v>9.9298364767334002E-3</c:v>
                </c:pt>
                <c:pt idx="227">
                  <c:v>9.9433897058489595E-3</c:v>
                </c:pt>
                <c:pt idx="228">
                  <c:v>9.9569427494321516E-3</c:v>
                </c:pt>
                <c:pt idx="229">
                  <c:v>9.970495607485641E-3</c:v>
                </c:pt>
                <c:pt idx="230">
                  <c:v>9.9840482800118702E-3</c:v>
                </c:pt>
                <c:pt idx="231">
                  <c:v>9.9976007670133926E-3</c:v>
                </c:pt>
                <c:pt idx="232">
                  <c:v>1.0011153068492762E-2</c:v>
                </c:pt>
                <c:pt idx="233">
                  <c:v>1.0024705184452531E-2</c:v>
                </c:pt>
                <c:pt idx="234">
                  <c:v>1.0038257114895144E-2</c:v>
                </c:pt>
                <c:pt idx="235">
                  <c:v>1.0051808859823264E-2</c:v>
                </c:pt>
                <c:pt idx="236">
                  <c:v>1.0065360419239333E-2</c:v>
                </c:pt>
                <c:pt idx="237">
                  <c:v>1.0078911793145906E-2</c:v>
                </c:pt>
                <c:pt idx="238">
                  <c:v>1.0092462981545647E-2</c:v>
                </c:pt>
                <c:pt idx="239">
                  <c:v>1.0106013984440887E-2</c:v>
                </c:pt>
                <c:pt idx="240">
                  <c:v>1.0119564801834402E-2</c:v>
                </c:pt>
                <c:pt idx="241">
                  <c:v>1.0133115433728523E-2</c:v>
                </c:pt>
                <c:pt idx="242">
                  <c:v>1.0146665880125916E-2</c:v>
                </c:pt>
                <c:pt idx="243">
                  <c:v>1.0160216141029021E-2</c:v>
                </c:pt>
                <c:pt idx="244">
                  <c:v>1.0173766216440394E-2</c:v>
                </c:pt>
                <c:pt idx="245">
                  <c:v>1.0187316106362698E-2</c:v>
                </c:pt>
                <c:pt idx="246">
                  <c:v>1.0200865810798376E-2</c:v>
                </c:pt>
                <c:pt idx="247">
                  <c:v>1.0214415329749982E-2</c:v>
                </c:pt>
                <c:pt idx="248">
                  <c:v>1.0227964663220068E-2</c:v>
                </c:pt>
                <c:pt idx="249">
                  <c:v>1.0241513811211078E-2</c:v>
                </c:pt>
                <c:pt idx="250">
                  <c:v>1.0255062773725787E-2</c:v>
                </c:pt>
                <c:pt idx="251">
                  <c:v>1.0268611550766416E-2</c:v>
                </c:pt>
                <c:pt idx="252">
                  <c:v>1.0282160142335739E-2</c:v>
                </c:pt>
                <c:pt idx="253">
                  <c:v>1.02957085484362E-2</c:v>
                </c:pt>
                <c:pt idx="254">
                  <c:v>1.0309256769070352E-2</c:v>
                </c:pt>
                <c:pt idx="255">
                  <c:v>1.0322804804240748E-2</c:v>
                </c:pt>
                <c:pt idx="256">
                  <c:v>1.0336352653949943E-2</c:v>
                </c:pt>
                <c:pt idx="257">
                  <c:v>1.0349900318200489E-2</c:v>
                </c:pt>
                <c:pt idx="258">
                  <c:v>1.0363447796994829E-2</c:v>
                </c:pt>
                <c:pt idx="259">
                  <c:v>1.0376995090335517E-2</c:v>
                </c:pt>
                <c:pt idx="260">
                  <c:v>1.0390542198225217E-2</c:v>
                </c:pt>
                <c:pt idx="261">
                  <c:v>1.0404089120666371E-2</c:v>
                </c:pt>
                <c:pt idx="262">
                  <c:v>1.0417635857661423E-2</c:v>
                </c:pt>
                <c:pt idx="263">
                  <c:v>1.0431182409213147E-2</c:v>
                </c:pt>
                <c:pt idx="264">
                  <c:v>1.0444728775323986E-2</c:v>
                </c:pt>
                <c:pt idx="265">
                  <c:v>1.0458274955996383E-2</c:v>
                </c:pt>
                <c:pt idx="266">
                  <c:v>1.0471820951232891E-2</c:v>
                </c:pt>
                <c:pt idx="267">
                  <c:v>1.0485366761036174E-2</c:v>
                </c:pt>
                <c:pt idx="268">
                  <c:v>1.0498912385408676E-2</c:v>
                </c:pt>
                <c:pt idx="269">
                  <c:v>1.051245782435295E-2</c:v>
                </c:pt>
                <c:pt idx="270">
                  <c:v>1.0526003077871549E-2</c:v>
                </c:pt>
                <c:pt idx="271">
                  <c:v>1.0539548145967026E-2</c:v>
                </c:pt>
                <c:pt idx="272">
                  <c:v>1.0553093028641825E-2</c:v>
                </c:pt>
                <c:pt idx="273">
                  <c:v>1.0566637725898609E-2</c:v>
                </c:pt>
                <c:pt idx="274">
                  <c:v>1.0580182237739821E-2</c:v>
                </c:pt>
                <c:pt idx="275">
                  <c:v>1.0593726564168127E-2</c:v>
                </c:pt>
                <c:pt idx="276">
                  <c:v>1.0607270705185856E-2</c:v>
                </c:pt>
                <c:pt idx="277">
                  <c:v>1.0620814660795785E-2</c:v>
                </c:pt>
                <c:pt idx="278">
                  <c:v>1.0634358431000246E-2</c:v>
                </c:pt>
                <c:pt idx="279">
                  <c:v>1.0647902015801902E-2</c:v>
                </c:pt>
                <c:pt idx="280">
                  <c:v>1.0661445415203308E-2</c:v>
                </c:pt>
                <c:pt idx="281">
                  <c:v>1.0674988629206905E-2</c:v>
                </c:pt>
                <c:pt idx="282">
                  <c:v>1.0688531657815248E-2</c:v>
                </c:pt>
                <c:pt idx="283">
                  <c:v>1.0702074501030889E-2</c:v>
                </c:pt>
                <c:pt idx="284">
                  <c:v>1.0715617158856494E-2</c:v>
                </c:pt>
                <c:pt idx="285">
                  <c:v>1.0729159631294394E-2</c:v>
                </c:pt>
                <c:pt idx="286">
                  <c:v>1.0742701918347142E-2</c:v>
                </c:pt>
                <c:pt idx="287">
                  <c:v>1.0756244020017514E-2</c:v>
                </c:pt>
                <c:pt idx="288">
                  <c:v>1.0769785936307841E-2</c:v>
                </c:pt>
                <c:pt idx="289">
                  <c:v>1.0783327667220677E-2</c:v>
                </c:pt>
                <c:pt idx="290">
                  <c:v>1.0796869212758575E-2</c:v>
                </c:pt>
                <c:pt idx="291">
                  <c:v>1.081041057292409E-2</c:v>
                </c:pt>
                <c:pt idx="292">
                  <c:v>1.0823951747719773E-2</c:v>
                </c:pt>
                <c:pt idx="293">
                  <c:v>1.0837492737148069E-2</c:v>
                </c:pt>
                <c:pt idx="294">
                  <c:v>1.0851033541211752E-2</c:v>
                </c:pt>
                <c:pt idx="295">
                  <c:v>1.0864574159913043E-2</c:v>
                </c:pt>
                <c:pt idx="296">
                  <c:v>1.0878114593254717E-2</c:v>
                </c:pt>
                <c:pt idx="297">
                  <c:v>1.0891654841239218E-2</c:v>
                </c:pt>
                <c:pt idx="298">
                  <c:v>1.0905194903869098E-2</c:v>
                </c:pt>
                <c:pt idx="299">
                  <c:v>1.091873478114691E-2</c:v>
                </c:pt>
                <c:pt idx="300">
                  <c:v>1.0932274473075099E-2</c:v>
                </c:pt>
                <c:pt idx="301">
                  <c:v>1.0945813979656327E-2</c:v>
                </c:pt>
                <c:pt idx="302">
                  <c:v>1.0959353300893038E-2</c:v>
                </c:pt>
                <c:pt idx="303">
                  <c:v>1.0972892436787895E-2</c:v>
                </c:pt>
                <c:pt idx="304">
                  <c:v>1.0986431387343232E-2</c:v>
                </c:pt>
                <c:pt idx="305">
                  <c:v>1.0999970152561822E-2</c:v>
                </c:pt>
                <c:pt idx="306">
                  <c:v>1.1013508732445998E-2</c:v>
                </c:pt>
                <c:pt idx="307">
                  <c:v>1.1027047126998424E-2</c:v>
                </c:pt>
                <c:pt idx="308">
                  <c:v>1.1040585336221653E-2</c:v>
                </c:pt>
                <c:pt idx="309">
                  <c:v>1.1054123360118129E-2</c:v>
                </c:pt>
                <c:pt idx="310">
                  <c:v>1.1067661198690404E-2</c:v>
                </c:pt>
                <c:pt idx="311">
                  <c:v>1.1081198851941032E-2</c:v>
                </c:pt>
                <c:pt idx="312">
                  <c:v>1.1094736319872567E-2</c:v>
                </c:pt>
                <c:pt idx="313">
                  <c:v>1.1108273602487562E-2</c:v>
                </c:pt>
                <c:pt idx="314">
                  <c:v>1.1121810699788459E-2</c:v>
                </c:pt>
                <c:pt idx="315">
                  <c:v>1.1135347611777924E-2</c:v>
                </c:pt>
                <c:pt idx="316">
                  <c:v>1.1148884338458398E-2</c:v>
                </c:pt>
                <c:pt idx="317">
                  <c:v>1.1162420879832435E-2</c:v>
                </c:pt>
                <c:pt idx="318">
                  <c:v>1.1175957235902589E-2</c:v>
                </c:pt>
                <c:pt idx="319">
                  <c:v>1.1189493406671525E-2</c:v>
                </c:pt>
                <c:pt idx="320">
                  <c:v>1.1203029392141461E-2</c:v>
                </c:pt>
                <c:pt idx="321">
                  <c:v>1.1216565192315286E-2</c:v>
                </c:pt>
                <c:pt idx="322">
                  <c:v>1.123010080719522E-2</c:v>
                </c:pt>
                <c:pt idx="323">
                  <c:v>1.1243636236784038E-2</c:v>
                </c:pt>
                <c:pt idx="324">
                  <c:v>1.1257171481084183E-2</c:v>
                </c:pt>
                <c:pt idx="325">
                  <c:v>1.1270706540098208E-2</c:v>
                </c:pt>
                <c:pt idx="326">
                  <c:v>1.1284241413828666E-2</c:v>
                </c:pt>
                <c:pt idx="327">
                  <c:v>1.1297776102278001E-2</c:v>
                </c:pt>
                <c:pt idx="328">
                  <c:v>1.1311310605448877E-2</c:v>
                </c:pt>
                <c:pt idx="329">
                  <c:v>1.1324844923343735E-2</c:v>
                </c:pt>
                <c:pt idx="330">
                  <c:v>1.1338379055965131E-2</c:v>
                </c:pt>
                <c:pt idx="331">
                  <c:v>1.1351913003315728E-2</c:v>
                </c:pt>
                <c:pt idx="332">
                  <c:v>1.1365446765397857E-2</c:v>
                </c:pt>
                <c:pt idx="333">
                  <c:v>1.1378980342214073E-2</c:v>
                </c:pt>
                <c:pt idx="334">
                  <c:v>1.1392513733767151E-2</c:v>
                </c:pt>
                <c:pt idx="335">
                  <c:v>1.1406046940059311E-2</c:v>
                </c:pt>
                <c:pt idx="336">
                  <c:v>1.1419579961093329E-2</c:v>
                </c:pt>
                <c:pt idx="337">
                  <c:v>1.1433112796871647E-2</c:v>
                </c:pt>
                <c:pt idx="338">
                  <c:v>1.1446645447396819E-2</c:v>
                </c:pt>
                <c:pt idx="339">
                  <c:v>1.1460177912671399E-2</c:v>
                </c:pt>
                <c:pt idx="340">
                  <c:v>1.1473710192697828E-2</c:v>
                </c:pt>
                <c:pt idx="341">
                  <c:v>1.1487242287478661E-2</c:v>
                </c:pt>
                <c:pt idx="342">
                  <c:v>1.1500774197016561E-2</c:v>
                </c:pt>
                <c:pt idx="343">
                  <c:v>1.1514305921313972E-2</c:v>
                </c:pt>
                <c:pt idx="344">
                  <c:v>1.1527837460373447E-2</c:v>
                </c:pt>
                <c:pt idx="345">
                  <c:v>1.1541368814197539E-2</c:v>
                </c:pt>
                <c:pt idx="346">
                  <c:v>1.1554899982788691E-2</c:v>
                </c:pt>
                <c:pt idx="347">
                  <c:v>1.1568430966149568E-2</c:v>
                </c:pt>
                <c:pt idx="348">
                  <c:v>1.1581961764282611E-2</c:v>
                </c:pt>
                <c:pt idx="349">
                  <c:v>1.1595492377190375E-2</c:v>
                </c:pt>
                <c:pt idx="350">
                  <c:v>1.1609022804875413E-2</c:v>
                </c:pt>
                <c:pt idx="351">
                  <c:v>1.1622553047340278E-2</c:v>
                </c:pt>
                <c:pt idx="352">
                  <c:v>1.1636083104587525E-2</c:v>
                </c:pt>
                <c:pt idx="353">
                  <c:v>1.1649612976619594E-2</c:v>
                </c:pt>
                <c:pt idx="354">
                  <c:v>1.1663142663439041E-2</c:v>
                </c:pt>
                <c:pt idx="355">
                  <c:v>1.1676672165048529E-2</c:v>
                </c:pt>
                <c:pt idx="356">
                  <c:v>1.1690201481450502E-2</c:v>
                </c:pt>
                <c:pt idx="357">
                  <c:v>1.1703730612647401E-2</c:v>
                </c:pt>
                <c:pt idx="358">
                  <c:v>1.171725955864189E-2</c:v>
                </c:pt>
                <c:pt idx="359">
                  <c:v>1.1730788319436525E-2</c:v>
                </c:pt>
                <c:pt idx="360">
                  <c:v>1.1744316895033746E-2</c:v>
                </c:pt>
                <c:pt idx="361">
                  <c:v>1.1757845285436108E-2</c:v>
                </c:pt>
                <c:pt idx="362">
                  <c:v>1.1771373490646275E-2</c:v>
                </c:pt>
                <c:pt idx="363">
                  <c:v>1.1784901510666579E-2</c:v>
                </c:pt>
                <c:pt idx="364">
                  <c:v>1.1798429345499573E-2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'2023'!Psa</c:f>
              <c:numCache>
                <c:formatCode>0.00%</c:formatCode>
                <c:ptCount val="366"/>
                <c:pt idx="0">
                  <c:v>2.9481875668833833E-2</c:v>
                </c:pt>
                <c:pt idx="1">
                  <c:v>2.9526851055869736E-2</c:v>
                </c:pt>
                <c:pt idx="2">
                  <c:v>2.9571847158956974E-2</c:v>
                </c:pt>
                <c:pt idx="3">
                  <c:v>2.9616857401595489E-2</c:v>
                </c:pt>
                <c:pt idx="4">
                  <c:v>2.9661876059046011E-2</c:v>
                </c:pt>
                <c:pt idx="5">
                  <c:v>2.9706898236303573E-2</c:v>
                </c:pt>
                <c:pt idx="6">
                  <c:v>2.9751919839237067E-2</c:v>
                </c:pt>
                <c:pt idx="7">
                  <c:v>2.9796937539394708E-2</c:v>
                </c:pt>
                <c:pt idx="8">
                  <c:v>2.9841948733024374E-2</c:v>
                </c:pt>
                <c:pt idx="9">
                  <c:v>2.9886951494901892E-2</c:v>
                </c:pt>
                <c:pt idx="10">
                  <c:v>2.9931944527597003E-2</c:v>
                </c:pt>
                <c:pt idx="11">
                  <c:v>2.9976927106837453E-2</c:v>
                </c:pt>
                <c:pt idx="12">
                  <c:v>3.0021899023655329E-2</c:v>
                </c:pt>
                <c:pt idx="13">
                  <c:v>3.0066860524016151E-2</c:v>
                </c:pt>
                <c:pt idx="14">
                  <c:v>3.0111812246640952E-2</c:v>
                </c:pt>
                <c:pt idx="15">
                  <c:v>3.0156755159733827E-2</c:v>
                </c:pt>
                <c:pt idx="16">
                  <c:v>3.0201690497322992E-2</c:v>
                </c:pt>
                <c:pt idx="17">
                  <c:v>3.0246619695911657E-2</c:v>
                </c:pt>
                <c:pt idx="18">
                  <c:v>3.0291544332117313E-2</c:v>
                </c:pt>
                <c:pt idx="19">
                  <c:v>3.0336466061952925E-2</c:v>
                </c:pt>
                <c:pt idx="20">
                  <c:v>3.038138656237346E-2</c:v>
                </c:pt>
                <c:pt idx="21">
                  <c:v>3.0426307475674538E-2</c:v>
                </c:pt>
                <c:pt idx="22">
                  <c:v>3.0471230357288638E-2</c:v>
                </c:pt>
                <c:pt idx="23">
                  <c:v>3.0516156627478235E-2</c:v>
                </c:pt>
                <c:pt idx="24">
                  <c:v>3.0561087527374374E-2</c:v>
                </c:pt>
                <c:pt idx="25">
                  <c:v>3.0606024079755805E-2</c:v>
                </c:pt>
                <c:pt idx="26">
                  <c:v>3.0650967054906116E-2</c:v>
                </c:pt>
                <c:pt idx="27">
                  <c:v>3.0695916941827332E-2</c:v>
                </c:pt>
                <c:pt idx="28">
                  <c:v>3.0740873925026981E-2</c:v>
                </c:pt>
                <c:pt idx="29">
                  <c:v>3.0785837867033487E-2</c:v>
                </c:pt>
                <c:pt idx="30">
                  <c:v>3.0830808296731932E-2</c:v>
                </c:pt>
                <c:pt idx="31">
                  <c:v>3.0875784403549704E-2</c:v>
                </c:pt>
                <c:pt idx="32">
                  <c:v>3.0920765037459972E-2</c:v>
                </c:pt>
                <c:pt idx="33">
                  <c:v>3.0965748714710646E-2</c:v>
                </c:pt>
                <c:pt idx="34">
                  <c:v>3.1010733629128207E-2</c:v>
                </c:pt>
                <c:pt idx="35">
                  <c:v>3.1055717668790658E-2</c:v>
                </c:pt>
                <c:pt idx="36">
                  <c:v>3.1100698437811124E-2</c:v>
                </c:pt>
                <c:pt idx="37">
                  <c:v>3.1145673282925206E-2</c:v>
                </c:pt>
                <c:pt idx="38">
                  <c:v>3.1190639324530544E-2</c:v>
                </c:pt>
                <c:pt idx="39">
                  <c:v>3.1235593491787061E-2</c:v>
                </c:pt>
                <c:pt idx="40">
                  <c:v>3.1280532561351125E-2</c:v>
                </c:pt>
                <c:pt idx="41">
                  <c:v>3.1325453199286715E-2</c:v>
                </c:pt>
                <c:pt idx="42">
                  <c:v>3.137035200567214E-2</c:v>
                </c:pt>
                <c:pt idx="43">
                  <c:v>3.1415225561401638E-2</c:v>
                </c:pt>
                <c:pt idx="44">
                  <c:v>3.1460070476667393E-2</c:v>
                </c:pt>
                <c:pt idx="45">
                  <c:v>3.150488344060004E-2</c:v>
                </c:pt>
                <c:pt idx="46">
                  <c:v>3.1549661271543177E-2</c:v>
                </c:pt>
                <c:pt idx="47">
                  <c:v>3.1594400967440664E-2</c:v>
                </c:pt>
                <c:pt idx="48">
                  <c:v>3.1639099755824768E-2</c:v>
                </c:pt>
                <c:pt idx="49">
                  <c:v>3.1683755142906285E-2</c:v>
                </c:pt>
                <c:pt idx="50">
                  <c:v>3.1728364961287676E-2</c:v>
                </c:pt>
                <c:pt idx="51">
                  <c:v>3.1772927415843012E-2</c:v>
                </c:pt>
                <c:pt idx="52">
                  <c:v>3.1817441127336914E-2</c:v>
                </c:pt>
                <c:pt idx="53">
                  <c:v>3.1861905173386398E-2</c:v>
                </c:pt>
                <c:pt idx="54">
                  <c:v>3.1906319126404438E-2</c:v>
                </c:pt>
                <c:pt idx="55">
                  <c:v>3.1950683088202918E-2</c:v>
                </c:pt>
                <c:pt idx="56">
                  <c:v>3.199499772097289E-2</c:v>
                </c:pt>
                <c:pt idx="57">
                  <c:v>3.2039264274403317E-2</c:v>
                </c:pt>
                <c:pt idx="58">
                  <c:v>3.2083484608743287E-2</c:v>
                </c:pt>
                <c:pt idx="59">
                  <c:v>3.2127661213658287E-2</c:v>
                </c:pt>
                <c:pt idx="60">
                  <c:v>3.2171797222776653E-2</c:v>
                </c:pt>
                <c:pt idx="61">
                  <c:v>3.2215896423867373E-2</c:v>
                </c:pt>
                <c:pt idx="62">
                  <c:v>3.2259963264636052E-2</c:v>
                </c:pt>
                <c:pt idx="63">
                  <c:v>3.2304002854168547E-2</c:v>
                </c:pt>
                <c:pt idx="64">
                  <c:v>3.2348020960094627E-2</c:v>
                </c:pt>
                <c:pt idx="65">
                  <c:v>3.2392024001583329E-2</c:v>
                </c:pt>
                <c:pt idx="66">
                  <c:v>3.2436019038319171E-2</c:v>
                </c:pt>
                <c:pt idx="67">
                  <c:v>3.2480013755642995E-2</c:v>
                </c:pt>
                <c:pt idx="68">
                  <c:v>3.2524016446072147E-2</c:v>
                </c:pt>
                <c:pt idx="69">
                  <c:v>3.2568035987442207E-2</c:v>
                </c:pt>
                <c:pt idx="70">
                  <c:v>3.261208181793649E-2</c:v>
                </c:pt>
                <c:pt idx="71">
                  <c:v>3.2656163908288974E-2</c:v>
                </c:pt>
                <c:pt idx="72">
                  <c:v>3.2700292731461883E-2</c:v>
                </c:pt>
                <c:pt idx="73">
                  <c:v>3.2744479230110361E-2</c:v>
                </c:pt>
                <c:pt idx="74">
                  <c:v>3.278873478215371E-2</c:v>
                </c:pt>
                <c:pt idx="75">
                  <c:v>3.2833071164774866E-2</c:v>
                </c:pt>
                <c:pt idx="76">
                  <c:v>3.2877500517168583E-2</c:v>
                </c:pt>
                <c:pt idx="77">
                  <c:v>3.2922035302352486E-2</c:v>
                </c:pt>
                <c:pt idx="78">
                  <c:v>3.2966688268345853E-2</c:v>
                </c:pt>
                <c:pt idx="79">
                  <c:v>3.3011472409007071E-2</c:v>
                </c:pt>
                <c:pt idx="80">
                  <c:v>3.3056400924803997E-2</c:v>
                </c:pt>
                <c:pt idx="81">
                  <c:v>3.3101487183771171E-2</c:v>
                </c:pt>
                <c:pt idx="82">
                  <c:v>3.3146744682884879E-2</c:v>
                </c:pt>
                <c:pt idx="83">
                  <c:v>3.3192187010061637E-2</c:v>
                </c:pt>
                <c:pt idx="84">
                  <c:v>3.3237827806958345E-2</c:v>
                </c:pt>
                <c:pt idx="85">
                  <c:v>3.328368073272292E-2</c:v>
                </c:pt>
                <c:pt idx="86">
                  <c:v>3.3329759428814588E-2</c:v>
                </c:pt>
                <c:pt idx="87">
                  <c:v>3.3376077484981531E-2</c:v>
                </c:pt>
                <c:pt idx="88">
                  <c:v>3.3422648406452843E-2</c:v>
                </c:pt>
                <c:pt idx="89">
                  <c:v>3.3469485582370687E-2</c:v>
                </c:pt>
                <c:pt idx="90">
                  <c:v>3.3516602255458314E-2</c:v>
                </c:pt>
                <c:pt idx="91">
                  <c:v>3.3564011492890872E-2</c:v>
                </c:pt>
                <c:pt idx="92">
                  <c:v>3.3611726158308007E-2</c:v>
                </c:pt>
                <c:pt idx="93">
                  <c:v>3.3659758884882152E-2</c:v>
                </c:pt>
                <c:pt idx="94">
                  <c:v>3.3708122049333565E-2</c:v>
                </c:pt>
                <c:pt idx="95">
                  <c:v>3.3756827746762114E-2</c:v>
                </c:pt>
                <c:pt idx="96">
                  <c:v>3.3805887766149442E-2</c:v>
                </c:pt>
                <c:pt idx="97">
                  <c:v>3.3855313566370546E-2</c:v>
                </c:pt>
                <c:pt idx="98">
                  <c:v>3.3905116252543811E-2</c:v>
                </c:pt>
                <c:pt idx="99">
                  <c:v>3.3955306552541718E-2</c:v>
                </c:pt>
                <c:pt idx="100">
                  <c:v>3.4005894793481733E-2</c:v>
                </c:pt>
                <c:pt idx="101">
                  <c:v>3.4056890878018151E-2</c:v>
                </c:pt>
                <c:pt idx="102">
                  <c:v>3.4108304260260659E-2</c:v>
                </c:pt>
                <c:pt idx="103">
                  <c:v>3.4160143921154511E-2</c:v>
                </c:pt>
                <c:pt idx="104">
                  <c:v>3.4212418343170417E-2</c:v>
                </c:pt>
                <c:pt idx="105">
                  <c:v>3.4265135484168416E-2</c:v>
                </c:pt>
                <c:pt idx="106">
                  <c:v>3.4318302750320814E-2</c:v>
                </c:pt>
                <c:pt idx="107">
                  <c:v>3.4371926968002238E-2</c:v>
                </c:pt>
                <c:pt idx="108">
                  <c:v>3.4426014354581806E-2</c:v>
                </c:pt>
                <c:pt idx="109">
                  <c:v>3.4480570488081314E-2</c:v>
                </c:pt>
                <c:pt idx="110">
                  <c:v>3.4535600275695008E-2</c:v>
                </c:pt>
                <c:pt idx="111">
                  <c:v>3.4591107921199966E-2</c:v>
                </c:pt>
                <c:pt idx="112">
                  <c:v>3.4647096891320839E-2</c:v>
                </c:pt>
                <c:pt idx="113">
                  <c:v>3.4703569881148706E-2</c:v>
                </c:pt>
                <c:pt idx="114">
                  <c:v>3.4760528778750265E-2</c:v>
                </c:pt>
                <c:pt idx="115">
                  <c:v>3.481797462913977E-2</c:v>
                </c:pt>
                <c:pt idx="116">
                  <c:v>3.4875907597822359E-2</c:v>
                </c:pt>
                <c:pt idx="117">
                  <c:v>3.4934326934152098E-2</c:v>
                </c:pt>
                <c:pt idx="118">
                  <c:v>3.4993230934781447E-2</c:v>
                </c:pt>
                <c:pt idx="119">
                  <c:v>3.5052616907510603E-2</c:v>
                </c:pt>
                <c:pt idx="120">
                  <c:v>3.5112481135873452E-2</c:v>
                </c:pt>
                <c:pt idx="121">
                  <c:v>3.5172818844823338E-2</c:v>
                </c:pt>
                <c:pt idx="122">
                  <c:v>3.523362416790396E-2</c:v>
                </c:pt>
                <c:pt idx="123">
                  <c:v>3.5294890116309714E-2</c:v>
                </c:pt>
                <c:pt idx="124">
                  <c:v>3.5356608550254069E-2</c:v>
                </c:pt>
                <c:pt idx="125">
                  <c:v>3.5418770153074562E-2</c:v>
                </c:pt>
                <c:pt idx="126">
                  <c:v>3.548136440850877E-2</c:v>
                </c:pt>
                <c:pt idx="127">
                  <c:v>3.5544379581575102E-2</c:v>
                </c:pt>
                <c:pt idx="128">
                  <c:v>3.5607802703487922E-2</c:v>
                </c:pt>
                <c:pt idx="129">
                  <c:v>3.5671619561026408E-2</c:v>
                </c:pt>
                <c:pt idx="130">
                  <c:v>3.5735814690760537E-2</c:v>
                </c:pt>
                <c:pt idx="131">
                  <c:v>3.5800371378517451E-2</c:v>
                </c:pt>
                <c:pt idx="132">
                  <c:v>3.586527166444501E-2</c:v>
                </c:pt>
                <c:pt idx="133">
                  <c:v>3.593049635399849E-2</c:v>
                </c:pt>
                <c:pt idx="134">
                  <c:v>3.5996025035140142E-2</c:v>
                </c:pt>
                <c:pt idx="135">
                  <c:v>3.6061836102001109E-2</c:v>
                </c:pt>
                <c:pt idx="136">
                  <c:v>3.612790678520951E-2</c:v>
                </c:pt>
                <c:pt idx="137">
                  <c:v>3.6194213189040453E-2</c:v>
                </c:pt>
                <c:pt idx="138">
                  <c:v>3.6260730335490543E-2</c:v>
                </c:pt>
                <c:pt idx="139">
                  <c:v>3.6327432215324286E-2</c:v>
                </c:pt>
                <c:pt idx="140">
                  <c:v>3.6394291846081638E-2</c:v>
                </c:pt>
                <c:pt idx="141">
                  <c:v>3.6461281336975924E-2</c:v>
                </c:pt>
                <c:pt idx="142">
                  <c:v>3.6528371960549644E-2</c:v>
                </c:pt>
                <c:pt idx="143">
                  <c:v>3.6595534230893685E-2</c:v>
                </c:pt>
                <c:pt idx="144">
                  <c:v>3.666273798817285E-2</c:v>
                </c:pt>
                <c:pt idx="145">
                  <c:v>3.6729952489138525E-2</c:v>
                </c:pt>
                <c:pt idx="146">
                  <c:v>3.6797146503248536E-2</c:v>
                </c:pt>
                <c:pt idx="147">
                  <c:v>3.6864288413955365E-2</c:v>
                </c:pt>
                <c:pt idx="148">
                  <c:v>3.6931346324666603E-2</c:v>
                </c:pt>
                <c:pt idx="149">
                  <c:v>3.6998288168828747E-2</c:v>
                </c:pt>
                <c:pt idx="150">
                  <c:v>3.7065081823534678E-2</c:v>
                </c:pt>
                <c:pt idx="151">
                  <c:v>3.7131695226009946E-2</c:v>
                </c:pt>
                <c:pt idx="152">
                  <c:v>3.7198096492291839E-2</c:v>
                </c:pt>
                <c:pt idx="153">
                  <c:v>3.726425403737952E-2</c:v>
                </c:pt>
                <c:pt idx="154">
                  <c:v>3.7330136696103716E-2</c:v>
                </c:pt>
                <c:pt idx="155">
                  <c:v>3.7395713843940442E-2</c:v>
                </c:pt>
                <c:pt idx="156">
                  <c:v>3.7460955516976181E-2</c:v>
                </c:pt>
                <c:pt idx="157">
                  <c:v>3.7525832530221161E-2</c:v>
                </c:pt>
                <c:pt idx="158">
                  <c:v>3.7590316593464117E-2</c:v>
                </c:pt>
                <c:pt idx="159">
                  <c:v>3.7654380423864965E-2</c:v>
                </c:pt>
                <c:pt idx="160">
                  <c:v>3.7717997854493458E-2</c:v>
                </c:pt>
                <c:pt idx="161">
                  <c:v>3.7781143938038893E-2</c:v>
                </c:pt>
                <c:pt idx="162">
                  <c:v>3.7843795044941952E-2</c:v>
                </c:pt>
                <c:pt idx="163">
                  <c:v>3.7905928955231386E-2</c:v>
                </c:pt>
                <c:pt idx="164">
                  <c:v>3.7967524943387412E-2</c:v>
                </c:pt>
                <c:pt idx="165">
                  <c:v>3.802856385559903E-2</c:v>
                </c:pt>
                <c:pt idx="166">
                  <c:v>3.8089028178834222E-2</c:v>
                </c:pt>
                <c:pt idx="167">
                  <c:v>3.8148902101198957E-2</c:v>
                </c:pt>
                <c:pt idx="168">
                  <c:v>3.8208171563123984E-2</c:v>
                </c:pt>
                <c:pt idx="169">
                  <c:v>3.8266824298985168E-2</c:v>
                </c:pt>
                <c:pt idx="170">
                  <c:v>3.832484986883454E-2</c:v>
                </c:pt>
                <c:pt idx="171">
                  <c:v>3.8382239679994469E-2</c:v>
                </c:pt>
                <c:pt idx="172">
                  <c:v>3.8438986998344297E-2</c:v>
                </c:pt>
                <c:pt idx="173">
                  <c:v>3.8495086949208876E-2</c:v>
                </c:pt>
                <c:pt idx="174">
                  <c:v>3.8550536507839274E-2</c:v>
                </c:pt>
                <c:pt idx="175">
                  <c:v>3.8605334479557316E-2</c:v>
                </c:pt>
                <c:pt idx="176">
                  <c:v>3.8659481469717268E-2</c:v>
                </c:pt>
                <c:pt idx="177">
                  <c:v>3.8712979843717785E-2</c:v>
                </c:pt>
                <c:pt idx="178">
                  <c:v>3.876583367737628E-2</c:v>
                </c:pt>
                <c:pt idx="179">
                  <c:v>3.881804869805365E-2</c:v>
                </c:pt>
                <c:pt idx="180">
                  <c:v>3.8869632216990024E-2</c:v>
                </c:pt>
                <c:pt idx="181">
                  <c:v>3.8920593053381268E-2</c:v>
                </c:pt>
                <c:pt idx="182">
                  <c:v>3.8970941450789789E-2</c:v>
                </c:pt>
                <c:pt idx="183">
                  <c:v>3.9020688986542297E-2</c:v>
                </c:pt>
                <c:pt idx="184">
                  <c:v>3.9069848474820243E-2</c:v>
                </c:pt>
                <c:pt idx="185">
                  <c:v>3.9118433864195119E-2</c:v>
                </c:pt>
                <c:pt idx="186">
                  <c:v>3.9166460130400656E-2</c:v>
                </c:pt>
                <c:pt idx="187">
                  <c:v>3.9213943165166763E-2</c:v>
                </c:pt>
                <c:pt idx="188">
                  <c:v>3.9260899661964679E-2</c:v>
                </c:pt>
                <c:pt idx="189">
                  <c:v>3.9307346999530292E-2</c:v>
                </c:pt>
                <c:pt idx="190">
                  <c:v>3.9353303124041616E-2</c:v>
                </c:pt>
                <c:pt idx="191">
                  <c:v>3.9398786430827823E-2</c:v>
                </c:pt>
                <c:pt idx="192">
                  <c:v>3.94438156464798E-2</c:v>
                </c:pt>
                <c:pt idx="193">
                  <c:v>3.9488409712217933E-2</c:v>
                </c:pt>
                <c:pt idx="194">
                  <c:v>3.9532587669349376E-2</c:v>
                </c:pt>
                <c:pt idx="195">
                  <c:v>3.9576368547617126E-2</c:v>
                </c:pt>
                <c:pt idx="196">
                  <c:v>3.9619771257205352E-2</c:v>
                </c:pt>
                <c:pt idx="197">
                  <c:v>3.9662814485120726E-2</c:v>
                </c:pt>
                <c:pt idx="198">
                  <c:v>3.9705516596618813E-2</c:v>
                </c:pt>
                <c:pt idx="199">
                  <c:v>3.9747895542287096E-2</c:v>
                </c:pt>
                <c:pt idx="200">
                  <c:v>3.978996877133438E-2</c:v>
                </c:pt>
                <c:pt idx="201">
                  <c:v>3.9831753151569213E-2</c:v>
                </c:pt>
                <c:pt idx="202">
                  <c:v>3.9873264896478855E-2</c:v>
                </c:pt>
                <c:pt idx="203">
                  <c:v>3.9914519499746434E-2</c:v>
                </c:pt>
                <c:pt idx="204">
                  <c:v>3.9955531677466911E-2</c:v>
                </c:pt>
                <c:pt idx="205">
                  <c:v>3.9996315318244602E-2</c:v>
                </c:pt>
                <c:pt idx="206">
                  <c:v>4.0036883441275269E-2</c:v>
                </c:pt>
                <c:pt idx="207">
                  <c:v>4.0077248162437046E-2</c:v>
                </c:pt>
                <c:pt idx="208">
                  <c:v>4.01174206683357E-2</c:v>
                </c:pt>
                <c:pt idx="209">
                  <c:v>4.0157411198173253E-2</c:v>
                </c:pt>
                <c:pt idx="210">
                  <c:v>4.0197229033234069E-2</c:v>
                </c:pt>
                <c:pt idx="211">
                  <c:v>4.023688249371199E-2</c:v>
                </c:pt>
                <c:pt idx="212">
                  <c:v>4.0276378942534184E-2</c:v>
                </c:pt>
                <c:pt idx="213">
                  <c:v>4.0315724795775186E-2</c:v>
                </c:pt>
                <c:pt idx="214">
                  <c:v>4.0354925539197097E-2</c:v>
                </c:pt>
                <c:pt idx="215">
                  <c:v>4.0393985750400409E-2</c:v>
                </c:pt>
                <c:pt idx="216">
                  <c:v>4.0432909126024964E-2</c:v>
                </c:pt>
                <c:pt idx="217">
                  <c:v>4.0471698513402543E-2</c:v>
                </c:pt>
                <c:pt idx="218">
                  <c:v>4.0510355946031258E-2</c:v>
                </c:pt>
                <c:pt idx="219">
                  <c:v>4.0548882682219248E-2</c:v>
                </c:pt>
                <c:pt idx="220">
                  <c:v>4.058727924622911E-2</c:v>
                </c:pt>
                <c:pt idx="221">
                  <c:v>4.0625545471247561E-2</c:v>
                </c:pt>
                <c:pt idx="222">
                  <c:v>4.0663680543504582E-2</c:v>
                </c:pt>
                <c:pt idx="223">
                  <c:v>4.0701683046875818E-2</c:v>
                </c:pt>
                <c:pt idx="224">
                  <c:v>4.0739551007317243E-2</c:v>
                </c:pt>
                <c:pt idx="225">
                  <c:v>4.0777281936506149E-2</c:v>
                </c:pt>
                <c:pt idx="226">
                  <c:v>4.0814872874093133E-2</c:v>
                </c:pt>
                <c:pt idx="227">
                  <c:v>4.0852320428008897E-2</c:v>
                </c:pt>
                <c:pt idx="228">
                  <c:v>4.0889620812313926E-2</c:v>
                </c:pt>
                <c:pt idx="229">
                  <c:v>4.0926769882131037E-2</c:v>
                </c:pt>
                <c:pt idx="230">
                  <c:v>4.096376316525633E-2</c:v>
                </c:pt>
                <c:pt idx="231">
                  <c:v>4.1000595890106156E-2</c:v>
                </c:pt>
                <c:pt idx="232">
                  <c:v>4.103726300972263E-2</c:v>
                </c:pt>
                <c:pt idx="233">
                  <c:v>4.1073759221629091E-2</c:v>
                </c:pt>
                <c:pt idx="234">
                  <c:v>4.1110078983398149E-2</c:v>
                </c:pt>
                <c:pt idx="235">
                  <c:v>4.1146216523867761E-2</c:v>
                </c:pt>
                <c:pt idx="236">
                  <c:v>4.1182165850014975E-2</c:v>
                </c:pt>
                <c:pt idx="237">
                  <c:v>4.1217920749570119E-2</c:v>
                </c:pt>
                <c:pt idx="238">
                  <c:v>4.1253474789527872E-2</c:v>
                </c:pt>
                <c:pt idx="239">
                  <c:v>4.1288821310782091E-2</c:v>
                </c:pt>
                <c:pt idx="240">
                  <c:v>4.1323953419180534E-2</c:v>
                </c:pt>
                <c:pt idx="241">
                  <c:v>4.1358863973359979E-2</c:v>
                </c:pt>
                <c:pt idx="242">
                  <c:v>4.1393545569783974E-2</c:v>
                </c:pt>
                <c:pt idx="243">
                  <c:v>4.1427990525460791E-2</c:v>
                </c:pt>
                <c:pt idx="244">
                  <c:v>4.1462190858869541E-2</c:v>
                </c:pt>
                <c:pt idx="245">
                  <c:v>4.149613826966677E-2</c:v>
                </c:pt>
                <c:pt idx="246">
                  <c:v>4.1529824117782319E-2</c:v>
                </c:pt>
                <c:pt idx="247">
                  <c:v>4.1563239402543251E-2</c:v>
                </c:pt>
                <c:pt idx="248">
                  <c:v>4.1596374742486501E-2</c:v>
                </c:pt>
                <c:pt idx="249">
                  <c:v>4.1629220356534283E-2</c:v>
                </c:pt>
                <c:pt idx="250">
                  <c:v>4.1661766047211758E-2</c:v>
                </c:pt>
                <c:pt idx="251">
                  <c:v>4.1694001186582917E-2</c:v>
                </c:pt>
                <c:pt idx="252">
                  <c:v>4.1725914705568655E-2</c:v>
                </c:pt>
                <c:pt idx="253">
                  <c:v>4.1757495087290285E-2</c:v>
                </c:pt>
                <c:pt idx="254">
                  <c:v>4.1788730365052332E-2</c:v>
                </c:pt>
                <c:pt idx="255">
                  <c:v>4.1819608125541106E-2</c:v>
                </c:pt>
                <c:pt idx="256">
                  <c:v>4.1850115517769917E-2</c:v>
                </c:pt>
                <c:pt idx="257">
                  <c:v>4.1880239268248132E-2</c:v>
                </c:pt>
                <c:pt idx="258">
                  <c:v>4.1909965702791818E-2</c:v>
                </c:pt>
                <c:pt idx="259">
                  <c:v>4.1939280775325702E-2</c:v>
                </c:pt>
                <c:pt idx="260">
                  <c:v>4.1968170103954379E-2</c:v>
                </c:pt>
                <c:pt idx="261">
                  <c:v>4.1996619014501656E-2</c:v>
                </c:pt>
                <c:pt idx="262">
                  <c:v>4.2024612591635369E-2</c:v>
                </c:pt>
                <c:pt idx="263">
                  <c:v>4.2052135737608076E-2</c:v>
                </c:pt>
                <c:pt idx="264">
                  <c:v>4.2079173238555943E-2</c:v>
                </c:pt>
                <c:pt idx="265">
                  <c:v>4.2105709838207141E-2</c:v>
                </c:pt>
                <c:pt idx="266">
                  <c:v>4.2131730318759893E-2</c:v>
                </c:pt>
                <c:pt idx="267">
                  <c:v>4.2157219588599006E-2</c:v>
                </c:pt>
                <c:pt idx="268">
                  <c:v>4.2182162776429541E-2</c:v>
                </c:pt>
                <c:pt idx="269">
                  <c:v>4.2206545331318811E-2</c:v>
                </c:pt>
                <c:pt idx="270">
                  <c:v>4.2230353128051998E-2</c:v>
                </c:pt>
                <c:pt idx="271">
                  <c:v>4.2253572577127099E-2</c:v>
                </c:pt>
                <c:pt idx="272">
                  <c:v>4.227619073863819E-2</c:v>
                </c:pt>
                <c:pt idx="273">
                  <c:v>4.2298195439226145E-2</c:v>
                </c:pt>
                <c:pt idx="274">
                  <c:v>4.2319575391213213E-2</c:v>
                </c:pt>
                <c:pt idx="275">
                  <c:v>4.2340320312981287E-2</c:v>
                </c:pt>
                <c:pt idx="276">
                  <c:v>4.2360421049606363E-2</c:v>
                </c:pt>
                <c:pt idx="277">
                  <c:v>4.2379869692723102E-2</c:v>
                </c:pt>
                <c:pt idx="278">
                  <c:v>4.2398659698563296E-2</c:v>
                </c:pt>
                <c:pt idx="279">
                  <c:v>4.2416786003092871E-2</c:v>
                </c:pt>
                <c:pt idx="280">
                  <c:v>4.2434245133162012E-2</c:v>
                </c:pt>
                <c:pt idx="281">
                  <c:v>4.2451035312584526E-2</c:v>
                </c:pt>
                <c:pt idx="282">
                  <c:v>4.2467156562073047E-2</c:v>
                </c:pt>
                <c:pt idx="283">
                  <c:v>4.248261079197984E-2</c:v>
                </c:pt>
                <c:pt idx="284">
                  <c:v>4.2497401886824888E-2</c:v>
                </c:pt>
                <c:pt idx="285">
                  <c:v>4.2511535780636281E-2</c:v>
                </c:pt>
                <c:pt idx="286">
                  <c:v>4.2525020522181427E-2</c:v>
                </c:pt>
                <c:pt idx="287">
                  <c:v>4.2537866329230289E-2</c:v>
                </c:pt>
                <c:pt idx="288">
                  <c:v>4.2550085631064612E-2</c:v>
                </c:pt>
                <c:pt idx="289">
                  <c:v>4.2561693098528038E-2</c:v>
                </c:pt>
                <c:pt idx="290">
                  <c:v>4.2572705661001201E-2</c:v>
                </c:pt>
                <c:pt idx="291">
                  <c:v>4.2583142509783019E-2</c:v>
                </c:pt>
                <c:pt idx="292">
                  <c:v>4.259302508746151E-2</c:v>
                </c:pt>
                <c:pt idx="293">
                  <c:v>4.2602377062967441E-2</c:v>
                </c:pt>
                <c:pt idx="294">
                  <c:v>4.2611224292116452E-2</c:v>
                </c:pt>
                <c:pt idx="295">
                  <c:v>4.2619594763562835E-2</c:v>
                </c:pt>
                <c:pt idx="296">
                  <c:v>4.2627518530207999E-2</c:v>
                </c:pt>
                <c:pt idx="297">
                  <c:v>4.2635027626226882E-2</c:v>
                </c:pt>
                <c:pt idx="298">
                  <c:v>4.2642155969998013E-2</c:v>
                </c:pt>
                <c:pt idx="299">
                  <c:v>4.264893925334292E-2</c:v>
                </c:pt>
                <c:pt idx="300">
                  <c:v>4.2655414817599678E-2</c:v>
                </c:pt>
                <c:pt idx="301">
                  <c:v>4.2661621517170657E-2</c:v>
                </c:pt>
                <c:pt idx="302">
                  <c:v>4.266759957129692E-2</c:v>
                </c:pt>
                <c:pt idx="303">
                  <c:v>4.2673390404917036E-2</c:v>
                </c:pt>
                <c:pt idx="304">
                  <c:v>4.2679036479569089E-2</c:v>
                </c:pt>
                <c:pt idx="305">
                  <c:v>4.2684581115386817E-2</c:v>
                </c:pt>
                <c:pt idx="306">
                  <c:v>4.269006830532604E-2</c:v>
                </c:pt>
                <c:pt idx="307">
                  <c:v>4.269554252283303E-2</c:v>
                </c:pt>
                <c:pt idx="308">
                  <c:v>4.2701048524232288E-2</c:v>
                </c:pt>
                <c:pt idx="309">
                  <c:v>4.2706631147167197E-2</c:v>
                </c:pt>
                <c:pt idx="310">
                  <c:v>4.2712335106470919E-2</c:v>
                </c:pt>
                <c:pt idx="311">
                  <c:v>4.2718204788878493E-2</c:v>
                </c:pt>
                <c:pt idx="312">
                  <c:v>4.2724284048011922E-2</c:v>
                </c:pt>
                <c:pt idx="313">
                  <c:v>4.2730616001079066E-2</c:v>
                </c:pt>
                <c:pt idx="314">
                  <c:v>4.2737242828724119E-2</c:v>
                </c:pt>
                <c:pt idx="315">
                  <c:v>4.2744205579451654E-2</c:v>
                </c:pt>
                <c:pt idx="316">
                  <c:v>4.2751543980018555E-2</c:v>
                </c:pt>
                <c:pt idx="317">
                  <c:v>4.2759296253148275E-2</c:v>
                </c:pt>
                <c:pt idx="318">
                  <c:v>4.2767498943870309E-2</c:v>
                </c:pt>
                <c:pt idx="319">
                  <c:v>4.2776186755724983E-2</c:v>
                </c:pt>
                <c:pt idx="320">
                  <c:v>4.278539239799984E-2</c:v>
                </c:pt>
                <c:pt idx="321">
                  <c:v>4.2795146445080492E-2</c:v>
                </c:pt>
                <c:pt idx="322">
                  <c:v>4.2805477208905172E-2</c:v>
                </c:pt>
                <c:pt idx="323">
                  <c:v>4.2816410625410847E-2</c:v>
                </c:pt>
                <c:pt idx="324">
                  <c:v>4.2827970155749191E-2</c:v>
                </c:pt>
                <c:pt idx="325">
                  <c:v>4.2840176702934253E-2</c:v>
                </c:pt>
                <c:pt idx="326">
                  <c:v>4.2853048544462334E-2</c:v>
                </c:pt>
                <c:pt idx="327">
                  <c:v>4.2866601281317564E-2</c:v>
                </c:pt>
                <c:pt idx="328">
                  <c:v>4.2880847803647239E-2</c:v>
                </c:pt>
                <c:pt idx="329">
                  <c:v>4.2895798273258394E-2</c:v>
                </c:pt>
                <c:pt idx="330">
                  <c:v>4.2911460122954166E-2</c:v>
                </c:pt>
                <c:pt idx="331">
                  <c:v>4.2927838072594933E-2</c:v>
                </c:pt>
                <c:pt idx="332">
                  <c:v>4.2944934161637652E-2</c:v>
                </c:pt>
                <c:pt idx="333">
                  <c:v>4.296274779777727E-2</c:v>
                </c:pt>
                <c:pt idx="334">
                  <c:v>4.2981275821188075E-2</c:v>
                </c:pt>
                <c:pt idx="335">
                  <c:v>4.3000512583742448E-2</c:v>
                </c:pt>
                <c:pt idx="336">
                  <c:v>4.3020450042468641E-2</c:v>
                </c:pt>
                <c:pt idx="337">
                  <c:v>4.3041077866401357E-2</c:v>
                </c:pt>
                <c:pt idx="338">
                  <c:v>4.3062383555878277E-2</c:v>
                </c:pt>
                <c:pt idx="339">
                  <c:v>4.3084352573243896E-2</c:v>
                </c:pt>
                <c:pt idx="340">
                  <c:v>4.3106968483839672E-2</c:v>
                </c:pt>
                <c:pt idx="341">
                  <c:v>4.3130213106087702E-2</c:v>
                </c:pt>
                <c:pt idx="342">
                  <c:v>4.3154066669413307E-2</c:v>
                </c:pt>
                <c:pt idx="343">
                  <c:v>4.3178507978702513E-2</c:v>
                </c:pt>
                <c:pt idx="344">
                  <c:v>4.3203514583951608E-2</c:v>
                </c:pt>
                <c:pt idx="345">
                  <c:v>4.3229062953740037E-2</c:v>
                </c:pt>
                <c:pt idx="346">
                  <c:v>4.3255128651143324E-2</c:v>
                </c:pt>
                <c:pt idx="347">
                  <c:v>4.3281686510701141E-2</c:v>
                </c:pt>
                <c:pt idx="348">
                  <c:v>4.3308710815065515E-2</c:v>
                </c:pt>
                <c:pt idx="349">
                  <c:v>4.3336175469976285E-2</c:v>
                </c:pt>
                <c:pt idx="350">
                  <c:v>4.3364054176244893E-2</c:v>
                </c:pt>
                <c:pt idx="351">
                  <c:v>4.3392320597472493E-2</c:v>
                </c:pt>
                <c:pt idx="352">
                  <c:v>4.342094852228421E-2</c:v>
                </c:pt>
                <c:pt idx="353">
                  <c:v>4.3449912019927324E-2</c:v>
                </c:pt>
                <c:pt idx="354">
                  <c:v>4.3479185588156846E-2</c:v>
                </c:pt>
                <c:pt idx="355">
                  <c:v>4.3508744292415837E-2</c:v>
                </c:pt>
                <c:pt idx="356">
                  <c:v>4.3538563895409894E-2</c:v>
                </c:pt>
                <c:pt idx="357">
                  <c:v>4.35686209762743E-2</c:v>
                </c:pt>
                <c:pt idx="358">
                  <c:v>4.3598893038637072E-2</c:v>
                </c:pt>
                <c:pt idx="359">
                  <c:v>4.362935860699068E-2</c:v>
                </c:pt>
                <c:pt idx="360">
                  <c:v>4.3659997310899271E-2</c:v>
                </c:pt>
                <c:pt idx="361">
                  <c:v>4.369078995668399E-2</c:v>
                </c:pt>
                <c:pt idx="362">
                  <c:v>4.3721718586347082E-2</c:v>
                </c:pt>
                <c:pt idx="363">
                  <c:v>4.3752766523614192E-2</c:v>
                </c:pt>
                <c:pt idx="364">
                  <c:v>4.378391840709106E-2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'2023'!Pvg</c:f>
              <c:numCache>
                <c:formatCode>0.00%</c:formatCode>
                <c:ptCount val="366"/>
                <c:pt idx="0">
                  <c:v>5.592023213301557E-4</c:v>
                </c:pt>
                <c:pt idx="1">
                  <c:v>5.6637247863571038E-4</c:v>
                </c:pt>
                <c:pt idx="2">
                  <c:v>5.7360530042151723E-4</c:v>
                </c:pt>
                <c:pt idx="3">
                  <c:v>5.8090088300010432E-4</c:v>
                </c:pt>
                <c:pt idx="4">
                  <c:v>5.8825981013148061E-4</c:v>
                </c:pt>
                <c:pt idx="5">
                  <c:v>5.9568314595581629E-4</c:v>
                </c:pt>
                <c:pt idx="6">
                  <c:v>6.0317242536044654E-4</c:v>
                </c:pt>
                <c:pt idx="7">
                  <c:v>6.1072964249067911E-4</c:v>
                </c:pt>
                <c:pt idx="8">
                  <c:v>6.1829572780313822E-4</c:v>
                </c:pt>
                <c:pt idx="9">
                  <c:v>6.2442341446616748E-4</c:v>
                </c:pt>
                <c:pt idx="10">
                  <c:v>6.2841023965763741E-4</c:v>
                </c:pt>
                <c:pt idx="11">
                  <c:v>6.3031922786141979E-4</c:v>
                </c:pt>
                <c:pt idx="12">
                  <c:v>6.3021592614736284E-4</c:v>
                </c:pt>
                <c:pt idx="13">
                  <c:v>6.2816763647957012E-4</c:v>
                </c:pt>
                <c:pt idx="14">
                  <c:v>6.2424270237282007E-4</c:v>
                </c:pt>
                <c:pt idx="15">
                  <c:v>6.1872641392528131E-4</c:v>
                </c:pt>
                <c:pt idx="16">
                  <c:v>6.1208441605556971E-4</c:v>
                </c:pt>
                <c:pt idx="17">
                  <c:v>6.0436620097186497E-4</c:v>
                </c:pt>
                <c:pt idx="18">
                  <c:v>5.956201054491641E-4</c:v>
                </c:pt>
                <c:pt idx="19">
                  <c:v>5.8589579402791873E-4</c:v>
                </c:pt>
                <c:pt idx="20">
                  <c:v>5.7524230699031197E-4</c:v>
                </c:pt>
                <c:pt idx="21">
                  <c:v>5.6370446997230743E-4</c:v>
                </c:pt>
                <c:pt idx="22">
                  <c:v>5.5127491225715841E-4</c:v>
                </c:pt>
                <c:pt idx="23">
                  <c:v>5.3751075008389782E-4</c:v>
                </c:pt>
                <c:pt idx="24">
                  <c:v>5.2367423859187316E-4</c:v>
                </c:pt>
                <c:pt idx="25">
                  <c:v>5.0978648076166456E-4</c:v>
                </c:pt>
                <c:pt idx="26">
                  <c:v>4.958666992712573E-4</c:v>
                </c:pt>
                <c:pt idx="27">
                  <c:v>4.8193228387485333E-4</c:v>
                </c:pt>
                <c:pt idx="28">
                  <c:v>4.6799884944112656E-4</c:v>
                </c:pt>
                <c:pt idx="29">
                  <c:v>4.5297678614789538E-4</c:v>
                </c:pt>
                <c:pt idx="30">
                  <c:v>4.3672787143184388E-4</c:v>
                </c:pt>
                <c:pt idx="31">
                  <c:v>4.193027783042433E-4</c:v>
                </c:pt>
                <c:pt idx="32">
                  <c:v>4.0074939816783702E-4</c:v>
                </c:pt>
                <c:pt idx="33">
                  <c:v>3.8111275933218564E-4</c:v>
                </c:pt>
                <c:pt idx="34">
                  <c:v>3.604349717319896E-4</c:v>
                </c:pt>
                <c:pt idx="35">
                  <c:v>3.3875519449444615E-4</c:v>
                </c:pt>
                <c:pt idx="36">
                  <c:v>3.1608163256406223E-4</c:v>
                </c:pt>
                <c:pt idx="37">
                  <c:v>2.9329157960493658E-4</c:v>
                </c:pt>
                <c:pt idx="38">
                  <c:v>2.7077983788611706E-4</c:v>
                </c:pt>
                <c:pt idx="39">
                  <c:v>2.485517519528901E-4</c:v>
                </c:pt>
                <c:pt idx="40">
                  <c:v>2.2661021754340053E-4</c:v>
                </c:pt>
                <c:pt idx="41">
                  <c:v>2.0495587549522543E-4</c:v>
                </c:pt>
                <c:pt idx="42">
                  <c:v>1.8358729586204366E-4</c:v>
                </c:pt>
                <c:pt idx="43">
                  <c:v>1.6332356351004602E-4</c:v>
                </c:pt>
                <c:pt idx="44">
                  <c:v>1.4508029068636185E-4</c:v>
                </c:pt>
                <c:pt idx="45">
                  <c:v>1.2879989506806816E-4</c:v>
                </c:pt>
                <c:pt idx="46">
                  <c:v>1.1442600562165019E-4</c:v>
                </c:pt>
                <c:pt idx="47">
                  <c:v>1.0190378919488998E-4</c:v>
                </c:pt>
                <c:pt idx="48">
                  <c:v>9.1180236404120446E-5</c:v>
                </c:pt>
                <c:pt idx="49">
                  <c:v>8.2204411747376674E-5</c:v>
                </c:pt>
                <c:pt idx="50">
                  <c:v>7.4922304904146892E-5</c:v>
                </c:pt>
                <c:pt idx="51">
                  <c:v>6.915910985971973E-5</c:v>
                </c:pt>
                <c:pt idx="52">
                  <c:v>6.4130544294936106E-5</c:v>
                </c:pt>
                <c:pt idx="53">
                  <c:v>5.9817663418990099E-5</c:v>
                </c:pt>
                <c:pt idx="54">
                  <c:v>5.6202410253153567E-5</c:v>
                </c:pt>
                <c:pt idx="55">
                  <c:v>5.3267342330675963E-5</c:v>
                </c:pt>
                <c:pt idx="56">
                  <c:v>5.0995667048370847E-5</c:v>
                </c:pt>
                <c:pt idx="57">
                  <c:v>4.9395234250545662E-5</c:v>
                </c:pt>
                <c:pt idx="58">
                  <c:v>4.7730529546786391E-5</c:v>
                </c:pt>
                <c:pt idx="59">
                  <c:v>4.6003198724535268E-5</c:v>
                </c:pt>
                <c:pt idx="60">
                  <c:v>4.4214741104185819E-5</c:v>
                </c:pt>
                <c:pt idx="61">
                  <c:v>4.2366507438145852E-5</c:v>
                </c:pt>
                <c:pt idx="62">
                  <c:v>4.04596975160777E-5</c:v>
                </c:pt>
                <c:pt idx="63">
                  <c:v>3.8495357461081666E-5</c:v>
                </c:pt>
                <c:pt idx="64">
                  <c:v>3.6473773395679036E-5</c:v>
                </c:pt>
                <c:pt idx="65">
                  <c:v>3.452532390138534E-5</c:v>
                </c:pt>
                <c:pt idx="66">
                  <c:v>3.275882535800287E-5</c:v>
                </c:pt>
                <c:pt idx="67">
                  <c:v>3.1170137360433569E-5</c:v>
                </c:pt>
                <c:pt idx="68">
                  <c:v>2.9755348405321411E-5</c:v>
                </c:pt>
                <c:pt idx="69">
                  <c:v>2.8510765108522799E-5</c:v>
                </c:pt>
                <c:pt idx="70">
                  <c:v>2.7432902902703481E-5</c:v>
                </c:pt>
                <c:pt idx="71">
                  <c:v>2.6555640324805947E-5</c:v>
                </c:pt>
                <c:pt idx="72">
                  <c:v>2.5853634538889031E-5</c:v>
                </c:pt>
                <c:pt idx="73">
                  <c:v>2.5323755767811799E-5</c:v>
                </c:pt>
                <c:pt idx="74">
                  <c:v>2.4963076061334394E-5</c:v>
                </c:pt>
                <c:pt idx="75">
                  <c:v>2.476886564073028E-5</c:v>
                </c:pt>
                <c:pt idx="76">
                  <c:v>2.4738590154827326E-5</c:v>
                </c:pt>
                <c:pt idx="77">
                  <c:v>2.4869908755729869E-5</c:v>
                </c:pt>
                <c:pt idx="78">
                  <c:v>2.515988097194052E-5</c:v>
                </c:pt>
                <c:pt idx="79">
                  <c:v>2.5576360079490693E-5</c:v>
                </c:pt>
                <c:pt idx="80">
                  <c:v>2.5998444765524097E-5</c:v>
                </c:pt>
                <c:pt idx="81">
                  <c:v>2.6426882463109487E-5</c:v>
                </c:pt>
                <c:pt idx="82">
                  <c:v>2.6862453311183869E-5</c:v>
                </c:pt>
                <c:pt idx="83">
                  <c:v>2.7305970855153852E-5</c:v>
                </c:pt>
                <c:pt idx="84">
                  <c:v>2.7758282980081988E-5</c:v>
                </c:pt>
                <c:pt idx="85">
                  <c:v>2.8236279344578426E-5</c:v>
                </c:pt>
                <c:pt idx="86">
                  <c:v>2.8705984573157592E-5</c:v>
                </c:pt>
                <c:pt idx="87">
                  <c:v>2.91685248722808E-5</c:v>
                </c:pt>
                <c:pt idx="88">
                  <c:v>2.9625030866159853E-5</c:v>
                </c:pt>
                <c:pt idx="89">
                  <c:v>3.0076636679946545E-5</c:v>
                </c:pt>
                <c:pt idx="90">
                  <c:v>3.0524479412270212E-5</c:v>
                </c:pt>
                <c:pt idx="91">
                  <c:v>3.0969698963224499E-5</c:v>
                </c:pt>
                <c:pt idx="92">
                  <c:v>3.1412442824892996E-5</c:v>
                </c:pt>
                <c:pt idx="93">
                  <c:v>3.1882467910296925E-5</c:v>
                </c:pt>
                <c:pt idx="94">
                  <c:v>3.2408884183480344E-5</c:v>
                </c:pt>
                <c:pt idx="95">
                  <c:v>3.2992186809970208E-5</c:v>
                </c:pt>
                <c:pt idx="96">
                  <c:v>3.3632972737288165E-5</c:v>
                </c:pt>
                <c:pt idx="97">
                  <c:v>3.4331940385144572E-5</c:v>
                </c:pt>
                <c:pt idx="98">
                  <c:v>3.508988945257497E-5</c:v>
                </c:pt>
                <c:pt idx="99">
                  <c:v>3.5865985982546873E-5</c:v>
                </c:pt>
                <c:pt idx="100">
                  <c:v>3.6645138831810196E-5</c:v>
                </c:pt>
                <c:pt idx="101">
                  <c:v>3.7428035023229943E-5</c:v>
                </c:pt>
                <c:pt idx="102">
                  <c:v>3.82153443284882E-5</c:v>
                </c:pt>
                <c:pt idx="103">
                  <c:v>3.9007718808062254E-5</c:v>
                </c:pt>
                <c:pt idx="104">
                  <c:v>3.9805792208597566E-5</c:v>
                </c:pt>
                <c:pt idx="105">
                  <c:v>4.0610179246013234E-5</c:v>
                </c:pt>
                <c:pt idx="106">
                  <c:v>4.1422255455419666E-5</c:v>
                </c:pt>
                <c:pt idx="107">
                  <c:v>4.2199537002154373E-5</c:v>
                </c:pt>
                <c:pt idx="108">
                  <c:v>4.2910939460936962E-5</c:v>
                </c:pt>
                <c:pt idx="109">
                  <c:v>4.3555851218518874E-5</c:v>
                </c:pt>
                <c:pt idx="110">
                  <c:v>4.4133571638218917E-5</c:v>
                </c:pt>
                <c:pt idx="111">
                  <c:v>4.4643211554520002E-5</c:v>
                </c:pt>
                <c:pt idx="112">
                  <c:v>4.5083581032209842E-5</c:v>
                </c:pt>
                <c:pt idx="113">
                  <c:v>4.5460389632924864E-5</c:v>
                </c:pt>
                <c:pt idx="114">
                  <c:v>4.5816626270251692E-5</c:v>
                </c:pt>
                <c:pt idx="115">
                  <c:v>4.6151569929944898E-5</c:v>
                </c:pt>
                <c:pt idx="116">
                  <c:v>4.6464405909108179E-5</c:v>
                </c:pt>
                <c:pt idx="117">
                  <c:v>4.6754224116983991E-5</c:v>
                </c:pt>
                <c:pt idx="118">
                  <c:v>4.7020017453426976E-5</c:v>
                </c:pt>
                <c:pt idx="119">
                  <c:v>4.7260680316513639E-5</c:v>
                </c:pt>
                <c:pt idx="120">
                  <c:v>4.7475777340242185E-5</c:v>
                </c:pt>
                <c:pt idx="121">
                  <c:v>4.7659596290114682E-5</c:v>
                </c:pt>
                <c:pt idx="122">
                  <c:v>4.7859313443166439E-5</c:v>
                </c:pt>
                <c:pt idx="123">
                  <c:v>4.8074731623398801E-5</c:v>
                </c:pt>
                <c:pt idx="124">
                  <c:v>4.8305639914743142E-5</c:v>
                </c:pt>
                <c:pt idx="125">
                  <c:v>4.8551812173021595E-5</c:v>
                </c:pt>
                <c:pt idx="126">
                  <c:v>4.8813005544253575E-5</c:v>
                </c:pt>
                <c:pt idx="127">
                  <c:v>4.9058823536141588E-5</c:v>
                </c:pt>
                <c:pt idx="128">
                  <c:v>4.9279948271162928E-5</c:v>
                </c:pt>
                <c:pt idx="129">
                  <c:v>4.947479534516149E-5</c:v>
                </c:pt>
                <c:pt idx="130">
                  <c:v>4.9641681388246134E-5</c:v>
                </c:pt>
                <c:pt idx="131">
                  <c:v>4.9778824466922336E-5</c:v>
                </c:pt>
                <c:pt idx="132">
                  <c:v>4.9884344957359863E-5</c:v>
                </c:pt>
                <c:pt idx="133">
                  <c:v>4.9956266935969118E-5</c:v>
                </c:pt>
                <c:pt idx="134">
                  <c:v>4.9993035764873899E-5</c:v>
                </c:pt>
                <c:pt idx="135">
                  <c:v>4.9967800618037481E-5</c:v>
                </c:pt>
                <c:pt idx="136">
                  <c:v>4.9883576029932226E-5</c:v>
                </c:pt>
                <c:pt idx="137">
                  <c:v>4.9737296928905659E-5</c:v>
                </c:pt>
                <c:pt idx="138">
                  <c:v>4.9525782017654725E-5</c:v>
                </c:pt>
                <c:pt idx="139">
                  <c:v>4.9245740295670401E-5</c:v>
                </c:pt>
                <c:pt idx="140">
                  <c:v>4.8893778525565257E-5</c:v>
                </c:pt>
                <c:pt idx="141">
                  <c:v>4.847819108901777E-5</c:v>
                </c:pt>
                <c:pt idx="142">
                  <c:v>4.8031610067264733E-5</c:v>
                </c:pt>
                <c:pt idx="143">
                  <c:v>4.755207062865693E-5</c:v>
                </c:pt>
                <c:pt idx="144">
                  <c:v>4.7037848213606534E-5</c:v>
                </c:pt>
                <c:pt idx="145">
                  <c:v>4.6487217404852805E-5</c:v>
                </c:pt>
                <c:pt idx="146">
                  <c:v>4.5898458069029769E-5</c:v>
                </c:pt>
                <c:pt idx="147">
                  <c:v>4.5269861769317076E-5</c:v>
                </c:pt>
                <c:pt idx="148">
                  <c:v>4.4599770839968846E-5</c:v>
                </c:pt>
                <c:pt idx="149">
                  <c:v>4.39040633664386E-5</c:v>
                </c:pt>
                <c:pt idx="150">
                  <c:v>4.3212277410989449E-5</c:v>
                </c:pt>
                <c:pt idx="151">
                  <c:v>4.2524773025741578E-5</c:v>
                </c:pt>
                <c:pt idx="152">
                  <c:v>4.1841963307244168E-5</c:v>
                </c:pt>
                <c:pt idx="153">
                  <c:v>4.1164314779760757E-5</c:v>
                </c:pt>
                <c:pt idx="154">
                  <c:v>4.049234747919487E-5</c:v>
                </c:pt>
                <c:pt idx="155">
                  <c:v>3.9847036753894944E-5</c:v>
                </c:pt>
                <c:pt idx="156">
                  <c:v>3.921549375665434E-5</c:v>
                </c:pt>
                <c:pt idx="157">
                  <c:v>3.8598616889284994E-5</c:v>
                </c:pt>
                <c:pt idx="158">
                  <c:v>3.7997355439082886E-5</c:v>
                </c:pt>
                <c:pt idx="159">
                  <c:v>3.7412707674560953E-5</c:v>
                </c:pt>
                <c:pt idx="160">
                  <c:v>3.6845718695514258E-5</c:v>
                </c:pt>
                <c:pt idx="161">
                  <c:v>3.6297478066037198E-5</c:v>
                </c:pt>
                <c:pt idx="162">
                  <c:v>3.5769091394182962E-5</c:v>
                </c:pt>
                <c:pt idx="163">
                  <c:v>3.5313428453204419E-5</c:v>
                </c:pt>
                <c:pt idx="164">
                  <c:v>3.4912561950436312E-5</c:v>
                </c:pt>
                <c:pt idx="165">
                  <c:v>3.4568647427936185E-5</c:v>
                </c:pt>
                <c:pt idx="166">
                  <c:v>3.4283864773360976E-5</c:v>
                </c:pt>
                <c:pt idx="167">
                  <c:v>3.4060410496859672E-5</c:v>
                </c:pt>
                <c:pt idx="168">
                  <c:v>3.390049009876076E-5</c:v>
                </c:pt>
                <c:pt idx="169">
                  <c:v>3.3861561291190426E-5</c:v>
                </c:pt>
                <c:pt idx="170">
                  <c:v>3.392341463750305E-5</c:v>
                </c:pt>
                <c:pt idx="171">
                  <c:v>3.4089171234554143E-5</c:v>
                </c:pt>
                <c:pt idx="172">
                  <c:v>3.4361911006503062E-5</c:v>
                </c:pt>
                <c:pt idx="173">
                  <c:v>3.4744366974271505E-5</c:v>
                </c:pt>
                <c:pt idx="174">
                  <c:v>3.523918165767094E-5</c:v>
                </c:pt>
                <c:pt idx="175">
                  <c:v>3.584920330483449E-5</c:v>
                </c:pt>
                <c:pt idx="176">
                  <c:v>3.6577048263238436E-5</c:v>
                </c:pt>
                <c:pt idx="177">
                  <c:v>3.7451052136060447E-5</c:v>
                </c:pt>
                <c:pt idx="178">
                  <c:v>3.8414646643836176E-5</c:v>
                </c:pt>
                <c:pt idx="179">
                  <c:v>3.9469714909715795E-5</c:v>
                </c:pt>
                <c:pt idx="180">
                  <c:v>4.0618097721795753E-5</c:v>
                </c:pt>
                <c:pt idx="181">
                  <c:v>4.1861598000781161E-5</c:v>
                </c:pt>
                <c:pt idx="182">
                  <c:v>4.3201986062390284E-5</c:v>
                </c:pt>
                <c:pt idx="183">
                  <c:v>4.4665578063722093E-5</c:v>
                </c:pt>
                <c:pt idx="184">
                  <c:v>4.6191807860367177E-5</c:v>
                </c:pt>
                <c:pt idx="185">
                  <c:v>4.7781572663419115E-5</c:v>
                </c:pt>
                <c:pt idx="186">
                  <c:v>4.9435792294387151E-5</c:v>
                </c:pt>
                <c:pt idx="187">
                  <c:v>5.1155415327190473E-5</c:v>
                </c:pt>
                <c:pt idx="188">
                  <c:v>5.2941425422950231E-5</c:v>
                </c:pt>
                <c:pt idx="189">
                  <c:v>5.4794847857062882E-5</c:v>
                </c:pt>
                <c:pt idx="190">
                  <c:v>5.6716672761074989E-5</c:v>
                </c:pt>
                <c:pt idx="191">
                  <c:v>5.872726366775581E-5</c:v>
                </c:pt>
                <c:pt idx="192">
                  <c:v>6.0799096153461527E-5</c:v>
                </c:pt>
                <c:pt idx="193">
                  <c:v>6.2932601299919944E-5</c:v>
                </c:pt>
                <c:pt idx="194">
                  <c:v>6.5128199196609759E-5</c:v>
                </c:pt>
                <c:pt idx="195">
                  <c:v>6.7386298220998225E-5</c:v>
                </c:pt>
                <c:pt idx="196">
                  <c:v>6.9707294027382074E-5</c:v>
                </c:pt>
                <c:pt idx="197">
                  <c:v>7.2045308936534902E-5</c:v>
                </c:pt>
                <c:pt idx="198">
                  <c:v>7.4373072908690777E-5</c:v>
                </c:pt>
                <c:pt idx="199">
                  <c:v>7.6689801451912862E-5</c:v>
                </c:pt>
                <c:pt idx="200">
                  <c:v>7.8994721298806188E-5</c:v>
                </c:pt>
                <c:pt idx="201">
                  <c:v>8.1287067621655396E-5</c:v>
                </c:pt>
                <c:pt idx="202">
                  <c:v>8.3566081081148447E-5</c:v>
                </c:pt>
                <c:pt idx="203">
                  <c:v>8.5831004736957529E-5</c:v>
                </c:pt>
                <c:pt idx="204">
                  <c:v>8.8081959075998943E-5</c:v>
                </c:pt>
                <c:pt idx="205">
                  <c:v>9.0255831407834867E-5</c:v>
                </c:pt>
                <c:pt idx="206">
                  <c:v>9.2330169034732221E-5</c:v>
                </c:pt>
                <c:pt idx="207">
                  <c:v>9.4303575236055154E-5</c:v>
                </c:pt>
                <c:pt idx="208">
                  <c:v>9.6174693293845447E-5</c:v>
                </c:pt>
                <c:pt idx="209">
                  <c:v>9.7942200237423693E-5</c:v>
                </c:pt>
                <c:pt idx="210">
                  <c:v>9.9604800879471848E-5</c:v>
                </c:pt>
                <c:pt idx="211">
                  <c:v>1.0114907241273445E-4</c:v>
                </c:pt>
                <c:pt idx="212">
                  <c:v>1.0262325257566714E-4</c:v>
                </c:pt>
                <c:pt idx="213">
                  <c:v>1.0402657769538499E-4</c:v>
                </c:pt>
                <c:pt idx="214">
                  <c:v>1.0535828847871419E-4</c:v>
                </c:pt>
                <c:pt idx="215">
                  <c:v>1.0661762686271102E-4</c:v>
                </c:pt>
                <c:pt idx="216">
                  <c:v>1.0780383318495241E-4</c:v>
                </c:pt>
                <c:pt idx="217">
                  <c:v>1.089161436521604E-4</c:v>
                </c:pt>
                <c:pt idx="218">
                  <c:v>1.0995323006094083E-4</c:v>
                </c:pt>
                <c:pt idx="219">
                  <c:v>1.1093170693600589E-4</c:v>
                </c:pt>
                <c:pt idx="220">
                  <c:v>1.1191907872207322E-4</c:v>
                </c:pt>
                <c:pt idx="221">
                  <c:v>1.1291585215841202E-4</c:v>
                </c:pt>
                <c:pt idx="222">
                  <c:v>1.1392253550060809E-4</c:v>
                </c:pt>
                <c:pt idx="223">
                  <c:v>1.149396394149559E-4</c:v>
                </c:pt>
                <c:pt idx="224">
                  <c:v>1.1596767796156376E-4</c:v>
                </c:pt>
                <c:pt idx="225">
                  <c:v>1.1688981902618594E-4</c:v>
                </c:pt>
                <c:pt idx="226">
                  <c:v>1.177180874507964E-4</c:v>
                </c:pt>
                <c:pt idx="227">
                  <c:v>1.1845172038314956E-4</c:v>
                </c:pt>
                <c:pt idx="228">
                  <c:v>1.1908994588307756E-4</c:v>
                </c:pt>
                <c:pt idx="229">
                  <c:v>1.19631980282544E-4</c:v>
                </c:pt>
                <c:pt idx="230">
                  <c:v>1.2007702554879439E-4</c:v>
                </c:pt>
                <c:pt idx="231">
                  <c:v>1.2042426660212766E-4</c:v>
                </c:pt>
                <c:pt idx="232">
                  <c:v>1.2067212970034562E-4</c:v>
                </c:pt>
                <c:pt idx="233">
                  <c:v>1.2070109180789589E-4</c:v>
                </c:pt>
                <c:pt idx="234">
                  <c:v>1.2048954781407265E-4</c:v>
                </c:pt>
                <c:pt idx="235">
                  <c:v>1.2003462196138969E-4</c:v>
                </c:pt>
                <c:pt idx="236">
                  <c:v>1.1933341842683499E-4</c:v>
                </c:pt>
                <c:pt idx="237">
                  <c:v>1.1838292105437557E-4</c:v>
                </c:pt>
                <c:pt idx="238">
                  <c:v>1.171800557378058E-4</c:v>
                </c:pt>
                <c:pt idx="239">
                  <c:v>1.1580957930743296E-4</c:v>
                </c:pt>
                <c:pt idx="240">
                  <c:v>1.1439432184674243E-4</c:v>
                </c:pt>
                <c:pt idx="241">
                  <c:v>1.1293377026226856E-4</c:v>
                </c:pt>
                <c:pt idx="242">
                  <c:v>1.1142739139216064E-4</c:v>
                </c:pt>
                <c:pt idx="243">
                  <c:v>1.0987463179331168E-4</c:v>
                </c:pt>
                <c:pt idx="244">
                  <c:v>1.0827491756644128E-4</c:v>
                </c:pt>
                <c:pt idx="245">
                  <c:v>1.0662765420988224E-4</c:v>
                </c:pt>
                <c:pt idx="246">
                  <c:v>1.0493222654322822E-4</c:v>
                </c:pt>
                <c:pt idx="247">
                  <c:v>1.0323559609411374E-4</c:v>
                </c:pt>
                <c:pt idx="248">
                  <c:v>1.016632483752432E-4</c:v>
                </c:pt>
                <c:pt idx="249">
                  <c:v>1.0021681907293986E-4</c:v>
                </c:pt>
                <c:pt idx="250">
                  <c:v>9.8897965375702973E-5</c:v>
                </c:pt>
                <c:pt idx="251">
                  <c:v>9.7708366772755471E-5</c:v>
                </c:pt>
                <c:pt idx="252">
                  <c:v>9.6649725754660622E-5</c:v>
                </c:pt>
                <c:pt idx="253">
                  <c:v>9.5634872654543434E-5</c:v>
                </c:pt>
                <c:pt idx="254">
                  <c:v>9.4570471891787714E-5</c:v>
                </c:pt>
                <c:pt idx="255">
                  <c:v>9.3455784696538615E-5</c:v>
                </c:pt>
                <c:pt idx="256">
                  <c:v>9.2290054968489327E-5</c:v>
                </c:pt>
                <c:pt idx="257">
                  <c:v>9.1072510242334181E-5</c:v>
                </c:pt>
                <c:pt idx="258">
                  <c:v>8.9802362813561765E-5</c:v>
                </c:pt>
                <c:pt idx="259">
                  <c:v>8.8478811035936261E-5</c:v>
                </c:pt>
                <c:pt idx="260">
                  <c:v>8.710262520371903E-5</c:v>
                </c:pt>
                <c:pt idx="261">
                  <c:v>8.5784370224484957E-5</c:v>
                </c:pt>
                <c:pt idx="262">
                  <c:v>8.4473012970457217E-5</c:v>
                </c:pt>
                <c:pt idx="263">
                  <c:v>8.3167797676428408E-5</c:v>
                </c:pt>
                <c:pt idx="264">
                  <c:v>8.1868003846343758E-5</c:v>
                </c:pt>
                <c:pt idx="265">
                  <c:v>8.0573304393905619E-5</c:v>
                </c:pt>
                <c:pt idx="266">
                  <c:v>7.9283209260439346E-5</c:v>
                </c:pt>
                <c:pt idx="267">
                  <c:v>7.8380124732252635E-5</c:v>
                </c:pt>
                <c:pt idx="268">
                  <c:v>7.7964184144796499E-5</c:v>
                </c:pt>
                <c:pt idx="269">
                  <c:v>7.8041554447934539E-5</c:v>
                </c:pt>
                <c:pt idx="270">
                  <c:v>7.8618371226005975E-5</c:v>
                </c:pt>
                <c:pt idx="271">
                  <c:v>7.9700678604441085E-5</c:v>
                </c:pt>
                <c:pt idx="272">
                  <c:v>8.1294366327025393E-5</c:v>
                </c:pt>
                <c:pt idx="273">
                  <c:v>8.340510412131379E-5</c:v>
                </c:pt>
                <c:pt idx="274">
                  <c:v>8.6040831902068563E-5</c:v>
                </c:pt>
                <c:pt idx="275">
                  <c:v>8.9277938903336649E-5</c:v>
                </c:pt>
                <c:pt idx="276">
                  <c:v>9.3005081421238724E-5</c:v>
                </c:pt>
                <c:pt idx="277">
                  <c:v>9.7227532287786367E-5</c:v>
                </c:pt>
                <c:pt idx="278">
                  <c:v>1.0195040515524278E-4</c:v>
                </c:pt>
                <c:pt idx="279">
                  <c:v>1.0717863335630784E-4</c:v>
                </c:pt>
                <c:pt idx="280">
                  <c:v>1.1291695019589839E-4</c:v>
                </c:pt>
                <c:pt idx="281">
                  <c:v>1.188208845872677E-4</c:v>
                </c:pt>
                <c:pt idx="282">
                  <c:v>1.2448139004827031E-4</c:v>
                </c:pt>
                <c:pt idx="283">
                  <c:v>1.2989368194759015E-4</c:v>
                </c:pt>
                <c:pt idx="284">
                  <c:v>1.3505301691010995E-4</c:v>
                </c:pt>
                <c:pt idx="285">
                  <c:v>1.3995471467286383E-4</c:v>
                </c:pt>
                <c:pt idx="286">
                  <c:v>1.4459417956541205E-4</c:v>
                </c:pt>
                <c:pt idx="287">
                  <c:v>1.489669213794188E-4</c:v>
                </c:pt>
                <c:pt idx="288">
                  <c:v>1.5307216793993025E-4</c:v>
                </c:pt>
                <c:pt idx="289">
                  <c:v>1.5911407650157514E-4</c:v>
                </c:pt>
                <c:pt idx="290">
                  <c:v>1.6703911985341757E-4</c:v>
                </c:pt>
                <c:pt idx="291">
                  <c:v>1.7686460086320955E-4</c:v>
                </c:pt>
                <c:pt idx="292">
                  <c:v>1.8860728442444976E-4</c:v>
                </c:pt>
                <c:pt idx="293">
                  <c:v>2.0228334677067889E-4</c:v>
                </c:pt>
                <c:pt idx="294">
                  <c:v>2.1790833307002564E-4</c:v>
                </c:pt>
                <c:pt idx="295">
                  <c:v>2.3770951956643359E-4</c:v>
                </c:pt>
                <c:pt idx="296">
                  <c:v>2.6209158274316004E-4</c:v>
                </c:pt>
                <c:pt idx="297">
                  <c:v>2.9109364113039907E-4</c:v>
                </c:pt>
                <c:pt idx="298">
                  <c:v>3.2475214478987034E-4</c:v>
                </c:pt>
                <c:pt idx="299">
                  <c:v>3.6310235856013896E-4</c:v>
                </c:pt>
                <c:pt idx="300">
                  <c:v>4.0617835217946028E-4</c:v>
                </c:pt>
                <c:pt idx="301">
                  <c:v>4.5401300429534215E-4</c:v>
                </c:pt>
                <c:pt idx="302">
                  <c:v>5.0666502324255448E-4</c:v>
                </c:pt>
                <c:pt idx="303">
                  <c:v>5.6153272954463033E-4</c:v>
                </c:pt>
                <c:pt idx="304">
                  <c:v>6.1633190223323259E-4</c:v>
                </c:pt>
                <c:pt idx="305">
                  <c:v>6.710650804823404E-4</c:v>
                </c:pt>
                <c:pt idx="306">
                  <c:v>7.2573365264111942E-4</c:v>
                </c:pt>
                <c:pt idx="307">
                  <c:v>7.8033777344401617E-4</c:v>
                </c:pt>
                <c:pt idx="308">
                  <c:v>8.3487625870145253E-4</c:v>
                </c:pt>
                <c:pt idx="309">
                  <c:v>8.8833154499731249E-4</c:v>
                </c:pt>
                <c:pt idx="310">
                  <c:v>9.3837772225181446E-4</c:v>
                </c:pt>
                <c:pt idx="311">
                  <c:v>9.8497778570410025E-4</c:v>
                </c:pt>
                <c:pt idx="312">
                  <c:v>1.0280925128564192E-3</c:v>
                </c:pt>
                <c:pt idx="313">
                  <c:v>1.0676804989707899E-3</c:v>
                </c:pt>
                <c:pt idx="314">
                  <c:v>1.1036982110049899E-3</c:v>
                </c:pt>
                <c:pt idx="315">
                  <c:v>1.1361000676812388E-3</c:v>
                </c:pt>
                <c:pt idx="316">
                  <c:v>1.1649814900314057E-3</c:v>
                </c:pt>
                <c:pt idx="317">
                  <c:v>1.1909051773058802E-3</c:v>
                </c:pt>
                <c:pt idx="318">
                  <c:v>1.2166221304048337E-3</c:v>
                </c:pt>
                <c:pt idx="319">
                  <c:v>1.2421099671568693E-3</c:v>
                </c:pt>
                <c:pt idx="320">
                  <c:v>1.2673411722749015E-3</c:v>
                </c:pt>
                <c:pt idx="321">
                  <c:v>1.2922827780071054E-3</c:v>
                </c:pt>
                <c:pt idx="322">
                  <c:v>1.3168960593064188E-3</c:v>
                </c:pt>
                <c:pt idx="323">
                  <c:v>1.3381916346717245E-3</c:v>
                </c:pt>
                <c:pt idx="324">
                  <c:v>1.3571520575184892E-3</c:v>
                </c:pt>
                <c:pt idx="325">
                  <c:v>1.3736977140980083E-3</c:v>
                </c:pt>
                <c:pt idx="326">
                  <c:v>1.3877363610720018E-3</c:v>
                </c:pt>
                <c:pt idx="327">
                  <c:v>1.399175799504775E-3</c:v>
                </c:pt>
                <c:pt idx="328">
                  <c:v>1.4079263078526714E-3</c:v>
                </c:pt>
                <c:pt idx="329">
                  <c:v>1.4138959131910216E-3</c:v>
                </c:pt>
                <c:pt idx="330">
                  <c:v>1.4171986832979932E-3</c:v>
                </c:pt>
                <c:pt idx="331">
                  <c:v>1.4170531821185452E-3</c:v>
                </c:pt>
                <c:pt idx="332">
                  <c:v>1.4129062397879382E-3</c:v>
                </c:pt>
                <c:pt idx="333">
                  <c:v>1.4046894432856343E-3</c:v>
                </c:pt>
                <c:pt idx="334">
                  <c:v>1.3923335130499816E-3</c:v>
                </c:pt>
                <c:pt idx="335">
                  <c:v>1.3757693952222208E-3</c:v>
                </c:pt>
                <c:pt idx="336">
                  <c:v>1.3549294824995032E-3</c:v>
                </c:pt>
                <c:pt idx="337">
                  <c:v>1.3314155538080264E-3</c:v>
                </c:pt>
                <c:pt idx="338">
                  <c:v>1.3082746215797778E-3</c:v>
                </c:pt>
                <c:pt idx="339">
                  <c:v>1.285485859376449E-3</c:v>
                </c:pt>
                <c:pt idx="340">
                  <c:v>1.2630294721520977E-3</c:v>
                </c:pt>
                <c:pt idx="341">
                  <c:v>1.240886853368332E-3</c:v>
                </c:pt>
                <c:pt idx="342">
                  <c:v>1.2190407358788455E-3</c:v>
                </c:pt>
                <c:pt idx="343">
                  <c:v>1.197475336188393E-3</c:v>
                </c:pt>
                <c:pt idx="344">
                  <c:v>1.176245535896421E-3</c:v>
                </c:pt>
                <c:pt idx="345">
                  <c:v>1.1554190520285553E-3</c:v>
                </c:pt>
                <c:pt idx="346">
                  <c:v>1.1367324831353951E-3</c:v>
                </c:pt>
                <c:pt idx="347">
                  <c:v>1.1201924085419328E-3</c:v>
                </c:pt>
                <c:pt idx="348">
                  <c:v>1.1058027253577141E-3</c:v>
                </c:pt>
                <c:pt idx="349">
                  <c:v>1.0935644688194891E-3</c:v>
                </c:pt>
                <c:pt idx="350">
                  <c:v>1.0834756389813916E-3</c:v>
                </c:pt>
                <c:pt idx="351">
                  <c:v>1.0763074012921207E-3</c:v>
                </c:pt>
                <c:pt idx="352">
                  <c:v>1.0703614920459729E-3</c:v>
                </c:pt>
                <c:pt idx="353">
                  <c:v>1.0656293216087583E-3</c:v>
                </c:pt>
                <c:pt idx="354">
                  <c:v>1.0621005152050714E-3</c:v>
                </c:pt>
                <c:pt idx="355">
                  <c:v>1.0597628820431134E-3</c:v>
                </c:pt>
                <c:pt idx="356">
                  <c:v>1.0585959505530656E-3</c:v>
                </c:pt>
                <c:pt idx="357">
                  <c:v>1.0585892371313232E-3</c:v>
                </c:pt>
                <c:pt idx="358">
                  <c:v>1.0596777920839498E-3</c:v>
                </c:pt>
                <c:pt idx="359">
                  <c:v>1.0618103700783406E-3</c:v>
                </c:pt>
                <c:pt idx="360">
                  <c:v>1.0666343211803138E-3</c:v>
                </c:pt>
                <c:pt idx="361">
                  <c:v>1.0733677968486086E-3</c:v>
                </c:pt>
                <c:pt idx="362">
                  <c:v>1.0819896250268163E-3</c:v>
                </c:pt>
                <c:pt idx="363">
                  <c:v>1.0924753366576879E-3</c:v>
                </c:pt>
                <c:pt idx="364">
                  <c:v>1.1047975743684361E-3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594280"/>
        <c:axId val="665594672"/>
      </c:lineChart>
      <c:dateAx>
        <c:axId val="6655942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594672"/>
        <c:crosses val="autoZero"/>
        <c:auto val="1"/>
        <c:lblOffset val="100"/>
        <c:baseTimeUnit val="days"/>
        <c:majorUnit val="1"/>
        <c:majorTimeUnit val="months"/>
      </c:dateAx>
      <c:valAx>
        <c:axId val="6655946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5942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'2023'!$A$15:$A$380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96.161210070399719</c:v>
                </c:pt>
                <c:pt idx="1">
                  <c:v>96.748505117437404</c:v>
                </c:pt>
                <c:pt idx="2">
                  <c:v>97.370704471351104</c:v>
                </c:pt>
                <c:pt idx="3">
                  <c:v>98.025970551058322</c:v>
                </c:pt>
                <c:pt idx="4">
                  <c:v>98.712466149139885</c:v>
                </c:pt>
                <c:pt idx="5">
                  <c:v>99.428354406568374</c:v>
                </c:pt>
                <c:pt idx="6">
                  <c:v>100.17179883632716</c:v>
                </c:pt>
                <c:pt idx="7">
                  <c:v>100.94096331979021</c:v>
                </c:pt>
                <c:pt idx="8">
                  <c:v>101.74413914079494</c:v>
                </c:pt>
                <c:pt idx="9">
                  <c:v>102.58936602326634</c:v>
                </c:pt>
                <c:pt idx="10">
                  <c:v>103.47429417048342</c:v>
                </c:pt>
                <c:pt idx="11">
                  <c:v>104.39649731273059</c:v>
                </c:pt>
                <c:pt idx="12">
                  <c:v>105.35354971873244</c:v>
                </c:pt>
                <c:pt idx="13">
                  <c:v>106.3430261653959</c:v>
                </c:pt>
                <c:pt idx="14">
                  <c:v>107.3625020039445</c:v>
                </c:pt>
                <c:pt idx="15">
                  <c:v>108.40952958080344</c:v>
                </c:pt>
                <c:pt idx="16">
                  <c:v>109.48164109447401</c:v>
                </c:pt>
                <c:pt idx="17">
                  <c:v>110.57641348295789</c:v>
                </c:pt>
                <c:pt idx="18">
                  <c:v>111.69142421755167</c:v>
                </c:pt>
                <c:pt idx="19">
                  <c:v>112.8242510299451</c:v>
                </c:pt>
                <c:pt idx="20">
                  <c:v>113.97247207782355</c:v>
                </c:pt>
                <c:pt idx="21">
                  <c:v>115.13366634085155</c:v>
                </c:pt>
                <c:pt idx="22">
                  <c:v>116.31596809662945</c:v>
                </c:pt>
                <c:pt idx="23">
                  <c:v>117.527785374741</c:v>
                </c:pt>
                <c:pt idx="24">
                  <c:v>118.76688850127422</c:v>
                </c:pt>
                <c:pt idx="25">
                  <c:v>120.03119107069439</c:v>
                </c:pt>
                <c:pt idx="26">
                  <c:v>121.31860722376592</c:v>
                </c:pt>
                <c:pt idx="27">
                  <c:v>122.62705165895377</c:v>
                </c:pt>
                <c:pt idx="28">
                  <c:v>123.95443960233541</c:v>
                </c:pt>
                <c:pt idx="29">
                  <c:v>125.29882518780248</c:v>
                </c:pt>
                <c:pt idx="30">
                  <c:v>126.65814833355095</c:v>
                </c:pt>
                <c:pt idx="31">
                  <c:v>128.03032602898455</c:v>
                </c:pt>
                <c:pt idx="32">
                  <c:v>129.41327586259231</c:v>
                </c:pt>
                <c:pt idx="33">
                  <c:v>130.80491598395932</c:v>
                </c:pt>
                <c:pt idx="34">
                  <c:v>132.20316514901404</c:v>
                </c:pt>
                <c:pt idx="35">
                  <c:v>133.60594268581283</c:v>
                </c:pt>
                <c:pt idx="36">
                  <c:v>135.02312780340912</c:v>
                </c:pt>
                <c:pt idx="37">
                  <c:v>136.46378661823945</c:v>
                </c:pt>
                <c:pt idx="38">
                  <c:v>137.92474435796626</c:v>
                </c:pt>
                <c:pt idx="39">
                  <c:v>139.40287875901322</c:v>
                </c:pt>
                <c:pt idx="40">
                  <c:v>140.89506834415656</c:v>
                </c:pt>
                <c:pt idx="41">
                  <c:v>142.39819243411742</c:v>
                </c:pt>
                <c:pt idx="42">
                  <c:v>143.9091311359648</c:v>
                </c:pt>
                <c:pt idx="43">
                  <c:v>145.42464570713892</c:v>
                </c:pt>
                <c:pt idx="44">
                  <c:v>146.9414787585925</c:v>
                </c:pt>
                <c:pt idx="45">
                  <c:v>148.45651235309393</c:v>
                </c:pt>
                <c:pt idx="46">
                  <c:v>149.96662927512943</c:v>
                </c:pt>
                <c:pt idx="47">
                  <c:v>151.46871301397351</c:v>
                </c:pt>
                <c:pt idx="48">
                  <c:v>152.95964775925532</c:v>
                </c:pt>
                <c:pt idx="49">
                  <c:v>154.43631838360318</c:v>
                </c:pt>
                <c:pt idx="50">
                  <c:v>155.906780391767</c:v>
                </c:pt>
                <c:pt idx="51">
                  <c:v>157.38014589493793</c:v>
                </c:pt>
                <c:pt idx="52">
                  <c:v>158.85497438307115</c:v>
                </c:pt>
                <c:pt idx="53">
                  <c:v>160.32970751509527</c:v>
                </c:pt>
                <c:pt idx="54">
                  <c:v>161.80278718267016</c:v>
                </c:pt>
                <c:pt idx="55">
                  <c:v>163.27265555182342</c:v>
                </c:pt>
                <c:pt idx="56">
                  <c:v>164.73775504750458</c:v>
                </c:pt>
                <c:pt idx="57">
                  <c:v>166.19652436713028</c:v>
                </c:pt>
                <c:pt idx="58">
                  <c:v>167.64752706031496</c:v>
                </c:pt>
                <c:pt idx="59">
                  <c:v>169.08920653221708</c:v>
                </c:pt>
                <c:pt idx="60">
                  <c:v>170.5200064323538</c:v>
                </c:pt>
                <c:pt idx="61">
                  <c:v>171.93837064082018</c:v>
                </c:pt>
                <c:pt idx="62">
                  <c:v>173.34274326783134</c:v>
                </c:pt>
                <c:pt idx="63">
                  <c:v>174.73156864590979</c:v>
                </c:pt>
                <c:pt idx="64">
                  <c:v>176.10620429862757</c:v>
                </c:pt>
                <c:pt idx="65">
                  <c:v>177.4693238897211</c:v>
                </c:pt>
                <c:pt idx="66">
                  <c:v>178.82136074443392</c:v>
                </c:pt>
                <c:pt idx="67">
                  <c:v>180.16276770629383</c:v>
                </c:pt>
                <c:pt idx="68">
                  <c:v>181.49399734278035</c:v>
                </c:pt>
                <c:pt idx="69">
                  <c:v>182.81550195420982</c:v>
                </c:pt>
                <c:pt idx="70">
                  <c:v>184.12773357500973</c:v>
                </c:pt>
                <c:pt idx="71">
                  <c:v>185.43113707786918</c:v>
                </c:pt>
                <c:pt idx="72">
                  <c:v>186.72616797448927</c:v>
                </c:pt>
                <c:pt idx="73">
                  <c:v>188.01327749039046</c:v>
                </c:pt>
                <c:pt idx="74">
                  <c:v>189.29291658805465</c:v>
                </c:pt>
                <c:pt idx="75">
                  <c:v>190.56553596826313</c:v>
                </c:pt>
                <c:pt idx="76">
                  <c:v>191.83158608580172</c:v>
                </c:pt>
                <c:pt idx="77">
                  <c:v>193.09151713729568</c:v>
                </c:pt>
                <c:pt idx="78">
                  <c:v>194.35190180612446</c:v>
                </c:pt>
                <c:pt idx="79">
                  <c:v>195.61678398543015</c:v>
                </c:pt>
                <c:pt idx="80">
                  <c:v>196.88283594632466</c:v>
                </c:pt>
                <c:pt idx="81">
                  <c:v>198.14670716848198</c:v>
                </c:pt>
                <c:pt idx="82">
                  <c:v>199.40504784716899</c:v>
                </c:pt>
                <c:pt idx="83">
                  <c:v>200.65450888460919</c:v>
                </c:pt>
                <c:pt idx="84">
                  <c:v>201.89174193081615</c:v>
                </c:pt>
                <c:pt idx="85">
                  <c:v>203.11339611957604</c:v>
                </c:pt>
                <c:pt idx="86">
                  <c:v>204.31613168404868</c:v>
                </c:pt>
                <c:pt idx="87">
                  <c:v>205.4966026069938</c:v>
                </c:pt>
                <c:pt idx="88">
                  <c:v>206.65146365355591</c:v>
                </c:pt>
                <c:pt idx="89">
                  <c:v>207.7773704407804</c:v>
                </c:pt>
                <c:pt idx="90">
                  <c:v>208.87097941367927</c:v>
                </c:pt>
                <c:pt idx="91">
                  <c:v>209.92894788355034</c:v>
                </c:pt>
                <c:pt idx="92">
                  <c:v>210.95461874612641</c:v>
                </c:pt>
                <c:pt idx="93">
                  <c:v>211.95407326037764</c:v>
                </c:pt>
                <c:pt idx="94">
                  <c:v>212.92808021332053</c:v>
                </c:pt>
                <c:pt idx="95">
                  <c:v>213.87741428099761</c:v>
                </c:pt>
                <c:pt idx="96">
                  <c:v>214.80284997778588</c:v>
                </c:pt>
                <c:pt idx="97">
                  <c:v>215.70516169740094</c:v>
                </c:pt>
                <c:pt idx="98">
                  <c:v>216.58512370694012</c:v>
                </c:pt>
                <c:pt idx="99">
                  <c:v>217.44351919154923</c:v>
                </c:pt>
                <c:pt idx="100">
                  <c:v>218.28112579268199</c:v>
                </c:pt>
                <c:pt idx="101">
                  <c:v>219.09871763446469</c:v>
                </c:pt>
                <c:pt idx="102">
                  <c:v>219.89706876733757</c:v>
                </c:pt>
                <c:pt idx="103">
                  <c:v>220.67695313227782</c:v>
                </c:pt>
                <c:pt idx="104">
                  <c:v>221.43914462189724</c:v>
                </c:pt>
                <c:pt idx="105">
                  <c:v>222.18441704860277</c:v>
                </c:pt>
                <c:pt idx="106">
                  <c:v>222.90934261563993</c:v>
                </c:pt>
                <c:pt idx="107">
                  <c:v>223.61068693348244</c:v>
                </c:pt>
                <c:pt idx="108">
                  <c:v>224.28950632585835</c:v>
                </c:pt>
                <c:pt idx="109">
                  <c:v>224.94685024058251</c:v>
                </c:pt>
                <c:pt idx="110">
                  <c:v>225.58376803694341</c:v>
                </c:pt>
                <c:pt idx="111">
                  <c:v>226.20130903312943</c:v>
                </c:pt>
                <c:pt idx="112">
                  <c:v>226.80052251659561</c:v>
                </c:pt>
                <c:pt idx="113">
                  <c:v>227.38245614868308</c:v>
                </c:pt>
                <c:pt idx="114">
                  <c:v>227.94814897724876</c:v>
                </c:pt>
                <c:pt idx="115">
                  <c:v>228.49864989600573</c:v>
                </c:pt>
                <c:pt idx="116">
                  <c:v>229.03500776289982</c:v>
                </c:pt>
                <c:pt idx="117">
                  <c:v>229.55827139469847</c:v>
                </c:pt>
                <c:pt idx="118">
                  <c:v>230.06948959936582</c:v>
                </c:pt>
                <c:pt idx="119">
                  <c:v>230.56971118057044</c:v>
                </c:pt>
                <c:pt idx="120">
                  <c:v>231.05623692607716</c:v>
                </c:pt>
                <c:pt idx="121">
                  <c:v>231.5260213804705</c:v>
                </c:pt>
                <c:pt idx="122">
                  <c:v>231.97958101632418</c:v>
                </c:pt>
                <c:pt idx="123">
                  <c:v>232.41744337928458</c:v>
                </c:pt>
                <c:pt idx="124">
                  <c:v>232.84013621477024</c:v>
                </c:pt>
                <c:pt idx="125">
                  <c:v>233.2481874462604</c:v>
                </c:pt>
                <c:pt idx="126">
                  <c:v>233.64212517714691</c:v>
                </c:pt>
                <c:pt idx="127">
                  <c:v>234.02248477018136</c:v>
                </c:pt>
                <c:pt idx="128">
                  <c:v>234.38979687729559</c:v>
                </c:pt>
                <c:pt idx="129">
                  <c:v>234.74459053014971</c:v>
                </c:pt>
                <c:pt idx="130">
                  <c:v>235.08739498571202</c:v>
                </c:pt>
                <c:pt idx="131">
                  <c:v>235.41873970636649</c:v>
                </c:pt>
                <c:pt idx="132">
                  <c:v>235.73915436270599</c:v>
                </c:pt>
                <c:pt idx="133">
                  <c:v>236.04916883755561</c:v>
                </c:pt>
                <c:pt idx="134">
                  <c:v>236.34687535764738</c:v>
                </c:pt>
                <c:pt idx="135">
                  <c:v>236.63037311809228</c:v>
                </c:pt>
                <c:pt idx="136">
                  <c:v>236.90019253405387</c:v>
                </c:pt>
                <c:pt idx="137">
                  <c:v>237.15686562366528</c:v>
                </c:pt>
                <c:pt idx="138">
                  <c:v>237.40092456204573</c:v>
                </c:pt>
                <c:pt idx="139">
                  <c:v>237.63290168225794</c:v>
                </c:pt>
                <c:pt idx="140">
                  <c:v>237.85332944279287</c:v>
                </c:pt>
                <c:pt idx="141">
                  <c:v>238.06273761248792</c:v>
                </c:pt>
                <c:pt idx="142">
                  <c:v>238.26165021487009</c:v>
                </c:pt>
                <c:pt idx="143">
                  <c:v>238.45059955117787</c:v>
                </c:pt>
                <c:pt idx="144">
                  <c:v>238.63011787662106</c:v>
                </c:pt>
                <c:pt idx="145">
                  <c:v>238.80073745466495</c:v>
                </c:pt>
                <c:pt idx="146">
                  <c:v>238.96299051232376</c:v>
                </c:pt>
                <c:pt idx="147">
                  <c:v>239.11740922577465</c:v>
                </c:pt>
                <c:pt idx="148">
                  <c:v>239.26435175170599</c:v>
                </c:pt>
                <c:pt idx="149">
                  <c:v>239.40347635442848</c:v>
                </c:pt>
                <c:pt idx="150">
                  <c:v>239.5342642807951</c:v>
                </c:pt>
                <c:pt idx="151">
                  <c:v>239.65620391849512</c:v>
                </c:pt>
                <c:pt idx="152">
                  <c:v>239.76878378065692</c:v>
                </c:pt>
                <c:pt idx="153">
                  <c:v>239.87149246228071</c:v>
                </c:pt>
                <c:pt idx="154">
                  <c:v>239.96381862511942</c:v>
                </c:pt>
                <c:pt idx="155">
                  <c:v>240.04524604142549</c:v>
                </c:pt>
                <c:pt idx="156">
                  <c:v>240.11526661422334</c:v>
                </c:pt>
                <c:pt idx="157">
                  <c:v>240.17336889610465</c:v>
                </c:pt>
                <c:pt idx="158">
                  <c:v>240.2190413613327</c:v>
                </c:pt>
                <c:pt idx="159">
                  <c:v>240.2517723603849</c:v>
                </c:pt>
                <c:pt idx="160">
                  <c:v>240.27105009665209</c:v>
                </c:pt>
                <c:pt idx="161">
                  <c:v>240.27636259355546</c:v>
                </c:pt>
                <c:pt idx="162">
                  <c:v>240.26737139302708</c:v>
                </c:pt>
                <c:pt idx="163">
                  <c:v>240.24442015431154</c:v>
                </c:pt>
                <c:pt idx="164">
                  <c:v>240.20804274190596</c:v>
                </c:pt>
                <c:pt idx="165">
                  <c:v>240.15876757941538</c:v>
                </c:pt>
                <c:pt idx="166">
                  <c:v>240.09712248178485</c:v>
                </c:pt>
                <c:pt idx="167">
                  <c:v>240.02363463113113</c:v>
                </c:pt>
                <c:pt idx="168">
                  <c:v>239.93883057097185</c:v>
                </c:pt>
                <c:pt idx="169">
                  <c:v>239.8432229365209</c:v>
                </c:pt>
                <c:pt idx="170">
                  <c:v>239.7373423693229</c:v>
                </c:pt>
                <c:pt idx="171">
                  <c:v>239.62171324770031</c:v>
                </c:pt>
                <c:pt idx="172">
                  <c:v>239.49685931195589</c:v>
                </c:pt>
                <c:pt idx="173">
                  <c:v>239.36330373463616</c:v>
                </c:pt>
                <c:pt idx="174">
                  <c:v>239.22156906979555</c:v>
                </c:pt>
                <c:pt idx="175">
                  <c:v>239.0721771846045</c:v>
                </c:pt>
                <c:pt idx="176">
                  <c:v>238.91660387284438</c:v>
                </c:pt>
                <c:pt idx="177">
                  <c:v>238.75527673236621</c:v>
                </c:pt>
                <c:pt idx="178">
                  <c:v>238.58716813155957</c:v>
                </c:pt>
                <c:pt idx="179">
                  <c:v>238.41123633904391</c:v>
                </c:pt>
                <c:pt idx="180">
                  <c:v>238.22643950075499</c:v>
                </c:pt>
                <c:pt idx="181">
                  <c:v>238.03173566319069</c:v>
                </c:pt>
                <c:pt idx="182">
                  <c:v>237.82608278786381</c:v>
                </c:pt>
                <c:pt idx="183">
                  <c:v>237.60843292293259</c:v>
                </c:pt>
                <c:pt idx="184">
                  <c:v>237.37775872149686</c:v>
                </c:pt>
                <c:pt idx="185">
                  <c:v>237.1330181580395</c:v>
                </c:pt>
                <c:pt idx="186">
                  <c:v>236.87316920778812</c:v>
                </c:pt>
                <c:pt idx="187">
                  <c:v>236.59716983469269</c:v>
                </c:pt>
                <c:pt idx="188">
                  <c:v>236.30397805226451</c:v>
                </c:pt>
                <c:pt idx="189">
                  <c:v>235.99255193933215</c:v>
                </c:pt>
                <c:pt idx="190">
                  <c:v>235.6621964268748</c:v>
                </c:pt>
                <c:pt idx="191">
                  <c:v>235.31359891465857</c:v>
                </c:pt>
                <c:pt idx="192">
                  <c:v>234.94780452020805</c:v>
                </c:pt>
                <c:pt idx="193">
                  <c:v>234.56585143405215</c:v>
                </c:pt>
                <c:pt idx="194">
                  <c:v>234.1687775650702</c:v>
                </c:pt>
                <c:pt idx="195">
                  <c:v>233.75762054693473</c:v>
                </c:pt>
                <c:pt idx="196">
                  <c:v>233.33341781047878</c:v>
                </c:pt>
                <c:pt idx="197">
                  <c:v>232.89721735730873</c:v>
                </c:pt>
                <c:pt idx="198">
                  <c:v>232.45006261799253</c:v>
                </c:pt>
                <c:pt idx="199">
                  <c:v>231.99299068711309</c:v>
                </c:pt>
                <c:pt idx="200">
                  <c:v>231.52703853503579</c:v>
                </c:pt>
                <c:pt idx="201">
                  <c:v>231.05324304219232</c:v>
                </c:pt>
                <c:pt idx="202">
                  <c:v>230.57264100370008</c:v>
                </c:pt>
                <c:pt idx="203">
                  <c:v>230.08626915810984</c:v>
                </c:pt>
                <c:pt idx="204">
                  <c:v>229.59256548194119</c:v>
                </c:pt>
                <c:pt idx="205">
                  <c:v>229.08929011389961</c:v>
                </c:pt>
                <c:pt idx="206">
                  <c:v>228.57644631747897</c:v>
                </c:pt>
                <c:pt idx="207">
                  <c:v>228.05403272796661</c:v>
                </c:pt>
                <c:pt idx="208">
                  <c:v>227.52204818886983</c:v>
                </c:pt>
                <c:pt idx="209">
                  <c:v>226.98049177769204</c:v>
                </c:pt>
                <c:pt idx="210">
                  <c:v>226.42936278116818</c:v>
                </c:pt>
                <c:pt idx="211">
                  <c:v>225.86866346280843</c:v>
                </c:pt>
                <c:pt idx="212">
                  <c:v>225.29838238339482</c:v>
                </c:pt>
                <c:pt idx="213">
                  <c:v>224.71851945221107</c:v>
                </c:pt>
                <c:pt idx="214">
                  <c:v>224.12907479776385</c:v>
                </c:pt>
                <c:pt idx="215">
                  <c:v>223.53004875822288</c:v>
                </c:pt>
                <c:pt idx="216">
                  <c:v>222.92144186377388</c:v>
                </c:pt>
                <c:pt idx="217">
                  <c:v>222.3032548514031</c:v>
                </c:pt>
                <c:pt idx="218">
                  <c:v>221.67661388721146</c:v>
                </c:pt>
                <c:pt idx="219">
                  <c:v>221.04229492895459</c:v>
                </c:pt>
                <c:pt idx="220">
                  <c:v>220.39976464767335</c:v>
                </c:pt>
                <c:pt idx="221">
                  <c:v>219.74850487978111</c:v>
                </c:pt>
                <c:pt idx="222">
                  <c:v>219.08799772002308</c:v>
                </c:pt>
                <c:pt idx="223">
                  <c:v>218.41772550654812</c:v>
                </c:pt>
                <c:pt idx="224">
                  <c:v>217.73717079557727</c:v>
                </c:pt>
                <c:pt idx="225">
                  <c:v>217.04584184453969</c:v>
                </c:pt>
                <c:pt idx="226">
                  <c:v>216.34321889900042</c:v>
                </c:pt>
                <c:pt idx="227">
                  <c:v>215.62878518166812</c:v>
                </c:pt>
                <c:pt idx="228">
                  <c:v>214.90202408673755</c:v>
                </c:pt>
                <c:pt idx="229">
                  <c:v>214.16241917093134</c:v>
                </c:pt>
                <c:pt idx="230">
                  <c:v>213.40945413570162</c:v>
                </c:pt>
                <c:pt idx="231">
                  <c:v>212.64261283532335</c:v>
                </c:pt>
                <c:pt idx="232">
                  <c:v>211.86267666601114</c:v>
                </c:pt>
                <c:pt idx="233">
                  <c:v>211.07079769900645</c:v>
                </c:pt>
                <c:pt idx="234">
                  <c:v>210.26698262516962</c:v>
                </c:pt>
                <c:pt idx="235">
                  <c:v>209.45123415694886</c:v>
                </c:pt>
                <c:pt idx="236">
                  <c:v>208.62355498825184</c:v>
                </c:pt>
                <c:pt idx="237">
                  <c:v>207.78394783351666</c:v>
                </c:pt>
                <c:pt idx="238">
                  <c:v>206.93241539133626</c:v>
                </c:pt>
                <c:pt idx="239">
                  <c:v>206.06894224997365</c:v>
                </c:pt>
                <c:pt idx="240">
                  <c:v>205.19350546908959</c:v>
                </c:pt>
                <c:pt idx="241">
                  <c:v>204.30610775358249</c:v>
                </c:pt>
                <c:pt idx="242">
                  <c:v>203.40675181114429</c:v>
                </c:pt>
                <c:pt idx="243">
                  <c:v>202.49544037012973</c:v>
                </c:pt>
                <c:pt idx="244">
                  <c:v>201.57217616845432</c:v>
                </c:pt>
                <c:pt idx="245">
                  <c:v>200.63696196499333</c:v>
                </c:pt>
                <c:pt idx="246">
                  <c:v>199.68980053556379</c:v>
                </c:pt>
                <c:pt idx="247">
                  <c:v>198.7306852108818</c:v>
                </c:pt>
                <c:pt idx="248">
                  <c:v>197.75959399700082</c:v>
                </c:pt>
                <c:pt idx="249">
                  <c:v>196.77652979081219</c:v>
                </c:pt>
                <c:pt idx="250">
                  <c:v>195.78149552188452</c:v>
                </c:pt>
                <c:pt idx="251">
                  <c:v>194.77449415488934</c:v>
                </c:pt>
                <c:pt idx="252">
                  <c:v>193.75552868696226</c:v>
                </c:pt>
                <c:pt idx="253">
                  <c:v>192.72461928099884</c:v>
                </c:pt>
                <c:pt idx="254">
                  <c:v>191.68178694433581</c:v>
                </c:pt>
                <c:pt idx="255">
                  <c:v>190.62703464641268</c:v>
                </c:pt>
                <c:pt idx="256">
                  <c:v>189.56036536559418</c:v>
                </c:pt>
                <c:pt idx="257">
                  <c:v>188.48178207050861</c:v>
                </c:pt>
                <c:pt idx="258">
                  <c:v>187.39128771905499</c:v>
                </c:pt>
                <c:pt idx="259">
                  <c:v>186.28888524115712</c:v>
                </c:pt>
                <c:pt idx="260">
                  <c:v>185.17120882392035</c:v>
                </c:pt>
                <c:pt idx="261">
                  <c:v>184.03590934866045</c:v>
                </c:pt>
                <c:pt idx="262">
                  <c:v>182.88455441169734</c:v>
                </c:pt>
                <c:pt idx="263">
                  <c:v>181.71870188505784</c:v>
                </c:pt>
                <c:pt idx="264">
                  <c:v>180.5399092887256</c:v>
                </c:pt>
                <c:pt idx="265">
                  <c:v>179.34973370386564</c:v>
                </c:pt>
                <c:pt idx="266">
                  <c:v>178.1497318681314</c:v>
                </c:pt>
                <c:pt idx="267">
                  <c:v>176.94139238896807</c:v>
                </c:pt>
                <c:pt idx="268">
                  <c:v>175.72625494638331</c:v>
                </c:pt>
                <c:pt idx="269">
                  <c:v>174.5058757273118</c:v>
                </c:pt>
                <c:pt idx="270">
                  <c:v>173.28181054972012</c:v>
                </c:pt>
                <c:pt idx="271">
                  <c:v>172.05561486678613</c:v>
                </c:pt>
                <c:pt idx="272">
                  <c:v>170.82884375672685</c:v>
                </c:pt>
                <c:pt idx="273">
                  <c:v>169.60305192098303</c:v>
                </c:pt>
                <c:pt idx="274">
                  <c:v>168.37478658986709</c:v>
                </c:pt>
                <c:pt idx="275">
                  <c:v>167.13989334080554</c:v>
                </c:pt>
                <c:pt idx="276">
                  <c:v>165.89891067966246</c:v>
                </c:pt>
                <c:pt idx="277">
                  <c:v>164.65235700585791</c:v>
                </c:pt>
                <c:pt idx="278">
                  <c:v>163.40075041210454</c:v>
                </c:pt>
                <c:pt idx="279">
                  <c:v>162.14460867539043</c:v>
                </c:pt>
                <c:pt idx="280">
                  <c:v>160.88444925223419</c:v>
                </c:pt>
                <c:pt idx="281">
                  <c:v>159.62084498674821</c:v>
                </c:pt>
                <c:pt idx="282">
                  <c:v>158.35437681508611</c:v>
                </c:pt>
                <c:pt idx="283">
                  <c:v>157.08555969119519</c:v>
                </c:pt>
                <c:pt idx="284">
                  <c:v>155.81490813878204</c:v>
                </c:pt>
                <c:pt idx="285">
                  <c:v>154.54293625560533</c:v>
                </c:pt>
                <c:pt idx="286">
                  <c:v>153.27015771540408</c:v>
                </c:pt>
                <c:pt idx="287">
                  <c:v>151.99708577896735</c:v>
                </c:pt>
                <c:pt idx="288">
                  <c:v>150.72069533828437</c:v>
                </c:pt>
                <c:pt idx="289">
                  <c:v>149.43797690715954</c:v>
                </c:pt>
                <c:pt idx="290">
                  <c:v>148.14997665597849</c:v>
                </c:pt>
                <c:pt idx="291">
                  <c:v>146.85772972276328</c:v>
                </c:pt>
                <c:pt idx="292">
                  <c:v>145.56227106710682</c:v>
                </c:pt>
                <c:pt idx="293">
                  <c:v>144.26463547435122</c:v>
                </c:pt>
                <c:pt idx="294">
                  <c:v>142.96585757480892</c:v>
                </c:pt>
                <c:pt idx="295">
                  <c:v>141.66665834807827</c:v>
                </c:pt>
                <c:pt idx="296">
                  <c:v>140.36802590496984</c:v>
                </c:pt>
                <c:pt idx="297">
                  <c:v>139.07100096779331</c:v>
                </c:pt>
                <c:pt idx="298">
                  <c:v>137.77662447676795</c:v>
                </c:pt>
                <c:pt idx="299">
                  <c:v>136.48593735260863</c:v>
                </c:pt>
                <c:pt idx="300">
                  <c:v>135.19998047310509</c:v>
                </c:pt>
                <c:pt idx="301">
                  <c:v>133.91979464527265</c:v>
                </c:pt>
                <c:pt idx="302">
                  <c:v>132.63934687846466</c:v>
                </c:pt>
                <c:pt idx="303">
                  <c:v>131.35364558416546</c:v>
                </c:pt>
                <c:pt idx="304">
                  <c:v>130.06506016145198</c:v>
                </c:pt>
                <c:pt idx="305">
                  <c:v>128.77565313145206</c:v>
                </c:pt>
                <c:pt idx="306">
                  <c:v>127.48748670145854</c:v>
                </c:pt>
                <c:pt idx="307">
                  <c:v>126.20262280437403</c:v>
                </c:pt>
                <c:pt idx="308">
                  <c:v>124.92312312983942</c:v>
                </c:pt>
                <c:pt idx="309">
                  <c:v>123.65117476905975</c:v>
                </c:pt>
                <c:pt idx="310">
                  <c:v>122.38911961093108</c:v>
                </c:pt>
                <c:pt idx="311">
                  <c:v>121.13901014187336</c:v>
                </c:pt>
                <c:pt idx="312">
                  <c:v>119.90289889174667</c:v>
                </c:pt>
                <c:pt idx="313">
                  <c:v>118.68283849780615</c:v>
                </c:pt>
                <c:pt idx="314">
                  <c:v>117.48088177713342</c:v>
                </c:pt>
                <c:pt idx="315">
                  <c:v>116.29908178455956</c:v>
                </c:pt>
                <c:pt idx="316">
                  <c:v>115.12534844002224</c:v>
                </c:pt>
                <c:pt idx="317">
                  <c:v>113.94891997975527</c:v>
                </c:pt>
                <c:pt idx="318">
                  <c:v>112.77360736599417</c:v>
                </c:pt>
                <c:pt idx="319">
                  <c:v>111.603543945233</c:v>
                </c:pt>
                <c:pt idx="320">
                  <c:v>110.44286314354221</c:v>
                </c:pt>
                <c:pt idx="321">
                  <c:v>109.2956984327102</c:v>
                </c:pt>
                <c:pt idx="322">
                  <c:v>108.16618332274082</c:v>
                </c:pt>
                <c:pt idx="323">
                  <c:v>107.05876703157622</c:v>
                </c:pt>
                <c:pt idx="324">
                  <c:v>105.97746390098088</c:v>
                </c:pt>
                <c:pt idx="325">
                  <c:v>104.92640402819293</c:v>
                </c:pt>
                <c:pt idx="326">
                  <c:v>103.90971848162685</c:v>
                </c:pt>
                <c:pt idx="327">
                  <c:v>102.9315379837261</c:v>
                </c:pt>
                <c:pt idx="328">
                  <c:v>101.99599273204178</c:v>
                </c:pt>
                <c:pt idx="329">
                  <c:v>101.10721304267936</c:v>
                </c:pt>
                <c:pt idx="330">
                  <c:v>100.25466372870314</c:v>
                </c:pt>
                <c:pt idx="331">
                  <c:v>99.426474041428591</c:v>
                </c:pt>
                <c:pt idx="332">
                  <c:v>98.62468056978139</c:v>
                </c:pt>
                <c:pt idx="333">
                  <c:v>97.851271117545281</c:v>
                </c:pt>
                <c:pt idx="334">
                  <c:v>97.108233997676209</c:v>
                </c:pt>
                <c:pt idx="335">
                  <c:v>96.397557956595008</c:v>
                </c:pt>
                <c:pt idx="336">
                  <c:v>95.72123211418355</c:v>
                </c:pt>
                <c:pt idx="337">
                  <c:v>95.081087313063477</c:v>
                </c:pt>
                <c:pt idx="338">
                  <c:v>94.478822361375236</c:v>
                </c:pt>
                <c:pt idx="339">
                  <c:v>93.916432018048354</c:v>
                </c:pt>
                <c:pt idx="340">
                  <c:v>93.395910673152031</c:v>
                </c:pt>
                <c:pt idx="341">
                  <c:v>92.919252316380422</c:v>
                </c:pt>
                <c:pt idx="342">
                  <c:v>92.488450550891841</c:v>
                </c:pt>
                <c:pt idx="343">
                  <c:v>92.105498477862497</c:v>
                </c:pt>
                <c:pt idx="344">
                  <c:v>91.766994982331781</c:v>
                </c:pt>
                <c:pt idx="345">
                  <c:v>91.468337177951483</c:v>
                </c:pt>
                <c:pt idx="346">
                  <c:v>91.209556875472344</c:v>
                </c:pt>
                <c:pt idx="347">
                  <c:v>90.990844826555943</c:v>
                </c:pt>
                <c:pt idx="348">
                  <c:v>90.812391390513454</c:v>
                </c:pt>
                <c:pt idx="349">
                  <c:v>90.674386537570385</c:v>
                </c:pt>
                <c:pt idx="350">
                  <c:v>90.577019872411896</c:v>
                </c:pt>
                <c:pt idx="351">
                  <c:v>90.520410257761057</c:v>
                </c:pt>
                <c:pt idx="352">
                  <c:v>90.504899670446505</c:v>
                </c:pt>
                <c:pt idx="353">
                  <c:v>90.530676259664247</c:v>
                </c:pt>
                <c:pt idx="354">
                  <c:v>90.597927839141349</c:v>
                </c:pt>
                <c:pt idx="355">
                  <c:v>90.706842008808692</c:v>
                </c:pt>
                <c:pt idx="356">
                  <c:v>90.857606584812856</c:v>
                </c:pt>
                <c:pt idx="357">
                  <c:v>91.050408060197171</c:v>
                </c:pt>
                <c:pt idx="358">
                  <c:v>91.289152210051284</c:v>
                </c:pt>
                <c:pt idx="359">
                  <c:v>91.576419493984758</c:v>
                </c:pt>
                <c:pt idx="360">
                  <c:v>91.910257426721415</c:v>
                </c:pt>
                <c:pt idx="361">
                  <c:v>92.288935361554792</c:v>
                </c:pt>
                <c:pt idx="362">
                  <c:v>92.710652867575604</c:v>
                </c:pt>
                <c:pt idx="363">
                  <c:v>93.173609624363621</c:v>
                </c:pt>
                <c:pt idx="364">
                  <c:v>93.676005463932896</c:v>
                </c:pt>
                <c:pt idx="365">
                  <c:v>94.918607767166307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'2023'!$A$15:$A$380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96.27531708757364</c:v>
                </c:pt>
                <c:pt idx="1">
                  <c:v>70.40053383974697</c:v>
                </c:pt>
                <c:pt idx="2">
                  <c:v>73.316612479476987</c:v>
                </c:pt>
                <c:pt idx="3">
                  <c:v>78.739334403333942</c:v>
                </c:pt>
                <c:pt idx="4">
                  <c:v>59.206332655917095</c:v>
                </c:pt>
                <c:pt idx="5">
                  <c:v>101.41310792895383</c:v>
                </c:pt>
                <c:pt idx="6">
                  <c:v>38.363356081380147</c:v>
                </c:pt>
                <c:pt idx="7">
                  <c:v>25.685500140753383</c:v>
                </c:pt>
                <c:pt idx="8">
                  <c:v>8.0195396213559587</c:v>
                </c:pt>
                <c:pt idx="9">
                  <c:v>7.3725095889848751</c:v>
                </c:pt>
                <c:pt idx="10">
                  <c:v>98.845223913561071</c:v>
                </c:pt>
                <c:pt idx="11">
                  <c:v>84.748498723723785</c:v>
                </c:pt>
                <c:pt idx="12">
                  <c:v>27.194399052491111</c:v>
                </c:pt>
                <c:pt idx="13">
                  <c:v>108.45667989316554</c:v>
                </c:pt>
                <c:pt idx="14">
                  <c:v>110.1198604111715</c:v>
                </c:pt>
                <c:pt idx="15">
                  <c:v>109.51464080050603</c:v>
                </c:pt>
                <c:pt idx="16">
                  <c:v>85.999858237196733</c:v>
                </c:pt>
                <c:pt idx="17">
                  <c:v>22.52505091838632</c:v>
                </c:pt>
                <c:pt idx="18">
                  <c:v>46.00000368202722</c:v>
                </c:pt>
                <c:pt idx="19">
                  <c:v>23.707503688751359</c:v>
                </c:pt>
                <c:pt idx="20">
                  <c:v>59.517727006761817</c:v>
                </c:pt>
                <c:pt idx="21">
                  <c:v>114.30188236568011</c:v>
                </c:pt>
                <c:pt idx="22">
                  <c:v>116.18028574111858</c:v>
                </c:pt>
                <c:pt idx="23">
                  <c:v>117.61261180522396</c:v>
                </c:pt>
                <c:pt idx="24">
                  <c:v>116.52257696467882</c:v>
                </c:pt>
                <c:pt idx="25">
                  <c:v>118.57085962312377</c:v>
                </c:pt>
                <c:pt idx="26">
                  <c:v>120.50003596782054</c:v>
                </c:pt>
                <c:pt idx="27">
                  <c:v>18.668896011036775</c:v>
                </c:pt>
                <c:pt idx="28">
                  <c:v>29.260183681166129</c:v>
                </c:pt>
                <c:pt idx="29">
                  <c:v>26.361820803776883</c:v>
                </c:pt>
                <c:pt idx="30">
                  <c:v>26.199106344999436</c:v>
                </c:pt>
                <c:pt idx="31">
                  <c:v>57.108024639045617</c:v>
                </c:pt>
                <c:pt idx="32">
                  <c:v>25.470624235051428</c:v>
                </c:pt>
                <c:pt idx="33">
                  <c:v>57.170309662787524</c:v>
                </c:pt>
                <c:pt idx="34">
                  <c:v>52.013498455877965</c:v>
                </c:pt>
                <c:pt idx="35">
                  <c:v>43.600568521463003</c:v>
                </c:pt>
                <c:pt idx="36">
                  <c:v>92.498020808047528</c:v>
                </c:pt>
                <c:pt idx="37">
                  <c:v>41.794131963694007</c:v>
                </c:pt>
                <c:pt idx="38">
                  <c:v>139.84535462718472</c:v>
                </c:pt>
                <c:pt idx="39">
                  <c:v>139.17254310894876</c:v>
                </c:pt>
                <c:pt idx="40">
                  <c:v>130.71204295885443</c:v>
                </c:pt>
                <c:pt idx="41">
                  <c:v>65.193879569262819</c:v>
                </c:pt>
                <c:pt idx="42">
                  <c:v>109.18251022802556</c:v>
                </c:pt>
                <c:pt idx="43">
                  <c:v>133.20766215164494</c:v>
                </c:pt>
                <c:pt idx="44">
                  <c:v>75.951862514289232</c:v>
                </c:pt>
                <c:pt idx="45">
                  <c:v>80.193497678870727</c:v>
                </c:pt>
                <c:pt idx="46">
                  <c:v>30.973561513507317</c:v>
                </c:pt>
                <c:pt idx="47">
                  <c:v>45.630557606728551</c:v>
                </c:pt>
                <c:pt idx="48">
                  <c:v>129.73320003440764</c:v>
                </c:pt>
                <c:pt idx="49">
                  <c:v>73.944887938739654</c:v>
                </c:pt>
                <c:pt idx="50">
                  <c:v>93.032135064179386</c:v>
                </c:pt>
                <c:pt idx="51">
                  <c:v>101.23701916381442</c:v>
                </c:pt>
                <c:pt idx="52">
                  <c:v>135.52647419360801</c:v>
                </c:pt>
                <c:pt idx="53">
                  <c:v>140.04605345736024</c:v>
                </c:pt>
                <c:pt idx="54">
                  <c:v>88.770016055607485</c:v>
                </c:pt>
                <c:pt idx="55">
                  <c:v>125.73280082433284</c:v>
                </c:pt>
                <c:pt idx="56">
                  <c:v>166.84508124229211</c:v>
                </c:pt>
                <c:pt idx="57">
                  <c:v>111.0102229301697</c:v>
                </c:pt>
                <c:pt idx="58">
                  <c:v>150.60327696611898</c:v>
                </c:pt>
                <c:pt idx="59">
                  <c:v>169.20304365627629</c:v>
                </c:pt>
                <c:pt idx="60">
                  <c:v>51.7831942828699</c:v>
                </c:pt>
                <c:pt idx="61">
                  <c:v>156.12532879286718</c:v>
                </c:pt>
                <c:pt idx="62">
                  <c:v>19.935057243895599</c:v>
                </c:pt>
                <c:pt idx="63">
                  <c:v>65.832665226436546</c:v>
                </c:pt>
                <c:pt idx="64">
                  <c:v>92.943890460447506</c:v>
                </c:pt>
                <c:pt idx="65">
                  <c:v>138.08129994259312</c:v>
                </c:pt>
                <c:pt idx="66">
                  <c:v>127.31473626727134</c:v>
                </c:pt>
                <c:pt idx="67">
                  <c:v>137.14635816851978</c:v>
                </c:pt>
                <c:pt idx="68">
                  <c:v>98.583184154136106</c:v>
                </c:pt>
                <c:pt idx="69">
                  <c:v>67.47558336365914</c:v>
                </c:pt>
                <c:pt idx="70">
                  <c:v>63.150860402849261</c:v>
                </c:pt>
                <c:pt idx="71">
                  <c:v>55.771841059834799</c:v>
                </c:pt>
                <c:pt idx="72">
                  <c:v>54.732261063283687</c:v>
                </c:pt>
                <c:pt idx="73">
                  <c:v>58.394533593880006</c:v>
                </c:pt>
                <c:pt idx="74">
                  <c:v>38.811559048221959</c:v>
                </c:pt>
                <c:pt idx="75">
                  <c:v>49.850335051045676</c:v>
                </c:pt>
                <c:pt idx="76">
                  <c:v>52.63022446054481</c:v>
                </c:pt>
                <c:pt idx="77">
                  <c:v>119.60588077976382</c:v>
                </c:pt>
                <c:pt idx="78">
                  <c:v>127.74906057386252</c:v>
                </c:pt>
                <c:pt idx="79">
                  <c:v>184.10779476017049</c:v>
                </c:pt>
                <c:pt idx="80">
                  <c:v>163.92150496995973</c:v>
                </c:pt>
                <c:pt idx="81">
                  <c:v>196.21942083704582</c:v>
                </c:pt>
                <c:pt idx="82">
                  <c:v>194.58610796650933</c:v>
                </c:pt>
                <c:pt idx="83">
                  <c:v>165.78356774803933</c:v>
                </c:pt>
                <c:pt idx="84">
                  <c:v>182.78960074985383</c:v>
                </c:pt>
                <c:pt idx="85">
                  <c:v>184.77989388961862</c:v>
                </c:pt>
                <c:pt idx="86">
                  <c:v>145.69551008193818</c:v>
                </c:pt>
                <c:pt idx="87">
                  <c:v>114.56400605815513</c:v>
                </c:pt>
                <c:pt idx="88">
                  <c:v>30.096113110276733</c:v>
                </c:pt>
                <c:pt idx="89">
                  <c:v>87.078389659117946</c:v>
                </c:pt>
                <c:pt idx="90">
                  <c:v>147.81037949604305</c:v>
                </c:pt>
                <c:pt idx="91">
                  <c:v>72.306391428723074</c:v>
                </c:pt>
                <c:pt idx="92">
                  <c:v>116.07426518452309</c:v>
                </c:pt>
                <c:pt idx="93">
                  <c:v>177.09207543829459</c:v>
                </c:pt>
                <c:pt idx="94">
                  <c:v>216.98406242146174</c:v>
                </c:pt>
                <c:pt idx="95">
                  <c:v>53.872466539946792</c:v>
                </c:pt>
                <c:pt idx="96">
                  <c:v>165.56309104921942</c:v>
                </c:pt>
                <c:pt idx="97">
                  <c:v>131.77749181979692</c:v>
                </c:pt>
                <c:pt idx="98">
                  <c:v>142.2464700295873</c:v>
                </c:pt>
                <c:pt idx="99">
                  <c:v>222.07424017520202</c:v>
                </c:pt>
                <c:pt idx="100">
                  <c:v>178.60829626052231</c:v>
                </c:pt>
                <c:pt idx="101">
                  <c:v>149.54537661285451</c:v>
                </c:pt>
                <c:pt idx="102">
                  <c:v>24.8095877233214</c:v>
                </c:pt>
                <c:pt idx="103">
                  <c:v>178.10997392408794</c:v>
                </c:pt>
                <c:pt idx="104">
                  <c:v>188.04865163788534</c:v>
                </c:pt>
                <c:pt idx="105">
                  <c:v>189.1841897504622</c:v>
                </c:pt>
                <c:pt idx="106">
                  <c:v>226.94912555955844</c:v>
                </c:pt>
                <c:pt idx="107">
                  <c:v>167.49301687726924</c:v>
                </c:pt>
                <c:pt idx="108">
                  <c:v>37.83123213665705</c:v>
                </c:pt>
                <c:pt idx="109">
                  <c:v>42.905717321298603</c:v>
                </c:pt>
                <c:pt idx="110">
                  <c:v>38.234225579934112</c:v>
                </c:pt>
                <c:pt idx="111">
                  <c:v>116.34523821174325</c:v>
                </c:pt>
                <c:pt idx="112">
                  <c:v>42.386272108610683</c:v>
                </c:pt>
                <c:pt idx="113">
                  <c:v>114.48768711146494</c:v>
                </c:pt>
                <c:pt idx="114">
                  <c:v>193.54644520516678</c:v>
                </c:pt>
                <c:pt idx="115">
                  <c:v>227.4387297285607</c:v>
                </c:pt>
                <c:pt idx="116">
                  <c:v>162.02155570578512</c:v>
                </c:pt>
                <c:pt idx="117">
                  <c:v>94.364051868017782</c:v>
                </c:pt>
                <c:pt idx="118">
                  <c:v>174.38481031554349</c:v>
                </c:pt>
                <c:pt idx="119">
                  <c:v>163.28465523047754</c:v>
                </c:pt>
                <c:pt idx="120">
                  <c:v>194.36984801291246</c:v>
                </c:pt>
                <c:pt idx="121">
                  <c:v>115.33188864358419</c:v>
                </c:pt>
                <c:pt idx="122">
                  <c:v>131.32603165998978</c:v>
                </c:pt>
                <c:pt idx="123">
                  <c:v>77.081842855573356</c:v>
                </c:pt>
                <c:pt idx="124">
                  <c:v>162.39181295977309</c:v>
                </c:pt>
                <c:pt idx="125">
                  <c:v>151.07317758438813</c:v>
                </c:pt>
                <c:pt idx="126">
                  <c:v>191.59656367342853</c:v>
                </c:pt>
                <c:pt idx="127">
                  <c:v>209.32100282796046</c:v>
                </c:pt>
                <c:pt idx="128">
                  <c:v>225.70947908052739</c:v>
                </c:pt>
                <c:pt idx="129">
                  <c:v>216.0120612942595</c:v>
                </c:pt>
                <c:pt idx="130">
                  <c:v>232.66824184937781</c:v>
                </c:pt>
                <c:pt idx="131">
                  <c:v>174.75873618708815</c:v>
                </c:pt>
                <c:pt idx="132">
                  <c:v>166.06005824218946</c:v>
                </c:pt>
                <c:pt idx="133">
                  <c:v>204.88603229805648</c:v>
                </c:pt>
                <c:pt idx="134">
                  <c:v>215.57666704522012</c:v>
                </c:pt>
                <c:pt idx="135">
                  <c:v>208.47683357130859</c:v>
                </c:pt>
                <c:pt idx="136">
                  <c:v>227.27510728148002</c:v>
                </c:pt>
                <c:pt idx="137">
                  <c:v>218.28531643938476</c:v>
                </c:pt>
                <c:pt idx="138">
                  <c:v>222.82381495471108</c:v>
                </c:pt>
                <c:pt idx="139">
                  <c:v>199.85819853281268</c:v>
                </c:pt>
                <c:pt idx="140">
                  <c:v>207.0787109905832</c:v>
                </c:pt>
                <c:pt idx="141">
                  <c:v>154.2175712701752</c:v>
                </c:pt>
                <c:pt idx="142">
                  <c:v>72.902307059501226</c:v>
                </c:pt>
                <c:pt idx="143">
                  <c:v>68.087303334023062</c:v>
                </c:pt>
                <c:pt idx="144">
                  <c:v>168.95297772329829</c:v>
                </c:pt>
                <c:pt idx="145">
                  <c:v>108.65324181827016</c:v>
                </c:pt>
                <c:pt idx="146">
                  <c:v>182.93211002176108</c:v>
                </c:pt>
                <c:pt idx="147">
                  <c:v>225.06713753611643</c:v>
                </c:pt>
                <c:pt idx="148">
                  <c:v>245.17311253017388</c:v>
                </c:pt>
                <c:pt idx="149">
                  <c:v>206.66984093691863</c:v>
                </c:pt>
                <c:pt idx="150">
                  <c:v>226.49072305093497</c:v>
                </c:pt>
                <c:pt idx="151">
                  <c:v>236.45148990285878</c:v>
                </c:pt>
                <c:pt idx="152">
                  <c:v>166.31469279246963</c:v>
                </c:pt>
                <c:pt idx="153">
                  <c:v>228.4957161632382</c:v>
                </c:pt>
                <c:pt idx="154">
                  <c:v>99.554426414197437</c:v>
                </c:pt>
                <c:pt idx="155">
                  <c:v>128.98674777883014</c:v>
                </c:pt>
                <c:pt idx="156">
                  <c:v>189.53141753393803</c:v>
                </c:pt>
                <c:pt idx="157">
                  <c:v>118.10275116162944</c:v>
                </c:pt>
                <c:pt idx="158">
                  <c:v>89.981856190607118</c:v>
                </c:pt>
                <c:pt idx="159">
                  <c:v>190.89385588425776</c:v>
                </c:pt>
                <c:pt idx="160">
                  <c:v>241.32843317104934</c:v>
                </c:pt>
                <c:pt idx="161">
                  <c:v>229.21457766137095</c:v>
                </c:pt>
                <c:pt idx="162">
                  <c:v>180.96099384384698</c:v>
                </c:pt>
                <c:pt idx="163">
                  <c:v>222.56422951155187</c:v>
                </c:pt>
                <c:pt idx="164">
                  <c:v>200.9487583792403</c:v>
                </c:pt>
                <c:pt idx="165">
                  <c:v>225.57563370596981</c:v>
                </c:pt>
                <c:pt idx="166">
                  <c:v>212.95754057747948</c:v>
                </c:pt>
                <c:pt idx="167">
                  <c:v>219.60342216901407</c:v>
                </c:pt>
                <c:pt idx="168">
                  <c:v>226.40379475161191</c:v>
                </c:pt>
                <c:pt idx="169">
                  <c:v>230.70652368405894</c:v>
                </c:pt>
                <c:pt idx="170">
                  <c:v>124.24399672541905</c:v>
                </c:pt>
                <c:pt idx="171">
                  <c:v>88.616909235661538</c:v>
                </c:pt>
                <c:pt idx="172">
                  <c:v>175.16918496338309</c:v>
                </c:pt>
                <c:pt idx="173">
                  <c:v>171.39307207433467</c:v>
                </c:pt>
                <c:pt idx="174">
                  <c:v>171.25974294778075</c:v>
                </c:pt>
                <c:pt idx="175">
                  <c:v>146.08279529846831</c:v>
                </c:pt>
                <c:pt idx="176">
                  <c:v>48.582365731129038</c:v>
                </c:pt>
                <c:pt idx="177">
                  <c:v>56.75957506157841</c:v>
                </c:pt>
                <c:pt idx="178">
                  <c:v>248.17520254070087</c:v>
                </c:pt>
                <c:pt idx="179">
                  <c:v>235.62505957713839</c:v>
                </c:pt>
                <c:pt idx="180">
                  <c:v>55.018390175901473</c:v>
                </c:pt>
                <c:pt idx="181">
                  <c:v>210.98628217133873</c:v>
                </c:pt>
                <c:pt idx="182">
                  <c:v>233.17042276954183</c:v>
                </c:pt>
                <c:pt idx="183">
                  <c:v>193.12196778324437</c:v>
                </c:pt>
                <c:pt idx="184">
                  <c:v>188.39940636695974</c:v>
                </c:pt>
                <c:pt idx="185">
                  <c:v>226.63031407250242</c:v>
                </c:pt>
                <c:pt idx="186">
                  <c:v>179.90862647896071</c:v>
                </c:pt>
                <c:pt idx="187">
                  <c:v>223.58433599877674</c:v>
                </c:pt>
                <c:pt idx="188">
                  <c:v>237.11589765340963</c:v>
                </c:pt>
                <c:pt idx="189">
                  <c:v>234.6409859253223</c:v>
                </c:pt>
                <c:pt idx="190">
                  <c:v>232.75912674542289</c:v>
                </c:pt>
                <c:pt idx="191">
                  <c:v>226.45995245468677</c:v>
                </c:pt>
                <c:pt idx="192">
                  <c:v>223.80906033999588</c:v>
                </c:pt>
                <c:pt idx="193">
                  <c:v>223.94381515970386</c:v>
                </c:pt>
                <c:pt idx="194">
                  <c:v>221.52837163708796</c:v>
                </c:pt>
                <c:pt idx="195">
                  <c:v>212.50076580205473</c:v>
                </c:pt>
                <c:pt idx="196">
                  <c:v>218.10542231053108</c:v>
                </c:pt>
                <c:pt idx="197">
                  <c:v>217.39402637834235</c:v>
                </c:pt>
                <c:pt idx="198">
                  <c:v>220.97136606415168</c:v>
                </c:pt>
                <c:pt idx="199">
                  <c:v>156.3983454445839</c:v>
                </c:pt>
                <c:pt idx="200">
                  <c:v>160.36489982619287</c:v>
                </c:pt>
                <c:pt idx="201">
                  <c:v>214.23290952291933</c:v>
                </c:pt>
                <c:pt idx="202">
                  <c:v>162.52017038603779</c:v>
                </c:pt>
                <c:pt idx="203">
                  <c:v>187.04187374681948</c:v>
                </c:pt>
                <c:pt idx="204">
                  <c:v>217.07099603148535</c:v>
                </c:pt>
                <c:pt idx="205">
                  <c:v>116.8671000453903</c:v>
                </c:pt>
                <c:pt idx="206">
                  <c:v>208.53201676837654</c:v>
                </c:pt>
                <c:pt idx="207">
                  <c:v>228.85161943847331</c:v>
                </c:pt>
                <c:pt idx="208">
                  <c:v>184.86224049593108</c:v>
                </c:pt>
                <c:pt idx="209">
                  <c:v>112.29325827465007</c:v>
                </c:pt>
                <c:pt idx="210">
                  <c:v>194.37309181292366</c:v>
                </c:pt>
                <c:pt idx="211">
                  <c:v>222.44109449103453</c:v>
                </c:pt>
                <c:pt idx="212">
                  <c:v>221.36641027990891</c:v>
                </c:pt>
                <c:pt idx="213">
                  <c:v>221.42838341472117</c:v>
                </c:pt>
                <c:pt idx="214">
                  <c:v>210.24564548898266</c:v>
                </c:pt>
                <c:pt idx="215">
                  <c:v>199.52782218332862</c:v>
                </c:pt>
                <c:pt idx="216">
                  <c:v>185.64972825323824</c:v>
                </c:pt>
                <c:pt idx="217">
                  <c:v>199.1322054921101</c:v>
                </c:pt>
                <c:pt idx="218">
                  <c:v>212.80962034870237</c:v>
                </c:pt>
                <c:pt idx="219">
                  <c:v>216.54677762546453</c:v>
                </c:pt>
                <c:pt idx="220">
                  <c:v>206.38251081492308</c:v>
                </c:pt>
                <c:pt idx="221">
                  <c:v>200.62931322112431</c:v>
                </c:pt>
                <c:pt idx="222">
                  <c:v>186.20357981956877</c:v>
                </c:pt>
                <c:pt idx="223">
                  <c:v>195.08229253180204</c:v>
                </c:pt>
                <c:pt idx="224">
                  <c:v>135.60859483190694</c:v>
                </c:pt>
                <c:pt idx="225">
                  <c:v>148.74694771897043</c:v>
                </c:pt>
                <c:pt idx="226">
                  <c:v>153.12093042551305</c:v>
                </c:pt>
                <c:pt idx="227">
                  <c:v>137.75196978265276</c:v>
                </c:pt>
                <c:pt idx="228">
                  <c:v>106.09295161604346</c:v>
                </c:pt>
                <c:pt idx="229">
                  <c:v>130.27376464213745</c:v>
                </c:pt>
                <c:pt idx="230">
                  <c:v>140.56140953323711</c:v>
                </c:pt>
                <c:pt idx="231">
                  <c:v>205.32626767723531</c:v>
                </c:pt>
                <c:pt idx="232">
                  <c:v>130.99571562060004</c:v>
                </c:pt>
                <c:pt idx="233">
                  <c:v>103.30832219394844</c:v>
                </c:pt>
                <c:pt idx="234">
                  <c:v>179.30256416870128</c:v>
                </c:pt>
                <c:pt idx="235">
                  <c:v>190.9812735327138</c:v>
                </c:pt>
                <c:pt idx="236">
                  <c:v>133.778220304043</c:v>
                </c:pt>
                <c:pt idx="237">
                  <c:v>180.63550604001668</c:v>
                </c:pt>
                <c:pt idx="238">
                  <c:v>197.60163450452774</c:v>
                </c:pt>
                <c:pt idx="239">
                  <c:v>194.60429983782672</c:v>
                </c:pt>
                <c:pt idx="240">
                  <c:v>131.00274369776466</c:v>
                </c:pt>
                <c:pt idx="241">
                  <c:v>194.52800364864524</c:v>
                </c:pt>
                <c:pt idx="242">
                  <c:v>86.54000946759578</c:v>
                </c:pt>
                <c:pt idx="243">
                  <c:v>172.12285159328056</c:v>
                </c:pt>
                <c:pt idx="244">
                  <c:v>169.66074752061087</c:v>
                </c:pt>
                <c:pt idx="245">
                  <c:v>132.52908508463369</c:v>
                </c:pt>
                <c:pt idx="246">
                  <c:v>186.68897621002449</c:v>
                </c:pt>
                <c:pt idx="247">
                  <c:v>164.88305814706689</c:v>
                </c:pt>
                <c:pt idx="248">
                  <c:v>184.9100461852853</c:v>
                </c:pt>
                <c:pt idx="249">
                  <c:v>140.54314257145006</c:v>
                </c:pt>
                <c:pt idx="250">
                  <c:v>163.37912719002827</c:v>
                </c:pt>
                <c:pt idx="251">
                  <c:v>87.383375130593876</c:v>
                </c:pt>
                <c:pt idx="252">
                  <c:v>181.78412728491364</c:v>
                </c:pt>
                <c:pt idx="253">
                  <c:v>185.30439581315142</c:v>
                </c:pt>
                <c:pt idx="254">
                  <c:v>128.30416865043875</c:v>
                </c:pt>
                <c:pt idx="255">
                  <c:v>46.190398156223452</c:v>
                </c:pt>
                <c:pt idx="256">
                  <c:v>147.30696719318209</c:v>
                </c:pt>
                <c:pt idx="257">
                  <c:v>164.83805245236366</c:v>
                </c:pt>
                <c:pt idx="258">
                  <c:v>105.23442899760597</c:v>
                </c:pt>
                <c:pt idx="259">
                  <c:v>191.23905056265775</c:v>
                </c:pt>
                <c:pt idx="260">
                  <c:v>184.68723259744581</c:v>
                </c:pt>
                <c:pt idx="261">
                  <c:v>182.23955240254648</c:v>
                </c:pt>
                <c:pt idx="262">
                  <c:v>186.38768410281062</c:v>
                </c:pt>
                <c:pt idx="263">
                  <c:v>181.34580608932001</c:v>
                </c:pt>
                <c:pt idx="264">
                  <c:v>176.15213225357491</c:v>
                </c:pt>
                <c:pt idx="265">
                  <c:v>112.9544900570438</c:v>
                </c:pt>
                <c:pt idx="266">
                  <c:v>75.990279244801783</c:v>
                </c:pt>
                <c:pt idx="267">
                  <c:v>131.98758988532427</c:v>
                </c:pt>
                <c:pt idx="268">
                  <c:v>133.59564279634273</c:v>
                </c:pt>
                <c:pt idx="269">
                  <c:v>61.354327924406903</c:v>
                </c:pt>
                <c:pt idx="270">
                  <c:v>61.541442816467317</c:v>
                </c:pt>
                <c:pt idx="271">
                  <c:v>91.585133017808772</c:v>
                </c:pt>
                <c:pt idx="272">
                  <c:v>131.32770241242997</c:v>
                </c:pt>
                <c:pt idx="273">
                  <c:v>148.86515634709212</c:v>
                </c:pt>
                <c:pt idx="274">
                  <c:v>154.11535899399411</c:v>
                </c:pt>
                <c:pt idx="275">
                  <c:v>144.75965764542266</c:v>
                </c:pt>
                <c:pt idx="276">
                  <c:v>165.64862465181005</c:v>
                </c:pt>
                <c:pt idx="277">
                  <c:v>168.35443179682002</c:v>
                </c:pt>
                <c:pt idx="278">
                  <c:v>56.529561534536697</c:v>
                </c:pt>
                <c:pt idx="279">
                  <c:v>116.16518432885751</c:v>
                </c:pt>
                <c:pt idx="280">
                  <c:v>64.906057270454852</c:v>
                </c:pt>
                <c:pt idx="281">
                  <c:v>153.05527677401901</c:v>
                </c:pt>
                <c:pt idx="282">
                  <c:v>122.45744069703545</c:v>
                </c:pt>
                <c:pt idx="283">
                  <c:v>94.277486597356443</c:v>
                </c:pt>
                <c:pt idx="284">
                  <c:v>118.41983186202387</c:v>
                </c:pt>
                <c:pt idx="285">
                  <c:v>91.559851293835663</c:v>
                </c:pt>
                <c:pt idx="286">
                  <c:v>81.602058027625162</c:v>
                </c:pt>
                <c:pt idx="287">
                  <c:v>149.0707118718683</c:v>
                </c:pt>
                <c:pt idx="288">
                  <c:v>133.65660292281072</c:v>
                </c:pt>
                <c:pt idx="289">
                  <c:v>85.656321245422291</c:v>
                </c:pt>
                <c:pt idx="290">
                  <c:v>136.75304029755603</c:v>
                </c:pt>
                <c:pt idx="291">
                  <c:v>60.363812890293786</c:v>
                </c:pt>
                <c:pt idx="292">
                  <c:v>38.415931001480594</c:v>
                </c:pt>
                <c:pt idx="293">
                  <c:v>62.599652512226086</c:v>
                </c:pt>
                <c:pt idx="294">
                  <c:v>131.20841955853649</c:v>
                </c:pt>
                <c:pt idx="295">
                  <c:v>79.690984939331912</c:v>
                </c:pt>
                <c:pt idx="296">
                  <c:v>102.50970307613676</c:v>
                </c:pt>
                <c:pt idx="297">
                  <c:v>88.652291484174128</c:v>
                </c:pt>
                <c:pt idx="298">
                  <c:v>58.548331784676002</c:v>
                </c:pt>
                <c:pt idx="299">
                  <c:v>52.548276610758897</c:v>
                </c:pt>
                <c:pt idx="300">
                  <c:v>69.345837570598704</c:v>
                </c:pt>
                <c:pt idx="301">
                  <c:v>100.67462940896986</c:v>
                </c:pt>
                <c:pt idx="302">
                  <c:v>84.169874866310764</c:v>
                </c:pt>
                <c:pt idx="303">
                  <c:v>85.218088147233686</c:v>
                </c:pt>
                <c:pt idx="304">
                  <c:v>84.574823136776473</c:v>
                </c:pt>
                <c:pt idx="305">
                  <c:v>112.33814246759972</c:v>
                </c:pt>
                <c:pt idx="306">
                  <c:v>42.898560081991363</c:v>
                </c:pt>
                <c:pt idx="307">
                  <c:v>50.842900024121207</c:v>
                </c:pt>
                <c:pt idx="308">
                  <c:v>119.56737028896697</c:v>
                </c:pt>
                <c:pt idx="309">
                  <c:v>119.98909041165227</c:v>
                </c:pt>
                <c:pt idx="310">
                  <c:v>115.85442886379576</c:v>
                </c:pt>
                <c:pt idx="311">
                  <c:v>77.551944410116135</c:v>
                </c:pt>
                <c:pt idx="312">
                  <c:v>43.756059548411734</c:v>
                </c:pt>
                <c:pt idx="313">
                  <c:v>90.860280738550316</c:v>
                </c:pt>
                <c:pt idx="314">
                  <c:v>110.56069057230359</c:v>
                </c:pt>
                <c:pt idx="315">
                  <c:v>109.02965840000272</c:v>
                </c:pt>
                <c:pt idx="316">
                  <c:v>107.68377935414459</c:v>
                </c:pt>
                <c:pt idx="317">
                  <c:v>41.092303687927668</c:v>
                </c:pt>
                <c:pt idx="318">
                  <c:v>51.696327276721199</c:v>
                </c:pt>
                <c:pt idx="319">
                  <c:v>107.77543554263198</c:v>
                </c:pt>
                <c:pt idx="320">
                  <c:v>64.006547690736866</c:v>
                </c:pt>
                <c:pt idx="321">
                  <c:v>50.797367954318858</c:v>
                </c:pt>
                <c:pt idx="322">
                  <c:v>24.155680548161463</c:v>
                </c:pt>
                <c:pt idx="323">
                  <c:v>70.637241001210185</c:v>
                </c:pt>
                <c:pt idx="324">
                  <c:v>13.993509323658689</c:v>
                </c:pt>
                <c:pt idx="325">
                  <c:v>33.974913989979513</c:v>
                </c:pt>
                <c:pt idx="326">
                  <c:v>56.033390848466034</c:v>
                </c:pt>
                <c:pt idx="327">
                  <c:v>55.139445878728374</c:v>
                </c:pt>
                <c:pt idx="328">
                  <c:v>17.855685547869427</c:v>
                </c:pt>
                <c:pt idx="329">
                  <c:v>53.750116959285521</c:v>
                </c:pt>
                <c:pt idx="330">
                  <c:v>58.544675382150537</c:v>
                </c:pt>
                <c:pt idx="331">
                  <c:v>38.057357094046466</c:v>
                </c:pt>
                <c:pt idx="332">
                  <c:v>54.221421850866022</c:v>
                </c:pt>
                <c:pt idx="333">
                  <c:v>21.507746786972497</c:v>
                </c:pt>
                <c:pt idx="334">
                  <c:v>16.15423148617144</c:v>
                </c:pt>
                <c:pt idx="335">
                  <c:v>26.049384558259149</c:v>
                </c:pt>
                <c:pt idx="336">
                  <c:v>35.717965151772148</c:v>
                </c:pt>
                <c:pt idx="337">
                  <c:v>76.635932621462786</c:v>
                </c:pt>
                <c:pt idx="338">
                  <c:v>96.176739272145539</c:v>
                </c:pt>
                <c:pt idx="339">
                  <c:v>49.981792628456347</c:v>
                </c:pt>
                <c:pt idx="340">
                  <c:v>77.315452726456272</c:v>
                </c:pt>
                <c:pt idx="341">
                  <c:v>14.630679673639664</c:v>
                </c:pt>
                <c:pt idx="342">
                  <c:v>28.124126398028672</c:v>
                </c:pt>
                <c:pt idx="343">
                  <c:v>67.790255048927619</c:v>
                </c:pt>
                <c:pt idx="344">
                  <c:v>63.815556441358687</c:v>
                </c:pt>
                <c:pt idx="345">
                  <c:v>22.255478769707217</c:v>
                </c:pt>
                <c:pt idx="346">
                  <c:v>23.180684654135124</c:v>
                </c:pt>
                <c:pt idx="347">
                  <c:v>68.031354136782497</c:v>
                </c:pt>
                <c:pt idx="348">
                  <c:v>33.861685231696406</c:v>
                </c:pt>
                <c:pt idx="349">
                  <c:v>20.638352364298211</c:v>
                </c:pt>
                <c:pt idx="350">
                  <c:v>12.805069543641981</c:v>
                </c:pt>
                <c:pt idx="351">
                  <c:v>69.74837433823329</c:v>
                </c:pt>
                <c:pt idx="352">
                  <c:v>67.04294252339345</c:v>
                </c:pt>
                <c:pt idx="353">
                  <c:v>17.527585005436986</c:v>
                </c:pt>
                <c:pt idx="354">
                  <c:v>82.821449066521524</c:v>
                </c:pt>
                <c:pt idx="355">
                  <c:v>68.989891719581934</c:v>
                </c:pt>
                <c:pt idx="356">
                  <c:v>70.765121340543985</c:v>
                </c:pt>
                <c:pt idx="357">
                  <c:v>85.907279126493762</c:v>
                </c:pt>
                <c:pt idx="358">
                  <c:v>48.400409615220084</c:v>
                </c:pt>
                <c:pt idx="359">
                  <c:v>82.699028802313279</c:v>
                </c:pt>
                <c:pt idx="360">
                  <c:v>25.632675048471054</c:v>
                </c:pt>
                <c:pt idx="361">
                  <c:v>67.269947921181654</c:v>
                </c:pt>
                <c:pt idx="362">
                  <c:v>41.602128089377587</c:v>
                </c:pt>
                <c:pt idx="363">
                  <c:v>59.577121928307598</c:v>
                </c:pt>
                <c:pt idx="364">
                  <c:v>47.68811846076369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'2023'!$W$15:$W$380</c:f>
              <c:numCache>
                <c:formatCode>0.00</c:formatCode>
                <c:ptCount val="366"/>
                <c:pt idx="0">
                  <c:v>96.27531708757364</c:v>
                </c:pt>
                <c:pt idx="1">
                  <c:v>70.40053383974697</c:v>
                </c:pt>
                <c:pt idx="2">
                  <c:v>73.316612479476987</c:v>
                </c:pt>
                <c:pt idx="3">
                  <c:v>78.739334403333942</c:v>
                </c:pt>
                <c:pt idx="4">
                  <c:v>59.206332655917095</c:v>
                </c:pt>
                <c:pt idx="5">
                  <c:v>101.41310792895383</c:v>
                </c:pt>
                <c:pt idx="6">
                  <c:v>38.363356081380147</c:v>
                </c:pt>
                <c:pt idx="7">
                  <c:v>25.685500140753383</c:v>
                </c:pt>
                <c:pt idx="8">
                  <c:v>8.0195396213559587</c:v>
                </c:pt>
                <c:pt idx="9">
                  <c:v>7.3725095889848751</c:v>
                </c:pt>
                <c:pt idx="10">
                  <c:v>98.845223913561071</c:v>
                </c:pt>
                <c:pt idx="11">
                  <c:v>84.748498723723785</c:v>
                </c:pt>
                <c:pt idx="12">
                  <c:v>27.194399052491111</c:v>
                </c:pt>
                <c:pt idx="13">
                  <c:v>108.45667989316554</c:v>
                </c:pt>
                <c:pt idx="14">
                  <c:v>110.1198604111715</c:v>
                </c:pt>
                <c:pt idx="15">
                  <c:v>109.51464080050603</c:v>
                </c:pt>
                <c:pt idx="16">
                  <c:v>85.999858237196733</c:v>
                </c:pt>
                <c:pt idx="17">
                  <c:v>22.52505091838632</c:v>
                </c:pt>
                <c:pt idx="18">
                  <c:v>46.00000368202722</c:v>
                </c:pt>
                <c:pt idx="19">
                  <c:v>23.707503688751359</c:v>
                </c:pt>
                <c:pt idx="20">
                  <c:v>59.517727006761817</c:v>
                </c:pt>
                <c:pt idx="21">
                  <c:v>114.30188236568011</c:v>
                </c:pt>
                <c:pt idx="22">
                  <c:v>116.18028574111858</c:v>
                </c:pt>
                <c:pt idx="23">
                  <c:v>117.61261180522396</c:v>
                </c:pt>
                <c:pt idx="24">
                  <c:v>116.52257696467882</c:v>
                </c:pt>
                <c:pt idx="25">
                  <c:v>118.57085962312377</c:v>
                </c:pt>
                <c:pt idx="26">
                  <c:v>120.50003596782054</c:v>
                </c:pt>
                <c:pt idx="27">
                  <c:v>18.668896011036775</c:v>
                </c:pt>
                <c:pt idx="28">
                  <c:v>29.260183681166129</c:v>
                </c:pt>
                <c:pt idx="29">
                  <c:v>26.361820803776883</c:v>
                </c:pt>
                <c:pt idx="30">
                  <c:v>26.199106344999436</c:v>
                </c:pt>
                <c:pt idx="31">
                  <c:v>57.108024639045617</c:v>
                </c:pt>
                <c:pt idx="32">
                  <c:v>25.470624235051428</c:v>
                </c:pt>
                <c:pt idx="33">
                  <c:v>57.170309662787524</c:v>
                </c:pt>
                <c:pt idx="34">
                  <c:v>52.013498455877965</c:v>
                </c:pt>
                <c:pt idx="35">
                  <c:v>43.600568521463003</c:v>
                </c:pt>
                <c:pt idx="36">
                  <c:v>92.498020808047528</c:v>
                </c:pt>
                <c:pt idx="37">
                  <c:v>41.794131963694007</c:v>
                </c:pt>
                <c:pt idx="38">
                  <c:v>139.84535462718472</c:v>
                </c:pt>
                <c:pt idx="39">
                  <c:v>139.17254310894876</c:v>
                </c:pt>
                <c:pt idx="40">
                  <c:v>130.71204295885443</c:v>
                </c:pt>
                <c:pt idx="41">
                  <c:v>65.193879569262819</c:v>
                </c:pt>
                <c:pt idx="42">
                  <c:v>109.18251022802556</c:v>
                </c:pt>
                <c:pt idx="43">
                  <c:v>133.20766215164494</c:v>
                </c:pt>
                <c:pt idx="44">
                  <c:v>75.951862514289232</c:v>
                </c:pt>
                <c:pt idx="45">
                  <c:v>80.193497678870727</c:v>
                </c:pt>
                <c:pt idx="46">
                  <c:v>30.973561513507317</c:v>
                </c:pt>
                <c:pt idx="47">
                  <c:v>45.630557606728551</c:v>
                </c:pt>
                <c:pt idx="48">
                  <c:v>129.73320003440764</c:v>
                </c:pt>
                <c:pt idx="49">
                  <c:v>73.944887938739654</c:v>
                </c:pt>
                <c:pt idx="50">
                  <c:v>93.032135064179386</c:v>
                </c:pt>
                <c:pt idx="51">
                  <c:v>101.23701916381442</c:v>
                </c:pt>
                <c:pt idx="52">
                  <c:v>135.52647419360801</c:v>
                </c:pt>
                <c:pt idx="53">
                  <c:v>140.04605345736024</c:v>
                </c:pt>
                <c:pt idx="54">
                  <c:v>88.770016055607485</c:v>
                </c:pt>
                <c:pt idx="55">
                  <c:v>125.73280082433284</c:v>
                </c:pt>
                <c:pt idx="56">
                  <c:v>166.84508124229211</c:v>
                </c:pt>
                <c:pt idx="57">
                  <c:v>111.0102229301697</c:v>
                </c:pt>
                <c:pt idx="58">
                  <c:v>150.60327696611898</c:v>
                </c:pt>
                <c:pt idx="59">
                  <c:v>169.20304365627629</c:v>
                </c:pt>
                <c:pt idx="60">
                  <c:v>51.7831942828699</c:v>
                </c:pt>
                <c:pt idx="61">
                  <c:v>156.12532879286718</c:v>
                </c:pt>
                <c:pt idx="62">
                  <c:v>19.935057243895599</c:v>
                </c:pt>
                <c:pt idx="63">
                  <c:v>65.832665226436546</c:v>
                </c:pt>
                <c:pt idx="64">
                  <c:v>92.943890460447506</c:v>
                </c:pt>
                <c:pt idx="65">
                  <c:v>138.08129994259312</c:v>
                </c:pt>
                <c:pt idx="66">
                  <c:v>127.31473626727134</c:v>
                </c:pt>
                <c:pt idx="67">
                  <c:v>137.14635816851978</c:v>
                </c:pt>
                <c:pt idx="68">
                  <c:v>98.583184154136106</c:v>
                </c:pt>
                <c:pt idx="69">
                  <c:v>67.47558336365914</c:v>
                </c:pt>
                <c:pt idx="70">
                  <c:v>63.150860402849261</c:v>
                </c:pt>
                <c:pt idx="71">
                  <c:v>55.771841059834799</c:v>
                </c:pt>
                <c:pt idx="72">
                  <c:v>54.732261063283687</c:v>
                </c:pt>
                <c:pt idx="73">
                  <c:v>58.394533593880006</c:v>
                </c:pt>
                <c:pt idx="74">
                  <c:v>38.811559048221959</c:v>
                </c:pt>
                <c:pt idx="75">
                  <c:v>49.850335051045676</c:v>
                </c:pt>
                <c:pt idx="76">
                  <c:v>52.63022446054481</c:v>
                </c:pt>
                <c:pt idx="77">
                  <c:v>119.60588077976382</c:v>
                </c:pt>
                <c:pt idx="78">
                  <c:v>127.74906057386252</c:v>
                </c:pt>
                <c:pt idx="79">
                  <c:v>184.10779476017049</c:v>
                </c:pt>
                <c:pt idx="80">
                  <c:v>163.92150496995973</c:v>
                </c:pt>
                <c:pt idx="81">
                  <c:v>196.21942083704582</c:v>
                </c:pt>
                <c:pt idx="82">
                  <c:v>194.58610796650933</c:v>
                </c:pt>
                <c:pt idx="83">
                  <c:v>165.78356774803933</c:v>
                </c:pt>
                <c:pt idx="84">
                  <c:v>182.78960074985383</c:v>
                </c:pt>
                <c:pt idx="85">
                  <c:v>184.77989388961862</c:v>
                </c:pt>
                <c:pt idx="86">
                  <c:v>145.69551008193818</c:v>
                </c:pt>
                <c:pt idx="87">
                  <c:v>114.56400605815513</c:v>
                </c:pt>
                <c:pt idx="88">
                  <c:v>30.096113110276733</c:v>
                </c:pt>
                <c:pt idx="89">
                  <c:v>87.078389659117946</c:v>
                </c:pt>
                <c:pt idx="90">
                  <c:v>147.81037949604305</c:v>
                </c:pt>
                <c:pt idx="91">
                  <c:v>72.306391428723074</c:v>
                </c:pt>
                <c:pt idx="92">
                  <c:v>116.07426518452309</c:v>
                </c:pt>
                <c:pt idx="93">
                  <c:v>177.09207543829459</c:v>
                </c:pt>
                <c:pt idx="94">
                  <c:v>216.98406242146174</c:v>
                </c:pt>
                <c:pt idx="95">
                  <c:v>53.872466539946792</c:v>
                </c:pt>
                <c:pt idx="96">
                  <c:v>165.56309104921942</c:v>
                </c:pt>
                <c:pt idx="97">
                  <c:v>131.77749181979692</c:v>
                </c:pt>
                <c:pt idx="98">
                  <c:v>142.2464700295873</c:v>
                </c:pt>
                <c:pt idx="99">
                  <c:v>222.07424017520202</c:v>
                </c:pt>
                <c:pt idx="100">
                  <c:v>178.60829626052231</c:v>
                </c:pt>
                <c:pt idx="101">
                  <c:v>149.54537661285451</c:v>
                </c:pt>
                <c:pt idx="102">
                  <c:v>24.8095877233214</c:v>
                </c:pt>
                <c:pt idx="103">
                  <c:v>178.10997392408794</c:v>
                </c:pt>
                <c:pt idx="104">
                  <c:v>188.04865163788534</c:v>
                </c:pt>
                <c:pt idx="105">
                  <c:v>189.1841897504622</c:v>
                </c:pt>
                <c:pt idx="106">
                  <c:v>226.94912555955844</c:v>
                </c:pt>
                <c:pt idx="107">
                  <c:v>167.49301687726924</c:v>
                </c:pt>
                <c:pt idx="108">
                  <c:v>37.83123213665705</c:v>
                </c:pt>
                <c:pt idx="109">
                  <c:v>42.905717321298603</c:v>
                </c:pt>
                <c:pt idx="110">
                  <c:v>38.234225579934112</c:v>
                </c:pt>
                <c:pt idx="111">
                  <c:v>116.34523821174325</c:v>
                </c:pt>
                <c:pt idx="112">
                  <c:v>42.386272108610683</c:v>
                </c:pt>
                <c:pt idx="113">
                  <c:v>114.48768711146494</c:v>
                </c:pt>
                <c:pt idx="114">
                  <c:v>193.54644520516678</c:v>
                </c:pt>
                <c:pt idx="115">
                  <c:v>227.4387297285607</c:v>
                </c:pt>
                <c:pt idx="116">
                  <c:v>162.02155570578512</c:v>
                </c:pt>
                <c:pt idx="117">
                  <c:v>94.364051868017782</c:v>
                </c:pt>
                <c:pt idx="118">
                  <c:v>174.38481031554349</c:v>
                </c:pt>
                <c:pt idx="119">
                  <c:v>163.28465523047754</c:v>
                </c:pt>
                <c:pt idx="120">
                  <c:v>194.36984801291246</c:v>
                </c:pt>
                <c:pt idx="121">
                  <c:v>115.33188864358419</c:v>
                </c:pt>
                <c:pt idx="122">
                  <c:v>131.32603165998978</c:v>
                </c:pt>
                <c:pt idx="123">
                  <c:v>77.081842855573356</c:v>
                </c:pt>
                <c:pt idx="124">
                  <c:v>162.39181295977309</c:v>
                </c:pt>
                <c:pt idx="125">
                  <c:v>151.07317758438813</c:v>
                </c:pt>
                <c:pt idx="126">
                  <c:v>191.59656367342853</c:v>
                </c:pt>
                <c:pt idx="127">
                  <c:v>209.32100282796046</c:v>
                </c:pt>
                <c:pt idx="128">
                  <c:v>225.70947908052739</c:v>
                </c:pt>
                <c:pt idx="129">
                  <c:v>216.0120612942595</c:v>
                </c:pt>
                <c:pt idx="130">
                  <c:v>232.66824184937781</c:v>
                </c:pt>
                <c:pt idx="131">
                  <c:v>174.75873618708815</c:v>
                </c:pt>
                <c:pt idx="132">
                  <c:v>166.06005824218946</c:v>
                </c:pt>
                <c:pt idx="133">
                  <c:v>204.88603229805648</c:v>
                </c:pt>
                <c:pt idx="134">
                  <c:v>215.57666704522012</c:v>
                </c:pt>
                <c:pt idx="135">
                  <c:v>208.47683357130859</c:v>
                </c:pt>
                <c:pt idx="136">
                  <c:v>227.27510728148002</c:v>
                </c:pt>
                <c:pt idx="137">
                  <c:v>218.28531643938476</c:v>
                </c:pt>
                <c:pt idx="138">
                  <c:v>222.82381495471108</c:v>
                </c:pt>
                <c:pt idx="139">
                  <c:v>199.85819853281268</c:v>
                </c:pt>
                <c:pt idx="140">
                  <c:v>207.0787109905832</c:v>
                </c:pt>
                <c:pt idx="141">
                  <c:v>154.2175712701752</c:v>
                </c:pt>
                <c:pt idx="142">
                  <c:v>72.902307059501226</c:v>
                </c:pt>
                <c:pt idx="143">
                  <c:v>68.087303334023062</c:v>
                </c:pt>
                <c:pt idx="144">
                  <c:v>168.95297772329829</c:v>
                </c:pt>
                <c:pt idx="145">
                  <c:v>108.65324181827016</c:v>
                </c:pt>
                <c:pt idx="146">
                  <c:v>182.93211002176108</c:v>
                </c:pt>
                <c:pt idx="147">
                  <c:v>225.06713753611643</c:v>
                </c:pt>
                <c:pt idx="148">
                  <c:v>245.17311253017388</c:v>
                </c:pt>
                <c:pt idx="149">
                  <c:v>206.66984093691863</c:v>
                </c:pt>
                <c:pt idx="150">
                  <c:v>226.49072305093497</c:v>
                </c:pt>
                <c:pt idx="151">
                  <c:v>236.45148990285878</c:v>
                </c:pt>
                <c:pt idx="152">
                  <c:v>166.31469279246963</c:v>
                </c:pt>
                <c:pt idx="153">
                  <c:v>228.4957161632382</c:v>
                </c:pt>
                <c:pt idx="154">
                  <c:v>99.554426414197437</c:v>
                </c:pt>
                <c:pt idx="155">
                  <c:v>128.98674777883014</c:v>
                </c:pt>
                <c:pt idx="156">
                  <c:v>189.53141753393803</c:v>
                </c:pt>
                <c:pt idx="157">
                  <c:v>118.10275116162944</c:v>
                </c:pt>
                <c:pt idx="158">
                  <c:v>89.981856190607118</c:v>
                </c:pt>
                <c:pt idx="159">
                  <c:v>190.89385588425776</c:v>
                </c:pt>
                <c:pt idx="160">
                  <c:v>241.32843317104934</c:v>
                </c:pt>
                <c:pt idx="161">
                  <c:v>229.21457766137095</c:v>
                </c:pt>
                <c:pt idx="162">
                  <c:v>180.96099384384698</c:v>
                </c:pt>
                <c:pt idx="163">
                  <c:v>222.56422951155187</c:v>
                </c:pt>
                <c:pt idx="164">
                  <c:v>200.9487583792403</c:v>
                </c:pt>
                <c:pt idx="165">
                  <c:v>225.57563370596981</c:v>
                </c:pt>
                <c:pt idx="166">
                  <c:v>212.95754057747948</c:v>
                </c:pt>
                <c:pt idx="167">
                  <c:v>219.60342216901407</c:v>
                </c:pt>
                <c:pt idx="168">
                  <c:v>226.40379475161191</c:v>
                </c:pt>
                <c:pt idx="169">
                  <c:v>230.70652368405894</c:v>
                </c:pt>
                <c:pt idx="170">
                  <c:v>124.24399672541905</c:v>
                </c:pt>
                <c:pt idx="171">
                  <c:v>88.616909235661538</c:v>
                </c:pt>
                <c:pt idx="172">
                  <c:v>175.16918496338309</c:v>
                </c:pt>
                <c:pt idx="173">
                  <c:v>171.39307207433467</c:v>
                </c:pt>
                <c:pt idx="174">
                  <c:v>171.25974294778075</c:v>
                </c:pt>
                <c:pt idx="175">
                  <c:v>146.08279529846831</c:v>
                </c:pt>
                <c:pt idx="176">
                  <c:v>48.582365731129038</c:v>
                </c:pt>
                <c:pt idx="177">
                  <c:v>56.75957506157841</c:v>
                </c:pt>
                <c:pt idx="178">
                  <c:v>248.17520254070087</c:v>
                </c:pt>
                <c:pt idx="179">
                  <c:v>235.62505957713839</c:v>
                </c:pt>
                <c:pt idx="180">
                  <c:v>55.018390175901473</c:v>
                </c:pt>
                <c:pt idx="181">
                  <c:v>210.98628217133873</c:v>
                </c:pt>
                <c:pt idx="182">
                  <c:v>233.17042276954183</c:v>
                </c:pt>
                <c:pt idx="183">
                  <c:v>193.12196778324437</c:v>
                </c:pt>
                <c:pt idx="184">
                  <c:v>188.39940636695974</c:v>
                </c:pt>
                <c:pt idx="185">
                  <c:v>226.63031407250242</c:v>
                </c:pt>
                <c:pt idx="186">
                  <c:v>179.90862647896071</c:v>
                </c:pt>
                <c:pt idx="187">
                  <c:v>223.58433599877674</c:v>
                </c:pt>
                <c:pt idx="188">
                  <c:v>237.11589765340963</c:v>
                </c:pt>
                <c:pt idx="189">
                  <c:v>234.6409859253223</c:v>
                </c:pt>
                <c:pt idx="190">
                  <c:v>232.75912674542289</c:v>
                </c:pt>
                <c:pt idx="191">
                  <c:v>226.45995245468677</c:v>
                </c:pt>
                <c:pt idx="192">
                  <c:v>223.80906033999588</c:v>
                </c:pt>
                <c:pt idx="193">
                  <c:v>223.94381515970386</c:v>
                </c:pt>
                <c:pt idx="194">
                  <c:v>221.52837163708796</c:v>
                </c:pt>
                <c:pt idx="195">
                  <c:v>212.50076580205473</c:v>
                </c:pt>
                <c:pt idx="196">
                  <c:v>218.10542231053108</c:v>
                </c:pt>
                <c:pt idx="197">
                  <c:v>217.39402637834235</c:v>
                </c:pt>
                <c:pt idx="198">
                  <c:v>220.97136606415168</c:v>
                </c:pt>
                <c:pt idx="199">
                  <c:v>156.3983454445839</c:v>
                </c:pt>
                <c:pt idx="200">
                  <c:v>160.36489982619287</c:v>
                </c:pt>
                <c:pt idx="201">
                  <c:v>214.23290952291933</c:v>
                </c:pt>
                <c:pt idx="202">
                  <c:v>162.52017038603779</c:v>
                </c:pt>
                <c:pt idx="203">
                  <c:v>187.04187374681948</c:v>
                </c:pt>
                <c:pt idx="204">
                  <c:v>217.07099603148535</c:v>
                </c:pt>
                <c:pt idx="205">
                  <c:v>116.8671000453903</c:v>
                </c:pt>
                <c:pt idx="206">
                  <c:v>208.53201676837654</c:v>
                </c:pt>
                <c:pt idx="207">
                  <c:v>228.85161943847331</c:v>
                </c:pt>
                <c:pt idx="208">
                  <c:v>184.86224049593108</c:v>
                </c:pt>
                <c:pt idx="209">
                  <c:v>112.29325827465007</c:v>
                </c:pt>
                <c:pt idx="210">
                  <c:v>194.37309181292366</c:v>
                </c:pt>
                <c:pt idx="211">
                  <c:v>222.44109449103453</c:v>
                </c:pt>
                <c:pt idx="212">
                  <c:v>221.36641027990891</c:v>
                </c:pt>
                <c:pt idx="213">
                  <c:v>221.42838341472117</c:v>
                </c:pt>
                <c:pt idx="214">
                  <c:v>210.24564548898266</c:v>
                </c:pt>
                <c:pt idx="215">
                  <c:v>199.52782218332862</c:v>
                </c:pt>
                <c:pt idx="216">
                  <c:v>185.64972825323824</c:v>
                </c:pt>
                <c:pt idx="217">
                  <c:v>199.1322054921101</c:v>
                </c:pt>
                <c:pt idx="218">
                  <c:v>212.80962034870237</c:v>
                </c:pt>
                <c:pt idx="219">
                  <c:v>216.54677762546453</c:v>
                </c:pt>
                <c:pt idx="220">
                  <c:v>206.38251081492308</c:v>
                </c:pt>
                <c:pt idx="221">
                  <c:v>200.62931322112431</c:v>
                </c:pt>
                <c:pt idx="222">
                  <c:v>186.20357981956877</c:v>
                </c:pt>
                <c:pt idx="223">
                  <c:v>195.08229253180204</c:v>
                </c:pt>
                <c:pt idx="224">
                  <c:v>135.60859483190694</c:v>
                </c:pt>
                <c:pt idx="225">
                  <c:v>148.74694771897043</c:v>
                </c:pt>
                <c:pt idx="226">
                  <c:v>153.12093042551305</c:v>
                </c:pt>
                <c:pt idx="227">
                  <c:v>137.75196978265276</c:v>
                </c:pt>
                <c:pt idx="228">
                  <c:v>106.09295161604346</c:v>
                </c:pt>
                <c:pt idx="229">
                  <c:v>130.27376464213745</c:v>
                </c:pt>
                <c:pt idx="230">
                  <c:v>140.56140953323711</c:v>
                </c:pt>
                <c:pt idx="231">
                  <c:v>205.32626767723531</c:v>
                </c:pt>
                <c:pt idx="232">
                  <c:v>130.99571562060004</c:v>
                </c:pt>
                <c:pt idx="233">
                  <c:v>103.30832219394844</c:v>
                </c:pt>
                <c:pt idx="234">
                  <c:v>179.30256416870128</c:v>
                </c:pt>
                <c:pt idx="235">
                  <c:v>190.9812735327138</c:v>
                </c:pt>
                <c:pt idx="236">
                  <c:v>133.778220304043</c:v>
                </c:pt>
                <c:pt idx="237">
                  <c:v>180.63550604001668</c:v>
                </c:pt>
                <c:pt idx="238">
                  <c:v>197.60163450452774</c:v>
                </c:pt>
                <c:pt idx="239">
                  <c:v>194.60429983782672</c:v>
                </c:pt>
                <c:pt idx="240">
                  <c:v>131.00274369776466</c:v>
                </c:pt>
                <c:pt idx="241">
                  <c:v>194.52800364864524</c:v>
                </c:pt>
                <c:pt idx="242">
                  <c:v>86.54000946759578</c:v>
                </c:pt>
                <c:pt idx="243">
                  <c:v>172.12285159328056</c:v>
                </c:pt>
                <c:pt idx="244">
                  <c:v>169.66074752061087</c:v>
                </c:pt>
                <c:pt idx="245">
                  <c:v>132.52908508463369</c:v>
                </c:pt>
                <c:pt idx="246">
                  <c:v>186.68897621002449</c:v>
                </c:pt>
                <c:pt idx="247">
                  <c:v>164.88305814706689</c:v>
                </c:pt>
                <c:pt idx="248">
                  <c:v>184.9100461852853</c:v>
                </c:pt>
                <c:pt idx="249">
                  <c:v>140.54314257145006</c:v>
                </c:pt>
                <c:pt idx="250">
                  <c:v>163.37912719002827</c:v>
                </c:pt>
                <c:pt idx="251">
                  <c:v>87.383375130593876</c:v>
                </c:pt>
                <c:pt idx="252">
                  <c:v>181.78412728491364</c:v>
                </c:pt>
                <c:pt idx="253">
                  <c:v>185.30439581315142</c:v>
                </c:pt>
                <c:pt idx="254">
                  <c:v>128.30416865043875</c:v>
                </c:pt>
                <c:pt idx="255">
                  <c:v>46.190398156223452</c:v>
                </c:pt>
                <c:pt idx="256">
                  <c:v>147.30696719318209</c:v>
                </c:pt>
                <c:pt idx="257">
                  <c:v>164.83805245236366</c:v>
                </c:pt>
                <c:pt idx="258">
                  <c:v>105.23442899760597</c:v>
                </c:pt>
                <c:pt idx="259">
                  <c:v>191.23905056265775</c:v>
                </c:pt>
                <c:pt idx="260">
                  <c:v>184.68723259744581</c:v>
                </c:pt>
                <c:pt idx="261">
                  <c:v>182.23955240254648</c:v>
                </c:pt>
                <c:pt idx="262">
                  <c:v>186.38768410281062</c:v>
                </c:pt>
                <c:pt idx="263">
                  <c:v>181.34580608932001</c:v>
                </c:pt>
                <c:pt idx="264">
                  <c:v>176.15213225357491</c:v>
                </c:pt>
                <c:pt idx="265">
                  <c:v>112.9544900570438</c:v>
                </c:pt>
                <c:pt idx="266">
                  <c:v>75.990279244801783</c:v>
                </c:pt>
                <c:pt idx="267">
                  <c:v>131.98758988532427</c:v>
                </c:pt>
                <c:pt idx="268">
                  <c:v>133.59564279634273</c:v>
                </c:pt>
                <c:pt idx="269">
                  <c:v>61.354327924406903</c:v>
                </c:pt>
                <c:pt idx="270">
                  <c:v>61.541442816467317</c:v>
                </c:pt>
                <c:pt idx="271">
                  <c:v>91.585133017808772</c:v>
                </c:pt>
                <c:pt idx="272">
                  <c:v>131.32770241242997</c:v>
                </c:pt>
                <c:pt idx="273">
                  <c:v>148.86515634709212</c:v>
                </c:pt>
                <c:pt idx="274">
                  <c:v>154.11535899399411</c:v>
                </c:pt>
                <c:pt idx="275">
                  <c:v>144.75965764542266</c:v>
                </c:pt>
                <c:pt idx="276">
                  <c:v>165.64862465181005</c:v>
                </c:pt>
                <c:pt idx="277">
                  <c:v>168.35443179682002</c:v>
                </c:pt>
                <c:pt idx="278">
                  <c:v>56.529561534536697</c:v>
                </c:pt>
                <c:pt idx="279">
                  <c:v>116.16518432885751</c:v>
                </c:pt>
                <c:pt idx="280">
                  <c:v>64.906057270454852</c:v>
                </c:pt>
                <c:pt idx="281">
                  <c:v>153.05527677401901</c:v>
                </c:pt>
                <c:pt idx="282">
                  <c:v>122.45744069703545</c:v>
                </c:pt>
                <c:pt idx="283">
                  <c:v>94.277486597356443</c:v>
                </c:pt>
                <c:pt idx="284">
                  <c:v>118.41983186202387</c:v>
                </c:pt>
                <c:pt idx="285">
                  <c:v>91.559851293835663</c:v>
                </c:pt>
                <c:pt idx="286">
                  <c:v>81.602058027625162</c:v>
                </c:pt>
                <c:pt idx="287">
                  <c:v>149.0707118718683</c:v>
                </c:pt>
                <c:pt idx="288">
                  <c:v>133.65660292281072</c:v>
                </c:pt>
                <c:pt idx="289">
                  <c:v>85.656321245422291</c:v>
                </c:pt>
                <c:pt idx="290">
                  <c:v>136.75304029755603</c:v>
                </c:pt>
                <c:pt idx="291">
                  <c:v>60.363812890293786</c:v>
                </c:pt>
                <c:pt idx="292">
                  <c:v>38.415931001480594</c:v>
                </c:pt>
                <c:pt idx="293">
                  <c:v>62.599652512226086</c:v>
                </c:pt>
                <c:pt idx="294">
                  <c:v>131.20841955853649</c:v>
                </c:pt>
                <c:pt idx="295">
                  <c:v>79.690984939331912</c:v>
                </c:pt>
                <c:pt idx="296">
                  <c:v>102.50970307613676</c:v>
                </c:pt>
                <c:pt idx="297">
                  <c:v>88.652291484174128</c:v>
                </c:pt>
                <c:pt idx="298">
                  <c:v>58.548331784676002</c:v>
                </c:pt>
                <c:pt idx="299">
                  <c:v>52.548276610758897</c:v>
                </c:pt>
                <c:pt idx="300">
                  <c:v>69.345837570598704</c:v>
                </c:pt>
                <c:pt idx="301">
                  <c:v>100.67462940896986</c:v>
                </c:pt>
                <c:pt idx="302">
                  <c:v>84.169874866310764</c:v>
                </c:pt>
                <c:pt idx="303">
                  <c:v>85.218088147233686</c:v>
                </c:pt>
                <c:pt idx="304">
                  <c:v>84.574823136776473</c:v>
                </c:pt>
                <c:pt idx="305">
                  <c:v>112.33814246759972</c:v>
                </c:pt>
                <c:pt idx="306">
                  <c:v>42.898560081991363</c:v>
                </c:pt>
                <c:pt idx="307">
                  <c:v>50.842900024121207</c:v>
                </c:pt>
                <c:pt idx="308">
                  <c:v>119.56737028896697</c:v>
                </c:pt>
                <c:pt idx="309">
                  <c:v>119.98909041165227</c:v>
                </c:pt>
                <c:pt idx="310">
                  <c:v>115.85442886379576</c:v>
                </c:pt>
                <c:pt idx="311">
                  <c:v>77.551944410116135</c:v>
                </c:pt>
                <c:pt idx="312">
                  <c:v>43.756059548411734</c:v>
                </c:pt>
                <c:pt idx="313">
                  <c:v>90.860280738550316</c:v>
                </c:pt>
                <c:pt idx="314">
                  <c:v>110.56069057230359</c:v>
                </c:pt>
                <c:pt idx="315">
                  <c:v>109.02965840000272</c:v>
                </c:pt>
                <c:pt idx="316">
                  <c:v>107.68377935414459</c:v>
                </c:pt>
                <c:pt idx="317">
                  <c:v>41.092303687927668</c:v>
                </c:pt>
                <c:pt idx="318">
                  <c:v>51.696327276721199</c:v>
                </c:pt>
                <c:pt idx="319">
                  <c:v>107.77543554263198</c:v>
                </c:pt>
                <c:pt idx="320">
                  <c:v>64.006547690736866</c:v>
                </c:pt>
                <c:pt idx="321">
                  <c:v>50.797367954318858</c:v>
                </c:pt>
                <c:pt idx="322">
                  <c:v>24.155680548161463</c:v>
                </c:pt>
                <c:pt idx="323">
                  <c:v>70.637241001210185</c:v>
                </c:pt>
                <c:pt idx="324">
                  <c:v>13.993509323658689</c:v>
                </c:pt>
                <c:pt idx="325">
                  <c:v>33.974913989979513</c:v>
                </c:pt>
                <c:pt idx="326">
                  <c:v>56.033390848466034</c:v>
                </c:pt>
                <c:pt idx="327">
                  <c:v>55.139445878728374</c:v>
                </c:pt>
                <c:pt idx="328">
                  <c:v>17.855685547869427</c:v>
                </c:pt>
                <c:pt idx="329">
                  <c:v>53.750116959285521</c:v>
                </c:pt>
                <c:pt idx="330">
                  <c:v>58.544675382150537</c:v>
                </c:pt>
                <c:pt idx="331">
                  <c:v>38.057357094046466</c:v>
                </c:pt>
                <c:pt idx="332">
                  <c:v>54.221421850866022</c:v>
                </c:pt>
                <c:pt idx="333">
                  <c:v>21.507746786972497</c:v>
                </c:pt>
                <c:pt idx="334">
                  <c:v>16.15423148617144</c:v>
                </c:pt>
                <c:pt idx="335">
                  <c:v>26.049384558259149</c:v>
                </c:pt>
                <c:pt idx="336">
                  <c:v>35.717965151772148</c:v>
                </c:pt>
                <c:pt idx="337">
                  <c:v>76.635932621462786</c:v>
                </c:pt>
                <c:pt idx="338">
                  <c:v>96.176739272145539</c:v>
                </c:pt>
                <c:pt idx="339">
                  <c:v>49.981792628456347</c:v>
                </c:pt>
                <c:pt idx="340">
                  <c:v>77.315452726456272</c:v>
                </c:pt>
                <c:pt idx="341">
                  <c:v>14.630679673639664</c:v>
                </c:pt>
                <c:pt idx="342">
                  <c:v>28.124126398028672</c:v>
                </c:pt>
                <c:pt idx="343">
                  <c:v>67.790255048927619</c:v>
                </c:pt>
                <c:pt idx="344">
                  <c:v>63.815556441358687</c:v>
                </c:pt>
                <c:pt idx="345">
                  <c:v>22.255478769707217</c:v>
                </c:pt>
                <c:pt idx="346">
                  <c:v>23.180684654135124</c:v>
                </c:pt>
                <c:pt idx="347">
                  <c:v>68.031354136782497</c:v>
                </c:pt>
                <c:pt idx="348">
                  <c:v>33.861685231696406</c:v>
                </c:pt>
                <c:pt idx="349">
                  <c:v>20.638352364298211</c:v>
                </c:pt>
                <c:pt idx="350">
                  <c:v>12.805069543641981</c:v>
                </c:pt>
                <c:pt idx="351">
                  <c:v>69.74837433823329</c:v>
                </c:pt>
                <c:pt idx="352">
                  <c:v>67.04294252339345</c:v>
                </c:pt>
                <c:pt idx="353">
                  <c:v>17.527585005436986</c:v>
                </c:pt>
                <c:pt idx="354">
                  <c:v>82.821449066521524</c:v>
                </c:pt>
                <c:pt idx="355">
                  <c:v>68.989891719581934</c:v>
                </c:pt>
                <c:pt idx="356">
                  <c:v>70.765121340543985</c:v>
                </c:pt>
                <c:pt idx="357">
                  <c:v>85.907279126493762</c:v>
                </c:pt>
                <c:pt idx="358">
                  <c:v>48.400409615220084</c:v>
                </c:pt>
                <c:pt idx="359">
                  <c:v>82.699028802313279</c:v>
                </c:pt>
                <c:pt idx="360">
                  <c:v>25.632675048471054</c:v>
                </c:pt>
                <c:pt idx="361">
                  <c:v>67.269947921181654</c:v>
                </c:pt>
                <c:pt idx="362">
                  <c:v>41.602128089377587</c:v>
                </c:pt>
                <c:pt idx="363">
                  <c:v>59.577121928307598</c:v>
                </c:pt>
                <c:pt idx="364">
                  <c:v>47.68811846076369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595456"/>
        <c:axId val="665595848"/>
      </c:lineChart>
      <c:dateAx>
        <c:axId val="665595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595848"/>
        <c:crosses val="autoZero"/>
        <c:auto val="1"/>
        <c:lblOffset val="100"/>
        <c:baseTimeUnit val="days"/>
        <c:majorUnit val="1"/>
        <c:majorTimeUnit val="months"/>
      </c:dateAx>
      <c:valAx>
        <c:axId val="665595848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5954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651599105667346"/>
          <c:h val="0.1339475065616797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'2024'!Ppv</c:f>
              <c:numCache>
                <c:formatCode>0.00%</c:formatCode>
                <c:ptCount val="366"/>
                <c:pt idx="0">
                  <c:v>1.1811956995148032E-2</c:v>
                </c:pt>
                <c:pt idx="1">
                  <c:v>1.1825484459614177E-2</c:v>
                </c:pt>
                <c:pt idx="2">
                  <c:v>1.1839011738900784E-2</c:v>
                </c:pt>
                <c:pt idx="3">
                  <c:v>1.1852538833010295E-2</c:v>
                </c:pt>
                <c:pt idx="4">
                  <c:v>1.1866065741945264E-2</c:v>
                </c:pt>
                <c:pt idx="5">
                  <c:v>1.1879592465708133E-2</c:v>
                </c:pt>
                <c:pt idx="6">
                  <c:v>1.1893119004301567E-2</c:v>
                </c:pt>
                <c:pt idx="7">
                  <c:v>1.1906645357728007E-2</c:v>
                </c:pt>
                <c:pt idx="8">
                  <c:v>1.192017152599012E-2</c:v>
                </c:pt>
                <c:pt idx="9">
                  <c:v>1.1933697509090235E-2</c:v>
                </c:pt>
                <c:pt idx="10">
                  <c:v>1.194722330703113E-2</c:v>
                </c:pt>
                <c:pt idx="11">
                  <c:v>1.1960748919815023E-2</c:v>
                </c:pt>
                <c:pt idx="12">
                  <c:v>1.1974274347444802E-2</c:v>
                </c:pt>
                <c:pt idx="13">
                  <c:v>1.1987799589922798E-2</c:v>
                </c:pt>
                <c:pt idx="14">
                  <c:v>1.2001324647251566E-2</c:v>
                </c:pt>
                <c:pt idx="15">
                  <c:v>1.2014849519433657E-2</c:v>
                </c:pt>
                <c:pt idx="16">
                  <c:v>1.2028374206471515E-2</c:v>
                </c:pt>
                <c:pt idx="17">
                  <c:v>1.2041898708367915E-2</c:v>
                </c:pt>
                <c:pt idx="18">
                  <c:v>1.2055423025125189E-2</c:v>
                </c:pt>
                <c:pt idx="19">
                  <c:v>1.2068947156745891E-2</c:v>
                </c:pt>
                <c:pt idx="20">
                  <c:v>1.2082471103232573E-2</c:v>
                </c:pt>
                <c:pt idx="21">
                  <c:v>1.2095994864587789E-2</c:v>
                </c:pt>
                <c:pt idx="22">
                  <c:v>1.2109518440814093E-2</c:v>
                </c:pt>
                <c:pt idx="23">
                  <c:v>1.2123041831914039E-2</c:v>
                </c:pt>
                <c:pt idx="24">
                  <c:v>1.2136565037890068E-2</c:v>
                </c:pt>
                <c:pt idx="25">
                  <c:v>1.2150088058744735E-2</c:v>
                </c:pt>
                <c:pt idx="26">
                  <c:v>1.2163610894480703E-2</c:v>
                </c:pt>
                <c:pt idx="27">
                  <c:v>1.2177133545100305E-2</c:v>
                </c:pt>
                <c:pt idx="28">
                  <c:v>1.2190656010606205E-2</c:v>
                </c:pt>
                <c:pt idx="29">
                  <c:v>1.2204178291000956E-2</c:v>
                </c:pt>
                <c:pt idx="30">
                  <c:v>1.2217700386287E-2</c:v>
                </c:pt>
                <c:pt idx="31">
                  <c:v>1.2231222296466893E-2</c:v>
                </c:pt>
                <c:pt idx="32">
                  <c:v>1.2244744021543297E-2</c:v>
                </c:pt>
                <c:pt idx="33">
                  <c:v>1.2258265561518544E-2</c:v>
                </c:pt>
                <c:pt idx="34">
                  <c:v>1.22717869163953E-2</c:v>
                </c:pt>
                <c:pt idx="35">
                  <c:v>1.2285308086176006E-2</c:v>
                </c:pt>
                <c:pt idx="36">
                  <c:v>1.2298829070863326E-2</c:v>
                </c:pt>
                <c:pt idx="37">
                  <c:v>1.2312349870459594E-2</c:v>
                </c:pt>
                <c:pt idx="38">
                  <c:v>1.2325870484967583E-2</c:v>
                </c:pt>
                <c:pt idx="39">
                  <c:v>1.2339390914389736E-2</c:v>
                </c:pt>
                <c:pt idx="40">
                  <c:v>1.2352911158728497E-2</c:v>
                </c:pt>
                <c:pt idx="41">
                  <c:v>1.2366431217986529E-2</c:v>
                </c:pt>
                <c:pt idx="42">
                  <c:v>1.2379951092166164E-2</c:v>
                </c:pt>
                <c:pt idx="43">
                  <c:v>1.2393470781270177E-2</c:v>
                </c:pt>
                <c:pt idx="44">
                  <c:v>1.2406990285301012E-2</c:v>
                </c:pt>
                <c:pt idx="45">
                  <c:v>1.2420509604261221E-2</c:v>
                </c:pt>
                <c:pt idx="46">
                  <c:v>1.2434028738153247E-2</c:v>
                </c:pt>
                <c:pt idx="47">
                  <c:v>1.2447547686979643E-2</c:v>
                </c:pt>
                <c:pt idx="48">
                  <c:v>1.2461066450743075E-2</c:v>
                </c:pt>
                <c:pt idx="49">
                  <c:v>1.2474585029445984E-2</c:v>
                </c:pt>
                <c:pt idx="50">
                  <c:v>1.2488103423090813E-2</c:v>
                </c:pt>
                <c:pt idx="51">
                  <c:v>1.2501621631680226E-2</c:v>
                </c:pt>
                <c:pt idx="52">
                  <c:v>1.2515139655216778E-2</c:v>
                </c:pt>
                <c:pt idx="53">
                  <c:v>1.2528657493702799E-2</c:v>
                </c:pt>
                <c:pt idx="54">
                  <c:v>1.2542175147141066E-2</c:v>
                </c:pt>
                <c:pt idx="55">
                  <c:v>1.255569261553402E-2</c:v>
                </c:pt>
                <c:pt idx="56">
                  <c:v>1.2569209898884215E-2</c:v>
                </c:pt>
                <c:pt idx="57">
                  <c:v>1.2582726997194094E-2</c:v>
                </c:pt>
                <c:pt idx="58">
                  <c:v>1.2596243910466209E-2</c:v>
                </c:pt>
                <c:pt idx="59">
                  <c:v>1.2609760638703116E-2</c:v>
                </c:pt>
                <c:pt idx="60">
                  <c:v>1.2623277181907477E-2</c:v>
                </c:pt>
                <c:pt idx="61">
                  <c:v>1.2636793540081626E-2</c:v>
                </c:pt>
                <c:pt idx="62">
                  <c:v>1.2650309713228225E-2</c:v>
                </c:pt>
                <c:pt idx="63">
                  <c:v>1.2663825701349718E-2</c:v>
                </c:pt>
                <c:pt idx="64">
                  <c:v>1.2677341504448769E-2</c:v>
                </c:pt>
                <c:pt idx="65">
                  <c:v>1.269085712252771E-2</c:v>
                </c:pt>
                <c:pt idx="66">
                  <c:v>1.2704372555589316E-2</c:v>
                </c:pt>
                <c:pt idx="67">
                  <c:v>1.2717887803635919E-2</c:v>
                </c:pt>
                <c:pt idx="68">
                  <c:v>1.2731402866670072E-2</c:v>
                </c:pt>
                <c:pt idx="69">
                  <c:v>1.2744917744694439E-2</c:v>
                </c:pt>
                <c:pt idx="70">
                  <c:v>1.2758432437711464E-2</c:v>
                </c:pt>
                <c:pt idx="71">
                  <c:v>1.27719469457237E-2</c:v>
                </c:pt>
                <c:pt idx="72">
                  <c:v>1.27854612687337E-2</c:v>
                </c:pt>
                <c:pt idx="73">
                  <c:v>1.2798975406743907E-2</c:v>
                </c:pt>
                <c:pt idx="74">
                  <c:v>1.2812489359756873E-2</c:v>
                </c:pt>
                <c:pt idx="75">
                  <c:v>1.2826003127775265E-2</c:v>
                </c:pt>
                <c:pt idx="76">
                  <c:v>1.2839516710801524E-2</c:v>
                </c:pt>
                <c:pt idx="77">
                  <c:v>1.2853030108838093E-2</c:v>
                </c:pt>
                <c:pt idx="78">
                  <c:v>1.2866543321887636E-2</c:v>
                </c:pt>
                <c:pt idx="79">
                  <c:v>1.2880056349952596E-2</c:v>
                </c:pt>
                <c:pt idx="80">
                  <c:v>1.2893569193035637E-2</c:v>
                </c:pt>
                <c:pt idx="81">
                  <c:v>1.2907081851139202E-2</c:v>
                </c:pt>
                <c:pt idx="82">
                  <c:v>1.2920594324265733E-2</c:v>
                </c:pt>
                <c:pt idx="83">
                  <c:v>1.2934106612417895E-2</c:v>
                </c:pt>
                <c:pt idx="84">
                  <c:v>1.2947618715598241E-2</c:v>
                </c:pt>
                <c:pt idx="85">
                  <c:v>1.2961130633809215E-2</c:v>
                </c:pt>
                <c:pt idx="86">
                  <c:v>1.2974642367053257E-2</c:v>
                </c:pt>
                <c:pt idx="87">
                  <c:v>1.2988153915333145E-2</c:v>
                </c:pt>
                <c:pt idx="88">
                  <c:v>1.300166527865132E-2</c:v>
                </c:pt>
                <c:pt idx="89">
                  <c:v>1.3015176457010114E-2</c:v>
                </c:pt>
                <c:pt idx="90">
                  <c:v>1.3028687450412302E-2</c:v>
                </c:pt>
                <c:pt idx="91">
                  <c:v>1.3042198258860438E-2</c:v>
                </c:pt>
                <c:pt idx="92">
                  <c:v>1.3055708882356853E-2</c:v>
                </c:pt>
                <c:pt idx="93">
                  <c:v>1.3069219320904213E-2</c:v>
                </c:pt>
                <c:pt idx="94">
                  <c:v>1.3082729574504959E-2</c:v>
                </c:pt>
                <c:pt idx="95">
                  <c:v>1.3096239643161645E-2</c:v>
                </c:pt>
                <c:pt idx="96">
                  <c:v>1.3109749526876935E-2</c:v>
                </c:pt>
                <c:pt idx="97">
                  <c:v>1.3123259225653272E-2</c:v>
                </c:pt>
                <c:pt idx="98">
                  <c:v>1.3136768739493099E-2</c:v>
                </c:pt>
                <c:pt idx="99">
                  <c:v>1.3150278068399079E-2</c:v>
                </c:pt>
                <c:pt idx="100">
                  <c:v>1.3163787212373657E-2</c:v>
                </c:pt>
                <c:pt idx="101">
                  <c:v>1.3177296171419384E-2</c:v>
                </c:pt>
                <c:pt idx="102">
                  <c:v>1.3190804945538925E-2</c:v>
                </c:pt>
                <c:pt idx="103">
                  <c:v>1.3204313534734613E-2</c:v>
                </c:pt>
                <c:pt idx="104">
                  <c:v>1.3217821939009E-2</c:v>
                </c:pt>
                <c:pt idx="105">
                  <c:v>1.3231330158364751E-2</c:v>
                </c:pt>
                <c:pt idx="106">
                  <c:v>1.3244838192804309E-2</c:v>
                </c:pt>
                <c:pt idx="107">
                  <c:v>1.3258346042330227E-2</c:v>
                </c:pt>
                <c:pt idx="108">
                  <c:v>1.3271853706944947E-2</c:v>
                </c:pt>
                <c:pt idx="109">
                  <c:v>1.3285361186651135E-2</c:v>
                </c:pt>
                <c:pt idx="110">
                  <c:v>1.3298868481451342E-2</c:v>
                </c:pt>
                <c:pt idx="111">
                  <c:v>1.3312375591347902E-2</c:v>
                </c:pt>
                <c:pt idx="112">
                  <c:v>1.332588251634359E-2</c:v>
                </c:pt>
                <c:pt idx="113">
                  <c:v>1.3339389256440737E-2</c:v>
                </c:pt>
                <c:pt idx="114">
                  <c:v>1.3352895811642007E-2</c:v>
                </c:pt>
                <c:pt idx="115">
                  <c:v>1.3366402181949844E-2</c:v>
                </c:pt>
                <c:pt idx="116">
                  <c:v>1.33799083673668E-2</c:v>
                </c:pt>
                <c:pt idx="117">
                  <c:v>1.3393414367895429E-2</c:v>
                </c:pt>
                <c:pt idx="118">
                  <c:v>1.3406920183538285E-2</c:v>
                </c:pt>
                <c:pt idx="119">
                  <c:v>1.3420425814297809E-2</c:v>
                </c:pt>
                <c:pt idx="120">
                  <c:v>1.3433931260176668E-2</c:v>
                </c:pt>
                <c:pt idx="121">
                  <c:v>1.3447436521177192E-2</c:v>
                </c:pt>
                <c:pt idx="122">
                  <c:v>1.3460941597302156E-2</c:v>
                </c:pt>
                <c:pt idx="123">
                  <c:v>1.3474446488553893E-2</c:v>
                </c:pt>
                <c:pt idx="124">
                  <c:v>1.3487951194935066E-2</c:v>
                </c:pt>
                <c:pt idx="125">
                  <c:v>1.3501455716448119E-2</c:v>
                </c:pt>
                <c:pt idx="126">
                  <c:v>1.3514960053095604E-2</c:v>
                </c:pt>
                <c:pt idx="127">
                  <c:v>1.3528464204880075E-2</c:v>
                </c:pt>
                <c:pt idx="128">
                  <c:v>1.3541968171804086E-2</c:v>
                </c:pt>
                <c:pt idx="129">
                  <c:v>1.355547195387008E-2</c:v>
                </c:pt>
                <c:pt idx="130">
                  <c:v>1.3568975551080609E-2</c:v>
                </c:pt>
                <c:pt idx="131">
                  <c:v>1.3582478963438338E-2</c:v>
                </c:pt>
                <c:pt idx="132">
                  <c:v>1.3595982190945599E-2</c:v>
                </c:pt>
                <c:pt idx="133">
                  <c:v>1.3609485233605056E-2</c:v>
                </c:pt>
                <c:pt idx="134">
                  <c:v>1.3622988091419153E-2</c:v>
                </c:pt>
                <c:pt idx="135">
                  <c:v>1.3636490764390552E-2</c:v>
                </c:pt>
                <c:pt idx="136">
                  <c:v>1.3649993252521586E-2</c:v>
                </c:pt>
                <c:pt idx="137">
                  <c:v>1.366349555581492E-2</c:v>
                </c:pt>
                <c:pt idx="138">
                  <c:v>1.3676997674273106E-2</c:v>
                </c:pt>
                <c:pt idx="139">
                  <c:v>1.3690499607898698E-2</c:v>
                </c:pt>
                <c:pt idx="140">
                  <c:v>1.3704001356694029E-2</c:v>
                </c:pt>
                <c:pt idx="141">
                  <c:v>1.3717502920661762E-2</c:v>
                </c:pt>
                <c:pt idx="142">
                  <c:v>1.373100429980445E-2</c:v>
                </c:pt>
                <c:pt idx="143">
                  <c:v>1.3744505494124648E-2</c:v>
                </c:pt>
                <c:pt idx="144">
                  <c:v>1.3758006503624798E-2</c:v>
                </c:pt>
                <c:pt idx="145">
                  <c:v>1.3771507328307453E-2</c:v>
                </c:pt>
                <c:pt idx="146">
                  <c:v>1.3785007968175167E-2</c:v>
                </c:pt>
                <c:pt idx="147">
                  <c:v>1.3798508423230493E-2</c:v>
                </c:pt>
                <c:pt idx="148">
                  <c:v>1.3812008693475875E-2</c:v>
                </c:pt>
                <c:pt idx="149">
                  <c:v>1.3825508778913864E-2</c:v>
                </c:pt>
                <c:pt idx="150">
                  <c:v>1.3839008679547127E-2</c:v>
                </c:pt>
                <c:pt idx="151">
                  <c:v>1.3852508395377994E-2</c:v>
                </c:pt>
                <c:pt idx="152">
                  <c:v>1.386600792640913E-2</c:v>
                </c:pt>
                <c:pt idx="153">
                  <c:v>1.3879507272642977E-2</c:v>
                </c:pt>
                <c:pt idx="154">
                  <c:v>1.38930064340822E-2</c:v>
                </c:pt>
                <c:pt idx="155">
                  <c:v>1.3906505410729131E-2</c:v>
                </c:pt>
                <c:pt idx="156">
                  <c:v>1.3920004202586544E-2</c:v>
                </c:pt>
                <c:pt idx="157">
                  <c:v>1.3933502809656662E-2</c:v>
                </c:pt>
                <c:pt idx="158">
                  <c:v>1.3947001231942258E-2</c:v>
                </c:pt>
                <c:pt idx="159">
                  <c:v>1.3960499469445886E-2</c:v>
                </c:pt>
                <c:pt idx="160">
                  <c:v>1.3973997522169879E-2</c:v>
                </c:pt>
                <c:pt idx="161">
                  <c:v>1.39874953901169E-2</c:v>
                </c:pt>
                <c:pt idx="162">
                  <c:v>1.4000993073289392E-2</c:v>
                </c:pt>
                <c:pt idx="163">
                  <c:v>1.4014490571689908E-2</c:v>
                </c:pt>
                <c:pt idx="164">
                  <c:v>1.4027987885321114E-2</c:v>
                </c:pt>
                <c:pt idx="165">
                  <c:v>1.404148501418534E-2</c:v>
                </c:pt>
                <c:pt idx="166">
                  <c:v>1.4054981958285251E-2</c:v>
                </c:pt>
                <c:pt idx="167">
                  <c:v>1.4068478717623401E-2</c:v>
                </c:pt>
                <c:pt idx="168">
                  <c:v>1.408197529220212E-2</c:v>
                </c:pt>
                <c:pt idx="169">
                  <c:v>1.4095471682024185E-2</c:v>
                </c:pt>
                <c:pt idx="170">
                  <c:v>1.4108967887091928E-2</c:v>
                </c:pt>
                <c:pt idx="171">
                  <c:v>1.4122463907408012E-2</c:v>
                </c:pt>
                <c:pt idx="172">
                  <c:v>1.413595974297488E-2</c:v>
                </c:pt>
                <c:pt idx="173">
                  <c:v>1.4149455393795085E-2</c:v>
                </c:pt>
                <c:pt idx="174">
                  <c:v>1.4162950859871071E-2</c:v>
                </c:pt>
                <c:pt idx="175">
                  <c:v>1.4176446141205612E-2</c:v>
                </c:pt>
                <c:pt idx="176">
                  <c:v>1.418994123780104E-2</c:v>
                </c:pt>
                <c:pt idx="177">
                  <c:v>1.4203436149659909E-2</c:v>
                </c:pt>
                <c:pt idx="178">
                  <c:v>1.4216930876784772E-2</c:v>
                </c:pt>
                <c:pt idx="179">
                  <c:v>1.4230425419178183E-2</c:v>
                </c:pt>
                <c:pt idx="180">
                  <c:v>1.4243919776842584E-2</c:v>
                </c:pt>
                <c:pt idx="181">
                  <c:v>1.4257413949780529E-2</c:v>
                </c:pt>
                <c:pt idx="182">
                  <c:v>1.4270907937994681E-2</c:v>
                </c:pt>
                <c:pt idx="183">
                  <c:v>1.4284401741487485E-2</c:v>
                </c:pt>
                <c:pt idx="184">
                  <c:v>1.4297895360261381E-2</c:v>
                </c:pt>
                <c:pt idx="185">
                  <c:v>1.4311388794318924E-2</c:v>
                </c:pt>
                <c:pt idx="186">
                  <c:v>1.4324882043662779E-2</c:v>
                </c:pt>
                <c:pt idx="187">
                  <c:v>1.4338375108295276E-2</c:v>
                </c:pt>
                <c:pt idx="188">
                  <c:v>1.4351867988219191E-2</c:v>
                </c:pt>
                <c:pt idx="189">
                  <c:v>1.4365360683436745E-2</c:v>
                </c:pt>
                <c:pt idx="190">
                  <c:v>1.4378853193950714E-2</c:v>
                </c:pt>
                <c:pt idx="191">
                  <c:v>1.439234551976365E-2</c:v>
                </c:pt>
                <c:pt idx="192">
                  <c:v>1.4405837660877885E-2</c:v>
                </c:pt>
                <c:pt idx="193">
                  <c:v>1.4419329617295973E-2</c:v>
                </c:pt>
                <c:pt idx="194">
                  <c:v>1.4432821389020578E-2</c:v>
                </c:pt>
                <c:pt idx="195">
                  <c:v>1.4446312976054143E-2</c:v>
                </c:pt>
                <c:pt idx="196">
                  <c:v>1.4459804378399221E-2</c:v>
                </c:pt>
                <c:pt idx="197">
                  <c:v>1.4473295596058255E-2</c:v>
                </c:pt>
                <c:pt idx="198">
                  <c:v>1.4486786629034021E-2</c:v>
                </c:pt>
                <c:pt idx="199">
                  <c:v>1.4500277477328738E-2</c:v>
                </c:pt>
                <c:pt idx="200">
                  <c:v>1.4513768140945071E-2</c:v>
                </c:pt>
                <c:pt idx="201">
                  <c:v>1.4527258619885575E-2</c:v>
                </c:pt>
                <c:pt idx="202">
                  <c:v>1.4540748914152801E-2</c:v>
                </c:pt>
                <c:pt idx="203">
                  <c:v>1.4554239023749194E-2</c:v>
                </c:pt>
                <c:pt idx="204">
                  <c:v>1.4567728948677305E-2</c:v>
                </c:pt>
                <c:pt idx="205">
                  <c:v>1.4581218688939579E-2</c:v>
                </c:pt>
                <c:pt idx="206">
                  <c:v>1.459470824453879E-2</c:v>
                </c:pt>
                <c:pt idx="207">
                  <c:v>1.460819761547727E-2</c:v>
                </c:pt>
                <c:pt idx="208">
                  <c:v>1.4621686801757572E-2</c:v>
                </c:pt>
                <c:pt idx="209">
                  <c:v>1.463517580338225E-2</c:v>
                </c:pt>
                <c:pt idx="210">
                  <c:v>1.4648664620353746E-2</c:v>
                </c:pt>
                <c:pt idx="211">
                  <c:v>1.4662153252674726E-2</c:v>
                </c:pt>
                <c:pt idx="212">
                  <c:v>1.4675641700347741E-2</c:v>
                </c:pt>
                <c:pt idx="213">
                  <c:v>1.4689129963375125E-2</c:v>
                </c:pt>
                <c:pt idx="214">
                  <c:v>1.4702618041759541E-2</c:v>
                </c:pt>
                <c:pt idx="215">
                  <c:v>1.4716105935503543E-2</c:v>
                </c:pt>
                <c:pt idx="216">
                  <c:v>1.4729593644609462E-2</c:v>
                </c:pt>
                <c:pt idx="217">
                  <c:v>1.4743081169080074E-2</c:v>
                </c:pt>
                <c:pt idx="218">
                  <c:v>1.4756568508917822E-2</c:v>
                </c:pt>
                <c:pt idx="219">
                  <c:v>1.4770055664125259E-2</c:v>
                </c:pt>
                <c:pt idx="220">
                  <c:v>1.4783542634704716E-2</c:v>
                </c:pt>
                <c:pt idx="221">
                  <c:v>1.4797029420658969E-2</c:v>
                </c:pt>
                <c:pt idx="222">
                  <c:v>1.4810516021990461E-2</c:v>
                </c:pt>
                <c:pt idx="223">
                  <c:v>1.4824002438701633E-2</c:v>
                </c:pt>
                <c:pt idx="224">
                  <c:v>1.4837488670795151E-2</c:v>
                </c:pt>
                <c:pt idx="225">
                  <c:v>1.4850974718273457E-2</c:v>
                </c:pt>
                <c:pt idx="226">
                  <c:v>1.4864460581139105E-2</c:v>
                </c:pt>
                <c:pt idx="227">
                  <c:v>1.4877946259394648E-2</c:v>
                </c:pt>
                <c:pt idx="228">
                  <c:v>1.4891431753042528E-2</c:v>
                </c:pt>
                <c:pt idx="229">
                  <c:v>1.4904917062085299E-2</c:v>
                </c:pt>
                <c:pt idx="230">
                  <c:v>1.4918402186525515E-2</c:v>
                </c:pt>
                <c:pt idx="231">
                  <c:v>1.4931887126365728E-2</c:v>
                </c:pt>
                <c:pt idx="232">
                  <c:v>1.4945371881608494E-2</c:v>
                </c:pt>
                <c:pt idx="233">
                  <c:v>1.4958856452256253E-2</c:v>
                </c:pt>
                <c:pt idx="234">
                  <c:v>1.497234083831156E-2</c:v>
                </c:pt>
                <c:pt idx="235">
                  <c:v>1.4985825039776857E-2</c:v>
                </c:pt>
                <c:pt idx="236">
                  <c:v>1.4999309056654919E-2</c:v>
                </c:pt>
                <c:pt idx="237">
                  <c:v>1.5012792888947968E-2</c:v>
                </c:pt>
                <c:pt idx="238">
                  <c:v>1.5026276536658778E-2</c:v>
                </c:pt>
                <c:pt idx="239">
                  <c:v>1.5039759999789681E-2</c:v>
                </c:pt>
                <c:pt idx="240">
                  <c:v>1.5053243278343342E-2</c:v>
                </c:pt>
                <c:pt idx="241">
                  <c:v>1.5066726372322314E-2</c:v>
                </c:pt>
                <c:pt idx="242">
                  <c:v>1.5080209281728929E-2</c:v>
                </c:pt>
                <c:pt idx="243">
                  <c:v>1.5093692006565962E-2</c:v>
                </c:pt>
                <c:pt idx="244">
                  <c:v>1.5107174546835744E-2</c:v>
                </c:pt>
                <c:pt idx="245">
                  <c:v>1.512065690254083E-2</c:v>
                </c:pt>
                <c:pt idx="246">
                  <c:v>1.5134139073683883E-2</c:v>
                </c:pt>
                <c:pt idx="247">
                  <c:v>1.5147621060267236E-2</c:v>
                </c:pt>
                <c:pt idx="248">
                  <c:v>1.5161102862293552E-2</c:v>
                </c:pt>
                <c:pt idx="249">
                  <c:v>1.5174584479765385E-2</c:v>
                </c:pt>
                <c:pt idx="250">
                  <c:v>1.5188065912685178E-2</c:v>
                </c:pt>
                <c:pt idx="251">
                  <c:v>1.5201547161055373E-2</c:v>
                </c:pt>
                <c:pt idx="252">
                  <c:v>1.5215028224878746E-2</c:v>
                </c:pt>
                <c:pt idx="253">
                  <c:v>1.5228509104157517E-2</c:v>
                </c:pt>
                <c:pt idx="254">
                  <c:v>1.5241989798894462E-2</c:v>
                </c:pt>
                <c:pt idx="255">
                  <c:v>1.5255470309092023E-2</c:v>
                </c:pt>
                <c:pt idx="256">
                  <c:v>1.5268950634752754E-2</c:v>
                </c:pt>
                <c:pt idx="257">
                  <c:v>1.5282430775879097E-2</c:v>
                </c:pt>
                <c:pt idx="258">
                  <c:v>1.5295910732473605E-2</c:v>
                </c:pt>
                <c:pt idx="259">
                  <c:v>1.5309390504538833E-2</c:v>
                </c:pt>
                <c:pt idx="260">
                  <c:v>1.5322870092077334E-2</c:v>
                </c:pt>
                <c:pt idx="261">
                  <c:v>1.533634949509155E-2</c:v>
                </c:pt>
                <c:pt idx="262">
                  <c:v>1.5349828713584146E-2</c:v>
                </c:pt>
                <c:pt idx="263">
                  <c:v>1.5363307747557453E-2</c:v>
                </c:pt>
                <c:pt idx="264">
                  <c:v>1.5376786597014136E-2</c:v>
                </c:pt>
                <c:pt idx="265">
                  <c:v>1.5390265261956748E-2</c:v>
                </c:pt>
                <c:pt idx="266">
                  <c:v>1.5403743742387732E-2</c:v>
                </c:pt>
                <c:pt idx="267">
                  <c:v>1.5417222038309641E-2</c:v>
                </c:pt>
                <c:pt idx="268">
                  <c:v>1.5430700149724919E-2</c:v>
                </c:pt>
                <c:pt idx="269">
                  <c:v>1.5444178076636228E-2</c:v>
                </c:pt>
                <c:pt idx="270">
                  <c:v>1.5457655819046123E-2</c:v>
                </c:pt>
                <c:pt idx="271">
                  <c:v>1.5471133376956936E-2</c:v>
                </c:pt>
                <c:pt idx="272">
                  <c:v>1.548461075037133E-2</c:v>
                </c:pt>
                <c:pt idx="273">
                  <c:v>1.5498087939291749E-2</c:v>
                </c:pt>
                <c:pt idx="274">
                  <c:v>1.5511564943720857E-2</c:v>
                </c:pt>
                <c:pt idx="275">
                  <c:v>1.5525041763660985E-2</c:v>
                </c:pt>
                <c:pt idx="276">
                  <c:v>1.5538518399114909E-2</c:v>
                </c:pt>
                <c:pt idx="277">
                  <c:v>1.5551994850084849E-2</c:v>
                </c:pt>
                <c:pt idx="278">
                  <c:v>1.5565471116573582E-2</c:v>
                </c:pt>
                <c:pt idx="279">
                  <c:v>1.5578947198583548E-2</c:v>
                </c:pt>
                <c:pt idx="280">
                  <c:v>1.5592423096117303E-2</c:v>
                </c:pt>
                <c:pt idx="281">
                  <c:v>1.5605898809177288E-2</c:v>
                </c:pt>
                <c:pt idx="282">
                  <c:v>1.5619374337766057E-2</c:v>
                </c:pt>
                <c:pt idx="283">
                  <c:v>1.5632849681886163E-2</c:v>
                </c:pt>
                <c:pt idx="284">
                  <c:v>1.564632484154016E-2</c:v>
                </c:pt>
                <c:pt idx="285">
                  <c:v>1.5659799816730491E-2</c:v>
                </c:pt>
                <c:pt idx="286">
                  <c:v>1.5673274607459708E-2</c:v>
                </c:pt>
                <c:pt idx="287">
                  <c:v>1.5686749213730478E-2</c:v>
                </c:pt>
                <c:pt idx="288">
                  <c:v>1.570022363554513E-2</c:v>
                </c:pt>
                <c:pt idx="289">
                  <c:v>1.5713697872906218E-2</c:v>
                </c:pt>
                <c:pt idx="290">
                  <c:v>1.5727171925816297E-2</c:v>
                </c:pt>
                <c:pt idx="291">
                  <c:v>1.574064579427803E-2</c:v>
                </c:pt>
                <c:pt idx="292">
                  <c:v>1.5754119478293749E-2</c:v>
                </c:pt>
                <c:pt idx="293">
                  <c:v>1.5767592977866007E-2</c:v>
                </c:pt>
                <c:pt idx="294">
                  <c:v>1.578106629299747E-2</c:v>
                </c:pt>
                <c:pt idx="295">
                  <c:v>1.5794539423690468E-2</c:v>
                </c:pt>
                <c:pt idx="296">
                  <c:v>1.5808012369947666E-2</c:v>
                </c:pt>
                <c:pt idx="297">
                  <c:v>1.5821485131771507E-2</c:v>
                </c:pt>
                <c:pt idx="298">
                  <c:v>1.5834957709164654E-2</c:v>
                </c:pt>
                <c:pt idx="299">
                  <c:v>1.584843010212944E-2</c:v>
                </c:pt>
                <c:pt idx="300">
                  <c:v>1.586190231066853E-2</c:v>
                </c:pt>
                <c:pt idx="301">
                  <c:v>1.5875374334784365E-2</c:v>
                </c:pt>
                <c:pt idx="302">
                  <c:v>1.5888846174479498E-2</c:v>
                </c:pt>
                <c:pt idx="303">
                  <c:v>1.5902317829756374E-2</c:v>
                </c:pt>
                <c:pt idx="304">
                  <c:v>1.5915789300617766E-2</c:v>
                </c:pt>
                <c:pt idx="305">
                  <c:v>1.5929260587065897E-2</c:v>
                </c:pt>
                <c:pt idx="306">
                  <c:v>1.594273168910354E-2</c:v>
                </c:pt>
                <c:pt idx="307">
                  <c:v>1.5956202606733028E-2</c:v>
                </c:pt>
                <c:pt idx="308">
                  <c:v>1.5969673339957025E-2</c:v>
                </c:pt>
                <c:pt idx="309">
                  <c:v>1.5983143888777973E-2</c:v>
                </c:pt>
                <c:pt idx="310">
                  <c:v>1.5996614253198427E-2</c:v>
                </c:pt>
                <c:pt idx="311">
                  <c:v>1.6010084433220939E-2</c:v>
                </c:pt>
                <c:pt idx="312">
                  <c:v>1.6023554428847953E-2</c:v>
                </c:pt>
                <c:pt idx="313">
                  <c:v>1.6037024240082021E-2</c:v>
                </c:pt>
                <c:pt idx="314">
                  <c:v>1.6050493866925697E-2</c:v>
                </c:pt>
                <c:pt idx="315">
                  <c:v>1.6063963309381535E-2</c:v>
                </c:pt>
                <c:pt idx="316">
                  <c:v>1.6077432567451977E-2</c:v>
                </c:pt>
                <c:pt idx="317">
                  <c:v>1.6090901641139577E-2</c:v>
                </c:pt>
                <c:pt idx="318">
                  <c:v>1.6104370530446888E-2</c:v>
                </c:pt>
                <c:pt idx="319">
                  <c:v>1.6117839235376352E-2</c:v>
                </c:pt>
                <c:pt idx="320">
                  <c:v>1.6131307755930635E-2</c:v>
                </c:pt>
                <c:pt idx="321">
                  <c:v>1.6144776092112179E-2</c:v>
                </c:pt>
                <c:pt idx="322">
                  <c:v>1.6158244243923536E-2</c:v>
                </c:pt>
                <c:pt idx="323">
                  <c:v>1.6171712211367151E-2</c:v>
                </c:pt>
                <c:pt idx="324">
                  <c:v>1.6185179994445575E-2</c:v>
                </c:pt>
                <c:pt idx="325">
                  <c:v>1.6198647593161364E-2</c:v>
                </c:pt>
                <c:pt idx="326">
                  <c:v>1.6212115007517069E-2</c:v>
                </c:pt>
                <c:pt idx="327">
                  <c:v>1.6225582237515246E-2</c:v>
                </c:pt>
                <c:pt idx="328">
                  <c:v>1.6239049283158224E-2</c:v>
                </c:pt>
                <c:pt idx="329">
                  <c:v>1.6252516144448781E-2</c:v>
                </c:pt>
                <c:pt idx="330">
                  <c:v>1.6265982821389247E-2</c:v>
                </c:pt>
                <c:pt idx="331">
                  <c:v>1.6279449313982175E-2</c:v>
                </c:pt>
                <c:pt idx="332">
                  <c:v>1.6292915622230231E-2</c:v>
                </c:pt>
                <c:pt idx="333">
                  <c:v>1.6306381746135745E-2</c:v>
                </c:pt>
                <c:pt idx="334">
                  <c:v>1.6319847685701383E-2</c:v>
                </c:pt>
                <c:pt idx="335">
                  <c:v>1.6333313440929587E-2</c:v>
                </c:pt>
                <c:pt idx="336">
                  <c:v>1.6346779011822909E-2</c:v>
                </c:pt>
                <c:pt idx="337">
                  <c:v>1.6360244398383905E-2</c:v>
                </c:pt>
                <c:pt idx="338">
                  <c:v>1.6373709600615127E-2</c:v>
                </c:pt>
                <c:pt idx="339">
                  <c:v>1.6387174618518907E-2</c:v>
                </c:pt>
                <c:pt idx="340">
                  <c:v>1.6400639452097909E-2</c:v>
                </c:pt>
                <c:pt idx="341">
                  <c:v>1.6414104101354687E-2</c:v>
                </c:pt>
                <c:pt idx="342">
                  <c:v>1.6427568566291795E-2</c:v>
                </c:pt>
                <c:pt idx="343">
                  <c:v>1.6441032846911563E-2</c:v>
                </c:pt>
                <c:pt idx="344">
                  <c:v>1.6454496943216768E-2</c:v>
                </c:pt>
                <c:pt idx="345">
                  <c:v>1.6467960855209629E-2</c:v>
                </c:pt>
                <c:pt idx="346">
                  <c:v>1.6481424582893034E-2</c:v>
                </c:pt>
                <c:pt idx="347">
                  <c:v>1.6494888126269203E-2</c:v>
                </c:pt>
                <c:pt idx="348">
                  <c:v>1.65083514853408E-2</c:v>
                </c:pt>
                <c:pt idx="349">
                  <c:v>1.6521814660110268E-2</c:v>
                </c:pt>
                <c:pt idx="350">
                  <c:v>1.653527765058016E-2</c:v>
                </c:pt>
                <c:pt idx="351">
                  <c:v>1.6548740456753142E-2</c:v>
                </c:pt>
                <c:pt idx="352">
                  <c:v>1.6562203078631543E-2</c:v>
                </c:pt>
                <c:pt idx="353">
                  <c:v>1.6575665516217919E-2</c:v>
                </c:pt>
                <c:pt idx="354">
                  <c:v>1.6589127769514822E-2</c:v>
                </c:pt>
                <c:pt idx="355">
                  <c:v>1.6602589838524806E-2</c:v>
                </c:pt>
                <c:pt idx="356">
                  <c:v>1.6616051723250425E-2</c:v>
                </c:pt>
                <c:pt idx="357">
                  <c:v>1.662951342369412E-2</c:v>
                </c:pt>
                <c:pt idx="358">
                  <c:v>1.6642974939858446E-2</c:v>
                </c:pt>
                <c:pt idx="359">
                  <c:v>1.6656436271745845E-2</c:v>
                </c:pt>
                <c:pt idx="360">
                  <c:v>1.6669897419358981E-2</c:v>
                </c:pt>
                <c:pt idx="361">
                  <c:v>1.6683358382700297E-2</c:v>
                </c:pt>
                <c:pt idx="362">
                  <c:v>1.6696819161772347E-2</c:v>
                </c:pt>
                <c:pt idx="363">
                  <c:v>1.6710279756577684E-2</c:v>
                </c:pt>
                <c:pt idx="364">
                  <c:v>1.672374016711875E-2</c:v>
                </c:pt>
                <c:pt idx="365">
                  <c:v>1.6737200393397988E-2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4.3815160210648178E-2</c:v>
                </c:pt>
                <c:pt idx="1">
                  <c:v>4.384647925125864E-2</c:v>
                </c:pt>
                <c:pt idx="2">
                  <c:v>4.3877864184625054E-2</c:v>
                </c:pt>
                <c:pt idx="3">
                  <c:v>4.3909304989035017E-2</c:v>
                </c:pt>
                <c:pt idx="4">
                  <c:v>4.3940792937983621E-2</c:v>
                </c:pt>
                <c:pt idx="5">
                  <c:v>4.3972320562193662E-2</c:v>
                </c:pt>
                <c:pt idx="6">
                  <c:v>4.4003881601748569E-2</c:v>
                </c:pt>
                <c:pt idx="7">
                  <c:v>4.4035470949129608E-2</c:v>
                </c:pt>
                <c:pt idx="8">
                  <c:v>4.4067084584016765E-2</c:v>
                </c:pt>
                <c:pt idx="9">
                  <c:v>4.4098719500770649E-2</c:v>
                </c:pt>
                <c:pt idx="10">
                  <c:v>4.4130373629561778E-2</c:v>
                </c:pt>
                <c:pt idx="11">
                  <c:v>4.4162045752151859E-2</c:v>
                </c:pt>
                <c:pt idx="12">
                  <c:v>4.4193735413359837E-2</c:v>
                </c:pt>
                <c:pt idx="13">
                  <c:v>4.4225442829263481E-2</c:v>
                </c:pt>
                <c:pt idx="14">
                  <c:v>4.4257168793193996E-2</c:v>
                </c:pt>
                <c:pt idx="15">
                  <c:v>4.4288914580578764E-2</c:v>
                </c:pt>
                <c:pt idx="16">
                  <c:v>4.4320681853673244E-2</c:v>
                </c:pt>
                <c:pt idx="17">
                  <c:v>4.4352472567200221E-2</c:v>
                </c:pt>
                <c:pt idx="18">
                  <c:v>4.4384288875881729E-2</c:v>
                </c:pt>
                <c:pt idx="19">
                  <c:v>4.4416133044807023E-2</c:v>
                </c:pt>
                <c:pt idx="20">
                  <c:v>4.4448007363529572E-2</c:v>
                </c:pt>
                <c:pt idx="21">
                  <c:v>4.4479914064727961E-2</c:v>
                </c:pt>
                <c:pt idx="22">
                  <c:v>4.4511855248199679E-2</c:v>
                </c:pt>
                <c:pt idx="23">
                  <c:v>4.4543832810885794E-2</c:v>
                </c:pt>
                <c:pt idx="24">
                  <c:v>4.4575848383545905E-2</c:v>
                </c:pt>
                <c:pt idx="25">
                  <c:v>4.4607903274621739E-2</c:v>
                </c:pt>
                <c:pt idx="26">
                  <c:v>4.4639998421741121E-2</c:v>
                </c:pt>
                <c:pt idx="27">
                  <c:v>4.4672134351225315E-2</c:v>
                </c:pt>
                <c:pt idx="28">
                  <c:v>4.4704311145872346E-2</c:v>
                </c:pt>
                <c:pt idx="29">
                  <c:v>4.4736528421196693E-2</c:v>
                </c:pt>
                <c:pt idx="30">
                  <c:v>4.476878531021438E-2</c:v>
                </c:pt>
                <c:pt idx="31">
                  <c:v>4.4801080456771378E-2</c:v>
                </c:pt>
                <c:pt idx="32">
                  <c:v>4.4833412017324527E-2</c:v>
                </c:pt>
                <c:pt idx="33">
                  <c:v>4.486577767099767E-2</c:v>
                </c:pt>
                <c:pt idx="34">
                  <c:v>4.4898174637652978E-2</c:v>
                </c:pt>
                <c:pt idx="35">
                  <c:v>4.4930599703639294E-2</c:v>
                </c:pt>
                <c:pt idx="36">
                  <c:v>4.496304925480555E-2</c:v>
                </c:pt>
                <c:pt idx="37">
                  <c:v>4.4995519316300379E-2</c:v>
                </c:pt>
                <c:pt idx="38">
                  <c:v>4.5028005598617228E-2</c:v>
                </c:pt>
                <c:pt idx="39">
                  <c:v>4.5060503549290115E-2</c:v>
                </c:pt>
                <c:pt idx="40">
                  <c:v>4.5093008409598553E-2</c:v>
                </c:pt>
                <c:pt idx="41">
                  <c:v>4.5125515275599853E-2</c:v>
                </c:pt>
                <c:pt idx="42">
                  <c:v>4.515801916277646E-2</c:v>
                </c:pt>
                <c:pt idx="43">
                  <c:v>4.5190515073562171E-2</c:v>
                </c:pt>
                <c:pt idx="44">
                  <c:v>4.522299806699577E-2</c:v>
                </c:pt>
                <c:pt idx="45">
                  <c:v>4.5255463329744242E-2</c:v>
                </c:pt>
                <c:pt idx="46">
                  <c:v>4.5287906247738027E-2</c:v>
                </c:pt>
                <c:pt idx="47">
                  <c:v>4.532032247767058E-2</c:v>
                </c:pt>
                <c:pt idx="48">
                  <c:v>4.5352708017630861E-2</c:v>
                </c:pt>
                <c:pt idx="49">
                  <c:v>4.5385059276161419E-2</c:v>
                </c:pt>
                <c:pt idx="50">
                  <c:v>4.5417373139065777E-2</c:v>
                </c:pt>
                <c:pt idx="51">
                  <c:v>4.544964703332631E-2</c:v>
                </c:pt>
                <c:pt idx="52">
                  <c:v>4.5481878987536799E-2</c:v>
                </c:pt>
                <c:pt idx="53">
                  <c:v>4.5514067688302788E-2</c:v>
                </c:pt>
                <c:pt idx="54">
                  <c:v>4.5546212532115597E-2</c:v>
                </c:pt>
                <c:pt idx="55">
                  <c:v>4.5578313672263476E-2</c:v>
                </c:pt>
                <c:pt idx="56">
                  <c:v>4.5610372060403089E-2</c:v>
                </c:pt>
                <c:pt idx="57">
                  <c:v>4.5642389482477987E-2</c:v>
                </c:pt>
                <c:pt idx="58">
                  <c:v>4.567436858873454E-2</c:v>
                </c:pt>
                <c:pt idx="59">
                  <c:v>4.5706312917651835E-2</c:v>
                </c:pt>
                <c:pt idx="60">
                  <c:v>4.5738226913667065E-2</c:v>
                </c:pt>
                <c:pt idx="61">
                  <c:v>4.5770115938643254E-2</c:v>
                </c:pt>
                <c:pt idx="62">
                  <c:v>4.580198627708975E-2</c:v>
                </c:pt>
                <c:pt idx="63">
                  <c:v>4.5833845135207364E-2</c:v>
                </c:pt>
                <c:pt idx="64">
                  <c:v>4.5865700633889186E-2</c:v>
                </c:pt>
                <c:pt idx="65">
                  <c:v>4.5897561795863337E-2</c:v>
                </c:pt>
                <c:pt idx="66">
                  <c:v>4.592943852721592E-2</c:v>
                </c:pt>
                <c:pt idx="67">
                  <c:v>4.5961341593579313E-2</c:v>
                </c:pt>
                <c:pt idx="68">
                  <c:v>4.599328259131346E-2</c:v>
                </c:pt>
                <c:pt idx="69">
                  <c:v>4.60252739140447E-2</c:v>
                </c:pt>
                <c:pt idx="70">
                  <c:v>4.6057328714958205E-2</c:v>
                </c:pt>
                <c:pt idx="71">
                  <c:v>4.6089460865265455E-2</c:v>
                </c:pt>
                <c:pt idx="72">
                  <c:v>4.6121684909287877E-2</c:v>
                </c:pt>
                <c:pt idx="73">
                  <c:v>4.6154016016610913E-2</c:v>
                </c:pt>
                <c:pt idx="74">
                  <c:v>4.618646993177028E-2</c:v>
                </c:pt>
                <c:pt idx="75">
                  <c:v>4.6219062921933049E-2</c:v>
                </c:pt>
                <c:pt idx="76">
                  <c:v>4.6251811723031479E-2</c:v>
                </c:pt>
                <c:pt idx="77">
                  <c:v>4.6284733484796836E-2</c:v>
                </c:pt>
                <c:pt idx="78">
                  <c:v>4.6317845715124588E-2</c:v>
                </c:pt>
                <c:pt idx="79">
                  <c:v>4.6351166224180826E-2</c:v>
                </c:pt>
                <c:pt idx="80">
                  <c:v>4.6384713068634134E-2</c:v>
                </c:pt>
                <c:pt idx="81">
                  <c:v>4.6418504496366676E-2</c:v>
                </c:pt>
                <c:pt idx="82">
                  <c:v>4.6452558891984547E-2</c:v>
                </c:pt>
                <c:pt idx="83">
                  <c:v>4.648689472341002E-2</c:v>
                </c:pt>
                <c:pt idx="84">
                  <c:v>4.6521530489798603E-2</c:v>
                </c:pt>
                <c:pt idx="85">
                  <c:v>4.6556484670982203E-2</c:v>
                </c:pt>
                <c:pt idx="86">
                  <c:v>4.6591775678595994E-2</c:v>
                </c:pt>
                <c:pt idx="87">
                  <c:v>4.6627421809003422E-2</c:v>
                </c:pt>
                <c:pt idx="88">
                  <c:v>4.666344119808926E-2</c:v>
                </c:pt>
                <c:pt idx="89">
                  <c:v>4.6699851777947242E-2</c:v>
                </c:pt>
                <c:pt idx="90">
                  <c:v>4.6736671235447329E-2</c:v>
                </c:pt>
                <c:pt idx="91">
                  <c:v>8.0164944761657204E-3</c:v>
                </c:pt>
                <c:pt idx="92">
                  <c:v>8.0967648538811075E-3</c:v>
                </c:pt>
                <c:pt idx="93">
                  <c:v>8.1770565142278741E-3</c:v>
                </c:pt>
                <c:pt idx="94">
                  <c:v>8.2573746377261545E-3</c:v>
                </c:pt>
                <c:pt idx="95">
                  <c:v>8.3377244202344162E-3</c:v>
                </c:pt>
                <c:pt idx="96">
                  <c:v>8.4181110632246745E-3</c:v>
                </c:pt>
                <c:pt idx="97">
                  <c:v>8.4985397639286402E-3</c:v>
                </c:pt>
                <c:pt idx="98">
                  <c:v>8.5790157053219664E-3</c:v>
                </c:pt>
                <c:pt idx="99">
                  <c:v>8.6595440459092451E-3</c:v>
                </c:pt>
                <c:pt idx="100">
                  <c:v>8.7401299092685764E-3</c:v>
                </c:pt>
                <c:pt idx="101">
                  <c:v>8.8207783733121135E-3</c:v>
                </c:pt>
                <c:pt idx="102">
                  <c:v>8.9014944592172296E-3</c:v>
                </c:pt>
                <c:pt idx="103">
                  <c:v>8.9822831199828906E-3</c:v>
                </c:pt>
                <c:pt idx="104">
                  <c:v>9.063149228566332E-3</c:v>
                </c:pt>
                <c:pt idx="105">
                  <c:v>9.1440975655576531E-3</c:v>
                </c:pt>
                <c:pt idx="106">
                  <c:v>9.2251328063530178E-3</c:v>
                </c:pt>
                <c:pt idx="107">
                  <c:v>9.3062595077921563E-3</c:v>
                </c:pt>
                <c:pt idx="108">
                  <c:v>9.3874820942315505E-3</c:v>
                </c:pt>
                <c:pt idx="109">
                  <c:v>9.4688048430320287E-3</c:v>
                </c:pt>
                <c:pt idx="110">
                  <c:v>9.5502318694478013E-3</c:v>
                </c:pt>
                <c:pt idx="111">
                  <c:v>9.6317671109132329E-3</c:v>
                </c:pt>
                <c:pt idx="112">
                  <c:v>9.7134143107343203E-3</c:v>
                </c:pt>
                <c:pt idx="113">
                  <c:v>9.7951770012027675E-3</c:v>
                </c:pt>
                <c:pt idx="114">
                  <c:v>9.8770584861628489E-3</c:v>
                </c:pt>
                <c:pt idx="115">
                  <c:v>9.95906182307363E-3</c:v>
                </c:pt>
                <c:pt idx="116">
                  <c:v>1.0041189804622361E-2</c:v>
                </c:pt>
                <c:pt idx="117">
                  <c:v>1.0123444939957914E-2</c:v>
                </c:pt>
                <c:pt idx="118">
                  <c:v>1.020582943562673E-2</c:v>
                </c:pt>
                <c:pt idx="119">
                  <c:v>1.0288345176307084E-2</c:v>
                </c:pt>
                <c:pt idx="120">
                  <c:v>1.0370993705450228E-2</c:v>
                </c:pt>
                <c:pt idx="121">
                  <c:v>1.0453776205949899E-2</c:v>
                </c:pt>
                <c:pt idx="122">
                  <c:v>1.0536693480973254E-2</c:v>
                </c:pt>
                <c:pt idx="123">
                  <c:v>1.0619745935097527E-2</c:v>
                </c:pt>
                <c:pt idx="124">
                  <c:v>1.0702933555906607E-2</c:v>
                </c:pt>
                <c:pt idx="125">
                  <c:v>1.0786255896210529E-2</c:v>
                </c:pt>
                <c:pt idx="126">
                  <c:v>1.0869712057058259E-2</c:v>
                </c:pt>
                <c:pt idx="127">
                  <c:v>1.0953300671719974E-2</c:v>
                </c:pt>
                <c:pt idx="128">
                  <c:v>1.103701989081929E-2</c:v>
                </c:pt>
                <c:pt idx="129">
                  <c:v>1.1120867368798101E-2</c:v>
                </c:pt>
                <c:pt idx="130">
                  <c:v>1.1204840251897238E-2</c:v>
                </c:pt>
                <c:pt idx="131">
                  <c:v>1.1288935167834467E-2</c:v>
                </c:pt>
                <c:pt idx="132">
                  <c:v>1.1373148217357968E-2</c:v>
                </c:pt>
                <c:pt idx="133">
                  <c:v>1.1457474967847221E-2</c:v>
                </c:pt>
                <c:pt idx="134">
                  <c:v>1.1541910449125829E-2</c:v>
                </c:pt>
                <c:pt idx="135">
                  <c:v>1.1626449151640491E-2</c:v>
                </c:pt>
                <c:pt idx="136">
                  <c:v>1.1711085027148337E-2</c:v>
                </c:pt>
                <c:pt idx="137">
                  <c:v>1.179581149204067E-2</c:v>
                </c:pt>
                <c:pt idx="138">
                  <c:v>1.1880621433415124E-2</c:v>
                </c:pt>
                <c:pt idx="139">
                  <c:v>1.1965507217990242E-2</c:v>
                </c:pt>
                <c:pt idx="140">
                  <c:v>1.2050460703936783E-2</c:v>
                </c:pt>
                <c:pt idx="141">
                  <c:v>1.2135473255679092E-2</c:v>
                </c:pt>
                <c:pt idx="142">
                  <c:v>1.2220535761696846E-2</c:v>
                </c:pt>
                <c:pt idx="143">
                  <c:v>1.230563865533415E-2</c:v>
                </c:pt>
                <c:pt idx="144">
                  <c:v>1.2390771938597918E-2</c:v>
                </c:pt>
                <c:pt idx="145">
                  <c:v>1.247592520890194E-2</c:v>
                </c:pt>
                <c:pt idx="146">
                  <c:v>1.256108768868737E-2</c:v>
                </c:pt>
                <c:pt idx="147">
                  <c:v>1.2646248257823695E-2</c:v>
                </c:pt>
                <c:pt idx="148">
                  <c:v>1.2731395488668419E-2</c:v>
                </c:pt>
                <c:pt idx="149">
                  <c:v>1.2816517683637471E-2</c:v>
                </c:pt>
                <c:pt idx="150">
                  <c:v>1.2901602915113419E-2</c:v>
                </c:pt>
                <c:pt idx="151">
                  <c:v>1.2986639067493609E-2</c:v>
                </c:pt>
                <c:pt idx="152">
                  <c:v>1.3071613881157454E-2</c:v>
                </c:pt>
                <c:pt idx="153">
                  <c:v>1.3156514998109761E-2</c:v>
                </c:pt>
                <c:pt idx="154">
                  <c:v>1.3241330009037103E-2</c:v>
                </c:pt>
                <c:pt idx="155">
                  <c:v>1.3326046501495221E-2</c:v>
                </c:pt>
                <c:pt idx="156">
                  <c:v>1.3410652108929893E-2</c:v>
                </c:pt>
                <c:pt idx="157">
                  <c:v>1.3495134560218907E-2</c:v>
                </c:pt>
                <c:pt idx="158">
                  <c:v>1.3579481729412191E-2</c:v>
                </c:pt>
                <c:pt idx="159">
                  <c:v>1.36636816853376E-2</c:v>
                </c:pt>
                <c:pt idx="160">
                  <c:v>1.3747722740734535E-2</c:v>
                </c:pt>
                <c:pt idx="161">
                  <c:v>1.3831593500574274E-2</c:v>
                </c:pt>
                <c:pt idx="162">
                  <c:v>1.3915282909226006E-2</c:v>
                </c:pt>
                <c:pt idx="163">
                  <c:v>1.3998780296130777E-2</c:v>
                </c:pt>
                <c:pt idx="164">
                  <c:v>1.4082075419651801E-2</c:v>
                </c:pt>
                <c:pt idx="165">
                  <c:v>1.4165158508778711E-2</c:v>
                </c:pt>
                <c:pt idx="166">
                  <c:v>1.4248020302376228E-2</c:v>
                </c:pt>
                <c:pt idx="167">
                  <c:v>1.4330652085682478E-2</c:v>
                </c:pt>
                <c:pt idx="168">
                  <c:v>1.4413045723781093E-2</c:v>
                </c:pt>
                <c:pt idx="169">
                  <c:v>1.4495193691791905E-2</c:v>
                </c:pt>
                <c:pt idx="170">
                  <c:v>1.4577089101548521E-2</c:v>
                </c:pt>
                <c:pt idx="171">
                  <c:v>1.465872572455755E-2</c:v>
                </c:pt>
                <c:pt idx="172">
                  <c:v>1.4740098011061738E-2</c:v>
                </c:pt>
                <c:pt idx="173">
                  <c:v>1.4821201105059812E-2</c:v>
                </c:pt>
                <c:pt idx="174">
                  <c:v>1.4902030855167215E-2</c:v>
                </c:pt>
                <c:pt idx="175">
                  <c:v>1.4982583821234848E-2</c:v>
                </c:pt>
                <c:pt idx="176">
                  <c:v>1.50628572766773E-2</c:v>
                </c:pt>
                <c:pt idx="177">
                  <c:v>1.5142849206496245E-2</c:v>
                </c:pt>
                <c:pt idx="178">
                  <c:v>1.5222558301020178E-2</c:v>
                </c:pt>
                <c:pt idx="179">
                  <c:v>1.5301983945416566E-2</c:v>
                </c:pt>
                <c:pt idx="180">
                  <c:v>1.5381126205067198E-2</c:v>
                </c:pt>
                <c:pt idx="181">
                  <c:v>1.5459985806931809E-2</c:v>
                </c:pt>
                <c:pt idx="182">
                  <c:v>1.553856411705778E-2</c:v>
                </c:pt>
                <c:pt idx="183">
                  <c:v>1.5616863114425917E-2</c:v>
                </c:pt>
                <c:pt idx="184">
                  <c:v>1.569488536135186E-2</c:v>
                </c:pt>
                <c:pt idx="185">
                  <c:v>1.5772633970690914E-2</c:v>
                </c:pt>
                <c:pt idx="186">
                  <c:v>1.5850112570120069E-2</c:v>
                </c:pt>
                <c:pt idx="187">
                  <c:v>1.592732526379385E-2</c:v>
                </c:pt>
                <c:pt idx="188">
                  <c:v>1.6004276591691204E-2</c:v>
                </c:pt>
                <c:pt idx="189">
                  <c:v>1.6080971486988213E-2</c:v>
                </c:pt>
                <c:pt idx="190">
                  <c:v>1.6157415231805222E-2</c:v>
                </c:pt>
                <c:pt idx="191">
                  <c:v>1.6233613411688372E-2</c:v>
                </c:pt>
                <c:pt idx="192">
                  <c:v>1.6309571869192387E-2</c:v>
                </c:pt>
                <c:pt idx="193">
                  <c:v>1.6385296656935642E-2</c:v>
                </c:pt>
                <c:pt idx="194">
                  <c:v>1.6460793990498608E-2</c:v>
                </c:pt>
                <c:pt idx="195">
                  <c:v>1.6536070201533377E-2</c:v>
                </c:pt>
                <c:pt idx="196">
                  <c:v>1.6611131691445041E-2</c:v>
                </c:pt>
                <c:pt idx="197">
                  <c:v>1.6685984885995118E-2</c:v>
                </c:pt>
                <c:pt idx="198">
                  <c:v>1.6760636191163383E-2</c:v>
                </c:pt>
                <c:pt idx="199">
                  <c:v>1.6835091950587151E-2</c:v>
                </c:pt>
                <c:pt idx="200">
                  <c:v>1.6909358404877031E-2</c:v>
                </c:pt>
                <c:pt idx="201">
                  <c:v>1.698344165308463E-2</c:v>
                </c:pt>
                <c:pt idx="202">
                  <c:v>1.7057347616572356E-2</c:v>
                </c:pt>
                <c:pt idx="203">
                  <c:v>1.7131082005506865E-2</c:v>
                </c:pt>
                <c:pt idx="204">
                  <c:v>1.7204650288167946E-2</c:v>
                </c:pt>
                <c:pt idx="205">
                  <c:v>1.7278057663232364E-2</c:v>
                </c:pt>
                <c:pt idx="206">
                  <c:v>1.7351309035159107E-2</c:v>
                </c:pt>
                <c:pt idx="207">
                  <c:v>1.7424408992767978E-2</c:v>
                </c:pt>
                <c:pt idx="208">
                  <c:v>1.7497361791068738E-2</c:v>
                </c:pt>
                <c:pt idx="209">
                  <c:v>1.7570171336362492E-2</c:v>
                </c:pt>
                <c:pt idx="210">
                  <c:v>1.7642841174602263E-2</c:v>
                </c:pt>
                <c:pt idx="211">
                  <c:v>1.7715374482964757E-2</c:v>
                </c:pt>
                <c:pt idx="212">
                  <c:v>1.778777406455205E-2</c:v>
                </c:pt>
                <c:pt idx="213">
                  <c:v>1.7860042346109162E-2</c:v>
                </c:pt>
                <c:pt idx="214">
                  <c:v>1.7932181378613115E-2</c:v>
                </c:pt>
                <c:pt idx="215">
                  <c:v>1.8004192840560058E-2</c:v>
                </c:pt>
                <c:pt idx="216">
                  <c:v>1.8076078043750846E-2</c:v>
                </c:pt>
                <c:pt idx="217">
                  <c:v>1.8147837941351594E-2</c:v>
                </c:pt>
                <c:pt idx="218">
                  <c:v>1.8219473137984776E-2</c:v>
                </c:pt>
                <c:pt idx="219">
                  <c:v>1.8290983901588915E-2</c:v>
                </c:pt>
                <c:pt idx="220">
                  <c:v>1.8362370176770389E-2</c:v>
                </c:pt>
                <c:pt idx="221">
                  <c:v>1.8433631599360109E-2</c:v>
                </c:pt>
                <c:pt idx="222">
                  <c:v>1.850476751188062E-2</c:v>
                </c:pt>
                <c:pt idx="223">
                  <c:v>1.8575776979625751E-2</c:v>
                </c:pt>
                <c:pt idx="224">
                  <c:v>1.8646658807055436E-2</c:v>
                </c:pt>
                <c:pt idx="225">
                  <c:v>1.871741155421236E-2</c:v>
                </c:pt>
                <c:pt idx="226">
                  <c:v>1.8788033552875193E-2</c:v>
                </c:pt>
                <c:pt idx="227">
                  <c:v>1.8858522922174836E-2</c:v>
                </c:pt>
                <c:pt idx="228">
                  <c:v>1.8928877583415216E-2</c:v>
                </c:pt>
                <c:pt idx="229">
                  <c:v>1.8999095273859106E-2</c:v>
                </c:pt>
                <c:pt idx="230">
                  <c:v>1.9069173559260917E-2</c:v>
                </c:pt>
                <c:pt idx="231">
                  <c:v>1.9139109844953584E-2</c:v>
                </c:pt>
                <c:pt idx="232">
                  <c:v>1.9208901385323874E-2</c:v>
                </c:pt>
                <c:pt idx="233">
                  <c:v>1.9278545291540477E-2</c:v>
                </c:pt>
                <c:pt idx="234">
                  <c:v>1.9348038537431042E-2</c:v>
                </c:pt>
                <c:pt idx="235">
                  <c:v>1.9417377963437711E-2</c:v>
                </c:pt>
                <c:pt idx="236">
                  <c:v>1.9486560278615669E-2</c:v>
                </c:pt>
                <c:pt idx="237">
                  <c:v>1.955558206067461E-2</c:v>
                </c:pt>
                <c:pt idx="238">
                  <c:v>1.9624439754099245E-2</c:v>
                </c:pt>
                <c:pt idx="239">
                  <c:v>1.9693129666420627E-2</c:v>
                </c:pt>
                <c:pt idx="240">
                  <c:v>1.9761647962745949E-2</c:v>
                </c:pt>
                <c:pt idx="241">
                  <c:v>1.9829990658688807E-2</c:v>
                </c:pt>
                <c:pt idx="242">
                  <c:v>1.9898153611875243E-2</c:v>
                </c:pt>
                <c:pt idx="243">
                  <c:v>1.9966132512232438E-2</c:v>
                </c:pt>
                <c:pt idx="244">
                  <c:v>2.003392287129609E-2</c:v>
                </c:pt>
                <c:pt idx="245">
                  <c:v>2.0101520010799439E-2</c:v>
                </c:pt>
                <c:pt idx="246">
                  <c:v>2.0168919050830514E-2</c:v>
                </c:pt>
                <c:pt idx="247">
                  <c:v>2.0236114897864785E-2</c:v>
                </c:pt>
                <c:pt idx="248">
                  <c:v>2.0303102232997423E-2</c:v>
                </c:pt>
                <c:pt idx="249">
                  <c:v>2.0369875500712266E-2</c:v>
                </c:pt>
                <c:pt idx="250">
                  <c:v>2.0436428898533931E-2</c:v>
                </c:pt>
                <c:pt idx="251">
                  <c:v>2.050275636791378E-2</c:v>
                </c:pt>
                <c:pt idx="252">
                  <c:v>2.0568851586701558E-2</c:v>
                </c:pt>
                <c:pt idx="253">
                  <c:v>2.0634707963549437E-2</c:v>
                </c:pt>
                <c:pt idx="254">
                  <c:v>2.0700318634587475E-2</c:v>
                </c:pt>
                <c:pt idx="255">
                  <c:v>2.0765676462695604E-2</c:v>
                </c:pt>
                <c:pt idx="256">
                  <c:v>2.083077403968004E-2</c:v>
                </c:pt>
                <c:pt idx="257">
                  <c:v>2.0895603691639657E-2</c:v>
                </c:pt>
                <c:pt idx="258">
                  <c:v>2.0960157487781971E-2</c:v>
                </c:pt>
                <c:pt idx="259">
                  <c:v>2.102442725291789E-2</c:v>
                </c:pt>
                <c:pt idx="260">
                  <c:v>2.1088404583830614E-2</c:v>
                </c:pt>
                <c:pt idx="261">
                  <c:v>2.1152080869676567E-2</c:v>
                </c:pt>
                <c:pt idx="262">
                  <c:v>2.1215447316536087E-2</c:v>
                </c:pt>
                <c:pt idx="263">
                  <c:v>2.1278494976187792E-2</c:v>
                </c:pt>
                <c:pt idx="264">
                  <c:v>2.1341214779135947E-2</c:v>
                </c:pt>
                <c:pt idx="265">
                  <c:v>2.1403597571872223E-2</c:v>
                </c:pt>
                <c:pt idx="266">
                  <c:v>2.1465634158304905E-2</c:v>
                </c:pt>
                <c:pt idx="267">
                  <c:v>2.1527315345239086E-2</c:v>
                </c:pt>
                <c:pt idx="268">
                  <c:v>2.1588631991741651E-2</c:v>
                </c:pt>
                <c:pt idx="269">
                  <c:v>2.1649575062175231E-2</c:v>
                </c:pt>
                <c:pt idx="270">
                  <c:v>2.1710135682636359E-2</c:v>
                </c:pt>
                <c:pt idx="271">
                  <c:v>2.1770305200485802E-2</c:v>
                </c:pt>
                <c:pt idx="272">
                  <c:v>2.1830075246612912E-2</c:v>
                </c:pt>
                <c:pt idx="273">
                  <c:v>2.1889437800032847E-2</c:v>
                </c:pt>
                <c:pt idx="274">
                  <c:v>2.1948385254374737E-2</c:v>
                </c:pt>
                <c:pt idx="275">
                  <c:v>2.200691048578159E-2</c:v>
                </c:pt>
                <c:pt idx="276">
                  <c:v>2.2065006921709641E-2</c:v>
                </c:pt>
                <c:pt idx="277">
                  <c:v>2.2122668610085414E-2</c:v>
                </c:pt>
                <c:pt idx="278">
                  <c:v>2.2179890288254199E-2</c:v>
                </c:pt>
                <c:pt idx="279">
                  <c:v>2.2236667451134295E-2</c:v>
                </c:pt>
                <c:pt idx="280">
                  <c:v>2.2292996417976624E-2</c:v>
                </c:pt>
                <c:pt idx="281">
                  <c:v>2.2348874397120928E-2</c:v>
                </c:pt>
                <c:pt idx="282">
                  <c:v>2.2404299548136292E-2</c:v>
                </c:pt>
                <c:pt idx="283">
                  <c:v>2.2459271040736705E-2</c:v>
                </c:pt>
                <c:pt idx="284">
                  <c:v>2.251378910987108E-2</c:v>
                </c:pt>
                <c:pt idx="285">
                  <c:v>2.2567855106401517E-2</c:v>
                </c:pt>
                <c:pt idx="286">
                  <c:v>2.2621471542804698E-2</c:v>
                </c:pt>
                <c:pt idx="287">
                  <c:v>2.2674642133357299E-2</c:v>
                </c:pt>
                <c:pt idx="288">
                  <c:v>2.2727371828298728E-2</c:v>
                </c:pt>
                <c:pt idx="289">
                  <c:v>2.2779666841502056E-2</c:v>
                </c:pt>
                <c:pt idx="290">
                  <c:v>2.2831534671226658E-2</c:v>
                </c:pt>
                <c:pt idx="291">
                  <c:v>2.2882984113574284E-2</c:v>
                </c:pt>
                <c:pt idx="292">
                  <c:v>2.2934025268321778E-2</c:v>
                </c:pt>
                <c:pt idx="293">
                  <c:v>2.2984669536860649E-2</c:v>
                </c:pt>
                <c:pt idx="294">
                  <c:v>2.3034929612033132E-2</c:v>
                </c:pt>
                <c:pt idx="295">
                  <c:v>2.3084819459717444E-2</c:v>
                </c:pt>
                <c:pt idx="296">
                  <c:v>2.3134354292080474E-2</c:v>
                </c:pt>
                <c:pt idx="297">
                  <c:v>2.3183550532483586E-2</c:v>
                </c:pt>
                <c:pt idx="298">
                  <c:v>2.3232425772095722E-2</c:v>
                </c:pt>
                <c:pt idx="299">
                  <c:v>2.3280998718337803E-2</c:v>
                </c:pt>
                <c:pt idx="300">
                  <c:v>2.3329289135351556E-2</c:v>
                </c:pt>
                <c:pt idx="301">
                  <c:v>2.3377317776754936E-2</c:v>
                </c:pt>
                <c:pt idx="302">
                  <c:v>2.3425106311014039E-2</c:v>
                </c:pt>
                <c:pt idx="303">
                  <c:v>2.3472677239826791E-2</c:v>
                </c:pt>
                <c:pt idx="304">
                  <c:v>2.3520053809977272E-2</c:v>
                </c:pt>
                <c:pt idx="305">
                  <c:v>2.3567259919179181E-2</c:v>
                </c:pt>
                <c:pt idx="306">
                  <c:v>2.3614320016483458E-2</c:v>
                </c:pt>
                <c:pt idx="307">
                  <c:v>2.366125899787682E-2</c:v>
                </c:pt>
                <c:pt idx="308">
                  <c:v>2.3708102097745268E-2</c:v>
                </c:pt>
                <c:pt idx="309">
                  <c:v>2.3754874776918122E-2</c:v>
                </c:pt>
                <c:pt idx="310">
                  <c:v>2.3801602608044314E-2</c:v>
                </c:pt>
                <c:pt idx="311">
                  <c:v>2.3848311159082553E-2</c:v>
                </c:pt>
                <c:pt idx="312">
                  <c:v>2.3895025875710095E-2</c:v>
                </c:pt>
                <c:pt idx="313">
                  <c:v>2.3941771963471678E-2</c:v>
                </c:pt>
                <c:pt idx="314">
                  <c:v>2.3988574270499857E-2</c:v>
                </c:pt>
                <c:pt idx="315">
                  <c:v>2.4035457171640257E-2</c:v>
                </c:pt>
                <c:pt idx="316">
                  <c:v>2.4082444454810972E-2</c:v>
                </c:pt>
                <c:pt idx="317">
                  <c:v>2.4129559210413334E-2</c:v>
                </c:pt>
                <c:pt idx="318">
                  <c:v>2.4176823724592345E-2</c:v>
                </c:pt>
                <c:pt idx="319">
                  <c:v>2.4224259377119351E-2</c:v>
                </c:pt>
                <c:pt idx="320">
                  <c:v>2.4271886544636512E-2</c:v>
                </c:pt>
                <c:pt idx="321">
                  <c:v>2.431972450996369E-2</c:v>
                </c:pt>
                <c:pt idx="322">
                  <c:v>2.4367791378122772E-2</c:v>
                </c:pt>
                <c:pt idx="323">
                  <c:v>2.4416103999683088E-2</c:v>
                </c:pt>
                <c:pt idx="324">
                  <c:v>2.4464677901975165E-2</c:v>
                </c:pt>
                <c:pt idx="325">
                  <c:v>2.4513527228658429E-2</c:v>
                </c:pt>
                <c:pt idx="326">
                  <c:v>2.4562664688062365E-2</c:v>
                </c:pt>
                <c:pt idx="327">
                  <c:v>2.4612101510651505E-2</c:v>
                </c:pt>
                <c:pt idx="328">
                  <c:v>2.4661847415891325E-2</c:v>
                </c:pt>
                <c:pt idx="329">
                  <c:v>2.4711910588717412E-2</c:v>
                </c:pt>
                <c:pt idx="330">
                  <c:v>2.4762297665732663E-2</c:v>
                </c:pt>
                <c:pt idx="331">
                  <c:v>2.4813013731179837E-2</c:v>
                </c:pt>
                <c:pt idx="332">
                  <c:v>2.486406232265766E-2</c:v>
                </c:pt>
                <c:pt idx="333">
                  <c:v>2.4915445446470865E-2</c:v>
                </c:pt>
                <c:pt idx="334">
                  <c:v>2.4967163602427334E-2</c:v>
                </c:pt>
                <c:pt idx="335">
                  <c:v>2.5019215817820066E-2</c:v>
                </c:pt>
                <c:pt idx="336">
                  <c:v>2.507159969025884E-2</c:v>
                </c:pt>
                <c:pt idx="337">
                  <c:v>2.5124311438946435E-2</c:v>
                </c:pt>
                <c:pt idx="338">
                  <c:v>2.5177345963928403E-2</c:v>
                </c:pt>
                <c:pt idx="339">
                  <c:v>2.5230696912783249E-2</c:v>
                </c:pt>
                <c:pt idx="340">
                  <c:v>2.5284356754163316E-2</c:v>
                </c:pt>
                <c:pt idx="341">
                  <c:v>2.5338316857545007E-2</c:v>
                </c:pt>
                <c:pt idx="342">
                  <c:v>2.5392567578501255E-2</c:v>
                </c:pt>
                <c:pt idx="343">
                  <c:v>2.5447098348770063E-2</c:v>
                </c:pt>
                <c:pt idx="344">
                  <c:v>2.5501897770359917E-2</c:v>
                </c:pt>
                <c:pt idx="345">
                  <c:v>2.5556953712907036E-2</c:v>
                </c:pt>
                <c:pt idx="346">
                  <c:v>2.561225341348081E-2</c:v>
                </c:pt>
                <c:pt idx="347">
                  <c:v>2.5667783578022144E-2</c:v>
                </c:pt>
                <c:pt idx="348">
                  <c:v>2.5723530483595134E-2</c:v>
                </c:pt>
                <c:pt idx="349">
                  <c:v>2.577948008063571E-2</c:v>
                </c:pt>
                <c:pt idx="350">
                  <c:v>2.5835618094391301E-2</c:v>
                </c:pt>
                <c:pt idx="351">
                  <c:v>2.589193012476294E-2</c:v>
                </c:pt>
                <c:pt idx="352">
                  <c:v>2.5948401743785741E-2</c:v>
                </c:pt>
                <c:pt idx="353">
                  <c:v>2.6005018590014625E-2</c:v>
                </c:pt>
                <c:pt idx="354">
                  <c:v>2.6061766459119739E-2</c:v>
                </c:pt>
                <c:pt idx="355">
                  <c:v>2.6118631390039181E-2</c:v>
                </c:pt>
                <c:pt idx="356">
                  <c:v>2.6175599746085382E-2</c:v>
                </c:pt>
                <c:pt idx="357">
                  <c:v>2.6232658290455495E-2</c:v>
                </c:pt>
                <c:pt idx="358">
                  <c:v>2.6289794255654138E-2</c:v>
                </c:pt>
                <c:pt idx="359">
                  <c:v>2.634699540639901E-2</c:v>
                </c:pt>
                <c:pt idx="360">
                  <c:v>2.6404250095645204E-2</c:v>
                </c:pt>
                <c:pt idx="361">
                  <c:v>2.646154731343207E-2</c:v>
                </c:pt>
                <c:pt idx="362">
                  <c:v>2.6518876728325928E-2</c:v>
                </c:pt>
                <c:pt idx="363">
                  <c:v>2.657622872130366E-2</c:v>
                </c:pt>
                <c:pt idx="364">
                  <c:v>2.6633594411993193E-2</c:v>
                </c:pt>
                <c:pt idx="365">
                  <c:v>2.669096567725893E-2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'2024'!Pvg</c:f>
              <c:numCache>
                <c:formatCode>0.00%</c:formatCode>
                <c:ptCount val="366"/>
                <c:pt idx="0">
                  <c:v>1.1189278494433683E-3</c:v>
                </c:pt>
                <c:pt idx="1">
                  <c:v>1.1332299625288486E-3</c:v>
                </c:pt>
                <c:pt idx="2">
                  <c:v>1.1476730004125319E-3</c:v>
                </c:pt>
                <c:pt idx="3">
                  <c:v>1.1622566763856256E-3</c:v>
                </c:pt>
                <c:pt idx="4">
                  <c:v>1.1769816503813069E-3</c:v>
                </c:pt>
                <c:pt idx="5">
                  <c:v>1.1918495186832752E-3</c:v>
                </c:pt>
                <c:pt idx="6">
                  <c:v>1.2068627983311566E-3</c:v>
                </c:pt>
                <c:pt idx="7">
                  <c:v>1.2220249076047823E-3</c:v>
                </c:pt>
                <c:pt idx="8">
                  <c:v>1.2372170611168181E-3</c:v>
                </c:pt>
                <c:pt idx="9">
                  <c:v>1.2495369488212578E-3</c:v>
                </c:pt>
                <c:pt idx="10">
                  <c:v>1.257574471990398E-3</c:v>
                </c:pt>
                <c:pt idx="11">
                  <c:v>1.2614559092067239E-3</c:v>
                </c:pt>
                <c:pt idx="12">
                  <c:v>1.2613126115976964E-3</c:v>
                </c:pt>
                <c:pt idx="13">
                  <c:v>1.2572794675631581E-3</c:v>
                </c:pt>
                <c:pt idx="14">
                  <c:v>1.2494934763008796E-3</c:v>
                </c:pt>
                <c:pt idx="15">
                  <c:v>1.2385186613756934E-3</c:v>
                </c:pt>
                <c:pt idx="16">
                  <c:v>1.2252756466786527E-3</c:v>
                </c:pt>
                <c:pt idx="17">
                  <c:v>1.2098641521230337E-3</c:v>
                </c:pt>
                <c:pt idx="18">
                  <c:v>1.1923816067306674E-3</c:v>
                </c:pt>
                <c:pt idx="19">
                  <c:v>1.1729281166373896E-3</c:v>
                </c:pt>
                <c:pt idx="20">
                  <c:v>1.1516025546089851E-3</c:v>
                </c:pt>
                <c:pt idx="21">
                  <c:v>1.1284953695401127E-3</c:v>
                </c:pt>
                <c:pt idx="22">
                  <c:v>1.1035925302926039E-3</c:v>
                </c:pt>
                <c:pt idx="23">
                  <c:v>1.076007588528459E-3</c:v>
                </c:pt>
                <c:pt idx="24">
                  <c:v>1.0482702076888542E-3</c:v>
                </c:pt>
                <c:pt idx="25">
                  <c:v>1.0204230237263888E-3</c:v>
                </c:pt>
                <c:pt idx="26">
                  <c:v>9.925049100790455E-4</c:v>
                </c:pt>
                <c:pt idx="27">
                  <c:v>9.6455107123268513E-4</c:v>
                </c:pt>
                <c:pt idx="28">
                  <c:v>9.3659315790347013E-4</c:v>
                </c:pt>
                <c:pt idx="29">
                  <c:v>9.0645045723901385E-4</c:v>
                </c:pt>
                <c:pt idx="30">
                  <c:v>8.7385391308952864E-4</c:v>
                </c:pt>
                <c:pt idx="31">
                  <c:v>8.3890589272478269E-4</c:v>
                </c:pt>
                <c:pt idx="32">
                  <c:v>8.0170322978627699E-4</c:v>
                </c:pt>
                <c:pt idx="33">
                  <c:v>7.6233706456772451E-4</c:v>
                </c:pt>
                <c:pt idx="34">
                  <c:v>7.2089273712896463E-4</c:v>
                </c:pt>
                <c:pt idx="35">
                  <c:v>6.774497265300708E-4</c:v>
                </c:pt>
                <c:pt idx="36">
                  <c:v>6.3202566078549504E-4</c:v>
                </c:pt>
                <c:pt idx="37">
                  <c:v>5.863758393755339E-4</c:v>
                </c:pt>
                <c:pt idx="38">
                  <c:v>5.4129061596169868E-4</c:v>
                </c:pt>
                <c:pt idx="39">
                  <c:v>4.9678106953041676E-4</c:v>
                </c:pt>
                <c:pt idx="40">
                  <c:v>4.5285339350310431E-4</c:v>
                </c:pt>
                <c:pt idx="41">
                  <c:v>4.0950928656765319E-4</c:v>
                </c:pt>
                <c:pt idx="42">
                  <c:v>3.66746323996613E-4</c:v>
                </c:pt>
                <c:pt idx="43">
                  <c:v>3.2620210087314376E-4</c:v>
                </c:pt>
                <c:pt idx="44">
                  <c:v>2.8970551163944388E-4</c:v>
                </c:pt>
                <c:pt idx="45">
                  <c:v>2.5714015152542848E-4</c:v>
                </c:pt>
                <c:pt idx="46">
                  <c:v>2.2839198719283807E-4</c:v>
                </c:pt>
                <c:pt idx="47">
                  <c:v>2.0335000569455137E-4</c:v>
                </c:pt>
                <c:pt idx="48">
                  <c:v>1.8190678125702467E-4</c:v>
                </c:pt>
                <c:pt idx="49">
                  <c:v>1.6395896972806493E-4</c:v>
                </c:pt>
                <c:pt idx="50">
                  <c:v>1.4939703665014668E-4</c:v>
                </c:pt>
                <c:pt idx="51">
                  <c:v>1.3787076961838601E-4</c:v>
                </c:pt>
                <c:pt idx="52">
                  <c:v>1.2781449908438053E-4</c:v>
                </c:pt>
                <c:pt idx="53">
                  <c:v>1.1918963697175003E-4</c:v>
                </c:pt>
                <c:pt idx="54">
                  <c:v>1.1195933347106714E-4</c:v>
                </c:pt>
                <c:pt idx="55">
                  <c:v>1.0608792959879932E-4</c:v>
                </c:pt>
                <c:pt idx="56">
                  <c:v>1.0154102495040131E-4</c:v>
                </c:pt>
                <c:pt idx="57">
                  <c:v>9.8332604739656077E-5</c:v>
                </c:pt>
                <c:pt idx="58">
                  <c:v>9.4996470623060782E-5</c:v>
                </c:pt>
                <c:pt idx="59">
                  <c:v>9.1536096596779701E-5</c:v>
                </c:pt>
                <c:pt idx="60">
                  <c:v>8.7954674044143639E-5</c:v>
                </c:pt>
                <c:pt idx="61">
                  <c:v>8.4255108359601754E-5</c:v>
                </c:pt>
                <c:pt idx="62">
                  <c:v>8.0440015055596766E-5</c:v>
                </c:pt>
                <c:pt idx="63">
                  <c:v>7.6511715327858674E-5</c:v>
                </c:pt>
                <c:pt idx="64">
                  <c:v>7.2471032325334322E-5</c:v>
                </c:pt>
                <c:pt idx="65">
                  <c:v>6.8576923973945846E-5</c:v>
                </c:pt>
                <c:pt idx="66">
                  <c:v>6.5045140266316409E-5</c:v>
                </c:pt>
                <c:pt idx="67">
                  <c:v>6.1867179405227201E-5</c:v>
                </c:pt>
                <c:pt idx="68">
                  <c:v>5.9034979742923934E-5</c:v>
                </c:pt>
                <c:pt idx="69">
                  <c:v>5.6548305344270018E-5</c:v>
                </c:pt>
                <c:pt idx="70">
                  <c:v>5.4392129522985223E-5</c:v>
                </c:pt>
                <c:pt idx="71">
                  <c:v>5.2633186090542961E-5</c:v>
                </c:pt>
                <c:pt idx="72">
                  <c:v>5.1221483224169517E-5</c:v>
                </c:pt>
                <c:pt idx="73">
                  <c:v>5.0150428844308933E-5</c:v>
                </c:pt>
                <c:pt idx="74">
                  <c:v>4.941381011322689E-5</c:v>
                </c:pt>
                <c:pt idx="75">
                  <c:v>4.9005784601635543E-5</c:v>
                </c:pt>
                <c:pt idx="76">
                  <c:v>4.8920873184550401E-5</c:v>
                </c:pt>
                <c:pt idx="77">
                  <c:v>4.915395447836628E-5</c:v>
                </c:pt>
                <c:pt idx="78">
                  <c:v>4.9698696318842359E-5</c:v>
                </c:pt>
                <c:pt idx="79">
                  <c:v>5.0491032382526485E-5</c:v>
                </c:pt>
                <c:pt idx="80">
                  <c:v>5.129237138522016E-5</c:v>
                </c:pt>
                <c:pt idx="81">
                  <c:v>5.2104141738933898E-5</c:v>
                </c:pt>
                <c:pt idx="82">
                  <c:v>5.2927832041249562E-5</c:v>
                </c:pt>
                <c:pt idx="83">
                  <c:v>5.37649921281408E-5</c:v>
                </c:pt>
                <c:pt idx="84">
                  <c:v>5.4617234584263902E-5</c:v>
                </c:pt>
                <c:pt idx="85">
                  <c:v>5.5517569741156289E-5</c:v>
                </c:pt>
                <c:pt idx="86">
                  <c:v>5.6398720241527E-5</c:v>
                </c:pt>
                <c:pt idx="87">
                  <c:v>5.7262793939503172E-5</c:v>
                </c:pt>
                <c:pt idx="88">
                  <c:v>5.8111897952610617E-5</c:v>
                </c:pt>
                <c:pt idx="89">
                  <c:v>5.8948136199984463E-5</c:v>
                </c:pt>
                <c:pt idx="90">
                  <c:v>5.9773607670843771E-5</c:v>
                </c:pt>
                <c:pt idx="91">
                  <c:v>6.0590405351795255E-5</c:v>
                </c:pt>
                <c:pt idx="92">
                  <c:v>6.1398670215567097E-5</c:v>
                </c:pt>
                <c:pt idx="93">
                  <c:v>6.225676768669146E-5</c:v>
                </c:pt>
                <c:pt idx="94">
                  <c:v>6.3221200064286925E-5</c:v>
                </c:pt>
                <c:pt idx="95">
                  <c:v>6.4292432140888829E-5</c:v>
                </c:pt>
                <c:pt idx="96">
                  <c:v>6.5471097965604566E-5</c:v>
                </c:pt>
                <c:pt idx="97">
                  <c:v>6.675799820230308E-5</c:v>
                </c:pt>
                <c:pt idx="98">
                  <c:v>6.8154097652382571E-5</c:v>
                </c:pt>
                <c:pt idx="99">
                  <c:v>6.9580878061071709E-5</c:v>
                </c:pt>
                <c:pt idx="100">
                  <c:v>7.1009278414376146E-5</c:v>
                </c:pt>
                <c:pt idx="101">
                  <c:v>7.2440607083670556E-5</c:v>
                </c:pt>
                <c:pt idx="102">
                  <c:v>7.3876146528676503E-5</c:v>
                </c:pt>
                <c:pt idx="103">
                  <c:v>7.5317153645919769E-5</c:v>
                </c:pt>
                <c:pt idx="104">
                  <c:v>7.6764859934730343E-5</c:v>
                </c:pt>
                <c:pt idx="105">
                  <c:v>7.8220471538916617E-5</c:v>
                </c:pt>
                <c:pt idx="106">
                  <c:v>7.968667101335146E-5</c:v>
                </c:pt>
                <c:pt idx="107">
                  <c:v>8.1081044746726173E-5</c:v>
                </c:pt>
                <c:pt idx="108">
                  <c:v>8.2343746026950794E-5</c:v>
                </c:pt>
                <c:pt idx="109">
                  <c:v>8.347418916804899E-5</c:v>
                </c:pt>
                <c:pt idx="110">
                  <c:v>8.4471671753992125E-5</c:v>
                </c:pt>
                <c:pt idx="111">
                  <c:v>8.5335188012150196E-5</c:v>
                </c:pt>
                <c:pt idx="112">
                  <c:v>8.6063219480490212E-5</c:v>
                </c:pt>
                <c:pt idx="113">
                  <c:v>8.666586146048568E-5</c:v>
                </c:pt>
                <c:pt idx="114">
                  <c:v>8.7222835051590971E-5</c:v>
                </c:pt>
                <c:pt idx="115">
                  <c:v>8.7732660758005365E-5</c:v>
                </c:pt>
                <c:pt idx="116">
                  <c:v>8.8193683360789614E-5</c:v>
                </c:pt>
                <c:pt idx="117">
                  <c:v>8.8604069762503317E-5</c:v>
                </c:pt>
                <c:pt idx="118">
                  <c:v>8.8961807042991305E-5</c:v>
                </c:pt>
                <c:pt idx="119">
                  <c:v>8.9264700823406352E-5</c:v>
                </c:pt>
                <c:pt idx="120">
                  <c:v>8.9511825901849099E-5</c:v>
                </c:pt>
                <c:pt idx="121">
                  <c:v>8.9690691339682066E-5</c:v>
                </c:pt>
                <c:pt idx="122">
                  <c:v>8.9890851898449673E-5</c:v>
                </c:pt>
                <c:pt idx="123">
                  <c:v>9.0111275481250243E-5</c:v>
                </c:pt>
                <c:pt idx="124">
                  <c:v>9.0350872253011654E-5</c:v>
                </c:pt>
                <c:pt idx="125">
                  <c:v>9.0608491274338075E-5</c:v>
                </c:pt>
                <c:pt idx="126">
                  <c:v>9.0882917285018574E-5</c:v>
                </c:pt>
                <c:pt idx="127">
                  <c:v>9.1116604475296708E-5</c:v>
                </c:pt>
                <c:pt idx="128">
                  <c:v>9.1294778373570998E-5</c:v>
                </c:pt>
                <c:pt idx="129">
                  <c:v>9.1414451318897567E-5</c:v>
                </c:pt>
                <c:pt idx="130">
                  <c:v>9.1472472956115862E-5</c:v>
                </c:pt>
                <c:pt idx="131">
                  <c:v>9.1465532994618797E-5</c:v>
                </c:pt>
                <c:pt idx="132">
                  <c:v>9.1390164837613547E-5</c:v>
                </c:pt>
                <c:pt idx="133">
                  <c:v>9.1242750150221852E-5</c:v>
                </c:pt>
                <c:pt idx="134">
                  <c:v>9.1020463224100319E-5</c:v>
                </c:pt>
                <c:pt idx="135">
                  <c:v>9.0700863579334381E-5</c:v>
                </c:pt>
                <c:pt idx="136">
                  <c:v>9.029581344406596E-5</c:v>
                </c:pt>
                <c:pt idx="137">
                  <c:v>8.9803634370891992E-5</c:v>
                </c:pt>
                <c:pt idx="138">
                  <c:v>8.9222675148681977E-5</c:v>
                </c:pt>
                <c:pt idx="139">
                  <c:v>8.8551323555954842E-5</c:v>
                </c:pt>
                <c:pt idx="140">
                  <c:v>8.7788018172849734E-5</c:v>
                </c:pt>
                <c:pt idx="141">
                  <c:v>8.6958248014508578E-5</c:v>
                </c:pt>
                <c:pt idx="142">
                  <c:v>8.6126465261872399E-5</c:v>
                </c:pt>
                <c:pt idx="143">
                  <c:v>8.5294388742070327E-5</c:v>
                </c:pt>
                <c:pt idx="144">
                  <c:v>8.4464371288134891E-5</c:v>
                </c:pt>
                <c:pt idx="145">
                  <c:v>8.3638955311386639E-5</c:v>
                </c:pt>
                <c:pt idx="146">
                  <c:v>8.2820870405580751E-5</c:v>
                </c:pt>
                <c:pt idx="147">
                  <c:v>8.2013029505364652E-5</c:v>
                </c:pt>
                <c:pt idx="148">
                  <c:v>8.1218582616703099E-5</c:v>
                </c:pt>
                <c:pt idx="149">
                  <c:v>8.0412900808997818E-5</c:v>
                </c:pt>
                <c:pt idx="150">
                  <c:v>7.9603644829342608E-5</c:v>
                </c:pt>
                <c:pt idx="151">
                  <c:v>7.8787163221734566E-5</c:v>
                </c:pt>
                <c:pt idx="152">
                  <c:v>7.7959683318558167E-5</c:v>
                </c:pt>
                <c:pt idx="153">
                  <c:v>7.7117320673260556E-5</c:v>
                </c:pt>
                <c:pt idx="154">
                  <c:v>7.6256089417390765E-5</c:v>
                </c:pt>
                <c:pt idx="155">
                  <c:v>7.5399040987499393E-5</c:v>
                </c:pt>
                <c:pt idx="156">
                  <c:v>7.4508337430910076E-5</c:v>
                </c:pt>
                <c:pt idx="157">
                  <c:v>7.3578565292423676E-5</c:v>
                </c:pt>
                <c:pt idx="158">
                  <c:v>7.26042340840364E-5</c:v>
                </c:pt>
                <c:pt idx="159">
                  <c:v>7.1579793665710911E-5</c:v>
                </c:pt>
                <c:pt idx="160">
                  <c:v>7.049965200740338E-5</c:v>
                </c:pt>
                <c:pt idx="161">
                  <c:v>6.9358193146107719E-5</c:v>
                </c:pt>
                <c:pt idx="162">
                  <c:v>6.8149745857045099E-5</c:v>
                </c:pt>
                <c:pt idx="163">
                  <c:v>6.6991368043889998E-5</c:v>
                </c:pt>
                <c:pt idx="164">
                  <c:v>6.5936296850382112E-5</c:v>
                </c:pt>
                <c:pt idx="165">
                  <c:v>6.4989148249927319E-5</c:v>
                </c:pt>
                <c:pt idx="166">
                  <c:v>6.4154605688510708E-5</c:v>
                </c:pt>
                <c:pt idx="167">
                  <c:v>6.3437403287058814E-5</c:v>
                </c:pt>
                <c:pt idx="168">
                  <c:v>6.2842309110011112E-5</c:v>
                </c:pt>
                <c:pt idx="169">
                  <c:v>6.2506750653249426E-5</c:v>
                </c:pt>
                <c:pt idx="170">
                  <c:v>6.2411755918823802E-5</c:v>
                </c:pt>
                <c:pt idx="171">
                  <c:v>6.2566565951247628E-5</c:v>
                </c:pt>
                <c:pt idx="172">
                  <c:v>6.2980314943888863E-5</c:v>
                </c:pt>
                <c:pt idx="173">
                  <c:v>6.3661458719380148E-5</c:v>
                </c:pt>
                <c:pt idx="174">
                  <c:v>6.4618232057531784E-5</c:v>
                </c:pt>
                <c:pt idx="175">
                  <c:v>6.5859176418171664E-5</c:v>
                </c:pt>
                <c:pt idx="176">
                  <c:v>6.7392325364991047E-5</c:v>
                </c:pt>
                <c:pt idx="177">
                  <c:v>6.9254715709977203E-5</c:v>
                </c:pt>
                <c:pt idx="178">
                  <c:v>7.1308384465131649E-5</c:v>
                </c:pt>
                <c:pt idx="179">
                  <c:v>7.355720705284232E-5</c:v>
                </c:pt>
                <c:pt idx="180">
                  <c:v>7.600495576436583E-5</c:v>
                </c:pt>
                <c:pt idx="181">
                  <c:v>7.8655309869262219E-5</c:v>
                </c:pt>
                <c:pt idx="182">
                  <c:v>8.151186745391355E-5</c:v>
                </c:pt>
                <c:pt idx="183">
                  <c:v>8.4490596167664035E-5</c:v>
                </c:pt>
                <c:pt idx="184">
                  <c:v>8.7435814762697311E-5</c:v>
                </c:pt>
                <c:pt idx="185">
                  <c:v>9.0342567075060883E-5</c:v>
                </c:pt>
                <c:pt idx="186">
                  <c:v>9.3206145438571032E-5</c:v>
                </c:pt>
                <c:pt idx="187">
                  <c:v>9.6022097780239522E-5</c:v>
                </c:pt>
                <c:pt idx="188">
                  <c:v>9.8786232328913268E-5</c:v>
                </c:pt>
                <c:pt idx="189">
                  <c:v>1.0149462005338421E-4</c:v>
                </c:pt>
                <c:pt idx="190">
                  <c:v>1.0414344167942861E-4</c:v>
                </c:pt>
                <c:pt idx="191">
                  <c:v>1.0677849511082133E-4</c:v>
                </c:pt>
                <c:pt idx="192">
                  <c:v>1.0936703565502282E-4</c:v>
                </c:pt>
                <c:pt idx="193">
                  <c:v>1.119059630627953E-4</c:v>
                </c:pt>
                <c:pt idx="194">
                  <c:v>1.1439230434669731E-4</c:v>
                </c:pt>
                <c:pt idx="195">
                  <c:v>1.1682321070358143E-4</c:v>
                </c:pt>
                <c:pt idx="196">
                  <c:v>1.1919595361576398E-4</c:v>
                </c:pt>
                <c:pt idx="197">
                  <c:v>1.2154378747778946E-4</c:v>
                </c:pt>
                <c:pt idx="198">
                  <c:v>1.2397510480745147E-4</c:v>
                </c:pt>
                <c:pt idx="199">
                  <c:v>1.2649327800608705E-4</c:v>
                </c:pt>
                <c:pt idx="200">
                  <c:v>1.2910155487769962E-4</c:v>
                </c:pt>
                <c:pt idx="201">
                  <c:v>1.3180305459822066E-4</c:v>
                </c:pt>
                <c:pt idx="202">
                  <c:v>1.3460076384843269E-4</c:v>
                </c:pt>
                <c:pt idx="203">
                  <c:v>1.3749753303764572E-4</c:v>
                </c:pt>
                <c:pt idx="204">
                  <c:v>1.4049747338964634E-4</c:v>
                </c:pt>
                <c:pt idx="205">
                  <c:v>1.4350144615685845E-4</c:v>
                </c:pt>
                <c:pt idx="206">
                  <c:v>1.4645658302801754E-4</c:v>
                </c:pt>
                <c:pt idx="207">
                  <c:v>1.4936393498738879E-4</c:v>
                </c:pt>
                <c:pt idx="208">
                  <c:v>1.5222450490205266E-4</c:v>
                </c:pt>
                <c:pt idx="209">
                  <c:v>1.5503924426722211E-4</c:v>
                </c:pt>
                <c:pt idx="210">
                  <c:v>1.5780905042216706E-4</c:v>
                </c:pt>
                <c:pt idx="211">
                  <c:v>1.605021886020948E-4</c:v>
                </c:pt>
                <c:pt idx="212">
                  <c:v>1.6307361732882216E-4</c:v>
                </c:pt>
                <c:pt idx="213">
                  <c:v>1.655219711281703E-4</c:v>
                </c:pt>
                <c:pt idx="214">
                  <c:v>1.6784588892468415E-4</c:v>
                </c:pt>
                <c:pt idx="215">
                  <c:v>1.7004400888125242E-4</c:v>
                </c:pt>
                <c:pt idx="216">
                  <c:v>1.7211496376484024E-4</c:v>
                </c:pt>
                <c:pt idx="217">
                  <c:v>1.7405737680500989E-4</c:v>
                </c:pt>
                <c:pt idx="218">
                  <c:v>1.7586896545690475E-4</c:v>
                </c:pt>
                <c:pt idx="219">
                  <c:v>1.7755679611436277E-4</c:v>
                </c:pt>
                <c:pt idx="220">
                  <c:v>1.792294992111973E-4</c:v>
                </c:pt>
                <c:pt idx="221">
                  <c:v>1.8088723103896123E-4</c:v>
                </c:pt>
                <c:pt idx="222">
                  <c:v>1.8253016334293299E-4</c:v>
                </c:pt>
                <c:pt idx="223">
                  <c:v>1.8415848306980166E-4</c:v>
                </c:pt>
                <c:pt idx="224">
                  <c:v>1.8577239227199341E-4</c:v>
                </c:pt>
                <c:pt idx="225">
                  <c:v>1.8717508222750997E-4</c:v>
                </c:pt>
                <c:pt idx="226">
                  <c:v>1.8839946216000982E-4</c:v>
                </c:pt>
                <c:pt idx="227">
                  <c:v>1.8944395087906428E-4</c:v>
                </c:pt>
                <c:pt idx="228">
                  <c:v>1.9030694552817266E-4</c:v>
                </c:pt>
                <c:pt idx="229">
                  <c:v>1.9098681650026443E-4</c:v>
                </c:pt>
                <c:pt idx="230">
                  <c:v>1.9148190234230785E-4</c:v>
                </c:pt>
                <c:pt idx="231">
                  <c:v>1.917905045668471E-4</c:v>
                </c:pt>
                <c:pt idx="232">
                  <c:v>1.919097072830393E-4</c:v>
                </c:pt>
                <c:pt idx="233">
                  <c:v>1.916822335272556E-4</c:v>
                </c:pt>
                <c:pt idx="234">
                  <c:v>1.9109493502538603E-4</c:v>
                </c:pt>
                <c:pt idx="235">
                  <c:v>1.9014380599300878E-4</c:v>
                </c:pt>
                <c:pt idx="236">
                  <c:v>1.8882479159420209E-4</c:v>
                </c:pt>
                <c:pt idx="237">
                  <c:v>1.8713363073428319E-4</c:v>
                </c:pt>
                <c:pt idx="238">
                  <c:v>1.8506595657510644E-4</c:v>
                </c:pt>
                <c:pt idx="239">
                  <c:v>1.8276031231102979E-4</c:v>
                </c:pt>
                <c:pt idx="240">
                  <c:v>1.8042294264426447E-4</c:v>
                </c:pt>
                <c:pt idx="241">
                  <c:v>1.7805353380490917E-4</c:v>
                </c:pt>
                <c:pt idx="242">
                  <c:v>1.7565174469138725E-4</c:v>
                </c:pt>
                <c:pt idx="243">
                  <c:v>1.7321720719400745E-4</c:v>
                </c:pt>
                <c:pt idx="244">
                  <c:v>1.707495265286556E-4</c:v>
                </c:pt>
                <c:pt idx="245">
                  <c:v>1.68248281563126E-4</c:v>
                </c:pt>
                <c:pt idx="246">
                  <c:v>1.6571302519766817E-4</c:v>
                </c:pt>
                <c:pt idx="247">
                  <c:v>1.632060077057846E-4</c:v>
                </c:pt>
                <c:pt idx="248">
                  <c:v>1.6089069601803779E-4</c:v>
                </c:pt>
                <c:pt idx="249">
                  <c:v>1.5876939086607349E-4</c:v>
                </c:pt>
                <c:pt idx="250">
                  <c:v>1.5684443553869829E-4</c:v>
                </c:pt>
                <c:pt idx="251">
                  <c:v>1.5511821650305264E-4</c:v>
                </c:pt>
                <c:pt idx="252">
                  <c:v>1.5359316390055807E-4</c:v>
                </c:pt>
                <c:pt idx="253">
                  <c:v>1.5213575581197073E-4</c:v>
                </c:pt>
                <c:pt idx="254">
                  <c:v>1.5059427518677109E-4</c:v>
                </c:pt>
                <c:pt idx="255">
                  <c:v>1.4896741672328249E-4</c:v>
                </c:pt>
                <c:pt idx="256">
                  <c:v>1.4725384705998028E-4</c:v>
                </c:pt>
                <c:pt idx="257">
                  <c:v>1.4545220621186973E-4</c:v>
                </c:pt>
                <c:pt idx="258">
                  <c:v>1.4356110927492676E-4</c:v>
                </c:pt>
                <c:pt idx="259">
                  <c:v>1.4157914841797081E-4</c:v>
                </c:pt>
                <c:pt idx="260">
                  <c:v>1.3950743282954456E-4</c:v>
                </c:pt>
                <c:pt idx="261">
                  <c:v>1.3754198783876329E-4</c:v>
                </c:pt>
                <c:pt idx="262">
                  <c:v>1.3561589886552542E-4</c:v>
                </c:pt>
                <c:pt idx="263">
                  <c:v>1.3372832961811999E-4</c:v>
                </c:pt>
                <c:pt idx="264">
                  <c:v>1.3187850164843342E-4</c:v>
                </c:pt>
                <c:pt idx="265">
                  <c:v>1.3006626967157508E-4</c:v>
                </c:pt>
                <c:pt idx="266">
                  <c:v>1.2829122522236143E-4</c:v>
                </c:pt>
                <c:pt idx="267">
                  <c:v>1.2714146094016984E-4</c:v>
                </c:pt>
                <c:pt idx="268">
                  <c:v>1.2677015113377025E-4</c:v>
                </c:pt>
                <c:pt idx="269">
                  <c:v>1.2718690415345165E-4</c:v>
                </c:pt>
                <c:pt idx="270">
                  <c:v>1.2840127372920046E-4</c:v>
                </c:pt>
                <c:pt idx="271">
                  <c:v>1.3042266223074089E-4</c:v>
                </c:pt>
                <c:pt idx="272">
                  <c:v>1.332602195101072E-4</c:v>
                </c:pt>
                <c:pt idx="273">
                  <c:v>1.3692273751670392E-4</c:v>
                </c:pt>
                <c:pt idx="274">
                  <c:v>1.4142274609125468E-4</c:v>
                </c:pt>
                <c:pt idx="275">
                  <c:v>1.468120683436389E-4</c:v>
                </c:pt>
                <c:pt idx="276">
                  <c:v>1.5289084513490139E-4</c:v>
                </c:pt>
                <c:pt idx="277">
                  <c:v>1.5966610014111804E-4</c:v>
                </c:pt>
                <c:pt idx="278">
                  <c:v>1.6714462824852971E-4</c:v>
                </c:pt>
                <c:pt idx="279">
                  <c:v>1.7533296660619973E-4</c:v>
                </c:pt>
                <c:pt idx="280">
                  <c:v>1.8423736785859582E-4</c:v>
                </c:pt>
                <c:pt idx="281">
                  <c:v>1.9333461616809845E-4</c:v>
                </c:pt>
                <c:pt idx="282">
                  <c:v>2.0199571822900533E-4</c:v>
                </c:pt>
                <c:pt idx="283">
                  <c:v>2.1021261909321995E-4</c:v>
                </c:pt>
                <c:pt idx="284">
                  <c:v>2.1797735067579765E-4</c:v>
                </c:pt>
                <c:pt idx="285">
                  <c:v>2.2528206823163059E-4</c:v>
                </c:pt>
                <c:pt idx="286">
                  <c:v>2.3211908596788993E-4</c:v>
                </c:pt>
                <c:pt idx="287">
                  <c:v>2.3848091139315792E-4</c:v>
                </c:pt>
                <c:pt idx="288">
                  <c:v>2.4436601318755796E-4</c:v>
                </c:pt>
                <c:pt idx="289">
                  <c:v>2.5275347233415577E-4</c:v>
                </c:pt>
                <c:pt idx="290">
                  <c:v>2.6362597705355603E-4</c:v>
                </c:pt>
                <c:pt idx="291">
                  <c:v>2.7700582203427266E-4</c:v>
                </c:pt>
                <c:pt idx="292">
                  <c:v>2.9291462408771859E-4</c:v>
                </c:pt>
                <c:pt idx="293">
                  <c:v>3.1137325478568348E-4</c:v>
                </c:pt>
                <c:pt idx="294">
                  <c:v>3.3240178400210647E-4</c:v>
                </c:pt>
                <c:pt idx="295">
                  <c:v>3.5958786611375057E-4</c:v>
                </c:pt>
                <c:pt idx="296">
                  <c:v>3.9354335468827793E-4</c:v>
                </c:pt>
                <c:pt idx="297">
                  <c:v>4.3432605797245958E-4</c:v>
                </c:pt>
                <c:pt idx="298">
                  <c:v>4.8198981268336515E-4</c:v>
                </c:pt>
                <c:pt idx="299">
                  <c:v>5.3658674272091225E-4</c:v>
                </c:pt>
                <c:pt idx="300">
                  <c:v>5.9816723975242216E-4</c:v>
                </c:pt>
                <c:pt idx="301">
                  <c:v>6.6677996463231353E-4</c:v>
                </c:pt>
                <c:pt idx="302">
                  <c:v>7.4251144206466965E-4</c:v>
                </c:pt>
                <c:pt idx="303">
                  <c:v>8.2251905445370626E-4</c:v>
                </c:pt>
                <c:pt idx="304">
                  <c:v>9.0372838212416642E-4</c:v>
                </c:pt>
                <c:pt idx="305">
                  <c:v>9.8615502908887048E-4</c:v>
                </c:pt>
                <c:pt idx="306">
                  <c:v>1.0698132629230882E-3</c:v>
                </c:pt>
                <c:pt idx="307">
                  <c:v>1.154715834998799E-3</c:v>
                </c:pt>
                <c:pt idx="308">
                  <c:v>1.240873761420003E-3</c:v>
                </c:pt>
                <c:pt idx="309">
                  <c:v>1.326549134177497E-3</c:v>
                </c:pt>
                <c:pt idx="310">
                  <c:v>1.4080038558194987E-3</c:v>
                </c:pt>
                <c:pt idx="311">
                  <c:v>1.4851912113530486E-3</c:v>
                </c:pt>
                <c:pt idx="312">
                  <c:v>1.5580610505587943E-3</c:v>
                </c:pt>
                <c:pt idx="313">
                  <c:v>1.6265597588511461E-3</c:v>
                </c:pt>
                <c:pt idx="314">
                  <c:v>1.6906302427148029E-3</c:v>
                </c:pt>
                <c:pt idx="315">
                  <c:v>1.7502119397825697E-3</c:v>
                </c:pt>
                <c:pt idx="316">
                  <c:v>1.8054623837396048E-3</c:v>
                </c:pt>
                <c:pt idx="317">
                  <c:v>1.8559849322958343E-3</c:v>
                </c:pt>
                <c:pt idx="318">
                  <c:v>1.9047936683142326E-3</c:v>
                </c:pt>
                <c:pt idx="319">
                  <c:v>1.9518426609055675E-3</c:v>
                </c:pt>
                <c:pt idx="320">
                  <c:v>1.9970758001039281E-3</c:v>
                </c:pt>
                <c:pt idx="321">
                  <c:v>2.0404265808595017E-3</c:v>
                </c:pt>
                <c:pt idx="322">
                  <c:v>2.0818179528755486E-3</c:v>
                </c:pt>
                <c:pt idx="323">
                  <c:v>2.1166741700196614E-3</c:v>
                </c:pt>
                <c:pt idx="324">
                  <c:v>2.1466829780485367E-3</c:v>
                </c:pt>
                <c:pt idx="325">
                  <c:v>2.1717046690629977E-3</c:v>
                </c:pt>
                <c:pt idx="326">
                  <c:v>2.1915798455794792E-3</c:v>
                </c:pt>
                <c:pt idx="327">
                  <c:v>2.2061499791396133E-3</c:v>
                </c:pt>
                <c:pt idx="328">
                  <c:v>2.2152617597242402E-3</c:v>
                </c:pt>
                <c:pt idx="329">
                  <c:v>2.2187601637046568E-3</c:v>
                </c:pt>
                <c:pt idx="330">
                  <c:v>2.2168148829063618E-3</c:v>
                </c:pt>
                <c:pt idx="331">
                  <c:v>2.2091302155174404E-3</c:v>
                </c:pt>
                <c:pt idx="332">
                  <c:v>2.1962011859518347E-3</c:v>
                </c:pt>
                <c:pt idx="333">
                  <c:v>2.1779316146188282E-3</c:v>
                </c:pt>
                <c:pt idx="334">
                  <c:v>2.1542243492318819E-3</c:v>
                </c:pt>
                <c:pt idx="335">
                  <c:v>2.1249827701404016E-3</c:v>
                </c:pt>
                <c:pt idx="336">
                  <c:v>2.0901124680514716E-3</c:v>
                </c:pt>
                <c:pt idx="337">
                  <c:v>2.0518103990094958E-3</c:v>
                </c:pt>
                <c:pt idx="338">
                  <c:v>2.0147262596471719E-3</c:v>
                </c:pt>
                <c:pt idx="339">
                  <c:v>1.9788338161568892E-3</c:v>
                </c:pt>
                <c:pt idx="340">
                  <c:v>1.9441078313526508E-3</c:v>
                </c:pt>
                <c:pt idx="341">
                  <c:v>1.9105241047428939E-3</c:v>
                </c:pt>
                <c:pt idx="342">
                  <c:v>1.8780594938752337E-3</c:v>
                </c:pt>
                <c:pt idx="343">
                  <c:v>1.8466919194615372E-3</c:v>
                </c:pt>
                <c:pt idx="344">
                  <c:v>1.8165069841098978E-3</c:v>
                </c:pt>
                <c:pt idx="345">
                  <c:v>1.7876092580929777E-3</c:v>
                </c:pt>
                <c:pt idx="346">
                  <c:v>1.7616277732154396E-3</c:v>
                </c:pt>
                <c:pt idx="347">
                  <c:v>1.7385696297843843E-3</c:v>
                </c:pt>
                <c:pt idx="348">
                  <c:v>1.7184383091213358E-3</c:v>
                </c:pt>
                <c:pt idx="349">
                  <c:v>1.7012334453582352E-3</c:v>
                </c:pt>
                <c:pt idx="350">
                  <c:v>1.6869506052585022E-3</c:v>
                </c:pt>
                <c:pt idx="351">
                  <c:v>1.6766783107591136E-3</c:v>
                </c:pt>
                <c:pt idx="352">
                  <c:v>1.6680843908207089E-3</c:v>
                </c:pt>
                <c:pt idx="353">
                  <c:v>1.6611555975055107E-3</c:v>
                </c:pt>
                <c:pt idx="354">
                  <c:v>1.6558763263032994E-3</c:v>
                </c:pt>
                <c:pt idx="355">
                  <c:v>1.6522285836423837E-3</c:v>
                </c:pt>
                <c:pt idx="356">
                  <c:v>1.6501850260117073E-3</c:v>
                </c:pt>
                <c:pt idx="357">
                  <c:v>1.6497280185653765E-3</c:v>
                </c:pt>
                <c:pt idx="358">
                  <c:v>1.6507587800740965E-3</c:v>
                </c:pt>
                <c:pt idx="359">
                  <c:v>1.6532004843988919E-3</c:v>
                </c:pt>
                <c:pt idx="360">
                  <c:v>1.6593169445790561E-3</c:v>
                </c:pt>
                <c:pt idx="361">
                  <c:v>1.6680074727169654E-3</c:v>
                </c:pt>
                <c:pt idx="362">
                  <c:v>1.6792466975242499E-3</c:v>
                </c:pt>
                <c:pt idx="363">
                  <c:v>1.6930048147170711E-3</c:v>
                </c:pt>
                <c:pt idx="364">
                  <c:v>1.7092481207857484E-3</c:v>
                </c:pt>
                <c:pt idx="365">
                  <c:v>1.7279395619785043E-3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596632"/>
        <c:axId val="665597024"/>
      </c:lineChart>
      <c:dateAx>
        <c:axId val="6655966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597024"/>
        <c:crosses val="autoZero"/>
        <c:auto val="1"/>
        <c:lblOffset val="100"/>
        <c:baseTimeUnit val="days"/>
        <c:majorUnit val="1"/>
        <c:majorTimeUnit val="months"/>
      </c:dateAx>
      <c:valAx>
        <c:axId val="66559702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5966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94.216040188968151</c:v>
                </c:pt>
                <c:pt idx="1">
                  <c:v>94.792066137457468</c:v>
                </c:pt>
                <c:pt idx="2">
                  <c:v>95.402286272972574</c:v>
                </c:pt>
                <c:pt idx="3">
                  <c:v>96.044900962597339</c:v>
                </c:pt>
                <c:pt idx="4">
                  <c:v>96.718110790546348</c:v>
                </c:pt>
                <c:pt idx="5">
                  <c:v>97.420116535517863</c:v>
                </c:pt>
                <c:pt idx="6">
                  <c:v>98.14911919610374</c:v>
                </c:pt>
                <c:pt idx="7">
                  <c:v>98.903319989669271</c:v>
                </c:pt>
                <c:pt idx="8">
                  <c:v>99.690849165193725</c:v>
                </c:pt>
                <c:pt idx="9">
                  <c:v>100.51973133742098</c:v>
                </c:pt>
                <c:pt idx="10">
                  <c:v>101.38774044143182</c:v>
                </c:pt>
                <c:pt idx="11">
                  <c:v>102.29249927093493</c:v>
                </c:pt>
                <c:pt idx="12">
                  <c:v>103.23163098365113</c:v>
                </c:pt>
                <c:pt idx="13">
                  <c:v>104.20275907155123</c:v>
                </c:pt>
                <c:pt idx="14">
                  <c:v>105.20350742642688</c:v>
                </c:pt>
                <c:pt idx="15">
                  <c:v>106.2314549212614</c:v>
                </c:pt>
                <c:pt idx="16">
                  <c:v>107.28414067885694</c:v>
                </c:pt>
                <c:pt idx="17">
                  <c:v>108.35918967827143</c:v>
                </c:pt>
                <c:pt idx="18">
                  <c:v>109.45422727157259</c:v>
                </c:pt>
                <c:pt idx="19">
                  <c:v>110.5668786153368</c:v>
                </c:pt>
                <c:pt idx="20">
                  <c:v>111.69476901490611</c:v>
                </c:pt>
                <c:pt idx="21">
                  <c:v>112.83552469548921</c:v>
                </c:pt>
                <c:pt idx="22">
                  <c:v>113.99712235501315</c:v>
                </c:pt>
                <c:pt idx="23">
                  <c:v>115.18785834029939</c:v>
                </c:pt>
                <c:pt idx="24">
                  <c:v>116.40540649423627</c:v>
                </c:pt>
                <c:pt idx="25">
                  <c:v>117.64772158185593</c:v>
                </c:pt>
                <c:pt idx="26">
                  <c:v>118.91275882044134</c:v>
                </c:pt>
                <c:pt idx="27">
                  <c:v>120.1984738941822</c:v>
                </c:pt>
                <c:pt idx="28">
                  <c:v>121.50282292766923</c:v>
                </c:pt>
                <c:pt idx="29">
                  <c:v>122.82403409300252</c:v>
                </c:pt>
                <c:pt idx="30">
                  <c:v>124.16010984436021</c:v>
                </c:pt>
                <c:pt idx="31">
                  <c:v>125.50900780980642</c:v>
                </c:pt>
                <c:pt idx="32">
                  <c:v>126.86868614469518</c:v>
                </c:pt>
                <c:pt idx="33">
                  <c:v>128.23710349517731</c:v>
                </c:pt>
                <c:pt idx="34">
                  <c:v>129.612219042487</c:v>
                </c:pt>
                <c:pt idx="35">
                  <c:v>130.99199246848423</c:v>
                </c:pt>
                <c:pt idx="36">
                  <c:v>132.38611340345886</c:v>
                </c:pt>
                <c:pt idx="37">
                  <c:v>133.80335931061771</c:v>
                </c:pt>
                <c:pt idx="38">
                  <c:v>135.24056665324647</c:v>
                </c:pt>
                <c:pt idx="39">
                  <c:v>136.69467401014975</c:v>
                </c:pt>
                <c:pt idx="40">
                  <c:v>138.16262059412728</c:v>
                </c:pt>
                <c:pt idx="41">
                  <c:v>139.64134626053101</c:v>
                </c:pt>
                <c:pt idx="42">
                  <c:v>141.12779149291913</c:v>
                </c:pt>
                <c:pt idx="43">
                  <c:v>142.61866287068702</c:v>
                </c:pt>
                <c:pt idx="44">
                  <c:v>144.11062973347597</c:v>
                </c:pt>
                <c:pt idx="45">
                  <c:v>145.60063394909375</c:v>
                </c:pt>
                <c:pt idx="46">
                  <c:v>147.08561792696167</c:v>
                </c:pt>
                <c:pt idx="47">
                  <c:v>148.56252459902893</c:v>
                </c:pt>
                <c:pt idx="48">
                  <c:v>150.02829741269335</c:v>
                </c:pt>
                <c:pt idx="49">
                  <c:v>151.47988031074874</c:v>
                </c:pt>
                <c:pt idx="50">
                  <c:v>152.92517487595336</c:v>
                </c:pt>
                <c:pt idx="51">
                  <c:v>154.37313862203169</c:v>
                </c:pt>
                <c:pt idx="52">
                  <c:v>155.82247396988038</c:v>
                </c:pt>
                <c:pt idx="53">
                  <c:v>157.27165231630988</c:v>
                </c:pt>
                <c:pt idx="54">
                  <c:v>158.71914512730021</c:v>
                </c:pt>
                <c:pt idx="55">
                  <c:v>160.16342402352512</c:v>
                </c:pt>
                <c:pt idx="56">
                  <c:v>161.60296076234576</c:v>
                </c:pt>
                <c:pt idx="57">
                  <c:v>163.03621955670292</c:v>
                </c:pt>
                <c:pt idx="58">
                  <c:v>164.46190814954005</c:v>
                </c:pt>
                <c:pt idx="59">
                  <c:v>165.87849893805614</c:v>
                </c:pt>
                <c:pt idx="60">
                  <c:v>167.28446442987837</c:v>
                </c:pt>
                <c:pt idx="61">
                  <c:v>168.67827722797941</c:v>
                </c:pt>
                <c:pt idx="62">
                  <c:v>170.05841002916458</c:v>
                </c:pt>
                <c:pt idx="63">
                  <c:v>171.42333561586767</c:v>
                </c:pt>
                <c:pt idx="64">
                  <c:v>172.77438481622769</c:v>
                </c:pt>
                <c:pt idx="65">
                  <c:v>174.11415742784843</c:v>
                </c:pt>
                <c:pt idx="66">
                  <c:v>175.44305843273634</c:v>
                </c:pt>
                <c:pt idx="67">
                  <c:v>176.76153104219887</c:v>
                </c:pt>
                <c:pt idx="68">
                  <c:v>178.07001815816398</c:v>
                </c:pt>
                <c:pt idx="69">
                  <c:v>179.3689610534162</c:v>
                </c:pt>
                <c:pt idx="70">
                  <c:v>180.65880340822346</c:v>
                </c:pt>
                <c:pt idx="71">
                  <c:v>181.93997383397331</c:v>
                </c:pt>
                <c:pt idx="72">
                  <c:v>183.21292172720496</c:v>
                </c:pt>
                <c:pt idx="73">
                  <c:v>184.47808847538721</c:v>
                </c:pt>
                <c:pt idx="74">
                  <c:v>185.7359151730258</c:v>
                </c:pt>
                <c:pt idx="75">
                  <c:v>186.98684262426988</c:v>
                </c:pt>
                <c:pt idx="76">
                  <c:v>188.23131135971622</c:v>
                </c:pt>
                <c:pt idx="77">
                  <c:v>189.46976162594669</c:v>
                </c:pt>
                <c:pt idx="78">
                  <c:v>190.70864150420991</c:v>
                </c:pt>
                <c:pt idx="79">
                  <c:v>191.95192340888468</c:v>
                </c:pt>
                <c:pt idx="80">
                  <c:v>193.19636302717811</c:v>
                </c:pt>
                <c:pt idx="81">
                  <c:v>194.43867107332741</c:v>
                </c:pt>
                <c:pt idx="82">
                  <c:v>195.67555878504567</c:v>
                </c:pt>
                <c:pt idx="83">
                  <c:v>196.90373792156208</c:v>
                </c:pt>
                <c:pt idx="84">
                  <c:v>198.1199208105713</c:v>
                </c:pt>
                <c:pt idx="85">
                  <c:v>199.32081409718791</c:v>
                </c:pt>
                <c:pt idx="86">
                  <c:v>200.50314501183198</c:v>
                </c:pt>
                <c:pt idx="87">
                  <c:v>201.66362776111112</c:v>
                </c:pt>
                <c:pt idx="88">
                  <c:v>202.79897718935126</c:v>
                </c:pt>
                <c:pt idx="89">
                  <c:v>203.90590885552402</c:v>
                </c:pt>
                <c:pt idx="90">
                  <c:v>204.98113901870849</c:v>
                </c:pt>
                <c:pt idx="91">
                  <c:v>214.39805207963965</c:v>
                </c:pt>
                <c:pt idx="92">
                  <c:v>215.43868227876013</c:v>
                </c:pt>
                <c:pt idx="93">
                  <c:v>216.45253391402659</c:v>
                </c:pt>
                <c:pt idx="94">
                  <c:v>217.44039116480539</c:v>
                </c:pt>
                <c:pt idx="95">
                  <c:v>218.40304992803289</c:v>
                </c:pt>
                <c:pt idx="96">
                  <c:v>219.34130573932327</c:v>
                </c:pt>
                <c:pt idx="97">
                  <c:v>220.2559538106554</c:v>
                </c:pt>
                <c:pt idx="98">
                  <c:v>221.14778902038555</c:v>
                </c:pt>
                <c:pt idx="99">
                  <c:v>222.01762356211142</c:v>
                </c:pt>
                <c:pt idx="100">
                  <c:v>222.86625861283454</c:v>
                </c:pt>
                <c:pt idx="101">
                  <c:v>223.69448833419582</c:v>
                </c:pt>
                <c:pt idx="102">
                  <c:v>224.50310660194856</c:v>
                </c:pt>
                <c:pt idx="103">
                  <c:v>225.29290696647217</c:v>
                </c:pt>
                <c:pt idx="104">
                  <c:v>226.06468271224168</c:v>
                </c:pt>
                <c:pt idx="105">
                  <c:v>226.81922682242751</c:v>
                </c:pt>
                <c:pt idx="106">
                  <c:v>227.55304275566513</c:v>
                </c:pt>
                <c:pt idx="107">
                  <c:v>228.26284105053651</c:v>
                </c:pt>
                <c:pt idx="108">
                  <c:v>228.94970986044365</c:v>
                </c:pt>
                <c:pt idx="109">
                  <c:v>229.61472350063127</c:v>
                </c:pt>
                <c:pt idx="110">
                  <c:v>230.25895591272067</c:v>
                </c:pt>
                <c:pt idx="111">
                  <c:v>230.88348073201081</c:v>
                </c:pt>
                <c:pt idx="112">
                  <c:v>231.48937131956447</c:v>
                </c:pt>
                <c:pt idx="113">
                  <c:v>232.07769798974391</c:v>
                </c:pt>
                <c:pt idx="114">
                  <c:v>232.64951443461428</c:v>
                </c:pt>
                <c:pt idx="115">
                  <c:v>233.20589276260935</c:v>
                </c:pt>
                <c:pt idx="116">
                  <c:v>233.74790477264452</c:v>
                </c:pt>
                <c:pt idx="117">
                  <c:v>234.27662194723365</c:v>
                </c:pt>
                <c:pt idx="118">
                  <c:v>234.79311548424883</c:v>
                </c:pt>
                <c:pt idx="119">
                  <c:v>235.29845630033785</c:v>
                </c:pt>
                <c:pt idx="120">
                  <c:v>235.78989007189787</c:v>
                </c:pt>
                <c:pt idx="121">
                  <c:v>236.26431065564498</c:v>
                </c:pt>
                <c:pt idx="122">
                  <c:v>236.72223506848442</c:v>
                </c:pt>
                <c:pt idx="123">
                  <c:v>237.1642015262012</c:v>
                </c:pt>
                <c:pt idx="124">
                  <c:v>237.59074818665096</c:v>
                </c:pt>
                <c:pt idx="125">
                  <c:v>238.0024131272063</c:v>
                </c:pt>
                <c:pt idx="126">
                  <c:v>238.39973434687255</c:v>
                </c:pt>
                <c:pt idx="127">
                  <c:v>238.78326323039363</c:v>
                </c:pt>
                <c:pt idx="128">
                  <c:v>239.15354093404503</c:v>
                </c:pt>
                <c:pt idx="129">
                  <c:v>239.51110572469406</c:v>
                </c:pt>
                <c:pt idx="130">
                  <c:v>239.85649584619438</c:v>
                </c:pt>
                <c:pt idx="131">
                  <c:v>240.19024950260416</c:v>
                </c:pt>
                <c:pt idx="132">
                  <c:v>240.5129048654122</c:v>
                </c:pt>
                <c:pt idx="133">
                  <c:v>240.82500008290822</c:v>
                </c:pt>
                <c:pt idx="134">
                  <c:v>241.12458603489927</c:v>
                </c:pt>
                <c:pt idx="135">
                  <c:v>241.40971926913014</c:v>
                </c:pt>
                <c:pt idx="136">
                  <c:v>241.68093547112889</c:v>
                </c:pt>
                <c:pt idx="137">
                  <c:v>241.93877353223647</c:v>
                </c:pt>
                <c:pt idx="138">
                  <c:v>242.18377225491366</c:v>
                </c:pt>
                <c:pt idx="139">
                  <c:v>242.41647036564007</c:v>
                </c:pt>
                <c:pt idx="140">
                  <c:v>242.63740649489347</c:v>
                </c:pt>
                <c:pt idx="141">
                  <c:v>242.84711262658288</c:v>
                </c:pt>
                <c:pt idx="142">
                  <c:v>243.04611116134325</c:v>
                </c:pt>
                <c:pt idx="143">
                  <c:v>243.23493962885519</c:v>
                </c:pt>
                <c:pt idx="144">
                  <c:v>243.41413529679352</c:v>
                </c:pt>
                <c:pt idx="145">
                  <c:v>243.58423529380127</c:v>
                </c:pt>
                <c:pt idx="146">
                  <c:v>243.74577658480541</c:v>
                </c:pt>
                <c:pt idx="147">
                  <c:v>243.89929597816044</c:v>
                </c:pt>
                <c:pt idx="148">
                  <c:v>244.04515269698948</c:v>
                </c:pt>
                <c:pt idx="149">
                  <c:v>244.18300315361364</c:v>
                </c:pt>
                <c:pt idx="150">
                  <c:v>244.31231874050761</c:v>
                </c:pt>
                <c:pt idx="151">
                  <c:v>244.43257386806005</c:v>
                </c:pt>
                <c:pt idx="152">
                  <c:v>244.54324323061022</c:v>
                </c:pt>
                <c:pt idx="153">
                  <c:v>244.64380178160445</c:v>
                </c:pt>
                <c:pt idx="154">
                  <c:v>244.73372473744786</c:v>
                </c:pt>
                <c:pt idx="155">
                  <c:v>244.81248089484697</c:v>
                </c:pt>
                <c:pt idx="156">
                  <c:v>244.87955415970458</c:v>
                </c:pt>
                <c:pt idx="157">
                  <c:v>244.93442068100507</c:v>
                </c:pt>
                <c:pt idx="158">
                  <c:v>244.9765567991904</c:v>
                </c:pt>
                <c:pt idx="159">
                  <c:v>245.00543901417871</c:v>
                </c:pt>
                <c:pt idx="160">
                  <c:v>245.02054397485847</c:v>
                </c:pt>
                <c:pt idx="161">
                  <c:v>245.0213484575967</c:v>
                </c:pt>
                <c:pt idx="162">
                  <c:v>245.00750650802914</c:v>
                </c:pt>
                <c:pt idx="163">
                  <c:v>244.97935065705752</c:v>
                </c:pt>
                <c:pt idx="164">
                  <c:v>244.93740595809493</c:v>
                </c:pt>
                <c:pt idx="165">
                  <c:v>244.88220902711717</c:v>
                </c:pt>
                <c:pt idx="166">
                  <c:v>244.81429613203662</c:v>
                </c:pt>
                <c:pt idx="167">
                  <c:v>244.73420317562014</c:v>
                </c:pt>
                <c:pt idx="168">
                  <c:v>244.64246569524167</c:v>
                </c:pt>
                <c:pt idx="169">
                  <c:v>244.53958641020537</c:v>
                </c:pt>
                <c:pt idx="170">
                  <c:v>244.42610597342536</c:v>
                </c:pt>
                <c:pt idx="171">
                  <c:v>244.30255775300608</c:v>
                </c:pt>
                <c:pt idx="172">
                  <c:v>244.16947477463</c:v>
                </c:pt>
                <c:pt idx="173">
                  <c:v>244.02738985169213</c:v>
                </c:pt>
                <c:pt idx="174">
                  <c:v>243.8768354761396</c:v>
                </c:pt>
                <c:pt idx="175">
                  <c:v>243.71834368224242</c:v>
                </c:pt>
                <c:pt idx="176">
                  <c:v>243.55341926714445</c:v>
                </c:pt>
                <c:pt idx="177">
                  <c:v>243.3824978565865</c:v>
                </c:pt>
                <c:pt idx="178">
                  <c:v>243.20455383437636</c:v>
                </c:pt>
                <c:pt idx="179">
                  <c:v>243.01852726422601</c:v>
                </c:pt>
                <c:pt idx="180">
                  <c:v>242.8233584684076</c:v>
                </c:pt>
                <c:pt idx="181">
                  <c:v>242.61798803921351</c:v>
                </c:pt>
                <c:pt idx="182">
                  <c:v>242.40135684004912</c:v>
                </c:pt>
                <c:pt idx="183">
                  <c:v>242.17242720828781</c:v>
                </c:pt>
                <c:pt idx="184">
                  <c:v>241.93017900762993</c:v>
                </c:pt>
                <c:pt idx="185">
                  <c:v>241.67355576063048</c:v>
                </c:pt>
                <c:pt idx="186">
                  <c:v>241.40150119622263</c:v>
                </c:pt>
                <c:pt idx="187">
                  <c:v>241.11295921794621</c:v>
                </c:pt>
                <c:pt idx="188">
                  <c:v>240.80687394652915</c:v>
                </c:pt>
                <c:pt idx="189">
                  <c:v>240.48218971673984</c:v>
                </c:pt>
                <c:pt idx="190">
                  <c:v>240.13820444875654</c:v>
                </c:pt>
                <c:pt idx="191">
                  <c:v>239.77561760940299</c:v>
                </c:pt>
                <c:pt idx="192">
                  <c:v>239.39550046246021</c:v>
                </c:pt>
                <c:pt idx="193">
                  <c:v>238.99891666676336</c:v>
                </c:pt>
                <c:pt idx="194">
                  <c:v>238.58692940033657</c:v>
                </c:pt>
                <c:pt idx="195">
                  <c:v>238.16060134785988</c:v>
                </c:pt>
                <c:pt idx="196">
                  <c:v>237.72099475676697</c:v>
                </c:pt>
                <c:pt idx="197">
                  <c:v>237.26916290907155</c:v>
                </c:pt>
                <c:pt idx="198">
                  <c:v>236.80614096061797</c:v>
                </c:pt>
                <c:pt idx="199">
                  <c:v>236.33298871626681</c:v>
                </c:pt>
                <c:pt idx="200">
                  <c:v>235.85076565376113</c:v>
                </c:pt>
                <c:pt idx="201">
                  <c:v>235.36053094597753</c:v>
                </c:pt>
                <c:pt idx="202">
                  <c:v>234.86334345436819</c:v>
                </c:pt>
                <c:pt idx="203">
                  <c:v>234.36026174842652</c:v>
                </c:pt>
                <c:pt idx="204">
                  <c:v>233.849697084128</c:v>
                </c:pt>
                <c:pt idx="205">
                  <c:v>233.32937974227386</c:v>
                </c:pt>
                <c:pt idx="206">
                  <c:v>232.79932333853608</c:v>
                </c:pt>
                <c:pt idx="207">
                  <c:v>232.25952892175238</c:v>
                </c:pt>
                <c:pt idx="208">
                  <c:v>231.70999762284916</c:v>
                </c:pt>
                <c:pt idx="209">
                  <c:v>231.15073068045209</c:v>
                </c:pt>
                <c:pt idx="210">
                  <c:v>230.58172941615061</c:v>
                </c:pt>
                <c:pt idx="211">
                  <c:v>230.00300275318088</c:v>
                </c:pt>
                <c:pt idx="212">
                  <c:v>229.41456267057922</c:v>
                </c:pt>
                <c:pt idx="213">
                  <c:v>228.8164111273644</c:v>
                </c:pt>
                <c:pt idx="214">
                  <c:v>228.208550158956</c:v>
                </c:pt>
                <c:pt idx="215">
                  <c:v>227.59098187367999</c:v>
                </c:pt>
                <c:pt idx="216">
                  <c:v>226.96370844161865</c:v>
                </c:pt>
                <c:pt idx="217">
                  <c:v>226.32673211695538</c:v>
                </c:pt>
                <c:pt idx="218">
                  <c:v>225.68120087060186</c:v>
                </c:pt>
                <c:pt idx="219">
                  <c:v>225.02790781783233</c:v>
                </c:pt>
                <c:pt idx="220">
                  <c:v>224.366301618188</c:v>
                </c:pt>
                <c:pt idx="221">
                  <c:v>223.69585573745778</c:v>
                </c:pt>
                <c:pt idx="222">
                  <c:v>223.01604388579551</c:v>
                </c:pt>
                <c:pt idx="223">
                  <c:v>222.32634001064574</c:v>
                </c:pt>
                <c:pt idx="224">
                  <c:v>221.62621827888324</c:v>
                </c:pt>
                <c:pt idx="225">
                  <c:v>220.91519662850132</c:v>
                </c:pt>
                <c:pt idx="226">
                  <c:v>220.19274205310666</c:v>
                </c:pt>
                <c:pt idx="227">
                  <c:v>219.45832941839396</c:v>
                </c:pt>
                <c:pt idx="228">
                  <c:v>218.71143378873145</c:v>
                </c:pt>
                <c:pt idx="229">
                  <c:v>217.95153042390874</c:v>
                </c:pt>
                <c:pt idx="230">
                  <c:v>217.17809476635219</c:v>
                </c:pt>
                <c:pt idx="231">
                  <c:v>216.39060245413481</c:v>
                </c:pt>
                <c:pt idx="232">
                  <c:v>215.58984963254937</c:v>
                </c:pt>
                <c:pt idx="233">
                  <c:v>214.77701732262611</c:v>
                </c:pt>
                <c:pt idx="234">
                  <c:v>213.95211090305611</c:v>
                </c:pt>
                <c:pt idx="235">
                  <c:v>213.11513375518081</c:v>
                </c:pt>
                <c:pt idx="236">
                  <c:v>212.26608922591706</c:v>
                </c:pt>
                <c:pt idx="237">
                  <c:v>211.40498068061939</c:v>
                </c:pt>
                <c:pt idx="238">
                  <c:v>210.53181145836569</c:v>
                </c:pt>
                <c:pt idx="239">
                  <c:v>209.64655490286637</c:v>
                </c:pt>
                <c:pt idx="240">
                  <c:v>208.7491706923158</c:v>
                </c:pt>
                <c:pt idx="241">
                  <c:v>207.83966218907145</c:v>
                </c:pt>
                <c:pt idx="242">
                  <c:v>206.91803275410027</c:v>
                </c:pt>
                <c:pt idx="243">
                  <c:v>205.98428576429538</c:v>
                </c:pt>
                <c:pt idx="244">
                  <c:v>205.03842460021676</c:v>
                </c:pt>
                <c:pt idx="245">
                  <c:v>204.08045265669239</c:v>
                </c:pt>
                <c:pt idx="246">
                  <c:v>203.11037333778063</c:v>
                </c:pt>
                <c:pt idx="247">
                  <c:v>202.12817737376477</c:v>
                </c:pt>
                <c:pt idx="248">
                  <c:v>201.13383539400539</c:v>
                </c:pt>
                <c:pt idx="249">
                  <c:v>200.12735095948301</c:v>
                </c:pt>
                <c:pt idx="250">
                  <c:v>199.10872765553799</c:v>
                </c:pt>
                <c:pt idx="251">
                  <c:v>198.0779690949789</c:v>
                </c:pt>
                <c:pt idx="252">
                  <c:v>197.03507891649119</c:v>
                </c:pt>
                <c:pt idx="253">
                  <c:v>195.98008744205731</c:v>
                </c:pt>
                <c:pt idx="254">
                  <c:v>194.91302799439424</c:v>
                </c:pt>
                <c:pt idx="255">
                  <c:v>193.83390408747331</c:v>
                </c:pt>
                <c:pt idx="256">
                  <c:v>192.74271923917436</c:v>
                </c:pt>
                <c:pt idx="257">
                  <c:v>191.63947695575291</c:v>
                </c:pt>
                <c:pt idx="258">
                  <c:v>190.52418073486953</c:v>
                </c:pt>
                <c:pt idx="259">
                  <c:v>189.39683405268229</c:v>
                </c:pt>
                <c:pt idx="260">
                  <c:v>188.25401539095685</c:v>
                </c:pt>
                <c:pt idx="261">
                  <c:v>187.09332138252478</c:v>
                </c:pt>
                <c:pt idx="262">
                  <c:v>185.9163499147372</c:v>
                </c:pt>
                <c:pt idx="263">
                  <c:v>184.7246858176303</c:v>
                </c:pt>
                <c:pt idx="264">
                  <c:v>183.51991338663061</c:v>
                </c:pt>
                <c:pt idx="265">
                  <c:v>182.30361625971369</c:v>
                </c:pt>
                <c:pt idx="266">
                  <c:v>181.07737758225733</c:v>
                </c:pt>
                <c:pt idx="267">
                  <c:v>179.84267411059778</c:v>
                </c:pt>
                <c:pt idx="268">
                  <c:v>178.60106265692502</c:v>
                </c:pt>
                <c:pt idx="269">
                  <c:v>177.35412573397625</c:v>
                </c:pt>
                <c:pt idx="270">
                  <c:v>176.10344536169029</c:v>
                </c:pt>
                <c:pt idx="271">
                  <c:v>174.85060307791505</c:v>
                </c:pt>
                <c:pt idx="272">
                  <c:v>173.59717993404803</c:v>
                </c:pt>
                <c:pt idx="273">
                  <c:v>172.34475649859274</c:v>
                </c:pt>
                <c:pt idx="274">
                  <c:v>171.08982474648403</c:v>
                </c:pt>
                <c:pt idx="275">
                  <c:v>169.82816936658151</c:v>
                </c:pt>
                <c:pt idx="276">
                  <c:v>168.56035473957553</c:v>
                </c:pt>
                <c:pt idx="277">
                  <c:v>167.28690931993322</c:v>
                </c:pt>
                <c:pt idx="278">
                  <c:v>166.00836132989261</c:v>
                </c:pt>
                <c:pt idx="279">
                  <c:v>164.72523875277798</c:v>
                </c:pt>
                <c:pt idx="280">
                  <c:v>163.43806932954806</c:v>
                </c:pt>
                <c:pt idx="281">
                  <c:v>162.14746637338698</c:v>
                </c:pt>
                <c:pt idx="282">
                  <c:v>160.8540571733476</c:v>
                </c:pt>
                <c:pt idx="283">
                  <c:v>159.55836631751919</c:v>
                </c:pt>
                <c:pt idx="284">
                  <c:v>158.26091798262593</c:v>
                </c:pt>
                <c:pt idx="285">
                  <c:v>156.96223593403974</c:v>
                </c:pt>
                <c:pt idx="286">
                  <c:v>155.66284352257452</c:v>
                </c:pt>
                <c:pt idx="287">
                  <c:v>154.36326368977944</c:v>
                </c:pt>
                <c:pt idx="288">
                  <c:v>153.06042575543444</c:v>
                </c:pt>
                <c:pt idx="289">
                  <c:v>151.75115777288937</c:v>
                </c:pt>
                <c:pt idx="290">
                  <c:v>150.4365219516275</c:v>
                </c:pt>
                <c:pt idx="291">
                  <c:v>149.11757408305505</c:v>
                </c:pt>
                <c:pt idx="292">
                  <c:v>147.79536974629195</c:v>
                </c:pt>
                <c:pt idx="293">
                  <c:v>146.47096429528997</c:v>
                </c:pt>
                <c:pt idx="294">
                  <c:v>145.14541286002</c:v>
                </c:pt>
                <c:pt idx="295">
                  <c:v>143.81925693491212</c:v>
                </c:pt>
                <c:pt idx="296">
                  <c:v>142.49348070254754</c:v>
                </c:pt>
                <c:pt idx="297">
                  <c:v>141.16914928387803</c:v>
                </c:pt>
                <c:pt idx="298">
                  <c:v>139.84732806565407</c:v>
                </c:pt>
                <c:pt idx="299">
                  <c:v>138.529082305342</c:v>
                </c:pt>
                <c:pt idx="300">
                  <c:v>137.21547706704987</c:v>
                </c:pt>
                <c:pt idx="301">
                  <c:v>135.90757715191103</c:v>
                </c:pt>
                <c:pt idx="302">
                  <c:v>134.59926711135807</c:v>
                </c:pt>
                <c:pt idx="303">
                  <c:v>133.28552583191677</c:v>
                </c:pt>
                <c:pt idx="304">
                  <c:v>131.96887359339243</c:v>
                </c:pt>
                <c:pt idx="305">
                  <c:v>130.65140937231854</c:v>
                </c:pt>
                <c:pt idx="306">
                  <c:v>129.33523125015941</c:v>
                </c:pt>
                <c:pt idx="307">
                  <c:v>128.0224364263907</c:v>
                </c:pt>
                <c:pt idx="308">
                  <c:v>126.71512122543911</c:v>
                </c:pt>
                <c:pt idx="309">
                  <c:v>125.41560049634238</c:v>
                </c:pt>
                <c:pt idx="310">
                  <c:v>124.12642762802582</c:v>
                </c:pt>
                <c:pt idx="311">
                  <c:v>122.84968181087744</c:v>
                </c:pt>
                <c:pt idx="312">
                  <c:v>121.58744168587526</c:v>
                </c:pt>
                <c:pt idx="313">
                  <c:v>120.34178542688709</c:v>
                </c:pt>
                <c:pt idx="314">
                  <c:v>119.11479083398325</c:v>
                </c:pt>
                <c:pt idx="315">
                  <c:v>117.9085354142378</c:v>
                </c:pt>
                <c:pt idx="316">
                  <c:v>116.71074906365349</c:v>
                </c:pt>
                <c:pt idx="317">
                  <c:v>115.51062984515355</c:v>
                </c:pt>
                <c:pt idx="318">
                  <c:v>114.31200522357121</c:v>
                </c:pt>
                <c:pt idx="319">
                  <c:v>113.11906220939812</c:v>
                </c:pt>
                <c:pt idx="320">
                  <c:v>111.9359871810432</c:v>
                </c:pt>
                <c:pt idx="321">
                  <c:v>110.76696589162812</c:v>
                </c:pt>
                <c:pt idx="322">
                  <c:v>109.61618350292231</c:v>
                </c:pt>
                <c:pt idx="323">
                  <c:v>108.48831256485452</c:v>
                </c:pt>
                <c:pt idx="324">
                  <c:v>107.38733015588997</c:v>
                </c:pt>
                <c:pt idx="325">
                  <c:v>106.31741487704021</c:v>
                </c:pt>
                <c:pt idx="326">
                  <c:v>105.28274638528258</c:v>
                </c:pt>
                <c:pt idx="327">
                  <c:v>104.2875033516454</c:v>
                </c:pt>
                <c:pt idx="328">
                  <c:v>103.33586324707186</c:v>
                </c:pt>
                <c:pt idx="329">
                  <c:v>102.43200340080409</c:v>
                </c:pt>
                <c:pt idx="330">
                  <c:v>101.56523179398798</c:v>
                </c:pt>
                <c:pt idx="331">
                  <c:v>100.72346219941527</c:v>
                </c:pt>
                <c:pt idx="332">
                  <c:v>99.908643784222576</c:v>
                </c:pt>
                <c:pt idx="333">
                  <c:v>99.122786554977083</c:v>
                </c:pt>
                <c:pt idx="334">
                  <c:v>98.367900939922905</c:v>
                </c:pt>
                <c:pt idx="335">
                  <c:v>97.645997721594512</c:v>
                </c:pt>
                <c:pt idx="336">
                  <c:v>96.959087983631889</c:v>
                </c:pt>
                <c:pt idx="337">
                  <c:v>96.30896239759339</c:v>
                </c:pt>
                <c:pt idx="338">
                  <c:v>95.697182849779793</c:v>
                </c:pt>
                <c:pt idx="339">
                  <c:v>95.125768264765526</c:v>
                </c:pt>
                <c:pt idx="340">
                  <c:v>94.596736866687024</c:v>
                </c:pt>
                <c:pt idx="341">
                  <c:v>94.112106156341909</c:v>
                </c:pt>
                <c:pt idx="342">
                  <c:v>93.673892934487029</c:v>
                </c:pt>
                <c:pt idx="343">
                  <c:v>93.28411319422834</c:v>
                </c:pt>
                <c:pt idx="344">
                  <c:v>92.939316007857244</c:v>
                </c:pt>
                <c:pt idx="345">
                  <c:v>92.634832950550447</c:v>
                </c:pt>
                <c:pt idx="346">
                  <c:v>92.370702857557546</c:v>
                </c:pt>
                <c:pt idx="347">
                  <c:v>92.147115400282715</c:v>
                </c:pt>
                <c:pt idx="348">
                  <c:v>91.964259798441731</c:v>
                </c:pt>
                <c:pt idx="349">
                  <c:v>91.822324828174118</c:v>
                </c:pt>
                <c:pt idx="350">
                  <c:v>91.721498850698595</c:v>
                </c:pt>
                <c:pt idx="351">
                  <c:v>91.661869049811699</c:v>
                </c:pt>
                <c:pt idx="352">
                  <c:v>91.643835884193336</c:v>
                </c:pt>
                <c:pt idx="353">
                  <c:v>91.667586006318231</c:v>
                </c:pt>
                <c:pt idx="354">
                  <c:v>91.733305724567444</c:v>
                </c:pt>
                <c:pt idx="355">
                  <c:v>91.84118112863176</c:v>
                </c:pt>
                <c:pt idx="356">
                  <c:v>91.991398573123746</c:v>
                </c:pt>
                <c:pt idx="357">
                  <c:v>92.184143047899937</c:v>
                </c:pt>
                <c:pt idx="358">
                  <c:v>92.423367459627642</c:v>
                </c:pt>
                <c:pt idx="359">
                  <c:v>92.711681776880241</c:v>
                </c:pt>
                <c:pt idx="360">
                  <c:v>93.047046737082766</c:v>
                </c:pt>
                <c:pt idx="361">
                  <c:v>93.427734562794882</c:v>
                </c:pt>
                <c:pt idx="362">
                  <c:v>93.851917760716546</c:v>
                </c:pt>
                <c:pt idx="363">
                  <c:v>94.317769172863507</c:v>
                </c:pt>
                <c:pt idx="364">
                  <c:v>94.823462020758626</c:v>
                </c:pt>
                <c:pt idx="365">
                  <c:v>95.367169850298694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94.327839024569641</c:v>
                </c:pt>
                <c:pt idx="1">
                  <c:v>68.976901004818004</c:v>
                </c:pt>
                <c:pt idx="2">
                  <c:v>71.834464896879069</c:v>
                </c:pt>
                <c:pt idx="3">
                  <c:v>77.148040790781991</c:v>
                </c:pt>
                <c:pt idx="4">
                  <c:v>58.010146688720198</c:v>
                </c:pt>
                <c:pt idx="5">
                  <c:v>99.364782326268383</c:v>
                </c:pt>
                <c:pt idx="6">
                  <c:v>37.58871910592525</c:v>
                </c:pt>
                <c:pt idx="7">
                  <c:v>25.167000155006118</c:v>
                </c:pt>
                <c:pt idx="8">
                  <c:v>7.857697961949115</c:v>
                </c:pt>
                <c:pt idx="9">
                  <c:v>7.2237768093746553</c:v>
                </c:pt>
                <c:pt idx="10">
                  <c:v>96.852015144086664</c:v>
                </c:pt>
                <c:pt idx="11">
                  <c:v>83.040484758219861</c:v>
                </c:pt>
                <c:pt idx="12">
                  <c:v>26.646678496393911</c:v>
                </c:pt>
                <c:pt idx="13">
                  <c:v>106.27387325832369</c:v>
                </c:pt>
                <c:pt idx="14">
                  <c:v>107.90541703413489</c:v>
                </c:pt>
                <c:pt idx="15">
                  <c:v>107.31436315979695</c:v>
                </c:pt>
                <c:pt idx="16">
                  <c:v>84.273680931760012</c:v>
                </c:pt>
                <c:pt idx="17">
                  <c:v>22.073389686800816</c:v>
                </c:pt>
                <c:pt idx="18">
                  <c:v>45.078616310763977</c:v>
                </c:pt>
                <c:pt idx="19">
                  <c:v>23.233167148888064</c:v>
                </c:pt>
                <c:pt idx="20">
                  <c:v>58.328284445503527</c:v>
                </c:pt>
                <c:pt idx="21">
                  <c:v>112.02034366065695</c:v>
                </c:pt>
                <c:pt idx="22">
                  <c:v>113.86414492864861</c:v>
                </c:pt>
                <c:pt idx="23">
                  <c:v>115.27099591348542</c:v>
                </c:pt>
                <c:pt idx="24">
                  <c:v>114.20571935909432</c:v>
                </c:pt>
                <c:pt idx="25">
                  <c:v>116.21638805905658</c:v>
                </c:pt>
                <c:pt idx="26">
                  <c:v>118.11042051007776</c:v>
                </c:pt>
                <c:pt idx="27">
                  <c:v>18.299166288827262</c:v>
                </c:pt>
                <c:pt idx="28">
                  <c:v>28.681464964461199</c:v>
                </c:pt>
                <c:pt idx="29">
                  <c:v>25.841145535911323</c:v>
                </c:pt>
                <c:pt idx="30">
                  <c:v>25.682389679760824</c:v>
                </c:pt>
                <c:pt idx="31">
                  <c:v>55.98338872309003</c:v>
                </c:pt>
                <c:pt idx="32">
                  <c:v>24.969807853540853</c:v>
                </c:pt>
                <c:pt idx="33">
                  <c:v>56.048007538013842</c:v>
                </c:pt>
                <c:pt idx="34">
                  <c:v>50.994126709678042</c:v>
                </c:pt>
                <c:pt idx="35">
                  <c:v>42.747539731940222</c:v>
                </c:pt>
                <c:pt idx="36">
                  <c:v>90.691525751934918</c:v>
                </c:pt>
                <c:pt idx="37">
                  <c:v>40.979335212629081</c:v>
                </c:pt>
                <c:pt idx="38">
                  <c:v>137.12379958826656</c:v>
                </c:pt>
                <c:pt idx="39">
                  <c:v>136.468813132105</c:v>
                </c:pt>
                <c:pt idx="40">
                  <c:v>128.17707965685844</c:v>
                </c:pt>
                <c:pt idx="41">
                  <c:v>63.931718200782456</c:v>
                </c:pt>
                <c:pt idx="42">
                  <c:v>107.07233388530595</c:v>
                </c:pt>
                <c:pt idx="43">
                  <c:v>130.63740721401817</c:v>
                </c:pt>
                <c:pt idx="44">
                  <c:v>74.488638802572041</c:v>
                </c:pt>
                <c:pt idx="45">
                  <c:v>78.650804303334539</c:v>
                </c:pt>
                <c:pt idx="46">
                  <c:v>30.378527920734651</c:v>
                </c:pt>
                <c:pt idx="47">
                  <c:v>44.755056684819337</c:v>
                </c:pt>
                <c:pt idx="48">
                  <c:v>127.2469661390472</c:v>
                </c:pt>
                <c:pt idx="49">
                  <c:v>72.52933048254576</c:v>
                </c:pt>
                <c:pt idx="50">
                  <c:v>91.25296210994189</c:v>
                </c:pt>
                <c:pt idx="51">
                  <c:v>99.302718930567977</c:v>
                </c:pt>
                <c:pt idx="52">
                  <c:v>132.93930882100005</c:v>
                </c:pt>
                <c:pt idx="53">
                  <c:v>137.37487935941999</c:v>
                </c:pt>
                <c:pt idx="54">
                  <c:v>87.078234600348011</c:v>
                </c:pt>
                <c:pt idx="55">
                  <c:v>123.33844772740423</c:v>
                </c:pt>
                <c:pt idx="56">
                  <c:v>163.67018665280122</c:v>
                </c:pt>
                <c:pt idx="57">
                  <c:v>108.89931150847325</c:v>
                </c:pt>
                <c:pt idx="58">
                  <c:v>147.74153092345097</c:v>
                </c:pt>
                <c:pt idx="59">
                  <c:v>165.99017449470247</c:v>
                </c:pt>
                <c:pt idx="60">
                  <c:v>50.800630983524506</c:v>
                </c:pt>
                <c:pt idx="61">
                  <c:v>153.16506370440422</c:v>
                </c:pt>
                <c:pt idx="62">
                  <c:v>19.557346761838165</c:v>
                </c:pt>
                <c:pt idx="63">
                  <c:v>64.586240214370463</c:v>
                </c:pt>
                <c:pt idx="64">
                  <c:v>91.185450056604381</c:v>
                </c:pt>
                <c:pt idx="65">
                  <c:v>135.47078824161289</c:v>
                </c:pt>
                <c:pt idx="66">
                  <c:v>124.9094997448875</c:v>
                </c:pt>
                <c:pt idx="67">
                  <c:v>134.55721487499358</c:v>
                </c:pt>
                <c:pt idx="68">
                  <c:v>96.723360824224798</c:v>
                </c:pt>
                <c:pt idx="69">
                  <c:v>66.203495628309369</c:v>
                </c:pt>
                <c:pt idx="70">
                  <c:v>61.961110654364418</c:v>
                </c:pt>
                <c:pt idx="71">
                  <c:v>54.721809200995835</c:v>
                </c:pt>
                <c:pt idx="72">
                  <c:v>53.702475506862704</c:v>
                </c:pt>
                <c:pt idx="73">
                  <c:v>57.296548832097024</c:v>
                </c:pt>
                <c:pt idx="74">
                  <c:v>38.082251407226408</c:v>
                </c:pt>
                <c:pt idx="75">
                  <c:v>48.914179091173047</c:v>
                </c:pt>
                <c:pt idx="76">
                  <c:v>51.642466027120008</c:v>
                </c:pt>
                <c:pt idx="77">
                  <c:v>117.36247172520731</c:v>
                </c:pt>
                <c:pt idx="78">
                  <c:v>125.35431641818191</c:v>
                </c:pt>
                <c:pt idx="79">
                  <c:v>180.6585539276378</c:v>
                </c:pt>
                <c:pt idx="80">
                  <c:v>160.85220649082643</c:v>
                </c:pt>
                <c:pt idx="81">
                  <c:v>192.5474511867229</c:v>
                </c:pt>
                <c:pt idx="82">
                  <c:v>190.94674793456846</c:v>
                </c:pt>
                <c:pt idx="83">
                  <c:v>162.68462820505957</c:v>
                </c:pt>
                <c:pt idx="84">
                  <c:v>179.37465336232927</c:v>
                </c:pt>
                <c:pt idx="85">
                  <c:v>181.32963941574835</c:v>
                </c:pt>
                <c:pt idx="86">
                  <c:v>142.97651264612477</c:v>
                </c:pt>
                <c:pt idx="87">
                  <c:v>112.42712910791053</c:v>
                </c:pt>
                <c:pt idx="88">
                  <c:v>29.535048279993745</c:v>
                </c:pt>
                <c:pt idx="89">
                  <c:v>85.455880721998895</c:v>
                </c:pt>
                <c:pt idx="90">
                  <c:v>145.05768121994154</c:v>
                </c:pt>
                <c:pt idx="91">
                  <c:v>73.845696991848342</c:v>
                </c:pt>
                <c:pt idx="92">
                  <c:v>118.54154645423328</c:v>
                </c:pt>
                <c:pt idx="93">
                  <c:v>180.85063370130828</c:v>
                </c:pt>
                <c:pt idx="94">
                  <c:v>221.58232658737697</c:v>
                </c:pt>
                <c:pt idx="95">
                  <c:v>55.012405302468856</c:v>
                </c:pt>
                <c:pt idx="96">
                  <c:v>169.06118599790364</c:v>
                </c:pt>
                <c:pt idx="97">
                  <c:v>134.5576384132255</c:v>
                </c:pt>
                <c:pt idx="98">
                  <c:v>145.24308874307863</c:v>
                </c:pt>
                <c:pt idx="99">
                  <c:v>226.74575559378687</c:v>
                </c:pt>
                <c:pt idx="100">
                  <c:v>182.36007625598313</c:v>
                </c:pt>
                <c:pt idx="101">
                  <c:v>152.68221039964206</c:v>
                </c:pt>
                <c:pt idx="102">
                  <c:v>25.329257677792807</c:v>
                </c:pt>
                <c:pt idx="103">
                  <c:v>181.83554383691131</c:v>
                </c:pt>
                <c:pt idx="104">
                  <c:v>191.97671143270691</c:v>
                </c:pt>
                <c:pt idx="105">
                  <c:v>193.13060842084425</c:v>
                </c:pt>
                <c:pt idx="106">
                  <c:v>231.67698341321835</c:v>
                </c:pt>
                <c:pt idx="107">
                  <c:v>170.97765948862701</c:v>
                </c:pt>
                <c:pt idx="108">
                  <c:v>38.617275338628467</c:v>
                </c:pt>
                <c:pt idx="109">
                  <c:v>43.796054084730059</c:v>
                </c:pt>
                <c:pt idx="110">
                  <c:v>39.0266238514346</c:v>
                </c:pt>
                <c:pt idx="111">
                  <c:v>118.75348414092508</c:v>
                </c:pt>
                <c:pt idx="112">
                  <c:v>43.262561188695273</c:v>
                </c:pt>
                <c:pt idx="113">
                  <c:v>116.85175418997576</c:v>
                </c:pt>
                <c:pt idx="114">
                  <c:v>197.53828534936676</c:v>
                </c:pt>
                <c:pt idx="115">
                  <c:v>232.12413744799977</c:v>
                </c:pt>
                <c:pt idx="116">
                  <c:v>165.35550413951302</c:v>
                </c:pt>
                <c:pt idx="117">
                  <c:v>96.30361463596256</c:v>
                </c:pt>
                <c:pt idx="118">
                  <c:v>177.96515730275732</c:v>
                </c:pt>
                <c:pt idx="119">
                  <c:v>166.63345378949265</c:v>
                </c:pt>
                <c:pt idx="120">
                  <c:v>198.35190647079941</c:v>
                </c:pt>
                <c:pt idx="121">
                  <c:v>117.69221016505793</c:v>
                </c:pt>
                <c:pt idx="122">
                  <c:v>134.01089699804103</c:v>
                </c:pt>
                <c:pt idx="123">
                  <c:v>78.656117403275616</c:v>
                </c:pt>
                <c:pt idx="124">
                  <c:v>165.70507545533579</c:v>
                </c:pt>
                <c:pt idx="125">
                  <c:v>154.15245544904155</c:v>
                </c:pt>
                <c:pt idx="126">
                  <c:v>195.49800724885185</c:v>
                </c:pt>
                <c:pt idx="127">
                  <c:v>213.57927280792418</c:v>
                </c:pt>
                <c:pt idx="128">
                  <c:v>230.29680414265351</c:v>
                </c:pt>
                <c:pt idx="129">
                  <c:v>220.39821038522948</c:v>
                </c:pt>
                <c:pt idx="130">
                  <c:v>237.38826655541627</c:v>
                </c:pt>
                <c:pt idx="131">
                  <c:v>178.30077800897058</c:v>
                </c:pt>
                <c:pt idx="132">
                  <c:v>169.42279740470207</c:v>
                </c:pt>
                <c:pt idx="133">
                  <c:v>209.03135981437052</c:v>
                </c:pt>
                <c:pt idx="134">
                  <c:v>219.93451160038825</c:v>
                </c:pt>
                <c:pt idx="135">
                  <c:v>212.68754810883897</c:v>
                </c:pt>
                <c:pt idx="136">
                  <c:v>231.86161205501546</c:v>
                </c:pt>
                <c:pt idx="137">
                  <c:v>222.68670822815486</c:v>
                </c:pt>
                <c:pt idx="138">
                  <c:v>227.31298184080563</c:v>
                </c:pt>
                <c:pt idx="139">
                  <c:v>203.88135952125634</c:v>
                </c:pt>
                <c:pt idx="140">
                  <c:v>211.24380092877934</c:v>
                </c:pt>
                <c:pt idx="141">
                  <c:v>157.31690005265969</c:v>
                </c:pt>
                <c:pt idx="142">
                  <c:v>74.366236486328518</c:v>
                </c:pt>
                <c:pt idx="143">
                  <c:v>69.453426190225073</c:v>
                </c:pt>
                <c:pt idx="144">
                  <c:v>172.34011927864952</c:v>
                </c:pt>
                <c:pt idx="145">
                  <c:v>110.82971142633208</c:v>
                </c:pt>
                <c:pt idx="146">
                  <c:v>186.59345166360262</c:v>
                </c:pt>
                <c:pt idx="147">
                  <c:v>229.56804596794524</c:v>
                </c:pt>
                <c:pt idx="148">
                  <c:v>250.07197790464767</c:v>
                </c:pt>
                <c:pt idx="149">
                  <c:v>210.79586307487187</c:v>
                </c:pt>
                <c:pt idx="150">
                  <c:v>231.00859448200688</c:v>
                </c:pt>
                <c:pt idx="151">
                  <c:v>241.16398961050649</c:v>
                </c:pt>
                <c:pt idx="152">
                  <c:v>169.62647818900192</c:v>
                </c:pt>
                <c:pt idx="153">
                  <c:v>233.04170128417894</c:v>
                </c:pt>
                <c:pt idx="154">
                  <c:v>101.53333002468</c:v>
                </c:pt>
                <c:pt idx="155">
                  <c:v>131.54839034322657</c:v>
                </c:pt>
                <c:pt idx="156">
                  <c:v>193.2920371095567</c:v>
                </c:pt>
                <c:pt idx="157">
                  <c:v>120.44394875903235</c:v>
                </c:pt>
                <c:pt idx="158">
                  <c:v>91.763938358314974</c:v>
                </c:pt>
                <c:pt idx="159">
                  <c:v>194.67091754010235</c:v>
                </c:pt>
                <c:pt idx="160">
                  <c:v>246.09882858706791</c:v>
                </c:pt>
                <c:pt idx="161">
                  <c:v>233.74111501650469</c:v>
                </c:pt>
                <c:pt idx="162">
                  <c:v>184.53109808393432</c:v>
                </c:pt>
                <c:pt idx="163">
                  <c:v>226.95070457914144</c:v>
                </c:pt>
                <c:pt idx="164">
                  <c:v>204.90516073517119</c:v>
                </c:pt>
                <c:pt idx="165">
                  <c:v>230.01225414909413</c:v>
                </c:pt>
                <c:pt idx="166">
                  <c:v>217.14150450278939</c:v>
                </c:pt>
                <c:pt idx="167">
                  <c:v>223.91323513522988</c:v>
                </c:pt>
                <c:pt idx="168">
                  <c:v>230.84209612503912</c:v>
                </c:pt>
                <c:pt idx="169">
                  <c:v>235.22398170394763</c:v>
                </c:pt>
                <c:pt idx="170">
                  <c:v>126.67395079146911</c:v>
                </c:pt>
                <c:pt idx="171">
                  <c:v>90.347979292088937</c:v>
                </c:pt>
                <c:pt idx="172">
                  <c:v>178.58675897498125</c:v>
                </c:pt>
                <c:pt idx="173">
                  <c:v>174.73273206209831</c:v>
                </c:pt>
                <c:pt idx="174">
                  <c:v>174.59246804946801</c:v>
                </c:pt>
                <c:pt idx="175">
                  <c:v>148.92179144343982</c:v>
                </c:pt>
                <c:pt idx="176">
                  <c:v>49.52523641345929</c:v>
                </c:pt>
                <c:pt idx="177">
                  <c:v>57.859609826552884</c:v>
                </c:pt>
                <c:pt idx="178">
                  <c:v>252.9781458044946</c:v>
                </c:pt>
                <c:pt idx="179">
                  <c:v>240.17850770905204</c:v>
                </c:pt>
                <c:pt idx="180">
                  <c:v>56.080048495185181</c:v>
                </c:pt>
                <c:pt idx="181">
                  <c:v>215.0514390094408</c:v>
                </c:pt>
                <c:pt idx="182">
                  <c:v>237.65613170663156</c:v>
                </c:pt>
                <c:pt idx="183">
                  <c:v>196.83146389201741</c:v>
                </c:pt>
                <c:pt idx="184">
                  <c:v>192.01252195141785</c:v>
                </c:pt>
                <c:pt idx="185">
                  <c:v>230.9697496809481</c:v>
                </c:pt>
                <c:pt idx="186">
                  <c:v>183.34796066359917</c:v>
                </c:pt>
                <c:pt idx="187">
                  <c:v>227.85175716645384</c:v>
                </c:pt>
                <c:pt idx="188">
                  <c:v>241.63426510032696</c:v>
                </c:pt>
                <c:pt idx="189">
                  <c:v>239.10491084956877</c:v>
                </c:pt>
                <c:pt idx="190">
                  <c:v>237.17999582953999</c:v>
                </c:pt>
                <c:pt idx="191">
                  <c:v>230.75408822127378</c:v>
                </c:pt>
                <c:pt idx="192">
                  <c:v>228.04589350192418</c:v>
                </c:pt>
                <c:pt idx="193">
                  <c:v>228.17613429309785</c:v>
                </c:pt>
                <c:pt idx="194">
                  <c:v>225.7080321020276</c:v>
                </c:pt>
                <c:pt idx="195">
                  <c:v>216.50335955629973</c:v>
                </c:pt>
                <c:pt idx="196">
                  <c:v>222.20665363765889</c:v>
                </c:pt>
                <c:pt idx="197">
                  <c:v>221.47494609644465</c:v>
                </c:pt>
                <c:pt idx="198">
                  <c:v>225.11233540273298</c:v>
                </c:pt>
                <c:pt idx="199">
                  <c:v>159.32416018140862</c:v>
                </c:pt>
                <c:pt idx="200">
                  <c:v>163.35968639910217</c:v>
                </c:pt>
                <c:pt idx="201">
                  <c:v>218.22663325356731</c:v>
                </c:pt>
                <c:pt idx="202">
                  <c:v>165.54449144304985</c:v>
                </c:pt>
                <c:pt idx="203">
                  <c:v>190.516290474936</c:v>
                </c:pt>
                <c:pt idx="204">
                  <c:v>221.09595126112885</c:v>
                </c:pt>
                <c:pt idx="205">
                  <c:v>119.03012992144546</c:v>
                </c:pt>
                <c:pt idx="206">
                  <c:v>212.38457933968701</c:v>
                </c:pt>
                <c:pt idx="207">
                  <c:v>233.07182376013176</c:v>
                </c:pt>
                <c:pt idx="208">
                  <c:v>188.26496001965131</c:v>
                </c:pt>
                <c:pt idx="209">
                  <c:v>114.35638586110925</c:v>
                </c:pt>
                <c:pt idx="210">
                  <c:v>197.93759568852033</c:v>
                </c:pt>
                <c:pt idx="211">
                  <c:v>226.51269496295731</c:v>
                </c:pt>
                <c:pt idx="212">
                  <c:v>225.41075380603485</c:v>
                </c:pt>
                <c:pt idx="213">
                  <c:v>225.46627727077612</c:v>
                </c:pt>
                <c:pt idx="214">
                  <c:v>214.07242223066223</c:v>
                </c:pt>
                <c:pt idx="215">
                  <c:v>203.1527001138825</c:v>
                </c:pt>
                <c:pt idx="216">
                  <c:v>189.01614148576442</c:v>
                </c:pt>
                <c:pt idx="217">
                  <c:v>202.73630882461572</c:v>
                </c:pt>
                <c:pt idx="218">
                  <c:v>216.65402513567855</c:v>
                </c:pt>
                <c:pt idx="219">
                  <c:v>220.45133185670969</c:v>
                </c:pt>
                <c:pt idx="220">
                  <c:v>210.09677911518042</c:v>
                </c:pt>
                <c:pt idx="221">
                  <c:v>204.2332253025819</c:v>
                </c:pt>
                <c:pt idx="222">
                  <c:v>189.542038636916</c:v>
                </c:pt>
                <c:pt idx="223">
                  <c:v>198.57331633178916</c:v>
                </c:pt>
                <c:pt idx="224">
                  <c:v>138.0307272703817</c:v>
                </c:pt>
                <c:pt idx="225">
                  <c:v>151.39871339604952</c:v>
                </c:pt>
                <c:pt idx="226">
                  <c:v>155.84550191913812</c:v>
                </c:pt>
                <c:pt idx="227">
                  <c:v>140.19843008030898</c:v>
                </c:pt>
                <c:pt idx="228">
                  <c:v>107.97358313134369</c:v>
                </c:pt>
                <c:pt idx="229">
                  <c:v>132.57865916790985</c:v>
                </c:pt>
                <c:pt idx="230">
                  <c:v>143.04361183872464</c:v>
                </c:pt>
                <c:pt idx="231">
                  <c:v>208.9453010848033</c:v>
                </c:pt>
                <c:pt idx="232">
                  <c:v>133.30024465646756</c:v>
                </c:pt>
                <c:pt idx="233">
                  <c:v>105.12232647674097</c:v>
                </c:pt>
                <c:pt idx="234">
                  <c:v>182.4450116479307</c:v>
                </c:pt>
                <c:pt idx="235">
                  <c:v>194.32208082937552</c:v>
                </c:pt>
                <c:pt idx="236">
                  <c:v>136.11396684876485</c:v>
                </c:pt>
                <c:pt idx="237">
                  <c:v>183.78342534535204</c:v>
                </c:pt>
                <c:pt idx="238">
                  <c:v>201.03873035405485</c:v>
                </c:pt>
                <c:pt idx="239">
                  <c:v>197.98287206615692</c:v>
                </c:pt>
                <c:pt idx="240">
                  <c:v>133.27280531033128</c:v>
                </c:pt>
                <c:pt idx="241">
                  <c:v>197.89244193038539</c:v>
                </c:pt>
                <c:pt idx="242">
                  <c:v>88.033894421468545</c:v>
                </c:pt>
                <c:pt idx="243">
                  <c:v>175.08839993804443</c:v>
                </c:pt>
                <c:pt idx="244">
                  <c:v>172.57824492131112</c:v>
                </c:pt>
                <c:pt idx="245">
                  <c:v>134.80365436837292</c:v>
                </c:pt>
                <c:pt idx="246">
                  <c:v>189.88685227973386</c:v>
                </c:pt>
                <c:pt idx="247">
                  <c:v>167.70189257745389</c:v>
                </c:pt>
                <c:pt idx="248">
                  <c:v>188.06504423089152</c:v>
                </c:pt>
                <c:pt idx="249">
                  <c:v>142.9363900676864</c:v>
                </c:pt>
                <c:pt idx="250">
                  <c:v>166.15569338442714</c:v>
                </c:pt>
                <c:pt idx="251">
                  <c:v>88.865441820983051</c:v>
                </c:pt>
                <c:pt idx="252">
                  <c:v>184.86104684639437</c:v>
                </c:pt>
                <c:pt idx="253">
                  <c:v>188.43452294960372</c:v>
                </c:pt>
                <c:pt idx="254">
                  <c:v>130.46703296449752</c:v>
                </c:pt>
                <c:pt idx="255">
                  <c:v>46.967447311881628</c:v>
                </c:pt>
                <c:pt idx="256">
                  <c:v>149.7799677951194</c:v>
                </c:pt>
                <c:pt idx="257">
                  <c:v>167.59963646013659</c:v>
                </c:pt>
                <c:pt idx="258">
                  <c:v>106.99378617820294</c:v>
                </c:pt>
                <c:pt idx="259">
                  <c:v>194.42958540935027</c:v>
                </c:pt>
                <c:pt idx="260">
                  <c:v>187.76198172888667</c:v>
                </c:pt>
                <c:pt idx="261">
                  <c:v>185.26712132935847</c:v>
                </c:pt>
                <c:pt idx="262">
                  <c:v>189.47755325169908</c:v>
                </c:pt>
                <c:pt idx="263">
                  <c:v>184.34562159366308</c:v>
                </c:pt>
                <c:pt idx="264">
                  <c:v>179.05971140346173</c:v>
                </c:pt>
                <c:pt idx="265">
                  <c:v>114.81484574809339</c:v>
                </c:pt>
                <c:pt idx="266">
                  <c:v>77.239074923657782</c:v>
                </c:pt>
                <c:pt idx="267">
                  <c:v>134.15177078639039</c:v>
                </c:pt>
                <c:pt idx="268">
                  <c:v>135.78121139064805</c:v>
                </c:pt>
                <c:pt idx="269">
                  <c:v>62.355740995406634</c:v>
                </c:pt>
                <c:pt idx="270">
                  <c:v>62.543553060346554</c:v>
                </c:pt>
                <c:pt idx="271">
                  <c:v>93.072904092862856</c:v>
                </c:pt>
                <c:pt idx="272">
                  <c:v>133.45590993100649</c:v>
                </c:pt>
                <c:pt idx="273">
                  <c:v>151.27162413160792</c:v>
                </c:pt>
                <c:pt idx="274">
                  <c:v>156.60046432754166</c:v>
                </c:pt>
                <c:pt idx="275">
                  <c:v>147.08797023058281</c:v>
                </c:pt>
                <c:pt idx="276">
                  <c:v>168.30605348184983</c:v>
                </c:pt>
                <c:pt idx="277">
                  <c:v>171.04821988428338</c:v>
                </c:pt>
                <c:pt idx="278">
                  <c:v>57.431681637800985</c:v>
                </c:pt>
                <c:pt idx="279">
                  <c:v>118.01402389912327</c:v>
                </c:pt>
                <c:pt idx="280">
                  <c:v>65.936271264134646</c:v>
                </c:pt>
                <c:pt idx="281">
                  <c:v>155.47797247937791</c:v>
                </c:pt>
                <c:pt idx="282">
                  <c:v>124.39047510625039</c:v>
                </c:pt>
                <c:pt idx="283">
                  <c:v>95.76158223306868</c:v>
                </c:pt>
                <c:pt idx="284">
                  <c:v>120.27880721875196</c:v>
                </c:pt>
                <c:pt idx="285">
                  <c:v>92.993179300664224</c:v>
                </c:pt>
                <c:pt idx="286">
                  <c:v>82.875939969086588</c:v>
                </c:pt>
                <c:pt idx="287">
                  <c:v>151.39133416388501</c:v>
                </c:pt>
                <c:pt idx="288">
                  <c:v>135.73143689706731</c:v>
                </c:pt>
                <c:pt idx="289">
                  <c:v>86.982212879091918</c:v>
                </c:pt>
                <c:pt idx="290">
                  <c:v>138.86368538853827</c:v>
                </c:pt>
                <c:pt idx="291">
                  <c:v>61.292690262859445</c:v>
                </c:pt>
                <c:pt idx="292">
                  <c:v>39.005277156567203</c:v>
                </c:pt>
                <c:pt idx="293">
                  <c:v>63.557027942901414</c:v>
                </c:pt>
                <c:pt idx="294">
                  <c:v>133.20872934693028</c:v>
                </c:pt>
                <c:pt idx="295">
                  <c:v>80.90187466853213</c:v>
                </c:pt>
                <c:pt idx="296">
                  <c:v>104.06190656975109</c:v>
                </c:pt>
                <c:pt idx="297">
                  <c:v>89.989778485778771</c:v>
                </c:pt>
                <c:pt idx="298">
                  <c:v>59.428279607539572</c:v>
                </c:pt>
                <c:pt idx="299">
                  <c:v>53.334905242357308</c:v>
                </c:pt>
                <c:pt idx="300">
                  <c:v>70.37961212395814</c:v>
                </c:pt>
                <c:pt idx="301">
                  <c:v>102.1689511986017</c:v>
                </c:pt>
                <c:pt idx="302">
                  <c:v>85.4135951094581</c:v>
                </c:pt>
                <c:pt idx="303">
                  <c:v>86.471430911422772</c:v>
                </c:pt>
                <c:pt idx="304">
                  <c:v>85.812778080955283</c:v>
                </c:pt>
                <c:pt idx="305">
                  <c:v>113.97446864181721</c:v>
                </c:pt>
                <c:pt idx="306">
                  <c:v>43.520311930658949</c:v>
                </c:pt>
                <c:pt idx="307">
                  <c:v>51.576043282087795</c:v>
                </c:pt>
                <c:pt idx="308">
                  <c:v>121.28254114353322</c:v>
                </c:pt>
                <c:pt idx="309">
                  <c:v>121.70126046188406</c:v>
                </c:pt>
                <c:pt idx="310">
                  <c:v>117.49897724130552</c:v>
                </c:pt>
                <c:pt idx="311">
                  <c:v>78.647098762320198</c:v>
                </c:pt>
                <c:pt idx="312">
                  <c:v>44.370798270269376</c:v>
                </c:pt>
                <c:pt idx="313">
                  <c:v>92.13032437429834</c:v>
                </c:pt>
                <c:pt idx="314">
                  <c:v>112.0983544962121</c:v>
                </c:pt>
                <c:pt idx="315">
                  <c:v>110.53851106471706</c:v>
                </c:pt>
                <c:pt idx="316">
                  <c:v>109.16670151904013</c:v>
                </c:pt>
                <c:pt idx="317">
                  <c:v>41.655488104882032</c:v>
                </c:pt>
                <c:pt idx="318">
                  <c:v>52.40154120917088</c:v>
                </c:pt>
                <c:pt idx="319">
                  <c:v>109.23897007943275</c:v>
                </c:pt>
                <c:pt idx="320">
                  <c:v>64.871879430554955</c:v>
                </c:pt>
                <c:pt idx="321">
                  <c:v>51.481169014576338</c:v>
                </c:pt>
                <c:pt idx="322">
                  <c:v>24.479494702190848</c:v>
                </c:pt>
                <c:pt idx="323">
                  <c:v>71.580453361638348</c:v>
                </c:pt>
                <c:pt idx="324">
                  <c:v>14.179671323172244</c:v>
                </c:pt>
                <c:pt idx="325">
                  <c:v>34.425319913888011</c:v>
                </c:pt>
                <c:pt idx="326">
                  <c:v>56.773797138614874</c:v>
                </c:pt>
                <c:pt idx="327">
                  <c:v>55.865823629244808</c:v>
                </c:pt>
                <c:pt idx="328">
                  <c:v>18.090246788467294</c:v>
                </c:pt>
                <c:pt idx="329">
                  <c:v>54.454395462795247</c:v>
                </c:pt>
                <c:pt idx="330">
                  <c:v>59.309994212164696</c:v>
                </c:pt>
                <c:pt idx="331">
                  <c:v>38.55380375929461</c:v>
                </c:pt>
                <c:pt idx="332">
                  <c:v>54.927313222974966</c:v>
                </c:pt>
                <c:pt idx="333">
                  <c:v>21.787226366048767</c:v>
                </c:pt>
                <c:pt idx="334">
                  <c:v>16.363780672093387</c:v>
                </c:pt>
                <c:pt idx="335">
                  <c:v>26.386748784341908</c:v>
                </c:pt>
                <c:pt idx="336">
                  <c:v>36.179865733610995</c:v>
                </c:pt>
                <c:pt idx="337">
                  <c:v>77.62560738123679</c:v>
                </c:pt>
                <c:pt idx="338">
                  <c:v>97.416995406843867</c:v>
                </c:pt>
                <c:pt idx="339">
                  <c:v>50.625394522210968</c:v>
                </c:pt>
                <c:pt idx="340">
                  <c:v>78.3095264512027</c:v>
                </c:pt>
                <c:pt idx="341">
                  <c:v>14.818501486610398</c:v>
                </c:pt>
                <c:pt idx="342">
                  <c:v>28.48459877306826</c:v>
                </c:pt>
                <c:pt idx="343">
                  <c:v>68.657723262522524</c:v>
                </c:pt>
                <c:pt idx="344">
                  <c:v>64.630798550858032</c:v>
                </c:pt>
                <c:pt idx="345">
                  <c:v>22.539302907140947</c:v>
                </c:pt>
                <c:pt idx="346">
                  <c:v>23.475787050969281</c:v>
                </c:pt>
                <c:pt idx="347">
                  <c:v>68.895865869024249</c:v>
                </c:pt>
                <c:pt idx="348">
                  <c:v>34.291188351924525</c:v>
                </c:pt>
                <c:pt idx="349">
                  <c:v>20.899634032017392</c:v>
                </c:pt>
                <c:pt idx="350">
                  <c:v>12.966867016431888</c:v>
                </c:pt>
                <c:pt idx="351">
                  <c:v>70.627898579152088</c:v>
                </c:pt>
                <c:pt idx="352">
                  <c:v>67.886627621040972</c:v>
                </c:pt>
                <c:pt idx="353">
                  <c:v>17.747701357719954</c:v>
                </c:pt>
                <c:pt idx="354">
                  <c:v>83.859371720514574</c:v>
                </c:pt>
                <c:pt idx="355">
                  <c:v>69.852648390597764</c:v>
                </c:pt>
                <c:pt idx="356">
                  <c:v>71.648183646976861</c:v>
                </c:pt>
                <c:pt idx="357">
                  <c:v>86.976973267564077</c:v>
                </c:pt>
                <c:pt idx="358">
                  <c:v>49.001756887511661</c:v>
                </c:pt>
                <c:pt idx="359">
                  <c:v>83.724239099353994</c:v>
                </c:pt>
                <c:pt idx="360">
                  <c:v>25.949712034405948</c:v>
                </c:pt>
                <c:pt idx="361">
                  <c:v>68.100025358525428</c:v>
                </c:pt>
                <c:pt idx="362">
                  <c:v>42.114248830628071</c:v>
                </c:pt>
                <c:pt idx="363">
                  <c:v>60.308721071039436</c:v>
                </c:pt>
                <c:pt idx="364">
                  <c:v>48.272259980670341</c:v>
                </c:pt>
                <c:pt idx="365">
                  <c:v>60.433597703264368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'2024'!$W$15:$W$380</c:f>
              <c:numCache>
                <c:formatCode>0.00</c:formatCode>
                <c:ptCount val="366"/>
                <c:pt idx="0">
                  <c:v>94.327839024569641</c:v>
                </c:pt>
                <c:pt idx="1">
                  <c:v>68.976901004818004</c:v>
                </c:pt>
                <c:pt idx="2">
                  <c:v>71.834464896879069</c:v>
                </c:pt>
                <c:pt idx="3">
                  <c:v>77.148040790781991</c:v>
                </c:pt>
                <c:pt idx="4">
                  <c:v>58.010146688720198</c:v>
                </c:pt>
                <c:pt idx="5">
                  <c:v>99.364782326268383</c:v>
                </c:pt>
                <c:pt idx="6">
                  <c:v>37.58871910592525</c:v>
                </c:pt>
                <c:pt idx="7">
                  <c:v>25.167000155006118</c:v>
                </c:pt>
                <c:pt idx="8">
                  <c:v>7.857697961949115</c:v>
                </c:pt>
                <c:pt idx="9">
                  <c:v>7.2237768093746553</c:v>
                </c:pt>
                <c:pt idx="10">
                  <c:v>96.852015144086664</c:v>
                </c:pt>
                <c:pt idx="11">
                  <c:v>83.040484758219861</c:v>
                </c:pt>
                <c:pt idx="12">
                  <c:v>26.646678496393911</c:v>
                </c:pt>
                <c:pt idx="13">
                  <c:v>106.27387325832369</c:v>
                </c:pt>
                <c:pt idx="14">
                  <c:v>107.90541703413489</c:v>
                </c:pt>
                <c:pt idx="15">
                  <c:v>107.31436315979695</c:v>
                </c:pt>
                <c:pt idx="16">
                  <c:v>84.273680931760012</c:v>
                </c:pt>
                <c:pt idx="17">
                  <c:v>22.073389686800816</c:v>
                </c:pt>
                <c:pt idx="18">
                  <c:v>45.078616310763977</c:v>
                </c:pt>
                <c:pt idx="19">
                  <c:v>23.233167148888064</c:v>
                </c:pt>
                <c:pt idx="20">
                  <c:v>58.328284445503527</c:v>
                </c:pt>
                <c:pt idx="21">
                  <c:v>112.02034366065695</c:v>
                </c:pt>
                <c:pt idx="22">
                  <c:v>113.86414492864861</c:v>
                </c:pt>
                <c:pt idx="23">
                  <c:v>115.27099591348542</c:v>
                </c:pt>
                <c:pt idx="24">
                  <c:v>114.20571935909432</c:v>
                </c:pt>
                <c:pt idx="25">
                  <c:v>116.21638805905658</c:v>
                </c:pt>
                <c:pt idx="26">
                  <c:v>118.11042051007776</c:v>
                </c:pt>
                <c:pt idx="27">
                  <c:v>18.299166288827262</c:v>
                </c:pt>
                <c:pt idx="28">
                  <c:v>28.681464964461199</c:v>
                </c:pt>
                <c:pt idx="29">
                  <c:v>25.841145535911323</c:v>
                </c:pt>
                <c:pt idx="30">
                  <c:v>25.682389679760824</c:v>
                </c:pt>
                <c:pt idx="31">
                  <c:v>55.98338872309003</c:v>
                </c:pt>
                <c:pt idx="32">
                  <c:v>24.969807853540853</c:v>
                </c:pt>
                <c:pt idx="33">
                  <c:v>56.048007538013842</c:v>
                </c:pt>
                <c:pt idx="34">
                  <c:v>50.994126709678042</c:v>
                </c:pt>
                <c:pt idx="35">
                  <c:v>42.747539731940222</c:v>
                </c:pt>
                <c:pt idx="36">
                  <c:v>90.691525751934918</c:v>
                </c:pt>
                <c:pt idx="37">
                  <c:v>40.979335212629081</c:v>
                </c:pt>
                <c:pt idx="38">
                  <c:v>137.12379958826656</c:v>
                </c:pt>
                <c:pt idx="39">
                  <c:v>136.468813132105</c:v>
                </c:pt>
                <c:pt idx="40">
                  <c:v>128.17707965685844</c:v>
                </c:pt>
                <c:pt idx="41">
                  <c:v>63.931718200782456</c:v>
                </c:pt>
                <c:pt idx="42">
                  <c:v>107.07233388530595</c:v>
                </c:pt>
                <c:pt idx="43">
                  <c:v>130.63740721401817</c:v>
                </c:pt>
                <c:pt idx="44">
                  <c:v>74.488638802572041</c:v>
                </c:pt>
                <c:pt idx="45">
                  <c:v>78.650804303334539</c:v>
                </c:pt>
                <c:pt idx="46">
                  <c:v>30.378527920734651</c:v>
                </c:pt>
                <c:pt idx="47">
                  <c:v>44.755056684819337</c:v>
                </c:pt>
                <c:pt idx="48">
                  <c:v>127.2469661390472</c:v>
                </c:pt>
                <c:pt idx="49">
                  <c:v>72.52933048254576</c:v>
                </c:pt>
                <c:pt idx="50">
                  <c:v>91.25296210994189</c:v>
                </c:pt>
                <c:pt idx="51">
                  <c:v>99.302718930567977</c:v>
                </c:pt>
                <c:pt idx="52">
                  <c:v>132.93930882100005</c:v>
                </c:pt>
                <c:pt idx="53">
                  <c:v>137.37487935941999</c:v>
                </c:pt>
                <c:pt idx="54">
                  <c:v>87.078234600348011</c:v>
                </c:pt>
                <c:pt idx="55">
                  <c:v>123.33844772740423</c:v>
                </c:pt>
                <c:pt idx="56">
                  <c:v>163.67018665280122</c:v>
                </c:pt>
                <c:pt idx="57">
                  <c:v>108.89931150847325</c:v>
                </c:pt>
                <c:pt idx="58">
                  <c:v>147.74153092345097</c:v>
                </c:pt>
                <c:pt idx="59">
                  <c:v>165.99017449470247</c:v>
                </c:pt>
                <c:pt idx="60">
                  <c:v>50.800630983524506</c:v>
                </c:pt>
                <c:pt idx="61">
                  <c:v>153.16506370440422</c:v>
                </c:pt>
                <c:pt idx="62">
                  <c:v>19.557346761838165</c:v>
                </c:pt>
                <c:pt idx="63">
                  <c:v>64.586240214370463</c:v>
                </c:pt>
                <c:pt idx="64">
                  <c:v>91.185450056604381</c:v>
                </c:pt>
                <c:pt idx="65">
                  <c:v>135.47078824161289</c:v>
                </c:pt>
                <c:pt idx="66">
                  <c:v>124.9094997448875</c:v>
                </c:pt>
                <c:pt idx="67">
                  <c:v>134.55721487499358</c:v>
                </c:pt>
                <c:pt idx="68">
                  <c:v>96.723360824224798</c:v>
                </c:pt>
                <c:pt idx="69">
                  <c:v>66.203495628309369</c:v>
                </c:pt>
                <c:pt idx="70">
                  <c:v>61.961110654364418</c:v>
                </c:pt>
                <c:pt idx="71">
                  <c:v>54.721809200995835</c:v>
                </c:pt>
                <c:pt idx="72">
                  <c:v>53.702475506862704</c:v>
                </c:pt>
                <c:pt idx="73">
                  <c:v>57.296548832097024</c:v>
                </c:pt>
                <c:pt idx="74">
                  <c:v>38.082251407226408</c:v>
                </c:pt>
                <c:pt idx="75">
                  <c:v>48.914179091173047</c:v>
                </c:pt>
                <c:pt idx="76">
                  <c:v>51.642466027120008</c:v>
                </c:pt>
                <c:pt idx="77">
                  <c:v>117.36247172520731</c:v>
                </c:pt>
                <c:pt idx="78">
                  <c:v>125.35431641818191</c:v>
                </c:pt>
                <c:pt idx="79">
                  <c:v>180.6585539276378</c:v>
                </c:pt>
                <c:pt idx="80">
                  <c:v>160.85220649082643</c:v>
                </c:pt>
                <c:pt idx="81">
                  <c:v>192.5474511867229</c:v>
                </c:pt>
                <c:pt idx="82">
                  <c:v>190.94674793456846</c:v>
                </c:pt>
                <c:pt idx="83">
                  <c:v>162.68462820505957</c:v>
                </c:pt>
                <c:pt idx="84">
                  <c:v>179.37465336232927</c:v>
                </c:pt>
                <c:pt idx="85">
                  <c:v>181.32963941574835</c:v>
                </c:pt>
                <c:pt idx="86">
                  <c:v>142.97651264612477</c:v>
                </c:pt>
                <c:pt idx="87">
                  <c:v>112.42712910791053</c:v>
                </c:pt>
                <c:pt idx="88">
                  <c:v>29.535048279993745</c:v>
                </c:pt>
                <c:pt idx="89">
                  <c:v>85.455880721998895</c:v>
                </c:pt>
                <c:pt idx="90">
                  <c:v>145.05768121994154</c:v>
                </c:pt>
                <c:pt idx="91">
                  <c:v>73.845696991848342</c:v>
                </c:pt>
                <c:pt idx="92">
                  <c:v>118.54154645423328</c:v>
                </c:pt>
                <c:pt idx="93">
                  <c:v>180.85063370130828</c:v>
                </c:pt>
                <c:pt idx="94">
                  <c:v>221.58232658737697</c:v>
                </c:pt>
                <c:pt idx="95">
                  <c:v>55.012405302468856</c:v>
                </c:pt>
                <c:pt idx="96">
                  <c:v>169.06118599790364</c:v>
                </c:pt>
                <c:pt idx="97">
                  <c:v>134.5576384132255</c:v>
                </c:pt>
                <c:pt idx="98">
                  <c:v>145.24308874307863</c:v>
                </c:pt>
                <c:pt idx="99">
                  <c:v>226.74575559378687</c:v>
                </c:pt>
                <c:pt idx="100">
                  <c:v>182.36007625598313</c:v>
                </c:pt>
                <c:pt idx="101">
                  <c:v>152.68221039964206</c:v>
                </c:pt>
                <c:pt idx="102">
                  <c:v>25.329257677792807</c:v>
                </c:pt>
                <c:pt idx="103">
                  <c:v>181.83554383691131</c:v>
                </c:pt>
                <c:pt idx="104">
                  <c:v>191.97671143270691</c:v>
                </c:pt>
                <c:pt idx="105">
                  <c:v>193.13060842084425</c:v>
                </c:pt>
                <c:pt idx="106">
                  <c:v>231.67698341321835</c:v>
                </c:pt>
                <c:pt idx="107">
                  <c:v>170.97765948862701</c:v>
                </c:pt>
                <c:pt idx="108">
                  <c:v>38.617275338628467</c:v>
                </c:pt>
                <c:pt idx="109">
                  <c:v>43.796054084730059</c:v>
                </c:pt>
                <c:pt idx="110">
                  <c:v>39.0266238514346</c:v>
                </c:pt>
                <c:pt idx="111">
                  <c:v>118.75348414092508</c:v>
                </c:pt>
                <c:pt idx="112">
                  <c:v>43.262561188695273</c:v>
                </c:pt>
                <c:pt idx="113">
                  <c:v>116.85175418997576</c:v>
                </c:pt>
                <c:pt idx="114">
                  <c:v>197.53828534936676</c:v>
                </c:pt>
                <c:pt idx="115">
                  <c:v>232.12413744799977</c:v>
                </c:pt>
                <c:pt idx="116">
                  <c:v>165.35550413951302</c:v>
                </c:pt>
                <c:pt idx="117">
                  <c:v>96.30361463596256</c:v>
                </c:pt>
                <c:pt idx="118">
                  <c:v>177.96515730275732</c:v>
                </c:pt>
                <c:pt idx="119">
                  <c:v>166.63345378949265</c:v>
                </c:pt>
                <c:pt idx="120">
                  <c:v>198.35190647079941</c:v>
                </c:pt>
                <c:pt idx="121">
                  <c:v>117.69221016505793</c:v>
                </c:pt>
                <c:pt idx="122">
                  <c:v>134.01089699804103</c:v>
                </c:pt>
                <c:pt idx="123">
                  <c:v>78.656117403275616</c:v>
                </c:pt>
                <c:pt idx="124">
                  <c:v>165.70507545533579</c:v>
                </c:pt>
                <c:pt idx="125">
                  <c:v>154.15245544904155</c:v>
                </c:pt>
                <c:pt idx="126">
                  <c:v>195.49800724885185</c:v>
                </c:pt>
                <c:pt idx="127">
                  <c:v>213.57927280792418</c:v>
                </c:pt>
                <c:pt idx="128">
                  <c:v>230.29680414265351</c:v>
                </c:pt>
                <c:pt idx="129">
                  <c:v>220.39821038522948</c:v>
                </c:pt>
                <c:pt idx="130">
                  <c:v>237.38826655541627</c:v>
                </c:pt>
                <c:pt idx="131">
                  <c:v>178.30077800897058</c:v>
                </c:pt>
                <c:pt idx="132">
                  <c:v>169.42279740470207</c:v>
                </c:pt>
                <c:pt idx="133">
                  <c:v>209.03135981437052</c:v>
                </c:pt>
                <c:pt idx="134">
                  <c:v>219.93451160038825</c:v>
                </c:pt>
                <c:pt idx="135">
                  <c:v>212.68754810883897</c:v>
                </c:pt>
                <c:pt idx="136">
                  <c:v>231.86161205501546</c:v>
                </c:pt>
                <c:pt idx="137">
                  <c:v>222.68670822815486</c:v>
                </c:pt>
                <c:pt idx="138">
                  <c:v>227.31298184080563</c:v>
                </c:pt>
                <c:pt idx="139">
                  <c:v>203.88135952125634</c:v>
                </c:pt>
                <c:pt idx="140">
                  <c:v>211.24380092877934</c:v>
                </c:pt>
                <c:pt idx="141">
                  <c:v>157.31690005265969</c:v>
                </c:pt>
                <c:pt idx="142">
                  <c:v>74.366236486328518</c:v>
                </c:pt>
                <c:pt idx="143">
                  <c:v>69.453426190225073</c:v>
                </c:pt>
                <c:pt idx="144">
                  <c:v>172.34011927864952</c:v>
                </c:pt>
                <c:pt idx="145">
                  <c:v>110.82971142633208</c:v>
                </c:pt>
                <c:pt idx="146">
                  <c:v>186.59345166360262</c:v>
                </c:pt>
                <c:pt idx="147">
                  <c:v>229.56804596794524</c:v>
                </c:pt>
                <c:pt idx="148">
                  <c:v>250.07197790464767</c:v>
                </c:pt>
                <c:pt idx="149">
                  <c:v>210.79586307487187</c:v>
                </c:pt>
                <c:pt idx="150">
                  <c:v>231.00859448200688</c:v>
                </c:pt>
                <c:pt idx="151">
                  <c:v>241.16398961050649</c:v>
                </c:pt>
                <c:pt idx="152">
                  <c:v>169.62647818900192</c:v>
                </c:pt>
                <c:pt idx="153">
                  <c:v>233.04170128417894</c:v>
                </c:pt>
                <c:pt idx="154">
                  <c:v>101.53333002468</c:v>
                </c:pt>
                <c:pt idx="155">
                  <c:v>131.54839034322657</c:v>
                </c:pt>
                <c:pt idx="156">
                  <c:v>193.2920371095567</c:v>
                </c:pt>
                <c:pt idx="157">
                  <c:v>120.44394875903235</c:v>
                </c:pt>
                <c:pt idx="158">
                  <c:v>91.763938358314974</c:v>
                </c:pt>
                <c:pt idx="159">
                  <c:v>194.67091754010235</c:v>
                </c:pt>
                <c:pt idx="160">
                  <c:v>246.09882858706791</c:v>
                </c:pt>
                <c:pt idx="161">
                  <c:v>233.74111501650469</c:v>
                </c:pt>
                <c:pt idx="162">
                  <c:v>184.53109808393432</c:v>
                </c:pt>
                <c:pt idx="163">
                  <c:v>226.95070457914144</c:v>
                </c:pt>
                <c:pt idx="164">
                  <c:v>204.90516073517119</c:v>
                </c:pt>
                <c:pt idx="165">
                  <c:v>230.01225414909413</c:v>
                </c:pt>
                <c:pt idx="166">
                  <c:v>217.14150450278939</c:v>
                </c:pt>
                <c:pt idx="167">
                  <c:v>223.91323513522988</c:v>
                </c:pt>
                <c:pt idx="168">
                  <c:v>230.84209612503912</c:v>
                </c:pt>
                <c:pt idx="169">
                  <c:v>235.22398170394763</c:v>
                </c:pt>
                <c:pt idx="170">
                  <c:v>126.67395079146911</c:v>
                </c:pt>
                <c:pt idx="171">
                  <c:v>90.347979292088937</c:v>
                </c:pt>
                <c:pt idx="172">
                  <c:v>178.58675897498125</c:v>
                </c:pt>
                <c:pt idx="173">
                  <c:v>174.73273206209831</c:v>
                </c:pt>
                <c:pt idx="174">
                  <c:v>174.59246804946801</c:v>
                </c:pt>
                <c:pt idx="175">
                  <c:v>148.92179144343982</c:v>
                </c:pt>
                <c:pt idx="176">
                  <c:v>49.52523641345929</c:v>
                </c:pt>
                <c:pt idx="177">
                  <c:v>57.859609826552884</c:v>
                </c:pt>
                <c:pt idx="178">
                  <c:v>252.9781458044946</c:v>
                </c:pt>
                <c:pt idx="179">
                  <c:v>240.17850770905204</c:v>
                </c:pt>
                <c:pt idx="180">
                  <c:v>56.080048495185181</c:v>
                </c:pt>
                <c:pt idx="181">
                  <c:v>215.0514390094408</c:v>
                </c:pt>
                <c:pt idx="182">
                  <c:v>237.65613170663156</c:v>
                </c:pt>
                <c:pt idx="183">
                  <c:v>196.83146389201741</c:v>
                </c:pt>
                <c:pt idx="184">
                  <c:v>192.01252195141785</c:v>
                </c:pt>
                <c:pt idx="185">
                  <c:v>230.9697496809481</c:v>
                </c:pt>
                <c:pt idx="186">
                  <c:v>183.34796066359917</c:v>
                </c:pt>
                <c:pt idx="187">
                  <c:v>227.85175716645384</c:v>
                </c:pt>
                <c:pt idx="188">
                  <c:v>241.63426510032696</c:v>
                </c:pt>
                <c:pt idx="189">
                  <c:v>239.10491084956877</c:v>
                </c:pt>
                <c:pt idx="190">
                  <c:v>237.17999582953999</c:v>
                </c:pt>
                <c:pt idx="191">
                  <c:v>230.75408822127378</c:v>
                </c:pt>
                <c:pt idx="192">
                  <c:v>228.04589350192418</c:v>
                </c:pt>
                <c:pt idx="193">
                  <c:v>228.17613429309785</c:v>
                </c:pt>
                <c:pt idx="194">
                  <c:v>225.7080321020276</c:v>
                </c:pt>
                <c:pt idx="195">
                  <c:v>216.50335955629973</c:v>
                </c:pt>
                <c:pt idx="196">
                  <c:v>222.20665363765889</c:v>
                </c:pt>
                <c:pt idx="197">
                  <c:v>221.47494609644465</c:v>
                </c:pt>
                <c:pt idx="198">
                  <c:v>225.11233540273298</c:v>
                </c:pt>
                <c:pt idx="199">
                  <c:v>159.32416018140862</c:v>
                </c:pt>
                <c:pt idx="200">
                  <c:v>163.35968639910217</c:v>
                </c:pt>
                <c:pt idx="201">
                  <c:v>218.22663325356731</c:v>
                </c:pt>
                <c:pt idx="202">
                  <c:v>165.54449144304985</c:v>
                </c:pt>
                <c:pt idx="203">
                  <c:v>190.516290474936</c:v>
                </c:pt>
                <c:pt idx="204">
                  <c:v>221.09595126112885</c:v>
                </c:pt>
                <c:pt idx="205">
                  <c:v>119.03012992144546</c:v>
                </c:pt>
                <c:pt idx="206">
                  <c:v>212.38457933968701</c:v>
                </c:pt>
                <c:pt idx="207">
                  <c:v>233.07182376013176</c:v>
                </c:pt>
                <c:pt idx="208">
                  <c:v>188.26496001965131</c:v>
                </c:pt>
                <c:pt idx="209">
                  <c:v>114.35638586110925</c:v>
                </c:pt>
                <c:pt idx="210">
                  <c:v>197.93759568852033</c:v>
                </c:pt>
                <c:pt idx="211">
                  <c:v>226.51269496295731</c:v>
                </c:pt>
                <c:pt idx="212">
                  <c:v>225.41075380603485</c:v>
                </c:pt>
                <c:pt idx="213">
                  <c:v>225.46627727077612</c:v>
                </c:pt>
                <c:pt idx="214">
                  <c:v>214.07242223066223</c:v>
                </c:pt>
                <c:pt idx="215">
                  <c:v>203.1527001138825</c:v>
                </c:pt>
                <c:pt idx="216">
                  <c:v>189.01614148576442</c:v>
                </c:pt>
                <c:pt idx="217">
                  <c:v>202.73630882461572</c:v>
                </c:pt>
                <c:pt idx="218">
                  <c:v>216.65402513567855</c:v>
                </c:pt>
                <c:pt idx="219">
                  <c:v>220.45133185670969</c:v>
                </c:pt>
                <c:pt idx="220">
                  <c:v>210.09677911518042</c:v>
                </c:pt>
                <c:pt idx="221">
                  <c:v>204.2332253025819</c:v>
                </c:pt>
                <c:pt idx="222">
                  <c:v>189.542038636916</c:v>
                </c:pt>
                <c:pt idx="223">
                  <c:v>198.57331633178916</c:v>
                </c:pt>
                <c:pt idx="224">
                  <c:v>138.0307272703817</c:v>
                </c:pt>
                <c:pt idx="225">
                  <c:v>151.39871339604952</c:v>
                </c:pt>
                <c:pt idx="226">
                  <c:v>155.84550191913812</c:v>
                </c:pt>
                <c:pt idx="227">
                  <c:v>140.19843008030898</c:v>
                </c:pt>
                <c:pt idx="228">
                  <c:v>107.97358313134369</c:v>
                </c:pt>
                <c:pt idx="229">
                  <c:v>132.57865916790985</c:v>
                </c:pt>
                <c:pt idx="230">
                  <c:v>143.04361183872464</c:v>
                </c:pt>
                <c:pt idx="231">
                  <c:v>208.9453010848033</c:v>
                </c:pt>
                <c:pt idx="232">
                  <c:v>133.30024465646756</c:v>
                </c:pt>
                <c:pt idx="233">
                  <c:v>105.12232647674097</c:v>
                </c:pt>
                <c:pt idx="234">
                  <c:v>182.4450116479307</c:v>
                </c:pt>
                <c:pt idx="235">
                  <c:v>194.32208082937552</c:v>
                </c:pt>
                <c:pt idx="236">
                  <c:v>136.11396684876485</c:v>
                </c:pt>
                <c:pt idx="237">
                  <c:v>183.78342534535204</c:v>
                </c:pt>
                <c:pt idx="238">
                  <c:v>201.03873035405485</c:v>
                </c:pt>
                <c:pt idx="239">
                  <c:v>197.98287206615692</c:v>
                </c:pt>
                <c:pt idx="240">
                  <c:v>133.27280531033128</c:v>
                </c:pt>
                <c:pt idx="241">
                  <c:v>197.89244193038539</c:v>
                </c:pt>
                <c:pt idx="242">
                  <c:v>88.033894421468545</c:v>
                </c:pt>
                <c:pt idx="243">
                  <c:v>175.08839993804443</c:v>
                </c:pt>
                <c:pt idx="244">
                  <c:v>172.57824492131112</c:v>
                </c:pt>
                <c:pt idx="245">
                  <c:v>134.80365436837292</c:v>
                </c:pt>
                <c:pt idx="246">
                  <c:v>189.88685227973386</c:v>
                </c:pt>
                <c:pt idx="247">
                  <c:v>167.70189257745389</c:v>
                </c:pt>
                <c:pt idx="248">
                  <c:v>188.06504423089152</c:v>
                </c:pt>
                <c:pt idx="249">
                  <c:v>142.9363900676864</c:v>
                </c:pt>
                <c:pt idx="250">
                  <c:v>166.15569338442714</c:v>
                </c:pt>
                <c:pt idx="251">
                  <c:v>88.865441820983051</c:v>
                </c:pt>
                <c:pt idx="252">
                  <c:v>184.86104684639437</c:v>
                </c:pt>
                <c:pt idx="253">
                  <c:v>188.43452294960372</c:v>
                </c:pt>
                <c:pt idx="254">
                  <c:v>130.46703296449752</c:v>
                </c:pt>
                <c:pt idx="255">
                  <c:v>46.967447311881628</c:v>
                </c:pt>
                <c:pt idx="256">
                  <c:v>149.7799677951194</c:v>
                </c:pt>
                <c:pt idx="257">
                  <c:v>167.59963646013659</c:v>
                </c:pt>
                <c:pt idx="258">
                  <c:v>106.99378617820294</c:v>
                </c:pt>
                <c:pt idx="259">
                  <c:v>194.42958540935027</c:v>
                </c:pt>
                <c:pt idx="260">
                  <c:v>187.76198172888667</c:v>
                </c:pt>
                <c:pt idx="261">
                  <c:v>185.26712132935847</c:v>
                </c:pt>
                <c:pt idx="262">
                  <c:v>189.47755325169908</c:v>
                </c:pt>
                <c:pt idx="263">
                  <c:v>184.34562159366308</c:v>
                </c:pt>
                <c:pt idx="264">
                  <c:v>179.05971140346173</c:v>
                </c:pt>
                <c:pt idx="265">
                  <c:v>114.81484574809339</c:v>
                </c:pt>
                <c:pt idx="266">
                  <c:v>77.239074923657782</c:v>
                </c:pt>
                <c:pt idx="267">
                  <c:v>134.15177078639039</c:v>
                </c:pt>
                <c:pt idx="268">
                  <c:v>135.78121139064805</c:v>
                </c:pt>
                <c:pt idx="269">
                  <c:v>62.355740995406634</c:v>
                </c:pt>
                <c:pt idx="270">
                  <c:v>62.543553060346554</c:v>
                </c:pt>
                <c:pt idx="271">
                  <c:v>93.072904092862856</c:v>
                </c:pt>
                <c:pt idx="272">
                  <c:v>133.45590993100649</c:v>
                </c:pt>
                <c:pt idx="273">
                  <c:v>151.27162413160792</c:v>
                </c:pt>
                <c:pt idx="274">
                  <c:v>156.60046432754166</c:v>
                </c:pt>
                <c:pt idx="275">
                  <c:v>147.08797023058281</c:v>
                </c:pt>
                <c:pt idx="276">
                  <c:v>168.30605348184983</c:v>
                </c:pt>
                <c:pt idx="277">
                  <c:v>171.04821988428338</c:v>
                </c:pt>
                <c:pt idx="278">
                  <c:v>57.431681637800985</c:v>
                </c:pt>
                <c:pt idx="279">
                  <c:v>118.01402389912327</c:v>
                </c:pt>
                <c:pt idx="280">
                  <c:v>65.936271264134646</c:v>
                </c:pt>
                <c:pt idx="281">
                  <c:v>155.47797247937791</c:v>
                </c:pt>
                <c:pt idx="282">
                  <c:v>124.39047510625039</c:v>
                </c:pt>
                <c:pt idx="283">
                  <c:v>95.76158223306868</c:v>
                </c:pt>
                <c:pt idx="284">
                  <c:v>120.27880721875196</c:v>
                </c:pt>
                <c:pt idx="285">
                  <c:v>92.993179300664224</c:v>
                </c:pt>
                <c:pt idx="286">
                  <c:v>82.875939969086588</c:v>
                </c:pt>
                <c:pt idx="287">
                  <c:v>151.39133416388501</c:v>
                </c:pt>
                <c:pt idx="288">
                  <c:v>135.73143689706731</c:v>
                </c:pt>
                <c:pt idx="289">
                  <c:v>86.982212879091918</c:v>
                </c:pt>
                <c:pt idx="290">
                  <c:v>138.86368538853827</c:v>
                </c:pt>
                <c:pt idx="291">
                  <c:v>61.292690262859445</c:v>
                </c:pt>
                <c:pt idx="292">
                  <c:v>39.005277156567203</c:v>
                </c:pt>
                <c:pt idx="293">
                  <c:v>63.557027942901414</c:v>
                </c:pt>
                <c:pt idx="294">
                  <c:v>133.20872934693028</c:v>
                </c:pt>
                <c:pt idx="295">
                  <c:v>80.90187466853213</c:v>
                </c:pt>
                <c:pt idx="296">
                  <c:v>104.06190656975109</c:v>
                </c:pt>
                <c:pt idx="297">
                  <c:v>89.989778485778771</c:v>
                </c:pt>
                <c:pt idx="298">
                  <c:v>59.428279607539572</c:v>
                </c:pt>
                <c:pt idx="299">
                  <c:v>53.334905242357308</c:v>
                </c:pt>
                <c:pt idx="300">
                  <c:v>70.37961212395814</c:v>
                </c:pt>
                <c:pt idx="301">
                  <c:v>102.1689511986017</c:v>
                </c:pt>
                <c:pt idx="302">
                  <c:v>85.4135951094581</c:v>
                </c:pt>
                <c:pt idx="303">
                  <c:v>86.471430911422772</c:v>
                </c:pt>
                <c:pt idx="304">
                  <c:v>85.812778080955283</c:v>
                </c:pt>
                <c:pt idx="305">
                  <c:v>113.97446864181721</c:v>
                </c:pt>
                <c:pt idx="306">
                  <c:v>43.520311930658949</c:v>
                </c:pt>
                <c:pt idx="307">
                  <c:v>51.576043282087795</c:v>
                </c:pt>
                <c:pt idx="308">
                  <c:v>121.28254114353322</c:v>
                </c:pt>
                <c:pt idx="309">
                  <c:v>121.70126046188406</c:v>
                </c:pt>
                <c:pt idx="310">
                  <c:v>117.49897724130552</c:v>
                </c:pt>
                <c:pt idx="311">
                  <c:v>78.647098762320198</c:v>
                </c:pt>
                <c:pt idx="312">
                  <c:v>44.370798270269376</c:v>
                </c:pt>
                <c:pt idx="313">
                  <c:v>92.13032437429834</c:v>
                </c:pt>
                <c:pt idx="314">
                  <c:v>112.0983544962121</c:v>
                </c:pt>
                <c:pt idx="315">
                  <c:v>110.53851106471706</c:v>
                </c:pt>
                <c:pt idx="316">
                  <c:v>109.16670151904013</c:v>
                </c:pt>
                <c:pt idx="317">
                  <c:v>41.655488104882032</c:v>
                </c:pt>
                <c:pt idx="318">
                  <c:v>52.40154120917088</c:v>
                </c:pt>
                <c:pt idx="319">
                  <c:v>109.23897007943275</c:v>
                </c:pt>
                <c:pt idx="320">
                  <c:v>64.871879430554955</c:v>
                </c:pt>
                <c:pt idx="321">
                  <c:v>51.481169014576338</c:v>
                </c:pt>
                <c:pt idx="322">
                  <c:v>24.479494702190848</c:v>
                </c:pt>
                <c:pt idx="323">
                  <c:v>71.580453361638348</c:v>
                </c:pt>
                <c:pt idx="324">
                  <c:v>14.179671323172244</c:v>
                </c:pt>
                <c:pt idx="325">
                  <c:v>34.425319913888011</c:v>
                </c:pt>
                <c:pt idx="326">
                  <c:v>56.773797138614874</c:v>
                </c:pt>
                <c:pt idx="327">
                  <c:v>55.865823629244808</c:v>
                </c:pt>
                <c:pt idx="328">
                  <c:v>18.090246788467294</c:v>
                </c:pt>
                <c:pt idx="329">
                  <c:v>54.454395462795247</c:v>
                </c:pt>
                <c:pt idx="330">
                  <c:v>59.309994212164696</c:v>
                </c:pt>
                <c:pt idx="331">
                  <c:v>38.55380375929461</c:v>
                </c:pt>
                <c:pt idx="332">
                  <c:v>54.927313222974966</c:v>
                </c:pt>
                <c:pt idx="333">
                  <c:v>21.787226366048767</c:v>
                </c:pt>
                <c:pt idx="334">
                  <c:v>16.363780672093387</c:v>
                </c:pt>
                <c:pt idx="335">
                  <c:v>26.386748784341908</c:v>
                </c:pt>
                <c:pt idx="336">
                  <c:v>36.179865733610995</c:v>
                </c:pt>
                <c:pt idx="337">
                  <c:v>77.62560738123679</c:v>
                </c:pt>
                <c:pt idx="338">
                  <c:v>97.416995406843867</c:v>
                </c:pt>
                <c:pt idx="339">
                  <c:v>50.625394522210968</c:v>
                </c:pt>
                <c:pt idx="340">
                  <c:v>78.3095264512027</c:v>
                </c:pt>
                <c:pt idx="341">
                  <c:v>14.818501486610398</c:v>
                </c:pt>
                <c:pt idx="342">
                  <c:v>28.48459877306826</c:v>
                </c:pt>
                <c:pt idx="343">
                  <c:v>68.657723262522524</c:v>
                </c:pt>
                <c:pt idx="344">
                  <c:v>64.630798550858032</c:v>
                </c:pt>
                <c:pt idx="345">
                  <c:v>22.539302907140947</c:v>
                </c:pt>
                <c:pt idx="346">
                  <c:v>23.475787050969281</c:v>
                </c:pt>
                <c:pt idx="347">
                  <c:v>68.895865869024249</c:v>
                </c:pt>
                <c:pt idx="348">
                  <c:v>34.291188351924525</c:v>
                </c:pt>
                <c:pt idx="349">
                  <c:v>20.899634032017392</c:v>
                </c:pt>
                <c:pt idx="350">
                  <c:v>12.966867016431888</c:v>
                </c:pt>
                <c:pt idx="351">
                  <c:v>70.627898579152088</c:v>
                </c:pt>
                <c:pt idx="352">
                  <c:v>67.886627621040972</c:v>
                </c:pt>
                <c:pt idx="353">
                  <c:v>17.747701357719954</c:v>
                </c:pt>
                <c:pt idx="354">
                  <c:v>83.859371720514574</c:v>
                </c:pt>
                <c:pt idx="355">
                  <c:v>69.852648390597764</c:v>
                </c:pt>
                <c:pt idx="356">
                  <c:v>71.648183646976861</c:v>
                </c:pt>
                <c:pt idx="357">
                  <c:v>86.976973267564077</c:v>
                </c:pt>
                <c:pt idx="358">
                  <c:v>49.001756887511661</c:v>
                </c:pt>
                <c:pt idx="359">
                  <c:v>83.724239099353994</c:v>
                </c:pt>
                <c:pt idx="360">
                  <c:v>25.949712034405948</c:v>
                </c:pt>
                <c:pt idx="361">
                  <c:v>68.100025358525428</c:v>
                </c:pt>
                <c:pt idx="362">
                  <c:v>42.114248830628071</c:v>
                </c:pt>
                <c:pt idx="363">
                  <c:v>60.308721071039436</c:v>
                </c:pt>
                <c:pt idx="364">
                  <c:v>48.272259980670341</c:v>
                </c:pt>
                <c:pt idx="365">
                  <c:v>60.433597703264368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597808"/>
        <c:axId val="665598200"/>
      </c:lineChart>
      <c:dateAx>
        <c:axId val="665597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598200"/>
        <c:crosses val="autoZero"/>
        <c:auto val="1"/>
        <c:lblOffset val="100"/>
        <c:baseTimeUnit val="days"/>
        <c:majorUnit val="1"/>
        <c:majorTimeUnit val="months"/>
      </c:dateAx>
      <c:valAx>
        <c:axId val="665598200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59780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564897897133484"/>
          <c:h val="0.1367757748342214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1.6750660435418174E-2</c:v>
                </c:pt>
                <c:pt idx="1">
                  <c:v>1.6764120293181639E-2</c:v>
                </c:pt>
                <c:pt idx="2">
                  <c:v>1.6777579966690936E-2</c:v>
                </c:pt>
                <c:pt idx="3">
                  <c:v>1.679103945594862E-2</c:v>
                </c:pt>
                <c:pt idx="4">
                  <c:v>1.6804498760957132E-2</c:v>
                </c:pt>
                <c:pt idx="5">
                  <c:v>1.6817957881719137E-2</c:v>
                </c:pt>
                <c:pt idx="6">
                  <c:v>1.6831416818237077E-2</c:v>
                </c:pt>
                <c:pt idx="7">
                  <c:v>1.6844875570513507E-2</c:v>
                </c:pt>
                <c:pt idx="8">
                  <c:v>1.6858334138550868E-2</c:v>
                </c:pt>
                <c:pt idx="9">
                  <c:v>1.6871792522351714E-2</c:v>
                </c:pt>
                <c:pt idx="10">
                  <c:v>1.6885250721918599E-2</c:v>
                </c:pt>
                <c:pt idx="11">
                  <c:v>1.6898708737254076E-2</c:v>
                </c:pt>
                <c:pt idx="12">
                  <c:v>1.6912166568360587E-2</c:v>
                </c:pt>
                <c:pt idx="13">
                  <c:v>1.6925624215240687E-2</c:v>
                </c:pt>
                <c:pt idx="14">
                  <c:v>1.6939081677896928E-2</c:v>
                </c:pt>
                <c:pt idx="15">
                  <c:v>1.6952538956331864E-2</c:v>
                </c:pt>
                <c:pt idx="16">
                  <c:v>1.6965996050547827E-2</c:v>
                </c:pt>
                <c:pt idx="17">
                  <c:v>1.6979452960547592E-2</c:v>
                </c:pt>
                <c:pt idx="18">
                  <c:v>1.6992909686333491E-2</c:v>
                </c:pt>
                <c:pt idx="19">
                  <c:v>1.7006366227908187E-2</c:v>
                </c:pt>
                <c:pt idx="20">
                  <c:v>1.7019822585274014E-2</c:v>
                </c:pt>
                <c:pt idx="21">
                  <c:v>1.7033278758433634E-2</c:v>
                </c:pt>
                <c:pt idx="22">
                  <c:v>1.7046734747389602E-2</c:v>
                </c:pt>
                <c:pt idx="23">
                  <c:v>1.7060190552144361E-2</c:v>
                </c:pt>
                <c:pt idx="24">
                  <c:v>1.7073646172700463E-2</c:v>
                </c:pt>
                <c:pt idx="25">
                  <c:v>1.7087101609060462E-2</c:v>
                </c:pt>
                <c:pt idx="26">
                  <c:v>1.710055686122669E-2</c:v>
                </c:pt>
                <c:pt idx="27">
                  <c:v>1.7114011929201922E-2</c:v>
                </c:pt>
                <c:pt idx="28">
                  <c:v>1.7127466812988601E-2</c:v>
                </c:pt>
                <c:pt idx="29">
                  <c:v>1.7140921512589169E-2</c:v>
                </c:pt>
                <c:pt idx="30">
                  <c:v>1.715437602800618E-2</c:v>
                </c:pt>
                <c:pt idx="31">
                  <c:v>1.7167830359242187E-2</c:v>
                </c:pt>
                <c:pt idx="32">
                  <c:v>1.7181284506299743E-2</c:v>
                </c:pt>
                <c:pt idx="33">
                  <c:v>1.7194738469181292E-2</c:v>
                </c:pt>
                <c:pt idx="34">
                  <c:v>1.7208192247889387E-2</c:v>
                </c:pt>
                <c:pt idx="35">
                  <c:v>1.722164584242647E-2</c:v>
                </c:pt>
                <c:pt idx="36">
                  <c:v>1.7235099252795316E-2</c:v>
                </c:pt>
                <c:pt idx="37">
                  <c:v>1.7248552478998147E-2</c:v>
                </c:pt>
                <c:pt idx="38">
                  <c:v>1.7262005521037627E-2</c:v>
                </c:pt>
                <c:pt idx="39">
                  <c:v>1.7275458378916198E-2</c:v>
                </c:pt>
                <c:pt idx="40">
                  <c:v>1.7288911052636524E-2</c:v>
                </c:pt>
                <c:pt idx="41">
                  <c:v>1.7302363542201049E-2</c:v>
                </c:pt>
                <c:pt idx="42">
                  <c:v>1.7315815847612326E-2</c:v>
                </c:pt>
                <c:pt idx="43">
                  <c:v>1.7329267968872797E-2</c:v>
                </c:pt>
                <c:pt idx="44">
                  <c:v>1.7342719905985016E-2</c:v>
                </c:pt>
                <c:pt idx="45">
                  <c:v>1.7356171658951425E-2</c:v>
                </c:pt>
                <c:pt idx="46">
                  <c:v>1.73696232277748E-2</c:v>
                </c:pt>
                <c:pt idx="47">
                  <c:v>1.7383074612457361E-2</c:v>
                </c:pt>
                <c:pt idx="48">
                  <c:v>1.7396525813001773E-2</c:v>
                </c:pt>
                <c:pt idx="49">
                  <c:v>1.7409976829410589E-2</c:v>
                </c:pt>
                <c:pt idx="50">
                  <c:v>1.7423427661686253E-2</c:v>
                </c:pt>
                <c:pt idx="51">
                  <c:v>1.7436878309831427E-2</c:v>
                </c:pt>
                <c:pt idx="52">
                  <c:v>1.7450328773848445E-2</c:v>
                </c:pt>
                <c:pt idx="53">
                  <c:v>1.7463779053739859E-2</c:v>
                </c:pt>
                <c:pt idx="54">
                  <c:v>1.7477229149508333E-2</c:v>
                </c:pt>
                <c:pt idx="55">
                  <c:v>1.74906790611562E-2</c:v>
                </c:pt>
                <c:pt idx="56">
                  <c:v>1.7504128788686124E-2</c:v>
                </c:pt>
                <c:pt idx="57">
                  <c:v>1.7517578332100547E-2</c:v>
                </c:pt>
                <c:pt idx="58">
                  <c:v>1.7531027691402024E-2</c:v>
                </c:pt>
                <c:pt idx="59">
                  <c:v>1.7544476866592995E-2</c:v>
                </c:pt>
                <c:pt idx="60">
                  <c:v>1.7557925857676127E-2</c:v>
                </c:pt>
                <c:pt idx="61">
                  <c:v>1.757137466465386E-2</c:v>
                </c:pt>
                <c:pt idx="62">
                  <c:v>1.758482328752875E-2</c:v>
                </c:pt>
                <c:pt idx="63">
                  <c:v>1.7598271726303238E-2</c:v>
                </c:pt>
                <c:pt idx="64">
                  <c:v>1.761171998097999E-2</c:v>
                </c:pt>
                <c:pt idx="65">
                  <c:v>1.7625168051561335E-2</c:v>
                </c:pt>
                <c:pt idx="66">
                  <c:v>1.7638615938049829E-2</c:v>
                </c:pt>
                <c:pt idx="67">
                  <c:v>1.7652063640448135E-2</c:v>
                </c:pt>
                <c:pt idx="68">
                  <c:v>1.7665511158758695E-2</c:v>
                </c:pt>
                <c:pt idx="69">
                  <c:v>1.7678958492984065E-2</c:v>
                </c:pt>
                <c:pt idx="70">
                  <c:v>1.7692405643126574E-2</c:v>
                </c:pt>
                <c:pt idx="71">
                  <c:v>1.7705852609188999E-2</c:v>
                </c:pt>
                <c:pt idx="72">
                  <c:v>1.7719299391173782E-2</c:v>
                </c:pt>
                <c:pt idx="73">
                  <c:v>1.7732745989083365E-2</c:v>
                </c:pt>
                <c:pt idx="74">
                  <c:v>1.7746192402920302E-2</c:v>
                </c:pt>
                <c:pt idx="75">
                  <c:v>1.7759638632687147E-2</c:v>
                </c:pt>
                <c:pt idx="76">
                  <c:v>1.7773084678386342E-2</c:v>
                </c:pt>
                <c:pt idx="77">
                  <c:v>1.778653054002044E-2</c:v>
                </c:pt>
                <c:pt idx="78">
                  <c:v>1.7799976217592106E-2</c:v>
                </c:pt>
                <c:pt idx="79">
                  <c:v>1.7813421711103672E-2</c:v>
                </c:pt>
                <c:pt idx="80">
                  <c:v>1.7826867020557691E-2</c:v>
                </c:pt>
                <c:pt idx="81">
                  <c:v>1.7840312145956827E-2</c:v>
                </c:pt>
                <c:pt idx="82">
                  <c:v>1.7853757087303412E-2</c:v>
                </c:pt>
                <c:pt idx="83">
                  <c:v>1.78672018446E-2</c:v>
                </c:pt>
                <c:pt idx="84">
                  <c:v>1.7880646417849144E-2</c:v>
                </c:pt>
                <c:pt idx="85">
                  <c:v>1.7894090807053509E-2</c:v>
                </c:pt>
                <c:pt idx="86">
                  <c:v>1.7907535012215314E-2</c:v>
                </c:pt>
                <c:pt idx="87">
                  <c:v>1.7920979033337336E-2</c:v>
                </c:pt>
                <c:pt idx="88">
                  <c:v>1.7934422870422018E-2</c:v>
                </c:pt>
                <c:pt idx="89">
                  <c:v>1.79478665234718E-2</c:v>
                </c:pt>
                <c:pt idx="90">
                  <c:v>1.7961309992489238E-2</c:v>
                </c:pt>
                <c:pt idx="91">
                  <c:v>1.7974753277476885E-2</c:v>
                </c:pt>
                <c:pt idx="92">
                  <c:v>1.7988196378437293E-2</c:v>
                </c:pt>
                <c:pt idx="93">
                  <c:v>1.8001639295372907E-2</c:v>
                </c:pt>
                <c:pt idx="94">
                  <c:v>1.8015082028286278E-2</c:v>
                </c:pt>
                <c:pt idx="95">
                  <c:v>1.8028524577179961E-2</c:v>
                </c:pt>
                <c:pt idx="96">
                  <c:v>1.8041966942056398E-2</c:v>
                </c:pt>
                <c:pt idx="97">
                  <c:v>1.8055409122918253E-2</c:v>
                </c:pt>
                <c:pt idx="98">
                  <c:v>1.8068851119767859E-2</c:v>
                </c:pt>
                <c:pt idx="99">
                  <c:v>1.8082292932607769E-2</c:v>
                </c:pt>
                <c:pt idx="100">
                  <c:v>1.8095734561440535E-2</c:v>
                </c:pt>
                <c:pt idx="101">
                  <c:v>1.8109176006268823E-2</c:v>
                </c:pt>
                <c:pt idx="102">
                  <c:v>1.8122617267094965E-2</c:v>
                </c:pt>
                <c:pt idx="103">
                  <c:v>1.8136058343921513E-2</c:v>
                </c:pt>
                <c:pt idx="104">
                  <c:v>1.814949923675091E-2</c:v>
                </c:pt>
                <c:pt idx="105">
                  <c:v>1.8162939945585932E-2</c:v>
                </c:pt>
                <c:pt idx="106">
                  <c:v>1.8176380470428799E-2</c:v>
                </c:pt>
                <c:pt idx="107">
                  <c:v>1.8189820811282287E-2</c:v>
                </c:pt>
                <c:pt idx="108">
                  <c:v>1.8203260968148727E-2</c:v>
                </c:pt>
                <c:pt idx="109">
                  <c:v>1.8216700941030783E-2</c:v>
                </c:pt>
                <c:pt idx="110">
                  <c:v>1.8230140729930788E-2</c:v>
                </c:pt>
                <c:pt idx="111">
                  <c:v>1.8243580334851406E-2</c:v>
                </c:pt>
                <c:pt idx="112">
                  <c:v>1.825701975579519E-2</c:v>
                </c:pt>
                <c:pt idx="113">
                  <c:v>1.8270458992764471E-2</c:v>
                </c:pt>
                <c:pt idx="114">
                  <c:v>1.8283898045762026E-2</c:v>
                </c:pt>
                <c:pt idx="115">
                  <c:v>1.8297336914790074E-2</c:v>
                </c:pt>
                <c:pt idx="116">
                  <c:v>1.8310775599851392E-2</c:v>
                </c:pt>
                <c:pt idx="117">
                  <c:v>1.8324214100948422E-2</c:v>
                </c:pt>
                <c:pt idx="118">
                  <c:v>1.8337652418083605E-2</c:v>
                </c:pt>
                <c:pt idx="119">
                  <c:v>1.8351090551259497E-2</c:v>
                </c:pt>
                <c:pt idx="120">
                  <c:v>1.836452850047865E-2</c:v>
                </c:pt>
                <c:pt idx="121">
                  <c:v>1.8377966265743506E-2</c:v>
                </c:pt>
                <c:pt idx="122">
                  <c:v>1.8391403847056731E-2</c:v>
                </c:pt>
                <c:pt idx="123">
                  <c:v>1.8404841244420655E-2</c:v>
                </c:pt>
                <c:pt idx="124">
                  <c:v>1.8418278457837944E-2</c:v>
                </c:pt>
                <c:pt idx="125">
                  <c:v>1.8431715487311151E-2</c:v>
                </c:pt>
                <c:pt idx="126">
                  <c:v>1.8445152332842607E-2</c:v>
                </c:pt>
                <c:pt idx="127">
                  <c:v>1.8458588994434977E-2</c:v>
                </c:pt>
                <c:pt idx="128">
                  <c:v>1.8472025472090703E-2</c:v>
                </c:pt>
                <c:pt idx="129">
                  <c:v>1.8485461765812339E-2</c:v>
                </c:pt>
                <c:pt idx="130">
                  <c:v>1.8498897875602438E-2</c:v>
                </c:pt>
                <c:pt idx="131">
                  <c:v>1.8512333801463332E-2</c:v>
                </c:pt>
                <c:pt idx="132">
                  <c:v>1.8525769543397796E-2</c:v>
                </c:pt>
                <c:pt idx="133">
                  <c:v>1.8539205101408274E-2</c:v>
                </c:pt>
                <c:pt idx="134">
                  <c:v>1.8552640475497206E-2</c:v>
                </c:pt>
                <c:pt idx="135">
                  <c:v>1.8566075665667148E-2</c:v>
                </c:pt>
                <c:pt idx="136">
                  <c:v>1.8579510671920652E-2</c:v>
                </c:pt>
                <c:pt idx="137">
                  <c:v>1.859294549426016E-2</c:v>
                </c:pt>
                <c:pt idx="138">
                  <c:v>1.8606380132688227E-2</c:v>
                </c:pt>
                <c:pt idx="139">
                  <c:v>1.8619814587207406E-2</c:v>
                </c:pt>
                <c:pt idx="140">
                  <c:v>1.8633248857820139E-2</c:v>
                </c:pt>
                <c:pt idx="141">
                  <c:v>1.8646682944528981E-2</c:v>
                </c:pt>
                <c:pt idx="142">
                  <c:v>1.8660116847336483E-2</c:v>
                </c:pt>
                <c:pt idx="143">
                  <c:v>1.8673550566245201E-2</c:v>
                </c:pt>
                <c:pt idx="144">
                  <c:v>1.8686984101257464E-2</c:v>
                </c:pt>
                <c:pt idx="145">
                  <c:v>1.870041745237605E-2</c:v>
                </c:pt>
                <c:pt idx="146">
                  <c:v>1.8713850619603289E-2</c:v>
                </c:pt>
                <c:pt idx="147">
                  <c:v>1.8727283602941736E-2</c:v>
                </c:pt>
                <c:pt idx="148">
                  <c:v>1.8740716402393942E-2</c:v>
                </c:pt>
                <c:pt idx="149">
                  <c:v>1.8754149017962352E-2</c:v>
                </c:pt>
                <c:pt idx="150">
                  <c:v>1.8767581449649517E-2</c:v>
                </c:pt>
                <c:pt idx="151">
                  <c:v>1.8781013697457993E-2</c:v>
                </c:pt>
                <c:pt idx="152">
                  <c:v>1.8794445761390333E-2</c:v>
                </c:pt>
                <c:pt idx="153">
                  <c:v>1.8807877641448978E-2</c:v>
                </c:pt>
                <c:pt idx="154">
                  <c:v>1.8821309337636483E-2</c:v>
                </c:pt>
                <c:pt idx="155">
                  <c:v>1.8834740849955289E-2</c:v>
                </c:pt>
                <c:pt idx="156">
                  <c:v>1.8848172178408062E-2</c:v>
                </c:pt>
                <c:pt idx="157">
                  <c:v>1.8861603322997134E-2</c:v>
                </c:pt>
                <c:pt idx="158">
                  <c:v>1.8875034283725167E-2</c:v>
                </c:pt>
                <c:pt idx="159">
                  <c:v>1.8888465060594606E-2</c:v>
                </c:pt>
                <c:pt idx="160">
                  <c:v>1.8901895653608003E-2</c:v>
                </c:pt>
                <c:pt idx="161">
                  <c:v>1.8915326062767801E-2</c:v>
                </c:pt>
                <c:pt idx="162">
                  <c:v>1.8928756288076554E-2</c:v>
                </c:pt>
                <c:pt idx="163">
                  <c:v>1.8942186329536925E-2</c:v>
                </c:pt>
                <c:pt idx="164">
                  <c:v>1.8955616187151247E-2</c:v>
                </c:pt>
                <c:pt idx="165">
                  <c:v>1.8969045860922074E-2</c:v>
                </c:pt>
                <c:pt idx="166">
                  <c:v>1.8982475350851957E-2</c:v>
                </c:pt>
                <c:pt idx="167">
                  <c:v>1.8995904656943452E-2</c:v>
                </c:pt>
                <c:pt idx="168">
                  <c:v>1.9009333779199E-2</c:v>
                </c:pt>
                <c:pt idx="169">
                  <c:v>1.9022762717621156E-2</c:v>
                </c:pt>
                <c:pt idx="170">
                  <c:v>1.903619147221236E-2</c:v>
                </c:pt>
                <c:pt idx="171">
                  <c:v>1.9049620042975168E-2</c:v>
                </c:pt>
                <c:pt idx="172">
                  <c:v>1.9063048429912244E-2</c:v>
                </c:pt>
                <c:pt idx="173">
                  <c:v>1.9076476633025918E-2</c:v>
                </c:pt>
                <c:pt idx="174">
                  <c:v>1.9089904652318745E-2</c:v>
                </c:pt>
                <c:pt idx="175">
                  <c:v>1.9103332487793279E-2</c:v>
                </c:pt>
                <c:pt idx="176">
                  <c:v>1.911676013945196E-2</c:v>
                </c:pt>
                <c:pt idx="177">
                  <c:v>1.9130187607297455E-2</c:v>
                </c:pt>
                <c:pt idx="178">
                  <c:v>1.9143614891332206E-2</c:v>
                </c:pt>
                <c:pt idx="179">
                  <c:v>1.9157041991558654E-2</c:v>
                </c:pt>
                <c:pt idx="180">
                  <c:v>1.9170468907979354E-2</c:v>
                </c:pt>
                <c:pt idx="181">
                  <c:v>1.918389564059686E-2</c:v>
                </c:pt>
                <c:pt idx="182">
                  <c:v>1.9197322189413724E-2</c:v>
                </c:pt>
                <c:pt idx="183">
                  <c:v>1.9210748554432389E-2</c:v>
                </c:pt>
                <c:pt idx="184">
                  <c:v>1.9224174735655408E-2</c:v>
                </c:pt>
                <c:pt idx="185">
                  <c:v>1.9237600733085225E-2</c:v>
                </c:pt>
                <c:pt idx="186">
                  <c:v>1.9251026546724392E-2</c:v>
                </c:pt>
                <c:pt idx="187">
                  <c:v>1.9264452176575575E-2</c:v>
                </c:pt>
                <c:pt idx="188">
                  <c:v>1.9277877622640993E-2</c:v>
                </c:pt>
                <c:pt idx="189">
                  <c:v>1.9291302884923422E-2</c:v>
                </c:pt>
                <c:pt idx="190">
                  <c:v>1.9304727963425306E-2</c:v>
                </c:pt>
                <c:pt idx="191">
                  <c:v>1.9318152858149085E-2</c:v>
                </c:pt>
                <c:pt idx="192">
                  <c:v>1.9331577569097425E-2</c:v>
                </c:pt>
                <c:pt idx="193">
                  <c:v>1.9345002096272657E-2</c:v>
                </c:pt>
                <c:pt idx="194">
                  <c:v>1.9358426439677334E-2</c:v>
                </c:pt>
                <c:pt idx="195">
                  <c:v>1.9371850599314122E-2</c:v>
                </c:pt>
                <c:pt idx="196">
                  <c:v>1.9385274575185463E-2</c:v>
                </c:pt>
                <c:pt idx="197">
                  <c:v>1.9398698367293798E-2</c:v>
                </c:pt>
                <c:pt idx="198">
                  <c:v>1.9412121975641683E-2</c:v>
                </c:pt>
                <c:pt idx="199">
                  <c:v>1.9425545400231559E-2</c:v>
                </c:pt>
                <c:pt idx="200">
                  <c:v>1.9438968641066201E-2</c:v>
                </c:pt>
                <c:pt idx="201">
                  <c:v>1.9452391698147831E-2</c:v>
                </c:pt>
                <c:pt idx="202">
                  <c:v>1.9465814571479112E-2</c:v>
                </c:pt>
                <c:pt idx="203">
                  <c:v>1.9479237261062488E-2</c:v>
                </c:pt>
                <c:pt idx="204">
                  <c:v>1.9492659766900622E-2</c:v>
                </c:pt>
                <c:pt idx="205">
                  <c:v>1.9506082088995846E-2</c:v>
                </c:pt>
                <c:pt idx="206">
                  <c:v>1.9519504227350715E-2</c:v>
                </c:pt>
                <c:pt idx="207">
                  <c:v>1.9532926181967891E-2</c:v>
                </c:pt>
                <c:pt idx="208">
                  <c:v>1.9546347952849707E-2</c:v>
                </c:pt>
                <c:pt idx="209">
                  <c:v>1.9559769539998717E-2</c:v>
                </c:pt>
                <c:pt idx="210">
                  <c:v>1.9573190943417473E-2</c:v>
                </c:pt>
                <c:pt idx="211">
                  <c:v>1.958661216310853E-2</c:v>
                </c:pt>
                <c:pt idx="212">
                  <c:v>1.960003319907444E-2</c:v>
                </c:pt>
                <c:pt idx="213">
                  <c:v>1.9613454051317536E-2</c:v>
                </c:pt>
                <c:pt idx="214">
                  <c:v>1.962687471984037E-2</c:v>
                </c:pt>
                <c:pt idx="215">
                  <c:v>1.9640295204645608E-2</c:v>
                </c:pt>
                <c:pt idx="216">
                  <c:v>1.9653715505735692E-2</c:v>
                </c:pt>
                <c:pt idx="217">
                  <c:v>1.9667135623113174E-2</c:v>
                </c:pt>
                <c:pt idx="218">
                  <c:v>1.9680555556780388E-2</c:v>
                </c:pt>
                <c:pt idx="219">
                  <c:v>1.9693975306740108E-2</c:v>
                </c:pt>
                <c:pt idx="220">
                  <c:v>1.9707394872994666E-2</c:v>
                </c:pt>
                <c:pt idx="221">
                  <c:v>1.9720814255546615E-2</c:v>
                </c:pt>
                <c:pt idx="222">
                  <c:v>1.9734233454398509E-2</c:v>
                </c:pt>
                <c:pt idx="223">
                  <c:v>1.974765246955279E-2</c:v>
                </c:pt>
                <c:pt idx="224">
                  <c:v>1.9761071301012012E-2</c:v>
                </c:pt>
                <c:pt idx="225">
                  <c:v>1.9774489948778728E-2</c:v>
                </c:pt>
                <c:pt idx="226">
                  <c:v>1.9787908412855493E-2</c:v>
                </c:pt>
                <c:pt idx="227">
                  <c:v>1.9801326693244747E-2</c:v>
                </c:pt>
                <c:pt idx="228">
                  <c:v>1.9814744789948935E-2</c:v>
                </c:pt>
                <c:pt idx="229">
                  <c:v>1.9828162702970609E-2</c:v>
                </c:pt>
                <c:pt idx="230">
                  <c:v>1.9841580432312433E-2</c:v>
                </c:pt>
                <c:pt idx="231">
                  <c:v>1.985499797797674E-2</c:v>
                </c:pt>
                <c:pt idx="232">
                  <c:v>1.9868415339966194E-2</c:v>
                </c:pt>
                <c:pt idx="233">
                  <c:v>1.9881832518283127E-2</c:v>
                </c:pt>
                <c:pt idx="234">
                  <c:v>1.9895249512930202E-2</c:v>
                </c:pt>
                <c:pt idx="235">
                  <c:v>1.9908666323909974E-2</c:v>
                </c:pt>
                <c:pt idx="236">
                  <c:v>1.9922082951224773E-2</c:v>
                </c:pt>
                <c:pt idx="237">
                  <c:v>1.9935499394877154E-2</c:v>
                </c:pt>
                <c:pt idx="238">
                  <c:v>1.9948915654869781E-2</c:v>
                </c:pt>
                <c:pt idx="239">
                  <c:v>1.9962331731205096E-2</c:v>
                </c:pt>
                <c:pt idx="240">
                  <c:v>1.9975747623885542E-2</c:v>
                </c:pt>
                <c:pt idx="241">
                  <c:v>1.9989163332913673E-2</c:v>
                </c:pt>
                <c:pt idx="242">
                  <c:v>2.0002578858292042E-2</c:v>
                </c:pt>
                <c:pt idx="243">
                  <c:v>2.0015994200023091E-2</c:v>
                </c:pt>
                <c:pt idx="244">
                  <c:v>2.0029409358109374E-2</c:v>
                </c:pt>
                <c:pt idx="245">
                  <c:v>2.0042824332553444E-2</c:v>
                </c:pt>
                <c:pt idx="246">
                  <c:v>2.0056239123357855E-2</c:v>
                </c:pt>
                <c:pt idx="247">
                  <c:v>2.0069653730524939E-2</c:v>
                </c:pt>
                <c:pt idx="248">
                  <c:v>2.008306815405736E-2</c:v>
                </c:pt>
                <c:pt idx="249">
                  <c:v>2.009648239395756E-2</c:v>
                </c:pt>
                <c:pt idx="250">
                  <c:v>2.0109896450228093E-2</c:v>
                </c:pt>
                <c:pt idx="251">
                  <c:v>2.0123310322871513E-2</c:v>
                </c:pt>
                <c:pt idx="252">
                  <c:v>2.013672401189015E-2</c:v>
                </c:pt>
                <c:pt idx="253">
                  <c:v>2.0150137517286781E-2</c:v>
                </c:pt>
                <c:pt idx="254">
                  <c:v>2.0163550839063737E-2</c:v>
                </c:pt>
                <c:pt idx="255">
                  <c:v>2.0176963977223572E-2</c:v>
                </c:pt>
                <c:pt idx="256">
                  <c:v>2.0190376931768839E-2</c:v>
                </c:pt>
                <c:pt idx="257">
                  <c:v>2.020378970270198E-2</c:v>
                </c:pt>
                <c:pt idx="258">
                  <c:v>2.0217202290025549E-2</c:v>
                </c:pt>
                <c:pt idx="259">
                  <c:v>2.0230614693742099E-2</c:v>
                </c:pt>
                <c:pt idx="260">
                  <c:v>2.0244026913854074E-2</c:v>
                </c:pt>
                <c:pt idx="261">
                  <c:v>2.0257438950364026E-2</c:v>
                </c:pt>
                <c:pt idx="262">
                  <c:v>2.0270850803274509E-2</c:v>
                </c:pt>
                <c:pt idx="263">
                  <c:v>2.0284262472587966E-2</c:v>
                </c:pt>
                <c:pt idx="264">
                  <c:v>2.0297673958306839E-2</c:v>
                </c:pt>
                <c:pt idx="265">
                  <c:v>2.0311085260433903E-2</c:v>
                </c:pt>
                <c:pt idx="266">
                  <c:v>2.032449637897138E-2</c:v>
                </c:pt>
                <c:pt idx="267">
                  <c:v>2.0337907313921932E-2</c:v>
                </c:pt>
                <c:pt idx="268">
                  <c:v>2.0351318065288004E-2</c:v>
                </c:pt>
                <c:pt idx="269">
                  <c:v>2.036472863307226E-2</c:v>
                </c:pt>
                <c:pt idx="270">
                  <c:v>2.037813901727703E-2</c:v>
                </c:pt>
                <c:pt idx="271">
                  <c:v>2.039154921790487E-2</c:v>
                </c:pt>
                <c:pt idx="272">
                  <c:v>2.0404959234958442E-2</c:v>
                </c:pt>
                <c:pt idx="273">
                  <c:v>2.0418369068440079E-2</c:v>
                </c:pt>
                <c:pt idx="274">
                  <c:v>2.0431778718352334E-2</c:v>
                </c:pt>
                <c:pt idx="275">
                  <c:v>2.044518818469776E-2</c:v>
                </c:pt>
                <c:pt idx="276">
                  <c:v>2.0458597467478801E-2</c:v>
                </c:pt>
                <c:pt idx="277">
                  <c:v>2.047200656669812E-2</c:v>
                </c:pt>
                <c:pt idx="278">
                  <c:v>2.0485415482358049E-2</c:v>
                </c:pt>
                <c:pt idx="279">
                  <c:v>2.0498824214461253E-2</c:v>
                </c:pt>
                <c:pt idx="280">
                  <c:v>2.0512232763010063E-2</c:v>
                </c:pt>
                <c:pt idx="281">
                  <c:v>2.0525641128007255E-2</c:v>
                </c:pt>
                <c:pt idx="282">
                  <c:v>2.0539049309455049E-2</c:v>
                </c:pt>
                <c:pt idx="283">
                  <c:v>2.055245730735622E-2</c:v>
                </c:pt>
                <c:pt idx="284">
                  <c:v>2.0565865121713101E-2</c:v>
                </c:pt>
                <c:pt idx="285">
                  <c:v>2.0579272752528244E-2</c:v>
                </c:pt>
                <c:pt idx="286">
                  <c:v>2.0592680199804203E-2</c:v>
                </c:pt>
                <c:pt idx="287">
                  <c:v>2.0606087463543421E-2</c:v>
                </c:pt>
                <c:pt idx="288">
                  <c:v>2.0619494543748562E-2</c:v>
                </c:pt>
                <c:pt idx="289">
                  <c:v>2.0632901440421958E-2</c:v>
                </c:pt>
                <c:pt idx="290">
                  <c:v>2.0646308153566162E-2</c:v>
                </c:pt>
                <c:pt idx="291">
                  <c:v>2.0659714683183839E-2</c:v>
                </c:pt>
                <c:pt idx="292">
                  <c:v>2.0673121029277319E-2</c:v>
                </c:pt>
                <c:pt idx="293">
                  <c:v>2.0686527191849158E-2</c:v>
                </c:pt>
                <c:pt idx="294">
                  <c:v>2.0699933170901907E-2</c:v>
                </c:pt>
                <c:pt idx="295">
                  <c:v>2.0713338966438011E-2</c:v>
                </c:pt>
                <c:pt idx="296">
                  <c:v>2.0726744578460132E-2</c:v>
                </c:pt>
                <c:pt idx="297">
                  <c:v>2.0740150006970604E-2</c:v>
                </c:pt>
                <c:pt idx="298">
                  <c:v>2.0753555251972089E-2</c:v>
                </c:pt>
                <c:pt idx="299">
                  <c:v>2.076696031346692E-2</c:v>
                </c:pt>
                <c:pt idx="300">
                  <c:v>2.0780365191457761E-2</c:v>
                </c:pt>
                <c:pt idx="301">
                  <c:v>2.0793769885947166E-2</c:v>
                </c:pt>
                <c:pt idx="302">
                  <c:v>2.0807174396937467E-2</c:v>
                </c:pt>
                <c:pt idx="303">
                  <c:v>2.0820578724431327E-2</c:v>
                </c:pt>
                <c:pt idx="304">
                  <c:v>2.0833982868431078E-2</c:v>
                </c:pt>
                <c:pt idx="305">
                  <c:v>2.0847386828939496E-2</c:v>
                </c:pt>
                <c:pt idx="306">
                  <c:v>2.0860790605958912E-2</c:v>
                </c:pt>
                <c:pt idx="307">
                  <c:v>2.087419419949188E-2</c:v>
                </c:pt>
                <c:pt idx="308">
                  <c:v>2.0887597609540842E-2</c:v>
                </c:pt>
                <c:pt idx="309">
                  <c:v>2.0901000836108463E-2</c:v>
                </c:pt>
                <c:pt idx="310">
                  <c:v>2.0914403879197074E-2</c:v>
                </c:pt>
                <c:pt idx="311">
                  <c:v>2.092780673880934E-2</c:v>
                </c:pt>
                <c:pt idx="312">
                  <c:v>2.0941209414947703E-2</c:v>
                </c:pt>
                <c:pt idx="313">
                  <c:v>2.0954611907614717E-2</c:v>
                </c:pt>
                <c:pt idx="314">
                  <c:v>2.0968014216812825E-2</c:v>
                </c:pt>
                <c:pt idx="315">
                  <c:v>2.0981416342544579E-2</c:v>
                </c:pt>
                <c:pt idx="316">
                  <c:v>2.0994818284812533E-2</c:v>
                </c:pt>
                <c:pt idx="317">
                  <c:v>2.100822004361913E-2</c:v>
                </c:pt>
                <c:pt idx="318">
                  <c:v>2.1021621618966813E-2</c:v>
                </c:pt>
                <c:pt idx="319">
                  <c:v>2.1035023010858245E-2</c:v>
                </c:pt>
                <c:pt idx="320">
                  <c:v>2.104842421929598E-2</c:v>
                </c:pt>
                <c:pt idx="321">
                  <c:v>2.106182524428224E-2</c:v>
                </c:pt>
                <c:pt idx="322">
                  <c:v>2.1075226085819798E-2</c:v>
                </c:pt>
                <c:pt idx="323">
                  <c:v>2.108862674391121E-2</c:v>
                </c:pt>
                <c:pt idx="324">
                  <c:v>2.1102027218558694E-2</c:v>
                </c:pt>
                <c:pt idx="325">
                  <c:v>2.1115427509765028E-2</c:v>
                </c:pt>
                <c:pt idx="326">
                  <c:v>2.1128827617532542E-2</c:v>
                </c:pt>
                <c:pt idx="327">
                  <c:v>2.1142227541863901E-2</c:v>
                </c:pt>
                <c:pt idx="328">
                  <c:v>2.1155627282761547E-2</c:v>
                </c:pt>
                <c:pt idx="329">
                  <c:v>2.1169026840228033E-2</c:v>
                </c:pt>
                <c:pt idx="330">
                  <c:v>2.1182426214265804E-2</c:v>
                </c:pt>
                <c:pt idx="331">
                  <c:v>2.11958254048773E-2</c:v>
                </c:pt>
                <c:pt idx="332">
                  <c:v>2.1209224412065186E-2</c:v>
                </c:pt>
                <c:pt idx="333">
                  <c:v>2.1222623235832017E-2</c:v>
                </c:pt>
                <c:pt idx="334">
                  <c:v>2.1236021876180122E-2</c:v>
                </c:pt>
                <c:pt idx="335">
                  <c:v>2.1249420333112057E-2</c:v>
                </c:pt>
                <c:pt idx="336">
                  <c:v>2.1262818606630374E-2</c:v>
                </c:pt>
                <c:pt idx="337">
                  <c:v>2.1276216696737626E-2</c:v>
                </c:pt>
                <c:pt idx="338">
                  <c:v>2.1289614603436258E-2</c:v>
                </c:pt>
                <c:pt idx="339">
                  <c:v>2.130301232672871E-2</c:v>
                </c:pt>
                <c:pt idx="340">
                  <c:v>2.1316409866617758E-2</c:v>
                </c:pt>
                <c:pt idx="341">
                  <c:v>2.1329807223105623E-2</c:v>
                </c:pt>
                <c:pt idx="342">
                  <c:v>2.134320439619497E-2</c:v>
                </c:pt>
                <c:pt idx="343">
                  <c:v>2.1356601385888241E-2</c:v>
                </c:pt>
                <c:pt idx="344">
                  <c:v>2.1369998192187878E-2</c:v>
                </c:pt>
                <c:pt idx="345">
                  <c:v>2.1383394815096657E-2</c:v>
                </c:pt>
                <c:pt idx="346">
                  <c:v>2.1396791254616798E-2</c:v>
                </c:pt>
                <c:pt idx="347">
                  <c:v>2.1410187510750966E-2</c:v>
                </c:pt>
                <c:pt idx="348">
                  <c:v>2.1423583583501715E-2</c:v>
                </c:pt>
                <c:pt idx="349">
                  <c:v>2.1436979472871376E-2</c:v>
                </c:pt>
                <c:pt idx="350">
                  <c:v>2.1450375178862613E-2</c:v>
                </c:pt>
                <c:pt idx="351">
                  <c:v>2.1463770701477869E-2</c:v>
                </c:pt>
                <c:pt idx="352">
                  <c:v>2.1477166040719697E-2</c:v>
                </c:pt>
                <c:pt idx="353">
                  <c:v>2.1490561196590541E-2</c:v>
                </c:pt>
                <c:pt idx="354">
                  <c:v>2.1503956169092953E-2</c:v>
                </c:pt>
                <c:pt idx="355">
                  <c:v>2.1517350958229486E-2</c:v>
                </c:pt>
                <c:pt idx="356">
                  <c:v>2.1530745564002585E-2</c:v>
                </c:pt>
                <c:pt idx="357">
                  <c:v>2.154413998641469E-2</c:v>
                </c:pt>
                <c:pt idx="358">
                  <c:v>2.1557534225468467E-2</c:v>
                </c:pt>
                <c:pt idx="359">
                  <c:v>2.1570928281166357E-2</c:v>
                </c:pt>
                <c:pt idx="360">
                  <c:v>2.1584322153510915E-2</c:v>
                </c:pt>
                <c:pt idx="361">
                  <c:v>2.1597715842504583E-2</c:v>
                </c:pt>
                <c:pt idx="362">
                  <c:v>2.1611109348149915E-2</c:v>
                </c:pt>
                <c:pt idx="363">
                  <c:v>2.1624502670449353E-2</c:v>
                </c:pt>
                <c:pt idx="364">
                  <c:v>2.163789580940545E-2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2.6749404682713612E-2</c:v>
                </c:pt>
                <c:pt idx="1">
                  <c:v>2.680670782597299E-2</c:v>
                </c:pt>
                <c:pt idx="2">
                  <c:v>2.6864002812140918E-2</c:v>
                </c:pt>
                <c:pt idx="3">
                  <c:v>2.6921283811897293E-2</c:v>
                </c:pt>
                <c:pt idx="4">
                  <c:v>2.6978545754960951E-2</c:v>
                </c:pt>
                <c:pt idx="5">
                  <c:v>2.703578431255917E-2</c:v>
                </c:pt>
                <c:pt idx="6">
                  <c:v>2.7092995873567255E-2</c:v>
                </c:pt>
                <c:pt idx="7">
                  <c:v>2.7150177514748981E-2</c:v>
                </c:pt>
                <c:pt idx="8">
                  <c:v>2.7207326965576834E-2</c:v>
                </c:pt>
                <c:pt idx="9">
                  <c:v>2.7264442568153184E-2</c:v>
                </c:pt>
                <c:pt idx="10">
                  <c:v>2.7321523232790568E-2</c:v>
                </c:pt>
                <c:pt idx="11">
                  <c:v>2.7378568389839902E-2</c:v>
                </c:pt>
                <c:pt idx="12">
                  <c:v>2.7435577938380341E-2</c:v>
                </c:pt>
                <c:pt idx="13">
                  <c:v>2.7492552192402601E-2</c:v>
                </c:pt>
                <c:pt idx="14">
                  <c:v>2.7549491825129273E-2</c:v>
                </c:pt>
                <c:pt idx="15">
                  <c:v>2.7606397812121514E-2</c:v>
                </c:pt>
                <c:pt idx="16">
                  <c:v>2.7663271373819517E-2</c:v>
                </c:pt>
                <c:pt idx="17">
                  <c:v>2.7720113918157287E-2</c:v>
                </c:pt>
                <c:pt idx="18">
                  <c:v>2.7776926983878049E-2</c:v>
                </c:pt>
                <c:pt idx="19">
                  <c:v>2.7833712185157108E-2</c:v>
                </c:pt>
                <c:pt idx="20">
                  <c:v>2.7890471158113186E-2</c:v>
                </c:pt>
                <c:pt idx="21">
                  <c:v>2.7947205509758464E-2</c:v>
                </c:pt>
                <c:pt idx="22">
                  <c:v>2.8003916769901622E-2</c:v>
                </c:pt>
                <c:pt idx="23">
                  <c:v>2.8060606346477696E-2</c:v>
                </c:pt>
                <c:pt idx="24">
                  <c:v>2.811727548473365E-2</c:v>
                </c:pt>
                <c:pt idx="25">
                  <c:v>2.8173925230650806E-2</c:v>
                </c:pt>
                <c:pt idx="26">
                  <c:v>2.8230556398933598E-2</c:v>
                </c:pt>
                <c:pt idx="27">
                  <c:v>2.8287169545840426E-2</c:v>
                </c:pt>
                <c:pt idx="28">
                  <c:v>2.8343764947076924E-2</c:v>
                </c:pt>
                <c:pt idx="29">
                  <c:v>2.8400342580914745E-2</c:v>
                </c:pt>
                <c:pt idx="30">
                  <c:v>2.8456902116641449E-2</c:v>
                </c:pt>
                <c:pt idx="31">
                  <c:v>2.8513442908389221E-2</c:v>
                </c:pt>
                <c:pt idx="32">
                  <c:v>2.8569963994333047E-2</c:v>
                </c:pt>
                <c:pt idx="33">
                  <c:v>2.8626464101192704E-2</c:v>
                </c:pt>
                <c:pt idx="34">
                  <c:v>2.8682941653918437E-2</c:v>
                </c:pt>
                <c:pt idx="35">
                  <c:v>2.8739394790388152E-2</c:v>
                </c:pt>
                <c:pt idx="36">
                  <c:v>2.8795821380893906E-2</c:v>
                </c:pt>
                <c:pt idx="37">
                  <c:v>2.885221905214972E-2</c:v>
                </c:pt>
                <c:pt idx="38">
                  <c:v>2.89085852155095E-2</c:v>
                </c:pt>
                <c:pt idx="39">
                  <c:v>2.8964917099045293E-2</c:v>
                </c:pt>
                <c:pt idx="40">
                  <c:v>2.9021211783101956E-2</c:v>
                </c:pt>
                <c:pt idx="41">
                  <c:v>2.9077466238914211E-2</c:v>
                </c:pt>
                <c:pt idx="42">
                  <c:v>2.9133677369847455E-2</c:v>
                </c:pt>
                <c:pt idx="43">
                  <c:v>2.9189842054804124E-2</c:v>
                </c:pt>
                <c:pt idx="44">
                  <c:v>2.9245957193322344E-2</c:v>
                </c:pt>
                <c:pt idx="45">
                  <c:v>2.9302019751884869E-2</c:v>
                </c:pt>
                <c:pt idx="46">
                  <c:v>2.9358026810951725E-2</c:v>
                </c:pt>
                <c:pt idx="47">
                  <c:v>2.9413975612231587E-2</c:v>
                </c:pt>
                <c:pt idx="48">
                  <c:v>2.9469863605712871E-2</c:v>
                </c:pt>
                <c:pt idx="49">
                  <c:v>2.9525688495986902E-2</c:v>
                </c:pt>
                <c:pt idx="50">
                  <c:v>2.9581448287411174E-2</c:v>
                </c:pt>
                <c:pt idx="51">
                  <c:v>2.9637141327681579E-2</c:v>
                </c:pt>
                <c:pt idx="52">
                  <c:v>2.9692766349406294E-2</c:v>
                </c:pt>
                <c:pt idx="53">
                  <c:v>2.9748322509303073E-2</c:v>
                </c:pt>
                <c:pt idx="54">
                  <c:v>2.9803809424672759E-2</c:v>
                </c:pt>
                <c:pt idx="55">
                  <c:v>2.9859227206836845E-2</c:v>
                </c:pt>
                <c:pt idx="56">
                  <c:v>2.9914576491264083E-2</c:v>
                </c:pt>
                <c:pt idx="57">
                  <c:v>2.9969858464150297E-2</c:v>
                </c:pt>
                <c:pt idx="58">
                  <c:v>3.0025074885256367E-2</c:v>
                </c:pt>
                <c:pt idx="59">
                  <c:v>3.0080228106851358E-2</c:v>
                </c:pt>
                <c:pt idx="60">
                  <c:v>3.0135321088650083E-2</c:v>
                </c:pt>
                <c:pt idx="61">
                  <c:v>3.0190357408676906E-2</c:v>
                </c:pt>
                <c:pt idx="62">
                  <c:v>3.0245341270029622E-2</c:v>
                </c:pt>
                <c:pt idx="63">
                  <c:v>3.030027750355848E-2</c:v>
                </c:pt>
                <c:pt idx="64">
                  <c:v>3.0355171566515012E-2</c:v>
                </c:pt>
                <c:pt idx="65">
                  <c:v>3.0410029537263305E-2</c:v>
                </c:pt>
                <c:pt idx="66">
                  <c:v>3.0464858106182033E-2</c:v>
                </c:pt>
                <c:pt idx="67">
                  <c:v>3.0519664562918603E-2</c:v>
                </c:pt>
                <c:pt idx="68">
                  <c:v>3.0574456780186759E-2</c:v>
                </c:pt>
                <c:pt idx="69">
                  <c:v>3.0629243194325934E-2</c:v>
                </c:pt>
                <c:pt idx="70">
                  <c:v>3.0684032782863843E-2</c:v>
                </c:pt>
                <c:pt idx="71">
                  <c:v>3.073883503934333E-2</c:v>
                </c:pt>
                <c:pt idx="72">
                  <c:v>3.0793659945690329E-2</c:v>
                </c:pt>
                <c:pt idx="73">
                  <c:v>3.0848517942411193E-2</c:v>
                </c:pt>
                <c:pt idx="74">
                  <c:v>3.0903419896915432E-2</c:v>
                </c:pt>
                <c:pt idx="75">
                  <c:v>3.0958377070263391E-2</c:v>
                </c:pt>
                <c:pt idx="76">
                  <c:v>3.1013401082637955E-2</c:v>
                </c:pt>
                <c:pt idx="77">
                  <c:v>3.1068503877834799E-2</c:v>
                </c:pt>
                <c:pt idx="78">
                  <c:v>3.1123697687057677E-2</c:v>
                </c:pt>
                <c:pt idx="79">
                  <c:v>3.1178994992293513E-2</c:v>
                </c:pt>
                <c:pt idx="80">
                  <c:v>3.1234408489526563E-2</c:v>
                </c:pt>
                <c:pt idx="81">
                  <c:v>3.1289951052033263E-2</c:v>
                </c:pt>
                <c:pt idx="82">
                  <c:v>3.1345635693978004E-2</c:v>
                </c:pt>
                <c:pt idx="83">
                  <c:v>3.1401475534506791E-2</c:v>
                </c:pt>
                <c:pt idx="84">
                  <c:v>3.1457483762510632E-2</c:v>
                </c:pt>
                <c:pt idx="85">
                  <c:v>3.1513673602203036E-2</c:v>
                </c:pt>
                <c:pt idx="86">
                  <c:v>3.1570058279628152E-2</c:v>
                </c:pt>
                <c:pt idx="87">
                  <c:v>3.1626650990187001E-2</c:v>
                </c:pt>
                <c:pt idx="88">
                  <c:v>3.1683464867239795E-2</c:v>
                </c:pt>
                <c:pt idx="89">
                  <c:v>3.1740512951813377E-2</c:v>
                </c:pt>
                <c:pt idx="90">
                  <c:v>3.1797808163413849E-2</c:v>
                </c:pt>
                <c:pt idx="91">
                  <c:v>3.1855363271917445E-2</c:v>
                </c:pt>
                <c:pt idx="92">
                  <c:v>3.1913190870485567E-2</c:v>
                </c:pt>
                <c:pt idx="93">
                  <c:v>3.1971303349426383E-2</c:v>
                </c:pt>
                <c:pt idx="94">
                  <c:v>3.2029712870902685E-2</c:v>
                </c:pt>
                <c:pt idx="95">
                  <c:v>3.2088431344365995E-2</c:v>
                </c:pt>
                <c:pt idx="96">
                  <c:v>3.214747040258039E-2</c:v>
                </c:pt>
                <c:pt idx="97">
                  <c:v>3.2206841378085389E-2</c:v>
                </c:pt>
                <c:pt idx="98">
                  <c:v>3.2266555279937367E-2</c:v>
                </c:pt>
                <c:pt idx="99">
                  <c:v>3.2326622770561378E-2</c:v>
                </c:pt>
                <c:pt idx="100">
                  <c:v>3.2387054142542997E-2</c:v>
                </c:pt>
                <c:pt idx="101">
                  <c:v>3.2447859295189625E-2</c:v>
                </c:pt>
                <c:pt idx="102">
                  <c:v>3.2509047710695592E-2</c:v>
                </c:pt>
                <c:pt idx="103">
                  <c:v>3.2570628429753064E-2</c:v>
                </c:pt>
                <c:pt idx="104">
                  <c:v>3.2632610026463414E-2</c:v>
                </c:pt>
                <c:pt idx="105">
                  <c:v>3.2695000582418282E-2</c:v>
                </c:pt>
                <c:pt idx="106">
                  <c:v>3.2757807659839301E-2</c:v>
                </c:pt>
                <c:pt idx="107">
                  <c:v>3.2821038273687111E-2</c:v>
                </c:pt>
                <c:pt idx="108">
                  <c:v>3.2884698862675504E-2</c:v>
                </c:pt>
                <c:pt idx="109">
                  <c:v>3.2948795259154624E-2</c:v>
                </c:pt>
                <c:pt idx="110">
                  <c:v>3.3013332657856546E-2</c:v>
                </c:pt>
                <c:pt idx="111">
                  <c:v>3.307831558352925E-2</c:v>
                </c:pt>
                <c:pt idx="112">
                  <c:v>3.3143747857517981E-2</c:v>
                </c:pt>
                <c:pt idx="113">
                  <c:v>3.3209632563387909E-2</c:v>
                </c:pt>
                <c:pt idx="114">
                  <c:v>3.3275972011716691E-2</c:v>
                </c:pt>
                <c:pt idx="115">
                  <c:v>3.3342767704221447E-2</c:v>
                </c:pt>
                <c:pt idx="116">
                  <c:v>3.3410020297418928E-2</c:v>
                </c:pt>
                <c:pt idx="117">
                  <c:v>3.3477729566052175E-2</c:v>
                </c:pt>
                <c:pt idx="118">
                  <c:v>3.3545894366549242E-2</c:v>
                </c:pt>
                <c:pt idx="119">
                  <c:v>3.3614512600810789E-2</c:v>
                </c:pt>
                <c:pt idx="120">
                  <c:v>3.3683581180651553E-2</c:v>
                </c:pt>
                <c:pt idx="121">
                  <c:v>3.3753095993246496E-2</c:v>
                </c:pt>
                <c:pt idx="122">
                  <c:v>3.3823051867955027E-2</c:v>
                </c:pt>
                <c:pt idx="123">
                  <c:v>3.3893442544915567E-2</c:v>
                </c:pt>
                <c:pt idx="124">
                  <c:v>3.3964260645817701E-2</c:v>
                </c:pt>
                <c:pt idx="125">
                  <c:v>3.4035497647269604E-2</c:v>
                </c:pt>
                <c:pt idx="126">
                  <c:v>3.410714385718492E-2</c:v>
                </c:pt>
                <c:pt idx="127">
                  <c:v>3.4179188394614077E-2</c:v>
                </c:pt>
                <c:pt idx="128">
                  <c:v>3.4251619173441612E-2</c:v>
                </c:pt>
                <c:pt idx="129">
                  <c:v>3.4324422890362319E-2</c:v>
                </c:pt>
                <c:pt idx="130">
                  <c:v>3.4397585017534649E-2</c:v>
                </c:pt>
                <c:pt idx="131">
                  <c:v>3.4471089800291281E-2</c:v>
                </c:pt>
                <c:pt idx="132">
                  <c:v>3.4544920260261902E-2</c:v>
                </c:pt>
                <c:pt idx="133">
                  <c:v>3.4619058204234422E-2</c:v>
                </c:pt>
                <c:pt idx="134">
                  <c:v>3.4693484239046578E-2</c:v>
                </c:pt>
                <c:pt idx="135">
                  <c:v>3.4768177792761215E-2</c:v>
                </c:pt>
                <c:pt idx="136">
                  <c:v>3.4843117142335601E-2</c:v>
                </c:pt>
                <c:pt idx="137">
                  <c:v>3.4918279447948321E-2</c:v>
                </c:pt>
                <c:pt idx="138">
                  <c:v>3.4993640794096482E-2</c:v>
                </c:pt>
                <c:pt idx="139">
                  <c:v>3.5069176237522925E-2</c:v>
                </c:pt>
                <c:pt idx="140">
                  <c:v>3.5144859861976366E-2</c:v>
                </c:pt>
                <c:pt idx="141">
                  <c:v>3.5220664839749526E-2</c:v>
                </c:pt>
                <c:pt idx="142">
                  <c:v>3.5296563499880411E-2</c:v>
                </c:pt>
                <c:pt idx="143">
                  <c:v>3.5372527402840859E-2</c:v>
                </c:pt>
                <c:pt idx="144">
                  <c:v>3.5448527421475869E-2</c:v>
                </c:pt>
                <c:pt idx="145">
                  <c:v>3.5524533827896214E-2</c:v>
                </c:pt>
                <c:pt idx="146">
                  <c:v>3.5600516385966702E-2</c:v>
                </c:pt>
                <c:pt idx="147">
                  <c:v>3.5676444448974956E-2</c:v>
                </c:pt>
                <c:pt idx="148">
                  <c:v>3.5752287062008704E-2</c:v>
                </c:pt>
                <c:pt idx="149">
                  <c:v>3.582801306851667E-2</c:v>
                </c:pt>
                <c:pt idx="150">
                  <c:v>3.590359122047871E-2</c:v>
                </c:pt>
                <c:pt idx="151">
                  <c:v>3.5978990291564178E-2</c:v>
                </c:pt>
                <c:pt idx="152">
                  <c:v>3.6054179192617067E-2</c:v>
                </c:pt>
                <c:pt idx="153">
                  <c:v>3.6129127088769725E-2</c:v>
                </c:pt>
                <c:pt idx="154">
                  <c:v>3.6203803517456321E-2</c:v>
                </c:pt>
                <c:pt idx="155">
                  <c:v>3.6278178506572577E-2</c:v>
                </c:pt>
                <c:pt idx="156">
                  <c:v>3.6352222692009481E-2</c:v>
                </c:pt>
                <c:pt idx="157">
                  <c:v>3.642590743377682E-2</c:v>
                </c:pt>
                <c:pt idx="158">
                  <c:v>3.6499204929927163E-2</c:v>
                </c:pt>
                <c:pt idx="159">
                  <c:v>3.6572088327492563E-2</c:v>
                </c:pt>
                <c:pt idx="160">
                  <c:v>3.664453182965511E-2</c:v>
                </c:pt>
                <c:pt idx="161">
                  <c:v>3.6716510798388446E-2</c:v>
                </c:pt>
                <c:pt idx="162">
                  <c:v>3.6788001851829642E-2</c:v>
                </c:pt>
                <c:pt idx="163">
                  <c:v>3.6858982955671547E-2</c:v>
                </c:pt>
                <c:pt idx="164">
                  <c:v>3.6929433507901357E-2</c:v>
                </c:pt>
                <c:pt idx="165">
                  <c:v>3.699933441625447E-2</c:v>
                </c:pt>
                <c:pt idx="166">
                  <c:v>3.7068668167801744E-2</c:v>
                </c:pt>
                <c:pt idx="167">
                  <c:v>3.7137418890142895E-2</c:v>
                </c:pt>
                <c:pt idx="168">
                  <c:v>3.7205572403738896E-2</c:v>
                </c:pt>
                <c:pt idx="169">
                  <c:v>3.7273116264981025E-2</c:v>
                </c:pt>
                <c:pt idx="170">
                  <c:v>3.7340039799663022E-2</c:v>
                </c:pt>
                <c:pt idx="171">
                  <c:v>3.7406334126595421E-2</c:v>
                </c:pt>
                <c:pt idx="172">
                  <c:v>3.7471992171176596E-2</c:v>
                </c:pt>
                <c:pt idx="173">
                  <c:v>3.7537008668812412E-2</c:v>
                </c:pt>
                <c:pt idx="174">
                  <c:v>3.760138015815568E-2</c:v>
                </c:pt>
                <c:pt idx="175">
                  <c:v>3.7665104964216406E-2</c:v>
                </c:pt>
                <c:pt idx="176">
                  <c:v>3.7728183171473424E-2</c:v>
                </c:pt>
                <c:pt idx="177">
                  <c:v>3.7790616587197373E-2</c:v>
                </c:pt>
                <c:pt idx="178">
                  <c:v>3.7852408695272108E-2</c:v>
                </c:pt>
                <c:pt idx="179">
                  <c:v>3.7913564600876977E-2</c:v>
                </c:pt>
                <c:pt idx="180">
                  <c:v>3.7974090966464744E-2</c:v>
                </c:pt>
                <c:pt idx="181">
                  <c:v>3.8033995939537921E-2</c:v>
                </c:pt>
                <c:pt idx="182">
                  <c:v>3.8093289072790831E-2</c:v>
                </c:pt>
                <c:pt idx="183">
                  <c:v>3.8151981237243435E-2</c:v>
                </c:pt>
                <c:pt idx="184">
                  <c:v>3.8210084529046284E-2</c:v>
                </c:pt>
                <c:pt idx="185">
                  <c:v>3.8267612170683599E-2</c:v>
                </c:pt>
                <c:pt idx="186">
                  <c:v>3.8324578407341575E-2</c:v>
                </c:pt>
                <c:pt idx="187">
                  <c:v>3.838099839924318E-2</c:v>
                </c:pt>
                <c:pt idx="188">
                  <c:v>3.8436888110776481E-2</c:v>
                </c:pt>
                <c:pt idx="189">
                  <c:v>3.8492264197262475E-2</c:v>
                </c:pt>
                <c:pt idx="190">
                  <c:v>3.8547143890219147E-2</c:v>
                </c:pt>
                <c:pt idx="191">
                  <c:v>3.8601544881981385E-2</c:v>
                </c:pt>
                <c:pt idx="192">
                  <c:v>3.8655485210531117E-2</c:v>
                </c:pt>
                <c:pt idx="193">
                  <c:v>3.8708983145379607E-2</c:v>
                </c:pt>
                <c:pt idx="194">
                  <c:v>3.8762057075322674E-2</c:v>
                </c:pt>
                <c:pt idx="195">
                  <c:v>3.8814725398861494E-2</c:v>
                </c:pt>
                <c:pt idx="196">
                  <c:v>3.8867006418046302E-2</c:v>
                </c:pt>
                <c:pt idx="197">
                  <c:v>3.8918918236457885E-2</c:v>
                </c:pt>
                <c:pt idx="198">
                  <c:v>3.8970478661992727E-2</c:v>
                </c:pt>
                <c:pt idx="199">
                  <c:v>3.9021705115063095E-2</c:v>
                </c:pt>
                <c:pt idx="200">
                  <c:v>3.907261454276343E-2</c:v>
                </c:pt>
                <c:pt idx="201">
                  <c:v>3.912322333948879E-2</c:v>
                </c:pt>
                <c:pt idx="202">
                  <c:v>3.9173547274423168E-2</c:v>
                </c:pt>
                <c:pt idx="203">
                  <c:v>3.9223601426242288E-2</c:v>
                </c:pt>
                <c:pt idx="204">
                  <c:v>3.9273400125300964E-2</c:v>
                </c:pt>
                <c:pt idx="205">
                  <c:v>3.9322956903498553E-2</c:v>
                </c:pt>
                <c:pt idx="206">
                  <c:v>3.9372284451937876E-2</c:v>
                </c:pt>
                <c:pt idx="207">
                  <c:v>3.9421394586415359E-2</c:v>
                </c:pt>
                <c:pt idx="208">
                  <c:v>3.9470298220702547E-2</c:v>
                </c:pt>
                <c:pt idx="209">
                  <c:v>3.9519005347503675E-2</c:v>
                </c:pt>
                <c:pt idx="210">
                  <c:v>3.9567525026899628E-2</c:v>
                </c:pt>
                <c:pt idx="211">
                  <c:v>3.9615865382018722E-2</c:v>
                </c:pt>
                <c:pt idx="212">
                  <c:v>3.966403360160705E-2</c:v>
                </c:pt>
                <c:pt idx="213">
                  <c:v>3.9712035949109194E-2</c:v>
                </c:pt>
                <c:pt idx="214">
                  <c:v>3.9759877777812348E-2</c:v>
                </c:pt>
                <c:pt idx="215">
                  <c:v>3.9807563551555382E-2</c:v>
                </c:pt>
                <c:pt idx="216">
                  <c:v>3.9855096870458712E-2</c:v>
                </c:pt>
                <c:pt idx="217">
                  <c:v>3.9902480501092401E-2</c:v>
                </c:pt>
                <c:pt idx="218">
                  <c:v>3.9949716410467816E-2</c:v>
                </c:pt>
                <c:pt idx="219">
                  <c:v>3.9996805803214457E-2</c:v>
                </c:pt>
                <c:pt idx="220">
                  <c:v>4.0043749161286599E-2</c:v>
                </c:pt>
                <c:pt idx="221">
                  <c:v>4.0090546285536127E-2</c:v>
                </c:pt>
                <c:pt idx="222">
                  <c:v>4.0137196338486857E-2</c:v>
                </c:pt>
                <c:pt idx="223">
                  <c:v>4.0183697887653011E-2</c:v>
                </c:pt>
                <c:pt idx="224">
                  <c:v>4.0230048948759402E-2</c:v>
                </c:pt>
                <c:pt idx="225">
                  <c:v>4.0276247028243589E-2</c:v>
                </c:pt>
                <c:pt idx="226">
                  <c:v>4.0322289164449882E-2</c:v>
                </c:pt>
                <c:pt idx="227">
                  <c:v>4.0368171966962789E-2</c:v>
                </c:pt>
                <c:pt idx="228">
                  <c:v>4.0413891653569914E-2</c:v>
                </c:pt>
                <c:pt idx="229">
                  <c:v>4.0459444084395405E-2</c:v>
                </c:pt>
                <c:pt idx="230">
                  <c:v>4.0504824792798551E-2</c:v>
                </c:pt>
                <c:pt idx="231">
                  <c:v>4.055002901269366E-2</c:v>
                </c:pt>
                <c:pt idx="232">
                  <c:v>4.0595051702010311E-2</c:v>
                </c:pt>
                <c:pt idx="233">
                  <c:v>4.0639887562081548E-2</c:v>
                </c:pt>
                <c:pt idx="234">
                  <c:v>4.0684531052817129E-2</c:v>
                </c:pt>
                <c:pt idx="235">
                  <c:v>4.0728976403591612E-2</c:v>
                </c:pt>
                <c:pt idx="236">
                  <c:v>4.0773217619849769E-2</c:v>
                </c:pt>
                <c:pt idx="237">
                  <c:v>4.0817248485504956E-2</c:v>
                </c:pt>
                <c:pt idx="238">
                  <c:v>4.0861062561278992E-2</c:v>
                </c:pt>
                <c:pt idx="239">
                  <c:v>4.0904653179202111E-2</c:v>
                </c:pt>
                <c:pt idx="240">
                  <c:v>4.0948013433561074E-2</c:v>
                </c:pt>
                <c:pt idx="241">
                  <c:v>4.0991136168647496E-2</c:v>
                </c:pt>
                <c:pt idx="242">
                  <c:v>4.1034013963720334E-2</c:v>
                </c:pt>
                <c:pt idx="243">
                  <c:v>4.1076639115652486E-2</c:v>
                </c:pt>
                <c:pt idx="244">
                  <c:v>4.1119003619781852E-2</c:v>
                </c:pt>
                <c:pt idx="245">
                  <c:v>4.1161099149532122E-2</c:v>
                </c:pt>
                <c:pt idx="246">
                  <c:v>4.1202917035406184E-2</c:v>
                </c:pt>
                <c:pt idx="247">
                  <c:v>4.1244448243985168E-2</c:v>
                </c:pt>
                <c:pt idx="248">
                  <c:v>4.1285683357589351E-2</c:v>
                </c:pt>
                <c:pt idx="249">
                  <c:v>4.1326612555271272E-2</c:v>
                </c:pt>
                <c:pt idx="250">
                  <c:v>4.136722559581793E-2</c:v>
                </c:pt>
                <c:pt idx="251">
                  <c:v>4.1407511803436561E-2</c:v>
                </c:pt>
                <c:pt idx="252">
                  <c:v>4.1447460056787414E-2</c:v>
                </c:pt>
                <c:pt idx="253">
                  <c:v>4.1487058782007494E-2</c:v>
                </c:pt>
                <c:pt idx="254">
                  <c:v>4.1526295950340984E-2</c:v>
                </c:pt>
                <c:pt idx="255">
                  <c:v>4.1565159080955615E-2</c:v>
                </c:pt>
                <c:pt idx="256">
                  <c:v>4.1603635249479951E-2</c:v>
                </c:pt>
                <c:pt idx="257">
                  <c:v>4.1641711102743756E-2</c:v>
                </c:pt>
                <c:pt idx="258">
                  <c:v>4.1679372880145012E-2</c:v>
                </c:pt>
                <c:pt idx="259">
                  <c:v>4.1716606442000433E-2</c:v>
                </c:pt>
                <c:pt idx="260">
                  <c:v>4.175339730516453E-2</c:v>
                </c:pt>
                <c:pt idx="261">
                  <c:v>4.178973068612505E-2</c:v>
                </c:pt>
                <c:pt idx="262">
                  <c:v>4.1825591551700285E-2</c:v>
                </c:pt>
                <c:pt idx="263">
                  <c:v>4.1860964677378348E-2</c:v>
                </c:pt>
                <c:pt idx="264">
                  <c:v>4.189583471325016E-2</c:v>
                </c:pt>
                <c:pt idx="265">
                  <c:v>4.1930186257397029E-2</c:v>
                </c:pt>
                <c:pt idx="266">
                  <c:v>4.1964003936502854E-2</c:v>
                </c:pt>
                <c:pt idx="267">
                  <c:v>4.1997272493369181E-2</c:v>
                </c:pt>
                <c:pt idx="268">
                  <c:v>4.2029976880921145E-2</c:v>
                </c:pt>
                <c:pt idx="269">
                  <c:v>4.2062102362204062E-2</c:v>
                </c:pt>
                <c:pt idx="270">
                  <c:v>4.2093634615784477E-2</c:v>
                </c:pt>
                <c:pt idx="271">
                  <c:v>4.2124559845888608E-2</c:v>
                </c:pt>
                <c:pt idx="272">
                  <c:v>4.2154864896533924E-2</c:v>
                </c:pt>
                <c:pt idx="273">
                  <c:v>4.2184537368838662E-2</c:v>
                </c:pt>
                <c:pt idx="274">
                  <c:v>4.2213565740630093E-2</c:v>
                </c:pt>
                <c:pt idx="275">
                  <c:v>4.2241939487414865E-2</c:v>
                </c:pt>
                <c:pt idx="276">
                  <c:v>4.2269649203725917E-2</c:v>
                </c:pt>
                <c:pt idx="277">
                  <c:v>4.229668672382067E-2</c:v>
                </c:pt>
                <c:pt idx="278">
                  <c:v>4.2323045240673429E-2</c:v>
                </c:pt>
                <c:pt idx="279">
                  <c:v>4.2348719422184815E-2</c:v>
                </c:pt>
                <c:pt idx="280">
                  <c:v>4.237370552351883E-2</c:v>
                </c:pt>
                <c:pt idx="281">
                  <c:v>4.23980014944789E-2</c:v>
                </c:pt>
                <c:pt idx="282">
                  <c:v>4.2421607080842853E-2</c:v>
                </c:pt>
                <c:pt idx="283">
                  <c:v>4.2444523918598591E-2</c:v>
                </c:pt>
                <c:pt idx="284">
                  <c:v>4.2466755620052928E-2</c:v>
                </c:pt>
                <c:pt idx="285">
                  <c:v>4.2488307850827987E-2</c:v>
                </c:pt>
                <c:pt idx="286">
                  <c:v>4.250918839681167E-2</c:v>
                </c:pt>
                <c:pt idx="287">
                  <c:v>4.2529407220190718E-2</c:v>
                </c:pt>
                <c:pt idx="288">
                  <c:v>4.2548976503766184E-2</c:v>
                </c:pt>
                <c:pt idx="289">
                  <c:v>4.2567910682831396E-2</c:v>
                </c:pt>
                <c:pt idx="290">
                  <c:v>4.258622646398124E-2</c:v>
                </c:pt>
                <c:pt idx="291">
                  <c:v>4.2603942830317362E-2</c:v>
                </c:pt>
                <c:pt idx="292">
                  <c:v>4.2621081032616803E-2</c:v>
                </c:pt>
                <c:pt idx="293">
                  <c:v>4.2637664566139863E-2</c:v>
                </c:pt>
                <c:pt idx="294">
                  <c:v>4.2653719132866752E-2</c:v>
                </c:pt>
                <c:pt idx="295">
                  <c:v>4.2669272589069128E-2</c:v>
                </c:pt>
                <c:pt idx="296">
                  <c:v>4.2684354878243069E-2</c:v>
                </c:pt>
                <c:pt idx="297">
                  <c:v>4.2698997949551454E-2</c:v>
                </c:pt>
                <c:pt idx="298">
                  <c:v>4.2713235662045546E-2</c:v>
                </c:pt>
                <c:pt idx="299">
                  <c:v>4.2727103675057561E-2</c:v>
                </c:pt>
                <c:pt idx="300">
                  <c:v>4.2740639325275373E-2</c:v>
                </c:pt>
                <c:pt idx="301">
                  <c:v>4.2753881491127535E-2</c:v>
                </c:pt>
                <c:pt idx="302">
                  <c:v>4.2766870445219651E-2</c:v>
                </c:pt>
                <c:pt idx="303">
                  <c:v>4.2779647695670948E-2</c:v>
                </c:pt>
                <c:pt idx="304">
                  <c:v>4.2792255817301526E-2</c:v>
                </c:pt>
                <c:pt idx="305">
                  <c:v>4.280473827371524E-2</c:v>
                </c:pt>
                <c:pt idx="306">
                  <c:v>4.281713923140975E-2</c:v>
                </c:pt>
                <c:pt idx="307">
                  <c:v>4.282950336712283E-2</c:v>
                </c:pt>
                <c:pt idx="308">
                  <c:v>4.2841875669691581E-2</c:v>
                </c:pt>
                <c:pt idx="309">
                  <c:v>4.2854301237759233E-2</c:v>
                </c:pt>
                <c:pt idx="310">
                  <c:v>4.2866825074709874E-2</c:v>
                </c:pt>
                <c:pt idx="311">
                  <c:v>4.2879491882247066E-2</c:v>
                </c:pt>
                <c:pt idx="312">
                  <c:v>4.2892345854055082E-2</c:v>
                </c:pt>
                <c:pt idx="313">
                  <c:v>4.2905430470992108E-2</c:v>
                </c:pt>
                <c:pt idx="314">
                  <c:v>4.2918788299263849E-2</c:v>
                </c:pt>
                <c:pt idx="315">
                  <c:v>4.2932460793011377E-2</c:v>
                </c:pt>
                <c:pt idx="316">
                  <c:v>4.2946488102721565E-2</c:v>
                </c:pt>
                <c:pt idx="317">
                  <c:v>4.2960908890829382E-2</c:v>
                </c:pt>
                <c:pt idx="318">
                  <c:v>4.297576015583162E-2</c:v>
                </c:pt>
                <c:pt idx="319">
                  <c:v>4.2991077066169614E-2</c:v>
                </c:pt>
                <c:pt idx="320">
                  <c:v>4.3006892805065873E-2</c:v>
                </c:pt>
                <c:pt idx="321">
                  <c:v>4.3023238427416753E-2</c:v>
                </c:pt>
                <c:pt idx="322">
                  <c:v>4.3040142729750666E-2</c:v>
                </c:pt>
                <c:pt idx="323">
                  <c:v>4.3057632134159828E-2</c:v>
                </c:pt>
                <c:pt idx="324">
                  <c:v>4.3075730587004486E-2</c:v>
                </c:pt>
                <c:pt idx="325">
                  <c:v>4.3094459473072499E-2</c:v>
                </c:pt>
                <c:pt idx="326">
                  <c:v>4.3113837545754576E-2</c:v>
                </c:pt>
                <c:pt idx="327">
                  <c:v>4.3133880873669428E-2</c:v>
                </c:pt>
                <c:pt idx="328">
                  <c:v>4.3154602804041819E-2</c:v>
                </c:pt>
                <c:pt idx="329">
                  <c:v>4.3176013943004091E-2</c:v>
                </c:pt>
                <c:pt idx="330">
                  <c:v>4.3198122152857073E-2</c:v>
                </c:pt>
                <c:pt idx="331">
                  <c:v>4.322093256619234E-2</c:v>
                </c:pt>
                <c:pt idx="332">
                  <c:v>4.3244447616644047E-2</c:v>
                </c:pt>
                <c:pt idx="333">
                  <c:v>4.3268667085908478E-2</c:v>
                </c:pt>
                <c:pt idx="334">
                  <c:v>4.3293588166541018E-2</c:v>
                </c:pt>
                <c:pt idx="335">
                  <c:v>4.3319205539918644E-2</c:v>
                </c:pt>
                <c:pt idx="336">
                  <c:v>4.3345511468638361E-2</c:v>
                </c:pt>
                <c:pt idx="337">
                  <c:v>4.3372495902511764E-2</c:v>
                </c:pt>
                <c:pt idx="338">
                  <c:v>4.3400146597214175E-2</c:v>
                </c:pt>
                <c:pt idx="339">
                  <c:v>4.3428449244552046E-2</c:v>
                </c:pt>
                <c:pt idx="340">
                  <c:v>4.3457387613228773E-2</c:v>
                </c:pt>
                <c:pt idx="341">
                  <c:v>4.3486943698914718E-2</c:v>
                </c:pt>
                <c:pt idx="342">
                  <c:v>4.3517097882363603E-2</c:v>
                </c:pt>
                <c:pt idx="343">
                  <c:v>4.3547829094266181E-2</c:v>
                </c:pt>
                <c:pt idx="344">
                  <c:v>4.3579114985491184E-2</c:v>
                </c:pt>
                <c:pt idx="345">
                  <c:v>4.3610932101335764E-2</c:v>
                </c:pt>
                <c:pt idx="346">
                  <c:v>4.3643256058391942E-2</c:v>
                </c:pt>
                <c:pt idx="347">
                  <c:v>4.3676061722631505E-2</c:v>
                </c:pt>
                <c:pt idx="348">
                  <c:v>4.3709323387320989E-2</c:v>
                </c:pt>
                <c:pt idx="349">
                  <c:v>4.3743014949398813E-2</c:v>
                </c:pt>
                <c:pt idx="350">
                  <c:v>4.3777110082979583E-2</c:v>
                </c:pt>
                <c:pt idx="351">
                  <c:v>4.381158240869442E-2</c:v>
                </c:pt>
                <c:pt idx="352">
                  <c:v>4.3846405657631406E-2</c:v>
                </c:pt>
                <c:pt idx="353">
                  <c:v>4.3881553828705393E-2</c:v>
                </c:pt>
                <c:pt idx="354">
                  <c:v>4.3917001338361933E-2</c:v>
                </c:pt>
                <c:pt idx="355">
                  <c:v>4.3952723161603487E-2</c:v>
                </c:pt>
                <c:pt idx="356">
                  <c:v>4.3988694963418562E-2</c:v>
                </c:pt>
                <c:pt idx="357">
                  <c:v>4.4024893219793311E-2</c:v>
                </c:pt>
                <c:pt idx="358">
                  <c:v>4.4061295327590393E-2</c:v>
                </c:pt>
                <c:pt idx="359">
                  <c:v>4.4097879702690253E-2</c:v>
                </c:pt>
                <c:pt idx="360">
                  <c:v>4.4134625865904456E-2</c:v>
                </c:pt>
                <c:pt idx="361">
                  <c:v>4.4171514516287716E-2</c:v>
                </c:pt>
                <c:pt idx="362">
                  <c:v>4.4208527591594125E-2</c:v>
                </c:pt>
                <c:pt idx="363">
                  <c:v>4.4245648315743666E-2</c:v>
                </c:pt>
                <c:pt idx="364">
                  <c:v>4.4282861233282504E-2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1.7279410206406094E-3</c:v>
                </c:pt>
                <c:pt idx="1">
                  <c:v>1.7475452385488568E-3</c:v>
                </c:pt>
                <c:pt idx="2">
                  <c:v>1.7680165075073672E-3</c:v>
                </c:pt>
                <c:pt idx="3">
                  <c:v>1.7893434133017612E-3</c:v>
                </c:pt>
                <c:pt idx="4">
                  <c:v>1.8115150301237616E-3</c:v>
                </c:pt>
                <c:pt idx="5">
                  <c:v>1.8345210610496935E-3</c:v>
                </c:pt>
                <c:pt idx="6">
                  <c:v>1.8583519669154644E-3</c:v>
                </c:pt>
                <c:pt idx="7">
                  <c:v>1.8829990842611989E-3</c:v>
                </c:pt>
                <c:pt idx="8">
                  <c:v>1.9082648921183861E-3</c:v>
                </c:pt>
                <c:pt idx="9">
                  <c:v>1.9297092301796518E-3</c:v>
                </c:pt>
                <c:pt idx="10">
                  <c:v>1.9453936617417553E-3</c:v>
                </c:pt>
                <c:pt idx="11">
                  <c:v>1.9554882384739654E-3</c:v>
                </c:pt>
                <c:pt idx="12">
                  <c:v>1.9601702946968418E-3</c:v>
                </c:pt>
                <c:pt idx="13">
                  <c:v>1.9596223588780872E-3</c:v>
                </c:pt>
                <c:pt idx="14">
                  <c:v>1.9540302100029263E-3</c:v>
                </c:pt>
                <c:pt idx="15">
                  <c:v>1.9430639452579456E-3</c:v>
                </c:pt>
                <c:pt idx="16">
                  <c:v>1.9273614285999982E-3</c:v>
                </c:pt>
                <c:pt idx="17">
                  <c:v>1.9071099938605504E-3</c:v>
                </c:pt>
                <c:pt idx="18">
                  <c:v>1.8824939881902192E-3</c:v>
                </c:pt>
                <c:pt idx="19">
                  <c:v>1.8537023131006052E-3</c:v>
                </c:pt>
                <c:pt idx="20">
                  <c:v>1.8209219822566901E-3</c:v>
                </c:pt>
                <c:pt idx="21">
                  <c:v>1.7843264525250525E-3</c:v>
                </c:pt>
                <c:pt idx="22">
                  <c:v>1.7439235636762841E-3</c:v>
                </c:pt>
                <c:pt idx="23">
                  <c:v>1.698218991047251E-3</c:v>
                </c:pt>
                <c:pt idx="24">
                  <c:v>1.6511074226172406E-3</c:v>
                </c:pt>
                <c:pt idx="25">
                  <c:v>1.602694131047555E-3</c:v>
                </c:pt>
                <c:pt idx="26">
                  <c:v>1.5530779293386849E-3</c:v>
                </c:pt>
                <c:pt idx="27">
                  <c:v>1.502351067780492E-3</c:v>
                </c:pt>
                <c:pt idx="28">
                  <c:v>1.4505991974099312E-3</c:v>
                </c:pt>
                <c:pt idx="29">
                  <c:v>1.3954724632725666E-3</c:v>
                </c:pt>
                <c:pt idx="30">
                  <c:v>1.3375657668230902E-3</c:v>
                </c:pt>
                <c:pt idx="31">
                  <c:v>1.2770077783382876E-3</c:v>
                </c:pt>
                <c:pt idx="32">
                  <c:v>1.2139189314497984E-3</c:v>
                </c:pt>
                <c:pt idx="33">
                  <c:v>1.1484113529412576E-3</c:v>
                </c:pt>
                <c:pt idx="34">
                  <c:v>1.0805888518380315E-3</c:v>
                </c:pt>
                <c:pt idx="35">
                  <c:v>1.0105469591106511E-3</c:v>
                </c:pt>
                <c:pt idx="36">
                  <c:v>9.3828991959415302E-4</c:v>
                </c:pt>
                <c:pt idx="37">
                  <c:v>8.6662188638438292E-4</c:v>
                </c:pt>
                <c:pt idx="38">
                  <c:v>7.9686681892968288E-4</c:v>
                </c:pt>
                <c:pt idx="39">
                  <c:v>7.2900949067580671E-4</c:v>
                </c:pt>
                <c:pt idx="40">
                  <c:v>6.6302791632406335E-4</c:v>
                </c:pt>
                <c:pt idx="41">
                  <c:v>5.9889416792252136E-4</c:v>
                </c:pt>
                <c:pt idx="42">
                  <c:v>5.3657513255943171E-4</c:v>
                </c:pt>
                <c:pt idx="43">
                  <c:v>4.7824911171868366E-4</c:v>
                </c:pt>
                <c:pt idx="44">
                  <c:v>4.2588009158628067E-4</c:v>
                </c:pt>
                <c:pt idx="45">
                  <c:v>3.7929630378777358E-4</c:v>
                </c:pt>
                <c:pt idx="46">
                  <c:v>3.3832955072643142E-4</c:v>
                </c:pt>
                <c:pt idx="47">
                  <c:v>3.0281615314707425E-4</c:v>
                </c:pt>
                <c:pt idx="48">
                  <c:v>2.725977770642547E-4</c:v>
                </c:pt>
                <c:pt idx="49">
                  <c:v>2.4752215455440814E-4</c:v>
                </c:pt>
                <c:pt idx="50">
                  <c:v>2.274274183744856E-4</c:v>
                </c:pt>
                <c:pt idx="51">
                  <c:v>2.1178704614178948E-4</c:v>
                </c:pt>
                <c:pt idx="52">
                  <c:v>1.9809068961037921E-4</c:v>
                </c:pt>
                <c:pt idx="53">
                  <c:v>1.8628700545626837E-4</c:v>
                </c:pt>
                <c:pt idx="54">
                  <c:v>1.763270291442146E-4</c:v>
                </c:pt>
                <c:pt idx="55">
                  <c:v>1.681633258562869E-4</c:v>
                </c:pt>
                <c:pt idx="56">
                  <c:v>1.6175007909931412E-4</c:v>
                </c:pt>
                <c:pt idx="57">
                  <c:v>1.5706908645197074E-4</c:v>
                </c:pt>
                <c:pt idx="58">
                  <c:v>1.5214830079961735E-4</c:v>
                </c:pt>
                <c:pt idx="59">
                  <c:v>1.4699430613781319E-4</c:v>
                </c:pt>
                <c:pt idx="60">
                  <c:v>1.4161320832047896E-4</c:v>
                </c:pt>
                <c:pt idx="61">
                  <c:v>1.3601062870510146E-4</c:v>
                </c:pt>
                <c:pt idx="62">
                  <c:v>1.30191697079372E-4</c:v>
                </c:pt>
                <c:pt idx="63">
                  <c:v>1.2416104381053229E-4</c:v>
                </c:pt>
                <c:pt idx="64">
                  <c:v>1.1792084065569059E-4</c:v>
                </c:pt>
                <c:pt idx="65">
                  <c:v>1.1186811452070087E-4</c:v>
                </c:pt>
                <c:pt idx="66">
                  <c:v>1.0632930475860349E-4</c:v>
                </c:pt>
                <c:pt idx="67">
                  <c:v>1.0129204755118736E-4</c:v>
                </c:pt>
                <c:pt idx="68">
                  <c:v>9.6744598527438936E-5</c:v>
                </c:pt>
                <c:pt idx="69">
                  <c:v>9.2675798553461491E-5</c:v>
                </c:pt>
                <c:pt idx="70">
                  <c:v>8.9075043626123733E-5</c:v>
                </c:pt>
                <c:pt idx="71">
                  <c:v>8.6062620225543169E-5</c:v>
                </c:pt>
                <c:pt idx="72">
                  <c:v>8.3603635615150281E-5</c:v>
                </c:pt>
                <c:pt idx="73">
                  <c:v>8.1687227394186819E-5</c:v>
                </c:pt>
                <c:pt idx="74">
                  <c:v>8.0303120164596677E-5</c:v>
                </c:pt>
                <c:pt idx="75">
                  <c:v>7.9441609848160849E-5</c:v>
                </c:pt>
                <c:pt idx="76">
                  <c:v>7.9093550717984396E-5</c:v>
                </c:pt>
                <c:pt idx="77">
                  <c:v>7.9250344840076621E-5</c:v>
                </c:pt>
                <c:pt idx="78">
                  <c:v>7.9901418649387353E-5</c:v>
                </c:pt>
                <c:pt idx="79">
                  <c:v>8.0948744407356339E-5</c:v>
                </c:pt>
                <c:pt idx="80">
                  <c:v>8.2027694645365581E-5</c:v>
                </c:pt>
                <c:pt idx="81">
                  <c:v>8.3140074299977649E-5</c:v>
                </c:pt>
                <c:pt idx="82">
                  <c:v>8.4287779641163614E-5</c:v>
                </c:pt>
                <c:pt idx="83">
                  <c:v>8.547280294835361E-5</c:v>
                </c:pt>
                <c:pt idx="84">
                  <c:v>8.6697237626696545E-5</c:v>
                </c:pt>
                <c:pt idx="85">
                  <c:v>8.800398243717693E-5</c:v>
                </c:pt>
                <c:pt idx="86">
                  <c:v>8.9274261003313959E-5</c:v>
                </c:pt>
                <c:pt idx="87">
                  <c:v>9.0511374526987793E-5</c:v>
                </c:pt>
                <c:pt idx="88">
                  <c:v>9.1718605487593364E-5</c:v>
                </c:pt>
                <c:pt idx="89">
                  <c:v>9.2899213060868501E-5</c:v>
                </c:pt>
                <c:pt idx="90">
                  <c:v>9.4056429694456092E-5</c:v>
                </c:pt>
                <c:pt idx="91">
                  <c:v>9.5193458717654419E-5</c:v>
                </c:pt>
                <c:pt idx="92">
                  <c:v>9.6310421096614397E-5</c:v>
                </c:pt>
                <c:pt idx="93">
                  <c:v>9.7500738121613769E-5</c:v>
                </c:pt>
                <c:pt idx="94">
                  <c:v>9.8849456117322434E-5</c:v>
                </c:pt>
                <c:pt idx="95">
                  <c:v>1.0035693768427437E-4</c:v>
                </c:pt>
                <c:pt idx="96">
                  <c:v>1.0202378431685535E-4</c:v>
                </c:pt>
                <c:pt idx="97">
                  <c:v>1.0385083121459783E-4</c:v>
                </c:pt>
                <c:pt idx="98">
                  <c:v>1.058391423212416E-4</c:v>
                </c:pt>
                <c:pt idx="99">
                  <c:v>1.0788812739811403E-4</c:v>
                </c:pt>
                <c:pt idx="100">
                  <c:v>1.0996002212199605E-4</c:v>
                </c:pt>
                <c:pt idx="101">
                  <c:v>1.1205645721536542E-4</c:v>
                </c:pt>
                <c:pt idx="102">
                  <c:v>1.1417904659614588E-4</c:v>
                </c:pt>
                <c:pt idx="103">
                  <c:v>1.1632938641533288E-4</c:v>
                </c:pt>
                <c:pt idx="104">
                  <c:v>1.1850905382982462E-4</c:v>
                </c:pt>
                <c:pt idx="105">
                  <c:v>1.2071960559480307E-4</c:v>
                </c:pt>
                <c:pt idx="106">
                  <c:v>1.2296489398181046E-4</c:v>
                </c:pt>
                <c:pt idx="107">
                  <c:v>1.251099890778788E-4</c:v>
                </c:pt>
                <c:pt idx="108">
                  <c:v>1.2706003210249733E-4</c:v>
                </c:pt>
                <c:pt idx="109">
                  <c:v>1.2881442197205459E-4</c:v>
                </c:pt>
                <c:pt idx="110">
                  <c:v>1.3037241960451836E-4</c:v>
                </c:pt>
                <c:pt idx="111">
                  <c:v>1.3173286201412015E-4</c:v>
                </c:pt>
                <c:pt idx="112">
                  <c:v>1.3289384125273992E-4</c:v>
                </c:pt>
                <c:pt idx="113">
                  <c:v>1.338576939414215E-4</c:v>
                </c:pt>
                <c:pt idx="114">
                  <c:v>1.3472596028797279E-4</c:v>
                </c:pt>
                <c:pt idx="115">
                  <c:v>1.3549652918720502E-4</c:v>
                </c:pt>
                <c:pt idx="116">
                  <c:v>1.3616701992548487E-4</c:v>
                </c:pt>
                <c:pt idx="117">
                  <c:v>1.3673478288397784E-4</c:v>
                </c:pt>
                <c:pt idx="118">
                  <c:v>1.3719690068408641E-4</c:v>
                </c:pt>
                <c:pt idx="119">
                  <c:v>1.3755018991923868E-4</c:v>
                </c:pt>
                <c:pt idx="120">
                  <c:v>1.3779343859944776E-4</c:v>
                </c:pt>
                <c:pt idx="121">
                  <c:v>1.3789792725620739E-4</c:v>
                </c:pt>
                <c:pt idx="122">
                  <c:v>1.3800774183304361E-4</c:v>
                </c:pt>
                <c:pt idx="123">
                  <c:v>1.3812112403986215E-4</c:v>
                </c:pt>
                <c:pt idx="124">
                  <c:v>1.3823622452622069E-4</c:v>
                </c:pt>
                <c:pt idx="125">
                  <c:v>1.3835110084821616E-4</c:v>
                </c:pt>
                <c:pt idx="126">
                  <c:v>1.3846371576274065E-4</c:v>
                </c:pt>
                <c:pt idx="127">
                  <c:v>1.3848540010523327E-4</c:v>
                </c:pt>
                <c:pt idx="128">
                  <c:v>1.3840772254189879E-4</c:v>
                </c:pt>
                <c:pt idx="129">
                  <c:v>1.3822643549878994E-4</c:v>
                </c:pt>
                <c:pt idx="130">
                  <c:v>1.3793708841645214E-4</c:v>
                </c:pt>
                <c:pt idx="131">
                  <c:v>1.375350349226024E-4</c:v>
                </c:pt>
                <c:pt idx="132">
                  <c:v>1.3701544118904931E-4</c:v>
                </c:pt>
                <c:pt idx="133">
                  <c:v>1.363732955418279E-4</c:v>
                </c:pt>
                <c:pt idx="134">
                  <c:v>1.3560481802619853E-4</c:v>
                </c:pt>
                <c:pt idx="135">
                  <c:v>1.3477160450670197E-4</c:v>
                </c:pt>
                <c:pt idx="136">
                  <c:v>1.3390263188157805E-4</c:v>
                </c:pt>
                <c:pt idx="137">
                  <c:v>1.3299651499979796E-4</c:v>
                </c:pt>
                <c:pt idx="138">
                  <c:v>1.320519402533892E-4</c:v>
                </c:pt>
                <c:pt idx="139">
                  <c:v>1.3106767355046235E-4</c:v>
                </c:pt>
                <c:pt idx="140">
                  <c:v>1.3004256819434056E-4</c:v>
                </c:pt>
                <c:pt idx="141">
                  <c:v>1.290322750828821E-4</c:v>
                </c:pt>
                <c:pt idx="142">
                  <c:v>1.2813492871012258E-4</c:v>
                </c:pt>
                <c:pt idx="143">
                  <c:v>1.2735369530133888E-4</c:v>
                </c:pt>
                <c:pt idx="144">
                  <c:v>1.2669260844869816E-4</c:v>
                </c:pt>
                <c:pt idx="145">
                  <c:v>1.2615590148277233E-4</c:v>
                </c:pt>
                <c:pt idx="146">
                  <c:v>1.2574799517335613E-4</c:v>
                </c:pt>
                <c:pt idx="147">
                  <c:v>1.2547348390667943E-4</c:v>
                </c:pt>
                <c:pt idx="148">
                  <c:v>1.2533721149497339E-4</c:v>
                </c:pt>
                <c:pt idx="149">
                  <c:v>1.2517134885170231E-4</c:v>
                </c:pt>
                <c:pt idx="150">
                  <c:v>1.2489028608807424E-4</c:v>
                </c:pt>
                <c:pt idx="151">
                  <c:v>1.2448825594842699E-4</c:v>
                </c:pt>
                <c:pt idx="152">
                  <c:v>1.2395939976693083E-4</c:v>
                </c:pt>
                <c:pt idx="153">
                  <c:v>1.2329778310673435E-4</c:v>
                </c:pt>
                <c:pt idx="154">
                  <c:v>1.2249741195623272E-4</c:v>
                </c:pt>
                <c:pt idx="155">
                  <c:v>1.2157649034072874E-4</c:v>
                </c:pt>
                <c:pt idx="156">
                  <c:v>1.2046294114629399E-4</c:v>
                </c:pt>
                <c:pt idx="157">
                  <c:v>1.1914897135537618E-4</c:v>
                </c:pt>
                <c:pt idx="158">
                  <c:v>1.1762678363120931E-4</c:v>
                </c:pt>
                <c:pt idx="159">
                  <c:v>1.1588859744274088E-4</c:v>
                </c:pt>
                <c:pt idx="160">
                  <c:v>1.1392666962149015E-4</c:v>
                </c:pt>
                <c:pt idx="161">
                  <c:v>1.1173331410530998E-4</c:v>
                </c:pt>
                <c:pt idx="162">
                  <c:v>1.0930084157584829E-4</c:v>
                </c:pt>
                <c:pt idx="163">
                  <c:v>1.0685098018743623E-4</c:v>
                </c:pt>
                <c:pt idx="164">
                  <c:v>1.0459263060758311E-4</c:v>
                </c:pt>
                <c:pt idx="165">
                  <c:v>1.025319198729322E-4</c:v>
                </c:pt>
                <c:pt idx="166">
                  <c:v>1.0067502991830226E-4</c:v>
                </c:pt>
                <c:pt idx="167">
                  <c:v>9.9028174839057756E-5</c:v>
                </c:pt>
                <c:pt idx="168">
                  <c:v>9.7597578674240356E-5</c:v>
                </c:pt>
                <c:pt idx="169">
                  <c:v>9.6631496047109737E-5</c:v>
                </c:pt>
                <c:pt idx="170">
                  <c:v>9.6116677476173549E-5</c:v>
                </c:pt>
                <c:pt idx="171">
                  <c:v>9.6064937164541005E-5</c:v>
                </c:pt>
                <c:pt idx="172">
                  <c:v>9.6487878287837762E-5</c:v>
                </c:pt>
                <c:pt idx="173">
                  <c:v>9.739602914887243E-5</c:v>
                </c:pt>
                <c:pt idx="174">
                  <c:v>9.8799555658371272E-5</c:v>
                </c:pt>
                <c:pt idx="175">
                  <c:v>1.0070907295599E-4</c:v>
                </c:pt>
                <c:pt idx="176">
                  <c:v>1.0313440691843794E-4</c:v>
                </c:pt>
                <c:pt idx="177">
                  <c:v>1.0611123083659504E-4</c:v>
                </c:pt>
                <c:pt idx="178">
                  <c:v>1.0939072041865147E-4</c:v>
                </c:pt>
                <c:pt idx="179">
                  <c:v>1.129775866412776E-4</c:v>
                </c:pt>
                <c:pt idx="180">
                  <c:v>1.1687641828218251E-4</c:v>
                </c:pt>
                <c:pt idx="181">
                  <c:v>1.210917014697172E-4</c:v>
                </c:pt>
                <c:pt idx="182">
                  <c:v>1.2562784138199967E-4</c:v>
                </c:pt>
                <c:pt idx="183">
                  <c:v>1.3023521986800545E-4</c:v>
                </c:pt>
                <c:pt idx="184">
                  <c:v>1.3464340850973612E-4</c:v>
                </c:pt>
                <c:pt idx="185">
                  <c:v>1.3884644563785212E-4</c:v>
                </c:pt>
                <c:pt idx="186">
                  <c:v>1.4283872890791735E-4</c:v>
                </c:pt>
                <c:pt idx="187">
                  <c:v>1.4661500760634118E-4</c:v>
                </c:pt>
                <c:pt idx="188">
                  <c:v>1.5017037183871545E-4</c:v>
                </c:pt>
                <c:pt idx="189">
                  <c:v>1.535002388276133E-4</c:v>
                </c:pt>
                <c:pt idx="190">
                  <c:v>1.5660010606558959E-4</c:v>
                </c:pt>
                <c:pt idx="191">
                  <c:v>1.5955113552533622E-4</c:v>
                </c:pt>
                <c:pt idx="192">
                  <c:v>1.6232304683410682E-4</c:v>
                </c:pt>
                <c:pt idx="193">
                  <c:v>1.6491195600154174E-4</c:v>
                </c:pt>
                <c:pt idx="194">
                  <c:v>1.6731410654253733E-4</c:v>
                </c:pt>
                <c:pt idx="195">
                  <c:v>1.6952586397273424E-4</c:v>
                </c:pt>
                <c:pt idx="196">
                  <c:v>1.7154370964080933E-4</c:v>
                </c:pt>
                <c:pt idx="197">
                  <c:v>1.7350906650403028E-4</c:v>
                </c:pt>
                <c:pt idx="198">
                  <c:v>1.7570198564876945E-4</c:v>
                </c:pt>
                <c:pt idx="199">
                  <c:v>1.7812675786120898E-4</c:v>
                </c:pt>
                <c:pt idx="200">
                  <c:v>1.8078754156830465E-4</c:v>
                </c:pt>
                <c:pt idx="201">
                  <c:v>1.8368835837702548E-4</c:v>
                </c:pt>
                <c:pt idx="202">
                  <c:v>1.8683308846595607E-4</c:v>
                </c:pt>
                <c:pt idx="203">
                  <c:v>1.9022546569939181E-4</c:v>
                </c:pt>
                <c:pt idx="204">
                  <c:v>1.9387100535008686E-4</c:v>
                </c:pt>
                <c:pt idx="205">
                  <c:v>1.9763100083488693E-4</c:v>
                </c:pt>
                <c:pt idx="206">
                  <c:v>2.0141598489970496E-4</c:v>
                </c:pt>
                <c:pt idx="207">
                  <c:v>2.0522765760088685E-4</c:v>
                </c:pt>
                <c:pt idx="208">
                  <c:v>2.09067681062096E-4</c:v>
                </c:pt>
                <c:pt idx="209">
                  <c:v>2.1293767719823787E-4</c:v>
                </c:pt>
                <c:pt idx="210">
                  <c:v>2.1683922580149426E-4</c:v>
                </c:pt>
                <c:pt idx="211">
                  <c:v>2.2071877903968106E-4</c:v>
                </c:pt>
                <c:pt idx="212">
                  <c:v>2.2441938929620159E-4</c:v>
                </c:pt>
                <c:pt idx="213">
                  <c:v>2.2793947947359188E-4</c:v>
                </c:pt>
                <c:pt idx="214">
                  <c:v>2.3127745682925487E-4</c:v>
                </c:pt>
                <c:pt idx="215">
                  <c:v>2.3443170628319865E-4</c:v>
                </c:pt>
                <c:pt idx="216">
                  <c:v>2.3740058450234675E-4</c:v>
                </c:pt>
                <c:pt idx="217">
                  <c:v>2.4018241470810103E-4</c:v>
                </c:pt>
                <c:pt idx="218">
                  <c:v>2.4277425004717125E-4</c:v>
                </c:pt>
                <c:pt idx="219">
                  <c:v>2.4517184978031505E-4</c:v>
                </c:pt>
                <c:pt idx="220">
                  <c:v>2.4752610587509567E-4</c:v>
                </c:pt>
                <c:pt idx="221">
                  <c:v>2.4983716899796703E-4</c:v>
                </c:pt>
                <c:pt idx="222">
                  <c:v>2.5210519711620289E-4</c:v>
                </c:pt>
                <c:pt idx="223">
                  <c:v>2.5433035495695043E-4</c:v>
                </c:pt>
                <c:pt idx="224">
                  <c:v>2.5651281369731854E-4</c:v>
                </c:pt>
                <c:pt idx="225">
                  <c:v>2.5837429615126369E-4</c:v>
                </c:pt>
                <c:pt idx="226">
                  <c:v>2.5997035240699008E-4</c:v>
                </c:pt>
                <c:pt idx="227">
                  <c:v>2.612988288086668E-4</c:v>
                </c:pt>
                <c:pt idx="228">
                  <c:v>2.6235751886433188E-4</c:v>
                </c:pt>
                <c:pt idx="229">
                  <c:v>2.63144156616573E-4</c:v>
                </c:pt>
                <c:pt idx="230">
                  <c:v>2.6365640996641696E-4</c:v>
                </c:pt>
                <c:pt idx="231">
                  <c:v>2.6389187383194413E-4</c:v>
                </c:pt>
                <c:pt idx="232">
                  <c:v>2.6384644757187586E-4</c:v>
                </c:pt>
                <c:pt idx="233">
                  <c:v>2.633269941469144E-4</c:v>
                </c:pt>
                <c:pt idx="234">
                  <c:v>2.6233021042317348E-4</c:v>
                </c:pt>
                <c:pt idx="235">
                  <c:v>2.6085087079283885E-4</c:v>
                </c:pt>
                <c:pt idx="236">
                  <c:v>2.5888367585323358E-4</c:v>
                </c:pt>
                <c:pt idx="237">
                  <c:v>2.5642303764391124E-4</c:v>
                </c:pt>
                <c:pt idx="238">
                  <c:v>2.5346321850650688E-4</c:v>
                </c:pt>
                <c:pt idx="239">
                  <c:v>2.5019709147702768E-4</c:v>
                </c:pt>
                <c:pt idx="240">
                  <c:v>2.4691542499424011E-4</c:v>
                </c:pt>
                <c:pt idx="241">
                  <c:v>2.4361792236432533E-4</c:v>
                </c:pt>
                <c:pt idx="242">
                  <c:v>2.4030426442652838E-4</c:v>
                </c:pt>
                <c:pt idx="243">
                  <c:v>2.3697410979622632E-4</c:v>
                </c:pt>
                <c:pt idx="244">
                  <c:v>2.3362709511418032E-4</c:v>
                </c:pt>
                <c:pt idx="245">
                  <c:v>2.3026283527578117E-4</c:v>
                </c:pt>
                <c:pt idx="246">
                  <c:v>2.2688092372193807E-4</c:v>
                </c:pt>
                <c:pt idx="247">
                  <c:v>2.2355832412832913E-4</c:v>
                </c:pt>
                <c:pt idx="248">
                  <c:v>2.2049513108633341E-4</c:v>
                </c:pt>
                <c:pt idx="249">
                  <c:v>2.1769430172254237E-4</c:v>
                </c:pt>
                <c:pt idx="250">
                  <c:v>2.1515885713909217E-4</c:v>
                </c:pt>
                <c:pt idx="251">
                  <c:v>2.1289188284236949E-4</c:v>
                </c:pt>
                <c:pt idx="252">
                  <c:v>2.1089652901973657E-4</c:v>
                </c:pt>
                <c:pt idx="253">
                  <c:v>2.0899282657480594E-4</c:v>
                </c:pt>
                <c:pt idx="254">
                  <c:v>2.069702102788951E-4</c:v>
                </c:pt>
                <c:pt idx="255">
                  <c:v>2.0482682730877731E-4</c:v>
                </c:pt>
                <c:pt idx="256">
                  <c:v>2.0256078417698407E-4</c:v>
                </c:pt>
                <c:pt idx="257">
                  <c:v>2.0017014875311229E-4</c:v>
                </c:pt>
                <c:pt idx="258">
                  <c:v>1.9765295265568352E-4</c:v>
                </c:pt>
                <c:pt idx="259">
                  <c:v>1.9500719404220692E-4</c:v>
                </c:pt>
                <c:pt idx="260">
                  <c:v>1.9223433757876863E-4</c:v>
                </c:pt>
                <c:pt idx="261">
                  <c:v>1.8961699607864373E-4</c:v>
                </c:pt>
                <c:pt idx="262">
                  <c:v>1.8707269683518327E-4</c:v>
                </c:pt>
                <c:pt idx="263">
                  <c:v>1.8460047514496424E-4</c:v>
                </c:pt>
                <c:pt idx="264">
                  <c:v>1.8219945050623241E-4</c:v>
                </c:pt>
                <c:pt idx="265">
                  <c:v>1.7986962018619321E-4</c:v>
                </c:pt>
                <c:pt idx="266">
                  <c:v>1.7761062056890003E-4</c:v>
                </c:pt>
                <c:pt idx="267">
                  <c:v>1.7621663068481441E-4</c:v>
                </c:pt>
                <c:pt idx="268">
                  <c:v>1.7589389195870819E-4</c:v>
                </c:pt>
                <c:pt idx="269">
                  <c:v>1.7665540985563972E-4</c:v>
                </c:pt>
                <c:pt idx="270">
                  <c:v>1.7851411534184185E-4</c:v>
                </c:pt>
                <c:pt idx="271">
                  <c:v>1.8148273112107225E-4</c:v>
                </c:pt>
                <c:pt idx="272">
                  <c:v>1.8557363188029366E-4</c:v>
                </c:pt>
                <c:pt idx="273">
                  <c:v>1.9079869880610459E-4</c:v>
                </c:pt>
                <c:pt idx="274">
                  <c:v>1.9717503164686198E-4</c:v>
                </c:pt>
                <c:pt idx="275">
                  <c:v>2.0472795716508491E-4</c:v>
                </c:pt>
                <c:pt idx="276">
                  <c:v>2.1316816717792498E-4</c:v>
                </c:pt>
                <c:pt idx="277">
                  <c:v>2.2250447871409581E-4</c:v>
                </c:pt>
                <c:pt idx="278">
                  <c:v>2.3274540661574021E-4</c:v>
                </c:pt>
                <c:pt idx="279">
                  <c:v>2.4389912707999378E-4</c:v>
                </c:pt>
                <c:pt idx="280">
                  <c:v>2.5597344411364072E-4</c:v>
                </c:pt>
                <c:pt idx="281">
                  <c:v>2.682662863395002E-4</c:v>
                </c:pt>
                <c:pt idx="282">
                  <c:v>2.7992835812039161E-4</c:v>
                </c:pt>
                <c:pt idx="283">
                  <c:v>2.9094836742405388E-4</c:v>
                </c:pt>
                <c:pt idx="284">
                  <c:v>3.0131515165777707E-4</c:v>
                </c:pt>
                <c:pt idx="285">
                  <c:v>3.1101772904417076E-4</c:v>
                </c:pt>
                <c:pt idx="286">
                  <c:v>3.200453486245507E-4</c:v>
                </c:pt>
                <c:pt idx="287">
                  <c:v>3.2838753832705939E-4</c:v>
                </c:pt>
                <c:pt idx="288">
                  <c:v>3.3604203732526234E-4</c:v>
                </c:pt>
                <c:pt idx="289">
                  <c:v>3.4675415174255359E-4</c:v>
                </c:pt>
                <c:pt idx="290">
                  <c:v>3.6054466582999099E-4</c:v>
                </c:pt>
                <c:pt idx="291">
                  <c:v>3.7744096238280484E-4</c:v>
                </c:pt>
                <c:pt idx="292">
                  <c:v>3.9746959637346321E-4</c:v>
                </c:pt>
                <c:pt idx="293">
                  <c:v>4.2065621185595335E-4</c:v>
                </c:pt>
                <c:pt idx="294">
                  <c:v>4.4702547231671572E-4</c:v>
                </c:pt>
                <c:pt idx="295">
                  <c:v>4.8153163649351539E-4</c:v>
                </c:pt>
                <c:pt idx="296">
                  <c:v>5.249938566648432E-4</c:v>
                </c:pt>
                <c:pt idx="297">
                  <c:v>5.7748861832328333E-4</c:v>
                </c:pt>
                <c:pt idx="298">
                  <c:v>6.3908713136415923E-4</c:v>
                </c:pt>
                <c:pt idx="299">
                  <c:v>7.0985836518219867E-4</c:v>
                </c:pt>
                <c:pt idx="300">
                  <c:v>7.8986901972583079E-4</c:v>
                </c:pt>
                <c:pt idx="301">
                  <c:v>8.7918352433055008E-4</c:v>
                </c:pt>
                <c:pt idx="302">
                  <c:v>9.7791618272607592E-4</c:v>
                </c:pt>
                <c:pt idx="303">
                  <c:v>1.0830089648936499E-3</c:v>
                </c:pt>
                <c:pt idx="304">
                  <c:v>1.1906053720828274E-3</c:v>
                </c:pt>
                <c:pt idx="305">
                  <c:v>1.3007338750196736E-3</c:v>
                </c:pt>
                <c:pt idx="306">
                  <c:v>1.4134214642428679E-3</c:v>
                </c:pt>
                <c:pt idx="307">
                  <c:v>1.5286933698554445E-3</c:v>
                </c:pt>
                <c:pt idx="308">
                  <c:v>1.6465727252374968E-3</c:v>
                </c:pt>
                <c:pt idx="309">
                  <c:v>1.7645960297738017E-3</c:v>
                </c:pt>
                <c:pt idx="310">
                  <c:v>1.8776070195698426E-3</c:v>
                </c:pt>
                <c:pt idx="311">
                  <c:v>1.9855492902578777E-3</c:v>
                </c:pt>
                <c:pt idx="312">
                  <c:v>2.0883617958300368E-3</c:v>
                </c:pt>
                <c:pt idx="313">
                  <c:v>2.1859787521344648E-3</c:v>
                </c:pt>
                <c:pt idx="314">
                  <c:v>2.2783295508682555E-3</c:v>
                </c:pt>
                <c:pt idx="315">
                  <c:v>2.3653386964689336E-3</c:v>
                </c:pt>
                <c:pt idx="316">
                  <c:v>2.4472260392860708E-3</c:v>
                </c:pt>
                <c:pt idx="317">
                  <c:v>2.522607406996725E-3</c:v>
                </c:pt>
                <c:pt idx="318">
                  <c:v>2.5947348482200671E-3</c:v>
                </c:pt>
                <c:pt idx="319">
                  <c:v>2.6635389597398445E-3</c:v>
                </c:pt>
                <c:pt idx="320">
                  <c:v>2.7289350345011901E-3</c:v>
                </c:pt>
                <c:pt idx="321">
                  <c:v>2.7908229569264839E-3</c:v>
                </c:pt>
                <c:pt idx="322">
                  <c:v>2.8490872161330795E-3</c:v>
                </c:pt>
                <c:pt idx="323">
                  <c:v>2.8975640333685779E-3</c:v>
                </c:pt>
                <c:pt idx="324">
                  <c:v>2.9386513371081938E-3</c:v>
                </c:pt>
                <c:pt idx="325">
                  <c:v>2.9721490844600473E-3</c:v>
                </c:pt>
                <c:pt idx="326">
                  <c:v>2.9978304538299722E-3</c:v>
                </c:pt>
                <c:pt idx="327">
                  <c:v>3.0154703229022767E-3</c:v>
                </c:pt>
                <c:pt idx="328">
                  <c:v>3.0248515503328533E-3</c:v>
                </c:pt>
                <c:pt idx="329">
                  <c:v>3.025755844363064E-3</c:v>
                </c:pt>
                <c:pt idx="330">
                  <c:v>3.0184086332500832E-3</c:v>
                </c:pt>
                <c:pt idx="331">
                  <c:v>3.0030192038060046E-3</c:v>
                </c:pt>
                <c:pt idx="332">
                  <c:v>2.9811597733186207E-3</c:v>
                </c:pt>
                <c:pt idx="333">
                  <c:v>2.9527064148322365E-3</c:v>
                </c:pt>
                <c:pt idx="334">
                  <c:v>2.917534137375982E-3</c:v>
                </c:pt>
                <c:pt idx="335">
                  <c:v>2.8755188009604608E-3</c:v>
                </c:pt>
                <c:pt idx="336">
                  <c:v>2.8265392473562851E-3</c:v>
                </c:pt>
                <c:pt idx="337">
                  <c:v>2.7733829673368422E-3</c:v>
                </c:pt>
                <c:pt idx="338">
                  <c:v>2.7223038933057455E-3</c:v>
                </c:pt>
                <c:pt idx="339">
                  <c:v>2.6732704241556422E-3</c:v>
                </c:pt>
                <c:pt idx="340">
                  <c:v>2.6262519132538701E-3</c:v>
                </c:pt>
                <c:pt idx="341">
                  <c:v>2.5812185870959584E-3</c:v>
                </c:pt>
                <c:pt idx="342">
                  <c:v>2.5381414325691804E-3</c:v>
                </c:pt>
                <c:pt idx="343">
                  <c:v>2.4969920583014526E-3</c:v>
                </c:pt>
                <c:pt idx="344">
                  <c:v>2.4578868116608031E-3</c:v>
                </c:pt>
                <c:pt idx="345">
                  <c:v>2.4209671374224055E-3</c:v>
                </c:pt>
                <c:pt idx="346">
                  <c:v>2.3877336156561337E-3</c:v>
                </c:pt>
                <c:pt idx="347">
                  <c:v>2.3581938313683107E-3</c:v>
                </c:pt>
                <c:pt idx="348">
                  <c:v>2.3323508210106461E-3</c:v>
                </c:pt>
                <c:pt idx="349">
                  <c:v>2.3102027966721696E-3</c:v>
                </c:pt>
                <c:pt idx="350">
                  <c:v>2.2917428799362908E-3</c:v>
                </c:pt>
                <c:pt idx="351">
                  <c:v>2.2783755451392241E-3</c:v>
                </c:pt>
                <c:pt idx="352">
                  <c:v>2.2671394149729471E-3</c:v>
                </c:pt>
                <c:pt idx="353">
                  <c:v>2.2580165822987191E-3</c:v>
                </c:pt>
                <c:pt idx="354">
                  <c:v>2.2509862181087853E-3</c:v>
                </c:pt>
                <c:pt idx="355">
                  <c:v>2.2460245377280428E-3</c:v>
                </c:pt>
                <c:pt idx="356">
                  <c:v>2.2430981881067847E-3</c:v>
                </c:pt>
                <c:pt idx="357">
                  <c:v>2.242181517015605E-3</c:v>
                </c:pt>
                <c:pt idx="358">
                  <c:v>2.2431418821301152E-3</c:v>
                </c:pt>
                <c:pt idx="359">
                  <c:v>2.2458768765000916E-3</c:v>
                </c:pt>
                <c:pt idx="360">
                  <c:v>2.2532622762702933E-3</c:v>
                </c:pt>
                <c:pt idx="361">
                  <c:v>2.2638800544138348E-3</c:v>
                </c:pt>
                <c:pt idx="362">
                  <c:v>2.2777007768503351E-3</c:v>
                </c:pt>
                <c:pt idx="363">
                  <c:v>2.2946894515498625E-3</c:v>
                </c:pt>
                <c:pt idx="364">
                  <c:v>2.3148061856876618E-3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598984"/>
        <c:axId val="665599376"/>
      </c:lineChart>
      <c:dateAx>
        <c:axId val="66559898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599376"/>
        <c:crosses val="autoZero"/>
        <c:auto val="1"/>
        <c:lblOffset val="100"/>
        <c:baseTimeUnit val="days"/>
        <c:majorUnit val="1"/>
        <c:majorTimeUnit val="months"/>
      </c:dateAx>
      <c:valAx>
        <c:axId val="66559937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5989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95.360138298361591</c:v>
                </c:pt>
                <c:pt idx="1">
                  <c:v>95.940142222587269</c:v>
                </c:pt>
                <c:pt idx="2">
                  <c:v>96.554653790234141</c:v>
                </c:pt>
                <c:pt idx="3">
                  <c:v>97.201847799351356</c:v>
                </c:pt>
                <c:pt idx="4">
                  <c:v>97.879899494987811</c:v>
                </c:pt>
                <c:pt idx="5">
                  <c:v>98.586984546678835</c:v>
                </c:pt>
                <c:pt idx="6">
                  <c:v>99.321279074227547</c:v>
                </c:pt>
                <c:pt idx="7">
                  <c:v>100.08095964625832</c:v>
                </c:pt>
                <c:pt idx="8">
                  <c:v>100.87425670978413</c:v>
                </c:pt>
                <c:pt idx="9">
                  <c:v>101.70944172323561</c:v>
                </c:pt>
                <c:pt idx="10">
                  <c:v>102.58431482573039</c:v>
                </c:pt>
                <c:pt idx="11">
                  <c:v>103.49646631921648</c:v>
                </c:pt>
                <c:pt idx="12">
                  <c:v>104.44348715752363</c:v>
                </c:pt>
                <c:pt idx="13">
                  <c:v>105.42296890990443</c:v>
                </c:pt>
                <c:pt idx="14">
                  <c:v>106.43250382156593</c:v>
                </c:pt>
                <c:pt idx="15">
                  <c:v>107.46974040874886</c:v>
                </c:pt>
                <c:pt idx="16">
                  <c:v>108.53222478794561</c:v>
                </c:pt>
                <c:pt idx="17">
                  <c:v>109.61755112815858</c:v>
                </c:pt>
                <c:pt idx="18">
                  <c:v>110.72331422172586</c:v>
                </c:pt>
                <c:pt idx="19">
                  <c:v>111.8471085447393</c:v>
                </c:pt>
                <c:pt idx="20">
                  <c:v>112.9865288061294</c:v>
                </c:pt>
                <c:pt idx="21">
                  <c:v>114.13917117264793</c:v>
                </c:pt>
                <c:pt idx="22">
                  <c:v>115.31310873580902</c:v>
                </c:pt>
                <c:pt idx="23">
                  <c:v>116.51681130116988</c:v>
                </c:pt>
                <c:pt idx="24">
                  <c:v>117.74777379744243</c:v>
                </c:pt>
                <c:pt idx="25">
                  <c:v>119.00392437236215</c:v>
                </c:pt>
                <c:pt idx="26">
                  <c:v>120.28319185597469</c:v>
                </c:pt>
                <c:pt idx="27">
                  <c:v>121.58350577397988</c:v>
                </c:pt>
                <c:pt idx="28">
                  <c:v>122.90279631908457</c:v>
                </c:pt>
                <c:pt idx="29">
                  <c:v>124.23929658918188</c:v>
                </c:pt>
                <c:pt idx="30">
                  <c:v>125.59088230345888</c:v>
                </c:pt>
                <c:pt idx="31">
                  <c:v>126.9554856725054</c:v>
                </c:pt>
                <c:pt idx="32">
                  <c:v>128.33103963585037</c:v>
                </c:pt>
                <c:pt idx="33">
                  <c:v>129.71547782132279</c:v>
                </c:pt>
                <c:pt idx="34">
                  <c:v>131.10673458634028</c:v>
                </c:pt>
                <c:pt idx="35">
                  <c:v>132.50274497977938</c:v>
                </c:pt>
                <c:pt idx="36">
                  <c:v>133.91331313436802</c:v>
                </c:pt>
                <c:pt idx="37">
                  <c:v>135.34717670355934</c:v>
                </c:pt>
                <c:pt idx="38">
                  <c:v>136.80105916410704</c:v>
                </c:pt>
                <c:pt idx="39">
                  <c:v>138.27186154040214</c:v>
                </c:pt>
                <c:pt idx="40">
                  <c:v>139.75648576249938</c:v>
                </c:pt>
                <c:pt idx="41">
                  <c:v>141.25183467449315</c:v>
                </c:pt>
                <c:pt idx="42">
                  <c:v>142.75481202051708</c:v>
                </c:pt>
                <c:pt idx="43">
                  <c:v>144.26200260228242</c:v>
                </c:pt>
                <c:pt idx="44">
                  <c:v>145.77000949631014</c:v>
                </c:pt>
                <c:pt idx="45">
                  <c:v>147.27573881951989</c:v>
                </c:pt>
                <c:pt idx="46">
                  <c:v>148.77609751849971</c:v>
                </c:pt>
                <c:pt idx="47">
                  <c:v>150.26799335481451</c:v>
                </c:pt>
                <c:pt idx="48">
                  <c:v>151.74833490263444</c:v>
                </c:pt>
                <c:pt idx="49">
                  <c:v>153.21403153325306</c:v>
                </c:pt>
                <c:pt idx="50">
                  <c:v>154.67307666706523</c:v>
                </c:pt>
                <c:pt idx="51">
                  <c:v>156.13455090353423</c:v>
                </c:pt>
                <c:pt idx="52">
                  <c:v>157.59728443850744</c:v>
                </c:pt>
                <c:pt idx="53">
                  <c:v>159.05973118816945</c:v>
                </c:pt>
                <c:pt idx="54">
                  <c:v>160.5203452751465</c:v>
                </c:pt>
                <c:pt idx="55">
                  <c:v>161.97758117010798</c:v>
                </c:pt>
                <c:pt idx="56">
                  <c:v>163.42989367797873</c:v>
                </c:pt>
                <c:pt idx="57">
                  <c:v>164.87573366134583</c:v>
                </c:pt>
                <c:pt idx="58">
                  <c:v>166.31387744916222</c:v>
                </c:pt>
                <c:pt idx="59">
                  <c:v>167.74278106057216</c:v>
                </c:pt>
                <c:pt idx="60">
                  <c:v>169.16090083057631</c:v>
                </c:pt>
                <c:pt idx="61">
                  <c:v>170.56669339715407</c:v>
                </c:pt>
                <c:pt idx="62">
                  <c:v>171.9586157017246</c:v>
                </c:pt>
                <c:pt idx="63">
                  <c:v>173.33512498242493</c:v>
                </c:pt>
                <c:pt idx="64">
                  <c:v>174.69756867915746</c:v>
                </c:pt>
                <c:pt idx="65">
                  <c:v>176.0485531625973</c:v>
                </c:pt>
                <c:pt idx="66">
                  <c:v>177.38846960749257</c:v>
                </c:pt>
                <c:pt idx="67">
                  <c:v>178.71776776364584</c:v>
                </c:pt>
                <c:pt idx="68">
                  <c:v>180.03689709325752</c:v>
                </c:pt>
                <c:pt idx="69">
                  <c:v>181.34630677891417</c:v>
                </c:pt>
                <c:pt idx="70">
                  <c:v>182.64644572381778</c:v>
                </c:pt>
                <c:pt idx="71">
                  <c:v>183.93773856545724</c:v>
                </c:pt>
                <c:pt idx="72">
                  <c:v>185.22063783164728</c:v>
                </c:pt>
                <c:pt idx="73">
                  <c:v>186.495591514918</c:v>
                </c:pt>
                <c:pt idx="74">
                  <c:v>187.76304731814247</c:v>
                </c:pt>
                <c:pt idx="75">
                  <c:v>189.02345265306391</c:v>
                </c:pt>
                <c:pt idx="76">
                  <c:v>190.27725465291653</c:v>
                </c:pt>
                <c:pt idx="77">
                  <c:v>191.52490015726519</c:v>
                </c:pt>
                <c:pt idx="78">
                  <c:v>192.7729090422614</c:v>
                </c:pt>
                <c:pt idx="79">
                  <c:v>194.02530402262261</c:v>
                </c:pt>
                <c:pt idx="80">
                  <c:v>195.27883112617172</c:v>
                </c:pt>
                <c:pt idx="81">
                  <c:v>196.53016703397068</c:v>
                </c:pt>
                <c:pt idx="82">
                  <c:v>197.77598927154253</c:v>
                </c:pt>
                <c:pt idx="83">
                  <c:v>199.01297619855438</c:v>
                </c:pt>
                <c:pt idx="84">
                  <c:v>200.23780704755484</c:v>
                </c:pt>
                <c:pt idx="85">
                  <c:v>201.44715371012174</c:v>
                </c:pt>
                <c:pt idx="86">
                  <c:v>202.63772156853904</c:v>
                </c:pt>
                <c:pt idx="87">
                  <c:v>203.8061926261997</c:v>
                </c:pt>
                <c:pt idx="88">
                  <c:v>204.9492497967604</c:v>
                </c:pt>
                <c:pt idx="89">
                  <c:v>206.06357697203484</c:v>
                </c:pt>
                <c:pt idx="90">
                  <c:v>207.14585899720495</c:v>
                </c:pt>
                <c:pt idx="91">
                  <c:v>208.19278170778617</c:v>
                </c:pt>
                <c:pt idx="92">
                  <c:v>209.20766171954071</c:v>
                </c:pt>
                <c:pt idx="93">
                  <c:v>210.19651775407851</c:v>
                </c:pt>
                <c:pt idx="94">
                  <c:v>211.16010127779958</c:v>
                </c:pt>
                <c:pt idx="95">
                  <c:v>212.09918124322812</c:v>
                </c:pt>
                <c:pt idx="96">
                  <c:v>213.0145263836431</c:v>
                </c:pt>
                <c:pt idx="97">
                  <c:v>213.90690525333375</c:v>
                </c:pt>
                <c:pt idx="98">
                  <c:v>214.77708622135793</c:v>
                </c:pt>
                <c:pt idx="99">
                  <c:v>215.6258594108381</c:v>
                </c:pt>
                <c:pt idx="100">
                  <c:v>216.45400158398473</c:v>
                </c:pt>
                <c:pt idx="101">
                  <c:v>217.26228091537044</c:v>
                </c:pt>
                <c:pt idx="102">
                  <c:v>218.0514654594437</c:v>
                </c:pt>
                <c:pt idx="103">
                  <c:v>218.82232311526306</c:v>
                </c:pt>
                <c:pt idx="104">
                  <c:v>219.57562168731786</c:v>
                </c:pt>
                <c:pt idx="105">
                  <c:v>220.31212885420163</c:v>
                </c:pt>
                <c:pt idx="106">
                  <c:v>221.02844575243896</c:v>
                </c:pt>
                <c:pt idx="107">
                  <c:v>221.72138647907065</c:v>
                </c:pt>
                <c:pt idx="108">
                  <c:v>222.39201354998721</c:v>
                </c:pt>
                <c:pt idx="109">
                  <c:v>223.04136853154301</c:v>
                </c:pt>
                <c:pt idx="110">
                  <c:v>223.67049283810724</c:v>
                </c:pt>
                <c:pt idx="111">
                  <c:v>224.28042782263859</c:v>
                </c:pt>
                <c:pt idx="112">
                  <c:v>224.87221483620786</c:v>
                </c:pt>
                <c:pt idx="113">
                  <c:v>225.44689414734859</c:v>
                </c:pt>
                <c:pt idx="114">
                  <c:v>226.00548342539162</c:v>
                </c:pt>
                <c:pt idx="115">
                  <c:v>226.54902348936</c:v>
                </c:pt>
                <c:pt idx="116">
                  <c:v>227.0785551047488</c:v>
                </c:pt>
                <c:pt idx="117">
                  <c:v>227.59511897894524</c:v>
                </c:pt>
                <c:pt idx="118">
                  <c:v>228.0997557940299</c:v>
                </c:pt>
                <c:pt idx="119">
                  <c:v>228.59350621185021</c:v>
                </c:pt>
                <c:pt idx="120">
                  <c:v>229.07369468649497</c:v>
                </c:pt>
                <c:pt idx="121">
                  <c:v>229.53730759100131</c:v>
                </c:pt>
                <c:pt idx="122">
                  <c:v>229.98483514813606</c:v>
                </c:pt>
                <c:pt idx="123">
                  <c:v>230.41680104282293</c:v>
                </c:pt>
                <c:pt idx="124">
                  <c:v>230.8337291461574</c:v>
                </c:pt>
                <c:pt idx="125">
                  <c:v>231.23614349434254</c:v>
                </c:pt>
                <c:pt idx="126">
                  <c:v>231.62456829095231</c:v>
                </c:pt>
                <c:pt idx="127">
                  <c:v>231.99954801285696</c:v>
                </c:pt>
                <c:pt idx="128">
                  <c:v>232.36160877138073</c:v>
                </c:pt>
                <c:pt idx="129">
                  <c:v>232.71127586160625</c:v>
                </c:pt>
                <c:pt idx="130">
                  <c:v>233.04907479612572</c:v>
                </c:pt>
                <c:pt idx="131">
                  <c:v>233.37553128460266</c:v>
                </c:pt>
                <c:pt idx="132">
                  <c:v>233.69117123569896</c:v>
                </c:pt>
                <c:pt idx="133">
                  <c:v>233.996520760095</c:v>
                </c:pt>
                <c:pt idx="134">
                  <c:v>234.28968931358571</c:v>
                </c:pt>
                <c:pt idx="135">
                  <c:v>234.5687720413747</c:v>
                </c:pt>
                <c:pt idx="136">
                  <c:v>234.83428873757157</c:v>
                </c:pt>
                <c:pt idx="137">
                  <c:v>235.08676644587371</c:v>
                </c:pt>
                <c:pt idx="138">
                  <c:v>235.32673230010514</c:v>
                </c:pt>
                <c:pt idx="139">
                  <c:v>235.55471352566789</c:v>
                </c:pt>
                <c:pt idx="140">
                  <c:v>235.77123740809768</c:v>
                </c:pt>
                <c:pt idx="141">
                  <c:v>235.9768179018148</c:v>
                </c:pt>
                <c:pt idx="142">
                  <c:v>236.17195892728512</c:v>
                </c:pt>
                <c:pt idx="143">
                  <c:v>236.35718682157022</c:v>
                </c:pt>
                <c:pt idx="144">
                  <c:v>236.53302771656109</c:v>
                </c:pt>
                <c:pt idx="145">
                  <c:v>236.70000769399812</c:v>
                </c:pt>
                <c:pt idx="146">
                  <c:v>236.85865274612345</c:v>
                </c:pt>
                <c:pt idx="147">
                  <c:v>237.00948876678228</c:v>
                </c:pt>
                <c:pt idx="148">
                  <c:v>237.15286910982886</c:v>
                </c:pt>
                <c:pt idx="149">
                  <c:v>237.2884985576934</c:v>
                </c:pt>
                <c:pt idx="150">
                  <c:v>237.41589028494766</c:v>
                </c:pt>
                <c:pt idx="151">
                  <c:v>237.53453872830474</c:v>
                </c:pt>
                <c:pt idx="152">
                  <c:v>237.64393850880515</c:v>
                </c:pt>
                <c:pt idx="153">
                  <c:v>237.74358438477725</c:v>
                </c:pt>
                <c:pt idx="154">
                  <c:v>237.83297123265834</c:v>
                </c:pt>
                <c:pt idx="155">
                  <c:v>237.91158821644544</c:v>
                </c:pt>
                <c:pt idx="156">
                  <c:v>237.97894600992322</c:v>
                </c:pt>
                <c:pt idx="157">
                  <c:v>238.03453997945383</c:v>
                </c:pt>
                <c:pt idx="158">
                  <c:v>238.07786544580952</c:v>
                </c:pt>
                <c:pt idx="159">
                  <c:v>238.10841763204326</c:v>
                </c:pt>
                <c:pt idx="160">
                  <c:v>238.12569163321581</c:v>
                </c:pt>
                <c:pt idx="161">
                  <c:v>238.12918237658886</c:v>
                </c:pt>
                <c:pt idx="162">
                  <c:v>238.11855677212344</c:v>
                </c:pt>
                <c:pt idx="163">
                  <c:v>238.09411544267334</c:v>
                </c:pt>
                <c:pt idx="164">
                  <c:v>238.05633372399382</c:v>
                </c:pt>
                <c:pt idx="165">
                  <c:v>238.00573464679476</c:v>
                </c:pt>
                <c:pt idx="166">
                  <c:v>237.94284064396081</c:v>
                </c:pt>
                <c:pt idx="167">
                  <c:v>237.86817352968595</c:v>
                </c:pt>
                <c:pt idx="168">
                  <c:v>237.78225449660533</c:v>
                </c:pt>
                <c:pt idx="169">
                  <c:v>237.68554656530901</c:v>
                </c:pt>
                <c:pt idx="170">
                  <c:v>237.57857437203742</c:v>
                </c:pt>
                <c:pt idx="171">
                  <c:v>237.46185595519077</c:v>
                </c:pt>
                <c:pt idx="172">
                  <c:v>237.33590878135132</c:v>
                </c:pt>
                <c:pt idx="173">
                  <c:v>237.20124994540336</c:v>
                </c:pt>
                <c:pt idx="174">
                  <c:v>237.05839600964239</c:v>
                </c:pt>
                <c:pt idx="175">
                  <c:v>236.90786281152879</c:v>
                </c:pt>
                <c:pt idx="176">
                  <c:v>236.75111161228668</c:v>
                </c:pt>
                <c:pt idx="177">
                  <c:v>236.58856492460873</c:v>
                </c:pt>
                <c:pt idx="178">
                  <c:v>236.41925045737915</c:v>
                </c:pt>
                <c:pt idx="179">
                  <c:v>236.24213579018337</c:v>
                </c:pt>
                <c:pt idx="180">
                  <c:v>236.05618846663972</c:v>
                </c:pt>
                <c:pt idx="181">
                  <c:v>235.8603760152958</c:v>
                </c:pt>
                <c:pt idx="182">
                  <c:v>235.6536659615339</c:v>
                </c:pt>
                <c:pt idx="183">
                  <c:v>235.43508563563739</c:v>
                </c:pt>
                <c:pt idx="184">
                  <c:v>235.20366705967865</c:v>
                </c:pt>
                <c:pt idx="185">
                  <c:v>234.95837984934869</c:v>
                </c:pt>
                <c:pt idx="186">
                  <c:v>234.69819356309299</c:v>
                </c:pt>
                <c:pt idx="187">
                  <c:v>234.42207768909304</c:v>
                </c:pt>
                <c:pt idx="188">
                  <c:v>234.12900170515334</c:v>
                </c:pt>
                <c:pt idx="189">
                  <c:v>233.81793509458336</c:v>
                </c:pt>
                <c:pt idx="190">
                  <c:v>233.48819096910896</c:v>
                </c:pt>
                <c:pt idx="191">
                  <c:v>233.14043666816696</c:v>
                </c:pt>
                <c:pt idx="192">
                  <c:v>232.77570876251218</c:v>
                </c:pt>
                <c:pt idx="193">
                  <c:v>232.39503724584691</c:v>
                </c:pt>
                <c:pt idx="194">
                  <c:v>231.99945172402442</c:v>
                </c:pt>
                <c:pt idx="195">
                  <c:v>231.58998142418338</c:v>
                </c:pt>
                <c:pt idx="196">
                  <c:v>231.16765526946548</c:v>
                </c:pt>
                <c:pt idx="197">
                  <c:v>230.73346845795035</c:v>
                </c:pt>
                <c:pt idx="198">
                  <c:v>230.28838428480924</c:v>
                </c:pt>
                <c:pt idx="199">
                  <c:v>229.8334297555997</c:v>
                </c:pt>
                <c:pt idx="200">
                  <c:v>229.36963176296254</c:v>
                </c:pt>
                <c:pt idx="201">
                  <c:v>228.89801711855023</c:v>
                </c:pt>
                <c:pt idx="202">
                  <c:v>228.41961255551115</c:v>
                </c:pt>
                <c:pt idx="203">
                  <c:v>227.93544475486158</c:v>
                </c:pt>
                <c:pt idx="204">
                  <c:v>227.44396571746367</c:v>
                </c:pt>
                <c:pt idx="205">
                  <c:v>226.94297441995158</c:v>
                </c:pt>
                <c:pt idx="206">
                  <c:v>226.4324899264964</c:v>
                </c:pt>
                <c:pt idx="207">
                  <c:v>225.91251073701505</c:v>
                </c:pt>
                <c:pt idx="208">
                  <c:v>225.38303558086764</c:v>
                </c:pt>
                <c:pt idx="209">
                  <c:v>224.84406344183697</c:v>
                </c:pt>
                <c:pt idx="210">
                  <c:v>224.29559353306121</c:v>
                </c:pt>
                <c:pt idx="211">
                  <c:v>223.73763764639338</c:v>
                </c:pt>
                <c:pt idx="212">
                  <c:v>223.17023075343374</c:v>
                </c:pt>
                <c:pt idx="213">
                  <c:v>222.59337309263205</c:v>
                </c:pt>
                <c:pt idx="214">
                  <c:v>222.00706510983755</c:v>
                </c:pt>
                <c:pt idx="215">
                  <c:v>221.41130744985878</c:v>
                </c:pt>
                <c:pt idx="216">
                  <c:v>220.80610093990222</c:v>
                </c:pt>
                <c:pt idx="217">
                  <c:v>220.19144660502826</c:v>
                </c:pt>
                <c:pt idx="218">
                  <c:v>219.5684603383213</c:v>
                </c:pt>
                <c:pt idx="219">
                  <c:v>218.93791530995526</c:v>
                </c:pt>
                <c:pt idx="220">
                  <c:v>218.2992650240906</c:v>
                </c:pt>
                <c:pt idx="221">
                  <c:v>217.65199646659397</c:v>
                </c:pt>
                <c:pt idx="222">
                  <c:v>216.99559689231768</c:v>
                </c:pt>
                <c:pt idx="223">
                  <c:v>216.32955381057636</c:v>
                </c:pt>
                <c:pt idx="224">
                  <c:v>215.65335496026032</c:v>
                </c:pt>
                <c:pt idx="225">
                  <c:v>214.96654819349968</c:v>
                </c:pt>
                <c:pt idx="226">
                  <c:v>214.26860924854449</c:v>
                </c:pt>
                <c:pt idx="227">
                  <c:v>213.55902653446108</c:v>
                </c:pt>
                <c:pt idx="228">
                  <c:v>212.83728864117052</c:v>
                </c:pt>
                <c:pt idx="229">
                  <c:v>212.10288433031099</c:v>
                </c:pt>
                <c:pt idx="230">
                  <c:v>211.3553025172917</c:v>
                </c:pt>
                <c:pt idx="231">
                  <c:v>210.59403227895098</c:v>
                </c:pt>
                <c:pt idx="232">
                  <c:v>209.81984791656316</c:v>
                </c:pt>
                <c:pt idx="233">
                  <c:v>209.03390564715696</c:v>
                </c:pt>
                <c:pt idx="234">
                  <c:v>208.23620793494018</c:v>
                </c:pt>
                <c:pt idx="235">
                  <c:v>207.42675762866298</c:v>
                </c:pt>
                <c:pt idx="236">
                  <c:v>206.60555754449314</c:v>
                </c:pt>
                <c:pt idx="237">
                  <c:v>205.77261052782208</c:v>
                </c:pt>
                <c:pt idx="238">
                  <c:v>204.92791940060192</c:v>
                </c:pt>
                <c:pt idx="239">
                  <c:v>204.07144640780231</c:v>
                </c:pt>
                <c:pt idx="240">
                  <c:v>203.20313453710781</c:v>
                </c:pt>
                <c:pt idx="241">
                  <c:v>202.32298670031753</c:v>
                </c:pt>
                <c:pt idx="242">
                  <c:v>201.43100581468704</c:v>
                </c:pt>
                <c:pt idx="243">
                  <c:v>200.52719482054624</c:v>
                </c:pt>
                <c:pt idx="244">
                  <c:v>199.61155667023502</c:v>
                </c:pt>
                <c:pt idx="245">
                  <c:v>198.68409433933442</c:v>
                </c:pt>
                <c:pt idx="246">
                  <c:v>197.74481082263665</c:v>
                </c:pt>
                <c:pt idx="247">
                  <c:v>196.79369389858422</c:v>
                </c:pt>
                <c:pt idx="248">
                  <c:v>195.83070754880845</c:v>
                </c:pt>
                <c:pt idx="249">
                  <c:v>194.85585498502007</c:v>
                </c:pt>
                <c:pt idx="250">
                  <c:v>193.86913945725215</c:v>
                </c:pt>
                <c:pt idx="251">
                  <c:v>192.87056425672225</c:v>
                </c:pt>
                <c:pt idx="252">
                  <c:v>191.86013271370095</c:v>
                </c:pt>
                <c:pt idx="253">
                  <c:v>190.83788316304637</c:v>
                </c:pt>
                <c:pt idx="254">
                  <c:v>189.80385903865445</c:v>
                </c:pt>
                <c:pt idx="255">
                  <c:v>188.75806350081896</c:v>
                </c:pt>
                <c:pt idx="256">
                  <c:v>187.70049971304806</c:v>
                </c:pt>
                <c:pt idx="257">
                  <c:v>186.6311708231793</c:v>
                </c:pt>
                <c:pt idx="258">
                  <c:v>185.55007996195283</c:v>
                </c:pt>
                <c:pt idx="259">
                  <c:v>184.45723022545184</c:v>
                </c:pt>
                <c:pt idx="260">
                  <c:v>183.34928875415989</c:v>
                </c:pt>
                <c:pt idx="261">
                  <c:v>182.22389822758859</c:v>
                </c:pt>
                <c:pt idx="262">
                  <c:v>181.0826171500257</c:v>
                </c:pt>
                <c:pt idx="263">
                  <c:v>179.92698859624025</c:v>
                </c:pt>
                <c:pt idx="264">
                  <c:v>178.7585552448856</c:v>
                </c:pt>
                <c:pt idx="265">
                  <c:v>177.57885921474897</c:v>
                </c:pt>
                <c:pt idx="266">
                  <c:v>176.38944228160258</c:v>
                </c:pt>
                <c:pt idx="267">
                  <c:v>175.19170658891233</c:v>
                </c:pt>
                <c:pt idx="268">
                  <c:v>173.98715998904709</c:v>
                </c:pt>
                <c:pt idx="269">
                  <c:v>172.77734431889922</c:v>
                </c:pt>
                <c:pt idx="270">
                  <c:v>171.56380105657561</c:v>
                </c:pt>
                <c:pt idx="271">
                  <c:v>170.3480713291676</c:v>
                </c:pt>
                <c:pt idx="272">
                  <c:v>169.13169590609033</c:v>
                </c:pt>
                <c:pt idx="273">
                  <c:v>167.91621520042901</c:v>
                </c:pt>
                <c:pt idx="274">
                  <c:v>166.69821148402517</c:v>
                </c:pt>
                <c:pt idx="275">
                  <c:v>165.47358254654588</c:v>
                </c:pt>
                <c:pt idx="276">
                  <c:v>164.24289308036433</c:v>
                </c:pt>
                <c:pt idx="277">
                  <c:v>163.00665739029375</c:v>
                </c:pt>
                <c:pt idx="278">
                  <c:v>161.7653895037632</c:v>
                </c:pt>
                <c:pt idx="279">
                  <c:v>160.5196031614671</c:v>
                </c:pt>
                <c:pt idx="280">
                  <c:v>159.26981181184362</c:v>
                </c:pt>
                <c:pt idx="281">
                  <c:v>158.01664074444901</c:v>
                </c:pt>
                <c:pt idx="282">
                  <c:v>156.76073440150688</c:v>
                </c:pt>
                <c:pt idx="283">
                  <c:v>155.50260218452482</c:v>
                </c:pt>
                <c:pt idx="284">
                  <c:v>154.24275298730367</c:v>
                </c:pt>
                <c:pt idx="285">
                  <c:v>152.98169519798574</c:v>
                </c:pt>
                <c:pt idx="286">
                  <c:v>151.71993669920863</c:v>
                </c:pt>
                <c:pt idx="287">
                  <c:v>150.45798487779459</c:v>
                </c:pt>
                <c:pt idx="288">
                  <c:v>149.19284389131761</c:v>
                </c:pt>
                <c:pt idx="289">
                  <c:v>147.92130514943679</c:v>
                </c:pt>
                <c:pt idx="290">
                  <c:v>146.64439773657909</c:v>
                </c:pt>
                <c:pt idx="291">
                  <c:v>145.36314951157095</c:v>
                </c:pt>
                <c:pt idx="292">
                  <c:v>144.07858821632396</c:v>
                </c:pt>
                <c:pt idx="293">
                  <c:v>142.79174147084208</c:v>
                </c:pt>
                <c:pt idx="294">
                  <c:v>141.50363678196186</c:v>
                </c:pt>
                <c:pt idx="295">
                  <c:v>140.21460985386273</c:v>
                </c:pt>
                <c:pt idx="296">
                  <c:v>138.92559620973634</c:v>
                </c:pt>
                <c:pt idx="297">
                  <c:v>137.63763738649763</c:v>
                </c:pt>
                <c:pt idx="298">
                  <c:v>136.35177550468899</c:v>
                </c:pt>
                <c:pt idx="299">
                  <c:v>135.0690527612453</c:v>
                </c:pt>
                <c:pt idx="300">
                  <c:v>133.79051135574852</c:v>
                </c:pt>
                <c:pt idx="301">
                  <c:v>132.51719340974083</c:v>
                </c:pt>
                <c:pt idx="302">
                  <c:v>131.24313834353453</c:v>
                </c:pt>
                <c:pt idx="303">
                  <c:v>129.96348423857805</c:v>
                </c:pt>
                <c:pt idx="304">
                  <c:v>128.6807945253247</c:v>
                </c:pt>
                <c:pt idx="305">
                  <c:v>127.39711655760131</c:v>
                </c:pt>
                <c:pt idx="306">
                  <c:v>126.11449706166388</c:v>
                </c:pt>
                <c:pt idx="307">
                  <c:v>124.83498214525292</c:v>
                </c:pt>
                <c:pt idx="308">
                  <c:v>123.56061730004866</c:v>
                </c:pt>
                <c:pt idx="309">
                  <c:v>122.29375174485922</c:v>
                </c:pt>
                <c:pt idx="310">
                  <c:v>121.03704790142277</c:v>
                </c:pt>
                <c:pt idx="311">
                  <c:v>119.79252968064579</c:v>
                </c:pt>
                <c:pt idx="312">
                  <c:v>118.56222077278984</c:v>
                </c:pt>
                <c:pt idx="313">
                  <c:v>117.34814474820379</c:v>
                </c:pt>
                <c:pt idx="314">
                  <c:v>116.15232516783398</c:v>
                </c:pt>
                <c:pt idx="315">
                  <c:v>114.97678568039981</c:v>
                </c:pt>
                <c:pt idx="316">
                  <c:v>113.80955036663138</c:v>
                </c:pt>
                <c:pt idx="317">
                  <c:v>112.64019376306332</c:v>
                </c:pt>
                <c:pt idx="318">
                  <c:v>111.47241441957642</c:v>
                </c:pt>
                <c:pt idx="319">
                  <c:v>110.31029206501363</c:v>
                </c:pt>
                <c:pt idx="320">
                  <c:v>109.15790665142372</c:v>
                </c:pt>
                <c:pt idx="321">
                  <c:v>108.01933837182057</c:v>
                </c:pt>
                <c:pt idx="322">
                  <c:v>106.89866770080266</c:v>
                </c:pt>
                <c:pt idx="323">
                  <c:v>105.8006155930165</c:v>
                </c:pt>
                <c:pt idx="324">
                  <c:v>104.72897666318515</c:v>
                </c:pt>
                <c:pt idx="325">
                  <c:v>103.68782620833701</c:v>
                </c:pt>
                <c:pt idx="326">
                  <c:v>102.68124193331344</c:v>
                </c:pt>
                <c:pt idx="327">
                  <c:v>101.71330121958229</c:v>
                </c:pt>
                <c:pt idx="328">
                  <c:v>100.78808083586604</c:v>
                </c:pt>
                <c:pt idx="329">
                  <c:v>99.909658319611609</c:v>
                </c:pt>
                <c:pt idx="330">
                  <c:v>99.06759675108826</c:v>
                </c:pt>
                <c:pt idx="331">
                  <c:v>98.250054475634499</c:v>
                </c:pt>
                <c:pt idx="332">
                  <c:v>97.458825530630961</c:v>
                </c:pt>
                <c:pt idx="333">
                  <c:v>96.695874508129677</c:v>
                </c:pt>
                <c:pt idx="334">
                  <c:v>95.963166872925129</c:v>
                </c:pt>
                <c:pt idx="335">
                  <c:v>95.262668874860324</c:v>
                </c:pt>
                <c:pt idx="336">
                  <c:v>94.596347473942998</c:v>
                </c:pt>
                <c:pt idx="337">
                  <c:v>93.965896771482093</c:v>
                </c:pt>
                <c:pt idx="338">
                  <c:v>93.372694563889908</c:v>
                </c:pt>
                <c:pt idx="339">
                  <c:v>92.818718733749321</c:v>
                </c:pt>
                <c:pt idx="340">
                  <c:v>92.305946546111471</c:v>
                </c:pt>
                <c:pt idx="341">
                  <c:v>91.836354610238672</c:v>
                </c:pt>
                <c:pt idx="342">
                  <c:v>91.411918888339841</c:v>
                </c:pt>
                <c:pt idx="343">
                  <c:v>91.034614578336743</c:v>
                </c:pt>
                <c:pt idx="344">
                  <c:v>90.701078199745012</c:v>
                </c:pt>
                <c:pt idx="345">
                  <c:v>90.406756813606179</c:v>
                </c:pt>
                <c:pt idx="346">
                  <c:v>90.151705711329555</c:v>
                </c:pt>
                <c:pt idx="347">
                  <c:v>89.936115494335922</c:v>
                </c:pt>
                <c:pt idx="348">
                  <c:v>89.760176184128511</c:v>
                </c:pt>
                <c:pt idx="349">
                  <c:v>89.624077229471737</c:v>
                </c:pt>
                <c:pt idx="350">
                  <c:v>89.528007534396835</c:v>
                </c:pt>
                <c:pt idx="351">
                  <c:v>89.472028396039732</c:v>
                </c:pt>
                <c:pt idx="352">
                  <c:v>89.456591612030621</c:v>
                </c:pt>
                <c:pt idx="353">
                  <c:v>89.481883897637218</c:v>
                </c:pt>
                <c:pt idx="354">
                  <c:v>89.548091519615696</c:v>
                </c:pt>
                <c:pt idx="355">
                  <c:v>89.655400419419493</c:v>
                </c:pt>
                <c:pt idx="356">
                  <c:v>89.803996655662374</c:v>
                </c:pt>
                <c:pt idx="357">
                  <c:v>89.994064975186646</c:v>
                </c:pt>
                <c:pt idx="358">
                  <c:v>90.229470785686161</c:v>
                </c:pt>
                <c:pt idx="359">
                  <c:v>90.512767827683575</c:v>
                </c:pt>
                <c:pt idx="360">
                  <c:v>90.84191267230446</c:v>
                </c:pt>
                <c:pt idx="361">
                  <c:v>91.215249888919658</c:v>
                </c:pt>
                <c:pt idx="362">
                  <c:v>91.630997935939249</c:v>
                </c:pt>
                <c:pt idx="363">
                  <c:v>92.087375345519405</c:v>
                </c:pt>
                <c:pt idx="364">
                  <c:v>92.582600774124245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95.473294746065946</c:v>
                </c:pt>
                <c:pt idx="1">
                  <c:v>69.81231617928168</c:v>
                </c:pt>
                <c:pt idx="2">
                  <c:v>72.702155884180712</c:v>
                </c:pt>
                <c:pt idx="3">
                  <c:v>78.077358025326532</c:v>
                </c:pt>
                <c:pt idx="4">
                  <c:v>58.706971023015768</c:v>
                </c:pt>
                <c:pt idx="5">
                  <c:v>100.55494294253313</c:v>
                </c:pt>
                <c:pt idx="6">
                  <c:v>38.037627753979429</c:v>
                </c:pt>
                <c:pt idx="7">
                  <c:v>25.466663072520046</c:v>
                </c:pt>
                <c:pt idx="8">
                  <c:v>7.9509749189532082</c:v>
                </c:pt>
                <c:pt idx="9">
                  <c:v>7.3092744741671645</c:v>
                </c:pt>
                <c:pt idx="10">
                  <c:v>97.995059065220872</c:v>
                </c:pt>
                <c:pt idx="11">
                  <c:v>84.017858544516926</c:v>
                </c:pt>
                <c:pt idx="12">
                  <c:v>26.959489032673869</c:v>
                </c:pt>
                <c:pt idx="13">
                  <c:v>107.51833575495168</c:v>
                </c:pt>
                <c:pt idx="14">
                  <c:v>109.16597736900462</c:v>
                </c:pt>
                <c:pt idx="15">
                  <c:v>108.56527155221453</c:v>
                </c:pt>
                <c:pt idx="16">
                  <c:v>85.254074131722206</c:v>
                </c:pt>
                <c:pt idx="17">
                  <c:v>22.329725146051452</c:v>
                </c:pt>
                <c:pt idx="18">
                  <c:v>45.601288528338664</c:v>
                </c:pt>
                <c:pt idx="19">
                  <c:v>23.502178957047143</c:v>
                </c:pt>
                <c:pt idx="20">
                  <c:v>59.002856166294507</c:v>
                </c:pt>
                <c:pt idx="21">
                  <c:v>113.31457193475264</c:v>
                </c:pt>
                <c:pt idx="22">
                  <c:v>115.17859621383477</c:v>
                </c:pt>
                <c:pt idx="23">
                  <c:v>116.6009080546518</c:v>
                </c:pt>
                <c:pt idx="24">
                  <c:v>115.52272024525486</c:v>
                </c:pt>
                <c:pt idx="25">
                  <c:v>117.55609092511321</c:v>
                </c:pt>
                <c:pt idx="26">
                  <c:v>119.47160684292669</c:v>
                </c:pt>
                <c:pt idx="27">
                  <c:v>18.510025277819562</c:v>
                </c:pt>
                <c:pt idx="28">
                  <c:v>29.011937021073088</c:v>
                </c:pt>
                <c:pt idx="29">
                  <c:v>26.138904882486727</c:v>
                </c:pt>
                <c:pt idx="30">
                  <c:v>25.978343475901177</c:v>
                </c:pt>
                <c:pt idx="31">
                  <c:v>56.628591277710932</c:v>
                </c:pt>
                <c:pt idx="32">
                  <c:v>25.257622654794918</c:v>
                </c:pt>
                <c:pt idx="33">
                  <c:v>56.694153880354804</c:v>
                </c:pt>
                <c:pt idx="34">
                  <c:v>51.582123085142115</c:v>
                </c:pt>
                <c:pt idx="35">
                  <c:v>43.240554242100117</c:v>
                </c:pt>
                <c:pt idx="36">
                  <c:v>91.737738758445587</c:v>
                </c:pt>
                <c:pt idx="37">
                  <c:v>41.452153016146084</c:v>
                </c:pt>
                <c:pt idx="38">
                  <c:v>138.70602205016203</c:v>
                </c:pt>
                <c:pt idx="39">
                  <c:v>138.0433946723069</c:v>
                </c:pt>
                <c:pt idx="40">
                  <c:v>129.65575009442111</c:v>
                </c:pt>
                <c:pt idx="41">
                  <c:v>64.669044889505116</c:v>
                </c:pt>
                <c:pt idx="42">
                  <c:v>108.30673912417738</c:v>
                </c:pt>
                <c:pt idx="43">
                  <c:v>132.1426915673153</c:v>
                </c:pt>
                <c:pt idx="44">
                  <c:v>75.346347494974907</c:v>
                </c:pt>
                <c:pt idx="45">
                  <c:v>79.55566537280977</c:v>
                </c:pt>
                <c:pt idx="46">
                  <c:v>30.727673419762784</c:v>
                </c:pt>
                <c:pt idx="47">
                  <c:v>45.268835991177937</c:v>
                </c:pt>
                <c:pt idx="48">
                  <c:v>128.70582127514442</c:v>
                </c:pt>
                <c:pt idx="49">
                  <c:v>73.35965083179417</c:v>
                </c:pt>
                <c:pt idx="50">
                  <c:v>92.295963800445833</c:v>
                </c:pt>
                <c:pt idx="51">
                  <c:v>100.43577245446605</c:v>
                </c:pt>
                <c:pt idx="52">
                  <c:v>134.45348114143928</c:v>
                </c:pt>
                <c:pt idx="53">
                  <c:v>138.93674455056583</c:v>
                </c:pt>
                <c:pt idx="54">
                  <c:v>88.066428739817098</c:v>
                </c:pt>
                <c:pt idx="55">
                  <c:v>124.73549157656821</c:v>
                </c:pt>
                <c:pt idx="56">
                  <c:v>165.52048970352024</c:v>
                </c:pt>
                <c:pt idx="57">
                  <c:v>110.12800670301601</c:v>
                </c:pt>
                <c:pt idx="58">
                  <c:v>149.40521574036688</c:v>
                </c:pt>
                <c:pt idx="59">
                  <c:v>167.85571172107529</c:v>
                </c:pt>
                <c:pt idx="60">
                  <c:v>51.37046365436327</c:v>
                </c:pt>
                <c:pt idx="61">
                  <c:v>154.87980366739978</c:v>
                </c:pt>
                <c:pt idx="62">
                  <c:v>19.775877449327805</c:v>
                </c:pt>
                <c:pt idx="63">
                  <c:v>65.30653472284061</c:v>
                </c:pt>
                <c:pt idx="64">
                  <c:v>92.200452287805362</c:v>
                </c:pt>
                <c:pt idx="65">
                  <c:v>136.97585893103249</c:v>
                </c:pt>
                <c:pt idx="66">
                  <c:v>126.29456643722447</c:v>
                </c:pt>
                <c:pt idx="67">
                  <c:v>136.04637240447465</c:v>
                </c:pt>
                <c:pt idx="68">
                  <c:v>97.791722263754977</c:v>
                </c:pt>
                <c:pt idx="69">
                  <c:v>66.933316430776273</c:v>
                </c:pt>
                <c:pt idx="70">
                  <c:v>62.642818509915458</c:v>
                </c:pt>
                <c:pt idx="71">
                  <c:v>55.322673860702238</c:v>
                </c:pt>
                <c:pt idx="72">
                  <c:v>54.290967431488447</c:v>
                </c:pt>
                <c:pt idx="73">
                  <c:v>57.923159625707903</c:v>
                </c:pt>
                <c:pt idx="74">
                  <c:v>38.497883224659716</c:v>
                </c:pt>
                <c:pt idx="75">
                  <c:v>49.446939077326107</c:v>
                </c:pt>
                <c:pt idx="76">
                  <c:v>52.203783675333142</c:v>
                </c:pt>
                <c:pt idx="77">
                  <c:v>118.63547769567676</c:v>
                </c:pt>
                <c:pt idx="78">
                  <c:v>126.71117599253411</c:v>
                </c:pt>
                <c:pt idx="79">
                  <c:v>182.60994851002806</c:v>
                </c:pt>
                <c:pt idx="80">
                  <c:v>162.5860361728208</c:v>
                </c:pt>
                <c:pt idx="81">
                  <c:v>194.61860408118653</c:v>
                </c:pt>
                <c:pt idx="82">
                  <c:v>192.99641818030304</c:v>
                </c:pt>
                <c:pt idx="83">
                  <c:v>164.42731043400266</c:v>
                </c:pt>
                <c:pt idx="84">
                  <c:v>181.292154177318</c:v>
                </c:pt>
                <c:pt idx="85">
                  <c:v>183.2640505159394</c:v>
                </c:pt>
                <c:pt idx="86">
                  <c:v>144.49865491494623</c:v>
                </c:pt>
                <c:pt idx="87">
                  <c:v>113.62160537209206</c:v>
                </c:pt>
                <c:pt idx="88">
                  <c:v>29.848207676333697</c:v>
                </c:pt>
                <c:pt idx="89">
                  <c:v>86.360147941311581</c:v>
                </c:pt>
                <c:pt idx="90">
                  <c:v>146.58957465206126</c:v>
                </c:pt>
                <c:pt idx="91">
                  <c:v>71.70839904913116</c:v>
                </c:pt>
                <c:pt idx="92">
                  <c:v>115.11303117895761</c:v>
                </c:pt>
                <c:pt idx="93">
                  <c:v>175.62360093567838</c:v>
                </c:pt>
                <c:pt idx="94">
                  <c:v>215.18240595923947</c:v>
                </c:pt>
                <c:pt idx="95">
                  <c:v>53.424556693320334</c:v>
                </c:pt>
                <c:pt idx="96">
                  <c:v>164.18470904882628</c:v>
                </c:pt>
                <c:pt idx="97">
                  <c:v>130.67891020968048</c:v>
                </c:pt>
                <c:pt idx="98">
                  <c:v>141.0590064328112</c:v>
                </c:pt>
                <c:pt idx="99">
                  <c:v>220.2178711456755</c:v>
                </c:pt>
                <c:pt idx="100">
                  <c:v>177.11325384315032</c:v>
                </c:pt>
                <c:pt idx="101">
                  <c:v>148.29192052809179</c:v>
                </c:pt>
                <c:pt idx="102">
                  <c:v>24.601360040131624</c:v>
                </c:pt>
                <c:pt idx="103">
                  <c:v>176.61308854806353</c:v>
                </c:pt>
                <c:pt idx="104">
                  <c:v>186.46612667039469</c:v>
                </c:pt>
                <c:pt idx="105">
                  <c:v>187.58998557654999</c:v>
                </c:pt>
                <c:pt idx="106">
                  <c:v>225.03414122842963</c:v>
                </c:pt>
                <c:pt idx="107">
                  <c:v>166.07785807052062</c:v>
                </c:pt>
                <c:pt idx="108">
                  <c:v>37.511179313600231</c:v>
                </c:pt>
                <c:pt idx="109">
                  <c:v>42.542271202886567</c:v>
                </c:pt>
                <c:pt idx="110">
                  <c:v>37.909944288840443</c:v>
                </c:pt>
                <c:pt idx="111">
                  <c:v>115.35724489302073</c:v>
                </c:pt>
                <c:pt idx="112">
                  <c:v>42.025894746411012</c:v>
                </c:pt>
                <c:pt idx="113">
                  <c:v>113.51312636237741</c:v>
                </c:pt>
                <c:pt idx="114">
                  <c:v>191.89696477081586</c:v>
                </c:pt>
                <c:pt idx="115">
                  <c:v>225.49814691297482</c:v>
                </c:pt>
                <c:pt idx="116">
                  <c:v>160.63754237771565</c:v>
                </c:pt>
                <c:pt idx="117">
                  <c:v>93.557062796095195</c:v>
                </c:pt>
                <c:pt idx="118">
                  <c:v>172.89181940825821</c:v>
                </c:pt>
                <c:pt idx="119">
                  <c:v>161.8851481342071</c:v>
                </c:pt>
                <c:pt idx="120">
                  <c:v>192.70208764897103</c:v>
                </c:pt>
                <c:pt idx="121">
                  <c:v>114.34123491082686</c:v>
                </c:pt>
                <c:pt idx="122">
                  <c:v>130.19678546559794</c:v>
                </c:pt>
                <c:pt idx="123">
                  <c:v>76.418324679195862</c:v>
                </c:pt>
                <c:pt idx="124">
                  <c:v>160.99246623757907</c:v>
                </c:pt>
                <c:pt idx="125">
                  <c:v>149.76999115201463</c:v>
                </c:pt>
                <c:pt idx="126">
                  <c:v>189.94208049272018</c:v>
                </c:pt>
                <c:pt idx="127">
                  <c:v>207.51159057803702</c:v>
                </c:pt>
                <c:pt idx="128">
                  <c:v>223.75640225311318</c:v>
                </c:pt>
                <c:pt idx="129">
                  <c:v>214.14100436459827</c:v>
                </c:pt>
                <c:pt idx="130">
                  <c:v>230.65089687490158</c:v>
                </c:pt>
                <c:pt idx="131">
                  <c:v>173.24199830122728</c:v>
                </c:pt>
                <c:pt idx="132">
                  <c:v>164.61741203320818</c:v>
                </c:pt>
                <c:pt idx="133">
                  <c:v>203.10437416993759</c:v>
                </c:pt>
                <c:pt idx="134">
                  <c:v>213.70026690157675</c:v>
                </c:pt>
                <c:pt idx="135">
                  <c:v>206.66051532400232</c:v>
                </c:pt>
                <c:pt idx="136">
                  <c:v>225.29313967750164</c:v>
                </c:pt>
                <c:pt idx="137">
                  <c:v>216.37994358460008</c:v>
                </c:pt>
                <c:pt idx="138">
                  <c:v>220.87698415104944</c:v>
                </c:pt>
                <c:pt idx="139">
                  <c:v>198.11036421253124</c:v>
                </c:pt>
                <c:pt idx="140">
                  <c:v>205.26601013111451</c:v>
                </c:pt>
                <c:pt idx="141">
                  <c:v>152.8663078390698</c:v>
                </c:pt>
                <c:pt idx="142">
                  <c:v>72.262912025639523</c:v>
                </c:pt>
                <c:pt idx="143">
                  <c:v>67.489549217269371</c:v>
                </c:pt>
                <c:pt idx="144">
                  <c:v>167.46821280657664</c:v>
                </c:pt>
                <c:pt idx="145">
                  <c:v>107.69741939865179</c:v>
                </c:pt>
                <c:pt idx="146">
                  <c:v>181.3211871464481</c:v>
                </c:pt>
                <c:pt idx="147">
                  <c:v>223.08307612714023</c:v>
                </c:pt>
                <c:pt idx="148">
                  <c:v>243.00948569829353</c:v>
                </c:pt>
                <c:pt idx="149">
                  <c:v>204.84404403750671</c:v>
                </c:pt>
                <c:pt idx="150">
                  <c:v>224.48770248328316</c:v>
                </c:pt>
                <c:pt idx="151">
                  <c:v>234.35819589630694</c:v>
                </c:pt>
                <c:pt idx="152">
                  <c:v>164.84080205887503</c:v>
                </c:pt>
                <c:pt idx="153">
                  <c:v>226.46872297989796</c:v>
                </c:pt>
                <c:pt idx="154">
                  <c:v>98.670396100177229</c:v>
                </c:pt>
                <c:pt idx="155">
                  <c:v>127.84024065879522</c:v>
                </c:pt>
                <c:pt idx="156">
                  <c:v>187.84514461114847</c:v>
                </c:pt>
                <c:pt idx="157">
                  <c:v>117.05100433190586</c:v>
                </c:pt>
                <c:pt idx="158">
                  <c:v>89.179809099679005</c:v>
                </c:pt>
                <c:pt idx="159">
                  <c:v>189.19083723594099</c:v>
                </c:pt>
                <c:pt idx="160">
                  <c:v>239.17363342982767</c:v>
                </c:pt>
                <c:pt idx="161">
                  <c:v>227.16624880670381</c:v>
                </c:pt>
                <c:pt idx="162">
                  <c:v>179.34258170935522</c:v>
                </c:pt>
                <c:pt idx="163">
                  <c:v>220.5721711276218</c:v>
                </c:pt>
                <c:pt idx="164">
                  <c:v>199.14872183338892</c:v>
                </c:pt>
                <c:pt idx="165">
                  <c:v>223.55333915032708</c:v>
                </c:pt>
                <c:pt idx="166">
                  <c:v>211.04676981458312</c:v>
                </c:pt>
                <c:pt idx="167">
                  <c:v>217.63133873249333</c:v>
                </c:pt>
                <c:pt idx="168">
                  <c:v>224.36887191004755</c:v>
                </c:pt>
                <c:pt idx="169">
                  <c:v>228.63104283976892</c:v>
                </c:pt>
                <c:pt idx="170">
                  <c:v>123.12521413888115</c:v>
                </c:pt>
                <c:pt idx="171">
                  <c:v>87.818150746465491</c:v>
                </c:pt>
                <c:pt idx="172">
                  <c:v>173.58865507969412</c:v>
                </c:pt>
                <c:pt idx="173">
                  <c:v>169.84496075089899</c:v>
                </c:pt>
                <c:pt idx="174">
                  <c:v>169.71111811568917</c:v>
                </c:pt>
                <c:pt idx="175">
                  <c:v>144.76031144757914</c:v>
                </c:pt>
                <c:pt idx="176">
                  <c:v>48.142024895519569</c:v>
                </c:pt>
                <c:pt idx="177">
                  <c:v>56.244480094160892</c:v>
                </c:pt>
                <c:pt idx="178">
                  <c:v>245.920163377888</c:v>
                </c:pt>
                <c:pt idx="179">
                  <c:v>233.48130807489272</c:v>
                </c:pt>
                <c:pt idx="180">
                  <c:v>54.517170754476894</c:v>
                </c:pt>
                <c:pt idx="181">
                  <c:v>209.06163503094882</c:v>
                </c:pt>
                <c:pt idx="182">
                  <c:v>231.04053296145531</c:v>
                </c:pt>
                <c:pt idx="183">
                  <c:v>191.35552751159389</c:v>
                </c:pt>
                <c:pt idx="184">
                  <c:v>186.67389686396345</c:v>
                </c:pt>
                <c:pt idx="185">
                  <c:v>224.55199125301112</c:v>
                </c:pt>
                <c:pt idx="186">
                  <c:v>178.25670075782071</c:v>
                </c:pt>
                <c:pt idx="187">
                  <c:v>221.52887382461026</c:v>
                </c:pt>
                <c:pt idx="188">
                  <c:v>234.93344827963679</c:v>
                </c:pt>
                <c:pt idx="189">
                  <c:v>232.47882344914026</c:v>
                </c:pt>
                <c:pt idx="190">
                  <c:v>230.61190237273325</c:v>
                </c:pt>
                <c:pt idx="191">
                  <c:v>224.36855518191251</c:v>
                </c:pt>
                <c:pt idx="192">
                  <c:v>221.73994242892985</c:v>
                </c:pt>
                <c:pt idx="193">
                  <c:v>221.87130371638247</c:v>
                </c:pt>
                <c:pt idx="194">
                  <c:v>219.4761457762616</c:v>
                </c:pt>
                <c:pt idx="195">
                  <c:v>210.53024192142396</c:v>
                </c:pt>
                <c:pt idx="196">
                  <c:v>216.08100352789575</c:v>
                </c:pt>
                <c:pt idx="197">
                  <c:v>215.37431102647722</c:v>
                </c:pt>
                <c:pt idx="198">
                  <c:v>218.91643431281125</c:v>
                </c:pt>
                <c:pt idx="199">
                  <c:v>154.94247492205167</c:v>
                </c:pt>
                <c:pt idx="200">
                  <c:v>158.87059348911455</c:v>
                </c:pt>
                <c:pt idx="201">
                  <c:v>212.23458085104366</c:v>
                </c:pt>
                <c:pt idx="202">
                  <c:v>161.00259853222866</c:v>
                </c:pt>
                <c:pt idx="203">
                  <c:v>185.29342422848907</c:v>
                </c:pt>
                <c:pt idx="204">
                  <c:v>215.03957706994746</c:v>
                </c:pt>
                <c:pt idx="205">
                  <c:v>115.77218333929328</c:v>
                </c:pt>
                <c:pt idx="206">
                  <c:v>206.57606917500959</c:v>
                </c:pt>
                <c:pt idx="207">
                  <c:v>226.7026077773773</c:v>
                </c:pt>
                <c:pt idx="208">
                  <c:v>183.12428733353653</c:v>
                </c:pt>
                <c:pt idx="209">
                  <c:v>111.23631061793945</c:v>
                </c:pt>
                <c:pt idx="210">
                  <c:v>192.54140655410535</c:v>
                </c:pt>
                <c:pt idx="211">
                  <c:v>220.34240710463635</c:v>
                </c:pt>
                <c:pt idx="212">
                  <c:v>219.27539976366765</c:v>
                </c:pt>
                <c:pt idx="213">
                  <c:v>219.33435162745081</c:v>
                </c:pt>
                <c:pt idx="214">
                  <c:v>208.2550813599222</c:v>
                </c:pt>
                <c:pt idx="215">
                  <c:v>197.63658724030313</c:v>
                </c:pt>
                <c:pt idx="216">
                  <c:v>183.88806520101505</c:v>
                </c:pt>
                <c:pt idx="217">
                  <c:v>197.24051463963855</c:v>
                </c:pt>
                <c:pt idx="218">
                  <c:v>210.78579226639349</c:v>
                </c:pt>
                <c:pt idx="219">
                  <c:v>214.48519648986567</c:v>
                </c:pt>
                <c:pt idx="220">
                  <c:v>204.41560133580543</c:v>
                </c:pt>
                <c:pt idx="221">
                  <c:v>198.71521126475307</c:v>
                </c:pt>
                <c:pt idx="222">
                  <c:v>184.42524176093141</c:v>
                </c:pt>
                <c:pt idx="223">
                  <c:v>193.21721807090174</c:v>
                </c:pt>
                <c:pt idx="224">
                  <c:v>134.31077629094173</c:v>
                </c:pt>
                <c:pt idx="225">
                  <c:v>147.32195573858885</c:v>
                </c:pt>
                <c:pt idx="226">
                  <c:v>151.65258692223983</c:v>
                </c:pt>
                <c:pt idx="227">
                  <c:v>136.42972827214552</c:v>
                </c:pt>
                <c:pt idx="228">
                  <c:v>105.07363186483416</c:v>
                </c:pt>
                <c:pt idx="229">
                  <c:v>129.02096147462601</c:v>
                </c:pt>
                <c:pt idx="230">
                  <c:v>139.20844957160824</c:v>
                </c:pt>
                <c:pt idx="231">
                  <c:v>203.34817215786808</c:v>
                </c:pt>
                <c:pt idx="232">
                  <c:v>129.73262474430507</c:v>
                </c:pt>
                <c:pt idx="233">
                  <c:v>102.31136807873807</c:v>
                </c:pt>
                <c:pt idx="234">
                  <c:v>177.57084621345703</c:v>
                </c:pt>
                <c:pt idx="235">
                  <c:v>189.13532066848097</c:v>
                </c:pt>
                <c:pt idx="236">
                  <c:v>132.48419525198526</c:v>
                </c:pt>
                <c:pt idx="237">
                  <c:v>178.88696417323874</c:v>
                </c:pt>
                <c:pt idx="238">
                  <c:v>195.6875231586672</c:v>
                </c:pt>
                <c:pt idx="239">
                  <c:v>192.71793464591352</c:v>
                </c:pt>
                <c:pt idx="240">
                  <c:v>129.73202095987972</c:v>
                </c:pt>
                <c:pt idx="241">
                  <c:v>192.6397949028229</c:v>
                </c:pt>
                <c:pt idx="242">
                  <c:v>85.699422438322912</c:v>
                </c:pt>
                <c:pt idx="243">
                  <c:v>170.4498260870723</c:v>
                </c:pt>
                <c:pt idx="244">
                  <c:v>168.01051892262529</c:v>
                </c:pt>
                <c:pt idx="245">
                  <c:v>131.23913453322368</c:v>
                </c:pt>
                <c:pt idx="246">
                  <c:v>184.87061524581125</c:v>
                </c:pt>
                <c:pt idx="247">
                  <c:v>163.27597340906067</c:v>
                </c:pt>
                <c:pt idx="248">
                  <c:v>183.10649028687041</c:v>
                </c:pt>
                <c:pt idx="249">
                  <c:v>139.17134445431284</c:v>
                </c:pt>
                <c:pt idx="250">
                  <c:v>161.78327123906956</c:v>
                </c:pt>
                <c:pt idx="251">
                  <c:v>86.529198503229182</c:v>
                </c:pt>
                <c:pt idx="252">
                  <c:v>180.00584046546851</c:v>
                </c:pt>
                <c:pt idx="253">
                  <c:v>183.49030222355</c:v>
                </c:pt>
                <c:pt idx="254">
                  <c:v>127.04715835976427</c:v>
                </c:pt>
                <c:pt idx="255">
                  <c:v>45.737532058203335</c:v>
                </c:pt>
                <c:pt idx="256">
                  <c:v>145.8616694478705</c:v>
                </c:pt>
                <c:pt idx="257">
                  <c:v>163.21958752432045</c:v>
                </c:pt>
                <c:pt idx="258">
                  <c:v>104.20045111451944</c:v>
                </c:pt>
                <c:pt idx="259">
                  <c:v>189.35872385552031</c:v>
                </c:pt>
                <c:pt idx="260">
                  <c:v>182.87007442347843</c:v>
                </c:pt>
                <c:pt idx="261">
                  <c:v>180.44522814908265</c:v>
                </c:pt>
                <c:pt idx="262">
                  <c:v>184.55123096885447</c:v>
                </c:pt>
                <c:pt idx="263">
                  <c:v>179.55776948510137</c:v>
                </c:pt>
                <c:pt idx="264">
                  <c:v>174.4140715978607</c:v>
                </c:pt>
                <c:pt idx="265">
                  <c:v>111.83919302959754</c:v>
                </c:pt>
                <c:pt idx="266">
                  <c:v>75.239422671348976</c:v>
                </c:pt>
                <c:pt idx="267">
                  <c:v>130.68242997509668</c:v>
                </c:pt>
                <c:pt idx="268">
                  <c:v>132.27349825522052</c:v>
                </c:pt>
                <c:pt idx="269">
                  <c:v>60.746595477477129</c:v>
                </c:pt>
                <c:pt idx="270">
                  <c:v>60.931287701830151</c:v>
                </c:pt>
                <c:pt idx="271">
                  <c:v>90.67620829513946</c:v>
                </c:pt>
                <c:pt idx="272">
                  <c:v>130.02298991202991</c:v>
                </c:pt>
                <c:pt idx="273">
                  <c:v>147.38457442776271</c:v>
                </c:pt>
                <c:pt idx="274">
                  <c:v>152.58077071299093</c:v>
                </c:pt>
                <c:pt idx="275">
                  <c:v>143.31646790007528</c:v>
                </c:pt>
                <c:pt idx="276">
                  <c:v>163.99510542977842</c:v>
                </c:pt>
                <c:pt idx="277">
                  <c:v>166.67172995929522</c:v>
                </c:pt>
                <c:pt idx="278">
                  <c:v>55.963797700122818</c:v>
                </c:pt>
                <c:pt idx="279">
                  <c:v>115.00098240686685</c:v>
                </c:pt>
                <c:pt idx="280">
                  <c:v>64.254659632808071</c:v>
                </c:pt>
                <c:pt idx="281">
                  <c:v>151.51705709896626</c:v>
                </c:pt>
                <c:pt idx="282">
                  <c:v>121.22505687993993</c:v>
                </c:pt>
                <c:pt idx="283">
                  <c:v>93.327448570865172</c:v>
                </c:pt>
                <c:pt idx="284">
                  <c:v>117.22498888503954</c:v>
                </c:pt>
                <c:pt idx="285">
                  <c:v>90.634885051230739</c:v>
                </c:pt>
                <c:pt idx="286">
                  <c:v>80.776709980720199</c:v>
                </c:pt>
                <c:pt idx="287">
                  <c:v>147.5612430172213</c:v>
                </c:pt>
                <c:pt idx="288">
                  <c:v>132.30172970043111</c:v>
                </c:pt>
                <c:pt idx="289">
                  <c:v>84.786980492876708</c:v>
                </c:pt>
                <c:pt idx="290">
                  <c:v>135.36328311174233</c:v>
                </c:pt>
                <c:pt idx="291">
                  <c:v>59.749486627806526</c:v>
                </c:pt>
                <c:pt idx="292">
                  <c:v>38.024366225760126</c:v>
                </c:pt>
                <c:pt idx="293">
                  <c:v>61.960530855668708</c:v>
                </c:pt>
                <c:pt idx="294">
                  <c:v>129.86645104570678</c:v>
                </c:pt>
                <c:pt idx="295">
                  <c:v>78.874171893601741</c:v>
                </c:pt>
                <c:pt idx="296">
                  <c:v>101.45630762647293</c:v>
                </c:pt>
                <c:pt idx="297">
                  <c:v>87.738578595595342</c:v>
                </c:pt>
                <c:pt idx="298">
                  <c:v>57.942840608816915</c:v>
                </c:pt>
                <c:pt idx="299">
                  <c:v>52.002763681905797</c:v>
                </c:pt>
                <c:pt idx="300">
                  <c:v>68.622902433101203</c:v>
                </c:pt>
                <c:pt idx="301">
                  <c:v>99.620219491677517</c:v>
                </c:pt>
                <c:pt idx="302">
                  <c:v>83.283873084501437</c:v>
                </c:pt>
                <c:pt idx="303">
                  <c:v>84.316195462334917</c:v>
                </c:pt>
                <c:pt idx="304">
                  <c:v>83.674704217795039</c:v>
                </c:pt>
                <c:pt idx="305">
                  <c:v>111.13556857832609</c:v>
                </c:pt>
                <c:pt idx="306">
                  <c:v>42.436559613721023</c:v>
                </c:pt>
                <c:pt idx="307">
                  <c:v>50.291922431457358</c:v>
                </c:pt>
                <c:pt idx="308">
                  <c:v>118.26327834033593</c:v>
                </c:pt>
                <c:pt idx="309">
                  <c:v>118.67186916986581</c:v>
                </c:pt>
                <c:pt idx="310">
                  <c:v>114.57454797090314</c:v>
                </c:pt>
                <c:pt idx="311">
                  <c:v>76.689941511494681</c:v>
                </c:pt>
                <c:pt idx="312">
                  <c:v>43.266807060352285</c:v>
                </c:pt>
                <c:pt idx="313">
                  <c:v>89.838476319951923</c:v>
                </c:pt>
                <c:pt idx="314">
                  <c:v>109.31039236235999</c:v>
                </c:pt>
                <c:pt idx="315">
                  <c:v>107.79001411108855</c:v>
                </c:pt>
                <c:pt idx="316">
                  <c:v>106.45303294312767</c:v>
                </c:pt>
                <c:pt idx="317">
                  <c:v>40.620350332422298</c:v>
                </c:pt>
                <c:pt idx="318">
                  <c:v>51.09984998048764</c:v>
                </c:pt>
                <c:pt idx="319">
                  <c:v>106.52654344001768</c:v>
                </c:pt>
                <c:pt idx="320">
                  <c:v>63.261858295221913</c:v>
                </c:pt>
                <c:pt idx="321">
                  <c:v>50.204154016488317</c:v>
                </c:pt>
                <c:pt idx="322">
                  <c:v>23.872618859999772</c:v>
                </c:pt>
                <c:pt idx="323">
                  <c:v>69.807114250774603</c:v>
                </c:pt>
                <c:pt idx="324">
                  <c:v>13.828656182627808</c:v>
                </c:pt>
                <c:pt idx="325">
                  <c:v>33.573865509482708</c:v>
                </c:pt>
                <c:pt idx="326">
                  <c:v>55.370933981238636</c:v>
                </c:pt>
                <c:pt idx="327">
                  <c:v>54.486848031267805</c:v>
                </c:pt>
                <c:pt idx="328">
                  <c:v>17.644225328600744</c:v>
                </c:pt>
                <c:pt idx="329">
                  <c:v>53.113478835328273</c:v>
                </c:pt>
                <c:pt idx="330">
                  <c:v>57.851476200420734</c:v>
                </c:pt>
                <c:pt idx="331">
                  <c:v>37.607060330136342</c:v>
                </c:pt>
                <c:pt idx="332">
                  <c:v>53.580463446443041</c:v>
                </c:pt>
                <c:pt idx="333">
                  <c:v>21.25379017067074</c:v>
                </c:pt>
                <c:pt idx="334">
                  <c:v>15.963746306501957</c:v>
                </c:pt>
                <c:pt idx="335">
                  <c:v>25.742704983094104</c:v>
                </c:pt>
                <c:pt idx="336">
                  <c:v>35.298219297143497</c:v>
                </c:pt>
                <c:pt idx="337">
                  <c:v>75.737082286239698</c:v>
                </c:pt>
                <c:pt idx="338">
                  <c:v>95.050732807188695</c:v>
                </c:pt>
                <c:pt idx="339">
                  <c:v>49.397595842415832</c:v>
                </c:pt>
                <c:pt idx="340">
                  <c:v>76.413153371694875</c:v>
                </c:pt>
                <c:pt idx="341">
                  <c:v>14.460171096967807</c:v>
                </c:pt>
                <c:pt idx="342">
                  <c:v>27.79677187572069</c:v>
                </c:pt>
                <c:pt idx="343">
                  <c:v>67.002077427869636</c:v>
                </c:pt>
                <c:pt idx="344">
                  <c:v>63.074308756239937</c:v>
                </c:pt>
                <c:pt idx="345">
                  <c:v>21.997181964605574</c:v>
                </c:pt>
                <c:pt idx="346">
                  <c:v>22.911834381345365</c:v>
                </c:pt>
                <c:pt idx="347">
                  <c:v>67.242762000337464</c:v>
                </c:pt>
                <c:pt idx="348">
                  <c:v>33.46934031522575</c:v>
                </c:pt>
                <c:pt idx="349">
                  <c:v>20.399291981098809</c:v>
                </c:pt>
                <c:pt idx="350">
                  <c:v>12.656768396625411</c:v>
                </c:pt>
                <c:pt idx="351">
                  <c:v>68.940568338099922</c:v>
                </c:pt>
                <c:pt idx="352">
                  <c:v>66.266391671858315</c:v>
                </c:pt>
                <c:pt idx="353">
                  <c:v>17.324529002345226</c:v>
                </c:pt>
                <c:pt idx="354">
                  <c:v>81.861725512797889</c:v>
                </c:pt>
                <c:pt idx="355">
                  <c:v>68.190185327043409</c:v>
                </c:pt>
                <c:pt idx="356">
                  <c:v>69.94450942609366</c:v>
                </c:pt>
                <c:pt idx="357">
                  <c:v>84.910605281854401</c:v>
                </c:pt>
                <c:pt idx="358">
                  <c:v>47.838579279859992</c:v>
                </c:pt>
                <c:pt idx="359">
                  <c:v>81.738487210131368</c:v>
                </c:pt>
                <c:pt idx="360">
                  <c:v>25.334726433197709</c:v>
                </c:pt>
                <c:pt idx="361">
                  <c:v>66.487332263682347</c:v>
                </c:pt>
                <c:pt idx="362">
                  <c:v>41.11765363720842</c:v>
                </c:pt>
                <c:pt idx="363">
                  <c:v>58.882561394114376</c:v>
                </c:pt>
                <c:pt idx="364">
                  <c:v>47.131493398508816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'2025'!$W$15:$W$380</c:f>
              <c:numCache>
                <c:formatCode>0.00</c:formatCode>
                <c:ptCount val="366"/>
                <c:pt idx="0">
                  <c:v>95.473294746065946</c:v>
                </c:pt>
                <c:pt idx="1">
                  <c:v>69.81231617928168</c:v>
                </c:pt>
                <c:pt idx="2">
                  <c:v>72.702155884180712</c:v>
                </c:pt>
                <c:pt idx="3">
                  <c:v>78.077358025326532</c:v>
                </c:pt>
                <c:pt idx="4">
                  <c:v>58.706971023015768</c:v>
                </c:pt>
                <c:pt idx="5">
                  <c:v>100.55494294253313</c:v>
                </c:pt>
                <c:pt idx="6">
                  <c:v>38.037627753979429</c:v>
                </c:pt>
                <c:pt idx="7">
                  <c:v>25.466663072520046</c:v>
                </c:pt>
                <c:pt idx="8">
                  <c:v>7.9509749189532082</c:v>
                </c:pt>
                <c:pt idx="9">
                  <c:v>7.3092744741671645</c:v>
                </c:pt>
                <c:pt idx="10">
                  <c:v>97.995059065220872</c:v>
                </c:pt>
                <c:pt idx="11">
                  <c:v>84.017858544516926</c:v>
                </c:pt>
                <c:pt idx="12">
                  <c:v>26.959489032673869</c:v>
                </c:pt>
                <c:pt idx="13">
                  <c:v>107.51833575495168</c:v>
                </c:pt>
                <c:pt idx="14">
                  <c:v>109.16597736900462</c:v>
                </c:pt>
                <c:pt idx="15">
                  <c:v>108.56527155221453</c:v>
                </c:pt>
                <c:pt idx="16">
                  <c:v>85.254074131722206</c:v>
                </c:pt>
                <c:pt idx="17">
                  <c:v>22.329725146051452</c:v>
                </c:pt>
                <c:pt idx="18">
                  <c:v>45.601288528338664</c:v>
                </c:pt>
                <c:pt idx="19">
                  <c:v>23.502178957047143</c:v>
                </c:pt>
                <c:pt idx="20">
                  <c:v>59.002856166294507</c:v>
                </c:pt>
                <c:pt idx="21">
                  <c:v>113.31457193475264</c:v>
                </c:pt>
                <c:pt idx="22">
                  <c:v>115.17859621383477</c:v>
                </c:pt>
                <c:pt idx="23">
                  <c:v>116.6009080546518</c:v>
                </c:pt>
                <c:pt idx="24">
                  <c:v>115.52272024525486</c:v>
                </c:pt>
                <c:pt idx="25">
                  <c:v>117.55609092511321</c:v>
                </c:pt>
                <c:pt idx="26">
                  <c:v>119.47160684292669</c:v>
                </c:pt>
                <c:pt idx="27">
                  <c:v>18.510025277819562</c:v>
                </c:pt>
                <c:pt idx="28">
                  <c:v>29.011937021073088</c:v>
                </c:pt>
                <c:pt idx="29">
                  <c:v>26.138904882486727</c:v>
                </c:pt>
                <c:pt idx="30">
                  <c:v>25.978343475901177</c:v>
                </c:pt>
                <c:pt idx="31">
                  <c:v>56.628591277710932</c:v>
                </c:pt>
                <c:pt idx="32">
                  <c:v>25.257622654794918</c:v>
                </c:pt>
                <c:pt idx="33">
                  <c:v>56.694153880354804</c:v>
                </c:pt>
                <c:pt idx="34">
                  <c:v>51.582123085142115</c:v>
                </c:pt>
                <c:pt idx="35">
                  <c:v>43.240554242100117</c:v>
                </c:pt>
                <c:pt idx="36">
                  <c:v>91.737738758445587</c:v>
                </c:pt>
                <c:pt idx="37">
                  <c:v>41.452153016146084</c:v>
                </c:pt>
                <c:pt idx="38">
                  <c:v>138.70602205016203</c:v>
                </c:pt>
                <c:pt idx="39">
                  <c:v>138.0433946723069</c:v>
                </c:pt>
                <c:pt idx="40">
                  <c:v>129.65575009442111</c:v>
                </c:pt>
                <c:pt idx="41">
                  <c:v>64.669044889505116</c:v>
                </c:pt>
                <c:pt idx="42">
                  <c:v>108.30673912417738</c:v>
                </c:pt>
                <c:pt idx="43">
                  <c:v>132.1426915673153</c:v>
                </c:pt>
                <c:pt idx="44">
                  <c:v>75.346347494974907</c:v>
                </c:pt>
                <c:pt idx="45">
                  <c:v>79.55566537280977</c:v>
                </c:pt>
                <c:pt idx="46">
                  <c:v>30.727673419762784</c:v>
                </c:pt>
                <c:pt idx="47">
                  <c:v>45.268835991177937</c:v>
                </c:pt>
                <c:pt idx="48">
                  <c:v>128.70582127514442</c:v>
                </c:pt>
                <c:pt idx="49">
                  <c:v>73.35965083179417</c:v>
                </c:pt>
                <c:pt idx="50">
                  <c:v>92.295963800445833</c:v>
                </c:pt>
                <c:pt idx="51">
                  <c:v>100.43577245446605</c:v>
                </c:pt>
                <c:pt idx="52">
                  <c:v>134.45348114143928</c:v>
                </c:pt>
                <c:pt idx="53">
                  <c:v>138.93674455056583</c:v>
                </c:pt>
                <c:pt idx="54">
                  <c:v>88.066428739817098</c:v>
                </c:pt>
                <c:pt idx="55">
                  <c:v>124.73549157656821</c:v>
                </c:pt>
                <c:pt idx="56">
                  <c:v>165.52048970352024</c:v>
                </c:pt>
                <c:pt idx="57">
                  <c:v>110.12800670301601</c:v>
                </c:pt>
                <c:pt idx="58">
                  <c:v>149.40521574036688</c:v>
                </c:pt>
                <c:pt idx="59">
                  <c:v>167.85571172107529</c:v>
                </c:pt>
                <c:pt idx="60">
                  <c:v>51.37046365436327</c:v>
                </c:pt>
                <c:pt idx="61">
                  <c:v>154.87980366739978</c:v>
                </c:pt>
                <c:pt idx="62">
                  <c:v>19.775877449327805</c:v>
                </c:pt>
                <c:pt idx="63">
                  <c:v>65.30653472284061</c:v>
                </c:pt>
                <c:pt idx="64">
                  <c:v>92.200452287805362</c:v>
                </c:pt>
                <c:pt idx="65">
                  <c:v>136.97585893103249</c:v>
                </c:pt>
                <c:pt idx="66">
                  <c:v>126.29456643722447</c:v>
                </c:pt>
                <c:pt idx="67">
                  <c:v>136.04637240447465</c:v>
                </c:pt>
                <c:pt idx="68">
                  <c:v>97.791722263754977</c:v>
                </c:pt>
                <c:pt idx="69">
                  <c:v>66.933316430776273</c:v>
                </c:pt>
                <c:pt idx="70">
                  <c:v>62.642818509915458</c:v>
                </c:pt>
                <c:pt idx="71">
                  <c:v>55.322673860702238</c:v>
                </c:pt>
                <c:pt idx="72">
                  <c:v>54.290967431488447</c:v>
                </c:pt>
                <c:pt idx="73">
                  <c:v>57.923159625707903</c:v>
                </c:pt>
                <c:pt idx="74">
                  <c:v>38.497883224659716</c:v>
                </c:pt>
                <c:pt idx="75">
                  <c:v>49.446939077326107</c:v>
                </c:pt>
                <c:pt idx="76">
                  <c:v>52.203783675333142</c:v>
                </c:pt>
                <c:pt idx="77">
                  <c:v>118.63547769567676</c:v>
                </c:pt>
                <c:pt idx="78">
                  <c:v>126.71117599253411</c:v>
                </c:pt>
                <c:pt idx="79">
                  <c:v>182.60994851002806</c:v>
                </c:pt>
                <c:pt idx="80">
                  <c:v>162.5860361728208</c:v>
                </c:pt>
                <c:pt idx="81">
                  <c:v>194.61860408118653</c:v>
                </c:pt>
                <c:pt idx="82">
                  <c:v>192.99641818030304</c:v>
                </c:pt>
                <c:pt idx="83">
                  <c:v>164.42731043400266</c:v>
                </c:pt>
                <c:pt idx="84">
                  <c:v>181.292154177318</c:v>
                </c:pt>
                <c:pt idx="85">
                  <c:v>183.2640505159394</c:v>
                </c:pt>
                <c:pt idx="86">
                  <c:v>144.49865491494623</c:v>
                </c:pt>
                <c:pt idx="87">
                  <c:v>113.62160537209206</c:v>
                </c:pt>
                <c:pt idx="88">
                  <c:v>29.848207676333697</c:v>
                </c:pt>
                <c:pt idx="89">
                  <c:v>86.360147941311581</c:v>
                </c:pt>
                <c:pt idx="90">
                  <c:v>146.58957465206126</c:v>
                </c:pt>
                <c:pt idx="91">
                  <c:v>71.70839904913116</c:v>
                </c:pt>
                <c:pt idx="92">
                  <c:v>115.11303117895761</c:v>
                </c:pt>
                <c:pt idx="93">
                  <c:v>175.62360093567838</c:v>
                </c:pt>
                <c:pt idx="94">
                  <c:v>215.18240595923947</c:v>
                </c:pt>
                <c:pt idx="95">
                  <c:v>53.424556693320334</c:v>
                </c:pt>
                <c:pt idx="96">
                  <c:v>164.18470904882628</c:v>
                </c:pt>
                <c:pt idx="97">
                  <c:v>130.67891020968048</c:v>
                </c:pt>
                <c:pt idx="98">
                  <c:v>141.0590064328112</c:v>
                </c:pt>
                <c:pt idx="99">
                  <c:v>220.2178711456755</c:v>
                </c:pt>
                <c:pt idx="100">
                  <c:v>177.11325384315032</c:v>
                </c:pt>
                <c:pt idx="101">
                  <c:v>148.29192052809179</c:v>
                </c:pt>
                <c:pt idx="102">
                  <c:v>24.601360040131624</c:v>
                </c:pt>
                <c:pt idx="103">
                  <c:v>176.61308854806353</c:v>
                </c:pt>
                <c:pt idx="104">
                  <c:v>186.46612667039469</c:v>
                </c:pt>
                <c:pt idx="105">
                  <c:v>187.58998557654999</c:v>
                </c:pt>
                <c:pt idx="106">
                  <c:v>225.03414122842963</c:v>
                </c:pt>
                <c:pt idx="107">
                  <c:v>166.07785807052062</c:v>
                </c:pt>
                <c:pt idx="108">
                  <c:v>37.511179313600231</c:v>
                </c:pt>
                <c:pt idx="109">
                  <c:v>42.542271202886567</c:v>
                </c:pt>
                <c:pt idx="110">
                  <c:v>37.909944288840443</c:v>
                </c:pt>
                <c:pt idx="111">
                  <c:v>115.35724489302073</c:v>
                </c:pt>
                <c:pt idx="112">
                  <c:v>42.025894746411012</c:v>
                </c:pt>
                <c:pt idx="113">
                  <c:v>113.51312636237741</c:v>
                </c:pt>
                <c:pt idx="114">
                  <c:v>191.89696477081586</c:v>
                </c:pt>
                <c:pt idx="115">
                  <c:v>225.49814691297482</c:v>
                </c:pt>
                <c:pt idx="116">
                  <c:v>160.63754237771565</c:v>
                </c:pt>
                <c:pt idx="117">
                  <c:v>93.557062796095195</c:v>
                </c:pt>
                <c:pt idx="118">
                  <c:v>172.89181940825821</c:v>
                </c:pt>
                <c:pt idx="119">
                  <c:v>161.8851481342071</c:v>
                </c:pt>
                <c:pt idx="120">
                  <c:v>192.70208764897103</c:v>
                </c:pt>
                <c:pt idx="121">
                  <c:v>114.34123491082686</c:v>
                </c:pt>
                <c:pt idx="122">
                  <c:v>130.19678546559794</c:v>
                </c:pt>
                <c:pt idx="123">
                  <c:v>76.418324679195862</c:v>
                </c:pt>
                <c:pt idx="124">
                  <c:v>160.99246623757907</c:v>
                </c:pt>
                <c:pt idx="125">
                  <c:v>149.76999115201463</c:v>
                </c:pt>
                <c:pt idx="126">
                  <c:v>189.94208049272018</c:v>
                </c:pt>
                <c:pt idx="127">
                  <c:v>207.51159057803702</c:v>
                </c:pt>
                <c:pt idx="128">
                  <c:v>223.75640225311318</c:v>
                </c:pt>
                <c:pt idx="129">
                  <c:v>214.14100436459827</c:v>
                </c:pt>
                <c:pt idx="130">
                  <c:v>230.65089687490158</c:v>
                </c:pt>
                <c:pt idx="131">
                  <c:v>173.24199830122728</c:v>
                </c:pt>
                <c:pt idx="132">
                  <c:v>164.61741203320818</c:v>
                </c:pt>
                <c:pt idx="133">
                  <c:v>203.10437416993759</c:v>
                </c:pt>
                <c:pt idx="134">
                  <c:v>213.70026690157675</c:v>
                </c:pt>
                <c:pt idx="135">
                  <c:v>206.66051532400232</c:v>
                </c:pt>
                <c:pt idx="136">
                  <c:v>225.29313967750164</c:v>
                </c:pt>
                <c:pt idx="137">
                  <c:v>216.37994358460008</c:v>
                </c:pt>
                <c:pt idx="138">
                  <c:v>220.87698415104944</c:v>
                </c:pt>
                <c:pt idx="139">
                  <c:v>198.11036421253124</c:v>
                </c:pt>
                <c:pt idx="140">
                  <c:v>205.26601013111451</c:v>
                </c:pt>
                <c:pt idx="141">
                  <c:v>152.8663078390698</c:v>
                </c:pt>
                <c:pt idx="142">
                  <c:v>72.262912025639523</c:v>
                </c:pt>
                <c:pt idx="143">
                  <c:v>67.489549217269371</c:v>
                </c:pt>
                <c:pt idx="144">
                  <c:v>167.46821280657664</c:v>
                </c:pt>
                <c:pt idx="145">
                  <c:v>107.69741939865179</c:v>
                </c:pt>
                <c:pt idx="146">
                  <c:v>181.3211871464481</c:v>
                </c:pt>
                <c:pt idx="147">
                  <c:v>223.08307612714023</c:v>
                </c:pt>
                <c:pt idx="148">
                  <c:v>243.00948569829353</c:v>
                </c:pt>
                <c:pt idx="149">
                  <c:v>204.84404403750671</c:v>
                </c:pt>
                <c:pt idx="150">
                  <c:v>224.48770248328316</c:v>
                </c:pt>
                <c:pt idx="151">
                  <c:v>234.35819589630694</c:v>
                </c:pt>
                <c:pt idx="152">
                  <c:v>164.84080205887503</c:v>
                </c:pt>
                <c:pt idx="153">
                  <c:v>226.46872297989796</c:v>
                </c:pt>
                <c:pt idx="154">
                  <c:v>98.670396100177229</c:v>
                </c:pt>
                <c:pt idx="155">
                  <c:v>127.84024065879522</c:v>
                </c:pt>
                <c:pt idx="156">
                  <c:v>187.84514461114847</c:v>
                </c:pt>
                <c:pt idx="157">
                  <c:v>117.05100433190586</c:v>
                </c:pt>
                <c:pt idx="158">
                  <c:v>89.179809099679005</c:v>
                </c:pt>
                <c:pt idx="159">
                  <c:v>189.19083723594099</c:v>
                </c:pt>
                <c:pt idx="160">
                  <c:v>239.17363342982767</c:v>
                </c:pt>
                <c:pt idx="161">
                  <c:v>227.16624880670381</c:v>
                </c:pt>
                <c:pt idx="162">
                  <c:v>179.34258170935522</c:v>
                </c:pt>
                <c:pt idx="163">
                  <c:v>220.5721711276218</c:v>
                </c:pt>
                <c:pt idx="164">
                  <c:v>199.14872183338892</c:v>
                </c:pt>
                <c:pt idx="165">
                  <c:v>223.55333915032708</c:v>
                </c:pt>
                <c:pt idx="166">
                  <c:v>211.04676981458312</c:v>
                </c:pt>
                <c:pt idx="167">
                  <c:v>217.63133873249333</c:v>
                </c:pt>
                <c:pt idx="168">
                  <c:v>224.36887191004755</c:v>
                </c:pt>
                <c:pt idx="169">
                  <c:v>228.63104283976892</c:v>
                </c:pt>
                <c:pt idx="170">
                  <c:v>123.12521413888115</c:v>
                </c:pt>
                <c:pt idx="171">
                  <c:v>87.818150746465491</c:v>
                </c:pt>
                <c:pt idx="172">
                  <c:v>173.58865507969412</c:v>
                </c:pt>
                <c:pt idx="173">
                  <c:v>169.84496075089899</c:v>
                </c:pt>
                <c:pt idx="174">
                  <c:v>169.71111811568917</c:v>
                </c:pt>
                <c:pt idx="175">
                  <c:v>144.76031144757914</c:v>
                </c:pt>
                <c:pt idx="176">
                  <c:v>48.142024895519569</c:v>
                </c:pt>
                <c:pt idx="177">
                  <c:v>56.244480094160892</c:v>
                </c:pt>
                <c:pt idx="178">
                  <c:v>245.920163377888</c:v>
                </c:pt>
                <c:pt idx="179">
                  <c:v>233.48130807489272</c:v>
                </c:pt>
                <c:pt idx="180">
                  <c:v>54.517170754476894</c:v>
                </c:pt>
                <c:pt idx="181">
                  <c:v>209.06163503094882</c:v>
                </c:pt>
                <c:pt idx="182">
                  <c:v>231.04053296145531</c:v>
                </c:pt>
                <c:pt idx="183">
                  <c:v>191.35552751159389</c:v>
                </c:pt>
                <c:pt idx="184">
                  <c:v>186.67389686396345</c:v>
                </c:pt>
                <c:pt idx="185">
                  <c:v>224.55199125301112</c:v>
                </c:pt>
                <c:pt idx="186">
                  <c:v>178.25670075782071</c:v>
                </c:pt>
                <c:pt idx="187">
                  <c:v>221.52887382461026</c:v>
                </c:pt>
                <c:pt idx="188">
                  <c:v>234.93344827963679</c:v>
                </c:pt>
                <c:pt idx="189">
                  <c:v>232.47882344914026</c:v>
                </c:pt>
                <c:pt idx="190">
                  <c:v>230.61190237273325</c:v>
                </c:pt>
                <c:pt idx="191">
                  <c:v>224.36855518191251</c:v>
                </c:pt>
                <c:pt idx="192">
                  <c:v>221.73994242892985</c:v>
                </c:pt>
                <c:pt idx="193">
                  <c:v>221.87130371638247</c:v>
                </c:pt>
                <c:pt idx="194">
                  <c:v>219.4761457762616</c:v>
                </c:pt>
                <c:pt idx="195">
                  <c:v>210.53024192142396</c:v>
                </c:pt>
                <c:pt idx="196">
                  <c:v>216.08100352789575</c:v>
                </c:pt>
                <c:pt idx="197">
                  <c:v>215.37431102647722</c:v>
                </c:pt>
                <c:pt idx="198">
                  <c:v>218.91643431281125</c:v>
                </c:pt>
                <c:pt idx="199">
                  <c:v>154.94247492205167</c:v>
                </c:pt>
                <c:pt idx="200">
                  <c:v>158.87059348911455</c:v>
                </c:pt>
                <c:pt idx="201">
                  <c:v>212.23458085104366</c:v>
                </c:pt>
                <c:pt idx="202">
                  <c:v>161.00259853222866</c:v>
                </c:pt>
                <c:pt idx="203">
                  <c:v>185.29342422848907</c:v>
                </c:pt>
                <c:pt idx="204">
                  <c:v>215.03957706994746</c:v>
                </c:pt>
                <c:pt idx="205">
                  <c:v>115.77218333929328</c:v>
                </c:pt>
                <c:pt idx="206">
                  <c:v>206.57606917500959</c:v>
                </c:pt>
                <c:pt idx="207">
                  <c:v>226.7026077773773</c:v>
                </c:pt>
                <c:pt idx="208">
                  <c:v>183.12428733353653</c:v>
                </c:pt>
                <c:pt idx="209">
                  <c:v>111.23631061793945</c:v>
                </c:pt>
                <c:pt idx="210">
                  <c:v>192.54140655410535</c:v>
                </c:pt>
                <c:pt idx="211">
                  <c:v>220.34240710463635</c:v>
                </c:pt>
                <c:pt idx="212">
                  <c:v>219.27539976366765</c:v>
                </c:pt>
                <c:pt idx="213">
                  <c:v>219.33435162745081</c:v>
                </c:pt>
                <c:pt idx="214">
                  <c:v>208.2550813599222</c:v>
                </c:pt>
                <c:pt idx="215">
                  <c:v>197.63658724030313</c:v>
                </c:pt>
                <c:pt idx="216">
                  <c:v>183.88806520101505</c:v>
                </c:pt>
                <c:pt idx="217">
                  <c:v>197.24051463963855</c:v>
                </c:pt>
                <c:pt idx="218">
                  <c:v>210.78579226639349</c:v>
                </c:pt>
                <c:pt idx="219">
                  <c:v>214.48519648986567</c:v>
                </c:pt>
                <c:pt idx="220">
                  <c:v>204.41560133580543</c:v>
                </c:pt>
                <c:pt idx="221">
                  <c:v>198.71521126475307</c:v>
                </c:pt>
                <c:pt idx="222">
                  <c:v>184.42524176093141</c:v>
                </c:pt>
                <c:pt idx="223">
                  <c:v>193.21721807090174</c:v>
                </c:pt>
                <c:pt idx="224">
                  <c:v>134.31077629094173</c:v>
                </c:pt>
                <c:pt idx="225">
                  <c:v>147.32195573858885</c:v>
                </c:pt>
                <c:pt idx="226">
                  <c:v>151.65258692223983</c:v>
                </c:pt>
                <c:pt idx="227">
                  <c:v>136.42972827214552</c:v>
                </c:pt>
                <c:pt idx="228">
                  <c:v>105.07363186483416</c:v>
                </c:pt>
                <c:pt idx="229">
                  <c:v>129.02096147462601</c:v>
                </c:pt>
                <c:pt idx="230">
                  <c:v>139.20844957160824</c:v>
                </c:pt>
                <c:pt idx="231">
                  <c:v>203.34817215786808</c:v>
                </c:pt>
                <c:pt idx="232">
                  <c:v>129.73262474430507</c:v>
                </c:pt>
                <c:pt idx="233">
                  <c:v>102.31136807873807</c:v>
                </c:pt>
                <c:pt idx="234">
                  <c:v>177.57084621345703</c:v>
                </c:pt>
                <c:pt idx="235">
                  <c:v>189.13532066848097</c:v>
                </c:pt>
                <c:pt idx="236">
                  <c:v>132.48419525198526</c:v>
                </c:pt>
                <c:pt idx="237">
                  <c:v>178.88696417323874</c:v>
                </c:pt>
                <c:pt idx="238">
                  <c:v>195.6875231586672</c:v>
                </c:pt>
                <c:pt idx="239">
                  <c:v>192.71793464591352</c:v>
                </c:pt>
                <c:pt idx="240">
                  <c:v>129.73202095987972</c:v>
                </c:pt>
                <c:pt idx="241">
                  <c:v>192.6397949028229</c:v>
                </c:pt>
                <c:pt idx="242">
                  <c:v>85.699422438322912</c:v>
                </c:pt>
                <c:pt idx="243">
                  <c:v>170.4498260870723</c:v>
                </c:pt>
                <c:pt idx="244">
                  <c:v>168.01051892262529</c:v>
                </c:pt>
                <c:pt idx="245">
                  <c:v>131.23913453322368</c:v>
                </c:pt>
                <c:pt idx="246">
                  <c:v>184.87061524581125</c:v>
                </c:pt>
                <c:pt idx="247">
                  <c:v>163.27597340906067</c:v>
                </c:pt>
                <c:pt idx="248">
                  <c:v>183.10649028687041</c:v>
                </c:pt>
                <c:pt idx="249">
                  <c:v>139.17134445431284</c:v>
                </c:pt>
                <c:pt idx="250">
                  <c:v>161.78327123906956</c:v>
                </c:pt>
                <c:pt idx="251">
                  <c:v>86.529198503229182</c:v>
                </c:pt>
                <c:pt idx="252">
                  <c:v>180.00584046546851</c:v>
                </c:pt>
                <c:pt idx="253">
                  <c:v>183.49030222355</c:v>
                </c:pt>
                <c:pt idx="254">
                  <c:v>127.04715835976427</c:v>
                </c:pt>
                <c:pt idx="255">
                  <c:v>45.737532058203335</c:v>
                </c:pt>
                <c:pt idx="256">
                  <c:v>145.8616694478705</c:v>
                </c:pt>
                <c:pt idx="257">
                  <c:v>163.21958752432045</c:v>
                </c:pt>
                <c:pt idx="258">
                  <c:v>104.20045111451944</c:v>
                </c:pt>
                <c:pt idx="259">
                  <c:v>189.35872385552031</c:v>
                </c:pt>
                <c:pt idx="260">
                  <c:v>182.87007442347843</c:v>
                </c:pt>
                <c:pt idx="261">
                  <c:v>180.44522814908265</c:v>
                </c:pt>
                <c:pt idx="262">
                  <c:v>184.55123096885447</c:v>
                </c:pt>
                <c:pt idx="263">
                  <c:v>179.55776948510137</c:v>
                </c:pt>
                <c:pt idx="264">
                  <c:v>174.4140715978607</c:v>
                </c:pt>
                <c:pt idx="265">
                  <c:v>111.83919302959754</c:v>
                </c:pt>
                <c:pt idx="266">
                  <c:v>75.239422671348976</c:v>
                </c:pt>
                <c:pt idx="267">
                  <c:v>130.68242997509668</c:v>
                </c:pt>
                <c:pt idx="268">
                  <c:v>132.27349825522052</c:v>
                </c:pt>
                <c:pt idx="269">
                  <c:v>60.746595477477129</c:v>
                </c:pt>
                <c:pt idx="270">
                  <c:v>60.931287701830151</c:v>
                </c:pt>
                <c:pt idx="271">
                  <c:v>90.67620829513946</c:v>
                </c:pt>
                <c:pt idx="272">
                  <c:v>130.02298991202991</c:v>
                </c:pt>
                <c:pt idx="273">
                  <c:v>147.38457442776271</c:v>
                </c:pt>
                <c:pt idx="274">
                  <c:v>152.58077071299093</c:v>
                </c:pt>
                <c:pt idx="275">
                  <c:v>143.31646790007528</c:v>
                </c:pt>
                <c:pt idx="276">
                  <c:v>163.99510542977842</c:v>
                </c:pt>
                <c:pt idx="277">
                  <c:v>166.67172995929522</c:v>
                </c:pt>
                <c:pt idx="278">
                  <c:v>55.963797700122818</c:v>
                </c:pt>
                <c:pt idx="279">
                  <c:v>115.00098240686685</c:v>
                </c:pt>
                <c:pt idx="280">
                  <c:v>64.254659632808071</c:v>
                </c:pt>
                <c:pt idx="281">
                  <c:v>151.51705709896626</c:v>
                </c:pt>
                <c:pt idx="282">
                  <c:v>121.22505687993993</c:v>
                </c:pt>
                <c:pt idx="283">
                  <c:v>93.327448570865172</c:v>
                </c:pt>
                <c:pt idx="284">
                  <c:v>117.22498888503954</c:v>
                </c:pt>
                <c:pt idx="285">
                  <c:v>90.634885051230739</c:v>
                </c:pt>
                <c:pt idx="286">
                  <c:v>80.776709980720199</c:v>
                </c:pt>
                <c:pt idx="287">
                  <c:v>147.5612430172213</c:v>
                </c:pt>
                <c:pt idx="288">
                  <c:v>132.30172970043111</c:v>
                </c:pt>
                <c:pt idx="289">
                  <c:v>84.786980492876708</c:v>
                </c:pt>
                <c:pt idx="290">
                  <c:v>135.36328311174233</c:v>
                </c:pt>
                <c:pt idx="291">
                  <c:v>59.749486627806526</c:v>
                </c:pt>
                <c:pt idx="292">
                  <c:v>38.024366225760126</c:v>
                </c:pt>
                <c:pt idx="293">
                  <c:v>61.960530855668708</c:v>
                </c:pt>
                <c:pt idx="294">
                  <c:v>129.86645104570678</c:v>
                </c:pt>
                <c:pt idx="295">
                  <c:v>78.874171893601741</c:v>
                </c:pt>
                <c:pt idx="296">
                  <c:v>101.45630762647293</c:v>
                </c:pt>
                <c:pt idx="297">
                  <c:v>87.738578595595342</c:v>
                </c:pt>
                <c:pt idx="298">
                  <c:v>57.942840608816915</c:v>
                </c:pt>
                <c:pt idx="299">
                  <c:v>52.002763681905797</c:v>
                </c:pt>
                <c:pt idx="300">
                  <c:v>68.622902433101203</c:v>
                </c:pt>
                <c:pt idx="301">
                  <c:v>99.620219491677517</c:v>
                </c:pt>
                <c:pt idx="302">
                  <c:v>83.283873084501437</c:v>
                </c:pt>
                <c:pt idx="303">
                  <c:v>84.316195462334917</c:v>
                </c:pt>
                <c:pt idx="304">
                  <c:v>83.674704217795039</c:v>
                </c:pt>
                <c:pt idx="305">
                  <c:v>111.13556857832609</c:v>
                </c:pt>
                <c:pt idx="306">
                  <c:v>42.436559613721023</c:v>
                </c:pt>
                <c:pt idx="307">
                  <c:v>50.291922431457358</c:v>
                </c:pt>
                <c:pt idx="308">
                  <c:v>118.26327834033593</c:v>
                </c:pt>
                <c:pt idx="309">
                  <c:v>118.67186916986581</c:v>
                </c:pt>
                <c:pt idx="310">
                  <c:v>114.57454797090314</c:v>
                </c:pt>
                <c:pt idx="311">
                  <c:v>76.689941511494681</c:v>
                </c:pt>
                <c:pt idx="312">
                  <c:v>43.266807060352285</c:v>
                </c:pt>
                <c:pt idx="313">
                  <c:v>89.838476319951923</c:v>
                </c:pt>
                <c:pt idx="314">
                  <c:v>109.31039236235999</c:v>
                </c:pt>
                <c:pt idx="315">
                  <c:v>107.79001411108855</c:v>
                </c:pt>
                <c:pt idx="316">
                  <c:v>106.45303294312767</c:v>
                </c:pt>
                <c:pt idx="317">
                  <c:v>40.620350332422298</c:v>
                </c:pt>
                <c:pt idx="318">
                  <c:v>51.09984998048764</c:v>
                </c:pt>
                <c:pt idx="319">
                  <c:v>106.52654344001768</c:v>
                </c:pt>
                <c:pt idx="320">
                  <c:v>63.261858295221913</c:v>
                </c:pt>
                <c:pt idx="321">
                  <c:v>50.204154016488317</c:v>
                </c:pt>
                <c:pt idx="322">
                  <c:v>23.872618859999772</c:v>
                </c:pt>
                <c:pt idx="323">
                  <c:v>69.807114250774603</c:v>
                </c:pt>
                <c:pt idx="324">
                  <c:v>13.828656182627808</c:v>
                </c:pt>
                <c:pt idx="325">
                  <c:v>33.573865509482708</c:v>
                </c:pt>
                <c:pt idx="326">
                  <c:v>55.370933981238636</c:v>
                </c:pt>
                <c:pt idx="327">
                  <c:v>54.486848031267805</c:v>
                </c:pt>
                <c:pt idx="328">
                  <c:v>17.644225328600744</c:v>
                </c:pt>
                <c:pt idx="329">
                  <c:v>53.113478835328273</c:v>
                </c:pt>
                <c:pt idx="330">
                  <c:v>57.851476200420734</c:v>
                </c:pt>
                <c:pt idx="331">
                  <c:v>37.607060330136342</c:v>
                </c:pt>
                <c:pt idx="332">
                  <c:v>53.580463446443041</c:v>
                </c:pt>
                <c:pt idx="333">
                  <c:v>21.25379017067074</c:v>
                </c:pt>
                <c:pt idx="334">
                  <c:v>15.963746306501957</c:v>
                </c:pt>
                <c:pt idx="335">
                  <c:v>25.742704983094104</c:v>
                </c:pt>
                <c:pt idx="336">
                  <c:v>35.298219297143497</c:v>
                </c:pt>
                <c:pt idx="337">
                  <c:v>75.737082286239698</c:v>
                </c:pt>
                <c:pt idx="338">
                  <c:v>95.050732807188695</c:v>
                </c:pt>
                <c:pt idx="339">
                  <c:v>49.397595842415832</c:v>
                </c:pt>
                <c:pt idx="340">
                  <c:v>76.413153371694875</c:v>
                </c:pt>
                <c:pt idx="341">
                  <c:v>14.460171096967807</c:v>
                </c:pt>
                <c:pt idx="342">
                  <c:v>27.79677187572069</c:v>
                </c:pt>
                <c:pt idx="343">
                  <c:v>67.002077427869636</c:v>
                </c:pt>
                <c:pt idx="344">
                  <c:v>63.074308756239937</c:v>
                </c:pt>
                <c:pt idx="345">
                  <c:v>21.997181964605574</c:v>
                </c:pt>
                <c:pt idx="346">
                  <c:v>22.911834381345365</c:v>
                </c:pt>
                <c:pt idx="347">
                  <c:v>67.242762000337464</c:v>
                </c:pt>
                <c:pt idx="348">
                  <c:v>33.46934031522575</c:v>
                </c:pt>
                <c:pt idx="349">
                  <c:v>20.399291981098809</c:v>
                </c:pt>
                <c:pt idx="350">
                  <c:v>12.656768396625411</c:v>
                </c:pt>
                <c:pt idx="351">
                  <c:v>68.940568338099922</c:v>
                </c:pt>
                <c:pt idx="352">
                  <c:v>66.266391671858315</c:v>
                </c:pt>
                <c:pt idx="353">
                  <c:v>17.324529002345226</c:v>
                </c:pt>
                <c:pt idx="354">
                  <c:v>81.861725512797889</c:v>
                </c:pt>
                <c:pt idx="355">
                  <c:v>68.190185327043409</c:v>
                </c:pt>
                <c:pt idx="356">
                  <c:v>69.94450942609366</c:v>
                </c:pt>
                <c:pt idx="357">
                  <c:v>84.910605281854401</c:v>
                </c:pt>
                <c:pt idx="358">
                  <c:v>47.838579279859992</c:v>
                </c:pt>
                <c:pt idx="359">
                  <c:v>81.738487210131368</c:v>
                </c:pt>
                <c:pt idx="360">
                  <c:v>25.334726433197709</c:v>
                </c:pt>
                <c:pt idx="361">
                  <c:v>66.487332263682347</c:v>
                </c:pt>
                <c:pt idx="362">
                  <c:v>41.11765363720842</c:v>
                </c:pt>
                <c:pt idx="363">
                  <c:v>58.882561394114376</c:v>
                </c:pt>
                <c:pt idx="364">
                  <c:v>47.131493398508816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600160"/>
        <c:axId val="665600552"/>
      </c:lineChart>
      <c:dateAx>
        <c:axId val="665600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00552"/>
        <c:crosses val="autoZero"/>
        <c:auto val="1"/>
        <c:lblOffset val="100"/>
        <c:baseTimeUnit val="days"/>
        <c:majorUnit val="1"/>
        <c:majorTimeUnit val="months"/>
      </c:dateAx>
      <c:valAx>
        <c:axId val="665600552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0016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338851742978585"/>
          <c:h val="0.1367757748342214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93.114892819800957</c:v>
                </c:pt>
                <c:pt idx="1">
                  <c:v>93.682599537671152</c:v>
                </c:pt>
                <c:pt idx="2">
                  <c:v>94.28394291089829</c:v>
                </c:pt>
                <c:pt idx="3">
                  <c:v>94.917142088279434</c:v>
                </c:pt>
                <c:pt idx="4">
                  <c:v>95.580416438708269</c:v>
                </c:pt>
                <c:pt idx="5">
                  <c:v>96.271985534939049</c:v>
                </c:pt>
                <c:pt idx="6">
                  <c:v>96.990069184334573</c:v>
                </c:pt>
                <c:pt idx="7">
                  <c:v>97.732887432877078</c:v>
                </c:pt>
                <c:pt idx="8">
                  <c:v>98.50848483604706</c:v>
                </c:pt>
                <c:pt idx="9">
                  <c:v>99.325092113772655</c:v>
                </c:pt>
                <c:pt idx="10">
                  <c:v>100.18061737890294</c:v>
                </c:pt>
                <c:pt idx="11">
                  <c:v>101.07270809121708</c:v>
                </c:pt>
                <c:pt idx="12">
                  <c:v>101.99901212262452</c:v>
                </c:pt>
                <c:pt idx="13">
                  <c:v>102.95717772367011</c:v>
                </c:pt>
                <c:pt idx="14">
                  <c:v>103.94485358552338</c:v>
                </c:pt>
                <c:pt idx="15">
                  <c:v>104.95984490279406</c:v>
                </c:pt>
                <c:pt idx="16">
                  <c:v>105.99979469402658</c:v>
                </c:pt>
                <c:pt idx="17">
                  <c:v>107.06235286035256</c:v>
                </c:pt>
                <c:pt idx="18">
                  <c:v>108.14516969771707</c:v>
                </c:pt>
                <c:pt idx="19">
                  <c:v>109.24589463089978</c:v>
                </c:pt>
                <c:pt idx="20">
                  <c:v>110.36217695593302</c:v>
                </c:pt>
                <c:pt idx="21">
                  <c:v>111.49166748241456</c:v>
                </c:pt>
                <c:pt idx="22">
                  <c:v>112.64225769415793</c:v>
                </c:pt>
                <c:pt idx="23">
                  <c:v>113.82230018626112</c:v>
                </c:pt>
                <c:pt idx="24">
                  <c:v>115.02920210245178</c:v>
                </c:pt>
                <c:pt idx="25">
                  <c:v>116.26093931609842</c:v>
                </c:pt>
                <c:pt idx="26">
                  <c:v>117.51548824616532</c:v>
                </c:pt>
                <c:pt idx="27">
                  <c:v>118.79082587602683</c:v>
                </c:pt>
                <c:pt idx="28">
                  <c:v>120.08492973037572</c:v>
                </c:pt>
                <c:pt idx="29">
                  <c:v>121.39609815465963</c:v>
                </c:pt>
                <c:pt idx="30">
                  <c:v>122.72215362233059</c:v>
                </c:pt>
                <c:pt idx="31">
                  <c:v>124.06107534279076</c:v>
                </c:pt>
                <c:pt idx="32">
                  <c:v>125.41084313299504</c:v>
                </c:pt>
                <c:pt idx="33">
                  <c:v>126.76943737775957</c:v>
                </c:pt>
                <c:pt idx="34">
                  <c:v>128.13483906944396</c:v>
                </c:pt>
                <c:pt idx="35">
                  <c:v>129.50502976930784</c:v>
                </c:pt>
                <c:pt idx="36">
                  <c:v>130.88959556895762</c:v>
                </c:pt>
                <c:pt idx="37">
                  <c:v>132.29694074961074</c:v>
                </c:pt>
                <c:pt idx="38">
                  <c:v>133.72379042613503</c:v>
                </c:pt>
                <c:pt idx="39">
                  <c:v>135.16711576931621</c:v>
                </c:pt>
                <c:pt idx="40">
                  <c:v>136.62388862436603</c:v>
                </c:pt>
                <c:pt idx="41">
                  <c:v>138.09108151670466</c:v>
                </c:pt>
                <c:pt idx="42">
                  <c:v>139.56566763570814</c:v>
                </c:pt>
                <c:pt idx="43">
                  <c:v>141.04422784041893</c:v>
                </c:pt>
                <c:pt idx="44">
                  <c:v>142.5234160153789</c:v>
                </c:pt>
                <c:pt idx="45">
                  <c:v>144.0002069413371</c:v>
                </c:pt>
                <c:pt idx="46">
                  <c:v>145.47157597796462</c:v>
                </c:pt>
                <c:pt idx="47">
                  <c:v>146.93449904632416</c:v>
                </c:pt>
                <c:pt idx="48">
                  <c:v>148.38595262307427</c:v>
                </c:pt>
                <c:pt idx="49">
                  <c:v>149.82291372150581</c:v>
                </c:pt>
                <c:pt idx="50">
                  <c:v>151.25319893103222</c:v>
                </c:pt>
                <c:pt idx="51">
                  <c:v>152.68570803574963</c:v>
                </c:pt>
                <c:pt idx="52">
                  <c:v>154.11943712721538</c:v>
                </c:pt>
                <c:pt idx="53">
                  <c:v>155.55287423275283</c:v>
                </c:pt>
                <c:pt idx="54">
                  <c:v>156.98450738063789</c:v>
                </c:pt>
                <c:pt idx="55">
                  <c:v>158.41282478399694</c:v>
                </c:pt>
                <c:pt idx="56">
                  <c:v>159.83631482360479</c:v>
                </c:pt>
                <c:pt idx="57">
                  <c:v>161.25346533024174</c:v>
                </c:pt>
                <c:pt idx="58">
                  <c:v>162.66315921977406</c:v>
                </c:pt>
                <c:pt idx="59">
                  <c:v>164.06388560897733</c:v>
                </c:pt>
                <c:pt idx="60">
                  <c:v>165.45413375079519</c:v>
                </c:pt>
                <c:pt idx="61">
                  <c:v>166.83239301997386</c:v>
                </c:pt>
                <c:pt idx="62">
                  <c:v>168.19715291236056</c:v>
                </c:pt>
                <c:pt idx="63">
                  <c:v>169.54690303782323</c:v>
                </c:pt>
                <c:pt idx="64">
                  <c:v>170.88296005153063</c:v>
                </c:pt>
                <c:pt idx="65">
                  <c:v>172.20784853682932</c:v>
                </c:pt>
                <c:pt idx="66">
                  <c:v>173.52193032221501</c:v>
                </c:pt>
                <c:pt idx="67">
                  <c:v>174.82564395396889</c:v>
                </c:pt>
                <c:pt idx="68">
                  <c:v>176.11942765771317</c:v>
                </c:pt>
                <c:pt idx="69">
                  <c:v>177.403718038888</c:v>
                </c:pt>
                <c:pt idx="70">
                  <c:v>178.67895402952007</c:v>
                </c:pt>
                <c:pt idx="71">
                  <c:v>179.94553926713169</c:v>
                </c:pt>
                <c:pt idx="72">
                  <c:v>181.20391133584073</c:v>
                </c:pt>
                <c:pt idx="73">
                  <c:v>182.4545068254919</c:v>
                </c:pt>
                <c:pt idx="74">
                  <c:v>183.69776200865979</c:v>
                </c:pt>
                <c:pt idx="75">
                  <c:v>184.93411284089919</c:v>
                </c:pt>
                <c:pt idx="76">
                  <c:v>186.16399497490377</c:v>
                </c:pt>
                <c:pt idx="77">
                  <c:v>187.38784374758066</c:v>
                </c:pt>
                <c:pt idx="78">
                  <c:v>188.6120366032942</c:v>
                </c:pt>
                <c:pt idx="79">
                  <c:v>189.84051372056868</c:v>
                </c:pt>
                <c:pt idx="80">
                  <c:v>191.07011341332213</c:v>
                </c:pt>
                <c:pt idx="81">
                  <c:v>192.29758219445321</c:v>
                </c:pt>
                <c:pt idx="82">
                  <c:v>193.51966715260028</c:v>
                </c:pt>
                <c:pt idx="83">
                  <c:v>194.73311594992401</c:v>
                </c:pt>
                <c:pt idx="84">
                  <c:v>195.93467686831423</c:v>
                </c:pt>
                <c:pt idx="85">
                  <c:v>197.12108894607974</c:v>
                </c:pt>
                <c:pt idx="86">
                  <c:v>198.2891359466154</c:v>
                </c:pt>
                <c:pt idx="87">
                  <c:v>199.43556825969648</c:v>
                </c:pt>
                <c:pt idx="88">
                  <c:v>200.55713697484822</c:v>
                </c:pt>
                <c:pt idx="89">
                  <c:v>201.650593958299</c:v>
                </c:pt>
                <c:pt idx="90">
                  <c:v>202.71269183951117</c:v>
                </c:pt>
                <c:pt idx="91">
                  <c:v>203.74018405839121</c:v>
                </c:pt>
                <c:pt idx="92">
                  <c:v>204.73631319712709</c:v>
                </c:pt>
                <c:pt idx="93">
                  <c:v>205.70695920420658</c:v>
                </c:pt>
                <c:pt idx="94">
                  <c:v>206.65284886701528</c:v>
                </c:pt>
                <c:pt idx="95">
                  <c:v>207.57473199164667</c:v>
                </c:pt>
                <c:pt idx="96">
                  <c:v>208.47335825642324</c:v>
                </c:pt>
                <c:pt idx="97">
                  <c:v>209.34947725370151</c:v>
                </c:pt>
                <c:pt idx="98">
                  <c:v>210.20383848604223</c:v>
                </c:pt>
                <c:pt idx="99">
                  <c:v>211.037217325282</c:v>
                </c:pt>
                <c:pt idx="100">
                  <c:v>211.85037355562662</c:v>
                </c:pt>
                <c:pt idx="101">
                  <c:v>212.64405679620936</c:v>
                </c:pt>
                <c:pt idx="102">
                  <c:v>213.41901665076091</c:v>
                </c:pt>
                <c:pt idx="103">
                  <c:v>214.17600267495379</c:v>
                </c:pt>
                <c:pt idx="104">
                  <c:v>214.9157644377691</c:v>
                </c:pt>
                <c:pt idx="105">
                  <c:v>215.63905149266316</c:v>
                </c:pt>
                <c:pt idx="106">
                  <c:v>216.34253511501296</c:v>
                </c:pt>
                <c:pt idx="107">
                  <c:v>217.02310690374722</c:v>
                </c:pt>
                <c:pt idx="108">
                  <c:v>217.68181304209935</c:v>
                </c:pt>
                <c:pt idx="109">
                  <c:v>218.31967170821434</c:v>
                </c:pt>
                <c:pt idx="110">
                  <c:v>218.93770107122006</c:v>
                </c:pt>
                <c:pt idx="111">
                  <c:v>219.53691940404912</c:v>
                </c:pt>
                <c:pt idx="112">
                  <c:v>220.11834516911028</c:v>
                </c:pt>
                <c:pt idx="113">
                  <c:v>220.68299784051024</c:v>
                </c:pt>
                <c:pt idx="114">
                  <c:v>221.23186858313883</c:v>
                </c:pt>
                <c:pt idx="115">
                  <c:v>221.76597591664392</c:v>
                </c:pt>
                <c:pt idx="116">
                  <c:v>222.28633848879997</c:v>
                </c:pt>
                <c:pt idx="117">
                  <c:v>222.79397507294806</c:v>
                </c:pt>
                <c:pt idx="118">
                  <c:v>223.28990460191235</c:v>
                </c:pt>
                <c:pt idx="119">
                  <c:v>233.45059959667446</c:v>
                </c:pt>
                <c:pt idx="120">
                  <c:v>233.93790643479181</c:v>
                </c:pt>
                <c:pt idx="121">
                  <c:v>234.4083728593572</c:v>
                </c:pt>
                <c:pt idx="122">
                  <c:v>234.86248581929846</c:v>
                </c:pt>
                <c:pt idx="123">
                  <c:v>235.30077961492637</c:v>
                </c:pt>
                <c:pt idx="124">
                  <c:v>235.72378848298197</c:v>
                </c:pt>
                <c:pt idx="125">
                  <c:v>236.1320465736747</c:v>
                </c:pt>
                <c:pt idx="126">
                  <c:v>236.52608795216602</c:v>
                </c:pt>
                <c:pt idx="127">
                  <c:v>236.90647428896031</c:v>
                </c:pt>
                <c:pt idx="128">
                  <c:v>237.27373877838434</c:v>
                </c:pt>
                <c:pt idx="129">
                  <c:v>237.62841585873099</c:v>
                </c:pt>
                <c:pt idx="130">
                  <c:v>237.97103993607325</c:v>
                </c:pt>
                <c:pt idx="131">
                  <c:v>238.30214536606658</c:v>
                </c:pt>
                <c:pt idx="132">
                  <c:v>238.62226645952512</c:v>
                </c:pt>
                <c:pt idx="133">
                  <c:v>238.93193749008591</c:v>
                </c:pt>
                <c:pt idx="134">
                  <c:v>239.2292247733406</c:v>
                </c:pt>
                <c:pt idx="135">
                  <c:v>239.5121600167835</c:v>
                </c:pt>
                <c:pt idx="136">
                  <c:v>239.78126689717377</c:v>
                </c:pt>
                <c:pt idx="137">
                  <c:v>240.03707952478578</c:v>
                </c:pt>
                <c:pt idx="138">
                  <c:v>240.28013189743237</c:v>
                </c:pt>
                <c:pt idx="139">
                  <c:v>240.51095791573798</c:v>
                </c:pt>
                <c:pt idx="140">
                  <c:v>240.73009136590861</c:v>
                </c:pt>
                <c:pt idx="141">
                  <c:v>240.9380458173211</c:v>
                </c:pt>
                <c:pt idx="142">
                  <c:v>241.13532298052678</c:v>
                </c:pt>
                <c:pt idx="143">
                  <c:v>241.32245507287038</c:v>
                </c:pt>
                <c:pt idx="144">
                  <c:v>241.49997394722382</c:v>
                </c:pt>
                <c:pt idx="145">
                  <c:v>241.66841132500258</c:v>
                </c:pt>
                <c:pt idx="146">
                  <c:v>241.82829877680851</c:v>
                </c:pt>
                <c:pt idx="147">
                  <c:v>241.98016773465025</c:v>
                </c:pt>
                <c:pt idx="148">
                  <c:v>242.12437344873121</c:v>
                </c:pt>
                <c:pt idx="149">
                  <c:v>242.26064268359301</c:v>
                </c:pt>
                <c:pt idx="150">
                  <c:v>242.38849500383381</c:v>
                </c:pt>
                <c:pt idx="151">
                  <c:v>242.50740965097697</c:v>
                </c:pt>
                <c:pt idx="152">
                  <c:v>242.61686613206692</c:v>
                </c:pt>
                <c:pt idx="153">
                  <c:v>242.71634419230395</c:v>
                </c:pt>
                <c:pt idx="154">
                  <c:v>242.80532381630258</c:v>
                </c:pt>
                <c:pt idx="155">
                  <c:v>242.88327792615402</c:v>
                </c:pt>
                <c:pt idx="156">
                  <c:v>242.94970943571201</c:v>
                </c:pt>
                <c:pt idx="157">
                  <c:v>243.00409915795373</c:v>
                </c:pt>
                <c:pt idx="158">
                  <c:v>243.04592805132631</c:v>
                </c:pt>
                <c:pt idx="159">
                  <c:v>243.07467718677887</c:v>
                </c:pt>
                <c:pt idx="160">
                  <c:v>243.08982773650939</c:v>
                </c:pt>
                <c:pt idx="161">
                  <c:v>243.09086095222935</c:v>
                </c:pt>
                <c:pt idx="162">
                  <c:v>243.07743392681886</c:v>
                </c:pt>
                <c:pt idx="163">
                  <c:v>243.0498279309092</c:v>
                </c:pt>
                <c:pt idx="164">
                  <c:v>243.00848999371186</c:v>
                </c:pt>
                <c:pt idx="165">
                  <c:v>242.95395158256983</c:v>
                </c:pt>
                <c:pt idx="166">
                  <c:v>242.88674387319799</c:v>
                </c:pt>
                <c:pt idx="167">
                  <c:v>242.80739773523277</c:v>
                </c:pt>
                <c:pt idx="168">
                  <c:v>242.7164437340403</c:v>
                </c:pt>
                <c:pt idx="169">
                  <c:v>242.61433017426998</c:v>
                </c:pt>
                <c:pt idx="170">
                  <c:v>242.50159400115581</c:v>
                </c:pt>
                <c:pt idx="171">
                  <c:v>242.37876369637533</c:v>
                </c:pt>
                <c:pt idx="172">
                  <c:v>242.24636750056209</c:v>
                </c:pt>
                <c:pt idx="173">
                  <c:v>242.10493369461244</c:v>
                </c:pt>
                <c:pt idx="174">
                  <c:v>241.95499035022067</c:v>
                </c:pt>
                <c:pt idx="175">
                  <c:v>241.79706503713231</c:v>
                </c:pt>
                <c:pt idx="176">
                  <c:v>241.63265058993545</c:v>
                </c:pt>
                <c:pt idx="177">
                  <c:v>241.46217722459363</c:v>
                </c:pt>
                <c:pt idx="178">
                  <c:v>241.28467762447951</c:v>
                </c:pt>
                <c:pt idx="179">
                  <c:v>241.09910018024081</c:v>
                </c:pt>
                <c:pt idx="180">
                  <c:v>240.90439359512169</c:v>
                </c:pt>
                <c:pt idx="181">
                  <c:v>240.69950689335113</c:v>
                </c:pt>
                <c:pt idx="182">
                  <c:v>240.48338941801131</c:v>
                </c:pt>
                <c:pt idx="183">
                  <c:v>240.25508872489456</c:v>
                </c:pt>
                <c:pt idx="184">
                  <c:v>240.01364379562514</c:v>
                </c:pt>
                <c:pt idx="185">
                  <c:v>239.75800691651702</c:v>
                </c:pt>
                <c:pt idx="186">
                  <c:v>239.48713053793261</c:v>
                </c:pt>
                <c:pt idx="187">
                  <c:v>239.19996724524523</c:v>
                </c:pt>
                <c:pt idx="188">
                  <c:v>238.89546980373734</c:v>
                </c:pt>
                <c:pt idx="189">
                  <c:v>238.57259115825929</c:v>
                </c:pt>
                <c:pt idx="190">
                  <c:v>238.23063503983491</c:v>
                </c:pt>
                <c:pt idx="191">
                  <c:v>237.87028067663826</c:v>
                </c:pt>
                <c:pt idx="192">
                  <c:v>237.49259379079561</c:v>
                </c:pt>
                <c:pt idx="193">
                  <c:v>237.09863006951889</c:v>
                </c:pt>
                <c:pt idx="194">
                  <c:v>236.68944468508917</c:v>
                </c:pt>
                <c:pt idx="195">
                  <c:v>236.26609228430985</c:v>
                </c:pt>
                <c:pt idx="196">
                  <c:v>235.82962704609443</c:v>
                </c:pt>
                <c:pt idx="197">
                  <c:v>235.38104507292311</c:v>
                </c:pt>
                <c:pt idx="198">
                  <c:v>234.92129652397387</c:v>
                </c:pt>
                <c:pt idx="199">
                  <c:v>234.45143317592516</c:v>
                </c:pt>
                <c:pt idx="200">
                  <c:v>233.97250648103909</c:v>
                </c:pt>
                <c:pt idx="201">
                  <c:v>233.48556758573716</c:v>
                </c:pt>
                <c:pt idx="202">
                  <c:v>232.99166732085627</c:v>
                </c:pt>
                <c:pt idx="203">
                  <c:v>232.49185621800228</c:v>
                </c:pt>
                <c:pt idx="204">
                  <c:v>231.9845583282042</c:v>
                </c:pt>
                <c:pt idx="205">
                  <c:v>231.46754106066442</c:v>
                </c:pt>
                <c:pt idx="206">
                  <c:v>230.94083302058081</c:v>
                </c:pt>
                <c:pt idx="207">
                  <c:v>230.40443548324663</c:v>
                </c:pt>
                <c:pt idx="208">
                  <c:v>229.85834979616035</c:v>
                </c:pt>
                <c:pt idx="209">
                  <c:v>229.30257740430537</c:v>
                </c:pt>
                <c:pt idx="210">
                  <c:v>228.73711982563796</c:v>
                </c:pt>
                <c:pt idx="211">
                  <c:v>228.16199254334683</c:v>
                </c:pt>
                <c:pt idx="212">
                  <c:v>227.57725642110253</c:v>
                </c:pt>
                <c:pt idx="213">
                  <c:v>226.98291345067238</c:v>
                </c:pt>
                <c:pt idx="214">
                  <c:v>226.37896569294989</c:v>
                </c:pt>
                <c:pt idx="215">
                  <c:v>225.76541527536182</c:v>
                </c:pt>
                <c:pt idx="216">
                  <c:v>225.14226438161214</c:v>
                </c:pt>
                <c:pt idx="217">
                  <c:v>224.50951527458579</c:v>
                </c:pt>
                <c:pt idx="218">
                  <c:v>223.86830689017367</c:v>
                </c:pt>
                <c:pt idx="219">
                  <c:v>223.21943476078138</c:v>
                </c:pt>
                <c:pt idx="220">
                  <c:v>222.56233306896482</c:v>
                </c:pt>
                <c:pt idx="221">
                  <c:v>221.89647949429403</c:v>
                </c:pt>
                <c:pt idx="222">
                  <c:v>221.22135195969</c:v>
                </c:pt>
                <c:pt idx="223">
                  <c:v>220.53642862488499</c:v>
                </c:pt>
                <c:pt idx="224">
                  <c:v>219.84118786913052</c:v>
                </c:pt>
                <c:pt idx="225">
                  <c:v>219.13519223028675</c:v>
                </c:pt>
                <c:pt idx="226">
                  <c:v>218.41790677075323</c:v>
                </c:pt>
                <c:pt idx="227">
                  <c:v>217.68881058698236</c:v>
                </c:pt>
                <c:pt idx="228">
                  <c:v>216.94738296703432</c:v>
                </c:pt>
                <c:pt idx="229">
                  <c:v>216.19310338740743</c:v>
                </c:pt>
                <c:pt idx="230">
                  <c:v>215.42545150033007</c:v>
                </c:pt>
                <c:pt idx="231">
                  <c:v>214.64390714656608</c:v>
                </c:pt>
                <c:pt idx="232">
                  <c:v>213.84926020857557</c:v>
                </c:pt>
                <c:pt idx="233">
                  <c:v>213.04269134626446</c:v>
                </c:pt>
                <c:pt idx="234">
                  <c:v>212.22419709978593</c:v>
                </c:pt>
                <c:pt idx="235">
                  <c:v>211.39378074467669</c:v>
                </c:pt>
                <c:pt idx="236">
                  <c:v>210.55144550726209</c:v>
                </c:pt>
                <c:pt idx="237">
                  <c:v>209.69719464236894</c:v>
                </c:pt>
                <c:pt idx="238">
                  <c:v>208.83103137087338</c:v>
                </c:pt>
                <c:pt idx="239">
                  <c:v>207.95290427156752</c:v>
                </c:pt>
                <c:pt idx="240">
                  <c:v>207.06273276631649</c:v>
                </c:pt>
                <c:pt idx="241">
                  <c:v>206.16052020367147</c:v>
                </c:pt>
                <c:pt idx="242">
                  <c:v>205.24626993506308</c:v>
                </c:pt>
                <c:pt idx="243">
                  <c:v>204.31998533191944</c:v>
                </c:pt>
                <c:pt idx="244">
                  <c:v>203.38166977345139</c:v>
                </c:pt>
                <c:pt idx="245">
                  <c:v>202.43132665712906</c:v>
                </c:pt>
                <c:pt idx="246">
                  <c:v>201.46895939365973</c:v>
                </c:pt>
                <c:pt idx="247">
                  <c:v>200.49455379077466</c:v>
                </c:pt>
                <c:pt idx="248">
                  <c:v>199.50807204377486</c:v>
                </c:pt>
                <c:pt idx="249">
                  <c:v>198.50951779974773</c:v>
                </c:pt>
                <c:pt idx="250">
                  <c:v>197.49889473614954</c:v>
                </c:pt>
                <c:pt idx="251">
                  <c:v>196.476206564379</c:v>
                </c:pt>
                <c:pt idx="252">
                  <c:v>195.44145702874548</c:v>
                </c:pt>
                <c:pt idx="253">
                  <c:v>194.39469333915162</c:v>
                </c:pt>
                <c:pt idx="254">
                  <c:v>193.33597314871554</c:v>
                </c:pt>
                <c:pt idx="255">
                  <c:v>192.26529992426933</c:v>
                </c:pt>
                <c:pt idx="256">
                  <c:v>191.18267713195192</c:v>
                </c:pt>
                <c:pt idx="257">
                  <c:v>190.08810822164796</c:v>
                </c:pt>
                <c:pt idx="258">
                  <c:v>188.98159662985722</c:v>
                </c:pt>
                <c:pt idx="259">
                  <c:v>187.86314576677412</c:v>
                </c:pt>
                <c:pt idx="260">
                  <c:v>186.72936139484921</c:v>
                </c:pt>
                <c:pt idx="261">
                  <c:v>185.57782467210836</c:v>
                </c:pt>
                <c:pt idx="262">
                  <c:v>184.41012581579773</c:v>
                </c:pt>
                <c:pt idx="263">
                  <c:v>183.22783714021438</c:v>
                </c:pt>
                <c:pt idx="264">
                  <c:v>182.03253042303493</c:v>
                </c:pt>
                <c:pt idx="265">
                  <c:v>180.82577669684088</c:v>
                </c:pt>
                <c:pt idx="266">
                  <c:v>179.60914654875037</c:v>
                </c:pt>
                <c:pt idx="267">
                  <c:v>178.38403048787973</c:v>
                </c:pt>
                <c:pt idx="268">
                  <c:v>177.1519570708235</c:v>
                </c:pt>
                <c:pt idx="269">
                  <c:v>175.91449702094343</c:v>
                </c:pt>
                <c:pt idx="270">
                  <c:v>174.67322062312334</c:v>
                </c:pt>
                <c:pt idx="271">
                  <c:v>173.42969773840096</c:v>
                </c:pt>
                <c:pt idx="272">
                  <c:v>172.18549780338972</c:v>
                </c:pt>
                <c:pt idx="273">
                  <c:v>170.94218983723161</c:v>
                </c:pt>
                <c:pt idx="274">
                  <c:v>169.69629515257117</c:v>
                </c:pt>
                <c:pt idx="275">
                  <c:v>168.44364915531105</c:v>
                </c:pt>
                <c:pt idx="276">
                  <c:v>167.18484633980248</c:v>
                </c:pt>
                <c:pt idx="277">
                  <c:v>165.92041192805627</c:v>
                </c:pt>
                <c:pt idx="278">
                  <c:v>164.65087096021156</c:v>
                </c:pt>
                <c:pt idx="279">
                  <c:v>163.3767482875804</c:v>
                </c:pt>
                <c:pt idx="280">
                  <c:v>162.09856856843251</c:v>
                </c:pt>
                <c:pt idx="281">
                  <c:v>160.81690651445138</c:v>
                </c:pt>
                <c:pt idx="282">
                  <c:v>159.53245704698941</c:v>
                </c:pt>
                <c:pt idx="283">
                  <c:v>158.24574130055314</c:v>
                </c:pt>
                <c:pt idx="284">
                  <c:v>156.95728001917908</c:v>
                </c:pt>
                <c:pt idx="285">
                  <c:v>155.66759355280365</c:v>
                </c:pt>
                <c:pt idx="286">
                  <c:v>154.37720185019003</c:v>
                </c:pt>
                <c:pt idx="287">
                  <c:v>153.08662446005437</c:v>
                </c:pt>
                <c:pt idx="288">
                  <c:v>151.79281628697171</c:v>
                </c:pt>
                <c:pt idx="289">
                  <c:v>150.49236741553923</c:v>
                </c:pt>
                <c:pt idx="290">
                  <c:v>149.18632200355799</c:v>
                </c:pt>
                <c:pt idx="291">
                  <c:v>147.87573287577143</c:v>
                </c:pt>
                <c:pt idx="292">
                  <c:v>146.56165281696147</c:v>
                </c:pt>
                <c:pt idx="293">
                  <c:v>145.24513454021871</c:v>
                </c:pt>
                <c:pt idx="294">
                  <c:v>143.9272306670745</c:v>
                </c:pt>
                <c:pt idx="295">
                  <c:v>142.60823469590136</c:v>
                </c:pt>
                <c:pt idx="296">
                  <c:v>141.28916581563846</c:v>
                </c:pt>
                <c:pt idx="297">
                  <c:v>139.97109059309398</c:v>
                </c:pt>
                <c:pt idx="298">
                  <c:v>138.65507624483536</c:v>
                </c:pt>
                <c:pt idx="299">
                  <c:v>137.34218988849608</c:v>
                </c:pt>
                <c:pt idx="300">
                  <c:v>136.03349843270837</c:v>
                </c:pt>
                <c:pt idx="301">
                  <c:v>134.73006845976579</c:v>
                </c:pt>
                <c:pt idx="302">
                  <c:v>133.42584440253503</c:v>
                </c:pt>
                <c:pt idx="303">
                  <c:v>132.11593546771192</c:v>
                </c:pt>
                <c:pt idx="304">
                  <c:v>130.80309048475078</c:v>
                </c:pt>
                <c:pt idx="305">
                  <c:v>129.48939442650286</c:v>
                </c:pt>
                <c:pt idx="306">
                  <c:v>128.17693104880092</c:v>
                </c:pt>
                <c:pt idx="307">
                  <c:v>126.86778288673904</c:v>
                </c:pt>
                <c:pt idx="308">
                  <c:v>125.56403124692787</c:v>
                </c:pt>
                <c:pt idx="309">
                  <c:v>124.26817429881497</c:v>
                </c:pt>
                <c:pt idx="310">
                  <c:v>122.98296668702774</c:v>
                </c:pt>
                <c:pt idx="311">
                  <c:v>121.71046241929432</c:v>
                </c:pt>
                <c:pt idx="312">
                  <c:v>120.45271473625037</c:v>
                </c:pt>
                <c:pt idx="313">
                  <c:v>119.21177623394456</c:v>
                </c:pt>
                <c:pt idx="314">
                  <c:v>117.98969899859384</c:v>
                </c:pt>
                <c:pt idx="315">
                  <c:v>116.78853472985908</c:v>
                </c:pt>
                <c:pt idx="316">
                  <c:v>115.59610442821125</c:v>
                </c:pt>
                <c:pt idx="317">
                  <c:v>114.40197696315002</c:v>
                </c:pt>
                <c:pt idx="318">
                  <c:v>113.20986256263731</c:v>
                </c:pt>
                <c:pt idx="319">
                  <c:v>112.02390116614065</c:v>
                </c:pt>
                <c:pt idx="320">
                  <c:v>110.84823237190356</c:v>
                </c:pt>
                <c:pt idx="321">
                  <c:v>109.68699549953728</c:v>
                </c:pt>
                <c:pt idx="322">
                  <c:v>108.54432967568479</c:v>
                </c:pt>
                <c:pt idx="323">
                  <c:v>107.42510602853078</c:v>
                </c:pt>
                <c:pt idx="324">
                  <c:v>106.33307275732658</c:v>
                </c:pt>
                <c:pt idx="325">
                  <c:v>105.27236285640802</c:v>
                </c:pt>
                <c:pt idx="326">
                  <c:v>104.24711190911597</c:v>
                </c:pt>
                <c:pt idx="327">
                  <c:v>103.26145454461029</c:v>
                </c:pt>
                <c:pt idx="328">
                  <c:v>102.31952412003665</c:v>
                </c:pt>
                <c:pt idx="329">
                  <c:v>101.42545455537353</c:v>
                </c:pt>
                <c:pt idx="330">
                  <c:v>100.56863295344611</c:v>
                </c:pt>
                <c:pt idx="331">
                  <c:v>99.736926949550366</c:v>
                </c:pt>
                <c:pt idx="332">
                  <c:v>98.931998708683693</c:v>
                </c:pt>
                <c:pt idx="333">
                  <c:v>98.155841428255897</c:v>
                </c:pt>
                <c:pt idx="334">
                  <c:v>97.410448959702791</c:v>
                </c:pt>
                <c:pt idx="335">
                  <c:v>96.697815728056241</c:v>
                </c:pt>
                <c:pt idx="336">
                  <c:v>96.019936664372352</c:v>
                </c:pt>
                <c:pt idx="337">
                  <c:v>95.37847410278043</c:v>
                </c:pt>
                <c:pt idx="338">
                  <c:v>94.774749242529893</c:v>
                </c:pt>
                <c:pt idx="339">
                  <c:v>94.210768965146798</c:v>
                </c:pt>
                <c:pt idx="340">
                  <c:v>93.688539178487716</c:v>
                </c:pt>
                <c:pt idx="341">
                  <c:v>93.210064790483827</c:v>
                </c:pt>
                <c:pt idx="342">
                  <c:v>92.777349731027911</c:v>
                </c:pt>
                <c:pt idx="343">
                  <c:v>92.392396846161901</c:v>
                </c:pt>
                <c:pt idx="344">
                  <c:v>92.051786746143435</c:v>
                </c:pt>
                <c:pt idx="345">
                  <c:v>91.750892331619525</c:v>
                </c:pt>
                <c:pt idx="346">
                  <c:v>91.489864763103597</c:v>
                </c:pt>
                <c:pt idx="347">
                  <c:v>91.268893890419704</c:v>
                </c:pt>
                <c:pt idx="348">
                  <c:v>91.08816898250889</c:v>
                </c:pt>
                <c:pt idx="349">
                  <c:v>90.947878737184453</c:v>
                </c:pt>
                <c:pt idx="350">
                  <c:v>90.848211311780503</c:v>
                </c:pt>
                <c:pt idx="351">
                  <c:v>90.789234209485556</c:v>
                </c:pt>
                <c:pt idx="352">
                  <c:v>90.771455690968793</c:v>
                </c:pt>
                <c:pt idx="353">
                  <c:v>90.795061495634926</c:v>
                </c:pt>
                <c:pt idx="354">
                  <c:v>90.860236973439243</c:v>
                </c:pt>
                <c:pt idx="355">
                  <c:v>90.96716720709891</c:v>
                </c:pt>
                <c:pt idx="356">
                  <c:v>91.116037533319073</c:v>
                </c:pt>
                <c:pt idx="357">
                  <c:v>91.307031935957184</c:v>
                </c:pt>
                <c:pt idx="358">
                  <c:v>91.544071516923978</c:v>
                </c:pt>
                <c:pt idx="359">
                  <c:v>91.82974544213188</c:v>
                </c:pt>
                <c:pt idx="360">
                  <c:v>92.161922825927775</c:v>
                </c:pt>
                <c:pt idx="361">
                  <c:v>92.538910948952932</c:v>
                </c:pt>
                <c:pt idx="362">
                  <c:v>92.958898093037618</c:v>
                </c:pt>
                <c:pt idx="363">
                  <c:v>93.420072807789069</c:v>
                </c:pt>
                <c:pt idx="364">
                  <c:v>93.920623961555165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93.225385009597218</c:v>
                </c:pt>
                <c:pt idx="1">
                  <c:v>68.169580614621623</c:v>
                </c:pt>
                <c:pt idx="2">
                  <c:v>70.99239286565205</c:v>
                </c:pt>
                <c:pt idx="3">
                  <c:v>76.242168779191019</c:v>
                </c:pt>
                <c:pt idx="4">
                  <c:v>57.327773804287204</c:v>
                </c:pt>
                <c:pt idx="5">
                  <c:v>98.193732742141037</c:v>
                </c:pt>
                <c:pt idx="6">
                  <c:v>37.144831216976776</c:v>
                </c:pt>
                <c:pt idx="7">
                  <c:v>24.86917116057711</c:v>
                </c:pt>
                <c:pt idx="8">
                  <c:v>7.7645032318689058</c:v>
                </c:pt>
                <c:pt idx="9">
                  <c:v>7.1379249372641747</c:v>
                </c:pt>
                <c:pt idx="10">
                  <c:v>95.698894454900781</c:v>
                </c:pt>
                <c:pt idx="11">
                  <c:v>82.050265029603338</c:v>
                </c:pt>
                <c:pt idx="12">
                  <c:v>26.328508588727054</c:v>
                </c:pt>
                <c:pt idx="13">
                  <c:v>105.00353497287814</c:v>
                </c:pt>
                <c:pt idx="14">
                  <c:v>106.61443757036282</c:v>
                </c:pt>
                <c:pt idx="15">
                  <c:v>106.02979053090294</c:v>
                </c:pt>
                <c:pt idx="16">
                  <c:v>83.264803356316918</c:v>
                </c:pt>
                <c:pt idx="17">
                  <c:v>21.809216573960953</c:v>
                </c:pt>
                <c:pt idx="18">
                  <c:v>44.53948223096166</c:v>
                </c:pt>
                <c:pt idx="19">
                  <c:v>22.95559178368125</c:v>
                </c:pt>
                <c:pt idx="20">
                  <c:v>57.632389648002061</c:v>
                </c:pt>
                <c:pt idx="21">
                  <c:v>110.68619515338729</c:v>
                </c:pt>
                <c:pt idx="22">
                  <c:v>112.51086071484286</c:v>
                </c:pt>
                <c:pt idx="23">
                  <c:v>113.90445215911906</c:v>
                </c:pt>
                <c:pt idx="24">
                  <c:v>112.85552079630956</c:v>
                </c:pt>
                <c:pt idx="25">
                  <c:v>114.8464777557911</c:v>
                </c:pt>
                <c:pt idx="26">
                  <c:v>116.72257771901698</c:v>
                </c:pt>
                <c:pt idx="27">
                  <c:v>18.084864190590636</c:v>
                </c:pt>
                <c:pt idx="28">
                  <c:v>28.346762830950023</c:v>
                </c:pt>
                <c:pt idx="29">
                  <c:v>25.540719803511614</c:v>
                </c:pt>
                <c:pt idx="30">
                  <c:v>25.384949929724403</c:v>
                </c:pt>
                <c:pt idx="31">
                  <c:v>55.337537341103513</c:v>
                </c:pt>
                <c:pt idx="32">
                  <c:v>24.682880787540793</c:v>
                </c:pt>
                <c:pt idx="33">
                  <c:v>55.406541383755219</c:v>
                </c:pt>
                <c:pt idx="34">
                  <c:v>50.412872086462293</c:v>
                </c:pt>
                <c:pt idx="35">
                  <c:v>42.262288718766662</c:v>
                </c:pt>
                <c:pt idx="36">
                  <c:v>89.666331475611713</c:v>
                </c:pt>
                <c:pt idx="37">
                  <c:v>40.5179713761747</c:v>
                </c:pt>
                <c:pt idx="38">
                  <c:v>135.58590216197177</c:v>
                </c:pt>
                <c:pt idx="39">
                  <c:v>134.94377887874964</c:v>
                </c:pt>
                <c:pt idx="40">
                  <c:v>126.74955773080845</c:v>
                </c:pt>
                <c:pt idx="41">
                  <c:v>63.221963594478375</c:v>
                </c:pt>
                <c:pt idx="42">
                  <c:v>105.88716514256481</c:v>
                </c:pt>
                <c:pt idx="43">
                  <c:v>129.19523894486505</c:v>
                </c:pt>
                <c:pt idx="44">
                  <c:v>73.668231664191765</c:v>
                </c:pt>
                <c:pt idx="45">
                  <c:v>77.786282851917989</c:v>
                </c:pt>
                <c:pt idx="46">
                  <c:v>30.045169574052572</c:v>
                </c:pt>
                <c:pt idx="47">
                  <c:v>44.264607454151694</c:v>
                </c:pt>
                <c:pt idx="48">
                  <c:v>125.85400630788661</c:v>
                </c:pt>
                <c:pt idx="49">
                  <c:v>71.735966524882215</c:v>
                </c:pt>
                <c:pt idx="50">
                  <c:v>90.255266618180087</c:v>
                </c:pt>
                <c:pt idx="51">
                  <c:v>98.217255185254871</c:v>
                </c:pt>
                <c:pt idx="52">
                  <c:v>131.48636987713277</c:v>
                </c:pt>
                <c:pt idx="53">
                  <c:v>135.8735475656942</c:v>
                </c:pt>
                <c:pt idx="54">
                  <c:v>86.12655865395017</c:v>
                </c:pt>
                <c:pt idx="55">
                  <c:v>121.9903484712066</c:v>
                </c:pt>
                <c:pt idx="56">
                  <c:v>161.88094177028717</c:v>
                </c:pt>
                <c:pt idx="57">
                  <c:v>107.70852881994972</c:v>
                </c:pt>
                <c:pt idx="58">
                  <c:v>146.12565571185542</c:v>
                </c:pt>
                <c:pt idx="59">
                  <c:v>164.17433950064043</c:v>
                </c:pt>
                <c:pt idx="60">
                  <c:v>50.244799611359618</c:v>
                </c:pt>
                <c:pt idx="61">
                  <c:v>151.4889440702915</c:v>
                </c:pt>
                <c:pt idx="62">
                  <c:v>19.343295302459989</c:v>
                </c:pt>
                <c:pt idx="63">
                  <c:v>63.879266891303047</c:v>
                </c:pt>
                <c:pt idx="64">
                  <c:v>90.187209382209517</c:v>
                </c:pt>
                <c:pt idx="65">
                  <c:v>133.98757072551075</c:v>
                </c:pt>
                <c:pt idx="66">
                  <c:v>123.54172176965879</c:v>
                </c:pt>
                <c:pt idx="67">
                  <c:v>133.08354821591433</c:v>
                </c:pt>
                <c:pt idx="68">
                  <c:v>95.663846871528776</c:v>
                </c:pt>
                <c:pt idx="69">
                  <c:v>65.478141829319924</c:v>
                </c:pt>
                <c:pt idx="70">
                  <c:v>61.282075566571784</c:v>
                </c:pt>
                <c:pt idx="71">
                  <c:v>54.121946149843751</c:v>
                </c:pt>
                <c:pt idx="72">
                  <c:v>53.113604207184885</c:v>
                </c:pt>
                <c:pt idx="73">
                  <c:v>56.668050099390179</c:v>
                </c:pt>
                <c:pt idx="74">
                  <c:v>37.664359901754707</c:v>
                </c:pt>
                <c:pt idx="75">
                  <c:v>48.377202313339872</c:v>
                </c:pt>
                <c:pt idx="76">
                  <c:v>51.075284534313205</c:v>
                </c:pt>
                <c:pt idx="77">
                  <c:v>116.07287793442443</c:v>
                </c:pt>
                <c:pt idx="78">
                  <c:v>123.97620123640344</c:v>
                </c:pt>
                <c:pt idx="79">
                  <c:v>178.67136768711524</c:v>
                </c:pt>
                <c:pt idx="80">
                  <c:v>159.08192501875291</c:v>
                </c:pt>
                <c:pt idx="81">
                  <c:v>190.42718774264702</c:v>
                </c:pt>
                <c:pt idx="82">
                  <c:v>188.84295684961737</c:v>
                </c:pt>
                <c:pt idx="83">
                  <c:v>160.89122990720529</c:v>
                </c:pt>
                <c:pt idx="84">
                  <c:v>177.39616794273701</c:v>
                </c:pt>
                <c:pt idx="85">
                  <c:v>179.32846673204807</c:v>
                </c:pt>
                <c:pt idx="86">
                  <c:v>141.39772795876792</c:v>
                </c:pt>
                <c:pt idx="87">
                  <c:v>111.18498972954735</c:v>
                </c:pt>
                <c:pt idx="88">
                  <c:v>29.208553245901161</c:v>
                </c:pt>
                <c:pt idx="89">
                  <c:v>84.510690256800729</c:v>
                </c:pt>
                <c:pt idx="90">
                  <c:v>143.45238382838861</c:v>
                </c:pt>
                <c:pt idx="91">
                  <c:v>70.174778880223556</c:v>
                </c:pt>
                <c:pt idx="92">
                  <c:v>112.65274613183254</c:v>
                </c:pt>
                <c:pt idx="93">
                  <c:v>171.8724805671547</c:v>
                </c:pt>
                <c:pt idx="94">
                  <c:v>210.5892966921522</c:v>
                </c:pt>
                <c:pt idx="95">
                  <c:v>52.28491676576224</c:v>
                </c:pt>
                <c:pt idx="96">
                  <c:v>160.68452349637914</c:v>
                </c:pt>
                <c:pt idx="97">
                  <c:v>127.89470965455725</c:v>
                </c:pt>
                <c:pt idx="98">
                  <c:v>138.05543750903004</c:v>
                </c:pt>
                <c:pt idx="99">
                  <c:v>215.53150841398997</c:v>
                </c:pt>
                <c:pt idx="100">
                  <c:v>173.34634016348028</c:v>
                </c:pt>
                <c:pt idx="101">
                  <c:v>145.13976120630727</c:v>
                </c:pt>
                <c:pt idx="102">
                  <c:v>24.078710303429528</c:v>
                </c:pt>
                <c:pt idx="103">
                  <c:v>172.86300952657916</c:v>
                </c:pt>
                <c:pt idx="104">
                  <c:v>182.50892265346761</c:v>
                </c:pt>
                <c:pt idx="105">
                  <c:v>183.61098306130836</c:v>
                </c:pt>
                <c:pt idx="106">
                  <c:v>220.26330789710633</c:v>
                </c:pt>
                <c:pt idx="107">
                  <c:v>162.55866571439739</c:v>
                </c:pt>
                <c:pt idx="108">
                  <c:v>36.716703050563574</c:v>
                </c:pt>
                <c:pt idx="109">
                  <c:v>41.641668287300305</c:v>
                </c:pt>
                <c:pt idx="110">
                  <c:v>37.107782725476604</c:v>
                </c:pt>
                <c:pt idx="111">
                  <c:v>112.91745080306093</c:v>
                </c:pt>
                <c:pt idx="112">
                  <c:v>41.137454053935429</c:v>
                </c:pt>
                <c:pt idx="113">
                  <c:v>111.11449157301558</c:v>
                </c:pt>
                <c:pt idx="114">
                  <c:v>187.84377904571983</c:v>
                </c:pt>
                <c:pt idx="115">
                  <c:v>220.73728611723305</c:v>
                </c:pt>
                <c:pt idx="116">
                  <c:v>157.24748249569566</c:v>
                </c:pt>
                <c:pt idx="117">
                  <c:v>91.583466332684125</c:v>
                </c:pt>
                <c:pt idx="118">
                  <c:v>169.24611658497642</c:v>
                </c:pt>
                <c:pt idx="119">
                  <c:v>165.32484025466155</c:v>
                </c:pt>
                <c:pt idx="120">
                  <c:v>196.79397502148788</c:v>
                </c:pt>
                <c:pt idx="121">
                  <c:v>116.76769718818122</c:v>
                </c:pt>
                <c:pt idx="122">
                  <c:v>132.9580737809793</c:v>
                </c:pt>
                <c:pt idx="123">
                  <c:v>78.038108733831152</c:v>
                </c:pt>
                <c:pt idx="124">
                  <c:v>164.40298477659647</c:v>
                </c:pt>
                <c:pt idx="125">
                  <c:v>152.94103245114718</c:v>
                </c:pt>
                <c:pt idx="126">
                  <c:v>193.96153684355701</c:v>
                </c:pt>
                <c:pt idx="127">
                  <c:v>211.9005822167058</c:v>
                </c:pt>
                <c:pt idx="128">
                  <c:v>228.48661798702173</c:v>
                </c:pt>
                <c:pt idx="129">
                  <c:v>218.66575845606664</c:v>
                </c:pt>
                <c:pt idx="130">
                  <c:v>235.52221281944688</c:v>
                </c:pt>
                <c:pt idx="131">
                  <c:v>176.8991789132381</c:v>
                </c:pt>
                <c:pt idx="132">
                  <c:v>168.09098842012637</c:v>
                </c:pt>
                <c:pt idx="133">
                  <c:v>207.38821874573091</c:v>
                </c:pt>
                <c:pt idx="134">
                  <c:v>218.20571504661476</c:v>
                </c:pt>
                <c:pt idx="135">
                  <c:v>211.01575450419574</c:v>
                </c:pt>
                <c:pt idx="136">
                  <c:v>230.03912565546202</c:v>
                </c:pt>
                <c:pt idx="137">
                  <c:v>220.93633985026452</c:v>
                </c:pt>
                <c:pt idx="138">
                  <c:v>225.52623055692484</c:v>
                </c:pt>
                <c:pt idx="139">
                  <c:v>202.27875195798003</c:v>
                </c:pt>
                <c:pt idx="140">
                  <c:v>209.58326349048369</c:v>
                </c:pt>
                <c:pt idx="141">
                  <c:v>156.08020232470156</c:v>
                </c:pt>
                <c:pt idx="142">
                  <c:v>73.781581479709018</c:v>
                </c:pt>
                <c:pt idx="143">
                  <c:v>68.907334394565638</c:v>
                </c:pt>
                <c:pt idx="144">
                  <c:v>170.98487014777555</c:v>
                </c:pt>
                <c:pt idx="145">
                  <c:v>109.95802029513261</c:v>
                </c:pt>
                <c:pt idx="146">
                  <c:v>185.12557473176165</c:v>
                </c:pt>
                <c:pt idx="147">
                  <c:v>227.76168355489432</c:v>
                </c:pt>
                <c:pt idx="148">
                  <c:v>248.1037639884035</c:v>
                </c:pt>
                <c:pt idx="149">
                  <c:v>209.13634693662496</c:v>
                </c:pt>
                <c:pt idx="150">
                  <c:v>229.18953018049629</c:v>
                </c:pt>
                <c:pt idx="151">
                  <c:v>239.26456894042121</c:v>
                </c:pt>
                <c:pt idx="152">
                  <c:v>168.29025413891969</c:v>
                </c:pt>
                <c:pt idx="153">
                  <c:v>231.2056523326315</c:v>
                </c:pt>
                <c:pt idx="154">
                  <c:v>100.7332892156064</c:v>
                </c:pt>
                <c:pt idx="155">
                  <c:v>130.51174570709816</c:v>
                </c:pt>
                <c:pt idx="156">
                  <c:v>191.76874285460892</c:v>
                </c:pt>
                <c:pt idx="157">
                  <c:v>119.49473326712872</c:v>
                </c:pt>
                <c:pt idx="158">
                  <c:v>91.040758558065704</c:v>
                </c:pt>
                <c:pt idx="159">
                  <c:v>193.13681618299094</c:v>
                </c:pt>
                <c:pt idx="160">
                  <c:v>244.15961566686278</c:v>
                </c:pt>
                <c:pt idx="161">
                  <c:v>231.89950282691186</c:v>
                </c:pt>
                <c:pt idx="162">
                  <c:v>183.0774348151285</c:v>
                </c:pt>
                <c:pt idx="163">
                  <c:v>225.16318027953693</c:v>
                </c:pt>
                <c:pt idx="164">
                  <c:v>203.29150424125791</c:v>
                </c:pt>
                <c:pt idx="165">
                  <c:v>228.20108606480511</c:v>
                </c:pt>
                <c:pt idx="166">
                  <c:v>215.43183474859239</c:v>
                </c:pt>
                <c:pt idx="167">
                  <c:v>222.15035428721168</c:v>
                </c:pt>
                <c:pt idx="168">
                  <c:v>229.02472175610822</c:v>
                </c:pt>
                <c:pt idx="169">
                  <c:v>233.37206707423442</c:v>
                </c:pt>
                <c:pt idx="170">
                  <c:v>125.67657150621645</c:v>
                </c:pt>
                <c:pt idx="171">
                  <c:v>89.636521715920424</c:v>
                </c:pt>
                <c:pt idx="172">
                  <c:v>177.18018882302428</c:v>
                </c:pt>
                <c:pt idx="173">
                  <c:v>173.35618159864299</c:v>
                </c:pt>
                <c:pt idx="174">
                  <c:v>173.21661091614115</c:v>
                </c:pt>
                <c:pt idx="175">
                  <c:v>147.74781227810928</c:v>
                </c:pt>
                <c:pt idx="176">
                  <c:v>49.134658760636427</c:v>
                </c:pt>
                <c:pt idx="177">
                  <c:v>57.40308972552878</c:v>
                </c:pt>
                <c:pt idx="178">
                  <c:v>250.9811160774747</c:v>
                </c:pt>
                <c:pt idx="179">
                  <c:v>238.28151187964897</c:v>
                </c:pt>
                <c:pt idx="180">
                  <c:v>55.636863606246948</c:v>
                </c:pt>
                <c:pt idx="181">
                  <c:v>213.35093801005283</c:v>
                </c:pt>
                <c:pt idx="182">
                  <c:v>235.77571022631113</c:v>
                </c:pt>
                <c:pt idx="183">
                  <c:v>195.27310093214913</c:v>
                </c:pt>
                <c:pt idx="184">
                  <c:v>190.4914270595973</c:v>
                </c:pt>
                <c:pt idx="185">
                  <c:v>229.13904116327839</c:v>
                </c:pt>
                <c:pt idx="186">
                  <c:v>181.89396823019504</c:v>
                </c:pt>
                <c:pt idx="187">
                  <c:v>226.04397966731395</c:v>
                </c:pt>
                <c:pt idx="188">
                  <c:v>239.71629354169207</c:v>
                </c:pt>
                <c:pt idx="189">
                  <c:v>237.20624885875037</c:v>
                </c:pt>
                <c:pt idx="190">
                  <c:v>235.29592533983524</c:v>
                </c:pt>
                <c:pt idx="191">
                  <c:v>228.92043936632362</c:v>
                </c:pt>
                <c:pt idx="192">
                  <c:v>226.23320257267855</c:v>
                </c:pt>
                <c:pt idx="193">
                  <c:v>226.36189991975633</c:v>
                </c:pt>
                <c:pt idx="194">
                  <c:v>223.91297341168527</c:v>
                </c:pt>
                <c:pt idx="195">
                  <c:v>214.7811285296433</c:v>
                </c:pt>
                <c:pt idx="196">
                  <c:v>220.43872190652641</c:v>
                </c:pt>
                <c:pt idx="197">
                  <c:v>219.71251396722201</c:v>
                </c:pt>
                <c:pt idx="198">
                  <c:v>223.32056711799765</c:v>
                </c:pt>
                <c:pt idx="199">
                  <c:v>158.05570731781154</c:v>
                </c:pt>
                <c:pt idx="200">
                  <c:v>162.05872886953219</c:v>
                </c:pt>
                <c:pt idx="201">
                  <c:v>216.4881644460128</c:v>
                </c:pt>
                <c:pt idx="202">
                  <c:v>164.225232042621</c:v>
                </c:pt>
                <c:pt idx="203">
                  <c:v>188.99742508323666</c:v>
                </c:pt>
                <c:pt idx="204">
                  <c:v>219.33253384978784</c:v>
                </c:pt>
                <c:pt idx="205">
                  <c:v>118.08033568460512</c:v>
                </c:pt>
                <c:pt idx="206">
                  <c:v>210.68906459881373</c:v>
                </c:pt>
                <c:pt idx="207">
                  <c:v>231.21024239481497</c:v>
                </c:pt>
                <c:pt idx="208">
                  <c:v>186.76049147000566</c:v>
                </c:pt>
                <c:pt idx="209">
                  <c:v>113.44205550811685</c:v>
                </c:pt>
                <c:pt idx="210">
                  <c:v>196.35413290395988</c:v>
                </c:pt>
                <c:pt idx="211">
                  <c:v>224.69962218089745</c:v>
                </c:pt>
                <c:pt idx="212">
                  <c:v>223.60551275313028</c:v>
                </c:pt>
                <c:pt idx="213">
                  <c:v>223.6596240962437</c:v>
                </c:pt>
                <c:pt idx="214">
                  <c:v>212.35616936441022</c:v>
                </c:pt>
                <c:pt idx="215">
                  <c:v>201.52315934459185</c:v>
                </c:pt>
                <c:pt idx="216">
                  <c:v>187.49923673249566</c:v>
                </c:pt>
                <c:pt idx="217">
                  <c:v>201.10850360907645</c:v>
                </c:pt>
                <c:pt idx="218">
                  <c:v>214.91364633368337</c:v>
                </c:pt>
                <c:pt idx="219">
                  <c:v>218.6796391901423</c:v>
                </c:pt>
                <c:pt idx="220">
                  <c:v>208.40754156442804</c:v>
                </c:pt>
                <c:pt idx="221">
                  <c:v>202.59040356830047</c:v>
                </c:pt>
                <c:pt idx="222">
                  <c:v>188.01672431211588</c:v>
                </c:pt>
                <c:pt idx="223">
                  <c:v>196.97463648218826</c:v>
                </c:pt>
                <c:pt idx="224">
                  <c:v>136.91899487891948</c:v>
                </c:pt>
                <c:pt idx="225">
                  <c:v>150.17883183135038</c:v>
                </c:pt>
                <c:pt idx="226">
                  <c:v>154.58932929136159</c:v>
                </c:pt>
                <c:pt idx="227">
                  <c:v>139.06799332350451</c:v>
                </c:pt>
                <c:pt idx="228">
                  <c:v>107.10270553365753</c:v>
                </c:pt>
                <c:pt idx="229">
                  <c:v>131.50901814134531</c:v>
                </c:pt>
                <c:pt idx="230">
                  <c:v>141.88923932566644</c:v>
                </c:pt>
                <c:pt idx="231">
                  <c:v>207.25870391836344</c:v>
                </c:pt>
                <c:pt idx="232">
                  <c:v>132.22402981398946</c:v>
                </c:pt>
                <c:pt idx="233">
                  <c:v>104.27346292617626</c:v>
                </c:pt>
                <c:pt idx="234">
                  <c:v>180.97155456151245</c:v>
                </c:pt>
                <c:pt idx="235">
                  <c:v>192.75252125399911</c:v>
                </c:pt>
                <c:pt idx="236">
                  <c:v>135.01446499649279</c:v>
                </c:pt>
                <c:pt idx="237">
                  <c:v>182.29877362685349</c:v>
                </c:pt>
                <c:pt idx="238">
                  <c:v>199.41464007034713</c:v>
                </c:pt>
                <c:pt idx="239">
                  <c:v>196.3834476615128</c:v>
                </c:pt>
                <c:pt idx="240">
                  <c:v>132.19612408264416</c:v>
                </c:pt>
                <c:pt idx="241">
                  <c:v>196.29366379372561</c:v>
                </c:pt>
                <c:pt idx="242">
                  <c:v>87.322637942030838</c:v>
                </c:pt>
                <c:pt idx="243">
                  <c:v>173.67373037410331</c:v>
                </c:pt>
                <c:pt idx="244">
                  <c:v>171.18377536846725</c:v>
                </c:pt>
                <c:pt idx="245">
                  <c:v>133.71433783481447</c:v>
                </c:pt>
                <c:pt idx="246">
                  <c:v>188.35230275370429</c:v>
                </c:pt>
                <c:pt idx="247">
                  <c:v>166.34650625682229</c:v>
                </c:pt>
                <c:pt idx="248">
                  <c:v>186.54491582598575</c:v>
                </c:pt>
                <c:pt idx="249">
                  <c:v>141.78088968017977</c:v>
                </c:pt>
                <c:pt idx="250">
                  <c:v>164.81229217794254</c:v>
                </c:pt>
                <c:pt idx="251">
                  <c:v>88.146829167468795</c:v>
                </c:pt>
                <c:pt idx="252">
                  <c:v>183.36588866407467</c:v>
                </c:pt>
                <c:pt idx="253">
                  <c:v>186.91016919832541</c:v>
                </c:pt>
                <c:pt idx="254">
                  <c:v>129.41141514020359</c:v>
                </c:pt>
                <c:pt idx="255">
                  <c:v>46.587362446257529</c:v>
                </c:pt>
                <c:pt idx="256">
                  <c:v>148.56766230570241</c:v>
                </c:pt>
                <c:pt idx="257">
                  <c:v>166.24287615176002</c:v>
                </c:pt>
                <c:pt idx="258">
                  <c:v>106.12750813802462</c:v>
                </c:pt>
                <c:pt idx="259">
                  <c:v>192.85514315920497</c:v>
                </c:pt>
                <c:pt idx="260">
                  <c:v>186.24131267348554</c:v>
                </c:pt>
                <c:pt idx="261">
                  <c:v>183.76641723768807</c:v>
                </c:pt>
                <c:pt idx="262">
                  <c:v>187.94247762738374</c:v>
                </c:pt>
                <c:pt idx="263">
                  <c:v>182.85184452402817</c:v>
                </c:pt>
                <c:pt idx="264">
                  <c:v>177.60847726056642</c:v>
                </c:pt>
                <c:pt idx="265">
                  <c:v>113.88410216256875</c:v>
                </c:pt>
                <c:pt idx="266">
                  <c:v>76.612796763920414</c:v>
                </c:pt>
                <c:pt idx="267">
                  <c:v>133.0637107589157</c:v>
                </c:pt>
                <c:pt idx="268">
                  <c:v>134.67953086878137</c:v>
                </c:pt>
                <c:pt idx="269">
                  <c:v>61.849583527753047</c:v>
                </c:pt>
                <c:pt idx="270">
                  <c:v>62.03560537856746</c:v>
                </c:pt>
                <c:pt idx="271">
                  <c:v>92.316556765134735</c:v>
                </c:pt>
                <c:pt idx="272">
                  <c:v>132.37065426411189</c:v>
                </c:pt>
                <c:pt idx="273">
                  <c:v>150.04055368230951</c:v>
                </c:pt>
                <c:pt idx="274">
                  <c:v>155.32495082588085</c:v>
                </c:pt>
                <c:pt idx="275">
                  <c:v>145.88883896526599</c:v>
                </c:pt>
                <c:pt idx="276">
                  <c:v>166.93262026468193</c:v>
                </c:pt>
                <c:pt idx="277">
                  <c:v>169.65099790614252</c:v>
                </c:pt>
                <c:pt idx="278">
                  <c:v>56.96204893910231</c:v>
                </c:pt>
                <c:pt idx="279">
                  <c:v>117.04792552104529</c:v>
                </c:pt>
                <c:pt idx="280">
                  <c:v>65.395872776158498</c:v>
                </c:pt>
                <c:pt idx="281">
                  <c:v>154.20214157213834</c:v>
                </c:pt>
                <c:pt idx="282">
                  <c:v>123.3684650276298</c:v>
                </c:pt>
                <c:pt idx="283">
                  <c:v>94.97378870393942</c:v>
                </c:pt>
                <c:pt idx="284">
                  <c:v>119.28803816921516</c:v>
                </c:pt>
                <c:pt idx="285">
                  <c:v>92.22616097697572</c:v>
                </c:pt>
                <c:pt idx="286">
                  <c:v>82.191455736040695</c:v>
                </c:pt>
                <c:pt idx="287">
                  <c:v>150.13927385099575</c:v>
                </c:pt>
                <c:pt idx="288">
                  <c:v>134.6073419278446</c:v>
                </c:pt>
                <c:pt idx="289">
                  <c:v>86.260687109930785</c:v>
                </c:pt>
                <c:pt idx="290">
                  <c:v>137.70966128581861</c:v>
                </c:pt>
                <c:pt idx="291">
                  <c:v>60.782248828026987</c:v>
                </c:pt>
                <c:pt idx="292">
                  <c:v>38.679681903861443</c:v>
                </c:pt>
                <c:pt idx="293">
                  <c:v>63.025112990534232</c:v>
                </c:pt>
                <c:pt idx="294">
                  <c:v>132.09072982605102</c:v>
                </c:pt>
                <c:pt idx="295">
                  <c:v>80.220644828458674</c:v>
                </c:pt>
                <c:pt idx="296">
                  <c:v>103.18240455587507</c:v>
                </c:pt>
                <c:pt idx="297">
                  <c:v>89.226063207026073</c:v>
                </c:pt>
                <c:pt idx="298">
                  <c:v>58.921630853142574</c:v>
                </c:pt>
                <c:pt idx="299">
                  <c:v>52.877941307190113</c:v>
                </c:pt>
                <c:pt idx="300">
                  <c:v>69.77335982937835</c:v>
                </c:pt>
                <c:pt idx="301">
                  <c:v>101.2837553130975</c:v>
                </c:pt>
                <c:pt idx="302">
                  <c:v>84.668968082174715</c:v>
                </c:pt>
                <c:pt idx="303">
                  <c:v>85.712637698568244</c:v>
                </c:pt>
                <c:pt idx="304">
                  <c:v>85.054727455315927</c:v>
                </c:pt>
                <c:pt idx="305">
                  <c:v>112.96077857418253</c:v>
                </c:pt>
                <c:pt idx="306">
                  <c:v>43.130552809457363</c:v>
                </c:pt>
                <c:pt idx="307">
                  <c:v>51.110871218508684</c:v>
                </c:pt>
                <c:pt idx="308">
                  <c:v>120.1808011433771</c:v>
                </c:pt>
                <c:pt idx="309">
                  <c:v>120.58781672782368</c:v>
                </c:pt>
                <c:pt idx="310">
                  <c:v>116.41656881587913</c:v>
                </c:pt>
                <c:pt idx="311">
                  <c:v>77.917782262016047</c:v>
                </c:pt>
                <c:pt idx="312">
                  <c:v>43.956703361489886</c:v>
                </c:pt>
                <c:pt idx="313">
                  <c:v>91.265220760267425</c:v>
                </c:pt>
                <c:pt idx="314">
                  <c:v>111.03953600254528</c:v>
                </c:pt>
                <c:pt idx="315">
                  <c:v>109.48851746071087</c:v>
                </c:pt>
                <c:pt idx="316">
                  <c:v>108.1241062208919</c:v>
                </c:pt>
                <c:pt idx="317">
                  <c:v>41.255685272877315</c:v>
                </c:pt>
                <c:pt idx="318">
                  <c:v>51.896310162332384</c:v>
                </c:pt>
                <c:pt idx="319">
                  <c:v>108.18137410842739</c:v>
                </c:pt>
                <c:pt idx="320">
                  <c:v>64.241477174715797</c:v>
                </c:pt>
                <c:pt idx="321">
                  <c:v>50.979231114242744</c:v>
                </c:pt>
                <c:pt idx="322">
                  <c:v>24.240128221376601</c:v>
                </c:pt>
                <c:pt idx="323">
                  <c:v>70.878951014631014</c:v>
                </c:pt>
                <c:pt idx="324">
                  <c:v>14.040464739118514</c:v>
                </c:pt>
                <c:pt idx="325">
                  <c:v>34.086934615688975</c:v>
                </c:pt>
                <c:pt idx="326">
                  <c:v>56.215330498274099</c:v>
                </c:pt>
                <c:pt idx="327">
                  <c:v>55.31617904243808</c:v>
                </c:pt>
                <c:pt idx="328">
                  <c:v>17.912323799767019</c:v>
                </c:pt>
                <c:pt idx="329">
                  <c:v>53.919298939619516</c:v>
                </c:pt>
                <c:pt idx="330">
                  <c:v>58.72802073147318</c:v>
                </c:pt>
                <c:pt idx="331">
                  <c:v>38.176188796560147</c:v>
                </c:pt>
                <c:pt idx="332">
                  <c:v>54.390377799372793</c:v>
                </c:pt>
                <c:pt idx="333">
                  <c:v>21.574691457662816</c:v>
                </c:pt>
                <c:pt idx="334">
                  <c:v>16.204505806424024</c:v>
                </c:pt>
                <c:pt idx="335">
                  <c:v>26.130522818617582</c:v>
                </c:pt>
                <c:pt idx="336">
                  <c:v>35.829425467092712</c:v>
                </c:pt>
                <c:pt idx="337">
                  <c:v>76.875628176312958</c:v>
                </c:pt>
                <c:pt idx="338">
                  <c:v>96.47798437428672</c:v>
                </c:pt>
                <c:pt idx="339">
                  <c:v>50.138437082857465</c:v>
                </c:pt>
                <c:pt idx="340">
                  <c:v>77.557697865538131</c:v>
                </c:pt>
                <c:pt idx="341">
                  <c:v>14.676469798373109</c:v>
                </c:pt>
                <c:pt idx="342">
                  <c:v>28.21197560525442</c:v>
                </c:pt>
                <c:pt idx="343">
                  <c:v>68.001414142375353</c:v>
                </c:pt>
                <c:pt idx="344">
                  <c:v>64.013603079815738</c:v>
                </c:pt>
                <c:pt idx="345">
                  <c:v>22.324228245402796</c:v>
                </c:pt>
                <c:pt idx="346">
                  <c:v>23.251924214679402</c:v>
                </c:pt>
                <c:pt idx="347">
                  <c:v>68.239243780704072</c:v>
                </c:pt>
                <c:pt idx="348">
                  <c:v>33.964515846231684</c:v>
                </c:pt>
                <c:pt idx="349">
                  <c:v>20.700601788860716</c:v>
                </c:pt>
                <c:pt idx="350">
                  <c:v>12.843408464989215</c:v>
                </c:pt>
                <c:pt idx="351">
                  <c:v>69.955510315219811</c:v>
                </c:pt>
                <c:pt idx="352">
                  <c:v>67.240398131081108</c:v>
                </c:pt>
                <c:pt idx="353">
                  <c:v>17.57877245801237</c:v>
                </c:pt>
                <c:pt idx="354">
                  <c:v>83.061242879957405</c:v>
                </c:pt>
                <c:pt idx="355">
                  <c:v>69.187890093730786</c:v>
                </c:pt>
                <c:pt idx="356">
                  <c:v>70.966402203166325</c:v>
                </c:pt>
                <c:pt idx="357">
                  <c:v>86.149407189345098</c:v>
                </c:pt>
                <c:pt idx="358">
                  <c:v>48.535564763151321</c:v>
                </c:pt>
                <c:pt idx="359">
                  <c:v>82.927797408882</c:v>
                </c:pt>
                <c:pt idx="360">
                  <c:v>25.702861527971926</c:v>
                </c:pt>
                <c:pt idx="361">
                  <c:v>67.452156597443462</c:v>
                </c:pt>
                <c:pt idx="362">
                  <c:v>41.713523375116729</c:v>
                </c:pt>
                <c:pt idx="363">
                  <c:v>59.734715555826966</c:v>
                </c:pt>
                <c:pt idx="364">
                  <c:v>47.812647638054408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93.225385009597218</c:v>
                </c:pt>
                <c:pt idx="1">
                  <c:v>68.169580614621623</c:v>
                </c:pt>
                <c:pt idx="2">
                  <c:v>70.99239286565205</c:v>
                </c:pt>
                <c:pt idx="3">
                  <c:v>76.242168779191019</c:v>
                </c:pt>
                <c:pt idx="4">
                  <c:v>57.327773804287204</c:v>
                </c:pt>
                <c:pt idx="5">
                  <c:v>98.193732742141037</c:v>
                </c:pt>
                <c:pt idx="6">
                  <c:v>37.144831216976776</c:v>
                </c:pt>
                <c:pt idx="7">
                  <c:v>24.86917116057711</c:v>
                </c:pt>
                <c:pt idx="8">
                  <c:v>7.7645032318689058</c:v>
                </c:pt>
                <c:pt idx="9">
                  <c:v>7.1379249372641747</c:v>
                </c:pt>
                <c:pt idx="10">
                  <c:v>95.698894454900781</c:v>
                </c:pt>
                <c:pt idx="11">
                  <c:v>82.050265029603338</c:v>
                </c:pt>
                <c:pt idx="12">
                  <c:v>26.328508588727054</c:v>
                </c:pt>
                <c:pt idx="13">
                  <c:v>105.00353497287814</c:v>
                </c:pt>
                <c:pt idx="14">
                  <c:v>106.61443757036282</c:v>
                </c:pt>
                <c:pt idx="15">
                  <c:v>106.02979053090294</c:v>
                </c:pt>
                <c:pt idx="16">
                  <c:v>83.264803356316918</c:v>
                </c:pt>
                <c:pt idx="17">
                  <c:v>21.809216573960953</c:v>
                </c:pt>
                <c:pt idx="18">
                  <c:v>44.53948223096166</c:v>
                </c:pt>
                <c:pt idx="19">
                  <c:v>22.95559178368125</c:v>
                </c:pt>
                <c:pt idx="20">
                  <c:v>57.632389648002061</c:v>
                </c:pt>
                <c:pt idx="21">
                  <c:v>110.68619515338729</c:v>
                </c:pt>
                <c:pt idx="22">
                  <c:v>112.51086071484286</c:v>
                </c:pt>
                <c:pt idx="23">
                  <c:v>113.90445215911906</c:v>
                </c:pt>
                <c:pt idx="24">
                  <c:v>112.85552079630956</c:v>
                </c:pt>
                <c:pt idx="25">
                  <c:v>114.8464777557911</c:v>
                </c:pt>
                <c:pt idx="26">
                  <c:v>116.72257771901698</c:v>
                </c:pt>
                <c:pt idx="27">
                  <c:v>18.084864190590636</c:v>
                </c:pt>
                <c:pt idx="28">
                  <c:v>28.346762830950023</c:v>
                </c:pt>
                <c:pt idx="29">
                  <c:v>25.540719803511614</c:v>
                </c:pt>
                <c:pt idx="30">
                  <c:v>25.384949929724403</c:v>
                </c:pt>
                <c:pt idx="31">
                  <c:v>55.337537341103513</c:v>
                </c:pt>
                <c:pt idx="32">
                  <c:v>24.682880787540793</c:v>
                </c:pt>
                <c:pt idx="33">
                  <c:v>55.406541383755219</c:v>
                </c:pt>
                <c:pt idx="34">
                  <c:v>50.412872086462293</c:v>
                </c:pt>
                <c:pt idx="35">
                  <c:v>42.262288718766662</c:v>
                </c:pt>
                <c:pt idx="36">
                  <c:v>89.666331475611713</c:v>
                </c:pt>
                <c:pt idx="37">
                  <c:v>40.5179713761747</c:v>
                </c:pt>
                <c:pt idx="38">
                  <c:v>135.58590216197177</c:v>
                </c:pt>
                <c:pt idx="39">
                  <c:v>134.94377887874964</c:v>
                </c:pt>
                <c:pt idx="40">
                  <c:v>126.74955773080845</c:v>
                </c:pt>
                <c:pt idx="41">
                  <c:v>63.221963594478375</c:v>
                </c:pt>
                <c:pt idx="42">
                  <c:v>105.88716514256481</c:v>
                </c:pt>
                <c:pt idx="43">
                  <c:v>129.19523894486505</c:v>
                </c:pt>
                <c:pt idx="44">
                  <c:v>73.668231664191765</c:v>
                </c:pt>
                <c:pt idx="45">
                  <c:v>77.786282851917989</c:v>
                </c:pt>
                <c:pt idx="46">
                  <c:v>30.045169574052572</c:v>
                </c:pt>
                <c:pt idx="47">
                  <c:v>44.264607454151694</c:v>
                </c:pt>
                <c:pt idx="48">
                  <c:v>125.85400630788661</c:v>
                </c:pt>
                <c:pt idx="49">
                  <c:v>71.735966524882215</c:v>
                </c:pt>
                <c:pt idx="50">
                  <c:v>90.255266618180087</c:v>
                </c:pt>
                <c:pt idx="51">
                  <c:v>98.217255185254871</c:v>
                </c:pt>
                <c:pt idx="52">
                  <c:v>131.48636987713277</c:v>
                </c:pt>
                <c:pt idx="53">
                  <c:v>135.8735475656942</c:v>
                </c:pt>
                <c:pt idx="54">
                  <c:v>86.12655865395017</c:v>
                </c:pt>
                <c:pt idx="55">
                  <c:v>121.9903484712066</c:v>
                </c:pt>
                <c:pt idx="56">
                  <c:v>161.88094177028717</c:v>
                </c:pt>
                <c:pt idx="57">
                  <c:v>107.70852881994972</c:v>
                </c:pt>
                <c:pt idx="58">
                  <c:v>146.12565571185542</c:v>
                </c:pt>
                <c:pt idx="59">
                  <c:v>164.17433950064043</c:v>
                </c:pt>
                <c:pt idx="60">
                  <c:v>50.244799611359618</c:v>
                </c:pt>
                <c:pt idx="61">
                  <c:v>151.4889440702915</c:v>
                </c:pt>
                <c:pt idx="62">
                  <c:v>19.343295302459989</c:v>
                </c:pt>
                <c:pt idx="63">
                  <c:v>63.879266891303047</c:v>
                </c:pt>
                <c:pt idx="64">
                  <c:v>90.187209382209517</c:v>
                </c:pt>
                <c:pt idx="65">
                  <c:v>133.98757072551075</c:v>
                </c:pt>
                <c:pt idx="66">
                  <c:v>123.54172176965879</c:v>
                </c:pt>
                <c:pt idx="67">
                  <c:v>133.08354821591433</c:v>
                </c:pt>
                <c:pt idx="68">
                  <c:v>95.663846871528776</c:v>
                </c:pt>
                <c:pt idx="69">
                  <c:v>65.478141829319924</c:v>
                </c:pt>
                <c:pt idx="70">
                  <c:v>61.282075566571784</c:v>
                </c:pt>
                <c:pt idx="71">
                  <c:v>54.121946149843751</c:v>
                </c:pt>
                <c:pt idx="72">
                  <c:v>53.113604207184885</c:v>
                </c:pt>
                <c:pt idx="73">
                  <c:v>56.668050099390179</c:v>
                </c:pt>
                <c:pt idx="74">
                  <c:v>37.664359901754707</c:v>
                </c:pt>
                <c:pt idx="75">
                  <c:v>48.377202313339872</c:v>
                </c:pt>
                <c:pt idx="76">
                  <c:v>51.075284534313205</c:v>
                </c:pt>
                <c:pt idx="77">
                  <c:v>116.07287793442443</c:v>
                </c:pt>
                <c:pt idx="78">
                  <c:v>123.97620123640344</c:v>
                </c:pt>
                <c:pt idx="79">
                  <c:v>178.67136768711524</c:v>
                </c:pt>
                <c:pt idx="80">
                  <c:v>159.08192501875291</c:v>
                </c:pt>
                <c:pt idx="81">
                  <c:v>190.42718774264702</c:v>
                </c:pt>
                <c:pt idx="82">
                  <c:v>188.84295684961737</c:v>
                </c:pt>
                <c:pt idx="83">
                  <c:v>160.89122990720529</c:v>
                </c:pt>
                <c:pt idx="84">
                  <c:v>177.39616794273701</c:v>
                </c:pt>
                <c:pt idx="85">
                  <c:v>179.32846673204807</c:v>
                </c:pt>
                <c:pt idx="86">
                  <c:v>141.39772795876792</c:v>
                </c:pt>
                <c:pt idx="87">
                  <c:v>111.18498972954735</c:v>
                </c:pt>
                <c:pt idx="88">
                  <c:v>29.208553245901161</c:v>
                </c:pt>
                <c:pt idx="89">
                  <c:v>84.510690256800729</c:v>
                </c:pt>
                <c:pt idx="90">
                  <c:v>143.45238382838861</c:v>
                </c:pt>
                <c:pt idx="91">
                  <c:v>70.174778880223556</c:v>
                </c:pt>
                <c:pt idx="92">
                  <c:v>112.65274613183254</c:v>
                </c:pt>
                <c:pt idx="93">
                  <c:v>171.8724805671547</c:v>
                </c:pt>
                <c:pt idx="94">
                  <c:v>210.5892966921522</c:v>
                </c:pt>
                <c:pt idx="95">
                  <c:v>52.28491676576224</c:v>
                </c:pt>
                <c:pt idx="96">
                  <c:v>160.68452349637914</c:v>
                </c:pt>
                <c:pt idx="97">
                  <c:v>127.89470965455725</c:v>
                </c:pt>
                <c:pt idx="98">
                  <c:v>138.05543750903004</c:v>
                </c:pt>
                <c:pt idx="99">
                  <c:v>215.53150841398997</c:v>
                </c:pt>
                <c:pt idx="100">
                  <c:v>173.34634016348028</c:v>
                </c:pt>
                <c:pt idx="101">
                  <c:v>145.13976120630727</c:v>
                </c:pt>
                <c:pt idx="102">
                  <c:v>24.078710303429528</c:v>
                </c:pt>
                <c:pt idx="103">
                  <c:v>172.86300952657916</c:v>
                </c:pt>
                <c:pt idx="104">
                  <c:v>182.50892265346761</c:v>
                </c:pt>
                <c:pt idx="105">
                  <c:v>183.61098306130836</c:v>
                </c:pt>
                <c:pt idx="106">
                  <c:v>220.26330789710633</c:v>
                </c:pt>
                <c:pt idx="107">
                  <c:v>162.55866571439739</c:v>
                </c:pt>
                <c:pt idx="108">
                  <c:v>36.716703050563574</c:v>
                </c:pt>
                <c:pt idx="109">
                  <c:v>41.641668287300305</c:v>
                </c:pt>
                <c:pt idx="110">
                  <c:v>37.107782725476604</c:v>
                </c:pt>
                <c:pt idx="111">
                  <c:v>112.91745080306093</c:v>
                </c:pt>
                <c:pt idx="112">
                  <c:v>41.137454053935429</c:v>
                </c:pt>
                <c:pt idx="113">
                  <c:v>111.11449157301558</c:v>
                </c:pt>
                <c:pt idx="114">
                  <c:v>187.84377904571983</c:v>
                </c:pt>
                <c:pt idx="115">
                  <c:v>220.73728611723305</c:v>
                </c:pt>
                <c:pt idx="116">
                  <c:v>157.24748249569566</c:v>
                </c:pt>
                <c:pt idx="117">
                  <c:v>91.583466332684125</c:v>
                </c:pt>
                <c:pt idx="118">
                  <c:v>169.24611658497642</c:v>
                </c:pt>
                <c:pt idx="119">
                  <c:v>165.32484025466155</c:v>
                </c:pt>
                <c:pt idx="120">
                  <c:v>196.79397502148788</c:v>
                </c:pt>
                <c:pt idx="121">
                  <c:v>116.76769718818122</c:v>
                </c:pt>
                <c:pt idx="122">
                  <c:v>132.9580737809793</c:v>
                </c:pt>
                <c:pt idx="123">
                  <c:v>78.038108733831152</c:v>
                </c:pt>
                <c:pt idx="124">
                  <c:v>164.40298477659647</c:v>
                </c:pt>
                <c:pt idx="125">
                  <c:v>152.94103245114718</c:v>
                </c:pt>
                <c:pt idx="126">
                  <c:v>193.96153684355701</c:v>
                </c:pt>
                <c:pt idx="127">
                  <c:v>211.9005822167058</c:v>
                </c:pt>
                <c:pt idx="128">
                  <c:v>228.48661798702173</c:v>
                </c:pt>
                <c:pt idx="129">
                  <c:v>218.66575845606664</c:v>
                </c:pt>
                <c:pt idx="130">
                  <c:v>235.52221281944688</c:v>
                </c:pt>
                <c:pt idx="131">
                  <c:v>176.8991789132381</c:v>
                </c:pt>
                <c:pt idx="132">
                  <c:v>168.09098842012637</c:v>
                </c:pt>
                <c:pt idx="133">
                  <c:v>207.38821874573091</c:v>
                </c:pt>
                <c:pt idx="134">
                  <c:v>218.20571504661476</c:v>
                </c:pt>
                <c:pt idx="135">
                  <c:v>211.01575450419574</c:v>
                </c:pt>
                <c:pt idx="136">
                  <c:v>230.03912565546202</c:v>
                </c:pt>
                <c:pt idx="137">
                  <c:v>220.93633985026452</c:v>
                </c:pt>
                <c:pt idx="138">
                  <c:v>225.52623055692484</c:v>
                </c:pt>
                <c:pt idx="139">
                  <c:v>202.27875195798003</c:v>
                </c:pt>
                <c:pt idx="140">
                  <c:v>209.58326349048369</c:v>
                </c:pt>
                <c:pt idx="141">
                  <c:v>156.08020232470156</c:v>
                </c:pt>
                <c:pt idx="142">
                  <c:v>73.781581479709018</c:v>
                </c:pt>
                <c:pt idx="143">
                  <c:v>68.907334394565638</c:v>
                </c:pt>
                <c:pt idx="144">
                  <c:v>170.98487014777555</c:v>
                </c:pt>
                <c:pt idx="145">
                  <c:v>109.95802029513261</c:v>
                </c:pt>
                <c:pt idx="146">
                  <c:v>185.12557473176165</c:v>
                </c:pt>
                <c:pt idx="147">
                  <c:v>227.76168355489432</c:v>
                </c:pt>
                <c:pt idx="148">
                  <c:v>248.1037639884035</c:v>
                </c:pt>
                <c:pt idx="149">
                  <c:v>209.13634693662496</c:v>
                </c:pt>
                <c:pt idx="150">
                  <c:v>229.18953018049629</c:v>
                </c:pt>
                <c:pt idx="151">
                  <c:v>239.26456894042121</c:v>
                </c:pt>
                <c:pt idx="152">
                  <c:v>168.29025413891969</c:v>
                </c:pt>
                <c:pt idx="153">
                  <c:v>231.2056523326315</c:v>
                </c:pt>
                <c:pt idx="154">
                  <c:v>100.7332892156064</c:v>
                </c:pt>
                <c:pt idx="155">
                  <c:v>130.51174570709816</c:v>
                </c:pt>
                <c:pt idx="156">
                  <c:v>191.76874285460892</c:v>
                </c:pt>
                <c:pt idx="157">
                  <c:v>119.49473326712872</c:v>
                </c:pt>
                <c:pt idx="158">
                  <c:v>91.040758558065704</c:v>
                </c:pt>
                <c:pt idx="159">
                  <c:v>193.13681618299094</c:v>
                </c:pt>
                <c:pt idx="160">
                  <c:v>244.15961566686278</c:v>
                </c:pt>
                <c:pt idx="161">
                  <c:v>231.89950282691186</c:v>
                </c:pt>
                <c:pt idx="162">
                  <c:v>183.0774348151285</c:v>
                </c:pt>
                <c:pt idx="163">
                  <c:v>225.16318027953693</c:v>
                </c:pt>
                <c:pt idx="164">
                  <c:v>203.29150424125791</c:v>
                </c:pt>
                <c:pt idx="165">
                  <c:v>228.20108606480511</c:v>
                </c:pt>
                <c:pt idx="166">
                  <c:v>215.43183474859239</c:v>
                </c:pt>
                <c:pt idx="167">
                  <c:v>222.15035428721168</c:v>
                </c:pt>
                <c:pt idx="168">
                  <c:v>229.02472175610822</c:v>
                </c:pt>
                <c:pt idx="169">
                  <c:v>233.37206707423442</c:v>
                </c:pt>
                <c:pt idx="170">
                  <c:v>125.67657150621645</c:v>
                </c:pt>
                <c:pt idx="171">
                  <c:v>89.636521715920424</c:v>
                </c:pt>
                <c:pt idx="172">
                  <c:v>177.18018882302428</c:v>
                </c:pt>
                <c:pt idx="173">
                  <c:v>173.35618159864299</c:v>
                </c:pt>
                <c:pt idx="174">
                  <c:v>173.21661091614115</c:v>
                </c:pt>
                <c:pt idx="175">
                  <c:v>147.74781227810928</c:v>
                </c:pt>
                <c:pt idx="176">
                  <c:v>49.134658760636427</c:v>
                </c:pt>
                <c:pt idx="177">
                  <c:v>57.40308972552878</c:v>
                </c:pt>
                <c:pt idx="178">
                  <c:v>250.9811160774747</c:v>
                </c:pt>
                <c:pt idx="179">
                  <c:v>238.28151187964897</c:v>
                </c:pt>
                <c:pt idx="180">
                  <c:v>55.636863606246948</c:v>
                </c:pt>
                <c:pt idx="181">
                  <c:v>213.35093801005283</c:v>
                </c:pt>
                <c:pt idx="182">
                  <c:v>235.77571022631113</c:v>
                </c:pt>
                <c:pt idx="183">
                  <c:v>195.27310093214913</c:v>
                </c:pt>
                <c:pt idx="184">
                  <c:v>190.4914270595973</c:v>
                </c:pt>
                <c:pt idx="185">
                  <c:v>229.13904116327839</c:v>
                </c:pt>
                <c:pt idx="186">
                  <c:v>181.89396823019504</c:v>
                </c:pt>
                <c:pt idx="187">
                  <c:v>226.04397966731395</c:v>
                </c:pt>
                <c:pt idx="188">
                  <c:v>239.71629354169207</c:v>
                </c:pt>
                <c:pt idx="189">
                  <c:v>237.20624885875037</c:v>
                </c:pt>
                <c:pt idx="190">
                  <c:v>235.29592533983524</c:v>
                </c:pt>
                <c:pt idx="191">
                  <c:v>228.92043936632362</c:v>
                </c:pt>
                <c:pt idx="192">
                  <c:v>226.23320257267855</c:v>
                </c:pt>
                <c:pt idx="193">
                  <c:v>226.36189991975633</c:v>
                </c:pt>
                <c:pt idx="194">
                  <c:v>223.91297341168527</c:v>
                </c:pt>
                <c:pt idx="195">
                  <c:v>214.7811285296433</c:v>
                </c:pt>
                <c:pt idx="196">
                  <c:v>220.43872190652641</c:v>
                </c:pt>
                <c:pt idx="197">
                  <c:v>219.71251396722201</c:v>
                </c:pt>
                <c:pt idx="198">
                  <c:v>223.32056711799765</c:v>
                </c:pt>
                <c:pt idx="199">
                  <c:v>158.05570731781154</c:v>
                </c:pt>
                <c:pt idx="200">
                  <c:v>162.05872886953219</c:v>
                </c:pt>
                <c:pt idx="201">
                  <c:v>216.4881644460128</c:v>
                </c:pt>
                <c:pt idx="202">
                  <c:v>164.225232042621</c:v>
                </c:pt>
                <c:pt idx="203">
                  <c:v>188.99742508323666</c:v>
                </c:pt>
                <c:pt idx="204">
                  <c:v>219.33253384978784</c:v>
                </c:pt>
                <c:pt idx="205">
                  <c:v>118.08033568460512</c:v>
                </c:pt>
                <c:pt idx="206">
                  <c:v>210.68906459881373</c:v>
                </c:pt>
                <c:pt idx="207">
                  <c:v>231.21024239481497</c:v>
                </c:pt>
                <c:pt idx="208">
                  <c:v>186.76049147000566</c:v>
                </c:pt>
                <c:pt idx="209">
                  <c:v>113.44205550811685</c:v>
                </c:pt>
                <c:pt idx="210">
                  <c:v>196.35413290395988</c:v>
                </c:pt>
                <c:pt idx="211">
                  <c:v>224.69962218089745</c:v>
                </c:pt>
                <c:pt idx="212">
                  <c:v>223.60551275313028</c:v>
                </c:pt>
                <c:pt idx="213">
                  <c:v>223.6596240962437</c:v>
                </c:pt>
                <c:pt idx="214">
                  <c:v>212.35616936441022</c:v>
                </c:pt>
                <c:pt idx="215">
                  <c:v>201.52315934459185</c:v>
                </c:pt>
                <c:pt idx="216">
                  <c:v>187.49923673249566</c:v>
                </c:pt>
                <c:pt idx="217">
                  <c:v>201.10850360907645</c:v>
                </c:pt>
                <c:pt idx="218">
                  <c:v>214.91364633368337</c:v>
                </c:pt>
                <c:pt idx="219">
                  <c:v>218.6796391901423</c:v>
                </c:pt>
                <c:pt idx="220">
                  <c:v>208.40754156442804</c:v>
                </c:pt>
                <c:pt idx="221">
                  <c:v>202.59040356830047</c:v>
                </c:pt>
                <c:pt idx="222">
                  <c:v>188.01672431211588</c:v>
                </c:pt>
                <c:pt idx="223">
                  <c:v>196.97463648218826</c:v>
                </c:pt>
                <c:pt idx="224">
                  <c:v>136.91899487891948</c:v>
                </c:pt>
                <c:pt idx="225">
                  <c:v>150.17883183135038</c:v>
                </c:pt>
                <c:pt idx="226">
                  <c:v>154.58932929136159</c:v>
                </c:pt>
                <c:pt idx="227">
                  <c:v>139.06799332350451</c:v>
                </c:pt>
                <c:pt idx="228">
                  <c:v>107.10270553365753</c:v>
                </c:pt>
                <c:pt idx="229">
                  <c:v>131.50901814134531</c:v>
                </c:pt>
                <c:pt idx="230">
                  <c:v>141.88923932566644</c:v>
                </c:pt>
                <c:pt idx="231">
                  <c:v>207.25870391836344</c:v>
                </c:pt>
                <c:pt idx="232">
                  <c:v>132.22402981398946</c:v>
                </c:pt>
                <c:pt idx="233">
                  <c:v>104.27346292617626</c:v>
                </c:pt>
                <c:pt idx="234">
                  <c:v>180.97155456151245</c:v>
                </c:pt>
                <c:pt idx="235">
                  <c:v>192.75252125399911</c:v>
                </c:pt>
                <c:pt idx="236">
                  <c:v>135.01446499649279</c:v>
                </c:pt>
                <c:pt idx="237">
                  <c:v>182.29877362685349</c:v>
                </c:pt>
                <c:pt idx="238">
                  <c:v>199.41464007034713</c:v>
                </c:pt>
                <c:pt idx="239">
                  <c:v>196.3834476615128</c:v>
                </c:pt>
                <c:pt idx="240">
                  <c:v>132.19612408264416</c:v>
                </c:pt>
                <c:pt idx="241">
                  <c:v>196.29366379372561</c:v>
                </c:pt>
                <c:pt idx="242">
                  <c:v>87.322637942030838</c:v>
                </c:pt>
                <c:pt idx="243">
                  <c:v>173.67373037410331</c:v>
                </c:pt>
                <c:pt idx="244">
                  <c:v>171.18377536846725</c:v>
                </c:pt>
                <c:pt idx="245">
                  <c:v>133.71433783481447</c:v>
                </c:pt>
                <c:pt idx="246">
                  <c:v>188.35230275370429</c:v>
                </c:pt>
                <c:pt idx="247">
                  <c:v>166.34650625682229</c:v>
                </c:pt>
                <c:pt idx="248">
                  <c:v>186.54491582598575</c:v>
                </c:pt>
                <c:pt idx="249">
                  <c:v>141.78088968017977</c:v>
                </c:pt>
                <c:pt idx="250">
                  <c:v>164.81229217794254</c:v>
                </c:pt>
                <c:pt idx="251">
                  <c:v>88.146829167468795</c:v>
                </c:pt>
                <c:pt idx="252">
                  <c:v>183.36588866407467</c:v>
                </c:pt>
                <c:pt idx="253">
                  <c:v>186.91016919832541</c:v>
                </c:pt>
                <c:pt idx="254">
                  <c:v>129.41141514020359</c:v>
                </c:pt>
                <c:pt idx="255">
                  <c:v>46.587362446257529</c:v>
                </c:pt>
                <c:pt idx="256">
                  <c:v>148.56766230570241</c:v>
                </c:pt>
                <c:pt idx="257">
                  <c:v>166.24287615176002</c:v>
                </c:pt>
                <c:pt idx="258">
                  <c:v>106.12750813802462</c:v>
                </c:pt>
                <c:pt idx="259">
                  <c:v>192.85514315920497</c:v>
                </c:pt>
                <c:pt idx="260">
                  <c:v>186.24131267348554</c:v>
                </c:pt>
                <c:pt idx="261">
                  <c:v>183.76641723768807</c:v>
                </c:pt>
                <c:pt idx="262">
                  <c:v>187.94247762738374</c:v>
                </c:pt>
                <c:pt idx="263">
                  <c:v>182.85184452402817</c:v>
                </c:pt>
                <c:pt idx="264">
                  <c:v>177.60847726056642</c:v>
                </c:pt>
                <c:pt idx="265">
                  <c:v>113.88410216256875</c:v>
                </c:pt>
                <c:pt idx="266">
                  <c:v>76.612796763920414</c:v>
                </c:pt>
                <c:pt idx="267">
                  <c:v>133.0637107589157</c:v>
                </c:pt>
                <c:pt idx="268">
                  <c:v>134.67953086878137</c:v>
                </c:pt>
                <c:pt idx="269">
                  <c:v>61.849583527753047</c:v>
                </c:pt>
                <c:pt idx="270">
                  <c:v>62.03560537856746</c:v>
                </c:pt>
                <c:pt idx="271">
                  <c:v>92.316556765134735</c:v>
                </c:pt>
                <c:pt idx="272">
                  <c:v>132.37065426411189</c:v>
                </c:pt>
                <c:pt idx="273">
                  <c:v>150.04055368230951</c:v>
                </c:pt>
                <c:pt idx="274">
                  <c:v>155.32495082588085</c:v>
                </c:pt>
                <c:pt idx="275">
                  <c:v>145.88883896526599</c:v>
                </c:pt>
                <c:pt idx="276">
                  <c:v>166.93262026468193</c:v>
                </c:pt>
                <c:pt idx="277">
                  <c:v>169.65099790614252</c:v>
                </c:pt>
                <c:pt idx="278">
                  <c:v>56.96204893910231</c:v>
                </c:pt>
                <c:pt idx="279">
                  <c:v>117.04792552104529</c:v>
                </c:pt>
                <c:pt idx="280">
                  <c:v>65.395872776158498</c:v>
                </c:pt>
                <c:pt idx="281">
                  <c:v>154.20214157213834</c:v>
                </c:pt>
                <c:pt idx="282">
                  <c:v>123.3684650276298</c:v>
                </c:pt>
                <c:pt idx="283">
                  <c:v>94.97378870393942</c:v>
                </c:pt>
                <c:pt idx="284">
                  <c:v>119.28803816921516</c:v>
                </c:pt>
                <c:pt idx="285">
                  <c:v>92.22616097697572</c:v>
                </c:pt>
                <c:pt idx="286">
                  <c:v>82.191455736040695</c:v>
                </c:pt>
                <c:pt idx="287">
                  <c:v>150.13927385099575</c:v>
                </c:pt>
                <c:pt idx="288">
                  <c:v>134.6073419278446</c:v>
                </c:pt>
                <c:pt idx="289">
                  <c:v>86.260687109930785</c:v>
                </c:pt>
                <c:pt idx="290">
                  <c:v>137.70966128581861</c:v>
                </c:pt>
                <c:pt idx="291">
                  <c:v>60.782248828026987</c:v>
                </c:pt>
                <c:pt idx="292">
                  <c:v>38.679681903861443</c:v>
                </c:pt>
                <c:pt idx="293">
                  <c:v>63.025112990534232</c:v>
                </c:pt>
                <c:pt idx="294">
                  <c:v>132.09072982605102</c:v>
                </c:pt>
                <c:pt idx="295">
                  <c:v>80.220644828458674</c:v>
                </c:pt>
                <c:pt idx="296">
                  <c:v>103.18240455587507</c:v>
                </c:pt>
                <c:pt idx="297">
                  <c:v>89.226063207026073</c:v>
                </c:pt>
                <c:pt idx="298">
                  <c:v>58.921630853142574</c:v>
                </c:pt>
                <c:pt idx="299">
                  <c:v>52.877941307190113</c:v>
                </c:pt>
                <c:pt idx="300">
                  <c:v>69.77335982937835</c:v>
                </c:pt>
                <c:pt idx="301">
                  <c:v>101.2837553130975</c:v>
                </c:pt>
                <c:pt idx="302">
                  <c:v>84.668968082174715</c:v>
                </c:pt>
                <c:pt idx="303">
                  <c:v>85.712637698568244</c:v>
                </c:pt>
                <c:pt idx="304">
                  <c:v>85.054727455315927</c:v>
                </c:pt>
                <c:pt idx="305">
                  <c:v>112.96077857418253</c:v>
                </c:pt>
                <c:pt idx="306">
                  <c:v>43.130552809457363</c:v>
                </c:pt>
                <c:pt idx="307">
                  <c:v>51.110871218508684</c:v>
                </c:pt>
                <c:pt idx="308">
                  <c:v>120.1808011433771</c:v>
                </c:pt>
                <c:pt idx="309">
                  <c:v>120.58781672782368</c:v>
                </c:pt>
                <c:pt idx="310">
                  <c:v>116.41656881587913</c:v>
                </c:pt>
                <c:pt idx="311">
                  <c:v>77.917782262016047</c:v>
                </c:pt>
                <c:pt idx="312">
                  <c:v>43.956703361489886</c:v>
                </c:pt>
                <c:pt idx="313">
                  <c:v>91.265220760267425</c:v>
                </c:pt>
                <c:pt idx="314">
                  <c:v>111.03953600254528</c:v>
                </c:pt>
                <c:pt idx="315">
                  <c:v>109.48851746071087</c:v>
                </c:pt>
                <c:pt idx="316">
                  <c:v>108.1241062208919</c:v>
                </c:pt>
                <c:pt idx="317">
                  <c:v>41.255685272877315</c:v>
                </c:pt>
                <c:pt idx="318">
                  <c:v>51.896310162332384</c:v>
                </c:pt>
                <c:pt idx="319">
                  <c:v>108.18137410842739</c:v>
                </c:pt>
                <c:pt idx="320">
                  <c:v>64.241477174715797</c:v>
                </c:pt>
                <c:pt idx="321">
                  <c:v>50.979231114242744</c:v>
                </c:pt>
                <c:pt idx="322">
                  <c:v>24.240128221376601</c:v>
                </c:pt>
                <c:pt idx="323">
                  <c:v>70.878951014631014</c:v>
                </c:pt>
                <c:pt idx="324">
                  <c:v>14.040464739118514</c:v>
                </c:pt>
                <c:pt idx="325">
                  <c:v>34.086934615688975</c:v>
                </c:pt>
                <c:pt idx="326">
                  <c:v>56.215330498274099</c:v>
                </c:pt>
                <c:pt idx="327">
                  <c:v>55.31617904243808</c:v>
                </c:pt>
                <c:pt idx="328">
                  <c:v>17.912323799767019</c:v>
                </c:pt>
                <c:pt idx="329">
                  <c:v>53.919298939619516</c:v>
                </c:pt>
                <c:pt idx="330">
                  <c:v>58.72802073147318</c:v>
                </c:pt>
                <c:pt idx="331">
                  <c:v>38.176188796560147</c:v>
                </c:pt>
                <c:pt idx="332">
                  <c:v>54.390377799372793</c:v>
                </c:pt>
                <c:pt idx="333">
                  <c:v>21.574691457662816</c:v>
                </c:pt>
                <c:pt idx="334">
                  <c:v>16.204505806424024</c:v>
                </c:pt>
                <c:pt idx="335">
                  <c:v>26.130522818617582</c:v>
                </c:pt>
                <c:pt idx="336">
                  <c:v>35.829425467092712</c:v>
                </c:pt>
                <c:pt idx="337">
                  <c:v>76.875628176312958</c:v>
                </c:pt>
                <c:pt idx="338">
                  <c:v>96.47798437428672</c:v>
                </c:pt>
                <c:pt idx="339">
                  <c:v>50.138437082857465</c:v>
                </c:pt>
                <c:pt idx="340">
                  <c:v>77.557697865538131</c:v>
                </c:pt>
                <c:pt idx="341">
                  <c:v>14.676469798373109</c:v>
                </c:pt>
                <c:pt idx="342">
                  <c:v>28.21197560525442</c:v>
                </c:pt>
                <c:pt idx="343">
                  <c:v>68.001414142375353</c:v>
                </c:pt>
                <c:pt idx="344">
                  <c:v>64.013603079815738</c:v>
                </c:pt>
                <c:pt idx="345">
                  <c:v>22.324228245402796</c:v>
                </c:pt>
                <c:pt idx="346">
                  <c:v>23.251924214679402</c:v>
                </c:pt>
                <c:pt idx="347">
                  <c:v>68.239243780704072</c:v>
                </c:pt>
                <c:pt idx="348">
                  <c:v>33.964515846231684</c:v>
                </c:pt>
                <c:pt idx="349">
                  <c:v>20.700601788860716</c:v>
                </c:pt>
                <c:pt idx="350">
                  <c:v>12.843408464989215</c:v>
                </c:pt>
                <c:pt idx="351">
                  <c:v>69.955510315219811</c:v>
                </c:pt>
                <c:pt idx="352">
                  <c:v>67.240398131081108</c:v>
                </c:pt>
                <c:pt idx="353">
                  <c:v>17.57877245801237</c:v>
                </c:pt>
                <c:pt idx="354">
                  <c:v>83.061242879957405</c:v>
                </c:pt>
                <c:pt idx="355">
                  <c:v>69.187890093730786</c:v>
                </c:pt>
                <c:pt idx="356">
                  <c:v>70.966402203166325</c:v>
                </c:pt>
                <c:pt idx="357">
                  <c:v>86.149407189345098</c:v>
                </c:pt>
                <c:pt idx="358">
                  <c:v>48.535564763151321</c:v>
                </c:pt>
                <c:pt idx="359">
                  <c:v>82.927797408882</c:v>
                </c:pt>
                <c:pt idx="360">
                  <c:v>25.702861527971926</c:v>
                </c:pt>
                <c:pt idx="361">
                  <c:v>67.452156597443462</c:v>
                </c:pt>
                <c:pt idx="362">
                  <c:v>41.713523375116729</c:v>
                </c:pt>
                <c:pt idx="363">
                  <c:v>59.734715555826966</c:v>
                </c:pt>
                <c:pt idx="364">
                  <c:v>47.812647638054408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601336"/>
        <c:axId val="665601728"/>
      </c:lineChart>
      <c:dateAx>
        <c:axId val="665601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01728"/>
        <c:crosses val="autoZero"/>
        <c:auto val="1"/>
        <c:lblOffset val="100"/>
        <c:baseTimeUnit val="days"/>
        <c:majorUnit val="1"/>
        <c:majorTimeUnit val="months"/>
      </c:dateAx>
      <c:valAx>
        <c:axId val="665601728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0133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Hangar Goussaud Espanès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48010.743765373198</c:v>
                </c:pt>
                <c:pt idx="1">
                  <c:v>48008.830877037304</c:v>
                </c:pt>
                <c:pt idx="2">
                  <c:v>48069.970538116788</c:v>
                </c:pt>
                <c:pt idx="3">
                  <c:v>48004.634322705489</c:v>
                </c:pt>
                <c:pt idx="4">
                  <c:v>48002.250626658468</c:v>
                </c:pt>
                <c:pt idx="5">
                  <c:v>47999.715268106018</c:v>
                </c:pt>
                <c:pt idx="6">
                  <c:v>48060.077444817493</c:v>
                </c:pt>
                <c:pt idx="7">
                  <c:v>48006.514341163085</c:v>
                </c:pt>
                <c:pt idx="8">
                  <c:v>48008.92654992095</c:v>
                </c:pt>
                <c:pt idx="9">
                  <c:v>48006.875375275704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47775.505033026559</c:v>
                </c:pt>
                <c:pt idx="1">
                  <c:v>47564.041434942228</c:v>
                </c:pt>
                <c:pt idx="2">
                  <c:v>47386.620399784566</c:v>
                </c:pt>
                <c:pt idx="3">
                  <c:v>47086.094756511688</c:v>
                </c:pt>
                <c:pt idx="4">
                  <c:v>46848.440303539297</c:v>
                </c:pt>
                <c:pt idx="5">
                  <c:v>46612.827044309779</c:v>
                </c:pt>
                <c:pt idx="6">
                  <c:v>46438.114805455523</c:v>
                </c:pt>
                <c:pt idx="7">
                  <c:v>46155.57006170028</c:v>
                </c:pt>
                <c:pt idx="8">
                  <c:v>45927.472976595665</c:v>
                </c:pt>
                <c:pt idx="9">
                  <c:v>45697.105832347799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46798.06900000001</c:v>
                </c:pt>
                <c:pt idx="1">
                  <c:v>45754.411547150055</c:v>
                </c:pt>
                <c:pt idx="2">
                  <c:v>46335.252723847181</c:v>
                </c:pt>
                <c:pt idx="3">
                  <c:v>45332.61322713003</c:v>
                </c:pt>
                <c:pt idx="4">
                  <c:v>45710.699979511141</c:v>
                </c:pt>
                <c:pt idx="5">
                  <c:v>44936.517738218798</c:v>
                </c:pt>
                <c:pt idx="6">
                  <c:v>45309.924102607147</c:v>
                </c:pt>
                <c:pt idx="7">
                  <c:v>44505.157422455581</c:v>
                </c:pt>
                <c:pt idx="8">
                  <c:v>44836.644667626642</c:v>
                </c:pt>
                <c:pt idx="9">
                  <c:v>44065.894886738497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46789.070000000007</c:v>
                </c:pt>
                <c:pt idx="1">
                  <c:v>45754.411547150055</c:v>
                </c:pt>
                <c:pt idx="2">
                  <c:v>44961.524139482048</c:v>
                </c:pt>
                <c:pt idx="3">
                  <c:v>44188.386360484037</c:v>
                </c:pt>
                <c:pt idx="4">
                  <c:v>44180.514702751876</c:v>
                </c:pt>
                <c:pt idx="5">
                  <c:v>43707.498183236676</c:v>
                </c:pt>
                <c:pt idx="6">
                  <c:v>43808.232217304467</c:v>
                </c:pt>
                <c:pt idx="7">
                  <c:v>43297.842593077272</c:v>
                </c:pt>
                <c:pt idx="8">
                  <c:v>43324.483915038967</c:v>
                </c:pt>
                <c:pt idx="9">
                  <c:v>42858.282933781855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-0.18757708950988672</c:v>
                </c:pt>
                <c:pt idx="1">
                  <c:v>0</c:v>
                </c:pt>
                <c:pt idx="2">
                  <c:v>1374.1774298321866</c:v>
                </c:pt>
                <c:pt idx="3">
                  <c:v>1144.1158692661911</c:v>
                </c:pt>
                <c:pt idx="4">
                  <c:v>1530.4806442253762</c:v>
                </c:pt>
                <c:pt idx="5">
                  <c:v>1228.9004938124249</c:v>
                </c:pt>
                <c:pt idx="6">
                  <c:v>1501.942487128169</c:v>
                </c:pt>
                <c:pt idx="7">
                  <c:v>1186.4948085770229</c:v>
                </c:pt>
                <c:pt idx="8">
                  <c:v>1479.678068315852</c:v>
                </c:pt>
                <c:pt idx="9">
                  <c:v>1172.9882467717914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-3.7824816026121866E-4</c:v>
                </c:pt>
                <c:pt idx="1">
                  <c:v>0</c:v>
                </c:pt>
                <c:pt idx="2">
                  <c:v>-0.27343625272676775</c:v>
                </c:pt>
                <c:pt idx="3">
                  <c:v>-0.3248914757905883</c:v>
                </c:pt>
                <c:pt idx="4">
                  <c:v>-0.58011543175026503</c:v>
                </c:pt>
                <c:pt idx="5">
                  <c:v>-0.59073574754364344</c:v>
                </c:pt>
                <c:pt idx="6">
                  <c:v>-0.88978591607668989</c:v>
                </c:pt>
                <c:pt idx="7">
                  <c:v>19.154497860633128</c:v>
                </c:pt>
                <c:pt idx="8">
                  <c:v>30.742293690580293</c:v>
                </c:pt>
                <c:pt idx="9">
                  <c:v>32.172428997438203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5716608"/>
        <c:axId val="655717000"/>
      </c:lineChart>
      <c:catAx>
        <c:axId val="655716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17000"/>
        <c:crosses val="autoZero"/>
        <c:auto val="1"/>
        <c:lblAlgn val="ctr"/>
        <c:lblOffset val="100"/>
        <c:noMultiLvlLbl val="0"/>
      </c:catAx>
      <c:valAx>
        <c:axId val="655717000"/>
        <c:scaling>
          <c:orientation val="minMax"/>
          <c:max val="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166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2.165128876502076E-2</c:v>
                </c:pt>
                <c:pt idx="1">
                  <c:v>2.1664681537297725E-2</c:v>
                </c:pt>
                <c:pt idx="2">
                  <c:v>2.16780741262389E-2</c:v>
                </c:pt>
                <c:pt idx="3">
                  <c:v>2.1691466531846837E-2</c:v>
                </c:pt>
                <c:pt idx="4">
                  <c:v>2.1704858754123868E-2</c:v>
                </c:pt>
                <c:pt idx="5">
                  <c:v>2.1718250793072658E-2</c:v>
                </c:pt>
                <c:pt idx="6">
                  <c:v>2.1731642648695759E-2</c:v>
                </c:pt>
                <c:pt idx="7">
                  <c:v>2.1745034320995504E-2</c:v>
                </c:pt>
                <c:pt idx="8">
                  <c:v>2.1758425809974558E-2</c:v>
                </c:pt>
                <c:pt idx="9">
                  <c:v>2.1771817115635361E-2</c:v>
                </c:pt>
                <c:pt idx="10">
                  <c:v>2.1785208237980469E-2</c:v>
                </c:pt>
                <c:pt idx="11">
                  <c:v>2.1798599177012323E-2</c:v>
                </c:pt>
                <c:pt idx="12">
                  <c:v>2.1811989932733478E-2</c:v>
                </c:pt>
                <c:pt idx="13">
                  <c:v>2.1825380505146486E-2</c:v>
                </c:pt>
                <c:pt idx="14">
                  <c:v>2.1838770894253678E-2</c:v>
                </c:pt>
                <c:pt idx="15">
                  <c:v>2.1852161100057721E-2</c:v>
                </c:pt>
                <c:pt idx="16">
                  <c:v>2.1865551122561167E-2</c:v>
                </c:pt>
                <c:pt idx="17">
                  <c:v>2.1878940961766347E-2</c:v>
                </c:pt>
                <c:pt idx="18">
                  <c:v>2.1892330617675926E-2</c:v>
                </c:pt>
                <c:pt idx="19">
                  <c:v>2.1905720090292458E-2</c:v>
                </c:pt>
                <c:pt idx="20">
                  <c:v>2.1919109379618273E-2</c:v>
                </c:pt>
                <c:pt idx="21">
                  <c:v>2.1932498485655927E-2</c:v>
                </c:pt>
                <c:pt idx="22">
                  <c:v>2.1945887408407971E-2</c:v>
                </c:pt>
                <c:pt idx="23">
                  <c:v>2.1959276147876849E-2</c:v>
                </c:pt>
                <c:pt idx="24">
                  <c:v>2.1972664704065226E-2</c:v>
                </c:pt>
                <c:pt idx="25">
                  <c:v>2.1986053076975542E-2</c:v>
                </c:pt>
                <c:pt idx="26">
                  <c:v>2.1999441266610131E-2</c:v>
                </c:pt>
                <c:pt idx="27">
                  <c:v>2.2012829272971768E-2</c:v>
                </c:pt>
                <c:pt idx="28">
                  <c:v>2.2026217096062783E-2</c:v>
                </c:pt>
                <c:pt idx="29">
                  <c:v>2.2039604735885843E-2</c:v>
                </c:pt>
                <c:pt idx="30">
                  <c:v>2.2052992192443277E-2</c:v>
                </c:pt>
                <c:pt idx="31">
                  <c:v>2.206637946573764E-2</c:v>
                </c:pt>
                <c:pt idx="32">
                  <c:v>2.2079766555771485E-2</c:v>
                </c:pt>
                <c:pt idx="33">
                  <c:v>2.2093153462547366E-2</c:v>
                </c:pt>
                <c:pt idx="34">
                  <c:v>2.2106540186067725E-2</c:v>
                </c:pt>
                <c:pt idx="35">
                  <c:v>2.2119926726335004E-2</c:v>
                </c:pt>
                <c:pt idx="36">
                  <c:v>2.2133313083351869E-2</c:v>
                </c:pt>
                <c:pt idx="37">
                  <c:v>2.214669925712065E-2</c:v>
                </c:pt>
                <c:pt idx="38">
                  <c:v>2.2160085247644012E-2</c:v>
                </c:pt>
                <c:pt idx="39">
                  <c:v>2.217347105492451E-2</c:v>
                </c:pt>
                <c:pt idx="40">
                  <c:v>2.2186856678964362E-2</c:v>
                </c:pt>
                <c:pt idx="41">
                  <c:v>2.2200242119766345E-2</c:v>
                </c:pt>
                <c:pt idx="42">
                  <c:v>2.2213627377332901E-2</c:v>
                </c:pt>
                <c:pt idx="43">
                  <c:v>2.2227012451666583E-2</c:v>
                </c:pt>
                <c:pt idx="44">
                  <c:v>2.2240397342769724E-2</c:v>
                </c:pt>
                <c:pt idx="45">
                  <c:v>2.2253782050644988E-2</c:v>
                </c:pt>
                <c:pt idx="46">
                  <c:v>2.2267166575294817E-2</c:v>
                </c:pt>
                <c:pt idx="47">
                  <c:v>2.2280550916721764E-2</c:v>
                </c:pt>
                <c:pt idx="48">
                  <c:v>2.2293935074928384E-2</c:v>
                </c:pt>
                <c:pt idx="49">
                  <c:v>2.2307319049917007E-2</c:v>
                </c:pt>
                <c:pt idx="50">
                  <c:v>2.2320702841690299E-2</c:v>
                </c:pt>
                <c:pt idx="51">
                  <c:v>2.2334086450250701E-2</c:v>
                </c:pt>
                <c:pt idx="52">
                  <c:v>2.2347469875600767E-2</c:v>
                </c:pt>
                <c:pt idx="53">
                  <c:v>2.2360853117743051E-2</c:v>
                </c:pt>
                <c:pt idx="54">
                  <c:v>2.2374236176679885E-2</c:v>
                </c:pt>
                <c:pt idx="55">
                  <c:v>2.2387619052413932E-2</c:v>
                </c:pt>
                <c:pt idx="56">
                  <c:v>2.2401001744947524E-2</c:v>
                </c:pt>
                <c:pt idx="57">
                  <c:v>2.2414384254283437E-2</c:v>
                </c:pt>
                <c:pt idx="58">
                  <c:v>2.2427766580424002E-2</c:v>
                </c:pt>
                <c:pt idx="59">
                  <c:v>2.2441148723371773E-2</c:v>
                </c:pt>
                <c:pt idx="60">
                  <c:v>2.2454530683129192E-2</c:v>
                </c:pt>
                <c:pt idx="61">
                  <c:v>2.2467912459698813E-2</c:v>
                </c:pt>
                <c:pt idx="62">
                  <c:v>2.248129405308319E-2</c:v>
                </c:pt>
                <c:pt idx="63">
                  <c:v>2.2494675463284763E-2</c:v>
                </c:pt>
                <c:pt idx="64">
                  <c:v>2.2508056690306089E-2</c:v>
                </c:pt>
                <c:pt idx="65">
                  <c:v>2.2521437734149719E-2</c:v>
                </c:pt>
                <c:pt idx="66">
                  <c:v>2.2534818594817985E-2</c:v>
                </c:pt>
                <c:pt idx="67">
                  <c:v>2.2548199272313552E-2</c:v>
                </c:pt>
                <c:pt idx="68">
                  <c:v>2.2561579766638862E-2</c:v>
                </c:pt>
                <c:pt idx="69">
                  <c:v>2.2574960077796469E-2</c:v>
                </c:pt>
                <c:pt idx="70">
                  <c:v>2.2588340205788926E-2</c:v>
                </c:pt>
                <c:pt idx="71">
                  <c:v>2.2601720150618565E-2</c:v>
                </c:pt>
                <c:pt idx="72">
                  <c:v>2.2615099912287939E-2</c:v>
                </c:pt>
                <c:pt idx="73">
                  <c:v>2.2628479490799713E-2</c:v>
                </c:pt>
                <c:pt idx="74">
                  <c:v>2.264185888615633E-2</c:v>
                </c:pt>
                <c:pt idx="75">
                  <c:v>2.265523809836012E-2</c:v>
                </c:pt>
                <c:pt idx="76">
                  <c:v>2.2668617127413859E-2</c:v>
                </c:pt>
                <c:pt idx="77">
                  <c:v>2.2681995973319879E-2</c:v>
                </c:pt>
                <c:pt idx="78">
                  <c:v>2.2695374636080734E-2</c:v>
                </c:pt>
                <c:pt idx="79">
                  <c:v>2.2708753115698865E-2</c:v>
                </c:pt>
                <c:pt idx="80">
                  <c:v>2.2722131412176938E-2</c:v>
                </c:pt>
                <c:pt idx="81">
                  <c:v>2.2735509525517283E-2</c:v>
                </c:pt>
                <c:pt idx="82">
                  <c:v>2.2748887455722566E-2</c:v>
                </c:pt>
                <c:pt idx="83">
                  <c:v>2.2762265202795229E-2</c:v>
                </c:pt>
                <c:pt idx="84">
                  <c:v>2.2775642766737714E-2</c:v>
                </c:pt>
                <c:pt idx="85">
                  <c:v>2.2789020147552574E-2</c:v>
                </c:pt>
                <c:pt idx="86">
                  <c:v>2.2802397345242365E-2</c:v>
                </c:pt>
                <c:pt idx="87">
                  <c:v>2.2815774359809526E-2</c:v>
                </c:pt>
                <c:pt idx="88">
                  <c:v>2.2829151191256614E-2</c:v>
                </c:pt>
                <c:pt idx="89">
                  <c:v>2.284252783958618E-2</c:v>
                </c:pt>
                <c:pt idx="90">
                  <c:v>2.2855904304800556E-2</c:v>
                </c:pt>
                <c:pt idx="91">
                  <c:v>2.2869280586902407E-2</c:v>
                </c:pt>
                <c:pt idx="92">
                  <c:v>2.2882656685894176E-2</c:v>
                </c:pt>
                <c:pt idx="93">
                  <c:v>2.2896032601778304E-2</c:v>
                </c:pt>
                <c:pt idx="94">
                  <c:v>2.2909408334557457E-2</c:v>
                </c:pt>
                <c:pt idx="95">
                  <c:v>2.2922783884234077E-2</c:v>
                </c:pt>
                <c:pt idx="96">
                  <c:v>2.2936159250810606E-2</c:v>
                </c:pt>
                <c:pt idx="97">
                  <c:v>2.2949534434289709E-2</c:v>
                </c:pt>
                <c:pt idx="98">
                  <c:v>2.2962909434673606E-2</c:v>
                </c:pt>
                <c:pt idx="99">
                  <c:v>2.2976284251965073E-2</c:v>
                </c:pt>
                <c:pt idx="100">
                  <c:v>2.2989658886166553E-2</c:v>
                </c:pt>
                <c:pt idx="101">
                  <c:v>2.3003033337280487E-2</c:v>
                </c:pt>
                <c:pt idx="102">
                  <c:v>2.301640760530943E-2</c:v>
                </c:pt>
                <c:pt idx="103">
                  <c:v>2.3029781690255824E-2</c:v>
                </c:pt>
                <c:pt idx="104">
                  <c:v>2.3043155592122333E-2</c:v>
                </c:pt>
                <c:pt idx="105">
                  <c:v>2.3056529310911289E-2</c:v>
                </c:pt>
                <c:pt idx="106">
                  <c:v>2.3069902846625245E-2</c:v>
                </c:pt>
                <c:pt idx="107">
                  <c:v>2.3083276199266756E-2</c:v>
                </c:pt>
                <c:pt idx="108">
                  <c:v>2.3096649368838262E-2</c:v>
                </c:pt>
                <c:pt idx="109">
                  <c:v>2.3110022355342319E-2</c:v>
                </c:pt>
                <c:pt idx="110">
                  <c:v>2.3123395158781479E-2</c:v>
                </c:pt>
                <c:pt idx="111">
                  <c:v>2.3136767779158185E-2</c:v>
                </c:pt>
                <c:pt idx="112">
                  <c:v>2.3150140216474879E-2</c:v>
                </c:pt>
                <c:pt idx="113">
                  <c:v>2.3163512470734116E-2</c:v>
                </c:pt>
                <c:pt idx="114">
                  <c:v>2.3176884541938558E-2</c:v>
                </c:pt>
                <c:pt idx="115">
                  <c:v>2.3190256430090428E-2</c:v>
                </c:pt>
                <c:pt idx="116">
                  <c:v>2.32036281351925E-2</c:v>
                </c:pt>
                <c:pt idx="117">
                  <c:v>2.3216999657247106E-2</c:v>
                </c:pt>
                <c:pt idx="118">
                  <c:v>2.3230370996256799E-2</c:v>
                </c:pt>
                <c:pt idx="119">
                  <c:v>2.3243742152224023E-2</c:v>
                </c:pt>
                <c:pt idx="120">
                  <c:v>2.3257113125151441E-2</c:v>
                </c:pt>
                <c:pt idx="121">
                  <c:v>2.3270483915041384E-2</c:v>
                </c:pt>
                <c:pt idx="122">
                  <c:v>2.3283854521896519E-2</c:v>
                </c:pt>
                <c:pt idx="123">
                  <c:v>2.3297224945719286E-2</c:v>
                </c:pt>
                <c:pt idx="124">
                  <c:v>2.3310595186512129E-2</c:v>
                </c:pt>
                <c:pt idx="125">
                  <c:v>2.33239652442776E-2</c:v>
                </c:pt>
                <c:pt idx="126">
                  <c:v>2.3337335119018254E-2</c:v>
                </c:pt>
                <c:pt idx="127">
                  <c:v>2.3350704810736533E-2</c:v>
                </c:pt>
                <c:pt idx="128">
                  <c:v>2.3364074319434991E-2</c:v>
                </c:pt>
                <c:pt idx="129">
                  <c:v>2.3377443645116069E-2</c:v>
                </c:pt>
                <c:pt idx="130">
                  <c:v>2.3390812787782322E-2</c:v>
                </c:pt>
                <c:pt idx="131">
                  <c:v>2.3404181747436192E-2</c:v>
                </c:pt>
                <c:pt idx="132">
                  <c:v>2.3417550524080233E-2</c:v>
                </c:pt>
                <c:pt idx="133">
                  <c:v>2.3430919117716997E-2</c:v>
                </c:pt>
                <c:pt idx="134">
                  <c:v>2.3444287528348928E-2</c:v>
                </c:pt>
                <c:pt idx="135">
                  <c:v>2.3457655755978468E-2</c:v>
                </c:pt>
                <c:pt idx="136">
                  <c:v>2.3471023800608282E-2</c:v>
                </c:pt>
                <c:pt idx="137">
                  <c:v>2.3484391662240811E-2</c:v>
                </c:pt>
                <c:pt idx="138">
                  <c:v>2.3497759340878499E-2</c:v>
                </c:pt>
                <c:pt idx="139">
                  <c:v>2.3511126836523899E-2</c:v>
                </c:pt>
                <c:pt idx="140">
                  <c:v>2.3524494149179453E-2</c:v>
                </c:pt>
                <c:pt idx="141">
                  <c:v>2.3537861278847827E-2</c:v>
                </c:pt>
                <c:pt idx="142">
                  <c:v>2.3551228225531351E-2</c:v>
                </c:pt>
                <c:pt idx="143">
                  <c:v>2.3564594989232579E-2</c:v>
                </c:pt>
                <c:pt idx="144">
                  <c:v>2.3577961569954065E-2</c:v>
                </c:pt>
                <c:pt idx="145">
                  <c:v>2.3591327967698361E-2</c:v>
                </c:pt>
                <c:pt idx="146">
                  <c:v>2.36046941824678E-2</c:v>
                </c:pt>
                <c:pt idx="147">
                  <c:v>2.3618060214265046E-2</c:v>
                </c:pt>
                <c:pt idx="148">
                  <c:v>2.3631426063092431E-2</c:v>
                </c:pt>
                <c:pt idx="149">
                  <c:v>2.364479172895273E-2</c:v>
                </c:pt>
                <c:pt idx="150">
                  <c:v>2.3658157211848163E-2</c:v>
                </c:pt>
                <c:pt idx="151">
                  <c:v>2.3671522511781395E-2</c:v>
                </c:pt>
                <c:pt idx="152">
                  <c:v>2.3684887628754869E-2</c:v>
                </c:pt>
                <c:pt idx="153">
                  <c:v>2.3698252562771138E-2</c:v>
                </c:pt>
                <c:pt idx="154">
                  <c:v>2.3711617313832756E-2</c:v>
                </c:pt>
                <c:pt idx="155">
                  <c:v>2.3724981881942053E-2</c:v>
                </c:pt>
                <c:pt idx="156">
                  <c:v>2.3738346267101695E-2</c:v>
                </c:pt>
                <c:pt idx="157">
                  <c:v>2.3751710469314125E-2</c:v>
                </c:pt>
                <c:pt idx="158">
                  <c:v>2.3765074488581783E-2</c:v>
                </c:pt>
                <c:pt idx="159">
                  <c:v>2.3778438324907336E-2</c:v>
                </c:pt>
                <c:pt idx="160">
                  <c:v>2.3791801978293114E-2</c:v>
                </c:pt>
                <c:pt idx="161">
                  <c:v>2.3805165448741672E-2</c:v>
                </c:pt>
                <c:pt idx="162">
                  <c:v>2.3818528736255673E-2</c:v>
                </c:pt>
                <c:pt idx="163">
                  <c:v>2.3831891840837338E-2</c:v>
                </c:pt>
                <c:pt idx="164">
                  <c:v>2.3845254762489443E-2</c:v>
                </c:pt>
                <c:pt idx="165">
                  <c:v>2.3858617501214319E-2</c:v>
                </c:pt>
                <c:pt idx="166">
                  <c:v>2.3871980057014519E-2</c:v>
                </c:pt>
                <c:pt idx="167">
                  <c:v>2.3885342429892598E-2</c:v>
                </c:pt>
                <c:pt idx="168">
                  <c:v>2.3898704619850997E-2</c:v>
                </c:pt>
                <c:pt idx="169">
                  <c:v>2.3912066626892159E-2</c:v>
                </c:pt>
                <c:pt idx="170">
                  <c:v>2.3925428451018749E-2</c:v>
                </c:pt>
                <c:pt idx="171">
                  <c:v>2.3938790092233209E-2</c:v>
                </c:pt>
                <c:pt idx="172">
                  <c:v>2.3952151550537981E-2</c:v>
                </c:pt>
                <c:pt idx="173">
                  <c:v>2.396551282593562E-2</c:v>
                </c:pt>
                <c:pt idx="174">
                  <c:v>2.3978873918428567E-2</c:v>
                </c:pt>
                <c:pt idx="175">
                  <c:v>2.3992234828019376E-2</c:v>
                </c:pt>
                <c:pt idx="176">
                  <c:v>2.4005595554710601E-2</c:v>
                </c:pt>
                <c:pt idx="177">
                  <c:v>2.4018956098504685E-2</c:v>
                </c:pt>
                <c:pt idx="178">
                  <c:v>2.4032316459404179E-2</c:v>
                </c:pt>
                <c:pt idx="179">
                  <c:v>2.4045676637411528E-2</c:v>
                </c:pt>
                <c:pt idx="180">
                  <c:v>2.4059036632529285E-2</c:v>
                </c:pt>
                <c:pt idx="181">
                  <c:v>2.4072396444759891E-2</c:v>
                </c:pt>
                <c:pt idx="182">
                  <c:v>2.4085756074105902E-2</c:v>
                </c:pt>
                <c:pt idx="183">
                  <c:v>2.4099115520569758E-2</c:v>
                </c:pt>
                <c:pt idx="184">
                  <c:v>2.4112474784154014E-2</c:v>
                </c:pt>
                <c:pt idx="185">
                  <c:v>2.4125833864861224E-2</c:v>
                </c:pt>
                <c:pt idx="186">
                  <c:v>2.4139192762693829E-2</c:v>
                </c:pt>
                <c:pt idx="187">
                  <c:v>2.4152551477654272E-2</c:v>
                </c:pt>
                <c:pt idx="188">
                  <c:v>2.4165910009745217E-2</c:v>
                </c:pt>
                <c:pt idx="189">
                  <c:v>2.4179268358969108E-2</c:v>
                </c:pt>
                <c:pt idx="190">
                  <c:v>2.4192626525328276E-2</c:v>
                </c:pt>
                <c:pt idx="191">
                  <c:v>2.4205984508825495E-2</c:v>
                </c:pt>
                <c:pt idx="192">
                  <c:v>2.4219342309463099E-2</c:v>
                </c:pt>
                <c:pt idx="193">
                  <c:v>2.4232699927243528E-2</c:v>
                </c:pt>
                <c:pt idx="194">
                  <c:v>2.4246057362169449E-2</c:v>
                </c:pt>
                <c:pt idx="195">
                  <c:v>2.4259414614243413E-2</c:v>
                </c:pt>
                <c:pt idx="196">
                  <c:v>2.4272771683467642E-2</c:v>
                </c:pt>
                <c:pt idx="197">
                  <c:v>2.4286128569844911E-2</c:v>
                </c:pt>
                <c:pt idx="198">
                  <c:v>2.4299485273377663E-2</c:v>
                </c:pt>
                <c:pt idx="199">
                  <c:v>2.431284179406823E-2</c:v>
                </c:pt>
                <c:pt idx="200">
                  <c:v>2.4326198131919385E-2</c:v>
                </c:pt>
                <c:pt idx="201">
                  <c:v>2.4339554286933351E-2</c:v>
                </c:pt>
                <c:pt idx="202">
                  <c:v>2.4352910259112903E-2</c:v>
                </c:pt>
                <c:pt idx="203">
                  <c:v>2.4366266048460372E-2</c:v>
                </c:pt>
                <c:pt idx="204">
                  <c:v>2.4379621654978201E-2</c:v>
                </c:pt>
                <c:pt idx="205">
                  <c:v>2.4392977078669054E-2</c:v>
                </c:pt>
                <c:pt idx="206">
                  <c:v>2.4406332319535484E-2</c:v>
                </c:pt>
                <c:pt idx="207">
                  <c:v>2.4419687377579713E-2</c:v>
                </c:pt>
                <c:pt idx="208">
                  <c:v>2.4433042252804515E-2</c:v>
                </c:pt>
                <c:pt idx="209">
                  <c:v>2.4446396945212223E-2</c:v>
                </c:pt>
                <c:pt idx="210">
                  <c:v>2.4459751454805501E-2</c:v>
                </c:pt>
                <c:pt idx="211">
                  <c:v>2.4473105781586679E-2</c:v>
                </c:pt>
                <c:pt idx="212">
                  <c:v>2.4486459925558313E-2</c:v>
                </c:pt>
                <c:pt idx="213">
                  <c:v>2.4499813886723065E-2</c:v>
                </c:pt>
                <c:pt idx="214">
                  <c:v>2.4513167665083158E-2</c:v>
                </c:pt>
                <c:pt idx="215">
                  <c:v>2.4526521260641254E-2</c:v>
                </c:pt>
                <c:pt idx="216">
                  <c:v>2.4539874673399908E-2</c:v>
                </c:pt>
                <c:pt idx="217">
                  <c:v>2.4553227903361563E-2</c:v>
                </c:pt>
                <c:pt idx="218">
                  <c:v>2.456658095052866E-2</c:v>
                </c:pt>
                <c:pt idx="219">
                  <c:v>2.4579933814903754E-2</c:v>
                </c:pt>
                <c:pt idx="220">
                  <c:v>2.4593286496489397E-2</c:v>
                </c:pt>
                <c:pt idx="221">
                  <c:v>2.4606638995288033E-2</c:v>
                </c:pt>
                <c:pt idx="222">
                  <c:v>2.4619991311302103E-2</c:v>
                </c:pt>
                <c:pt idx="223">
                  <c:v>2.4633343444534272E-2</c:v>
                </c:pt>
                <c:pt idx="224">
                  <c:v>2.4646695394986873E-2</c:v>
                </c:pt>
                <c:pt idx="225">
                  <c:v>2.4660047162662568E-2</c:v>
                </c:pt>
                <c:pt idx="226">
                  <c:v>2.4673398747563691E-2</c:v>
                </c:pt>
                <c:pt idx="227">
                  <c:v>2.4686750149692904E-2</c:v>
                </c:pt>
                <c:pt idx="228">
                  <c:v>2.4700101369052541E-2</c:v>
                </c:pt>
                <c:pt idx="229">
                  <c:v>2.4713452405645264E-2</c:v>
                </c:pt>
                <c:pt idx="230">
                  <c:v>2.4726803259473518E-2</c:v>
                </c:pt>
                <c:pt idx="231">
                  <c:v>2.4740153930539743E-2</c:v>
                </c:pt>
                <c:pt idx="232">
                  <c:v>2.4753504418846495E-2</c:v>
                </c:pt>
                <c:pt idx="233">
                  <c:v>2.4766854724396326E-2</c:v>
                </c:pt>
                <c:pt idx="234">
                  <c:v>2.4780204847191678E-2</c:v>
                </c:pt>
                <c:pt idx="235">
                  <c:v>2.4793554787234995E-2</c:v>
                </c:pt>
                <c:pt idx="236">
                  <c:v>2.480690454452894E-2</c:v>
                </c:pt>
                <c:pt idx="237">
                  <c:v>2.4820254119075846E-2</c:v>
                </c:pt>
                <c:pt idx="238">
                  <c:v>2.4833603510878266E-2</c:v>
                </c:pt>
                <c:pt idx="239">
                  <c:v>2.4846952719938753E-2</c:v>
                </c:pt>
                <c:pt idx="240">
                  <c:v>2.4860301746259861E-2</c:v>
                </c:pt>
                <c:pt idx="241">
                  <c:v>2.4873650589843921E-2</c:v>
                </c:pt>
                <c:pt idx="242">
                  <c:v>2.4886999250693487E-2</c:v>
                </c:pt>
                <c:pt idx="243">
                  <c:v>2.4900347728811223E-2</c:v>
                </c:pt>
                <c:pt idx="244">
                  <c:v>2.491369602419935E-2</c:v>
                </c:pt>
                <c:pt idx="245">
                  <c:v>2.4927044136860643E-2</c:v>
                </c:pt>
                <c:pt idx="246">
                  <c:v>2.4940392066797434E-2</c:v>
                </c:pt>
                <c:pt idx="247">
                  <c:v>2.4953739814012277E-2</c:v>
                </c:pt>
                <c:pt idx="248">
                  <c:v>2.4967087378507724E-2</c:v>
                </c:pt>
                <c:pt idx="249">
                  <c:v>2.4980434760286108E-2</c:v>
                </c:pt>
                <c:pt idx="250">
                  <c:v>2.4993781959350092E-2</c:v>
                </c:pt>
                <c:pt idx="251">
                  <c:v>2.500712897570212E-2</c:v>
                </c:pt>
                <c:pt idx="252">
                  <c:v>2.5020475809344744E-2</c:v>
                </c:pt>
                <c:pt idx="253">
                  <c:v>2.5033822460280408E-2</c:v>
                </c:pt>
                <c:pt idx="254">
                  <c:v>2.5047168928511665E-2</c:v>
                </c:pt>
                <c:pt idx="255">
                  <c:v>2.5060515214040957E-2</c:v>
                </c:pt>
                <c:pt idx="256">
                  <c:v>2.5073861316870727E-2</c:v>
                </c:pt>
                <c:pt idx="257">
                  <c:v>2.5087207237003639E-2</c:v>
                </c:pt>
                <c:pt idx="258">
                  <c:v>2.5100552974442136E-2</c:v>
                </c:pt>
                <c:pt idx="259">
                  <c:v>2.5113898529188661E-2</c:v>
                </c:pt>
                <c:pt idx="260">
                  <c:v>2.5127243901245655E-2</c:v>
                </c:pt>
                <c:pt idx="261">
                  <c:v>2.5140589090615784E-2</c:v>
                </c:pt>
                <c:pt idx="262">
                  <c:v>2.5153934097301489E-2</c:v>
                </c:pt>
                <c:pt idx="263">
                  <c:v>2.5167278921305325E-2</c:v>
                </c:pt>
                <c:pt idx="264">
                  <c:v>2.5180623562629623E-2</c:v>
                </c:pt>
                <c:pt idx="265">
                  <c:v>2.5193968021277047E-2</c:v>
                </c:pt>
                <c:pt idx="266">
                  <c:v>2.520731229725004E-2</c:v>
                </c:pt>
                <c:pt idx="267">
                  <c:v>2.5220656390551044E-2</c:v>
                </c:pt>
                <c:pt idx="268">
                  <c:v>2.5234000301182724E-2</c:v>
                </c:pt>
                <c:pt idx="269">
                  <c:v>2.5247344029147301E-2</c:v>
                </c:pt>
                <c:pt idx="270">
                  <c:v>2.5260687574447549E-2</c:v>
                </c:pt>
                <c:pt idx="271">
                  <c:v>2.5274030937085912E-2</c:v>
                </c:pt>
                <c:pt idx="272">
                  <c:v>2.5287374117064831E-2</c:v>
                </c:pt>
                <c:pt idx="273">
                  <c:v>2.530071711438675E-2</c:v>
                </c:pt>
                <c:pt idx="274">
                  <c:v>2.5314059929054333E-2</c:v>
                </c:pt>
                <c:pt idx="275">
                  <c:v>2.5327402561069912E-2</c:v>
                </c:pt>
                <c:pt idx="276">
                  <c:v>2.5340745010436039E-2</c:v>
                </c:pt>
                <c:pt idx="277">
                  <c:v>2.5354087277155268E-2</c:v>
                </c:pt>
                <c:pt idx="278">
                  <c:v>2.5367429361230154E-2</c:v>
                </c:pt>
                <c:pt idx="279">
                  <c:v>2.5380771262663027E-2</c:v>
                </c:pt>
                <c:pt idx="280">
                  <c:v>2.539411298145644E-2</c:v>
                </c:pt>
                <c:pt idx="281">
                  <c:v>2.540745451761306E-2</c:v>
                </c:pt>
                <c:pt idx="282">
                  <c:v>2.5420795871135105E-2</c:v>
                </c:pt>
                <c:pt idx="283">
                  <c:v>2.5434137042025351E-2</c:v>
                </c:pt>
                <c:pt idx="284">
                  <c:v>2.544747803028613E-2</c:v>
                </c:pt>
                <c:pt idx="285">
                  <c:v>2.5460818835919885E-2</c:v>
                </c:pt>
                <c:pt idx="286">
                  <c:v>2.547415945892928E-2</c:v>
                </c:pt>
                <c:pt idx="287">
                  <c:v>2.5487499899316868E-2</c:v>
                </c:pt>
                <c:pt idx="288">
                  <c:v>2.550084015708487E-2</c:v>
                </c:pt>
                <c:pt idx="289">
                  <c:v>2.5514180232236061E-2</c:v>
                </c:pt>
                <c:pt idx="290">
                  <c:v>2.5527520124772662E-2</c:v>
                </c:pt>
                <c:pt idx="291">
                  <c:v>2.5540859834697449E-2</c:v>
                </c:pt>
                <c:pt idx="292">
                  <c:v>2.5554199362012864E-2</c:v>
                </c:pt>
                <c:pt idx="293">
                  <c:v>2.5567538706721238E-2</c:v>
                </c:pt>
                <c:pt idx="294">
                  <c:v>2.5580877868825236E-2</c:v>
                </c:pt>
                <c:pt idx="295">
                  <c:v>2.55942168483273E-2</c:v>
                </c:pt>
                <c:pt idx="296">
                  <c:v>2.5607555645229985E-2</c:v>
                </c:pt>
                <c:pt idx="297">
                  <c:v>2.5620894259535731E-2</c:v>
                </c:pt>
                <c:pt idx="298">
                  <c:v>2.5634232691246983E-2</c:v>
                </c:pt>
                <c:pt idx="299">
                  <c:v>2.5647570940366293E-2</c:v>
                </c:pt>
                <c:pt idx="300">
                  <c:v>2.5660909006896215E-2</c:v>
                </c:pt>
                <c:pt idx="301">
                  <c:v>2.5674246890839303E-2</c:v>
                </c:pt>
                <c:pt idx="302">
                  <c:v>2.5687584592197776E-2</c:v>
                </c:pt>
                <c:pt idx="303">
                  <c:v>2.5700922110974411E-2</c:v>
                </c:pt>
                <c:pt idx="304">
                  <c:v>2.571425944717165E-2</c:v>
                </c:pt>
                <c:pt idx="305">
                  <c:v>2.5727596600791935E-2</c:v>
                </c:pt>
                <c:pt idx="306">
                  <c:v>2.5740933571837821E-2</c:v>
                </c:pt>
                <c:pt idx="307">
                  <c:v>2.5754270360311637E-2</c:v>
                </c:pt>
                <c:pt idx="308">
                  <c:v>2.5767606966216161E-2</c:v>
                </c:pt>
                <c:pt idx="309">
                  <c:v>2.5780943389553723E-2</c:v>
                </c:pt>
                <c:pt idx="310">
                  <c:v>2.5794279630326766E-2</c:v>
                </c:pt>
                <c:pt idx="311">
                  <c:v>2.5807615688537955E-2</c:v>
                </c:pt>
                <c:pt idx="312">
                  <c:v>2.582095156418962E-2</c:v>
                </c:pt>
                <c:pt idx="313">
                  <c:v>2.5834287257284427E-2</c:v>
                </c:pt>
                <c:pt idx="314">
                  <c:v>2.5847622767824818E-2</c:v>
                </c:pt>
                <c:pt idx="315">
                  <c:v>2.5860958095813236E-2</c:v>
                </c:pt>
                <c:pt idx="316">
                  <c:v>2.5874293241252122E-2</c:v>
                </c:pt>
                <c:pt idx="317">
                  <c:v>2.5887628204144142E-2</c:v>
                </c:pt>
                <c:pt idx="318">
                  <c:v>2.5900962984491738E-2</c:v>
                </c:pt>
                <c:pt idx="319">
                  <c:v>2.5914297582297352E-2</c:v>
                </c:pt>
                <c:pt idx="320">
                  <c:v>2.5927631997563538E-2</c:v>
                </c:pt>
                <c:pt idx="321">
                  <c:v>2.594096623029285E-2</c:v>
                </c:pt>
                <c:pt idx="322">
                  <c:v>2.5954300280487619E-2</c:v>
                </c:pt>
                <c:pt idx="323">
                  <c:v>2.5967634148150398E-2</c:v>
                </c:pt>
                <c:pt idx="324">
                  <c:v>2.5980967833283852E-2</c:v>
                </c:pt>
                <c:pt idx="325">
                  <c:v>2.5994301335890313E-2</c:v>
                </c:pt>
                <c:pt idx="326">
                  <c:v>2.6007634655972223E-2</c:v>
                </c:pt>
                <c:pt idx="327">
                  <c:v>2.6020967793532246E-2</c:v>
                </c:pt>
                <c:pt idx="328">
                  <c:v>2.6034300748572825E-2</c:v>
                </c:pt>
                <c:pt idx="329">
                  <c:v>2.6047633521096514E-2</c:v>
                </c:pt>
                <c:pt idx="330">
                  <c:v>2.6060966111105643E-2</c:v>
                </c:pt>
                <c:pt idx="331">
                  <c:v>2.6074298518602768E-2</c:v>
                </c:pt>
                <c:pt idx="332">
                  <c:v>2.6087630743590551E-2</c:v>
                </c:pt>
                <c:pt idx="333">
                  <c:v>2.6100962786071324E-2</c:v>
                </c:pt>
                <c:pt idx="334">
                  <c:v>2.6114294646047642E-2</c:v>
                </c:pt>
                <c:pt idx="335">
                  <c:v>2.6127626323521946E-2</c:v>
                </c:pt>
                <c:pt idx="336">
                  <c:v>2.6140957818496791E-2</c:v>
                </c:pt>
                <c:pt idx="337">
                  <c:v>2.6154289130974728E-2</c:v>
                </c:pt>
                <c:pt idx="338">
                  <c:v>2.6167620260958091E-2</c:v>
                </c:pt>
                <c:pt idx="339">
                  <c:v>2.6180951208449543E-2</c:v>
                </c:pt>
                <c:pt idx="340">
                  <c:v>2.6194281973451528E-2</c:v>
                </c:pt>
                <c:pt idx="341">
                  <c:v>2.6207612555966486E-2</c:v>
                </c:pt>
                <c:pt idx="342">
                  <c:v>2.6220942955997084E-2</c:v>
                </c:pt>
                <c:pt idx="343">
                  <c:v>2.6234273173545541E-2</c:v>
                </c:pt>
                <c:pt idx="344">
                  <c:v>2.6247603208614634E-2</c:v>
                </c:pt>
                <c:pt idx="345">
                  <c:v>2.6260933061206693E-2</c:v>
                </c:pt>
                <c:pt idx="346">
                  <c:v>2.6274262731324272E-2</c:v>
                </c:pt>
                <c:pt idx="347">
                  <c:v>2.6287592218969813E-2</c:v>
                </c:pt>
                <c:pt idx="348">
                  <c:v>2.630092152414587E-2</c:v>
                </c:pt>
                <c:pt idx="349">
                  <c:v>2.6314250646854997E-2</c:v>
                </c:pt>
                <c:pt idx="350">
                  <c:v>2.6327579587099637E-2</c:v>
                </c:pt>
                <c:pt idx="351">
                  <c:v>2.634090834488223E-2</c:v>
                </c:pt>
                <c:pt idx="352">
                  <c:v>2.6354236920205332E-2</c:v>
                </c:pt>
                <c:pt idx="353">
                  <c:v>2.6367565313071384E-2</c:v>
                </c:pt>
                <c:pt idx="354">
                  <c:v>2.638089352348294E-2</c:v>
                </c:pt>
                <c:pt idx="355">
                  <c:v>2.6394221551442554E-2</c:v>
                </c:pt>
                <c:pt idx="356">
                  <c:v>2.6407549396952668E-2</c:v>
                </c:pt>
                <c:pt idx="357">
                  <c:v>2.6420877060015724E-2</c:v>
                </c:pt>
                <c:pt idx="358">
                  <c:v>2.6434204540634276E-2</c:v>
                </c:pt>
                <c:pt idx="359">
                  <c:v>2.6447531838810767E-2</c:v>
                </c:pt>
                <c:pt idx="360">
                  <c:v>2.646085895454775E-2</c:v>
                </c:pt>
                <c:pt idx="361">
                  <c:v>2.6474185887847779E-2</c:v>
                </c:pt>
                <c:pt idx="362">
                  <c:v>2.6487512638713184E-2</c:v>
                </c:pt>
                <c:pt idx="363">
                  <c:v>2.6500839207146631E-2</c:v>
                </c:pt>
                <c:pt idx="364">
                  <c:v>2.6514165593150563E-2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4.4320152230940005E-2</c:v>
                </c:pt>
                <c:pt idx="1">
                  <c:v>4.4357508546498642E-2</c:v>
                </c:pt>
                <c:pt idx="2">
                  <c:v>4.4394918765304922E-2</c:v>
                </c:pt>
                <c:pt idx="3">
                  <c:v>4.4432372804855173E-2</c:v>
                </c:pt>
                <c:pt idx="4">
                  <c:v>4.4469861887990937E-2</c:v>
                </c:pt>
                <c:pt idx="5">
                  <c:v>4.45073785053322E-2</c:v>
                </c:pt>
                <c:pt idx="6">
                  <c:v>4.4544916367663362E-2</c:v>
                </c:pt>
                <c:pt idx="7">
                  <c:v>4.4582470349065116E-2</c:v>
                </c:pt>
                <c:pt idx="8">
                  <c:v>4.4620036421654671E-2</c:v>
                </c:pt>
                <c:pt idx="9">
                  <c:v>4.4657611582856881E-2</c:v>
                </c:pt>
                <c:pt idx="10">
                  <c:v>4.4695193776179441E-2</c:v>
                </c:pt>
                <c:pt idx="11">
                  <c:v>4.4732781806504314E-2</c:v>
                </c:pt>
                <c:pt idx="12">
                  <c:v>4.4770375250938771E-2</c:v>
                </c:pt>
                <c:pt idx="13">
                  <c:v>4.4807974366286869E-2</c:v>
                </c:pt>
                <c:pt idx="14">
                  <c:v>4.4845579994211585E-2</c:v>
                </c:pt>
                <c:pt idx="15">
                  <c:v>4.4883193465155631E-2</c:v>
                </c:pt>
                <c:pt idx="16">
                  <c:v>4.492081650207605E-2</c:v>
                </c:pt>
                <c:pt idx="17">
                  <c:v>4.4958451125025618E-2</c:v>
                </c:pt>
                <c:pt idx="18">
                  <c:v>4.4996099557581527E-2</c:v>
                </c:pt>
                <c:pt idx="19">
                  <c:v>4.5033764136080442E-2</c:v>
                </c:pt>
                <c:pt idx="20">
                  <c:v>4.5071447222568728E-2</c:v>
                </c:pt>
                <c:pt idx="21">
                  <c:v>4.5109151122318385E-2</c:v>
                </c:pt>
                <c:pt idx="22">
                  <c:v>4.5146878006693557E-2</c:v>
                </c:pt>
                <c:pt idx="23">
                  <c:v>4.518462984208043E-2</c:v>
                </c:pt>
                <c:pt idx="24">
                  <c:v>4.5222408325515127E-2</c:v>
                </c:pt>
                <c:pt idx="25">
                  <c:v>4.5260214827561505E-2</c:v>
                </c:pt>
                <c:pt idx="26">
                  <c:v>4.5298050342904128E-2</c:v>
                </c:pt>
                <c:pt idx="27">
                  <c:v>4.5335915449031393E-2</c:v>
                </c:pt>
                <c:pt idx="28">
                  <c:v>4.5373810273292459E-2</c:v>
                </c:pt>
                <c:pt idx="29">
                  <c:v>4.5411734468518455E-2</c:v>
                </c:pt>
                <c:pt idx="30">
                  <c:v>4.5449687197305119E-2</c:v>
                </c:pt>
                <c:pt idx="31">
                  <c:v>4.5487667124962307E-2</c:v>
                </c:pt>
                <c:pt idx="32">
                  <c:v>4.5525672421044772E-2</c:v>
                </c:pt>
                <c:pt idx="33">
                  <c:v>4.5563700769291338E-2</c:v>
                </c:pt>
                <c:pt idx="34">
                  <c:v>4.5601749385714714E-2</c:v>
                </c:pt>
                <c:pt idx="35">
                  <c:v>4.5639815044504942E-2</c:v>
                </c:pt>
                <c:pt idx="36">
                  <c:v>4.5677894111333779E-2</c:v>
                </c:pt>
                <c:pt idx="37">
                  <c:v>4.5715982583578965E-2</c:v>
                </c:pt>
                <c:pt idx="38">
                  <c:v>4.5754076136924178E-2</c:v>
                </c:pt>
                <c:pt idx="39">
                  <c:v>4.5792170177734542E-2</c:v>
                </c:pt>
                <c:pt idx="40">
                  <c:v>4.5830259900559847E-2</c:v>
                </c:pt>
                <c:pt idx="41">
                  <c:v>4.5868340350075872E-2</c:v>
                </c:pt>
                <c:pt idx="42">
                  <c:v>4.5906406486742532E-2</c:v>
                </c:pt>
                <c:pt idx="43">
                  <c:v>4.5944453255432796E-2</c:v>
                </c:pt>
                <c:pt idx="44">
                  <c:v>4.5982475656269721E-2</c:v>
                </c:pt>
                <c:pt idx="45">
                  <c:v>4.6020468816902263E-2</c:v>
                </c:pt>
                <c:pt idx="46">
                  <c:v>4.605842806544979E-2</c:v>
                </c:pt>
                <c:pt idx="47">
                  <c:v>4.6096349003354589E-2</c:v>
                </c:pt>
                <c:pt idx="48">
                  <c:v>4.6134227577397768E-2</c:v>
                </c:pt>
                <c:pt idx="49">
                  <c:v>4.617206015015763E-2</c:v>
                </c:pt>
                <c:pt idx="50">
                  <c:v>4.6209843568220756E-2</c:v>
                </c:pt>
                <c:pt idx="51">
                  <c:v>4.624757522749337E-2</c:v>
                </c:pt>
                <c:pt idx="52">
                  <c:v>4.6285253135004117E-2</c:v>
                </c:pt>
                <c:pt idx="53">
                  <c:v>4.6322875966638422E-2</c:v>
                </c:pt>
                <c:pt idx="54">
                  <c:v>4.6360443120297946E-2</c:v>
                </c:pt>
                <c:pt idx="55">
                  <c:v>4.6397954764037151E-2</c:v>
                </c:pt>
                <c:pt idx="56">
                  <c:v>4.64354118787891E-2</c:v>
                </c:pt>
                <c:pt idx="57">
                  <c:v>4.6472816295357176E-2</c:v>
                </c:pt>
                <c:pt idx="58">
                  <c:v>4.6510170725414447E-2</c:v>
                </c:pt>
                <c:pt idx="59">
                  <c:v>4.6547478786318715E-2</c:v>
                </c:pt>
                <c:pt idx="60">
                  <c:v>4.658474501961847E-2</c:v>
                </c:pt>
                <c:pt idx="61">
                  <c:v>4.6621974903190574E-2</c:v>
                </c:pt>
                <c:pt idx="62">
                  <c:v>4.6659174857015935E-2</c:v>
                </c:pt>
                <c:pt idx="63">
                  <c:v>4.6696352242661616E-2</c:v>
                </c:pt>
                <c:pt idx="64">
                  <c:v>4.6733515356598546E-2</c:v>
                </c:pt>
                <c:pt idx="65">
                  <c:v>4.6770673417540508E-2</c:v>
                </c:pt>
                <c:pt idx="66">
                  <c:v>4.680783654804288E-2</c:v>
                </c:pt>
                <c:pt idx="67">
                  <c:v>4.6845015750648068E-2</c:v>
                </c:pt>
                <c:pt idx="68">
                  <c:v>4.688222287890801E-2</c:v>
                </c:pt>
                <c:pt idx="69">
                  <c:v>4.6919470603651973E-2</c:v>
                </c:pt>
                <c:pt idx="70">
                  <c:v>4.6956772374900674E-2</c:v>
                </c:pt>
                <c:pt idx="71">
                  <c:v>4.6994142379853394E-2</c:v>
                </c:pt>
                <c:pt idx="72">
                  <c:v>4.7031595497395905E-2</c:v>
                </c:pt>
                <c:pt idx="73">
                  <c:v>4.7069147249590396E-2</c:v>
                </c:pt>
                <c:pt idx="74">
                  <c:v>4.7106813750616518E-2</c:v>
                </c:pt>
                <c:pt idx="75">
                  <c:v>4.7144611653634365E-2</c:v>
                </c:pt>
                <c:pt idx="76">
                  <c:v>4.7182558096035512E-2</c:v>
                </c:pt>
                <c:pt idx="77">
                  <c:v>4.7220670643537695E-2</c:v>
                </c:pt>
                <c:pt idx="78">
                  <c:v>4.7258967233562939E-2</c:v>
                </c:pt>
                <c:pt idx="79">
                  <c:v>4.7297466118317477E-2</c:v>
                </c:pt>
                <c:pt idx="80">
                  <c:v>4.7336185807965683E-2</c:v>
                </c:pt>
                <c:pt idx="81">
                  <c:v>4.7375145014259615E-2</c:v>
                </c:pt>
                <c:pt idx="82">
                  <c:v>4.7414362594951721E-2</c:v>
                </c:pt>
                <c:pt idx="83">
                  <c:v>4.7453857499279967E-2</c:v>
                </c:pt>
                <c:pt idx="84">
                  <c:v>4.7493648714774642E-2</c:v>
                </c:pt>
                <c:pt idx="85">
                  <c:v>4.7533755215593644E-2</c:v>
                </c:pt>
                <c:pt idx="86">
                  <c:v>4.7574195912548571E-2</c:v>
                </c:pt>
                <c:pt idx="87">
                  <c:v>4.7614989604939782E-2</c:v>
                </c:pt>
                <c:pt idx="88">
                  <c:v>4.7656154934273574E-2</c:v>
                </c:pt>
                <c:pt idx="89">
                  <c:v>4.7697710339890224E-2</c:v>
                </c:pt>
                <c:pt idx="90">
                  <c:v>4.7739674016488619E-2</c:v>
                </c:pt>
                <c:pt idx="91">
                  <c:v>4.7782063873492382E-2</c:v>
                </c:pt>
                <c:pt idx="92">
                  <c:v>4.782489749616306E-2</c:v>
                </c:pt>
                <c:pt idx="93">
                  <c:v>4.7868192108330626E-2</c:v>
                </c:pt>
                <c:pt idx="94">
                  <c:v>4.7911964536579366E-2</c:v>
                </c:pt>
                <c:pt idx="95">
                  <c:v>4.7956231175698902E-2</c:v>
                </c:pt>
                <c:pt idx="96">
                  <c:v>4.8001007955186678E-2</c:v>
                </c:pt>
                <c:pt idx="97">
                  <c:v>4.8046310306569154E-2</c:v>
                </c:pt>
                <c:pt idx="98">
                  <c:v>4.8092153131295515E-2</c:v>
                </c:pt>
                <c:pt idx="99">
                  <c:v>4.8138550768949115E-2</c:v>
                </c:pt>
                <c:pt idx="100">
                  <c:v>4.8185516965519086E-2</c:v>
                </c:pt>
                <c:pt idx="101">
                  <c:v>4.8233064841477387E-2</c:v>
                </c:pt>
                <c:pt idx="102">
                  <c:v>4.828120685941481E-2</c:v>
                </c:pt>
                <c:pt idx="103">
                  <c:v>4.8329954791003223E-2</c:v>
                </c:pt>
                <c:pt idx="104">
                  <c:v>4.8379319683070965E-2</c:v>
                </c:pt>
                <c:pt idx="105">
                  <c:v>4.8429311822602253E-2</c:v>
                </c:pt>
                <c:pt idx="106">
                  <c:v>4.8479940700501017E-2</c:v>
                </c:pt>
                <c:pt idx="107">
                  <c:v>4.8531214973993528E-2</c:v>
                </c:pt>
                <c:pt idx="108">
                  <c:v>4.8583142427581751E-2</c:v>
                </c:pt>
                <c:pt idx="109">
                  <c:v>4.863572993250103E-2</c:v>
                </c:pt>
                <c:pt idx="110">
                  <c:v>4.8688983404680468E-2</c:v>
                </c:pt>
                <c:pt idx="111">
                  <c:v>4.8742907761251064E-2</c:v>
                </c:pt>
                <c:pt idx="112">
                  <c:v>4.8797506875695985E-2</c:v>
                </c:pt>
                <c:pt idx="113">
                  <c:v>4.8852783531787049E-2</c:v>
                </c:pt>
                <c:pt idx="114">
                  <c:v>4.8908739376502509E-2</c:v>
                </c:pt>
                <c:pt idx="115">
                  <c:v>4.8965374872171348E-2</c:v>
                </c:pt>
                <c:pt idx="116">
                  <c:v>4.9022689248139135E-2</c:v>
                </c:pt>
                <c:pt idx="117">
                  <c:v>4.9080680452297819E-2</c:v>
                </c:pt>
                <c:pt idx="118">
                  <c:v>4.9139345102868021E-2</c:v>
                </c:pt>
                <c:pt idx="119">
                  <c:v>8.0885102312609237E-3</c:v>
                </c:pt>
                <c:pt idx="120">
                  <c:v>8.1724394528763355E-3</c:v>
                </c:pt>
                <c:pt idx="121">
                  <c:v>8.2564731972242372E-3</c:v>
                </c:pt>
                <c:pt idx="122">
                  <c:v>8.3406128308472875E-3</c:v>
                </c:pt>
                <c:pt idx="123">
                  <c:v>8.4248593868299672E-3</c:v>
                </c:pt>
                <c:pt idx="124">
                  <c:v>8.5092135474160082E-3</c:v>
                </c:pt>
                <c:pt idx="125">
                  <c:v>8.5936756270626885E-3</c:v>
                </c:pt>
                <c:pt idx="126">
                  <c:v>8.6782455560784812E-3</c:v>
                </c:pt>
                <c:pt idx="127">
                  <c:v>8.7629228649968374E-3</c:v>
                </c:pt>
                <c:pt idx="128">
                  <c:v>8.8477066698436947E-3</c:v>
                </c:pt>
                <c:pt idx="129">
                  <c:v>8.9325956584598281E-3</c:v>
                </c:pt>
                <c:pt idx="130">
                  <c:v>9.0175880780407665E-3</c:v>
                </c:pt>
                <c:pt idx="131">
                  <c:v>9.1026817240573779E-3</c:v>
                </c:pt>
                <c:pt idx="132">
                  <c:v>9.187873930718132E-3</c:v>
                </c:pt>
                <c:pt idx="133">
                  <c:v>9.2731615631309328E-3</c:v>
                </c:pt>
                <c:pt idx="134">
                  <c:v>9.3585410113166071E-3</c:v>
                </c:pt>
                <c:pt idx="135">
                  <c:v>9.4440081862191827E-3</c:v>
                </c:pt>
                <c:pt idx="136">
                  <c:v>9.5295585178485909E-3</c:v>
                </c:pt>
                <c:pt idx="137">
                  <c:v>9.6151869556805967E-3</c:v>
                </c:pt>
                <c:pt idx="138">
                  <c:v>9.7008879714258322E-3</c:v>
                </c:pt>
                <c:pt idx="139">
                  <c:v>9.7866555642651364E-3</c:v>
                </c:pt>
                <c:pt idx="140">
                  <c:v>9.8724832686324423E-3</c:v>
                </c:pt>
                <c:pt idx="141">
                  <c:v>9.9583641646084076E-3</c:v>
                </c:pt>
                <c:pt idx="142">
                  <c:v>1.0044290890969186E-2</c:v>
                </c:pt>
                <c:pt idx="143">
                  <c:v>1.0130255660914233E-2</c:v>
                </c:pt>
                <c:pt idx="144">
                  <c:v>1.0216250280475851E-2</c:v>
                </c:pt>
                <c:pt idx="145">
                  <c:v>1.0302266169590879E-2</c:v>
                </c:pt>
                <c:pt idx="146">
                  <c:v>1.0388294385792141E-2</c:v>
                </c:pt>
                <c:pt idx="147">
                  <c:v>1.0474325650454284E-2</c:v>
                </c:pt>
                <c:pt idx="148">
                  <c:v>1.05603503775048E-2</c:v>
                </c:pt>
                <c:pt idx="149">
                  <c:v>1.0646358704488202E-2</c:v>
                </c:pt>
                <c:pt idx="150">
                  <c:v>1.0732340525847929E-2</c:v>
                </c:pt>
                <c:pt idx="151">
                  <c:v>1.081828552826828E-2</c:v>
                </c:pt>
                <c:pt idx="152">
                  <c:v>1.0904183227897005E-2</c:v>
                </c:pt>
                <c:pt idx="153">
                  <c:v>1.0990023009248499E-2</c:v>
                </c:pt>
                <c:pt idx="154">
                  <c:v>1.1075794165568288E-2</c:v>
                </c:pt>
                <c:pt idx="155">
                  <c:v>1.1161485940421576E-2</c:v>
                </c:pt>
                <c:pt idx="156">
                  <c:v>1.1247087570252773E-2</c:v>
                </c:pt>
                <c:pt idx="157">
                  <c:v>1.1332588327648397E-2</c:v>
                </c:pt>
                <c:pt idx="158">
                  <c:v>1.1417977565024122E-2</c:v>
                </c:pt>
                <c:pt idx="159">
                  <c:v>1.1503244758446581E-2</c:v>
                </c:pt>
                <c:pt idx="160">
                  <c:v>1.1588379551293727E-2</c:v>
                </c:pt>
                <c:pt idx="161">
                  <c:v>1.16733717974522E-2</c:v>
                </c:pt>
                <c:pt idx="162">
                  <c:v>1.1758211603748594E-2</c:v>
                </c:pt>
                <c:pt idx="163">
                  <c:v>1.1842889371311824E-2</c:v>
                </c:pt>
                <c:pt idx="164">
                  <c:v>1.1927395835567326E-2</c:v>
                </c:pt>
                <c:pt idx="165">
                  <c:v>1.2011722104569892E-2</c:v>
                </c:pt>
                <c:pt idx="166">
                  <c:v>1.209585969539112E-2</c:v>
                </c:pt>
                <c:pt idx="167">
                  <c:v>1.2179800568288886E-2</c:v>
                </c:pt>
                <c:pt idx="168">
                  <c:v>1.2263537158400688E-2</c:v>
                </c:pt>
                <c:pt idx="169">
                  <c:v>1.2347062404719857E-2</c:v>
                </c:pt>
                <c:pt idx="170">
                  <c:v>1.2430369776132356E-2</c:v>
                </c:pt>
                <c:pt idx="171">
                  <c:v>1.2513453294314187E-2</c:v>
                </c:pt>
                <c:pt idx="172">
                  <c:v>1.2596307553312532E-2</c:v>
                </c:pt>
                <c:pt idx="173">
                  <c:v>1.2678927735659524E-2</c:v>
                </c:pt>
                <c:pt idx="174">
                  <c:v>1.2761309624894825E-2</c:v>
                </c:pt>
                <c:pt idx="175">
                  <c:v>1.2843449614401429E-2</c:v>
                </c:pt>
                <c:pt idx="176">
                  <c:v>1.2925344712489189E-2</c:v>
                </c:pt>
                <c:pt idx="177">
                  <c:v>1.3006992543690742E-2</c:v>
                </c:pt>
                <c:pt idx="178">
                  <c:v>1.3088391346265875E-2</c:v>
                </c:pt>
                <c:pt idx="179">
                  <c:v>1.3169539965941439E-2</c:v>
                </c:pt>
                <c:pt idx="180">
                  <c:v>1.325043784594529E-2</c:v>
                </c:pt>
                <c:pt idx="181">
                  <c:v>1.3331085013423517E-2</c:v>
                </c:pt>
                <c:pt idx="182">
                  <c:v>1.3411482062360489E-2</c:v>
                </c:pt>
                <c:pt idx="183">
                  <c:v>1.3491630133150093E-2</c:v>
                </c:pt>
                <c:pt idx="184">
                  <c:v>1.3571530888994848E-2</c:v>
                </c:pt>
                <c:pt idx="185">
                  <c:v>1.3651186489335179E-2</c:v>
                </c:pt>
                <c:pt idx="186">
                  <c:v>1.3730599560536245E-2</c:v>
                </c:pt>
                <c:pt idx="187">
                  <c:v>1.3809773164081237E-2</c:v>
                </c:pt>
                <c:pt idx="188">
                  <c:v>1.3888710762540477E-2</c:v>
                </c:pt>
                <c:pt idx="189">
                  <c:v>1.3967416183602638E-2</c:v>
                </c:pt>
                <c:pt idx="190">
                  <c:v>1.4045893582469021E-2</c:v>
                </c:pt>
                <c:pt idx="191">
                  <c:v>1.4124147402923528E-2</c:v>
                </c:pt>
                <c:pt idx="192">
                  <c:v>1.4202182337399383E-2</c:v>
                </c:pt>
                <c:pt idx="193">
                  <c:v>1.4280003286369053E-2</c:v>
                </c:pt>
                <c:pt idx="194">
                  <c:v>1.4357615317386265E-2</c:v>
                </c:pt>
                <c:pt idx="195">
                  <c:v>1.4435023624107493E-2</c:v>
                </c:pt>
                <c:pt idx="196">
                  <c:v>1.4512233485616493E-2</c:v>
                </c:pt>
                <c:pt idx="197">
                  <c:v>1.4589250226367652E-2</c:v>
                </c:pt>
                <c:pt idx="198">
                  <c:v>1.4666079177053279E-2</c:v>
                </c:pt>
                <c:pt idx="199">
                  <c:v>1.4742725636686622E-2</c:v>
                </c:pt>
                <c:pt idx="200">
                  <c:v>1.4819194836175444E-2</c:v>
                </c:pt>
                <c:pt idx="201">
                  <c:v>1.4895491903642191E-2</c:v>
                </c:pt>
                <c:pt idx="202">
                  <c:v>1.4971621831724813E-2</c:v>
                </c:pt>
                <c:pt idx="203">
                  <c:v>1.504758944706833E-2</c:v>
                </c:pt>
                <c:pt idx="204">
                  <c:v>1.5123399382191477E-2</c:v>
                </c:pt>
                <c:pt idx="205">
                  <c:v>1.5199056049884778E-2</c:v>
                </c:pt>
                <c:pt idx="206">
                  <c:v>1.5274563620267483E-2</c:v>
                </c:pt>
                <c:pt idx="207">
                  <c:v>1.5349926000600568E-2</c:v>
                </c:pt>
                <c:pt idx="208">
                  <c:v>1.5425146817921906E-2</c:v>
                </c:pt>
                <c:pt idx="209">
                  <c:v>1.5500229404538546E-2</c:v>
                </c:pt>
                <c:pt idx="210">
                  <c:v>1.5575176786379293E-2</c:v>
                </c:pt>
                <c:pt idx="211">
                  <c:v>1.5649991674180023E-2</c:v>
                </c:pt>
                <c:pt idx="212">
                  <c:v>1.5724676457443246E-2</c:v>
                </c:pt>
                <c:pt idx="213">
                  <c:v>1.5799233201084031E-2</c:v>
                </c:pt>
                <c:pt idx="214">
                  <c:v>1.587366364464643E-2</c:v>
                </c:pt>
                <c:pt idx="215">
                  <c:v>1.5947969203947622E-2</c:v>
                </c:pt>
                <c:pt idx="216">
                  <c:v>1.602215097498251E-2</c:v>
                </c:pt>
                <c:pt idx="217">
                  <c:v>1.6096209739899447E-2</c:v>
                </c:pt>
                <c:pt idx="218">
                  <c:v>1.6170145974837246E-2</c:v>
                </c:pt>
                <c:pt idx="219">
                  <c:v>1.6243959859397371E-2</c:v>
                </c:pt>
                <c:pt idx="220">
                  <c:v>1.6317651287510199E-2</c:v>
                </c:pt>
                <c:pt idx="221">
                  <c:v>1.6391219879443922E-2</c:v>
                </c:pt>
                <c:pt idx="222">
                  <c:v>1.6464664994696322E-2</c:v>
                </c:pt>
                <c:pt idx="223">
                  <c:v>1.6537985745505631E-2</c:v>
                </c:pt>
                <c:pt idx="224">
                  <c:v>1.6611181010715497E-2</c:v>
                </c:pt>
                <c:pt idx="225">
                  <c:v>1.668424944973159E-2</c:v>
                </c:pt>
                <c:pt idx="226">
                  <c:v>1.6757189516313272E-2</c:v>
                </c:pt>
                <c:pt idx="227">
                  <c:v>1.6829999471953131E-2</c:v>
                </c:pt>
                <c:pt idx="228">
                  <c:v>1.6902677398609654E-2</c:v>
                </c:pt>
                <c:pt idx="229">
                  <c:v>1.697522121057405E-2</c:v>
                </c:pt>
                <c:pt idx="230">
                  <c:v>1.7047628665271063E-2</c:v>
                </c:pt>
                <c:pt idx="231">
                  <c:v>1.7119897372814885E-2</c:v>
                </c:pt>
                <c:pt idx="232">
                  <c:v>1.7192024804165672E-2</c:v>
                </c:pt>
                <c:pt idx="233">
                  <c:v>1.7264008297757934E-2</c:v>
                </c:pt>
                <c:pt idx="234">
                  <c:v>1.7335845064500897E-2</c:v>
                </c:pt>
                <c:pt idx="235">
                  <c:v>1.7407532191080217E-2</c:v>
                </c:pt>
                <c:pt idx="236">
                  <c:v>1.7479066641522111E-2</c:v>
                </c:pt>
                <c:pt idx="237">
                  <c:v>1.7550445257012506E-2</c:v>
                </c:pt>
                <c:pt idx="238">
                  <c:v>1.7621664753996881E-2</c:v>
                </c:pt>
                <c:pt idx="239">
                  <c:v>1.7692721720618629E-2</c:v>
                </c:pt>
                <c:pt idx="240">
                  <c:v>1.7763612611586665E-2</c:v>
                </c:pt>
                <c:pt idx="241">
                  <c:v>1.7834333741594367E-2</c:v>
                </c:pt>
                <c:pt idx="242">
                  <c:v>1.7904881277442719E-2</c:v>
                </c:pt>
                <c:pt idx="243">
                  <c:v>1.7975251229049707E-2</c:v>
                </c:pt>
                <c:pt idx="244">
                  <c:v>1.8045439439555225E-2</c:v>
                </c:pt>
                <c:pt idx="245">
                  <c:v>1.8115441574755847E-2</c:v>
                </c:pt>
                <c:pt idx="246">
                  <c:v>1.8185253112126289E-2</c:v>
                </c:pt>
                <c:pt idx="247">
                  <c:v>1.8254869329704014E-2</c:v>
                </c:pt>
                <c:pt idx="248">
                  <c:v>1.8324285295129826E-2</c:v>
                </c:pt>
                <c:pt idx="249">
                  <c:v>1.8393495855150179E-2</c:v>
                </c:pt>
                <c:pt idx="250">
                  <c:v>1.8462495625896368E-2</c:v>
                </c:pt>
                <c:pt idx="251">
                  <c:v>1.8531278984261025E-2</c:v>
                </c:pt>
                <c:pt idx="252">
                  <c:v>1.8599840060693918E-2</c:v>
                </c:pt>
                <c:pt idx="253">
                  <c:v>1.8668172733736298E-2</c:v>
                </c:pt>
                <c:pt idx="254">
                  <c:v>1.8736270626606235E-2</c:v>
                </c:pt>
                <c:pt idx="255">
                  <c:v>1.880412710613636E-2</c:v>
                </c:pt>
                <c:pt idx="256">
                  <c:v>1.8871735284350356E-2</c:v>
                </c:pt>
                <c:pt idx="257">
                  <c:v>1.8939088022945368E-2</c:v>
                </c:pt>
                <c:pt idx="258">
                  <c:v>1.9006177940924275E-2</c:v>
                </c:pt>
                <c:pt idx="259">
                  <c:v>1.9072997425595147E-2</c:v>
                </c:pt>
                <c:pt idx="260">
                  <c:v>1.9139538647124674E-2</c:v>
                </c:pt>
                <c:pt idx="261">
                  <c:v>1.9205793576798892E-2</c:v>
                </c:pt>
                <c:pt idx="262">
                  <c:v>1.9271754009107959E-2</c:v>
                </c:pt>
                <c:pt idx="263">
                  <c:v>1.9337411587732424E-2</c:v>
                </c:pt>
                <c:pt idx="264">
                  <c:v>1.9402757835467296E-2</c:v>
                </c:pt>
                <c:pt idx="265">
                  <c:v>1.9467784188076823E-2</c:v>
                </c:pt>
                <c:pt idx="266">
                  <c:v>1.9532482032028529E-2</c:v>
                </c:pt>
                <c:pt idx="267">
                  <c:v>1.959684274600916E-2</c:v>
                </c:pt>
                <c:pt idx="268">
                  <c:v>1.966085774607966E-2</c:v>
                </c:pt>
                <c:pt idx="269">
                  <c:v>1.9724518534280245E-2</c:v>
                </c:pt>
                <c:pt idx="270">
                  <c:v>1.9787816750450937E-2</c:v>
                </c:pt>
                <c:pt idx="271">
                  <c:v>1.9850744226989188E-2</c:v>
                </c:pt>
                <c:pt idx="272">
                  <c:v>1.9913293046222771E-2</c:v>
                </c:pt>
                <c:pt idx="273">
                  <c:v>1.997545560003583E-2</c:v>
                </c:pt>
                <c:pt idx="274">
                  <c:v>2.0037224651347357E-2</c:v>
                </c:pt>
                <c:pt idx="275">
                  <c:v>2.0098593397006238E-2</c:v>
                </c:pt>
                <c:pt idx="276">
                  <c:v>2.0159555531634909E-2</c:v>
                </c:pt>
                <c:pt idx="277">
                  <c:v>2.0220105311925713E-2</c:v>
                </c:pt>
                <c:pt idx="278">
                  <c:v>2.0280237620869893E-2</c:v>
                </c:pt>
                <c:pt idx="279">
                  <c:v>2.0339948031379774E-2</c:v>
                </c:pt>
                <c:pt idx="280">
                  <c:v>2.0399232868750183E-2</c:v>
                </c:pt>
                <c:pt idx="281">
                  <c:v>2.045808927139519E-2</c:v>
                </c:pt>
                <c:pt idx="282">
                  <c:v>2.0516515249292325E-2</c:v>
                </c:pt>
                <c:pt idx="283">
                  <c:v>2.0574509739567218E-2</c:v>
                </c:pt>
                <c:pt idx="284">
                  <c:v>2.0632072658658233E-2</c:v>
                </c:pt>
                <c:pt idx="285">
                  <c:v>2.0689204950512803E-2</c:v>
                </c:pt>
                <c:pt idx="286">
                  <c:v>2.0745908630284832E-2</c:v>
                </c:pt>
                <c:pt idx="287">
                  <c:v>2.0802186823025575E-2</c:v>
                </c:pt>
                <c:pt idx="288">
                  <c:v>2.0858043796888902E-2</c:v>
                </c:pt>
                <c:pt idx="289">
                  <c:v>2.0913484990405396E-2</c:v>
                </c:pt>
                <c:pt idx="290">
                  <c:v>2.096851703341843E-2</c:v>
                </c:pt>
                <c:pt idx="291">
                  <c:v>2.1023147761318178E-2</c:v>
                </c:pt>
                <c:pt idx="292">
                  <c:v>2.1077386222257386E-2</c:v>
                </c:pt>
                <c:pt idx="293">
                  <c:v>2.1131242677083797E-2</c:v>
                </c:pt>
                <c:pt idx="294">
                  <c:v>2.1184728591779011E-2</c:v>
                </c:pt>
                <c:pt idx="295">
                  <c:v>2.1237856622251524E-2</c:v>
                </c:pt>
                <c:pt idx="296">
                  <c:v>2.1290640591391883E-2</c:v>
                </c:pt>
                <c:pt idx="297">
                  <c:v>2.1343095458360314E-2</c:v>
                </c:pt>
                <c:pt idx="298">
                  <c:v>2.1395237280140776E-2</c:v>
                </c:pt>
                <c:pt idx="299">
                  <c:v>2.1447083165460061E-2</c:v>
                </c:pt>
                <c:pt idx="300">
                  <c:v>2.1498651221235184E-2</c:v>
                </c:pt>
                <c:pt idx="301">
                  <c:v>2.1549960491776637E-2</c:v>
                </c:pt>
                <c:pt idx="302">
                  <c:v>2.1601030891038726E-2</c:v>
                </c:pt>
                <c:pt idx="303">
                  <c:v>2.1651883128269326E-2</c:v>
                </c:pt>
                <c:pt idx="304">
                  <c:v>2.1702538627471769E-2</c:v>
                </c:pt>
                <c:pt idx="305">
                  <c:v>2.1753019441147554E-2</c:v>
                </c:pt>
                <c:pt idx="306">
                  <c:v>2.1803348158842443E-2</c:v>
                </c:pt>
                <c:pt idx="307">
                  <c:v>2.1853547811067967E-2</c:v>
                </c:pt>
                <c:pt idx="308">
                  <c:v>2.1903641769215169E-2</c:v>
                </c:pt>
                <c:pt idx="309">
                  <c:v>2.1953653642118192E-2</c:v>
                </c:pt>
                <c:pt idx="310">
                  <c:v>2.2003607169959947E-2</c:v>
                </c:pt>
                <c:pt idx="311">
                  <c:v>2.2053526116241468E-2</c:v>
                </c:pt>
                <c:pt idx="312">
                  <c:v>2.2103434158560441E-2</c:v>
                </c:pt>
                <c:pt idx="313">
                  <c:v>2.2153354778960577E-2</c:v>
                </c:pt>
                <c:pt idx="314">
                  <c:v>2.2203311154625423E-2</c:v>
                </c:pt>
                <c:pt idx="315">
                  <c:v>2.2253326049693184E-2</c:v>
                </c:pt>
                <c:pt idx="316">
                  <c:v>2.2303421708967295E-2</c:v>
                </c:pt>
                <c:pt idx="317">
                  <c:v>2.2353619754287939E-2</c:v>
                </c:pt>
                <c:pt idx="318">
                  <c:v>2.2403941084313456E-2</c:v>
                </c:pt>
                <c:pt idx="319">
                  <c:v>2.2454405778438786E-2</c:v>
                </c:pt>
                <c:pt idx="320">
                  <c:v>2.2505033005548188E-2</c:v>
                </c:pt>
                <c:pt idx="321">
                  <c:v>2.2555840938265202E-2</c:v>
                </c:pt>
                <c:pt idx="322">
                  <c:v>2.260684667332136E-2</c:v>
                </c:pt>
                <c:pt idx="323">
                  <c:v>2.2658066158618609E-2</c:v>
                </c:pt>
                <c:pt idx="324">
                  <c:v>2.2709514127508955E-2</c:v>
                </c:pt>
                <c:pt idx="325">
                  <c:v>2.2761204040758362E-2</c:v>
                </c:pt>
                <c:pt idx="326">
                  <c:v>2.2813148036601071E-2</c:v>
                </c:pt>
                <c:pt idx="327">
                  <c:v>2.2865356889226893E-2</c:v>
                </c:pt>
                <c:pt idx="328">
                  <c:v>2.2917839975976038E-2</c:v>
                </c:pt>
                <c:pt idx="329">
                  <c:v>2.2970605253446796E-2</c:v>
                </c:pt>
                <c:pt idx="330">
                  <c:v>2.3023659242649451E-2</c:v>
                </c:pt>
                <c:pt idx="331">
                  <c:v>2.3077007023267104E-2</c:v>
                </c:pt>
                <c:pt idx="332">
                  <c:v>2.3130652237010715E-2</c:v>
                </c:pt>
                <c:pt idx="333">
                  <c:v>2.3184597099982523E-2</c:v>
                </c:pt>
                <c:pt idx="334">
                  <c:v>2.3238842423889478E-2</c:v>
                </c:pt>
                <c:pt idx="335">
                  <c:v>2.3293387645877472E-2</c:v>
                </c:pt>
                <c:pt idx="336">
                  <c:v>2.3348230866688569E-2</c:v>
                </c:pt>
                <c:pt idx="337">
                  <c:v>2.340336889677682E-2</c:v>
                </c:pt>
                <c:pt idx="338">
                  <c:v>2.3458797309956179E-2</c:v>
                </c:pt>
                <c:pt idx="339">
                  <c:v>2.3514510504094976E-2</c:v>
                </c:pt>
                <c:pt idx="340">
                  <c:v>2.3570501768316876E-2</c:v>
                </c:pt>
                <c:pt idx="341">
                  <c:v>2.3626763356119459E-2</c:v>
                </c:pt>
                <c:pt idx="342">
                  <c:v>2.3683286563776957E-2</c:v>
                </c:pt>
                <c:pt idx="343">
                  <c:v>2.374006181335598E-2</c:v>
                </c:pt>
                <c:pt idx="344">
                  <c:v>2.3797078739640737E-2</c:v>
                </c:pt>
                <c:pt idx="345">
                  <c:v>2.385432628023873E-2</c:v>
                </c:pt>
                <c:pt idx="346">
                  <c:v>2.3911792768118736E-2</c:v>
                </c:pt>
                <c:pt idx="347">
                  <c:v>2.396946602582076E-2</c:v>
                </c:pt>
                <c:pt idx="348">
                  <c:v>2.4027333460572134E-2</c:v>
                </c:pt>
                <c:pt idx="349">
                  <c:v>2.408538215954523E-2</c:v>
                </c:pt>
                <c:pt idx="350">
                  <c:v>2.4143598984500941E-2</c:v>
                </c:pt>
                <c:pt idx="351">
                  <c:v>2.4201970665076549E-2</c:v>
                </c:pt>
                <c:pt idx="352">
                  <c:v>2.4260483889998481E-2</c:v>
                </c:pt>
                <c:pt idx="353">
                  <c:v>2.4319125395528225E-2</c:v>
                </c:pt>
                <c:pt idx="354">
                  <c:v>2.437788205048334E-2</c:v>
                </c:pt>
                <c:pt idx="355">
                  <c:v>2.4436740937215162E-2</c:v>
                </c:pt>
                <c:pt idx="356">
                  <c:v>2.4495689427969414E-2</c:v>
                </c:pt>
                <c:pt idx="357">
                  <c:v>2.4554715256105478E-2</c:v>
                </c:pt>
                <c:pt idx="358">
                  <c:v>2.4613806581703781E-2</c:v>
                </c:pt>
                <c:pt idx="359">
                  <c:v>2.4672952051148441E-2</c:v>
                </c:pt>
                <c:pt idx="360">
                  <c:v>2.4732140850332873E-2</c:v>
                </c:pt>
                <c:pt idx="361">
                  <c:v>2.4791362751199288E-2</c:v>
                </c:pt>
                <c:pt idx="362">
                  <c:v>2.4850608151388391E-2</c:v>
                </c:pt>
                <c:pt idx="363">
                  <c:v>2.4909868106841957E-2</c:v>
                </c:pt>
                <c:pt idx="364">
                  <c:v>2.4969134357268111E-2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0.0%</c:formatCode>
                <c:ptCount val="366"/>
                <c:pt idx="0">
                  <c:v>2.3380083219013844E-3</c:v>
                </c:pt>
                <c:pt idx="1">
                  <c:v>2.3628726164150985E-3</c:v>
                </c:pt>
                <c:pt idx="2">
                  <c:v>2.3893439708073082E-3</c:v>
                </c:pt>
                <c:pt idx="3">
                  <c:v>2.4173994963997527E-3</c:v>
                </c:pt>
                <c:pt idx="4">
                  <c:v>2.4470163081365156E-3</c:v>
                </c:pt>
                <c:pt idx="5">
                  <c:v>2.4781718190058505E-3</c:v>
                </c:pt>
                <c:pt idx="6">
                  <c:v>2.5108440164374021E-3</c:v>
                </c:pt>
                <c:pt idx="7">
                  <c:v>2.5450117206053773E-3</c:v>
                </c:pt>
                <c:pt idx="8">
                  <c:v>2.5803981176465386E-3</c:v>
                </c:pt>
                <c:pt idx="9">
                  <c:v>2.6110233104811647E-3</c:v>
                </c:pt>
                <c:pt idx="10">
                  <c:v>2.634424066215679E-3</c:v>
                </c:pt>
                <c:pt idx="11">
                  <c:v>2.6508135867783973E-3</c:v>
                </c:pt>
                <c:pt idx="12">
                  <c:v>2.6604145500845103E-3</c:v>
                </c:pt>
                <c:pt idx="13">
                  <c:v>2.6634564724639571E-3</c:v>
                </c:pt>
                <c:pt idx="14">
                  <c:v>2.6601732515518055E-3</c:v>
                </c:pt>
                <c:pt idx="15">
                  <c:v>2.6493171555972603E-3</c:v>
                </c:pt>
                <c:pt idx="16">
                  <c:v>2.6312286085981556E-3</c:v>
                </c:pt>
                <c:pt idx="17">
                  <c:v>2.6061836774298858E-3</c:v>
                </c:pt>
                <c:pt idx="18">
                  <c:v>2.5744547708081086E-3</c:v>
                </c:pt>
                <c:pt idx="19">
                  <c:v>2.5363207553389566E-3</c:v>
                </c:pt>
                <c:pt idx="20">
                  <c:v>2.4920579705215882E-3</c:v>
                </c:pt>
                <c:pt idx="21">
                  <c:v>2.4419240647781722E-3</c:v>
                </c:pt>
                <c:pt idx="22">
                  <c:v>2.3859497793823439E-3</c:v>
                </c:pt>
                <c:pt idx="23">
                  <c:v>2.3220302817527345E-3</c:v>
                </c:pt>
                <c:pt idx="24">
                  <c:v>2.2554277620373997E-3</c:v>
                </c:pt>
                <c:pt idx="25">
                  <c:v>2.1863115331246965E-3</c:v>
                </c:pt>
                <c:pt idx="26">
                  <c:v>2.1148417589102338E-3</c:v>
                </c:pt>
                <c:pt idx="27">
                  <c:v>2.0411691513851425E-3</c:v>
                </c:pt>
                <c:pt idx="28">
                  <c:v>1.9654347800576928E-3</c:v>
                </c:pt>
                <c:pt idx="29">
                  <c:v>1.8851370728681983E-3</c:v>
                </c:pt>
                <c:pt idx="30">
                  <c:v>1.8017529431203886E-3</c:v>
                </c:pt>
                <c:pt idx="31">
                  <c:v>1.7154365847292417E-3</c:v>
                </c:pt>
                <c:pt idx="32">
                  <c:v>1.626331241187973E-3</c:v>
                </c:pt>
                <c:pt idx="33">
                  <c:v>1.5345692274903876E-3</c:v>
                </c:pt>
                <c:pt idx="34">
                  <c:v>1.4402720172496349E-3</c:v>
                </c:pt>
                <c:pt idx="35">
                  <c:v>1.3435503843964081E-3</c:v>
                </c:pt>
                <c:pt idx="36">
                  <c:v>1.2443943922386637E-3</c:v>
                </c:pt>
                <c:pt idx="37">
                  <c:v>1.1466593797354663E-3</c:v>
                </c:pt>
                <c:pt idx="38">
                  <c:v>1.0522044933945636E-3</c:v>
                </c:pt>
                <c:pt idx="39">
                  <c:v>9.6098690228578975E-4</c:v>
                </c:pt>
                <c:pt idx="40">
                  <c:v>8.7295512201962739E-4</c:v>
                </c:pt>
                <c:pt idx="41">
                  <c:v>7.8805025793307224E-4</c:v>
                </c:pt>
                <c:pt idx="42">
                  <c:v>7.0620715006290366E-4</c:v>
                </c:pt>
                <c:pt idx="43">
                  <c:v>6.3013983180911751E-4</c:v>
                </c:pt>
                <c:pt idx="44">
                  <c:v>5.6193566803642973E-4</c:v>
                </c:pt>
                <c:pt idx="45">
                  <c:v>5.0136760352886692E-4</c:v>
                </c:pt>
                <c:pt idx="46">
                  <c:v>4.4821335362042839E-4</c:v>
                </c:pt>
                <c:pt idx="47">
                  <c:v>4.0225664988566951E-4</c:v>
                </c:pt>
                <c:pt idx="48">
                  <c:v>3.6328832680912384E-4</c:v>
                </c:pt>
                <c:pt idx="49">
                  <c:v>3.3110726858471434E-4</c:v>
                </c:pt>
                <c:pt idx="50">
                  <c:v>3.0549934702768614E-4</c:v>
                </c:pt>
                <c:pt idx="51">
                  <c:v>2.8576175540979834E-4</c:v>
                </c:pt>
                <c:pt idx="52">
                  <c:v>2.6843775400424289E-4</c:v>
                </c:pt>
                <c:pt idx="53">
                  <c:v>2.5346360643824798E-4</c:v>
                </c:pt>
                <c:pt idx="54">
                  <c:v>2.4077860554308841E-4</c:v>
                </c:pt>
                <c:pt idx="55">
                  <c:v>2.303239232941982E-4</c:v>
                </c:pt>
                <c:pt idx="56">
                  <c:v>2.2204272119622317E-4</c:v>
                </c:pt>
                <c:pt idx="57">
                  <c:v>2.1588465858089434E-4</c:v>
                </c:pt>
                <c:pt idx="58">
                  <c:v>2.0937397680347925E-4</c:v>
                </c:pt>
                <c:pt idx="59">
                  <c:v>2.0252045205782751E-4</c:v>
                </c:pt>
                <c:pt idx="60">
                  <c:v>1.9533318961472313E-4</c:v>
                </c:pt>
                <c:pt idx="61">
                  <c:v>1.8782061476700155E-4</c:v>
                </c:pt>
                <c:pt idx="62">
                  <c:v>1.799904628814083E-4</c:v>
                </c:pt>
                <c:pt idx="63">
                  <c:v>1.7184976846617604E-4</c:v>
                </c:pt>
                <c:pt idx="64">
                  <c:v>1.6340215036577828E-4</c:v>
                </c:pt>
                <c:pt idx="65">
                  <c:v>1.5518283013465253E-4</c:v>
                </c:pt>
                <c:pt idx="66">
                  <c:v>1.4762902918776522E-4</c:v>
                </c:pt>
                <c:pt idx="67">
                  <c:v>1.4072460540461178E-4</c:v>
                </c:pt>
                <c:pt idx="68">
                  <c:v>1.3445421992653081E-4</c:v>
                </c:pt>
                <c:pt idx="69">
                  <c:v>1.2881066482704735E-4</c:v>
                </c:pt>
                <c:pt idx="70">
                  <c:v>1.2377248194467606E-4</c:v>
                </c:pt>
                <c:pt idx="71">
                  <c:v>1.1951347828874964E-4</c:v>
                </c:pt>
                <c:pt idx="72">
                  <c:v>1.1601390682387385E-4</c:v>
                </c:pt>
                <c:pt idx="73">
                  <c:v>1.1325866528924152E-4</c:v>
                </c:pt>
                <c:pt idx="74">
                  <c:v>1.1123344760653114E-4</c:v>
                </c:pt>
                <c:pt idx="75">
                  <c:v>1.0992472148243043E-4</c:v>
                </c:pt>
                <c:pt idx="76">
                  <c:v>1.0931970971568986E-4</c:v>
                </c:pt>
                <c:pt idx="77">
                  <c:v>1.0940637478883741E-4</c:v>
                </c:pt>
                <c:pt idx="78">
                  <c:v>1.1016993862317598E-4</c:v>
                </c:pt>
                <c:pt idx="79">
                  <c:v>1.1147850965814543E-4</c:v>
                </c:pt>
                <c:pt idx="80">
                  <c:v>1.1284143824515998E-4</c:v>
                </c:pt>
                <c:pt idx="81">
                  <c:v>1.1426095811317295E-4</c:v>
                </c:pt>
                <c:pt idx="82">
                  <c:v>1.1573942890279529E-4</c:v>
                </c:pt>
                <c:pt idx="83">
                  <c:v>1.1727934470320878E-4</c:v>
                </c:pt>
                <c:pt idx="84">
                  <c:v>1.1888334304438299E-4</c:v>
                </c:pt>
                <c:pt idx="85">
                  <c:v>1.2060421733924888E-4</c:v>
                </c:pt>
                <c:pt idx="86">
                  <c:v>1.2227155343091489E-4</c:v>
                </c:pt>
                <c:pt idx="87">
                  <c:v>1.2388986460465905E-4</c:v>
                </c:pt>
                <c:pt idx="88">
                  <c:v>1.2546362874089534E-4</c:v>
                </c:pt>
                <c:pt idx="89">
                  <c:v>1.2699728169452803E-4</c:v>
                </c:pt>
                <c:pt idx="90">
                  <c:v>1.2849521226636221E-4</c:v>
                </c:pt>
                <c:pt idx="91">
                  <c:v>1.2996175859354277E-4</c:v>
                </c:pt>
                <c:pt idx="92">
                  <c:v>1.3139704223853074E-4</c:v>
                </c:pt>
                <c:pt idx="93">
                  <c:v>1.3292976579556322E-4</c:v>
                </c:pt>
                <c:pt idx="94">
                  <c:v>1.3467340381164358E-4</c:v>
                </c:pt>
                <c:pt idx="95">
                  <c:v>1.3662825057196348E-4</c:v>
                </c:pt>
                <c:pt idx="96">
                  <c:v>1.3879491074410657E-4</c:v>
                </c:pt>
                <c:pt idx="97">
                  <c:v>1.4117429174728043E-4</c:v>
                </c:pt>
                <c:pt idx="98">
                  <c:v>1.4376759641506441E-4</c:v>
                </c:pt>
                <c:pt idx="99">
                  <c:v>1.4645319502717909E-4</c:v>
                </c:pt>
                <c:pt idx="100">
                  <c:v>1.4918497736704151E-4</c:v>
                </c:pt>
                <c:pt idx="101">
                  <c:v>1.5196514041809935E-4</c:v>
                </c:pt>
                <c:pt idx="102">
                  <c:v>1.5479589131211412E-4</c:v>
                </c:pt>
                <c:pt idx="103">
                  <c:v>1.5767944620361017E-4</c:v>
                </c:pt>
                <c:pt idx="104">
                  <c:v>1.6061802883349154E-4</c:v>
                </c:pt>
                <c:pt idx="105">
                  <c:v>1.6361386888953249E-4</c:v>
                </c:pt>
                <c:pt idx="106">
                  <c:v>1.6667234141253516E-4</c:v>
                </c:pt>
                <c:pt idx="107">
                  <c:v>1.6960506249929982E-4</c:v>
                </c:pt>
                <c:pt idx="108">
                  <c:v>1.7228191231576909E-4</c:v>
                </c:pt>
                <c:pt idx="109">
                  <c:v>1.7470242387103828E-4</c:v>
                </c:pt>
                <c:pt idx="110">
                  <c:v>1.7686597931015587E-4</c:v>
                </c:pt>
                <c:pt idx="111">
                  <c:v>1.7877142391905666E-4</c:v>
                </c:pt>
                <c:pt idx="112">
                  <c:v>1.8041663183841525E-4</c:v>
                </c:pt>
                <c:pt idx="113">
                  <c:v>1.817949902691316E-4</c:v>
                </c:pt>
                <c:pt idx="114">
                  <c:v>1.8302779522511828E-4</c:v>
                </c:pt>
                <c:pt idx="115">
                  <c:v>1.8411200336832794E-4</c:v>
                </c:pt>
                <c:pt idx="116">
                  <c:v>1.8504417723968361E-4</c:v>
                </c:pt>
                <c:pt idx="117">
                  <c:v>1.8582048684274245E-4</c:v>
                </c:pt>
                <c:pt idx="118">
                  <c:v>1.8643671188542E-4</c:v>
                </c:pt>
                <c:pt idx="119">
                  <c:v>1.868882448862243E-4</c:v>
                </c:pt>
                <c:pt idx="120">
                  <c:v>1.8717313126249285E-4</c:v>
                </c:pt>
                <c:pt idx="121">
                  <c:v>1.8724792429926625E-4</c:v>
                </c:pt>
                <c:pt idx="122">
                  <c:v>1.8731356085620462E-4</c:v>
                </c:pt>
                <c:pt idx="123">
                  <c:v>1.8736758771268266E-4</c:v>
                </c:pt>
                <c:pt idx="124">
                  <c:v>1.8740742560503272E-4</c:v>
                </c:pt>
                <c:pt idx="125">
                  <c:v>1.8743036828587807E-4</c:v>
                </c:pt>
                <c:pt idx="126">
                  <c:v>1.8743358207826388E-4</c:v>
                </c:pt>
                <c:pt idx="127">
                  <c:v>1.8729735989239709E-4</c:v>
                </c:pt>
                <c:pt idx="128">
                  <c:v>1.8702227348428577E-4</c:v>
                </c:pt>
                <c:pt idx="129">
                  <c:v>1.8660317184834591E-4</c:v>
                </c:pt>
                <c:pt idx="130">
                  <c:v>1.8603467985421751E-4</c:v>
                </c:pt>
                <c:pt idx="131">
                  <c:v>1.8531121002049678E-4</c:v>
                </c:pt>
                <c:pt idx="132">
                  <c:v>1.8442697568024573E-4</c:v>
                </c:pt>
                <c:pt idx="133">
                  <c:v>1.8337600559668239E-4</c:v>
                </c:pt>
                <c:pt idx="134">
                  <c:v>1.8215403882945879E-4</c:v>
                </c:pt>
                <c:pt idx="135">
                  <c:v>1.8090504038020214E-4</c:v>
                </c:pt>
                <c:pt idx="136">
                  <c:v>1.7967166026893334E-4</c:v>
                </c:pt>
                <c:pt idx="137">
                  <c:v>1.7845262439383335E-4</c:v>
                </c:pt>
                <c:pt idx="138">
                  <c:v>1.7724675452927642E-4</c:v>
                </c:pt>
                <c:pt idx="139">
                  <c:v>1.7605297197973691E-4</c:v>
                </c:pt>
                <c:pt idx="140">
                  <c:v>1.7487030108758505E-4</c:v>
                </c:pt>
                <c:pt idx="141">
                  <c:v>1.7378131966132226E-4</c:v>
                </c:pt>
                <c:pt idx="142">
                  <c:v>1.7291710758718639E-4</c:v>
                </c:pt>
                <c:pt idx="143">
                  <c:v>1.7228160508250825E-4</c:v>
                </c:pt>
                <c:pt idx="144">
                  <c:v>1.7187983028446106E-4</c:v>
                </c:pt>
                <c:pt idx="145">
                  <c:v>1.7171697633834021E-4</c:v>
                </c:pt>
                <c:pt idx="146">
                  <c:v>1.7179839039823072E-4</c:v>
                </c:pt>
                <c:pt idx="147">
                  <c:v>1.7212955132028023E-4</c:v>
                </c:pt>
                <c:pt idx="148">
                  <c:v>1.7271617171622235E-4</c:v>
                </c:pt>
                <c:pt idx="149">
                  <c:v>1.7325230827434021E-4</c:v>
                </c:pt>
                <c:pt idx="150">
                  <c:v>1.7356246879728898E-4</c:v>
                </c:pt>
                <c:pt idx="151">
                  <c:v>1.7363882695942804E-4</c:v>
                </c:pt>
                <c:pt idx="152">
                  <c:v>1.7347349986039526E-4</c:v>
                </c:pt>
                <c:pt idx="153">
                  <c:v>1.7305856997257925E-4</c:v>
                </c:pt>
                <c:pt idx="154">
                  <c:v>1.7238610725446986E-4</c:v>
                </c:pt>
                <c:pt idx="155">
                  <c:v>1.7147807235938313E-4</c:v>
                </c:pt>
                <c:pt idx="156">
                  <c:v>1.7023380448952751E-4</c:v>
                </c:pt>
                <c:pt idx="157">
                  <c:v>1.6864438978135963E-4</c:v>
                </c:pt>
                <c:pt idx="158">
                  <c:v>1.6670100610498252E-4</c:v>
                </c:pt>
                <c:pt idx="159">
                  <c:v>1.6439494440329664E-4</c:v>
                </c:pt>
                <c:pt idx="160">
                  <c:v>1.6171762843156736E-4</c:v>
                </c:pt>
                <c:pt idx="161">
                  <c:v>1.5866063263652094E-4</c:v>
                </c:pt>
                <c:pt idx="162">
                  <c:v>1.5521558566939541E-4</c:v>
                </c:pt>
                <c:pt idx="163">
                  <c:v>1.5169824102784625E-4</c:v>
                </c:pt>
                <c:pt idx="164">
                  <c:v>1.484645602803525E-4</c:v>
                </c:pt>
                <c:pt idx="165">
                  <c:v>1.4552195829502481E-4</c:v>
                </c:pt>
                <c:pt idx="166">
                  <c:v>1.4287788144405346E-4</c:v>
                </c:pt>
                <c:pt idx="167">
                  <c:v>1.4053977996457851E-4</c:v>
                </c:pt>
                <c:pt idx="168">
                  <c:v>1.3851508135850768E-4</c:v>
                </c:pt>
                <c:pt idx="169">
                  <c:v>1.3714887174889122E-4</c:v>
                </c:pt>
                <c:pt idx="170">
                  <c:v>1.3642010752897853E-4</c:v>
                </c:pt>
                <c:pt idx="171">
                  <c:v>1.3634127051350052E-4</c:v>
                </c:pt>
                <c:pt idx="172">
                  <c:v>1.369245445554086E-4</c:v>
                </c:pt>
                <c:pt idx="173">
                  <c:v>1.3818060541615607E-4</c:v>
                </c:pt>
                <c:pt idx="174">
                  <c:v>1.401196484481972E-4</c:v>
                </c:pt>
                <c:pt idx="175">
                  <c:v>1.4275255567101311E-4</c:v>
                </c:pt>
                <c:pt idx="176">
                  <c:v>1.460891538808371E-4</c:v>
                </c:pt>
                <c:pt idx="177">
                  <c:v>1.5017616576314986E-4</c:v>
                </c:pt>
                <c:pt idx="178">
                  <c:v>1.5466929037307982E-4</c:v>
                </c:pt>
                <c:pt idx="179">
                  <c:v>1.5957401863619654E-4</c:v>
                </c:pt>
                <c:pt idx="180">
                  <c:v>1.6489571589046491E-4</c:v>
                </c:pt>
                <c:pt idx="181">
                  <c:v>1.7063965012444355E-4</c:v>
                </c:pt>
                <c:pt idx="182">
                  <c:v>1.7681102268386298E-4</c:v>
                </c:pt>
                <c:pt idx="183">
                  <c:v>1.8300758622914734E-4</c:v>
                </c:pt>
                <c:pt idx="184">
                  <c:v>1.8886255142203188E-4</c:v>
                </c:pt>
                <c:pt idx="185">
                  <c:v>1.9437023924937102E-4</c:v>
                </c:pt>
                <c:pt idx="186">
                  <c:v>1.9952541111150878E-4</c:v>
                </c:pt>
                <c:pt idx="187">
                  <c:v>2.0432324634780082E-4</c:v>
                </c:pt>
                <c:pt idx="188">
                  <c:v>2.0875931640011608E-4</c:v>
                </c:pt>
                <c:pt idx="189">
                  <c:v>2.1282955594160204E-4</c:v>
                </c:pt>
                <c:pt idx="190">
                  <c:v>2.1652991259882011E-4</c:v>
                </c:pt>
                <c:pt idx="191">
                  <c:v>2.1996852943620944E-4</c:v>
                </c:pt>
                <c:pt idx="192">
                  <c:v>2.2310093621309045E-4</c:v>
                </c:pt>
                <c:pt idx="193">
                  <c:v>2.2592257663567536E-4</c:v>
                </c:pt>
                <c:pt idx="194">
                  <c:v>2.2842901950091633E-4</c:v>
                </c:pt>
                <c:pt idx="195">
                  <c:v>2.3061595058664592E-4</c:v>
                </c:pt>
                <c:pt idx="196">
                  <c:v>2.3247916402439659E-4</c:v>
                </c:pt>
                <c:pt idx="197">
                  <c:v>2.342591788682767E-4</c:v>
                </c:pt>
                <c:pt idx="198">
                  <c:v>2.3639212458141407E-4</c:v>
                </c:pt>
                <c:pt idx="199">
                  <c:v>2.3888261942566315E-4</c:v>
                </c:pt>
                <c:pt idx="200">
                  <c:v>2.4173516192212147E-4</c:v>
                </c:pt>
                <c:pt idx="201">
                  <c:v>2.4495412546522049E-4</c:v>
                </c:pt>
                <c:pt idx="202">
                  <c:v>2.4854375245758029E-4</c:v>
                </c:pt>
                <c:pt idx="203">
                  <c:v>2.5250814779541743E-4</c:v>
                </c:pt>
                <c:pt idx="204">
                  <c:v>2.568538325314583E-4</c:v>
                </c:pt>
                <c:pt idx="205">
                  <c:v>2.6140256859675458E-4</c:v>
                </c:pt>
                <c:pt idx="206">
                  <c:v>2.6603874133550456E-4</c:v>
                </c:pt>
                <c:pt idx="207">
                  <c:v>2.7076454904641852E-4</c:v>
                </c:pt>
                <c:pt idx="208">
                  <c:v>2.7558216758754407E-4</c:v>
                </c:pt>
                <c:pt idx="209">
                  <c:v>2.8049374837190339E-4</c:v>
                </c:pt>
                <c:pt idx="210">
                  <c:v>2.8550141665695814E-4</c:v>
                </c:pt>
                <c:pt idx="211">
                  <c:v>2.9054650947179166E-4</c:v>
                </c:pt>
                <c:pt idx="212">
                  <c:v>2.9537072821370552E-4</c:v>
                </c:pt>
                <c:pt idx="213">
                  <c:v>2.9997269855657009E-4</c:v>
                </c:pt>
                <c:pt idx="214">
                  <c:v>3.043509995661699E-4</c:v>
                </c:pt>
                <c:pt idx="215">
                  <c:v>3.0850415618346609E-4</c:v>
                </c:pt>
                <c:pt idx="216">
                  <c:v>3.1243063272364679E-4</c:v>
                </c:pt>
                <c:pt idx="217">
                  <c:v>3.1612882731160263E-4</c:v>
                </c:pt>
                <c:pt idx="218">
                  <c:v>3.1959544519305434E-4</c:v>
                </c:pt>
                <c:pt idx="219">
                  <c:v>3.2279786692787464E-4</c:v>
                </c:pt>
                <c:pt idx="220">
                  <c:v>3.259288767275937E-4</c:v>
                </c:pt>
                <c:pt idx="221">
                  <c:v>3.2898867435821754E-4</c:v>
                </c:pt>
                <c:pt idx="222">
                  <c:v>3.3197745884813192E-4</c:v>
                </c:pt>
                <c:pt idx="223">
                  <c:v>3.3489542770045696E-4</c:v>
                </c:pt>
                <c:pt idx="224">
                  <c:v>3.3774277642207483E-4</c:v>
                </c:pt>
                <c:pt idx="225">
                  <c:v>3.4013686252758548E-4</c:v>
                </c:pt>
                <c:pt idx="226">
                  <c:v>3.4213712226020213E-4</c:v>
                </c:pt>
                <c:pt idx="227">
                  <c:v>3.4374020926542659E-4</c:v>
                </c:pt>
                <c:pt idx="228">
                  <c:v>3.4494269725155239E-4</c:v>
                </c:pt>
                <c:pt idx="229">
                  <c:v>3.4574106983519123E-4</c:v>
                </c:pt>
                <c:pt idx="230">
                  <c:v>3.4613171031217497E-4</c:v>
                </c:pt>
                <c:pt idx="231">
                  <c:v>3.4611089119005844E-4</c:v>
                </c:pt>
                <c:pt idx="232">
                  <c:v>3.4567264687130071E-4</c:v>
                </c:pt>
                <c:pt idx="233">
                  <c:v>3.4461423613278865E-4</c:v>
                </c:pt>
                <c:pt idx="234">
                  <c:v>3.4296086065136735E-4</c:v>
                </c:pt>
                <c:pt idx="235">
                  <c:v>3.4070614825405863E-4</c:v>
                </c:pt>
                <c:pt idx="236">
                  <c:v>3.3784362704152233E-4</c:v>
                </c:pt>
                <c:pt idx="237">
                  <c:v>3.3436644590553299E-4</c:v>
                </c:pt>
                <c:pt idx="238">
                  <c:v>3.3026755708018767E-4</c:v>
                </c:pt>
                <c:pt idx="239">
                  <c:v>3.2580231726953056E-4</c:v>
                </c:pt>
                <c:pt idx="240">
                  <c:v>3.2137102365552484E-4</c:v>
                </c:pt>
                <c:pt idx="241">
                  <c:v>3.1697394940520139E-4</c:v>
                </c:pt>
                <c:pt idx="242">
                  <c:v>3.1261135030582143E-4</c:v>
                </c:pt>
                <c:pt idx="243">
                  <c:v>3.0828346560552946E-4</c:v>
                </c:pt>
                <c:pt idx="244">
                  <c:v>3.0399051881476721E-4</c:v>
                </c:pt>
                <c:pt idx="245">
                  <c:v>2.9973271842962128E-4</c:v>
                </c:pt>
                <c:pt idx="246">
                  <c:v>2.9551025867794887E-4</c:v>
                </c:pt>
                <c:pt idx="247">
                  <c:v>2.9141114426863712E-4</c:v>
                </c:pt>
                <c:pt idx="248">
                  <c:v>2.8764352410634868E-4</c:v>
                </c:pt>
                <c:pt idx="249">
                  <c:v>2.84211082758523E-4</c:v>
                </c:pt>
                <c:pt idx="250">
                  <c:v>2.8111758994688458E-4</c:v>
                </c:pt>
                <c:pt idx="251">
                  <c:v>2.7836690078606824E-4</c:v>
                </c:pt>
                <c:pt idx="252">
                  <c:v>2.7596295583983462E-4</c:v>
                </c:pt>
                <c:pt idx="253">
                  <c:v>2.7368642428273875E-4</c:v>
                </c:pt>
                <c:pt idx="254">
                  <c:v>2.7125934088032954E-4</c:v>
                </c:pt>
                <c:pt idx="255">
                  <c:v>2.6867935029447243E-4</c:v>
                </c:pt>
                <c:pt idx="256">
                  <c:v>2.659440434106407E-4</c:v>
                </c:pt>
                <c:pt idx="257">
                  <c:v>2.6305095993459906E-4</c:v>
                </c:pt>
                <c:pt idx="258">
                  <c:v>2.5999759146757748E-4</c:v>
                </c:pt>
                <c:pt idx="259">
                  <c:v>2.5678138509886429E-4</c:v>
                </c:pt>
                <c:pt idx="260">
                  <c:v>2.534043569953919E-4</c:v>
                </c:pt>
                <c:pt idx="261">
                  <c:v>2.5024941012685768E-4</c:v>
                </c:pt>
                <c:pt idx="262">
                  <c:v>2.4722326731707269E-4</c:v>
                </c:pt>
                <c:pt idx="263">
                  <c:v>2.4432509201578588E-4</c:v>
                </c:pt>
                <c:pt idx="264">
                  <c:v>2.4155415617191446E-4</c:v>
                </c:pt>
                <c:pt idx="265">
                  <c:v>2.3891089091781549E-4</c:v>
                </c:pt>
                <c:pt idx="266">
                  <c:v>2.3639524531765354E-4</c:v>
                </c:pt>
                <c:pt idx="267">
                  <c:v>2.3501344713747788E-4</c:v>
                </c:pt>
                <c:pt idx="268">
                  <c:v>2.3501754447814846E-4</c:v>
                </c:pt>
                <c:pt idx="269">
                  <c:v>2.3642411481233742E-4</c:v>
                </c:pt>
                <c:pt idx="270">
                  <c:v>2.3924962360233253E-4</c:v>
                </c:pt>
                <c:pt idx="271">
                  <c:v>2.4351025067238495E-4</c:v>
                </c:pt>
                <c:pt idx="272">
                  <c:v>2.4922170893943135E-4</c:v>
                </c:pt>
                <c:pt idx="273">
                  <c:v>2.5639905584596455E-4</c:v>
                </c:pt>
                <c:pt idx="274">
                  <c:v>2.6506437954127929E-4</c:v>
                </c:pt>
                <c:pt idx="275">
                  <c:v>2.7518733729171412E-4</c:v>
                </c:pt>
                <c:pt idx="276">
                  <c:v>2.8637437543669794E-4</c:v>
                </c:pt>
                <c:pt idx="277">
                  <c:v>2.9863568070062862E-4</c:v>
                </c:pt>
                <c:pt idx="278">
                  <c:v>3.1198106357828079E-4</c:v>
                </c:pt>
                <c:pt idx="279">
                  <c:v>3.2641991609691468E-4</c:v>
                </c:pt>
                <c:pt idx="280">
                  <c:v>3.4196117325447555E-4</c:v>
                </c:pt>
                <c:pt idx="281">
                  <c:v>3.583009134579031E-4</c:v>
                </c:pt>
                <c:pt idx="282">
                  <c:v>3.7437012369585592E-4</c:v>
                </c:pt>
                <c:pt idx="283">
                  <c:v>3.9016070901295004E-4</c:v>
                </c:pt>
                <c:pt idx="284">
                  <c:v>4.0566450885289984E-4</c:v>
                </c:pt>
                <c:pt idx="285">
                  <c:v>4.2087334329534711E-4</c:v>
                </c:pt>
                <c:pt idx="286">
                  <c:v>4.3577905991409399E-4</c:v>
                </c:pt>
                <c:pt idx="287">
                  <c:v>4.5037358083821163E-4</c:v>
                </c:pt>
                <c:pt idx="288">
                  <c:v>4.6465985498114109E-4</c:v>
                </c:pt>
                <c:pt idx="289">
                  <c:v>4.8337794217063356E-4</c:v>
                </c:pt>
                <c:pt idx="290">
                  <c:v>5.0662577990693712E-4</c:v>
                </c:pt>
                <c:pt idx="291">
                  <c:v>5.344434303432271E-4</c:v>
                </c:pt>
                <c:pt idx="292">
                  <c:v>5.6686967179987648E-4</c:v>
                </c:pt>
                <c:pt idx="293">
                  <c:v>6.0394188258824444E-4</c:v>
                </c:pt>
                <c:pt idx="294">
                  <c:v>6.4569594465645533E-4</c:v>
                </c:pt>
                <c:pt idx="295">
                  <c:v>6.9748466493376631E-4</c:v>
                </c:pt>
                <c:pt idx="296">
                  <c:v>7.5972304425506491E-4</c:v>
                </c:pt>
                <c:pt idx="297">
                  <c:v>8.3249851118354166E-4</c:v>
                </c:pt>
                <c:pt idx="298">
                  <c:v>9.1589150398403468E-4</c:v>
                </c:pt>
                <c:pt idx="299">
                  <c:v>1.0099798849570304E-3</c:v>
                </c:pt>
                <c:pt idx="300">
                  <c:v>1.1148389187174204E-3</c:v>
                </c:pt>
                <c:pt idx="301">
                  <c:v>1.2305412811325046E-3</c:v>
                </c:pt>
                <c:pt idx="302">
                  <c:v>1.3572294337438672E-3</c:v>
                </c:pt>
                <c:pt idx="303">
                  <c:v>1.4915254274349633E-3</c:v>
                </c:pt>
                <c:pt idx="304">
                  <c:v>1.6285500328846567E-3</c:v>
                </c:pt>
                <c:pt idx="305">
                  <c:v>1.7683345878063022E-3</c:v>
                </c:pt>
                <c:pt idx="306">
                  <c:v>1.9109084147432764E-3</c:v>
                </c:pt>
                <c:pt idx="307">
                  <c:v>2.0562984765034528E-3</c:v>
                </c:pt>
                <c:pt idx="308">
                  <c:v>2.204528962135579E-3</c:v>
                </c:pt>
                <c:pt idx="309">
                  <c:v>2.3522643168766779E-3</c:v>
                </c:pt>
                <c:pt idx="310">
                  <c:v>2.4939365717423115E-3</c:v>
                </c:pt>
                <c:pt idx="311">
                  <c:v>2.6294762241559195E-3</c:v>
                </c:pt>
                <c:pt idx="312">
                  <c:v>2.7588078963668469E-3</c:v>
                </c:pt>
                <c:pt idx="313">
                  <c:v>2.8818501884899481E-3</c:v>
                </c:pt>
                <c:pt idx="314">
                  <c:v>2.9985155422979372E-3</c:v>
                </c:pt>
                <c:pt idx="315">
                  <c:v>3.1087101311028154E-3</c:v>
                </c:pt>
                <c:pt idx="316">
                  <c:v>3.2127279748137682E-3</c:v>
                </c:pt>
                <c:pt idx="317">
                  <c:v>3.3077788118948937E-3</c:v>
                </c:pt>
                <c:pt idx="318">
                  <c:v>3.3974506751040519E-3</c:v>
                </c:pt>
                <c:pt idx="319">
                  <c:v>3.4816388582179321E-3</c:v>
                </c:pt>
                <c:pt idx="320">
                  <c:v>3.5602180622755731E-3</c:v>
                </c:pt>
                <c:pt idx="321">
                  <c:v>3.6330425970809515E-3</c:v>
                </c:pt>
                <c:pt idx="322">
                  <c:v>3.6999467814100937E-3</c:v>
                </c:pt>
                <c:pt idx="323">
                  <c:v>3.7539561411754976E-3</c:v>
                </c:pt>
                <c:pt idx="324">
                  <c:v>3.7983201990304466E-3</c:v>
                </c:pt>
                <c:pt idx="325">
                  <c:v>3.8327803021126314E-3</c:v>
                </c:pt>
                <c:pt idx="326">
                  <c:v>3.8570446221333926E-3</c:v>
                </c:pt>
                <c:pt idx="327">
                  <c:v>3.8708251030093867E-3</c:v>
                </c:pt>
                <c:pt idx="328">
                  <c:v>3.8738455331484333E-3</c:v>
                </c:pt>
                <c:pt idx="329">
                  <c:v>3.8658298730656405E-3</c:v>
                </c:pt>
                <c:pt idx="330">
                  <c:v>3.8470694536566191E-3</c:v>
                </c:pt>
                <c:pt idx="331">
                  <c:v>3.8187893923616605E-3</c:v>
                </c:pt>
                <c:pt idx="332">
                  <c:v>3.7840983988359348E-3</c:v>
                </c:pt>
                <c:pt idx="333">
                  <c:v>3.7428572647634608E-3</c:v>
                </c:pt>
                <c:pt idx="334">
                  <c:v>3.6949256875245997E-3</c:v>
                </c:pt>
                <c:pt idx="335">
                  <c:v>3.6401643098279172E-3</c:v>
                </c:pt>
                <c:pt idx="336">
                  <c:v>3.5784369850373502E-3</c:v>
                </c:pt>
                <c:pt idx="337">
                  <c:v>3.5130935486514777E-3</c:v>
                </c:pt>
                <c:pt idx="338">
                  <c:v>3.4511725541408974E-3</c:v>
                </c:pt>
                <c:pt idx="339">
                  <c:v>3.3926385834601486E-3</c:v>
                </c:pt>
                <c:pt idx="340">
                  <c:v>3.3374561637025827E-3</c:v>
                </c:pt>
                <c:pt idx="341">
                  <c:v>3.2855894025092826E-3</c:v>
                </c:pt>
                <c:pt idx="342">
                  <c:v>3.2370015788550652E-3</c:v>
                </c:pt>
                <c:pt idx="343">
                  <c:v>3.1916547007700058E-3</c:v>
                </c:pt>
                <c:pt idx="344">
                  <c:v>3.149693926837394E-3</c:v>
                </c:pt>
                <c:pt idx="345">
                  <c:v>3.1112962180700906E-3</c:v>
                </c:pt>
                <c:pt idx="346">
                  <c:v>3.0768915309667792E-3</c:v>
                </c:pt>
                <c:pt idx="347">
                  <c:v>3.0464816783650891E-3</c:v>
                </c:pt>
                <c:pt idx="348">
                  <c:v>3.020063507201545E-3</c:v>
                </c:pt>
                <c:pt idx="349">
                  <c:v>2.9976286459547719E-3</c:v>
                </c:pt>
                <c:pt idx="350">
                  <c:v>2.9791632629282464E-3</c:v>
                </c:pt>
                <c:pt idx="351">
                  <c:v>2.9659667305386573E-3</c:v>
                </c:pt>
                <c:pt idx="352">
                  <c:v>2.9544865014601161E-3</c:v>
                </c:pt>
                <c:pt idx="353">
                  <c:v>2.9446999863199049E-3</c:v>
                </c:pt>
                <c:pt idx="354">
                  <c:v>2.9365827719267609E-3</c:v>
                </c:pt>
                <c:pt idx="355">
                  <c:v>2.930108650665886E-3</c:v>
                </c:pt>
                <c:pt idx="356">
                  <c:v>2.9252422423555039E-3</c:v>
                </c:pt>
                <c:pt idx="357">
                  <c:v>2.9219579845654866E-3</c:v>
                </c:pt>
                <c:pt idx="358">
                  <c:v>2.9200944287973369E-3</c:v>
                </c:pt>
                <c:pt idx="359">
                  <c:v>2.9195323266405105E-3</c:v>
                </c:pt>
                <c:pt idx="360">
                  <c:v>2.9237357277483835E-3</c:v>
                </c:pt>
                <c:pt idx="361">
                  <c:v>2.9313922571036631E-3</c:v>
                </c:pt>
                <c:pt idx="362">
                  <c:v>2.9424812688089354E-3</c:v>
                </c:pt>
                <c:pt idx="363">
                  <c:v>2.9569759952828684E-3</c:v>
                </c:pt>
                <c:pt idx="364">
                  <c:v>2.9748441966086412E-3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602512"/>
        <c:axId val="665602904"/>
      </c:lineChart>
      <c:dateAx>
        <c:axId val="6656025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02904"/>
        <c:crosses val="autoZero"/>
        <c:auto val="1"/>
        <c:lblOffset val="100"/>
        <c:baseTimeUnit val="days"/>
        <c:majorUnit val="1"/>
        <c:majorTimeUnit val="months"/>
      </c:dateAx>
      <c:valAx>
        <c:axId val="66560290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025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94.458740544573686</c:v>
                </c:pt>
                <c:pt idx="1">
                  <c:v>95.032646842882983</c:v>
                </c:pt>
                <c:pt idx="2">
                  <c:v>95.640535996576631</c:v>
                </c:pt>
                <c:pt idx="3">
                  <c:v>96.280598161460546</c:v>
                </c:pt>
                <c:pt idx="4">
                  <c:v>96.95102389541843</c:v>
                </c:pt>
                <c:pt idx="5">
                  <c:v>97.650004145524633</c:v>
                </c:pt>
                <c:pt idx="6">
                  <c:v>98.375730282174302</c:v>
                </c:pt>
                <c:pt idx="7">
                  <c:v>99.126394105415628</c:v>
                </c:pt>
                <c:pt idx="8">
                  <c:v>99.910158767090863</c:v>
                </c:pt>
                <c:pt idx="9">
                  <c:v>100.73544788976919</c:v>
                </c:pt>
                <c:pt idx="10">
                  <c:v>101.60018858530192</c:v>
                </c:pt>
                <c:pt idx="11">
                  <c:v>102.50199102251275</c:v>
                </c:pt>
                <c:pt idx="12">
                  <c:v>103.43846602924266</c:v>
                </c:pt>
                <c:pt idx="13">
                  <c:v>104.40722505465385</c:v>
                </c:pt>
                <c:pt idx="14">
                  <c:v>105.40588022853224</c:v>
                </c:pt>
                <c:pt idx="15">
                  <c:v>106.43234782307944</c:v>
                </c:pt>
                <c:pt idx="16">
                  <c:v>107.48432187571908</c:v>
                </c:pt>
                <c:pt idx="17">
                  <c:v>108.55941637653284</c:v>
                </c:pt>
                <c:pt idx="18">
                  <c:v>109.65524592073757</c:v>
                </c:pt>
                <c:pt idx="19">
                  <c:v>110.76942403511025</c:v>
                </c:pt>
                <c:pt idx="20">
                  <c:v>111.89956413007594</c:v>
                </c:pt>
                <c:pt idx="21">
                  <c:v>113.04328164002209</c:v>
                </c:pt>
                <c:pt idx="22">
                  <c:v>114.20858268717443</c:v>
                </c:pt>
                <c:pt idx="23">
                  <c:v>115.40402794766875</c:v>
                </c:pt>
                <c:pt idx="24">
                  <c:v>116.62691293203402</c:v>
                </c:pt>
                <c:pt idx="25">
                  <c:v>117.87518241074665</c:v>
                </c:pt>
                <c:pt idx="26">
                  <c:v>119.14678188664519</c:v>
                </c:pt>
                <c:pt idx="27">
                  <c:v>120.4396576132557</c:v>
                </c:pt>
                <c:pt idx="28">
                  <c:v>121.7517565701821</c:v>
                </c:pt>
                <c:pt idx="29">
                  <c:v>123.08138735552816</c:v>
                </c:pt>
                <c:pt idx="30">
                  <c:v>124.42619501580391</c:v>
                </c:pt>
                <c:pt idx="31">
                  <c:v>125.78412875278494</c:v>
                </c:pt>
                <c:pt idx="32">
                  <c:v>127.1531385451524</c:v>
                </c:pt>
                <c:pt idx="33">
                  <c:v>128.53117510516316</c:v>
                </c:pt>
                <c:pt idx="34">
                  <c:v>129.91618991601146</c:v>
                </c:pt>
                <c:pt idx="35">
                  <c:v>131.30613518999036</c:v>
                </c:pt>
                <c:pt idx="36">
                  <c:v>132.71073425046112</c:v>
                </c:pt>
                <c:pt idx="37">
                  <c:v>134.13847140502949</c:v>
                </c:pt>
                <c:pt idx="38">
                  <c:v>135.5859363155231</c:v>
                </c:pt>
                <c:pt idx="39">
                  <c:v>137.05005578366405</c:v>
                </c:pt>
                <c:pt idx="40">
                  <c:v>138.52775752549661</c:v>
                </c:pt>
                <c:pt idx="41">
                  <c:v>140.01597017799136</c:v>
                </c:pt>
                <c:pt idx="42">
                  <c:v>141.51162328416885</c:v>
                </c:pt>
                <c:pt idx="43">
                  <c:v>143.01114346406857</c:v>
                </c:pt>
                <c:pt idx="44">
                  <c:v>144.51110086271248</c:v>
                </c:pt>
                <c:pt idx="45">
                  <c:v>146.00842732496977</c:v>
                </c:pt>
                <c:pt idx="46">
                  <c:v>147.5000555213426</c:v>
                </c:pt>
                <c:pt idx="47">
                  <c:v>148.98291893599202</c:v>
                </c:pt>
                <c:pt idx="48">
                  <c:v>150.45395186709629</c:v>
                </c:pt>
                <c:pt idx="49">
                  <c:v>151.91008941415456</c:v>
                </c:pt>
                <c:pt idx="50">
                  <c:v>153.35925894395635</c:v>
                </c:pt>
                <c:pt idx="51">
                  <c:v>154.81044118359264</c:v>
                </c:pt>
                <c:pt idx="52">
                  <c:v>156.26265703395768</c:v>
                </c:pt>
                <c:pt idx="53">
                  <c:v>157.71437321369615</c:v>
                </c:pt>
                <c:pt idx="54">
                  <c:v>159.16405650809418</c:v>
                </c:pt>
                <c:pt idx="55">
                  <c:v>160.61017404866934</c:v>
                </c:pt>
                <c:pt idx="56">
                  <c:v>162.05119330118671</c:v>
                </c:pt>
                <c:pt idx="57">
                  <c:v>163.48558825728546</c:v>
                </c:pt>
                <c:pt idx="58">
                  <c:v>164.91233233181308</c:v>
                </c:pt>
                <c:pt idx="59">
                  <c:v>166.32989431695177</c:v>
                </c:pt>
                <c:pt idx="60">
                  <c:v>167.73674332445393</c:v>
                </c:pt>
                <c:pt idx="61">
                  <c:v>169.13134877341548</c:v>
                </c:pt>
                <c:pt idx="62">
                  <c:v>170.51218039118558</c:v>
                </c:pt>
                <c:pt idx="63">
                  <c:v>171.87770820704415</c:v>
                </c:pt>
                <c:pt idx="64">
                  <c:v>173.22926845563194</c:v>
                </c:pt>
                <c:pt idx="65">
                  <c:v>174.5693972668933</c:v>
                </c:pt>
                <c:pt idx="66">
                  <c:v>175.89850790910555</c:v>
                </c:pt>
                <c:pt idx="67">
                  <c:v>177.21704650184532</c:v>
                </c:pt>
                <c:pt idx="68">
                  <c:v>178.52545888398521</c:v>
                </c:pt>
                <c:pt idx="69">
                  <c:v>179.82419062124407</c:v>
                </c:pt>
                <c:pt idx="70">
                  <c:v>181.1136870058622</c:v>
                </c:pt>
                <c:pt idx="71">
                  <c:v>182.39434691595324</c:v>
                </c:pt>
                <c:pt idx="72">
                  <c:v>183.66660872404952</c:v>
                </c:pt>
                <c:pt idx="73">
                  <c:v>184.93091677625623</c:v>
                </c:pt>
                <c:pt idx="74">
                  <c:v>186.18771512179799</c:v>
                </c:pt>
                <c:pt idx="75">
                  <c:v>187.43744750874049</c:v>
                </c:pt>
                <c:pt idx="76">
                  <c:v>188.6805573935049</c:v>
                </c:pt>
                <c:pt idx="77">
                  <c:v>189.91748792267722</c:v>
                </c:pt>
                <c:pt idx="78">
                  <c:v>191.15470467827473</c:v>
                </c:pt>
                <c:pt idx="79">
                  <c:v>192.39620755153405</c:v>
                </c:pt>
                <c:pt idx="80">
                  <c:v>193.63881840199116</c:v>
                </c:pt>
                <c:pt idx="81">
                  <c:v>194.87924162840412</c:v>
                </c:pt>
                <c:pt idx="82">
                  <c:v>196.11418248142013</c:v>
                </c:pt>
                <c:pt idx="83">
                  <c:v>197.34034705213676</c:v>
                </c:pt>
                <c:pt idx="84">
                  <c:v>198.55444230927159</c:v>
                </c:pt>
                <c:pt idx="85">
                  <c:v>199.75316479007222</c:v>
                </c:pt>
                <c:pt idx="86">
                  <c:v>200.93327001522636</c:v>
                </c:pt>
                <c:pt idx="87">
                  <c:v>202.09146781659894</c:v>
                </c:pt>
                <c:pt idx="88">
                  <c:v>203.2244689490602</c:v>
                </c:pt>
                <c:pt idx="89">
                  <c:v>204.32898515740001</c:v>
                </c:pt>
                <c:pt idx="90">
                  <c:v>205.4017291513039</c:v>
                </c:pt>
                <c:pt idx="91">
                  <c:v>206.4394146415369</c:v>
                </c:pt>
                <c:pt idx="92">
                  <c:v>207.44533077383264</c:v>
                </c:pt>
                <c:pt idx="93">
                  <c:v>208.42543019799376</c:v>
                </c:pt>
                <c:pt idx="94">
                  <c:v>209.38044720967534</c:v>
                </c:pt>
                <c:pt idx="95">
                  <c:v>210.31114432782627</c:v>
                </c:pt>
                <c:pt idx="96">
                  <c:v>211.21828382793069</c:v>
                </c:pt>
                <c:pt idx="97">
                  <c:v>212.10262778125374</c:v>
                </c:pt>
                <c:pt idx="98">
                  <c:v>212.96493804804547</c:v>
                </c:pt>
                <c:pt idx="99">
                  <c:v>213.8060033464005</c:v>
                </c:pt>
                <c:pt idx="100">
                  <c:v>214.62659705461991</c:v>
                </c:pt>
                <c:pt idx="101">
                  <c:v>215.42748079352234</c:v>
                </c:pt>
                <c:pt idx="102">
                  <c:v>216.20941604020854</c:v>
                </c:pt>
                <c:pt idx="103">
                  <c:v>216.97316409279688</c:v>
                </c:pt>
                <c:pt idx="104">
                  <c:v>217.71948613048471</c:v>
                </c:pt>
                <c:pt idx="105">
                  <c:v>218.44914318227811</c:v>
                </c:pt>
                <c:pt idx="106">
                  <c:v>219.15876457159837</c:v>
                </c:pt>
                <c:pt idx="107">
                  <c:v>219.8452183391739</c:v>
                </c:pt>
                <c:pt idx="108">
                  <c:v>220.50957504630375</c:v>
                </c:pt>
                <c:pt idx="109">
                  <c:v>221.15286787867205</c:v>
                </c:pt>
                <c:pt idx="110">
                  <c:v>221.77612983914193</c:v>
                </c:pt>
                <c:pt idx="111">
                  <c:v>222.38039388610071</c:v>
                </c:pt>
                <c:pt idx="112">
                  <c:v>222.96669304826102</c:v>
                </c:pt>
                <c:pt idx="113">
                  <c:v>223.5360657812725</c:v>
                </c:pt>
                <c:pt idx="114">
                  <c:v>224.08951641199926</c:v>
                </c:pt>
                <c:pt idx="115">
                  <c:v>224.62807763536739</c:v>
                </c:pt>
                <c:pt idx="116">
                  <c:v>225.15278212601444</c:v>
                </c:pt>
                <c:pt idx="117">
                  <c:v>225.66466253415737</c:v>
                </c:pt>
                <c:pt idx="118">
                  <c:v>226.16475151838279</c:v>
                </c:pt>
                <c:pt idx="119">
                  <c:v>226.65408175078204</c:v>
                </c:pt>
                <c:pt idx="120">
                  <c:v>227.13000087240366</c:v>
                </c:pt>
                <c:pt idx="121">
                  <c:v>227.58952500170557</c:v>
                </c:pt>
                <c:pt idx="122">
                  <c:v>228.03311111136912</c:v>
                </c:pt>
                <c:pt idx="123">
                  <c:v>228.46127877274881</c:v>
                </c:pt>
                <c:pt idx="124">
                  <c:v>228.87454774221638</c:v>
                </c:pt>
                <c:pt idx="125">
                  <c:v>229.27343793973563</c:v>
                </c:pt>
                <c:pt idx="126">
                  <c:v>229.65846945052036</c:v>
                </c:pt>
                <c:pt idx="127">
                  <c:v>230.03019629962461</c:v>
                </c:pt>
                <c:pt idx="128">
                  <c:v>230.38913339060434</c:v>
                </c:pt>
                <c:pt idx="129">
                  <c:v>230.73580195006767</c:v>
                </c:pt>
                <c:pt idx="130">
                  <c:v>231.07072341540717</c:v>
                </c:pt>
                <c:pt idx="131">
                  <c:v>231.39441941313774</c:v>
                </c:pt>
                <c:pt idx="132">
                  <c:v>231.70741175935984</c:v>
                </c:pt>
                <c:pt idx="133">
                  <c:v>232.01022246125999</c:v>
                </c:pt>
                <c:pt idx="134">
                  <c:v>232.30097713500808</c:v>
                </c:pt>
                <c:pt idx="135">
                  <c:v>232.57775022187835</c:v>
                </c:pt>
                <c:pt idx="136">
                  <c:v>232.84105303552647</c:v>
                </c:pt>
                <c:pt idx="137">
                  <c:v>233.09140776184083</c:v>
                </c:pt>
                <c:pt idx="138">
                  <c:v>233.32933665869862</c:v>
                </c:pt>
                <c:pt idx="139">
                  <c:v>233.55536205934109</c:v>
                </c:pt>
                <c:pt idx="140">
                  <c:v>233.77000634324818</c:v>
                </c:pt>
                <c:pt idx="141">
                  <c:v>233.97376782397686</c:v>
                </c:pt>
                <c:pt idx="142">
                  <c:v>234.16713035364549</c:v>
                </c:pt>
                <c:pt idx="143">
                  <c:v>234.35061497771102</c:v>
                </c:pt>
                <c:pt idx="144">
                  <c:v>234.52474242828632</c:v>
                </c:pt>
                <c:pt idx="145">
                  <c:v>234.69003339553925</c:v>
                </c:pt>
                <c:pt idx="146">
                  <c:v>234.84700849280884</c:v>
                </c:pt>
                <c:pt idx="147">
                  <c:v>234.99618825189654</c:v>
                </c:pt>
                <c:pt idx="148">
                  <c:v>235.13792213346187</c:v>
                </c:pt>
                <c:pt idx="149">
                  <c:v>235.27197954500954</c:v>
                </c:pt>
                <c:pt idx="150">
                  <c:v>235.39791838799766</c:v>
                </c:pt>
                <c:pt idx="151">
                  <c:v>235.51523816651249</c:v>
                </c:pt>
                <c:pt idx="152">
                  <c:v>235.62343854921031</c:v>
                </c:pt>
                <c:pt idx="153">
                  <c:v>235.7220193195858</c:v>
                </c:pt>
                <c:pt idx="154">
                  <c:v>235.81048035401335</c:v>
                </c:pt>
                <c:pt idx="155">
                  <c:v>235.88831047900771</c:v>
                </c:pt>
                <c:pt idx="156">
                  <c:v>235.95503644280245</c:v>
                </c:pt>
                <c:pt idx="157">
                  <c:v>236.01015838729262</c:v>
                </c:pt>
                <c:pt idx="158">
                  <c:v>236.05317636577357</c:v>
                </c:pt>
                <c:pt idx="159">
                  <c:v>236.08359029000766</c:v>
                </c:pt>
                <c:pt idx="160">
                  <c:v>236.1008998993378</c:v>
                </c:pt>
                <c:pt idx="161">
                  <c:v>236.10460472072992</c:v>
                </c:pt>
                <c:pt idx="162">
                  <c:v>236.09437477226649</c:v>
                </c:pt>
                <c:pt idx="163">
                  <c:v>236.07046639170804</c:v>
                </c:pt>
                <c:pt idx="164">
                  <c:v>236.03328324798741</c:v>
                </c:pt>
                <c:pt idx="165">
                  <c:v>235.98334311500713</c:v>
                </c:pt>
                <c:pt idx="166">
                  <c:v>235.9211632181368</c:v>
                </c:pt>
                <c:pt idx="167">
                  <c:v>235.84726021567189</c:v>
                </c:pt>
                <c:pt idx="168">
                  <c:v>235.76215019775819</c:v>
                </c:pt>
                <c:pt idx="169">
                  <c:v>235.66624896456898</c:v>
                </c:pt>
                <c:pt idx="170">
                  <c:v>235.56008235217092</c:v>
                </c:pt>
                <c:pt idx="171">
                  <c:v>235.44416346183172</c:v>
                </c:pt>
                <c:pt idx="172">
                  <c:v>235.31900490613373</c:v>
                </c:pt>
                <c:pt idx="173">
                  <c:v>235.18511917869378</c:v>
                </c:pt>
                <c:pt idx="174">
                  <c:v>235.04301833539944</c:v>
                </c:pt>
                <c:pt idx="175">
                  <c:v>234.89321362640555</c:v>
                </c:pt>
                <c:pt idx="176">
                  <c:v>234.73715384492721</c:v>
                </c:pt>
                <c:pt idx="177">
                  <c:v>234.57525089486526</c:v>
                </c:pt>
                <c:pt idx="178">
                  <c:v>234.40658368103675</c:v>
                </c:pt>
                <c:pt idx="179">
                  <c:v>234.23012844834128</c:v>
                </c:pt>
                <c:pt idx="180">
                  <c:v>234.04486145191774</c:v>
                </c:pt>
                <c:pt idx="181">
                  <c:v>233.84975897539269</c:v>
                </c:pt>
                <c:pt idx="182">
                  <c:v>233.64379734001548</c:v>
                </c:pt>
                <c:pt idx="183">
                  <c:v>233.426082558969</c:v>
                </c:pt>
                <c:pt idx="184">
                  <c:v>233.1956985005508</c:v>
                </c:pt>
                <c:pt idx="185">
                  <c:v>232.95162380645519</c:v>
                </c:pt>
                <c:pt idx="186">
                  <c:v>232.69283702345578</c:v>
                </c:pt>
                <c:pt idx="187">
                  <c:v>232.41831659297631</c:v>
                </c:pt>
                <c:pt idx="188">
                  <c:v>232.12704091309527</c:v>
                </c:pt>
                <c:pt idx="189">
                  <c:v>231.81798835702892</c:v>
                </c:pt>
                <c:pt idx="190">
                  <c:v>231.49047800052077</c:v>
                </c:pt>
                <c:pt idx="191">
                  <c:v>231.14515995217778</c:v>
                </c:pt>
                <c:pt idx="192">
                  <c:v>230.78306990840585</c:v>
                </c:pt>
                <c:pt idx="193">
                  <c:v>230.40522941518472</c:v>
                </c:pt>
                <c:pt idx="194">
                  <c:v>230.01265959968356</c:v>
                </c:pt>
                <c:pt idx="195">
                  <c:v>229.60638118161219</c:v>
                </c:pt>
                <c:pt idx="196">
                  <c:v>229.18741454961682</c:v>
                </c:pt>
                <c:pt idx="197">
                  <c:v>228.75670148022397</c:v>
                </c:pt>
                <c:pt idx="198">
                  <c:v>228.31512668742346</c:v>
                </c:pt>
                <c:pt idx="199">
                  <c:v>227.86370868478514</c:v>
                </c:pt>
                <c:pt idx="200">
                  <c:v>227.4034658770434</c:v>
                </c:pt>
                <c:pt idx="201">
                  <c:v>226.93541658894782</c:v>
                </c:pt>
                <c:pt idx="202">
                  <c:v>226.46057906512377</c:v>
                </c:pt>
                <c:pt idx="203">
                  <c:v>225.9799714938342</c:v>
                </c:pt>
                <c:pt idx="204">
                  <c:v>225.49205918454015</c:v>
                </c:pt>
                <c:pt idx="205">
                  <c:v>224.99467829115551</c:v>
                </c:pt>
                <c:pt idx="206">
                  <c:v>224.48785943662571</c:v>
                </c:pt>
                <c:pt idx="207">
                  <c:v>223.9716012888521</c:v>
                </c:pt>
                <c:pt idx="208">
                  <c:v>223.44590273821098</c:v>
                </c:pt>
                <c:pt idx="209">
                  <c:v>222.91076292224574</c:v>
                </c:pt>
                <c:pt idx="210">
                  <c:v>222.36618120084924</c:v>
                </c:pt>
                <c:pt idx="211">
                  <c:v>221.81217136090729</c:v>
                </c:pt>
                <c:pt idx="212">
                  <c:v>221.2488130292804</c:v>
                </c:pt>
                <c:pt idx="213">
                  <c:v>220.67610644998717</c:v>
                </c:pt>
                <c:pt idx="214">
                  <c:v>220.09405207040712</c:v>
                </c:pt>
                <c:pt idx="215">
                  <c:v>219.50265053355923</c:v>
                </c:pt>
                <c:pt idx="216">
                  <c:v>218.9019026622575</c:v>
                </c:pt>
                <c:pt idx="217">
                  <c:v>218.29180947494262</c:v>
                </c:pt>
                <c:pt idx="218">
                  <c:v>217.67347740727863</c:v>
                </c:pt>
                <c:pt idx="219">
                  <c:v>217.04768570249354</c:v>
                </c:pt>
                <c:pt idx="220">
                  <c:v>216.41387427704103</c:v>
                </c:pt>
                <c:pt idx="221">
                  <c:v>215.77153450756128</c:v>
                </c:pt>
                <c:pt idx="222">
                  <c:v>215.12015803936018</c:v>
                </c:pt>
                <c:pt idx="223">
                  <c:v>214.45923677226861</c:v>
                </c:pt>
                <c:pt idx="224">
                  <c:v>213.78826283618145</c:v>
                </c:pt>
                <c:pt idx="225">
                  <c:v>213.10683293105757</c:v>
                </c:pt>
                <c:pt idx="226">
                  <c:v>212.41442552548827</c:v>
                </c:pt>
                <c:pt idx="227">
                  <c:v>211.71053342696231</c:v>
                </c:pt>
                <c:pt idx="228">
                  <c:v>210.99464961594279</c:v>
                </c:pt>
                <c:pt idx="229">
                  <c:v>210.26626723660323</c:v>
                </c:pt>
                <c:pt idx="230">
                  <c:v>209.52487957875496</c:v>
                </c:pt>
                <c:pt idx="231">
                  <c:v>208.76998008509287</c:v>
                </c:pt>
                <c:pt idx="232">
                  <c:v>208.00233649178293</c:v>
                </c:pt>
                <c:pt idx="233">
                  <c:v>207.22309791656045</c:v>
                </c:pt>
                <c:pt idx="234">
                  <c:v>206.43225405582106</c:v>
                </c:pt>
                <c:pt idx="235">
                  <c:v>205.6298076487634</c:v>
                </c:pt>
                <c:pt idx="236">
                  <c:v>204.81576138730904</c:v>
                </c:pt>
                <c:pt idx="237">
                  <c:v>203.99011800353517</c:v>
                </c:pt>
                <c:pt idx="238">
                  <c:v>203.15288019868072</c:v>
                </c:pt>
                <c:pt idx="239">
                  <c:v>202.30398449212822</c:v>
                </c:pt>
                <c:pt idx="240">
                  <c:v>201.44332956967637</c:v>
                </c:pt>
                <c:pt idx="241">
                  <c:v>200.57091833553207</c:v>
                </c:pt>
                <c:pt idx="242">
                  <c:v>199.68675370485559</c:v>
                </c:pt>
                <c:pt idx="243">
                  <c:v>198.79083862127985</c:v>
                </c:pt>
                <c:pt idx="244">
                  <c:v>197.88317604600959</c:v>
                </c:pt>
                <c:pt idx="245">
                  <c:v>196.96376896904516</c:v>
                </c:pt>
                <c:pt idx="246">
                  <c:v>196.03262040529589</c:v>
                </c:pt>
                <c:pt idx="247">
                  <c:v>195.08971425853898</c:v>
                </c:pt>
                <c:pt idx="248">
                  <c:v>194.13501232075618</c:v>
                </c:pt>
                <c:pt idx="249">
                  <c:v>193.16851788359509</c:v>
                </c:pt>
                <c:pt idx="250">
                  <c:v>192.19023428337138</c:v>
                </c:pt>
                <c:pt idx="251">
                  <c:v>191.20016490439465</c:v>
                </c:pt>
                <c:pt idx="252">
                  <c:v>190.19831317738797</c:v>
                </c:pt>
                <c:pt idx="253">
                  <c:v>189.18473239415258</c:v>
                </c:pt>
                <c:pt idx="254">
                  <c:v>188.15949127604949</c:v>
                </c:pt>
                <c:pt idx="255">
                  <c:v>187.12259293955043</c:v>
                </c:pt>
                <c:pt idx="256">
                  <c:v>186.07404050029973</c:v>
                </c:pt>
                <c:pt idx="257">
                  <c:v>185.01383705416455</c:v>
                </c:pt>
                <c:pt idx="258">
                  <c:v>183.94198567559545</c:v>
                </c:pt>
                <c:pt idx="259">
                  <c:v>182.85848939999292</c:v>
                </c:pt>
                <c:pt idx="260">
                  <c:v>181.76004381205058</c:v>
                </c:pt>
                <c:pt idx="261">
                  <c:v>180.6442754443953</c:v>
                </c:pt>
                <c:pt idx="262">
                  <c:v>179.51273359218004</c:v>
                </c:pt>
                <c:pt idx="263">
                  <c:v>178.36694829428791</c:v>
                </c:pt>
                <c:pt idx="264">
                  <c:v>177.2084491958631</c:v>
                </c:pt>
                <c:pt idx="265">
                  <c:v>176.0387652941294</c:v>
                </c:pt>
                <c:pt idx="266">
                  <c:v>174.85942529661256</c:v>
                </c:pt>
                <c:pt idx="267">
                  <c:v>173.67174587872529</c:v>
                </c:pt>
                <c:pt idx="268">
                  <c:v>172.47720799078979</c:v>
                </c:pt>
                <c:pt idx="269">
                  <c:v>171.27734115525158</c:v>
                </c:pt>
                <c:pt idx="270">
                  <c:v>170.073674592652</c:v>
                </c:pt>
                <c:pt idx="271">
                  <c:v>168.86773723319894</c:v>
                </c:pt>
                <c:pt idx="272">
                  <c:v>167.66105771377016</c:v>
                </c:pt>
                <c:pt idx="273">
                  <c:v>166.45516438253699</c:v>
                </c:pt>
                <c:pt idx="274">
                  <c:v>165.24667001802271</c:v>
                </c:pt>
                <c:pt idx="275">
                  <c:v>164.03152908484623</c:v>
                </c:pt>
                <c:pt idx="276">
                  <c:v>162.81033759511328</c:v>
                </c:pt>
                <c:pt idx="277">
                  <c:v>161.58360637914842</c:v>
                </c:pt>
                <c:pt idx="278">
                  <c:v>160.35184603465427</c:v>
                </c:pt>
                <c:pt idx="279">
                  <c:v>159.11556691684825</c:v>
                </c:pt>
                <c:pt idx="280">
                  <c:v>157.87527913197763</c:v>
                </c:pt>
                <c:pt idx="281">
                  <c:v>156.63147669269856</c:v>
                </c:pt>
                <c:pt idx="282">
                  <c:v>155.38487135785704</c:v>
                </c:pt>
                <c:pt idx="283">
                  <c:v>154.13597003639202</c:v>
                </c:pt>
                <c:pt idx="284">
                  <c:v>152.88527921739887</c:v>
                </c:pt>
                <c:pt idx="285">
                  <c:v>151.63330496790238</c:v>
                </c:pt>
                <c:pt idx="286">
                  <c:v>150.38055292790753</c:v>
                </c:pt>
                <c:pt idx="287">
                  <c:v>149.12752831405709</c:v>
                </c:pt>
                <c:pt idx="288">
                  <c:v>147.87126331036237</c:v>
                </c:pt>
                <c:pt idx="289">
                  <c:v>146.60828815540441</c:v>
                </c:pt>
                <c:pt idx="290">
                  <c:v>145.33961118995796</c:v>
                </c:pt>
                <c:pt idx="291">
                  <c:v>144.06625904100036</c:v>
                </c:pt>
                <c:pt idx="292">
                  <c:v>142.78925845741591</c:v>
                </c:pt>
                <c:pt idx="293">
                  <c:v>141.50963627916056</c:v>
                </c:pt>
                <c:pt idx="294">
                  <c:v>140.22841941715276</c:v>
                </c:pt>
                <c:pt idx="295">
                  <c:v>138.94584461268553</c:v>
                </c:pt>
                <c:pt idx="296">
                  <c:v>137.66296696216631</c:v>
                </c:pt>
                <c:pt idx="297">
                  <c:v>136.38082685641456</c:v>
                </c:pt>
                <c:pt idx="298">
                  <c:v>135.10046564155243</c:v>
                </c:pt>
                <c:pt idx="299">
                  <c:v>133.82292469051873</c:v>
                </c:pt>
                <c:pt idx="300">
                  <c:v>132.54924529134263</c:v>
                </c:pt>
                <c:pt idx="301">
                  <c:v>131.28046852762759</c:v>
                </c:pt>
                <c:pt idx="302">
                  <c:v>130.0106930780255</c:v>
                </c:pt>
                <c:pt idx="303">
                  <c:v>128.73519797933409</c:v>
                </c:pt>
                <c:pt idx="304">
                  <c:v>127.45679508725755</c:v>
                </c:pt>
                <c:pt idx="305">
                  <c:v>126.17751373293936</c:v>
                </c:pt>
                <c:pt idx="306">
                  <c:v>124.89938229210264</c:v>
                </c:pt>
                <c:pt idx="307">
                  <c:v>123.62442819313947</c:v>
                </c:pt>
                <c:pt idx="308">
                  <c:v>122.35467792095172</c:v>
                </c:pt>
                <c:pt idx="309">
                  <c:v>121.09267100591659</c:v>
                </c:pt>
                <c:pt idx="310">
                  <c:v>119.84113439284039</c:v>
                </c:pt>
                <c:pt idx="311">
                  <c:v>118.60206565724479</c:v>
                </c:pt>
                <c:pt idx="312">
                  <c:v>117.37746197855343</c:v>
                </c:pt>
                <c:pt idx="313">
                  <c:v>116.16932028342309</c:v>
                </c:pt>
                <c:pt idx="314">
                  <c:v>114.97963739979276</c:v>
                </c:pt>
                <c:pt idx="315">
                  <c:v>113.81041019831542</c:v>
                </c:pt>
                <c:pt idx="316">
                  <c:v>112.6497573083529</c:v>
                </c:pt>
                <c:pt idx="317">
                  <c:v>111.48766777430171</c:v>
                </c:pt>
                <c:pt idx="318">
                  <c:v>110.32771018037187</c:v>
                </c:pt>
                <c:pt idx="319">
                  <c:v>109.17391516493151</c:v>
                </c:pt>
                <c:pt idx="320">
                  <c:v>108.03031396461776</c:v>
                </c:pt>
                <c:pt idx="321">
                  <c:v>106.90093848951781</c:v>
                </c:pt>
                <c:pt idx="322">
                  <c:v>105.78982141645695</c:v>
                </c:pt>
                <c:pt idx="323">
                  <c:v>104.70178815449034</c:v>
                </c:pt>
                <c:pt idx="324">
                  <c:v>103.64039462829861</c:v>
                </c:pt>
                <c:pt idx="325">
                  <c:v>102.6096708267943</c:v>
                </c:pt>
                <c:pt idx="326">
                  <c:v>101.61365065142409</c:v>
                </c:pt>
                <c:pt idx="327">
                  <c:v>100.65636766146305</c:v>
                </c:pt>
                <c:pt idx="328">
                  <c:v>99.741854691150706</c:v>
                </c:pt>
                <c:pt idx="329">
                  <c:v>98.874146010500112</c:v>
                </c:pt>
                <c:pt idx="330">
                  <c:v>98.042888323648214</c:v>
                </c:pt>
                <c:pt idx="331">
                  <c:v>97.236152170638007</c:v>
                </c:pt>
                <c:pt idx="332">
                  <c:v>96.455408563421884</c:v>
                </c:pt>
                <c:pt idx="333">
                  <c:v>95.702606939687726</c:v>
                </c:pt>
                <c:pt idx="334">
                  <c:v>94.979697677714682</c:v>
                </c:pt>
                <c:pt idx="335">
                  <c:v>94.288631994117381</c:v>
                </c:pt>
                <c:pt idx="336">
                  <c:v>93.63136185461039</c:v>
                </c:pt>
                <c:pt idx="337">
                  <c:v>93.009461067932293</c:v>
                </c:pt>
                <c:pt idx="338">
                  <c:v>92.424153084558583</c:v>
                </c:pt>
                <c:pt idx="339">
                  <c:v>91.877403403986605</c:v>
                </c:pt>
                <c:pt idx="340">
                  <c:v>91.371176596368755</c:v>
                </c:pt>
                <c:pt idx="341">
                  <c:v>90.907436263179335</c:v>
                </c:pt>
                <c:pt idx="342">
                  <c:v>90.488145046986759</c:v>
                </c:pt>
                <c:pt idx="343">
                  <c:v>90.115264518640842</c:v>
                </c:pt>
                <c:pt idx="344">
                  <c:v>89.785463809029793</c:v>
                </c:pt>
                <c:pt idx="345">
                  <c:v>89.494232694372812</c:v>
                </c:pt>
                <c:pt idx="346">
                  <c:v>89.241821876814612</c:v>
                </c:pt>
                <c:pt idx="347">
                  <c:v>89.028421540981668</c:v>
                </c:pt>
                <c:pt idx="348">
                  <c:v>88.854221223267288</c:v>
                </c:pt>
                <c:pt idx="349">
                  <c:v>88.719409817825436</c:v>
                </c:pt>
                <c:pt idx="350">
                  <c:v>88.624175603520101</c:v>
                </c:pt>
                <c:pt idx="351">
                  <c:v>88.568598474566642</c:v>
                </c:pt>
                <c:pt idx="352">
                  <c:v>88.553230796282151</c:v>
                </c:pt>
                <c:pt idx="353">
                  <c:v>88.578257995619566</c:v>
                </c:pt>
                <c:pt idx="354">
                  <c:v>88.64386507059568</c:v>
                </c:pt>
                <c:pt idx="355">
                  <c:v>88.750236705109273</c:v>
                </c:pt>
                <c:pt idx="356">
                  <c:v>88.897557738461842</c:v>
                </c:pt>
                <c:pt idx="357">
                  <c:v>89.086011778014239</c:v>
                </c:pt>
                <c:pt idx="358">
                  <c:v>89.319431274776662</c:v>
                </c:pt>
                <c:pt idx="359">
                  <c:v>89.600348437383659</c:v>
                </c:pt>
                <c:pt idx="360">
                  <c:v>89.926635458921382</c:v>
                </c:pt>
                <c:pt idx="361">
                  <c:v>90.296634227781041</c:v>
                </c:pt>
                <c:pt idx="362">
                  <c:v>90.708579606225555</c:v>
                </c:pt>
                <c:pt idx="363">
                  <c:v>91.160706461707903</c:v>
                </c:pt>
                <c:pt idx="364">
                  <c:v>91.65124972192416</c:v>
                </c:pt>
                <c:pt idx="365">
                  <c:v>93.054995133248923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94.570827373781171</c:v>
                </c:pt>
                <c:pt idx="1">
                  <c:v>69.151963245551741</c:v>
                </c:pt>
                <c:pt idx="2">
                  <c:v>72.013858306361485</c:v>
                </c:pt>
                <c:pt idx="3">
                  <c:v>77.337364502191235</c:v>
                </c:pt>
                <c:pt idx="4">
                  <c:v>58.149844654994737</c:v>
                </c:pt>
                <c:pt idx="5">
                  <c:v>99.599258871156323</c:v>
                </c:pt>
                <c:pt idx="6">
                  <c:v>37.675505625563552</c:v>
                </c:pt>
                <c:pt idx="7">
                  <c:v>25.223763732873401</c:v>
                </c:pt>
                <c:pt idx="8">
                  <c:v>7.8749840882715771</c:v>
                </c:pt>
                <c:pt idx="9">
                  <c:v>7.2392791212841496</c:v>
                </c:pt>
                <c:pt idx="10">
                  <c:v>97.054959116975837</c:v>
                </c:pt>
                <c:pt idx="11">
                  <c:v>83.210549002693895</c:v>
                </c:pt>
                <c:pt idx="12">
                  <c:v>26.700067820084218</c:v>
                </c:pt>
                <c:pt idx="13">
                  <c:v>106.48240316835194</c:v>
                </c:pt>
                <c:pt idx="14">
                  <c:v>108.11298731521906</c:v>
                </c:pt>
                <c:pt idx="15">
                  <c:v>107.51730393508714</c:v>
                </c:pt>
                <c:pt idx="16">
                  <c:v>84.430926972098774</c:v>
                </c:pt>
                <c:pt idx="17">
                  <c:v>22.114177015956265</c:v>
                </c:pt>
                <c:pt idx="18">
                  <c:v>45.161405644560404</c:v>
                </c:pt>
                <c:pt idx="19">
                  <c:v>23.275727558042867</c:v>
                </c:pt>
                <c:pt idx="20">
                  <c:v>58.435230794343568</c:v>
                </c:pt>
                <c:pt idx="21">
                  <c:v>112.22659966369559</c:v>
                </c:pt>
                <c:pt idx="22">
                  <c:v>114.0753585927347</c:v>
                </c:pt>
                <c:pt idx="23">
                  <c:v>115.48732154265093</c:v>
                </c:pt>
                <c:pt idx="24">
                  <c:v>114.42304003889122</c:v>
                </c:pt>
                <c:pt idx="25">
                  <c:v>116.44108153890612</c:v>
                </c:pt>
                <c:pt idx="26">
                  <c:v>118.34286455588558</c:v>
                </c:pt>
                <c:pt idx="27">
                  <c:v>18.335884400451285</c:v>
                </c:pt>
                <c:pt idx="28">
                  <c:v>28.740227233305429</c:v>
                </c:pt>
                <c:pt idx="29">
                  <c:v>25.895290501594758</c:v>
                </c:pt>
                <c:pt idx="30">
                  <c:v>25.737429120927473</c:v>
                </c:pt>
                <c:pt idx="31">
                  <c:v>56.106106629680205</c:v>
                </c:pt>
                <c:pt idx="32">
                  <c:v>25.025792683200038</c:v>
                </c:pt>
                <c:pt idx="33">
                  <c:v>56.176536079005274</c:v>
                </c:pt>
                <c:pt idx="34">
                  <c:v>51.113719826400136</c:v>
                </c:pt>
                <c:pt idx="35">
                  <c:v>42.850056139363481</c:v>
                </c:pt>
                <c:pt idx="36">
                  <c:v>90.913908290017275</c:v>
                </c:pt>
                <c:pt idx="37">
                  <c:v>41.081968441880278</c:v>
                </c:pt>
                <c:pt idx="38">
                  <c:v>137.47397854363368</c:v>
                </c:pt>
                <c:pt idx="39">
                  <c:v>136.82360770761767</c:v>
                </c:pt>
                <c:pt idx="40">
                  <c:v>128.51582674587954</c:v>
                </c:pt>
                <c:pt idx="41">
                  <c:v>64.103231519464316</c:v>
                </c:pt>
                <c:pt idx="42">
                  <c:v>107.36354347112696</c:v>
                </c:pt>
                <c:pt idx="43">
                  <c:v>130.99691589310089</c:v>
                </c:pt>
                <c:pt idx="44">
                  <c:v>74.695636366538878</c:v>
                </c:pt>
                <c:pt idx="45">
                  <c:v>78.871086840108617</c:v>
                </c:pt>
                <c:pt idx="46">
                  <c:v>30.464124352321559</c:v>
                </c:pt>
                <c:pt idx="47">
                  <c:v>44.881702165781249</c:v>
                </c:pt>
                <c:pt idx="48">
                  <c:v>127.6079862857823</c:v>
                </c:pt>
                <c:pt idx="49">
                  <c:v>72.735316770450865</c:v>
                </c:pt>
                <c:pt idx="50">
                  <c:v>91.511987198794245</c:v>
                </c:pt>
                <c:pt idx="51">
                  <c:v>99.584020028323252</c:v>
                </c:pt>
                <c:pt idx="52">
                  <c:v>133.31484920873936</c:v>
                </c:pt>
                <c:pt idx="53">
                  <c:v>137.76159068960945</c:v>
                </c:pt>
                <c:pt idx="54">
                  <c:v>87.322326751689104</c:v>
                </c:pt>
                <c:pt idx="55">
                  <c:v>123.68248042375426</c:v>
                </c:pt>
                <c:pt idx="56">
                  <c:v>164.1241529845434</c:v>
                </c:pt>
                <c:pt idx="57">
                  <c:v>109.19946531625874</c:v>
                </c:pt>
                <c:pt idx="58">
                  <c:v>148.14616175257555</c:v>
                </c:pt>
                <c:pt idx="59">
                  <c:v>166.44187376970595</c:v>
                </c:pt>
                <c:pt idx="60">
                  <c:v>50.937978186107088</c:v>
                </c:pt>
                <c:pt idx="61">
                  <c:v>153.57646660263026</c:v>
                </c:pt>
                <c:pt idx="62">
                  <c:v>19.609532033467882</c:v>
                </c:pt>
                <c:pt idx="63">
                  <c:v>64.757431710645548</c:v>
                </c:pt>
                <c:pt idx="64">
                  <c:v>91.425524818998014</c:v>
                </c:pt>
                <c:pt idx="65">
                  <c:v>135.82499091384506</c:v>
                </c:pt>
                <c:pt idx="66">
                  <c:v>125.23376430548372</c:v>
                </c:pt>
                <c:pt idx="67">
                  <c:v>134.90396957450957</c:v>
                </c:pt>
                <c:pt idx="68">
                  <c:v>96.970745297553307</c:v>
                </c:pt>
                <c:pt idx="69">
                  <c:v>66.371516831791681</c:v>
                </c:pt>
                <c:pt idx="70">
                  <c:v>62.117123494018081</c:v>
                </c:pt>
                <c:pt idx="71">
                  <c:v>54.8584703017656</c:v>
                </c:pt>
                <c:pt idx="72">
                  <c:v>53.835458020356512</c:v>
                </c:pt>
                <c:pt idx="73">
                  <c:v>57.437191545102799</c:v>
                </c:pt>
                <c:pt idx="74">
                  <c:v>38.174885937381156</c:v>
                </c:pt>
                <c:pt idx="75">
                  <c:v>49.032053523988843</c:v>
                </c:pt>
                <c:pt idx="76">
                  <c:v>51.765719554230671</c:v>
                </c:pt>
                <c:pt idx="77">
                  <c:v>117.63980497558849</c:v>
                </c:pt>
                <c:pt idx="78">
                  <c:v>125.64751731261009</c:v>
                </c:pt>
                <c:pt idx="79">
                  <c:v>181.07669889497444</c:v>
                </c:pt>
                <c:pt idx="80">
                  <c:v>161.22058776983835</c:v>
                </c:pt>
                <c:pt idx="81">
                  <c:v>192.98373650475997</c:v>
                </c:pt>
                <c:pt idx="82">
                  <c:v>191.37477159224835</c:v>
                </c:pt>
                <c:pt idx="83">
                  <c:v>163.04536078854545</c:v>
                </c:pt>
                <c:pt idx="84">
                  <c:v>179.76806227794444</c:v>
                </c:pt>
                <c:pt idx="85">
                  <c:v>181.72296509825151</c:v>
                </c:pt>
                <c:pt idx="86">
                  <c:v>143.28322989479238</c:v>
                </c:pt>
                <c:pt idx="87">
                  <c:v>112.66564921036968</c:v>
                </c:pt>
                <c:pt idx="88">
                  <c:v>29.597015652018552</c:v>
                </c:pt>
                <c:pt idx="89">
                  <c:v>85.633189747482007</c:v>
                </c:pt>
                <c:pt idx="90">
                  <c:v>145.35531752770305</c:v>
                </c:pt>
                <c:pt idx="91">
                  <c:v>71.104482120624581</c:v>
                </c:pt>
                <c:pt idx="92">
                  <c:v>114.14333793047183</c:v>
                </c:pt>
                <c:pt idx="93">
                  <c:v>174.14382012153624</c:v>
                </c:pt>
                <c:pt idx="94">
                  <c:v>213.36885196946224</c:v>
                </c:pt>
                <c:pt idx="95">
                  <c:v>52.974177399083032</c:v>
                </c:pt>
                <c:pt idx="96">
                  <c:v>162.80022336891722</c:v>
                </c:pt>
                <c:pt idx="97">
                  <c:v>129.5766502639903</c:v>
                </c:pt>
                <c:pt idx="98">
                  <c:v>139.86884306234327</c:v>
                </c:pt>
                <c:pt idx="99">
                  <c:v>218.3592590599219</c:v>
                </c:pt>
                <c:pt idx="100">
                  <c:v>175.61798205369377</c:v>
                </c:pt>
                <c:pt idx="101">
                  <c:v>147.03958149939487</c:v>
                </c:pt>
                <c:pt idx="102">
                  <c:v>24.393533319596472</c:v>
                </c:pt>
                <c:pt idx="103">
                  <c:v>175.12061885153148</c:v>
                </c:pt>
                <c:pt idx="104">
                  <c:v>184.88987514848966</c:v>
                </c:pt>
                <c:pt idx="105">
                  <c:v>186.00370225595836</c:v>
                </c:pt>
                <c:pt idx="106">
                  <c:v>223.13057584131803</c:v>
                </c:pt>
                <c:pt idx="107">
                  <c:v>164.67253587313476</c:v>
                </c:pt>
                <c:pt idx="108">
                  <c:v>37.193665716185805</c:v>
                </c:pt>
                <c:pt idx="109">
                  <c:v>42.182064002445614</c:v>
                </c:pt>
                <c:pt idx="110">
                  <c:v>37.588868429247306</c:v>
                </c:pt>
                <c:pt idx="111">
                  <c:v>114.3799742401594</c:v>
                </c:pt>
                <c:pt idx="112">
                  <c:v>41.669775791672308</c:v>
                </c:pt>
                <c:pt idx="113">
                  <c:v>112.5510190661312</c:v>
                </c:pt>
                <c:pt idx="114">
                  <c:v>190.27015355854553</c:v>
                </c:pt>
                <c:pt idx="115">
                  <c:v>223.586111611636</c:v>
                </c:pt>
                <c:pt idx="116">
                  <c:v>159.27523214838291</c:v>
                </c:pt>
                <c:pt idx="117">
                  <c:v>92.763513990477563</c:v>
                </c:pt>
                <c:pt idx="118">
                  <c:v>171.42515229756881</c:v>
                </c:pt>
                <c:pt idx="119">
                  <c:v>160.51168822548968</c:v>
                </c:pt>
                <c:pt idx="120">
                  <c:v>191.06700747864244</c:v>
                </c:pt>
                <c:pt idx="121">
                  <c:v>113.37097056062056</c:v>
                </c:pt>
                <c:pt idx="122">
                  <c:v>129.09189437336866</c:v>
                </c:pt>
                <c:pt idx="123">
                  <c:v>75.769770688880939</c:v>
                </c:pt>
                <c:pt idx="124">
                  <c:v>159.62605654002766</c:v>
                </c:pt>
                <c:pt idx="125">
                  <c:v>148.49876084560415</c:v>
                </c:pt>
                <c:pt idx="126">
                  <c:v>188.32979511659863</c:v>
                </c:pt>
                <c:pt idx="127">
                  <c:v>205.75010737722585</c:v>
                </c:pt>
                <c:pt idx="128">
                  <c:v>221.85697490334988</c:v>
                </c:pt>
                <c:pt idx="129">
                  <c:v>212.3231725214842</c:v>
                </c:pt>
                <c:pt idx="130">
                  <c:v>228.69290360376064</c:v>
                </c:pt>
                <c:pt idx="131">
                  <c:v>171.7713566380603</c:v>
                </c:pt>
                <c:pt idx="132">
                  <c:v>163.22000643433802</c:v>
                </c:pt>
                <c:pt idx="133">
                  <c:v>201.38030634367573</c:v>
                </c:pt>
                <c:pt idx="134">
                  <c:v>211.88632312710862</c:v>
                </c:pt>
                <c:pt idx="135">
                  <c:v>204.90637903528153</c:v>
                </c:pt>
                <c:pt idx="136">
                  <c:v>223.3808877152984</c:v>
                </c:pt>
                <c:pt idx="137">
                  <c:v>214.54336381446026</c:v>
                </c:pt>
                <c:pt idx="138">
                  <c:v>219.00223443129514</c:v>
                </c:pt>
                <c:pt idx="139">
                  <c:v>196.42883451077174</c:v>
                </c:pt>
                <c:pt idx="140">
                  <c:v>203.52370805666314</c:v>
                </c:pt>
                <c:pt idx="141">
                  <c:v>151.56872754055399</c:v>
                </c:pt>
                <c:pt idx="142">
                  <c:v>71.64948293142595</c:v>
                </c:pt>
                <c:pt idx="143">
                  <c:v>66.916591690421015</c:v>
                </c:pt>
                <c:pt idx="144">
                  <c:v>166.04632280127836</c:v>
                </c:pt>
                <c:pt idx="145">
                  <c:v>106.78289029867184</c:v>
                </c:pt>
                <c:pt idx="146">
                  <c:v>179.7812234596737</c:v>
                </c:pt>
                <c:pt idx="147">
                  <c:v>221.18807490011756</c:v>
                </c:pt>
                <c:pt idx="148">
                  <c:v>240.94477853167052</c:v>
                </c:pt>
                <c:pt idx="149">
                  <c:v>203.1032436533859</c:v>
                </c:pt>
                <c:pt idx="150">
                  <c:v>222.5796167427776</c:v>
                </c:pt>
                <c:pt idx="151">
                  <c:v>232.36589768499155</c:v>
                </c:pt>
                <c:pt idx="152">
                  <c:v>163.43929004897709</c:v>
                </c:pt>
                <c:pt idx="153">
                  <c:v>224.54302954880322</c:v>
                </c:pt>
                <c:pt idx="154">
                  <c:v>97.83131994067503</c:v>
                </c:pt>
                <c:pt idx="155">
                  <c:v>126.75304555908322</c:v>
                </c:pt>
                <c:pt idx="156">
                  <c:v>186.2476016701026</c:v>
                </c:pt>
                <c:pt idx="157">
                  <c:v>116.05553578127474</c:v>
                </c:pt>
                <c:pt idx="158">
                  <c:v>88.421395942262194</c:v>
                </c:pt>
                <c:pt idx="159">
                  <c:v>187.58199541544758</c:v>
                </c:pt>
                <c:pt idx="160">
                  <c:v>237.13993100734311</c:v>
                </c:pt>
                <c:pt idx="161">
                  <c:v>225.23487816615793</c:v>
                </c:pt>
                <c:pt idx="162">
                  <c:v>177.81803851278545</c:v>
                </c:pt>
                <c:pt idx="163">
                  <c:v>218.69744749599454</c:v>
                </c:pt>
                <c:pt idx="164">
                  <c:v>197.45631604775576</c:v>
                </c:pt>
                <c:pt idx="165">
                  <c:v>221.65375307240583</c:v>
                </c:pt>
                <c:pt idx="166">
                  <c:v>209.25361441149346</c:v>
                </c:pt>
                <c:pt idx="167">
                  <c:v>215.78235631729726</c:v>
                </c:pt>
                <c:pt idx="168">
                  <c:v>222.46272242201061</c:v>
                </c:pt>
                <c:pt idx="169">
                  <c:v>226.68866930072758</c:v>
                </c:pt>
                <c:pt idx="170">
                  <c:v>122.0791296472952</c:v>
                </c:pt>
                <c:pt idx="171">
                  <c:v>87.071967647588124</c:v>
                </c:pt>
                <c:pt idx="172">
                  <c:v>172.11348163071304</c:v>
                </c:pt>
                <c:pt idx="173">
                  <c:v>168.40133576570483</c:v>
                </c:pt>
                <c:pt idx="174">
                  <c:v>168.2683006315649</c:v>
                </c:pt>
                <c:pt idx="175">
                  <c:v>143.52927909586666</c:v>
                </c:pt>
                <c:pt idx="176">
                  <c:v>47.732497758288957</c:v>
                </c:pt>
                <c:pt idx="177">
                  <c:v>55.765852562414864</c:v>
                </c:pt>
                <c:pt idx="178">
                  <c:v>243.82661413642046</c:v>
                </c:pt>
                <c:pt idx="179">
                  <c:v>231.49281392054422</c:v>
                </c:pt>
                <c:pt idx="180">
                  <c:v>54.052654831310626</c:v>
                </c:pt>
                <c:pt idx="181">
                  <c:v>207.27946672915672</c:v>
                </c:pt>
                <c:pt idx="182">
                  <c:v>229.07000933050142</c:v>
                </c:pt>
                <c:pt idx="183">
                  <c:v>189.72266194922292</c:v>
                </c:pt>
                <c:pt idx="184">
                  <c:v>185.08023414433583</c:v>
                </c:pt>
                <c:pt idx="185">
                  <c:v>222.63411513520813</c:v>
                </c:pt>
                <c:pt idx="186">
                  <c:v>176.7336032206309</c:v>
                </c:pt>
                <c:pt idx="187">
                  <c:v>219.63531949981228</c:v>
                </c:pt>
                <c:pt idx="188">
                  <c:v>232.92460892708561</c:v>
                </c:pt>
                <c:pt idx="189">
                  <c:v>230.49033071730801</c:v>
                </c:pt>
                <c:pt idx="190">
                  <c:v>228.63879878163235</c:v>
                </c:pt>
                <c:pt idx="191">
                  <c:v>222.44835051749476</c:v>
                </c:pt>
                <c:pt idx="192">
                  <c:v>219.84177346989136</c:v>
                </c:pt>
                <c:pt idx="193">
                  <c:v>219.97160197246336</c:v>
                </c:pt>
                <c:pt idx="194">
                  <c:v>217.5966004813543</c:v>
                </c:pt>
                <c:pt idx="195">
                  <c:v>208.72702126232727</c:v>
                </c:pt>
                <c:pt idx="196">
                  <c:v>214.22999889027497</c:v>
                </c:pt>
                <c:pt idx="197">
                  <c:v>213.5291308333606</c:v>
                </c:pt>
                <c:pt idx="198">
                  <c:v>217.04061882805752</c:v>
                </c:pt>
                <c:pt idx="199">
                  <c:v>153.61458516318302</c:v>
                </c:pt>
                <c:pt idx="200">
                  <c:v>157.50874824921448</c:v>
                </c:pt>
                <c:pt idx="201">
                  <c:v>210.41485473012023</c:v>
                </c:pt>
                <c:pt idx="202">
                  <c:v>159.6217649031226</c:v>
                </c:pt>
                <c:pt idx="203">
                  <c:v>183.70377968280334</c:v>
                </c:pt>
                <c:pt idx="204">
                  <c:v>213.19412404156793</c:v>
                </c:pt>
                <c:pt idx="205">
                  <c:v>114.77828389297323</c:v>
                </c:pt>
                <c:pt idx="206">
                  <c:v>204.80196810530106</c:v>
                </c:pt>
                <c:pt idx="207">
                  <c:v>224.75491027305225</c:v>
                </c:pt>
                <c:pt idx="208">
                  <c:v>181.55036199187251</c:v>
                </c:pt>
                <c:pt idx="209">
                  <c:v>110.27985566946045</c:v>
                </c:pt>
                <c:pt idx="210">
                  <c:v>190.88514680144917</c:v>
                </c:pt>
                <c:pt idx="211">
                  <c:v>218.44615987236085</c:v>
                </c:pt>
                <c:pt idx="212">
                  <c:v>217.38751517370991</c:v>
                </c:pt>
                <c:pt idx="213">
                  <c:v>217.44515596039716</c:v>
                </c:pt>
                <c:pt idx="214">
                  <c:v>206.46056781157151</c:v>
                </c:pt>
                <c:pt idx="215">
                  <c:v>195.93287823151425</c:v>
                </c:pt>
                <c:pt idx="216">
                  <c:v>182.30224245633238</c:v>
                </c:pt>
                <c:pt idx="217">
                  <c:v>195.5388799442693</c:v>
                </c:pt>
                <c:pt idx="218">
                  <c:v>208.96660804551013</c:v>
                </c:pt>
                <c:pt idx="219">
                  <c:v>212.63341002248558</c:v>
                </c:pt>
                <c:pt idx="220">
                  <c:v>202.65011997576252</c:v>
                </c:pt>
                <c:pt idx="221">
                  <c:v>196.99835866734594</c:v>
                </c:pt>
                <c:pt idx="222">
                  <c:v>182.83130036848846</c:v>
                </c:pt>
                <c:pt idx="223">
                  <c:v>191.54672299204228</c:v>
                </c:pt>
                <c:pt idx="224">
                  <c:v>133.14918077073611</c:v>
                </c:pt>
                <c:pt idx="225">
                  <c:v>146.04744632360183</c:v>
                </c:pt>
                <c:pt idx="226">
                  <c:v>150.3402539621448</c:v>
                </c:pt>
                <c:pt idx="227">
                  <c:v>135.24883970723019</c:v>
                </c:pt>
                <c:pt idx="228">
                  <c:v>104.16395679881238</c:v>
                </c:pt>
                <c:pt idx="229">
                  <c:v>127.90375788713548</c:v>
                </c:pt>
                <c:pt idx="230">
                  <c:v>138.00284774237019</c:v>
                </c:pt>
                <c:pt idx="231">
                  <c:v>201.58687970561911</c:v>
                </c:pt>
                <c:pt idx="232">
                  <c:v>128.60884865743427</c:v>
                </c:pt>
                <c:pt idx="233">
                  <c:v>101.42507063492717</c:v>
                </c:pt>
                <c:pt idx="234">
                  <c:v>176.03254689451578</c:v>
                </c:pt>
                <c:pt idx="235">
                  <c:v>187.49683046326857</c:v>
                </c:pt>
                <c:pt idx="236">
                  <c:v>131.33650248724169</c:v>
                </c:pt>
                <c:pt idx="237">
                  <c:v>177.33736689927082</c:v>
                </c:pt>
                <c:pt idx="238">
                  <c:v>193.9925221751532</c:v>
                </c:pt>
                <c:pt idx="239">
                  <c:v>191.04880544655779</c:v>
                </c:pt>
                <c:pt idx="240">
                  <c:v>128.60849963507243</c:v>
                </c:pt>
                <c:pt idx="241">
                  <c:v>190.97158064821659</c:v>
                </c:pt>
                <c:pt idx="242">
                  <c:v>84.957325173828778</c:v>
                </c:pt>
                <c:pt idx="243">
                  <c:v>168.97390850664124</c:v>
                </c:pt>
                <c:pt idx="244">
                  <c:v>166.55576284328839</c:v>
                </c:pt>
                <c:pt idx="245">
                  <c:v>130.10278784446103</c:v>
                </c:pt>
                <c:pt idx="246">
                  <c:v>183.26989715589042</c:v>
                </c:pt>
                <c:pt idx="247">
                  <c:v>161.86221401013918</c:v>
                </c:pt>
                <c:pt idx="248">
                  <c:v>181.52097386969945</c:v>
                </c:pt>
                <c:pt idx="249">
                  <c:v>137.96620246373209</c:v>
                </c:pt>
                <c:pt idx="250">
                  <c:v>160.38222942348693</c:v>
                </c:pt>
                <c:pt idx="251">
                  <c:v>85.779792715496669</c:v>
                </c:pt>
                <c:pt idx="252">
                  <c:v>178.44669830234736</c:v>
                </c:pt>
                <c:pt idx="253">
                  <c:v>181.90080055240512</c:v>
                </c:pt>
                <c:pt idx="254">
                  <c:v>125.94648394463123</c:v>
                </c:pt>
                <c:pt idx="255">
                  <c:v>45.341244949515428</c:v>
                </c:pt>
                <c:pt idx="256">
                  <c:v>144.59775136335273</c:v>
                </c:pt>
                <c:pt idx="257">
                  <c:v>161.80513703620852</c:v>
                </c:pt>
                <c:pt idx="258">
                  <c:v>103.29738413601164</c:v>
                </c:pt>
                <c:pt idx="259">
                  <c:v>187.71750045584872</c:v>
                </c:pt>
                <c:pt idx="260">
                  <c:v>181.28498324142132</c:v>
                </c:pt>
                <c:pt idx="261">
                  <c:v>178.88102391311133</c:v>
                </c:pt>
                <c:pt idx="262">
                  <c:v>182.95127649703377</c:v>
                </c:pt>
                <c:pt idx="263">
                  <c:v>178.00093046328007</c:v>
                </c:pt>
                <c:pt idx="264">
                  <c:v>172.90163876885225</c:v>
                </c:pt>
                <c:pt idx="265">
                  <c:v>110.8692416399246</c:v>
                </c:pt>
                <c:pt idx="266">
                  <c:v>74.586789536740923</c:v>
                </c:pt>
                <c:pt idx="267">
                  <c:v>129.5486311044686</c:v>
                </c:pt>
                <c:pt idx="268">
                  <c:v>131.12555933248893</c:v>
                </c:pt>
                <c:pt idx="269">
                  <c:v>60.219211023478017</c:v>
                </c:pt>
                <c:pt idx="270">
                  <c:v>60.402065781318491</c:v>
                </c:pt>
                <c:pt idx="271">
                  <c:v>89.888227064796837</c:v>
                </c:pt>
                <c:pt idx="272">
                  <c:v>128.89241072744903</c:v>
                </c:pt>
                <c:pt idx="273">
                  <c:v>146.10217086265544</c:v>
                </c:pt>
                <c:pt idx="274">
                  <c:v>151.2521582843822</c:v>
                </c:pt>
                <c:pt idx="275">
                  <c:v>142.06750715677515</c:v>
                </c:pt>
                <c:pt idx="276">
                  <c:v>162.56471119212458</c:v>
                </c:pt>
                <c:pt idx="277">
                  <c:v>165.21668279959533</c:v>
                </c:pt>
                <c:pt idx="278">
                  <c:v>55.474773063961685</c:v>
                </c:pt>
                <c:pt idx="279">
                  <c:v>113.99508939264355</c:v>
                </c:pt>
                <c:pt idx="280">
                  <c:v>63.692059466007635</c:v>
                </c:pt>
                <c:pt idx="281">
                  <c:v>150.18886799349144</c:v>
                </c:pt>
                <c:pt idx="282">
                  <c:v>120.16108460166349</c:v>
                </c:pt>
                <c:pt idx="283">
                  <c:v>92.50724177221106</c:v>
                </c:pt>
                <c:pt idx="284">
                  <c:v>116.19330444925978</c:v>
                </c:pt>
                <c:pt idx="285">
                  <c:v>89.836023505412172</c:v>
                </c:pt>
                <c:pt idx="286">
                  <c:v>80.063613094437116</c:v>
                </c:pt>
                <c:pt idx="287">
                  <c:v>146.25640150625074</c:v>
                </c:pt>
                <c:pt idx="288">
                  <c:v>131.12977404734195</c:v>
                </c:pt>
                <c:pt idx="289">
                  <c:v>84.03437256971533</c:v>
                </c:pt>
                <c:pt idx="290">
                  <c:v>134.15887166857257</c:v>
                </c:pt>
                <c:pt idx="291">
                  <c:v>59.216417964328514</c:v>
                </c:pt>
                <c:pt idx="292">
                  <c:v>37.684093965006973</c:v>
                </c:pt>
                <c:pt idx="293">
                  <c:v>61.404196732482617</c:v>
                </c:pt>
                <c:pt idx="294">
                  <c:v>128.69610689593208</c:v>
                </c:pt>
                <c:pt idx="295">
                  <c:v>78.160460192449221</c:v>
                </c:pt>
                <c:pt idx="296">
                  <c:v>100.53421907796492</c:v>
                </c:pt>
                <c:pt idx="297">
                  <c:v>86.937411330831736</c:v>
                </c:pt>
                <c:pt idx="298">
                  <c:v>57.411095072804677</c:v>
                </c:pt>
                <c:pt idx="299">
                  <c:v>51.522993503211126</c:v>
                </c:pt>
                <c:pt idx="300">
                  <c:v>67.986240840525667</c:v>
                </c:pt>
                <c:pt idx="301">
                  <c:v>98.69050764797737</c:v>
                </c:pt>
                <c:pt idx="302">
                  <c:v>82.501791702025074</c:v>
                </c:pt>
                <c:pt idx="303">
                  <c:v>83.519322210399025</c:v>
                </c:pt>
                <c:pt idx="304">
                  <c:v>82.878798415994439</c:v>
                </c:pt>
                <c:pt idx="305">
                  <c:v>110.0716414108909</c:v>
                </c:pt>
                <c:pt idx="306">
                  <c:v>42.027682826694821</c:v>
                </c:pt>
                <c:pt idx="307">
                  <c:v>49.804229924016255</c:v>
                </c:pt>
                <c:pt idx="308">
                  <c:v>117.10904046448114</c:v>
                </c:pt>
                <c:pt idx="309">
                  <c:v>117.50635994081202</c:v>
                </c:pt>
                <c:pt idx="310">
                  <c:v>113.44248756432648</c:v>
                </c:pt>
                <c:pt idx="311">
                  <c:v>75.927818726630321</c:v>
                </c:pt>
                <c:pt idx="312">
                  <c:v>42.83445407447563</c:v>
                </c:pt>
                <c:pt idx="313">
                  <c:v>88.936001091290905</c:v>
                </c:pt>
                <c:pt idx="314">
                  <c:v>108.20678156629627</c:v>
                </c:pt>
                <c:pt idx="315">
                  <c:v>106.69654442563242</c:v>
                </c:pt>
                <c:pt idx="316">
                  <c:v>105.36820756386557</c:v>
                </c:pt>
                <c:pt idx="317">
                  <c:v>40.204725963653942</c:v>
                </c:pt>
                <c:pt idx="318">
                  <c:v>50.575108364367154</c:v>
                </c:pt>
                <c:pt idx="319">
                  <c:v>105.42914535553537</c:v>
                </c:pt>
                <c:pt idx="320">
                  <c:v>62.608368218728984</c:v>
                </c:pt>
                <c:pt idx="321">
                  <c:v>49.68435523981114</c:v>
                </c:pt>
                <c:pt idx="322">
                  <c:v>23.624991220761071</c:v>
                </c:pt>
                <c:pt idx="323">
                  <c:v>69.082109276908028</c:v>
                </c:pt>
                <c:pt idx="324">
                  <c:v>13.684917294245038</c:v>
                </c:pt>
                <c:pt idx="325">
                  <c:v>33.224761423671232</c:v>
                </c:pt>
                <c:pt idx="326">
                  <c:v>54.795234610297712</c:v>
                </c:pt>
                <c:pt idx="327">
                  <c:v>53.920658777061369</c:v>
                </c:pt>
                <c:pt idx="328">
                  <c:v>17.461070240331004</c:v>
                </c:pt>
                <c:pt idx="329">
                  <c:v>52.562984898718355</c:v>
                </c:pt>
                <c:pt idx="330">
                  <c:v>57.253087856032366</c:v>
                </c:pt>
                <c:pt idx="331">
                  <c:v>37.218970111190728</c:v>
                </c:pt>
                <c:pt idx="332">
                  <c:v>53.028809495758097</c:v>
                </c:pt>
                <c:pt idx="333">
                  <c:v>21.035469579535047</c:v>
                </c:pt>
                <c:pt idx="334">
                  <c:v>15.800143402969301</c:v>
                </c:pt>
                <c:pt idx="335">
                  <c:v>25.479492285404966</c:v>
                </c:pt>
                <c:pt idx="336">
                  <c:v>34.938139072913117</c:v>
                </c:pt>
                <c:pt idx="337">
                  <c:v>74.966189312617459</c:v>
                </c:pt>
                <c:pt idx="338">
                  <c:v>94.085144707481803</c:v>
                </c:pt>
                <c:pt idx="339">
                  <c:v>48.896633161027495</c:v>
                </c:pt>
                <c:pt idx="340">
                  <c:v>75.639327608462395</c:v>
                </c:pt>
                <c:pt idx="341">
                  <c:v>14.313907470862455</c:v>
                </c:pt>
                <c:pt idx="342">
                  <c:v>27.515868345359234</c:v>
                </c:pt>
                <c:pt idx="343">
                  <c:v>66.325429713498792</c:v>
                </c:pt>
                <c:pt idx="344">
                  <c:v>62.437582645284053</c:v>
                </c:pt>
                <c:pt idx="345">
                  <c:v>21.775152552144149</c:v>
                </c:pt>
                <c:pt idx="346">
                  <c:v>22.680589641623822</c:v>
                </c:pt>
                <c:pt idx="347">
                  <c:v>66.56410417595778</c:v>
                </c:pt>
                <c:pt idx="348">
                  <c:v>33.131532211628326</c:v>
                </c:pt>
                <c:pt idx="349">
                  <c:v>20.19338107806427</c:v>
                </c:pt>
                <c:pt idx="350">
                  <c:v>12.528991718314028</c:v>
                </c:pt>
                <c:pt idx="351">
                  <c:v>68.244451648263507</c:v>
                </c:pt>
                <c:pt idx="352">
                  <c:v>65.597212793492162</c:v>
                </c:pt>
                <c:pt idx="353">
                  <c:v>17.149578582607937</c:v>
                </c:pt>
                <c:pt idx="354">
                  <c:v>81.035113397285926</c:v>
                </c:pt>
                <c:pt idx="355">
                  <c:v>67.501735092686317</c:v>
                </c:pt>
                <c:pt idx="356">
                  <c:v>69.238522746776823</c:v>
                </c:pt>
                <c:pt idx="357">
                  <c:v>84.053844931921418</c:v>
                </c:pt>
                <c:pt idx="358">
                  <c:v>47.356087285710387</c:v>
                </c:pt>
                <c:pt idx="359">
                  <c:v>80.914517482387666</c:v>
                </c:pt>
                <c:pt idx="360">
                  <c:v>25.079466530257889</c:v>
                </c:pt>
                <c:pt idx="361">
                  <c:v>65.817747904059118</c:v>
                </c:pt>
                <c:pt idx="362">
                  <c:v>40.703736095719933</c:v>
                </c:pt>
                <c:pt idx="363">
                  <c:v>58.290030254657793</c:v>
                </c:pt>
                <c:pt idx="364">
                  <c:v>46.657365802163184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94.570827373781171</c:v>
                </c:pt>
                <c:pt idx="1">
                  <c:v>69.151963245551741</c:v>
                </c:pt>
                <c:pt idx="2">
                  <c:v>72.013858306361485</c:v>
                </c:pt>
                <c:pt idx="3">
                  <c:v>77.337364502191235</c:v>
                </c:pt>
                <c:pt idx="4">
                  <c:v>58.149844654994737</c:v>
                </c:pt>
                <c:pt idx="5">
                  <c:v>99.599258871156323</c:v>
                </c:pt>
                <c:pt idx="6">
                  <c:v>37.675505625563552</c:v>
                </c:pt>
                <c:pt idx="7">
                  <c:v>25.223763732873401</c:v>
                </c:pt>
                <c:pt idx="8">
                  <c:v>7.8749840882715771</c:v>
                </c:pt>
                <c:pt idx="9">
                  <c:v>7.2392791212841496</c:v>
                </c:pt>
                <c:pt idx="10">
                  <c:v>97.054959116975837</c:v>
                </c:pt>
                <c:pt idx="11">
                  <c:v>83.210549002693895</c:v>
                </c:pt>
                <c:pt idx="12">
                  <c:v>26.700067820084218</c:v>
                </c:pt>
                <c:pt idx="13">
                  <c:v>106.48240316835194</c:v>
                </c:pt>
                <c:pt idx="14">
                  <c:v>108.11298731521906</c:v>
                </c:pt>
                <c:pt idx="15">
                  <c:v>107.51730393508714</c:v>
                </c:pt>
                <c:pt idx="16">
                  <c:v>84.430926972098774</c:v>
                </c:pt>
                <c:pt idx="17">
                  <c:v>22.114177015956265</c:v>
                </c:pt>
                <c:pt idx="18">
                  <c:v>45.161405644560404</c:v>
                </c:pt>
                <c:pt idx="19">
                  <c:v>23.275727558042867</c:v>
                </c:pt>
                <c:pt idx="20">
                  <c:v>58.435230794343568</c:v>
                </c:pt>
                <c:pt idx="21">
                  <c:v>112.22659966369559</c:v>
                </c:pt>
                <c:pt idx="22">
                  <c:v>114.0753585927347</c:v>
                </c:pt>
                <c:pt idx="23">
                  <c:v>115.48732154265093</c:v>
                </c:pt>
                <c:pt idx="24">
                  <c:v>114.42304003889122</c:v>
                </c:pt>
                <c:pt idx="25">
                  <c:v>116.44108153890612</c:v>
                </c:pt>
                <c:pt idx="26">
                  <c:v>118.34286455588558</c:v>
                </c:pt>
                <c:pt idx="27">
                  <c:v>18.335884400451285</c:v>
                </c:pt>
                <c:pt idx="28">
                  <c:v>28.740227233305429</c:v>
                </c:pt>
                <c:pt idx="29">
                  <c:v>25.895290501594758</c:v>
                </c:pt>
                <c:pt idx="30">
                  <c:v>25.737429120927473</c:v>
                </c:pt>
                <c:pt idx="31">
                  <c:v>56.106106629680205</c:v>
                </c:pt>
                <c:pt idx="32">
                  <c:v>25.025792683200038</c:v>
                </c:pt>
                <c:pt idx="33">
                  <c:v>56.176536079005274</c:v>
                </c:pt>
                <c:pt idx="34">
                  <c:v>51.113719826400136</c:v>
                </c:pt>
                <c:pt idx="35">
                  <c:v>42.850056139363481</c:v>
                </c:pt>
                <c:pt idx="36">
                  <c:v>90.913908290017275</c:v>
                </c:pt>
                <c:pt idx="37">
                  <c:v>41.081968441880278</c:v>
                </c:pt>
                <c:pt idx="38">
                  <c:v>137.47397854363368</c:v>
                </c:pt>
                <c:pt idx="39">
                  <c:v>136.82360770761767</c:v>
                </c:pt>
                <c:pt idx="40">
                  <c:v>128.51582674587954</c:v>
                </c:pt>
                <c:pt idx="41">
                  <c:v>64.103231519464316</c:v>
                </c:pt>
                <c:pt idx="42">
                  <c:v>107.36354347112696</c:v>
                </c:pt>
                <c:pt idx="43">
                  <c:v>130.99691589310089</c:v>
                </c:pt>
                <c:pt idx="44">
                  <c:v>74.695636366538878</c:v>
                </c:pt>
                <c:pt idx="45">
                  <c:v>78.871086840108617</c:v>
                </c:pt>
                <c:pt idx="46">
                  <c:v>30.464124352321559</c:v>
                </c:pt>
                <c:pt idx="47">
                  <c:v>44.881702165781249</c:v>
                </c:pt>
                <c:pt idx="48">
                  <c:v>127.6079862857823</c:v>
                </c:pt>
                <c:pt idx="49">
                  <c:v>72.735316770450865</c:v>
                </c:pt>
                <c:pt idx="50">
                  <c:v>91.511987198794245</c:v>
                </c:pt>
                <c:pt idx="51">
                  <c:v>99.584020028323252</c:v>
                </c:pt>
                <c:pt idx="52">
                  <c:v>133.31484920873936</c:v>
                </c:pt>
                <c:pt idx="53">
                  <c:v>137.76159068960945</c:v>
                </c:pt>
                <c:pt idx="54">
                  <c:v>87.322326751689104</c:v>
                </c:pt>
                <c:pt idx="55">
                  <c:v>123.68248042375426</c:v>
                </c:pt>
                <c:pt idx="56">
                  <c:v>164.1241529845434</c:v>
                </c:pt>
                <c:pt idx="57">
                  <c:v>109.19946531625874</c:v>
                </c:pt>
                <c:pt idx="58">
                  <c:v>148.14616175257555</c:v>
                </c:pt>
                <c:pt idx="59">
                  <c:v>166.44187376970595</c:v>
                </c:pt>
                <c:pt idx="60">
                  <c:v>50.937978186107088</c:v>
                </c:pt>
                <c:pt idx="61">
                  <c:v>153.57646660263026</c:v>
                </c:pt>
                <c:pt idx="62">
                  <c:v>19.609532033467882</c:v>
                </c:pt>
                <c:pt idx="63">
                  <c:v>64.757431710645548</c:v>
                </c:pt>
                <c:pt idx="64">
                  <c:v>91.425524818998014</c:v>
                </c:pt>
                <c:pt idx="65">
                  <c:v>135.82499091384506</c:v>
                </c:pt>
                <c:pt idx="66">
                  <c:v>125.23376430548372</c:v>
                </c:pt>
                <c:pt idx="67">
                  <c:v>134.90396957450957</c:v>
                </c:pt>
                <c:pt idx="68">
                  <c:v>96.970745297553307</c:v>
                </c:pt>
                <c:pt idx="69">
                  <c:v>66.371516831791681</c:v>
                </c:pt>
                <c:pt idx="70">
                  <c:v>62.117123494018081</c:v>
                </c:pt>
                <c:pt idx="71">
                  <c:v>54.8584703017656</c:v>
                </c:pt>
                <c:pt idx="72">
                  <c:v>53.835458020356512</c:v>
                </c:pt>
                <c:pt idx="73">
                  <c:v>57.437191545102799</c:v>
                </c:pt>
                <c:pt idx="74">
                  <c:v>38.174885937381156</c:v>
                </c:pt>
                <c:pt idx="75">
                  <c:v>49.032053523988843</c:v>
                </c:pt>
                <c:pt idx="76">
                  <c:v>51.765719554230671</c:v>
                </c:pt>
                <c:pt idx="77">
                  <c:v>117.63980497558849</c:v>
                </c:pt>
                <c:pt idx="78">
                  <c:v>125.64751731261009</c:v>
                </c:pt>
                <c:pt idx="79">
                  <c:v>181.07669889497444</c:v>
                </c:pt>
                <c:pt idx="80">
                  <c:v>161.22058776983835</c:v>
                </c:pt>
                <c:pt idx="81">
                  <c:v>192.98373650475997</c:v>
                </c:pt>
                <c:pt idx="82">
                  <c:v>191.37477159224835</c:v>
                </c:pt>
                <c:pt idx="83">
                  <c:v>163.04536078854545</c:v>
                </c:pt>
                <c:pt idx="84">
                  <c:v>179.76806227794444</c:v>
                </c:pt>
                <c:pt idx="85">
                  <c:v>181.72296509825151</c:v>
                </c:pt>
                <c:pt idx="86">
                  <c:v>143.28322989479238</c:v>
                </c:pt>
                <c:pt idx="87">
                  <c:v>112.66564921036968</c:v>
                </c:pt>
                <c:pt idx="88">
                  <c:v>29.597015652018552</c:v>
                </c:pt>
                <c:pt idx="89">
                  <c:v>85.633189747482007</c:v>
                </c:pt>
                <c:pt idx="90">
                  <c:v>145.35531752770305</c:v>
                </c:pt>
                <c:pt idx="91">
                  <c:v>71.104482120624581</c:v>
                </c:pt>
                <c:pt idx="92">
                  <c:v>114.14333793047183</c:v>
                </c:pt>
                <c:pt idx="93">
                  <c:v>174.14382012153624</c:v>
                </c:pt>
                <c:pt idx="94">
                  <c:v>213.36885196946224</c:v>
                </c:pt>
                <c:pt idx="95">
                  <c:v>52.974177399083032</c:v>
                </c:pt>
                <c:pt idx="96">
                  <c:v>162.80022336891722</c:v>
                </c:pt>
                <c:pt idx="97">
                  <c:v>129.5766502639903</c:v>
                </c:pt>
                <c:pt idx="98">
                  <c:v>139.86884306234327</c:v>
                </c:pt>
                <c:pt idx="99">
                  <c:v>218.3592590599219</c:v>
                </c:pt>
                <c:pt idx="100">
                  <c:v>175.61798205369377</c:v>
                </c:pt>
                <c:pt idx="101">
                  <c:v>147.03958149939487</c:v>
                </c:pt>
                <c:pt idx="102">
                  <c:v>24.393533319596472</c:v>
                </c:pt>
                <c:pt idx="103">
                  <c:v>175.12061885153148</c:v>
                </c:pt>
                <c:pt idx="104">
                  <c:v>184.88987514848966</c:v>
                </c:pt>
                <c:pt idx="105">
                  <c:v>186.00370225595836</c:v>
                </c:pt>
                <c:pt idx="106">
                  <c:v>223.13057584131803</c:v>
                </c:pt>
                <c:pt idx="107">
                  <c:v>164.67253587313476</c:v>
                </c:pt>
                <c:pt idx="108">
                  <c:v>37.193665716185805</c:v>
                </c:pt>
                <c:pt idx="109">
                  <c:v>42.182064002445614</c:v>
                </c:pt>
                <c:pt idx="110">
                  <c:v>37.588868429247306</c:v>
                </c:pt>
                <c:pt idx="111">
                  <c:v>114.3799742401594</c:v>
                </c:pt>
                <c:pt idx="112">
                  <c:v>41.669775791672308</c:v>
                </c:pt>
                <c:pt idx="113">
                  <c:v>112.5510190661312</c:v>
                </c:pt>
                <c:pt idx="114">
                  <c:v>190.27015355854553</c:v>
                </c:pt>
                <c:pt idx="115">
                  <c:v>223.586111611636</c:v>
                </c:pt>
                <c:pt idx="116">
                  <c:v>159.27523214838291</c:v>
                </c:pt>
                <c:pt idx="117">
                  <c:v>92.763513990477563</c:v>
                </c:pt>
                <c:pt idx="118">
                  <c:v>171.42515229756881</c:v>
                </c:pt>
                <c:pt idx="119">
                  <c:v>160.51168822548968</c:v>
                </c:pt>
                <c:pt idx="120">
                  <c:v>191.06700747864244</c:v>
                </c:pt>
                <c:pt idx="121">
                  <c:v>113.37097056062056</c:v>
                </c:pt>
                <c:pt idx="122">
                  <c:v>129.09189437336866</c:v>
                </c:pt>
                <c:pt idx="123">
                  <c:v>75.769770688880939</c:v>
                </c:pt>
                <c:pt idx="124">
                  <c:v>159.62605654002766</c:v>
                </c:pt>
                <c:pt idx="125">
                  <c:v>148.49876084560415</c:v>
                </c:pt>
                <c:pt idx="126">
                  <c:v>188.32979511659863</c:v>
                </c:pt>
                <c:pt idx="127">
                  <c:v>205.75010737722585</c:v>
                </c:pt>
                <c:pt idx="128">
                  <c:v>221.85697490334988</c:v>
                </c:pt>
                <c:pt idx="129">
                  <c:v>212.3231725214842</c:v>
                </c:pt>
                <c:pt idx="130">
                  <c:v>228.69290360376064</c:v>
                </c:pt>
                <c:pt idx="131">
                  <c:v>171.7713566380603</c:v>
                </c:pt>
                <c:pt idx="132">
                  <c:v>163.22000643433802</c:v>
                </c:pt>
                <c:pt idx="133">
                  <c:v>201.38030634367573</c:v>
                </c:pt>
                <c:pt idx="134">
                  <c:v>211.88632312710862</c:v>
                </c:pt>
                <c:pt idx="135">
                  <c:v>204.90637903528153</c:v>
                </c:pt>
                <c:pt idx="136">
                  <c:v>223.3808877152984</c:v>
                </c:pt>
                <c:pt idx="137">
                  <c:v>214.54336381446026</c:v>
                </c:pt>
                <c:pt idx="138">
                  <c:v>219.00223443129514</c:v>
                </c:pt>
                <c:pt idx="139">
                  <c:v>196.42883451077174</c:v>
                </c:pt>
                <c:pt idx="140">
                  <c:v>203.52370805666314</c:v>
                </c:pt>
                <c:pt idx="141">
                  <c:v>151.56872754055399</c:v>
                </c:pt>
                <c:pt idx="142">
                  <c:v>71.64948293142595</c:v>
                </c:pt>
                <c:pt idx="143">
                  <c:v>66.916591690421015</c:v>
                </c:pt>
                <c:pt idx="144">
                  <c:v>166.04632280127836</c:v>
                </c:pt>
                <c:pt idx="145">
                  <c:v>106.78289029867184</c:v>
                </c:pt>
                <c:pt idx="146">
                  <c:v>179.7812234596737</c:v>
                </c:pt>
                <c:pt idx="147">
                  <c:v>221.18807490011756</c:v>
                </c:pt>
                <c:pt idx="148">
                  <c:v>240.94477853167052</c:v>
                </c:pt>
                <c:pt idx="149">
                  <c:v>203.1032436533859</c:v>
                </c:pt>
                <c:pt idx="150">
                  <c:v>222.5796167427776</c:v>
                </c:pt>
                <c:pt idx="151">
                  <c:v>232.36589768499155</c:v>
                </c:pt>
                <c:pt idx="152">
                  <c:v>163.43929004897709</c:v>
                </c:pt>
                <c:pt idx="153">
                  <c:v>224.54302954880322</c:v>
                </c:pt>
                <c:pt idx="154">
                  <c:v>97.83131994067503</c:v>
                </c:pt>
                <c:pt idx="155">
                  <c:v>126.75304555908322</c:v>
                </c:pt>
                <c:pt idx="156">
                  <c:v>186.2476016701026</c:v>
                </c:pt>
                <c:pt idx="157">
                  <c:v>116.05553578127474</c:v>
                </c:pt>
                <c:pt idx="158">
                  <c:v>88.421395942262194</c:v>
                </c:pt>
                <c:pt idx="159">
                  <c:v>187.58199541544758</c:v>
                </c:pt>
                <c:pt idx="160">
                  <c:v>237.13993100734311</c:v>
                </c:pt>
                <c:pt idx="161">
                  <c:v>225.23487816615793</c:v>
                </c:pt>
                <c:pt idx="162">
                  <c:v>177.81803851278545</c:v>
                </c:pt>
                <c:pt idx="163">
                  <c:v>218.69744749599454</c:v>
                </c:pt>
                <c:pt idx="164">
                  <c:v>197.45631604775576</c:v>
                </c:pt>
                <c:pt idx="165">
                  <c:v>221.65375307240583</c:v>
                </c:pt>
                <c:pt idx="166">
                  <c:v>209.25361441149346</c:v>
                </c:pt>
                <c:pt idx="167">
                  <c:v>215.78235631729726</c:v>
                </c:pt>
                <c:pt idx="168">
                  <c:v>222.46272242201061</c:v>
                </c:pt>
                <c:pt idx="169">
                  <c:v>226.68866930072758</c:v>
                </c:pt>
                <c:pt idx="170">
                  <c:v>122.0791296472952</c:v>
                </c:pt>
                <c:pt idx="171">
                  <c:v>87.071967647588124</c:v>
                </c:pt>
                <c:pt idx="172">
                  <c:v>172.11348163071304</c:v>
                </c:pt>
                <c:pt idx="173">
                  <c:v>168.40133576570483</c:v>
                </c:pt>
                <c:pt idx="174">
                  <c:v>168.2683006315649</c:v>
                </c:pt>
                <c:pt idx="175">
                  <c:v>143.52927909586666</c:v>
                </c:pt>
                <c:pt idx="176">
                  <c:v>47.732497758288957</c:v>
                </c:pt>
                <c:pt idx="177">
                  <c:v>55.765852562414864</c:v>
                </c:pt>
                <c:pt idx="178">
                  <c:v>243.82661413642046</c:v>
                </c:pt>
                <c:pt idx="179">
                  <c:v>231.49281392054422</c:v>
                </c:pt>
                <c:pt idx="180">
                  <c:v>54.052654831310626</c:v>
                </c:pt>
                <c:pt idx="181">
                  <c:v>207.27946672915672</c:v>
                </c:pt>
                <c:pt idx="182">
                  <c:v>229.07000933050142</c:v>
                </c:pt>
                <c:pt idx="183">
                  <c:v>189.72266194922292</c:v>
                </c:pt>
                <c:pt idx="184">
                  <c:v>185.08023414433583</c:v>
                </c:pt>
                <c:pt idx="185">
                  <c:v>222.63411513520813</c:v>
                </c:pt>
                <c:pt idx="186">
                  <c:v>176.7336032206309</c:v>
                </c:pt>
                <c:pt idx="187">
                  <c:v>219.63531949981228</c:v>
                </c:pt>
                <c:pt idx="188">
                  <c:v>232.92460892708561</c:v>
                </c:pt>
                <c:pt idx="189">
                  <c:v>230.49033071730801</c:v>
                </c:pt>
                <c:pt idx="190">
                  <c:v>228.63879878163235</c:v>
                </c:pt>
                <c:pt idx="191">
                  <c:v>222.44835051749476</c:v>
                </c:pt>
                <c:pt idx="192">
                  <c:v>219.84177346989136</c:v>
                </c:pt>
                <c:pt idx="193">
                  <c:v>219.97160197246336</c:v>
                </c:pt>
                <c:pt idx="194">
                  <c:v>217.5966004813543</c:v>
                </c:pt>
                <c:pt idx="195">
                  <c:v>208.72702126232727</c:v>
                </c:pt>
                <c:pt idx="196">
                  <c:v>214.22999889027497</c:v>
                </c:pt>
                <c:pt idx="197">
                  <c:v>213.5291308333606</c:v>
                </c:pt>
                <c:pt idx="198">
                  <c:v>217.04061882805752</c:v>
                </c:pt>
                <c:pt idx="199">
                  <c:v>153.61458516318302</c:v>
                </c:pt>
                <c:pt idx="200">
                  <c:v>157.50874824921448</c:v>
                </c:pt>
                <c:pt idx="201">
                  <c:v>210.41485473012023</c:v>
                </c:pt>
                <c:pt idx="202">
                  <c:v>159.6217649031226</c:v>
                </c:pt>
                <c:pt idx="203">
                  <c:v>183.70377968280334</c:v>
                </c:pt>
                <c:pt idx="204">
                  <c:v>213.19412404156793</c:v>
                </c:pt>
                <c:pt idx="205">
                  <c:v>114.77828389297323</c:v>
                </c:pt>
                <c:pt idx="206">
                  <c:v>204.80196810530106</c:v>
                </c:pt>
                <c:pt idx="207">
                  <c:v>224.75491027305225</c:v>
                </c:pt>
                <c:pt idx="208">
                  <c:v>181.55036199187251</c:v>
                </c:pt>
                <c:pt idx="209">
                  <c:v>110.27985566946045</c:v>
                </c:pt>
                <c:pt idx="210">
                  <c:v>190.88514680144917</c:v>
                </c:pt>
                <c:pt idx="211">
                  <c:v>218.44615987236085</c:v>
                </c:pt>
                <c:pt idx="212">
                  <c:v>217.38751517370991</c:v>
                </c:pt>
                <c:pt idx="213">
                  <c:v>217.44515596039716</c:v>
                </c:pt>
                <c:pt idx="214">
                  <c:v>206.46056781157151</c:v>
                </c:pt>
                <c:pt idx="215">
                  <c:v>195.93287823151425</c:v>
                </c:pt>
                <c:pt idx="216">
                  <c:v>182.30224245633238</c:v>
                </c:pt>
                <c:pt idx="217">
                  <c:v>195.5388799442693</c:v>
                </c:pt>
                <c:pt idx="218">
                  <c:v>208.96660804551013</c:v>
                </c:pt>
                <c:pt idx="219">
                  <c:v>212.63341002248558</c:v>
                </c:pt>
                <c:pt idx="220">
                  <c:v>202.65011997576252</c:v>
                </c:pt>
                <c:pt idx="221">
                  <c:v>196.99835866734594</c:v>
                </c:pt>
                <c:pt idx="222">
                  <c:v>182.83130036848846</c:v>
                </c:pt>
                <c:pt idx="223">
                  <c:v>191.54672299204228</c:v>
                </c:pt>
                <c:pt idx="224">
                  <c:v>133.14918077073611</c:v>
                </c:pt>
                <c:pt idx="225">
                  <c:v>146.04744632360183</c:v>
                </c:pt>
                <c:pt idx="226">
                  <c:v>150.3402539621448</c:v>
                </c:pt>
                <c:pt idx="227">
                  <c:v>135.24883970723019</c:v>
                </c:pt>
                <c:pt idx="228">
                  <c:v>104.16395679881238</c:v>
                </c:pt>
                <c:pt idx="229">
                  <c:v>127.90375788713548</c:v>
                </c:pt>
                <c:pt idx="230">
                  <c:v>138.00284774237019</c:v>
                </c:pt>
                <c:pt idx="231">
                  <c:v>201.58687970561911</c:v>
                </c:pt>
                <c:pt idx="232">
                  <c:v>128.60884865743427</c:v>
                </c:pt>
                <c:pt idx="233">
                  <c:v>101.42507063492717</c:v>
                </c:pt>
                <c:pt idx="234">
                  <c:v>176.03254689451578</c:v>
                </c:pt>
                <c:pt idx="235">
                  <c:v>187.49683046326857</c:v>
                </c:pt>
                <c:pt idx="236">
                  <c:v>131.33650248724169</c:v>
                </c:pt>
                <c:pt idx="237">
                  <c:v>177.33736689927082</c:v>
                </c:pt>
                <c:pt idx="238">
                  <c:v>193.9925221751532</c:v>
                </c:pt>
                <c:pt idx="239">
                  <c:v>191.04880544655779</c:v>
                </c:pt>
                <c:pt idx="240">
                  <c:v>128.60849963507243</c:v>
                </c:pt>
                <c:pt idx="241">
                  <c:v>190.97158064821659</c:v>
                </c:pt>
                <c:pt idx="242">
                  <c:v>84.957325173828778</c:v>
                </c:pt>
                <c:pt idx="243">
                  <c:v>168.97390850664124</c:v>
                </c:pt>
                <c:pt idx="244">
                  <c:v>166.55576284328839</c:v>
                </c:pt>
                <c:pt idx="245">
                  <c:v>130.10278784446103</c:v>
                </c:pt>
                <c:pt idx="246">
                  <c:v>183.26989715589042</c:v>
                </c:pt>
                <c:pt idx="247">
                  <c:v>161.86221401013918</c:v>
                </c:pt>
                <c:pt idx="248">
                  <c:v>181.52097386969945</c:v>
                </c:pt>
                <c:pt idx="249">
                  <c:v>137.96620246373209</c:v>
                </c:pt>
                <c:pt idx="250">
                  <c:v>160.38222942348693</c:v>
                </c:pt>
                <c:pt idx="251">
                  <c:v>85.779792715496669</c:v>
                </c:pt>
                <c:pt idx="252">
                  <c:v>178.44669830234736</c:v>
                </c:pt>
                <c:pt idx="253">
                  <c:v>181.90080055240512</c:v>
                </c:pt>
                <c:pt idx="254">
                  <c:v>125.94648394463123</c:v>
                </c:pt>
                <c:pt idx="255">
                  <c:v>45.341244949515428</c:v>
                </c:pt>
                <c:pt idx="256">
                  <c:v>144.59775136335273</c:v>
                </c:pt>
                <c:pt idx="257">
                  <c:v>161.80513703620852</c:v>
                </c:pt>
                <c:pt idx="258">
                  <c:v>103.29738413601164</c:v>
                </c:pt>
                <c:pt idx="259">
                  <c:v>187.71750045584872</c:v>
                </c:pt>
                <c:pt idx="260">
                  <c:v>181.28498324142132</c:v>
                </c:pt>
                <c:pt idx="261">
                  <c:v>178.88102391311133</c:v>
                </c:pt>
                <c:pt idx="262">
                  <c:v>182.95127649703377</c:v>
                </c:pt>
                <c:pt idx="263">
                  <c:v>178.00093046328007</c:v>
                </c:pt>
                <c:pt idx="264">
                  <c:v>172.90163876885225</c:v>
                </c:pt>
                <c:pt idx="265">
                  <c:v>110.8692416399246</c:v>
                </c:pt>
                <c:pt idx="266">
                  <c:v>74.586789536740923</c:v>
                </c:pt>
                <c:pt idx="267">
                  <c:v>129.5486311044686</c:v>
                </c:pt>
                <c:pt idx="268">
                  <c:v>131.12555933248893</c:v>
                </c:pt>
                <c:pt idx="269">
                  <c:v>60.219211023478017</c:v>
                </c:pt>
                <c:pt idx="270">
                  <c:v>60.402065781318491</c:v>
                </c:pt>
                <c:pt idx="271">
                  <c:v>89.888227064796837</c:v>
                </c:pt>
                <c:pt idx="272">
                  <c:v>128.89241072744903</c:v>
                </c:pt>
                <c:pt idx="273">
                  <c:v>146.10217086265544</c:v>
                </c:pt>
                <c:pt idx="274">
                  <c:v>151.2521582843822</c:v>
                </c:pt>
                <c:pt idx="275">
                  <c:v>142.06750715677515</c:v>
                </c:pt>
                <c:pt idx="276">
                  <c:v>162.56471119212458</c:v>
                </c:pt>
                <c:pt idx="277">
                  <c:v>165.21668279959533</c:v>
                </c:pt>
                <c:pt idx="278">
                  <c:v>55.474773063961685</c:v>
                </c:pt>
                <c:pt idx="279">
                  <c:v>113.99508939264355</c:v>
                </c:pt>
                <c:pt idx="280">
                  <c:v>63.692059466007635</c:v>
                </c:pt>
                <c:pt idx="281">
                  <c:v>150.18886799349144</c:v>
                </c:pt>
                <c:pt idx="282">
                  <c:v>120.16108460166349</c:v>
                </c:pt>
                <c:pt idx="283">
                  <c:v>92.50724177221106</c:v>
                </c:pt>
                <c:pt idx="284">
                  <c:v>116.19330444925978</c:v>
                </c:pt>
                <c:pt idx="285">
                  <c:v>89.836023505412172</c:v>
                </c:pt>
                <c:pt idx="286">
                  <c:v>80.063613094437116</c:v>
                </c:pt>
                <c:pt idx="287">
                  <c:v>146.25640150625074</c:v>
                </c:pt>
                <c:pt idx="288">
                  <c:v>131.12977404734195</c:v>
                </c:pt>
                <c:pt idx="289">
                  <c:v>84.03437256971533</c:v>
                </c:pt>
                <c:pt idx="290">
                  <c:v>134.15887166857257</c:v>
                </c:pt>
                <c:pt idx="291">
                  <c:v>59.216417964328514</c:v>
                </c:pt>
                <c:pt idx="292">
                  <c:v>37.684093965006973</c:v>
                </c:pt>
                <c:pt idx="293">
                  <c:v>61.404196732482617</c:v>
                </c:pt>
                <c:pt idx="294">
                  <c:v>128.69610689593208</c:v>
                </c:pt>
                <c:pt idx="295">
                  <c:v>78.160460192449221</c:v>
                </c:pt>
                <c:pt idx="296">
                  <c:v>100.53421907796492</c:v>
                </c:pt>
                <c:pt idx="297">
                  <c:v>86.937411330831736</c:v>
                </c:pt>
                <c:pt idx="298">
                  <c:v>57.411095072804677</c:v>
                </c:pt>
                <c:pt idx="299">
                  <c:v>51.522993503211126</c:v>
                </c:pt>
                <c:pt idx="300">
                  <c:v>67.986240840525667</c:v>
                </c:pt>
                <c:pt idx="301">
                  <c:v>98.69050764797737</c:v>
                </c:pt>
                <c:pt idx="302">
                  <c:v>82.501791702025074</c:v>
                </c:pt>
                <c:pt idx="303">
                  <c:v>83.519322210399025</c:v>
                </c:pt>
                <c:pt idx="304">
                  <c:v>82.878798415994439</c:v>
                </c:pt>
                <c:pt idx="305">
                  <c:v>110.0716414108909</c:v>
                </c:pt>
                <c:pt idx="306">
                  <c:v>42.027682826694821</c:v>
                </c:pt>
                <c:pt idx="307">
                  <c:v>49.804229924016255</c:v>
                </c:pt>
                <c:pt idx="308">
                  <c:v>117.10904046448114</c:v>
                </c:pt>
                <c:pt idx="309">
                  <c:v>117.50635994081202</c:v>
                </c:pt>
                <c:pt idx="310">
                  <c:v>113.44248756432648</c:v>
                </c:pt>
                <c:pt idx="311">
                  <c:v>75.927818726630321</c:v>
                </c:pt>
                <c:pt idx="312">
                  <c:v>42.83445407447563</c:v>
                </c:pt>
                <c:pt idx="313">
                  <c:v>88.936001091290905</c:v>
                </c:pt>
                <c:pt idx="314">
                  <c:v>108.20678156629627</c:v>
                </c:pt>
                <c:pt idx="315">
                  <c:v>106.69654442563242</c:v>
                </c:pt>
                <c:pt idx="316">
                  <c:v>105.36820756386557</c:v>
                </c:pt>
                <c:pt idx="317">
                  <c:v>40.204725963653942</c:v>
                </c:pt>
                <c:pt idx="318">
                  <c:v>50.575108364367154</c:v>
                </c:pt>
                <c:pt idx="319">
                  <c:v>105.42914535553537</c:v>
                </c:pt>
                <c:pt idx="320">
                  <c:v>62.608368218728984</c:v>
                </c:pt>
                <c:pt idx="321">
                  <c:v>49.68435523981114</c:v>
                </c:pt>
                <c:pt idx="322">
                  <c:v>23.624991220761071</c:v>
                </c:pt>
                <c:pt idx="323">
                  <c:v>69.082109276908028</c:v>
                </c:pt>
                <c:pt idx="324">
                  <c:v>13.684917294245038</c:v>
                </c:pt>
                <c:pt idx="325">
                  <c:v>33.224761423671232</c:v>
                </c:pt>
                <c:pt idx="326">
                  <c:v>54.795234610297712</c:v>
                </c:pt>
                <c:pt idx="327">
                  <c:v>53.920658777061369</c:v>
                </c:pt>
                <c:pt idx="328">
                  <c:v>17.461070240331004</c:v>
                </c:pt>
                <c:pt idx="329">
                  <c:v>52.562984898718355</c:v>
                </c:pt>
                <c:pt idx="330">
                  <c:v>57.253087856032366</c:v>
                </c:pt>
                <c:pt idx="331">
                  <c:v>37.218970111190728</c:v>
                </c:pt>
                <c:pt idx="332">
                  <c:v>53.028809495758097</c:v>
                </c:pt>
                <c:pt idx="333">
                  <c:v>21.035469579535047</c:v>
                </c:pt>
                <c:pt idx="334">
                  <c:v>15.800143402969301</c:v>
                </c:pt>
                <c:pt idx="335">
                  <c:v>25.479492285404966</c:v>
                </c:pt>
                <c:pt idx="336">
                  <c:v>34.938139072913117</c:v>
                </c:pt>
                <c:pt idx="337">
                  <c:v>74.966189312617459</c:v>
                </c:pt>
                <c:pt idx="338">
                  <c:v>94.085144707481803</c:v>
                </c:pt>
                <c:pt idx="339">
                  <c:v>48.896633161027495</c:v>
                </c:pt>
                <c:pt idx="340">
                  <c:v>75.639327608462395</c:v>
                </c:pt>
                <c:pt idx="341">
                  <c:v>14.313907470862455</c:v>
                </c:pt>
                <c:pt idx="342">
                  <c:v>27.515868345359234</c:v>
                </c:pt>
                <c:pt idx="343">
                  <c:v>66.325429713498792</c:v>
                </c:pt>
                <c:pt idx="344">
                  <c:v>62.437582645284053</c:v>
                </c:pt>
                <c:pt idx="345">
                  <c:v>21.775152552144149</c:v>
                </c:pt>
                <c:pt idx="346">
                  <c:v>22.680589641623822</c:v>
                </c:pt>
                <c:pt idx="347">
                  <c:v>66.56410417595778</c:v>
                </c:pt>
                <c:pt idx="348">
                  <c:v>33.131532211628326</c:v>
                </c:pt>
                <c:pt idx="349">
                  <c:v>20.19338107806427</c:v>
                </c:pt>
                <c:pt idx="350">
                  <c:v>12.528991718314028</c:v>
                </c:pt>
                <c:pt idx="351">
                  <c:v>68.244451648263507</c:v>
                </c:pt>
                <c:pt idx="352">
                  <c:v>65.597212793492162</c:v>
                </c:pt>
                <c:pt idx="353">
                  <c:v>17.149578582607937</c:v>
                </c:pt>
                <c:pt idx="354">
                  <c:v>81.035113397285926</c:v>
                </c:pt>
                <c:pt idx="355">
                  <c:v>67.501735092686317</c:v>
                </c:pt>
                <c:pt idx="356">
                  <c:v>69.238522746776823</c:v>
                </c:pt>
                <c:pt idx="357">
                  <c:v>84.053844931921418</c:v>
                </c:pt>
                <c:pt idx="358">
                  <c:v>47.356087285710387</c:v>
                </c:pt>
                <c:pt idx="359">
                  <c:v>80.914517482387666</c:v>
                </c:pt>
                <c:pt idx="360">
                  <c:v>25.079466530257889</c:v>
                </c:pt>
                <c:pt idx="361">
                  <c:v>65.817747904059118</c:v>
                </c:pt>
                <c:pt idx="362">
                  <c:v>40.703736095719933</c:v>
                </c:pt>
                <c:pt idx="363">
                  <c:v>58.290030254657793</c:v>
                </c:pt>
                <c:pt idx="364">
                  <c:v>46.657365802163184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603688"/>
        <c:axId val="665604080"/>
      </c:lineChart>
      <c:dateAx>
        <c:axId val="665603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04080"/>
        <c:crosses val="autoZero"/>
        <c:auto val="1"/>
        <c:lblOffset val="100"/>
        <c:baseTimeUnit val="days"/>
        <c:majorUnit val="1"/>
        <c:majorTimeUnit val="months"/>
      </c:dateAx>
      <c:valAx>
        <c:axId val="665604080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0368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2.652749179672742E-2</c:v>
                </c:pt>
                <c:pt idx="1">
                  <c:v>2.6540817817879647E-2</c:v>
                </c:pt>
                <c:pt idx="2">
                  <c:v>2.6554143656610019E-2</c:v>
                </c:pt>
                <c:pt idx="3">
                  <c:v>2.6567469312920755E-2</c:v>
                </c:pt>
                <c:pt idx="4">
                  <c:v>2.658079478681441E-2</c:v>
                </c:pt>
                <c:pt idx="5">
                  <c:v>2.6594120078293537E-2</c:v>
                </c:pt>
                <c:pt idx="6">
                  <c:v>2.660744518736069E-2</c:v>
                </c:pt>
                <c:pt idx="7">
                  <c:v>2.66207701140182E-2</c:v>
                </c:pt>
                <c:pt idx="8">
                  <c:v>2.6634094858268731E-2</c:v>
                </c:pt>
                <c:pt idx="9">
                  <c:v>2.6647419420114726E-2</c:v>
                </c:pt>
                <c:pt idx="10">
                  <c:v>2.6660743799558517E-2</c:v>
                </c:pt>
                <c:pt idx="11">
                  <c:v>2.6674067996602879E-2</c:v>
                </c:pt>
                <c:pt idx="12">
                  <c:v>2.6687392011250144E-2</c:v>
                </c:pt>
                <c:pt idx="13">
                  <c:v>2.6700715843502754E-2</c:v>
                </c:pt>
                <c:pt idx="14">
                  <c:v>2.6714039493363373E-2</c:v>
                </c:pt>
                <c:pt idx="15">
                  <c:v>2.6727362960834333E-2</c:v>
                </c:pt>
                <c:pt idx="16">
                  <c:v>2.6740686245918299E-2</c:v>
                </c:pt>
                <c:pt idx="17">
                  <c:v>2.6754009348617713E-2</c:v>
                </c:pt>
                <c:pt idx="18">
                  <c:v>2.6767332268934907E-2</c:v>
                </c:pt>
                <c:pt idx="19">
                  <c:v>2.6780655006872545E-2</c:v>
                </c:pt>
                <c:pt idx="20">
                  <c:v>2.679397756243318E-2</c:v>
                </c:pt>
                <c:pt idx="21">
                  <c:v>2.6807299935619144E-2</c:v>
                </c:pt>
                <c:pt idx="22">
                  <c:v>2.6820622126432991E-2</c:v>
                </c:pt>
                <c:pt idx="23">
                  <c:v>2.6833944134877274E-2</c:v>
                </c:pt>
                <c:pt idx="24">
                  <c:v>2.6847265960954436E-2</c:v>
                </c:pt>
                <c:pt idx="25">
                  <c:v>2.686058760466703E-2</c:v>
                </c:pt>
                <c:pt idx="26">
                  <c:v>2.6873909066017498E-2</c:v>
                </c:pt>
                <c:pt idx="27">
                  <c:v>2.6887230345008284E-2</c:v>
                </c:pt>
                <c:pt idx="28">
                  <c:v>2.690055144164194E-2</c:v>
                </c:pt>
                <c:pt idx="29">
                  <c:v>2.691387235592102E-2</c:v>
                </c:pt>
                <c:pt idx="30">
                  <c:v>2.6927193087847967E-2</c:v>
                </c:pt>
                <c:pt idx="31">
                  <c:v>2.6940513637425334E-2</c:v>
                </c:pt>
                <c:pt idx="32">
                  <c:v>2.6953834004655453E-2</c:v>
                </c:pt>
                <c:pt idx="33">
                  <c:v>2.6967154189540987E-2</c:v>
                </c:pt>
                <c:pt idx="34">
                  <c:v>2.698047419208438E-2</c:v>
                </c:pt>
                <c:pt idx="35">
                  <c:v>2.6993794012288075E-2</c:v>
                </c:pt>
                <c:pt idx="36">
                  <c:v>2.7007113650154624E-2</c:v>
                </c:pt>
                <c:pt idx="37">
                  <c:v>2.7020433105686581E-2</c:v>
                </c:pt>
                <c:pt idx="38">
                  <c:v>2.7033752378886389E-2</c:v>
                </c:pt>
                <c:pt idx="39">
                  <c:v>2.704707146975649E-2</c:v>
                </c:pt>
                <c:pt idx="40">
                  <c:v>2.7060390378299326E-2</c:v>
                </c:pt>
                <c:pt idx="41">
                  <c:v>2.7073709104517674E-2</c:v>
                </c:pt>
                <c:pt idx="42">
                  <c:v>2.7087027648413753E-2</c:v>
                </c:pt>
                <c:pt idx="43">
                  <c:v>2.7100346009990117E-2</c:v>
                </c:pt>
                <c:pt idx="44">
                  <c:v>2.711366418924932E-2</c:v>
                </c:pt>
                <c:pt idx="45">
                  <c:v>2.7126982186193804E-2</c:v>
                </c:pt>
                <c:pt idx="46">
                  <c:v>2.7140300000826123E-2</c:v>
                </c:pt>
                <c:pt idx="47">
                  <c:v>2.715361763314883E-2</c:v>
                </c:pt>
                <c:pt idx="48">
                  <c:v>2.7166935083164145E-2</c:v>
                </c:pt>
                <c:pt idx="49">
                  <c:v>2.7180252350874956E-2</c:v>
                </c:pt>
                <c:pt idx="50">
                  <c:v>2.7193569436283371E-2</c:v>
                </c:pt>
                <c:pt idx="51">
                  <c:v>2.7206886339392167E-2</c:v>
                </c:pt>
                <c:pt idx="52">
                  <c:v>2.7220203060203785E-2</c:v>
                </c:pt>
                <c:pt idx="53">
                  <c:v>2.7233519598720668E-2</c:v>
                </c:pt>
                <c:pt idx="54">
                  <c:v>2.7246835954945259E-2</c:v>
                </c:pt>
                <c:pt idx="55">
                  <c:v>2.7260152128880111E-2</c:v>
                </c:pt>
                <c:pt idx="56">
                  <c:v>2.7273468120527777E-2</c:v>
                </c:pt>
                <c:pt idx="57">
                  <c:v>2.728678392989059E-2</c:v>
                </c:pt>
                <c:pt idx="58">
                  <c:v>2.7300099556971325E-2</c:v>
                </c:pt>
                <c:pt idx="59">
                  <c:v>2.7313415001772201E-2</c:v>
                </c:pt>
                <c:pt idx="60">
                  <c:v>2.7326730264295884E-2</c:v>
                </c:pt>
                <c:pt idx="61">
                  <c:v>2.7340045344544706E-2</c:v>
                </c:pt>
                <c:pt idx="62">
                  <c:v>2.735336024252133E-2</c:v>
                </c:pt>
                <c:pt idx="63">
                  <c:v>2.7366674958228199E-2</c:v>
                </c:pt>
                <c:pt idx="64">
                  <c:v>2.7379989491667756E-2</c:v>
                </c:pt>
                <c:pt idx="65">
                  <c:v>2.7393303842842442E-2</c:v>
                </c:pt>
                <c:pt idx="66">
                  <c:v>2.7406618011755035E-2</c:v>
                </c:pt>
                <c:pt idx="67">
                  <c:v>2.7419931998407643E-2</c:v>
                </c:pt>
                <c:pt idx="68">
                  <c:v>2.7433245802803041E-2</c:v>
                </c:pt>
                <c:pt idx="69">
                  <c:v>2.7446559424943673E-2</c:v>
                </c:pt>
                <c:pt idx="70">
                  <c:v>2.745987286483198E-2</c:v>
                </c:pt>
                <c:pt idx="71">
                  <c:v>2.7473186122470517E-2</c:v>
                </c:pt>
                <c:pt idx="72">
                  <c:v>2.7486499197861614E-2</c:v>
                </c:pt>
                <c:pt idx="73">
                  <c:v>2.7499812091007936E-2</c:v>
                </c:pt>
                <c:pt idx="74">
                  <c:v>2.7513124801912037E-2</c:v>
                </c:pt>
                <c:pt idx="75">
                  <c:v>2.7526437330576137E-2</c:v>
                </c:pt>
                <c:pt idx="76">
                  <c:v>2.7539749677003011E-2</c:v>
                </c:pt>
                <c:pt idx="77">
                  <c:v>2.7553061841194992E-2</c:v>
                </c:pt>
                <c:pt idx="78">
                  <c:v>2.7566373823154633E-2</c:v>
                </c:pt>
                <c:pt idx="79">
                  <c:v>2.7579685622884487E-2</c:v>
                </c:pt>
                <c:pt idx="80">
                  <c:v>2.7592997240386885E-2</c:v>
                </c:pt>
                <c:pt idx="81">
                  <c:v>2.7606308675664493E-2</c:v>
                </c:pt>
                <c:pt idx="82">
                  <c:v>2.7619619928719641E-2</c:v>
                </c:pt>
                <c:pt idx="83">
                  <c:v>2.7632930999554994E-2</c:v>
                </c:pt>
                <c:pt idx="84">
                  <c:v>2.7646241888172995E-2</c:v>
                </c:pt>
                <c:pt idx="85">
                  <c:v>2.7659552594575976E-2</c:v>
                </c:pt>
                <c:pt idx="86">
                  <c:v>2.7672863118766711E-2</c:v>
                </c:pt>
                <c:pt idx="87">
                  <c:v>2.7686173460747421E-2</c:v>
                </c:pt>
                <c:pt idx="88">
                  <c:v>2.7699483620520771E-2</c:v>
                </c:pt>
                <c:pt idx="89">
                  <c:v>2.7712793598089314E-2</c:v>
                </c:pt>
                <c:pt idx="90">
                  <c:v>2.772610339345527E-2</c:v>
                </c:pt>
                <c:pt idx="91">
                  <c:v>2.7739413006621416E-2</c:v>
                </c:pt>
                <c:pt idx="92">
                  <c:v>2.7752722437590083E-2</c:v>
                </c:pt>
                <c:pt idx="93">
                  <c:v>2.7766031686363823E-2</c:v>
                </c:pt>
                <c:pt idx="94">
                  <c:v>2.7779340752945192E-2</c:v>
                </c:pt>
                <c:pt idx="95">
                  <c:v>2.7792649637336519E-2</c:v>
                </c:pt>
                <c:pt idx="96">
                  <c:v>2.7805958339540471E-2</c:v>
                </c:pt>
                <c:pt idx="97">
                  <c:v>2.7819266859559488E-2</c:v>
                </c:pt>
                <c:pt idx="98">
                  <c:v>2.7832575197395903E-2</c:v>
                </c:pt>
                <c:pt idx="99">
                  <c:v>2.7845883353052492E-2</c:v>
                </c:pt>
                <c:pt idx="100">
                  <c:v>2.7859191326531474E-2</c:v>
                </c:pt>
                <c:pt idx="101">
                  <c:v>2.7872499117835625E-2</c:v>
                </c:pt>
                <c:pt idx="102">
                  <c:v>2.7885806726967166E-2</c:v>
                </c:pt>
                <c:pt idx="103">
                  <c:v>2.7899114153928761E-2</c:v>
                </c:pt>
                <c:pt idx="104">
                  <c:v>2.7912421398722853E-2</c:v>
                </c:pt>
                <c:pt idx="105">
                  <c:v>2.7925728461351995E-2</c:v>
                </c:pt>
                <c:pt idx="106">
                  <c:v>2.7939035341818519E-2</c:v>
                </c:pt>
                <c:pt idx="107">
                  <c:v>2.7952342040125089E-2</c:v>
                </c:pt>
                <c:pt idx="108">
                  <c:v>2.7965648556274147E-2</c:v>
                </c:pt>
                <c:pt idx="109">
                  <c:v>2.7978954890268137E-2</c:v>
                </c:pt>
                <c:pt idx="110">
                  <c:v>2.7992261042109612E-2</c:v>
                </c:pt>
                <c:pt idx="111">
                  <c:v>2.8005567011801014E-2</c:v>
                </c:pt>
                <c:pt idx="112">
                  <c:v>2.8018872799344896E-2</c:v>
                </c:pt>
                <c:pt idx="113">
                  <c:v>2.8032178404743702E-2</c:v>
                </c:pt>
                <c:pt idx="114">
                  <c:v>2.8045483827999873E-2</c:v>
                </c:pt>
                <c:pt idx="115">
                  <c:v>2.8058789069116075E-2</c:v>
                </c:pt>
                <c:pt idx="116">
                  <c:v>2.8072094128094638E-2</c:v>
                </c:pt>
                <c:pt idx="117">
                  <c:v>2.8085399004938227E-2</c:v>
                </c:pt>
                <c:pt idx="118">
                  <c:v>2.8098703699649064E-2</c:v>
                </c:pt>
                <c:pt idx="119">
                  <c:v>2.8112008212229922E-2</c:v>
                </c:pt>
                <c:pt idx="120">
                  <c:v>2.8125312542683134E-2</c:v>
                </c:pt>
                <c:pt idx="121">
                  <c:v>2.8138616691011253E-2</c:v>
                </c:pt>
                <c:pt idx="122">
                  <c:v>2.8151920657216722E-2</c:v>
                </c:pt>
                <c:pt idx="123">
                  <c:v>2.8165224441302095E-2</c:v>
                </c:pt>
                <c:pt idx="124">
                  <c:v>2.8178528043269813E-2</c:v>
                </c:pt>
                <c:pt idx="125">
                  <c:v>2.819183146312243E-2</c:v>
                </c:pt>
                <c:pt idx="126">
                  <c:v>2.8205134700862389E-2</c:v>
                </c:pt>
                <c:pt idx="127">
                  <c:v>2.8218437756492132E-2</c:v>
                </c:pt>
                <c:pt idx="128">
                  <c:v>2.8231740630014213E-2</c:v>
                </c:pt>
                <c:pt idx="129">
                  <c:v>2.8245043321431185E-2</c:v>
                </c:pt>
                <c:pt idx="130">
                  <c:v>2.825834583074549E-2</c:v>
                </c:pt>
                <c:pt idx="131">
                  <c:v>2.8271648157959572E-2</c:v>
                </c:pt>
                <c:pt idx="132">
                  <c:v>2.8284950303075984E-2</c:v>
                </c:pt>
                <c:pt idx="133">
                  <c:v>2.8298252266097279E-2</c:v>
                </c:pt>
                <c:pt idx="134">
                  <c:v>2.8311554047025789E-2</c:v>
                </c:pt>
                <c:pt idx="135">
                  <c:v>2.8324855645864067E-2</c:v>
                </c:pt>
                <c:pt idx="136">
                  <c:v>2.8338157062614666E-2</c:v>
                </c:pt>
                <c:pt idx="137">
                  <c:v>2.835145829728003E-2</c:v>
                </c:pt>
                <c:pt idx="138">
                  <c:v>2.8364759349862712E-2</c:v>
                </c:pt>
                <c:pt idx="139">
                  <c:v>2.8378060220365042E-2</c:v>
                </c:pt>
                <c:pt idx="140">
                  <c:v>2.8391360908789687E-2</c:v>
                </c:pt>
                <c:pt idx="141">
                  <c:v>2.8404661415139087E-2</c:v>
                </c:pt>
                <c:pt idx="142">
                  <c:v>2.8417961739415687E-2</c:v>
                </c:pt>
                <c:pt idx="143">
                  <c:v>2.8431261881622039E-2</c:v>
                </c:pt>
                <c:pt idx="144">
                  <c:v>2.8444561841760696E-2</c:v>
                </c:pt>
                <c:pt idx="145">
                  <c:v>2.8457861619833991E-2</c:v>
                </c:pt>
                <c:pt idx="146">
                  <c:v>2.8471161215844476E-2</c:v>
                </c:pt>
                <c:pt idx="147">
                  <c:v>2.8484460629794595E-2</c:v>
                </c:pt>
                <c:pt idx="148">
                  <c:v>2.8497759861687011E-2</c:v>
                </c:pt>
                <c:pt idx="149">
                  <c:v>2.8511058911524056E-2</c:v>
                </c:pt>
                <c:pt idx="150">
                  <c:v>2.8524357779308396E-2</c:v>
                </c:pt>
                <c:pt idx="151">
                  <c:v>2.8537656465042249E-2</c:v>
                </c:pt>
                <c:pt idx="152">
                  <c:v>2.8550954968728393E-2</c:v>
                </c:pt>
                <c:pt idx="153">
                  <c:v>2.8564253290369046E-2</c:v>
                </c:pt>
                <c:pt idx="154">
                  <c:v>2.8577551429966985E-2</c:v>
                </c:pt>
                <c:pt idx="155">
                  <c:v>2.8590849387524431E-2</c:v>
                </c:pt>
                <c:pt idx="156">
                  <c:v>2.8604147163044047E-2</c:v>
                </c:pt>
                <c:pt idx="157">
                  <c:v>2.8617444756528387E-2</c:v>
                </c:pt>
                <c:pt idx="158">
                  <c:v>2.8630742167979673E-2</c:v>
                </c:pt>
                <c:pt idx="159">
                  <c:v>2.8644039397400678E-2</c:v>
                </c:pt>
                <c:pt idx="160">
                  <c:v>2.8657336444793735E-2</c:v>
                </c:pt>
                <c:pt idx="161">
                  <c:v>2.8670633310161397E-2</c:v>
                </c:pt>
                <c:pt idx="162">
                  <c:v>2.8683929993506108E-2</c:v>
                </c:pt>
                <c:pt idx="163">
                  <c:v>2.8697226494830419E-2</c:v>
                </c:pt>
                <c:pt idx="164">
                  <c:v>2.8710522814136885E-2</c:v>
                </c:pt>
                <c:pt idx="165">
                  <c:v>2.8723818951427726E-2</c:v>
                </c:pt>
                <c:pt idx="166">
                  <c:v>2.8737114906705719E-2</c:v>
                </c:pt>
                <c:pt idx="167">
                  <c:v>2.8750410679973193E-2</c:v>
                </c:pt>
                <c:pt idx="168">
                  <c:v>2.8763706271232814E-2</c:v>
                </c:pt>
                <c:pt idx="169">
                  <c:v>2.8777001680486802E-2</c:v>
                </c:pt>
                <c:pt idx="170">
                  <c:v>2.8790296907737933E-2</c:v>
                </c:pt>
                <c:pt idx="171">
                  <c:v>2.8803591952988539E-2</c:v>
                </c:pt>
                <c:pt idx="172">
                  <c:v>2.8816886816241061E-2</c:v>
                </c:pt>
                <c:pt idx="173">
                  <c:v>2.8830181497498164E-2</c:v>
                </c:pt>
                <c:pt idx="174">
                  <c:v>2.884347599676218E-2</c:v>
                </c:pt>
                <c:pt idx="175">
                  <c:v>2.8856770314035662E-2</c:v>
                </c:pt>
                <c:pt idx="176">
                  <c:v>2.8870064449321164E-2</c:v>
                </c:pt>
                <c:pt idx="177">
                  <c:v>2.8883358402621018E-2</c:v>
                </c:pt>
                <c:pt idx="178">
                  <c:v>2.8896652173937887E-2</c:v>
                </c:pt>
                <c:pt idx="179">
                  <c:v>2.8909945763274214E-2</c:v>
                </c:pt>
                <c:pt idx="180">
                  <c:v>2.8923239170632442E-2</c:v>
                </c:pt>
                <c:pt idx="181">
                  <c:v>2.8936532396015013E-2</c:v>
                </c:pt>
                <c:pt idx="182">
                  <c:v>2.8949825439424592E-2</c:v>
                </c:pt>
                <c:pt idx="183">
                  <c:v>2.8963118300863511E-2</c:v>
                </c:pt>
                <c:pt idx="184">
                  <c:v>2.8976410980334322E-2</c:v>
                </c:pt>
                <c:pt idx="185">
                  <c:v>2.8989703477839579E-2</c:v>
                </c:pt>
                <c:pt idx="186">
                  <c:v>2.9002995793381614E-2</c:v>
                </c:pt>
                <c:pt idx="187">
                  <c:v>2.9016287926963091E-2</c:v>
                </c:pt>
                <c:pt idx="188">
                  <c:v>2.9029579878586342E-2</c:v>
                </c:pt>
                <c:pt idx="189">
                  <c:v>2.9042871648254032E-2</c:v>
                </c:pt>
                <c:pt idx="190">
                  <c:v>2.9056163235968491E-2</c:v>
                </c:pt>
                <c:pt idx="191">
                  <c:v>2.9069454641732273E-2</c:v>
                </c:pt>
                <c:pt idx="192">
                  <c:v>2.9082745865547932E-2</c:v>
                </c:pt>
                <c:pt idx="193">
                  <c:v>2.909603690741791E-2</c:v>
                </c:pt>
                <c:pt idx="194">
                  <c:v>2.910932776734465E-2</c:v>
                </c:pt>
                <c:pt idx="195">
                  <c:v>2.9122618445330595E-2</c:v>
                </c:pt>
                <c:pt idx="196">
                  <c:v>2.9135908941378408E-2</c:v>
                </c:pt>
                <c:pt idx="197">
                  <c:v>2.9149199255490532E-2</c:v>
                </c:pt>
                <c:pt idx="198">
                  <c:v>2.9162489387669299E-2</c:v>
                </c:pt>
                <c:pt idx="199">
                  <c:v>2.9175779337917374E-2</c:v>
                </c:pt>
                <c:pt idx="200">
                  <c:v>2.9189069106237198E-2</c:v>
                </c:pt>
                <c:pt idx="201">
                  <c:v>2.9202358692631214E-2</c:v>
                </c:pt>
                <c:pt idx="202">
                  <c:v>2.9215648097101976E-2</c:v>
                </c:pt>
                <c:pt idx="203">
                  <c:v>2.9228937319652037E-2</c:v>
                </c:pt>
                <c:pt idx="204">
                  <c:v>2.924222636028373E-2</c:v>
                </c:pt>
                <c:pt idx="205">
                  <c:v>2.9255515218999606E-2</c:v>
                </c:pt>
                <c:pt idx="206">
                  <c:v>2.9268803895802109E-2</c:v>
                </c:pt>
                <c:pt idx="207">
                  <c:v>2.9282092390693903E-2</c:v>
                </c:pt>
                <c:pt idx="208">
                  <c:v>2.9295380703677321E-2</c:v>
                </c:pt>
                <c:pt idx="209">
                  <c:v>2.9308668834754803E-2</c:v>
                </c:pt>
                <c:pt idx="210">
                  <c:v>2.9321956783929015E-2</c:v>
                </c:pt>
                <c:pt idx="211">
                  <c:v>2.93352445512024E-2</c:v>
                </c:pt>
                <c:pt idx="212">
                  <c:v>2.9348532136577399E-2</c:v>
                </c:pt>
                <c:pt idx="213">
                  <c:v>2.9361819540056455E-2</c:v>
                </c:pt>
                <c:pt idx="214">
                  <c:v>2.9375106761642122E-2</c:v>
                </c:pt>
                <c:pt idx="215">
                  <c:v>2.9388393801336843E-2</c:v>
                </c:pt>
                <c:pt idx="216">
                  <c:v>2.9401680659143281E-2</c:v>
                </c:pt>
                <c:pt idx="217">
                  <c:v>2.9414967335063658E-2</c:v>
                </c:pt>
                <c:pt idx="218">
                  <c:v>2.9428253829100637E-2</c:v>
                </c:pt>
                <c:pt idx="219">
                  <c:v>2.9441540141256772E-2</c:v>
                </c:pt>
                <c:pt idx="220">
                  <c:v>2.9454826271534285E-2</c:v>
                </c:pt>
                <c:pt idx="221">
                  <c:v>2.9468112219935949E-2</c:v>
                </c:pt>
                <c:pt idx="222">
                  <c:v>2.9481397986464097E-2</c:v>
                </c:pt>
                <c:pt idx="223">
                  <c:v>2.9494683571121283E-2</c:v>
                </c:pt>
                <c:pt idx="224">
                  <c:v>2.9507968973909948E-2</c:v>
                </c:pt>
                <c:pt idx="225">
                  <c:v>2.9521254194832647E-2</c:v>
                </c:pt>
                <c:pt idx="226">
                  <c:v>2.953453923389171E-2</c:v>
                </c:pt>
                <c:pt idx="227">
                  <c:v>2.9547824091089914E-2</c:v>
                </c:pt>
                <c:pt idx="228">
                  <c:v>2.9561108766429478E-2</c:v>
                </c:pt>
                <c:pt idx="229">
                  <c:v>2.9574393259912957E-2</c:v>
                </c:pt>
                <c:pt idx="230">
                  <c:v>2.9587677571542903E-2</c:v>
                </c:pt>
                <c:pt idx="231">
                  <c:v>2.9600961701321871E-2</c:v>
                </c:pt>
                <c:pt idx="232">
                  <c:v>2.9614245649252191E-2</c:v>
                </c:pt>
                <c:pt idx="233">
                  <c:v>2.9627529415336418E-2</c:v>
                </c:pt>
                <c:pt idx="234">
                  <c:v>2.9640812999576993E-2</c:v>
                </c:pt>
                <c:pt idx="235">
                  <c:v>2.9654096401976471E-2</c:v>
                </c:pt>
                <c:pt idx="236">
                  <c:v>2.9667379622537404E-2</c:v>
                </c:pt>
                <c:pt idx="237">
                  <c:v>2.9680662661262125E-2</c:v>
                </c:pt>
                <c:pt idx="238">
                  <c:v>2.9693945518153297E-2</c:v>
                </c:pt>
                <c:pt idx="239">
                  <c:v>2.9707228193213142E-2</c:v>
                </c:pt>
                <c:pt idx="240">
                  <c:v>2.9720510686444435E-2</c:v>
                </c:pt>
                <c:pt idx="241">
                  <c:v>2.9733792997849617E-2</c:v>
                </c:pt>
                <c:pt idx="242">
                  <c:v>2.9747075127431022E-2</c:v>
                </c:pt>
                <c:pt idx="243">
                  <c:v>2.9760357075191202E-2</c:v>
                </c:pt>
                <c:pt idx="244">
                  <c:v>2.977363884113271E-2</c:v>
                </c:pt>
                <c:pt idx="245">
                  <c:v>2.978692042525799E-2</c:v>
                </c:pt>
                <c:pt idx="246">
                  <c:v>2.9800201827569484E-2</c:v>
                </c:pt>
                <c:pt idx="247">
                  <c:v>2.9813483048069855E-2</c:v>
                </c:pt>
                <c:pt idx="248">
                  <c:v>2.9826764086761326E-2</c:v>
                </c:pt>
                <c:pt idx="249">
                  <c:v>2.9840044943646671E-2</c:v>
                </c:pt>
                <c:pt idx="250">
                  <c:v>2.985332561872811E-2</c:v>
                </c:pt>
                <c:pt idx="251">
                  <c:v>2.986660611200842E-2</c:v>
                </c:pt>
                <c:pt idx="252">
                  <c:v>2.9879886423489821E-2</c:v>
                </c:pt>
                <c:pt idx="253">
                  <c:v>2.9893166553174866E-2</c:v>
                </c:pt>
                <c:pt idx="254">
                  <c:v>2.9906446501066108E-2</c:v>
                </c:pt>
                <c:pt idx="255">
                  <c:v>2.9919726267166102E-2</c:v>
                </c:pt>
                <c:pt idx="256">
                  <c:v>2.9933005851477179E-2</c:v>
                </c:pt>
                <c:pt idx="257">
                  <c:v>2.9946285254001892E-2</c:v>
                </c:pt>
                <c:pt idx="258">
                  <c:v>2.9959564474742795E-2</c:v>
                </c:pt>
                <c:pt idx="259">
                  <c:v>2.997284351370233E-2</c:v>
                </c:pt>
                <c:pt idx="260">
                  <c:v>2.9986122370882939E-2</c:v>
                </c:pt>
                <c:pt idx="261">
                  <c:v>2.9999401046287066E-2</c:v>
                </c:pt>
                <c:pt idx="262">
                  <c:v>3.0012679539917375E-2</c:v>
                </c:pt>
                <c:pt idx="263">
                  <c:v>3.0025957851776197E-2</c:v>
                </c:pt>
                <c:pt idx="264">
                  <c:v>3.0039235981866086E-2</c:v>
                </c:pt>
                <c:pt idx="265">
                  <c:v>3.0052513930189595E-2</c:v>
                </c:pt>
                <c:pt idx="266">
                  <c:v>3.0065791696749056E-2</c:v>
                </c:pt>
                <c:pt idx="267">
                  <c:v>3.0079069281547133E-2</c:v>
                </c:pt>
                <c:pt idx="268">
                  <c:v>3.0092346684586158E-2</c:v>
                </c:pt>
                <c:pt idx="269">
                  <c:v>3.0105623905868684E-2</c:v>
                </c:pt>
                <c:pt idx="270">
                  <c:v>3.0118900945397264E-2</c:v>
                </c:pt>
                <c:pt idx="271">
                  <c:v>3.0132177803174232E-2</c:v>
                </c:pt>
                <c:pt idx="272">
                  <c:v>3.0145454479202249E-2</c:v>
                </c:pt>
                <c:pt idx="273">
                  <c:v>3.015873097348365E-2</c:v>
                </c:pt>
                <c:pt idx="274">
                  <c:v>3.0172007286020985E-2</c:v>
                </c:pt>
                <c:pt idx="275">
                  <c:v>3.018528341681681E-2</c:v>
                </c:pt>
                <c:pt idx="276">
                  <c:v>3.0198559365873567E-2</c:v>
                </c:pt>
                <c:pt idx="277">
                  <c:v>3.0211835133193699E-2</c:v>
                </c:pt>
                <c:pt idx="278">
                  <c:v>3.0225110718779646E-2</c:v>
                </c:pt>
                <c:pt idx="279">
                  <c:v>3.0238386122634076E-2</c:v>
                </c:pt>
                <c:pt idx="280">
                  <c:v>3.0251661344759317E-2</c:v>
                </c:pt>
                <c:pt idx="281">
                  <c:v>3.0264936385157926E-2</c:v>
                </c:pt>
                <c:pt idx="282">
                  <c:v>3.0278211243832454E-2</c:v>
                </c:pt>
                <c:pt idx="283">
                  <c:v>3.0291485920785233E-2</c:v>
                </c:pt>
                <c:pt idx="284">
                  <c:v>3.0304760416018928E-2</c:v>
                </c:pt>
                <c:pt idx="285">
                  <c:v>3.031803472953587E-2</c:v>
                </c:pt>
                <c:pt idx="286">
                  <c:v>3.0331308861338502E-2</c:v>
                </c:pt>
                <c:pt idx="287">
                  <c:v>3.0344582811429599E-2</c:v>
                </c:pt>
                <c:pt idx="288">
                  <c:v>3.0357856579811382E-2</c:v>
                </c:pt>
                <c:pt idx="289">
                  <c:v>3.0371130166486404E-2</c:v>
                </c:pt>
                <c:pt idx="290">
                  <c:v>3.0384403571457219E-2</c:v>
                </c:pt>
                <c:pt idx="291">
                  <c:v>3.0397676794726158E-2</c:v>
                </c:pt>
                <c:pt idx="292">
                  <c:v>3.0410949836295886E-2</c:v>
                </c:pt>
                <c:pt idx="293">
                  <c:v>3.0424222696168846E-2</c:v>
                </c:pt>
                <c:pt idx="294">
                  <c:v>3.0437495374347479E-2</c:v>
                </c:pt>
                <c:pt idx="295">
                  <c:v>3.0450767870834339E-2</c:v>
                </c:pt>
                <c:pt idx="296">
                  <c:v>3.0464040185631869E-2</c:v>
                </c:pt>
                <c:pt idx="297">
                  <c:v>3.0477312318742511E-2</c:v>
                </c:pt>
                <c:pt idx="298">
                  <c:v>3.0490584270168708E-2</c:v>
                </c:pt>
                <c:pt idx="299">
                  <c:v>3.0503856039913235E-2</c:v>
                </c:pt>
                <c:pt idx="300">
                  <c:v>3.0517127627978202E-2</c:v>
                </c:pt>
                <c:pt idx="301">
                  <c:v>3.0530399034366384E-2</c:v>
                </c:pt>
                <c:pt idx="302">
                  <c:v>3.0543670259080113E-2</c:v>
                </c:pt>
                <c:pt idx="303">
                  <c:v>3.0556941302121943E-2</c:v>
                </c:pt>
                <c:pt idx="304">
                  <c:v>3.0570212163494315E-2</c:v>
                </c:pt>
                <c:pt idx="305">
                  <c:v>3.0583482843199672E-2</c:v>
                </c:pt>
                <c:pt idx="306">
                  <c:v>3.0596753341240679E-2</c:v>
                </c:pt>
                <c:pt idx="307">
                  <c:v>3.0610023657619667E-2</c:v>
                </c:pt>
                <c:pt idx="308">
                  <c:v>3.062329379233919E-2</c:v>
                </c:pt>
                <c:pt idx="309">
                  <c:v>3.063656374540169E-2</c:v>
                </c:pt>
                <c:pt idx="310">
                  <c:v>3.0649833516809721E-2</c:v>
                </c:pt>
                <c:pt idx="311">
                  <c:v>3.0663103106565615E-2</c:v>
                </c:pt>
                <c:pt idx="312">
                  <c:v>3.0676372514672035E-2</c:v>
                </c:pt>
                <c:pt idx="313">
                  <c:v>3.0689641741131424E-2</c:v>
                </c:pt>
                <c:pt idx="314">
                  <c:v>3.0702910785946225E-2</c:v>
                </c:pt>
                <c:pt idx="315">
                  <c:v>3.0716179649118991E-2</c:v>
                </c:pt>
                <c:pt idx="316">
                  <c:v>3.0729448330652054E-2</c:v>
                </c:pt>
                <c:pt idx="317">
                  <c:v>3.0742716830548078E-2</c:v>
                </c:pt>
                <c:pt idx="318">
                  <c:v>3.0755985148809506E-2</c:v>
                </c:pt>
                <c:pt idx="319">
                  <c:v>3.076925328543878E-2</c:v>
                </c:pt>
                <c:pt idx="320">
                  <c:v>3.0782521240438343E-2</c:v>
                </c:pt>
                <c:pt idx="321">
                  <c:v>3.0795789013810859E-2</c:v>
                </c:pt>
                <c:pt idx="322">
                  <c:v>3.0809056605558549E-2</c:v>
                </c:pt>
                <c:pt idx="323">
                  <c:v>3.0822324015684188E-2</c:v>
                </c:pt>
                <c:pt idx="324">
                  <c:v>3.0835591244190108E-2</c:v>
                </c:pt>
                <c:pt idx="325">
                  <c:v>3.0848858291078751E-2</c:v>
                </c:pt>
                <c:pt idx="326">
                  <c:v>3.0862125156352671E-2</c:v>
                </c:pt>
                <c:pt idx="327">
                  <c:v>3.0875391840014421E-2</c:v>
                </c:pt>
                <c:pt idx="328">
                  <c:v>3.0888658342066333E-2</c:v>
                </c:pt>
                <c:pt idx="329">
                  <c:v>3.090192466251096E-2</c:v>
                </c:pt>
                <c:pt idx="330">
                  <c:v>3.0915190801350856E-2</c:v>
                </c:pt>
                <c:pt idx="331">
                  <c:v>3.0928456758588463E-2</c:v>
                </c:pt>
                <c:pt idx="332">
                  <c:v>3.0941722534226224E-2</c:v>
                </c:pt>
                <c:pt idx="333">
                  <c:v>3.0954988128266581E-2</c:v>
                </c:pt>
                <c:pt idx="334">
                  <c:v>3.0968253540712198E-2</c:v>
                </c:pt>
                <c:pt idx="335">
                  <c:v>3.0981518771565408E-2</c:v>
                </c:pt>
                <c:pt idx="336">
                  <c:v>3.0994783820828764E-2</c:v>
                </c:pt>
                <c:pt idx="337">
                  <c:v>3.1008048688504819E-2</c:v>
                </c:pt>
                <c:pt idx="338">
                  <c:v>3.1021313374595905E-2</c:v>
                </c:pt>
                <c:pt idx="339">
                  <c:v>3.1034577879104575E-2</c:v>
                </c:pt>
                <c:pt idx="340">
                  <c:v>3.1047842202033271E-2</c:v>
                </c:pt>
                <c:pt idx="341">
                  <c:v>3.1061106343384548E-2</c:v>
                </c:pt>
                <c:pt idx="342">
                  <c:v>3.1074370303160848E-2</c:v>
                </c:pt>
                <c:pt idx="343">
                  <c:v>3.1087634081364723E-2</c:v>
                </c:pt>
                <c:pt idx="344">
                  <c:v>3.1100897677998618E-2</c:v>
                </c:pt>
                <c:pt idx="345">
                  <c:v>3.1114161093065085E-2</c:v>
                </c:pt>
                <c:pt idx="346">
                  <c:v>3.1127424326566455E-2</c:v>
                </c:pt>
                <c:pt idx="347">
                  <c:v>3.1140687378505283E-2</c:v>
                </c:pt>
                <c:pt idx="348">
                  <c:v>3.115395024888401E-2</c:v>
                </c:pt>
                <c:pt idx="349">
                  <c:v>3.1167212937705302E-2</c:v>
                </c:pt>
                <c:pt idx="350">
                  <c:v>3.1180475444971489E-2</c:v>
                </c:pt>
                <c:pt idx="351">
                  <c:v>3.1193737770685015E-2</c:v>
                </c:pt>
                <c:pt idx="352">
                  <c:v>3.1206999914848543E-2</c:v>
                </c:pt>
                <c:pt idx="353">
                  <c:v>3.1220261877464406E-2</c:v>
                </c:pt>
                <c:pt idx="354">
                  <c:v>3.1233523658535156E-2</c:v>
                </c:pt>
                <c:pt idx="355">
                  <c:v>3.1246785258063237E-2</c:v>
                </c:pt>
                <c:pt idx="356">
                  <c:v>3.126004667605109E-2</c:v>
                </c:pt>
                <c:pt idx="357">
                  <c:v>3.127330791250138E-2</c:v>
                </c:pt>
                <c:pt idx="358">
                  <c:v>3.1286568967416439E-2</c:v>
                </c:pt>
                <c:pt idx="359">
                  <c:v>3.1299829840798821E-2</c:v>
                </c:pt>
                <c:pt idx="360">
                  <c:v>3.1313090532650856E-2</c:v>
                </c:pt>
                <c:pt idx="361">
                  <c:v>3.132635104297532E-2</c:v>
                </c:pt>
                <c:pt idx="362">
                  <c:v>3.1339611371774434E-2</c:v>
                </c:pt>
                <c:pt idx="363">
                  <c:v>3.1352871519050862E-2</c:v>
                </c:pt>
                <c:pt idx="364">
                  <c:v>3.1366131484806936E-2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2.5028399344446509E-2</c:v>
                </c:pt>
                <c:pt idx="1">
                  <c:v>2.508765622341692E-2</c:v>
                </c:pt>
                <c:pt idx="2">
                  <c:v>2.5146898866660088E-2</c:v>
                </c:pt>
                <c:pt idx="3">
                  <c:v>2.5206121861443297E-2</c:v>
                </c:pt>
                <c:pt idx="4">
                  <c:v>2.5265320500563581E-2</c:v>
                </c:pt>
                <c:pt idx="5">
                  <c:v>2.532449076677978E-2</c:v>
                </c:pt>
                <c:pt idx="6">
                  <c:v>2.5383629311278653E-2</c:v>
                </c:pt>
                <c:pt idx="7">
                  <c:v>2.5442733426570618E-2</c:v>
                </c:pt>
                <c:pt idx="8">
                  <c:v>2.5501801014256177E-2</c:v>
                </c:pt>
                <c:pt idx="9">
                  <c:v>2.556083054814505E-2</c:v>
                </c:pt>
                <c:pt idx="10">
                  <c:v>2.5619821033245602E-2</c:v>
                </c:pt>
                <c:pt idx="11">
                  <c:v>2.567877196117168E-2</c:v>
                </c:pt>
                <c:pt idx="12">
                  <c:v>2.57376832625387E-2</c:v>
                </c:pt>
                <c:pt idx="13">
                  <c:v>2.5796555256938608E-2</c:v>
                </c:pt>
                <c:pt idx="14">
                  <c:v>2.5855388601095756E-2</c:v>
                </c:pt>
                <c:pt idx="15">
                  <c:v>2.5914184235811662E-2</c:v>
                </c:pt>
                <c:pt idx="16">
                  <c:v>2.5972943332306403E-2</c:v>
                </c:pt>
                <c:pt idx="17">
                  <c:v>2.6031667238558646E-2</c:v>
                </c:pt>
                <c:pt idx="18">
                  <c:v>2.609035742623407E-2</c:v>
                </c:pt>
                <c:pt idx="19">
                  <c:v>2.614901543877431E-2</c:v>
                </c:pt>
                <c:pt idx="20">
                  <c:v>2.6207642841195502E-2</c:v>
                </c:pt>
                <c:pt idx="21">
                  <c:v>2.626624117211725E-2</c:v>
                </c:pt>
                <c:pt idx="22">
                  <c:v>2.6324811898509683E-2</c:v>
                </c:pt>
                <c:pt idx="23">
                  <c:v>2.6383356373609095E-2</c:v>
                </c:pt>
                <c:pt idx="24">
                  <c:v>2.6441875798410997E-2</c:v>
                </c:pt>
                <c:pt idx="25">
                  <c:v>2.6500371187104767E-2</c:v>
                </c:pt>
                <c:pt idx="26">
                  <c:v>2.6558843336766263E-2</c:v>
                </c:pt>
                <c:pt idx="27">
                  <c:v>2.6617292801574481E-2</c:v>
                </c:pt>
                <c:pt idx="28">
                  <c:v>2.6675719871766163E-2</c:v>
                </c:pt>
                <c:pt idx="29">
                  <c:v>2.6734124557488928E-2</c:v>
                </c:pt>
                <c:pt idx="30">
                  <c:v>2.6792506577659397E-2</c:v>
                </c:pt>
                <c:pt idx="31">
                  <c:v>2.6850865353877953E-2</c:v>
                </c:pt>
                <c:pt idx="32">
                  <c:v>2.6909200009398494E-2</c:v>
                </c:pt>
                <c:pt idx="33">
                  <c:v>2.6967509373097855E-2</c:v>
                </c:pt>
                <c:pt idx="34">
                  <c:v>2.7025791988338314E-2</c:v>
                </c:pt>
                <c:pt idx="35">
                  <c:v>2.7084046126567164E-2</c:v>
                </c:pt>
                <c:pt idx="36">
                  <c:v>2.7142269805449794E-2</c:v>
                </c:pt>
                <c:pt idx="37">
                  <c:v>2.7200460811289136E-2</c:v>
                </c:pt>
                <c:pt idx="38">
                  <c:v>2.7258616725443115E-2</c:v>
                </c:pt>
                <c:pt idx="39">
                  <c:v>2.7316734954414851E-2</c:v>
                </c:pt>
                <c:pt idx="40">
                  <c:v>2.7374812763257542E-2</c:v>
                </c:pt>
                <c:pt idx="41">
                  <c:v>2.743284731190691E-2</c:v>
                </c:pt>
                <c:pt idx="42">
                  <c:v>2.7490835694030519E-2</c:v>
                </c:pt>
                <c:pt idx="43">
                  <c:v>2.7548774977963538E-2</c:v>
                </c:pt>
                <c:pt idx="44">
                  <c:v>2.7606662249286467E-2</c:v>
                </c:pt>
                <c:pt idx="45">
                  <c:v>2.7664494654590643E-2</c:v>
                </c:pt>
                <c:pt idx="46">
                  <c:v>2.7722269445972964E-2</c:v>
                </c:pt>
                <c:pt idx="47">
                  <c:v>2.7779984025801566E-2</c:v>
                </c:pt>
                <c:pt idx="48">
                  <c:v>2.7837635991299809E-2</c:v>
                </c:pt>
                <c:pt idx="49">
                  <c:v>2.7895223178505405E-2</c:v>
                </c:pt>
                <c:pt idx="50">
                  <c:v>2.7952743705176284E-2</c:v>
                </c:pt>
                <c:pt idx="51">
                  <c:v>2.8010196012233424E-2</c:v>
                </c:pt>
                <c:pt idx="52">
                  <c:v>2.8067578903353506E-2</c:v>
                </c:pt>
                <c:pt idx="53">
                  <c:v>2.8124891582350462E-2</c:v>
                </c:pt>
                <c:pt idx="54">
                  <c:v>2.8182133688014629E-2</c:v>
                </c:pt>
                <c:pt idx="55">
                  <c:v>2.8239305326110707E-2</c:v>
                </c:pt>
                <c:pt idx="56">
                  <c:v>2.8296407098270176E-2</c:v>
                </c:pt>
                <c:pt idx="57">
                  <c:v>2.8353440127551355E-2</c:v>
                </c:pt>
                <c:pt idx="58">
                  <c:v>2.8410406080478009E-2</c:v>
                </c:pt>
                <c:pt idx="59">
                  <c:v>2.8467307185407312E-2</c:v>
                </c:pt>
                <c:pt idx="60">
                  <c:v>2.852414624711792E-2</c:v>
                </c:pt>
                <c:pt idx="61">
                  <c:v>2.8580926657548973E-2</c:v>
                </c:pt>
                <c:pt idx="62">
                  <c:v>2.8637652402660817E-2</c:v>
                </c:pt>
                <c:pt idx="63">
                  <c:v>2.8694328065427075E-2</c:v>
                </c:pt>
                <c:pt idx="64">
                  <c:v>2.8750958825005734E-2</c:v>
                </c:pt>
                <c:pt idx="65">
                  <c:v>2.8807550452172453E-2</c:v>
                </c:pt>
                <c:pt idx="66">
                  <c:v>2.8864109301133842E-2</c:v>
                </c:pt>
                <c:pt idx="67">
                  <c:v>2.8920642297869684E-2</c:v>
                </c:pt>
                <c:pt idx="68">
                  <c:v>2.897715692518181E-2</c:v>
                </c:pt>
                <c:pt idx="69">
                  <c:v>2.9033661204653265E-2</c:v>
                </c:pt>
                <c:pt idx="70">
                  <c:v>2.9090163675743651E-2</c:v>
                </c:pt>
                <c:pt idx="71">
                  <c:v>2.9146673372265355E-2</c:v>
                </c:pt>
                <c:pt idx="72">
                  <c:v>2.9203199796500871E-2</c:v>
                </c:pt>
                <c:pt idx="73">
                  <c:v>2.9259752891232414E-2</c:v>
                </c:pt>
                <c:pt idx="74">
                  <c:v>2.9316343009963129E-2</c:v>
                </c:pt>
                <c:pt idx="75">
                  <c:v>2.937298088561233E-2</c:v>
                </c:pt>
                <c:pt idx="76">
                  <c:v>2.9429677597967833E-2</c:v>
                </c:pt>
                <c:pt idx="77">
                  <c:v>2.9486444540173819E-2</c:v>
                </c:pt>
                <c:pt idx="78">
                  <c:v>2.9543293384526045E-2</c:v>
                </c:pt>
                <c:pt idx="79">
                  <c:v>2.9600236047834624E-2</c:v>
                </c:pt>
                <c:pt idx="80">
                  <c:v>2.9657284656601245E-2</c:v>
                </c:pt>
                <c:pt idx="81">
                  <c:v>2.9714451512240062E-2</c:v>
                </c:pt>
                <c:pt idx="82">
                  <c:v>2.9771749056552405E-2</c:v>
                </c:pt>
                <c:pt idx="83">
                  <c:v>2.9829189837643211E-2</c:v>
                </c:pt>
                <c:pt idx="84">
                  <c:v>2.9886786476443029E-2</c:v>
                </c:pt>
                <c:pt idx="85">
                  <c:v>2.9944551633974477E-2</c:v>
                </c:pt>
                <c:pt idx="86">
                  <c:v>3.0002497979474733E-2</c:v>
                </c:pt>
                <c:pt idx="87">
                  <c:v>3.0060638159458621E-2</c:v>
                </c:pt>
                <c:pt idx="88">
                  <c:v>3.0118984767778929E-2</c:v>
                </c:pt>
                <c:pt idx="89">
                  <c:v>3.0177550316712834E-2</c:v>
                </c:pt>
                <c:pt idx="90">
                  <c:v>3.0236347209076191E-2</c:v>
                </c:pt>
                <c:pt idx="91">
                  <c:v>3.0295387711340958E-2</c:v>
                </c:pt>
                <c:pt idx="92">
                  <c:v>3.0354683927706384E-2</c:v>
                </c:pt>
                <c:pt idx="93">
                  <c:v>3.0414247775050772E-2</c:v>
                </c:pt>
                <c:pt idx="94">
                  <c:v>3.047409095866992E-2</c:v>
                </c:pt>
                <c:pt idx="95">
                  <c:v>3.0534224948689088E-2</c:v>
                </c:pt>
                <c:pt idx="96">
                  <c:v>3.0594660957019397E-2</c:v>
                </c:pt>
                <c:pt idx="97">
                  <c:v>3.0655409914716145E-2</c:v>
                </c:pt>
                <c:pt idx="98">
                  <c:v>3.0716482449586725E-2</c:v>
                </c:pt>
                <c:pt idx="99">
                  <c:v>3.0777888863888908E-2</c:v>
                </c:pt>
                <c:pt idx="100">
                  <c:v>3.0839639111957074E-2</c:v>
                </c:pt>
                <c:pt idx="101">
                  <c:v>3.0901742777594624E-2</c:v>
                </c:pt>
                <c:pt idx="102">
                  <c:v>3.0964209051074412E-2</c:v>
                </c:pt>
                <c:pt idx="103">
                  <c:v>3.1027046705596837E-2</c:v>
                </c:pt>
                <c:pt idx="104">
                  <c:v>3.1090264073066604E-2</c:v>
                </c:pt>
                <c:pt idx="105">
                  <c:v>3.1153869019063363E-2</c:v>
                </c:pt>
                <c:pt idx="106">
                  <c:v>3.1217868916899733E-2</c:v>
                </c:pt>
                <c:pt idx="107">
                  <c:v>3.1282270620681014E-2</c:v>
                </c:pt>
                <c:pt idx="108">
                  <c:v>3.1347080437304879E-2</c:v>
                </c:pt>
                <c:pt idx="109">
                  <c:v>3.1412304097365576E-2</c:v>
                </c:pt>
                <c:pt idx="110">
                  <c:v>3.1477946724955935E-2</c:v>
                </c:pt>
                <c:pt idx="111">
                  <c:v>3.1544012806391131E-2</c:v>
                </c:pt>
                <c:pt idx="112">
                  <c:v>3.1610506157909668E-2</c:v>
                </c:pt>
                <c:pt idx="113">
                  <c:v>3.1677429892440601E-2</c:v>
                </c:pt>
                <c:pt idx="114">
                  <c:v>3.1744786385559325E-2</c:v>
                </c:pt>
                <c:pt idx="115">
                  <c:v>3.1812577240788051E-2</c:v>
                </c:pt>
                <c:pt idx="116">
                  <c:v>3.1880803254430982E-2</c:v>
                </c:pt>
                <c:pt idx="117">
                  <c:v>3.1949464380166062E-2</c:v>
                </c:pt>
                <c:pt idx="118">
                  <c:v>3.2018559693647489E-2</c:v>
                </c:pt>
                <c:pt idx="119">
                  <c:v>3.2088087357402179E-2</c:v>
                </c:pt>
                <c:pt idx="120">
                  <c:v>3.2158044586331418E-2</c:v>
                </c:pt>
                <c:pt idx="121">
                  <c:v>3.22284276141531E-2</c:v>
                </c:pt>
                <c:pt idx="122">
                  <c:v>3.229923166114259E-2</c:v>
                </c:pt>
                <c:pt idx="123">
                  <c:v>3.2370450903547995E-2</c:v>
                </c:pt>
                <c:pt idx="124">
                  <c:v>3.2442078445070674E-2</c:v>
                </c:pt>
                <c:pt idx="125">
                  <c:v>3.2514106290811882E-2</c:v>
                </c:pt>
                <c:pt idx="126">
                  <c:v>3.2586525324093264E-2</c:v>
                </c:pt>
                <c:pt idx="127">
                  <c:v>3.2659325286559841E-2</c:v>
                </c:pt>
                <c:pt idx="128">
                  <c:v>3.2732494761971181E-2</c:v>
                </c:pt>
                <c:pt idx="129">
                  <c:v>3.280602116407863E-2</c:v>
                </c:pt>
                <c:pt idx="130">
                  <c:v>3.2879890728973009E-2</c:v>
                </c:pt>
                <c:pt idx="131">
                  <c:v>3.2954088512269504E-2</c:v>
                </c:pt>
                <c:pt idx="132">
                  <c:v>3.3028598391473339E-2</c:v>
                </c:pt>
                <c:pt idx="133">
                  <c:v>3.3103403073842456E-2</c:v>
                </c:pt>
                <c:pt idx="134">
                  <c:v>3.3178484110030569E-2</c:v>
                </c:pt>
                <c:pt idx="135">
                  <c:v>3.3253821913757642E-2</c:v>
                </c:pt>
                <c:pt idx="136">
                  <c:v>3.3329395787713559E-2</c:v>
                </c:pt>
                <c:pt idx="137">
                  <c:v>3.3405183955856135E-2</c:v>
                </c:pt>
                <c:pt idx="138">
                  <c:v>3.3481163602216493E-2</c:v>
                </c:pt>
                <c:pt idx="139">
                  <c:v>3.3557310916273203E-2</c:v>
                </c:pt>
                <c:pt idx="140">
                  <c:v>3.3633601144903338E-2</c:v>
                </c:pt>
                <c:pt idx="141">
                  <c:v>3.3710008650862176E-2</c:v>
                </c:pt>
                <c:pt idx="142">
                  <c:v>3.3786506977686433E-2</c:v>
                </c:pt>
                <c:pt idx="143">
                  <c:v>3.3863068920857019E-2</c:v>
                </c:pt>
                <c:pt idx="144">
                  <c:v>3.3939666604999204E-2</c:v>
                </c:pt>
                <c:pt idx="145">
                  <c:v>3.4016271566839132E-2</c:v>
                </c:pt>
                <c:pt idx="146">
                  <c:v>3.4092854843578185E-2</c:v>
                </c:pt>
                <c:pt idx="147">
                  <c:v>3.4169387066290767E-2</c:v>
                </c:pt>
                <c:pt idx="148">
                  <c:v>3.4245838557896306E-2</c:v>
                </c:pt>
                <c:pt idx="149">
                  <c:v>3.4322179435205713E-2</c:v>
                </c:pt>
                <c:pt idx="150">
                  <c:v>3.4398379714493554E-2</c:v>
                </c:pt>
                <c:pt idx="151">
                  <c:v>3.4474409420003162E-2</c:v>
                </c:pt>
                <c:pt idx="152">
                  <c:v>3.4550238694751711E-2</c:v>
                </c:pt>
                <c:pt idx="153">
                  <c:v>3.4625837912967056E-2</c:v>
                </c:pt>
                <c:pt idx="154">
                  <c:v>3.4701177793457924E-2</c:v>
                </c:pt>
                <c:pt idx="155">
                  <c:v>3.4776229513194715E-2</c:v>
                </c:pt>
                <c:pt idx="156">
                  <c:v>3.4850964820359868E-2</c:v>
                </c:pt>
                <c:pt idx="157">
                  <c:v>3.492535614611441E-2</c:v>
                </c:pt>
                <c:pt idx="158">
                  <c:v>3.4999376714321857E-2</c:v>
                </c:pt>
                <c:pt idx="159">
                  <c:v>3.5073000648471547E-2</c:v>
                </c:pt>
                <c:pt idx="160">
                  <c:v>3.5146203075051327E-2</c:v>
                </c:pt>
                <c:pt idx="161">
                  <c:v>3.5218960222634363E-2</c:v>
                </c:pt>
                <c:pt idx="162">
                  <c:v>3.5291249515965656E-2</c:v>
                </c:pt>
                <c:pt idx="163">
                  <c:v>3.5363049664362683E-2</c:v>
                </c:pt>
                <c:pt idx="164">
                  <c:v>3.5434340743778242E-2</c:v>
                </c:pt>
                <c:pt idx="165">
                  <c:v>3.5505104271914965E-2</c:v>
                </c:pt>
                <c:pt idx="166">
                  <c:v>3.557532327582727E-2</c:v>
                </c:pt>
                <c:pt idx="167">
                  <c:v>3.5644982351498683E-2</c:v>
                </c:pt>
                <c:pt idx="168">
                  <c:v>3.5714067714940151E-2</c:v>
                </c:pt>
                <c:pt idx="169">
                  <c:v>3.5782567244416322E-2</c:v>
                </c:pt>
                <c:pt idx="170">
                  <c:v>3.5850470513472975E-2</c:v>
                </c:pt>
                <c:pt idx="171">
                  <c:v>3.5917768814508665E-2</c:v>
                </c:pt>
                <c:pt idx="172">
                  <c:v>3.5984455172705015E-2</c:v>
                </c:pt>
                <c:pt idx="173">
                  <c:v>3.6050524350205497E-2</c:v>
                </c:pt>
                <c:pt idx="174">
                  <c:v>3.6115972840508069E-2</c:v>
                </c:pt>
                <c:pt idx="175">
                  <c:v>3.618079885311367E-2</c:v>
                </c:pt>
                <c:pt idx="176">
                  <c:v>3.6245002288549794E-2</c:v>
                </c:pt>
                <c:pt idx="177">
                  <c:v>3.630858470396426E-2</c:v>
                </c:pt>
                <c:pt idx="178">
                  <c:v>3.6371549269558649E-2</c:v>
                </c:pt>
                <c:pt idx="179">
                  <c:v>3.6433900716204379E-2</c:v>
                </c:pt>
                <c:pt idx="180">
                  <c:v>3.6495645274652946E-2</c:v>
                </c:pt>
                <c:pt idx="181">
                  <c:v>3.6556790606818976E-2</c:v>
                </c:pt>
                <c:pt idx="182">
                  <c:v>3.6617345729676405E-2</c:v>
                </c:pt>
                <c:pt idx="183">
                  <c:v>3.6677320932365025E-2</c:v>
                </c:pt>
                <c:pt idx="184">
                  <c:v>3.6736727687157272E-2</c:v>
                </c:pt>
                <c:pt idx="185">
                  <c:v>3.6795578554980196E-2</c:v>
                </c:pt>
                <c:pt idx="186">
                  <c:v>3.6853887086228027E-2</c:v>
                </c:pt>
                <c:pt idx="187">
                  <c:v>3.6911667717633163E-2</c:v>
                </c:pt>
                <c:pt idx="188">
                  <c:v>3.6968935665989515E-2</c:v>
                </c:pt>
                <c:pt idx="189">
                  <c:v>3.702570681954058E-2</c:v>
                </c:pt>
                <c:pt idx="190">
                  <c:v>3.7081997627855849E-2</c:v>
                </c:pt>
                <c:pt idx="191">
                  <c:v>3.713782499102225E-2</c:v>
                </c:pt>
                <c:pt idx="192">
                  <c:v>3.719320614897343E-2</c:v>
                </c:pt>
                <c:pt idx="193">
                  <c:v>3.7248158571767699E-2</c:v>
                </c:pt>
                <c:pt idx="194">
                  <c:v>3.7302699851606093E-2</c:v>
                </c:pt>
                <c:pt idx="195">
                  <c:v>3.7356847597355428E-2</c:v>
                </c:pt>
                <c:pt idx="196">
                  <c:v>3.7410619332307694E-2</c:v>
                </c:pt>
                <c:pt idx="197">
                  <c:v>3.7464032395866806E-2</c:v>
                </c:pt>
                <c:pt idx="198">
                  <c:v>3.7517103849806922E-2</c:v>
                </c:pt>
                <c:pt idx="199">
                  <c:v>3.7569850389694806E-2</c:v>
                </c:pt>
                <c:pt idx="200">
                  <c:v>3.76222882620105E-2</c:v>
                </c:pt>
                <c:pt idx="201">
                  <c:v>3.7674433187439113E-2</c:v>
                </c:pt>
                <c:pt idx="202">
                  <c:v>3.7726300290739721E-2</c:v>
                </c:pt>
                <c:pt idx="203">
                  <c:v>3.7777904037528516E-2</c:v>
                </c:pt>
                <c:pt idx="204">
                  <c:v>3.7829258178241003E-2</c:v>
                </c:pt>
                <c:pt idx="205">
                  <c:v>3.7880375699464452E-2</c:v>
                </c:pt>
                <c:pt idx="206">
                  <c:v>3.793126878275678E-2</c:v>
                </c:pt>
                <c:pt idx="207">
                  <c:v>3.7981948770993187E-2</c:v>
                </c:pt>
                <c:pt idx="208">
                  <c:v>3.8032426142207025E-2</c:v>
                </c:pt>
                <c:pt idx="209">
                  <c:v>3.8082710490818523E-2</c:v>
                </c:pt>
                <c:pt idx="210">
                  <c:v>3.8132810516073305E-2</c:v>
                </c:pt>
                <c:pt idx="211">
                  <c:v>3.8182734017444896E-2</c:v>
                </c:pt>
                <c:pt idx="212">
                  <c:v>3.8232487896690232E-2</c:v>
                </c:pt>
                <c:pt idx="213">
                  <c:v>3.828207816618668E-2</c:v>
                </c:pt>
                <c:pt idx="214">
                  <c:v>3.833150996312383E-2</c:v>
                </c:pt>
                <c:pt idx="215">
                  <c:v>3.8380787569072379E-2</c:v>
                </c:pt>
                <c:pt idx="216">
                  <c:v>3.842991443440897E-2</c:v>
                </c:pt>
                <c:pt idx="217">
                  <c:v>3.8478893207037554E-2</c:v>
                </c:pt>
                <c:pt idx="218">
                  <c:v>3.8527725764817042E-2</c:v>
                </c:pt>
                <c:pt idx="219">
                  <c:v>3.8576413251081458E-2</c:v>
                </c:pt>
                <c:pt idx="220">
                  <c:v>3.8624956112621928E-2</c:v>
                </c:pt>
                <c:pt idx="221">
                  <c:v>3.8673354139491647E-2</c:v>
                </c:pt>
                <c:pt idx="222">
                  <c:v>3.8721606505993218E-2</c:v>
                </c:pt>
                <c:pt idx="223">
                  <c:v>3.8769711812214759E-2</c:v>
                </c:pt>
                <c:pt idx="224">
                  <c:v>3.8817668125494594E-2</c:v>
                </c:pt>
                <c:pt idx="225">
                  <c:v>3.8865473021216394E-2</c:v>
                </c:pt>
                <c:pt idx="226">
                  <c:v>3.8913123622364681E-2</c:v>
                </c:pt>
                <c:pt idx="227">
                  <c:v>3.8960616637306114E-2</c:v>
                </c:pt>
                <c:pt idx="228">
                  <c:v>3.9007948395303561E-2</c:v>
                </c:pt>
                <c:pt idx="229">
                  <c:v>3.9055114879317968E-2</c:v>
                </c:pt>
                <c:pt idx="230">
                  <c:v>3.910211175570516E-2</c:v>
                </c:pt>
                <c:pt idx="231">
                  <c:v>3.9148934400473401E-2</c:v>
                </c:pt>
                <c:pt idx="232">
                  <c:v>3.9195577921828623E-2</c:v>
                </c:pt>
                <c:pt idx="233">
                  <c:v>3.9242037178799434E-2</c:v>
                </c:pt>
                <c:pt idx="234">
                  <c:v>3.9288306795802176E-2</c:v>
                </c:pt>
                <c:pt idx="235">
                  <c:v>3.9334381173075278E-2</c:v>
                </c:pt>
                <c:pt idx="236">
                  <c:v>3.9380254492983241E-2</c:v>
                </c:pt>
                <c:pt idx="237">
                  <c:v>3.9425920722260775E-2</c:v>
                </c:pt>
                <c:pt idx="238">
                  <c:v>3.9471373610338277E-2</c:v>
                </c:pt>
                <c:pt idx="239">
                  <c:v>3.9516606683957782E-2</c:v>
                </c:pt>
                <c:pt idx="240">
                  <c:v>3.956161323835538E-2</c:v>
                </c:pt>
                <c:pt idx="241">
                  <c:v>3.9606386325348672E-2</c:v>
                </c:pt>
                <c:pt idx="242">
                  <c:v>3.9650918738727461E-2</c:v>
                </c:pt>
                <c:pt idx="243">
                  <c:v>3.9695202997400411E-2</c:v>
                </c:pt>
                <c:pt idx="244">
                  <c:v>3.9739231326799504E-2</c:v>
                </c:pt>
                <c:pt idx="245">
                  <c:v>3.9782995639087708E-2</c:v>
                </c:pt>
                <c:pt idx="246">
                  <c:v>3.982648751275196E-2</c:v>
                </c:pt>
                <c:pt idx="247">
                  <c:v>3.9869698172193498E-2</c:v>
                </c:pt>
                <c:pt idx="248">
                  <c:v>3.991261846794953E-2</c:v>
                </c:pt>
                <c:pt idx="249">
                  <c:v>3.9955238858195269E-2</c:v>
                </c:pt>
                <c:pt idx="250">
                  <c:v>3.9997549392181246E-2</c:v>
                </c:pt>
                <c:pt idx="251">
                  <c:v>4.003953969625941E-2</c:v>
                </c:pt>
                <c:pt idx="252">
                  <c:v>4.008119896314092E-2</c:v>
                </c:pt>
                <c:pt idx="253">
                  <c:v>4.0122515945010186E-2</c:v>
                </c:pt>
                <c:pt idx="254">
                  <c:v>4.0163478951092874E-2</c:v>
                </c:pt>
                <c:pt idx="255">
                  <c:v>4.0204075850240266E-2</c:v>
                </c:pt>
                <c:pt idx="256">
                  <c:v>4.0244294079050336E-2</c:v>
                </c:pt>
                <c:pt idx="257">
                  <c:v>4.0284120655994682E-2</c:v>
                </c:pt>
                <c:pt idx="258">
                  <c:v>4.0323542201964248E-2</c:v>
                </c:pt>
                <c:pt idx="259">
                  <c:v>4.0362544967582209E-2</c:v>
                </c:pt>
                <c:pt idx="260">
                  <c:v>4.0401114867563433E-2</c:v>
                </c:pt>
                <c:pt idx="261">
                  <c:v>4.0439237522324728E-2</c:v>
                </c:pt>
                <c:pt idx="262">
                  <c:v>4.0476898306971237E-2</c:v>
                </c:pt>
                <c:pt idx="263">
                  <c:v>4.0514082407700977E-2</c:v>
                </c:pt>
                <c:pt idx="264">
                  <c:v>4.0550774885584576E-2</c:v>
                </c:pt>
                <c:pt idx="265">
                  <c:v>4.0586960747588822E-2</c:v>
                </c:pt>
                <c:pt idx="266">
                  <c:v>4.0622625024624825E-2</c:v>
                </c:pt>
                <c:pt idx="267">
                  <c:v>4.0657752856312346E-2</c:v>
                </c:pt>
                <c:pt idx="268">
                  <c:v>4.0692329582064514E-2</c:v>
                </c:pt>
                <c:pt idx="269">
                  <c:v>4.0726340838011271E-2</c:v>
                </c:pt>
                <c:pt idx="270">
                  <c:v>4.0759772659196399E-2</c:v>
                </c:pt>
                <c:pt idx="271">
                  <c:v>4.0792611586404195E-2</c:v>
                </c:pt>
                <c:pt idx="272">
                  <c:v>4.082484477689699E-2</c:v>
                </c:pt>
                <c:pt idx="273">
                  <c:v>4.0856460118275262E-2</c:v>
                </c:pt>
                <c:pt idx="274">
                  <c:v>4.0887446344609779E-2</c:v>
                </c:pt>
                <c:pt idx="275">
                  <c:v>4.0917793153939112E-2</c:v>
                </c:pt>
                <c:pt idx="276">
                  <c:v>4.0947491326177948E-2</c:v>
                </c:pt>
                <c:pt idx="277">
                  <c:v>4.0976532840442489E-2</c:v>
                </c:pt>
                <c:pt idx="278">
                  <c:v>4.1004910990768119E-2</c:v>
                </c:pt>
                <c:pt idx="279">
                  <c:v>4.1032620499174076E-2</c:v>
                </c:pt>
                <c:pt idx="280">
                  <c:v>4.1059657625018127E-2</c:v>
                </c:pt>
                <c:pt idx="281">
                  <c:v>4.1086020269583537E-2</c:v>
                </c:pt>
                <c:pt idx="282">
                  <c:v>4.1111708074849297E-2</c:v>
                </c:pt>
                <c:pt idx="283">
                  <c:v>4.1136722515414503E-2</c:v>
                </c:pt>
                <c:pt idx="284">
                  <c:v>4.1161066982577321E-2</c:v>
                </c:pt>
                <c:pt idx="285">
                  <c:v>4.1184746859609225E-2</c:v>
                </c:pt>
                <c:pt idx="286">
                  <c:v>4.1207769587314931E-2</c:v>
                </c:pt>
                <c:pt idx="287">
                  <c:v>4.1230144719028451E-2</c:v>
                </c:pt>
                <c:pt idx="288">
                  <c:v>4.1251883964264137E-2</c:v>
                </c:pt>
                <c:pt idx="289">
                  <c:v>4.1273001220319357E-2</c:v>
                </c:pt>
                <c:pt idx="290">
                  <c:v>4.1293512591210987E-2</c:v>
                </c:pt>
                <c:pt idx="291">
                  <c:v>4.131343639342052E-2</c:v>
                </c:pt>
                <c:pt idx="292">
                  <c:v>4.1332793148022212E-2</c:v>
                </c:pt>
                <c:pt idx="293">
                  <c:v>4.1351605558873954E-2</c:v>
                </c:pt>
                <c:pt idx="294">
                  <c:v>4.1369898476659762E-2</c:v>
                </c:pt>
                <c:pt idx="295">
                  <c:v>4.1387698848687253E-2</c:v>
                </c:pt>
                <c:pt idx="296">
                  <c:v>4.1405035654459077E-2</c:v>
                </c:pt>
                <c:pt idx="297">
                  <c:v>4.1421939827155703E-2</c:v>
                </c:pt>
                <c:pt idx="298">
                  <c:v>4.143844416128549E-2</c:v>
                </c:pt>
                <c:pt idx="299">
                  <c:v>4.1454583206876026E-2</c:v>
                </c:pt>
                <c:pt idx="300">
                  <c:v>4.1470393150697275E-2</c:v>
                </c:pt>
                <c:pt idx="301">
                  <c:v>4.1485911685120586E-2</c:v>
                </c:pt>
                <c:pt idx="302">
                  <c:v>4.1501177865327921E-2</c:v>
                </c:pt>
                <c:pt idx="303">
                  <c:v>4.1516231955690173E-2</c:v>
                </c:pt>
                <c:pt idx="304">
                  <c:v>4.1531115266233237E-2</c:v>
                </c:pt>
                <c:pt idx="305">
                  <c:v>4.154586998020194E-2</c:v>
                </c:pt>
                <c:pt idx="306">
                  <c:v>4.1560538973817333E-2</c:v>
                </c:pt>
                <c:pt idx="307">
                  <c:v>4.1575165629398017E-2</c:v>
                </c:pt>
                <c:pt idx="308">
                  <c:v>4.1589793643083024E-2</c:v>
                </c:pt>
                <c:pt idx="309">
                  <c:v>4.1604466828449954E-2</c:v>
                </c:pt>
                <c:pt idx="310">
                  <c:v>4.1619228917368203E-2</c:v>
                </c:pt>
                <c:pt idx="311">
                  <c:v>4.1634123359461213E-2</c:v>
                </c:pt>
                <c:pt idx="312">
                  <c:v>4.164919312157514E-2</c:v>
                </c:pt>
                <c:pt idx="313">
                  <c:v>4.1664480488662323E-2</c:v>
                </c:pt>
                <c:pt idx="314">
                  <c:v>4.16800268674875E-2</c:v>
                </c:pt>
                <c:pt idx="315">
                  <c:v>4.1695872594551327E-2</c:v>
                </c:pt>
                <c:pt idx="316">
                  <c:v>4.1712056749601614E-2</c:v>
                </c:pt>
                <c:pt idx="317">
                  <c:v>4.172861697606562E-2</c:v>
                </c:pt>
                <c:pt idx="318">
                  <c:v>4.1745589309688511E-2</c:v>
                </c:pt>
                <c:pt idx="319">
                  <c:v>4.1763008016604222E-2</c:v>
                </c:pt>
                <c:pt idx="320">
                  <c:v>4.1780905441994108E-2</c:v>
                </c:pt>
                <c:pt idx="321">
                  <c:v>4.1799311870409632E-2</c:v>
                </c:pt>
                <c:pt idx="322">
                  <c:v>4.1818255398744938E-2</c:v>
                </c:pt>
                <c:pt idx="323">
                  <c:v>4.183776182274785E-2</c:v>
                </c:pt>
                <c:pt idx="324">
                  <c:v>4.1857854537851472E-2</c:v>
                </c:pt>
                <c:pt idx="325">
                  <c:v>4.1878554454996338E-2</c:v>
                </c:pt>
                <c:pt idx="326">
                  <c:v>4.1899879931994524E-2</c:v>
                </c:pt>
                <c:pt idx="327">
                  <c:v>4.1921846720864034E-2</c:v>
                </c:pt>
                <c:pt idx="328">
                  <c:v>4.1944467931435164E-2</c:v>
                </c:pt>
                <c:pt idx="329">
                  <c:v>4.1967754011401182E-2</c:v>
                </c:pt>
                <c:pt idx="330">
                  <c:v>4.199171274285534E-2</c:v>
                </c:pt>
                <c:pt idx="331">
                  <c:v>4.2016349255225315E-2</c:v>
                </c:pt>
                <c:pt idx="332">
                  <c:v>4.2041666054386868E-2</c:v>
                </c:pt>
                <c:pt idx="333">
                  <c:v>4.2067663067610915E-2</c:v>
                </c:pt>
                <c:pt idx="334">
                  <c:v>4.2094337703873899E-2</c:v>
                </c:pt>
                <c:pt idx="335">
                  <c:v>4.2121684928942256E-2</c:v>
                </c:pt>
                <c:pt idx="336">
                  <c:v>4.2149697354527248E-2</c:v>
                </c:pt>
                <c:pt idx="337">
                  <c:v>4.217836534069893E-2</c:v>
                </c:pt>
                <c:pt idx="338">
                  <c:v>4.2207677110648205E-2</c:v>
                </c:pt>
                <c:pt idx="339">
                  <c:v>4.2237618876793906E-2</c:v>
                </c:pt>
                <c:pt idx="340">
                  <c:v>4.2268174977149478E-2</c:v>
                </c:pt>
                <c:pt idx="341">
                  <c:v>4.2299328020791407E-2</c:v>
                </c:pt>
                <c:pt idx="342">
                  <c:v>4.233105904120886E-2</c:v>
                </c:pt>
                <c:pt idx="343">
                  <c:v>4.2363347656263498E-2</c:v>
                </c:pt>
                <c:pt idx="344">
                  <c:v>4.2396172233448229E-2</c:v>
                </c:pt>
                <c:pt idx="345">
                  <c:v>4.2429510059105988E-2</c:v>
                </c:pt>
                <c:pt idx="346">
                  <c:v>4.2463337510253288E-2</c:v>
                </c:pt>
                <c:pt idx="347">
                  <c:v>4.2497630227649644E-2</c:v>
                </c:pt>
                <c:pt idx="348">
                  <c:v>4.2532363288761178E-2</c:v>
                </c:pt>
                <c:pt idx="349">
                  <c:v>4.2567511379286965E-2</c:v>
                </c:pt>
                <c:pt idx="350">
                  <c:v>4.2603048961947519E-2</c:v>
                </c:pt>
                <c:pt idx="351">
                  <c:v>4.2638950441277267E-2</c:v>
                </c:pt>
                <c:pt idx="352">
                  <c:v>4.2675190323215997E-2</c:v>
                </c:pt>
                <c:pt idx="353">
                  <c:v>4.2711743368357057E-2</c:v>
                </c:pt>
                <c:pt idx="354">
                  <c:v>4.2748584737783368E-2</c:v>
                </c:pt>
                <c:pt idx="355">
                  <c:v>4.2785690130502763E-2</c:v>
                </c:pt>
                <c:pt idx="356">
                  <c:v>4.2823035911584116E-2</c:v>
                </c:pt>
                <c:pt idx="357">
                  <c:v>4.2860599230191393E-2</c:v>
                </c:pt>
                <c:pt idx="358">
                  <c:v>4.289835812681516E-2</c:v>
                </c:pt>
                <c:pt idx="359">
                  <c:v>4.293629162910808E-2</c:v>
                </c:pt>
                <c:pt idx="360">
                  <c:v>4.2974379835842375E-2</c:v>
                </c:pt>
                <c:pt idx="361">
                  <c:v>4.3012603988620834E-2</c:v>
                </c:pt>
                <c:pt idx="362">
                  <c:v>4.3050946531088992E-2</c:v>
                </c:pt>
                <c:pt idx="363">
                  <c:v>4.3089391155512573E-2</c:v>
                </c:pt>
                <c:pt idx="364">
                  <c:v>4.3127922836700056E-2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2.9960504143961269E-3</c:v>
                </c:pt>
                <c:pt idx="1">
                  <c:v>3.0201883701076772E-3</c:v>
                </c:pt>
                <c:pt idx="2">
                  <c:v>3.0471861696302208E-3</c:v>
                </c:pt>
                <c:pt idx="3">
                  <c:v>3.0770052522210403E-3</c:v>
                </c:pt>
                <c:pt idx="4">
                  <c:v>3.109605469356222E-3</c:v>
                </c:pt>
                <c:pt idx="5">
                  <c:v>3.1449456497640083E-3</c:v>
                </c:pt>
                <c:pt idx="6">
                  <c:v>3.1829841406470789E-3</c:v>
                </c:pt>
                <c:pt idx="7">
                  <c:v>3.2236793228880827E-3</c:v>
                </c:pt>
                <c:pt idx="8">
                  <c:v>3.2666651191521918E-3</c:v>
                </c:pt>
                <c:pt idx="9">
                  <c:v>3.3051592604842026E-3</c:v>
                </c:pt>
                <c:pt idx="10">
                  <c:v>3.3361810183702664E-3</c:v>
                </c:pt>
                <c:pt idx="11">
                  <c:v>3.3599563568313482E-3</c:v>
                </c:pt>
                <c:pt idx="12">
                  <c:v>3.3767215195788436E-3</c:v>
                </c:pt>
                <c:pt idx="13">
                  <c:v>3.3867202533438634E-3</c:v>
                </c:pt>
                <c:pt idx="14">
                  <c:v>3.3902012191825721E-3</c:v>
                </c:pt>
                <c:pt idx="15">
                  <c:v>3.3845732016622482E-3</c:v>
                </c:pt>
                <c:pt idx="16">
                  <c:v>3.3694232203011439E-3</c:v>
                </c:pt>
                <c:pt idx="17">
                  <c:v>3.3451072414755556E-3</c:v>
                </c:pt>
                <c:pt idx="18">
                  <c:v>3.311977435326689E-3</c:v>
                </c:pt>
                <c:pt idx="19">
                  <c:v>3.2703951358683571E-3</c:v>
                </c:pt>
                <c:pt idx="20">
                  <c:v>3.2207193282055833E-3</c:v>
                </c:pt>
                <c:pt idx="21">
                  <c:v>3.1632857111082964E-3</c:v>
                </c:pt>
                <c:pt idx="22">
                  <c:v>3.0981361193643925E-3</c:v>
                </c:pt>
                <c:pt idx="23">
                  <c:v>3.0224245474884943E-3</c:v>
                </c:pt>
                <c:pt idx="24">
                  <c:v>2.9421312027901902E-3</c:v>
                </c:pt>
                <c:pt idx="25">
                  <c:v>2.8575065152189297E-3</c:v>
                </c:pt>
                <c:pt idx="26">
                  <c:v>2.7687895066943941E-3</c:v>
                </c:pt>
                <c:pt idx="27">
                  <c:v>2.6762071189695927E-3</c:v>
                </c:pt>
                <c:pt idx="28">
                  <c:v>2.5799737160072866E-3</c:v>
                </c:pt>
                <c:pt idx="29">
                  <c:v>2.4773662686674233E-3</c:v>
                </c:pt>
                <c:pt idx="30">
                  <c:v>2.3711001093790541E-3</c:v>
                </c:pt>
                <c:pt idx="31">
                  <c:v>2.2613644674466448E-3</c:v>
                </c:pt>
                <c:pt idx="32">
                  <c:v>2.1483347941072856E-3</c:v>
                </c:pt>
                <c:pt idx="33">
                  <c:v>2.0321728309005364E-3</c:v>
                </c:pt>
                <c:pt idx="34">
                  <c:v>1.9130267557631278E-3</c:v>
                </c:pt>
                <c:pt idx="35">
                  <c:v>1.7910313939195825E-3</c:v>
                </c:pt>
                <c:pt idx="36">
                  <c:v>1.6661609347831481E-3</c:v>
                </c:pt>
                <c:pt idx="37">
                  <c:v>1.5425590201833298E-3</c:v>
                </c:pt>
                <c:pt idx="38">
                  <c:v>1.4227528524313718E-3</c:v>
                </c:pt>
                <c:pt idx="39">
                  <c:v>1.3067008650125863E-3</c:v>
                </c:pt>
                <c:pt idx="40">
                  <c:v>1.194350141036162E-3</c:v>
                </c:pt>
                <c:pt idx="41">
                  <c:v>1.0856379185484079E-3</c:v>
                </c:pt>
                <c:pt idx="42">
                  <c:v>9.8049298170076659E-4</c:v>
                </c:pt>
                <c:pt idx="43">
                  <c:v>8.8235669879501821E-4</c:v>
                </c:pt>
                <c:pt idx="44">
                  <c:v>7.9353331474982095E-4</c:v>
                </c:pt>
                <c:pt idx="45">
                  <c:v>7.1375559633766474E-4</c:v>
                </c:pt>
                <c:pt idx="46">
                  <c:v>6.4276116232300925E-4</c:v>
                </c:pt>
                <c:pt idx="47">
                  <c:v>5.8029399513141744E-4</c:v>
                </c:pt>
                <c:pt idx="48">
                  <c:v>5.2610576053703549E-4</c:v>
                </c:pt>
                <c:pt idx="49">
                  <c:v>4.7995695773651826E-4</c:v>
                </c:pt>
                <c:pt idx="50">
                  <c:v>4.4158628397448059E-4</c:v>
                </c:pt>
                <c:pt idx="51">
                  <c:v>4.1053474919285879E-4</c:v>
                </c:pt>
                <c:pt idx="52">
                  <c:v>3.8305710926837312E-4</c:v>
                </c:pt>
                <c:pt idx="53">
                  <c:v>3.5905920406378286E-4</c:v>
                </c:pt>
                <c:pt idx="54">
                  <c:v>3.3845126922989757E-4</c:v>
                </c:pt>
                <c:pt idx="55">
                  <c:v>3.2114628038271245E-4</c:v>
                </c:pt>
                <c:pt idx="56">
                  <c:v>3.0706011857994703E-4</c:v>
                </c:pt>
                <c:pt idx="57">
                  <c:v>2.960738464251665E-4</c:v>
                </c:pt>
                <c:pt idx="58">
                  <c:v>2.8504742174044424E-4</c:v>
                </c:pt>
                <c:pt idx="59">
                  <c:v>2.7398324330333456E-4</c:v>
                </c:pt>
                <c:pt idx="60">
                  <c:v>2.6288327983755373E-4</c:v>
                </c:pt>
                <c:pt idx="61">
                  <c:v>2.5174907483992891E-4</c:v>
                </c:pt>
                <c:pt idx="62">
                  <c:v>2.4058174968495698E-4</c:v>
                </c:pt>
                <c:pt idx="63">
                  <c:v>2.2938200513287021E-4</c:v>
                </c:pt>
                <c:pt idx="64">
                  <c:v>2.1814651302909269E-4</c:v>
                </c:pt>
                <c:pt idx="65">
                  <c:v>2.0754469057094631E-4</c:v>
                </c:pt>
                <c:pt idx="66">
                  <c:v>1.9774837836703064E-4</c:v>
                </c:pt>
                <c:pt idx="67">
                  <c:v>1.8873782220117134E-4</c:v>
                </c:pt>
                <c:pt idx="68">
                  <c:v>1.8049424361254603E-4</c:v>
                </c:pt>
                <c:pt idx="69">
                  <c:v>1.7299978313332033E-4</c:v>
                </c:pt>
                <c:pt idx="70">
                  <c:v>1.6623745001789005E-4</c:v>
                </c:pt>
                <c:pt idx="71">
                  <c:v>1.6044397360231774E-4</c:v>
                </c:pt>
                <c:pt idx="72">
                  <c:v>1.5563336900704328E-4</c:v>
                </c:pt>
                <c:pt idx="73">
                  <c:v>1.51785874256228E-4</c:v>
                </c:pt>
                <c:pt idx="74">
                  <c:v>1.4888274904156584E-4</c:v>
                </c:pt>
                <c:pt idx="75">
                  <c:v>1.469062445963517E-4</c:v>
                </c:pt>
                <c:pt idx="76">
                  <c:v>1.4583957836191702E-4</c:v>
                </c:pt>
                <c:pt idx="77">
                  <c:v>1.456669129021319E-4</c:v>
                </c:pt>
                <c:pt idx="78">
                  <c:v>1.4636873142799683E-4</c:v>
                </c:pt>
                <c:pt idx="79">
                  <c:v>1.4778353252489253E-4</c:v>
                </c:pt>
                <c:pt idx="80">
                  <c:v>1.4929084273478869E-4</c:v>
                </c:pt>
                <c:pt idx="81">
                  <c:v>1.5089310435180089E-4</c:v>
                </c:pt>
                <c:pt idx="82">
                  <c:v>1.5259291793131031E-4</c:v>
                </c:pt>
                <c:pt idx="83">
                  <c:v>1.5439305746459153E-4</c:v>
                </c:pt>
                <c:pt idx="84">
                  <c:v>1.5629648583464952E-4</c:v>
                </c:pt>
                <c:pt idx="85">
                  <c:v>1.5836289864247611E-4</c:v>
                </c:pt>
                <c:pt idx="86">
                  <c:v>1.6036185852878255E-4</c:v>
                </c:pt>
                <c:pt idx="87">
                  <c:v>1.6229910143372302E-4</c:v>
                </c:pt>
                <c:pt idx="88">
                  <c:v>1.6418030794626101E-4</c:v>
                </c:pt>
                <c:pt idx="89">
                  <c:v>1.660110952239508E-4</c:v>
                </c:pt>
                <c:pt idx="90">
                  <c:v>1.6779701092055417E-4</c:v>
                </c:pt>
                <c:pt idx="91">
                  <c:v>1.6954352889455535E-4</c:v>
                </c:pt>
                <c:pt idx="92">
                  <c:v>1.7125062009440086E-4</c:v>
                </c:pt>
                <c:pt idx="93">
                  <c:v>1.7308734245019531E-4</c:v>
                </c:pt>
                <c:pt idx="94">
                  <c:v>1.7519119961878271E-4</c:v>
                </c:pt>
                <c:pt idx="95">
                  <c:v>1.7756233147590855E-4</c:v>
                </c:pt>
                <c:pt idx="96">
                  <c:v>1.8020126333092074E-4</c:v>
                </c:pt>
                <c:pt idx="97">
                  <c:v>1.8310889549125639E-4</c:v>
                </c:pt>
                <c:pt idx="98">
                  <c:v>1.8628649319821821E-4</c:v>
                </c:pt>
                <c:pt idx="99">
                  <c:v>1.896089514805958E-4</c:v>
                </c:pt>
                <c:pt idx="100">
                  <c:v>1.9302410391583343E-4</c:v>
                </c:pt>
                <c:pt idx="101">
                  <c:v>1.9653441887449398E-4</c:v>
                </c:pt>
                <c:pt idx="102">
                  <c:v>2.0014241916195118E-4</c:v>
                </c:pt>
                <c:pt idx="103">
                  <c:v>2.0385067852328139E-4</c:v>
                </c:pt>
                <c:pt idx="104">
                  <c:v>2.0766181774411289E-4</c:v>
                </c:pt>
                <c:pt idx="105">
                  <c:v>2.1157850047503736E-4</c:v>
                </c:pt>
                <c:pt idx="106">
                  <c:v>2.1560749229126123E-4</c:v>
                </c:pt>
                <c:pt idx="107">
                  <c:v>2.1949160310276891E-4</c:v>
                </c:pt>
                <c:pt idx="108">
                  <c:v>2.2306040829809544E-4</c:v>
                </c:pt>
                <c:pt idx="109">
                  <c:v>2.2631354817478469E-4</c:v>
                </c:pt>
                <c:pt idx="110">
                  <c:v>2.2925050446906051E-4</c:v>
                </c:pt>
                <c:pt idx="111">
                  <c:v>2.3187010167968018E-4</c:v>
                </c:pt>
                <c:pt idx="112">
                  <c:v>2.3416994406709059E-4</c:v>
                </c:pt>
                <c:pt idx="113">
                  <c:v>2.3612266594775569E-4</c:v>
                </c:pt>
                <c:pt idx="114">
                  <c:v>2.3785254046192574E-4</c:v>
                </c:pt>
                <c:pt idx="115">
                  <c:v>2.3935573499047626E-4</c:v>
                </c:pt>
                <c:pt idx="116">
                  <c:v>2.4062788471028177E-4</c:v>
                </c:pt>
                <c:pt idx="117">
                  <c:v>2.4166409868739565E-4</c:v>
                </c:pt>
                <c:pt idx="118">
                  <c:v>2.4245896695108734E-4</c:v>
                </c:pt>
                <c:pt idx="119">
                  <c:v>2.4300656881925676E-4</c:v>
                </c:pt>
                <c:pt idx="120">
                  <c:v>2.4330442909241022E-4</c:v>
                </c:pt>
                <c:pt idx="121">
                  <c:v>2.4330630815556806E-4</c:v>
                </c:pt>
                <c:pt idx="122">
                  <c:v>2.4328463523056861E-4</c:v>
                </c:pt>
                <c:pt idx="123">
                  <c:v>2.432361715279668E-4</c:v>
                </c:pt>
                <c:pt idx="124">
                  <c:v>2.4315751763716846E-4</c:v>
                </c:pt>
                <c:pt idx="125">
                  <c:v>2.4304511385544596E-4</c:v>
                </c:pt>
                <c:pt idx="126">
                  <c:v>2.4289524119902573E-4</c:v>
                </c:pt>
                <c:pt idx="127">
                  <c:v>2.4255734509757561E-4</c:v>
                </c:pt>
                <c:pt idx="128">
                  <c:v>2.4205215392678468E-4</c:v>
                </c:pt>
                <c:pt idx="129">
                  <c:v>2.413734043508262E-4</c:v>
                </c:pt>
                <c:pt idx="130">
                  <c:v>2.405145788637924E-4</c:v>
                </c:pt>
                <c:pt idx="131">
                  <c:v>2.3946892083344384E-4</c:v>
                </c:pt>
                <c:pt idx="132">
                  <c:v>2.3822945119479879E-4</c:v>
                </c:pt>
                <c:pt idx="133">
                  <c:v>2.3678898685416082E-4</c:v>
                </c:pt>
                <c:pt idx="134">
                  <c:v>2.3514258613192452E-4</c:v>
                </c:pt>
                <c:pt idx="135">
                  <c:v>2.3350958270007658E-4</c:v>
                </c:pt>
                <c:pt idx="136">
                  <c:v>2.3193504278989054E-4</c:v>
                </c:pt>
                <c:pt idx="137">
                  <c:v>2.3041778142379729E-4</c:v>
                </c:pt>
                <c:pt idx="138">
                  <c:v>2.2895674417836582E-4</c:v>
                </c:pt>
                <c:pt idx="139">
                  <c:v>2.275510079001107E-4</c:v>
                </c:pt>
                <c:pt idx="140">
                  <c:v>2.2619978117797941E-4</c:v>
                </c:pt>
                <c:pt idx="141">
                  <c:v>2.2500540718623386E-4</c:v>
                </c:pt>
                <c:pt idx="142">
                  <c:v>2.2413181359624487E-4</c:v>
                </c:pt>
                <c:pt idx="143">
                  <c:v>2.2358391749365464E-4</c:v>
                </c:pt>
                <c:pt idx="144">
                  <c:v>2.2336798965954627E-4</c:v>
                </c:pt>
                <c:pt idx="145">
                  <c:v>2.2349048464777438E-4</c:v>
                </c:pt>
                <c:pt idx="146">
                  <c:v>2.2395801194619592E-4</c:v>
                </c:pt>
                <c:pt idx="147">
                  <c:v>2.2477730577604821E-4</c:v>
                </c:pt>
                <c:pt idx="148">
                  <c:v>2.2595535795415152E-4</c:v>
                </c:pt>
                <c:pt idx="149">
                  <c:v>2.270587907093255E-4</c:v>
                </c:pt>
                <c:pt idx="150">
                  <c:v>2.2782849534822461E-4</c:v>
                </c:pt>
                <c:pt idx="151">
                  <c:v>2.2825459399774804E-4</c:v>
                </c:pt>
                <c:pt idx="152">
                  <c:v>2.2832718440078938E-4</c:v>
                </c:pt>
                <c:pt idx="153">
                  <c:v>2.2803636797343092E-4</c:v>
                </c:pt>
                <c:pt idx="154">
                  <c:v>2.2737227765504351E-4</c:v>
                </c:pt>
                <c:pt idx="155">
                  <c:v>2.2637205700569416E-4</c:v>
                </c:pt>
                <c:pt idx="156">
                  <c:v>2.2491222391954137E-4</c:v>
                </c:pt>
                <c:pt idx="157">
                  <c:v>2.2298202509641631E-4</c:v>
                </c:pt>
                <c:pt idx="158">
                  <c:v>2.2057086222340325E-4</c:v>
                </c:pt>
                <c:pt idx="159">
                  <c:v>2.1766831634201879E-4</c:v>
                </c:pt>
                <c:pt idx="160">
                  <c:v>2.1426416984903713E-4</c:v>
                </c:pt>
                <c:pt idx="161">
                  <c:v>2.1034842582678395E-4</c:v>
                </c:pt>
                <c:pt idx="162">
                  <c:v>2.0591117549676347E-4</c:v>
                </c:pt>
                <c:pt idx="163">
                  <c:v>2.0134978087927251E-4</c:v>
                </c:pt>
                <c:pt idx="164">
                  <c:v>1.9715857680006237E-4</c:v>
                </c:pt>
                <c:pt idx="165">
                  <c:v>1.9334636636828085E-4</c:v>
                </c:pt>
                <c:pt idx="166">
                  <c:v>1.8992197338242589E-4</c:v>
                </c:pt>
                <c:pt idx="167">
                  <c:v>1.8689420931913939E-4</c:v>
                </c:pt>
                <c:pt idx="168">
                  <c:v>1.8427184179036263E-4</c:v>
                </c:pt>
                <c:pt idx="169">
                  <c:v>1.824865787190517E-4</c:v>
                </c:pt>
                <c:pt idx="170">
                  <c:v>1.8150138066296906E-4</c:v>
                </c:pt>
                <c:pt idx="171">
                  <c:v>1.8133070207192908E-4</c:v>
                </c:pt>
                <c:pt idx="172">
                  <c:v>1.8198862538614113E-4</c:v>
                </c:pt>
                <c:pt idx="173">
                  <c:v>1.8348726041221612E-4</c:v>
                </c:pt>
                <c:pt idx="174">
                  <c:v>1.8583812260956906E-4</c:v>
                </c:pt>
                <c:pt idx="175">
                  <c:v>1.8905368931862983E-4</c:v>
                </c:pt>
                <c:pt idx="176">
                  <c:v>1.9314509341123053E-4</c:v>
                </c:pt>
                <c:pt idx="177">
                  <c:v>1.9817913541487572E-4</c:v>
                </c:pt>
                <c:pt idx="178">
                  <c:v>2.0372537204816377E-4</c:v>
                </c:pt>
                <c:pt idx="179">
                  <c:v>2.0979024504513762E-4</c:v>
                </c:pt>
                <c:pt idx="180">
                  <c:v>2.1638005177000336E-4</c:v>
                </c:pt>
                <c:pt idx="181">
                  <c:v>2.2350098206898623E-4</c:v>
                </c:pt>
                <c:pt idx="182">
                  <c:v>2.3115915801361558E-4</c:v>
                </c:pt>
                <c:pt idx="183">
                  <c:v>2.3880538918211297E-4</c:v>
                </c:pt>
                <c:pt idx="184">
                  <c:v>2.4598357691108636E-4</c:v>
                </c:pt>
                <c:pt idx="185">
                  <c:v>2.5268743454421976E-4</c:v>
                </c:pt>
                <c:pt idx="186">
                  <c:v>2.5891121127544182E-4</c:v>
                </c:pt>
                <c:pt idx="187">
                  <c:v>2.6464965818316069E-4</c:v>
                </c:pt>
                <c:pt idx="188">
                  <c:v>2.6989799033077069E-4</c:v>
                </c:pt>
                <c:pt idx="189">
                  <c:v>2.7465184535990642E-4</c:v>
                </c:pt>
                <c:pt idx="190">
                  <c:v>2.78906828487424E-4</c:v>
                </c:pt>
                <c:pt idx="191">
                  <c:v>2.8279430925295203E-4</c:v>
                </c:pt>
                <c:pt idx="192">
                  <c:v>2.8624985442425523E-4</c:v>
                </c:pt>
                <c:pt idx="193">
                  <c:v>2.8926817275282395E-4</c:v>
                </c:pt>
                <c:pt idx="194">
                  <c:v>2.9184409828044707E-4</c:v>
                </c:pt>
                <c:pt idx="195">
                  <c:v>2.9397257958991657E-4</c:v>
                </c:pt>
                <c:pt idx="196">
                  <c:v>2.956486686761543E-4</c:v>
                </c:pt>
                <c:pt idx="197">
                  <c:v>2.9720963090764199E-4</c:v>
                </c:pt>
                <c:pt idx="198">
                  <c:v>2.9924409855208218E-4</c:v>
                </c:pt>
                <c:pt idx="199">
                  <c:v>3.0175746437685765E-4</c:v>
                </c:pt>
                <c:pt idx="200">
                  <c:v>3.0475499175933992E-4</c:v>
                </c:pt>
                <c:pt idx="201">
                  <c:v>3.0824180854331667E-4</c:v>
                </c:pt>
                <c:pt idx="202">
                  <c:v>3.1222290017864714E-4</c:v>
                </c:pt>
                <c:pt idx="203">
                  <c:v>3.1670310192433149E-4</c:v>
                </c:pt>
                <c:pt idx="204">
                  <c:v>3.2169029735534284E-4</c:v>
                </c:pt>
                <c:pt idx="205">
                  <c:v>3.2696712791388934E-4</c:v>
                </c:pt>
                <c:pt idx="206">
                  <c:v>3.323940732553315E-4</c:v>
                </c:pt>
                <c:pt idx="207">
                  <c:v>3.3797393808508393E-4</c:v>
                </c:pt>
                <c:pt idx="208">
                  <c:v>3.4370951018685911E-4</c:v>
                </c:pt>
                <c:pt idx="209">
                  <c:v>3.496035591280611E-4</c:v>
                </c:pt>
                <c:pt idx="210">
                  <c:v>3.556588352008531E-4</c:v>
                </c:pt>
                <c:pt idx="211">
                  <c:v>3.6181415289429419E-4</c:v>
                </c:pt>
                <c:pt idx="212">
                  <c:v>3.6771120827509211E-4</c:v>
                </c:pt>
                <c:pt idx="213">
                  <c:v>3.7334855948774147E-4</c:v>
                </c:pt>
                <c:pt idx="214">
                  <c:v>3.787247004829448E-4</c:v>
                </c:pt>
                <c:pt idx="215">
                  <c:v>3.838380523809003E-4</c:v>
                </c:pt>
                <c:pt idx="216">
                  <c:v>3.8868695605940012E-4</c:v>
                </c:pt>
                <c:pt idx="217">
                  <c:v>3.9326966586624286E-4</c:v>
                </c:pt>
                <c:pt idx="218">
                  <c:v>3.9758232658303997E-4</c:v>
                </c:pt>
                <c:pt idx="219">
                  <c:v>4.0156176441625316E-4</c:v>
                </c:pt>
                <c:pt idx="220">
                  <c:v>4.0544258867171944E-4</c:v>
                </c:pt>
                <c:pt idx="221">
                  <c:v>4.0922503218006231E-4</c:v>
                </c:pt>
                <c:pt idx="222">
                  <c:v>4.1290931864239582E-4</c:v>
                </c:pt>
                <c:pt idx="223">
                  <c:v>4.1649566167729343E-4</c:v>
                </c:pt>
                <c:pt idx="224">
                  <c:v>4.1998426426359959E-4</c:v>
                </c:pt>
                <c:pt idx="225">
                  <c:v>4.228859580751199E-4</c:v>
                </c:pt>
                <c:pt idx="226">
                  <c:v>4.2526254746466657E-4</c:v>
                </c:pt>
                <c:pt idx="227">
                  <c:v>4.2710975964209294E-4</c:v>
                </c:pt>
                <c:pt idx="228">
                  <c:v>4.2842319450662981E-4</c:v>
                </c:pt>
                <c:pt idx="229">
                  <c:v>4.2919831195246705E-4</c:v>
                </c:pt>
                <c:pt idx="230">
                  <c:v>4.294304190475161E-4</c:v>
                </c:pt>
                <c:pt idx="231">
                  <c:v>4.2911465687348055E-4</c:v>
                </c:pt>
                <c:pt idx="232">
                  <c:v>4.2824336481445504E-4</c:v>
                </c:pt>
                <c:pt idx="233">
                  <c:v>4.2660632171058607E-4</c:v>
                </c:pt>
                <c:pt idx="234">
                  <c:v>4.2425857912054715E-4</c:v>
                </c:pt>
                <c:pt idx="235">
                  <c:v>4.2119252613200122E-4</c:v>
                </c:pt>
                <c:pt idx="236">
                  <c:v>4.1740043028012876E-4</c:v>
                </c:pt>
                <c:pt idx="237">
                  <c:v>4.1287409272053359E-4</c:v>
                </c:pt>
                <c:pt idx="238">
                  <c:v>4.0760507472143055E-4</c:v>
                </c:pt>
                <c:pt idx="239">
                  <c:v>4.0191163902080781E-4</c:v>
                </c:pt>
                <c:pt idx="240">
                  <c:v>3.9630499678904491E-4</c:v>
                </c:pt>
                <c:pt idx="241">
                  <c:v>3.9078579557056531E-4</c:v>
                </c:pt>
                <c:pt idx="242">
                  <c:v>3.853546834610972E-4</c:v>
                </c:pt>
                <c:pt idx="243">
                  <c:v>3.8001230989762974E-4</c:v>
                </c:pt>
                <c:pt idx="244">
                  <c:v>3.7475932638857291E-4</c:v>
                </c:pt>
                <c:pt idx="245">
                  <c:v>3.6959638713221222E-4</c:v>
                </c:pt>
                <c:pt idx="246">
                  <c:v>3.6452414964316285E-4</c:v>
                </c:pt>
                <c:pt idx="247">
                  <c:v>3.5964131890565146E-4</c:v>
                </c:pt>
                <c:pt idx="248">
                  <c:v>3.5516256307545807E-4</c:v>
                </c:pt>
                <c:pt idx="249">
                  <c:v>3.5109227333397032E-4</c:v>
                </c:pt>
                <c:pt idx="250">
                  <c:v>3.4743494838000575E-4</c:v>
                </c:pt>
                <c:pt idx="251">
                  <c:v>3.4419519442069725E-4</c:v>
                </c:pt>
                <c:pt idx="252">
                  <c:v>3.4137772495186755E-4</c:v>
                </c:pt>
                <c:pt idx="253">
                  <c:v>3.3872413905109463E-4</c:v>
                </c:pt>
                <c:pt idx="254">
                  <c:v>3.3588866598099958E-4</c:v>
                </c:pt>
                <c:pt idx="255">
                  <c:v>3.3286843735570715E-4</c:v>
                </c:pt>
                <c:pt idx="256">
                  <c:v>3.2966051846138413E-4</c:v>
                </c:pt>
                <c:pt idx="257">
                  <c:v>3.2626191140170655E-4</c:v>
                </c:pt>
                <c:pt idx="258">
                  <c:v>3.2266955883104609E-4</c:v>
                </c:pt>
                <c:pt idx="259">
                  <c:v>3.1888034832563294E-4</c:v>
                </c:pt>
                <c:pt idx="260">
                  <c:v>3.1489684543631303E-4</c:v>
                </c:pt>
                <c:pt idx="261">
                  <c:v>3.1120274773884844E-4</c:v>
                </c:pt>
                <c:pt idx="262">
                  <c:v>3.0769411260070742E-4</c:v>
                </c:pt>
                <c:pt idx="263">
                  <c:v>3.0437019846608334E-4</c:v>
                </c:pt>
                <c:pt idx="264">
                  <c:v>3.0123039916097726E-4</c:v>
                </c:pt>
                <c:pt idx="265">
                  <c:v>2.9827555290555166E-4</c:v>
                </c:pt>
                <c:pt idx="266">
                  <c:v>2.9550589613481051E-4</c:v>
                </c:pt>
                <c:pt idx="267">
                  <c:v>2.9413987530894415E-4</c:v>
                </c:pt>
                <c:pt idx="268">
                  <c:v>2.9447506396246118E-4</c:v>
                </c:pt>
                <c:pt idx="269">
                  <c:v>2.9653159250412329E-4</c:v>
                </c:pt>
                <c:pt idx="270">
                  <c:v>3.003294430124401E-4</c:v>
                </c:pt>
                <c:pt idx="271">
                  <c:v>3.0588823558087982E-4</c:v>
                </c:pt>
                <c:pt idx="272">
                  <c:v>3.1322700537705873E-4</c:v>
                </c:pt>
                <c:pt idx="273">
                  <c:v>3.2236397084166909E-4</c:v>
                </c:pt>
                <c:pt idx="274">
                  <c:v>3.3332620491982579E-4</c:v>
                </c:pt>
                <c:pt idx="275">
                  <c:v>3.4602679598664252E-4</c:v>
                </c:pt>
                <c:pt idx="276">
                  <c:v>3.5996752071641063E-4</c:v>
                </c:pt>
                <c:pt idx="277">
                  <c:v>3.7515995623140224E-4</c:v>
                </c:pt>
                <c:pt idx="278">
                  <c:v>3.9161522745068898E-4</c:v>
                </c:pt>
                <c:pt idx="279">
                  <c:v>4.0934395922454458E-4</c:v>
                </c:pt>
                <c:pt idx="280">
                  <c:v>4.2835623290080922E-4</c:v>
                </c:pt>
                <c:pt idx="281">
                  <c:v>4.4876261872075547E-4</c:v>
                </c:pt>
                <c:pt idx="282">
                  <c:v>4.692739220579926E-4</c:v>
                </c:pt>
                <c:pt idx="283">
                  <c:v>4.898849809200211E-4</c:v>
                </c:pt>
                <c:pt idx="284">
                  <c:v>5.1059039540343699E-4</c:v>
                </c:pt>
                <c:pt idx="285">
                  <c:v>5.313845668013541E-4</c:v>
                </c:pt>
                <c:pt idx="286">
                  <c:v>5.5226173947882774E-4</c:v>
                </c:pt>
                <c:pt idx="287">
                  <c:v>5.7321604524098965E-4</c:v>
                </c:pt>
                <c:pt idx="288">
                  <c:v>5.942554968463861E-4</c:v>
                </c:pt>
                <c:pt idx="289">
                  <c:v>6.2112062676776103E-4</c:v>
                </c:pt>
                <c:pt idx="290">
                  <c:v>6.5398714427330627E-4</c:v>
                </c:pt>
                <c:pt idx="291">
                  <c:v>6.9290759994748241E-4</c:v>
                </c:pt>
                <c:pt idx="292">
                  <c:v>7.3793282533035078E-4</c:v>
                </c:pt>
                <c:pt idx="293">
                  <c:v>7.8911178166087329E-4</c:v>
                </c:pt>
                <c:pt idx="294">
                  <c:v>8.4649143500242958E-4</c:v>
                </c:pt>
                <c:pt idx="295">
                  <c:v>9.1579855296030981E-4</c:v>
                </c:pt>
                <c:pt idx="296">
                  <c:v>9.9702895559638377E-4</c:v>
                </c:pt>
                <c:pt idx="297">
                  <c:v>1.0902813235956236E-3</c:v>
                </c:pt>
                <c:pt idx="298">
                  <c:v>1.1956455912147056E-3</c:v>
                </c:pt>
                <c:pt idx="299">
                  <c:v>1.3132087567111037E-3</c:v>
                </c:pt>
                <c:pt idx="300">
                  <c:v>1.4430548697964246E-3</c:v>
                </c:pt>
                <c:pt idx="301">
                  <c:v>1.5852650524466794E-3</c:v>
                </c:pt>
                <c:pt idx="302">
                  <c:v>1.7400102891583908E-3</c:v>
                </c:pt>
                <c:pt idx="303">
                  <c:v>1.903590535204278E-3</c:v>
                </c:pt>
                <c:pt idx="304">
                  <c:v>2.0700984304382981E-3</c:v>
                </c:pt>
                <c:pt idx="305">
                  <c:v>2.2395683377540009E-3</c:v>
                </c:pt>
                <c:pt idx="306">
                  <c:v>2.4120320335505431E-3</c:v>
                </c:pt>
                <c:pt idx="307">
                  <c:v>2.5875183015558276E-3</c:v>
                </c:pt>
                <c:pt idx="308">
                  <c:v>2.7660524437139533E-3</c:v>
                </c:pt>
                <c:pt idx="309">
                  <c:v>2.9434237270205142E-3</c:v>
                </c:pt>
                <c:pt idx="310">
                  <c:v>3.1136761775094474E-3</c:v>
                </c:pt>
                <c:pt idx="311">
                  <c:v>3.2767271311734364E-3</c:v>
                </c:pt>
                <c:pt idx="312">
                  <c:v>3.4324868128226414E-3</c:v>
                </c:pt>
                <c:pt idx="313">
                  <c:v>3.5808581392047113E-3</c:v>
                </c:pt>
                <c:pt idx="314">
                  <c:v>3.7217365332159139E-3</c:v>
                </c:pt>
                <c:pt idx="315">
                  <c:v>3.8550097674872256E-3</c:v>
                </c:pt>
                <c:pt idx="316">
                  <c:v>3.981046307705698E-3</c:v>
                </c:pt>
                <c:pt idx="317">
                  <c:v>4.0956403070541991E-3</c:v>
                </c:pt>
                <c:pt idx="318">
                  <c:v>4.2027180834413105E-3</c:v>
                </c:pt>
                <c:pt idx="319">
                  <c:v>4.3021394169744194E-3</c:v>
                </c:pt>
                <c:pt idx="320">
                  <c:v>4.3937381991172968E-3</c:v>
                </c:pt>
                <c:pt idx="321">
                  <c:v>4.4773229449785118E-3</c:v>
                </c:pt>
                <c:pt idx="322">
                  <c:v>4.5526775856722032E-3</c:v>
                </c:pt>
                <c:pt idx="323">
                  <c:v>4.6120343524915655E-3</c:v>
                </c:pt>
                <c:pt idx="324">
                  <c:v>4.659497428297796E-3</c:v>
                </c:pt>
                <c:pt idx="325">
                  <c:v>4.6947494879204478E-3</c:v>
                </c:pt>
                <c:pt idx="326">
                  <c:v>4.7174336555226718E-3</c:v>
                </c:pt>
                <c:pt idx="327">
                  <c:v>4.7271989335599778E-3</c:v>
                </c:pt>
                <c:pt idx="328">
                  <c:v>4.7237100619400537E-3</c:v>
                </c:pt>
                <c:pt idx="329">
                  <c:v>4.7066332965980916E-3</c:v>
                </c:pt>
                <c:pt idx="330">
                  <c:v>4.676326020756085E-3</c:v>
                </c:pt>
                <c:pt idx="331">
                  <c:v>4.6350403359356075E-3</c:v>
                </c:pt>
                <c:pt idx="332">
                  <c:v>4.5874313955780463E-3</c:v>
                </c:pt>
                <c:pt idx="333">
                  <c:v>4.5333448199125588E-3</c:v>
                </c:pt>
                <c:pt idx="334">
                  <c:v>4.4726251166333298E-3</c:v>
                </c:pt>
                <c:pt idx="335">
                  <c:v>4.4051178382949327E-3</c:v>
                </c:pt>
                <c:pt idx="336">
                  <c:v>4.3306719746763235E-3</c:v>
                </c:pt>
                <c:pt idx="337">
                  <c:v>4.2531989701448236E-3</c:v>
                </c:pt>
                <c:pt idx="338">
                  <c:v>4.1805040713031594E-3</c:v>
                </c:pt>
                <c:pt idx="339">
                  <c:v>4.1125480446662695E-3</c:v>
                </c:pt>
                <c:pt idx="340">
                  <c:v>4.0492905742237333E-3</c:v>
                </c:pt>
                <c:pt idx="341">
                  <c:v>3.9906896100441935E-3</c:v>
                </c:pt>
                <c:pt idx="342">
                  <c:v>3.9367006590313967E-3</c:v>
                </c:pt>
                <c:pt idx="343">
                  <c:v>3.887276035538117E-3</c:v>
                </c:pt>
                <c:pt idx="344">
                  <c:v>3.8425896479277306E-3</c:v>
                </c:pt>
                <c:pt idx="345">
                  <c:v>3.8028539265153164E-3</c:v>
                </c:pt>
                <c:pt idx="346">
                  <c:v>3.7674078895551543E-3</c:v>
                </c:pt>
                <c:pt idx="347">
                  <c:v>3.7362474858179044E-3</c:v>
                </c:pt>
                <c:pt idx="348">
                  <c:v>3.7093632892543603E-3</c:v>
                </c:pt>
                <c:pt idx="349">
                  <c:v>3.686740271309242E-3</c:v>
                </c:pt>
                <c:pt idx="350">
                  <c:v>3.6683575852299627E-3</c:v>
                </c:pt>
                <c:pt idx="351">
                  <c:v>3.6554005017538165E-3</c:v>
                </c:pt>
                <c:pt idx="352">
                  <c:v>3.6437261697706406E-3</c:v>
                </c:pt>
                <c:pt idx="353">
                  <c:v>3.633307362333475E-3</c:v>
                </c:pt>
                <c:pt idx="354">
                  <c:v>3.6241161587774328E-3</c:v>
                </c:pt>
                <c:pt idx="355">
                  <c:v>3.6161240388022679E-3</c:v>
                </c:pt>
                <c:pt idx="356">
                  <c:v>3.6092949567336349E-3</c:v>
                </c:pt>
                <c:pt idx="357">
                  <c:v>3.6036023015280534E-3</c:v>
                </c:pt>
                <c:pt idx="358">
                  <c:v>3.5988559266383066E-3</c:v>
                </c:pt>
                <c:pt idx="359">
                  <c:v>3.5949199291293653E-3</c:v>
                </c:pt>
                <c:pt idx="360">
                  <c:v>3.5958461254397278E-3</c:v>
                </c:pt>
                <c:pt idx="361">
                  <c:v>3.6004368403959428E-3</c:v>
                </c:pt>
                <c:pt idx="362">
                  <c:v>3.6086804911675497E-3</c:v>
                </c:pt>
                <c:pt idx="363">
                  <c:v>3.6205588215103687E-3</c:v>
                </c:pt>
                <c:pt idx="364">
                  <c:v>3.6360475405024227E-3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604864"/>
        <c:axId val="665605256"/>
      </c:lineChart>
      <c:dateAx>
        <c:axId val="66560486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05256"/>
        <c:crosses val="autoZero"/>
        <c:auto val="1"/>
        <c:lblOffset val="100"/>
        <c:baseTimeUnit val="days"/>
        <c:majorUnit val="1"/>
        <c:majorTimeUnit val="months"/>
      </c:dateAx>
      <c:valAx>
        <c:axId val="66560525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048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'2028'!$V$14</c:f>
              <c:strCache>
                <c:ptCount val="1"/>
                <c:pt idx="0">
                  <c:v>Enveloppe 2028</c:v>
                </c:pt>
              </c:strCache>
            </c:strRef>
          </c:tx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'2028'!Env_an</c:f>
              <c:numCache>
                <c:formatCode>0.00</c:formatCode>
                <c:ptCount val="366"/>
                <c:pt idx="0">
                  <c:v>92.178444187691994</c:v>
                </c:pt>
                <c:pt idx="1">
                  <c:v>92.74046327796249</c:v>
                </c:pt>
                <c:pt idx="2">
                  <c:v>93.335545414930493</c:v>
                </c:pt>
                <c:pt idx="3">
                  <c:v>93.961925858564499</c:v>
                </c:pt>
                <c:pt idx="4">
                  <c:v>94.617840022671928</c:v>
                </c:pt>
                <c:pt idx="5">
                  <c:v>95.301523471095052</c:v>
                </c:pt>
                <c:pt idx="6">
                  <c:v>96.011211959345815</c:v>
                </c:pt>
                <c:pt idx="7">
                  <c:v>96.745141448696117</c:v>
                </c:pt>
                <c:pt idx="8">
                  <c:v>97.511286338917103</c:v>
                </c:pt>
                <c:pt idx="9">
                  <c:v>98.317944981189285</c:v>
                </c:pt>
                <c:pt idx="10">
                  <c:v>99.163146718562089</c:v>
                </c:pt>
                <c:pt idx="11">
                  <c:v>100.0445597841702</c:v>
                </c:pt>
                <c:pt idx="12">
                  <c:v>100.95985282535096</c:v>
                </c:pt>
                <c:pt idx="13">
                  <c:v>101.90669487175171</c:v>
                </c:pt>
                <c:pt idx="14">
                  <c:v>102.88275539853431</c:v>
                </c:pt>
                <c:pt idx="15">
                  <c:v>103.88614330684585</c:v>
                </c:pt>
                <c:pt idx="16">
                  <c:v>104.91469378292967</c:v>
                </c:pt>
                <c:pt idx="17">
                  <c:v>105.96607746417219</c:v>
                </c:pt>
                <c:pt idx="18">
                  <c:v>107.0379653664784</c:v>
                </c:pt>
                <c:pt idx="19">
                  <c:v>108.12802687871661</c:v>
                </c:pt>
                <c:pt idx="20">
                  <c:v>109.23393089662031</c:v>
                </c:pt>
                <c:pt idx="21">
                  <c:v>110.35334838716713</c:v>
                </c:pt>
                <c:pt idx="22">
                  <c:v>111.49410112610987</c:v>
                </c:pt>
                <c:pt idx="23">
                  <c:v>112.66463888013732</c:v>
                </c:pt>
                <c:pt idx="24">
                  <c:v>113.86225182092124</c:v>
                </c:pt>
                <c:pt idx="25">
                  <c:v>115.08493318100355</c:v>
                </c:pt>
                <c:pt idx="26">
                  <c:v>116.33067678231788</c:v>
                </c:pt>
                <c:pt idx="27">
                  <c:v>117.5974770611713</c:v>
                </c:pt>
                <c:pt idx="28">
                  <c:v>118.88332905033548</c:v>
                </c:pt>
                <c:pt idx="29">
                  <c:v>120.18661633987935</c:v>
                </c:pt>
                <c:pt idx="30">
                  <c:v>121.50489637596175</c:v>
                </c:pt>
                <c:pt idx="31">
                  <c:v>122.83616606860824</c:v>
                </c:pt>
                <c:pt idx="32">
                  <c:v>124.17842298149749</c:v>
                </c:pt>
                <c:pt idx="33">
                  <c:v>125.52966529008805</c:v>
                </c:pt>
                <c:pt idx="34">
                  <c:v>126.88789181776274</c:v>
                </c:pt>
                <c:pt idx="35">
                  <c:v>128.25110199380023</c:v>
                </c:pt>
                <c:pt idx="36">
                  <c:v>129.62879777152972</c:v>
                </c:pt>
                <c:pt idx="37">
                  <c:v>131.02923410826128</c:v>
                </c:pt>
                <c:pt idx="38">
                  <c:v>132.44899423762629</c:v>
                </c:pt>
                <c:pt idx="39">
                  <c:v>133.88507618218193</c:v>
                </c:pt>
                <c:pt idx="40">
                  <c:v>135.334478650553</c:v>
                </c:pt>
                <c:pt idx="41">
                  <c:v>136.79420104073267</c:v>
                </c:pt>
                <c:pt idx="42">
                  <c:v>138.261243422154</c:v>
                </c:pt>
                <c:pt idx="43">
                  <c:v>139.7320109248364</c:v>
                </c:pt>
                <c:pt idx="44">
                  <c:v>141.20311652290613</c:v>
                </c:pt>
                <c:pt idx="45">
                  <c:v>142.67156178453635</c:v>
                </c:pt>
                <c:pt idx="46">
                  <c:v>144.13434885005447</c:v>
                </c:pt>
                <c:pt idx="47">
                  <c:v>145.58848041669171</c:v>
                </c:pt>
                <c:pt idx="48">
                  <c:v>147.03095973525041</c:v>
                </c:pt>
                <c:pt idx="49">
                  <c:v>148.45879059388312</c:v>
                </c:pt>
                <c:pt idx="50">
                  <c:v>149.87972086690888</c:v>
                </c:pt>
                <c:pt idx="51">
                  <c:v>151.30248442587171</c:v>
                </c:pt>
                <c:pt idx="52">
                  <c:v>152.72616144465852</c:v>
                </c:pt>
                <c:pt idx="53">
                  <c:v>154.14925326120684</c:v>
                </c:pt>
                <c:pt idx="54">
                  <c:v>155.5702610357761</c:v>
                </c:pt>
                <c:pt idx="55">
                  <c:v>156.98768610703021</c:v>
                </c:pt>
                <c:pt idx="56">
                  <c:v>158.40002997754129</c:v>
                </c:pt>
                <c:pt idx="57">
                  <c:v>159.80580714992163</c:v>
                </c:pt>
                <c:pt idx="58">
                  <c:v>161.20411679291718</c:v>
                </c:pt>
                <c:pt idx="59">
                  <c:v>162.59346126675979</c:v>
                </c:pt>
                <c:pt idx="60">
                  <c:v>163.9723430688617</c:v>
                </c:pt>
                <c:pt idx="61">
                  <c:v>165.33926481995439</c:v>
                </c:pt>
                <c:pt idx="62">
                  <c:v>166.69272926346881</c:v>
                </c:pt>
                <c:pt idx="63">
                  <c:v>168.0312392582706</c:v>
                </c:pt>
                <c:pt idx="64">
                  <c:v>169.35609975729818</c:v>
                </c:pt>
                <c:pt idx="65">
                  <c:v>170.66976480963004</c:v>
                </c:pt>
                <c:pt idx="66">
                  <c:v>171.97268129739868</c:v>
                </c:pt>
                <c:pt idx="67">
                  <c:v>173.2652839546067</c:v>
                </c:pt>
                <c:pt idx="68">
                  <c:v>174.54800720091603</c:v>
                </c:pt>
                <c:pt idx="69">
                  <c:v>175.82128379636873</c:v>
                </c:pt>
                <c:pt idx="70">
                  <c:v>177.08554891901639</c:v>
                </c:pt>
                <c:pt idx="71">
                  <c:v>178.34117922446967</c:v>
                </c:pt>
                <c:pt idx="72">
                  <c:v>179.58859487243373</c:v>
                </c:pt>
                <c:pt idx="73">
                  <c:v>180.82822862875062</c:v>
                </c:pt>
                <c:pt idx="74">
                  <c:v>182.06051293535734</c:v>
                </c:pt>
                <c:pt idx="75">
                  <c:v>183.28587990787557</c:v>
                </c:pt>
                <c:pt idx="76">
                  <c:v>184.50476134681131</c:v>
                </c:pt>
                <c:pt idx="77">
                  <c:v>185.71758872175766</c:v>
                </c:pt>
                <c:pt idx="78">
                  <c:v>186.93068304514844</c:v>
                </c:pt>
                <c:pt idx="79">
                  <c:v>188.14795913588668</c:v>
                </c:pt>
                <c:pt idx="80">
                  <c:v>189.36633151617406</c:v>
                </c:pt>
                <c:pt idx="81">
                  <c:v>190.58257544418458</c:v>
                </c:pt>
                <c:pt idx="82">
                  <c:v>191.79346675434286</c:v>
                </c:pt>
                <c:pt idx="83">
                  <c:v>192.99578185403658</c:v>
                </c:pt>
                <c:pt idx="84">
                  <c:v>194.18629776829658</c:v>
                </c:pt>
                <c:pt idx="85">
                  <c:v>195.36177980587934</c:v>
                </c:pt>
                <c:pt idx="86">
                  <c:v>196.51906390099913</c:v>
                </c:pt>
                <c:pt idx="87">
                  <c:v>197.65492925626305</c:v>
                </c:pt>
                <c:pt idx="88">
                  <c:v>198.76615578044232</c:v>
                </c:pt>
                <c:pt idx="89">
                  <c:v>199.84952416451202</c:v>
                </c:pt>
                <c:pt idx="90">
                  <c:v>200.90181586803826</c:v>
                </c:pt>
                <c:pt idx="91">
                  <c:v>201.91981316567768</c:v>
                </c:pt>
                <c:pt idx="92">
                  <c:v>202.90673001069916</c:v>
                </c:pt>
                <c:pt idx="93">
                  <c:v>203.8683776337044</c:v>
                </c:pt>
                <c:pt idx="94">
                  <c:v>204.80546664495728</c:v>
                </c:pt>
                <c:pt idx="95">
                  <c:v>205.71874011636925</c:v>
                </c:pt>
                <c:pt idx="96">
                  <c:v>206.60894097063809</c:v>
                </c:pt>
                <c:pt idx="97">
                  <c:v>207.47681202212169</c:v>
                </c:pt>
                <c:pt idx="98">
                  <c:v>208.32309597254596</c:v>
                </c:pt>
                <c:pt idx="99">
                  <c:v>209.14856243807864</c:v>
                </c:pt>
                <c:pt idx="100">
                  <c:v>209.95396688636777</c:v>
                </c:pt>
                <c:pt idx="101">
                  <c:v>210.74005206412443</c:v>
                </c:pt>
                <c:pt idx="102">
                  <c:v>211.50756067871771</c:v>
                </c:pt>
                <c:pt idx="103">
                  <c:v>212.25723536557348</c:v>
                </c:pt>
                <c:pt idx="104">
                  <c:v>212.98981874882332</c:v>
                </c:pt>
                <c:pt idx="105">
                  <c:v>213.70605341262021</c:v>
                </c:pt>
                <c:pt idx="106">
                  <c:v>214.40263981000905</c:v>
                </c:pt>
                <c:pt idx="107">
                  <c:v>215.07652718634628</c:v>
                </c:pt>
                <c:pt idx="108">
                  <c:v>215.72876994299162</c:v>
                </c:pt>
                <c:pt idx="109">
                  <c:v>216.36037747449515</c:v>
                </c:pt>
                <c:pt idx="110">
                  <c:v>216.97235913475058</c:v>
                </c:pt>
                <c:pt idx="111">
                  <c:v>217.56572439913325</c:v>
                </c:pt>
                <c:pt idx="112">
                  <c:v>218.14148300765009</c:v>
                </c:pt>
                <c:pt idx="113">
                  <c:v>218.7006552770678</c:v>
                </c:pt>
                <c:pt idx="114">
                  <c:v>219.24422302720441</c:v>
                </c:pt>
                <c:pt idx="115">
                  <c:v>219.77319641884745</c:v>
                </c:pt>
                <c:pt idx="116">
                  <c:v>220.28858578634103</c:v>
                </c:pt>
                <c:pt idx="117">
                  <c:v>220.79140163565413</c:v>
                </c:pt>
                <c:pt idx="118">
                  <c:v>221.28265467842701</c:v>
                </c:pt>
                <c:pt idx="119">
                  <c:v>221.76335583877875</c:v>
                </c:pt>
                <c:pt idx="120">
                  <c:v>231.60414543643955</c:v>
                </c:pt>
                <c:pt idx="121">
                  <c:v>232.06993625735959</c:v>
                </c:pt>
                <c:pt idx="122">
                  <c:v>232.51954432703346</c:v>
                </c:pt>
                <c:pt idx="123">
                  <c:v>232.9534991055146</c:v>
                </c:pt>
                <c:pt idx="124">
                  <c:v>233.37233001286748</c:v>
                </c:pt>
                <c:pt idx="125">
                  <c:v>233.77656640617818</c:v>
                </c:pt>
                <c:pt idx="126">
                  <c:v>234.1667375806594</c:v>
                </c:pt>
                <c:pt idx="127">
                  <c:v>234.543412916818</c:v>
                </c:pt>
                <c:pt idx="128">
                  <c:v>234.90710954165405</c:v>
                </c:pt>
                <c:pt idx="129">
                  <c:v>235.25835690943842</c:v>
                </c:pt>
                <c:pt idx="130">
                  <c:v>235.59768444060518</c:v>
                </c:pt>
                <c:pt idx="131">
                  <c:v>235.92562150194934</c:v>
                </c:pt>
                <c:pt idx="132">
                  <c:v>236.24269741030395</c:v>
                </c:pt>
                <c:pt idx="133">
                  <c:v>236.54944143823673</c:v>
                </c:pt>
                <c:pt idx="134">
                  <c:v>236.84393923535077</c:v>
                </c:pt>
                <c:pt idx="135">
                  <c:v>237.12420675634797</c:v>
                </c:pt>
                <c:pt idx="136">
                  <c:v>237.39076166932412</c:v>
                </c:pt>
                <c:pt idx="137">
                  <c:v>237.64413243922846</c:v>
                </c:pt>
                <c:pt idx="138">
                  <c:v>237.88484740375642</c:v>
                </c:pt>
                <c:pt idx="139">
                  <c:v>238.11343478964119</c:v>
                </c:pt>
                <c:pt idx="140">
                  <c:v>238.33042269689054</c:v>
                </c:pt>
                <c:pt idx="141">
                  <c:v>238.53631196563461</c:v>
                </c:pt>
                <c:pt idx="142">
                  <c:v>238.73158594706004</c:v>
                </c:pt>
                <c:pt idx="143">
                  <c:v>238.91677126807389</c:v>
                </c:pt>
                <c:pt idx="144">
                  <c:v>239.09239408717349</c:v>
                </c:pt>
                <c:pt idx="145">
                  <c:v>239.2589804541235</c:v>
                </c:pt>
                <c:pt idx="146">
                  <c:v>239.41705629329337</c:v>
                </c:pt>
                <c:pt idx="147">
                  <c:v>239.56714741814051</c:v>
                </c:pt>
                <c:pt idx="148">
                  <c:v>239.709605226826</c:v>
                </c:pt>
                <c:pt idx="149">
                  <c:v>239.84421940828514</c:v>
                </c:pt>
                <c:pt idx="150">
                  <c:v>239.97055362360942</c:v>
                </c:pt>
                <c:pt idx="151">
                  <c:v>240.08809356787566</c:v>
                </c:pt>
                <c:pt idx="152">
                  <c:v>240.19632518037864</c:v>
                </c:pt>
                <c:pt idx="153">
                  <c:v>240.29473461249245</c:v>
                </c:pt>
                <c:pt idx="154">
                  <c:v>240.38280822396655</c:v>
                </c:pt>
                <c:pt idx="155">
                  <c:v>240.46001573802792</c:v>
                </c:pt>
                <c:pt idx="156">
                  <c:v>240.52587266971577</c:v>
                </c:pt>
                <c:pt idx="157">
                  <c:v>240.57986569597088</c:v>
                </c:pt>
                <c:pt idx="158">
                  <c:v>240.62148158457006</c:v>
                </c:pt>
                <c:pt idx="159">
                  <c:v>240.65020715909085</c:v>
                </c:pt>
                <c:pt idx="160">
                  <c:v>240.66552928576854</c:v>
                </c:pt>
                <c:pt idx="161">
                  <c:v>240.66693485038718</c:v>
                </c:pt>
                <c:pt idx="162">
                  <c:v>240.65408478488973</c:v>
                </c:pt>
                <c:pt idx="163">
                  <c:v>240.62721895456377</c:v>
                </c:pt>
                <c:pt idx="164">
                  <c:v>240.58671501878447</c:v>
                </c:pt>
                <c:pt idx="165">
                  <c:v>240.53309839871585</c:v>
                </c:pt>
                <c:pt idx="166">
                  <c:v>240.46689425149583</c:v>
                </c:pt>
                <c:pt idx="167">
                  <c:v>240.38862745798568</c:v>
                </c:pt>
                <c:pt idx="168">
                  <c:v>240.29882262635965</c:v>
                </c:pt>
                <c:pt idx="169">
                  <c:v>240.19788313730416</c:v>
                </c:pt>
                <c:pt idx="170">
                  <c:v>240.08635043403311</c:v>
                </c:pt>
                <c:pt idx="171">
                  <c:v>239.96474705902995</c:v>
                </c:pt>
                <c:pt idx="172">
                  <c:v>239.83359537153225</c:v>
                </c:pt>
                <c:pt idx="173">
                  <c:v>239.69341802248817</c:v>
                </c:pt>
                <c:pt idx="174">
                  <c:v>239.54473752686678</c:v>
                </c:pt>
                <c:pt idx="175">
                  <c:v>239.38807577305025</c:v>
                </c:pt>
                <c:pt idx="176">
                  <c:v>239.22491045081867</c:v>
                </c:pt>
                <c:pt idx="177">
                  <c:v>239.05565593644863</c:v>
                </c:pt>
                <c:pt idx="178">
                  <c:v>238.8793945955656</c:v>
                </c:pt>
                <c:pt idx="179">
                  <c:v>238.69508496943996</c:v>
                </c:pt>
                <c:pt idx="180">
                  <c:v>238.50168593913932</c:v>
                </c:pt>
                <c:pt idx="181">
                  <c:v>238.29815673217419</c:v>
                </c:pt>
                <c:pt idx="182">
                  <c:v>238.0834569185736</c:v>
                </c:pt>
                <c:pt idx="183">
                  <c:v>237.85671093127857</c:v>
                </c:pt>
                <c:pt idx="184">
                  <c:v>237.61700821060023</c:v>
                </c:pt>
                <c:pt idx="185">
                  <c:v>237.36331152717878</c:v>
                </c:pt>
                <c:pt idx="186">
                  <c:v>237.09458376557737</c:v>
                </c:pt>
                <c:pt idx="187">
                  <c:v>236.80978789856695</c:v>
                </c:pt>
                <c:pt idx="188">
                  <c:v>236.5078870347904</c:v>
                </c:pt>
                <c:pt idx="189">
                  <c:v>236.18784442177437</c:v>
                </c:pt>
                <c:pt idx="190">
                  <c:v>235.84897059674455</c:v>
                </c:pt>
                <c:pt idx="191">
                  <c:v>235.49193332445049</c:v>
                </c:pt>
                <c:pt idx="192">
                  <c:v>235.11779974533394</c:v>
                </c:pt>
                <c:pt idx="193">
                  <c:v>234.7276152377062</c:v>
                </c:pt>
                <c:pt idx="194">
                  <c:v>234.32242463311195</c:v>
                </c:pt>
                <c:pt idx="195">
                  <c:v>233.90327220958358</c:v>
                </c:pt>
                <c:pt idx="196">
                  <c:v>233.47120175234656</c:v>
                </c:pt>
                <c:pt idx="197">
                  <c:v>233.02715687572524</c:v>
                </c:pt>
                <c:pt idx="198">
                  <c:v>232.57201056307576</c:v>
                </c:pt>
                <c:pt idx="199">
                  <c:v>232.1068042723887</c:v>
                </c:pt>
                <c:pt idx="200">
                  <c:v>231.63257914687861</c:v>
                </c:pt>
                <c:pt idx="201">
                  <c:v>231.15037603186832</c:v>
                </c:pt>
                <c:pt idx="202">
                  <c:v>230.6612354637449</c:v>
                </c:pt>
                <c:pt idx="203">
                  <c:v>230.16619768487115</c:v>
                </c:pt>
                <c:pt idx="204">
                  <c:v>229.66370241765017</c:v>
                </c:pt>
                <c:pt idx="205">
                  <c:v>229.15154984033833</c:v>
                </c:pt>
                <c:pt idx="206">
                  <c:v>228.62977215160731</c:v>
                </c:pt>
                <c:pt idx="207">
                  <c:v>228.09837046207315</c:v>
                </c:pt>
                <c:pt idx="208">
                  <c:v>227.55734596767437</c:v>
                </c:pt>
                <c:pt idx="209">
                  <c:v>227.00669997430322</c:v>
                </c:pt>
                <c:pt idx="210">
                  <c:v>226.44643387317191</c:v>
                </c:pt>
                <c:pt idx="211">
                  <c:v>225.8765612042948</c:v>
                </c:pt>
                <c:pt idx="212">
                  <c:v>225.29718439703237</c:v>
                </c:pt>
                <c:pt idx="213">
                  <c:v>224.7083052310229</c:v>
                </c:pt>
                <c:pt idx="214">
                  <c:v>224.109925568584</c:v>
                </c:pt>
                <c:pt idx="215">
                  <c:v>223.50204735208035</c:v>
                </c:pt>
                <c:pt idx="216">
                  <c:v>222.8846725936223</c:v>
                </c:pt>
                <c:pt idx="217">
                  <c:v>222.25780339752291</c:v>
                </c:pt>
                <c:pt idx="218">
                  <c:v>221.62256733729021</c:v>
                </c:pt>
                <c:pt idx="219">
                  <c:v>220.97977352470247</c:v>
                </c:pt>
                <c:pt idx="220">
                  <c:v>220.32885168372462</c:v>
                </c:pt>
                <c:pt idx="221">
                  <c:v>219.66928470966926</c:v>
                </c:pt>
                <c:pt idx="222">
                  <c:v>219.00055573859319</c:v>
                </c:pt>
                <c:pt idx="223">
                  <c:v>218.32214814076039</c:v>
                </c:pt>
                <c:pt idx="224">
                  <c:v>217.63354550340827</c:v>
                </c:pt>
                <c:pt idx="225">
                  <c:v>216.93436463844984</c:v>
                </c:pt>
                <c:pt idx="226">
                  <c:v>216.22407775598509</c:v>
                </c:pt>
                <c:pt idx="227">
                  <c:v>215.50216912630941</c:v>
                </c:pt>
                <c:pt idx="228">
                  <c:v>214.76812319923366</c:v>
                </c:pt>
                <c:pt idx="229">
                  <c:v>214.02142460032397</c:v>
                </c:pt>
                <c:pt idx="230">
                  <c:v>213.26155811763556</c:v>
                </c:pt>
                <c:pt idx="231">
                  <c:v>212.48800871365995</c:v>
                </c:pt>
                <c:pt idx="232">
                  <c:v>211.70155844990114</c:v>
                </c:pt>
                <c:pt idx="233">
                  <c:v>210.90337290410037</c:v>
                </c:pt>
                <c:pt idx="234">
                  <c:v>210.09342686150285</c:v>
                </c:pt>
                <c:pt idx="235">
                  <c:v>209.27172344104497</c:v>
                </c:pt>
                <c:pt idx="236">
                  <c:v>208.43826569851757</c:v>
                </c:pt>
                <c:pt idx="237">
                  <c:v>207.59305673165287</c:v>
                </c:pt>
                <c:pt idx="238">
                  <c:v>206.73609959792313</c:v>
                </c:pt>
                <c:pt idx="239">
                  <c:v>205.86731799160353</c:v>
                </c:pt>
                <c:pt idx="240">
                  <c:v>204.98658249055836</c:v>
                </c:pt>
                <c:pt idx="241">
                  <c:v>204.09389642816561</c:v>
                </c:pt>
                <c:pt idx="242">
                  <c:v>203.18926314644139</c:v>
                </c:pt>
                <c:pt idx="243">
                  <c:v>202.27268601320128</c:v>
                </c:pt>
                <c:pt idx="244">
                  <c:v>201.34416841020325</c:v>
                </c:pt>
                <c:pt idx="245">
                  <c:v>200.40371374378188</c:v>
                </c:pt>
                <c:pt idx="246">
                  <c:v>199.45132544015689</c:v>
                </c:pt>
                <c:pt idx="247">
                  <c:v>198.48698496980703</c:v>
                </c:pt>
                <c:pt idx="248">
                  <c:v>197.51065845596099</c:v>
                </c:pt>
                <c:pt idx="249">
                  <c:v>196.52234960253776</c:v>
                </c:pt>
                <c:pt idx="250">
                  <c:v>195.52206215052607</c:v>
                </c:pt>
                <c:pt idx="251">
                  <c:v>194.5097998819958</c:v>
                </c:pt>
                <c:pt idx="252">
                  <c:v>193.48556661956391</c:v>
                </c:pt>
                <c:pt idx="253">
                  <c:v>192.44941865678388</c:v>
                </c:pt>
                <c:pt idx="254">
                  <c:v>191.40143799357662</c:v>
                </c:pt>
                <c:pt idx="255">
                  <c:v>190.34162803935109</c:v>
                </c:pt>
                <c:pt idx="256">
                  <c:v>189.26999220238935</c:v>
                </c:pt>
                <c:pt idx="257">
                  <c:v>188.18653387405305</c:v>
                </c:pt>
                <c:pt idx="258">
                  <c:v>187.09125643121166</c:v>
                </c:pt>
                <c:pt idx="259">
                  <c:v>185.98416322300952</c:v>
                </c:pt>
                <c:pt idx="260">
                  <c:v>184.8618934903254</c:v>
                </c:pt>
                <c:pt idx="261">
                  <c:v>183.72201408293699</c:v>
                </c:pt>
                <c:pt idx="262">
                  <c:v>182.56610414332712</c:v>
                </c:pt>
                <c:pt idx="263">
                  <c:v>181.39572063372066</c:v>
                </c:pt>
                <c:pt idx="264">
                  <c:v>180.21241999613818</c:v>
                </c:pt>
                <c:pt idx="265">
                  <c:v>179.01775784524784</c:v>
                </c:pt>
                <c:pt idx="266">
                  <c:v>177.8132894202904</c:v>
                </c:pt>
                <c:pt idx="267">
                  <c:v>176.60031936968267</c:v>
                </c:pt>
                <c:pt idx="268">
                  <c:v>175.38035284007128</c:v>
                </c:pt>
                <c:pt idx="269">
                  <c:v>174.15494596687066</c:v>
                </c:pt>
                <c:pt idx="270">
                  <c:v>172.92565451157276</c:v>
                </c:pt>
                <c:pt idx="271">
                  <c:v>171.69403387979014</c:v>
                </c:pt>
                <c:pt idx="272">
                  <c:v>170.4616391239833</c:v>
                </c:pt>
                <c:pt idx="273">
                  <c:v>169.23002495333677</c:v>
                </c:pt>
                <c:pt idx="274">
                  <c:v>167.99574828090843</c:v>
                </c:pt>
                <c:pt idx="275">
                  <c:v>166.7547115881998</c:v>
                </c:pt>
                <c:pt idx="276">
                  <c:v>165.50754139393442</c:v>
                </c:pt>
                <c:pt idx="277">
                  <c:v>164.25475858217945</c:v>
                </c:pt>
                <c:pt idx="278">
                  <c:v>162.99688389005462</c:v>
                </c:pt>
                <c:pt idx="279">
                  <c:v>161.73443789980274</c:v>
                </c:pt>
                <c:pt idx="280">
                  <c:v>160.46794103323182</c:v>
                </c:pt>
                <c:pt idx="281">
                  <c:v>159.19775123287647</c:v>
                </c:pt>
                <c:pt idx="282">
                  <c:v>157.9246290729694</c:v>
                </c:pt>
                <c:pt idx="283">
                  <c:v>156.64909342821821</c:v>
                </c:pt>
                <c:pt idx="284">
                  <c:v>155.37166292676164</c:v>
                </c:pt>
                <c:pt idx="285">
                  <c:v>154.09285594175628</c:v>
                </c:pt>
                <c:pt idx="286">
                  <c:v>152.81319057819812</c:v>
                </c:pt>
                <c:pt idx="287">
                  <c:v>151.53318466648648</c:v>
                </c:pt>
                <c:pt idx="288">
                  <c:v>150.24982670561417</c:v>
                </c:pt>
                <c:pt idx="289">
                  <c:v>148.9594108069185</c:v>
                </c:pt>
                <c:pt idx="290">
                  <c:v>147.6629568097938</c:v>
                </c:pt>
                <c:pt idx="291">
                  <c:v>146.36151692736991</c:v>
                </c:pt>
                <c:pt idx="292">
                  <c:v>145.05614364385806</c:v>
                </c:pt>
                <c:pt idx="293">
                  <c:v>143.74788965018394</c:v>
                </c:pt>
                <c:pt idx="294">
                  <c:v>142.4378077876442</c:v>
                </c:pt>
                <c:pt idx="295">
                  <c:v>141.12620702920418</c:v>
                </c:pt>
                <c:pt idx="296">
                  <c:v>139.81430286042007</c:v>
                </c:pt>
                <c:pt idx="297">
                  <c:v>138.50315778612088</c:v>
                </c:pt>
                <c:pt idx="298">
                  <c:v>137.19383534965914</c:v>
                </c:pt>
                <c:pt idx="299">
                  <c:v>135.88739888639364</c:v>
                </c:pt>
                <c:pt idx="300">
                  <c:v>134.58491138033725</c:v>
                </c:pt>
                <c:pt idx="301">
                  <c:v>133.28743531335394</c:v>
                </c:pt>
                <c:pt idx="302">
                  <c:v>131.98898114560853</c:v>
                </c:pt>
                <c:pt idx="303">
                  <c:v>130.68481520008274</c:v>
                </c:pt>
                <c:pt idx="304">
                  <c:v>129.37796595705566</c:v>
                </c:pt>
                <c:pt idx="305">
                  <c:v>128.07049462157508</c:v>
                </c:pt>
                <c:pt idx="306">
                  <c:v>126.76446085230718</c:v>
                </c:pt>
                <c:pt idx="307">
                  <c:v>125.46192276997427</c:v>
                </c:pt>
                <c:pt idx="308">
                  <c:v>124.16493696438008</c:v>
                </c:pt>
                <c:pt idx="309">
                  <c:v>122.87623122184006</c:v>
                </c:pt>
                <c:pt idx="310">
                  <c:v>121.59851566405918</c:v>
                </c:pt>
                <c:pt idx="311">
                  <c:v>120.3338136511173</c:v>
                </c:pt>
                <c:pt idx="312">
                  <c:v>119.08414765844512</c:v>
                </c:pt>
                <c:pt idx="313">
                  <c:v>117.85153944877818</c:v>
                </c:pt>
                <c:pt idx="314">
                  <c:v>116.63801025691556</c:v>
                </c:pt>
                <c:pt idx="315">
                  <c:v>115.44558096329703</c:v>
                </c:pt>
                <c:pt idx="316">
                  <c:v>114.26218239992895</c:v>
                </c:pt>
                <c:pt idx="317">
                  <c:v>113.07788121219701</c:v>
                </c:pt>
                <c:pt idx="318">
                  <c:v>111.89624003969246</c:v>
                </c:pt>
                <c:pt idx="319">
                  <c:v>110.72134185289596</c:v>
                </c:pt>
                <c:pt idx="320">
                  <c:v>109.55726983316059</c:v>
                </c:pt>
                <c:pt idx="321">
                  <c:v>108.40810749907955</c:v>
                </c:pt>
                <c:pt idx="322">
                  <c:v>107.2779388497585</c:v>
                </c:pt>
                <c:pt idx="323">
                  <c:v>106.17162832812446</c:v>
                </c:pt>
                <c:pt idx="324">
                  <c:v>105.09263992608936</c:v>
                </c:pt>
                <c:pt idx="325">
                  <c:v>104.04505714580756</c:v>
                </c:pt>
                <c:pt idx="326">
                  <c:v>103.0329676544103</c:v>
                </c:pt>
                <c:pt idx="327">
                  <c:v>102.06045812939037</c:v>
                </c:pt>
                <c:pt idx="328">
                  <c:v>101.1316138544418</c:v>
                </c:pt>
                <c:pt idx="329">
                  <c:v>100.25052136669866</c:v>
                </c:pt>
                <c:pt idx="330">
                  <c:v>99.406666779610902</c:v>
                </c:pt>
                <c:pt idx="331">
                  <c:v>98.587805849738601</c:v>
                </c:pt>
                <c:pt idx="332">
                  <c:v>97.795213172465978</c:v>
                </c:pt>
                <c:pt idx="333">
                  <c:v>97.030866845866186</c:v>
                </c:pt>
                <c:pt idx="334">
                  <c:v>96.296745536531887</c:v>
                </c:pt>
                <c:pt idx="335">
                  <c:v>95.594828381120777</c:v>
                </c:pt>
                <c:pt idx="336">
                  <c:v>94.927094902619373</c:v>
                </c:pt>
                <c:pt idx="337">
                  <c:v>94.295116789961057</c:v>
                </c:pt>
                <c:pt idx="338">
                  <c:v>93.700156253060186</c:v>
                </c:pt>
                <c:pt idx="339">
                  <c:v>93.144205576122431</c:v>
                </c:pt>
                <c:pt idx="340">
                  <c:v>92.629255759827245</c:v>
                </c:pt>
                <c:pt idx="341">
                  <c:v>92.157296493795272</c:v>
                </c:pt>
                <c:pt idx="342">
                  <c:v>91.730316179346559</c:v>
                </c:pt>
                <c:pt idx="343">
                  <c:v>91.3503018282006</c:v>
                </c:pt>
                <c:pt idx="344">
                  <c:v>91.013871480639921</c:v>
                </c:pt>
                <c:pt idx="345">
                  <c:v>90.716447098592297</c:v>
                </c:pt>
                <c:pt idx="346">
                  <c:v>90.458414335102418</c:v>
                </c:pt>
                <c:pt idx="347">
                  <c:v>90.239962422766453</c:v>
                </c:pt>
                <c:pt idx="348">
                  <c:v>90.061279975699634</c:v>
                </c:pt>
                <c:pt idx="349">
                  <c:v>89.922554995935599</c:v>
                </c:pt>
                <c:pt idx="350">
                  <c:v>89.823974900782247</c:v>
                </c:pt>
                <c:pt idx="351">
                  <c:v>89.765625705108647</c:v>
                </c:pt>
                <c:pt idx="352">
                  <c:v>89.748087035280378</c:v>
                </c:pt>
                <c:pt idx="353">
                  <c:v>89.771543395381016</c:v>
                </c:pt>
                <c:pt idx="354">
                  <c:v>89.836178915626547</c:v>
                </c:pt>
                <c:pt idx="355">
                  <c:v>89.942177465812122</c:v>
                </c:pt>
                <c:pt idx="356">
                  <c:v>90.089723120754698</c:v>
                </c:pt>
                <c:pt idx="357">
                  <c:v>90.278998854895463</c:v>
                </c:pt>
                <c:pt idx="358">
                  <c:v>90.513888099337379</c:v>
                </c:pt>
                <c:pt idx="359">
                  <c:v>90.796955485213502</c:v>
                </c:pt>
                <c:pt idx="360">
                  <c:v>91.126017287677342</c:v>
                </c:pt>
                <c:pt idx="361">
                  <c:v>91.499380656248974</c:v>
                </c:pt>
                <c:pt idx="362">
                  <c:v>91.915252819357477</c:v>
                </c:pt>
                <c:pt idx="363">
                  <c:v>92.371841196698838</c:v>
                </c:pt>
                <c:pt idx="364">
                  <c:v>92.867353452917797</c:v>
                </c:pt>
                <c:pt idx="365">
                  <c:v>93.399997453466653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'2028'!$B$15:$B$380</c:f>
              <c:numCache>
                <c:formatCode>0.00</c:formatCode>
                <c:ptCount val="366"/>
                <c:pt idx="0">
                  <c:v>92.287825166844499</c:v>
                </c:pt>
                <c:pt idx="1">
                  <c:v>67.484020713176506</c:v>
                </c:pt>
                <c:pt idx="2">
                  <c:v>70.278283914033693</c:v>
                </c:pt>
                <c:pt idx="3">
                  <c:v>75.474891600335241</c:v>
                </c:pt>
                <c:pt idx="4">
                  <c:v>56.750434166064778</c:v>
                </c:pt>
                <c:pt idx="5">
                  <c:v>97.203898659006853</c:v>
                </c:pt>
                <c:pt idx="6">
                  <c:v>36.769952771033793</c:v>
                </c:pt>
                <c:pt idx="7">
                  <c:v>24.617828704736546</c:v>
                </c:pt>
                <c:pt idx="8">
                  <c:v>7.6859033938278776</c:v>
                </c:pt>
                <c:pt idx="9">
                  <c:v>7.065547046842223</c:v>
                </c:pt>
                <c:pt idx="10">
                  <c:v>94.726941796966557</c:v>
                </c:pt>
                <c:pt idx="11">
                  <c:v>81.215619924351003</c:v>
                </c:pt>
                <c:pt idx="12">
                  <c:v>26.060275456719555</c:v>
                </c:pt>
                <c:pt idx="13">
                  <c:v>103.93217292393122</c:v>
                </c:pt>
                <c:pt idx="14">
                  <c:v>105.52506183944053</c:v>
                </c:pt>
                <c:pt idx="15">
                  <c:v>104.94514377464564</c:v>
                </c:pt>
                <c:pt idx="16">
                  <c:v>82.412436479144688</c:v>
                </c:pt>
                <c:pt idx="17">
                  <c:v>21.585898975372508</c:v>
                </c:pt>
                <c:pt idx="18">
                  <c:v>44.083481211451591</c:v>
                </c:pt>
                <c:pt idx="19">
                  <c:v>22.720696771159652</c:v>
                </c:pt>
                <c:pt idx="20">
                  <c:v>57.043206666090633</c:v>
                </c:pt>
                <c:pt idx="21">
                  <c:v>109.55609985237965</c:v>
                </c:pt>
                <c:pt idx="22">
                  <c:v>111.36404346924722</c:v>
                </c:pt>
                <c:pt idx="23">
                  <c:v>112.74595530354631</c:v>
                </c:pt>
                <c:pt idx="24">
                  <c:v>111.71062211529262</c:v>
                </c:pt>
                <c:pt idx="25">
                  <c:v>113.68477922463065</c:v>
                </c:pt>
                <c:pt idx="26">
                  <c:v>115.54576051615072</c:v>
                </c:pt>
                <c:pt idx="27">
                  <c:v>17.903187271607116</c:v>
                </c:pt>
                <c:pt idx="28">
                  <c:v>28.063117834270702</c:v>
                </c:pt>
                <c:pt idx="29">
                  <c:v>25.286254984556805</c:v>
                </c:pt>
                <c:pt idx="30">
                  <c:v>25.133161533427511</c:v>
                </c:pt>
                <c:pt idx="31">
                  <c:v>54.791165624493381</c:v>
                </c:pt>
                <c:pt idx="32">
                  <c:v>24.440320583657005</c:v>
                </c:pt>
                <c:pt idx="33">
                  <c:v>54.864679836501494</c:v>
                </c:pt>
                <c:pt idx="34">
                  <c:v>49.922278015762267</c:v>
                </c:pt>
                <c:pt idx="35">
                  <c:v>41.853085633949156</c:v>
                </c:pt>
                <c:pt idx="36">
                  <c:v>88.802617956317278</c:v>
                </c:pt>
                <c:pt idx="37">
                  <c:v>40.12971673387878</c:v>
                </c:pt>
                <c:pt idx="38">
                  <c:v>134.29335436071068</c:v>
                </c:pt>
                <c:pt idx="39">
                  <c:v>133.66385760814038</c:v>
                </c:pt>
                <c:pt idx="40">
                  <c:v>125.55333834662859</c:v>
                </c:pt>
                <c:pt idx="41">
                  <c:v>62.628215400621457</c:v>
                </c:pt>
                <c:pt idx="42">
                  <c:v>104.89751070636714</c:v>
                </c:pt>
                <c:pt idx="43">
                  <c:v>127.9932601006972</c:v>
                </c:pt>
                <c:pt idx="44">
                  <c:v>72.985788514870237</c:v>
                </c:pt>
                <c:pt idx="45">
                  <c:v>77.068572994606214</c:v>
                </c:pt>
                <c:pt idx="46">
                  <c:v>29.768983552508612</c:v>
                </c:pt>
                <c:pt idx="47">
                  <c:v>43.859113940692538</c:v>
                </c:pt>
                <c:pt idx="48">
                  <c:v>124.70476488417512</c:v>
                </c:pt>
                <c:pt idx="49">
                  <c:v>71.082817493213682</c:v>
                </c:pt>
                <c:pt idx="50">
                  <c:v>89.435689711722745</c:v>
                </c:pt>
                <c:pt idx="51">
                  <c:v>97.327476907920357</c:v>
                </c:pt>
                <c:pt idx="52">
                  <c:v>130.29770240499383</c:v>
                </c:pt>
                <c:pt idx="53">
                  <c:v>134.64750168398203</c:v>
                </c:pt>
                <c:pt idx="54">
                  <c:v>85.350659345131518</c:v>
                </c:pt>
                <c:pt idx="55">
                  <c:v>120.8928794748673</c:v>
                </c:pt>
                <c:pt idx="56">
                  <c:v>160.42628396121702</c:v>
                </c:pt>
                <c:pt idx="57">
                  <c:v>106.74157203227936</c:v>
                </c:pt>
                <c:pt idx="58">
                  <c:v>144.81495000345453</c:v>
                </c:pt>
                <c:pt idx="59">
                  <c:v>162.70292521422894</c:v>
                </c:pt>
                <c:pt idx="60">
                  <c:v>49.794812208857685</c:v>
                </c:pt>
                <c:pt idx="61">
                  <c:v>150.1331377410288</c:v>
                </c:pt>
                <c:pt idx="62">
                  <c:v>19.170281012998856</c:v>
                </c:pt>
                <c:pt idx="63">
                  <c:v>63.308218471327329</c:v>
                </c:pt>
                <c:pt idx="64">
                  <c:v>89.381375558803143</c:v>
                </c:pt>
                <c:pt idx="65">
                  <c:v>132.79085347986327</c:v>
                </c:pt>
                <c:pt idx="66">
                  <c:v>122.43870907483475</c:v>
                </c:pt>
                <c:pt idx="67">
                  <c:v>131.89574624068479</c:v>
                </c:pt>
                <c:pt idx="68">
                  <c:v>94.810288987829594</c:v>
                </c:pt>
                <c:pt idx="69">
                  <c:v>64.894079359194379</c:v>
                </c:pt>
                <c:pt idx="70">
                  <c:v>60.735580469147408</c:v>
                </c:pt>
                <c:pt idx="71">
                  <c:v>53.639405220029353</c:v>
                </c:pt>
                <c:pt idx="72">
                  <c:v>52.64013054607976</c:v>
                </c:pt>
                <c:pt idx="73">
                  <c:v>56.162948767929926</c:v>
                </c:pt>
                <c:pt idx="74">
                  <c:v>37.328667524932115</c:v>
                </c:pt>
                <c:pt idx="75">
                  <c:v>47.946038495937557</c:v>
                </c:pt>
                <c:pt idx="76">
                  <c:v>50.620063159873169</c:v>
                </c:pt>
                <c:pt idx="77">
                  <c:v>115.03827876377136</c:v>
                </c:pt>
                <c:pt idx="78">
                  <c:v>122.87103408573718</c:v>
                </c:pt>
                <c:pt idx="79">
                  <c:v>177.07839347627132</c:v>
                </c:pt>
                <c:pt idx="80">
                  <c:v>157.66338342075792</c:v>
                </c:pt>
                <c:pt idx="81">
                  <c:v>188.72886211272274</c:v>
                </c:pt>
                <c:pt idx="82">
                  <c:v>187.15847282730419</c:v>
                </c:pt>
                <c:pt idx="83">
                  <c:v>159.45582012554837</c:v>
                </c:pt>
                <c:pt idx="84">
                  <c:v>175.81321306506237</c:v>
                </c:pt>
                <c:pt idx="85">
                  <c:v>177.72795705392775</c:v>
                </c:pt>
                <c:pt idx="86">
                  <c:v>140.13550971176898</c:v>
                </c:pt>
                <c:pt idx="87">
                  <c:v>110.19228651699413</c:v>
                </c:pt>
                <c:pt idx="88">
                  <c:v>28.94771999724059</c:v>
                </c:pt>
                <c:pt idx="89">
                  <c:v>83.755871495864724</c:v>
                </c:pt>
                <c:pt idx="90">
                  <c:v>142.17089290363191</c:v>
                </c:pt>
                <c:pt idx="91">
                  <c:v>69.54778364378285</c:v>
                </c:pt>
                <c:pt idx="92">
                  <c:v>111.64604845808238</c:v>
                </c:pt>
                <c:pt idx="93">
                  <c:v>170.33630708780456</c:v>
                </c:pt>
                <c:pt idx="94">
                  <c:v>208.70672442180751</c:v>
                </c:pt>
                <c:pt idx="95">
                  <c:v>51.817420651058278</c:v>
                </c:pt>
                <c:pt idx="96">
                  <c:v>159.24749093898006</c:v>
                </c:pt>
                <c:pt idx="97">
                  <c:v>126.75067060934462</c:v>
                </c:pt>
                <c:pt idx="98">
                  <c:v>136.82022347862687</c:v>
                </c:pt>
                <c:pt idx="99">
                  <c:v>213.60263235188305</c:v>
                </c:pt>
                <c:pt idx="100">
                  <c:v>171.79460744731719</c:v>
                </c:pt>
                <c:pt idx="101">
                  <c:v>143.84018671401225</c:v>
                </c:pt>
                <c:pt idx="102">
                  <c:v>23.86305288296683</c:v>
                </c:pt>
                <c:pt idx="103">
                  <c:v>171.31435847539635</c:v>
                </c:pt>
                <c:pt idx="104">
                  <c:v>180.8733875697657</c:v>
                </c:pt>
                <c:pt idx="105">
                  <c:v>181.96508601587277</c:v>
                </c:pt>
                <c:pt idx="106">
                  <c:v>218.28825589622693</c:v>
                </c:pt>
                <c:pt idx="107">
                  <c:v>161.10060253355948</c:v>
                </c:pt>
                <c:pt idx="108">
                  <c:v>36.387280474957677</c:v>
                </c:pt>
                <c:pt idx="109">
                  <c:v>41.267958122204426</c:v>
                </c:pt>
                <c:pt idx="110">
                  <c:v>36.774676635465852</c:v>
                </c:pt>
                <c:pt idx="111">
                  <c:v>111.90357889670894</c:v>
                </c:pt>
                <c:pt idx="112">
                  <c:v>40.768002447003013</c:v>
                </c:pt>
                <c:pt idx="113">
                  <c:v>110.11637668326026</c:v>
                </c:pt>
                <c:pt idx="114">
                  <c:v>186.15610694395008</c:v>
                </c:pt>
                <c:pt idx="115">
                  <c:v>218.75375038162051</c:v>
                </c:pt>
                <c:pt idx="116">
                  <c:v>155.83425312115872</c:v>
                </c:pt>
                <c:pt idx="117">
                  <c:v>90.76027254159041</c:v>
                </c:pt>
                <c:pt idx="118">
                  <c:v>167.7246897422759</c:v>
                </c:pt>
                <c:pt idx="119">
                  <c:v>157.04817825152432</c:v>
                </c:pt>
                <c:pt idx="120">
                  <c:v>194.83076131826584</c:v>
                </c:pt>
                <c:pt idx="121">
                  <c:v>115.60283326414533</c:v>
                </c:pt>
                <c:pt idx="122">
                  <c:v>131.63171045519573</c:v>
                </c:pt>
                <c:pt idx="123">
                  <c:v>77.259627115869435</c:v>
                </c:pt>
                <c:pt idx="124">
                  <c:v>162.76298571857632</c:v>
                </c:pt>
                <c:pt idx="125">
                  <c:v>151.41540484590502</c:v>
                </c:pt>
                <c:pt idx="126">
                  <c:v>192.02676834519843</c:v>
                </c:pt>
                <c:pt idx="127">
                  <c:v>209.78694609901993</c:v>
                </c:pt>
                <c:pt idx="128">
                  <c:v>226.20763375086585</c:v>
                </c:pt>
                <c:pt idx="129">
                  <c:v>216.48482931146154</c:v>
                </c:pt>
                <c:pt idx="130">
                  <c:v>233.17328020037695</c:v>
                </c:pt>
                <c:pt idx="131">
                  <c:v>175.13501048922222</c:v>
                </c:pt>
                <c:pt idx="132">
                  <c:v>166.4147654949478</c:v>
                </c:pt>
                <c:pt idx="133">
                  <c:v>205.32025906837617</c:v>
                </c:pt>
                <c:pt idx="134">
                  <c:v>216.03004885490864</c:v>
                </c:pt>
                <c:pt idx="135">
                  <c:v>208.91191243230995</c:v>
                </c:pt>
                <c:pt idx="136">
                  <c:v>227.74574494392726</c:v>
                </c:pt>
                <c:pt idx="137">
                  <c:v>218.73380942627725</c:v>
                </c:pt>
                <c:pt idx="138">
                  <c:v>223.27802352164329</c:v>
                </c:pt>
                <c:pt idx="139">
                  <c:v>200.26234493045843</c:v>
                </c:pt>
                <c:pt idx="140">
                  <c:v>207.49407560335652</c:v>
                </c:pt>
                <c:pt idx="141">
                  <c:v>154.52435379015532</c:v>
                </c:pt>
                <c:pt idx="142">
                  <c:v>73.046096036936106</c:v>
                </c:pt>
                <c:pt idx="143">
                  <c:v>68.220414238981093</c:v>
                </c:pt>
                <c:pt idx="144">
                  <c:v>169.28027480967805</c:v>
                </c:pt>
                <c:pt idx="145">
                  <c:v>108.86174028423973</c:v>
                </c:pt>
                <c:pt idx="146">
                  <c:v>183.27970866548145</c:v>
                </c:pt>
                <c:pt idx="147">
                  <c:v>225.49044961499928</c:v>
                </c:pt>
                <c:pt idx="148">
                  <c:v>245.62936177733852</c:v>
                </c:pt>
                <c:pt idx="149">
                  <c:v>207.05032119652756</c:v>
                </c:pt>
                <c:pt idx="150">
                  <c:v>226.90325479878379</c:v>
                </c:pt>
                <c:pt idx="151">
                  <c:v>236.87760426751916</c:v>
                </c:pt>
                <c:pt idx="152">
                  <c:v>166.61125523662761</c:v>
                </c:pt>
                <c:pt idx="153">
                  <c:v>228.89888628249821</c:v>
                </c:pt>
                <c:pt idx="154">
                  <c:v>99.728253741274202</c:v>
                </c:pt>
                <c:pt idx="155">
                  <c:v>129.20962157085154</c:v>
                </c:pt>
                <c:pt idx="156">
                  <c:v>189.8555233221407</c:v>
                </c:pt>
                <c:pt idx="157">
                  <c:v>118.3026417266128</c:v>
                </c:pt>
                <c:pt idx="158">
                  <c:v>90.132603267472646</c:v>
                </c:pt>
                <c:pt idx="159">
                  <c:v>191.21043525554063</c:v>
                </c:pt>
                <c:pt idx="160">
                  <c:v>241.72464838128698</c:v>
                </c:pt>
                <c:pt idx="161">
                  <c:v>229.58716884732701</c:v>
                </c:pt>
                <c:pt idx="162">
                  <c:v>181.25225286632039</c:v>
                </c:pt>
                <c:pt idx="163">
                  <c:v>222.91885718607335</c:v>
                </c:pt>
                <c:pt idx="164">
                  <c:v>201.26554096071754</c:v>
                </c:pt>
                <c:pt idx="165">
                  <c:v>225.92723407696795</c:v>
                </c:pt>
                <c:pt idx="166">
                  <c:v>213.28551488153889</c:v>
                </c:pt>
                <c:pt idx="167">
                  <c:v>219.93736292433834</c:v>
                </c:pt>
                <c:pt idx="168">
                  <c:v>226.74347952554484</c:v>
                </c:pt>
                <c:pt idx="169">
                  <c:v>231.04767329425016</c:v>
                </c:pt>
                <c:pt idx="170">
                  <c:v>124.42487032825645</c:v>
                </c:pt>
                <c:pt idx="171">
                  <c:v>88.743770010135407</c:v>
                </c:pt>
                <c:pt idx="172">
                  <c:v>175.4154753793544</c:v>
                </c:pt>
                <c:pt idx="173">
                  <c:v>171.62944624300553</c:v>
                </c:pt>
                <c:pt idx="174">
                  <c:v>171.49110062636325</c:v>
                </c:pt>
                <c:pt idx="175">
                  <c:v>146.27582214657099</c:v>
                </c:pt>
                <c:pt idx="176">
                  <c:v>48.645058163072491</c:v>
                </c:pt>
                <c:pt idx="177">
                  <c:v>56.830984565964634</c:v>
                </c:pt>
                <c:pt idx="178">
                  <c:v>248.47917262618535</c:v>
                </c:pt>
                <c:pt idx="179">
                  <c:v>235.9055910297451</c:v>
                </c:pt>
                <c:pt idx="180">
                  <c:v>55.081958333882987</c:v>
                </c:pt>
                <c:pt idx="181">
                  <c:v>211.22243215646714</c:v>
                </c:pt>
                <c:pt idx="182">
                  <c:v>233.42275856956877</c:v>
                </c:pt>
                <c:pt idx="183">
                  <c:v>193.32376170503093</c:v>
                </c:pt>
                <c:pt idx="184">
                  <c:v>188.58929130800664</c:v>
                </c:pt>
                <c:pt idx="185">
                  <c:v>226.85040766799682</c:v>
                </c:pt>
                <c:pt idx="186">
                  <c:v>180.07679406462495</c:v>
                </c:pt>
                <c:pt idx="187">
                  <c:v>223.7852600785782</c:v>
                </c:pt>
                <c:pt idx="188">
                  <c:v>237.32050724919279</c:v>
                </c:pt>
                <c:pt idx="189">
                  <c:v>234.83515993737259</c:v>
                </c:pt>
                <c:pt idx="190">
                  <c:v>232.94360008623289</c:v>
                </c:pt>
                <c:pt idx="191">
                  <c:v>226.63157705330232</c:v>
                </c:pt>
                <c:pt idx="192">
                  <c:v>223.97099618645083</c:v>
                </c:pt>
                <c:pt idx="193">
                  <c:v>224.09825368143908</c:v>
                </c:pt>
                <c:pt idx="194">
                  <c:v>221.67372485259355</c:v>
                </c:pt>
                <c:pt idx="195">
                  <c:v>212.63317256501202</c:v>
                </c:pt>
                <c:pt idx="196">
                  <c:v>218.23421408459703</c:v>
                </c:pt>
                <c:pt idx="197">
                  <c:v>217.51531625640425</c:v>
                </c:pt>
                <c:pt idx="198">
                  <c:v>221.08729205578302</c:v>
                </c:pt>
                <c:pt idx="199">
                  <c:v>156.47507300593608</c:v>
                </c:pt>
                <c:pt idx="200">
                  <c:v>160.43800148098387</c:v>
                </c:pt>
                <c:pt idx="201">
                  <c:v>214.32297137496244</c:v>
                </c:pt>
                <c:pt idx="202">
                  <c:v>162.58261659248737</c:v>
                </c:pt>
                <c:pt idx="203">
                  <c:v>187.10684929475619</c:v>
                </c:pt>
                <c:pt idx="204">
                  <c:v>217.13825328546727</c:v>
                </c:pt>
                <c:pt idx="205">
                  <c:v>116.89886108352043</c:v>
                </c:pt>
                <c:pt idx="206">
                  <c:v>208.58066632923808</c:v>
                </c:pt>
                <c:pt idx="207">
                  <c:v>228.89611223753121</c:v>
                </c:pt>
                <c:pt idx="208">
                  <c:v>184.89092003062353</c:v>
                </c:pt>
                <c:pt idx="209">
                  <c:v>112.30622416333911</c:v>
                </c:pt>
                <c:pt idx="210">
                  <c:v>194.38774610021494</c:v>
                </c:pt>
                <c:pt idx="211">
                  <c:v>222.44887238387412</c:v>
                </c:pt>
                <c:pt idx="212">
                  <c:v>221.36523320114867</c:v>
                </c:pt>
                <c:pt idx="213">
                  <c:v>221.41831874140871</c:v>
                </c:pt>
                <c:pt idx="214">
                  <c:v>210.2276824377669</c:v>
                </c:pt>
                <c:pt idx="215">
                  <c:v>199.50282751430433</c:v>
                </c:pt>
                <c:pt idx="216">
                  <c:v>185.61910668110662</c:v>
                </c:pt>
                <c:pt idx="217">
                  <c:v>199.09149152118761</c:v>
                </c:pt>
                <c:pt idx="218">
                  <c:v>212.75773564346346</c:v>
                </c:pt>
                <c:pt idx="219">
                  <c:v>216.48552776996621</c:v>
                </c:pt>
                <c:pt idx="220">
                  <c:v>206.31610786039877</c:v>
                </c:pt>
                <c:pt idx="221">
                  <c:v>200.55698559217637</c:v>
                </c:pt>
                <c:pt idx="222">
                  <c:v>186.1292626039376</c:v>
                </c:pt>
                <c:pt idx="223">
                  <c:v>194.99692651313856</c:v>
                </c:pt>
                <c:pt idx="224">
                  <c:v>135.54405610290291</c:v>
                </c:pt>
                <c:pt idx="225">
                  <c:v>148.67054959954467</c:v>
                </c:pt>
                <c:pt idx="226">
                  <c:v>153.03660606922719</c:v>
                </c:pt>
                <c:pt idx="227">
                  <c:v>137.6710825717125</c:v>
                </c:pt>
                <c:pt idx="228">
                  <c:v>106.02684735090375</c:v>
                </c:pt>
                <c:pt idx="229">
                  <c:v>130.1879984578637</c:v>
                </c:pt>
                <c:pt idx="230">
                  <c:v>140.46399832506026</c:v>
                </c:pt>
                <c:pt idx="231">
                  <c:v>205.17698298379878</c:v>
                </c:pt>
                <c:pt idx="232">
                  <c:v>130.8960954498792</c:v>
                </c:pt>
                <c:pt idx="233">
                  <c:v>103.22637634997584</c:v>
                </c:pt>
                <c:pt idx="234">
                  <c:v>179.15456664163742</c:v>
                </c:pt>
                <c:pt idx="235">
                  <c:v>190.81759254379966</c:v>
                </c:pt>
                <c:pt idx="236">
                  <c:v>133.65940499853525</c:v>
                </c:pt>
                <c:pt idx="237">
                  <c:v>180.46955621018992</c:v>
                </c:pt>
                <c:pt idx="238">
                  <c:v>197.41417077834384</c:v>
                </c:pt>
                <c:pt idx="239">
                  <c:v>194.41389294194988</c:v>
                </c:pt>
                <c:pt idx="240">
                  <c:v>130.87063679769616</c:v>
                </c:pt>
                <c:pt idx="241">
                  <c:v>194.32594877158414</c:v>
                </c:pt>
                <c:pt idx="242">
                  <c:v>86.447478266271858</c:v>
                </c:pt>
                <c:pt idx="243">
                  <c:v>171.93350848980484</c:v>
                </c:pt>
                <c:pt idx="244">
                  <c:v>169.46883627849061</c:v>
                </c:pt>
                <c:pt idx="245">
                  <c:v>132.37501490209095</c:v>
                </c:pt>
                <c:pt idx="246">
                  <c:v>186.46602705942342</c:v>
                </c:pt>
                <c:pt idx="247">
                  <c:v>164.68086470634614</c:v>
                </c:pt>
                <c:pt idx="248">
                  <c:v>184.67728537980182</c:v>
                </c:pt>
                <c:pt idx="249">
                  <c:v>140.36160017674743</c:v>
                </c:pt>
                <c:pt idx="250">
                  <c:v>163.16263074503215</c:v>
                </c:pt>
                <c:pt idx="251">
                  <c:v>87.26462303708422</c:v>
                </c:pt>
                <c:pt idx="252">
                  <c:v>181.53084512489164</c:v>
                </c:pt>
                <c:pt idx="253">
                  <c:v>185.03979087794488</c:v>
                </c:pt>
                <c:pt idx="254">
                  <c:v>128.11651420693323</c:v>
                </c:pt>
                <c:pt idx="255">
                  <c:v>46.12124193795124</c:v>
                </c:pt>
                <c:pt idx="256">
                  <c:v>147.08131880965266</c:v>
                </c:pt>
                <c:pt idx="257">
                  <c:v>164.57984109018753</c:v>
                </c:pt>
                <c:pt idx="258">
                  <c:v>105.06593866039806</c:v>
                </c:pt>
                <c:pt idx="259">
                  <c:v>190.92623131227336</c:v>
                </c:pt>
                <c:pt idx="260">
                  <c:v>184.37872571171323</c:v>
                </c:pt>
                <c:pt idx="261">
                  <c:v>181.92872103855248</c:v>
                </c:pt>
                <c:pt idx="262">
                  <c:v>186.06313396125068</c:v>
                </c:pt>
                <c:pt idx="263">
                  <c:v>181.0234876115415</c:v>
                </c:pt>
                <c:pt idx="264">
                  <c:v>175.83260214299293</c:v>
                </c:pt>
                <c:pt idx="265">
                  <c:v>112.74541160988348</c:v>
                </c:pt>
                <c:pt idx="266">
                  <c:v>75.846768753412618</c:v>
                </c:pt>
                <c:pt idx="267">
                  <c:v>131.73317001678708</c:v>
                </c:pt>
                <c:pt idx="268">
                  <c:v>133.33267119741197</c:v>
                </c:pt>
                <c:pt idx="269">
                  <c:v>61.230944917898945</c:v>
                </c:pt>
                <c:pt idx="270">
                  <c:v>61.414953161345117</c:v>
                </c:pt>
                <c:pt idx="271">
                  <c:v>91.392663607168629</c:v>
                </c:pt>
                <c:pt idx="272">
                  <c:v>131.04540734051528</c:v>
                </c:pt>
                <c:pt idx="273">
                  <c:v>148.53774055338212</c:v>
                </c:pt>
                <c:pt idx="274">
                  <c:v>153.7684209147202</c:v>
                </c:pt>
                <c:pt idx="275">
                  <c:v>144.4260521995655</c:v>
                </c:pt>
                <c:pt idx="276">
                  <c:v>165.25784581157407</c:v>
                </c:pt>
                <c:pt idx="277">
                  <c:v>167.94789369485216</c:v>
                </c:pt>
                <c:pt idx="278">
                  <c:v>56.389841261818361</c:v>
                </c:pt>
                <c:pt idx="279">
                  <c:v>115.87132587656791</c:v>
                </c:pt>
                <c:pt idx="280">
                  <c:v>64.738024210442958</c:v>
                </c:pt>
                <c:pt idx="281">
                  <c:v>152.6495858280428</c:v>
                </c:pt>
                <c:pt idx="282">
                  <c:v>122.12511133738413</c:v>
                </c:pt>
                <c:pt idx="283">
                  <c:v>94.015534178948911</c:v>
                </c:pt>
                <c:pt idx="284">
                  <c:v>118.08296407377378</c:v>
                </c:pt>
                <c:pt idx="285">
                  <c:v>91.293198623679686</c:v>
                </c:pt>
                <c:pt idx="286">
                  <c:v>81.358765664631463</c:v>
                </c:pt>
                <c:pt idx="287">
                  <c:v>148.61574216819753</c:v>
                </c:pt>
                <c:pt idx="288">
                  <c:v>133.23904445995763</c:v>
                </c:pt>
                <c:pt idx="289">
                  <c:v>85.382012047266571</c:v>
                </c:pt>
                <c:pt idx="290">
                  <c:v>136.30348609475203</c:v>
                </c:pt>
                <c:pt idx="291">
                  <c:v>60.159851570781079</c:v>
                </c:pt>
                <c:pt idx="292">
                  <c:v>38.282356854643346</c:v>
                </c:pt>
                <c:pt idx="293">
                  <c:v>62.375424939587418</c:v>
                </c:pt>
                <c:pt idx="294">
                  <c:v>130.72379631213764</c:v>
                </c:pt>
                <c:pt idx="295">
                  <c:v>79.386967759742518</c:v>
                </c:pt>
                <c:pt idx="296">
                  <c:v>102.10532334280889</c:v>
                </c:pt>
                <c:pt idx="297">
                  <c:v>88.290313797175358</c:v>
                </c:pt>
                <c:pt idx="298">
                  <c:v>58.300674888565716</c:v>
                </c:pt>
                <c:pt idx="299">
                  <c:v>52.317834079499512</c:v>
                </c:pt>
                <c:pt idx="300">
                  <c:v>69.030360591589385</c:v>
                </c:pt>
                <c:pt idx="301">
                  <c:v>100.19925128012156</c:v>
                </c:pt>
                <c:pt idx="302">
                  <c:v>83.757167750058187</c:v>
                </c:pt>
                <c:pt idx="303">
                  <c:v>84.78417216132533</c:v>
                </c:pt>
                <c:pt idx="304">
                  <c:v>84.128040036511209</c:v>
                </c:pt>
                <c:pt idx="305">
                  <c:v>111.72299360041488</c:v>
                </c:pt>
                <c:pt idx="306">
                  <c:v>42.655267437096064</c:v>
                </c:pt>
                <c:pt idx="307">
                  <c:v>50.544496259127939</c:v>
                </c:pt>
                <c:pt idx="308">
                  <c:v>118.84168937640102</c:v>
                </c:pt>
                <c:pt idx="309">
                  <c:v>119.23709778784635</c:v>
                </c:pt>
                <c:pt idx="310">
                  <c:v>115.10603742987188</c:v>
                </c:pt>
                <c:pt idx="311">
                  <c:v>77.036465924554776</c:v>
                </c:pt>
                <c:pt idx="312">
                  <c:v>43.457273380180531</c:v>
                </c:pt>
                <c:pt idx="313">
                  <c:v>90.223861303959808</c:v>
                </c:pt>
                <c:pt idx="314">
                  <c:v>109.76746825451578</c:v>
                </c:pt>
                <c:pt idx="315">
                  <c:v>108.22950674309834</c:v>
                </c:pt>
                <c:pt idx="316">
                  <c:v>106.87640736642095</c:v>
                </c:pt>
                <c:pt idx="317">
                  <c:v>40.778189349969729</c:v>
                </c:pt>
                <c:pt idx="318">
                  <c:v>51.294135048399596</c:v>
                </c:pt>
                <c:pt idx="319">
                  <c:v>106.92349382665114</c:v>
                </c:pt>
                <c:pt idx="320">
                  <c:v>63.493307008250504</c:v>
                </c:pt>
                <c:pt idx="321">
                  <c:v>50.384842265795882</c:v>
                </c:pt>
                <c:pt idx="322">
                  <c:v>23.957317722748545</c:v>
                </c:pt>
                <c:pt idx="323">
                  <c:v>70.051907990801595</c:v>
                </c:pt>
                <c:pt idx="324">
                  <c:v>13.876675120549148</c:v>
                </c:pt>
                <c:pt idx="325">
                  <c:v>33.689536016706604</c:v>
                </c:pt>
                <c:pt idx="326">
                  <c:v>55.560602330741126</c:v>
                </c:pt>
                <c:pt idx="327">
                  <c:v>54.672816685916835</c:v>
                </c:pt>
                <c:pt idx="328">
                  <c:v>17.704365118318893</c:v>
                </c:pt>
                <c:pt idx="329">
                  <c:v>53.294686763988061</c:v>
                </c:pt>
                <c:pt idx="330">
                  <c:v>58.049479405592244</c:v>
                </c:pt>
                <c:pt idx="331">
                  <c:v>37.736341035071412</c:v>
                </c:pt>
                <c:pt idx="332">
                  <c:v>53.765401092151805</c:v>
                </c:pt>
                <c:pt idx="333">
                  <c:v>21.327421614527587</c:v>
                </c:pt>
                <c:pt idx="334">
                  <c:v>16.019238067899657</c:v>
                </c:pt>
                <c:pt idx="335">
                  <c:v>25.832464007043196</c:v>
                </c:pt>
                <c:pt idx="336">
                  <c:v>35.421636274449099</c:v>
                </c:pt>
                <c:pt idx="337">
                  <c:v>76.002435616400078</c:v>
                </c:pt>
                <c:pt idx="338">
                  <c:v>95.384079442061875</c:v>
                </c:pt>
                <c:pt idx="339">
                  <c:v>49.570818094467079</c:v>
                </c:pt>
                <c:pt idx="340">
                  <c:v>76.680796762598249</c:v>
                </c:pt>
                <c:pt idx="341">
                  <c:v>14.510705273417949</c:v>
                </c:pt>
                <c:pt idx="342">
                  <c:v>27.893590944520376</c:v>
                </c:pt>
                <c:pt idx="343">
                  <c:v>67.234425328240732</c:v>
                </c:pt>
                <c:pt idx="344">
                  <c:v>63.291827890164598</c:v>
                </c:pt>
                <c:pt idx="345">
                  <c:v>22.072533783336947</c:v>
                </c:pt>
                <c:pt idx="346">
                  <c:v>22.989783624077564</c:v>
                </c:pt>
                <c:pt idx="347">
                  <c:v>67.469939998638651</c:v>
                </c:pt>
                <c:pt idx="348">
                  <c:v>33.581614440553068</c:v>
                </c:pt>
                <c:pt idx="349">
                  <c:v>20.467228358199499</c:v>
                </c:pt>
                <c:pt idx="350">
                  <c:v>12.698609944454565</c:v>
                </c:pt>
                <c:pt idx="351">
                  <c:v>69.166792843262058</c:v>
                </c:pt>
                <c:pt idx="352">
                  <c:v>66.482321538395112</c:v>
                </c:pt>
                <c:pt idx="353">
                  <c:v>17.380609788208069</c:v>
                </c:pt>
                <c:pt idx="354">
                  <c:v>82.125084909248798</c:v>
                </c:pt>
                <c:pt idx="355">
                  <c:v>68.408302471683598</c:v>
                </c:pt>
                <c:pt idx="356">
                  <c:v>70.167049604428513</c:v>
                </c:pt>
                <c:pt idx="357">
                  <c:v>85.179444212488917</c:v>
                </c:pt>
                <c:pt idx="358">
                  <c:v>47.989373915905077</c:v>
                </c:pt>
                <c:pt idx="359">
                  <c:v>81.995125801214016</c:v>
                </c:pt>
                <c:pt idx="360">
                  <c:v>25.413959823349291</c:v>
                </c:pt>
                <c:pt idx="361">
                  <c:v>66.694436851531037</c:v>
                </c:pt>
                <c:pt idx="362">
                  <c:v>41.245207566602993</c:v>
                </c:pt>
                <c:pt idx="363">
                  <c:v>59.06445470884676</c:v>
                </c:pt>
                <c:pt idx="364">
                  <c:v>47.276453886641015</c:v>
                </c:pt>
                <c:pt idx="365">
                  <c:v>59.18490128012894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'2028'!$W$14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'2028'!$W$15:$W$380</c:f>
              <c:numCache>
                <c:formatCode>0.00</c:formatCode>
                <c:ptCount val="366"/>
                <c:pt idx="0">
                  <c:v>92.287825166844499</c:v>
                </c:pt>
                <c:pt idx="1">
                  <c:v>67.484020713176506</c:v>
                </c:pt>
                <c:pt idx="2">
                  <c:v>70.278283914033693</c:v>
                </c:pt>
                <c:pt idx="3">
                  <c:v>75.474891600335241</c:v>
                </c:pt>
                <c:pt idx="4">
                  <c:v>56.750434166064778</c:v>
                </c:pt>
                <c:pt idx="5">
                  <c:v>97.203898659006853</c:v>
                </c:pt>
                <c:pt idx="6">
                  <c:v>36.769952771033793</c:v>
                </c:pt>
                <c:pt idx="7">
                  <c:v>24.617828704736546</c:v>
                </c:pt>
                <c:pt idx="8">
                  <c:v>7.6859033938278776</c:v>
                </c:pt>
                <c:pt idx="9">
                  <c:v>7.065547046842223</c:v>
                </c:pt>
                <c:pt idx="10">
                  <c:v>94.726941796966557</c:v>
                </c:pt>
                <c:pt idx="11">
                  <c:v>81.215619924351003</c:v>
                </c:pt>
                <c:pt idx="12">
                  <c:v>26.060275456719555</c:v>
                </c:pt>
                <c:pt idx="13">
                  <c:v>103.93217292393122</c:v>
                </c:pt>
                <c:pt idx="14">
                  <c:v>105.52506183944053</c:v>
                </c:pt>
                <c:pt idx="15">
                  <c:v>104.94514377464564</c:v>
                </c:pt>
                <c:pt idx="16">
                  <c:v>82.412436479144688</c:v>
                </c:pt>
                <c:pt idx="17">
                  <c:v>21.585898975372508</c:v>
                </c:pt>
                <c:pt idx="18">
                  <c:v>44.083481211451591</c:v>
                </c:pt>
                <c:pt idx="19">
                  <c:v>22.720696771159652</c:v>
                </c:pt>
                <c:pt idx="20">
                  <c:v>57.043206666090633</c:v>
                </c:pt>
                <c:pt idx="21">
                  <c:v>109.55609985237965</c:v>
                </c:pt>
                <c:pt idx="22">
                  <c:v>111.36404346924722</c:v>
                </c:pt>
                <c:pt idx="23">
                  <c:v>112.74595530354631</c:v>
                </c:pt>
                <c:pt idx="24">
                  <c:v>111.71062211529262</c:v>
                </c:pt>
                <c:pt idx="25">
                  <c:v>113.68477922463065</c:v>
                </c:pt>
                <c:pt idx="26">
                  <c:v>115.54576051615072</c:v>
                </c:pt>
                <c:pt idx="27">
                  <c:v>17.903187271607116</c:v>
                </c:pt>
                <c:pt idx="28">
                  <c:v>28.063117834270702</c:v>
                </c:pt>
                <c:pt idx="29">
                  <c:v>25.286254984556805</c:v>
                </c:pt>
                <c:pt idx="30">
                  <c:v>25.133161533427511</c:v>
                </c:pt>
                <c:pt idx="31">
                  <c:v>54.791165624493381</c:v>
                </c:pt>
                <c:pt idx="32">
                  <c:v>24.440320583657005</c:v>
                </c:pt>
                <c:pt idx="33">
                  <c:v>54.864679836501494</c:v>
                </c:pt>
                <c:pt idx="34">
                  <c:v>49.922278015762267</c:v>
                </c:pt>
                <c:pt idx="35">
                  <c:v>41.853085633949156</c:v>
                </c:pt>
                <c:pt idx="36">
                  <c:v>88.802617956317278</c:v>
                </c:pt>
                <c:pt idx="37">
                  <c:v>40.12971673387878</c:v>
                </c:pt>
                <c:pt idx="38">
                  <c:v>134.29335436071068</c:v>
                </c:pt>
                <c:pt idx="39">
                  <c:v>133.66385760814038</c:v>
                </c:pt>
                <c:pt idx="40">
                  <c:v>125.55333834662859</c:v>
                </c:pt>
                <c:pt idx="41">
                  <c:v>62.628215400621457</c:v>
                </c:pt>
                <c:pt idx="42">
                  <c:v>104.89751070636714</c:v>
                </c:pt>
                <c:pt idx="43">
                  <c:v>127.9932601006972</c:v>
                </c:pt>
                <c:pt idx="44">
                  <c:v>72.985788514870237</c:v>
                </c:pt>
                <c:pt idx="45">
                  <c:v>77.068572994606214</c:v>
                </c:pt>
                <c:pt idx="46">
                  <c:v>29.768983552508612</c:v>
                </c:pt>
                <c:pt idx="47">
                  <c:v>43.859113940692538</c:v>
                </c:pt>
                <c:pt idx="48">
                  <c:v>124.70476488417512</c:v>
                </c:pt>
                <c:pt idx="49">
                  <c:v>71.082817493213682</c:v>
                </c:pt>
                <c:pt idx="50">
                  <c:v>89.435689711722745</c:v>
                </c:pt>
                <c:pt idx="51">
                  <c:v>97.327476907920357</c:v>
                </c:pt>
                <c:pt idx="52">
                  <c:v>130.29770240499383</c:v>
                </c:pt>
                <c:pt idx="53">
                  <c:v>134.64750168398203</c:v>
                </c:pt>
                <c:pt idx="54">
                  <c:v>85.350659345131518</c:v>
                </c:pt>
                <c:pt idx="55">
                  <c:v>120.8928794748673</c:v>
                </c:pt>
                <c:pt idx="56">
                  <c:v>160.42628396121702</c:v>
                </c:pt>
                <c:pt idx="57">
                  <c:v>106.74157203227936</c:v>
                </c:pt>
                <c:pt idx="58">
                  <c:v>144.81495000345453</c:v>
                </c:pt>
                <c:pt idx="59">
                  <c:v>162.70292521422894</c:v>
                </c:pt>
                <c:pt idx="60">
                  <c:v>49.794812208857685</c:v>
                </c:pt>
                <c:pt idx="61">
                  <c:v>150.1331377410288</c:v>
                </c:pt>
                <c:pt idx="62">
                  <c:v>19.170281012998856</c:v>
                </c:pt>
                <c:pt idx="63">
                  <c:v>63.308218471327329</c:v>
                </c:pt>
                <c:pt idx="64">
                  <c:v>89.381375558803143</c:v>
                </c:pt>
                <c:pt idx="65">
                  <c:v>132.79085347986327</c:v>
                </c:pt>
                <c:pt idx="66">
                  <c:v>122.43870907483475</c:v>
                </c:pt>
                <c:pt idx="67">
                  <c:v>131.89574624068479</c:v>
                </c:pt>
                <c:pt idx="68">
                  <c:v>94.810288987829594</c:v>
                </c:pt>
                <c:pt idx="69">
                  <c:v>64.894079359194379</c:v>
                </c:pt>
                <c:pt idx="70">
                  <c:v>60.735580469147408</c:v>
                </c:pt>
                <c:pt idx="71">
                  <c:v>53.639405220029353</c:v>
                </c:pt>
                <c:pt idx="72">
                  <c:v>52.64013054607976</c:v>
                </c:pt>
                <c:pt idx="73">
                  <c:v>56.162948767929926</c:v>
                </c:pt>
                <c:pt idx="74">
                  <c:v>37.328667524932115</c:v>
                </c:pt>
                <c:pt idx="75">
                  <c:v>47.946038495937557</c:v>
                </c:pt>
                <c:pt idx="76">
                  <c:v>50.620063159873169</c:v>
                </c:pt>
                <c:pt idx="77">
                  <c:v>115.03827876377136</c:v>
                </c:pt>
                <c:pt idx="78">
                  <c:v>122.87103408573718</c:v>
                </c:pt>
                <c:pt idx="79">
                  <c:v>177.07839347627132</c:v>
                </c:pt>
                <c:pt idx="80">
                  <c:v>157.66338342075792</c:v>
                </c:pt>
                <c:pt idx="81">
                  <c:v>188.72886211272274</c:v>
                </c:pt>
                <c:pt idx="82">
                  <c:v>187.15847282730419</c:v>
                </c:pt>
                <c:pt idx="83">
                  <c:v>159.45582012554837</c:v>
                </c:pt>
                <c:pt idx="84">
                  <c:v>175.81321306506237</c:v>
                </c:pt>
                <c:pt idx="85">
                  <c:v>177.72795705392775</c:v>
                </c:pt>
                <c:pt idx="86">
                  <c:v>140.13550971176898</c:v>
                </c:pt>
                <c:pt idx="87">
                  <c:v>110.19228651699413</c:v>
                </c:pt>
                <c:pt idx="88">
                  <c:v>28.94771999724059</c:v>
                </c:pt>
                <c:pt idx="89">
                  <c:v>83.755871495864724</c:v>
                </c:pt>
                <c:pt idx="90">
                  <c:v>142.17089290363191</c:v>
                </c:pt>
                <c:pt idx="91">
                  <c:v>69.54778364378285</c:v>
                </c:pt>
                <c:pt idx="92">
                  <c:v>111.64604845808238</c:v>
                </c:pt>
                <c:pt idx="93">
                  <c:v>170.33630708780456</c:v>
                </c:pt>
                <c:pt idx="94">
                  <c:v>208.70672442180751</c:v>
                </c:pt>
                <c:pt idx="95">
                  <c:v>51.817420651058278</c:v>
                </c:pt>
                <c:pt idx="96">
                  <c:v>159.24749093898006</c:v>
                </c:pt>
                <c:pt idx="97">
                  <c:v>126.75067060934462</c:v>
                </c:pt>
                <c:pt idx="98">
                  <c:v>136.82022347862687</c:v>
                </c:pt>
                <c:pt idx="99">
                  <c:v>213.60263235188305</c:v>
                </c:pt>
                <c:pt idx="100">
                  <c:v>171.79460744731719</c:v>
                </c:pt>
                <c:pt idx="101">
                  <c:v>143.84018671401225</c:v>
                </c:pt>
                <c:pt idx="102">
                  <c:v>23.86305288296683</c:v>
                </c:pt>
                <c:pt idx="103">
                  <c:v>171.31435847539635</c:v>
                </c:pt>
                <c:pt idx="104">
                  <c:v>180.8733875697657</c:v>
                </c:pt>
                <c:pt idx="105">
                  <c:v>181.96508601587277</c:v>
                </c:pt>
                <c:pt idx="106">
                  <c:v>218.28825589622693</c:v>
                </c:pt>
                <c:pt idx="107">
                  <c:v>161.10060253355948</c:v>
                </c:pt>
                <c:pt idx="108">
                  <c:v>36.387280474957677</c:v>
                </c:pt>
                <c:pt idx="109">
                  <c:v>41.267958122204426</c:v>
                </c:pt>
                <c:pt idx="110">
                  <c:v>36.774676635465852</c:v>
                </c:pt>
                <c:pt idx="111">
                  <c:v>111.90357889670894</c:v>
                </c:pt>
                <c:pt idx="112">
                  <c:v>40.768002447003013</c:v>
                </c:pt>
                <c:pt idx="113">
                  <c:v>110.11637668326026</c:v>
                </c:pt>
                <c:pt idx="114">
                  <c:v>186.15610694395008</c:v>
                </c:pt>
                <c:pt idx="115">
                  <c:v>218.75375038162051</c:v>
                </c:pt>
                <c:pt idx="116">
                  <c:v>155.83425312115872</c:v>
                </c:pt>
                <c:pt idx="117">
                  <c:v>90.76027254159041</c:v>
                </c:pt>
                <c:pt idx="118">
                  <c:v>167.7246897422759</c:v>
                </c:pt>
                <c:pt idx="119">
                  <c:v>157.04817825152432</c:v>
                </c:pt>
                <c:pt idx="120">
                  <c:v>194.83076131826584</c:v>
                </c:pt>
                <c:pt idx="121">
                  <c:v>115.60283326414533</c:v>
                </c:pt>
                <c:pt idx="122">
                  <c:v>131.63171045519573</c:v>
                </c:pt>
                <c:pt idx="123">
                  <c:v>77.259627115869435</c:v>
                </c:pt>
                <c:pt idx="124">
                  <c:v>162.76298571857632</c:v>
                </c:pt>
                <c:pt idx="125">
                  <c:v>151.41540484590502</c:v>
                </c:pt>
                <c:pt idx="126">
                  <c:v>192.02676834519843</c:v>
                </c:pt>
                <c:pt idx="127">
                  <c:v>209.78694609901993</c:v>
                </c:pt>
                <c:pt idx="128">
                  <c:v>226.20763375086585</c:v>
                </c:pt>
                <c:pt idx="129">
                  <c:v>216.48482931146154</c:v>
                </c:pt>
                <c:pt idx="130">
                  <c:v>233.17328020037695</c:v>
                </c:pt>
                <c:pt idx="131">
                  <c:v>175.13501048922222</c:v>
                </c:pt>
                <c:pt idx="132">
                  <c:v>166.4147654949478</c:v>
                </c:pt>
                <c:pt idx="133">
                  <c:v>205.32025906837617</c:v>
                </c:pt>
                <c:pt idx="134">
                  <c:v>216.03004885490864</c:v>
                </c:pt>
                <c:pt idx="135">
                  <c:v>208.91191243230995</c:v>
                </c:pt>
                <c:pt idx="136">
                  <c:v>227.74574494392726</c:v>
                </c:pt>
                <c:pt idx="137">
                  <c:v>218.73380942627725</c:v>
                </c:pt>
                <c:pt idx="138">
                  <c:v>223.27802352164329</c:v>
                </c:pt>
                <c:pt idx="139">
                  <c:v>200.26234493045843</c:v>
                </c:pt>
                <c:pt idx="140">
                  <c:v>207.49407560335652</c:v>
                </c:pt>
                <c:pt idx="141">
                  <c:v>154.52435379015532</c:v>
                </c:pt>
                <c:pt idx="142">
                  <c:v>73.046096036936106</c:v>
                </c:pt>
                <c:pt idx="143">
                  <c:v>68.220414238981093</c:v>
                </c:pt>
                <c:pt idx="144">
                  <c:v>169.28027480967805</c:v>
                </c:pt>
                <c:pt idx="145">
                  <c:v>108.86174028423973</c:v>
                </c:pt>
                <c:pt idx="146">
                  <c:v>183.27970866548145</c:v>
                </c:pt>
                <c:pt idx="147">
                  <c:v>225.49044961499928</c:v>
                </c:pt>
                <c:pt idx="148">
                  <c:v>245.62936177733852</c:v>
                </c:pt>
                <c:pt idx="149">
                  <c:v>207.05032119652756</c:v>
                </c:pt>
                <c:pt idx="150">
                  <c:v>226.90325479878379</c:v>
                </c:pt>
                <c:pt idx="151">
                  <c:v>236.87760426751916</c:v>
                </c:pt>
                <c:pt idx="152">
                  <c:v>166.61125523662761</c:v>
                </c:pt>
                <c:pt idx="153">
                  <c:v>228.89888628249821</c:v>
                </c:pt>
                <c:pt idx="154">
                  <c:v>99.728253741274202</c:v>
                </c:pt>
                <c:pt idx="155">
                  <c:v>129.20962157085154</c:v>
                </c:pt>
                <c:pt idx="156">
                  <c:v>189.8555233221407</c:v>
                </c:pt>
                <c:pt idx="157">
                  <c:v>118.3026417266128</c:v>
                </c:pt>
                <c:pt idx="158">
                  <c:v>90.132603267472646</c:v>
                </c:pt>
                <c:pt idx="159">
                  <c:v>191.21043525554063</c:v>
                </c:pt>
                <c:pt idx="160">
                  <c:v>241.72464838128698</c:v>
                </c:pt>
                <c:pt idx="161">
                  <c:v>229.58716884732701</c:v>
                </c:pt>
                <c:pt idx="162">
                  <c:v>181.25225286632039</c:v>
                </c:pt>
                <c:pt idx="163">
                  <c:v>222.91885718607335</c:v>
                </c:pt>
                <c:pt idx="164">
                  <c:v>201.26554096071754</c:v>
                </c:pt>
                <c:pt idx="165">
                  <c:v>225.92723407696795</c:v>
                </c:pt>
                <c:pt idx="166">
                  <c:v>213.28551488153889</c:v>
                </c:pt>
                <c:pt idx="167">
                  <c:v>219.93736292433834</c:v>
                </c:pt>
                <c:pt idx="168">
                  <c:v>226.74347952554484</c:v>
                </c:pt>
                <c:pt idx="169">
                  <c:v>231.04767329425016</c:v>
                </c:pt>
                <c:pt idx="170">
                  <c:v>124.42487032825645</c:v>
                </c:pt>
                <c:pt idx="171">
                  <c:v>88.743770010135407</c:v>
                </c:pt>
                <c:pt idx="172">
                  <c:v>175.4154753793544</c:v>
                </c:pt>
                <c:pt idx="173">
                  <c:v>171.62944624300553</c:v>
                </c:pt>
                <c:pt idx="174">
                  <c:v>171.49110062636325</c:v>
                </c:pt>
                <c:pt idx="175">
                  <c:v>146.27582214657099</c:v>
                </c:pt>
                <c:pt idx="176">
                  <c:v>48.645058163072491</c:v>
                </c:pt>
                <c:pt idx="177">
                  <c:v>56.830984565964634</c:v>
                </c:pt>
                <c:pt idx="178">
                  <c:v>248.47917262618535</c:v>
                </c:pt>
                <c:pt idx="179">
                  <c:v>235.9055910297451</c:v>
                </c:pt>
                <c:pt idx="180">
                  <c:v>55.081958333882987</c:v>
                </c:pt>
                <c:pt idx="181">
                  <c:v>211.22243215646714</c:v>
                </c:pt>
                <c:pt idx="182">
                  <c:v>233.42275856956877</c:v>
                </c:pt>
                <c:pt idx="183">
                  <c:v>193.32376170503093</c:v>
                </c:pt>
                <c:pt idx="184">
                  <c:v>188.58929130800664</c:v>
                </c:pt>
                <c:pt idx="185">
                  <c:v>226.85040766799682</c:v>
                </c:pt>
                <c:pt idx="186">
                  <c:v>180.07679406462495</c:v>
                </c:pt>
                <c:pt idx="187">
                  <c:v>223.7852600785782</c:v>
                </c:pt>
                <c:pt idx="188">
                  <c:v>237.32050724919279</c:v>
                </c:pt>
                <c:pt idx="189">
                  <c:v>234.83515993737259</c:v>
                </c:pt>
                <c:pt idx="190">
                  <c:v>232.94360008623289</c:v>
                </c:pt>
                <c:pt idx="191">
                  <c:v>226.63157705330232</c:v>
                </c:pt>
                <c:pt idx="192">
                  <c:v>223.97099618645083</c:v>
                </c:pt>
                <c:pt idx="193">
                  <c:v>224.09825368143908</c:v>
                </c:pt>
                <c:pt idx="194">
                  <c:v>221.67372485259355</c:v>
                </c:pt>
                <c:pt idx="195">
                  <c:v>212.63317256501202</c:v>
                </c:pt>
                <c:pt idx="196">
                  <c:v>218.23421408459703</c:v>
                </c:pt>
                <c:pt idx="197">
                  <c:v>217.51531625640425</c:v>
                </c:pt>
                <c:pt idx="198">
                  <c:v>221.08729205578302</c:v>
                </c:pt>
                <c:pt idx="199">
                  <c:v>156.47507300593608</c:v>
                </c:pt>
                <c:pt idx="200">
                  <c:v>160.43800148098387</c:v>
                </c:pt>
                <c:pt idx="201">
                  <c:v>214.32297137496244</c:v>
                </c:pt>
                <c:pt idx="202">
                  <c:v>162.58261659248737</c:v>
                </c:pt>
                <c:pt idx="203">
                  <c:v>187.10684929475619</c:v>
                </c:pt>
                <c:pt idx="204">
                  <c:v>217.13825328546727</c:v>
                </c:pt>
                <c:pt idx="205">
                  <c:v>116.89886108352043</c:v>
                </c:pt>
                <c:pt idx="206">
                  <c:v>208.58066632923808</c:v>
                </c:pt>
                <c:pt idx="207">
                  <c:v>228.89611223753121</c:v>
                </c:pt>
                <c:pt idx="208">
                  <c:v>184.89092003062353</c:v>
                </c:pt>
                <c:pt idx="209">
                  <c:v>112.30622416333911</c:v>
                </c:pt>
                <c:pt idx="210">
                  <c:v>194.38774610021494</c:v>
                </c:pt>
                <c:pt idx="211">
                  <c:v>222.44887238387412</c:v>
                </c:pt>
                <c:pt idx="212">
                  <c:v>221.36523320114867</c:v>
                </c:pt>
                <c:pt idx="213">
                  <c:v>221.41831874140871</c:v>
                </c:pt>
                <c:pt idx="214">
                  <c:v>210.2276824377669</c:v>
                </c:pt>
                <c:pt idx="215">
                  <c:v>199.50282751430433</c:v>
                </c:pt>
                <c:pt idx="216">
                  <c:v>185.61910668110662</c:v>
                </c:pt>
                <c:pt idx="217">
                  <c:v>199.09149152118761</c:v>
                </c:pt>
                <c:pt idx="218">
                  <c:v>212.75773564346346</c:v>
                </c:pt>
                <c:pt idx="219">
                  <c:v>216.48552776996621</c:v>
                </c:pt>
                <c:pt idx="220">
                  <c:v>206.31610786039877</c:v>
                </c:pt>
                <c:pt idx="221">
                  <c:v>200.55698559217637</c:v>
                </c:pt>
                <c:pt idx="222">
                  <c:v>186.1292626039376</c:v>
                </c:pt>
                <c:pt idx="223">
                  <c:v>194.99692651313856</c:v>
                </c:pt>
                <c:pt idx="224">
                  <c:v>135.54405610290291</c:v>
                </c:pt>
                <c:pt idx="225">
                  <c:v>148.67054959954467</c:v>
                </c:pt>
                <c:pt idx="226">
                  <c:v>153.03660606922719</c:v>
                </c:pt>
                <c:pt idx="227">
                  <c:v>137.6710825717125</c:v>
                </c:pt>
                <c:pt idx="228">
                  <c:v>106.02684735090375</c:v>
                </c:pt>
                <c:pt idx="229">
                  <c:v>130.1879984578637</c:v>
                </c:pt>
                <c:pt idx="230">
                  <c:v>140.46399832506026</c:v>
                </c:pt>
                <c:pt idx="231">
                  <c:v>205.17698298379878</c:v>
                </c:pt>
                <c:pt idx="232">
                  <c:v>130.8960954498792</c:v>
                </c:pt>
                <c:pt idx="233">
                  <c:v>103.22637634997584</c:v>
                </c:pt>
                <c:pt idx="234">
                  <c:v>179.15456664163742</c:v>
                </c:pt>
                <c:pt idx="235">
                  <c:v>190.81759254379966</c:v>
                </c:pt>
                <c:pt idx="236">
                  <c:v>133.65940499853525</c:v>
                </c:pt>
                <c:pt idx="237">
                  <c:v>180.46955621018992</c:v>
                </c:pt>
                <c:pt idx="238">
                  <c:v>197.41417077834384</c:v>
                </c:pt>
                <c:pt idx="239">
                  <c:v>194.41389294194988</c:v>
                </c:pt>
                <c:pt idx="240">
                  <c:v>130.87063679769616</c:v>
                </c:pt>
                <c:pt idx="241">
                  <c:v>194.32594877158414</c:v>
                </c:pt>
                <c:pt idx="242">
                  <c:v>86.447478266271858</c:v>
                </c:pt>
                <c:pt idx="243">
                  <c:v>171.93350848980484</c:v>
                </c:pt>
                <c:pt idx="244">
                  <c:v>169.46883627849061</c:v>
                </c:pt>
                <c:pt idx="245">
                  <c:v>132.37501490209095</c:v>
                </c:pt>
                <c:pt idx="246">
                  <c:v>186.46602705942342</c:v>
                </c:pt>
                <c:pt idx="247">
                  <c:v>164.68086470634614</c:v>
                </c:pt>
                <c:pt idx="248">
                  <c:v>184.67728537980182</c:v>
                </c:pt>
                <c:pt idx="249">
                  <c:v>140.36160017674743</c:v>
                </c:pt>
                <c:pt idx="250">
                  <c:v>163.16263074503215</c:v>
                </c:pt>
                <c:pt idx="251">
                  <c:v>87.26462303708422</c:v>
                </c:pt>
                <c:pt idx="252">
                  <c:v>181.53084512489164</c:v>
                </c:pt>
                <c:pt idx="253">
                  <c:v>185.03979087794488</c:v>
                </c:pt>
                <c:pt idx="254">
                  <c:v>128.11651420693323</c:v>
                </c:pt>
                <c:pt idx="255">
                  <c:v>46.12124193795124</c:v>
                </c:pt>
                <c:pt idx="256">
                  <c:v>147.08131880965266</c:v>
                </c:pt>
                <c:pt idx="257">
                  <c:v>164.57984109018753</c:v>
                </c:pt>
                <c:pt idx="258">
                  <c:v>105.06593866039806</c:v>
                </c:pt>
                <c:pt idx="259">
                  <c:v>190.92623131227336</c:v>
                </c:pt>
                <c:pt idx="260">
                  <c:v>184.37872571171323</c:v>
                </c:pt>
                <c:pt idx="261">
                  <c:v>181.92872103855248</c:v>
                </c:pt>
                <c:pt idx="262">
                  <c:v>186.06313396125068</c:v>
                </c:pt>
                <c:pt idx="263">
                  <c:v>181.0234876115415</c:v>
                </c:pt>
                <c:pt idx="264">
                  <c:v>175.83260214299293</c:v>
                </c:pt>
                <c:pt idx="265">
                  <c:v>112.74541160988348</c:v>
                </c:pt>
                <c:pt idx="266">
                  <c:v>75.846768753412618</c:v>
                </c:pt>
                <c:pt idx="267">
                  <c:v>131.73317001678708</c:v>
                </c:pt>
                <c:pt idx="268">
                  <c:v>133.33267119741197</c:v>
                </c:pt>
                <c:pt idx="269">
                  <c:v>61.230944917898945</c:v>
                </c:pt>
                <c:pt idx="270">
                  <c:v>61.414953161345117</c:v>
                </c:pt>
                <c:pt idx="271">
                  <c:v>91.392663607168629</c:v>
                </c:pt>
                <c:pt idx="272">
                  <c:v>131.04540734051528</c:v>
                </c:pt>
                <c:pt idx="273">
                  <c:v>148.53774055338212</c:v>
                </c:pt>
                <c:pt idx="274">
                  <c:v>153.7684209147202</c:v>
                </c:pt>
                <c:pt idx="275">
                  <c:v>144.4260521995655</c:v>
                </c:pt>
                <c:pt idx="276">
                  <c:v>165.25784581157407</c:v>
                </c:pt>
                <c:pt idx="277">
                  <c:v>167.94789369485216</c:v>
                </c:pt>
                <c:pt idx="278">
                  <c:v>56.389841261818361</c:v>
                </c:pt>
                <c:pt idx="279">
                  <c:v>115.87132587656791</c:v>
                </c:pt>
                <c:pt idx="280">
                  <c:v>64.738024210442958</c:v>
                </c:pt>
                <c:pt idx="281">
                  <c:v>152.6495858280428</c:v>
                </c:pt>
                <c:pt idx="282">
                  <c:v>122.12511133738413</c:v>
                </c:pt>
                <c:pt idx="283">
                  <c:v>94.015534178948911</c:v>
                </c:pt>
                <c:pt idx="284">
                  <c:v>118.08296407377378</c:v>
                </c:pt>
                <c:pt idx="285">
                  <c:v>91.293198623679686</c:v>
                </c:pt>
                <c:pt idx="286">
                  <c:v>81.358765664631463</c:v>
                </c:pt>
                <c:pt idx="287">
                  <c:v>148.61574216819753</c:v>
                </c:pt>
                <c:pt idx="288">
                  <c:v>133.23904445995763</c:v>
                </c:pt>
                <c:pt idx="289">
                  <c:v>85.382012047266571</c:v>
                </c:pt>
                <c:pt idx="290">
                  <c:v>136.30348609475203</c:v>
                </c:pt>
                <c:pt idx="291">
                  <c:v>60.159851570781079</c:v>
                </c:pt>
                <c:pt idx="292">
                  <c:v>38.282356854643346</c:v>
                </c:pt>
                <c:pt idx="293">
                  <c:v>62.375424939587418</c:v>
                </c:pt>
                <c:pt idx="294">
                  <c:v>130.72379631213764</c:v>
                </c:pt>
                <c:pt idx="295">
                  <c:v>79.386967759742518</c:v>
                </c:pt>
                <c:pt idx="296">
                  <c:v>102.10532334280889</c:v>
                </c:pt>
                <c:pt idx="297">
                  <c:v>88.290313797175358</c:v>
                </c:pt>
                <c:pt idx="298">
                  <c:v>58.300674888565716</c:v>
                </c:pt>
                <c:pt idx="299">
                  <c:v>52.317834079499512</c:v>
                </c:pt>
                <c:pt idx="300">
                  <c:v>69.030360591589385</c:v>
                </c:pt>
                <c:pt idx="301">
                  <c:v>100.19925128012156</c:v>
                </c:pt>
                <c:pt idx="302">
                  <c:v>83.757167750058187</c:v>
                </c:pt>
                <c:pt idx="303">
                  <c:v>84.78417216132533</c:v>
                </c:pt>
                <c:pt idx="304">
                  <c:v>84.128040036511209</c:v>
                </c:pt>
                <c:pt idx="305">
                  <c:v>111.72299360041488</c:v>
                </c:pt>
                <c:pt idx="306">
                  <c:v>42.655267437096064</c:v>
                </c:pt>
                <c:pt idx="307">
                  <c:v>50.544496259127939</c:v>
                </c:pt>
                <c:pt idx="308">
                  <c:v>118.84168937640102</c:v>
                </c:pt>
                <c:pt idx="309">
                  <c:v>119.23709778784635</c:v>
                </c:pt>
                <c:pt idx="310">
                  <c:v>115.10603742987188</c:v>
                </c:pt>
                <c:pt idx="311">
                  <c:v>77.036465924554776</c:v>
                </c:pt>
                <c:pt idx="312">
                  <c:v>43.457273380180531</c:v>
                </c:pt>
                <c:pt idx="313">
                  <c:v>90.223861303959808</c:v>
                </c:pt>
                <c:pt idx="314">
                  <c:v>109.76746825451578</c:v>
                </c:pt>
                <c:pt idx="315">
                  <c:v>108.22950674309834</c:v>
                </c:pt>
                <c:pt idx="316">
                  <c:v>106.87640736642095</c:v>
                </c:pt>
                <c:pt idx="317">
                  <c:v>40.778189349969729</c:v>
                </c:pt>
                <c:pt idx="318">
                  <c:v>51.294135048399596</c:v>
                </c:pt>
                <c:pt idx="319">
                  <c:v>106.92349382665114</c:v>
                </c:pt>
                <c:pt idx="320">
                  <c:v>63.493307008250504</c:v>
                </c:pt>
                <c:pt idx="321">
                  <c:v>50.384842265795882</c:v>
                </c:pt>
                <c:pt idx="322">
                  <c:v>23.957317722748545</c:v>
                </c:pt>
                <c:pt idx="323">
                  <c:v>70.051907990801595</c:v>
                </c:pt>
                <c:pt idx="324">
                  <c:v>13.876675120549148</c:v>
                </c:pt>
                <c:pt idx="325">
                  <c:v>33.689536016706604</c:v>
                </c:pt>
                <c:pt idx="326">
                  <c:v>55.560602330741126</c:v>
                </c:pt>
                <c:pt idx="327">
                  <c:v>54.672816685916835</c:v>
                </c:pt>
                <c:pt idx="328">
                  <c:v>17.704365118318893</c:v>
                </c:pt>
                <c:pt idx="329">
                  <c:v>53.294686763988061</c:v>
                </c:pt>
                <c:pt idx="330">
                  <c:v>58.049479405592244</c:v>
                </c:pt>
                <c:pt idx="331">
                  <c:v>37.736341035071412</c:v>
                </c:pt>
                <c:pt idx="332">
                  <c:v>53.765401092151805</c:v>
                </c:pt>
                <c:pt idx="333">
                  <c:v>21.327421614527587</c:v>
                </c:pt>
                <c:pt idx="334">
                  <c:v>16.019238067899657</c:v>
                </c:pt>
                <c:pt idx="335">
                  <c:v>25.832464007043196</c:v>
                </c:pt>
                <c:pt idx="336">
                  <c:v>35.421636274449099</c:v>
                </c:pt>
                <c:pt idx="337">
                  <c:v>76.002435616400078</c:v>
                </c:pt>
                <c:pt idx="338">
                  <c:v>95.384079442061875</c:v>
                </c:pt>
                <c:pt idx="339">
                  <c:v>49.570818094467079</c:v>
                </c:pt>
                <c:pt idx="340">
                  <c:v>76.680796762598249</c:v>
                </c:pt>
                <c:pt idx="341">
                  <c:v>14.510705273417949</c:v>
                </c:pt>
                <c:pt idx="342">
                  <c:v>27.893590944520376</c:v>
                </c:pt>
                <c:pt idx="343">
                  <c:v>67.234425328240732</c:v>
                </c:pt>
                <c:pt idx="344">
                  <c:v>63.291827890164598</c:v>
                </c:pt>
                <c:pt idx="345">
                  <c:v>22.072533783336947</c:v>
                </c:pt>
                <c:pt idx="346">
                  <c:v>22.989783624077564</c:v>
                </c:pt>
                <c:pt idx="347">
                  <c:v>67.469939998638651</c:v>
                </c:pt>
                <c:pt idx="348">
                  <c:v>33.581614440553068</c:v>
                </c:pt>
                <c:pt idx="349">
                  <c:v>20.467228358199499</c:v>
                </c:pt>
                <c:pt idx="350">
                  <c:v>12.698609944454565</c:v>
                </c:pt>
                <c:pt idx="351">
                  <c:v>69.166792843262058</c:v>
                </c:pt>
                <c:pt idx="352">
                  <c:v>66.482321538395112</c:v>
                </c:pt>
                <c:pt idx="353">
                  <c:v>17.380609788208069</c:v>
                </c:pt>
                <c:pt idx="354">
                  <c:v>82.125084909248798</c:v>
                </c:pt>
                <c:pt idx="355">
                  <c:v>68.408302471683598</c:v>
                </c:pt>
                <c:pt idx="356">
                  <c:v>70.167049604428513</c:v>
                </c:pt>
                <c:pt idx="357">
                  <c:v>85.179444212488917</c:v>
                </c:pt>
                <c:pt idx="358">
                  <c:v>47.989373915905077</c:v>
                </c:pt>
                <c:pt idx="359">
                  <c:v>81.995125801214016</c:v>
                </c:pt>
                <c:pt idx="360">
                  <c:v>25.413959823349291</c:v>
                </c:pt>
                <c:pt idx="361">
                  <c:v>66.694436851531037</c:v>
                </c:pt>
                <c:pt idx="362">
                  <c:v>41.245207566602993</c:v>
                </c:pt>
                <c:pt idx="363">
                  <c:v>59.06445470884676</c:v>
                </c:pt>
                <c:pt idx="364">
                  <c:v>47.276453886641015</c:v>
                </c:pt>
                <c:pt idx="365">
                  <c:v>59.18490128012894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606040"/>
        <c:axId val="665606432"/>
      </c:lineChart>
      <c:dateAx>
        <c:axId val="665606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06432"/>
        <c:crosses val="autoZero"/>
        <c:auto val="1"/>
        <c:lblOffset val="100"/>
        <c:baseTimeUnit val="days"/>
        <c:majorUnit val="1"/>
        <c:majorTimeUnit val="months"/>
      </c:dateAx>
      <c:valAx>
        <c:axId val="665606432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0604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'2028'!$L$15:$L$380</c:f>
              <c:numCache>
                <c:formatCode>0.00%</c:formatCode>
                <c:ptCount val="366"/>
                <c:pt idx="0">
                  <c:v>3.1379391269045209E-2</c:v>
                </c:pt>
                <c:pt idx="1">
                  <c:v>3.1392650871768235E-2</c:v>
                </c:pt>
                <c:pt idx="2">
                  <c:v>3.1405910292978345E-2</c:v>
                </c:pt>
                <c:pt idx="3">
                  <c:v>3.1419169532678204E-2</c:v>
                </c:pt>
                <c:pt idx="4">
                  <c:v>3.1432428590870143E-2</c:v>
                </c:pt>
                <c:pt idx="5">
                  <c:v>3.1445687467556716E-2</c:v>
                </c:pt>
                <c:pt idx="6">
                  <c:v>3.1458946162740475E-2</c:v>
                </c:pt>
                <c:pt idx="7">
                  <c:v>3.1472204676423754E-2</c:v>
                </c:pt>
                <c:pt idx="8">
                  <c:v>3.1485463008609105E-2</c:v>
                </c:pt>
                <c:pt idx="9">
                  <c:v>3.1498721159299081E-2</c:v>
                </c:pt>
                <c:pt idx="10">
                  <c:v>3.1511979128496126E-2</c:v>
                </c:pt>
                <c:pt idx="11">
                  <c:v>3.1525236916202681E-2</c:v>
                </c:pt>
                <c:pt idx="12">
                  <c:v>3.153849452242119E-2</c:v>
                </c:pt>
                <c:pt idx="13">
                  <c:v>3.1551751947154316E-2</c:v>
                </c:pt>
                <c:pt idx="14">
                  <c:v>3.1565009190404281E-2</c:v>
                </c:pt>
                <c:pt idx="15">
                  <c:v>3.1578266252173859E-2</c:v>
                </c:pt>
                <c:pt idx="16">
                  <c:v>3.1591523132465271E-2</c:v>
                </c:pt>
                <c:pt idx="17">
                  <c:v>3.1604779831281182E-2</c:v>
                </c:pt>
                <c:pt idx="18">
                  <c:v>3.1618036348624035E-2</c:v>
                </c:pt>
                <c:pt idx="19">
                  <c:v>3.1631292684496382E-2</c:v>
                </c:pt>
                <c:pt idx="20">
                  <c:v>3.1644548838900444E-2</c:v>
                </c:pt>
                <c:pt idx="21">
                  <c:v>3.1657804811838997E-2</c:v>
                </c:pt>
                <c:pt idx="22">
                  <c:v>3.1671060603314372E-2</c:v>
                </c:pt>
                <c:pt idx="23">
                  <c:v>3.1684316213329122E-2</c:v>
                </c:pt>
                <c:pt idx="24">
                  <c:v>3.1697571641885691E-2</c:v>
                </c:pt>
                <c:pt idx="25">
                  <c:v>3.1710826888986632E-2</c:v>
                </c:pt>
                <c:pt idx="26">
                  <c:v>3.1724081954634276E-2</c:v>
                </c:pt>
                <c:pt idx="27">
                  <c:v>3.1737336838831287E-2</c:v>
                </c:pt>
                <c:pt idx="28">
                  <c:v>3.1750591541579998E-2</c:v>
                </c:pt>
                <c:pt idx="29">
                  <c:v>3.1763846062882961E-2</c:v>
                </c:pt>
                <c:pt idx="30">
                  <c:v>3.177710040274262E-2</c:v>
                </c:pt>
                <c:pt idx="31">
                  <c:v>3.1790354561161638E-2</c:v>
                </c:pt>
                <c:pt idx="32">
                  <c:v>3.1803608538142236E-2</c:v>
                </c:pt>
                <c:pt idx="33">
                  <c:v>3.1816862333687079E-2</c:v>
                </c:pt>
                <c:pt idx="34">
                  <c:v>3.1830115947798499E-2</c:v>
                </c:pt>
                <c:pt idx="35">
                  <c:v>3.1843369380479158E-2</c:v>
                </c:pt>
                <c:pt idx="36">
                  <c:v>3.1856622631731391E-2</c:v>
                </c:pt>
                <c:pt idx="37">
                  <c:v>3.1869875701557859E-2</c:v>
                </c:pt>
                <c:pt idx="38">
                  <c:v>3.1883128589960785E-2</c:v>
                </c:pt>
                <c:pt idx="39">
                  <c:v>3.1896381296942944E-2</c:v>
                </c:pt>
                <c:pt idx="40">
                  <c:v>3.1909633822506556E-2</c:v>
                </c:pt>
                <c:pt idx="41">
                  <c:v>3.1922886166654285E-2</c:v>
                </c:pt>
                <c:pt idx="42">
                  <c:v>3.1936138329388575E-2</c:v>
                </c:pt>
                <c:pt idx="43">
                  <c:v>3.1949390310711756E-2</c:v>
                </c:pt>
                <c:pt idx="44">
                  <c:v>3.1962642110626605E-2</c:v>
                </c:pt>
                <c:pt idx="45">
                  <c:v>3.1975893729135341E-2</c:v>
                </c:pt>
                <c:pt idx="46">
                  <c:v>3.1989145166240629E-2</c:v>
                </c:pt>
                <c:pt idx="47">
                  <c:v>3.2002396421944801E-2</c:v>
                </c:pt>
                <c:pt idx="48">
                  <c:v>3.201564749625041E-2</c:v>
                </c:pt>
                <c:pt idx="49">
                  <c:v>3.2028898389159899E-2</c:v>
                </c:pt>
                <c:pt idx="50">
                  <c:v>3.2042149100675821E-2</c:v>
                </c:pt>
                <c:pt idx="51">
                  <c:v>3.2055399630800729E-2</c:v>
                </c:pt>
                <c:pt idx="52">
                  <c:v>3.2068649979536956E-2</c:v>
                </c:pt>
                <c:pt idx="53">
                  <c:v>3.2081900146886944E-2</c:v>
                </c:pt>
                <c:pt idx="54">
                  <c:v>3.2095150132853356E-2</c:v>
                </c:pt>
                <c:pt idx="55">
                  <c:v>3.2108399937438525E-2</c:v>
                </c:pt>
                <c:pt idx="56">
                  <c:v>3.2121649560645116E-2</c:v>
                </c:pt>
                <c:pt idx="57">
                  <c:v>3.2134899002475348E-2</c:v>
                </c:pt>
                <c:pt idx="58">
                  <c:v>3.2148148262931997E-2</c:v>
                </c:pt>
                <c:pt idx="59">
                  <c:v>3.2161397342017284E-2</c:v>
                </c:pt>
                <c:pt idx="60">
                  <c:v>3.2174646239733873E-2</c:v>
                </c:pt>
                <c:pt idx="61">
                  <c:v>3.2187894956084095E-2</c:v>
                </c:pt>
                <c:pt idx="62">
                  <c:v>3.2201143491070505E-2</c:v>
                </c:pt>
                <c:pt idx="63">
                  <c:v>3.2214391844695656E-2</c:v>
                </c:pt>
                <c:pt idx="64">
                  <c:v>3.2227640016961989E-2</c:v>
                </c:pt>
                <c:pt idx="65">
                  <c:v>3.2240888007871948E-2</c:v>
                </c:pt>
                <c:pt idx="66">
                  <c:v>3.2254135817428087E-2</c:v>
                </c:pt>
                <c:pt idx="67">
                  <c:v>3.2267383445632736E-2</c:v>
                </c:pt>
                <c:pt idx="68">
                  <c:v>3.228063089248856E-2</c:v>
                </c:pt>
                <c:pt idx="69">
                  <c:v>3.2293878157997891E-2</c:v>
                </c:pt>
                <c:pt idx="70">
                  <c:v>3.2307125242163393E-2</c:v>
                </c:pt>
                <c:pt idx="71">
                  <c:v>3.2320372144987286E-2</c:v>
                </c:pt>
                <c:pt idx="72">
                  <c:v>3.2333618866472347E-2</c:v>
                </c:pt>
                <c:pt idx="73">
                  <c:v>3.2346865406620795E-2</c:v>
                </c:pt>
                <c:pt idx="74">
                  <c:v>3.2360111765435295E-2</c:v>
                </c:pt>
                <c:pt idx="75">
                  <c:v>3.237335794291829E-2</c:v>
                </c:pt>
                <c:pt idx="76">
                  <c:v>3.2386603939072223E-2</c:v>
                </c:pt>
                <c:pt idx="77">
                  <c:v>3.2399849753899534E-2</c:v>
                </c:pt>
                <c:pt idx="78">
                  <c:v>3.241309538740289E-2</c:v>
                </c:pt>
                <c:pt idx="79">
                  <c:v>3.2426340839584511E-2</c:v>
                </c:pt>
                <c:pt idx="80">
                  <c:v>3.2439586110447061E-2</c:v>
                </c:pt>
                <c:pt idx="81">
                  <c:v>3.2452831199992982E-2</c:v>
                </c:pt>
                <c:pt idx="82">
                  <c:v>3.2466076108224828E-2</c:v>
                </c:pt>
                <c:pt idx="83">
                  <c:v>3.2479320835144931E-2</c:v>
                </c:pt>
                <c:pt idx="84">
                  <c:v>3.2492565380755734E-2</c:v>
                </c:pt>
                <c:pt idx="85">
                  <c:v>3.250580974506001E-2</c:v>
                </c:pt>
                <c:pt idx="86">
                  <c:v>3.2519053928059982E-2</c:v>
                </c:pt>
                <c:pt idx="87">
                  <c:v>3.2532297929758203E-2</c:v>
                </c:pt>
                <c:pt idx="88">
                  <c:v>3.2545541750157225E-2</c:v>
                </c:pt>
                <c:pt idx="89">
                  <c:v>3.2558785389259381E-2</c:v>
                </c:pt>
                <c:pt idx="90">
                  <c:v>3.2572028847067225E-2</c:v>
                </c:pt>
                <c:pt idx="91">
                  <c:v>3.2585272123583309E-2</c:v>
                </c:pt>
                <c:pt idx="92">
                  <c:v>3.2598515218810076E-2</c:v>
                </c:pt>
                <c:pt idx="93">
                  <c:v>3.2611758132749968E-2</c:v>
                </c:pt>
                <c:pt idx="94">
                  <c:v>3.262500086540554E-2</c:v>
                </c:pt>
                <c:pt idx="95">
                  <c:v>3.2638243416779122E-2</c:v>
                </c:pt>
                <c:pt idx="96">
                  <c:v>3.265148578687338E-2</c:v>
                </c:pt>
                <c:pt idx="97">
                  <c:v>3.2664727975690644E-2</c:v>
                </c:pt>
                <c:pt idx="98">
                  <c:v>3.2677969983233468E-2</c:v>
                </c:pt>
                <c:pt idx="99">
                  <c:v>3.2691211809504406E-2</c:v>
                </c:pt>
                <c:pt idx="100">
                  <c:v>3.2704453454505789E-2</c:v>
                </c:pt>
                <c:pt idx="101">
                  <c:v>3.271769491824017E-2</c:v>
                </c:pt>
                <c:pt idx="102">
                  <c:v>3.2730936200710103E-2</c:v>
                </c:pt>
                <c:pt idx="103">
                  <c:v>3.2744177301917921E-2</c:v>
                </c:pt>
                <c:pt idx="104">
                  <c:v>3.2757418221866286E-2</c:v>
                </c:pt>
                <c:pt idx="105">
                  <c:v>3.2770658960557419E-2</c:v>
                </c:pt>
                <c:pt idx="106">
                  <c:v>3.2783899517994097E-2</c:v>
                </c:pt>
                <c:pt idx="107">
                  <c:v>3.2797139894178651E-2</c:v>
                </c:pt>
                <c:pt idx="108">
                  <c:v>3.2810380089113522E-2</c:v>
                </c:pt>
                <c:pt idx="109">
                  <c:v>3.2823620102801265E-2</c:v>
                </c:pt>
                <c:pt idx="110">
                  <c:v>3.2836859935244322E-2</c:v>
                </c:pt>
                <c:pt idx="111">
                  <c:v>3.2850099586445136E-2</c:v>
                </c:pt>
                <c:pt idx="112">
                  <c:v>3.2863339056406371E-2</c:v>
                </c:pt>
                <c:pt idx="113">
                  <c:v>3.2876578345130247E-2</c:v>
                </c:pt>
                <c:pt idx="114">
                  <c:v>3.2889817452619541E-2</c:v>
                </c:pt>
                <c:pt idx="115">
                  <c:v>3.2903056378876472E-2</c:v>
                </c:pt>
                <c:pt idx="116">
                  <c:v>3.2916295123903594E-2</c:v>
                </c:pt>
                <c:pt idx="117">
                  <c:v>3.2929533687703461E-2</c:v>
                </c:pt>
                <c:pt idx="118">
                  <c:v>3.2942772070278403E-2</c:v>
                </c:pt>
                <c:pt idx="119">
                  <c:v>3.2956010271631087E-2</c:v>
                </c:pt>
                <c:pt idx="120">
                  <c:v>3.2969248291763953E-2</c:v>
                </c:pt>
                <c:pt idx="121">
                  <c:v>3.2982486130679445E-2</c:v>
                </c:pt>
                <c:pt idx="122">
                  <c:v>3.2995723788380005E-2</c:v>
                </c:pt>
                <c:pt idx="123">
                  <c:v>3.3008961264868075E-2</c:v>
                </c:pt>
                <c:pt idx="124">
                  <c:v>3.3022198560146321E-2</c:v>
                </c:pt>
                <c:pt idx="125">
                  <c:v>3.3035435674217073E-2</c:v>
                </c:pt>
                <c:pt idx="126">
                  <c:v>3.3048672607082774E-2</c:v>
                </c:pt>
                <c:pt idx="127">
                  <c:v>3.3061909358746089E-2</c:v>
                </c:pt>
                <c:pt idx="128">
                  <c:v>3.3075145929209349E-2</c:v>
                </c:pt>
                <c:pt idx="129">
                  <c:v>3.3088382318475107E-2</c:v>
                </c:pt>
                <c:pt idx="130">
                  <c:v>3.3101618526545695E-2</c:v>
                </c:pt>
                <c:pt idx="131">
                  <c:v>3.3114854553423778E-2</c:v>
                </c:pt>
                <c:pt idx="132">
                  <c:v>3.3128090399111798E-2</c:v>
                </c:pt>
                <c:pt idx="133">
                  <c:v>3.3141326063612198E-2</c:v>
                </c:pt>
                <c:pt idx="134">
                  <c:v>3.315456154692753E-2</c:v>
                </c:pt>
                <c:pt idx="135">
                  <c:v>3.3167796849060127E-2</c:v>
                </c:pt>
                <c:pt idx="136">
                  <c:v>3.3181031970012542E-2</c:v>
                </c:pt>
                <c:pt idx="137">
                  <c:v>3.3194266909787218E-2</c:v>
                </c:pt>
                <c:pt idx="138">
                  <c:v>3.3207501668386818E-2</c:v>
                </c:pt>
                <c:pt idx="139">
                  <c:v>3.3220736245813565E-2</c:v>
                </c:pt>
                <c:pt idx="140">
                  <c:v>3.3233970642070121E-2</c:v>
                </c:pt>
                <c:pt idx="141">
                  <c:v>3.324720485715893E-2</c:v>
                </c:pt>
                <c:pt idx="142">
                  <c:v>3.3260438891082433E-2</c:v>
                </c:pt>
                <c:pt idx="143">
                  <c:v>3.3273672743843075E-2</c:v>
                </c:pt>
                <c:pt idx="144">
                  <c:v>3.3286906415443407E-2</c:v>
                </c:pt>
                <c:pt idx="145">
                  <c:v>3.3300139905885984E-2</c:v>
                </c:pt>
                <c:pt idx="146">
                  <c:v>3.3313373215173026E-2</c:v>
                </c:pt>
                <c:pt idx="147">
                  <c:v>3.3326606343307308E-2</c:v>
                </c:pt>
                <c:pt idx="148">
                  <c:v>3.3339839290291162E-2</c:v>
                </c:pt>
                <c:pt idx="149">
                  <c:v>3.3353072056127031E-2</c:v>
                </c:pt>
                <c:pt idx="150">
                  <c:v>3.3366304640817468E-2</c:v>
                </c:pt>
                <c:pt idx="151">
                  <c:v>3.3379537044364915E-2</c:v>
                </c:pt>
                <c:pt idx="152">
                  <c:v>3.3392769266771927E-2</c:v>
                </c:pt>
                <c:pt idx="153">
                  <c:v>3.3406001308040834E-2</c:v>
                </c:pt>
                <c:pt idx="154">
                  <c:v>3.34192331681743E-2</c:v>
                </c:pt>
                <c:pt idx="155">
                  <c:v>3.3432464847174659E-2</c:v>
                </c:pt>
                <c:pt idx="156">
                  <c:v>3.3445696345044462E-2</c:v>
                </c:pt>
                <c:pt idx="157">
                  <c:v>3.3458927661786153E-2</c:v>
                </c:pt>
                <c:pt idx="158">
                  <c:v>3.3472158797402285E-2</c:v>
                </c:pt>
                <c:pt idx="159">
                  <c:v>3.3485389751895189E-2</c:v>
                </c:pt>
                <c:pt idx="160">
                  <c:v>3.3498620525267531E-2</c:v>
                </c:pt>
                <c:pt idx="161">
                  <c:v>3.351185111752164E-2</c:v>
                </c:pt>
                <c:pt idx="162">
                  <c:v>3.3525081528660072E-2</c:v>
                </c:pt>
                <c:pt idx="163">
                  <c:v>3.3538311758685269E-2</c:v>
                </c:pt>
                <c:pt idx="164">
                  <c:v>3.3551541807599672E-2</c:v>
                </c:pt>
                <c:pt idx="165">
                  <c:v>3.3564771675405947E-2</c:v>
                </c:pt>
                <c:pt idx="166">
                  <c:v>3.3578001362106313E-2</c:v>
                </c:pt>
                <c:pt idx="167">
                  <c:v>3.3591230867703437E-2</c:v>
                </c:pt>
                <c:pt idx="168">
                  <c:v>3.3604460192199759E-2</c:v>
                </c:pt>
                <c:pt idx="169">
                  <c:v>3.3617689335597722E-2</c:v>
                </c:pt>
                <c:pt idx="170">
                  <c:v>3.363091829789977E-2</c:v>
                </c:pt>
                <c:pt idx="171">
                  <c:v>3.3644147079108566E-2</c:v>
                </c:pt>
                <c:pt idx="172">
                  <c:v>3.3657375679226331E-2</c:v>
                </c:pt>
                <c:pt idx="173">
                  <c:v>3.367060409825573E-2</c:v>
                </c:pt>
                <c:pt idx="174">
                  <c:v>3.3683832336199093E-2</c:v>
                </c:pt>
                <c:pt idx="175">
                  <c:v>3.3697060393059086E-2</c:v>
                </c:pt>
                <c:pt idx="176">
                  <c:v>3.371028826883804E-2</c:v>
                </c:pt>
                <c:pt idx="177">
                  <c:v>3.3723515963538508E-2</c:v>
                </c:pt>
                <c:pt idx="178">
                  <c:v>3.3736743477162934E-2</c:v>
                </c:pt>
                <c:pt idx="179">
                  <c:v>3.374997080971387E-2</c:v>
                </c:pt>
                <c:pt idx="180">
                  <c:v>3.3763197961193647E-2</c:v>
                </c:pt>
                <c:pt idx="181">
                  <c:v>3.377642493160482E-2</c:v>
                </c:pt>
                <c:pt idx="182">
                  <c:v>3.3789651720949943E-2</c:v>
                </c:pt>
                <c:pt idx="183">
                  <c:v>3.3802878329231345E-2</c:v>
                </c:pt>
                <c:pt idx="184">
                  <c:v>3.3816104756451693E-2</c:v>
                </c:pt>
                <c:pt idx="185">
                  <c:v>3.3829331002613316E-2</c:v>
                </c:pt>
                <c:pt idx="186">
                  <c:v>3.3842557067718659E-2</c:v>
                </c:pt>
                <c:pt idx="187">
                  <c:v>3.3855782951770386E-2</c:v>
                </c:pt>
                <c:pt idx="188">
                  <c:v>3.3869008654770827E-2</c:v>
                </c:pt>
                <c:pt idx="189">
                  <c:v>3.3882234176722426E-2</c:v>
                </c:pt>
                <c:pt idx="190">
                  <c:v>3.3895459517627846E-2</c:v>
                </c:pt>
                <c:pt idx="191">
                  <c:v>3.390868467748942E-2</c:v>
                </c:pt>
                <c:pt idx="192">
                  <c:v>3.392190965630959E-2</c:v>
                </c:pt>
                <c:pt idx="193">
                  <c:v>3.393513445409102E-2</c:v>
                </c:pt>
                <c:pt idx="194">
                  <c:v>3.3948359070836043E-2</c:v>
                </c:pt>
                <c:pt idx="195">
                  <c:v>3.3961583506547099E-2</c:v>
                </c:pt>
                <c:pt idx="196">
                  <c:v>3.3974807761226855E-2</c:v>
                </c:pt>
                <c:pt idx="197">
                  <c:v>3.398803183487753E-2</c:v>
                </c:pt>
                <c:pt idx="198">
                  <c:v>3.4001255727501789E-2</c:v>
                </c:pt>
                <c:pt idx="199">
                  <c:v>3.4014479439102074E-2</c:v>
                </c:pt>
                <c:pt idx="200">
                  <c:v>3.402770296968094E-2</c:v>
                </c:pt>
                <c:pt idx="201">
                  <c:v>3.4040926319240716E-2</c:v>
                </c:pt>
                <c:pt idx="202">
                  <c:v>3.4054149487783847E-2</c:v>
                </c:pt>
                <c:pt idx="203">
                  <c:v>3.4067372475312996E-2</c:v>
                </c:pt>
                <c:pt idx="204">
                  <c:v>3.4080595281830606E-2</c:v>
                </c:pt>
                <c:pt idx="205">
                  <c:v>3.4093817907339008E-2</c:v>
                </c:pt>
                <c:pt idx="206">
                  <c:v>3.4107040351840756E-2</c:v>
                </c:pt>
                <c:pt idx="207">
                  <c:v>3.4120262615338404E-2</c:v>
                </c:pt>
                <c:pt idx="208">
                  <c:v>3.4133484697834282E-2</c:v>
                </c:pt>
                <c:pt idx="209">
                  <c:v>3.4146706599331056E-2</c:v>
                </c:pt>
                <c:pt idx="210">
                  <c:v>3.4159928319831057E-2</c:v>
                </c:pt>
                <c:pt idx="211">
                  <c:v>3.4173149859336838E-2</c:v>
                </c:pt>
                <c:pt idx="212">
                  <c:v>3.4186371217850842E-2</c:v>
                </c:pt>
                <c:pt idx="213">
                  <c:v>3.4199592395375511E-2</c:v>
                </c:pt>
                <c:pt idx="214">
                  <c:v>3.4212813391913399E-2</c:v>
                </c:pt>
                <c:pt idx="215">
                  <c:v>3.4226034207466838E-2</c:v>
                </c:pt>
                <c:pt idx="216">
                  <c:v>3.4239254842038602E-2</c:v>
                </c:pt>
                <c:pt idx="217">
                  <c:v>3.4252475295630802E-2</c:v>
                </c:pt>
                <c:pt idx="218">
                  <c:v>3.4265695568246213E-2</c:v>
                </c:pt>
                <c:pt idx="219">
                  <c:v>3.4278915659887166E-2</c:v>
                </c:pt>
                <c:pt idx="220">
                  <c:v>3.4292135570556104E-2</c:v>
                </c:pt>
                <c:pt idx="221">
                  <c:v>3.4305355300255691E-2</c:v>
                </c:pt>
                <c:pt idx="222">
                  <c:v>3.4318574848988148E-2</c:v>
                </c:pt>
                <c:pt idx="223">
                  <c:v>3.433179421675614E-2</c:v>
                </c:pt>
                <c:pt idx="224">
                  <c:v>3.4345013403562108E-2</c:v>
                </c:pt>
                <c:pt idx="225">
                  <c:v>3.4358232409408496E-2</c:v>
                </c:pt>
                <c:pt idx="226">
                  <c:v>3.4371451234297856E-2</c:v>
                </c:pt>
                <c:pt idx="227">
                  <c:v>3.4384669878232521E-2</c:v>
                </c:pt>
                <c:pt idx="228">
                  <c:v>3.4397888341215044E-2</c:v>
                </c:pt>
                <c:pt idx="229">
                  <c:v>3.4411106623247867E-2</c:v>
                </c:pt>
                <c:pt idx="230">
                  <c:v>3.4424324724333655E-2</c:v>
                </c:pt>
                <c:pt idx="231">
                  <c:v>3.4437542644474628E-2</c:v>
                </c:pt>
                <c:pt idx="232">
                  <c:v>3.4450760383673451E-2</c:v>
                </c:pt>
                <c:pt idx="233">
                  <c:v>3.4463977941932455E-2</c:v>
                </c:pt>
                <c:pt idx="234">
                  <c:v>3.4477195319254195E-2</c:v>
                </c:pt>
                <c:pt idx="235">
                  <c:v>3.4490412515641111E-2</c:v>
                </c:pt>
                <c:pt idx="236">
                  <c:v>3.4503629531095759E-2</c:v>
                </c:pt>
                <c:pt idx="237">
                  <c:v>3.4516846365620579E-2</c:v>
                </c:pt>
                <c:pt idx="238">
                  <c:v>3.4530063019218016E-2</c:v>
                </c:pt>
                <c:pt idx="239">
                  <c:v>3.4543279491890622E-2</c:v>
                </c:pt>
                <c:pt idx="240">
                  <c:v>3.4556495783640728E-2</c:v>
                </c:pt>
                <c:pt idx="241">
                  <c:v>3.4569711894470889E-2</c:v>
                </c:pt>
                <c:pt idx="242">
                  <c:v>3.4582927824383658E-2</c:v>
                </c:pt>
                <c:pt idx="243">
                  <c:v>3.4596143573381366E-2</c:v>
                </c:pt>
                <c:pt idx="244">
                  <c:v>3.4609359141466678E-2</c:v>
                </c:pt>
                <c:pt idx="245">
                  <c:v>3.4622574528641925E-2</c:v>
                </c:pt>
                <c:pt idx="246">
                  <c:v>3.463578973490955E-2</c:v>
                </c:pt>
                <c:pt idx="247">
                  <c:v>3.4649004760272106E-2</c:v>
                </c:pt>
                <c:pt idx="248">
                  <c:v>3.4662219604732147E-2</c:v>
                </c:pt>
                <c:pt idx="249">
                  <c:v>3.4675434268292005E-2</c:v>
                </c:pt>
                <c:pt idx="250">
                  <c:v>3.4688648750954232E-2</c:v>
                </c:pt>
                <c:pt idx="251">
                  <c:v>3.4701863052721271E-2</c:v>
                </c:pt>
                <c:pt idx="252">
                  <c:v>3.4715077173595676E-2</c:v>
                </c:pt>
                <c:pt idx="253">
                  <c:v>3.4728291113579779E-2</c:v>
                </c:pt>
                <c:pt idx="254">
                  <c:v>3.4741504872676132E-2</c:v>
                </c:pt>
                <c:pt idx="255">
                  <c:v>3.475471845088729E-2</c:v>
                </c:pt>
                <c:pt idx="256">
                  <c:v>3.4767931848215583E-2</c:v>
                </c:pt>
                <c:pt idx="257">
                  <c:v>3.4781145064663677E-2</c:v>
                </c:pt>
                <c:pt idx="258">
                  <c:v>3.4794358100233902E-2</c:v>
                </c:pt>
                <c:pt idx="259">
                  <c:v>3.4807570954928702E-2</c:v>
                </c:pt>
                <c:pt idx="260">
                  <c:v>3.4820783628750629E-2</c:v>
                </c:pt>
                <c:pt idx="261">
                  <c:v>3.4833996121702127E-2</c:v>
                </c:pt>
                <c:pt idx="262">
                  <c:v>3.4847208433785748E-2</c:v>
                </c:pt>
                <c:pt idx="263">
                  <c:v>3.4860420565003936E-2</c:v>
                </c:pt>
                <c:pt idx="264">
                  <c:v>3.4873632515359021E-2</c:v>
                </c:pt>
                <c:pt idx="265">
                  <c:v>3.488684428485378E-2</c:v>
                </c:pt>
                <c:pt idx="266">
                  <c:v>3.4900055873490321E-2</c:v>
                </c:pt>
                <c:pt idx="267">
                  <c:v>3.4913267281271421E-2</c:v>
                </c:pt>
                <c:pt idx="268">
                  <c:v>3.492647850819941E-2</c:v>
                </c:pt>
                <c:pt idx="269">
                  <c:v>3.4939689554276843E-2</c:v>
                </c:pt>
                <c:pt idx="270">
                  <c:v>3.495290041950605E-2</c:v>
                </c:pt>
                <c:pt idx="271">
                  <c:v>3.4966111103889697E-2</c:v>
                </c:pt>
                <c:pt idx="272">
                  <c:v>3.4979321607430114E-2</c:v>
                </c:pt>
                <c:pt idx="273">
                  <c:v>3.4992531930129855E-2</c:v>
                </c:pt>
                <c:pt idx="274">
                  <c:v>3.5005742071991475E-2</c:v>
                </c:pt>
                <c:pt idx="275">
                  <c:v>3.5018952033017192E-2</c:v>
                </c:pt>
                <c:pt idx="276">
                  <c:v>3.5032161813209672E-2</c:v>
                </c:pt>
                <c:pt idx="277">
                  <c:v>3.5045371412571358E-2</c:v>
                </c:pt>
                <c:pt idx="278">
                  <c:v>3.5058580831104802E-2</c:v>
                </c:pt>
                <c:pt idx="279">
                  <c:v>3.5071790068812336E-2</c:v>
                </c:pt>
                <c:pt idx="280">
                  <c:v>3.5084999125696403E-2</c:v>
                </c:pt>
                <c:pt idx="281">
                  <c:v>3.5098208001759668E-2</c:v>
                </c:pt>
                <c:pt idx="282">
                  <c:v>3.5111416697004572E-2</c:v>
                </c:pt>
                <c:pt idx="283">
                  <c:v>3.5124625211433447E-2</c:v>
                </c:pt>
                <c:pt idx="284">
                  <c:v>3.5137833545048847E-2</c:v>
                </c:pt>
                <c:pt idx="285">
                  <c:v>3.5151041697853325E-2</c:v>
                </c:pt>
                <c:pt idx="286">
                  <c:v>3.5164249669849212E-2</c:v>
                </c:pt>
                <c:pt idx="287">
                  <c:v>3.5177457461039063E-2</c:v>
                </c:pt>
                <c:pt idx="288">
                  <c:v>3.519066507142532E-2</c:v>
                </c:pt>
                <c:pt idx="289">
                  <c:v>3.5203872501010536E-2</c:v>
                </c:pt>
                <c:pt idx="290">
                  <c:v>3.5217079749797153E-2</c:v>
                </c:pt>
                <c:pt idx="291">
                  <c:v>3.5230286817787615E-2</c:v>
                </c:pt>
                <c:pt idx="292">
                  <c:v>3.5243493704984363E-2</c:v>
                </c:pt>
                <c:pt idx="293">
                  <c:v>3.5256700411389841E-2</c:v>
                </c:pt>
                <c:pt idx="294">
                  <c:v>3.5269906937006712E-2</c:v>
                </c:pt>
                <c:pt idx="295">
                  <c:v>3.5283113281837308E-2</c:v>
                </c:pt>
                <c:pt idx="296">
                  <c:v>3.5296319445884183E-2</c:v>
                </c:pt>
                <c:pt idx="297">
                  <c:v>3.5309525429149669E-2</c:v>
                </c:pt>
                <c:pt idx="298">
                  <c:v>3.5322731231636428E-2</c:v>
                </c:pt>
                <c:pt idx="299">
                  <c:v>3.5335936853346794E-2</c:v>
                </c:pt>
                <c:pt idx="300">
                  <c:v>3.534914229428332E-2</c:v>
                </c:pt>
                <c:pt idx="301">
                  <c:v>3.5362347554448448E-2</c:v>
                </c:pt>
                <c:pt idx="302">
                  <c:v>3.537555263384462E-2</c:v>
                </c:pt>
                <c:pt idx="303">
                  <c:v>3.538875753247428E-2</c:v>
                </c:pt>
                <c:pt idx="304">
                  <c:v>3.5401962250340091E-2</c:v>
                </c:pt>
                <c:pt idx="305">
                  <c:v>3.5415166787444274E-2</c:v>
                </c:pt>
                <c:pt idx="306">
                  <c:v>3.5428371143789605E-2</c:v>
                </c:pt>
                <c:pt idx="307">
                  <c:v>3.5441575319378193E-2</c:v>
                </c:pt>
                <c:pt idx="308">
                  <c:v>3.5454779314212814E-2</c:v>
                </c:pt>
                <c:pt idx="309">
                  <c:v>3.5467983128295799E-2</c:v>
                </c:pt>
                <c:pt idx="310">
                  <c:v>3.5481186761629702E-2</c:v>
                </c:pt>
                <c:pt idx="311">
                  <c:v>3.5494390214216964E-2</c:v>
                </c:pt>
                <c:pt idx="312">
                  <c:v>3.550759348606003E-2</c:v>
                </c:pt>
                <c:pt idx="313">
                  <c:v>3.552079657716134E-2</c:v>
                </c:pt>
                <c:pt idx="314">
                  <c:v>3.5533999487523449E-2</c:v>
                </c:pt>
                <c:pt idx="315">
                  <c:v>3.5547202217148799E-2</c:v>
                </c:pt>
                <c:pt idx="316">
                  <c:v>3.5560404766039944E-2</c:v>
                </c:pt>
                <c:pt idx="317">
                  <c:v>3.5573607134199214E-2</c:v>
                </c:pt>
                <c:pt idx="318">
                  <c:v>3.5586809321629165E-2</c:v>
                </c:pt>
                <c:pt idx="319">
                  <c:v>3.5600011328332237E-2</c:v>
                </c:pt>
                <c:pt idx="320">
                  <c:v>3.5613213154310874E-2</c:v>
                </c:pt>
                <c:pt idx="321">
                  <c:v>3.5626414799567629E-2</c:v>
                </c:pt>
                <c:pt idx="322">
                  <c:v>3.5639616264105056E-2</c:v>
                </c:pt>
                <c:pt idx="323">
                  <c:v>3.5652817547925375E-2</c:v>
                </c:pt>
                <c:pt idx="324">
                  <c:v>3.566601865103125E-2</c:v>
                </c:pt>
                <c:pt idx="325">
                  <c:v>3.5679219573425125E-2</c:v>
                </c:pt>
                <c:pt idx="326">
                  <c:v>3.5692420315109552E-2</c:v>
                </c:pt>
                <c:pt idx="327">
                  <c:v>3.5705620876086752E-2</c:v>
                </c:pt>
                <c:pt idx="328">
                  <c:v>3.5718821256359501E-2</c:v>
                </c:pt>
                <c:pt idx="329">
                  <c:v>3.5732021455930019E-2</c:v>
                </c:pt>
                <c:pt idx="330">
                  <c:v>3.5745221474800859E-2</c:v>
                </c:pt>
                <c:pt idx="331">
                  <c:v>3.5758421312974686E-2</c:v>
                </c:pt>
                <c:pt idx="332">
                  <c:v>3.5771620970453721E-2</c:v>
                </c:pt>
                <c:pt idx="333">
                  <c:v>3.5784820447240517E-2</c:v>
                </c:pt>
                <c:pt idx="334">
                  <c:v>3.5798019743337517E-2</c:v>
                </c:pt>
                <c:pt idx="335">
                  <c:v>3.5811218858747274E-2</c:v>
                </c:pt>
                <c:pt idx="336">
                  <c:v>3.582441779347223E-2</c:v>
                </c:pt>
                <c:pt idx="337">
                  <c:v>3.5837616547514939E-2</c:v>
                </c:pt>
                <c:pt idx="338">
                  <c:v>3.5850815120877622E-2</c:v>
                </c:pt>
                <c:pt idx="339">
                  <c:v>3.5864013513563053E-2</c:v>
                </c:pt>
                <c:pt idx="340">
                  <c:v>3.5877211725573566E-2</c:v>
                </c:pt>
                <c:pt idx="341">
                  <c:v>3.5890409756911601E-2</c:v>
                </c:pt>
                <c:pt idx="342">
                  <c:v>3.5903607607579602E-2</c:v>
                </c:pt>
                <c:pt idx="343">
                  <c:v>3.5916805277580233E-2</c:v>
                </c:pt>
                <c:pt idx="344">
                  <c:v>3.5930002766915825E-2</c:v>
                </c:pt>
                <c:pt idx="345">
                  <c:v>3.5943200075588821E-2</c:v>
                </c:pt>
                <c:pt idx="346">
                  <c:v>3.5956397203601775E-2</c:v>
                </c:pt>
                <c:pt idx="347">
                  <c:v>3.5969594150957129E-2</c:v>
                </c:pt>
                <c:pt idx="348">
                  <c:v>3.5982790917657326E-2</c:v>
                </c:pt>
                <c:pt idx="349">
                  <c:v>3.5995987503704918E-2</c:v>
                </c:pt>
                <c:pt idx="350">
                  <c:v>3.6009183909102238E-2</c:v>
                </c:pt>
                <c:pt idx="351">
                  <c:v>3.602238013385195E-2</c:v>
                </c:pt>
                <c:pt idx="352">
                  <c:v>3.6035576177956385E-2</c:v>
                </c:pt>
                <c:pt idx="353">
                  <c:v>3.6048772041417987E-2</c:v>
                </c:pt>
                <c:pt idx="354">
                  <c:v>3.6061967724239419E-2</c:v>
                </c:pt>
                <c:pt idx="355">
                  <c:v>3.6075163226423013E-2</c:v>
                </c:pt>
                <c:pt idx="356">
                  <c:v>3.6088358547971211E-2</c:v>
                </c:pt>
                <c:pt idx="357">
                  <c:v>3.6101553688886567E-2</c:v>
                </c:pt>
                <c:pt idx="358">
                  <c:v>3.6114748649171524E-2</c:v>
                </c:pt>
                <c:pt idx="359">
                  <c:v>3.6127943428828524E-2</c:v>
                </c:pt>
                <c:pt idx="360">
                  <c:v>3.614113802786012E-2</c:v>
                </c:pt>
                <c:pt idx="361">
                  <c:v>3.6154332446268755E-2</c:v>
                </c:pt>
                <c:pt idx="362">
                  <c:v>3.6167526684056761E-2</c:v>
                </c:pt>
                <c:pt idx="363">
                  <c:v>3.6180720741226802E-2</c:v>
                </c:pt>
                <c:pt idx="364">
                  <c:v>3.619391461778132E-2</c:v>
                </c:pt>
                <c:pt idx="365">
                  <c:v>3.6207108313722758E-2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'2028'!$O$15:$O$380</c:f>
              <c:numCache>
                <c:formatCode>0.00%</c:formatCode>
                <c:ptCount val="366"/>
                <c:pt idx="0">
                  <c:v>4.3166527853365222E-2</c:v>
                </c:pt>
                <c:pt idx="1">
                  <c:v>4.320519379713561E-2</c:v>
                </c:pt>
                <c:pt idx="2">
                  <c:v>4.3243909569522218E-2</c:v>
                </c:pt>
                <c:pt idx="3">
                  <c:v>4.3282665367268262E-2</c:v>
                </c:pt>
                <c:pt idx="4">
                  <c:v>4.3321452656593866E-2</c:v>
                </c:pt>
                <c:pt idx="5">
                  <c:v>4.3360264136944868E-2</c:v>
                </c:pt>
                <c:pt idx="6">
                  <c:v>4.3399093694938294E-2</c:v>
                </c:pt>
                <c:pt idx="7">
                  <c:v>4.3437936349274113E-2</c:v>
                </c:pt>
                <c:pt idx="8">
                  <c:v>4.3476788187450412E-2</c:v>
                </c:pt>
                <c:pt idx="9">
                  <c:v>4.3515646295178158E-2</c:v>
                </c:pt>
                <c:pt idx="10">
                  <c:v>4.3554508679441502E-2</c:v>
                </c:pt>
                <c:pt idx="11">
                  <c:v>4.3593374186188208E-2</c:v>
                </c:pt>
                <c:pt idx="12">
                  <c:v>4.3632242413664923E-2</c:v>
                </c:pt>
                <c:pt idx="13">
                  <c:v>4.3671113622430341E-2</c:v>
                </c:pt>
                <c:pt idx="14">
                  <c:v>4.3709988643088317E-2</c:v>
                </c:pt>
                <c:pt idx="15">
                  <c:v>4.3748868782781475E-2</c:v>
                </c:pt>
                <c:pt idx="16">
                  <c:v>4.378775573147365E-2</c:v>
                </c:pt>
                <c:pt idx="17">
                  <c:v>4.3826651469028338E-2</c:v>
                </c:pt>
                <c:pt idx="18">
                  <c:v>4.3865558174059315E-2</c:v>
                </c:pt>
                <c:pt idx="19">
                  <c:v>4.3904478135489033E-2</c:v>
                </c:pt>
                <c:pt idx="20">
                  <c:v>4.3943413667702387E-2</c:v>
                </c:pt>
                <c:pt idx="21">
                  <c:v>4.3982367030126458E-2</c:v>
                </c:pt>
                <c:pt idx="22">
                  <c:v>4.4021340352003446E-2</c:v>
                </c:pt>
                <c:pt idx="23">
                  <c:v>4.4060335563053887E-2</c:v>
                </c:pt>
                <c:pt idx="24">
                  <c:v>4.4099354330651229E-2</c:v>
                </c:pt>
                <c:pt idx="25">
                  <c:v>4.4138398004048597E-2</c:v>
                </c:pt>
                <c:pt idx="26">
                  <c:v>4.4177467566113737E-2</c:v>
                </c:pt>
                <c:pt idx="27">
                  <c:v>4.421656359294119E-2</c:v>
                </c:pt>
                <c:pt idx="28">
                  <c:v>4.4255686221620634E-2</c:v>
                </c:pt>
                <c:pt idx="29">
                  <c:v>4.4294835126350254E-2</c:v>
                </c:pt>
                <c:pt idx="30">
                  <c:v>4.4334009502993162E-2</c:v>
                </c:pt>
                <c:pt idx="31">
                  <c:v>4.4373208062084502E-2</c:v>
                </c:pt>
                <c:pt idx="32">
                  <c:v>4.4412429030209116E-2</c:v>
                </c:pt>
                <c:pt idx="33">
                  <c:v>4.4451670159583755E-2</c:v>
                </c:pt>
                <c:pt idx="34">
                  <c:v>4.4490928745595099E-2</c:v>
                </c:pt>
                <c:pt idx="35">
                  <c:v>4.4530201651967423E-2</c:v>
                </c:pt>
                <c:pt idx="36">
                  <c:v>4.456948534315977E-2</c:v>
                </c:pt>
                <c:pt idx="37">
                  <c:v>4.4608775923525565E-2</c:v>
                </c:pt>
                <c:pt idx="38">
                  <c:v>4.4648069182705516E-2</c:v>
                </c:pt>
                <c:pt idx="39">
                  <c:v>4.4687360646670761E-2</c:v>
                </c:pt>
                <c:pt idx="40">
                  <c:v>4.4726645633784715E-2</c:v>
                </c:pt>
                <c:pt idx="41">
                  <c:v>4.476591931521326E-2</c:v>
                </c:pt>
                <c:pt idx="42">
                  <c:v>4.4805176778979668E-2</c:v>
                </c:pt>
                <c:pt idx="43">
                  <c:v>4.4844413096937444E-2</c:v>
                </c:pt>
                <c:pt idx="44">
                  <c:v>4.4883623393917604E-2</c:v>
                </c:pt>
                <c:pt idx="45">
                  <c:v>4.4922802918299483E-2</c:v>
                </c:pt>
                <c:pt idx="46">
                  <c:v>4.4961947113254089E-2</c:v>
                </c:pt>
                <c:pt idx="47">
                  <c:v>4.5001051687916974E-2</c:v>
                </c:pt>
                <c:pt idx="48">
                  <c:v>4.5040112687763763E-2</c:v>
                </c:pt>
                <c:pt idx="49">
                  <c:v>4.5079126563483923E-2</c:v>
                </c:pt>
                <c:pt idx="50">
                  <c:v>4.5118090237678599E-2</c:v>
                </c:pt>
                <c:pt idx="51">
                  <c:v>4.5157001168744701E-2</c:v>
                </c:pt>
                <c:pt idx="52">
                  <c:v>4.5195857411349474E-2</c:v>
                </c:pt>
                <c:pt idx="53">
                  <c:v>4.5234657672947862E-2</c:v>
                </c:pt>
                <c:pt idx="54">
                  <c:v>4.52734013658464E-2</c:v>
                </c:pt>
                <c:pt idx="55">
                  <c:v>4.5312088654374673E-2</c:v>
                </c:pt>
                <c:pt idx="56">
                  <c:v>4.5350720496783965E-2</c:v>
                </c:pt>
                <c:pt idx="57">
                  <c:v>4.5389298681555321E-2</c:v>
                </c:pt>
                <c:pt idx="58">
                  <c:v>4.5427825857863112E-2</c:v>
                </c:pt>
                <c:pt idx="59">
                  <c:v>4.5466305560004493E-2</c:v>
                </c:pt>
                <c:pt idx="60">
                  <c:v>4.5504742225671156E-2</c:v>
                </c:pt>
                <c:pt idx="61">
                  <c:v>4.5543141208003325E-2</c:v>
                </c:pt>
                <c:pt idx="62">
                  <c:v>4.5581508781430302E-2</c:v>
                </c:pt>
                <c:pt idx="63">
                  <c:v>4.5619852141362459E-2</c:v>
                </c:pt>
                <c:pt idx="64">
                  <c:v>4.5658179397859079E-2</c:v>
                </c:pt>
                <c:pt idx="65">
                  <c:v>4.5696499563451259E-2</c:v>
                </c:pt>
                <c:pt idx="66">
                  <c:v>4.573482253535148E-2</c:v>
                </c:pt>
                <c:pt idx="67">
                  <c:v>4.5773159072328477E-2</c:v>
                </c:pt>
                <c:pt idx="68">
                  <c:v>4.5811520766568366E-2</c:v>
                </c:pt>
                <c:pt idx="69">
                  <c:v>4.5849920010880958E-2</c:v>
                </c:pt>
                <c:pt idx="70">
                  <c:v>4.5888369961641091E-2</c:v>
                </c:pt>
                <c:pt idx="71">
                  <c:v>4.5926884497881501E-2</c:v>
                </c:pt>
                <c:pt idx="72">
                  <c:v>4.5965478176973378E-2</c:v>
                </c:pt>
                <c:pt idx="73">
                  <c:v>4.6004166187344424E-2</c:v>
                </c:pt>
                <c:pt idx="74">
                  <c:v>4.6042964298692542E-2</c:v>
                </c:pt>
                <c:pt idx="75">
                  <c:v>4.6081888810154334E-2</c:v>
                </c:pt>
                <c:pt idx="76">
                  <c:v>4.6120956496883712E-2</c:v>
                </c:pt>
                <c:pt idx="77">
                  <c:v>4.6160184555485678E-2</c:v>
                </c:pt>
                <c:pt idx="78">
                  <c:v>4.6199590548735014E-2</c:v>
                </c:pt>
                <c:pt idx="79">
                  <c:v>4.6239192349988627E-2</c:v>
                </c:pt>
                <c:pt idx="80">
                  <c:v>4.6279008087675273E-2</c:v>
                </c:pt>
                <c:pt idx="81">
                  <c:v>4.6319056090216297E-2</c:v>
                </c:pt>
                <c:pt idx="82">
                  <c:v>4.6359354831697716E-2</c:v>
                </c:pt>
                <c:pt idx="83">
                  <c:v>4.6399922878577179E-2</c:v>
                </c:pt>
                <c:pt idx="84">
                  <c:v>4.6440778837669741E-2</c:v>
                </c:pt>
                <c:pt idx="85">
                  <c:v>4.648194130561515E-2</c:v>
                </c:pt>
                <c:pt idx="86">
                  <c:v>4.6523428819986098E-2</c:v>
                </c:pt>
                <c:pt idx="87">
                  <c:v>4.6565259812153537E-2</c:v>
                </c:pt>
                <c:pt idx="88">
                  <c:v>4.6607452561981129E-2</c:v>
                </c:pt>
                <c:pt idx="89">
                  <c:v>4.6650025154377654E-2</c:v>
                </c:pt>
                <c:pt idx="90">
                  <c:v>4.6692995437694146E-2</c:v>
                </c:pt>
                <c:pt idx="91">
                  <c:v>4.6736380983912272E-2</c:v>
                </c:pt>
                <c:pt idx="92">
                  <c:v>4.6780199050532462E-2</c:v>
                </c:pt>
                <c:pt idx="93">
                  <c:v>4.6824466544035125E-2</c:v>
                </c:pt>
                <c:pt idx="94">
                  <c:v>4.6869199984757449E-2</c:v>
                </c:pt>
                <c:pt idx="95">
                  <c:v>4.6914415472999869E-2</c:v>
                </c:pt>
                <c:pt idx="96">
                  <c:v>4.6960128656153656E-2</c:v>
                </c:pt>
                <c:pt idx="97">
                  <c:v>4.7006354696622343E-2</c:v>
                </c:pt>
                <c:pt idx="98">
                  <c:v>4.7053108240296272E-2</c:v>
                </c:pt>
                <c:pt idx="99">
                  <c:v>4.710040338533146E-2</c:v>
                </c:pt>
                <c:pt idx="100">
                  <c:v>4.7148253650980493E-2</c:v>
                </c:pt>
                <c:pt idx="101">
                  <c:v>4.7196671946226641E-2</c:v>
                </c:pt>
                <c:pt idx="102">
                  <c:v>4.7245670537979914E-2</c:v>
                </c:pt>
                <c:pt idx="103">
                  <c:v>4.7295261018607052E-2</c:v>
                </c:pt>
                <c:pt idx="104">
                  <c:v>4.7345454272587142E-2</c:v>
                </c:pt>
                <c:pt idx="105">
                  <c:v>4.7396260442107201E-2</c:v>
                </c:pt>
                <c:pt idx="106">
                  <c:v>4.7447688891441686E-2</c:v>
                </c:pt>
                <c:pt idx="107">
                  <c:v>4.7499748169992341E-2</c:v>
                </c:pt>
                <c:pt idx="108">
                  <c:v>4.7552445973902062E-2</c:v>
                </c:pt>
                <c:pt idx="109">
                  <c:v>4.7605789106197248E-2</c:v>
                </c:pt>
                <c:pt idx="110">
                  <c:v>4.7659783435456064E-2</c:v>
                </c:pt>
                <c:pt idx="111">
                  <c:v>4.7714433853047238E-2</c:v>
                </c:pt>
                <c:pt idx="112">
                  <c:v>4.776974422903079E-2</c:v>
                </c:pt>
                <c:pt idx="113">
                  <c:v>4.7825717366861725E-2</c:v>
                </c:pt>
                <c:pt idx="114">
                  <c:v>4.7882354957087578E-2</c:v>
                </c:pt>
                <c:pt idx="115">
                  <c:v>4.7939657530279386E-2</c:v>
                </c:pt>
                <c:pt idx="116">
                  <c:v>4.7997624409484969E-2</c:v>
                </c:pt>
                <c:pt idx="117">
                  <c:v>4.8056253662539961E-2</c:v>
                </c:pt>
                <c:pt idx="118">
                  <c:v>4.8115542054616683E-2</c:v>
                </c:pt>
                <c:pt idx="119">
                  <c:v>4.8175485001433066E-2</c:v>
                </c:pt>
                <c:pt idx="120">
                  <c:v>8.0926651060319096E-3</c:v>
                </c:pt>
                <c:pt idx="121">
                  <c:v>8.1767442516523219E-3</c:v>
                </c:pt>
                <c:pt idx="122">
                  <c:v>8.2609282384491795E-3</c:v>
                </c:pt>
                <c:pt idx="123">
                  <c:v>8.3452181223123093E-3</c:v>
                </c:pt>
                <c:pt idx="124">
                  <c:v>8.4296146106911159E-3</c:v>
                </c:pt>
                <c:pt idx="125">
                  <c:v>8.5141180456791647E-3</c:v>
                </c:pt>
                <c:pt idx="126">
                  <c:v>8.5987283876745521E-3</c:v>
                </c:pt>
                <c:pt idx="127">
                  <c:v>8.6834451997678391E-3</c:v>
                </c:pt>
                <c:pt idx="128">
                  <c:v>8.7682676330145069E-3</c:v>
                </c:pt>
                <c:pt idx="129">
                  <c:v>8.8531944127521051E-3</c:v>
                </c:pt>
                <c:pt idx="130">
                  <c:v>8.9382238261242319E-3</c:v>
                </c:pt>
                <c:pt idx="131">
                  <c:v>9.023353710973547E-3</c:v>
                </c:pt>
                <c:pt idx="132">
                  <c:v>9.1085814462645385E-3</c:v>
                </c:pt>
                <c:pt idx="133">
                  <c:v>9.1939039441930499E-3</c:v>
                </c:pt>
                <c:pt idx="134">
                  <c:v>9.2793176441345639E-3</c:v>
                </c:pt>
                <c:pt idx="135">
                  <c:v>9.3648185085757167E-3</c:v>
                </c:pt>
                <c:pt idx="136">
                  <c:v>9.4504020211647142E-3</c:v>
                </c:pt>
                <c:pt idx="137">
                  <c:v>9.5360631870051657E-3</c:v>
                </c:pt>
                <c:pt idx="138">
                  <c:v>9.6217965353052274E-3</c:v>
                </c:pt>
                <c:pt idx="139">
                  <c:v>9.7075961244795072E-3</c:v>
                </c:pt>
                <c:pt idx="140">
                  <c:v>9.7934555497849827E-3</c:v>
                </c:pt>
                <c:pt idx="141">
                  <c:v>9.8793679535547595E-3</c:v>
                </c:pt>
                <c:pt idx="142">
                  <c:v>9.9653260380743389E-3</c:v>
                </c:pt>
                <c:pt idx="143">
                  <c:v>1.0051322081125084E-2</c:v>
                </c:pt>
                <c:pt idx="144">
                  <c:v>1.0137347954198185E-2</c:v>
                </c:pt>
                <c:pt idx="145">
                  <c:v>1.0223395143360564E-2</c:v>
                </c:pt>
                <c:pt idx="146">
                  <c:v>1.0309454772731208E-2</c:v>
                </c:pt>
                <c:pt idx="147">
                  <c:v>1.0395517630503587E-2</c:v>
                </c:pt>
                <c:pt idx="148">
                  <c:v>1.0481574197426419E-2</c:v>
                </c:pt>
                <c:pt idx="149">
                  <c:v>1.0567614677631683E-2</c:v>
                </c:pt>
                <c:pt idx="150">
                  <c:v>1.0653629031676139E-2</c:v>
                </c:pt>
                <c:pt idx="151">
                  <c:v>1.0739607011639913E-2</c:v>
                </c:pt>
                <c:pt idx="152">
                  <c:v>1.0825538198104357E-2</c:v>
                </c:pt>
                <c:pt idx="153">
                  <c:v>1.0911412038810658E-2</c:v>
                </c:pt>
                <c:pt idx="154">
                  <c:v>1.0997217888781545E-2</c:v>
                </c:pt>
                <c:pt idx="155">
                  <c:v>1.1082945051670394E-2</c:v>
                </c:pt>
                <c:pt idx="156">
                  <c:v>1.1168582822086263E-2</c:v>
                </c:pt>
                <c:pt idx="157">
                  <c:v>1.1254120528629015E-2</c:v>
                </c:pt>
                <c:pt idx="158">
                  <c:v>1.1339547577356678E-2</c:v>
                </c:pt>
                <c:pt idx="159">
                  <c:v>1.1424853495397456E-2</c:v>
                </c:pt>
                <c:pt idx="160">
                  <c:v>1.1510027974411363E-2</c:v>
                </c:pt>
                <c:pt idx="161">
                  <c:v>1.1595060913601843E-2</c:v>
                </c:pt>
                <c:pt idx="162">
                  <c:v>1.1679942461975151E-2</c:v>
                </c:pt>
                <c:pt idx="163">
                  <c:v>1.1764663059546307E-2</c:v>
                </c:pt>
                <c:pt idx="164">
                  <c:v>1.1849213477193348E-2</c:v>
                </c:pt>
                <c:pt idx="165">
                  <c:v>1.1933584854867889E-2</c:v>
                </c:pt>
                <c:pt idx="166">
                  <c:v>1.2017768737878687E-2</c:v>
                </c:pt>
                <c:pt idx="167">
                  <c:v>1.2101757110976632E-2</c:v>
                </c:pt>
                <c:pt idx="168">
                  <c:v>1.2185542429983614E-2</c:v>
                </c:pt>
                <c:pt idx="169">
                  <c:v>1.2269117650724533E-2</c:v>
                </c:pt>
                <c:pt idx="170">
                  <c:v>1.2352476255040991E-2</c:v>
                </c:pt>
                <c:pt idx="171">
                  <c:v>1.2435612273686359E-2</c:v>
                </c:pt>
                <c:pt idx="172">
                  <c:v>1.2518520305925734E-2</c:v>
                </c:pt>
                <c:pt idx="173">
                  <c:v>1.2601195535689462E-2</c:v>
                </c:pt>
                <c:pt idx="174">
                  <c:v>1.2683633744155907E-2</c:v>
                </c:pt>
                <c:pt idx="175">
                  <c:v>1.2765831318667807E-2</c:v>
                </c:pt>
                <c:pt idx="176">
                  <c:v>1.2847785257915694E-2</c:v>
                </c:pt>
                <c:pt idx="177">
                  <c:v>1.2929493173352647E-2</c:v>
                </c:pt>
                <c:pt idx="178">
                  <c:v>1.3010953286835159E-2</c:v>
                </c:pt>
                <c:pt idx="179">
                  <c:v>1.3092164424516529E-2</c:v>
                </c:pt>
                <c:pt idx="180">
                  <c:v>1.3173126007049804E-2</c:v>
                </c:pt>
                <c:pt idx="181">
                  <c:v>1.3253838036188424E-2</c:v>
                </c:pt>
                <c:pt idx="182">
                  <c:v>1.3334301077902486E-2</c:v>
                </c:pt>
                <c:pt idx="183">
                  <c:v>1.3414516242157863E-2</c:v>
                </c:pt>
                <c:pt idx="184">
                  <c:v>1.3494485159532783E-2</c:v>
                </c:pt>
                <c:pt idx="185">
                  <c:v>1.357420995487315E-2</c:v>
                </c:pt>
                <c:pt idx="186">
                  <c:v>1.3653693218211574E-2</c:v>
                </c:pt>
                <c:pt idx="187">
                  <c:v>1.3732937973198028E-2</c:v>
                </c:pt>
                <c:pt idx="188">
                  <c:v>1.3811947643309151E-2</c:v>
                </c:pt>
                <c:pt idx="189">
                  <c:v>1.3890726016121093E-2</c:v>
                </c:pt>
                <c:pt idx="190">
                  <c:v>1.3969277205945011E-2</c:v>
                </c:pt>
                <c:pt idx="191">
                  <c:v>1.4047605615136073E-2</c:v>
                </c:pt>
                <c:pt idx="192">
                  <c:v>1.4125715894395416E-2</c:v>
                </c:pt>
                <c:pt idx="193">
                  <c:v>1.420361290239003E-2</c:v>
                </c:pt>
                <c:pt idx="194">
                  <c:v>1.428130166501756E-2</c:v>
                </c:pt>
                <c:pt idx="195">
                  <c:v>1.435878733464243E-2</c:v>
                </c:pt>
                <c:pt idx="196">
                  <c:v>1.4436075149625069E-2</c:v>
                </c:pt>
                <c:pt idx="197">
                  <c:v>1.4513170394459008E-2</c:v>
                </c:pt>
                <c:pt idx="198">
                  <c:v>1.4590078360819879E-2</c:v>
                </c:pt>
                <c:pt idx="199">
                  <c:v>1.4666804309816803E-2</c:v>
                </c:pt>
                <c:pt idx="200">
                  <c:v>1.4743353435720589E-2</c:v>
                </c:pt>
                <c:pt idx="201">
                  <c:v>1.4819730831423602E-2</c:v>
                </c:pt>
                <c:pt idx="202">
                  <c:v>1.4895941455865086E-2</c:v>
                </c:pt>
                <c:pt idx="203">
                  <c:v>1.4971990103631587E-2</c:v>
                </c:pt>
                <c:pt idx="204">
                  <c:v>1.5047881376916301E-2</c:v>
                </c:pt>
                <c:pt idx="205">
                  <c:v>1.5123619659993945E-2</c:v>
                </c:pt>
                <c:pt idx="206">
                  <c:v>1.5199209096338324E-2</c:v>
                </c:pt>
                <c:pt idx="207">
                  <c:v>1.5274653568480106E-2</c:v>
                </c:pt>
                <c:pt idx="208">
                  <c:v>1.5349956680671266E-2</c:v>
                </c:pt>
                <c:pt idx="209">
                  <c:v>1.5425121744391502E-2</c:v>
                </c:pt>
                <c:pt idx="210">
                  <c:v>1.550015176670063E-2</c:v>
                </c:pt>
                <c:pt idx="211">
                  <c:v>1.5575049441409741E-2</c:v>
                </c:pt>
                <c:pt idx="212">
                  <c:v>1.5649817143013899E-2</c:v>
                </c:pt>
                <c:pt idx="213">
                  <c:v>1.5724456923299237E-2</c:v>
                </c:pt>
                <c:pt idx="214">
                  <c:v>1.5798970510509488E-2</c:v>
                </c:pt>
                <c:pt idx="215">
                  <c:v>1.5873359310930521E-2</c:v>
                </c:pt>
                <c:pt idx="216">
                  <c:v>1.5947624412726777E-2</c:v>
                </c:pt>
                <c:pt idx="217">
                  <c:v>1.6021766591841197E-2</c:v>
                </c:pt>
                <c:pt idx="218">
                  <c:v>1.6095786319750623E-2</c:v>
                </c:pt>
                <c:pt idx="219">
                  <c:v>1.6169683772851186E-2</c:v>
                </c:pt>
                <c:pt idx="220">
                  <c:v>1.6243458843234502E-2</c:v>
                </c:pt>
                <c:pt idx="221">
                  <c:v>1.6317111150604066E-2</c:v>
                </c:pt>
                <c:pt idx="222">
                  <c:v>1.6390640055073607E-2</c:v>
                </c:pt>
                <c:pt idx="223">
                  <c:v>1.6464044670584734E-2</c:v>
                </c:pt>
                <c:pt idx="224">
                  <c:v>1.6537323878680097E-2</c:v>
                </c:pt>
                <c:pt idx="225">
                  <c:v>1.6610476342370742E-2</c:v>
                </c:pt>
                <c:pt idx="226">
                  <c:v>1.6683500519842086E-2</c:v>
                </c:pt>
                <c:pt idx="227">
                  <c:v>1.6756394677752313E-2</c:v>
                </c:pt>
                <c:pt idx="228">
                  <c:v>1.6829156903889232E-2</c:v>
                </c:pt>
                <c:pt idx="229">
                  <c:v>1.6901785118967529E-2</c:v>
                </c:pt>
                <c:pt idx="230">
                  <c:v>1.6974277087366662E-2</c:v>
                </c:pt>
                <c:pt idx="231">
                  <c:v>1.7046630426631324E-2</c:v>
                </c:pt>
                <c:pt idx="232">
                  <c:v>1.7118842615579985E-2</c:v>
                </c:pt>
                <c:pt idx="233">
                  <c:v>1.7190911000893514E-2</c:v>
                </c:pt>
                <c:pt idx="234">
                  <c:v>1.7262832802083586E-2</c:v>
                </c:pt>
                <c:pt idx="235">
                  <c:v>1.7334605114770807E-2</c:v>
                </c:pt>
                <c:pt idx="236">
                  <c:v>1.7406224912232968E-2</c:v>
                </c:pt>
                <c:pt idx="237">
                  <c:v>1.7477689045216238E-2</c:v>
                </c:pt>
                <c:pt idx="238">
                  <c:v>1.7548994240034144E-2</c:v>
                </c:pt>
                <c:pt idx="239">
                  <c:v>1.7620137095012086E-2</c:v>
                </c:pt>
                <c:pt idx="240">
                  <c:v>1.7691114075367151E-2</c:v>
                </c:pt>
                <c:pt idx="241">
                  <c:v>1.7761921506644792E-2</c:v>
                </c:pt>
                <c:pt idx="242">
                  <c:v>1.7832555566864385E-2</c:v>
                </c:pt>
                <c:pt idx="243">
                  <c:v>1.7903012277554763E-2</c:v>
                </c:pt>
                <c:pt idx="244">
                  <c:v>1.7973287493888039E-2</c:v>
                </c:pt>
                <c:pt idx="245">
                  <c:v>1.8043376894145088E-2</c:v>
                </c:pt>
                <c:pt idx="246">
                  <c:v>1.8113275968768373E-2</c:v>
                </c:pt>
                <c:pt idx="247">
                  <c:v>1.8182980009277466E-2</c:v>
                </c:pt>
                <c:pt idx="248">
                  <c:v>1.8252484097338931E-2</c:v>
                </c:pt>
                <c:pt idx="249">
                  <c:v>1.8321783094295292E-2</c:v>
                </c:pt>
                <c:pt idx="250">
                  <c:v>1.8390871631466944E-2</c:v>
                </c:pt>
                <c:pt idx="251">
                  <c:v>1.8459744101546476E-2</c:v>
                </c:pt>
                <c:pt idx="252">
                  <c:v>1.85283946514062E-2</c:v>
                </c:pt>
                <c:pt idx="253">
                  <c:v>1.8596817176637255E-2</c:v>
                </c:pt>
                <c:pt idx="254">
                  <c:v>1.8665005318131648E-2</c:v>
                </c:pt>
                <c:pt idx="255">
                  <c:v>1.8732952461007892E-2</c:v>
                </c:pt>
                <c:pt idx="256">
                  <c:v>1.8800651736165734E-2</c:v>
                </c:pt>
                <c:pt idx="257">
                  <c:v>1.8868096024736436E-2</c:v>
                </c:pt>
                <c:pt idx="258">
                  <c:v>1.8935277965672161E-2</c:v>
                </c:pt>
                <c:pt idx="259">
                  <c:v>1.9002189966691122E-2</c:v>
                </c:pt>
                <c:pt idx="260">
                  <c:v>1.9068824218765192E-2</c:v>
                </c:pt>
                <c:pt idx="261">
                  <c:v>1.9135172714302935E-2</c:v>
                </c:pt>
                <c:pt idx="262">
                  <c:v>1.9201227269144906E-2</c:v>
                </c:pt>
                <c:pt idx="263">
                  <c:v>1.9266979548448745E-2</c:v>
                </c:pt>
                <c:pt idx="264">
                  <c:v>1.9332421096500688E-2</c:v>
                </c:pt>
                <c:pt idx="265">
                  <c:v>1.9397543370446708E-2</c:v>
                </c:pt>
                <c:pt idx="266">
                  <c:v>1.9462337777892406E-2</c:v>
                </c:pt>
                <c:pt idx="267">
                  <c:v>1.9526795718275213E-2</c:v>
                </c:pt>
                <c:pt idx="268">
                  <c:v>1.9590908627866572E-2</c:v>
                </c:pt>
                <c:pt idx="269">
                  <c:v>1.9654668028216256E-2</c:v>
                </c:pt>
                <c:pt idx="270">
                  <c:v>1.9718065577805446E-2</c:v>
                </c:pt>
                <c:pt idx="271">
                  <c:v>1.9781093126631091E-2</c:v>
                </c:pt>
                <c:pt idx="272">
                  <c:v>1.9843742773401382E-2</c:v>
                </c:pt>
                <c:pt idx="273">
                  <c:v>1.9906006924981366E-2</c:v>
                </c:pt>
                <c:pt idx="274">
                  <c:v>1.9967878357689688E-2</c:v>
                </c:pt>
                <c:pt idx="275">
                  <c:v>2.0029350280012022E-2</c:v>
                </c:pt>
                <c:pt idx="276">
                  <c:v>2.0090416396264899E-2</c:v>
                </c:pt>
                <c:pt idx="277">
                  <c:v>2.0151070970715727E-2</c:v>
                </c:pt>
                <c:pt idx="278">
                  <c:v>2.0211308891640464E-2</c:v>
                </c:pt>
                <c:pt idx="279">
                  <c:v>2.02711257347815E-2</c:v>
                </c:pt>
                <c:pt idx="280">
                  <c:v>2.03305178256529E-2</c:v>
                </c:pt>
                <c:pt idx="281">
                  <c:v>2.0389482300131535E-2</c:v>
                </c:pt>
                <c:pt idx="282">
                  <c:v>2.0448017162766997E-2</c:v>
                </c:pt>
                <c:pt idx="283">
                  <c:v>2.0506121342245474E-2</c:v>
                </c:pt>
                <c:pt idx="284">
                  <c:v>2.0563794743448195E-2</c:v>
                </c:pt>
                <c:pt idx="285">
                  <c:v>2.0621038295557739E-2</c:v>
                </c:pt>
                <c:pt idx="286">
                  <c:v>2.0677853995682692E-2</c:v>
                </c:pt>
                <c:pt idx="287">
                  <c:v>2.0734244947494321E-2</c:v>
                </c:pt>
                <c:pt idx="288">
                  <c:v>2.0790215394397068E-2</c:v>
                </c:pt>
                <c:pt idx="289">
                  <c:v>2.0845770746788325E-2</c:v>
                </c:pt>
                <c:pt idx="290">
                  <c:v>2.0900917603001008E-2</c:v>
                </c:pt>
                <c:pt idx="291">
                  <c:v>2.0955663763565995E-2</c:v>
                </c:pt>
                <c:pt idx="292">
                  <c:v>2.1010018238477941E-2</c:v>
                </c:pt>
                <c:pt idx="293">
                  <c:v>2.1063991247200039E-2</c:v>
                </c:pt>
                <c:pt idx="294">
                  <c:v>2.1117594211197376E-2</c:v>
                </c:pt>
                <c:pt idx="295">
                  <c:v>2.1170839738846314E-2</c:v>
                </c:pt>
                <c:pt idx="296">
                  <c:v>2.1223741602627626E-2</c:v>
                </c:pt>
                <c:pt idx="297">
                  <c:v>2.1276314708573132E-2</c:v>
                </c:pt>
                <c:pt idx="298">
                  <c:v>2.1328575057999018E-2</c:v>
                </c:pt>
                <c:pt idx="299">
                  <c:v>2.1380539701623593E-2</c:v>
                </c:pt>
                <c:pt idx="300">
                  <c:v>2.143222668623164E-2</c:v>
                </c:pt>
                <c:pt idx="301">
                  <c:v>2.1483654994111586E-2</c:v>
                </c:pt>
                <c:pt idx="302">
                  <c:v>2.1534844475555395E-2</c:v>
                </c:pt>
                <c:pt idx="303">
                  <c:v>2.1585815774772085E-2</c:v>
                </c:pt>
                <c:pt idx="304">
                  <c:v>2.1636590249625529E-2</c:v>
                </c:pt>
                <c:pt idx="305">
                  <c:v>2.1687189885663871E-2</c:v>
                </c:pt>
                <c:pt idx="306">
                  <c:v>2.1737637204960907E-2</c:v>
                </c:pt>
                <c:pt idx="307">
                  <c:v>2.1787955170339539E-2</c:v>
                </c:pt>
                <c:pt idx="308">
                  <c:v>2.1838167085592216E-2</c:v>
                </c:pt>
                <c:pt idx="309">
                  <c:v>2.1888296492353614E-2</c:v>
                </c:pt>
                <c:pt idx="310">
                  <c:v>2.1938367064315734E-2</c:v>
                </c:pt>
                <c:pt idx="311">
                  <c:v>2.1988402499505084E-2</c:v>
                </c:pt>
                <c:pt idx="312">
                  <c:v>2.2038426411364675E-2</c:v>
                </c:pt>
                <c:pt idx="313">
                  <c:v>2.2088462219401181E-2</c:v>
                </c:pt>
                <c:pt idx="314">
                  <c:v>2.2138533040167892E-2</c:v>
                </c:pt>
                <c:pt idx="315">
                  <c:v>2.2188661579358639E-2</c:v>
                </c:pt>
                <c:pt idx="316">
                  <c:v>2.2238870025785094E-2</c:v>
                </c:pt>
                <c:pt idx="317">
                  <c:v>2.2289179948000785E-2</c:v>
                </c:pt>
                <c:pt idx="318">
                  <c:v>2.2339612194319278E-2</c:v>
                </c:pt>
                <c:pt idx="319">
                  <c:v>2.2390186796951428E-2</c:v>
                </c:pt>
                <c:pt idx="320">
                  <c:v>2.2440922880958118E-2</c:v>
                </c:pt>
                <c:pt idx="321">
                  <c:v>2.2491838578679528E-2</c:v>
                </c:pt>
                <c:pt idx="322">
                  <c:v>2.2542950950261438E-2</c:v>
                </c:pt>
                <c:pt idx="323">
                  <c:v>2.2594275910852595E-2</c:v>
                </c:pt>
                <c:pt idx="324">
                  <c:v>2.2645828164995586E-2</c:v>
                </c:pt>
                <c:pt idx="325">
                  <c:v>2.2697621148677613E-2</c:v>
                </c:pt>
                <c:pt idx="326">
                  <c:v>2.2749666979447095E-2</c:v>
                </c:pt>
                <c:pt idx="327">
                  <c:v>2.2801976414937929E-2</c:v>
                </c:pt>
                <c:pt idx="328">
                  <c:v>2.2854558820076344E-2</c:v>
                </c:pt>
                <c:pt idx="329">
                  <c:v>2.2907422143175444E-2</c:v>
                </c:pt>
                <c:pt idx="330">
                  <c:v>2.2960572901051239E-2</c:v>
                </c:pt>
                <c:pt idx="331">
                  <c:v>2.301401617322138E-2</c:v>
                </c:pt>
                <c:pt idx="332">
                  <c:v>2.3067755605174531E-2</c:v>
                </c:pt>
                <c:pt idx="333">
                  <c:v>2.3121793420625422E-2</c:v>
                </c:pt>
                <c:pt idx="334">
                  <c:v>2.3176130442598208E-2</c:v>
                </c:pt>
                <c:pt idx="335">
                  <c:v>2.3230766123110303E-2</c:v>
                </c:pt>
                <c:pt idx="336">
                  <c:v>2.328569858115984E-2</c:v>
                </c:pt>
                <c:pt idx="337">
                  <c:v>2.3340924648654379E-2</c:v>
                </c:pt>
                <c:pt idx="338">
                  <c:v>2.3396439923855525E-2</c:v>
                </c:pt>
                <c:pt idx="339">
                  <c:v>2.3452238831855772E-2</c:v>
                </c:pt>
                <c:pt idx="340">
                  <c:v>2.3508314691549539E-2</c:v>
                </c:pt>
                <c:pt idx="341">
                  <c:v>2.3564659788511036E-2</c:v>
                </c:pt>
                <c:pt idx="342">
                  <c:v>2.3621265453147747E-2</c:v>
                </c:pt>
                <c:pt idx="343">
                  <c:v>2.3678122143460274E-2</c:v>
                </c:pt>
                <c:pt idx="344">
                  <c:v>2.3735219531707003E-2</c:v>
                </c:pt>
                <c:pt idx="345">
                  <c:v>2.3792546594246674E-2</c:v>
                </c:pt>
                <c:pt idx="346">
                  <c:v>2.3850091703812682E-2</c:v>
                </c:pt>
                <c:pt idx="347">
                  <c:v>2.3907842723460734E-2</c:v>
                </c:pt>
                <c:pt idx="348">
                  <c:v>2.3965787101426023E-2</c:v>
                </c:pt>
                <c:pt idx="349">
                  <c:v>2.4023911966127319E-2</c:v>
                </c:pt>
                <c:pt idx="350">
                  <c:v>2.4082204220563796E-2</c:v>
                </c:pt>
                <c:pt idx="351">
                  <c:v>2.4140650635365111E-2</c:v>
                </c:pt>
                <c:pt idx="352">
                  <c:v>2.4199237939776751E-2</c:v>
                </c:pt>
                <c:pt idx="353">
                  <c:v>2.4257952909890371E-2</c:v>
                </c:pt>
                <c:pt idx="354">
                  <c:v>2.4316782453462606E-2</c:v>
                </c:pt>
                <c:pt idx="355">
                  <c:v>2.4375713690704948E-2</c:v>
                </c:pt>
                <c:pt idx="356">
                  <c:v>2.4434734030472173E-2</c:v>
                </c:pt>
                <c:pt idx="357">
                  <c:v>2.449383124132589E-2</c:v>
                </c:pt>
                <c:pt idx="358">
                  <c:v>2.4552993517003571E-2</c:v>
                </c:pt>
                <c:pt idx="359">
                  <c:v>2.4612209535880506E-2</c:v>
                </c:pt>
                <c:pt idx="360">
                  <c:v>2.4671468514073189E-2</c:v>
                </c:pt>
                <c:pt idx="361">
                  <c:v>2.4730760251895134E-2</c:v>
                </c:pt>
                <c:pt idx="362">
                  <c:v>2.4790075173441423E-2</c:v>
                </c:pt>
                <c:pt idx="363">
                  <c:v>2.4849404359144886E-2</c:v>
                </c:pt>
                <c:pt idx="364">
                  <c:v>2.4908739571213194E-2</c:v>
                </c:pt>
                <c:pt idx="365">
                  <c:v>2.4968073271923918E-2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'2028'!$P$15:$P$380</c:f>
              <c:numCache>
                <c:formatCode>0.00%</c:formatCode>
                <c:ptCount val="366"/>
                <c:pt idx="0">
                  <c:v>3.6551185741086649E-3</c:v>
                </c:pt>
                <c:pt idx="1">
                  <c:v>3.6783995965027094E-3</c:v>
                </c:pt>
                <c:pt idx="2">
                  <c:v>3.7058047881299975E-3</c:v>
                </c:pt>
                <c:pt idx="3">
                  <c:v>3.7372797679473217E-3</c:v>
                </c:pt>
                <c:pt idx="4">
                  <c:v>3.772766947439902E-3</c:v>
                </c:pt>
                <c:pt idx="5">
                  <c:v>3.8122063687812311E-3</c:v>
                </c:pt>
                <c:pt idx="6">
                  <c:v>3.8555365133861176E-3</c:v>
                </c:pt>
                <c:pt idx="7">
                  <c:v>3.9026950764819127E-3</c:v>
                </c:pt>
                <c:pt idx="8">
                  <c:v>3.953226423208063E-3</c:v>
                </c:pt>
                <c:pt idx="9">
                  <c:v>3.9995611123865753E-3</c:v>
                </c:pt>
                <c:pt idx="10">
                  <c:v>4.0382007756444493E-3</c:v>
                </c:pt>
                <c:pt idx="11">
                  <c:v>4.0693831921684888E-3</c:v>
                </c:pt>
                <c:pt idx="12">
                  <c:v>4.093357180600248E-3</c:v>
                </c:pt>
                <c:pt idx="13">
                  <c:v>4.1103796916395078E-3</c:v>
                </c:pt>
                <c:pt idx="14">
                  <c:v>4.1207130953853305E-3</c:v>
                </c:pt>
                <c:pt idx="15">
                  <c:v>4.1204137165081201E-3</c:v>
                </c:pt>
                <c:pt idx="16">
                  <c:v>4.1083057459952096E-3</c:v>
                </c:pt>
                <c:pt idx="17">
                  <c:v>4.0848247252250371E-3</c:v>
                </c:pt>
                <c:pt idx="18">
                  <c:v>4.0504022660276225E-3</c:v>
                </c:pt>
                <c:pt idx="19">
                  <c:v>4.0054818596375824E-3</c:v>
                </c:pt>
                <c:pt idx="20">
                  <c:v>3.9505048356996168E-3</c:v>
                </c:pt>
                <c:pt idx="21">
                  <c:v>3.8858846451858215E-3</c:v>
                </c:pt>
                <c:pt idx="22">
                  <c:v>3.8116738009756923E-3</c:v>
                </c:pt>
                <c:pt idx="23">
                  <c:v>3.7242824326500284E-3</c:v>
                </c:pt>
                <c:pt idx="24">
                  <c:v>3.6303963066999195E-3</c:v>
                </c:pt>
                <c:pt idx="25">
                  <c:v>3.5303474521307171E-3</c:v>
                </c:pt>
                <c:pt idx="26">
                  <c:v>3.4244542449528553E-3</c:v>
                </c:pt>
                <c:pt idx="27">
                  <c:v>3.3130203634646974E-3</c:v>
                </c:pt>
                <c:pt idx="28">
                  <c:v>3.196333980654172E-3</c:v>
                </c:pt>
                <c:pt idx="29">
                  <c:v>3.0714495468198992E-3</c:v>
                </c:pt>
                <c:pt idx="30">
                  <c:v>2.9423274444391342E-3</c:v>
                </c:pt>
                <c:pt idx="31">
                  <c:v>2.8091921693467292E-3</c:v>
                </c:pt>
                <c:pt idx="32">
                  <c:v>2.6722516100554441E-3</c:v>
                </c:pt>
                <c:pt idx="33">
                  <c:v>2.5316971617576423E-3</c:v>
                </c:pt>
                <c:pt idx="34">
                  <c:v>2.3877039307486207E-3</c:v>
                </c:pt>
                <c:pt idx="35">
                  <c:v>2.2404310140215025E-3</c:v>
                </c:pt>
                <c:pt idx="36">
                  <c:v>2.0898367745947125E-3</c:v>
                </c:pt>
                <c:pt idx="37">
                  <c:v>1.940340850268637E-3</c:v>
                </c:pt>
                <c:pt idx="38">
                  <c:v>1.7951413430267705E-3</c:v>
                </c:pt>
                <c:pt idx="39">
                  <c:v>1.6541990740948926E-3</c:v>
                </c:pt>
                <c:pt idx="40">
                  <c:v>1.5174608279237625E-3</c:v>
                </c:pt>
                <c:pt idx="41">
                  <c:v>1.384861118724486E-3</c:v>
                </c:pt>
                <c:pt idx="42">
                  <c:v>1.2563238276864254E-3</c:v>
                </c:pt>
                <c:pt idx="43">
                  <c:v>1.1360212284038959E-3</c:v>
                </c:pt>
                <c:pt idx="44">
                  <c:v>1.0264764331203546E-3</c:v>
                </c:pt>
                <c:pt idx="45">
                  <c:v>9.2738285952275476E-4</c:v>
                </c:pt>
                <c:pt idx="46">
                  <c:v>8.3843886858931739E-4</c:v>
                </c:pt>
                <c:pt idx="47">
                  <c:v>7.5934954466973736E-4</c:v>
                </c:pt>
                <c:pt idx="48">
                  <c:v>6.898282510079208E-4</c:v>
                </c:pt>
                <c:pt idx="49">
                  <c:v>6.2959798628820006E-4</c:v>
                </c:pt>
                <c:pt idx="50">
                  <c:v>5.7835113098540401E-4</c:v>
                </c:pt>
                <c:pt idx="51">
                  <c:v>5.3587807642618411E-4</c:v>
                </c:pt>
                <c:pt idx="52">
                  <c:v>4.9815245493914394E-4</c:v>
                </c:pt>
                <c:pt idx="53">
                  <c:v>4.6504884329269243E-4</c:v>
                </c:pt>
                <c:pt idx="54">
                  <c:v>4.364475623453553E-4</c:v>
                </c:pt>
                <c:pt idx="55">
                  <c:v>4.1223251104770373E-4</c:v>
                </c:pt>
                <c:pt idx="56">
                  <c:v>3.9229138516022242E-4</c:v>
                </c:pt>
                <c:pt idx="57">
                  <c:v>3.7643555136253592E-4</c:v>
                </c:pt>
                <c:pt idx="58">
                  <c:v>3.608586740264883E-4</c:v>
                </c:pt>
                <c:pt idx="59">
                  <c:v>3.455551220762843E-4</c:v>
                </c:pt>
                <c:pt idx="60">
                  <c:v>3.3051905371639259E-4</c:v>
                </c:pt>
                <c:pt idx="61">
                  <c:v>3.1574443308404477E-4</c:v>
                </c:pt>
                <c:pt idx="62">
                  <c:v>3.0122504413701725E-4</c:v>
                </c:pt>
                <c:pt idx="63">
                  <c:v>2.8695450210634133E-4</c:v>
                </c:pt>
                <c:pt idx="64">
                  <c:v>2.7292174845214886E-4</c:v>
                </c:pt>
                <c:pt idx="65">
                  <c:v>2.599295889058201E-4</c:v>
                </c:pt>
                <c:pt idx="66">
                  <c:v>2.4788298202473751E-4</c:v>
                </c:pt>
                <c:pt idx="67">
                  <c:v>2.3675860170862094E-4</c:v>
                </c:pt>
                <c:pt idx="68">
                  <c:v>2.265342724659433E-4</c:v>
                </c:pt>
                <c:pt idx="69">
                  <c:v>2.1719659880919416E-4</c:v>
                </c:pt>
                <c:pt idx="70">
                  <c:v>2.0871761464351829E-4</c:v>
                </c:pt>
                <c:pt idx="71">
                  <c:v>2.0139689372527069E-4</c:v>
                </c:pt>
                <c:pt idx="72">
                  <c:v>1.9528220278593558E-4</c:v>
                </c:pt>
                <c:pt idx="73">
                  <c:v>1.9034909402690129E-4</c:v>
                </c:pt>
                <c:pt idx="74">
                  <c:v>1.8657436506118276E-4</c:v>
                </c:pt>
                <c:pt idx="75">
                  <c:v>1.8393602096292304E-4</c:v>
                </c:pt>
                <c:pt idx="76">
                  <c:v>1.8241324219007304E-4</c:v>
                </c:pt>
                <c:pt idx="77">
                  <c:v>1.8198635771127599E-4</c:v>
                </c:pt>
                <c:pt idx="78">
                  <c:v>1.8263107418187307E-4</c:v>
                </c:pt>
                <c:pt idx="79">
                  <c:v>1.8415649569714361E-4</c:v>
                </c:pt>
                <c:pt idx="80">
                  <c:v>1.8581249194328587E-4</c:v>
                </c:pt>
                <c:pt idx="81">
                  <c:v>1.8760179634029505E-4</c:v>
                </c:pt>
                <c:pt idx="82">
                  <c:v>1.8952733815015685E-4</c:v>
                </c:pt>
                <c:pt idx="83">
                  <c:v>1.9159226466321331E-4</c:v>
                </c:pt>
                <c:pt idx="84">
                  <c:v>1.9379996354706606E-4</c:v>
                </c:pt>
                <c:pt idx="85">
                  <c:v>1.9621717317237054E-4</c:v>
                </c:pt>
                <c:pt idx="86">
                  <c:v>1.9855346133228316E-4</c:v>
                </c:pt>
                <c:pt idx="87">
                  <c:v>2.0081589542919934E-4</c:v>
                </c:pt>
                <c:pt idx="88">
                  <c:v>2.0301147511839074E-4</c:v>
                </c:pt>
                <c:pt idx="89">
                  <c:v>2.0514712345559829E-4</c:v>
                </c:pt>
                <c:pt idx="90">
                  <c:v>2.0722968054268131E-4</c:v>
                </c:pt>
                <c:pt idx="91">
                  <c:v>2.0926589939621656E-4</c:v>
                </c:pt>
                <c:pt idx="92">
                  <c:v>2.1125574975537284E-4</c:v>
                </c:pt>
                <c:pt idx="93">
                  <c:v>2.1340864751850184E-4</c:v>
                </c:pt>
                <c:pt idx="94">
                  <c:v>2.1588549385494308E-4</c:v>
                </c:pt>
                <c:pt idx="95">
                  <c:v>2.1868629184492973E-4</c:v>
                </c:pt>
                <c:pt idx="96">
                  <c:v>2.218115053801653E-4</c:v>
                </c:pt>
                <c:pt idx="97">
                  <c:v>2.252620458731139E-4</c:v>
                </c:pt>
                <c:pt idx="98">
                  <c:v>2.2903925940861091E-4</c:v>
                </c:pt>
                <c:pt idx="99">
                  <c:v>2.3301558618827898E-4</c:v>
                </c:pt>
                <c:pt idx="100">
                  <c:v>2.371328981294861E-4</c:v>
                </c:pt>
                <c:pt idx="101">
                  <c:v>2.4139411476324426E-4</c:v>
                </c:pt>
                <c:pt idx="102">
                  <c:v>2.458022667443299E-4</c:v>
                </c:pt>
                <c:pt idx="103">
                  <c:v>2.5036049072572197E-4</c:v>
                </c:pt>
                <c:pt idx="104">
                  <c:v>2.550720237548431E-4</c:v>
                </c:pt>
                <c:pt idx="105">
                  <c:v>2.5994019733682999E-4</c:v>
                </c:pt>
                <c:pt idx="106">
                  <c:v>2.6497342505531234E-4</c:v>
                </c:pt>
                <c:pt idx="107">
                  <c:v>2.6984502021924658E-4</c:v>
                </c:pt>
                <c:pt idx="108">
                  <c:v>2.7434473715496862E-4</c:v>
                </c:pt>
                <c:pt idx="109">
                  <c:v>2.7847252420461227E-4</c:v>
                </c:pt>
                <c:pt idx="110">
                  <c:v>2.8222817609110213E-4</c:v>
                </c:pt>
                <c:pt idx="111">
                  <c:v>2.85610722021741E-4</c:v>
                </c:pt>
                <c:pt idx="112">
                  <c:v>2.8861773274854421E-4</c:v>
                </c:pt>
                <c:pt idx="113">
                  <c:v>2.9119840305040447E-4</c:v>
                </c:pt>
                <c:pt idx="114">
                  <c:v>2.9347775172151419E-4</c:v>
                </c:pt>
                <c:pt idx="115">
                  <c:v>2.9545069666544452E-4</c:v>
                </c:pt>
                <c:pt idx="116">
                  <c:v>2.9711144248867376E-4</c:v>
                </c:pt>
                <c:pt idx="117">
                  <c:v>2.9845348850285808E-4</c:v>
                </c:pt>
                <c:pt idx="118">
                  <c:v>2.9946963802701275E-4</c:v>
                </c:pt>
                <c:pt idx="119">
                  <c:v>3.0015200934594788E-4</c:v>
                </c:pt>
                <c:pt idx="120">
                  <c:v>3.0049692267882308E-4</c:v>
                </c:pt>
                <c:pt idx="121">
                  <c:v>3.004562427055244E-4</c:v>
                </c:pt>
                <c:pt idx="122">
                  <c:v>3.0037520875708505E-4</c:v>
                </c:pt>
                <c:pt idx="123">
                  <c:v>3.0024940763650316E-4</c:v>
                </c:pt>
                <c:pt idx="124">
                  <c:v>3.0007420141493654E-4</c:v>
                </c:pt>
                <c:pt idx="125">
                  <c:v>2.998447279049367E-4</c:v>
                </c:pt>
                <c:pt idx="126">
                  <c:v>2.9955590207943574E-4</c:v>
                </c:pt>
                <c:pt idx="127">
                  <c:v>2.9903141131780361E-4</c:v>
                </c:pt>
                <c:pt idx="128">
                  <c:v>2.983179433286811E-4</c:v>
                </c:pt>
                <c:pt idx="129">
                  <c:v>2.9740900714231999E-4</c:v>
                </c:pt>
                <c:pt idx="130">
                  <c:v>2.9629788852768773E-4</c:v>
                </c:pt>
                <c:pt idx="131">
                  <c:v>2.9497766984403943E-4</c:v>
                </c:pt>
                <c:pt idx="132">
                  <c:v>2.9344125153452912E-4</c:v>
                </c:pt>
                <c:pt idx="133">
                  <c:v>2.9168137528696851E-4</c:v>
                </c:pt>
                <c:pt idx="134">
                  <c:v>2.8969363679565293E-4</c:v>
                </c:pt>
                <c:pt idx="135">
                  <c:v>2.8777117940451163E-4</c:v>
                </c:pt>
                <c:pt idx="136">
                  <c:v>2.8595947155801748E-4</c:v>
                </c:pt>
                <c:pt idx="137">
                  <c:v>2.8425811892286923E-4</c:v>
                </c:pt>
                <c:pt idx="138">
                  <c:v>2.8266692006647087E-4</c:v>
                </c:pt>
                <c:pt idx="139">
                  <c:v>2.8118586323371903E-4</c:v>
                </c:pt>
                <c:pt idx="140">
                  <c:v>2.7981512253181997E-4</c:v>
                </c:pt>
                <c:pt idx="141">
                  <c:v>2.7866880391690498E-4</c:v>
                </c:pt>
                <c:pt idx="142">
                  <c:v>2.7793350612741646E-4</c:v>
                </c:pt>
                <c:pt idx="143">
                  <c:v>2.7761385959982081E-4</c:v>
                </c:pt>
                <c:pt idx="144">
                  <c:v>2.7771606368115416E-4</c:v>
                </c:pt>
                <c:pt idx="145">
                  <c:v>2.782464395368273E-4</c:v>
                </c:pt>
                <c:pt idx="146">
                  <c:v>2.7921139542114518E-4</c:v>
                </c:pt>
                <c:pt idx="147">
                  <c:v>2.8061739110839051E-4</c:v>
                </c:pt>
                <c:pt idx="148">
                  <c:v>2.8247110705820726E-4</c:v>
                </c:pt>
                <c:pt idx="149">
                  <c:v>2.8421542285117149E-4</c:v>
                </c:pt>
                <c:pt idx="150">
                  <c:v>2.8551127922465426E-4</c:v>
                </c:pt>
                <c:pt idx="151">
                  <c:v>2.8634600160611513E-4</c:v>
                </c:pt>
                <c:pt idx="152">
                  <c:v>2.8670690441163555E-4</c:v>
                </c:pt>
                <c:pt idx="153">
                  <c:v>2.8658132737954372E-4</c:v>
                </c:pt>
                <c:pt idx="154">
                  <c:v>2.8595667146575813E-4</c:v>
                </c:pt>
                <c:pt idx="155">
                  <c:v>2.8489026951760273E-4</c:v>
                </c:pt>
                <c:pt idx="156">
                  <c:v>2.8324982914707946E-4</c:v>
                </c:pt>
                <c:pt idx="157">
                  <c:v>2.8102367635664689E-4</c:v>
                </c:pt>
                <c:pt idx="158">
                  <c:v>2.7820037892454423E-4</c:v>
                </c:pt>
                <c:pt idx="159">
                  <c:v>2.747687712824145E-4</c:v>
                </c:pt>
                <c:pt idx="160">
                  <c:v>2.7071797615350933E-4</c:v>
                </c:pt>
                <c:pt idx="161">
                  <c:v>2.6603742263459486E-4</c:v>
                </c:pt>
                <c:pt idx="162">
                  <c:v>2.6071667187524199E-4</c:v>
                </c:pt>
                <c:pt idx="163">
                  <c:v>2.5523141008010184E-4</c:v>
                </c:pt>
                <c:pt idx="164">
                  <c:v>2.5020690704740577E-4</c:v>
                </c:pt>
                <c:pt idx="165">
                  <c:v>2.4565346000720049E-4</c:v>
                </c:pt>
                <c:pt idx="166">
                  <c:v>2.4158137444470811E-4</c:v>
                </c:pt>
                <c:pt idx="167">
                  <c:v>2.3800092548406876E-4</c:v>
                </c:pt>
                <c:pt idx="168">
                  <c:v>2.3492232118846895E-4</c:v>
                </c:pt>
                <c:pt idx="169">
                  <c:v>2.3285906786477543E-4</c:v>
                </c:pt>
                <c:pt idx="170">
                  <c:v>2.3174947521817995E-4</c:v>
                </c:pt>
                <c:pt idx="171">
                  <c:v>2.3160922948087283E-4</c:v>
                </c:pt>
                <c:pt idx="172">
                  <c:v>2.3245357871768047E-4</c:v>
                </c:pt>
                <c:pt idx="173">
                  <c:v>2.3429529716581421E-4</c:v>
                </c:pt>
                <c:pt idx="174">
                  <c:v>2.3714645799900188E-4</c:v>
                </c:pt>
                <c:pt idx="175">
                  <c:v>2.4102043157187008E-4</c:v>
                </c:pt>
                <c:pt idx="176">
                  <c:v>2.459289499473149E-4</c:v>
                </c:pt>
                <c:pt idx="177">
                  <c:v>2.5196785817033858E-4</c:v>
                </c:pt>
                <c:pt idx="178">
                  <c:v>2.5862628834781505E-4</c:v>
                </c:pt>
                <c:pt idx="179">
                  <c:v>2.6591181656552751E-4</c:v>
                </c:pt>
                <c:pt idx="180">
                  <c:v>2.7383185928776208E-4</c:v>
                </c:pt>
                <c:pt idx="181">
                  <c:v>2.8239371843299672E-4</c:v>
                </c:pt>
                <c:pt idx="182">
                  <c:v>2.9160462979755433E-4</c:v>
                </c:pt>
                <c:pt idx="183">
                  <c:v>3.0078030423941893E-4</c:v>
                </c:pt>
                <c:pt idx="184">
                  <c:v>3.0938241054863472E-4</c:v>
                </c:pt>
                <c:pt idx="185">
                  <c:v>3.174049937016408E-4</c:v>
                </c:pt>
                <c:pt idx="186">
                  <c:v>3.2484270849507689E-4</c:v>
                </c:pt>
                <c:pt idx="187">
                  <c:v>3.3169077468605217E-4</c:v>
                </c:pt>
                <c:pt idx="188">
                  <c:v>3.3794492798322142E-4</c:v>
                </c:pt>
                <c:pt idx="189">
                  <c:v>3.4360136740399445E-4</c:v>
                </c:pt>
                <c:pt idx="190">
                  <c:v>3.486561863279608E-4</c:v>
                </c:pt>
                <c:pt idx="191">
                  <c:v>3.5323673940397207E-4</c:v>
                </c:pt>
                <c:pt idx="192">
                  <c:v>3.5724658697992834E-4</c:v>
                </c:pt>
                <c:pt idx="193">
                  <c:v>3.6067911024255091E-4</c:v>
                </c:pt>
                <c:pt idx="194">
                  <c:v>3.6352783468359458E-4</c:v>
                </c:pt>
                <c:pt idx="195">
                  <c:v>3.6578641665395081E-4</c:v>
                </c:pt>
                <c:pt idx="196">
                  <c:v>3.6744862956167843E-4</c:v>
                </c:pt>
                <c:pt idx="197">
                  <c:v>3.6893589801988076E-4</c:v>
                </c:pt>
                <c:pt idx="198">
                  <c:v>3.7097465084449455E-4</c:v>
                </c:pt>
                <c:pt idx="199">
                  <c:v>3.7356985245134522E-4</c:v>
                </c:pt>
                <c:pt idx="200">
                  <c:v>3.7672637097146006E-4</c:v>
                </c:pt>
                <c:pt idx="201">
                  <c:v>3.8044897062220276E-4</c:v>
                </c:pt>
                <c:pt idx="202">
                  <c:v>3.847423031095702E-4</c:v>
                </c:pt>
                <c:pt idx="203">
                  <c:v>3.8961089782600032E-4</c:v>
                </c:pt>
                <c:pt idx="204">
                  <c:v>3.9506308964170847E-4</c:v>
                </c:pt>
                <c:pt idx="205">
                  <c:v>4.0087663932401971E-4</c:v>
                </c:pt>
                <c:pt idx="206">
                  <c:v>4.0692024537298469E-4</c:v>
                </c:pt>
                <c:pt idx="207">
                  <c:v>4.1319796212436067E-4</c:v>
                </c:pt>
                <c:pt idx="208">
                  <c:v>4.1971381210299363E-4</c:v>
                </c:pt>
                <c:pt idx="209">
                  <c:v>4.2647178641464412E-4</c:v>
                </c:pt>
                <c:pt idx="210">
                  <c:v>4.3347584535109284E-4</c:v>
                </c:pt>
                <c:pt idx="211">
                  <c:v>4.4067664317465051E-4</c:v>
                </c:pt>
                <c:pt idx="212">
                  <c:v>4.4763031209541084E-4</c:v>
                </c:pt>
                <c:pt idx="213">
                  <c:v>4.5433642676930404E-4</c:v>
                </c:pt>
                <c:pt idx="214">
                  <c:v>4.6079445303029892E-4</c:v>
                </c:pt>
                <c:pt idx="215">
                  <c:v>4.670037403089622E-4</c:v>
                </c:pt>
                <c:pt idx="216">
                  <c:v>4.7296351540333776E-4</c:v>
                </c:pt>
                <c:pt idx="217">
                  <c:v>4.7867287747084476E-4</c:v>
                </c:pt>
                <c:pt idx="218">
                  <c:v>4.8412833711054923E-4</c:v>
                </c:pt>
                <c:pt idx="219">
                  <c:v>4.8919980462585591E-4</c:v>
                </c:pt>
                <c:pt idx="220">
                  <c:v>4.9412517488610982E-4</c:v>
                </c:pt>
                <c:pt idx="221">
                  <c:v>4.989043172278256E-4</c:v>
                </c:pt>
                <c:pt idx="222">
                  <c:v>5.035370953386741E-4</c:v>
                </c:pt>
                <c:pt idx="223">
                  <c:v>5.0802336487360932E-4</c:v>
                </c:pt>
                <c:pt idx="224">
                  <c:v>5.123629715786315E-4</c:v>
                </c:pt>
                <c:pt idx="225">
                  <c:v>5.1594302222447372E-4</c:v>
                </c:pt>
                <c:pt idx="226">
                  <c:v>5.1881195558126612E-4</c:v>
                </c:pt>
                <c:pt idx="227">
                  <c:v>5.2096370650711989E-4</c:v>
                </c:pt>
                <c:pt idx="228">
                  <c:v>5.2239204265352285E-4</c:v>
                </c:pt>
                <c:pt idx="229">
                  <c:v>5.23090546515486E-4</c:v>
                </c:pt>
                <c:pt idx="230">
                  <c:v>5.2305259731680884E-4</c:v>
                </c:pt>
                <c:pt idx="231">
                  <c:v>5.2227135245942074E-4</c:v>
                </c:pt>
                <c:pt idx="232">
                  <c:v>5.2073653995912661E-4</c:v>
                </c:pt>
                <c:pt idx="233">
                  <c:v>5.1825678493004265E-4</c:v>
                </c:pt>
                <c:pt idx="234">
                  <c:v>5.1495700433287263E-4</c:v>
                </c:pt>
                <c:pt idx="235">
                  <c:v>5.1082852613491023E-4</c:v>
                </c:pt>
                <c:pt idx="236">
                  <c:v>5.058625336183968E-4</c:v>
                </c:pt>
                <c:pt idx="237">
                  <c:v>5.0004964821510174E-4</c:v>
                </c:pt>
                <c:pt idx="238">
                  <c:v>4.9338020543876438E-4</c:v>
                </c:pt>
                <c:pt idx="239">
                  <c:v>4.8622946331818354E-4</c:v>
                </c:pt>
                <c:pt idx="240">
                  <c:v>4.7923783309360265E-4</c:v>
                </c:pt>
                <c:pt idx="241">
                  <c:v>4.7240667868465446E-4</c:v>
                </c:pt>
                <c:pt idx="242">
                  <c:v>4.6573738168414135E-4</c:v>
                </c:pt>
                <c:pt idx="243">
                  <c:v>4.5923134254117576E-4</c:v>
                </c:pt>
                <c:pt idx="244">
                  <c:v>4.528899816399347E-4</c:v>
                </c:pt>
                <c:pt idx="245">
                  <c:v>4.4671474020638286E-4</c:v>
                </c:pt>
                <c:pt idx="246">
                  <c:v>4.407070811820855E-4</c:v>
                </c:pt>
                <c:pt idx="247">
                  <c:v>4.349791449046607E-4</c:v>
                </c:pt>
                <c:pt idx="248">
                  <c:v>4.2972309213701814E-4</c:v>
                </c:pt>
                <c:pt idx="249">
                  <c:v>4.2494396252738381E-4</c:v>
                </c:pt>
                <c:pt idx="250">
                  <c:v>4.2064692391472966E-4</c:v>
                </c:pt>
                <c:pt idx="251">
                  <c:v>4.1683727206564598E-4</c:v>
                </c:pt>
                <c:pt idx="252">
                  <c:v>4.1352043018520306E-4</c:v>
                </c:pt>
                <c:pt idx="253">
                  <c:v>4.1042963276402805E-4</c:v>
                </c:pt>
                <c:pt idx="254">
                  <c:v>4.0715824445731634E-4</c:v>
                </c:pt>
                <c:pt idx="255">
                  <c:v>4.0370337916847217E-4</c:v>
                </c:pt>
                <c:pt idx="256">
                  <c:v>4.0006207605849053E-4</c:v>
                </c:pt>
                <c:pt idx="257">
                  <c:v>3.9623130333094861E-4</c:v>
                </c:pt>
                <c:pt idx="258">
                  <c:v>3.92207962662836E-4</c:v>
                </c:pt>
                <c:pt idx="259">
                  <c:v>3.8798889434661041E-4</c:v>
                </c:pt>
                <c:pt idx="260">
                  <c:v>3.8357786051660726E-4</c:v>
                </c:pt>
                <c:pt idx="261">
                  <c:v>3.7956635433563084E-4</c:v>
                </c:pt>
                <c:pt idx="262">
                  <c:v>3.7583777636591677E-4</c:v>
                </c:pt>
                <c:pt idx="263">
                  <c:v>3.7239202882880087E-4</c:v>
                </c:pt>
                <c:pt idx="264">
                  <c:v>3.6922917382577858E-4</c:v>
                </c:pt>
                <c:pt idx="265">
                  <c:v>3.6635103539408686E-4</c:v>
                </c:pt>
                <c:pt idx="266">
                  <c:v>3.6375869285940597E-4</c:v>
                </c:pt>
                <c:pt idx="267">
                  <c:v>3.6286878882132594E-4</c:v>
                </c:pt>
                <c:pt idx="268">
                  <c:v>3.6399152079529966E-4</c:v>
                </c:pt>
                <c:pt idx="269">
                  <c:v>3.6715032556969393E-4</c:v>
                </c:pt>
                <c:pt idx="270">
                  <c:v>3.7236843250853277E-4</c:v>
                </c:pt>
                <c:pt idx="271">
                  <c:v>3.796686100455746E-4</c:v>
                </c:pt>
                <c:pt idx="272">
                  <c:v>3.8907290135949682E-4</c:v>
                </c:pt>
                <c:pt idx="273">
                  <c:v>4.0060234974474988E-4</c:v>
                </c:pt>
                <c:pt idx="274">
                  <c:v>4.1428903308178447E-4</c:v>
                </c:pt>
                <c:pt idx="275">
                  <c:v>4.2996591122559257E-4</c:v>
                </c:pt>
                <c:pt idx="276">
                  <c:v>4.4702269837423728E-4</c:v>
                </c:pt>
                <c:pt idx="277">
                  <c:v>4.6547173356223745E-4</c:v>
                </c:pt>
                <c:pt idx="278">
                  <c:v>4.8532483108953343E-4</c:v>
                </c:pt>
                <c:pt idx="279">
                  <c:v>5.0659322955257373E-4</c:v>
                </c:pt>
                <c:pt idx="280">
                  <c:v>5.2928754606538294E-4</c:v>
                </c:pt>
                <c:pt idx="281">
                  <c:v>5.5443673320301507E-4</c:v>
                </c:pt>
                <c:pt idx="282">
                  <c:v>5.8055263182905112E-4</c:v>
                </c:pt>
                <c:pt idx="283">
                  <c:v>6.0763866819430986E-4</c:v>
                </c:pt>
                <c:pt idx="284">
                  <c:v>6.356976515265796E-4</c:v>
                </c:pt>
                <c:pt idx="285">
                  <c:v>6.6473178837235785E-4</c:v>
                </c:pt>
                <c:pt idx="286">
                  <c:v>6.947427040347987E-4</c:v>
                </c:pt>
                <c:pt idx="287">
                  <c:v>7.2573147124618419E-4</c:v>
                </c:pt>
                <c:pt idx="288">
                  <c:v>7.5771642947326779E-4</c:v>
                </c:pt>
                <c:pt idx="289">
                  <c:v>7.9768926541197102E-4</c:v>
                </c:pt>
                <c:pt idx="290">
                  <c:v>8.4593575532554823E-4</c:v>
                </c:pt>
                <c:pt idx="291">
                  <c:v>9.0252809462567707E-4</c:v>
                </c:pt>
                <c:pt idx="292">
                  <c:v>9.67536042690212E-4</c:v>
                </c:pt>
                <c:pt idx="293">
                  <c:v>1.0410267197610422E-3</c:v>
                </c:pt>
                <c:pt idx="294">
                  <c:v>1.1230644403587941E-3</c:v>
                </c:pt>
                <c:pt idx="295">
                  <c:v>1.2189755971924675E-3</c:v>
                </c:pt>
                <c:pt idx="296">
                  <c:v>1.3278037446933081E-3</c:v>
                </c:pt>
                <c:pt idx="297">
                  <c:v>1.4496531625502818E-3</c:v>
                </c:pt>
                <c:pt idx="298">
                  <c:v>1.5846172188436216E-3</c:v>
                </c:pt>
                <c:pt idx="299">
                  <c:v>1.7327861187341758E-3</c:v>
                </c:pt>
                <c:pt idx="300">
                  <c:v>1.8942469153964557E-3</c:v>
                </c:pt>
                <c:pt idx="301">
                  <c:v>2.0690835538634891E-3</c:v>
                </c:pt>
                <c:pt idx="302">
                  <c:v>2.257497265014897E-3</c:v>
                </c:pt>
                <c:pt idx="303">
                  <c:v>2.4553940665001145E-3</c:v>
                </c:pt>
                <c:pt idx="304">
                  <c:v>2.6555762696169253E-3</c:v>
                </c:pt>
                <c:pt idx="305">
                  <c:v>2.8580735148490376E-3</c:v>
                </c:pt>
                <c:pt idx="306">
                  <c:v>3.0629119415633605E-3</c:v>
                </c:pt>
                <c:pt idx="307">
                  <c:v>3.2701137452575361E-3</c:v>
                </c:pt>
                <c:pt idx="308">
                  <c:v>3.4796966402216457E-3</c:v>
                </c:pt>
                <c:pt idx="309">
                  <c:v>3.6862187377252036E-3</c:v>
                </c:pt>
                <c:pt idx="310">
                  <c:v>3.8841398892827603E-3</c:v>
                </c:pt>
                <c:pt idx="311">
                  <c:v>4.0733592780625924E-3</c:v>
                </c:pt>
                <c:pt idx="312">
                  <c:v>4.2537676419150336E-3</c:v>
                </c:pt>
                <c:pt idx="313">
                  <c:v>4.4252470494746112E-3</c:v>
                </c:pt>
                <c:pt idx="314">
                  <c:v>4.5876706931071041E-3</c:v>
                </c:pt>
                <c:pt idx="315">
                  <c:v>4.7409027208501304E-3</c:v>
                </c:pt>
                <c:pt idx="316">
                  <c:v>4.8853975402990491E-3</c:v>
                </c:pt>
                <c:pt idx="317">
                  <c:v>5.0149644931508182E-3</c:v>
                </c:pt>
                <c:pt idx="318">
                  <c:v>5.1339302253773219E-3</c:v>
                </c:pt>
                <c:pt idx="319">
                  <c:v>5.2421030762644458E-3</c:v>
                </c:pt>
                <c:pt idx="320">
                  <c:v>5.3392596532237813E-3</c:v>
                </c:pt>
                <c:pt idx="321">
                  <c:v>5.4251459408529894E-3</c:v>
                </c:pt>
                <c:pt idx="322">
                  <c:v>5.4994788134216186E-3</c:v>
                </c:pt>
                <c:pt idx="323">
                  <c:v>5.5546438979137231E-3</c:v>
                </c:pt>
                <c:pt idx="324">
                  <c:v>5.5959618065909251E-3</c:v>
                </c:pt>
                <c:pt idx="325">
                  <c:v>5.6230582348069831E-3</c:v>
                </c:pt>
                <c:pt idx="326">
                  <c:v>5.6355138205602881E-3</c:v>
                </c:pt>
                <c:pt idx="327">
                  <c:v>5.6329186834157569E-3</c:v>
                </c:pt>
                <c:pt idx="328">
                  <c:v>5.6148839174397442E-3</c:v>
                </c:pt>
                <c:pt idx="329">
                  <c:v>5.5810244574954178E-3</c:v>
                </c:pt>
                <c:pt idx="330">
                  <c:v>5.5317748715894106E-3</c:v>
                </c:pt>
                <c:pt idx="331">
                  <c:v>5.4708092742825334E-3</c:v>
                </c:pt>
                <c:pt idx="332">
                  <c:v>5.404946732474299E-3</c:v>
                </c:pt>
                <c:pt idx="333">
                  <c:v>5.3340309034531838E-3</c:v>
                </c:pt>
                <c:pt idx="334">
                  <c:v>5.2579044970922214E-3</c:v>
                </c:pt>
                <c:pt idx="335">
                  <c:v>5.1764112625795125E-3</c:v>
                </c:pt>
                <c:pt idx="336">
                  <c:v>5.0893981837741957E-3</c:v>
                </c:pt>
                <c:pt idx="337">
                  <c:v>5.0010253696013852E-3</c:v>
                </c:pt>
                <c:pt idx="338">
                  <c:v>4.9188608663182894E-3</c:v>
                </c:pt>
                <c:pt idx="339">
                  <c:v>4.8428612572748424E-3</c:v>
                </c:pt>
                <c:pt idx="340">
                  <c:v>4.7729807654980977E-3</c:v>
                </c:pt>
                <c:pt idx="341">
                  <c:v>4.7091702891179001E-3</c:v>
                </c:pt>
                <c:pt idx="342">
                  <c:v>4.6513763668953254E-3</c:v>
                </c:pt>
                <c:pt idx="343">
                  <c:v>4.5995400983352185E-3</c:v>
                </c:pt>
                <c:pt idx="344">
                  <c:v>4.5538633531744584E-3</c:v>
                </c:pt>
                <c:pt idx="345">
                  <c:v>4.5145935815486008E-3</c:v>
                </c:pt>
                <c:pt idx="346">
                  <c:v>4.479590225544742E-3</c:v>
                </c:pt>
                <c:pt idx="347">
                  <c:v>4.4488414217211617E-3</c:v>
                </c:pt>
                <c:pt idx="348">
                  <c:v>4.4223299881776925E-3</c:v>
                </c:pt>
                <c:pt idx="349">
                  <c:v>4.4000332613334438E-3</c:v>
                </c:pt>
                <c:pt idx="350">
                  <c:v>4.3819229437808294E-3</c:v>
                </c:pt>
                <c:pt idx="351">
                  <c:v>4.3690829723934095E-3</c:v>
                </c:pt>
                <c:pt idx="352">
                  <c:v>4.3571099299831119E-3</c:v>
                </c:pt>
                <c:pt idx="353">
                  <c:v>4.3459717663404812E-3</c:v>
                </c:pt>
                <c:pt idx="354">
                  <c:v>4.3356368456728619E-3</c:v>
                </c:pt>
                <c:pt idx="355">
                  <c:v>4.3260741053621566E-3</c:v>
                </c:pt>
                <c:pt idx="356">
                  <c:v>4.3172462711371217E-3</c:v>
                </c:pt>
                <c:pt idx="357">
                  <c:v>4.3091257049607586E-3</c:v>
                </c:pt>
                <c:pt idx="358">
                  <c:v>4.3014922028376083E-3</c:v>
                </c:pt>
                <c:pt idx="359">
                  <c:v>4.2941921829700381E-3</c:v>
                </c:pt>
                <c:pt idx="360">
                  <c:v>4.2915435352973491E-3</c:v>
                </c:pt>
                <c:pt idx="361">
                  <c:v>4.2924554745056003E-3</c:v>
                </c:pt>
                <c:pt idx="362">
                  <c:v>4.2969307983206162E-3</c:v>
                </c:pt>
                <c:pt idx="363">
                  <c:v>4.3049656981722119E-3</c:v>
                </c:pt>
                <c:pt idx="364">
                  <c:v>4.3165503082330837E-3</c:v>
                </c:pt>
                <c:pt idx="365">
                  <c:v>4.3316692988693943E-3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607216"/>
        <c:axId val="665607608"/>
      </c:lineChart>
      <c:dateAx>
        <c:axId val="6656072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07608"/>
        <c:crosses val="autoZero"/>
        <c:auto val="1"/>
        <c:lblOffset val="100"/>
        <c:baseTimeUnit val="days"/>
        <c:majorUnit val="1"/>
        <c:majorTimeUnit val="months"/>
      </c:dateAx>
      <c:valAx>
        <c:axId val="66560760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072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'2029'!$V$14</c:f>
              <c:strCache>
                <c:ptCount val="1"/>
                <c:pt idx="0">
                  <c:v>Enveloppe 2029</c:v>
                </c:pt>
              </c:strCache>
            </c:strRef>
          </c:tx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'2029'!Env_an</c:f>
              <c:numCache>
                <c:formatCode>0.00</c:formatCode>
                <c:ptCount val="366"/>
                <c:pt idx="0">
                  <c:v>93.392940074599238</c:v>
                </c:pt>
                <c:pt idx="1">
                  <c:v>93.96069300223013</c:v>
                </c:pt>
                <c:pt idx="2">
                  <c:v>94.561801122963985</c:v>
                </c:pt>
                <c:pt idx="3">
                  <c:v>95.194473348792883</c:v>
                </c:pt>
                <c:pt idx="4">
                  <c:v>95.856918906688747</c:v>
                </c:pt>
                <c:pt idx="5">
                  <c:v>96.547347339181769</c:v>
                </c:pt>
                <c:pt idx="6">
                  <c:v>97.263968550292546</c:v>
                </c:pt>
                <c:pt idx="7">
                  <c:v>98.004992822841771</c:v>
                </c:pt>
                <c:pt idx="8">
                  <c:v>98.778502470733031</c:v>
                </c:pt>
                <c:pt idx="9">
                  <c:v>99.592886224796658</c:v>
                </c:pt>
                <c:pt idx="10">
                  <c:v>100.4461668773852</c:v>
                </c:pt>
                <c:pt idx="11">
                  <c:v>101.33597872427153</c:v>
                </c:pt>
                <c:pt idx="12">
                  <c:v>102.25995670537519</c:v>
                </c:pt>
                <c:pt idx="13">
                  <c:v>103.21573637174734</c:v>
                </c:pt>
                <c:pt idx="14">
                  <c:v>104.20095394871085</c:v>
                </c:pt>
                <c:pt idx="15">
                  <c:v>105.21389181220492</c:v>
                </c:pt>
                <c:pt idx="16">
                  <c:v>106.25247745505081</c:v>
                </c:pt>
                <c:pt idx="17">
                  <c:v>107.31434884251787</c:v>
                </c:pt>
                <c:pt idx="18">
                  <c:v>108.39714451943836</c:v>
                </c:pt>
                <c:pt idx="19">
                  <c:v>109.4985011635122</c:v>
                </c:pt>
                <c:pt idx="20">
                  <c:v>110.61605493013218</c:v>
                </c:pt>
                <c:pt idx="21">
                  <c:v>111.74744455696954</c:v>
                </c:pt>
                <c:pt idx="22">
                  <c:v>112.90059600332317</c:v>
                </c:pt>
                <c:pt idx="23">
                  <c:v>114.08419229830841</c:v>
                </c:pt>
                <c:pt idx="24">
                  <c:v>115.29550705187131</c:v>
                </c:pt>
                <c:pt idx="25">
                  <c:v>116.53250509966291</c:v>
                </c:pt>
                <c:pt idx="26">
                  <c:v>117.79315204270515</c:v>
                </c:pt>
                <c:pt idx="27">
                  <c:v>119.07541427405599</c:v>
                </c:pt>
                <c:pt idx="28">
                  <c:v>120.37725896142601</c:v>
                </c:pt>
                <c:pt idx="29">
                  <c:v>121.69709051273793</c:v>
                </c:pt>
                <c:pt idx="30">
                  <c:v>123.0322326558221</c:v>
                </c:pt>
                <c:pt idx="31">
                  <c:v>124.38065497491043</c:v>
                </c:pt>
                <c:pt idx="32">
                  <c:v>125.74032787214252</c:v>
                </c:pt>
                <c:pt idx="33">
                  <c:v>127.10922252263029</c:v>
                </c:pt>
                <c:pt idx="34">
                  <c:v>128.4853109085835</c:v>
                </c:pt>
                <c:pt idx="35">
                  <c:v>129.8665657743222</c:v>
                </c:pt>
                <c:pt idx="36">
                  <c:v>131.26261380710011</c:v>
                </c:pt>
                <c:pt idx="37">
                  <c:v>132.68186126555145</c:v>
                </c:pt>
                <c:pt idx="38">
                  <c:v>134.1207241140379</c:v>
                </c:pt>
                <c:pt idx="39">
                  <c:v>135.57616004219256</c:v>
                </c:pt>
                <c:pt idx="40">
                  <c:v>137.04512765388264</c:v>
                </c:pt>
                <c:pt idx="41">
                  <c:v>138.52458647040663</c:v>
                </c:pt>
                <c:pt idx="42">
                  <c:v>140.0114969129699</c:v>
                </c:pt>
                <c:pt idx="43">
                  <c:v>141.50208631716404</c:v>
                </c:pt>
                <c:pt idx="44">
                  <c:v>142.99288002326719</c:v>
                </c:pt>
                <c:pt idx="45">
                  <c:v>144.48084061972983</c:v>
                </c:pt>
                <c:pt idx="46">
                  <c:v>145.96293149501747</c:v>
                </c:pt>
                <c:pt idx="47">
                  <c:v>147.43611682732256</c:v>
                </c:pt>
                <c:pt idx="48">
                  <c:v>148.89736158691323</c:v>
                </c:pt>
                <c:pt idx="49">
                  <c:v>150.34363152588492</c:v>
                </c:pt>
                <c:pt idx="50">
                  <c:v>151.78277520527698</c:v>
                </c:pt>
                <c:pt idx="51">
                  <c:v>153.22353910120427</c:v>
                </c:pt>
                <c:pt idx="52">
                  <c:v>154.66494737523089</c:v>
                </c:pt>
                <c:pt idx="53">
                  <c:v>156.10548202825655</c:v>
                </c:pt>
                <c:pt idx="54">
                  <c:v>157.54362490069204</c:v>
                </c:pt>
                <c:pt idx="55">
                  <c:v>158.97785815972588</c:v>
                </c:pt>
                <c:pt idx="56">
                  <c:v>160.40666429074184</c:v>
                </c:pt>
                <c:pt idx="57">
                  <c:v>161.82854865881924</c:v>
                </c:pt>
                <c:pt idx="58">
                  <c:v>163.24273035260916</c:v>
                </c:pt>
                <c:pt idx="59">
                  <c:v>164.64769327250954</c:v>
                </c:pt>
                <c:pt idx="60">
                  <c:v>166.04192162778756</c:v>
                </c:pt>
                <c:pt idx="61">
                  <c:v>167.42389992467935</c:v>
                </c:pt>
                <c:pt idx="62">
                  <c:v>168.7921129670255</c:v>
                </c:pt>
                <c:pt idx="63">
                  <c:v>170.14504584925277</c:v>
                </c:pt>
                <c:pt idx="64">
                  <c:v>171.48402132290107</c:v>
                </c:pt>
                <c:pt idx="65">
                  <c:v>172.81150303363412</c:v>
                </c:pt>
                <c:pt idx="66">
                  <c:v>174.12804563810445</c:v>
                </c:pt>
                <c:pt idx="67">
                  <c:v>175.43409078394328</c:v>
                </c:pt>
                <c:pt idx="68">
                  <c:v>176.73007984235355</c:v>
                </c:pt>
                <c:pt idx="69">
                  <c:v>178.01645391564844</c:v>
                </c:pt>
                <c:pt idx="70">
                  <c:v>179.29365383687815</c:v>
                </c:pt>
                <c:pt idx="71">
                  <c:v>180.56204991788658</c:v>
                </c:pt>
                <c:pt idx="72">
                  <c:v>181.82205962267443</c:v>
                </c:pt>
                <c:pt idx="73">
                  <c:v>183.07412279931376</c:v>
                </c:pt>
                <c:pt idx="74">
                  <c:v>184.31867899122665</c:v>
                </c:pt>
                <c:pt idx="75">
                  <c:v>185.5561674305431</c:v>
                </c:pt>
                <c:pt idx="76">
                  <c:v>186.7870270449481</c:v>
                </c:pt>
                <c:pt idx="77">
                  <c:v>188.01169643695448</c:v>
                </c:pt>
                <c:pt idx="78">
                  <c:v>189.23657665778779</c:v>
                </c:pt>
                <c:pt idx="79">
                  <c:v>190.46563333728832</c:v>
                </c:pt>
                <c:pt idx="80">
                  <c:v>191.69576699020305</c:v>
                </c:pt>
                <c:pt idx="81">
                  <c:v>192.9237146845993</c:v>
                </c:pt>
                <c:pt idx="82">
                  <c:v>194.14621431973973</c:v>
                </c:pt>
                <c:pt idx="83">
                  <c:v>195.36000461398731</c:v>
                </c:pt>
                <c:pt idx="84">
                  <c:v>196.56182514083076</c:v>
                </c:pt>
                <c:pt idx="85">
                  <c:v>197.74840222626904</c:v>
                </c:pt>
                <c:pt idx="86">
                  <c:v>198.91654829967541</c:v>
                </c:pt>
                <c:pt idx="87">
                  <c:v>200.06300581017877</c:v>
                </c:pt>
                <c:pt idx="88">
                  <c:v>201.18451811827219</c:v>
                </c:pt>
                <c:pt idx="89">
                  <c:v>202.32808185660181</c:v>
                </c:pt>
                <c:pt idx="90">
                  <c:v>203.3906736834989</c:v>
                </c:pt>
                <c:pt idx="91">
                  <c:v>204.41854504006548</c:v>
                </c:pt>
                <c:pt idx="92">
                  <c:v>205.41495253188489</c:v>
                </c:pt>
                <c:pt idx="93">
                  <c:v>206.38582512016137</c:v>
                </c:pt>
                <c:pt idx="94">
                  <c:v>207.33191857394996</c:v>
                </c:pt>
                <c:pt idx="95">
                  <c:v>208.25398850110642</c:v>
                </c:pt>
                <c:pt idx="96">
                  <c:v>209.15279031257751</c:v>
                </c:pt>
                <c:pt idx="97">
                  <c:v>210.02907926246056</c:v>
                </c:pt>
                <c:pt idx="98">
                  <c:v>210.88361017780304</c:v>
                </c:pt>
                <c:pt idx="99">
                  <c:v>211.71713667957707</c:v>
                </c:pt>
                <c:pt idx="100">
                  <c:v>212.53041523320391</c:v>
                </c:pt>
                <c:pt idx="101">
                  <c:v>213.32420050196839</c:v>
                </c:pt>
                <c:pt idx="102">
                  <c:v>214.09924702330002</c:v>
                </c:pt>
                <c:pt idx="103">
                  <c:v>214.85630917356175</c:v>
                </c:pt>
                <c:pt idx="104">
                  <c:v>215.59614122716582</c:v>
                </c:pt>
                <c:pt idx="105">
                  <c:v>216.31949732521261</c:v>
                </c:pt>
                <c:pt idx="106">
                  <c:v>217.02304105729655</c:v>
                </c:pt>
                <c:pt idx="107">
                  <c:v>217.70361524604624</c:v>
                </c:pt>
                <c:pt idx="108">
                  <c:v>218.36224251160726</c:v>
                </c:pt>
                <c:pt idx="109">
                  <c:v>218.99994515142987</c:v>
                </c:pt>
                <c:pt idx="110">
                  <c:v>219.61774531216884</c:v>
                </c:pt>
                <c:pt idx="111">
                  <c:v>220.21666501514761</c:v>
                </c:pt>
                <c:pt idx="112">
                  <c:v>220.79772614327101</c:v>
                </c:pt>
                <c:pt idx="113">
                  <c:v>221.36195035879615</c:v>
                </c:pt>
                <c:pt idx="114">
                  <c:v>221.91035857250009</c:v>
                </c:pt>
                <c:pt idx="115">
                  <c:v>222.44397218494126</c:v>
                </c:pt>
                <c:pt idx="116">
                  <c:v>222.96381248473747</c:v>
                </c:pt>
                <c:pt idx="117">
                  <c:v>223.47090064340256</c:v>
                </c:pt>
                <c:pt idx="118">
                  <c:v>223.96625774702366</c:v>
                </c:pt>
                <c:pt idx="119">
                  <c:v>224.45090480087092</c:v>
                </c:pt>
                <c:pt idx="120">
                  <c:v>224.9222143764899</c:v>
                </c:pt>
                <c:pt idx="121">
                  <c:v>225.37722099215415</c:v>
                </c:pt>
                <c:pt idx="122">
                  <c:v>225.81643737650373</c:v>
                </c:pt>
                <c:pt idx="123">
                  <c:v>226.24037725448085</c:v>
                </c:pt>
                <c:pt idx="124">
                  <c:v>226.64955449650549</c:v>
                </c:pt>
                <c:pt idx="125">
                  <c:v>227.04448309762731</c:v>
                </c:pt>
                <c:pt idx="126">
                  <c:v>227.42567717970113</c:v>
                </c:pt>
                <c:pt idx="127">
                  <c:v>227.79365185524259</c:v>
                </c:pt>
                <c:pt idx="128">
                  <c:v>228.1489219326551</c:v>
                </c:pt>
                <c:pt idx="129">
                  <c:v>228.49200214297997</c:v>
                </c:pt>
                <c:pt idx="130">
                  <c:v>228.8234073862059</c:v>
                </c:pt>
                <c:pt idx="131">
                  <c:v>229.14365271327162</c:v>
                </c:pt>
                <c:pt idx="132">
                  <c:v>229.45325333030718</c:v>
                </c:pt>
                <c:pt idx="133">
                  <c:v>229.75272460423054</c:v>
                </c:pt>
                <c:pt idx="134">
                  <c:v>230.04020934770634</c:v>
                </c:pt>
                <c:pt idx="135">
                  <c:v>230.31385248231237</c:v>
                </c:pt>
                <c:pt idx="136">
                  <c:v>230.57417101186479</c:v>
                </c:pt>
                <c:pt idx="137">
                  <c:v>230.82168228129945</c:v>
                </c:pt>
                <c:pt idx="138">
                  <c:v>231.05690375200805</c:v>
                </c:pt>
                <c:pt idx="139">
                  <c:v>231.28035300574101</c:v>
                </c:pt>
                <c:pt idx="140">
                  <c:v>231.49254771606729</c:v>
                </c:pt>
                <c:pt idx="141">
                  <c:v>231.69400515315093</c:v>
                </c:pt>
                <c:pt idx="142">
                  <c:v>231.88524139877168</c:v>
                </c:pt>
                <c:pt idx="143">
                  <c:v>232.06677404994221</c:v>
                </c:pt>
                <c:pt idx="144">
                  <c:v>232.2391206871406</c:v>
                </c:pt>
                <c:pt idx="145">
                  <c:v>232.40279888370449</c:v>
                </c:pt>
                <c:pt idx="146">
                  <c:v>232.55832616501399</c:v>
                </c:pt>
                <c:pt idx="147">
                  <c:v>232.7062199971796</c:v>
                </c:pt>
                <c:pt idx="148">
                  <c:v>232.84682849299205</c:v>
                </c:pt>
                <c:pt idx="149">
                  <c:v>232.97982164491492</c:v>
                </c:pt>
                <c:pt idx="150">
                  <c:v>233.10469951107254</c:v>
                </c:pt>
                <c:pt idx="151">
                  <c:v>233.22096402078884</c:v>
                </c:pt>
                <c:pt idx="152">
                  <c:v>233.32811726369619</c:v>
                </c:pt>
                <c:pt idx="153">
                  <c:v>233.42566144927119</c:v>
                </c:pt>
                <c:pt idx="154">
                  <c:v>233.51309889399448</c:v>
                </c:pt>
                <c:pt idx="155">
                  <c:v>233.58993060846436</c:v>
                </c:pt>
                <c:pt idx="156">
                  <c:v>233.65565975173178</c:v>
                </c:pt>
                <c:pt idx="157">
                  <c:v>233.70978868484121</c:v>
                </c:pt>
                <c:pt idx="158">
                  <c:v>233.75181974057293</c:v>
                </c:pt>
                <c:pt idx="159">
                  <c:v>233.78125518053827</c:v>
                </c:pt>
                <c:pt idx="160">
                  <c:v>233.79759717370476</c:v>
                </c:pt>
                <c:pt idx="161">
                  <c:v>233.80034776545662</c:v>
                </c:pt>
                <c:pt idx="162">
                  <c:v>233.7891778894533</c:v>
                </c:pt>
                <c:pt idx="163">
                  <c:v>233.76443059480434</c:v>
                </c:pt>
                <c:pt idx="164">
                  <c:v>233.72662255191958</c:v>
                </c:pt>
                <c:pt idx="165">
                  <c:v>233.67626831310901</c:v>
                </c:pt>
                <c:pt idx="166">
                  <c:v>233.61388184791087</c:v>
                </c:pt>
                <c:pt idx="167">
                  <c:v>233.53997651923046</c:v>
                </c:pt>
                <c:pt idx="168">
                  <c:v>233.45506507723607</c:v>
                </c:pt>
                <c:pt idx="169">
                  <c:v>233.35965530962469</c:v>
                </c:pt>
                <c:pt idx="170">
                  <c:v>233.25426041646239</c:v>
                </c:pt>
                <c:pt idx="171">
                  <c:v>233.13939110686661</c:v>
                </c:pt>
                <c:pt idx="172">
                  <c:v>233.01555747051765</c:v>
                </c:pt>
                <c:pt idx="173">
                  <c:v>232.88326900020161</c:v>
                </c:pt>
                <c:pt idx="174">
                  <c:v>232.74303458232768</c:v>
                </c:pt>
                <c:pt idx="175">
                  <c:v>232.59536247443836</c:v>
                </c:pt>
                <c:pt idx="176">
                  <c:v>232.44168898128501</c:v>
                </c:pt>
                <c:pt idx="177">
                  <c:v>232.28243431679675</c:v>
                </c:pt>
                <c:pt idx="178">
                  <c:v>232.11659050190326</c:v>
                </c:pt>
                <c:pt idx="179">
                  <c:v>231.94314461257986</c:v>
                </c:pt>
                <c:pt idx="180">
                  <c:v>231.76108366186514</c:v>
                </c:pt>
                <c:pt idx="181">
                  <c:v>231.56939462121926</c:v>
                </c:pt>
                <c:pt idx="182">
                  <c:v>231.36706443326491</c:v>
                </c:pt>
                <c:pt idx="183">
                  <c:v>231.1530777199888</c:v>
                </c:pt>
                <c:pt idx="184">
                  <c:v>230.92642697109972</c:v>
                </c:pt>
                <c:pt idx="185">
                  <c:v>230.68609927354348</c:v>
                </c:pt>
                <c:pt idx="186">
                  <c:v>230.43108176682594</c:v>
                </c:pt>
                <c:pt idx="187">
                  <c:v>230.16036162956414</c:v>
                </c:pt>
                <c:pt idx="188">
                  <c:v>229.87292613688982</c:v>
                </c:pt>
                <c:pt idx="189">
                  <c:v>229.567762673982</c:v>
                </c:pt>
                <c:pt idx="190">
                  <c:v>229.24419606539018</c:v>
                </c:pt>
                <c:pt idx="191">
                  <c:v>228.90289863063197</c:v>
                </c:pt>
                <c:pt idx="192">
                  <c:v>228.54488413330876</c:v>
                </c:pt>
                <c:pt idx="193">
                  <c:v>228.17116332481703</c:v>
                </c:pt>
                <c:pt idx="194">
                  <c:v>227.78274663449679</c:v>
                </c:pt>
                <c:pt idx="195">
                  <c:v>227.38064417419645</c:v>
                </c:pt>
                <c:pt idx="196">
                  <c:v>226.96586580708791</c:v>
                </c:pt>
                <c:pt idx="197">
                  <c:v>226.53942567222987</c:v>
                </c:pt>
                <c:pt idx="198">
                  <c:v>226.10233594623321</c:v>
                </c:pt>
                <c:pt idx="199">
                  <c:v>225.65560600116814</c:v>
                </c:pt>
                <c:pt idx="200">
                  <c:v>225.20024503438961</c:v>
                </c:pt>
                <c:pt idx="201">
                  <c:v>224.73726210061881</c:v>
                </c:pt>
                <c:pt idx="202">
                  <c:v>224.26766611533992</c:v>
                </c:pt>
                <c:pt idx="203">
                  <c:v>223.79246588183761</c:v>
                </c:pt>
                <c:pt idx="204">
                  <c:v>223.31014260521744</c:v>
                </c:pt>
                <c:pt idx="205">
                  <c:v>222.81851027187986</c:v>
                </c:pt>
                <c:pt idx="206">
                  <c:v>222.31756984891553</c:v>
                </c:pt>
                <c:pt idx="207">
                  <c:v>221.80732049940426</c:v>
                </c:pt>
                <c:pt idx="208">
                  <c:v>221.28776157283039</c:v>
                </c:pt>
                <c:pt idx="209">
                  <c:v>220.75889262985635</c:v>
                </c:pt>
                <c:pt idx="210">
                  <c:v>220.2207134181094</c:v>
                </c:pt>
                <c:pt idx="211">
                  <c:v>219.67322505843376</c:v>
                </c:pt>
                <c:pt idx="212">
                  <c:v>219.11642277864533</c:v>
                </c:pt>
                <c:pt idx="213">
                  <c:v>218.55030687949099</c:v>
                </c:pt>
                <c:pt idx="214">
                  <c:v>217.97487785902842</c:v>
                </c:pt>
                <c:pt idx="215">
                  <c:v>217.39013640392176</c:v>
                </c:pt>
                <c:pt idx="216">
                  <c:v>216.79608337296276</c:v>
                </c:pt>
                <c:pt idx="217">
                  <c:v>216.19271981220723</c:v>
                </c:pt>
                <c:pt idx="218">
                  <c:v>215.58114117164783</c:v>
                </c:pt>
                <c:pt idx="219">
                  <c:v>214.9621043689684</c:v>
                </c:pt>
                <c:pt idx="220">
                  <c:v>214.33509899231487</c:v>
                </c:pt>
                <c:pt idx="221">
                  <c:v>213.69962140202108</c:v>
                </c:pt>
                <c:pt idx="222">
                  <c:v>213.05516822079701</c:v>
                </c:pt>
                <c:pt idx="223">
                  <c:v>212.40123632002684</c:v>
                </c:pt>
                <c:pt idx="224">
                  <c:v>211.73732279592235</c:v>
                </c:pt>
                <c:pt idx="225">
                  <c:v>211.06293625264317</c:v>
                </c:pt>
                <c:pt idx="226">
                  <c:v>210.37757308174386</c:v>
                </c:pt>
                <c:pt idx="227">
                  <c:v>209.68073108659402</c:v>
                </c:pt>
                <c:pt idx="228">
                  <c:v>208.97190825401015</c:v>
                </c:pt>
                <c:pt idx="229">
                  <c:v>208.25060274622155</c:v>
                </c:pt>
                <c:pt idx="230">
                  <c:v>207.51631288419119</c:v>
                </c:pt>
                <c:pt idx="231">
                  <c:v>206.76853715605677</c:v>
                </c:pt>
                <c:pt idx="232">
                  <c:v>206.00803567247868</c:v>
                </c:pt>
                <c:pt idx="233">
                  <c:v>205.23591593779608</c:v>
                </c:pt>
                <c:pt idx="234">
                  <c:v>204.45218271235817</c:v>
                </c:pt>
                <c:pt idx="235">
                  <c:v>203.65683896833821</c:v>
                </c:pt>
                <c:pt idx="236">
                  <c:v>202.84988766561284</c:v>
                </c:pt>
                <c:pt idx="237">
                  <c:v>202.03133177949434</c:v>
                </c:pt>
                <c:pt idx="238">
                  <c:v>201.20117427291919</c:v>
                </c:pt>
                <c:pt idx="239">
                  <c:v>200.35940999618759</c:v>
                </c:pt>
                <c:pt idx="240">
                  <c:v>199.50603035065032</c:v>
                </c:pt>
                <c:pt idx="241">
                  <c:v>198.64103826291804</c:v>
                </c:pt>
                <c:pt idx="242">
                  <c:v>197.76443666228081</c:v>
                </c:pt>
                <c:pt idx="243">
                  <c:v>196.8762284980896</c:v>
                </c:pt>
                <c:pt idx="244">
                  <c:v>195.97641672896754</c:v>
                </c:pt>
                <c:pt idx="245">
                  <c:v>195.06500433389991</c:v>
                </c:pt>
                <c:pt idx="246">
                  <c:v>194.1419943083483</c:v>
                </c:pt>
                <c:pt idx="247">
                  <c:v>193.20738537744242</c:v>
                </c:pt>
                <c:pt idx="248">
                  <c:v>192.26116926547201</c:v>
                </c:pt>
                <c:pt idx="249">
                  <c:v>191.30334902843114</c:v>
                </c:pt>
                <c:pt idx="250">
                  <c:v>190.3339277496618</c:v>
                </c:pt>
                <c:pt idx="251">
                  <c:v>189.3529085420497</c:v>
                </c:pt>
                <c:pt idx="252">
                  <c:v>188.36029454531993</c:v>
                </c:pt>
                <c:pt idx="253">
                  <c:v>187.35609670777708</c:v>
                </c:pt>
                <c:pt idx="254">
                  <c:v>186.34032635480816</c:v>
                </c:pt>
                <c:pt idx="255">
                  <c:v>185.31298666123783</c:v>
                </c:pt>
                <c:pt idx="256">
                  <c:v>184.27408081198067</c:v>
                </c:pt>
                <c:pt idx="257">
                  <c:v>183.22361198436332</c:v>
                </c:pt>
                <c:pt idx="258">
                  <c:v>182.16158334767405</c:v>
                </c:pt>
                <c:pt idx="259">
                  <c:v>181.0879980469627</c:v>
                </c:pt>
                <c:pt idx="260">
                  <c:v>179.99958472442444</c:v>
                </c:pt>
                <c:pt idx="261">
                  <c:v>178.89407087322024</c:v>
                </c:pt>
                <c:pt idx="262">
                  <c:v>177.77297581758745</c:v>
                </c:pt>
                <c:pt idx="263">
                  <c:v>176.63781420566167</c:v>
                </c:pt>
                <c:pt idx="264">
                  <c:v>175.49010028651196</c:v>
                </c:pt>
                <c:pt idx="265">
                  <c:v>174.33134785940459</c:v>
                </c:pt>
                <c:pt idx="266">
                  <c:v>173.16307031483922</c:v>
                </c:pt>
                <c:pt idx="267">
                  <c:v>171.9867495840486</c:v>
                </c:pt>
                <c:pt idx="268">
                  <c:v>170.80389072939261</c:v>
                </c:pt>
                <c:pt idx="269">
                  <c:v>169.61600608706257</c:v>
                </c:pt>
                <c:pt idx="270">
                  <c:v>168.42460755638373</c:v>
                </c:pt>
                <c:pt idx="271">
                  <c:v>167.23120660280114</c:v>
                </c:pt>
                <c:pt idx="272">
                  <c:v>166.03731424696807</c:v>
                </c:pt>
                <c:pt idx="273">
                  <c:v>164.84444106202454</c:v>
                </c:pt>
                <c:pt idx="274">
                  <c:v>163.6492308272999</c:v>
                </c:pt>
                <c:pt idx="275">
                  <c:v>162.44765126410579</c:v>
                </c:pt>
                <c:pt idx="276">
                  <c:v>161.24021525916427</c:v>
                </c:pt>
                <c:pt idx="277">
                  <c:v>160.02742629476262</c:v>
                </c:pt>
                <c:pt idx="278">
                  <c:v>158.80978751369503</c:v>
                </c:pt>
                <c:pt idx="279">
                  <c:v>157.5878017103845</c:v>
                </c:pt>
                <c:pt idx="280">
                  <c:v>156.36197132632807</c:v>
                </c:pt>
                <c:pt idx="281">
                  <c:v>155.13282404507007</c:v>
                </c:pt>
                <c:pt idx="282">
                  <c:v>153.90089106551366</c:v>
                </c:pt>
                <c:pt idx="283">
                  <c:v>152.66667307449507</c:v>
                </c:pt>
                <c:pt idx="284">
                  <c:v>151.43067035010424</c:v>
                </c:pt>
                <c:pt idx="285">
                  <c:v>150.19338276656373</c:v>
                </c:pt>
                <c:pt idx="286">
                  <c:v>148.9553097966058</c:v>
                </c:pt>
                <c:pt idx="287">
                  <c:v>147.71695052251505</c:v>
                </c:pt>
                <c:pt idx="288">
                  <c:v>146.47536561094597</c:v>
                </c:pt>
                <c:pt idx="289">
                  <c:v>145.2278000114913</c:v>
                </c:pt>
                <c:pt idx="290">
                  <c:v>143.97526278398195</c:v>
                </c:pt>
                <c:pt idx="291">
                  <c:v>142.71875761569154</c:v>
                </c:pt>
                <c:pt idx="292">
                  <c:v>141.45928789630187</c:v>
                </c:pt>
                <c:pt idx="293">
                  <c:v>140.19785672881386</c:v>
                </c:pt>
                <c:pt idx="294">
                  <c:v>138.93546695606958</c:v>
                </c:pt>
                <c:pt idx="295">
                  <c:v>137.67297710167094</c:v>
                </c:pt>
                <c:pt idx="296">
                  <c:v>136.41136822115106</c:v>
                </c:pt>
                <c:pt idx="297">
                  <c:v>135.15164543243466</c:v>
                </c:pt>
                <c:pt idx="298">
                  <c:v>133.89481382525619</c:v>
                </c:pt>
                <c:pt idx="299">
                  <c:v>132.64187836676146</c:v>
                </c:pt>
                <c:pt idx="300">
                  <c:v>131.39384390618113</c:v>
                </c:pt>
                <c:pt idx="301">
                  <c:v>130.15171517658408</c:v>
                </c:pt>
                <c:pt idx="302">
                  <c:v>128.90962384122903</c:v>
                </c:pt>
                <c:pt idx="303">
                  <c:v>127.6625340440782</c:v>
                </c:pt>
                <c:pt idx="304">
                  <c:v>126.41259175418399</c:v>
                </c:pt>
                <c:pt idx="305">
                  <c:v>125.16180183057494</c:v>
                </c:pt>
                <c:pt idx="306">
                  <c:v>123.91216888870809</c:v>
                </c:pt>
                <c:pt idx="307">
                  <c:v>122.66569733662452</c:v>
                </c:pt>
                <c:pt idx="308">
                  <c:v>121.42439140201954</c:v>
                </c:pt>
                <c:pt idx="309">
                  <c:v>120.19031289905719</c:v>
                </c:pt>
                <c:pt idx="310">
                  <c:v>118.96559484231192</c:v>
                </c:pt>
                <c:pt idx="311">
                  <c:v>117.75223712043999</c:v>
                </c:pt>
                <c:pt idx="312">
                  <c:v>116.55223961732436</c:v>
                </c:pt>
                <c:pt idx="313">
                  <c:v>115.36760224527741</c:v>
                </c:pt>
                <c:pt idx="314">
                  <c:v>114.2003249864629</c:v>
                </c:pt>
                <c:pt idx="315">
                  <c:v>113.05240792049541</c:v>
                </c:pt>
                <c:pt idx="316">
                  <c:v>111.9121110130198</c:v>
                </c:pt>
                <c:pt idx="317">
                  <c:v>110.76901164272043</c:v>
                </c:pt>
                <c:pt idx="318">
                  <c:v>109.62697877902887</c:v>
                </c:pt>
                <c:pt idx="319">
                  <c:v>108.49002948872695</c:v>
                </c:pt>
                <c:pt idx="320">
                  <c:v>107.36218073506477</c:v>
                </c:pt>
                <c:pt idx="321">
                  <c:v>106.24744933811931</c:v>
                </c:pt>
                <c:pt idx="322">
                  <c:v>105.14985196112318</c:v>
                </c:pt>
                <c:pt idx="323">
                  <c:v>104.07355023403862</c:v>
                </c:pt>
                <c:pt idx="324">
                  <c:v>103.02250565904036</c:v>
                </c:pt>
                <c:pt idx="325">
                  <c:v>102.00073273121743</c:v>
                </c:pt>
                <c:pt idx="326">
                  <c:v>101.01224617365915</c:v>
                </c:pt>
                <c:pt idx="327">
                  <c:v>100.06106029463471</c:v>
                </c:pt>
                <c:pt idx="328">
                  <c:v>99.15118887179905</c:v>
                </c:pt>
                <c:pt idx="329">
                  <c:v>98.286645454235156</c:v>
                </c:pt>
                <c:pt idx="330">
                  <c:v>97.457197591824936</c:v>
                </c:pt>
                <c:pt idx="331">
                  <c:v>96.651269392271701</c:v>
                </c:pt>
                <c:pt idx="332">
                  <c:v>95.87081668423734</c:v>
                </c:pt>
                <c:pt idx="333">
                  <c:v>95.117772274111076</c:v>
                </c:pt>
                <c:pt idx="334">
                  <c:v>94.39406909196326</c:v>
                </c:pt>
                <c:pt idx="335">
                  <c:v>93.701640122778954</c:v>
                </c:pt>
                <c:pt idx="336">
                  <c:v>93.042418355310772</c:v>
                </c:pt>
                <c:pt idx="337">
                  <c:v>92.418263921774255</c:v>
                </c:pt>
                <c:pt idx="338">
                  <c:v>91.830975955386265</c:v>
                </c:pt>
                <c:pt idx="339">
                  <c:v>91.282489497647802</c:v>
                </c:pt>
                <c:pt idx="340">
                  <c:v>90.774739200307508</c:v>
                </c:pt>
                <c:pt idx="341">
                  <c:v>90.309659300892363</c:v>
                </c:pt>
                <c:pt idx="342">
                  <c:v>89.88918364168471</c:v>
                </c:pt>
                <c:pt idx="343">
                  <c:v>89.515245562519681</c:v>
                </c:pt>
                <c:pt idx="344">
                  <c:v>89.184539218467293</c:v>
                </c:pt>
                <c:pt idx="345">
                  <c:v>88.892591707452226</c:v>
                </c:pt>
                <c:pt idx="346">
                  <c:v>88.639511600656945</c:v>
                </c:pt>
                <c:pt idx="347">
                  <c:v>88.425481526502011</c:v>
                </c:pt>
                <c:pt idx="348">
                  <c:v>88.250683865837189</c:v>
                </c:pt>
                <c:pt idx="349">
                  <c:v>88.115300751161996</c:v>
                </c:pt>
                <c:pt idx="350">
                  <c:v>88.019514085053288</c:v>
                </c:pt>
                <c:pt idx="351">
                  <c:v>87.963472875497402</c:v>
                </c:pt>
                <c:pt idx="352">
                  <c:v>87.947428874985889</c:v>
                </c:pt>
                <c:pt idx="353">
                  <c:v>87.971563091716106</c:v>
                </c:pt>
                <c:pt idx="354">
                  <c:v>88.036056279582098</c:v>
                </c:pt>
                <c:pt idx="355">
                  <c:v>88.141089053755053</c:v>
                </c:pt>
                <c:pt idx="356">
                  <c:v>88.286842334204934</c:v>
                </c:pt>
                <c:pt idx="357">
                  <c:v>88.473495699406641</c:v>
                </c:pt>
                <c:pt idx="358">
                  <c:v>88.70484066812179</c:v>
                </c:pt>
                <c:pt idx="359">
                  <c:v>88.983381631857782</c:v>
                </c:pt>
                <c:pt idx="360">
                  <c:v>89.307298539627368</c:v>
                </c:pt>
                <c:pt idx="361">
                  <c:v>89.674873722662085</c:v>
                </c:pt>
                <c:pt idx="362">
                  <c:v>90.084357291229523</c:v>
                </c:pt>
                <c:pt idx="363">
                  <c:v>90.533999571962838</c:v>
                </c:pt>
                <c:pt idx="364">
                  <c:v>91.022051141610646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'2029'!$B$15:$B$380</c:f>
              <c:numCache>
                <c:formatCode>0.00</c:formatCode>
                <c:ptCount val="366"/>
                <c:pt idx="0">
                  <c:v>93.503762201413295</c:v>
                </c:pt>
                <c:pt idx="1">
                  <c:v>68.371939589972527</c:v>
                </c:pt>
                <c:pt idx="2">
                  <c:v>71.201610031830143</c:v>
                </c:pt>
                <c:pt idx="3">
                  <c:v>76.464935039390326</c:v>
                </c:pt>
                <c:pt idx="4">
                  <c:v>57.493616050338481</c:v>
                </c:pt>
                <c:pt idx="5">
                  <c:v>98.474591220990959</c:v>
                </c:pt>
                <c:pt idx="6">
                  <c:v>37.249727994600576</c:v>
                </c:pt>
                <c:pt idx="7">
                  <c:v>24.938411266896441</c:v>
                </c:pt>
                <c:pt idx="8">
                  <c:v>7.7857861985155887</c:v>
                </c:pt>
                <c:pt idx="9">
                  <c:v>7.1571697647539017</c:v>
                </c:pt>
                <c:pt idx="10">
                  <c:v>95.952564217502555</c:v>
                </c:pt>
                <c:pt idx="11">
                  <c:v>82.263986672414518</c:v>
                </c:pt>
                <c:pt idx="12">
                  <c:v>26.395864943903057</c:v>
                </c:pt>
                <c:pt idx="13">
                  <c:v>105.26723268338439</c:v>
                </c:pt>
                <c:pt idx="14">
                  <c:v>106.8771152811004</c:v>
                </c:pt>
                <c:pt idx="15">
                  <c:v>106.28642715812741</c:v>
                </c:pt>
                <c:pt idx="16">
                  <c:v>83.463290348380866</c:v>
                </c:pt>
                <c:pt idx="17">
                  <c:v>21.860549603770039</c:v>
                </c:pt>
                <c:pt idx="18">
                  <c:v>44.643257814522855</c:v>
                </c:pt>
                <c:pt idx="19">
                  <c:v>23.008671420807509</c:v>
                </c:pt>
                <c:pt idx="20">
                  <c:v>57.764967626578297</c:v>
                </c:pt>
                <c:pt idx="21">
                  <c:v>110.94012436468391</c:v>
                </c:pt>
                <c:pt idx="22">
                  <c:v>112.76889767286191</c:v>
                </c:pt>
                <c:pt idx="23">
                  <c:v>114.16653329347258</c:v>
                </c:pt>
                <c:pt idx="24">
                  <c:v>113.11679344019532</c:v>
                </c:pt>
                <c:pt idx="25">
                  <c:v>115.11473959768607</c:v>
                </c:pt>
                <c:pt idx="26">
                  <c:v>116.99836803870222</c:v>
                </c:pt>
                <c:pt idx="27">
                  <c:v>18.128190284930163</c:v>
                </c:pt>
                <c:pt idx="28">
                  <c:v>28.415768886911771</c:v>
                </c:pt>
                <c:pt idx="29">
                  <c:v>25.604046068503116</c:v>
                </c:pt>
                <c:pt idx="30">
                  <c:v>25.449089455532128</c:v>
                </c:pt>
                <c:pt idx="31">
                  <c:v>55.48008607991634</c:v>
                </c:pt>
                <c:pt idx="32">
                  <c:v>24.747728709255718</c:v>
                </c:pt>
                <c:pt idx="33">
                  <c:v>55.555049731510714</c:v>
                </c:pt>
                <c:pt idx="34">
                  <c:v>50.550760362006727</c:v>
                </c:pt>
                <c:pt idx="35">
                  <c:v>42.380271310279625</c:v>
                </c:pt>
                <c:pt idx="36">
                  <c:v>89.921868799585738</c:v>
                </c:pt>
                <c:pt idx="37">
                  <c:v>40.635859200024726</c:v>
                </c:pt>
                <c:pt idx="38">
                  <c:v>135.98836317508909</c:v>
                </c:pt>
                <c:pt idx="39">
                  <c:v>135.35214728697139</c:v>
                </c:pt>
                <c:pt idx="40">
                  <c:v>127.140352204804</c:v>
                </c:pt>
                <c:pt idx="41">
                  <c:v>63.420434300189051</c:v>
                </c:pt>
                <c:pt idx="42">
                  <c:v>106.22541164047881</c:v>
                </c:pt>
                <c:pt idx="43">
                  <c:v>129.61463317468741</c:v>
                </c:pt>
                <c:pt idx="44">
                  <c:v>73.910890619877918</c:v>
                </c:pt>
                <c:pt idx="45">
                  <c:v>78.045912390303627</c:v>
                </c:pt>
                <c:pt idx="46">
                  <c:v>30.146652353294858</c:v>
                </c:pt>
                <c:pt idx="47">
                  <c:v>44.415721823561405</c:v>
                </c:pt>
                <c:pt idx="48">
                  <c:v>126.28775940798221</c:v>
                </c:pt>
                <c:pt idx="49">
                  <c:v>71.985288835175041</c:v>
                </c:pt>
                <c:pt idx="50">
                  <c:v>90.571273473998176</c:v>
                </c:pt>
                <c:pt idx="51">
                  <c:v>98.563222674169722</c:v>
                </c:pt>
                <c:pt idx="52">
                  <c:v>131.9517697227287</c:v>
                </c:pt>
                <c:pt idx="53">
                  <c:v>136.35624376759915</c:v>
                </c:pt>
                <c:pt idx="54">
                  <c:v>86.433307827412449</c:v>
                </c:pt>
                <c:pt idx="55">
                  <c:v>122.42546866110931</c:v>
                </c:pt>
                <c:pt idx="56">
                  <c:v>162.45858715068911</c:v>
                </c:pt>
                <c:pt idx="57">
                  <c:v>108.09265314957642</c:v>
                </c:pt>
                <c:pt idx="58">
                  <c:v>146.64630348620955</c:v>
                </c:pt>
                <c:pt idx="59">
                  <c:v>164.75854020514069</c:v>
                </c:pt>
                <c:pt idx="60">
                  <c:v>50.423297926415017</c:v>
                </c:pt>
                <c:pt idx="61">
                  <c:v>152.02605053254428</c:v>
                </c:pt>
                <c:pt idx="62">
                  <c:v>19.411717911471381</c:v>
                </c:pt>
                <c:pt idx="63">
                  <c:v>64.104625913531223</c:v>
                </c:pt>
                <c:pt idx="64">
                  <c:v>90.504432578227863</c:v>
                </c:pt>
                <c:pt idx="65">
                  <c:v>134.45724850310117</c:v>
                </c:pt>
                <c:pt idx="66">
                  <c:v>123.97325529154213</c:v>
                </c:pt>
                <c:pt idx="67">
                  <c:v>133.54671975758495</c:v>
                </c:pt>
                <c:pt idx="68">
                  <c:v>95.995538484771672</c:v>
                </c:pt>
                <c:pt idx="69">
                  <c:v>65.704297217075876</c:v>
                </c:pt>
                <c:pt idx="70">
                  <c:v>61.492901067817172</c:v>
                </c:pt>
                <c:pt idx="71">
                  <c:v>54.307373120564193</c:v>
                </c:pt>
                <c:pt idx="72">
                  <c:v>53.294792809606299</c:v>
                </c:pt>
                <c:pt idx="73">
                  <c:v>56.860494943082109</c:v>
                </c:pt>
                <c:pt idx="74">
                  <c:v>37.791669240991013</c:v>
                </c:pt>
                <c:pt idx="75">
                  <c:v>48.539926541287123</c:v>
                </c:pt>
                <c:pt idx="76">
                  <c:v>51.246217373693916</c:v>
                </c:pt>
                <c:pt idx="77">
                  <c:v>116.45930842860467</c:v>
                </c:pt>
                <c:pt idx="78">
                  <c:v>124.38671641279669</c:v>
                </c:pt>
                <c:pt idx="79">
                  <c:v>179.25970878827633</c:v>
                </c:pt>
                <c:pt idx="80">
                  <c:v>159.60283419511259</c:v>
                </c:pt>
                <c:pt idx="81">
                  <c:v>191.04723011599444</c:v>
                </c:pt>
                <c:pt idx="82">
                  <c:v>189.45436250873863</c:v>
                </c:pt>
                <c:pt idx="83">
                  <c:v>161.4091741083445</c:v>
                </c:pt>
                <c:pt idx="84">
                  <c:v>177.9639781030136</c:v>
                </c:pt>
                <c:pt idx="85">
                  <c:v>179.89915721117671</c:v>
                </c:pt>
                <c:pt idx="86">
                  <c:v>141.84512857298932</c:v>
                </c:pt>
                <c:pt idx="87">
                  <c:v>111.53478509561498</c:v>
                </c:pt>
                <c:pt idx="88">
                  <c:v>29.29992319567997</c:v>
                </c:pt>
                <c:pt idx="89">
                  <c:v>84.794621827753787</c:v>
                </c:pt>
                <c:pt idx="90">
                  <c:v>143.93216686925223</c:v>
                </c:pt>
                <c:pt idx="91">
                  <c:v>70.408428575348609</c:v>
                </c:pt>
                <c:pt idx="92">
                  <c:v>113.02615612197893</c:v>
                </c:pt>
                <c:pt idx="93">
                  <c:v>172.43968728392804</c:v>
                </c:pt>
                <c:pt idx="94">
                  <c:v>211.28130172751636</c:v>
                </c:pt>
                <c:pt idx="95">
                  <c:v>52.456011145694447</c:v>
                </c:pt>
                <c:pt idx="96">
                  <c:v>161.20820775562643</c:v>
                </c:pt>
                <c:pt idx="97">
                  <c:v>128.30988863055038</c:v>
                </c:pt>
                <c:pt idx="98">
                  <c:v>138.50189071839196</c:v>
                </c:pt>
                <c:pt idx="99">
                  <c:v>216.22590746780807</c:v>
                </c:pt>
                <c:pt idx="100">
                  <c:v>173.90278353428087</c:v>
                </c:pt>
                <c:pt idx="101">
                  <c:v>145.60399188609742</c:v>
                </c:pt>
                <c:pt idx="102">
                  <c:v>24.155456370096896</c:v>
                </c:pt>
                <c:pt idx="103">
                  <c:v>173.41208984968304</c:v>
                </c:pt>
                <c:pt idx="104">
                  <c:v>183.08670639658234</c:v>
                </c:pt>
                <c:pt idx="105">
                  <c:v>184.19036479838036</c:v>
                </c:pt>
                <c:pt idx="106">
                  <c:v>220.95614663920267</c:v>
                </c:pt>
                <c:pt idx="107">
                  <c:v>163.06839267255356</c:v>
                </c:pt>
                <c:pt idx="108">
                  <c:v>36.831472063324163</c:v>
                </c:pt>
                <c:pt idx="109">
                  <c:v>41.77142169360306</c:v>
                </c:pt>
                <c:pt idx="110">
                  <c:v>37.223043522558925</c:v>
                </c:pt>
                <c:pt idx="111">
                  <c:v>113.26707373576933</c:v>
                </c:pt>
                <c:pt idx="112">
                  <c:v>41.264422133711712</c:v>
                </c:pt>
                <c:pt idx="113">
                  <c:v>111.45634601857681</c:v>
                </c:pt>
                <c:pt idx="114">
                  <c:v>188.41987201307825</c:v>
                </c:pt>
                <c:pt idx="115">
                  <c:v>221.41213741325791</c:v>
                </c:pt>
                <c:pt idx="116">
                  <c:v>157.72673408192324</c:v>
                </c:pt>
                <c:pt idx="117">
                  <c:v>91.861728750557631</c:v>
                </c:pt>
                <c:pt idx="118">
                  <c:v>169.75876915408475</c:v>
                </c:pt>
                <c:pt idx="119">
                  <c:v>158.95144431124788</c:v>
                </c:pt>
                <c:pt idx="120">
                  <c:v>189.20976643912439</c:v>
                </c:pt>
                <c:pt idx="121">
                  <c:v>112.26893806270083</c:v>
                </c:pt>
                <c:pt idx="122">
                  <c:v>127.83701252639992</c:v>
                </c:pt>
                <c:pt idx="123">
                  <c:v>75.0332029883686</c:v>
                </c:pt>
                <c:pt idx="124">
                  <c:v>158.07425927316402</c:v>
                </c:pt>
                <c:pt idx="125">
                  <c:v>147.05508278586791</c:v>
                </c:pt>
                <c:pt idx="126">
                  <c:v>186.49880968894425</c:v>
                </c:pt>
                <c:pt idx="127">
                  <c:v>203.74963410463798</c:v>
                </c:pt>
                <c:pt idx="128">
                  <c:v>219.6997267298355</c:v>
                </c:pt>
                <c:pt idx="129">
                  <c:v>210.25842708745287</c:v>
                </c:pt>
                <c:pt idx="130">
                  <c:v>226.46871344917594</c:v>
                </c:pt>
                <c:pt idx="131">
                  <c:v>170.10054171308366</c:v>
                </c:pt>
                <c:pt idx="132">
                  <c:v>161.632125621634</c:v>
                </c:pt>
                <c:pt idx="133">
                  <c:v>199.42084263903359</c:v>
                </c:pt>
                <c:pt idx="134">
                  <c:v>209.82423204250171</c:v>
                </c:pt>
                <c:pt idx="135">
                  <c:v>202.91183274752152</c:v>
                </c:pt>
                <c:pt idx="136">
                  <c:v>221.20610748565335</c:v>
                </c:pt>
                <c:pt idx="137">
                  <c:v>212.45424974454878</c:v>
                </c:pt>
                <c:pt idx="138">
                  <c:v>216.86933553702366</c:v>
                </c:pt>
                <c:pt idx="139">
                  <c:v>194.51546642125393</c:v>
                </c:pt>
                <c:pt idx="140">
                  <c:v>201.54091808287623</c:v>
                </c:pt>
                <c:pt idx="141">
                  <c:v>150.09189220843461</c:v>
                </c:pt>
                <c:pt idx="142">
                  <c:v>70.951280056083348</c:v>
                </c:pt>
                <c:pt idx="143">
                  <c:v>66.264462610819862</c:v>
                </c:pt>
                <c:pt idx="144">
                  <c:v>164.42807527011243</c:v>
                </c:pt>
                <c:pt idx="145">
                  <c:v>105.74220907147649</c:v>
                </c:pt>
                <c:pt idx="146">
                  <c:v>178.02918023952728</c:v>
                </c:pt>
                <c:pt idx="147">
                  <c:v>219.03266262040736</c:v>
                </c:pt>
                <c:pt idx="148">
                  <c:v>238.59710511179145</c:v>
                </c:pt>
                <c:pt idx="149">
                  <c:v>201.12449248473735</c:v>
                </c:pt>
                <c:pt idx="150">
                  <c:v>220.4112722551599</c:v>
                </c:pt>
                <c:pt idx="151">
                  <c:v>230.10230287237215</c:v>
                </c:pt>
                <c:pt idx="152">
                  <c:v>161.84714928552589</c:v>
                </c:pt>
                <c:pt idx="153">
                  <c:v>222.35557521332342</c:v>
                </c:pt>
                <c:pt idx="154">
                  <c:v>96.878199195984365</c:v>
                </c:pt>
                <c:pt idx="155">
                  <c:v>125.51802612191196</c:v>
                </c:pt>
                <c:pt idx="156">
                  <c:v>184.43262284827159</c:v>
                </c:pt>
                <c:pt idx="157">
                  <c:v>114.92435295364869</c:v>
                </c:pt>
                <c:pt idx="158">
                  <c:v>87.559347955897039</c:v>
                </c:pt>
                <c:pt idx="159">
                  <c:v>185.7526577074824</c:v>
                </c:pt>
                <c:pt idx="160">
                  <c:v>234.82649192397443</c:v>
                </c:pt>
                <c:pt idx="161">
                  <c:v>223.03670403398294</c:v>
                </c:pt>
                <c:pt idx="162">
                  <c:v>176.08184471959146</c:v>
                </c:pt>
                <c:pt idx="163">
                  <c:v>216.56111866873491</c:v>
                </c:pt>
                <c:pt idx="164">
                  <c:v>195.52665292080101</c:v>
                </c:pt>
                <c:pt idx="165">
                  <c:v>219.48677051461456</c:v>
                </c:pt>
                <c:pt idx="166">
                  <c:v>207.20713854812351</c:v>
                </c:pt>
                <c:pt idx="167">
                  <c:v>213.6713667206603</c:v>
                </c:pt>
                <c:pt idx="168">
                  <c:v>220.28578080377312</c:v>
                </c:pt>
                <c:pt idx="169">
                  <c:v>224.4699440969525</c:v>
                </c:pt>
                <c:pt idx="170">
                  <c:v>120.88413628414933</c:v>
                </c:pt>
                <c:pt idx="171">
                  <c:v>86.219616665614808</c:v>
                </c:pt>
                <c:pt idx="172">
                  <c:v>170.4287288073898</c:v>
                </c:pt>
                <c:pt idx="173">
                  <c:v>166.7531250024376</c:v>
                </c:pt>
                <c:pt idx="174">
                  <c:v>166.62173244013138</c:v>
                </c:pt>
                <c:pt idx="175">
                  <c:v>142.12519885778869</c:v>
                </c:pt>
                <c:pt idx="176">
                  <c:v>47.265727715015728</c:v>
                </c:pt>
                <c:pt idx="177">
                  <c:v>55.220778558412043</c:v>
                </c:pt>
                <c:pt idx="178">
                  <c:v>241.44459365518946</c:v>
                </c:pt>
                <c:pt idx="179">
                  <c:v>229.23255676644388</c:v>
                </c:pt>
                <c:pt idx="180">
                  <c:v>53.525216408474385</c:v>
                </c:pt>
                <c:pt idx="181">
                  <c:v>205.258200128959</c:v>
                </c:pt>
                <c:pt idx="182">
                  <c:v>226.83784552333026</c:v>
                </c:pt>
                <c:pt idx="183">
                  <c:v>187.87522260591027</c:v>
                </c:pt>
                <c:pt idx="184">
                  <c:v>183.27918331574651</c:v>
                </c:pt>
                <c:pt idx="185">
                  <c:v>220.46893147406755</c:v>
                </c:pt>
                <c:pt idx="186">
                  <c:v>175.01576711866656</c:v>
                </c:pt>
                <c:pt idx="187">
                  <c:v>217.50155195913382</c:v>
                </c:pt>
                <c:pt idx="188">
                  <c:v>230.66274921156463</c:v>
                </c:pt>
                <c:pt idx="189">
                  <c:v>228.25299242639304</c:v>
                </c:pt>
                <c:pt idx="190">
                  <c:v>226.42018828927343</c:v>
                </c:pt>
                <c:pt idx="191">
                  <c:v>220.29045401423144</c:v>
                </c:pt>
                <c:pt idx="192">
                  <c:v>217.70969883223395</c:v>
                </c:pt>
                <c:pt idx="193">
                  <c:v>217.83870291432177</c:v>
                </c:pt>
                <c:pt idx="194">
                  <c:v>215.48705798296129</c:v>
                </c:pt>
                <c:pt idx="195">
                  <c:v>206.70368265440004</c:v>
                </c:pt>
                <c:pt idx="196">
                  <c:v>212.15343467063005</c:v>
                </c:pt>
                <c:pt idx="197">
                  <c:v>211.45945168063969</c:v>
                </c:pt>
                <c:pt idx="198">
                  <c:v>214.93709866812333</c:v>
                </c:pt>
                <c:pt idx="199">
                  <c:v>152.12599016181417</c:v>
                </c:pt>
                <c:pt idx="200">
                  <c:v>155.98270925194336</c:v>
                </c:pt>
                <c:pt idx="201">
                  <c:v>208.37672262941825</c:v>
                </c:pt>
                <c:pt idx="202">
                  <c:v>158.07608027770814</c:v>
                </c:pt>
                <c:pt idx="203">
                  <c:v>181.92551125332849</c:v>
                </c:pt>
                <c:pt idx="204">
                  <c:v>211.13120530490505</c:v>
                </c:pt>
                <c:pt idx="205">
                  <c:v>113.66813838814487</c:v>
                </c:pt>
                <c:pt idx="206">
                  <c:v>202.82199653785437</c:v>
                </c:pt>
                <c:pt idx="207">
                  <c:v>222.58306021778253</c:v>
                </c:pt>
                <c:pt idx="208">
                  <c:v>179.79686682815293</c:v>
                </c:pt>
                <c:pt idx="209">
                  <c:v>109.21526846804804</c:v>
                </c:pt>
                <c:pt idx="210">
                  <c:v>189.0434192039591</c:v>
                </c:pt>
                <c:pt idx="211">
                  <c:v>216.33967219370106</c:v>
                </c:pt>
                <c:pt idx="212">
                  <c:v>215.29234001042056</c:v>
                </c:pt>
                <c:pt idx="213">
                  <c:v>215.35048052596423</c:v>
                </c:pt>
                <c:pt idx="214">
                  <c:v>204.47266351857897</c:v>
                </c:pt>
                <c:pt idx="215">
                  <c:v>194.04720180474447</c:v>
                </c:pt>
                <c:pt idx="216">
                  <c:v>180.54850905348232</c:v>
                </c:pt>
                <c:pt idx="217">
                  <c:v>193.65858199566031</c:v>
                </c:pt>
                <c:pt idx="218">
                  <c:v>206.9579645889975</c:v>
                </c:pt>
                <c:pt idx="219">
                  <c:v>210.59024485630846</c:v>
                </c:pt>
                <c:pt idx="220">
                  <c:v>200.70355318442486</c:v>
                </c:pt>
                <c:pt idx="221">
                  <c:v>195.10671210690273</c:v>
                </c:pt>
                <c:pt idx="222">
                  <c:v>181.07625901291956</c:v>
                </c:pt>
                <c:pt idx="223">
                  <c:v>189.70859632295574</c:v>
                </c:pt>
                <c:pt idx="224">
                  <c:v>131.87183755952506</c:v>
                </c:pt>
                <c:pt idx="225">
                  <c:v>144.64671277448903</c:v>
                </c:pt>
                <c:pt idx="226">
                  <c:v>148.89863382303045</c:v>
                </c:pt>
                <c:pt idx="227">
                  <c:v>133.95212382386796</c:v>
                </c:pt>
                <c:pt idx="228">
                  <c:v>103.16536871033223</c:v>
                </c:pt>
                <c:pt idx="229">
                  <c:v>126.67764080070157</c:v>
                </c:pt>
                <c:pt idx="230">
                  <c:v>136.67991213545056</c:v>
                </c:pt>
                <c:pt idx="231">
                  <c:v>199.65429996015561</c:v>
                </c:pt>
                <c:pt idx="232">
                  <c:v>127.37576283458617</c:v>
                </c:pt>
                <c:pt idx="233">
                  <c:v>100.45244704910573</c:v>
                </c:pt>
                <c:pt idx="234">
                  <c:v>174.34406558999848</c:v>
                </c:pt>
                <c:pt idx="235">
                  <c:v>185.69784334942128</c:v>
                </c:pt>
                <c:pt idx="236">
                  <c:v>130.07590136362546</c:v>
                </c:pt>
                <c:pt idx="237">
                  <c:v>175.63450994379835</c:v>
                </c:pt>
                <c:pt idx="238">
                  <c:v>192.1288205396539</c:v>
                </c:pt>
                <c:pt idx="239">
                  <c:v>189.21241732259693</c:v>
                </c:pt>
                <c:pt idx="240">
                  <c:v>127.37165974349907</c:v>
                </c:pt>
                <c:pt idx="241">
                  <c:v>189.13406476611823</c:v>
                </c:pt>
                <c:pt idx="242">
                  <c:v>84.13946965240244</c:v>
                </c:pt>
                <c:pt idx="243">
                  <c:v>167.34647357037548</c:v>
                </c:pt>
                <c:pt idx="244">
                  <c:v>164.95086767759406</c:v>
                </c:pt>
                <c:pt idx="245">
                  <c:v>128.84857457576749</c:v>
                </c:pt>
                <c:pt idx="246">
                  <c:v>181.50236045903122</c:v>
                </c:pt>
                <c:pt idx="247">
                  <c:v>160.3004816484538</c:v>
                </c:pt>
                <c:pt idx="248">
                  <c:v>179.76888488684168</c:v>
                </c:pt>
                <c:pt idx="249">
                  <c:v>136.63404820422863</c:v>
                </c:pt>
                <c:pt idx="250">
                  <c:v>158.83314665411604</c:v>
                </c:pt>
                <c:pt idx="251">
                  <c:v>84.951042029358064</c:v>
                </c:pt>
                <c:pt idx="252">
                  <c:v>176.72224370108682</c:v>
                </c:pt>
                <c:pt idx="253">
                  <c:v>180.14257042959906</c:v>
                </c:pt>
                <c:pt idx="254">
                  <c:v>124.72880725985735</c:v>
                </c:pt>
                <c:pt idx="255">
                  <c:v>44.902763415895066</c:v>
                </c:pt>
                <c:pt idx="256">
                  <c:v>143.1990064187284</c:v>
                </c:pt>
                <c:pt idx="257">
                  <c:v>160.23948325940458</c:v>
                </c:pt>
                <c:pt idx="258">
                  <c:v>102.29755311587525</c:v>
                </c:pt>
                <c:pt idx="259">
                  <c:v>185.89996268409931</c:v>
                </c:pt>
                <c:pt idx="260">
                  <c:v>179.52912541093178</c:v>
                </c:pt>
                <c:pt idx="261">
                  <c:v>177.1479029217098</c:v>
                </c:pt>
                <c:pt idx="262">
                  <c:v>181.17819389008929</c:v>
                </c:pt>
                <c:pt idx="263">
                  <c:v>176.27534464362796</c:v>
                </c:pt>
                <c:pt idx="264">
                  <c:v>171.22505199349428</c:v>
                </c:pt>
                <c:pt idx="265">
                  <c:v>109.79390987515994</c:v>
                </c:pt>
                <c:pt idx="266">
                  <c:v>73.863204452376692</c:v>
                </c:pt>
                <c:pt idx="267">
                  <c:v>128.29172565743119</c:v>
                </c:pt>
                <c:pt idx="268">
                  <c:v>129.853422193922</c:v>
                </c:pt>
                <c:pt idx="269">
                  <c:v>59.635104063519464</c:v>
                </c:pt>
                <c:pt idx="270">
                  <c:v>59.816395742489433</c:v>
                </c:pt>
                <c:pt idx="271">
                  <c:v>89.017102483429653</c:v>
                </c:pt>
                <c:pt idx="272">
                  <c:v>127.64412914857243</c:v>
                </c:pt>
                <c:pt idx="273">
                  <c:v>144.68839571990799</c:v>
                </c:pt>
                <c:pt idx="274">
                  <c:v>149.79000400739417</c:v>
                </c:pt>
                <c:pt idx="275">
                  <c:v>140.69571250919182</c:v>
                </c:pt>
                <c:pt idx="276">
                  <c:v>160.99695764618809</c:v>
                </c:pt>
                <c:pt idx="277">
                  <c:v>163.62551326734882</c:v>
                </c:pt>
                <c:pt idx="278">
                  <c:v>54.941287802538035</c:v>
                </c:pt>
                <c:pt idx="279">
                  <c:v>112.90055329754973</c:v>
                </c:pt>
                <c:pt idx="280">
                  <c:v>63.081541522490774</c:v>
                </c:pt>
                <c:pt idx="281">
                  <c:v>148.75185833607523</c:v>
                </c:pt>
                <c:pt idx="282">
                  <c:v>119.01350388870718</c:v>
                </c:pt>
                <c:pt idx="283">
                  <c:v>91.625418994197034</c:v>
                </c:pt>
                <c:pt idx="284">
                  <c:v>115.08779702671832</c:v>
                </c:pt>
                <c:pt idx="285">
                  <c:v>88.982933316862855</c:v>
                </c:pt>
                <c:pt idx="286">
                  <c:v>79.304804110108208</c:v>
                </c:pt>
                <c:pt idx="287">
                  <c:v>144.87298132777704</c:v>
                </c:pt>
                <c:pt idx="288">
                  <c:v>129.89191521108185</c:v>
                </c:pt>
                <c:pt idx="289">
                  <c:v>83.243090872934985</c:v>
                </c:pt>
                <c:pt idx="290">
                  <c:v>132.8994803628581</c:v>
                </c:pt>
                <c:pt idx="291">
                  <c:v>58.662546376770273</c:v>
                </c:pt>
                <c:pt idx="292">
                  <c:v>37.333096024845659</c:v>
                </c:pt>
                <c:pt idx="293">
                  <c:v>60.834986241260417</c:v>
                </c:pt>
                <c:pt idx="294">
                  <c:v>127.50948617500732</c:v>
                </c:pt>
                <c:pt idx="295">
                  <c:v>77.444440863463569</c:v>
                </c:pt>
                <c:pt idx="296">
                  <c:v>99.620186024605601</c:v>
                </c:pt>
                <c:pt idx="297">
                  <c:v>86.153856534164717</c:v>
                </c:pt>
                <c:pt idx="298">
                  <c:v>56.89875197523363</c:v>
                </c:pt>
                <c:pt idx="299">
                  <c:v>51.068280364885517</c:v>
                </c:pt>
                <c:pt idx="300">
                  <c:v>67.393620364517602</c:v>
                </c:pt>
                <c:pt idx="301">
                  <c:v>97.841963744430927</c:v>
                </c:pt>
                <c:pt idx="302">
                  <c:v>81.803078521800941</c:v>
                </c:pt>
                <c:pt idx="303">
                  <c:v>82.823411797098601</c:v>
                </c:pt>
                <c:pt idx="304">
                  <c:v>82.199805056025951</c:v>
                </c:pt>
                <c:pt idx="305">
                  <c:v>109.18557960014337</c:v>
                </c:pt>
                <c:pt idx="306">
                  <c:v>41.695493098941846</c:v>
                </c:pt>
                <c:pt idx="307">
                  <c:v>49.417988687466135</c:v>
                </c:pt>
                <c:pt idx="308">
                  <c:v>116.21863755189635</c:v>
                </c:pt>
                <c:pt idx="309">
                  <c:v>116.63072629907866</c:v>
                </c:pt>
                <c:pt idx="310">
                  <c:v>112.6136954715604</c:v>
                </c:pt>
                <c:pt idx="311">
                  <c:v>75.383767265691105</c:v>
                </c:pt>
                <c:pt idx="312">
                  <c:v>42.533306403215235</c:v>
                </c:pt>
                <c:pt idx="313">
                  <c:v>88.322228056022425</c:v>
                </c:pt>
                <c:pt idx="314">
                  <c:v>107.47337441709927</c:v>
                </c:pt>
                <c:pt idx="315">
                  <c:v>105.98592205313393</c:v>
                </c:pt>
                <c:pt idx="316">
                  <c:v>104.67824187008584</c:v>
                </c:pt>
                <c:pt idx="317">
                  <c:v>39.945563910943164</c:v>
                </c:pt>
                <c:pt idx="318">
                  <c:v>50.253887462571065</c:v>
                </c:pt>
                <c:pt idx="319">
                  <c:v>104.76871761275254</c:v>
                </c:pt>
                <c:pt idx="320">
                  <c:v>62.22115531783227</c:v>
                </c:pt>
                <c:pt idx="321">
                  <c:v>49.380633049882661</c:v>
                </c:pt>
                <c:pt idx="322">
                  <c:v>23.482073191773232</c:v>
                </c:pt>
                <c:pt idx="323">
                  <c:v>68.667598680312437</c:v>
                </c:pt>
                <c:pt idx="324">
                  <c:v>13.603329806358181</c:v>
                </c:pt>
                <c:pt idx="325">
                  <c:v>33.027588751891805</c:v>
                </c:pt>
                <c:pt idx="326">
                  <c:v>54.470926810670875</c:v>
                </c:pt>
                <c:pt idx="327">
                  <c:v>53.601758282835497</c:v>
                </c:pt>
                <c:pt idx="328">
                  <c:v>17.357666735431298</c:v>
                </c:pt>
                <c:pt idx="329">
                  <c:v>52.250660756230545</c:v>
                </c:pt>
                <c:pt idx="330">
                  <c:v>56.911068118559434</c:v>
                </c:pt>
                <c:pt idx="331">
                  <c:v>36.995095202932696</c:v>
                </c:pt>
                <c:pt idx="332">
                  <c:v>52.707415269599586</c:v>
                </c:pt>
                <c:pt idx="333">
                  <c:v>20.906922696537929</c:v>
                </c:pt>
                <c:pt idx="334">
                  <c:v>15.702722418674867</c:v>
                </c:pt>
                <c:pt idx="335">
                  <c:v>25.320870248569221</c:v>
                </c:pt>
                <c:pt idx="336">
                  <c:v>34.718377344822805</c:v>
                </c:pt>
                <c:pt idx="337">
                  <c:v>74.48968082981277</c:v>
                </c:pt>
                <c:pt idx="338">
                  <c:v>93.481307353578373</c:v>
                </c:pt>
                <c:pt idx="339">
                  <c:v>48.580023353143218</c:v>
                </c:pt>
                <c:pt idx="340">
                  <c:v>75.145581929801551</c:v>
                </c:pt>
                <c:pt idx="341">
                  <c:v>14.219783992320858</c:v>
                </c:pt>
                <c:pt idx="342">
                  <c:v>27.33373461763518</c:v>
                </c:pt>
                <c:pt idx="343">
                  <c:v>65.883811799890509</c:v>
                </c:pt>
                <c:pt idx="344">
                  <c:v>62.019694524032779</c:v>
                </c:pt>
                <c:pt idx="345">
                  <c:v>21.628765194239666</c:v>
                </c:pt>
                <c:pt idx="346">
                  <c:v>22.527513965632782</c:v>
                </c:pt>
                <c:pt idx="347">
                  <c:v>66.113302496662556</c:v>
                </c:pt>
                <c:pt idx="348">
                  <c:v>32.906488121169509</c:v>
                </c:pt>
                <c:pt idx="349">
                  <c:v>20.055880111580187</c:v>
                </c:pt>
                <c:pt idx="350">
                  <c:v>12.44350940938801</c:v>
                </c:pt>
                <c:pt idx="351">
                  <c:v>67.778186342070754</c:v>
                </c:pt>
                <c:pt idx="352">
                  <c:v>65.148455394302559</c:v>
                </c:pt>
                <c:pt idx="353">
                  <c:v>17.032116779163182</c:v>
                </c:pt>
                <c:pt idx="354">
                  <c:v>80.479475911663798</c:v>
                </c:pt>
                <c:pt idx="355">
                  <c:v>67.03842902252147</c:v>
                </c:pt>
                <c:pt idx="356">
                  <c:v>68.762862520723672</c:v>
                </c:pt>
                <c:pt idx="357">
                  <c:v>83.475927810455914</c:v>
                </c:pt>
                <c:pt idx="358">
                  <c:v>47.030238744151831</c:v>
                </c:pt>
                <c:pt idx="359">
                  <c:v>80.357359254295915</c:v>
                </c:pt>
                <c:pt idx="360">
                  <c:v>24.906740847159444</c:v>
                </c:pt>
                <c:pt idx="361">
                  <c:v>65.364543014058583</c:v>
                </c:pt>
                <c:pt idx="362">
                  <c:v>40.423628299026859</c:v>
                </c:pt>
                <c:pt idx="363">
                  <c:v>57.889300982343663</c:v>
                </c:pt>
                <c:pt idx="364">
                  <c:v>46.33705649472919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'2029'!$W$14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'2029'!$W$15:$W$380</c:f>
              <c:numCache>
                <c:formatCode>0.00</c:formatCode>
                <c:ptCount val="366"/>
                <c:pt idx="0">
                  <c:v>93.503762201413295</c:v>
                </c:pt>
                <c:pt idx="1">
                  <c:v>68.371939589972527</c:v>
                </c:pt>
                <c:pt idx="2">
                  <c:v>71.201610031830143</c:v>
                </c:pt>
                <c:pt idx="3">
                  <c:v>76.464935039390326</c:v>
                </c:pt>
                <c:pt idx="4">
                  <c:v>57.493616050338481</c:v>
                </c:pt>
                <c:pt idx="5">
                  <c:v>98.474591220990959</c:v>
                </c:pt>
                <c:pt idx="6">
                  <c:v>37.249727994600576</c:v>
                </c:pt>
                <c:pt idx="7">
                  <c:v>24.938411266896441</c:v>
                </c:pt>
                <c:pt idx="8">
                  <c:v>7.7857861985155887</c:v>
                </c:pt>
                <c:pt idx="9">
                  <c:v>7.1571697647539017</c:v>
                </c:pt>
                <c:pt idx="10">
                  <c:v>95.952564217502555</c:v>
                </c:pt>
                <c:pt idx="11">
                  <c:v>82.263986672414518</c:v>
                </c:pt>
                <c:pt idx="12">
                  <c:v>26.395864943903057</c:v>
                </c:pt>
                <c:pt idx="13">
                  <c:v>105.26723268338439</c:v>
                </c:pt>
                <c:pt idx="14">
                  <c:v>106.8771152811004</c:v>
                </c:pt>
                <c:pt idx="15">
                  <c:v>106.28642715812741</c:v>
                </c:pt>
                <c:pt idx="16">
                  <c:v>83.463290348380866</c:v>
                </c:pt>
                <c:pt idx="17">
                  <c:v>21.860549603770039</c:v>
                </c:pt>
                <c:pt idx="18">
                  <c:v>44.643257814522855</c:v>
                </c:pt>
                <c:pt idx="19">
                  <c:v>23.008671420807509</c:v>
                </c:pt>
                <c:pt idx="20">
                  <c:v>57.764967626578297</c:v>
                </c:pt>
                <c:pt idx="21">
                  <c:v>110.94012436468391</c:v>
                </c:pt>
                <c:pt idx="22">
                  <c:v>112.76889767286191</c:v>
                </c:pt>
                <c:pt idx="23">
                  <c:v>114.16653329347258</c:v>
                </c:pt>
                <c:pt idx="24">
                  <c:v>113.11679344019532</c:v>
                </c:pt>
                <c:pt idx="25">
                  <c:v>115.11473959768607</c:v>
                </c:pt>
                <c:pt idx="26">
                  <c:v>116.99836803870222</c:v>
                </c:pt>
                <c:pt idx="27">
                  <c:v>18.128190284930163</c:v>
                </c:pt>
                <c:pt idx="28">
                  <c:v>28.415768886911771</c:v>
                </c:pt>
                <c:pt idx="29">
                  <c:v>25.604046068503116</c:v>
                </c:pt>
                <c:pt idx="30">
                  <c:v>25.449089455532128</c:v>
                </c:pt>
                <c:pt idx="31">
                  <c:v>55.48008607991634</c:v>
                </c:pt>
                <c:pt idx="32">
                  <c:v>24.747728709255718</c:v>
                </c:pt>
                <c:pt idx="33">
                  <c:v>55.555049731510714</c:v>
                </c:pt>
                <c:pt idx="34">
                  <c:v>50.550760362006727</c:v>
                </c:pt>
                <c:pt idx="35">
                  <c:v>42.380271310279625</c:v>
                </c:pt>
                <c:pt idx="36">
                  <c:v>89.921868799585738</c:v>
                </c:pt>
                <c:pt idx="37">
                  <c:v>40.635859200024726</c:v>
                </c:pt>
                <c:pt idx="38">
                  <c:v>135.98836317508909</c:v>
                </c:pt>
                <c:pt idx="39">
                  <c:v>135.35214728697139</c:v>
                </c:pt>
                <c:pt idx="40">
                  <c:v>127.140352204804</c:v>
                </c:pt>
                <c:pt idx="41">
                  <c:v>63.420434300189051</c:v>
                </c:pt>
                <c:pt idx="42">
                  <c:v>106.22541164047881</c:v>
                </c:pt>
                <c:pt idx="43">
                  <c:v>129.61463317468741</c:v>
                </c:pt>
                <c:pt idx="44">
                  <c:v>73.910890619877918</c:v>
                </c:pt>
                <c:pt idx="45">
                  <c:v>78.045912390303627</c:v>
                </c:pt>
                <c:pt idx="46">
                  <c:v>30.146652353294858</c:v>
                </c:pt>
                <c:pt idx="47">
                  <c:v>44.415721823561405</c:v>
                </c:pt>
                <c:pt idx="48">
                  <c:v>126.28775940798221</c:v>
                </c:pt>
                <c:pt idx="49">
                  <c:v>71.985288835175041</c:v>
                </c:pt>
                <c:pt idx="50">
                  <c:v>90.571273473998176</c:v>
                </c:pt>
                <c:pt idx="51">
                  <c:v>98.563222674169722</c:v>
                </c:pt>
                <c:pt idx="52">
                  <c:v>131.9517697227287</c:v>
                </c:pt>
                <c:pt idx="53">
                  <c:v>136.35624376759915</c:v>
                </c:pt>
                <c:pt idx="54">
                  <c:v>86.433307827412449</c:v>
                </c:pt>
                <c:pt idx="55">
                  <c:v>122.42546866110931</c:v>
                </c:pt>
                <c:pt idx="56">
                  <c:v>162.45858715068911</c:v>
                </c:pt>
                <c:pt idx="57">
                  <c:v>108.09265314957642</c:v>
                </c:pt>
                <c:pt idx="58">
                  <c:v>146.64630348620955</c:v>
                </c:pt>
                <c:pt idx="59">
                  <c:v>164.75854020514069</c:v>
                </c:pt>
                <c:pt idx="60">
                  <c:v>50.423297926415017</c:v>
                </c:pt>
                <c:pt idx="61">
                  <c:v>152.02605053254428</c:v>
                </c:pt>
                <c:pt idx="62">
                  <c:v>19.411717911471381</c:v>
                </c:pt>
                <c:pt idx="63">
                  <c:v>64.104625913531223</c:v>
                </c:pt>
                <c:pt idx="64">
                  <c:v>90.504432578227863</c:v>
                </c:pt>
                <c:pt idx="65">
                  <c:v>134.45724850310117</c:v>
                </c:pt>
                <c:pt idx="66">
                  <c:v>123.97325529154213</c:v>
                </c:pt>
                <c:pt idx="67">
                  <c:v>133.54671975758495</c:v>
                </c:pt>
                <c:pt idx="68">
                  <c:v>95.995538484771672</c:v>
                </c:pt>
                <c:pt idx="69">
                  <c:v>65.704297217075876</c:v>
                </c:pt>
                <c:pt idx="70">
                  <c:v>61.492901067817172</c:v>
                </c:pt>
                <c:pt idx="71">
                  <c:v>54.307373120564193</c:v>
                </c:pt>
                <c:pt idx="72">
                  <c:v>53.294792809606299</c:v>
                </c:pt>
                <c:pt idx="73">
                  <c:v>56.860494943082109</c:v>
                </c:pt>
                <c:pt idx="74">
                  <c:v>37.791669240991013</c:v>
                </c:pt>
                <c:pt idx="75">
                  <c:v>48.539926541287123</c:v>
                </c:pt>
                <c:pt idx="76">
                  <c:v>51.246217373693916</c:v>
                </c:pt>
                <c:pt idx="77">
                  <c:v>116.45930842860467</c:v>
                </c:pt>
                <c:pt idx="78">
                  <c:v>124.38671641279669</c:v>
                </c:pt>
                <c:pt idx="79">
                  <c:v>179.25970878827633</c:v>
                </c:pt>
                <c:pt idx="80">
                  <c:v>159.60283419511259</c:v>
                </c:pt>
                <c:pt idx="81">
                  <c:v>191.04723011599444</c:v>
                </c:pt>
                <c:pt idx="82">
                  <c:v>189.45436250873863</c:v>
                </c:pt>
                <c:pt idx="83">
                  <c:v>161.4091741083445</c:v>
                </c:pt>
                <c:pt idx="84">
                  <c:v>177.9639781030136</c:v>
                </c:pt>
                <c:pt idx="85">
                  <c:v>179.89915721117671</c:v>
                </c:pt>
                <c:pt idx="86">
                  <c:v>141.84512857298932</c:v>
                </c:pt>
                <c:pt idx="87">
                  <c:v>111.53478509561498</c:v>
                </c:pt>
                <c:pt idx="88">
                  <c:v>29.29992319567997</c:v>
                </c:pt>
                <c:pt idx="89">
                  <c:v>84.794621827753787</c:v>
                </c:pt>
                <c:pt idx="90">
                  <c:v>143.93216686925223</c:v>
                </c:pt>
                <c:pt idx="91">
                  <c:v>70.408428575348609</c:v>
                </c:pt>
                <c:pt idx="92">
                  <c:v>113.02615612197893</c:v>
                </c:pt>
                <c:pt idx="93">
                  <c:v>172.43968728392804</c:v>
                </c:pt>
                <c:pt idx="94">
                  <c:v>211.28130172751636</c:v>
                </c:pt>
                <c:pt idx="95">
                  <c:v>52.456011145694447</c:v>
                </c:pt>
                <c:pt idx="96">
                  <c:v>161.20820775562643</c:v>
                </c:pt>
                <c:pt idx="97">
                  <c:v>128.30988863055038</c:v>
                </c:pt>
                <c:pt idx="98">
                  <c:v>138.50189071839196</c:v>
                </c:pt>
                <c:pt idx="99">
                  <c:v>216.22590746780807</c:v>
                </c:pt>
                <c:pt idx="100">
                  <c:v>173.90278353428087</c:v>
                </c:pt>
                <c:pt idx="101">
                  <c:v>145.60399188609742</c:v>
                </c:pt>
                <c:pt idx="102">
                  <c:v>24.155456370096896</c:v>
                </c:pt>
                <c:pt idx="103">
                  <c:v>173.41208984968304</c:v>
                </c:pt>
                <c:pt idx="104">
                  <c:v>183.08670639658234</c:v>
                </c:pt>
                <c:pt idx="105">
                  <c:v>184.19036479838036</c:v>
                </c:pt>
                <c:pt idx="106">
                  <c:v>220.95614663920267</c:v>
                </c:pt>
                <c:pt idx="107">
                  <c:v>163.06839267255356</c:v>
                </c:pt>
                <c:pt idx="108">
                  <c:v>36.831472063324163</c:v>
                </c:pt>
                <c:pt idx="109">
                  <c:v>41.77142169360306</c:v>
                </c:pt>
                <c:pt idx="110">
                  <c:v>37.223043522558925</c:v>
                </c:pt>
                <c:pt idx="111">
                  <c:v>113.26707373576933</c:v>
                </c:pt>
                <c:pt idx="112">
                  <c:v>41.264422133711712</c:v>
                </c:pt>
                <c:pt idx="113">
                  <c:v>111.45634601857681</c:v>
                </c:pt>
                <c:pt idx="114">
                  <c:v>188.41987201307825</c:v>
                </c:pt>
                <c:pt idx="115">
                  <c:v>221.41213741325791</c:v>
                </c:pt>
                <c:pt idx="116">
                  <c:v>157.72673408192324</c:v>
                </c:pt>
                <c:pt idx="117">
                  <c:v>91.861728750557631</c:v>
                </c:pt>
                <c:pt idx="118">
                  <c:v>169.75876915408475</c:v>
                </c:pt>
                <c:pt idx="119">
                  <c:v>158.95144431124788</c:v>
                </c:pt>
                <c:pt idx="120">
                  <c:v>189.20976643912439</c:v>
                </c:pt>
                <c:pt idx="121">
                  <c:v>112.26893806270083</c:v>
                </c:pt>
                <c:pt idx="122">
                  <c:v>127.83701252639992</c:v>
                </c:pt>
                <c:pt idx="123">
                  <c:v>75.0332029883686</c:v>
                </c:pt>
                <c:pt idx="124">
                  <c:v>158.07425927316402</c:v>
                </c:pt>
                <c:pt idx="125">
                  <c:v>147.05508278586791</c:v>
                </c:pt>
                <c:pt idx="126">
                  <c:v>186.49880968894425</c:v>
                </c:pt>
                <c:pt idx="127">
                  <c:v>203.74963410463798</c:v>
                </c:pt>
                <c:pt idx="128">
                  <c:v>219.6997267298355</c:v>
                </c:pt>
                <c:pt idx="129">
                  <c:v>210.25842708745287</c:v>
                </c:pt>
                <c:pt idx="130">
                  <c:v>226.46871344917594</c:v>
                </c:pt>
                <c:pt idx="131">
                  <c:v>170.10054171308366</c:v>
                </c:pt>
                <c:pt idx="132">
                  <c:v>161.632125621634</c:v>
                </c:pt>
                <c:pt idx="133">
                  <c:v>199.42084263903359</c:v>
                </c:pt>
                <c:pt idx="134">
                  <c:v>209.82423204250171</c:v>
                </c:pt>
                <c:pt idx="135">
                  <c:v>202.91183274752152</c:v>
                </c:pt>
                <c:pt idx="136">
                  <c:v>221.20610748565335</c:v>
                </c:pt>
                <c:pt idx="137">
                  <c:v>212.45424974454878</c:v>
                </c:pt>
                <c:pt idx="138">
                  <c:v>216.86933553702366</c:v>
                </c:pt>
                <c:pt idx="139">
                  <c:v>194.51546642125393</c:v>
                </c:pt>
                <c:pt idx="140">
                  <c:v>201.54091808287623</c:v>
                </c:pt>
                <c:pt idx="141">
                  <c:v>150.09189220843461</c:v>
                </c:pt>
                <c:pt idx="142">
                  <c:v>70.951280056083348</c:v>
                </c:pt>
                <c:pt idx="143">
                  <c:v>66.264462610819862</c:v>
                </c:pt>
                <c:pt idx="144">
                  <c:v>164.42807527011243</c:v>
                </c:pt>
                <c:pt idx="145">
                  <c:v>105.74220907147649</c:v>
                </c:pt>
                <c:pt idx="146">
                  <c:v>178.02918023952728</c:v>
                </c:pt>
                <c:pt idx="147">
                  <c:v>219.03266262040736</c:v>
                </c:pt>
                <c:pt idx="148">
                  <c:v>238.59710511179145</c:v>
                </c:pt>
                <c:pt idx="149">
                  <c:v>201.12449248473735</c:v>
                </c:pt>
                <c:pt idx="150">
                  <c:v>220.4112722551599</c:v>
                </c:pt>
                <c:pt idx="151">
                  <c:v>230.10230287237215</c:v>
                </c:pt>
                <c:pt idx="152">
                  <c:v>161.84714928552589</c:v>
                </c:pt>
                <c:pt idx="153">
                  <c:v>222.35557521332342</c:v>
                </c:pt>
                <c:pt idx="154">
                  <c:v>96.878199195984365</c:v>
                </c:pt>
                <c:pt idx="155">
                  <c:v>125.51802612191196</c:v>
                </c:pt>
                <c:pt idx="156">
                  <c:v>184.43262284827159</c:v>
                </c:pt>
                <c:pt idx="157">
                  <c:v>114.92435295364869</c:v>
                </c:pt>
                <c:pt idx="158">
                  <c:v>87.559347955897039</c:v>
                </c:pt>
                <c:pt idx="159">
                  <c:v>185.7526577074824</c:v>
                </c:pt>
                <c:pt idx="160">
                  <c:v>234.82649192397443</c:v>
                </c:pt>
                <c:pt idx="161">
                  <c:v>223.03670403398294</c:v>
                </c:pt>
                <c:pt idx="162">
                  <c:v>176.08184471959146</c:v>
                </c:pt>
                <c:pt idx="163">
                  <c:v>216.56111866873491</c:v>
                </c:pt>
                <c:pt idx="164">
                  <c:v>195.52665292080101</c:v>
                </c:pt>
                <c:pt idx="165">
                  <c:v>219.48677051461456</c:v>
                </c:pt>
                <c:pt idx="166">
                  <c:v>207.20713854812351</c:v>
                </c:pt>
                <c:pt idx="167">
                  <c:v>213.6713667206603</c:v>
                </c:pt>
                <c:pt idx="168">
                  <c:v>220.28578080377312</c:v>
                </c:pt>
                <c:pt idx="169">
                  <c:v>224.4699440969525</c:v>
                </c:pt>
                <c:pt idx="170">
                  <c:v>120.88413628414933</c:v>
                </c:pt>
                <c:pt idx="171">
                  <c:v>86.219616665614808</c:v>
                </c:pt>
                <c:pt idx="172">
                  <c:v>170.4287288073898</c:v>
                </c:pt>
                <c:pt idx="173">
                  <c:v>166.7531250024376</c:v>
                </c:pt>
                <c:pt idx="174">
                  <c:v>166.62173244013138</c:v>
                </c:pt>
                <c:pt idx="175">
                  <c:v>142.12519885778869</c:v>
                </c:pt>
                <c:pt idx="176">
                  <c:v>47.265727715015728</c:v>
                </c:pt>
                <c:pt idx="177">
                  <c:v>55.220778558412043</c:v>
                </c:pt>
                <c:pt idx="178">
                  <c:v>241.44459365518946</c:v>
                </c:pt>
                <c:pt idx="179">
                  <c:v>229.23255676644388</c:v>
                </c:pt>
                <c:pt idx="180">
                  <c:v>53.525216408474385</c:v>
                </c:pt>
                <c:pt idx="181">
                  <c:v>205.258200128959</c:v>
                </c:pt>
                <c:pt idx="182">
                  <c:v>226.83784552333026</c:v>
                </c:pt>
                <c:pt idx="183">
                  <c:v>187.87522260591027</c:v>
                </c:pt>
                <c:pt idx="184">
                  <c:v>183.27918331574651</c:v>
                </c:pt>
                <c:pt idx="185">
                  <c:v>220.46893147406755</c:v>
                </c:pt>
                <c:pt idx="186">
                  <c:v>175.01576711866656</c:v>
                </c:pt>
                <c:pt idx="187">
                  <c:v>217.50155195913382</c:v>
                </c:pt>
                <c:pt idx="188">
                  <c:v>230.66274921156463</c:v>
                </c:pt>
                <c:pt idx="189">
                  <c:v>228.25299242639304</c:v>
                </c:pt>
                <c:pt idx="190">
                  <c:v>226.42018828927343</c:v>
                </c:pt>
                <c:pt idx="191">
                  <c:v>220.29045401423144</c:v>
                </c:pt>
                <c:pt idx="192">
                  <c:v>217.70969883223395</c:v>
                </c:pt>
                <c:pt idx="193">
                  <c:v>217.83870291432177</c:v>
                </c:pt>
                <c:pt idx="194">
                  <c:v>215.48705798296129</c:v>
                </c:pt>
                <c:pt idx="195">
                  <c:v>206.70368265440004</c:v>
                </c:pt>
                <c:pt idx="196">
                  <c:v>212.15343467063005</c:v>
                </c:pt>
                <c:pt idx="197">
                  <c:v>211.45945168063969</c:v>
                </c:pt>
                <c:pt idx="198">
                  <c:v>214.93709866812333</c:v>
                </c:pt>
                <c:pt idx="199">
                  <c:v>152.12599016181417</c:v>
                </c:pt>
                <c:pt idx="200">
                  <c:v>155.98270925194336</c:v>
                </c:pt>
                <c:pt idx="201">
                  <c:v>208.37672262941825</c:v>
                </c:pt>
                <c:pt idx="202">
                  <c:v>158.07608027770814</c:v>
                </c:pt>
                <c:pt idx="203">
                  <c:v>181.92551125332849</c:v>
                </c:pt>
                <c:pt idx="204">
                  <c:v>211.13120530490505</c:v>
                </c:pt>
                <c:pt idx="205">
                  <c:v>113.66813838814487</c:v>
                </c:pt>
                <c:pt idx="206">
                  <c:v>202.82199653785437</c:v>
                </c:pt>
                <c:pt idx="207">
                  <c:v>222.58306021778253</c:v>
                </c:pt>
                <c:pt idx="208">
                  <c:v>179.79686682815293</c:v>
                </c:pt>
                <c:pt idx="209">
                  <c:v>109.21526846804804</c:v>
                </c:pt>
                <c:pt idx="210">
                  <c:v>189.0434192039591</c:v>
                </c:pt>
                <c:pt idx="211">
                  <c:v>216.33967219370106</c:v>
                </c:pt>
                <c:pt idx="212">
                  <c:v>215.29234001042056</c:v>
                </c:pt>
                <c:pt idx="213">
                  <c:v>215.35048052596423</c:v>
                </c:pt>
                <c:pt idx="214">
                  <c:v>204.47266351857897</c:v>
                </c:pt>
                <c:pt idx="215">
                  <c:v>194.04720180474447</c:v>
                </c:pt>
                <c:pt idx="216">
                  <c:v>180.54850905348232</c:v>
                </c:pt>
                <c:pt idx="217">
                  <c:v>193.65858199566031</c:v>
                </c:pt>
                <c:pt idx="218">
                  <c:v>206.9579645889975</c:v>
                </c:pt>
                <c:pt idx="219">
                  <c:v>210.59024485630846</c:v>
                </c:pt>
                <c:pt idx="220">
                  <c:v>200.70355318442486</c:v>
                </c:pt>
                <c:pt idx="221">
                  <c:v>195.10671210690273</c:v>
                </c:pt>
                <c:pt idx="222">
                  <c:v>181.07625901291956</c:v>
                </c:pt>
                <c:pt idx="223">
                  <c:v>189.70859632295574</c:v>
                </c:pt>
                <c:pt idx="224">
                  <c:v>131.87183755952506</c:v>
                </c:pt>
                <c:pt idx="225">
                  <c:v>144.64671277448903</c:v>
                </c:pt>
                <c:pt idx="226">
                  <c:v>148.89863382303045</c:v>
                </c:pt>
                <c:pt idx="227">
                  <c:v>133.95212382386796</c:v>
                </c:pt>
                <c:pt idx="228">
                  <c:v>103.16536871033223</c:v>
                </c:pt>
                <c:pt idx="229">
                  <c:v>126.67764080070157</c:v>
                </c:pt>
                <c:pt idx="230">
                  <c:v>136.67991213545056</c:v>
                </c:pt>
                <c:pt idx="231">
                  <c:v>199.65429996015561</c:v>
                </c:pt>
                <c:pt idx="232">
                  <c:v>127.37576283458617</c:v>
                </c:pt>
                <c:pt idx="233">
                  <c:v>100.45244704910573</c:v>
                </c:pt>
                <c:pt idx="234">
                  <c:v>174.34406558999848</c:v>
                </c:pt>
                <c:pt idx="235">
                  <c:v>185.69784334942128</c:v>
                </c:pt>
                <c:pt idx="236">
                  <c:v>130.07590136362546</c:v>
                </c:pt>
                <c:pt idx="237">
                  <c:v>175.63450994379835</c:v>
                </c:pt>
                <c:pt idx="238">
                  <c:v>192.1288205396539</c:v>
                </c:pt>
                <c:pt idx="239">
                  <c:v>189.21241732259693</c:v>
                </c:pt>
                <c:pt idx="240">
                  <c:v>127.37165974349907</c:v>
                </c:pt>
                <c:pt idx="241">
                  <c:v>189.13406476611823</c:v>
                </c:pt>
                <c:pt idx="242">
                  <c:v>84.13946965240244</c:v>
                </c:pt>
                <c:pt idx="243">
                  <c:v>167.34647357037548</c:v>
                </c:pt>
                <c:pt idx="244">
                  <c:v>164.95086767759406</c:v>
                </c:pt>
                <c:pt idx="245">
                  <c:v>128.84857457576749</c:v>
                </c:pt>
                <c:pt idx="246">
                  <c:v>181.50236045903122</c:v>
                </c:pt>
                <c:pt idx="247">
                  <c:v>160.3004816484538</c:v>
                </c:pt>
                <c:pt idx="248">
                  <c:v>179.76888488684168</c:v>
                </c:pt>
                <c:pt idx="249">
                  <c:v>136.63404820422863</c:v>
                </c:pt>
                <c:pt idx="250">
                  <c:v>158.83314665411604</c:v>
                </c:pt>
                <c:pt idx="251">
                  <c:v>84.951042029358064</c:v>
                </c:pt>
                <c:pt idx="252">
                  <c:v>176.72224370108682</c:v>
                </c:pt>
                <c:pt idx="253">
                  <c:v>180.14257042959906</c:v>
                </c:pt>
                <c:pt idx="254">
                  <c:v>124.72880725985735</c:v>
                </c:pt>
                <c:pt idx="255">
                  <c:v>44.902763415895066</c:v>
                </c:pt>
                <c:pt idx="256">
                  <c:v>143.1990064187284</c:v>
                </c:pt>
                <c:pt idx="257">
                  <c:v>160.23948325940458</c:v>
                </c:pt>
                <c:pt idx="258">
                  <c:v>102.29755311587525</c:v>
                </c:pt>
                <c:pt idx="259">
                  <c:v>185.89996268409931</c:v>
                </c:pt>
                <c:pt idx="260">
                  <c:v>179.52912541093178</c:v>
                </c:pt>
                <c:pt idx="261">
                  <c:v>177.1479029217098</c:v>
                </c:pt>
                <c:pt idx="262">
                  <c:v>181.17819389008929</c:v>
                </c:pt>
                <c:pt idx="263">
                  <c:v>176.27534464362796</c:v>
                </c:pt>
                <c:pt idx="264">
                  <c:v>171.22505199349428</c:v>
                </c:pt>
                <c:pt idx="265">
                  <c:v>109.79390987515994</c:v>
                </c:pt>
                <c:pt idx="266">
                  <c:v>73.863204452376692</c:v>
                </c:pt>
                <c:pt idx="267">
                  <c:v>128.29172565743119</c:v>
                </c:pt>
                <c:pt idx="268">
                  <c:v>129.853422193922</c:v>
                </c:pt>
                <c:pt idx="269">
                  <c:v>59.635104063519464</c:v>
                </c:pt>
                <c:pt idx="270">
                  <c:v>59.816395742489433</c:v>
                </c:pt>
                <c:pt idx="271">
                  <c:v>89.017102483429653</c:v>
                </c:pt>
                <c:pt idx="272">
                  <c:v>127.64412914857243</c:v>
                </c:pt>
                <c:pt idx="273">
                  <c:v>144.68839571990799</c:v>
                </c:pt>
                <c:pt idx="274">
                  <c:v>149.79000400739417</c:v>
                </c:pt>
                <c:pt idx="275">
                  <c:v>140.69571250919182</c:v>
                </c:pt>
                <c:pt idx="276">
                  <c:v>160.99695764618809</c:v>
                </c:pt>
                <c:pt idx="277">
                  <c:v>163.62551326734882</c:v>
                </c:pt>
                <c:pt idx="278">
                  <c:v>54.941287802538035</c:v>
                </c:pt>
                <c:pt idx="279">
                  <c:v>112.90055329754973</c:v>
                </c:pt>
                <c:pt idx="280">
                  <c:v>63.081541522490774</c:v>
                </c:pt>
                <c:pt idx="281">
                  <c:v>148.75185833607523</c:v>
                </c:pt>
                <c:pt idx="282">
                  <c:v>119.01350388870718</c:v>
                </c:pt>
                <c:pt idx="283">
                  <c:v>91.625418994197034</c:v>
                </c:pt>
                <c:pt idx="284">
                  <c:v>115.08779702671832</c:v>
                </c:pt>
                <c:pt idx="285">
                  <c:v>88.982933316862855</c:v>
                </c:pt>
                <c:pt idx="286">
                  <c:v>79.304804110108208</c:v>
                </c:pt>
                <c:pt idx="287">
                  <c:v>144.87298132777704</c:v>
                </c:pt>
                <c:pt idx="288">
                  <c:v>129.89191521108185</c:v>
                </c:pt>
                <c:pt idx="289">
                  <c:v>83.243090872934985</c:v>
                </c:pt>
                <c:pt idx="290">
                  <c:v>132.8994803628581</c:v>
                </c:pt>
                <c:pt idx="291">
                  <c:v>58.662546376770273</c:v>
                </c:pt>
                <c:pt idx="292">
                  <c:v>37.333096024845659</c:v>
                </c:pt>
                <c:pt idx="293">
                  <c:v>60.834986241260417</c:v>
                </c:pt>
                <c:pt idx="294">
                  <c:v>127.50948617500732</c:v>
                </c:pt>
                <c:pt idx="295">
                  <c:v>77.444440863463569</c:v>
                </c:pt>
                <c:pt idx="296">
                  <c:v>99.620186024605601</c:v>
                </c:pt>
                <c:pt idx="297">
                  <c:v>86.153856534164717</c:v>
                </c:pt>
                <c:pt idx="298">
                  <c:v>56.89875197523363</c:v>
                </c:pt>
                <c:pt idx="299">
                  <c:v>51.068280364885517</c:v>
                </c:pt>
                <c:pt idx="300">
                  <c:v>67.393620364517602</c:v>
                </c:pt>
                <c:pt idx="301">
                  <c:v>97.841963744430927</c:v>
                </c:pt>
                <c:pt idx="302">
                  <c:v>81.803078521800941</c:v>
                </c:pt>
                <c:pt idx="303">
                  <c:v>82.823411797098601</c:v>
                </c:pt>
                <c:pt idx="304">
                  <c:v>82.199805056025951</c:v>
                </c:pt>
                <c:pt idx="305">
                  <c:v>109.18557960014337</c:v>
                </c:pt>
                <c:pt idx="306">
                  <c:v>41.695493098941846</c:v>
                </c:pt>
                <c:pt idx="307">
                  <c:v>49.417988687466135</c:v>
                </c:pt>
                <c:pt idx="308">
                  <c:v>116.21863755189635</c:v>
                </c:pt>
                <c:pt idx="309">
                  <c:v>116.63072629907866</c:v>
                </c:pt>
                <c:pt idx="310">
                  <c:v>112.6136954715604</c:v>
                </c:pt>
                <c:pt idx="311">
                  <c:v>75.383767265691105</c:v>
                </c:pt>
                <c:pt idx="312">
                  <c:v>42.533306403215235</c:v>
                </c:pt>
                <c:pt idx="313">
                  <c:v>88.322228056022425</c:v>
                </c:pt>
                <c:pt idx="314">
                  <c:v>107.47337441709927</c:v>
                </c:pt>
                <c:pt idx="315">
                  <c:v>105.98592205313393</c:v>
                </c:pt>
                <c:pt idx="316">
                  <c:v>104.67824187008584</c:v>
                </c:pt>
                <c:pt idx="317">
                  <c:v>39.945563910943164</c:v>
                </c:pt>
                <c:pt idx="318">
                  <c:v>50.253887462571065</c:v>
                </c:pt>
                <c:pt idx="319">
                  <c:v>104.76871761275254</c:v>
                </c:pt>
                <c:pt idx="320">
                  <c:v>62.22115531783227</c:v>
                </c:pt>
                <c:pt idx="321">
                  <c:v>49.380633049882661</c:v>
                </c:pt>
                <c:pt idx="322">
                  <c:v>23.482073191773232</c:v>
                </c:pt>
                <c:pt idx="323">
                  <c:v>68.667598680312437</c:v>
                </c:pt>
                <c:pt idx="324">
                  <c:v>13.603329806358181</c:v>
                </c:pt>
                <c:pt idx="325">
                  <c:v>33.027588751891805</c:v>
                </c:pt>
                <c:pt idx="326">
                  <c:v>54.470926810670875</c:v>
                </c:pt>
                <c:pt idx="327">
                  <c:v>53.601758282835497</c:v>
                </c:pt>
                <c:pt idx="328">
                  <c:v>17.357666735431298</c:v>
                </c:pt>
                <c:pt idx="329">
                  <c:v>52.250660756230545</c:v>
                </c:pt>
                <c:pt idx="330">
                  <c:v>56.911068118559434</c:v>
                </c:pt>
                <c:pt idx="331">
                  <c:v>36.995095202932696</c:v>
                </c:pt>
                <c:pt idx="332">
                  <c:v>52.707415269599586</c:v>
                </c:pt>
                <c:pt idx="333">
                  <c:v>20.906922696537929</c:v>
                </c:pt>
                <c:pt idx="334">
                  <c:v>15.702722418674867</c:v>
                </c:pt>
                <c:pt idx="335">
                  <c:v>25.320870248569221</c:v>
                </c:pt>
                <c:pt idx="336">
                  <c:v>34.718377344822805</c:v>
                </c:pt>
                <c:pt idx="337">
                  <c:v>74.48968082981277</c:v>
                </c:pt>
                <c:pt idx="338">
                  <c:v>93.481307353578373</c:v>
                </c:pt>
                <c:pt idx="339">
                  <c:v>48.580023353143218</c:v>
                </c:pt>
                <c:pt idx="340">
                  <c:v>75.145581929801551</c:v>
                </c:pt>
                <c:pt idx="341">
                  <c:v>14.219783992320858</c:v>
                </c:pt>
                <c:pt idx="342">
                  <c:v>27.33373461763518</c:v>
                </c:pt>
                <c:pt idx="343">
                  <c:v>65.883811799890509</c:v>
                </c:pt>
                <c:pt idx="344">
                  <c:v>62.019694524032779</c:v>
                </c:pt>
                <c:pt idx="345">
                  <c:v>21.628765194239666</c:v>
                </c:pt>
                <c:pt idx="346">
                  <c:v>22.527513965632782</c:v>
                </c:pt>
                <c:pt idx="347">
                  <c:v>66.113302496662556</c:v>
                </c:pt>
                <c:pt idx="348">
                  <c:v>32.906488121169509</c:v>
                </c:pt>
                <c:pt idx="349">
                  <c:v>20.055880111580187</c:v>
                </c:pt>
                <c:pt idx="350">
                  <c:v>12.44350940938801</c:v>
                </c:pt>
                <c:pt idx="351">
                  <c:v>67.778186342070754</c:v>
                </c:pt>
                <c:pt idx="352">
                  <c:v>65.148455394302559</c:v>
                </c:pt>
                <c:pt idx="353">
                  <c:v>17.032116779163182</c:v>
                </c:pt>
                <c:pt idx="354">
                  <c:v>80.479475911663798</c:v>
                </c:pt>
                <c:pt idx="355">
                  <c:v>67.03842902252147</c:v>
                </c:pt>
                <c:pt idx="356">
                  <c:v>68.762862520723672</c:v>
                </c:pt>
                <c:pt idx="357">
                  <c:v>83.475927810455914</c:v>
                </c:pt>
                <c:pt idx="358">
                  <c:v>47.030238744151831</c:v>
                </c:pt>
                <c:pt idx="359">
                  <c:v>80.357359254295915</c:v>
                </c:pt>
                <c:pt idx="360">
                  <c:v>24.906740847159444</c:v>
                </c:pt>
                <c:pt idx="361">
                  <c:v>65.364543014058583</c:v>
                </c:pt>
                <c:pt idx="362">
                  <c:v>40.423628299026859</c:v>
                </c:pt>
                <c:pt idx="363">
                  <c:v>57.889300982343663</c:v>
                </c:pt>
                <c:pt idx="364">
                  <c:v>46.33705649472919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608392"/>
        <c:axId val="665608784"/>
      </c:lineChart>
      <c:dateAx>
        <c:axId val="665608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08784"/>
        <c:crosses val="autoZero"/>
        <c:auto val="1"/>
        <c:lblOffset val="100"/>
        <c:baseTimeUnit val="days"/>
        <c:majorUnit val="1"/>
        <c:majorTimeUnit val="months"/>
      </c:dateAx>
      <c:valAx>
        <c:axId val="665608784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0839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'2029'!$L$15:$L$380</c:f>
              <c:numCache>
                <c:formatCode>0.00%</c:formatCode>
                <c:ptCount val="366"/>
                <c:pt idx="0">
                  <c:v>3.6220301829053558E-2</c:v>
                </c:pt>
                <c:pt idx="1">
                  <c:v>3.6233495163776164E-2</c:v>
                </c:pt>
                <c:pt idx="2">
                  <c:v>3.6246688317893128E-2</c:v>
                </c:pt>
                <c:pt idx="3">
                  <c:v>3.6259881291406892E-2</c:v>
                </c:pt>
                <c:pt idx="4">
                  <c:v>3.6273074084319901E-2</c:v>
                </c:pt>
                <c:pt idx="5">
                  <c:v>3.6286266696634706E-2</c:v>
                </c:pt>
                <c:pt idx="6">
                  <c:v>3.6299459128353639E-2</c:v>
                </c:pt>
                <c:pt idx="7">
                  <c:v>3.6312651379479366E-2</c:v>
                </c:pt>
                <c:pt idx="8">
                  <c:v>3.6325843450014217E-2</c:v>
                </c:pt>
                <c:pt idx="9">
                  <c:v>3.6339035339960635E-2</c:v>
                </c:pt>
                <c:pt idx="10">
                  <c:v>3.6352227049321284E-2</c:v>
                </c:pt>
                <c:pt idx="11">
                  <c:v>3.6365418578098385E-2</c:v>
                </c:pt>
                <c:pt idx="12">
                  <c:v>3.6378609926294603E-2</c:v>
                </c:pt>
                <c:pt idx="13">
                  <c:v>3.6391801093912379E-2</c:v>
                </c:pt>
                <c:pt idx="14">
                  <c:v>3.6404992080954046E-2</c:v>
                </c:pt>
                <c:pt idx="15">
                  <c:v>3.6418182887422268E-2</c:v>
                </c:pt>
                <c:pt idx="16">
                  <c:v>3.6431373513319376E-2</c:v>
                </c:pt>
                <c:pt idx="17">
                  <c:v>3.6444563958647924E-2</c:v>
                </c:pt>
                <c:pt idx="18">
                  <c:v>3.6457754223410355E-2</c:v>
                </c:pt>
                <c:pt idx="19">
                  <c:v>3.647094430760911E-2</c:v>
                </c:pt>
                <c:pt idx="20">
                  <c:v>3.6484134211246633E-2</c:v>
                </c:pt>
                <c:pt idx="21">
                  <c:v>3.6497323934325476E-2</c:v>
                </c:pt>
                <c:pt idx="22">
                  <c:v>3.6510513476848194E-2</c:v>
                </c:pt>
                <c:pt idx="23">
                  <c:v>3.6523702838817007E-2</c:v>
                </c:pt>
                <c:pt idx="24">
                  <c:v>3.653689202023469E-2</c:v>
                </c:pt>
                <c:pt idx="25">
                  <c:v>3.6550081021103464E-2</c:v>
                </c:pt>
                <c:pt idx="26">
                  <c:v>3.6563269841425883E-2</c:v>
                </c:pt>
                <c:pt idx="27">
                  <c:v>3.6576458481204388E-2</c:v>
                </c:pt>
                <c:pt idx="28">
                  <c:v>3.6589646940441534E-2</c:v>
                </c:pt>
                <c:pt idx="29">
                  <c:v>3.6602835219139762E-2</c:v>
                </c:pt>
                <c:pt idx="30">
                  <c:v>3.6616023317301516E-2</c:v>
                </c:pt>
                <c:pt idx="31">
                  <c:v>3.6629211234929349E-2</c:v>
                </c:pt>
                <c:pt idx="32">
                  <c:v>3.6642398972025592E-2</c:v>
                </c:pt>
                <c:pt idx="33">
                  <c:v>3.6655586528592798E-2</c:v>
                </c:pt>
                <c:pt idx="34">
                  <c:v>3.6668773904633412E-2</c:v>
                </c:pt>
                <c:pt idx="35">
                  <c:v>3.6681961100149985E-2</c:v>
                </c:pt>
                <c:pt idx="36">
                  <c:v>3.6695148115144849E-2</c:v>
                </c:pt>
                <c:pt idx="37">
                  <c:v>3.6708334949620558E-2</c:v>
                </c:pt>
                <c:pt idx="38">
                  <c:v>3.6721521603579665E-2</c:v>
                </c:pt>
                <c:pt idx="39">
                  <c:v>3.6734708077024503E-2</c:v>
                </c:pt>
                <c:pt idx="40">
                  <c:v>3.6747894369957512E-2</c:v>
                </c:pt>
                <c:pt idx="41">
                  <c:v>3.6761080482381359E-2</c:v>
                </c:pt>
                <c:pt idx="42">
                  <c:v>3.6774266414298373E-2</c:v>
                </c:pt>
                <c:pt idx="43">
                  <c:v>3.6787452165710999E-2</c:v>
                </c:pt>
                <c:pt idx="44">
                  <c:v>3.6800637736621788E-2</c:v>
                </c:pt>
                <c:pt idx="45">
                  <c:v>3.6813823127033185E-2</c:v>
                </c:pt>
                <c:pt idx="46">
                  <c:v>3.6827008336947742E-2</c:v>
                </c:pt>
                <c:pt idx="47">
                  <c:v>3.6840193366367679E-2</c:v>
                </c:pt>
                <c:pt idx="48">
                  <c:v>3.6853378215295773E-2</c:v>
                </c:pt>
                <c:pt idx="49">
                  <c:v>3.6866562883734355E-2</c:v>
                </c:pt>
                <c:pt idx="50">
                  <c:v>3.6879747371685867E-2</c:v>
                </c:pt>
                <c:pt idx="51">
                  <c:v>3.6892931679152752E-2</c:v>
                </c:pt>
                <c:pt idx="52">
                  <c:v>3.6906115806137563E-2</c:v>
                </c:pt>
                <c:pt idx="53">
                  <c:v>3.6919299752642853E-2</c:v>
                </c:pt>
                <c:pt idx="54">
                  <c:v>3.6932483518670844E-2</c:v>
                </c:pt>
                <c:pt idx="55">
                  <c:v>3.69456671042242E-2</c:v>
                </c:pt>
                <c:pt idx="56">
                  <c:v>3.6958850509305363E-2</c:v>
                </c:pt>
                <c:pt idx="57">
                  <c:v>3.6972033733916776E-2</c:v>
                </c:pt>
                <c:pt idx="58">
                  <c:v>3.6985216778060881E-2</c:v>
                </c:pt>
                <c:pt idx="59">
                  <c:v>3.6998399641740232E-2</c:v>
                </c:pt>
                <c:pt idx="60">
                  <c:v>3.7011582324957271E-2</c:v>
                </c:pt>
                <c:pt idx="61">
                  <c:v>3.7024764827714329E-2</c:v>
                </c:pt>
                <c:pt idx="62">
                  <c:v>3.7037947150014072E-2</c:v>
                </c:pt>
                <c:pt idx="63">
                  <c:v>3.7051129291858942E-2</c:v>
                </c:pt>
                <c:pt idx="64">
                  <c:v>3.706431125325127E-2</c:v>
                </c:pt>
                <c:pt idx="65">
                  <c:v>3.707749303419372E-2</c:v>
                </c:pt>
                <c:pt idx="66">
                  <c:v>3.7090674634688625E-2</c:v>
                </c:pt>
                <c:pt idx="67">
                  <c:v>3.7103856054738427E-2</c:v>
                </c:pt>
                <c:pt idx="68">
                  <c:v>3.7117037294345678E-2</c:v>
                </c:pt>
                <c:pt idx="69">
                  <c:v>3.7130218353512823E-2</c:v>
                </c:pt>
                <c:pt idx="70">
                  <c:v>3.7143399232242302E-2</c:v>
                </c:pt>
                <c:pt idx="71">
                  <c:v>3.7156579930536671E-2</c:v>
                </c:pt>
                <c:pt idx="72">
                  <c:v>3.716976044839837E-2</c:v>
                </c:pt>
                <c:pt idx="73">
                  <c:v>3.7182940785829843E-2</c:v>
                </c:pt>
                <c:pt idx="74">
                  <c:v>3.7196120942833533E-2</c:v>
                </c:pt>
                <c:pt idx="75">
                  <c:v>3.7209300919411992E-2</c:v>
                </c:pt>
                <c:pt idx="76">
                  <c:v>3.7222480715567552E-2</c:v>
                </c:pt>
                <c:pt idx="77">
                  <c:v>3.7235660331302878E-2</c:v>
                </c:pt>
                <c:pt idx="78">
                  <c:v>3.7248839766620301E-2</c:v>
                </c:pt>
                <c:pt idx="79">
                  <c:v>3.7262019021522264E-2</c:v>
                </c:pt>
                <c:pt idx="80">
                  <c:v>3.7275198096011319E-2</c:v>
                </c:pt>
                <c:pt idx="81">
                  <c:v>3.7288376990089911E-2</c:v>
                </c:pt>
                <c:pt idx="82">
                  <c:v>3.7301555703760592E-2</c:v>
                </c:pt>
                <c:pt idx="83">
                  <c:v>3.7314734237025582E-2</c:v>
                </c:pt>
                <c:pt idx="84">
                  <c:v>3.7327912589887657E-2</c:v>
                </c:pt>
                <c:pt idx="85">
                  <c:v>3.7341090762349149E-2</c:v>
                </c:pt>
                <c:pt idx="86">
                  <c:v>3.735426875441239E-2</c:v>
                </c:pt>
                <c:pt idx="87">
                  <c:v>3.7367446566080154E-2</c:v>
                </c:pt>
                <c:pt idx="88">
                  <c:v>3.7380624197354662E-2</c:v>
                </c:pt>
                <c:pt idx="89">
                  <c:v>3.7393801648238467E-2</c:v>
                </c:pt>
                <c:pt idx="90">
                  <c:v>3.7406978918734013E-2</c:v>
                </c:pt>
                <c:pt idx="91">
                  <c:v>3.7420156008843852E-2</c:v>
                </c:pt>
                <c:pt idx="92">
                  <c:v>3.7433332918570317E-2</c:v>
                </c:pt>
                <c:pt idx="93">
                  <c:v>3.744650964791596E-2</c:v>
                </c:pt>
                <c:pt idx="94">
                  <c:v>3.7459686196883335E-2</c:v>
                </c:pt>
                <c:pt idx="95">
                  <c:v>3.7472862565474774E-2</c:v>
                </c:pt>
                <c:pt idx="96">
                  <c:v>3.7486038753692719E-2</c:v>
                </c:pt>
                <c:pt idx="97">
                  <c:v>3.7499214761539834E-2</c:v>
                </c:pt>
                <c:pt idx="98">
                  <c:v>3.7512390589018341E-2</c:v>
                </c:pt>
                <c:pt idx="99">
                  <c:v>3.7525566236130903E-2</c:v>
                </c:pt>
                <c:pt idx="100">
                  <c:v>3.7538741702879963E-2</c:v>
                </c:pt>
                <c:pt idx="101">
                  <c:v>3.7551916989267853E-2</c:v>
                </c:pt>
                <c:pt idx="102">
                  <c:v>3.7565092095297237E-2</c:v>
                </c:pt>
                <c:pt idx="103">
                  <c:v>3.7578267020970446E-2</c:v>
                </c:pt>
                <c:pt idx="104">
                  <c:v>3.7591441766289924E-2</c:v>
                </c:pt>
                <c:pt idx="105">
                  <c:v>3.7604616331258223E-2</c:v>
                </c:pt>
                <c:pt idx="106">
                  <c:v>3.7617790715877897E-2</c:v>
                </c:pt>
                <c:pt idx="107">
                  <c:v>3.7630964920151166E-2</c:v>
                </c:pt>
                <c:pt idx="108">
                  <c:v>3.7644138944080696E-2</c:v>
                </c:pt>
                <c:pt idx="109">
                  <c:v>3.7657312787668928E-2</c:v>
                </c:pt>
                <c:pt idx="110">
                  <c:v>3.7670486450918306E-2</c:v>
                </c:pt>
                <c:pt idx="111">
                  <c:v>3.7683659933831271E-2</c:v>
                </c:pt>
                <c:pt idx="112">
                  <c:v>3.7696833236410376E-2</c:v>
                </c:pt>
                <c:pt idx="113">
                  <c:v>3.7710006358657955E-2</c:v>
                </c:pt>
                <c:pt idx="114">
                  <c:v>3.7723179300576559E-2</c:v>
                </c:pt>
                <c:pt idx="115">
                  <c:v>3.7736352062168632E-2</c:v>
                </c:pt>
                <c:pt idx="116">
                  <c:v>3.7749524643436727E-2</c:v>
                </c:pt>
                <c:pt idx="117">
                  <c:v>3.7762697044383287E-2</c:v>
                </c:pt>
                <c:pt idx="118">
                  <c:v>3.7775869265010642E-2</c:v>
                </c:pt>
                <c:pt idx="119">
                  <c:v>3.7789041305321347E-2</c:v>
                </c:pt>
                <c:pt idx="120">
                  <c:v>3.7802213165317955E-2</c:v>
                </c:pt>
                <c:pt idx="121">
                  <c:v>3.7815384845002797E-2</c:v>
                </c:pt>
                <c:pt idx="122">
                  <c:v>3.7828556344378428E-2</c:v>
                </c:pt>
                <c:pt idx="123">
                  <c:v>3.7841727663447289E-2</c:v>
                </c:pt>
                <c:pt idx="124">
                  <c:v>3.7854898802211934E-2</c:v>
                </c:pt>
                <c:pt idx="125">
                  <c:v>3.7868069760674583E-2</c:v>
                </c:pt>
                <c:pt idx="126">
                  <c:v>3.7881240538838012E-2</c:v>
                </c:pt>
                <c:pt idx="127">
                  <c:v>3.7894411136704553E-2</c:v>
                </c:pt>
                <c:pt idx="128">
                  <c:v>3.7907581554276537E-2</c:v>
                </c:pt>
                <c:pt idx="129">
                  <c:v>3.7920751791556739E-2</c:v>
                </c:pt>
                <c:pt idx="130">
                  <c:v>3.793392184854727E-2</c:v>
                </c:pt>
                <c:pt idx="131">
                  <c:v>3.7947091725250903E-2</c:v>
                </c:pt>
                <c:pt idx="132">
                  <c:v>3.7960261421669972E-2</c:v>
                </c:pt>
                <c:pt idx="133">
                  <c:v>3.7973430937806918E-2</c:v>
                </c:pt>
                <c:pt idx="134">
                  <c:v>3.7986600273664295E-2</c:v>
                </c:pt>
                <c:pt idx="135">
                  <c:v>3.7999769429244434E-2</c:v>
                </c:pt>
                <c:pt idx="136">
                  <c:v>3.8012938404550001E-2</c:v>
                </c:pt>
                <c:pt idx="137">
                  <c:v>3.8026107199583326E-2</c:v>
                </c:pt>
                <c:pt idx="138">
                  <c:v>3.8039275814346851E-2</c:v>
                </c:pt>
                <c:pt idx="139">
                  <c:v>3.8052444248843131E-2</c:v>
                </c:pt>
                <c:pt idx="140">
                  <c:v>3.8065612503074608E-2</c:v>
                </c:pt>
                <c:pt idx="141">
                  <c:v>3.8078780577043725E-2</c:v>
                </c:pt>
                <c:pt idx="142">
                  <c:v>3.8091948470753034E-2</c:v>
                </c:pt>
                <c:pt idx="143">
                  <c:v>3.8105116184204868E-2</c:v>
                </c:pt>
                <c:pt idx="144">
                  <c:v>3.811828371740178E-2</c:v>
                </c:pt>
                <c:pt idx="145">
                  <c:v>3.8131451070346212E-2</c:v>
                </c:pt>
                <c:pt idx="146">
                  <c:v>3.8144618243040607E-2</c:v>
                </c:pt>
                <c:pt idx="147">
                  <c:v>3.8157785235487518E-2</c:v>
                </c:pt>
                <c:pt idx="148">
                  <c:v>3.8170952047689388E-2</c:v>
                </c:pt>
                <c:pt idx="149">
                  <c:v>3.8184118679648549E-2</c:v>
                </c:pt>
                <c:pt idx="150">
                  <c:v>3.8197285131367664E-2</c:v>
                </c:pt>
                <c:pt idx="151">
                  <c:v>3.8210451402849066E-2</c:v>
                </c:pt>
                <c:pt idx="152">
                  <c:v>3.8223617494095308E-2</c:v>
                </c:pt>
                <c:pt idx="153">
                  <c:v>3.8236783405108832E-2</c:v>
                </c:pt>
                <c:pt idx="154">
                  <c:v>3.824994913589197E-2</c:v>
                </c:pt>
                <c:pt idx="155">
                  <c:v>3.8263114686447386E-2</c:v>
                </c:pt>
                <c:pt idx="156">
                  <c:v>3.8276280056777523E-2</c:v>
                </c:pt>
                <c:pt idx="157">
                  <c:v>3.8289445246884712E-2</c:v>
                </c:pt>
                <c:pt idx="158">
                  <c:v>3.8302610256771619E-2</c:v>
                </c:pt>
                <c:pt idx="159">
                  <c:v>3.8315775086440462E-2</c:v>
                </c:pt>
                <c:pt idx="160">
                  <c:v>3.8328939735893908E-2</c:v>
                </c:pt>
                <c:pt idx="161">
                  <c:v>3.8342104205134397E-2</c:v>
                </c:pt>
                <c:pt idx="162">
                  <c:v>3.8355268494164263E-2</c:v>
                </c:pt>
                <c:pt idx="163">
                  <c:v>3.8368432602986169E-2</c:v>
                </c:pt>
                <c:pt idx="164">
                  <c:v>3.8381596531602447E-2</c:v>
                </c:pt>
                <c:pt idx="165">
                  <c:v>3.8394760280015539E-2</c:v>
                </c:pt>
                <c:pt idx="166">
                  <c:v>3.8407923848227998E-2</c:v>
                </c:pt>
                <c:pt idx="167">
                  <c:v>3.8421087236242268E-2</c:v>
                </c:pt>
                <c:pt idx="168">
                  <c:v>3.8434250444060791E-2</c:v>
                </c:pt>
                <c:pt idx="169">
                  <c:v>3.844741347168612E-2</c:v>
                </c:pt>
                <c:pt idx="170">
                  <c:v>3.8460576319120587E-2</c:v>
                </c:pt>
                <c:pt idx="171">
                  <c:v>3.8473738986366746E-2</c:v>
                </c:pt>
                <c:pt idx="172">
                  <c:v>3.8486901473427038E-2</c:v>
                </c:pt>
                <c:pt idx="173">
                  <c:v>3.8500063780304017E-2</c:v>
                </c:pt>
                <c:pt idx="174">
                  <c:v>3.8513225906999904E-2</c:v>
                </c:pt>
                <c:pt idx="175">
                  <c:v>3.8526387853517474E-2</c:v>
                </c:pt>
                <c:pt idx="176">
                  <c:v>3.8539549619858948E-2</c:v>
                </c:pt>
                <c:pt idx="177">
                  <c:v>3.8552711206026991E-2</c:v>
                </c:pt>
                <c:pt idx="178">
                  <c:v>3.8565872612023933E-2</c:v>
                </c:pt>
                <c:pt idx="179">
                  <c:v>3.8579033837852217E-2</c:v>
                </c:pt>
                <c:pt idx="180">
                  <c:v>3.8592194883514508E-2</c:v>
                </c:pt>
                <c:pt idx="181">
                  <c:v>3.8605355749013026E-2</c:v>
                </c:pt>
                <c:pt idx="182">
                  <c:v>3.8618516434350325E-2</c:v>
                </c:pt>
                <c:pt idx="183">
                  <c:v>3.8631676939528958E-2</c:v>
                </c:pt>
                <c:pt idx="184">
                  <c:v>3.8644837264551368E-2</c:v>
                </c:pt>
                <c:pt idx="185">
                  <c:v>3.8657997409419886E-2</c:v>
                </c:pt>
                <c:pt idx="186">
                  <c:v>3.8671157374137066E-2</c:v>
                </c:pt>
                <c:pt idx="187">
                  <c:v>3.8684317158705461E-2</c:v>
                </c:pt>
                <c:pt idx="188">
                  <c:v>3.8697476763127403E-2</c:v>
                </c:pt>
                <c:pt idx="189">
                  <c:v>3.8710636187405445E-2</c:v>
                </c:pt>
                <c:pt idx="190">
                  <c:v>3.872379543154203E-2</c:v>
                </c:pt>
                <c:pt idx="191">
                  <c:v>3.8736954495539599E-2</c:v>
                </c:pt>
                <c:pt idx="192">
                  <c:v>3.8750113379400597E-2</c:v>
                </c:pt>
                <c:pt idx="193">
                  <c:v>3.8763272083127576E-2</c:v>
                </c:pt>
                <c:pt idx="194">
                  <c:v>3.8776430606722867E-2</c:v>
                </c:pt>
                <c:pt idx="195">
                  <c:v>3.8789588950189136E-2</c:v>
                </c:pt>
                <c:pt idx="196">
                  <c:v>3.8802747113528602E-2</c:v>
                </c:pt>
                <c:pt idx="197">
                  <c:v>3.881590509674393E-2</c:v>
                </c:pt>
                <c:pt idx="198">
                  <c:v>3.8829062899837563E-2</c:v>
                </c:pt>
                <c:pt idx="199">
                  <c:v>3.8842220522811832E-2</c:v>
                </c:pt>
                <c:pt idx="200">
                  <c:v>3.8855377965669402E-2</c:v>
                </c:pt>
                <c:pt idx="201">
                  <c:v>3.8868535228412493E-2</c:v>
                </c:pt>
                <c:pt idx="202">
                  <c:v>3.888169231104377E-2</c:v>
                </c:pt>
                <c:pt idx="203">
                  <c:v>3.8894849213565674E-2</c:v>
                </c:pt>
                <c:pt idx="204">
                  <c:v>3.890800593598065E-2</c:v>
                </c:pt>
                <c:pt idx="205">
                  <c:v>3.8921162478291027E-2</c:v>
                </c:pt>
                <c:pt idx="206">
                  <c:v>3.8934318840499471E-2</c:v>
                </c:pt>
                <c:pt idx="207">
                  <c:v>3.8947475022608313E-2</c:v>
                </c:pt>
                <c:pt idx="208">
                  <c:v>3.8960631024620107E-2</c:v>
                </c:pt>
                <c:pt idx="209">
                  <c:v>3.8973786846537295E-2</c:v>
                </c:pt>
                <c:pt idx="210">
                  <c:v>3.8986942488362319E-2</c:v>
                </c:pt>
                <c:pt idx="211">
                  <c:v>3.9000097950097623E-2</c:v>
                </c:pt>
                <c:pt idx="212">
                  <c:v>3.9013253231745759E-2</c:v>
                </c:pt>
                <c:pt idx="213">
                  <c:v>3.902640833330917E-2</c:v>
                </c:pt>
                <c:pt idx="214">
                  <c:v>3.9039563254790188E-2</c:v>
                </c:pt>
                <c:pt idx="215">
                  <c:v>3.9052717996191366E-2</c:v>
                </c:pt>
                <c:pt idx="216">
                  <c:v>3.9065872557515258E-2</c:v>
                </c:pt>
                <c:pt idx="217">
                  <c:v>3.9079026938764194E-2</c:v>
                </c:pt>
                <c:pt idx="218">
                  <c:v>3.9092181139940729E-2</c:v>
                </c:pt>
                <c:pt idx="219">
                  <c:v>3.9105335161047305E-2</c:v>
                </c:pt>
                <c:pt idx="220">
                  <c:v>3.9118489002086365E-2</c:v>
                </c:pt>
                <c:pt idx="221">
                  <c:v>3.9131642663060351E-2</c:v>
                </c:pt>
                <c:pt idx="222">
                  <c:v>3.9144796143971816E-2</c:v>
                </c:pt>
                <c:pt idx="223">
                  <c:v>3.9157949444823203E-2</c:v>
                </c:pt>
                <c:pt idx="224">
                  <c:v>3.9171102565616844E-2</c:v>
                </c:pt>
                <c:pt idx="225">
                  <c:v>3.9184255506355403E-2</c:v>
                </c:pt>
                <c:pt idx="226">
                  <c:v>3.9197408267041212E-2</c:v>
                </c:pt>
                <c:pt idx="227">
                  <c:v>3.9210560847676823E-2</c:v>
                </c:pt>
                <c:pt idx="228">
                  <c:v>3.9223713248264569E-2</c:v>
                </c:pt>
                <c:pt idx="229">
                  <c:v>3.9236865468807003E-2</c:v>
                </c:pt>
                <c:pt idx="230">
                  <c:v>3.9250017509306567E-2</c:v>
                </c:pt>
                <c:pt idx="231">
                  <c:v>3.9263169369765816E-2</c:v>
                </c:pt>
                <c:pt idx="232">
                  <c:v>3.927632105018708E-2</c:v>
                </c:pt>
                <c:pt idx="233">
                  <c:v>3.9289472550572913E-2</c:v>
                </c:pt>
                <c:pt idx="234">
                  <c:v>3.9302623870925757E-2</c:v>
                </c:pt>
                <c:pt idx="235">
                  <c:v>3.9315775011248055E-2</c:v>
                </c:pt>
                <c:pt idx="236">
                  <c:v>3.9328925971542361E-2</c:v>
                </c:pt>
                <c:pt idx="237">
                  <c:v>3.9342076751810895E-2</c:v>
                </c:pt>
                <c:pt idx="238">
                  <c:v>3.9355227352056432E-2</c:v>
                </c:pt>
                <c:pt idx="239">
                  <c:v>3.9368377772281193E-2</c:v>
                </c:pt>
                <c:pt idx="240">
                  <c:v>3.9381528012487843E-2</c:v>
                </c:pt>
                <c:pt idx="241">
                  <c:v>3.9394678072678713E-2</c:v>
                </c:pt>
                <c:pt idx="242">
                  <c:v>3.9407827952856245E-2</c:v>
                </c:pt>
                <c:pt idx="243">
                  <c:v>3.9420977653023104E-2</c:v>
                </c:pt>
                <c:pt idx="244">
                  <c:v>3.943412717318151E-2</c:v>
                </c:pt>
                <c:pt idx="245">
                  <c:v>3.9447276513334018E-2</c:v>
                </c:pt>
                <c:pt idx="246">
                  <c:v>3.9460425673483068E-2</c:v>
                </c:pt>
                <c:pt idx="247">
                  <c:v>3.9473574653631216E-2</c:v>
                </c:pt>
                <c:pt idx="248">
                  <c:v>3.9486723453780903E-2</c:v>
                </c:pt>
                <c:pt idx="249">
                  <c:v>3.9499872073934461E-2</c:v>
                </c:pt>
                <c:pt idx="250">
                  <c:v>3.9513020514094555E-2</c:v>
                </c:pt>
                <c:pt idx="251">
                  <c:v>3.9526168774263404E-2</c:v>
                </c:pt>
                <c:pt idx="252">
                  <c:v>3.9539316854443785E-2</c:v>
                </c:pt>
                <c:pt idx="253">
                  <c:v>3.9552464754637917E-2</c:v>
                </c:pt>
                <c:pt idx="254">
                  <c:v>3.9565612474848244E-2</c:v>
                </c:pt>
                <c:pt idx="255">
                  <c:v>3.957876001507743E-2</c:v>
                </c:pt>
                <c:pt idx="256">
                  <c:v>3.9591907375327806E-2</c:v>
                </c:pt>
                <c:pt idx="257">
                  <c:v>3.9605054555601815E-2</c:v>
                </c:pt>
                <c:pt idx="258">
                  <c:v>3.9618201555902011E-2</c:v>
                </c:pt>
                <c:pt idx="259">
                  <c:v>3.9631348376230835E-2</c:v>
                </c:pt>
                <c:pt idx="260">
                  <c:v>3.9644495016590731E-2</c:v>
                </c:pt>
                <c:pt idx="261">
                  <c:v>3.965764147698414E-2</c:v>
                </c:pt>
                <c:pt idx="262">
                  <c:v>3.9670787757413506E-2</c:v>
                </c:pt>
                <c:pt idx="263">
                  <c:v>3.9683933857881382E-2</c:v>
                </c:pt>
                <c:pt idx="264">
                  <c:v>3.969707977839021E-2</c:v>
                </c:pt>
                <c:pt idx="265">
                  <c:v>3.9710225518942321E-2</c:v>
                </c:pt>
                <c:pt idx="266">
                  <c:v>3.9723371079540382E-2</c:v>
                </c:pt>
                <c:pt idx="267">
                  <c:v>3.9736516460186722E-2</c:v>
                </c:pt>
                <c:pt idx="268">
                  <c:v>3.9749661660883895E-2</c:v>
                </c:pt>
                <c:pt idx="269">
                  <c:v>3.9762806681634233E-2</c:v>
                </c:pt>
                <c:pt idx="270">
                  <c:v>3.9775951522440289E-2</c:v>
                </c:pt>
                <c:pt idx="271">
                  <c:v>3.9789096183304506E-2</c:v>
                </c:pt>
                <c:pt idx="272">
                  <c:v>3.9802240664229327E-2</c:v>
                </c:pt>
                <c:pt idx="273">
                  <c:v>3.9815384965217304E-2</c:v>
                </c:pt>
                <c:pt idx="274">
                  <c:v>3.9828529086270881E-2</c:v>
                </c:pt>
                <c:pt idx="275">
                  <c:v>3.9841673027392388E-2</c:v>
                </c:pt>
                <c:pt idx="276">
                  <c:v>3.985481678858438E-2</c:v>
                </c:pt>
                <c:pt idx="277">
                  <c:v>3.9867960369849409E-2</c:v>
                </c:pt>
                <c:pt idx="278">
                  <c:v>3.9881103771189697E-2</c:v>
                </c:pt>
                <c:pt idx="279">
                  <c:v>3.9894246992608018E-2</c:v>
                </c:pt>
                <c:pt idx="280">
                  <c:v>3.9907390034106593E-2</c:v>
                </c:pt>
                <c:pt idx="281">
                  <c:v>3.9920532895687977E-2</c:v>
                </c:pt>
                <c:pt idx="282">
                  <c:v>3.993367557735461E-2</c:v>
                </c:pt>
                <c:pt idx="283">
                  <c:v>3.9946818079108937E-2</c:v>
                </c:pt>
                <c:pt idx="284">
                  <c:v>3.9959960400953509E-2</c:v>
                </c:pt>
                <c:pt idx="285">
                  <c:v>3.997310254289077E-2</c:v>
                </c:pt>
                <c:pt idx="286">
                  <c:v>3.9986244504923052E-2</c:v>
                </c:pt>
                <c:pt idx="287">
                  <c:v>3.9999386287052907E-2</c:v>
                </c:pt>
                <c:pt idx="288">
                  <c:v>4.001252788928289E-2</c:v>
                </c:pt>
                <c:pt idx="289">
                  <c:v>4.0025669311615331E-2</c:v>
                </c:pt>
                <c:pt idx="290">
                  <c:v>4.0038810554052673E-2</c:v>
                </c:pt>
                <c:pt idx="291">
                  <c:v>4.0051951616597581E-2</c:v>
                </c:pt>
                <c:pt idx="292">
                  <c:v>4.0065092499252275E-2</c:v>
                </c:pt>
                <c:pt idx="293">
                  <c:v>4.0078233202019309E-2</c:v>
                </c:pt>
                <c:pt idx="294">
                  <c:v>4.0091373724901236E-2</c:v>
                </c:pt>
                <c:pt idx="295">
                  <c:v>4.0104514067900388E-2</c:v>
                </c:pt>
                <c:pt idx="296">
                  <c:v>4.0117654231019317E-2</c:v>
                </c:pt>
                <c:pt idx="297">
                  <c:v>4.0130794214260357E-2</c:v>
                </c:pt>
                <c:pt idx="298">
                  <c:v>4.0143934017626171E-2</c:v>
                </c:pt>
                <c:pt idx="299">
                  <c:v>4.015707364111909E-2</c:v>
                </c:pt>
                <c:pt idx="300">
                  <c:v>4.0170213084741557E-2</c:v>
                </c:pt>
                <c:pt idx="301">
                  <c:v>4.0183352348496015E-2</c:v>
                </c:pt>
                <c:pt idx="302">
                  <c:v>4.0196491432385129E-2</c:v>
                </c:pt>
                <c:pt idx="303">
                  <c:v>4.0209630336411117E-2</c:v>
                </c:pt>
                <c:pt idx="304">
                  <c:v>4.0222769060576535E-2</c:v>
                </c:pt>
                <c:pt idx="305">
                  <c:v>4.0235907604883936E-2</c:v>
                </c:pt>
                <c:pt idx="306">
                  <c:v>4.0249045969335651E-2</c:v>
                </c:pt>
                <c:pt idx="307">
                  <c:v>4.0262184153934122E-2</c:v>
                </c:pt>
                <c:pt idx="308">
                  <c:v>4.0275322158682014E-2</c:v>
                </c:pt>
                <c:pt idx="309">
                  <c:v>4.0288459983581548E-2</c:v>
                </c:pt>
                <c:pt idx="310">
                  <c:v>4.0301597628635388E-2</c:v>
                </c:pt>
                <c:pt idx="311">
                  <c:v>4.0314735093845755E-2</c:v>
                </c:pt>
                <c:pt idx="312">
                  <c:v>4.0327872379215424E-2</c:v>
                </c:pt>
                <c:pt idx="313">
                  <c:v>4.0341009484746615E-2</c:v>
                </c:pt>
                <c:pt idx="314">
                  <c:v>4.0354146410441882E-2</c:v>
                </c:pt>
                <c:pt idx="315">
                  <c:v>4.0367283156303557E-2</c:v>
                </c:pt>
                <c:pt idx="316">
                  <c:v>4.0380419722334304E-2</c:v>
                </c:pt>
                <c:pt idx="317">
                  <c:v>4.0393556108536566E-2</c:v>
                </c:pt>
                <c:pt idx="318">
                  <c:v>4.0406692314912562E-2</c:v>
                </c:pt>
                <c:pt idx="319">
                  <c:v>4.0419828341465069E-2</c:v>
                </c:pt>
                <c:pt idx="320">
                  <c:v>4.0432964188196308E-2</c:v>
                </c:pt>
                <c:pt idx="321">
                  <c:v>4.0446099855108941E-2</c:v>
                </c:pt>
                <c:pt idx="322">
                  <c:v>4.0459235342205191E-2</c:v>
                </c:pt>
                <c:pt idx="323">
                  <c:v>4.0472370649487721E-2</c:v>
                </c:pt>
                <c:pt idx="324">
                  <c:v>4.0485505776958974E-2</c:v>
                </c:pt>
                <c:pt idx="325">
                  <c:v>4.0498640724621282E-2</c:v>
                </c:pt>
                <c:pt idx="326">
                  <c:v>4.0511775492477309E-2</c:v>
                </c:pt>
                <c:pt idx="327">
                  <c:v>4.0524910080529275E-2</c:v>
                </c:pt>
                <c:pt idx="328">
                  <c:v>4.0538044488779734E-2</c:v>
                </c:pt>
                <c:pt idx="329">
                  <c:v>4.055117871723124E-2</c:v>
                </c:pt>
                <c:pt idx="330">
                  <c:v>4.0564312765886235E-2</c:v>
                </c:pt>
                <c:pt idx="331">
                  <c:v>4.057744663474705E-2</c:v>
                </c:pt>
                <c:pt idx="332">
                  <c:v>4.0590580323816239E-2</c:v>
                </c:pt>
                <c:pt idx="333">
                  <c:v>4.0603713833096355E-2</c:v>
                </c:pt>
                <c:pt idx="334">
                  <c:v>4.061684716258962E-2</c:v>
                </c:pt>
                <c:pt idx="335">
                  <c:v>4.0629980312298697E-2</c:v>
                </c:pt>
                <c:pt idx="336">
                  <c:v>4.0643113282226029E-2</c:v>
                </c:pt>
                <c:pt idx="337">
                  <c:v>4.0656246072373947E-2</c:v>
                </c:pt>
                <c:pt idx="338">
                  <c:v>4.0669378682745005E-2</c:v>
                </c:pt>
                <c:pt idx="339">
                  <c:v>4.0682511113341646E-2</c:v>
                </c:pt>
                <c:pt idx="340">
                  <c:v>4.0695643364166423E-2</c:v>
                </c:pt>
                <c:pt idx="341">
                  <c:v>4.0708775435221667E-2</c:v>
                </c:pt>
                <c:pt idx="342">
                  <c:v>4.0721907326509821E-2</c:v>
                </c:pt>
                <c:pt idx="343">
                  <c:v>4.0735039038033549E-2</c:v>
                </c:pt>
                <c:pt idx="344">
                  <c:v>4.0748170569795072E-2</c:v>
                </c:pt>
                <c:pt idx="345">
                  <c:v>4.0761301921796944E-2</c:v>
                </c:pt>
                <c:pt idx="346">
                  <c:v>4.0774433094041718E-2</c:v>
                </c:pt>
                <c:pt idx="347">
                  <c:v>4.0787564086531725E-2</c:v>
                </c:pt>
                <c:pt idx="348">
                  <c:v>4.0800694899269407E-2</c:v>
                </c:pt>
                <c:pt idx="349">
                  <c:v>4.0813825532257431E-2</c:v>
                </c:pt>
                <c:pt idx="350">
                  <c:v>4.0826955985498015E-2</c:v>
                </c:pt>
                <c:pt idx="351">
                  <c:v>4.0840086258993713E-2</c:v>
                </c:pt>
                <c:pt idx="352">
                  <c:v>4.0853216352747079E-2</c:v>
                </c:pt>
                <c:pt idx="353">
                  <c:v>4.0866346266760334E-2</c:v>
                </c:pt>
                <c:pt idx="354">
                  <c:v>4.0879476001036252E-2</c:v>
                </c:pt>
                <c:pt idx="355">
                  <c:v>4.0892605555577055E-2</c:v>
                </c:pt>
                <c:pt idx="356">
                  <c:v>4.0905734930385296E-2</c:v>
                </c:pt>
                <c:pt idx="357">
                  <c:v>4.0918864125463417E-2</c:v>
                </c:pt>
                <c:pt idx="358">
                  <c:v>4.093199314081386E-2</c:v>
                </c:pt>
                <c:pt idx="359">
                  <c:v>4.0945121976439181E-2</c:v>
                </c:pt>
                <c:pt idx="360">
                  <c:v>4.0958250632341708E-2</c:v>
                </c:pt>
                <c:pt idx="361">
                  <c:v>4.0971379108523998E-2</c:v>
                </c:pt>
                <c:pt idx="362">
                  <c:v>4.098450740498838E-2</c:v>
                </c:pt>
                <c:pt idx="363">
                  <c:v>4.0997635521737519E-2</c:v>
                </c:pt>
                <c:pt idx="364">
                  <c:v>4.1010763458773747E-2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'2029'!$O$15:$O$380</c:f>
              <c:numCache>
                <c:formatCode>0.00%</c:formatCode>
                <c:ptCount val="366"/>
                <c:pt idx="0">
                  <c:v>2.5028399344446509E-2</c:v>
                </c:pt>
                <c:pt idx="1">
                  <c:v>2.508765622341692E-2</c:v>
                </c:pt>
                <c:pt idx="2">
                  <c:v>2.5146898866660088E-2</c:v>
                </c:pt>
                <c:pt idx="3">
                  <c:v>2.5206121861443297E-2</c:v>
                </c:pt>
                <c:pt idx="4">
                  <c:v>2.5265320500563581E-2</c:v>
                </c:pt>
                <c:pt idx="5">
                  <c:v>2.532449076677978E-2</c:v>
                </c:pt>
                <c:pt idx="6">
                  <c:v>2.5383629311278653E-2</c:v>
                </c:pt>
                <c:pt idx="7">
                  <c:v>2.5442733426570618E-2</c:v>
                </c:pt>
                <c:pt idx="8">
                  <c:v>2.5501801014256177E-2</c:v>
                </c:pt>
                <c:pt idx="9">
                  <c:v>2.556083054814505E-2</c:v>
                </c:pt>
                <c:pt idx="10">
                  <c:v>2.5619821033245602E-2</c:v>
                </c:pt>
                <c:pt idx="11">
                  <c:v>2.567877196117168E-2</c:v>
                </c:pt>
                <c:pt idx="12">
                  <c:v>2.57376832625387E-2</c:v>
                </c:pt>
                <c:pt idx="13">
                  <c:v>2.5796555256938608E-2</c:v>
                </c:pt>
                <c:pt idx="14">
                  <c:v>2.5855388601095756E-2</c:v>
                </c:pt>
                <c:pt idx="15">
                  <c:v>2.5914184235811662E-2</c:v>
                </c:pt>
                <c:pt idx="16">
                  <c:v>2.5972943332306403E-2</c:v>
                </c:pt>
                <c:pt idx="17">
                  <c:v>2.6031667238558646E-2</c:v>
                </c:pt>
                <c:pt idx="18">
                  <c:v>2.609035742623407E-2</c:v>
                </c:pt>
                <c:pt idx="19">
                  <c:v>2.614901543877431E-2</c:v>
                </c:pt>
                <c:pt idx="20">
                  <c:v>2.6207642841195502E-2</c:v>
                </c:pt>
                <c:pt idx="21">
                  <c:v>2.626624117211725E-2</c:v>
                </c:pt>
                <c:pt idx="22">
                  <c:v>2.6324811898509683E-2</c:v>
                </c:pt>
                <c:pt idx="23">
                  <c:v>2.6383356373609095E-2</c:v>
                </c:pt>
                <c:pt idx="24">
                  <c:v>2.6441875798410997E-2</c:v>
                </c:pt>
                <c:pt idx="25">
                  <c:v>2.6500371187104767E-2</c:v>
                </c:pt>
                <c:pt idx="26">
                  <c:v>2.6558843336766263E-2</c:v>
                </c:pt>
                <c:pt idx="27">
                  <c:v>2.6617292801574481E-2</c:v>
                </c:pt>
                <c:pt idx="28">
                  <c:v>2.6675719871766163E-2</c:v>
                </c:pt>
                <c:pt idx="29">
                  <c:v>2.6734124557488928E-2</c:v>
                </c:pt>
                <c:pt idx="30">
                  <c:v>2.6792506577659397E-2</c:v>
                </c:pt>
                <c:pt idx="31">
                  <c:v>2.6850865353877953E-2</c:v>
                </c:pt>
                <c:pt idx="32">
                  <c:v>2.6909200009398494E-2</c:v>
                </c:pt>
                <c:pt idx="33">
                  <c:v>2.6967509373097855E-2</c:v>
                </c:pt>
                <c:pt idx="34">
                  <c:v>2.7025791988338314E-2</c:v>
                </c:pt>
                <c:pt idx="35">
                  <c:v>2.7084046126567164E-2</c:v>
                </c:pt>
                <c:pt idx="36">
                  <c:v>2.7142269805449794E-2</c:v>
                </c:pt>
                <c:pt idx="37">
                  <c:v>2.7200460811289136E-2</c:v>
                </c:pt>
                <c:pt idx="38">
                  <c:v>2.7258616725443115E-2</c:v>
                </c:pt>
                <c:pt idx="39">
                  <c:v>2.7316734954414851E-2</c:v>
                </c:pt>
                <c:pt idx="40">
                  <c:v>2.7374812763257542E-2</c:v>
                </c:pt>
                <c:pt idx="41">
                  <c:v>2.743284731190691E-2</c:v>
                </c:pt>
                <c:pt idx="42">
                  <c:v>2.7490835694030519E-2</c:v>
                </c:pt>
                <c:pt idx="43">
                  <c:v>2.7548774977963538E-2</c:v>
                </c:pt>
                <c:pt idx="44">
                  <c:v>2.7606662249286467E-2</c:v>
                </c:pt>
                <c:pt idx="45">
                  <c:v>2.7664494654590643E-2</c:v>
                </c:pt>
                <c:pt idx="46">
                  <c:v>2.7722269445972964E-2</c:v>
                </c:pt>
                <c:pt idx="47">
                  <c:v>2.7779984025801566E-2</c:v>
                </c:pt>
                <c:pt idx="48">
                  <c:v>2.7837635991299809E-2</c:v>
                </c:pt>
                <c:pt idx="49">
                  <c:v>2.7895223178505405E-2</c:v>
                </c:pt>
                <c:pt idx="50">
                  <c:v>2.7952743705176284E-2</c:v>
                </c:pt>
                <c:pt idx="51">
                  <c:v>2.8010196012233424E-2</c:v>
                </c:pt>
                <c:pt idx="52">
                  <c:v>2.8067578903353506E-2</c:v>
                </c:pt>
                <c:pt idx="53">
                  <c:v>2.8124891582350462E-2</c:v>
                </c:pt>
                <c:pt idx="54">
                  <c:v>2.8182133688014629E-2</c:v>
                </c:pt>
                <c:pt idx="55">
                  <c:v>2.8239305326110707E-2</c:v>
                </c:pt>
                <c:pt idx="56">
                  <c:v>2.8296407098270176E-2</c:v>
                </c:pt>
                <c:pt idx="57">
                  <c:v>2.8353440127551355E-2</c:v>
                </c:pt>
                <c:pt idx="58">
                  <c:v>2.8410406080478009E-2</c:v>
                </c:pt>
                <c:pt idx="59">
                  <c:v>2.8467307185407312E-2</c:v>
                </c:pt>
                <c:pt idx="60">
                  <c:v>2.852414624711792E-2</c:v>
                </c:pt>
                <c:pt idx="61">
                  <c:v>2.8580926657548973E-2</c:v>
                </c:pt>
                <c:pt idx="62">
                  <c:v>2.8637652402660817E-2</c:v>
                </c:pt>
                <c:pt idx="63">
                  <c:v>2.8694328065427075E-2</c:v>
                </c:pt>
                <c:pt idx="64">
                  <c:v>2.8750958825005734E-2</c:v>
                </c:pt>
                <c:pt idx="65">
                  <c:v>2.8807550452172453E-2</c:v>
                </c:pt>
                <c:pt idx="66">
                  <c:v>2.8864109301133842E-2</c:v>
                </c:pt>
                <c:pt idx="67">
                  <c:v>2.8920642297869684E-2</c:v>
                </c:pt>
                <c:pt idx="68">
                  <c:v>2.897715692518181E-2</c:v>
                </c:pt>
                <c:pt idx="69">
                  <c:v>2.9033661204653265E-2</c:v>
                </c:pt>
                <c:pt idx="70">
                  <c:v>2.9090163675743651E-2</c:v>
                </c:pt>
                <c:pt idx="71">
                  <c:v>2.9146673372265355E-2</c:v>
                </c:pt>
                <c:pt idx="72">
                  <c:v>2.9203199796500871E-2</c:v>
                </c:pt>
                <c:pt idx="73">
                  <c:v>2.9259752891232414E-2</c:v>
                </c:pt>
                <c:pt idx="74">
                  <c:v>2.9316343009963129E-2</c:v>
                </c:pt>
                <c:pt idx="75">
                  <c:v>2.937298088561233E-2</c:v>
                </c:pt>
                <c:pt idx="76">
                  <c:v>2.9429677597967833E-2</c:v>
                </c:pt>
                <c:pt idx="77">
                  <c:v>2.9486444540173819E-2</c:v>
                </c:pt>
                <c:pt idx="78">
                  <c:v>2.9543293384526045E-2</c:v>
                </c:pt>
                <c:pt idx="79">
                  <c:v>2.9600236047834624E-2</c:v>
                </c:pt>
                <c:pt idx="80">
                  <c:v>2.9657284656601245E-2</c:v>
                </c:pt>
                <c:pt idx="81">
                  <c:v>2.9714451512240062E-2</c:v>
                </c:pt>
                <c:pt idx="82">
                  <c:v>2.9771749056552405E-2</c:v>
                </c:pt>
                <c:pt idx="83">
                  <c:v>2.9829189837643211E-2</c:v>
                </c:pt>
                <c:pt idx="84">
                  <c:v>2.9886786476443029E-2</c:v>
                </c:pt>
                <c:pt idx="85">
                  <c:v>2.9944551633974477E-2</c:v>
                </c:pt>
                <c:pt idx="86">
                  <c:v>3.0002497979474733E-2</c:v>
                </c:pt>
                <c:pt idx="87">
                  <c:v>3.0060638159458621E-2</c:v>
                </c:pt>
                <c:pt idx="88">
                  <c:v>3.0118984767778929E-2</c:v>
                </c:pt>
                <c:pt idx="89">
                  <c:v>3.0177550316712834E-2</c:v>
                </c:pt>
                <c:pt idx="90">
                  <c:v>3.0236347209076191E-2</c:v>
                </c:pt>
                <c:pt idx="91">
                  <c:v>3.0295387711340958E-2</c:v>
                </c:pt>
                <c:pt idx="92">
                  <c:v>3.0354683927706384E-2</c:v>
                </c:pt>
                <c:pt idx="93">
                  <c:v>3.0414247775050772E-2</c:v>
                </c:pt>
                <c:pt idx="94">
                  <c:v>3.047409095866992E-2</c:v>
                </c:pt>
                <c:pt idx="95">
                  <c:v>3.0534224948689088E-2</c:v>
                </c:pt>
                <c:pt idx="96">
                  <c:v>3.0594660957019397E-2</c:v>
                </c:pt>
                <c:pt idx="97">
                  <c:v>3.0655409914716145E-2</c:v>
                </c:pt>
                <c:pt idx="98">
                  <c:v>3.0716482449586725E-2</c:v>
                </c:pt>
                <c:pt idx="99">
                  <c:v>3.0777888863888908E-2</c:v>
                </c:pt>
                <c:pt idx="100">
                  <c:v>3.0839639111957074E-2</c:v>
                </c:pt>
                <c:pt idx="101">
                  <c:v>3.0901742777594624E-2</c:v>
                </c:pt>
                <c:pt idx="102">
                  <c:v>3.0964209051074412E-2</c:v>
                </c:pt>
                <c:pt idx="103">
                  <c:v>3.1027046705596837E-2</c:v>
                </c:pt>
                <c:pt idx="104">
                  <c:v>3.1090264073066604E-2</c:v>
                </c:pt>
                <c:pt idx="105">
                  <c:v>3.1153869019063363E-2</c:v>
                </c:pt>
                <c:pt idx="106">
                  <c:v>3.1217868916899733E-2</c:v>
                </c:pt>
                <c:pt idx="107">
                  <c:v>3.1282270620681014E-2</c:v>
                </c:pt>
                <c:pt idx="108">
                  <c:v>3.1347080437304879E-2</c:v>
                </c:pt>
                <c:pt idx="109">
                  <c:v>3.1412304097365576E-2</c:v>
                </c:pt>
                <c:pt idx="110">
                  <c:v>3.1477946724955935E-2</c:v>
                </c:pt>
                <c:pt idx="111">
                  <c:v>3.1544012806391131E-2</c:v>
                </c:pt>
                <c:pt idx="112">
                  <c:v>3.1610506157909668E-2</c:v>
                </c:pt>
                <c:pt idx="113">
                  <c:v>3.1677429892440601E-2</c:v>
                </c:pt>
                <c:pt idx="114">
                  <c:v>3.1744786385559325E-2</c:v>
                </c:pt>
                <c:pt idx="115">
                  <c:v>3.1812577240788051E-2</c:v>
                </c:pt>
                <c:pt idx="116">
                  <c:v>3.1880803254430982E-2</c:v>
                </c:pt>
                <c:pt idx="117">
                  <c:v>3.1949464380166062E-2</c:v>
                </c:pt>
                <c:pt idx="118">
                  <c:v>3.2018559693647489E-2</c:v>
                </c:pt>
                <c:pt idx="119">
                  <c:v>3.2088087357402179E-2</c:v>
                </c:pt>
                <c:pt idx="120">
                  <c:v>3.2158044586331418E-2</c:v>
                </c:pt>
                <c:pt idx="121">
                  <c:v>3.22284276141531E-2</c:v>
                </c:pt>
                <c:pt idx="122">
                  <c:v>3.229923166114259E-2</c:v>
                </c:pt>
                <c:pt idx="123">
                  <c:v>3.2370450903547995E-2</c:v>
                </c:pt>
                <c:pt idx="124">
                  <c:v>3.2442078445070674E-2</c:v>
                </c:pt>
                <c:pt idx="125">
                  <c:v>3.2514106290811882E-2</c:v>
                </c:pt>
                <c:pt idx="126">
                  <c:v>3.2586525324093264E-2</c:v>
                </c:pt>
                <c:pt idx="127">
                  <c:v>3.2659325286559841E-2</c:v>
                </c:pt>
                <c:pt idx="128">
                  <c:v>3.2732494761971181E-2</c:v>
                </c:pt>
                <c:pt idx="129">
                  <c:v>3.280602116407863E-2</c:v>
                </c:pt>
                <c:pt idx="130">
                  <c:v>3.2879890728973009E-2</c:v>
                </c:pt>
                <c:pt idx="131">
                  <c:v>3.2954088512269504E-2</c:v>
                </c:pt>
                <c:pt idx="132">
                  <c:v>3.3028598391473339E-2</c:v>
                </c:pt>
                <c:pt idx="133">
                  <c:v>3.3103403073842456E-2</c:v>
                </c:pt>
                <c:pt idx="134">
                  <c:v>3.3178484110030569E-2</c:v>
                </c:pt>
                <c:pt idx="135">
                  <c:v>3.3253821913757642E-2</c:v>
                </c:pt>
                <c:pt idx="136">
                  <c:v>3.3329395787713559E-2</c:v>
                </c:pt>
                <c:pt idx="137">
                  <c:v>3.3405183955856135E-2</c:v>
                </c:pt>
                <c:pt idx="138">
                  <c:v>3.3481163602216493E-2</c:v>
                </c:pt>
                <c:pt idx="139">
                  <c:v>3.3557310916273203E-2</c:v>
                </c:pt>
                <c:pt idx="140">
                  <c:v>3.3633601144903338E-2</c:v>
                </c:pt>
                <c:pt idx="141">
                  <c:v>3.3710008650862176E-2</c:v>
                </c:pt>
                <c:pt idx="142">
                  <c:v>3.3786506977686433E-2</c:v>
                </c:pt>
                <c:pt idx="143">
                  <c:v>3.3863068920857019E-2</c:v>
                </c:pt>
                <c:pt idx="144">
                  <c:v>3.3939666604999204E-2</c:v>
                </c:pt>
                <c:pt idx="145">
                  <c:v>3.4016271566839132E-2</c:v>
                </c:pt>
                <c:pt idx="146">
                  <c:v>3.4092854843578185E-2</c:v>
                </c:pt>
                <c:pt idx="147">
                  <c:v>3.4169387066290767E-2</c:v>
                </c:pt>
                <c:pt idx="148">
                  <c:v>3.4245838557896306E-2</c:v>
                </c:pt>
                <c:pt idx="149">
                  <c:v>3.4322179435205713E-2</c:v>
                </c:pt>
                <c:pt idx="150">
                  <c:v>3.4398379714493554E-2</c:v>
                </c:pt>
                <c:pt idx="151">
                  <c:v>3.4474409420003162E-2</c:v>
                </c:pt>
                <c:pt idx="152">
                  <c:v>3.4550238694751711E-2</c:v>
                </c:pt>
                <c:pt idx="153">
                  <c:v>3.4625837912967056E-2</c:v>
                </c:pt>
                <c:pt idx="154">
                  <c:v>3.4701177793457924E-2</c:v>
                </c:pt>
                <c:pt idx="155">
                  <c:v>3.4776229513194715E-2</c:v>
                </c:pt>
                <c:pt idx="156">
                  <c:v>3.4850964820359868E-2</c:v>
                </c:pt>
                <c:pt idx="157">
                  <c:v>3.492535614611441E-2</c:v>
                </c:pt>
                <c:pt idx="158">
                  <c:v>3.4999376714321857E-2</c:v>
                </c:pt>
                <c:pt idx="159">
                  <c:v>3.5073000648471547E-2</c:v>
                </c:pt>
                <c:pt idx="160">
                  <c:v>3.5146203075051327E-2</c:v>
                </c:pt>
                <c:pt idx="161">
                  <c:v>3.5218960222634363E-2</c:v>
                </c:pt>
                <c:pt idx="162">
                  <c:v>3.5291249515965656E-2</c:v>
                </c:pt>
                <c:pt idx="163">
                  <c:v>3.5363049664362683E-2</c:v>
                </c:pt>
                <c:pt idx="164">
                  <c:v>3.5434340743778242E-2</c:v>
                </c:pt>
                <c:pt idx="165">
                  <c:v>3.5505104271914965E-2</c:v>
                </c:pt>
                <c:pt idx="166">
                  <c:v>3.557532327582727E-2</c:v>
                </c:pt>
                <c:pt idx="167">
                  <c:v>3.5644982351498683E-2</c:v>
                </c:pt>
                <c:pt idx="168">
                  <c:v>3.5714067714940151E-2</c:v>
                </c:pt>
                <c:pt idx="169">
                  <c:v>3.5782567244416322E-2</c:v>
                </c:pt>
                <c:pt idx="170">
                  <c:v>3.5850470513472975E-2</c:v>
                </c:pt>
                <c:pt idx="171">
                  <c:v>3.5917768814508665E-2</c:v>
                </c:pt>
                <c:pt idx="172">
                  <c:v>3.5984455172705015E-2</c:v>
                </c:pt>
                <c:pt idx="173">
                  <c:v>3.6050524350205497E-2</c:v>
                </c:pt>
                <c:pt idx="174">
                  <c:v>3.6115972840508069E-2</c:v>
                </c:pt>
                <c:pt idx="175">
                  <c:v>3.618079885311367E-2</c:v>
                </c:pt>
                <c:pt idx="176">
                  <c:v>3.6245002288549794E-2</c:v>
                </c:pt>
                <c:pt idx="177">
                  <c:v>3.630858470396426E-2</c:v>
                </c:pt>
                <c:pt idx="178">
                  <c:v>3.6371549269558649E-2</c:v>
                </c:pt>
                <c:pt idx="179">
                  <c:v>3.6433900716204379E-2</c:v>
                </c:pt>
                <c:pt idx="180">
                  <c:v>3.6495645274652946E-2</c:v>
                </c:pt>
                <c:pt idx="181">
                  <c:v>3.6556790606818976E-2</c:v>
                </c:pt>
                <c:pt idx="182">
                  <c:v>3.6617345729676405E-2</c:v>
                </c:pt>
                <c:pt idx="183">
                  <c:v>3.6677320932365025E-2</c:v>
                </c:pt>
                <c:pt idx="184">
                  <c:v>3.6736727687157272E-2</c:v>
                </c:pt>
                <c:pt idx="185">
                  <c:v>3.6795578554980196E-2</c:v>
                </c:pt>
                <c:pt idx="186">
                  <c:v>3.6853887086228027E-2</c:v>
                </c:pt>
                <c:pt idx="187">
                  <c:v>3.6911667717633163E-2</c:v>
                </c:pt>
                <c:pt idx="188">
                  <c:v>3.6968935665989515E-2</c:v>
                </c:pt>
                <c:pt idx="189">
                  <c:v>3.702570681954058E-2</c:v>
                </c:pt>
                <c:pt idx="190">
                  <c:v>3.7081997627855849E-2</c:v>
                </c:pt>
                <c:pt idx="191">
                  <c:v>3.713782499102225E-2</c:v>
                </c:pt>
                <c:pt idx="192">
                  <c:v>3.719320614897343E-2</c:v>
                </c:pt>
                <c:pt idx="193">
                  <c:v>3.7248158571767699E-2</c:v>
                </c:pt>
                <c:pt idx="194">
                  <c:v>3.7302699851606093E-2</c:v>
                </c:pt>
                <c:pt idx="195">
                  <c:v>3.7356847597355428E-2</c:v>
                </c:pt>
                <c:pt idx="196">
                  <c:v>3.7410619332307694E-2</c:v>
                </c:pt>
                <c:pt idx="197">
                  <c:v>3.7464032395866806E-2</c:v>
                </c:pt>
                <c:pt idx="198">
                  <c:v>3.7517103849806922E-2</c:v>
                </c:pt>
                <c:pt idx="199">
                  <c:v>3.7569850389694806E-2</c:v>
                </c:pt>
                <c:pt idx="200">
                  <c:v>3.76222882620105E-2</c:v>
                </c:pt>
                <c:pt idx="201">
                  <c:v>3.7674433187439113E-2</c:v>
                </c:pt>
                <c:pt idx="202">
                  <c:v>3.7726300290739721E-2</c:v>
                </c:pt>
                <c:pt idx="203">
                  <c:v>3.7777904037528516E-2</c:v>
                </c:pt>
                <c:pt idx="204">
                  <c:v>3.7829258178241003E-2</c:v>
                </c:pt>
                <c:pt idx="205">
                  <c:v>3.7880375699464452E-2</c:v>
                </c:pt>
                <c:pt idx="206">
                  <c:v>3.793126878275678E-2</c:v>
                </c:pt>
                <c:pt idx="207">
                  <c:v>3.7981948770993187E-2</c:v>
                </c:pt>
                <c:pt idx="208">
                  <c:v>3.8032426142207025E-2</c:v>
                </c:pt>
                <c:pt idx="209">
                  <c:v>3.8082710490818523E-2</c:v>
                </c:pt>
                <c:pt idx="210">
                  <c:v>3.8132810516073305E-2</c:v>
                </c:pt>
                <c:pt idx="211">
                  <c:v>3.8182734017444896E-2</c:v>
                </c:pt>
                <c:pt idx="212">
                  <c:v>3.8232487896690232E-2</c:v>
                </c:pt>
                <c:pt idx="213">
                  <c:v>3.828207816618668E-2</c:v>
                </c:pt>
                <c:pt idx="214">
                  <c:v>3.833150996312383E-2</c:v>
                </c:pt>
                <c:pt idx="215">
                  <c:v>3.8380787569072379E-2</c:v>
                </c:pt>
                <c:pt idx="216">
                  <c:v>3.842991443440897E-2</c:v>
                </c:pt>
                <c:pt idx="217">
                  <c:v>3.8478893207037554E-2</c:v>
                </c:pt>
                <c:pt idx="218">
                  <c:v>3.8527725764817042E-2</c:v>
                </c:pt>
                <c:pt idx="219">
                  <c:v>3.8576413251081458E-2</c:v>
                </c:pt>
                <c:pt idx="220">
                  <c:v>3.8624956112621928E-2</c:v>
                </c:pt>
                <c:pt idx="221">
                  <c:v>3.8673354139491647E-2</c:v>
                </c:pt>
                <c:pt idx="222">
                  <c:v>3.8721606505993218E-2</c:v>
                </c:pt>
                <c:pt idx="223">
                  <c:v>3.8769711812214759E-2</c:v>
                </c:pt>
                <c:pt idx="224">
                  <c:v>3.8817668125494594E-2</c:v>
                </c:pt>
                <c:pt idx="225">
                  <c:v>3.8865473021216394E-2</c:v>
                </c:pt>
                <c:pt idx="226">
                  <c:v>3.8913123622364681E-2</c:v>
                </c:pt>
                <c:pt idx="227">
                  <c:v>3.8960616637306114E-2</c:v>
                </c:pt>
                <c:pt idx="228">
                  <c:v>3.9007948395303561E-2</c:v>
                </c:pt>
                <c:pt idx="229">
                  <c:v>3.9055114879317968E-2</c:v>
                </c:pt>
                <c:pt idx="230">
                  <c:v>3.910211175570516E-2</c:v>
                </c:pt>
                <c:pt idx="231">
                  <c:v>3.9148934400473401E-2</c:v>
                </c:pt>
                <c:pt idx="232">
                  <c:v>3.9195577921828623E-2</c:v>
                </c:pt>
                <c:pt idx="233">
                  <c:v>3.9242037178799434E-2</c:v>
                </c:pt>
                <c:pt idx="234">
                  <c:v>3.9288306795802176E-2</c:v>
                </c:pt>
                <c:pt idx="235">
                  <c:v>3.9334381173075278E-2</c:v>
                </c:pt>
                <c:pt idx="236">
                  <c:v>3.9380254492983241E-2</c:v>
                </c:pt>
                <c:pt idx="237">
                  <c:v>3.9425920722260775E-2</c:v>
                </c:pt>
                <c:pt idx="238">
                  <c:v>3.9471373610338277E-2</c:v>
                </c:pt>
                <c:pt idx="239">
                  <c:v>3.9516606683957782E-2</c:v>
                </c:pt>
                <c:pt idx="240">
                  <c:v>3.956161323835538E-2</c:v>
                </c:pt>
                <c:pt idx="241">
                  <c:v>3.9606386325348672E-2</c:v>
                </c:pt>
                <c:pt idx="242">
                  <c:v>3.9650918738727461E-2</c:v>
                </c:pt>
                <c:pt idx="243">
                  <c:v>3.9695202997400411E-2</c:v>
                </c:pt>
                <c:pt idx="244">
                  <c:v>3.9739231326799504E-2</c:v>
                </c:pt>
                <c:pt idx="245">
                  <c:v>3.9782995639087708E-2</c:v>
                </c:pt>
                <c:pt idx="246">
                  <c:v>3.982648751275196E-2</c:v>
                </c:pt>
                <c:pt idx="247">
                  <c:v>3.9869698172193498E-2</c:v>
                </c:pt>
                <c:pt idx="248">
                  <c:v>3.991261846794953E-2</c:v>
                </c:pt>
                <c:pt idx="249">
                  <c:v>3.9955238858195269E-2</c:v>
                </c:pt>
                <c:pt idx="250">
                  <c:v>3.9997549392181246E-2</c:v>
                </c:pt>
                <c:pt idx="251">
                  <c:v>4.003953969625941E-2</c:v>
                </c:pt>
                <c:pt idx="252">
                  <c:v>4.008119896314092E-2</c:v>
                </c:pt>
                <c:pt idx="253">
                  <c:v>4.0122515945010186E-2</c:v>
                </c:pt>
                <c:pt idx="254">
                  <c:v>4.0163478951092874E-2</c:v>
                </c:pt>
                <c:pt idx="255">
                  <c:v>4.0204075850240266E-2</c:v>
                </c:pt>
                <c:pt idx="256">
                  <c:v>4.0244294079050336E-2</c:v>
                </c:pt>
                <c:pt idx="257">
                  <c:v>4.0284120655994682E-2</c:v>
                </c:pt>
                <c:pt idx="258">
                  <c:v>4.0323542201964248E-2</c:v>
                </c:pt>
                <c:pt idx="259">
                  <c:v>4.0362544967582209E-2</c:v>
                </c:pt>
                <c:pt idx="260">
                  <c:v>4.0401114867563433E-2</c:v>
                </c:pt>
                <c:pt idx="261">
                  <c:v>4.0439237522324728E-2</c:v>
                </c:pt>
                <c:pt idx="262">
                  <c:v>4.0476898306971237E-2</c:v>
                </c:pt>
                <c:pt idx="263">
                  <c:v>4.0514082407700977E-2</c:v>
                </c:pt>
                <c:pt idx="264">
                  <c:v>4.0550774885584576E-2</c:v>
                </c:pt>
                <c:pt idx="265">
                  <c:v>4.0586960747588822E-2</c:v>
                </c:pt>
                <c:pt idx="266">
                  <c:v>4.0622625024624825E-2</c:v>
                </c:pt>
                <c:pt idx="267">
                  <c:v>4.0657752856312346E-2</c:v>
                </c:pt>
                <c:pt idx="268">
                  <c:v>4.0692329582064514E-2</c:v>
                </c:pt>
                <c:pt idx="269">
                  <c:v>4.0726340838011271E-2</c:v>
                </c:pt>
                <c:pt idx="270">
                  <c:v>4.0759772659196399E-2</c:v>
                </c:pt>
                <c:pt idx="271">
                  <c:v>4.0792611586404195E-2</c:v>
                </c:pt>
                <c:pt idx="272">
                  <c:v>4.082484477689699E-2</c:v>
                </c:pt>
                <c:pt idx="273">
                  <c:v>4.0856460118275262E-2</c:v>
                </c:pt>
                <c:pt idx="274">
                  <c:v>4.0887446344609779E-2</c:v>
                </c:pt>
                <c:pt idx="275">
                  <c:v>4.0917793153939112E-2</c:v>
                </c:pt>
                <c:pt idx="276">
                  <c:v>4.0947491326177948E-2</c:v>
                </c:pt>
                <c:pt idx="277">
                  <c:v>4.0976532840442489E-2</c:v>
                </c:pt>
                <c:pt idx="278">
                  <c:v>4.1004910990768119E-2</c:v>
                </c:pt>
                <c:pt idx="279">
                  <c:v>4.1032620499174076E-2</c:v>
                </c:pt>
                <c:pt idx="280">
                  <c:v>4.1059657625018127E-2</c:v>
                </c:pt>
                <c:pt idx="281">
                  <c:v>4.1086020269583537E-2</c:v>
                </c:pt>
                <c:pt idx="282">
                  <c:v>4.1111708074849297E-2</c:v>
                </c:pt>
                <c:pt idx="283">
                  <c:v>4.1136722515414503E-2</c:v>
                </c:pt>
                <c:pt idx="284">
                  <c:v>4.1161066982577321E-2</c:v>
                </c:pt>
                <c:pt idx="285">
                  <c:v>4.1184746859609225E-2</c:v>
                </c:pt>
                <c:pt idx="286">
                  <c:v>4.1207769587314931E-2</c:v>
                </c:pt>
                <c:pt idx="287">
                  <c:v>4.1230144719028451E-2</c:v>
                </c:pt>
                <c:pt idx="288">
                  <c:v>4.1251883964264137E-2</c:v>
                </c:pt>
                <c:pt idx="289">
                  <c:v>4.1273001220319357E-2</c:v>
                </c:pt>
                <c:pt idx="290">
                  <c:v>4.1293512591210987E-2</c:v>
                </c:pt>
                <c:pt idx="291">
                  <c:v>4.131343639342052E-2</c:v>
                </c:pt>
                <c:pt idx="292">
                  <c:v>4.1332793148022212E-2</c:v>
                </c:pt>
                <c:pt idx="293">
                  <c:v>4.1351605558873954E-2</c:v>
                </c:pt>
                <c:pt idx="294">
                  <c:v>4.1369898476659762E-2</c:v>
                </c:pt>
                <c:pt idx="295">
                  <c:v>4.1387698848687253E-2</c:v>
                </c:pt>
                <c:pt idx="296">
                  <c:v>4.1405035654459077E-2</c:v>
                </c:pt>
                <c:pt idx="297">
                  <c:v>4.1421939827155703E-2</c:v>
                </c:pt>
                <c:pt idx="298">
                  <c:v>4.143844416128549E-2</c:v>
                </c:pt>
                <c:pt idx="299">
                  <c:v>4.1454583206876026E-2</c:v>
                </c:pt>
                <c:pt idx="300">
                  <c:v>4.1470393150697275E-2</c:v>
                </c:pt>
                <c:pt idx="301">
                  <c:v>4.1485911685120586E-2</c:v>
                </c:pt>
                <c:pt idx="302">
                  <c:v>4.1501177865327921E-2</c:v>
                </c:pt>
                <c:pt idx="303">
                  <c:v>4.1516231955690173E-2</c:v>
                </c:pt>
                <c:pt idx="304">
                  <c:v>4.1531115266233237E-2</c:v>
                </c:pt>
                <c:pt idx="305">
                  <c:v>4.154586998020194E-2</c:v>
                </c:pt>
                <c:pt idx="306">
                  <c:v>4.1560538973817333E-2</c:v>
                </c:pt>
                <c:pt idx="307">
                  <c:v>4.1575165629398017E-2</c:v>
                </c:pt>
                <c:pt idx="308">
                  <c:v>4.1589793643083024E-2</c:v>
                </c:pt>
                <c:pt idx="309">
                  <c:v>4.1604466828449954E-2</c:v>
                </c:pt>
                <c:pt idx="310">
                  <c:v>4.1619228917368203E-2</c:v>
                </c:pt>
                <c:pt idx="311">
                  <c:v>4.1634123359461213E-2</c:v>
                </c:pt>
                <c:pt idx="312">
                  <c:v>4.164919312157514E-2</c:v>
                </c:pt>
                <c:pt idx="313">
                  <c:v>4.1664480488662323E-2</c:v>
                </c:pt>
                <c:pt idx="314">
                  <c:v>4.16800268674875E-2</c:v>
                </c:pt>
                <c:pt idx="315">
                  <c:v>4.1695872594551327E-2</c:v>
                </c:pt>
                <c:pt idx="316">
                  <c:v>4.1712056749601614E-2</c:v>
                </c:pt>
                <c:pt idx="317">
                  <c:v>4.172861697606562E-2</c:v>
                </c:pt>
                <c:pt idx="318">
                  <c:v>4.1745589309688511E-2</c:v>
                </c:pt>
                <c:pt idx="319">
                  <c:v>4.1763008016604222E-2</c:v>
                </c:pt>
                <c:pt idx="320">
                  <c:v>4.1780905441994108E-2</c:v>
                </c:pt>
                <c:pt idx="321">
                  <c:v>4.1799311870409632E-2</c:v>
                </c:pt>
                <c:pt idx="322">
                  <c:v>4.1818255398744938E-2</c:v>
                </c:pt>
                <c:pt idx="323">
                  <c:v>4.183776182274785E-2</c:v>
                </c:pt>
                <c:pt idx="324">
                  <c:v>4.1857854537851472E-2</c:v>
                </c:pt>
                <c:pt idx="325">
                  <c:v>4.1878554454996338E-2</c:v>
                </c:pt>
                <c:pt idx="326">
                  <c:v>4.1899879931994524E-2</c:v>
                </c:pt>
                <c:pt idx="327">
                  <c:v>4.1921846720864034E-2</c:v>
                </c:pt>
                <c:pt idx="328">
                  <c:v>4.1944467931435164E-2</c:v>
                </c:pt>
                <c:pt idx="329">
                  <c:v>4.1967754011401182E-2</c:v>
                </c:pt>
                <c:pt idx="330">
                  <c:v>4.199171274285534E-2</c:v>
                </c:pt>
                <c:pt idx="331">
                  <c:v>4.2016349255225315E-2</c:v>
                </c:pt>
                <c:pt idx="332">
                  <c:v>4.2041666054386868E-2</c:v>
                </c:pt>
                <c:pt idx="333">
                  <c:v>4.2067663067610915E-2</c:v>
                </c:pt>
                <c:pt idx="334">
                  <c:v>4.2094337703873899E-2</c:v>
                </c:pt>
                <c:pt idx="335">
                  <c:v>4.2121684928942256E-2</c:v>
                </c:pt>
                <c:pt idx="336">
                  <c:v>4.2149697354527248E-2</c:v>
                </c:pt>
                <c:pt idx="337">
                  <c:v>4.217836534069893E-2</c:v>
                </c:pt>
                <c:pt idx="338">
                  <c:v>4.2207677110648205E-2</c:v>
                </c:pt>
                <c:pt idx="339">
                  <c:v>4.2237618876793906E-2</c:v>
                </c:pt>
                <c:pt idx="340">
                  <c:v>4.2268174977149478E-2</c:v>
                </c:pt>
                <c:pt idx="341">
                  <c:v>4.2299328020791407E-2</c:v>
                </c:pt>
                <c:pt idx="342">
                  <c:v>4.233105904120886E-2</c:v>
                </c:pt>
                <c:pt idx="343">
                  <c:v>4.2363347656263498E-2</c:v>
                </c:pt>
                <c:pt idx="344">
                  <c:v>4.2396172233448229E-2</c:v>
                </c:pt>
                <c:pt idx="345">
                  <c:v>4.2429510059105988E-2</c:v>
                </c:pt>
                <c:pt idx="346">
                  <c:v>4.2463337510253288E-2</c:v>
                </c:pt>
                <c:pt idx="347">
                  <c:v>4.2497630227649644E-2</c:v>
                </c:pt>
                <c:pt idx="348">
                  <c:v>4.2532363288761178E-2</c:v>
                </c:pt>
                <c:pt idx="349">
                  <c:v>4.2567511379286965E-2</c:v>
                </c:pt>
                <c:pt idx="350">
                  <c:v>4.2603048961947519E-2</c:v>
                </c:pt>
                <c:pt idx="351">
                  <c:v>4.2638950441277267E-2</c:v>
                </c:pt>
                <c:pt idx="352">
                  <c:v>4.2675190323215997E-2</c:v>
                </c:pt>
                <c:pt idx="353">
                  <c:v>4.2711743368357057E-2</c:v>
                </c:pt>
                <c:pt idx="354">
                  <c:v>4.2748584737783368E-2</c:v>
                </c:pt>
                <c:pt idx="355">
                  <c:v>4.2785690130502763E-2</c:v>
                </c:pt>
                <c:pt idx="356">
                  <c:v>4.2823035911584116E-2</c:v>
                </c:pt>
                <c:pt idx="357">
                  <c:v>4.2860599230191393E-2</c:v>
                </c:pt>
                <c:pt idx="358">
                  <c:v>4.289835812681516E-2</c:v>
                </c:pt>
                <c:pt idx="359">
                  <c:v>4.293629162910808E-2</c:v>
                </c:pt>
                <c:pt idx="360">
                  <c:v>4.2974379835842375E-2</c:v>
                </c:pt>
                <c:pt idx="361">
                  <c:v>4.3012603988620834E-2</c:v>
                </c:pt>
                <c:pt idx="362">
                  <c:v>4.3050946531088992E-2</c:v>
                </c:pt>
                <c:pt idx="363">
                  <c:v>4.3089391155512573E-2</c:v>
                </c:pt>
                <c:pt idx="364">
                  <c:v>4.3127922836700056E-2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'2029'!$P$15:$P$380</c:f>
              <c:numCache>
                <c:formatCode>0.00%</c:formatCode>
                <c:ptCount val="366"/>
                <c:pt idx="0">
                  <c:v>4.3316709173807739E-3</c:v>
                </c:pt>
                <c:pt idx="1">
                  <c:v>4.3523628896694417E-3</c:v>
                </c:pt>
                <c:pt idx="2">
                  <c:v>4.3785258531599579E-3</c:v>
                </c:pt>
                <c:pt idx="3">
                  <c:v>4.4100897784745781E-3</c:v>
                </c:pt>
                <c:pt idx="4">
                  <c:v>4.4469795659841382E-3</c:v>
                </c:pt>
                <c:pt idx="5">
                  <c:v>4.4891161745396454E-3</c:v>
                </c:pt>
                <c:pt idx="6">
                  <c:v>4.5364177155377402E-3</c:v>
                </c:pt>
                <c:pt idx="7">
                  <c:v>4.5888005055056838E-3</c:v>
                </c:pt>
                <c:pt idx="8">
                  <c:v>4.6457178991026402E-3</c:v>
                </c:pt>
                <c:pt idx="9">
                  <c:v>4.6997242913804568E-3</c:v>
                </c:pt>
                <c:pt idx="10">
                  <c:v>4.7470709975323769E-3</c:v>
                </c:pt>
                <c:pt idx="11">
                  <c:v>4.7879747590618303E-3</c:v>
                </c:pt>
                <c:pt idx="12">
                  <c:v>4.8226628300530542E-3</c:v>
                </c:pt>
                <c:pt idx="13">
                  <c:v>4.8513703613230876E-3</c:v>
                </c:pt>
                <c:pt idx="14">
                  <c:v>4.8743379557340217E-3</c:v>
                </c:pt>
                <c:pt idx="15">
                  <c:v>4.8857036956520142E-3</c:v>
                </c:pt>
                <c:pt idx="16">
                  <c:v>4.8831753840452054E-3</c:v>
                </c:pt>
                <c:pt idx="17">
                  <c:v>4.8672586869811874E-3</c:v>
                </c:pt>
                <c:pt idx="18">
                  <c:v>4.8384558702889748E-3</c:v>
                </c:pt>
                <c:pt idx="19">
                  <c:v>4.7972847443574348E-3</c:v>
                </c:pt>
                <c:pt idx="20">
                  <c:v>4.7442621141668539E-3</c:v>
                </c:pt>
                <c:pt idx="21">
                  <c:v>4.6798729652624341E-3</c:v>
                </c:pt>
                <c:pt idx="22">
                  <c:v>4.6041679219048321E-3</c:v>
                </c:pt>
                <c:pt idx="23">
                  <c:v>4.5124975619324154E-3</c:v>
                </c:pt>
                <c:pt idx="24">
                  <c:v>4.4114663174266355E-3</c:v>
                </c:pt>
                <c:pt idx="25">
                  <c:v>4.3015148487986939E-3</c:v>
                </c:pt>
                <c:pt idx="26">
                  <c:v>4.1830683547844248E-3</c:v>
                </c:pt>
                <c:pt idx="27">
                  <c:v>4.0565349072903961E-3</c:v>
                </c:pt>
                <c:pt idx="28">
                  <c:v>3.9223041112258382E-3</c:v>
                </c:pt>
                <c:pt idx="29">
                  <c:v>3.7771735654923261E-3</c:v>
                </c:pt>
                <c:pt idx="30">
                  <c:v>3.6268319411645522E-3</c:v>
                </c:pt>
                <c:pt idx="31">
                  <c:v>3.4715529535538823E-3</c:v>
                </c:pt>
                <c:pt idx="32">
                  <c:v>3.3115905682447682E-3</c:v>
                </c:pt>
                <c:pt idx="33">
                  <c:v>3.147179101853886E-3</c:v>
                </c:pt>
                <c:pt idx="34">
                  <c:v>2.9785334351599638E-3</c:v>
                </c:pt>
                <c:pt idx="35">
                  <c:v>2.805849320336647E-3</c:v>
                </c:pt>
                <c:pt idx="36">
                  <c:v>2.6290709483050264E-3</c:v>
                </c:pt>
                <c:pt idx="37">
                  <c:v>2.4522864598756073E-3</c:v>
                </c:pt>
                <c:pt idx="38">
                  <c:v>2.2796539880696972E-3</c:v>
                </c:pt>
                <c:pt idx="39">
                  <c:v>2.1111597056910638E-3</c:v>
                </c:pt>
                <c:pt idx="40">
                  <c:v>1.9467722663223505E-3</c:v>
                </c:pt>
                <c:pt idx="41">
                  <c:v>1.7864447168392816E-3</c:v>
                </c:pt>
                <c:pt idx="42">
                  <c:v>1.6301162834295242E-3</c:v>
                </c:pt>
                <c:pt idx="43">
                  <c:v>1.4828932836939439E-3</c:v>
                </c:pt>
                <c:pt idx="44">
                  <c:v>1.3475831031897509E-3</c:v>
                </c:pt>
                <c:pt idx="45">
                  <c:v>1.223849850150896E-3</c:v>
                </c:pt>
                <c:pt idx="46">
                  <c:v>1.1113617680401158E-3</c:v>
                </c:pt>
                <c:pt idx="47">
                  <c:v>1.0097932728916797E-3</c:v>
                </c:pt>
                <c:pt idx="48">
                  <c:v>9.1882673611193408E-4</c:v>
                </c:pt>
                <c:pt idx="49">
                  <c:v>8.381540405491139E-4</c:v>
                </c:pt>
                <c:pt idx="50">
                  <c:v>7.6742295477515426E-4</c:v>
                </c:pt>
                <c:pt idx="51">
                  <c:v>7.070377437594492E-4</c:v>
                </c:pt>
                <c:pt idx="52">
                  <c:v>6.5321539445843907E-4</c:v>
                </c:pt>
                <c:pt idx="53">
                  <c:v>6.057824729801221E-4</c:v>
                </c:pt>
                <c:pt idx="54">
                  <c:v>5.6457330518820128E-4</c:v>
                </c:pt>
                <c:pt idx="55">
                  <c:v>5.2942711677878864E-4</c:v>
                </c:pt>
                <c:pt idx="56">
                  <c:v>5.0018833609645377E-4</c:v>
                </c:pt>
                <c:pt idx="57">
                  <c:v>4.7656751927626056E-4</c:v>
                </c:pt>
                <c:pt idx="58">
                  <c:v>4.5391747618316286E-4</c:v>
                </c:pt>
                <c:pt idx="59">
                  <c:v>4.3221530543642047E-4</c:v>
                </c:pt>
                <c:pt idx="60">
                  <c:v>4.1143849580737267E-4</c:v>
                </c:pt>
                <c:pt idx="61">
                  <c:v>3.9156496927159837E-4</c:v>
                </c:pt>
                <c:pt idx="62">
                  <c:v>3.7257311968593538E-4</c:v>
                </c:pt>
                <c:pt idx="63">
                  <c:v>3.5444184784201729E-4</c:v>
                </c:pt>
                <c:pt idx="64">
                  <c:v>3.3714501690088083E-4</c:v>
                </c:pt>
                <c:pt idx="65">
                  <c:v>3.2160190078621762E-4</c:v>
                </c:pt>
                <c:pt idx="66">
                  <c:v>3.0712218438667385E-4</c:v>
                </c:pt>
                <c:pt idx="67">
                  <c:v>2.9367936040004415E-4</c:v>
                </c:pt>
                <c:pt idx="68">
                  <c:v>2.8124822299200561E-4</c:v>
                </c:pt>
                <c:pt idx="69">
                  <c:v>2.6980478889819309E-4</c:v>
                </c:pt>
                <c:pt idx="70">
                  <c:v>2.5932622719771262E-4</c:v>
                </c:pt>
                <c:pt idx="71">
                  <c:v>2.5017973683085583E-4</c:v>
                </c:pt>
                <c:pt idx="72">
                  <c:v>2.4246202222699453E-4</c:v>
                </c:pt>
                <c:pt idx="73">
                  <c:v>2.3614393616670288E-4</c:v>
                </c:pt>
                <c:pt idx="74">
                  <c:v>2.3119780223174841E-4</c:v>
                </c:pt>
                <c:pt idx="75">
                  <c:v>2.2759736863413207E-4</c:v>
                </c:pt>
                <c:pt idx="76">
                  <c:v>2.2531776903692133E-4</c:v>
                </c:pt>
                <c:pt idx="77">
                  <c:v>2.2433548957645819E-4</c:v>
                </c:pt>
                <c:pt idx="78">
                  <c:v>2.2462127112545495E-4</c:v>
                </c:pt>
                <c:pt idx="79">
                  <c:v>2.2597519375380361E-4</c:v>
                </c:pt>
                <c:pt idx="80">
                  <c:v>2.2752611134548137E-4</c:v>
                </c:pt>
                <c:pt idx="81">
                  <c:v>2.2927654187946943E-4</c:v>
                </c:pt>
                <c:pt idx="82">
                  <c:v>2.3122923558804419E-4</c:v>
                </c:pt>
                <c:pt idx="83">
                  <c:v>2.3338720924614257E-4</c:v>
                </c:pt>
                <c:pt idx="84">
                  <c:v>2.3575378012936218E-4</c:v>
                </c:pt>
                <c:pt idx="85">
                  <c:v>2.3840381652381293E-4</c:v>
                </c:pt>
                <c:pt idx="86">
                  <c:v>2.4098252168657097E-4</c:v>
                </c:pt>
                <c:pt idx="87">
                  <c:v>2.4349789478163444E-4</c:v>
                </c:pt>
                <c:pt idx="88">
                  <c:v>2.4595787584362358E-4</c:v>
                </c:pt>
                <c:pt idx="89">
                  <c:v>0</c:v>
                </c:pt>
                <c:pt idx="90">
                  <c:v>5.1914255916860718E-8</c:v>
                </c:pt>
                <c:pt idx="91">
                  <c:v>1.0769026286772413E-7</c:v>
                </c:pt>
                <c:pt idx="92">
                  <c:v>1.6748381204184814E-7</c:v>
                </c:pt>
                <c:pt idx="93">
                  <c:v>2.3152788884122368E-7</c:v>
                </c:pt>
                <c:pt idx="94">
                  <c:v>3.0023562936023472E-7</c:v>
                </c:pt>
                <c:pt idx="95">
                  <c:v>3.7396939003737789E-7</c:v>
                </c:pt>
                <c:pt idx="96">
                  <c:v>4.5311240287111107E-7</c:v>
                </c:pt>
                <c:pt idx="97">
                  <c:v>5.3806991248488083E-7</c:v>
                </c:pt>
                <c:pt idx="98">
                  <c:v>6.3052487001369085E-7</c:v>
                </c:pt>
                <c:pt idx="99">
                  <c:v>7.3695396640586947E-7</c:v>
                </c:pt>
                <c:pt idx="100">
                  <c:v>8.4980637379835294E-7</c:v>
                </c:pt>
                <c:pt idx="101">
                  <c:v>9.6935488725664328E-7</c:v>
                </c:pt>
                <c:pt idx="102">
                  <c:v>1.0958817139920649E-6</c:v>
                </c:pt>
                <c:pt idx="103">
                  <c:v>1.2296783109560454E-6</c:v>
                </c:pt>
                <c:pt idx="104">
                  <c:v>1.3710451591054295E-6</c:v>
                </c:pt>
                <c:pt idx="105">
                  <c:v>1.5202914686934839E-6</c:v>
                </c:pt>
                <c:pt idx="106">
                  <c:v>1.6777664299439428E-6</c:v>
                </c:pt>
                <c:pt idx="107">
                  <c:v>1.8421521675622564E-6</c:v>
                </c:pt>
                <c:pt idx="108">
                  <c:v>2.0121993230662123E-6</c:v>
                </c:pt>
                <c:pt idx="109">
                  <c:v>2.1874202078232798E-6</c:v>
                </c:pt>
                <c:pt idx="110">
                  <c:v>2.3672760709421602E-6</c:v>
                </c:pt>
                <c:pt idx="111">
                  <c:v>2.5511683029955727E-6</c:v>
                </c:pt>
                <c:pt idx="112">
                  <c:v>2.738426716211778E-6</c:v>
                </c:pt>
                <c:pt idx="113">
                  <c:v>2.9288597470032914E-6</c:v>
                </c:pt>
                <c:pt idx="114">
                  <c:v>3.1249517022002692E-6</c:v>
                </c:pt>
                <c:pt idx="115">
                  <c:v>3.3264853034015931E-6</c:v>
                </c:pt>
                <c:pt idx="116">
                  <c:v>3.5332061630903021E-6</c:v>
                </c:pt>
                <c:pt idx="117">
                  <c:v>3.7448196706983745E-6</c:v>
                </c:pt>
                <c:pt idx="118">
                  <c:v>3.9609878030744514E-6</c:v>
                </c:pt>
                <c:pt idx="119">
                  <c:v>4.181325877640156E-6</c:v>
                </c:pt>
                <c:pt idx="120">
                  <c:v>4.4054707258145509E-6</c:v>
                </c:pt>
                <c:pt idx="121">
                  <c:v>4.6326222045072135E-6</c:v>
                </c:pt>
                <c:pt idx="122">
                  <c:v>4.8669361452118659E-6</c:v>
                </c:pt>
                <c:pt idx="123">
                  <c:v>5.1085642125004693E-6</c:v>
                </c:pt>
                <c:pt idx="124">
                  <c:v>5.3576493945541582E-6</c:v>
                </c:pt>
                <c:pt idx="125">
                  <c:v>5.6143248199489887E-6</c:v>
                </c:pt>
                <c:pt idx="126">
                  <c:v>5.8787125274638432E-6</c:v>
                </c:pt>
                <c:pt idx="127">
                  <c:v>6.1472461881568625E-6</c:v>
                </c:pt>
                <c:pt idx="128">
                  <c:v>6.4183064860576212E-6</c:v>
                </c:pt>
                <c:pt idx="129">
                  <c:v>6.6912103775832519E-6</c:v>
                </c:pt>
                <c:pt idx="130">
                  <c:v>6.9652086658330681E-6</c:v>
                </c:pt>
                <c:pt idx="131">
                  <c:v>7.2394835588962258E-6</c:v>
                </c:pt>
                <c:pt idx="132">
                  <c:v>7.5131464680936256E-6</c:v>
                </c:pt>
                <c:pt idx="133">
                  <c:v>7.785236089015629E-6</c:v>
                </c:pt>
                <c:pt idx="134">
                  <c:v>8.0547998873580057E-6</c:v>
                </c:pt>
                <c:pt idx="135">
                  <c:v>8.3161247073254612E-6</c:v>
                </c:pt>
                <c:pt idx="136">
                  <c:v>8.568437570347074E-6</c:v>
                </c:pt>
                <c:pt idx="137">
                  <c:v>8.8100417687624078E-6</c:v>
                </c:pt>
                <c:pt idx="138">
                  <c:v>9.0391392780918869E-6</c:v>
                </c:pt>
                <c:pt idx="139">
                  <c:v>9.2538314161706609E-6</c:v>
                </c:pt>
                <c:pt idx="140">
                  <c:v>9.452120230569138E-6</c:v>
                </c:pt>
                <c:pt idx="141">
                  <c:v>9.6340190113580155E-6</c:v>
                </c:pt>
                <c:pt idx="142">
                  <c:v>9.8048117580106279E-6</c:v>
                </c:pt>
                <c:pt idx="143">
                  <c:v>9.9633544860276722E-6</c:v>
                </c:pt>
                <c:pt idx="144">
                  <c:v>1.0108519248524085E-5</c:v>
                </c:pt>
                <c:pt idx="145">
                  <c:v>1.0239149786777457E-5</c:v>
                </c:pt>
                <c:pt idx="146">
                  <c:v>1.0354065292409186E-5</c:v>
                </c:pt>
                <c:pt idx="147">
                  <c:v>1.0452064523832172E-5</c:v>
                </c:pt>
                <c:pt idx="148">
                  <c:v>1.053193791595742E-5</c:v>
                </c:pt>
                <c:pt idx="149">
                  <c:v>1.0597141831884074E-5</c:v>
                </c:pt>
                <c:pt idx="150">
                  <c:v>1.0654922685789286E-5</c:v>
                </c:pt>
                <c:pt idx="151">
                  <c:v>1.0705308192165734E-5</c:v>
                </c:pt>
                <c:pt idx="152">
                  <c:v>1.0748362485450298E-5</c:v>
                </c:pt>
                <c:pt idx="153">
                  <c:v>1.0784187471622031E-5</c:v>
                </c:pt>
                <c:pt idx="154">
                  <c:v>1.0812923973491106E-5</c:v>
                </c:pt>
                <c:pt idx="155">
                  <c:v>1.0840564529092768E-5</c:v>
                </c:pt>
                <c:pt idx="156">
                  <c:v>1.0864103170629276E-5</c:v>
                </c:pt>
                <c:pt idx="157">
                  <c:v>1.0883962550848603E-5</c:v>
                </c:pt>
                <c:pt idx="158">
                  <c:v>1.0900608122182885E-5</c:v>
                </c:pt>
                <c:pt idx="159">
                  <c:v>1.0914547614215417E-5</c:v>
                </c:pt>
                <c:pt idx="160">
                  <c:v>1.0926330254150431E-5</c:v>
                </c:pt>
                <c:pt idx="161">
                  <c:v>1.0936545739808299E-5</c:v>
                </c:pt>
                <c:pt idx="162">
                  <c:v>1.0945815062331991E-5</c:v>
                </c:pt>
                <c:pt idx="163">
                  <c:v>1.0970802225659491E-5</c:v>
                </c:pt>
                <c:pt idx="164">
                  <c:v>1.1006426749266719E-5</c:v>
                </c:pt>
                <c:pt idx="165">
                  <c:v>1.1054151834837583E-5</c:v>
                </c:pt>
                <c:pt idx="166">
                  <c:v>1.1115471521265781E-5</c:v>
                </c:pt>
                <c:pt idx="167">
                  <c:v>1.1191905586151572E-5</c:v>
                </c:pt>
                <c:pt idx="168">
                  <c:v>1.128499431776079E-5</c:v>
                </c:pt>
                <c:pt idx="169">
                  <c:v>1.1414855905243996E-5</c:v>
                </c:pt>
                <c:pt idx="170">
                  <c:v>1.1575826335884611E-5</c:v>
                </c:pt>
                <c:pt idx="171">
                  <c:v>1.1770183666148197E-5</c:v>
                </c:pt>
                <c:pt idx="172">
                  <c:v>1.2000195494148832E-5</c:v>
                </c:pt>
                <c:pt idx="173">
                  <c:v>1.2268006758209201E-5</c:v>
                </c:pt>
                <c:pt idx="174">
                  <c:v>1.2575721482093587E-5</c:v>
                </c:pt>
                <c:pt idx="175">
                  <c:v>1.2925505229247724E-5</c:v>
                </c:pt>
                <c:pt idx="176">
                  <c:v>1.3319427053242748E-5</c:v>
                </c:pt>
                <c:pt idx="177">
                  <c:v>1.376925597344506E-5</c:v>
                </c:pt>
                <c:pt idx="178">
                  <c:v>1.4255383603024923E-5</c:v>
                </c:pt>
                <c:pt idx="179">
                  <c:v>1.477920054336218E-5</c:v>
                </c:pt>
                <c:pt idx="180">
                  <c:v>1.5342066245105328E-5</c:v>
                </c:pt>
                <c:pt idx="181">
                  <c:v>1.5945309215646534E-5</c:v>
                </c:pt>
                <c:pt idx="182">
                  <c:v>1.6590227800866534E-5</c:v>
                </c:pt>
                <c:pt idx="183">
                  <c:v>1.728804427284265E-5</c:v>
                </c:pt>
                <c:pt idx="184">
                  <c:v>1.8015984906439699E-5</c:v>
                </c:pt>
                <c:pt idx="185">
                  <c:v>1.8774616299350017E-5</c:v>
                </c:pt>
                <c:pt idx="186">
                  <c:v>1.9564503651688119E-5</c:v>
                </c:pt>
                <c:pt idx="187">
                  <c:v>2.0386213800456415E-5</c:v>
                </c:pt>
                <c:pt idx="188">
                  <c:v>2.1240318430670429E-5</c:v>
                </c:pt>
                <c:pt idx="189">
                  <c:v>2.2127397453528751E-5</c:v>
                </c:pt>
                <c:pt idx="190">
                  <c:v>2.3048008619696181E-5</c:v>
                </c:pt>
                <c:pt idx="191">
                  <c:v>2.4010427809103114E-5</c:v>
                </c:pt>
                <c:pt idx="192">
                  <c:v>2.5003373921892308E-5</c:v>
                </c:pt>
                <c:pt idx="193">
                  <c:v>2.6027087062661517E-5</c:v>
                </c:pt>
                <c:pt idx="194">
                  <c:v>2.7081794365148964E-5</c:v>
                </c:pt>
                <c:pt idx="195">
                  <c:v>2.8167710136270646E-5</c:v>
                </c:pt>
                <c:pt idx="196">
                  <c:v>2.9285035866804438E-5</c:v>
                </c:pt>
                <c:pt idx="197">
                  <c:v>3.0413978250632974E-5</c:v>
                </c:pt>
                <c:pt idx="198">
                  <c:v>3.1542331747254712E-5</c:v>
                </c:pt>
                <c:pt idx="199">
                  <c:v>3.2669380474344923E-5</c:v>
                </c:pt>
                <c:pt idx="200">
                  <c:v>3.3794425626393426E-5</c:v>
                </c:pt>
                <c:pt idx="201">
                  <c:v>3.4916784436713139E-5</c:v>
                </c:pt>
                <c:pt idx="202">
                  <c:v>3.603578898090939E-5</c:v>
                </c:pt>
                <c:pt idx="203">
                  <c:v>3.7150784840638173E-5</c:v>
                </c:pt>
                <c:pt idx="204">
                  <c:v>3.8261511135834564E-5</c:v>
                </c:pt>
                <c:pt idx="205">
                  <c:v>3.9340260841422964E-5</c:v>
                </c:pt>
                <c:pt idx="206">
                  <c:v>4.0376868801370955E-5</c:v>
                </c:pt>
                <c:pt idx="207">
                  <c:v>4.1370110361568278E-5</c:v>
                </c:pt>
                <c:pt idx="208">
                  <c:v>4.2318810712085291E-5</c:v>
                </c:pt>
                <c:pt idx="209">
                  <c:v>4.3221841254686645E-5</c:v>
                </c:pt>
                <c:pt idx="210">
                  <c:v>4.4078116015730348E-5</c:v>
                </c:pt>
                <c:pt idx="211">
                  <c:v>4.4881290341700097E-5</c:v>
                </c:pt>
                <c:pt idx="212">
                  <c:v>4.5652772868637256E-5</c:v>
                </c:pt>
                <c:pt idx="213">
                  <c:v>4.6391926678621361E-5</c:v>
                </c:pt>
                <c:pt idx="214">
                  <c:v>4.7098136089631699E-5</c:v>
                </c:pt>
                <c:pt idx="215">
                  <c:v>4.7770804389286427E-5</c:v>
                </c:pt>
                <c:pt idx="216">
                  <c:v>4.8409351707176434E-5</c:v>
                </c:pt>
                <c:pt idx="217">
                  <c:v>4.9013213022789885E-5</c:v>
                </c:pt>
                <c:pt idx="218">
                  <c:v>4.9581584673040151E-5</c:v>
                </c:pt>
                <c:pt idx="219">
                  <c:v>5.0121865631319015E-5</c:v>
                </c:pt>
                <c:pt idx="220">
                  <c:v>5.0664396939075123E-5</c:v>
                </c:pt>
                <c:pt idx="221">
                  <c:v>5.1209459277356269E-5</c:v>
                </c:pt>
                <c:pt idx="222">
                  <c:v>5.1757335161094664E-5</c:v>
                </c:pt>
                <c:pt idx="223">
                  <c:v>5.2308309162894891E-5</c:v>
                </c:pt>
                <c:pt idx="224">
                  <c:v>5.2862668195100247E-5</c:v>
                </c:pt>
                <c:pt idx="225">
                  <c:v>5.3367294354166122E-5</c:v>
                </c:pt>
                <c:pt idx="226">
                  <c:v>5.3827404286013519E-5</c:v>
                </c:pt>
                <c:pt idx="227">
                  <c:v>5.4242501240416964E-5</c:v>
                </c:pt>
                <c:pt idx="228">
                  <c:v>5.4612096785832798E-5</c:v>
                </c:pt>
                <c:pt idx="229">
                  <c:v>5.4935708842811374E-5</c:v>
                </c:pt>
                <c:pt idx="230">
                  <c:v>5.5212859743595143E-5</c:v>
                </c:pt>
                <c:pt idx="231">
                  <c:v>5.5443074296167401E-5</c:v>
                </c:pt>
                <c:pt idx="232">
                  <c:v>5.5625537252031793E-5</c:v>
                </c:pt>
                <c:pt idx="233">
                  <c:v>5.5704851638189326E-5</c:v>
                </c:pt>
                <c:pt idx="234">
                  <c:v>5.5670700487901307E-5</c:v>
                </c:pt>
                <c:pt idx="235">
                  <c:v>5.5521491982883035E-5</c:v>
                </c:pt>
                <c:pt idx="236">
                  <c:v>5.5255643791919343E-5</c:v>
                </c:pt>
                <c:pt idx="237">
                  <c:v>5.4871535485361114E-5</c:v>
                </c:pt>
                <c:pt idx="238">
                  <c:v>5.4367536189895899E-5</c:v>
                </c:pt>
                <c:pt idx="239">
                  <c:v>5.3782524210350727E-5</c:v>
                </c:pt>
                <c:pt idx="240">
                  <c:v>5.3173311177892055E-5</c:v>
                </c:pt>
                <c:pt idx="241">
                  <c:v>5.2539737582026142E-5</c:v>
                </c:pt>
                <c:pt idx="242">
                  <c:v>5.1881632024372474E-5</c:v>
                </c:pt>
                <c:pt idx="243">
                  <c:v>5.1198811112766105E-5</c:v>
                </c:pt>
                <c:pt idx="244">
                  <c:v>5.049107937928992E-5</c:v>
                </c:pt>
                <c:pt idx="245">
                  <c:v>4.9758229217470166E-5</c:v>
                </c:pt>
                <c:pt idx="246">
                  <c:v>4.9000040857411345E-5</c:v>
                </c:pt>
                <c:pt idx="247">
                  <c:v>4.82384590286303E-5</c:v>
                </c:pt>
                <c:pt idx="248">
                  <c:v>4.7532390914408454E-5</c:v>
                </c:pt>
                <c:pt idx="249">
                  <c:v>4.6882806234221673E-5</c:v>
                </c:pt>
                <c:pt idx="250">
                  <c:v>4.6290673592801964E-5</c:v>
                </c:pt>
                <c:pt idx="251">
                  <c:v>4.5756961418447397E-5</c:v>
                </c:pt>
                <c:pt idx="252">
                  <c:v>4.5282638832571652E-5</c:v>
                </c:pt>
                <c:pt idx="253">
                  <c:v>4.4827139368774425E-5</c:v>
                </c:pt>
                <c:pt idx="254">
                  <c:v>4.4347093019126365E-5</c:v>
                </c:pt>
                <c:pt idx="255">
                  <c:v>4.3842183057295726E-5</c:v>
                </c:pt>
                <c:pt idx="256">
                  <c:v>4.3312083915916934E-5</c:v>
                </c:pt>
                <c:pt idx="257">
                  <c:v>4.2756461626159297E-5</c:v>
                </c:pt>
                <c:pt idx="258">
                  <c:v>4.2174974336522325E-5</c:v>
                </c:pt>
                <c:pt idx="259">
                  <c:v>4.1567272915978672E-5</c:v>
                </c:pt>
                <c:pt idx="260">
                  <c:v>4.0933746233765525E-5</c:v>
                </c:pt>
                <c:pt idx="261">
                  <c:v>4.0326340371444252E-5</c:v>
                </c:pt>
                <c:pt idx="262">
                  <c:v>3.9721187959534467E-5</c:v>
                </c:pt>
                <c:pt idx="263">
                  <c:v>3.9117985894318459E-5</c:v>
                </c:pt>
                <c:pt idx="264">
                  <c:v>3.8516444849461719E-5</c:v>
                </c:pt>
                <c:pt idx="265">
                  <c:v>3.7916457992747298E-5</c:v>
                </c:pt>
                <c:pt idx="266">
                  <c:v>3.7317839464374596E-5</c:v>
                </c:pt>
                <c:pt idx="267">
                  <c:v>3.6900851244838509E-5</c:v>
                </c:pt>
                <c:pt idx="268">
                  <c:v>3.6712740417600749E-5</c:v>
                </c:pt>
                <c:pt idx="269">
                  <c:v>3.6756625768445713E-5</c:v>
                </c:pt>
                <c:pt idx="270">
                  <c:v>3.7035598548307415E-5</c:v>
                </c:pt>
                <c:pt idx="271">
                  <c:v>3.7552694833751939E-5</c:v>
                </c:pt>
                <c:pt idx="272">
                  <c:v>3.8310866481264293E-5</c:v>
                </c:pt>
                <c:pt idx="273">
                  <c:v>3.9312950735301357E-5</c:v>
                </c:pt>
                <c:pt idx="274">
                  <c:v>4.0562844689992413E-5</c:v>
                </c:pt>
                <c:pt idx="275">
                  <c:v>4.2097225222451854E-5</c:v>
                </c:pt>
                <c:pt idx="276">
                  <c:v>4.3863758108290232E-5</c:v>
                </c:pt>
                <c:pt idx="277">
                  <c:v>4.5865048646547906E-5</c:v>
                </c:pt>
                <c:pt idx="278">
                  <c:v>4.8103619606040029E-5</c:v>
                </c:pt>
                <c:pt idx="279">
                  <c:v>5.0581901580603532E-5</c:v>
                </c:pt>
                <c:pt idx="280">
                  <c:v>5.3302223996586273E-5</c:v>
                </c:pt>
                <c:pt idx="281">
                  <c:v>5.6101804834106814E-5</c:v>
                </c:pt>
                <c:pt idx="282">
                  <c:v>5.8787267973675542E-5</c:v>
                </c:pt>
                <c:pt idx="283">
                  <c:v>6.1356266913194861E-5</c:v>
                </c:pt>
                <c:pt idx="284">
                  <c:v>6.3806479499180858E-5</c:v>
                </c:pt>
                <c:pt idx="285">
                  <c:v>6.6135618000497744E-5</c:v>
                </c:pt>
                <c:pt idx="286">
                  <c:v>6.8341439024272057E-5</c:v>
                </c:pt>
                <c:pt idx="287">
                  <c:v>7.0421753161434053E-5</c:v>
                </c:pt>
                <c:pt idx="288">
                  <c:v>7.2376132890678753E-5</c:v>
                </c:pt>
                <c:pt idx="289">
                  <c:v>7.5245648309151672E-5</c:v>
                </c:pt>
                <c:pt idx="290">
                  <c:v>7.9004751602659265E-5</c:v>
                </c:pt>
                <c:pt idx="291">
                  <c:v>8.36618745435614E-5</c:v>
                </c:pt>
                <c:pt idx="292">
                  <c:v>8.9225176637440162E-5</c:v>
                </c:pt>
                <c:pt idx="293">
                  <c:v>9.5702522178502491E-5</c:v>
                </c:pt>
                <c:pt idx="294">
                  <c:v>1.0310146115832252E-4</c:v>
                </c:pt>
                <c:pt idx="295">
                  <c:v>1.1247555768216891E-4</c:v>
                </c:pt>
                <c:pt idx="296">
                  <c:v>1.2401690062516859E-4</c:v>
                </c:pt>
                <c:pt idx="297">
                  <c:v>1.3774444919937074E-4</c:v>
                </c:pt>
                <c:pt idx="298">
                  <c:v>1.5367586699810033E-4</c:v>
                </c:pt>
                <c:pt idx="299">
                  <c:v>1.7182822567920024E-4</c:v>
                </c:pt>
                <c:pt idx="300">
                  <c:v>1.9221800209080856E-4</c:v>
                </c:pt>
                <c:pt idx="301">
                  <c:v>2.1486108187630738E-4</c:v>
                </c:pt>
                <c:pt idx="302">
                  <c:v>2.3978554901662275E-4</c:v>
                </c:pt>
                <c:pt idx="303">
                  <c:v>2.6576092574378765E-4</c:v>
                </c:pt>
                <c:pt idx="304">
                  <c:v>2.9170691552304185E-4</c:v>
                </c:pt>
                <c:pt idx="305">
                  <c:v>3.1762454573944877E-4</c:v>
                </c:pt>
                <c:pt idx="306">
                  <c:v>3.4351430954051199E-4</c:v>
                </c:pt>
                <c:pt idx="307">
                  <c:v>3.6937612593775912E-4</c:v>
                </c:pt>
                <c:pt idx="308">
                  <c:v>3.95209289281498E-4</c:v>
                </c:pt>
                <c:pt idx="309">
                  <c:v>4.2053225616970323E-4</c:v>
                </c:pt>
                <c:pt idx="310">
                  <c:v>4.4424370319999355E-4</c:v>
                </c:pt>
                <c:pt idx="311">
                  <c:v>4.6632577211972527E-4</c:v>
                </c:pt>
                <c:pt idx="312">
                  <c:v>4.8675957667992963E-4</c:v>
                </c:pt>
                <c:pt idx="313">
                  <c:v>5.0552521790975333E-4</c:v>
                </c:pt>
                <c:pt idx="314">
                  <c:v>5.2260180821099523E-4</c:v>
                </c:pt>
                <c:pt idx="315">
                  <c:v>5.3796750791062261E-4</c:v>
                </c:pt>
                <c:pt idx="316">
                  <c:v>5.5166726436843886E-4</c:v>
                </c:pt>
                <c:pt idx="317">
                  <c:v>5.6397167508477522E-4</c:v>
                </c:pt>
                <c:pt idx="318">
                  <c:v>5.7618295349217276E-4</c:v>
                </c:pt>
                <c:pt idx="319">
                  <c:v>5.8829052429730272E-4</c:v>
                </c:pt>
                <c:pt idx="320">
                  <c:v>6.0028138513725047E-4</c:v>
                </c:pt>
                <c:pt idx="321">
                  <c:v>6.1213995358570274E-4</c:v>
                </c:pt>
                <c:pt idx="322">
                  <c:v>6.2384792087102979E-4</c:v>
                </c:pt>
                <c:pt idx="323">
                  <c:v>6.3399051089196975E-4</c:v>
                </c:pt>
                <c:pt idx="324">
                  <c:v>6.4303272843180455E-4</c:v>
                </c:pt>
                <c:pt idx="325">
                  <c:v>6.5093682763071891E-4</c:v>
                </c:pt>
                <c:pt idx="326">
                  <c:v>6.5765907395370351E-4</c:v>
                </c:pt>
                <c:pt idx="327">
                  <c:v>6.6315574564556809E-4</c:v>
                </c:pt>
                <c:pt idx="328">
                  <c:v>6.6738428426731079E-4</c:v>
                </c:pt>
                <c:pt idx="329">
                  <c:v>6.7030105058272832E-4</c:v>
                </c:pt>
                <c:pt idx="330">
                  <c:v>6.719600814738667E-4</c:v>
                </c:pt>
                <c:pt idx="331">
                  <c:v>6.7198368499967864E-4</c:v>
                </c:pt>
                <c:pt idx="332">
                  <c:v>6.7010511064867723E-4</c:v>
                </c:pt>
                <c:pt idx="333">
                  <c:v>6.6629178231561404E-4</c:v>
                </c:pt>
                <c:pt idx="334">
                  <c:v>6.6051071237697078E-4</c:v>
                </c:pt>
                <c:pt idx="335">
                  <c:v>6.5272901981452025E-4</c:v>
                </c:pt>
                <c:pt idx="336">
                  <c:v>6.4291450954229873E-4</c:v>
                </c:pt>
                <c:pt idx="337">
                  <c:v>6.3182452306622229E-4</c:v>
                </c:pt>
                <c:pt idx="338">
                  <c:v>6.2090143298849964E-4</c:v>
                </c:pt>
                <c:pt idx="339">
                  <c:v>6.1013530075046179E-4</c:v>
                </c:pt>
                <c:pt idx="340">
                  <c:v>5.9951667949725796E-4</c:v>
                </c:pt>
                <c:pt idx="341">
                  <c:v>5.8903669171683011E-4</c:v>
                </c:pt>
                <c:pt idx="342">
                  <c:v>5.7868710408465359E-4</c:v>
                </c:pt>
                <c:pt idx="343">
                  <c:v>5.6846039928633079E-4</c:v>
                </c:pt>
                <c:pt idx="344">
                  <c:v>5.5838262097408341E-4</c:v>
                </c:pt>
                <c:pt idx="345">
                  <c:v>5.4848592203587618E-4</c:v>
                </c:pt>
                <c:pt idx="346">
                  <c:v>5.3960394524176826E-4</c:v>
                </c:pt>
                <c:pt idx="347">
                  <c:v>5.3173988301672499E-4</c:v>
                </c:pt>
                <c:pt idx="348">
                  <c:v>5.2489565262011815E-4</c:v>
                </c:pt>
                <c:pt idx="349">
                  <c:v>5.1907181102873795E-4</c:v>
                </c:pt>
                <c:pt idx="350">
                  <c:v>5.1426747280657796E-4</c:v>
                </c:pt>
                <c:pt idx="351">
                  <c:v>5.1085106701837879E-4</c:v>
                </c:pt>
                <c:pt idx="352">
                  <c:v>5.0801930355671098E-4</c:v>
                </c:pt>
                <c:pt idx="353">
                  <c:v>5.057681274950001E-4</c:v>
                </c:pt>
                <c:pt idx="354">
                  <c:v>5.0409262598865678E-4</c:v>
                </c:pt>
                <c:pt idx="355">
                  <c:v>5.0298701337231182E-4</c:v>
                </c:pt>
                <c:pt idx="356">
                  <c:v>5.0243785110663623E-4</c:v>
                </c:pt>
                <c:pt idx="357">
                  <c:v>5.0244400261283866E-4</c:v>
                </c:pt>
                <c:pt idx="358">
                  <c:v>5.0297458948505799E-4</c:v>
                </c:pt>
                <c:pt idx="359">
                  <c:v>5.0400522539000784E-4</c:v>
                </c:pt>
                <c:pt idx="360">
                  <c:v>5.0631510076390744E-4</c:v>
                </c:pt>
                <c:pt idx="361">
                  <c:v>5.0953078350470687E-4</c:v>
                </c:pt>
                <c:pt idx="362">
                  <c:v>5.1364220817305673E-4</c:v>
                </c:pt>
                <c:pt idx="363">
                  <c:v>5.1863774705069731E-4</c:v>
                </c:pt>
                <c:pt idx="364">
                  <c:v>5.2450440408000911E-4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609568"/>
        <c:axId val="665609960"/>
      </c:lineChart>
      <c:dateAx>
        <c:axId val="6656095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09960"/>
        <c:crosses val="autoZero"/>
        <c:auto val="1"/>
        <c:lblOffset val="100"/>
        <c:baseTimeUnit val="days"/>
        <c:majorUnit val="1"/>
        <c:majorTimeUnit val="months"/>
      </c:dateAx>
      <c:valAx>
        <c:axId val="6656099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095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'2030'!$V$14</c:f>
              <c:strCache>
                <c:ptCount val="1"/>
                <c:pt idx="0">
                  <c:v>Enveloppe 2030</c:v>
                </c:pt>
              </c:strCache>
            </c:strRef>
          </c:tx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'2030'!Env_an</c:f>
              <c:numCache>
                <c:formatCode>0.00</c:formatCode>
                <c:ptCount val="366"/>
                <c:pt idx="0">
                  <c:v>91.546762644094144</c:v>
                </c:pt>
                <c:pt idx="1">
                  <c:v>92.106454610596742</c:v>
                </c:pt>
                <c:pt idx="2">
                  <c:v>92.699380961286863</c:v>
                </c:pt>
                <c:pt idx="3">
                  <c:v>93.323793160707908</c:v>
                </c:pt>
                <c:pt idx="4">
                  <c:v>93.977942949460655</c:v>
                </c:pt>
                <c:pt idx="5">
                  <c:v>94.66008232154374</c:v>
                </c:pt>
                <c:pt idx="6">
                  <c:v>95.36846354830746</c:v>
                </c:pt>
                <c:pt idx="7">
                  <c:v>96.101339176568601</c:v>
                </c:pt>
                <c:pt idx="8">
                  <c:v>96.86660328372281</c:v>
                </c:pt>
                <c:pt idx="9">
                  <c:v>97.671903779570755</c:v>
                </c:pt>
                <c:pt idx="10">
                  <c:v>98.515000593226176</c:v>
                </c:pt>
                <c:pt idx="11">
                  <c:v>99.393584455659422</c:v>
                </c:pt>
                <c:pt idx="12">
                  <c:v>100.30534653078338</c:v>
                </c:pt>
                <c:pt idx="13">
                  <c:v>101.24797838929879</c:v>
                </c:pt>
                <c:pt idx="14">
                  <c:v>102.21917207438366</c:v>
                </c:pt>
                <c:pt idx="15">
                  <c:v>103.21659873770379</c:v>
                </c:pt>
                <c:pt idx="16">
                  <c:v>104.23791124189039</c:v>
                </c:pt>
                <c:pt idx="17">
                  <c:v>105.28080293334278</c:v>
                </c:pt>
                <c:pt idx="18">
                  <c:v>106.34296760344338</c:v>
                </c:pt>
                <c:pt idx="19">
                  <c:v>107.42209924662491</c:v>
                </c:pt>
                <c:pt idx="20">
                  <c:v>108.51589221255691</c:v>
                </c:pt>
                <c:pt idx="21">
                  <c:v>109.62204156796386</c:v>
                </c:pt>
                <c:pt idx="22">
                  <c:v>110.74829210041136</c:v>
                </c:pt>
                <c:pt idx="23">
                  <c:v>111.90264695107652</c:v>
                </c:pt>
                <c:pt idx="24">
                  <c:v>113.08299038149316</c:v>
                </c:pt>
                <c:pt idx="25">
                  <c:v>114.28733620306203</c:v>
                </c:pt>
                <c:pt idx="26">
                  <c:v>115.51369871249263</c:v>
                </c:pt>
                <c:pt idx="27">
                  <c:v>116.76009270519637</c:v>
                </c:pt>
                <c:pt idx="28">
                  <c:v>118.02453344900435</c:v>
                </c:pt>
                <c:pt idx="29">
                  <c:v>119.30516185027861</c:v>
                </c:pt>
                <c:pt idx="30">
                  <c:v>120.6000155561657</c:v>
                </c:pt>
                <c:pt idx="31">
                  <c:v>121.90711143887589</c:v>
                </c:pt>
                <c:pt idx="32">
                  <c:v>123.2244669176557</c:v>
                </c:pt>
                <c:pt idx="33">
                  <c:v>124.55009992360969</c:v>
                </c:pt>
                <c:pt idx="34">
                  <c:v>125.88202894343692</c:v>
                </c:pt>
                <c:pt idx="35">
                  <c:v>127.2182729871445</c:v>
                </c:pt>
                <c:pt idx="36">
                  <c:v>128.5682389926265</c:v>
                </c:pt>
                <c:pt idx="37">
                  <c:v>129.9405654928452</c:v>
                </c:pt>
                <c:pt idx="38">
                  <c:v>131.33223245209089</c:v>
                </c:pt>
                <c:pt idx="39">
                  <c:v>132.74026732382069</c:v>
                </c:pt>
                <c:pt idx="40">
                  <c:v>134.1616982630523</c:v>
                </c:pt>
                <c:pt idx="41">
                  <c:v>135.59355413570654</c:v>
                </c:pt>
                <c:pt idx="42">
                  <c:v>137.032864505459</c:v>
                </c:pt>
                <c:pt idx="43">
                  <c:v>138.47655139743557</c:v>
                </c:pt>
                <c:pt idx="44">
                  <c:v>139.92151993411244</c:v>
                </c:pt>
                <c:pt idx="45">
                  <c:v>141.36480137144858</c:v>
                </c:pt>
                <c:pt idx="46">
                  <c:v>142.8034275899744</c:v>
                </c:pt>
                <c:pt idx="47">
                  <c:v>144.23443107482103</c:v>
                </c:pt>
                <c:pt idx="48">
                  <c:v>145.65484490743913</c:v>
                </c:pt>
                <c:pt idx="49">
                  <c:v>147.06170274485737</c:v>
                </c:pt>
                <c:pt idx="50">
                  <c:v>148.46267539162582</c:v>
                </c:pt>
                <c:pt idx="51">
                  <c:v>149.86643902522414</c:v>
                </c:pt>
                <c:pt idx="52">
                  <c:v>151.27161647566621</c:v>
                </c:pt>
                <c:pt idx="53">
                  <c:v>152.67672390425955</c:v>
                </c:pt>
                <c:pt idx="54">
                  <c:v>154.08027763224604</c:v>
                </c:pt>
                <c:pt idx="55">
                  <c:v>155.48079417426564</c:v>
                </c:pt>
                <c:pt idx="56">
                  <c:v>156.87679021994546</c:v>
                </c:pt>
                <c:pt idx="57">
                  <c:v>158.26677901694546</c:v>
                </c:pt>
                <c:pt idx="58">
                  <c:v>159.64938675201537</c:v>
                </c:pt>
                <c:pt idx="59">
                  <c:v>161.02313081352412</c:v>
                </c:pt>
                <c:pt idx="60">
                  <c:v>162.38652873885795</c:v>
                </c:pt>
                <c:pt idx="61">
                  <c:v>163.73809819907277</c:v>
                </c:pt>
                <c:pt idx="62">
                  <c:v>165.07635699662896</c:v>
                </c:pt>
                <c:pt idx="63">
                  <c:v>166.39982305654567</c:v>
                </c:pt>
                <c:pt idx="64">
                  <c:v>167.70978850427022</c:v>
                </c:pt>
                <c:pt idx="65">
                  <c:v>169.00879991077329</c:v>
                </c:pt>
                <c:pt idx="66">
                  <c:v>170.29727014432839</c:v>
                </c:pt>
                <c:pt idx="67">
                  <c:v>171.57562968324618</c:v>
                </c:pt>
                <c:pt idx="68">
                  <c:v>172.84430869330583</c:v>
                </c:pt>
                <c:pt idx="69">
                  <c:v>174.10373703698747</c:v>
                </c:pt>
                <c:pt idx="70">
                  <c:v>175.35434427577275</c:v>
                </c:pt>
                <c:pt idx="71">
                  <c:v>176.59655342625484</c:v>
                </c:pt>
                <c:pt idx="72">
                  <c:v>177.83079708736184</c:v>
                </c:pt>
                <c:pt idx="73">
                  <c:v>179.05750391637872</c:v>
                </c:pt>
                <c:pt idx="74">
                  <c:v>180.27710227942876</c:v>
                </c:pt>
                <c:pt idx="75">
                  <c:v>181.490020255085</c:v>
                </c:pt>
                <c:pt idx="76">
                  <c:v>182.69668565183574</c:v>
                </c:pt>
                <c:pt idx="77">
                  <c:v>183.89752599914979</c:v>
                </c:pt>
                <c:pt idx="78">
                  <c:v>185.09879978389344</c:v>
                </c:pt>
                <c:pt idx="79">
                  <c:v>186.30435690446157</c:v>
                </c:pt>
                <c:pt idx="80">
                  <c:v>187.5110257598846</c:v>
                </c:pt>
                <c:pt idx="81">
                  <c:v>188.71561403602894</c:v>
                </c:pt>
                <c:pt idx="82">
                  <c:v>189.9149300118909</c:v>
                </c:pt>
                <c:pt idx="83">
                  <c:v>191.10578255726628</c:v>
                </c:pt>
                <c:pt idx="84">
                  <c:v>192.28498117790105</c:v>
                </c:pt>
                <c:pt idx="85">
                  <c:v>193.44933306283991</c:v>
                </c:pt>
                <c:pt idx="86">
                  <c:v>194.59565543546225</c:v>
                </c:pt>
                <c:pt idx="87">
                  <c:v>195.72075983483401</c:v>
                </c:pt>
                <c:pt idx="88">
                  <c:v>196.82145849713658</c:v>
                </c:pt>
                <c:pt idx="89">
                  <c:v>197.89456442967585</c:v>
                </c:pt>
                <c:pt idx="90">
                  <c:v>198.93689139614062</c:v>
                </c:pt>
                <c:pt idx="91">
                  <c:v>199.94525396138957</c:v>
                </c:pt>
                <c:pt idx="92">
                  <c:v>200.92283432200264</c:v>
                </c:pt>
                <c:pt idx="93">
                  <c:v>201.87542318855211</c:v>
                </c:pt>
                <c:pt idx="94">
                  <c:v>202.80375150126332</c:v>
                </c:pt>
                <c:pt idx="95">
                  <c:v>203.70855557922661</c:v>
                </c:pt>
                <c:pt idx="96">
                  <c:v>204.59057163429333</c:v>
                </c:pt>
                <c:pt idx="97">
                  <c:v>205.45053581251477</c:v>
                </c:pt>
                <c:pt idx="98">
                  <c:v>206.2891841907348</c:v>
                </c:pt>
                <c:pt idx="99">
                  <c:v>207.10726099195122</c:v>
                </c:pt>
                <c:pt idx="100">
                  <c:v>207.90550545856539</c:v>
                </c:pt>
                <c:pt idx="101">
                  <c:v>208.68465369277462</c:v>
                </c:pt>
                <c:pt idx="102">
                  <c:v>209.44544178564485</c:v>
                </c:pt>
                <c:pt idx="103">
                  <c:v>210.18860578493292</c:v>
                </c:pt>
                <c:pt idx="104">
                  <c:v>210.91488175515931</c:v>
                </c:pt>
                <c:pt idx="105">
                  <c:v>211.62500574915501</c:v>
                </c:pt>
                <c:pt idx="106">
                  <c:v>212.31571196366116</c:v>
                </c:pt>
                <c:pt idx="107">
                  <c:v>212.98391843782537</c:v>
                </c:pt>
                <c:pt idx="108">
                  <c:v>213.63063019161768</c:v>
                </c:pt>
                <c:pt idx="109">
                  <c:v>214.25684607782765</c:v>
                </c:pt>
                <c:pt idx="110">
                  <c:v>214.86356494875869</c:v>
                </c:pt>
                <c:pt idx="111">
                  <c:v>215.45178570203927</c:v>
                </c:pt>
                <c:pt idx="112">
                  <c:v>216.02250729102767</c:v>
                </c:pt>
                <c:pt idx="113">
                  <c:v>216.57672727536357</c:v>
                </c:pt>
                <c:pt idx="114">
                  <c:v>217.11543545934106</c:v>
                </c:pt>
                <c:pt idx="115">
                  <c:v>217.63963069654298</c:v>
                </c:pt>
                <c:pt idx="116">
                  <c:v>218.15031189938409</c:v>
                </c:pt>
                <c:pt idx="117">
                  <c:v>218.64847803551581</c:v>
                </c:pt>
                <c:pt idx="118">
                  <c:v>219.13512816017783</c:v>
                </c:pt>
                <c:pt idx="119">
                  <c:v>228.86039396385786</c:v>
                </c:pt>
                <c:pt idx="120">
                  <c:v>229.33813508287705</c:v>
                </c:pt>
                <c:pt idx="121">
                  <c:v>229.79932550042417</c:v>
                </c:pt>
                <c:pt idx="122">
                  <c:v>230.24447822862342</c:v>
                </c:pt>
                <c:pt idx="123">
                  <c:v>230.67411651123948</c:v>
                </c:pt>
                <c:pt idx="124">
                  <c:v>231.08876350191724</c:v>
                </c:pt>
                <c:pt idx="125">
                  <c:v>231.48894224176925</c:v>
                </c:pt>
                <c:pt idx="126">
                  <c:v>231.87517566104319</c:v>
                </c:pt>
                <c:pt idx="127">
                  <c:v>232.24799331295034</c:v>
                </c:pt>
                <c:pt idx="128">
                  <c:v>232.60791999780139</c:v>
                </c:pt>
                <c:pt idx="129">
                  <c:v>232.9554786977281</c:v>
                </c:pt>
                <c:pt idx="130">
                  <c:v>233.29119233626668</c:v>
                </c:pt>
                <c:pt idx="131">
                  <c:v>233.61558376280709</c:v>
                </c:pt>
                <c:pt idx="132">
                  <c:v>233.92917576057141</c:v>
                </c:pt>
                <c:pt idx="133">
                  <c:v>234.23249105686136</c:v>
                </c:pt>
                <c:pt idx="134">
                  <c:v>234.52363327325031</c:v>
                </c:pt>
                <c:pt idx="135">
                  <c:v>234.80071264009382</c:v>
                </c:pt>
                <c:pt idx="136">
                  <c:v>235.06425197251698</c:v>
                </c:pt>
                <c:pt idx="137">
                  <c:v>235.31477538370706</c:v>
                </c:pt>
                <c:pt idx="138">
                  <c:v>235.55280692003316</c:v>
                </c:pt>
                <c:pt idx="139">
                  <c:v>235.77887057581913</c:v>
                </c:pt>
                <c:pt idx="140">
                  <c:v>235.9934902759758</c:v>
                </c:pt>
                <c:pt idx="141">
                  <c:v>236.1971872076563</c:v>
                </c:pt>
                <c:pt idx="142">
                  <c:v>236.39047691175955</c:v>
                </c:pt>
                <c:pt idx="143">
                  <c:v>236.57388268262852</c:v>
                </c:pt>
                <c:pt idx="144">
                  <c:v>236.74792764647202</c:v>
                </c:pt>
                <c:pt idx="145">
                  <c:v>236.91313483227174</c:v>
                </c:pt>
                <c:pt idx="146">
                  <c:v>237.07002714733969</c:v>
                </c:pt>
                <c:pt idx="147">
                  <c:v>237.21912738348212</c:v>
                </c:pt>
                <c:pt idx="148">
                  <c:v>237.3607856535487</c:v>
                </c:pt>
                <c:pt idx="149">
                  <c:v>237.49465789244528</c:v>
                </c:pt>
                <c:pt idx="150">
                  <c:v>237.62022460292266</c:v>
                </c:pt>
                <c:pt idx="151">
                  <c:v>237.73697321734358</c:v>
                </c:pt>
                <c:pt idx="152">
                  <c:v>237.84439140936601</c:v>
                </c:pt>
                <c:pt idx="153">
                  <c:v>237.94196707416444</c:v>
                </c:pt>
                <c:pt idx="154">
                  <c:v>238.02918833693184</c:v>
                </c:pt>
                <c:pt idx="155">
                  <c:v>238.10553882544025</c:v>
                </c:pt>
                <c:pt idx="156">
                  <c:v>238.17051016121655</c:v>
                </c:pt>
                <c:pt idx="157">
                  <c:v>238.22359099254294</c:v>
                </c:pt>
                <c:pt idx="158">
                  <c:v>238.26427014512939</c:v>
                </c:pt>
                <c:pt idx="159">
                  <c:v>238.29203659837208</c:v>
                </c:pt>
                <c:pt idx="160">
                  <c:v>238.30637948266809</c:v>
                </c:pt>
                <c:pt idx="161">
                  <c:v>238.30678806614924</c:v>
                </c:pt>
                <c:pt idx="162">
                  <c:v>238.29292404367553</c:v>
                </c:pt>
                <c:pt idx="163">
                  <c:v>238.26512634932669</c:v>
                </c:pt>
                <c:pt idx="164">
                  <c:v>238.22392228765989</c:v>
                </c:pt>
                <c:pt idx="165">
                  <c:v>238.16983420741175</c:v>
                </c:pt>
                <c:pt idx="166">
                  <c:v>238.10338414809027</c:v>
                </c:pt>
                <c:pt idx="167">
                  <c:v>238.02509382162023</c:v>
                </c:pt>
                <c:pt idx="168">
                  <c:v>237.93548461021967</c:v>
                </c:pt>
                <c:pt idx="169">
                  <c:v>237.83506482471333</c:v>
                </c:pt>
                <c:pt idx="170">
                  <c:v>237.72436034923487</c:v>
                </c:pt>
                <c:pt idx="171">
                  <c:v>237.6038913335525</c:v>
                </c:pt>
                <c:pt idx="172">
                  <c:v>237.47417759226747</c:v>
                </c:pt>
                <c:pt idx="173">
                  <c:v>237.33573866588196</c:v>
                </c:pt>
                <c:pt idx="174">
                  <c:v>237.18909376415888</c:v>
                </c:pt>
                <c:pt idx="175">
                  <c:v>237.03476169037958</c:v>
                </c:pt>
                <c:pt idx="176">
                  <c:v>236.87420727925499</c:v>
                </c:pt>
                <c:pt idx="177">
                  <c:v>236.70785648393189</c:v>
                </c:pt>
                <c:pt idx="178">
                  <c:v>236.5346921840241</c:v>
                </c:pt>
                <c:pt idx="179">
                  <c:v>236.35368408888405</c:v>
                </c:pt>
                <c:pt idx="180">
                  <c:v>236.16380216148963</c:v>
                </c:pt>
                <c:pt idx="181">
                  <c:v>235.96401662876855</c:v>
                </c:pt>
                <c:pt idx="182">
                  <c:v>235.75329798191709</c:v>
                </c:pt>
                <c:pt idx="183">
                  <c:v>235.53061134772335</c:v>
                </c:pt>
                <c:pt idx="184">
                  <c:v>235.29494200180847</c:v>
                </c:pt>
                <c:pt idx="185">
                  <c:v>235.04526139672228</c:v>
                </c:pt>
                <c:pt idx="186">
                  <c:v>234.78054126784349</c:v>
                </c:pt>
                <c:pt idx="187">
                  <c:v>234.49975360284836</c:v>
                </c:pt>
                <c:pt idx="188">
                  <c:v>234.20187068290562</c:v>
                </c:pt>
                <c:pt idx="189">
                  <c:v>233.88586507884625</c:v>
                </c:pt>
                <c:pt idx="190">
                  <c:v>233.55105331118699</c:v>
                </c:pt>
                <c:pt idx="191">
                  <c:v>233.19812221145409</c:v>
                </c:pt>
                <c:pt idx="192">
                  <c:v>232.82811273107458</c:v>
                </c:pt>
                <c:pt idx="193">
                  <c:v>232.44205901522932</c:v>
                </c:pt>
                <c:pt idx="194">
                  <c:v>232.04099478292127</c:v>
                </c:pt>
                <c:pt idx="195">
                  <c:v>231.62595331154182</c:v>
                </c:pt>
                <c:pt idx="196">
                  <c:v>231.19796748807178</c:v>
                </c:pt>
                <c:pt idx="197">
                  <c:v>230.75808017598436</c:v>
                </c:pt>
                <c:pt idx="198">
                  <c:v>230.30732960539396</c:v>
                </c:pt>
                <c:pt idx="199">
                  <c:v>229.84674765157922</c:v>
                </c:pt>
                <c:pt idx="200">
                  <c:v>229.37736581030461</c:v>
                </c:pt>
                <c:pt idx="201">
                  <c:v>228.90021521905044</c:v>
                </c:pt>
                <c:pt idx="202">
                  <c:v>228.41632665053896</c:v>
                </c:pt>
                <c:pt idx="203">
                  <c:v>227.92673053185558</c:v>
                </c:pt>
                <c:pt idx="204">
                  <c:v>227.42988271558914</c:v>
                </c:pt>
                <c:pt idx="205">
                  <c:v>226.92356728775113</c:v>
                </c:pt>
                <c:pt idx="206">
                  <c:v>226.40779056949273</c:v>
                </c:pt>
                <c:pt idx="207">
                  <c:v>225.88255426223301</c:v>
                </c:pt>
                <c:pt idx="208">
                  <c:v>225.34786010586342</c:v>
                </c:pt>
                <c:pt idx="209">
                  <c:v>224.80370990429353</c:v>
                </c:pt>
                <c:pt idx="210">
                  <c:v>224.25010550218116</c:v>
                </c:pt>
                <c:pt idx="211">
                  <c:v>223.68705145520494</c:v>
                </c:pt>
                <c:pt idx="212">
                  <c:v>223.11453894934044</c:v>
                </c:pt>
                <c:pt idx="213">
                  <c:v>222.53256996584761</c:v>
                </c:pt>
                <c:pt idx="214">
                  <c:v>221.9411465524216</c:v>
                </c:pt>
                <c:pt idx="215">
                  <c:v>221.34027081988674</c:v>
                </c:pt>
                <c:pt idx="216">
                  <c:v>220.72994493155608</c:v>
                </c:pt>
                <c:pt idx="217">
                  <c:v>220.11017112526434</c:v>
                </c:pt>
                <c:pt idx="218">
                  <c:v>219.48206580087174</c:v>
                </c:pt>
                <c:pt idx="219">
                  <c:v>218.84639846114013</c:v>
                </c:pt>
                <c:pt idx="220">
                  <c:v>218.20264245058618</c:v>
                </c:pt>
                <c:pt idx="221">
                  <c:v>217.55028571674336</c:v>
                </c:pt>
                <c:pt idx="222">
                  <c:v>216.88881644579678</c:v>
                </c:pt>
                <c:pt idx="223">
                  <c:v>216.21772305626271</c:v>
                </c:pt>
                <c:pt idx="224">
                  <c:v>215.53649418218592</c:v>
                </c:pt>
                <c:pt idx="225">
                  <c:v>214.84464325180588</c:v>
                </c:pt>
                <c:pt idx="226">
                  <c:v>214.14165670587946</c:v>
                </c:pt>
                <c:pt idx="227">
                  <c:v>213.42702388230649</c:v>
                </c:pt>
                <c:pt idx="228">
                  <c:v>212.70023431818987</c:v>
                </c:pt>
                <c:pt idx="229">
                  <c:v>211.96077774726709</c:v>
                </c:pt>
                <c:pt idx="230">
                  <c:v>211.20814408804674</c:v>
                </c:pt>
                <c:pt idx="231">
                  <c:v>210.4418234569965</c:v>
                </c:pt>
                <c:pt idx="232">
                  <c:v>209.66259008553985</c:v>
                </c:pt>
                <c:pt idx="233">
                  <c:v>208.87158426268138</c:v>
                </c:pt>
                <c:pt idx="234">
                  <c:v>208.06881323024186</c:v>
                </c:pt>
                <c:pt idx="235">
                  <c:v>207.25428038202043</c:v>
                </c:pt>
                <c:pt idx="236">
                  <c:v>206.42798908413099</c:v>
                </c:pt>
                <c:pt idx="237">
                  <c:v>205.58994271456362</c:v>
                </c:pt>
                <c:pt idx="238">
                  <c:v>204.74014462844272</c:v>
                </c:pt>
                <c:pt idx="239">
                  <c:v>203.87858071609952</c:v>
                </c:pt>
                <c:pt idx="240">
                  <c:v>203.00522960261833</c:v>
                </c:pt>
                <c:pt idx="241">
                  <c:v>202.12009463077362</c:v>
                </c:pt>
                <c:pt idx="242">
                  <c:v>201.22317913832097</c:v>
                </c:pt>
                <c:pt idx="243">
                  <c:v>200.31448647489086</c:v>
                </c:pt>
                <c:pt idx="244">
                  <c:v>199.39401999010332</c:v>
                </c:pt>
                <c:pt idx="245">
                  <c:v>198.46178304390261</c:v>
                </c:pt>
                <c:pt idx="246">
                  <c:v>197.51777900168165</c:v>
                </c:pt>
                <c:pt idx="247">
                  <c:v>196.56200211259736</c:v>
                </c:pt>
                <c:pt idx="248">
                  <c:v>195.59443184001282</c:v>
                </c:pt>
                <c:pt idx="249">
                  <c:v>194.61507163212468</c:v>
                </c:pt>
                <c:pt idx="250">
                  <c:v>193.6239249562945</c:v>
                </c:pt>
                <c:pt idx="251">
                  <c:v>192.62099530188118</c:v>
                </c:pt>
                <c:pt idx="252">
                  <c:v>191.60628617853342</c:v>
                </c:pt>
                <c:pt idx="253">
                  <c:v>190.5798176305602</c:v>
                </c:pt>
                <c:pt idx="254">
                  <c:v>189.54161050522166</c:v>
                </c:pt>
                <c:pt idx="255">
                  <c:v>188.49166826018862</c:v>
                </c:pt>
                <c:pt idx="256">
                  <c:v>187.42999435967982</c:v>
                </c:pt>
                <c:pt idx="257">
                  <c:v>186.35659225990094</c:v>
                </c:pt>
                <c:pt idx="258">
                  <c:v>185.27146541260811</c:v>
                </c:pt>
                <c:pt idx="259">
                  <c:v>184.17461725324944</c:v>
                </c:pt>
                <c:pt idx="260">
                  <c:v>183.06272085779261</c:v>
                </c:pt>
                <c:pt idx="261">
                  <c:v>181.93345541416204</c:v>
                </c:pt>
                <c:pt idx="262">
                  <c:v>180.78837156980478</c:v>
                </c:pt>
                <c:pt idx="263">
                  <c:v>179.62901040161577</c:v>
                </c:pt>
                <c:pt idx="264">
                  <c:v>178.45691245327978</c:v>
                </c:pt>
                <c:pt idx="265">
                  <c:v>177.27361765675792</c:v>
                </c:pt>
                <c:pt idx="266">
                  <c:v>176.0806654297327</c:v>
                </c:pt>
                <c:pt idx="267">
                  <c:v>174.87952937071947</c:v>
                </c:pt>
                <c:pt idx="268">
                  <c:v>173.67173212104345</c:v>
                </c:pt>
                <c:pt idx="269">
                  <c:v>172.45881205918658</c:v>
                </c:pt>
                <c:pt idx="270">
                  <c:v>171.24230704631032</c:v>
                </c:pt>
                <c:pt idx="271">
                  <c:v>170.02375443531744</c:v>
                </c:pt>
                <c:pt idx="272">
                  <c:v>168.80469106533783</c:v>
                </c:pt>
                <c:pt idx="273">
                  <c:v>167.5866532640043</c:v>
                </c:pt>
                <c:pt idx="274">
                  <c:v>166.36622949739552</c:v>
                </c:pt>
                <c:pt idx="275">
                  <c:v>165.13931593493825</c:v>
                </c:pt>
                <c:pt idx="276">
                  <c:v>163.9064453392449</c:v>
                </c:pt>
                <c:pt idx="277">
                  <c:v>162.66813115566458</c:v>
                </c:pt>
                <c:pt idx="278">
                  <c:v>161.42488658770534</c:v>
                </c:pt>
                <c:pt idx="279">
                  <c:v>160.17722459089487</c:v>
                </c:pt>
                <c:pt idx="280">
                  <c:v>158.92565786991523</c:v>
                </c:pt>
                <c:pt idx="281">
                  <c:v>157.67075252582501</c:v>
                </c:pt>
                <c:pt idx="282">
                  <c:v>156.41308250125977</c:v>
                </c:pt>
                <c:pt idx="283">
                  <c:v>155.15315825071858</c:v>
                </c:pt>
                <c:pt idx="284">
                  <c:v>153.89148986881244</c:v>
                </c:pt>
                <c:pt idx="285">
                  <c:v>152.62858709104097</c:v>
                </c:pt>
                <c:pt idx="286">
                  <c:v>151.36495929112075</c:v>
                </c:pt>
                <c:pt idx="287">
                  <c:v>150.10111548623996</c:v>
                </c:pt>
                <c:pt idx="288">
                  <c:v>148.83407067373156</c:v>
                </c:pt>
                <c:pt idx="289">
                  <c:v>147.56086410671622</c:v>
                </c:pt>
                <c:pt idx="290">
                  <c:v>146.28253164568545</c:v>
                </c:pt>
                <c:pt idx="291">
                  <c:v>145.00009844892637</c:v>
                </c:pt>
                <c:pt idx="292">
                  <c:v>143.7145894138902</c:v>
                </c:pt>
                <c:pt idx="293">
                  <c:v>142.42702916847651</c:v>
                </c:pt>
                <c:pt idx="294">
                  <c:v>141.1384420765915</c:v>
                </c:pt>
                <c:pt idx="295">
                  <c:v>139.84955051513475</c:v>
                </c:pt>
                <c:pt idx="296">
                  <c:v>138.56133384624223</c:v>
                </c:pt>
                <c:pt idx="297">
                  <c:v>137.27482191398042</c:v>
                </c:pt>
                <c:pt idx="298">
                  <c:v>135.99104460020027</c:v>
                </c:pt>
                <c:pt idx="299">
                  <c:v>134.71103158159411</c:v>
                </c:pt>
                <c:pt idx="300">
                  <c:v>133.43581229289731</c:v>
                </c:pt>
                <c:pt idx="301">
                  <c:v>132.16641588607425</c:v>
                </c:pt>
                <c:pt idx="302">
                  <c:v>130.89689050541637</c:v>
                </c:pt>
                <c:pt idx="303">
                  <c:v>129.62230431675783</c:v>
                </c:pt>
                <c:pt idx="304">
                  <c:v>128.34499128739307</c:v>
                </c:pt>
                <c:pt idx="305">
                  <c:v>127.06698966803856</c:v>
                </c:pt>
                <c:pt idx="306">
                  <c:v>125.79033693614387</c:v>
                </c:pt>
                <c:pt idx="307">
                  <c:v>124.5170698227893</c:v>
                </c:pt>
                <c:pt idx="308">
                  <c:v>123.24922433286348</c:v>
                </c:pt>
                <c:pt idx="309">
                  <c:v>121.98895658145328</c:v>
                </c:pt>
                <c:pt idx="310">
                  <c:v>120.73857103636324</c:v>
                </c:pt>
                <c:pt idx="311">
                  <c:v>119.50009328171632</c:v>
                </c:pt>
                <c:pt idx="312">
                  <c:v>118.27554843076869</c:v>
                </c:pt>
                <c:pt idx="313">
                  <c:v>117.06696118596999</c:v>
                </c:pt>
                <c:pt idx="314">
                  <c:v>115.8763559091875</c:v>
                </c:pt>
                <c:pt idx="315">
                  <c:v>114.70575667941583</c:v>
                </c:pt>
                <c:pt idx="316">
                  <c:v>113.54323869541211</c:v>
                </c:pt>
                <c:pt idx="317">
                  <c:v>112.3781903129896</c:v>
                </c:pt>
                <c:pt idx="318">
                  <c:v>111.21437881469673</c:v>
                </c:pt>
                <c:pt idx="319">
                  <c:v>110.05588057368794</c:v>
                </c:pt>
                <c:pt idx="320">
                  <c:v>108.90677115666435</c:v>
                </c:pt>
                <c:pt idx="321">
                  <c:v>107.77112530637108</c:v>
                </c:pt>
                <c:pt idx="322">
                  <c:v>106.65301695226448</c:v>
                </c:pt>
                <c:pt idx="323">
                  <c:v>105.5568226583992</c:v>
                </c:pt>
                <c:pt idx="324">
                  <c:v>104.48650013674528</c:v>
                </c:pt>
                <c:pt idx="325">
                  <c:v>103.44611758918731</c:v>
                </c:pt>
                <c:pt idx="326">
                  <c:v>102.43974339048268</c:v>
                </c:pt>
                <c:pt idx="327">
                  <c:v>101.47144484609071</c:v>
                </c:pt>
                <c:pt idx="328">
                  <c:v>100.545288045036</c:v>
                </c:pt>
                <c:pt idx="329">
                  <c:v>99.665338505439067</c:v>
                </c:pt>
                <c:pt idx="330">
                  <c:v>98.821205784628162</c:v>
                </c:pt>
                <c:pt idx="331">
                  <c:v>98.001182369463066</c:v>
                </c:pt>
                <c:pt idx="332">
                  <c:v>97.207270508061626</c:v>
                </c:pt>
                <c:pt idx="333">
                  <c:v>96.441425199090432</c:v>
                </c:pt>
                <c:pt idx="334">
                  <c:v>95.705601603767974</c:v>
                </c:pt>
                <c:pt idx="335">
                  <c:v>95.001754988460547</c:v>
                </c:pt>
                <c:pt idx="336">
                  <c:v>94.331840682527329</c:v>
                </c:pt>
                <c:pt idx="337">
                  <c:v>93.697661680270045</c:v>
                </c:pt>
                <c:pt idx="338">
                  <c:v>93.100893883578664</c:v>
                </c:pt>
                <c:pt idx="339">
                  <c:v>92.543497288194402</c:v>
                </c:pt>
                <c:pt idx="340">
                  <c:v>92.027431296405823</c:v>
                </c:pt>
                <c:pt idx="341">
                  <c:v>91.554654699750202</c:v>
                </c:pt>
                <c:pt idx="342">
                  <c:v>91.127125705473702</c:v>
                </c:pt>
                <c:pt idx="343">
                  <c:v>90.746801834636429</c:v>
                </c:pt>
                <c:pt idx="344">
                  <c:v>90.410326115093582</c:v>
                </c:pt>
                <c:pt idx="345">
                  <c:v>90.113158150753037</c:v>
                </c:pt>
                <c:pt idx="346">
                  <c:v>89.855327804411047</c:v>
                </c:pt>
                <c:pt idx="347">
                  <c:v>89.637017696679763</c:v>
                </c:pt>
                <c:pt idx="348">
                  <c:v>89.458410115347462</c:v>
                </c:pt>
                <c:pt idx="349">
                  <c:v>89.319687021242942</c:v>
                </c:pt>
                <c:pt idx="350">
                  <c:v>89.221030073636996</c:v>
                </c:pt>
                <c:pt idx="351">
                  <c:v>89.162553036005377</c:v>
                </c:pt>
                <c:pt idx="352">
                  <c:v>89.144583990597738</c:v>
                </c:pt>
                <c:pt idx="353">
                  <c:v>89.167303349096997</c:v>
                </c:pt>
                <c:pt idx="354">
                  <c:v>89.230891254775187</c:v>
                </c:pt>
                <c:pt idx="355">
                  <c:v>89.33552770286822</c:v>
                </c:pt>
                <c:pt idx="356">
                  <c:v>89.481392965690105</c:v>
                </c:pt>
                <c:pt idx="357">
                  <c:v>89.66866606946985</c:v>
                </c:pt>
                <c:pt idx="358">
                  <c:v>89.901188734977893</c:v>
                </c:pt>
                <c:pt idx="359">
                  <c:v>90.181497230067208</c:v>
                </c:pt>
                <c:pt idx="360">
                  <c:v>90.50766771452146</c:v>
                </c:pt>
                <c:pt idx="361">
                  <c:v>90.877989632493112</c:v>
                </c:pt>
                <c:pt idx="362">
                  <c:v>91.290685701590888</c:v>
                </c:pt>
                <c:pt idx="363">
                  <c:v>91.743979029060228</c:v>
                </c:pt>
                <c:pt idx="364">
                  <c:v>92.236093149490941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'2030'!$B$15:$B$380</c:f>
              <c:numCache>
                <c:formatCode>0.00</c:formatCode>
                <c:ptCount val="366"/>
                <c:pt idx="0">
                  <c:v>91.655394055965928</c:v>
                </c:pt>
                <c:pt idx="1">
                  <c:v>67.022674580878174</c:v>
                </c:pt>
                <c:pt idx="2">
                  <c:v>69.799275130290823</c:v>
                </c:pt>
                <c:pt idx="3">
                  <c:v>74.962311682913651</c:v>
                </c:pt>
                <c:pt idx="4">
                  <c:v>56.366633006393066</c:v>
                </c:pt>
                <c:pt idx="5">
                  <c:v>96.549653288883121</c:v>
                </c:pt>
                <c:pt idx="6">
                  <c:v>36.523795804204291</c:v>
                </c:pt>
                <c:pt idx="7">
                  <c:v>24.454006379215834</c:v>
                </c:pt>
                <c:pt idx="8">
                  <c:v>7.6350890535817726</c:v>
                </c:pt>
                <c:pt idx="9">
                  <c:v>7.0191197694504144</c:v>
                </c:pt>
                <c:pt idx="10">
                  <c:v>94.107791413761419</c:v>
                </c:pt>
                <c:pt idx="11">
                  <c:v>80.687161755565825</c:v>
                </c:pt>
                <c:pt idx="12">
                  <c:v>25.891330932264928</c:v>
                </c:pt>
                <c:pt idx="13">
                  <c:v>103.26036391817063</c:v>
                </c:pt>
                <c:pt idx="14">
                  <c:v>104.8444359070832</c:v>
                </c:pt>
                <c:pt idx="15">
                  <c:v>104.26877396404824</c:v>
                </c:pt>
                <c:pt idx="16">
                  <c:v>81.880811249517706</c:v>
                </c:pt>
                <c:pt idx="17">
                  <c:v>21.446304615112446</c:v>
                </c:pt>
                <c:pt idx="18">
                  <c:v>43.797247063372858</c:v>
                </c:pt>
                <c:pt idx="19">
                  <c:v>22.572361800716433</c:v>
                </c:pt>
                <c:pt idx="20">
                  <c:v>56.668238661981718</c:v>
                </c:pt>
                <c:pt idx="21">
                  <c:v>108.83007636439025</c:v>
                </c:pt>
                <c:pt idx="22">
                  <c:v>110.6191044283584</c:v>
                </c:pt>
                <c:pt idx="23">
                  <c:v>111.98341340193909</c:v>
                </c:pt>
                <c:pt idx="24">
                  <c:v>110.94608620636046</c:v>
                </c:pt>
                <c:pt idx="25">
                  <c:v>112.89688602400723</c:v>
                </c:pt>
                <c:pt idx="26">
                  <c:v>114.73429483045187</c:v>
                </c:pt>
                <c:pt idx="27">
                  <c:v>17.775702827909953</c:v>
                </c:pt>
                <c:pt idx="28">
                  <c:v>27.860394018002868</c:v>
                </c:pt>
                <c:pt idx="29">
                  <c:v>25.100804360684542</c:v>
                </c:pt>
                <c:pt idx="30">
                  <c:v>24.945987876309495</c:v>
                </c:pt>
                <c:pt idx="31">
                  <c:v>54.376760097838989</c:v>
                </c:pt>
                <c:pt idx="32">
                  <c:v>24.252566612691449</c:v>
                </c:pt>
                <c:pt idx="33">
                  <c:v>54.436545657329077</c:v>
                </c:pt>
                <c:pt idx="34">
                  <c:v>49.526535243631209</c:v>
                </c:pt>
                <c:pt idx="35">
                  <c:v>41.516035267996912</c:v>
                </c:pt>
                <c:pt idx="36">
                  <c:v>88.076078810060949</c:v>
                </c:pt>
                <c:pt idx="37">
                  <c:v>39.796295238660285</c:v>
                </c:pt>
                <c:pt idx="38">
                  <c:v>133.16104160088454</c:v>
                </c:pt>
                <c:pt idx="39">
                  <c:v>132.52094031970177</c:v>
                </c:pt>
                <c:pt idx="40">
                  <c:v>124.46531928255573</c:v>
                </c:pt>
                <c:pt idx="41">
                  <c:v>62.078525630031869</c:v>
                </c:pt>
                <c:pt idx="42">
                  <c:v>103.9655511248085</c:v>
                </c:pt>
                <c:pt idx="43">
                  <c:v>126.84327051153321</c:v>
                </c:pt>
                <c:pt idx="44">
                  <c:v>72.3233503202012</c:v>
                </c:pt>
                <c:pt idx="45">
                  <c:v>76.362684876309658</c:v>
                </c:pt>
                <c:pt idx="46">
                  <c:v>29.494099921943736</c:v>
                </c:pt>
                <c:pt idx="47">
                  <c:v>43.45120114294609</c:v>
                </c:pt>
                <c:pt idx="48">
                  <c:v>123.53760882150073</c:v>
                </c:pt>
                <c:pt idx="49">
                  <c:v>70.413884786723102</c:v>
                </c:pt>
                <c:pt idx="50">
                  <c:v>88.590115415868837</c:v>
                </c:pt>
                <c:pt idx="51">
                  <c:v>96.403720261751545</c:v>
                </c:pt>
                <c:pt idx="52">
                  <c:v>129.05676329075362</c:v>
                </c:pt>
                <c:pt idx="53">
                  <c:v>133.36126516402106</c:v>
                </c:pt>
                <c:pt idx="54">
                  <c:v>84.533208342234829</c:v>
                </c:pt>
                <c:pt idx="55">
                  <c:v>119.73245403433208</c:v>
                </c:pt>
                <c:pt idx="56">
                  <c:v>158.88355891294694</c:v>
                </c:pt>
                <c:pt idx="57">
                  <c:v>105.71358509459779</c:v>
                </c:pt>
                <c:pt idx="58">
                  <c:v>143.41828497019551</c:v>
                </c:pt>
                <c:pt idx="59">
                  <c:v>161.13153755630066</c:v>
                </c:pt>
                <c:pt idx="60">
                  <c:v>49.313235100896918</c:v>
                </c:pt>
                <c:pt idx="61">
                  <c:v>148.67922920272164</c:v>
                </c:pt>
                <c:pt idx="62">
                  <c:v>18.984392218005514</c:v>
                </c:pt>
                <c:pt idx="63">
                  <c:v>62.693558639189114</c:v>
                </c:pt>
                <c:pt idx="64">
                  <c:v>88.51249888648691</c:v>
                </c:pt>
                <c:pt idx="65">
                  <c:v>131.49852764367722</c:v>
                </c:pt>
                <c:pt idx="66">
                  <c:v>121.24587322902528</c:v>
                </c:pt>
                <c:pt idx="67">
                  <c:v>130.60952083001197</c:v>
                </c:pt>
                <c:pt idx="68">
                  <c:v>93.884880841125707</c:v>
                </c:pt>
                <c:pt idx="69">
                  <c:v>64.260148055203317</c:v>
                </c:pt>
                <c:pt idx="70">
                  <c:v>60.14182383818499</c:v>
                </c:pt>
                <c:pt idx="71">
                  <c:v>53.114676772260275</c:v>
                </c:pt>
                <c:pt idx="72">
                  <c:v>52.124893456856356</c:v>
                </c:pt>
                <c:pt idx="73">
                  <c:v>55.612984185203047</c:v>
                </c:pt>
                <c:pt idx="74">
                  <c:v>36.963006996120932</c:v>
                </c:pt>
                <c:pt idx="75">
                  <c:v>47.476256775221941</c:v>
                </c:pt>
                <c:pt idx="76">
                  <c:v>50.124006010944335</c:v>
                </c:pt>
                <c:pt idx="77">
                  <c:v>113.9108848303696</c:v>
                </c:pt>
                <c:pt idx="78">
                  <c:v>121.66692255643629</c:v>
                </c:pt>
                <c:pt idx="79">
                  <c:v>175.34325841103126</c:v>
                </c:pt>
                <c:pt idx="80">
                  <c:v>156.11868547749327</c:v>
                </c:pt>
                <c:pt idx="81">
                  <c:v>186.88005982138853</c:v>
                </c:pt>
                <c:pt idx="82">
                  <c:v>185.32533391065061</c:v>
                </c:pt>
                <c:pt idx="83">
                  <c:v>157.89427621506465</c:v>
                </c:pt>
                <c:pt idx="84">
                  <c:v>174.09179099433413</c:v>
                </c:pt>
                <c:pt idx="85">
                  <c:v>175.98813234024746</c:v>
                </c:pt>
                <c:pt idx="86">
                  <c:v>138.76394900742059</c:v>
                </c:pt>
                <c:pt idx="87">
                  <c:v>109.11399035782175</c:v>
                </c:pt>
                <c:pt idx="88">
                  <c:v>28.664499988202873</c:v>
                </c:pt>
                <c:pt idx="89">
                  <c:v>82.936558280008668</c:v>
                </c:pt>
                <c:pt idx="90">
                  <c:v>140.7803874696672</c:v>
                </c:pt>
                <c:pt idx="91">
                  <c:v>68.867680913007277</c:v>
                </c:pt>
                <c:pt idx="92">
                  <c:v>110.55444290027603</c:v>
                </c:pt>
                <c:pt idx="93">
                  <c:v>168.67115183262612</c:v>
                </c:pt>
                <c:pt idx="94">
                  <c:v>206.66687940346077</c:v>
                </c:pt>
                <c:pt idx="95">
                  <c:v>51.311085750852051</c:v>
                </c:pt>
                <c:pt idx="96">
                  <c:v>157.6917971190947</c:v>
                </c:pt>
                <c:pt idx="97">
                  <c:v>125.51278833274567</c:v>
                </c:pt>
                <c:pt idx="98">
                  <c:v>135.48441256805989</c:v>
                </c:pt>
                <c:pt idx="99">
                  <c:v>211.51785893898611</c:v>
                </c:pt>
                <c:pt idx="100">
                  <c:v>170.1184560886208</c:v>
                </c:pt>
                <c:pt idx="101">
                  <c:v>142.43727880632761</c:v>
                </c:pt>
                <c:pt idx="102">
                  <c:v>23.630397123340771</c:v>
                </c:pt>
                <c:pt idx="103">
                  <c:v>169.64475249508524</c:v>
                </c:pt>
                <c:pt idx="104">
                  <c:v>179.11132736781576</c:v>
                </c:pt>
                <c:pt idx="105">
                  <c:v>180.19312864246871</c:v>
                </c:pt>
                <c:pt idx="106">
                  <c:v>216.16350668528327</c:v>
                </c:pt>
                <c:pt idx="107">
                  <c:v>159.53315798410554</c:v>
                </c:pt>
                <c:pt idx="108">
                  <c:v>36.033384239286022</c:v>
                </c:pt>
                <c:pt idx="109">
                  <c:v>40.866736574157116</c:v>
                </c:pt>
                <c:pt idx="110">
                  <c:v>36.417256802866625</c:v>
                </c:pt>
                <c:pt idx="111">
                  <c:v>110.81628765896284</c:v>
                </c:pt>
                <c:pt idx="112">
                  <c:v>40.371991536976452</c:v>
                </c:pt>
                <c:pt idx="113">
                  <c:v>109.04697313900708</c:v>
                </c:pt>
                <c:pt idx="114">
                  <c:v>184.34859383973961</c:v>
                </c:pt>
                <c:pt idx="115">
                  <c:v>216.63008147638112</c:v>
                </c:pt>
                <c:pt idx="116">
                  <c:v>154.32161771631937</c:v>
                </c:pt>
                <c:pt idx="117">
                  <c:v>89.879385294426186</c:v>
                </c:pt>
                <c:pt idx="118">
                  <c:v>166.09693803480431</c:v>
                </c:pt>
                <c:pt idx="119">
                  <c:v>162.07415246764134</c:v>
                </c:pt>
                <c:pt idx="120">
                  <c:v>192.92454102368646</c:v>
                </c:pt>
                <c:pt idx="121">
                  <c:v>114.47175596488377</c:v>
                </c:pt>
                <c:pt idx="122">
                  <c:v>130.34377208941626</c:v>
                </c:pt>
                <c:pt idx="123">
                  <c:v>76.503664016090738</c:v>
                </c:pt>
                <c:pt idx="124">
                  <c:v>161.17033716684477</c:v>
                </c:pt>
                <c:pt idx="125">
                  <c:v>149.93372708703407</c:v>
                </c:pt>
                <c:pt idx="126">
                  <c:v>190.14758928487075</c:v>
                </c:pt>
                <c:pt idx="127">
                  <c:v>207.73381204284414</c:v>
                </c:pt>
                <c:pt idx="128">
                  <c:v>223.99359166727612</c:v>
                </c:pt>
                <c:pt idx="129">
                  <c:v>214.36571990707552</c:v>
                </c:pt>
                <c:pt idx="130">
                  <c:v>230.89052291860719</c:v>
                </c:pt>
                <c:pt idx="131">
                  <c:v>173.42019680726767</c:v>
                </c:pt>
                <c:pt idx="132">
                  <c:v>164.78506787030946</c:v>
                </c:pt>
                <c:pt idx="133">
                  <c:v>203.30919174283031</c:v>
                </c:pt>
                <c:pt idx="134">
                  <c:v>213.91365182161661</c:v>
                </c:pt>
                <c:pt idx="135">
                  <c:v>206.86486035782207</c:v>
                </c:pt>
                <c:pt idx="136">
                  <c:v>225.51375967081594</c:v>
                </c:pt>
                <c:pt idx="137">
                  <c:v>216.58980891156449</c:v>
                </c:pt>
                <c:pt idx="138">
                  <c:v>221.08917712952976</c:v>
                </c:pt>
                <c:pt idx="139">
                  <c:v>198.29888871361888</c:v>
                </c:pt>
                <c:pt idx="140">
                  <c:v>205.45950684399207</c:v>
                </c:pt>
                <c:pt idx="141">
                  <c:v>153.00906356585929</c:v>
                </c:pt>
                <c:pt idx="142">
                  <c:v>72.329773248114108</c:v>
                </c:pt>
                <c:pt idx="143">
                  <c:v>67.551424661704715</c:v>
                </c:pt>
                <c:pt idx="144">
                  <c:v>167.62036452738226</c:v>
                </c:pt>
                <c:pt idx="145">
                  <c:v>107.7943912704295</c:v>
                </c:pt>
                <c:pt idx="146">
                  <c:v>181.48299950549236</c:v>
                </c:pt>
                <c:pt idx="147">
                  <c:v>223.28039661304894</c:v>
                </c:pt>
                <c:pt idx="148">
                  <c:v>243.22253685195309</c:v>
                </c:pt>
                <c:pt idx="149">
                  <c:v>205.02201520805795</c:v>
                </c:pt>
                <c:pt idx="150">
                  <c:v>224.68091002944041</c:v>
                </c:pt>
                <c:pt idx="151">
                  <c:v>234.55792340495611</c:v>
                </c:pt>
                <c:pt idx="152">
                  <c:v>164.97984544079679</c:v>
                </c:pt>
                <c:pt idx="153">
                  <c:v>226.6576974771198</c:v>
                </c:pt>
                <c:pt idx="154">
                  <c:v>98.751801211083219</c:v>
                </c:pt>
                <c:pt idx="155">
                  <c:v>127.94445875391071</c:v>
                </c:pt>
                <c:pt idx="156">
                  <c:v>187.99635292728459</c:v>
                </c:pt>
                <c:pt idx="157">
                  <c:v>117.14396819737662</c:v>
                </c:pt>
                <c:pt idx="158">
                  <c:v>89.249633043494612</c:v>
                </c:pt>
                <c:pt idx="159">
                  <c:v>189.3367330690981</c:v>
                </c:pt>
                <c:pt idx="160">
                  <c:v>239.3551164490421</c:v>
                </c:pt>
                <c:pt idx="161">
                  <c:v>227.3356779285842</c:v>
                </c:pt>
                <c:pt idx="162">
                  <c:v>179.47390904927227</c:v>
                </c:pt>
                <c:pt idx="163">
                  <c:v>220.7305969118832</c:v>
                </c:pt>
                <c:pt idx="164">
                  <c:v>199.28891994417177</c:v>
                </c:pt>
                <c:pt idx="165">
                  <c:v>223.70747411175341</c:v>
                </c:pt>
                <c:pt idx="166">
                  <c:v>211.18916614754082</c:v>
                </c:pt>
                <c:pt idx="167">
                  <c:v>217.77490889869588</c:v>
                </c:pt>
                <c:pt idx="168">
                  <c:v>224.51345825778441</c:v>
                </c:pt>
                <c:pt idx="169">
                  <c:v>228.77486528107926</c:v>
                </c:pt>
                <c:pt idx="170">
                  <c:v>123.20076779395431</c:v>
                </c:pt>
                <c:pt idx="171">
                  <c:v>87.870678274384147</c:v>
                </c:pt>
                <c:pt idx="172">
                  <c:v>173.68978557043883</c:v>
                </c:pt>
                <c:pt idx="173">
                  <c:v>169.94125970150057</c:v>
                </c:pt>
                <c:pt idx="174">
                  <c:v>169.80468519632234</c:v>
                </c:pt>
                <c:pt idx="175">
                  <c:v>144.8378518086578</c:v>
                </c:pt>
                <c:pt idx="176">
                  <c:v>48.167055716381874</c:v>
                </c:pt>
                <c:pt idx="177">
                  <c:v>56.272839418018705</c:v>
                </c:pt>
                <c:pt idx="178">
                  <c:v>246.04024432824303</c:v>
                </c:pt>
                <c:pt idx="179">
                  <c:v>233.59155277195765</c:v>
                </c:pt>
                <c:pt idx="180">
                  <c:v>54.542024134579997</c:v>
                </c:pt>
                <c:pt idx="181">
                  <c:v>209.1534998726585</c:v>
                </c:pt>
                <c:pt idx="182">
                  <c:v>231.13821459520133</c:v>
                </c:pt>
                <c:pt idx="183">
                  <c:v>191.43316833126093</c:v>
                </c:pt>
                <c:pt idx="184">
                  <c:v>186.74633897061258</c:v>
                </c:pt>
                <c:pt idx="185">
                  <c:v>224.63502478634749</c:v>
                </c:pt>
                <c:pt idx="186">
                  <c:v>178.31924504050542</c:v>
                </c:pt>
                <c:pt idx="187">
                  <c:v>221.60227756655783</c:v>
                </c:pt>
                <c:pt idx="188">
                  <c:v>235.00656762876173</c:v>
                </c:pt>
                <c:pt idx="189">
                  <c:v>232.54636438782816</c:v>
                </c:pt>
                <c:pt idx="190">
                  <c:v>230.67399032773454</c:v>
                </c:pt>
                <c:pt idx="191">
                  <c:v>224.42407031342373</c:v>
                </c:pt>
                <c:pt idx="192">
                  <c:v>221.7898619546134</c:v>
                </c:pt>
                <c:pt idx="193">
                  <c:v>221.91619616072882</c:v>
                </c:pt>
                <c:pt idx="194">
                  <c:v>219.51544634521849</c:v>
                </c:pt>
                <c:pt idx="195">
                  <c:v>210.56294268896741</c:v>
                </c:pt>
                <c:pt idx="196">
                  <c:v>216.10933748581027</c:v>
                </c:pt>
                <c:pt idx="197">
                  <c:v>215.397284424529</c:v>
                </c:pt>
                <c:pt idx="198">
                  <c:v>218.93444408799903</c:v>
                </c:pt>
                <c:pt idx="199">
                  <c:v>154.95145319717039</c:v>
                </c:pt>
                <c:pt idx="200">
                  <c:v>158.87595040006158</c:v>
                </c:pt>
                <c:pt idx="201">
                  <c:v>212.2366189330865</c:v>
                </c:pt>
                <c:pt idx="202">
                  <c:v>161.00028244722554</c:v>
                </c:pt>
                <c:pt idx="203">
                  <c:v>185.28634025687595</c:v>
                </c:pt>
                <c:pt idx="204">
                  <c:v>215.0262621299031</c:v>
                </c:pt>
                <c:pt idx="205">
                  <c:v>115.76228302811182</c:v>
                </c:pt>
                <c:pt idx="206">
                  <c:v>206.55353576523865</c:v>
                </c:pt>
                <c:pt idx="207">
                  <c:v>226.67254653406346</c:v>
                </c:pt>
                <c:pt idx="208">
                  <c:v>183.0957071709916</c:v>
                </c:pt>
                <c:pt idx="209">
                  <c:v>111.21634665461305</c:v>
                </c:pt>
                <c:pt idx="210">
                  <c:v>192.50235839756743</c:v>
                </c:pt>
                <c:pt idx="211">
                  <c:v>220.29258856158756</c:v>
                </c:pt>
                <c:pt idx="212">
                  <c:v>219.22067990894112</c:v>
                </c:pt>
                <c:pt idx="213">
                  <c:v>219.27443872795649</c:v>
                </c:pt>
                <c:pt idx="214">
                  <c:v>208.19324605512685</c:v>
                </c:pt>
                <c:pt idx="215">
                  <c:v>197.57317838698648</c:v>
                </c:pt>
                <c:pt idx="216">
                  <c:v>183.82464222054216</c:v>
                </c:pt>
                <c:pt idx="217">
                  <c:v>197.16771064246521</c:v>
                </c:pt>
                <c:pt idx="218">
                  <c:v>210.70285348276425</c:v>
                </c:pt>
                <c:pt idx="219">
                  <c:v>214.39554089379197</c:v>
                </c:pt>
                <c:pt idx="220">
                  <c:v>204.32512388292284</c:v>
                </c:pt>
                <c:pt idx="221">
                  <c:v>198.62234984619232</c:v>
                </c:pt>
                <c:pt idx="222">
                  <c:v>184.33448872286525</c:v>
                </c:pt>
                <c:pt idx="223">
                  <c:v>193.11733515216667</c:v>
                </c:pt>
                <c:pt idx="224">
                  <c:v>134.23799438674169</c:v>
                </c:pt>
                <c:pt idx="225">
                  <c:v>147.23841123096454</c:v>
                </c:pt>
                <c:pt idx="226">
                  <c:v>151.56273390280302</c:v>
                </c:pt>
                <c:pt idx="227">
                  <c:v>136.34539989578559</c:v>
                </c:pt>
                <c:pt idx="228">
                  <c:v>105.00597080990205</c:v>
                </c:pt>
                <c:pt idx="229">
                  <c:v>128.93451885959936</c:v>
                </c:pt>
                <c:pt idx="230">
                  <c:v>139.11152417379424</c:v>
                </c:pt>
                <c:pt idx="231">
                  <c:v>203.20120034961784</c:v>
                </c:pt>
                <c:pt idx="232">
                  <c:v>129.63539146831698</c:v>
                </c:pt>
                <c:pt idx="233">
                  <c:v>102.23192009223693</c:v>
                </c:pt>
                <c:pt idx="234">
                  <c:v>177.42810245309133</c:v>
                </c:pt>
                <c:pt idx="235">
                  <c:v>188.9780529190127</c:v>
                </c:pt>
                <c:pt idx="236">
                  <c:v>132.3703308678283</c:v>
                </c:pt>
                <c:pt idx="237">
                  <c:v>178.72816320122331</c:v>
                </c:pt>
                <c:pt idx="238">
                  <c:v>195.50821533090516</c:v>
                </c:pt>
                <c:pt idx="239">
                  <c:v>192.53579903398304</c:v>
                </c:pt>
                <c:pt idx="240">
                  <c:v>129.60567149599106</c:v>
                </c:pt>
                <c:pt idx="241">
                  <c:v>192.44661326141983</c:v>
                </c:pt>
                <c:pt idx="242">
                  <c:v>85.611001958765598</c:v>
                </c:pt>
                <c:pt idx="243">
                  <c:v>170.26902217887081</c:v>
                </c:pt>
                <c:pt idx="244">
                  <c:v>167.82742105432899</c:v>
                </c:pt>
                <c:pt idx="245">
                  <c:v>131.09228864650868</c:v>
                </c:pt>
                <c:pt idx="246">
                  <c:v>184.6583643541407</c:v>
                </c:pt>
                <c:pt idx="247">
                  <c:v>163.08374315442978</c:v>
                </c:pt>
                <c:pt idx="248">
                  <c:v>182.88556673346486</c:v>
                </c:pt>
                <c:pt idx="249">
                  <c:v>138.99937044333302</c:v>
                </c:pt>
                <c:pt idx="250">
                  <c:v>161.57864040287126</c:v>
                </c:pt>
                <c:pt idx="251">
                  <c:v>86.417232212691744</c:v>
                </c:pt>
                <c:pt idx="252">
                  <c:v>179.76767812154756</c:v>
                </c:pt>
                <c:pt idx="253">
                  <c:v>183.2421726500894</c:v>
                </c:pt>
                <c:pt idx="254">
                  <c:v>126.87161961610853</c:v>
                </c:pt>
                <c:pt idx="255">
                  <c:v>45.672982440388296</c:v>
                </c:pt>
                <c:pt idx="256">
                  <c:v>145.65146029820281</c:v>
                </c:pt>
                <c:pt idx="257">
                  <c:v>162.97945293349278</c:v>
                </c:pt>
                <c:pt idx="258">
                  <c:v>104.04398790127404</c:v>
                </c:pt>
                <c:pt idx="259">
                  <c:v>189.06860114416955</c:v>
                </c:pt>
                <c:pt idx="260">
                  <c:v>182.58425552070472</c:v>
                </c:pt>
                <c:pt idx="261">
                  <c:v>180.15762032023707</c:v>
                </c:pt>
                <c:pt idx="262">
                  <c:v>184.25134915307575</c:v>
                </c:pt>
                <c:pt idx="263">
                  <c:v>179.26040275652221</c:v>
                </c:pt>
                <c:pt idx="264">
                  <c:v>174.1197598241946</c:v>
                </c:pt>
                <c:pt idx="265">
                  <c:v>111.64695184911145</c:v>
                </c:pt>
                <c:pt idx="266">
                  <c:v>75.10771301929465</c:v>
                </c:pt>
                <c:pt idx="267">
                  <c:v>130.44956462861063</c:v>
                </c:pt>
                <c:pt idx="268">
                  <c:v>132.033694653905</c:v>
                </c:pt>
                <c:pt idx="269">
                  <c:v>60.634603072433698</c:v>
                </c:pt>
                <c:pt idx="270">
                  <c:v>60.81710834748354</c:v>
                </c:pt>
                <c:pt idx="271">
                  <c:v>90.503574545952105</c:v>
                </c:pt>
                <c:pt idx="272">
                  <c:v>129.77159914294575</c:v>
                </c:pt>
                <c:pt idx="273">
                  <c:v>147.09530905997457</c:v>
                </c:pt>
                <c:pt idx="274">
                  <c:v>152.27690382124786</c:v>
                </c:pt>
                <c:pt idx="275">
                  <c:v>143.02695999569994</c:v>
                </c:pt>
                <c:pt idx="276">
                  <c:v>163.65916527589005</c:v>
                </c:pt>
                <c:pt idx="277">
                  <c:v>166.32559223666738</c:v>
                </c:pt>
                <c:pt idx="278">
                  <c:v>55.845998482570657</c:v>
                </c:pt>
                <c:pt idx="279">
                  <c:v>114.75569229154517</c:v>
                </c:pt>
                <c:pt idx="280">
                  <c:v>64.115816658434355</c:v>
                </c:pt>
                <c:pt idx="281">
                  <c:v>151.18539604906542</c:v>
                </c:pt>
                <c:pt idx="282">
                  <c:v>120.95621327224201</c:v>
                </c:pt>
                <c:pt idx="283">
                  <c:v>93.117724036982437</c:v>
                </c:pt>
                <c:pt idx="284">
                  <c:v>116.95802778402594</c:v>
                </c:pt>
                <c:pt idx="285">
                  <c:v>90.425684122700176</c:v>
                </c:pt>
                <c:pt idx="286">
                  <c:v>80.587717632274462</c:v>
                </c:pt>
                <c:pt idx="287">
                  <c:v>147.21124437105192</c:v>
                </c:pt>
                <c:pt idx="288">
                  <c:v>131.98357558513453</c:v>
                </c:pt>
                <c:pt idx="289">
                  <c:v>84.580379370563008</c:v>
                </c:pt>
                <c:pt idx="290">
                  <c:v>135.02925478971827</c:v>
                </c:pt>
                <c:pt idx="291">
                  <c:v>59.600259573456228</c:v>
                </c:pt>
                <c:pt idx="292">
                  <c:v>37.928301821320659</c:v>
                </c:pt>
                <c:pt idx="293">
                  <c:v>61.802274029108624</c:v>
                </c:pt>
                <c:pt idx="294">
                  <c:v>129.53128976359636</c:v>
                </c:pt>
                <c:pt idx="295">
                  <c:v>78.66881702320552</c:v>
                </c:pt>
                <c:pt idx="296">
                  <c:v>101.19028958936759</c:v>
                </c:pt>
                <c:pt idx="297">
                  <c:v>87.507298006538448</c:v>
                </c:pt>
                <c:pt idx="298">
                  <c:v>57.789547604570373</c:v>
                </c:pt>
                <c:pt idx="299">
                  <c:v>51.864922404293317</c:v>
                </c:pt>
                <c:pt idx="300">
                  <c:v>68.440972646478073</c:v>
                </c:pt>
                <c:pt idx="301">
                  <c:v>99.356521378238284</c:v>
                </c:pt>
                <c:pt idx="302">
                  <c:v>83.064152180463509</c:v>
                </c:pt>
                <c:pt idx="303">
                  <c:v>84.09484872679181</c:v>
                </c:pt>
                <c:pt idx="304">
                  <c:v>83.456348116459523</c:v>
                </c:pt>
                <c:pt idx="305">
                  <c:v>110.84758058797026</c:v>
                </c:pt>
                <c:pt idx="306">
                  <c:v>42.327482221259984</c:v>
                </c:pt>
                <c:pt idx="307">
                  <c:v>50.163845977352999</c:v>
                </c:pt>
                <c:pt idx="308">
                  <c:v>117.96523553384834</c:v>
                </c:pt>
                <c:pt idx="309">
                  <c:v>118.37610089684087</c:v>
                </c:pt>
                <c:pt idx="310">
                  <c:v>114.29200760423937</c:v>
                </c:pt>
                <c:pt idx="311">
                  <c:v>76.502726746187349</c:v>
                </c:pt>
                <c:pt idx="312">
                  <c:v>43.16219197444277</c:v>
                </c:pt>
                <c:pt idx="313">
                  <c:v>89.623210004054854</c:v>
                </c:pt>
                <c:pt idx="314">
                  <c:v>109.05067902559288</c:v>
                </c:pt>
                <c:pt idx="315">
                  <c:v>107.53592612569484</c:v>
                </c:pt>
                <c:pt idx="316">
                  <c:v>106.20393534966456</c:v>
                </c:pt>
                <c:pt idx="317">
                  <c:v>40.525866546708244</c:v>
                </c:pt>
                <c:pt idx="318">
                  <c:v>50.981564386983344</c:v>
                </c:pt>
                <c:pt idx="319">
                  <c:v>106.28085850640902</c:v>
                </c:pt>
                <c:pt idx="320">
                  <c:v>63.116314114596491</c:v>
                </c:pt>
                <c:pt idx="321">
                  <c:v>50.088792015993207</c:v>
                </c:pt>
                <c:pt idx="322">
                  <c:v>23.817760115558361</c:v>
                </c:pt>
                <c:pt idx="323">
                  <c:v>69.646259976487329</c:v>
                </c:pt>
                <c:pt idx="324">
                  <c:v>13.796639021538965</c:v>
                </c:pt>
                <c:pt idx="325">
                  <c:v>33.49560084748169</c:v>
                </c:pt>
                <c:pt idx="326">
                  <c:v>55.240705717342756</c:v>
                </c:pt>
                <c:pt idx="327">
                  <c:v>54.35728787237197</c:v>
                </c:pt>
                <c:pt idx="328">
                  <c:v>17.601721386923931</c:v>
                </c:pt>
                <c:pt idx="329">
                  <c:v>52.983594743065723</c:v>
                </c:pt>
                <c:pt idx="330">
                  <c:v>57.707593825157524</c:v>
                </c:pt>
                <c:pt idx="331">
                  <c:v>37.511799840346001</c:v>
                </c:pt>
                <c:pt idx="332">
                  <c:v>53.442164686754936</c:v>
                </c:pt>
                <c:pt idx="333">
                  <c:v>21.197862115302279</c:v>
                </c:pt>
                <c:pt idx="334">
                  <c:v>15.920899589910832</c:v>
                </c:pt>
                <c:pt idx="335">
                  <c:v>25.672198568746158</c:v>
                </c:pt>
                <c:pt idx="336">
                  <c:v>35.199519728097812</c:v>
                </c:pt>
                <c:pt idx="337">
                  <c:v>75.520883177060881</c:v>
                </c:pt>
                <c:pt idx="338">
                  <c:v>94.774047487548486</c:v>
                </c:pt>
                <c:pt idx="339">
                  <c:v>49.251124549554255</c:v>
                </c:pt>
                <c:pt idx="340">
                  <c:v>76.182591535882054</c:v>
                </c:pt>
                <c:pt idx="341">
                  <c:v>14.415815798666261</c:v>
                </c:pt>
                <c:pt idx="342">
                  <c:v>27.710171230726463</c:v>
                </c:pt>
                <c:pt idx="343">
                  <c:v>66.790245348089229</c:v>
                </c:pt>
                <c:pt idx="344">
                  <c:v>62.872117259481328</c:v>
                </c:pt>
                <c:pt idx="345">
                  <c:v>21.925745454338308</c:v>
                </c:pt>
                <c:pt idx="346">
                  <c:v>22.836510664905099</c:v>
                </c:pt>
                <c:pt idx="347">
                  <c:v>67.019134796604334</c:v>
                </c:pt>
                <c:pt idx="348">
                  <c:v>33.356819243175906</c:v>
                </c:pt>
                <c:pt idx="349">
                  <c:v>20.330009876046297</c:v>
                </c:pt>
                <c:pt idx="350">
                  <c:v>12.613370327900061</c:v>
                </c:pt>
                <c:pt idx="351">
                  <c:v>68.702109373998113</c:v>
                </c:pt>
                <c:pt idx="352">
                  <c:v>66.035267068585426</c:v>
                </c:pt>
                <c:pt idx="353">
                  <c:v>17.263623268141046</c:v>
                </c:pt>
                <c:pt idx="354">
                  <c:v>81.571752152424565</c:v>
                </c:pt>
                <c:pt idx="355">
                  <c:v>67.946896247739147</c:v>
                </c:pt>
                <c:pt idx="356">
                  <c:v>69.693247147414922</c:v>
                </c:pt>
                <c:pt idx="357">
                  <c:v>84.603587057373872</c:v>
                </c:pt>
                <c:pt idx="358">
                  <c:v>47.664528088245845</c:v>
                </c:pt>
                <c:pt idx="359">
                  <c:v>81.439329885079644</c:v>
                </c:pt>
                <c:pt idx="360">
                  <c:v>25.241509499317697</c:v>
                </c:pt>
                <c:pt idx="361">
                  <c:v>66.241501278669716</c:v>
                </c:pt>
                <c:pt idx="362">
                  <c:v>40.964945046276952</c:v>
                </c:pt>
                <c:pt idx="363">
                  <c:v>58.662986728091447</c:v>
                </c:pt>
                <c:pt idx="364">
                  <c:v>46.955095007381502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'2030'!$W$14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'2030'!$W$15:$W$380</c:f>
              <c:numCache>
                <c:formatCode>0.00</c:formatCode>
                <c:ptCount val="366"/>
                <c:pt idx="0">
                  <c:v>91.655394055965928</c:v>
                </c:pt>
                <c:pt idx="1">
                  <c:v>67.022674580878174</c:v>
                </c:pt>
                <c:pt idx="2">
                  <c:v>69.799275130290823</c:v>
                </c:pt>
                <c:pt idx="3">
                  <c:v>74.962311682913651</c:v>
                </c:pt>
                <c:pt idx="4">
                  <c:v>56.366633006393066</c:v>
                </c:pt>
                <c:pt idx="5">
                  <c:v>96.549653288883121</c:v>
                </c:pt>
                <c:pt idx="6">
                  <c:v>36.523795804204291</c:v>
                </c:pt>
                <c:pt idx="7">
                  <c:v>24.454006379215834</c:v>
                </c:pt>
                <c:pt idx="8">
                  <c:v>7.6350890535817726</c:v>
                </c:pt>
                <c:pt idx="9">
                  <c:v>7.0191197694504144</c:v>
                </c:pt>
                <c:pt idx="10">
                  <c:v>94.107791413761419</c:v>
                </c:pt>
                <c:pt idx="11">
                  <c:v>80.687161755565825</c:v>
                </c:pt>
                <c:pt idx="12">
                  <c:v>25.891330932264928</c:v>
                </c:pt>
                <c:pt idx="13">
                  <c:v>103.26036391817063</c:v>
                </c:pt>
                <c:pt idx="14">
                  <c:v>104.8444359070832</c:v>
                </c:pt>
                <c:pt idx="15">
                  <c:v>104.26877396404824</c:v>
                </c:pt>
                <c:pt idx="16">
                  <c:v>81.880811249517706</c:v>
                </c:pt>
                <c:pt idx="17">
                  <c:v>21.446304615112446</c:v>
                </c:pt>
                <c:pt idx="18">
                  <c:v>43.797247063372858</c:v>
                </c:pt>
                <c:pt idx="19">
                  <c:v>22.572361800716433</c:v>
                </c:pt>
                <c:pt idx="20">
                  <c:v>56.668238661981718</c:v>
                </c:pt>
                <c:pt idx="21">
                  <c:v>108.83007636439025</c:v>
                </c:pt>
                <c:pt idx="22">
                  <c:v>110.6191044283584</c:v>
                </c:pt>
                <c:pt idx="23">
                  <c:v>111.98341340193909</c:v>
                </c:pt>
                <c:pt idx="24">
                  <c:v>110.94608620636046</c:v>
                </c:pt>
                <c:pt idx="25">
                  <c:v>112.89688602400723</c:v>
                </c:pt>
                <c:pt idx="26">
                  <c:v>114.73429483045187</c:v>
                </c:pt>
                <c:pt idx="27">
                  <c:v>17.775702827909953</c:v>
                </c:pt>
                <c:pt idx="28">
                  <c:v>27.860394018002868</c:v>
                </c:pt>
                <c:pt idx="29">
                  <c:v>25.100804360684542</c:v>
                </c:pt>
                <c:pt idx="30">
                  <c:v>24.945987876309495</c:v>
                </c:pt>
                <c:pt idx="31">
                  <c:v>54.376760097838989</c:v>
                </c:pt>
                <c:pt idx="32">
                  <c:v>24.252566612691449</c:v>
                </c:pt>
                <c:pt idx="33">
                  <c:v>54.436545657329077</c:v>
                </c:pt>
                <c:pt idx="34">
                  <c:v>49.526535243631209</c:v>
                </c:pt>
                <c:pt idx="35">
                  <c:v>41.516035267996912</c:v>
                </c:pt>
                <c:pt idx="36">
                  <c:v>88.076078810060949</c:v>
                </c:pt>
                <c:pt idx="37">
                  <c:v>39.796295238660285</c:v>
                </c:pt>
                <c:pt idx="38">
                  <c:v>133.16104160088454</c:v>
                </c:pt>
                <c:pt idx="39">
                  <c:v>132.52094031970177</c:v>
                </c:pt>
                <c:pt idx="40">
                  <c:v>124.46531928255573</c:v>
                </c:pt>
                <c:pt idx="41">
                  <c:v>62.078525630031869</c:v>
                </c:pt>
                <c:pt idx="42">
                  <c:v>103.9655511248085</c:v>
                </c:pt>
                <c:pt idx="43">
                  <c:v>126.84327051153321</c:v>
                </c:pt>
                <c:pt idx="44">
                  <c:v>72.3233503202012</c:v>
                </c:pt>
                <c:pt idx="45">
                  <c:v>76.362684876309658</c:v>
                </c:pt>
                <c:pt idx="46">
                  <c:v>29.494099921943736</c:v>
                </c:pt>
                <c:pt idx="47">
                  <c:v>43.45120114294609</c:v>
                </c:pt>
                <c:pt idx="48">
                  <c:v>123.53760882150073</c:v>
                </c:pt>
                <c:pt idx="49">
                  <c:v>70.413884786723102</c:v>
                </c:pt>
                <c:pt idx="50">
                  <c:v>88.590115415868837</c:v>
                </c:pt>
                <c:pt idx="51">
                  <c:v>96.403720261751545</c:v>
                </c:pt>
                <c:pt idx="52">
                  <c:v>129.05676329075362</c:v>
                </c:pt>
                <c:pt idx="53">
                  <c:v>133.36126516402106</c:v>
                </c:pt>
                <c:pt idx="54">
                  <c:v>84.533208342234829</c:v>
                </c:pt>
                <c:pt idx="55">
                  <c:v>119.73245403433208</c:v>
                </c:pt>
                <c:pt idx="56">
                  <c:v>158.88355891294694</c:v>
                </c:pt>
                <c:pt idx="57">
                  <c:v>105.71358509459779</c:v>
                </c:pt>
                <c:pt idx="58">
                  <c:v>143.41828497019551</c:v>
                </c:pt>
                <c:pt idx="59">
                  <c:v>161.13153755630066</c:v>
                </c:pt>
                <c:pt idx="60">
                  <c:v>49.313235100896918</c:v>
                </c:pt>
                <c:pt idx="61">
                  <c:v>148.67922920272164</c:v>
                </c:pt>
                <c:pt idx="62">
                  <c:v>18.984392218005514</c:v>
                </c:pt>
                <c:pt idx="63">
                  <c:v>62.693558639189114</c:v>
                </c:pt>
                <c:pt idx="64">
                  <c:v>88.51249888648691</c:v>
                </c:pt>
                <c:pt idx="65">
                  <c:v>131.49852764367722</c:v>
                </c:pt>
                <c:pt idx="66">
                  <c:v>121.24587322902528</c:v>
                </c:pt>
                <c:pt idx="67">
                  <c:v>130.60952083001197</c:v>
                </c:pt>
                <c:pt idx="68">
                  <c:v>93.884880841125707</c:v>
                </c:pt>
                <c:pt idx="69">
                  <c:v>64.260148055203317</c:v>
                </c:pt>
                <c:pt idx="70">
                  <c:v>60.14182383818499</c:v>
                </c:pt>
                <c:pt idx="71">
                  <c:v>53.114676772260275</c:v>
                </c:pt>
                <c:pt idx="72">
                  <c:v>52.124893456856356</c:v>
                </c:pt>
                <c:pt idx="73">
                  <c:v>55.612984185203047</c:v>
                </c:pt>
                <c:pt idx="74">
                  <c:v>36.963006996120932</c:v>
                </c:pt>
                <c:pt idx="75">
                  <c:v>47.476256775221941</c:v>
                </c:pt>
                <c:pt idx="76">
                  <c:v>50.124006010944335</c:v>
                </c:pt>
                <c:pt idx="77">
                  <c:v>113.9108848303696</c:v>
                </c:pt>
                <c:pt idx="78">
                  <c:v>121.66692255643629</c:v>
                </c:pt>
                <c:pt idx="79">
                  <c:v>175.34325841103126</c:v>
                </c:pt>
                <c:pt idx="80">
                  <c:v>156.11868547749327</c:v>
                </c:pt>
                <c:pt idx="81">
                  <c:v>186.88005982138853</c:v>
                </c:pt>
                <c:pt idx="82">
                  <c:v>185.32533391065061</c:v>
                </c:pt>
                <c:pt idx="83">
                  <c:v>157.89427621506465</c:v>
                </c:pt>
                <c:pt idx="84">
                  <c:v>174.09179099433413</c:v>
                </c:pt>
                <c:pt idx="85">
                  <c:v>175.98813234024746</c:v>
                </c:pt>
                <c:pt idx="86">
                  <c:v>138.76394900742059</c:v>
                </c:pt>
                <c:pt idx="87">
                  <c:v>109.11399035782175</c:v>
                </c:pt>
                <c:pt idx="88">
                  <c:v>28.664499988202873</c:v>
                </c:pt>
                <c:pt idx="89">
                  <c:v>82.936558280008668</c:v>
                </c:pt>
                <c:pt idx="90">
                  <c:v>140.7803874696672</c:v>
                </c:pt>
                <c:pt idx="91">
                  <c:v>68.867680913007277</c:v>
                </c:pt>
                <c:pt idx="92">
                  <c:v>110.55444290027603</c:v>
                </c:pt>
                <c:pt idx="93">
                  <c:v>168.67115183262612</c:v>
                </c:pt>
                <c:pt idx="94">
                  <c:v>206.66687940346077</c:v>
                </c:pt>
                <c:pt idx="95">
                  <c:v>51.311085750852051</c:v>
                </c:pt>
                <c:pt idx="96">
                  <c:v>157.6917971190947</c:v>
                </c:pt>
                <c:pt idx="97">
                  <c:v>125.51278833274567</c:v>
                </c:pt>
                <c:pt idx="98">
                  <c:v>135.48441256805989</c:v>
                </c:pt>
                <c:pt idx="99">
                  <c:v>211.51785893898611</c:v>
                </c:pt>
                <c:pt idx="100">
                  <c:v>170.1184560886208</c:v>
                </c:pt>
                <c:pt idx="101">
                  <c:v>142.43727880632761</c:v>
                </c:pt>
                <c:pt idx="102">
                  <c:v>23.630397123340771</c:v>
                </c:pt>
                <c:pt idx="103">
                  <c:v>169.64475249508524</c:v>
                </c:pt>
                <c:pt idx="104">
                  <c:v>179.11132736781576</c:v>
                </c:pt>
                <c:pt idx="105">
                  <c:v>180.19312864246871</c:v>
                </c:pt>
                <c:pt idx="106">
                  <c:v>216.16350668528327</c:v>
                </c:pt>
                <c:pt idx="107">
                  <c:v>159.53315798410554</c:v>
                </c:pt>
                <c:pt idx="108">
                  <c:v>36.033384239286022</c:v>
                </c:pt>
                <c:pt idx="109">
                  <c:v>40.866736574157116</c:v>
                </c:pt>
                <c:pt idx="110">
                  <c:v>36.417256802866625</c:v>
                </c:pt>
                <c:pt idx="111">
                  <c:v>110.81628765896284</c:v>
                </c:pt>
                <c:pt idx="112">
                  <c:v>40.371991536976452</c:v>
                </c:pt>
                <c:pt idx="113">
                  <c:v>109.04697313900708</c:v>
                </c:pt>
                <c:pt idx="114">
                  <c:v>184.34859383973961</c:v>
                </c:pt>
                <c:pt idx="115">
                  <c:v>216.63008147638112</c:v>
                </c:pt>
                <c:pt idx="116">
                  <c:v>154.32161771631937</c:v>
                </c:pt>
                <c:pt idx="117">
                  <c:v>89.879385294426186</c:v>
                </c:pt>
                <c:pt idx="118">
                  <c:v>166.09693803480431</c:v>
                </c:pt>
                <c:pt idx="119">
                  <c:v>162.07415246764134</c:v>
                </c:pt>
                <c:pt idx="120">
                  <c:v>192.92454102368646</c:v>
                </c:pt>
                <c:pt idx="121">
                  <c:v>114.47175596488377</c:v>
                </c:pt>
                <c:pt idx="122">
                  <c:v>130.34377208941626</c:v>
                </c:pt>
                <c:pt idx="123">
                  <c:v>76.503664016090738</c:v>
                </c:pt>
                <c:pt idx="124">
                  <c:v>161.17033716684477</c:v>
                </c:pt>
                <c:pt idx="125">
                  <c:v>149.93372708703407</c:v>
                </c:pt>
                <c:pt idx="126">
                  <c:v>190.14758928487075</c:v>
                </c:pt>
                <c:pt idx="127">
                  <c:v>207.73381204284414</c:v>
                </c:pt>
                <c:pt idx="128">
                  <c:v>223.99359166727612</c:v>
                </c:pt>
                <c:pt idx="129">
                  <c:v>214.36571990707552</c:v>
                </c:pt>
                <c:pt idx="130">
                  <c:v>230.89052291860719</c:v>
                </c:pt>
                <c:pt idx="131">
                  <c:v>173.42019680726767</c:v>
                </c:pt>
                <c:pt idx="132">
                  <c:v>164.78506787030946</c:v>
                </c:pt>
                <c:pt idx="133">
                  <c:v>203.30919174283031</c:v>
                </c:pt>
                <c:pt idx="134">
                  <c:v>213.91365182161661</c:v>
                </c:pt>
                <c:pt idx="135">
                  <c:v>206.86486035782207</c:v>
                </c:pt>
                <c:pt idx="136">
                  <c:v>225.51375967081594</c:v>
                </c:pt>
                <c:pt idx="137">
                  <c:v>216.58980891156449</c:v>
                </c:pt>
                <c:pt idx="138">
                  <c:v>221.08917712952976</c:v>
                </c:pt>
                <c:pt idx="139">
                  <c:v>198.29888871361888</c:v>
                </c:pt>
                <c:pt idx="140">
                  <c:v>205.45950684399207</c:v>
                </c:pt>
                <c:pt idx="141">
                  <c:v>153.00906356585929</c:v>
                </c:pt>
                <c:pt idx="142">
                  <c:v>72.329773248114108</c:v>
                </c:pt>
                <c:pt idx="143">
                  <c:v>67.551424661704715</c:v>
                </c:pt>
                <c:pt idx="144">
                  <c:v>167.62036452738226</c:v>
                </c:pt>
                <c:pt idx="145">
                  <c:v>107.7943912704295</c:v>
                </c:pt>
                <c:pt idx="146">
                  <c:v>181.48299950549236</c:v>
                </c:pt>
                <c:pt idx="147">
                  <c:v>223.28039661304894</c:v>
                </c:pt>
                <c:pt idx="148">
                  <c:v>243.22253685195309</c:v>
                </c:pt>
                <c:pt idx="149">
                  <c:v>205.02201520805795</c:v>
                </c:pt>
                <c:pt idx="150">
                  <c:v>224.68091002944041</c:v>
                </c:pt>
                <c:pt idx="151">
                  <c:v>234.55792340495611</c:v>
                </c:pt>
                <c:pt idx="152">
                  <c:v>164.97984544079679</c:v>
                </c:pt>
                <c:pt idx="153">
                  <c:v>226.6576974771198</c:v>
                </c:pt>
                <c:pt idx="154">
                  <c:v>98.751801211083219</c:v>
                </c:pt>
                <c:pt idx="155">
                  <c:v>127.94445875391071</c:v>
                </c:pt>
                <c:pt idx="156">
                  <c:v>187.99635292728459</c:v>
                </c:pt>
                <c:pt idx="157">
                  <c:v>117.14396819737662</c:v>
                </c:pt>
                <c:pt idx="158">
                  <c:v>89.249633043494612</c:v>
                </c:pt>
                <c:pt idx="159">
                  <c:v>189.3367330690981</c:v>
                </c:pt>
                <c:pt idx="160">
                  <c:v>239.3551164490421</c:v>
                </c:pt>
                <c:pt idx="161">
                  <c:v>227.3356779285842</c:v>
                </c:pt>
                <c:pt idx="162">
                  <c:v>179.47390904927227</c:v>
                </c:pt>
                <c:pt idx="163">
                  <c:v>220.7305969118832</c:v>
                </c:pt>
                <c:pt idx="164">
                  <c:v>199.28891994417177</c:v>
                </c:pt>
                <c:pt idx="165">
                  <c:v>223.70747411175341</c:v>
                </c:pt>
                <c:pt idx="166">
                  <c:v>211.18916614754082</c:v>
                </c:pt>
                <c:pt idx="167">
                  <c:v>217.77490889869588</c:v>
                </c:pt>
                <c:pt idx="168">
                  <c:v>224.51345825778441</c:v>
                </c:pt>
                <c:pt idx="169">
                  <c:v>228.77486528107926</c:v>
                </c:pt>
                <c:pt idx="170">
                  <c:v>123.20076779395431</c:v>
                </c:pt>
                <c:pt idx="171">
                  <c:v>87.870678274384147</c:v>
                </c:pt>
                <c:pt idx="172">
                  <c:v>173.68978557043883</c:v>
                </c:pt>
                <c:pt idx="173">
                  <c:v>169.94125970150057</c:v>
                </c:pt>
                <c:pt idx="174">
                  <c:v>169.80468519632234</c:v>
                </c:pt>
                <c:pt idx="175">
                  <c:v>144.8378518086578</c:v>
                </c:pt>
                <c:pt idx="176">
                  <c:v>48.167055716381874</c:v>
                </c:pt>
                <c:pt idx="177">
                  <c:v>56.272839418018705</c:v>
                </c:pt>
                <c:pt idx="178">
                  <c:v>246.04024432824303</c:v>
                </c:pt>
                <c:pt idx="179">
                  <c:v>233.59155277195765</c:v>
                </c:pt>
                <c:pt idx="180">
                  <c:v>54.542024134579997</c:v>
                </c:pt>
                <c:pt idx="181">
                  <c:v>209.1534998726585</c:v>
                </c:pt>
                <c:pt idx="182">
                  <c:v>231.13821459520133</c:v>
                </c:pt>
                <c:pt idx="183">
                  <c:v>191.43316833126093</c:v>
                </c:pt>
                <c:pt idx="184">
                  <c:v>186.74633897061258</c:v>
                </c:pt>
                <c:pt idx="185">
                  <c:v>224.63502478634749</c:v>
                </c:pt>
                <c:pt idx="186">
                  <c:v>178.31924504050542</c:v>
                </c:pt>
                <c:pt idx="187">
                  <c:v>221.60227756655783</c:v>
                </c:pt>
                <c:pt idx="188">
                  <c:v>235.00656762876173</c:v>
                </c:pt>
                <c:pt idx="189">
                  <c:v>232.54636438782816</c:v>
                </c:pt>
                <c:pt idx="190">
                  <c:v>230.67399032773454</c:v>
                </c:pt>
                <c:pt idx="191">
                  <c:v>224.42407031342373</c:v>
                </c:pt>
                <c:pt idx="192">
                  <c:v>221.7898619546134</c:v>
                </c:pt>
                <c:pt idx="193">
                  <c:v>221.91619616072882</c:v>
                </c:pt>
                <c:pt idx="194">
                  <c:v>219.51544634521849</c:v>
                </c:pt>
                <c:pt idx="195">
                  <c:v>210.56294268896741</c:v>
                </c:pt>
                <c:pt idx="196">
                  <c:v>216.10933748581027</c:v>
                </c:pt>
                <c:pt idx="197">
                  <c:v>215.397284424529</c:v>
                </c:pt>
                <c:pt idx="198">
                  <c:v>218.93444408799903</c:v>
                </c:pt>
                <c:pt idx="199">
                  <c:v>154.95145319717039</c:v>
                </c:pt>
                <c:pt idx="200">
                  <c:v>158.87595040006158</c:v>
                </c:pt>
                <c:pt idx="201">
                  <c:v>212.2366189330865</c:v>
                </c:pt>
                <c:pt idx="202">
                  <c:v>161.00028244722554</c:v>
                </c:pt>
                <c:pt idx="203">
                  <c:v>185.28634025687595</c:v>
                </c:pt>
                <c:pt idx="204">
                  <c:v>215.0262621299031</c:v>
                </c:pt>
                <c:pt idx="205">
                  <c:v>115.76228302811182</c:v>
                </c:pt>
                <c:pt idx="206">
                  <c:v>206.55353576523865</c:v>
                </c:pt>
                <c:pt idx="207">
                  <c:v>226.67254653406346</c:v>
                </c:pt>
                <c:pt idx="208">
                  <c:v>183.0957071709916</c:v>
                </c:pt>
                <c:pt idx="209">
                  <c:v>111.21634665461305</c:v>
                </c:pt>
                <c:pt idx="210">
                  <c:v>192.50235839756743</c:v>
                </c:pt>
                <c:pt idx="211">
                  <c:v>220.29258856158756</c:v>
                </c:pt>
                <c:pt idx="212">
                  <c:v>219.22067990894112</c:v>
                </c:pt>
                <c:pt idx="213">
                  <c:v>219.27443872795649</c:v>
                </c:pt>
                <c:pt idx="214">
                  <c:v>208.19324605512685</c:v>
                </c:pt>
                <c:pt idx="215">
                  <c:v>197.57317838698648</c:v>
                </c:pt>
                <c:pt idx="216">
                  <c:v>183.82464222054216</c:v>
                </c:pt>
                <c:pt idx="217">
                  <c:v>197.16771064246521</c:v>
                </c:pt>
                <c:pt idx="218">
                  <c:v>210.70285348276425</c:v>
                </c:pt>
                <c:pt idx="219">
                  <c:v>214.39554089379197</c:v>
                </c:pt>
                <c:pt idx="220">
                  <c:v>204.32512388292284</c:v>
                </c:pt>
                <c:pt idx="221">
                  <c:v>198.62234984619232</c:v>
                </c:pt>
                <c:pt idx="222">
                  <c:v>184.33448872286525</c:v>
                </c:pt>
                <c:pt idx="223">
                  <c:v>193.11733515216667</c:v>
                </c:pt>
                <c:pt idx="224">
                  <c:v>134.23799438674169</c:v>
                </c:pt>
                <c:pt idx="225">
                  <c:v>147.23841123096454</c:v>
                </c:pt>
                <c:pt idx="226">
                  <c:v>151.56273390280302</c:v>
                </c:pt>
                <c:pt idx="227">
                  <c:v>136.34539989578559</c:v>
                </c:pt>
                <c:pt idx="228">
                  <c:v>105.00597080990205</c:v>
                </c:pt>
                <c:pt idx="229">
                  <c:v>128.93451885959936</c:v>
                </c:pt>
                <c:pt idx="230">
                  <c:v>139.11152417379424</c:v>
                </c:pt>
                <c:pt idx="231">
                  <c:v>203.20120034961784</c:v>
                </c:pt>
                <c:pt idx="232">
                  <c:v>129.63539146831698</c:v>
                </c:pt>
                <c:pt idx="233">
                  <c:v>102.23192009223693</c:v>
                </c:pt>
                <c:pt idx="234">
                  <c:v>177.42810245309133</c:v>
                </c:pt>
                <c:pt idx="235">
                  <c:v>188.9780529190127</c:v>
                </c:pt>
                <c:pt idx="236">
                  <c:v>132.3703308678283</c:v>
                </c:pt>
                <c:pt idx="237">
                  <c:v>178.72816320122331</c:v>
                </c:pt>
                <c:pt idx="238">
                  <c:v>195.50821533090516</c:v>
                </c:pt>
                <c:pt idx="239">
                  <c:v>192.53579903398304</c:v>
                </c:pt>
                <c:pt idx="240">
                  <c:v>129.60567149599106</c:v>
                </c:pt>
                <c:pt idx="241">
                  <c:v>192.44661326141983</c:v>
                </c:pt>
                <c:pt idx="242">
                  <c:v>85.611001958765598</c:v>
                </c:pt>
                <c:pt idx="243">
                  <c:v>170.26902217887081</c:v>
                </c:pt>
                <c:pt idx="244">
                  <c:v>167.82742105432899</c:v>
                </c:pt>
                <c:pt idx="245">
                  <c:v>131.09228864650868</c:v>
                </c:pt>
                <c:pt idx="246">
                  <c:v>184.6583643541407</c:v>
                </c:pt>
                <c:pt idx="247">
                  <c:v>163.08374315442978</c:v>
                </c:pt>
                <c:pt idx="248">
                  <c:v>182.88556673346486</c:v>
                </c:pt>
                <c:pt idx="249">
                  <c:v>138.99937044333302</c:v>
                </c:pt>
                <c:pt idx="250">
                  <c:v>161.57864040287126</c:v>
                </c:pt>
                <c:pt idx="251">
                  <c:v>86.417232212691744</c:v>
                </c:pt>
                <c:pt idx="252">
                  <c:v>179.76767812154756</c:v>
                </c:pt>
                <c:pt idx="253">
                  <c:v>183.2421726500894</c:v>
                </c:pt>
                <c:pt idx="254">
                  <c:v>126.87161961610853</c:v>
                </c:pt>
                <c:pt idx="255">
                  <c:v>45.672982440388296</c:v>
                </c:pt>
                <c:pt idx="256">
                  <c:v>145.65146029820281</c:v>
                </c:pt>
                <c:pt idx="257">
                  <c:v>162.97945293349278</c:v>
                </c:pt>
                <c:pt idx="258">
                  <c:v>104.04398790127404</c:v>
                </c:pt>
                <c:pt idx="259">
                  <c:v>189.06860114416955</c:v>
                </c:pt>
                <c:pt idx="260">
                  <c:v>182.58425552070472</c:v>
                </c:pt>
                <c:pt idx="261">
                  <c:v>180.15762032023707</c:v>
                </c:pt>
                <c:pt idx="262">
                  <c:v>184.25134915307575</c:v>
                </c:pt>
                <c:pt idx="263">
                  <c:v>179.26040275652221</c:v>
                </c:pt>
                <c:pt idx="264">
                  <c:v>174.1197598241946</c:v>
                </c:pt>
                <c:pt idx="265">
                  <c:v>111.64695184911145</c:v>
                </c:pt>
                <c:pt idx="266">
                  <c:v>75.10771301929465</c:v>
                </c:pt>
                <c:pt idx="267">
                  <c:v>130.44956462861063</c:v>
                </c:pt>
                <c:pt idx="268">
                  <c:v>132.033694653905</c:v>
                </c:pt>
                <c:pt idx="269">
                  <c:v>60.634603072433698</c:v>
                </c:pt>
                <c:pt idx="270">
                  <c:v>60.81710834748354</c:v>
                </c:pt>
                <c:pt idx="271">
                  <c:v>90.503574545952105</c:v>
                </c:pt>
                <c:pt idx="272">
                  <c:v>129.77159914294575</c:v>
                </c:pt>
                <c:pt idx="273">
                  <c:v>147.09530905997457</c:v>
                </c:pt>
                <c:pt idx="274">
                  <c:v>152.27690382124786</c:v>
                </c:pt>
                <c:pt idx="275">
                  <c:v>143.02695999569994</c:v>
                </c:pt>
                <c:pt idx="276">
                  <c:v>163.65916527589005</c:v>
                </c:pt>
                <c:pt idx="277">
                  <c:v>166.32559223666738</c:v>
                </c:pt>
                <c:pt idx="278">
                  <c:v>55.845998482570657</c:v>
                </c:pt>
                <c:pt idx="279">
                  <c:v>114.75569229154517</c:v>
                </c:pt>
                <c:pt idx="280">
                  <c:v>64.115816658434355</c:v>
                </c:pt>
                <c:pt idx="281">
                  <c:v>151.18539604906542</c:v>
                </c:pt>
                <c:pt idx="282">
                  <c:v>120.95621327224201</c:v>
                </c:pt>
                <c:pt idx="283">
                  <c:v>93.117724036982437</c:v>
                </c:pt>
                <c:pt idx="284">
                  <c:v>116.95802778402594</c:v>
                </c:pt>
                <c:pt idx="285">
                  <c:v>90.425684122700176</c:v>
                </c:pt>
                <c:pt idx="286">
                  <c:v>80.587717632274462</c:v>
                </c:pt>
                <c:pt idx="287">
                  <c:v>147.21124437105192</c:v>
                </c:pt>
                <c:pt idx="288">
                  <c:v>131.98357558513453</c:v>
                </c:pt>
                <c:pt idx="289">
                  <c:v>84.580379370563008</c:v>
                </c:pt>
                <c:pt idx="290">
                  <c:v>135.02925478971827</c:v>
                </c:pt>
                <c:pt idx="291">
                  <c:v>59.600259573456228</c:v>
                </c:pt>
                <c:pt idx="292">
                  <c:v>37.928301821320659</c:v>
                </c:pt>
                <c:pt idx="293">
                  <c:v>61.802274029108624</c:v>
                </c:pt>
                <c:pt idx="294">
                  <c:v>129.53128976359636</c:v>
                </c:pt>
                <c:pt idx="295">
                  <c:v>78.66881702320552</c:v>
                </c:pt>
                <c:pt idx="296">
                  <c:v>101.19028958936759</c:v>
                </c:pt>
                <c:pt idx="297">
                  <c:v>87.507298006538448</c:v>
                </c:pt>
                <c:pt idx="298">
                  <c:v>57.789547604570373</c:v>
                </c:pt>
                <c:pt idx="299">
                  <c:v>51.864922404293317</c:v>
                </c:pt>
                <c:pt idx="300">
                  <c:v>68.440972646478073</c:v>
                </c:pt>
                <c:pt idx="301">
                  <c:v>99.356521378238284</c:v>
                </c:pt>
                <c:pt idx="302">
                  <c:v>83.064152180463509</c:v>
                </c:pt>
                <c:pt idx="303">
                  <c:v>84.09484872679181</c:v>
                </c:pt>
                <c:pt idx="304">
                  <c:v>83.456348116459523</c:v>
                </c:pt>
                <c:pt idx="305">
                  <c:v>110.84758058797026</c:v>
                </c:pt>
                <c:pt idx="306">
                  <c:v>42.327482221259984</c:v>
                </c:pt>
                <c:pt idx="307">
                  <c:v>50.163845977352999</c:v>
                </c:pt>
                <c:pt idx="308">
                  <c:v>117.96523553384834</c:v>
                </c:pt>
                <c:pt idx="309">
                  <c:v>118.37610089684087</c:v>
                </c:pt>
                <c:pt idx="310">
                  <c:v>114.29200760423937</c:v>
                </c:pt>
                <c:pt idx="311">
                  <c:v>76.502726746187349</c:v>
                </c:pt>
                <c:pt idx="312">
                  <c:v>43.16219197444277</c:v>
                </c:pt>
                <c:pt idx="313">
                  <c:v>89.623210004054854</c:v>
                </c:pt>
                <c:pt idx="314">
                  <c:v>109.05067902559288</c:v>
                </c:pt>
                <c:pt idx="315">
                  <c:v>107.53592612569484</c:v>
                </c:pt>
                <c:pt idx="316">
                  <c:v>106.20393534966456</c:v>
                </c:pt>
                <c:pt idx="317">
                  <c:v>40.525866546708244</c:v>
                </c:pt>
                <c:pt idx="318">
                  <c:v>50.981564386983344</c:v>
                </c:pt>
                <c:pt idx="319">
                  <c:v>106.28085850640902</c:v>
                </c:pt>
                <c:pt idx="320">
                  <c:v>63.116314114596491</c:v>
                </c:pt>
                <c:pt idx="321">
                  <c:v>50.088792015993207</c:v>
                </c:pt>
                <c:pt idx="322">
                  <c:v>23.817760115558361</c:v>
                </c:pt>
                <c:pt idx="323">
                  <c:v>69.646259976487329</c:v>
                </c:pt>
                <c:pt idx="324">
                  <c:v>13.796639021538965</c:v>
                </c:pt>
                <c:pt idx="325">
                  <c:v>33.49560084748169</c:v>
                </c:pt>
                <c:pt idx="326">
                  <c:v>55.240705717342756</c:v>
                </c:pt>
                <c:pt idx="327">
                  <c:v>54.35728787237197</c:v>
                </c:pt>
                <c:pt idx="328">
                  <c:v>17.601721386923931</c:v>
                </c:pt>
                <c:pt idx="329">
                  <c:v>52.983594743065723</c:v>
                </c:pt>
                <c:pt idx="330">
                  <c:v>57.707593825157524</c:v>
                </c:pt>
                <c:pt idx="331">
                  <c:v>37.511799840346001</c:v>
                </c:pt>
                <c:pt idx="332">
                  <c:v>53.442164686754936</c:v>
                </c:pt>
                <c:pt idx="333">
                  <c:v>21.197862115302279</c:v>
                </c:pt>
                <c:pt idx="334">
                  <c:v>15.920899589910832</c:v>
                </c:pt>
                <c:pt idx="335">
                  <c:v>25.672198568746158</c:v>
                </c:pt>
                <c:pt idx="336">
                  <c:v>35.199519728097812</c:v>
                </c:pt>
                <c:pt idx="337">
                  <c:v>75.520883177060881</c:v>
                </c:pt>
                <c:pt idx="338">
                  <c:v>94.774047487548486</c:v>
                </c:pt>
                <c:pt idx="339">
                  <c:v>49.251124549554255</c:v>
                </c:pt>
                <c:pt idx="340">
                  <c:v>76.182591535882054</c:v>
                </c:pt>
                <c:pt idx="341">
                  <c:v>14.415815798666261</c:v>
                </c:pt>
                <c:pt idx="342">
                  <c:v>27.710171230726463</c:v>
                </c:pt>
                <c:pt idx="343">
                  <c:v>66.790245348089229</c:v>
                </c:pt>
                <c:pt idx="344">
                  <c:v>62.872117259481328</c:v>
                </c:pt>
                <c:pt idx="345">
                  <c:v>21.925745454338308</c:v>
                </c:pt>
                <c:pt idx="346">
                  <c:v>22.836510664905099</c:v>
                </c:pt>
                <c:pt idx="347">
                  <c:v>67.019134796604334</c:v>
                </c:pt>
                <c:pt idx="348">
                  <c:v>33.356819243175906</c:v>
                </c:pt>
                <c:pt idx="349">
                  <c:v>20.330009876046297</c:v>
                </c:pt>
                <c:pt idx="350">
                  <c:v>12.613370327900061</c:v>
                </c:pt>
                <c:pt idx="351">
                  <c:v>68.702109373998113</c:v>
                </c:pt>
                <c:pt idx="352">
                  <c:v>66.035267068585426</c:v>
                </c:pt>
                <c:pt idx="353">
                  <c:v>17.263623268141046</c:v>
                </c:pt>
                <c:pt idx="354">
                  <c:v>81.571752152424565</c:v>
                </c:pt>
                <c:pt idx="355">
                  <c:v>67.946896247739147</c:v>
                </c:pt>
                <c:pt idx="356">
                  <c:v>69.693247147414922</c:v>
                </c:pt>
                <c:pt idx="357">
                  <c:v>84.603587057373872</c:v>
                </c:pt>
                <c:pt idx="358">
                  <c:v>47.664528088245845</c:v>
                </c:pt>
                <c:pt idx="359">
                  <c:v>81.439329885079644</c:v>
                </c:pt>
                <c:pt idx="360">
                  <c:v>25.241509499317697</c:v>
                </c:pt>
                <c:pt idx="361">
                  <c:v>66.241501278669716</c:v>
                </c:pt>
                <c:pt idx="362">
                  <c:v>40.964945046276952</c:v>
                </c:pt>
                <c:pt idx="363">
                  <c:v>58.662986728091447</c:v>
                </c:pt>
                <c:pt idx="364">
                  <c:v>46.955095007381502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610744"/>
        <c:axId val="665611136"/>
      </c:lineChart>
      <c:dateAx>
        <c:axId val="665610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11136"/>
        <c:crosses val="autoZero"/>
        <c:auto val="1"/>
        <c:lblOffset val="100"/>
        <c:baseTimeUnit val="days"/>
        <c:majorUnit val="1"/>
        <c:majorTimeUnit val="months"/>
      </c:dateAx>
      <c:valAx>
        <c:axId val="665611136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1074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'2030'!$L$14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'2030'!$L$15:$L$380</c:f>
              <c:numCache>
                <c:formatCode>0.00%</c:formatCode>
                <c:ptCount val="366"/>
                <c:pt idx="0">
                  <c:v>4.1023891216099506E-2</c:v>
                </c:pt>
                <c:pt idx="1">
                  <c:v>4.103701879371735E-2</c:v>
                </c:pt>
                <c:pt idx="2">
                  <c:v>4.1050146191629611E-2</c:v>
                </c:pt>
                <c:pt idx="3">
                  <c:v>4.1063273409838841E-2</c:v>
                </c:pt>
                <c:pt idx="4">
                  <c:v>4.1076400448347483E-2</c:v>
                </c:pt>
                <c:pt idx="5">
                  <c:v>4.108952730715798E-2</c:v>
                </c:pt>
                <c:pt idx="6">
                  <c:v>4.1102653986272775E-2</c:v>
                </c:pt>
                <c:pt idx="7">
                  <c:v>4.111578048569442E-2</c:v>
                </c:pt>
                <c:pt idx="8">
                  <c:v>4.1128906805425247E-2</c:v>
                </c:pt>
                <c:pt idx="9">
                  <c:v>4.114203294546781E-2</c:v>
                </c:pt>
                <c:pt idx="10">
                  <c:v>4.1155158905824551E-2</c:v>
                </c:pt>
                <c:pt idx="11">
                  <c:v>4.1168284686497914E-2</c:v>
                </c:pt>
                <c:pt idx="12">
                  <c:v>4.1181410287490339E-2</c:v>
                </c:pt>
                <c:pt idx="13">
                  <c:v>4.1194535708804381E-2</c:v>
                </c:pt>
                <c:pt idx="14">
                  <c:v>4.1207660950442371E-2</c:v>
                </c:pt>
                <c:pt idx="15">
                  <c:v>4.1220786012406752E-2</c:v>
                </c:pt>
                <c:pt idx="16">
                  <c:v>4.1233910894700188E-2</c:v>
                </c:pt>
                <c:pt idx="17">
                  <c:v>4.1247035597324899E-2</c:v>
                </c:pt>
                <c:pt idx="18">
                  <c:v>4.1260160120283551E-2</c:v>
                </c:pt>
                <c:pt idx="19">
                  <c:v>4.1273284463578475E-2</c:v>
                </c:pt>
                <c:pt idx="20">
                  <c:v>4.1286408627212112E-2</c:v>
                </c:pt>
                <c:pt idx="21">
                  <c:v>4.1299532611187018E-2</c:v>
                </c:pt>
                <c:pt idx="22">
                  <c:v>4.1312656415505633E-2</c:v>
                </c:pt>
                <c:pt idx="23">
                  <c:v>4.132578004017029E-2</c:v>
                </c:pt>
                <c:pt idx="24">
                  <c:v>4.1338903485183653E-2</c:v>
                </c:pt>
                <c:pt idx="25">
                  <c:v>4.1352026750547943E-2</c:v>
                </c:pt>
                <c:pt idx="26">
                  <c:v>4.1365149836265824E-2</c:v>
                </c:pt>
                <c:pt idx="27">
                  <c:v>4.1378272742339739E-2</c:v>
                </c:pt>
                <c:pt idx="28">
                  <c:v>4.1391395468772019E-2</c:v>
                </c:pt>
                <c:pt idx="29">
                  <c:v>4.1404518015565217E-2</c:v>
                </c:pt>
                <c:pt idx="30">
                  <c:v>4.1417640382721777E-2</c:v>
                </c:pt>
                <c:pt idx="31">
                  <c:v>4.143076257024414E-2</c:v>
                </c:pt>
                <c:pt idx="32">
                  <c:v>4.1443884578134749E-2</c:v>
                </c:pt>
                <c:pt idx="33">
                  <c:v>4.1457006406396157E-2</c:v>
                </c:pt>
                <c:pt idx="34">
                  <c:v>4.1470128055030697E-2</c:v>
                </c:pt>
                <c:pt idx="35">
                  <c:v>4.1483249524040922E-2</c:v>
                </c:pt>
                <c:pt idx="36">
                  <c:v>4.1496370813429162E-2</c:v>
                </c:pt>
                <c:pt idx="37">
                  <c:v>4.1509491923198083E-2</c:v>
                </c:pt>
                <c:pt idx="38">
                  <c:v>4.1522612853350016E-2</c:v>
                </c:pt>
                <c:pt idx="39">
                  <c:v>4.1535733603887404E-2</c:v>
                </c:pt>
                <c:pt idx="40">
                  <c:v>4.1548854174812688E-2</c:v>
                </c:pt>
                <c:pt idx="41">
                  <c:v>4.1561974566128423E-2</c:v>
                </c:pt>
                <c:pt idx="42">
                  <c:v>4.1575094777837052E-2</c:v>
                </c:pt>
                <c:pt idx="43">
                  <c:v>4.1588214809941015E-2</c:v>
                </c:pt>
                <c:pt idx="44">
                  <c:v>4.1601334662442646E-2</c:v>
                </c:pt>
                <c:pt idx="45">
                  <c:v>4.1614454335344608E-2</c:v>
                </c:pt>
                <c:pt idx="46">
                  <c:v>4.1627573828649234E-2</c:v>
                </c:pt>
                <c:pt idx="47">
                  <c:v>4.1640693142358964E-2</c:v>
                </c:pt>
                <c:pt idx="48">
                  <c:v>4.1653812276476354E-2</c:v>
                </c:pt>
                <c:pt idx="49">
                  <c:v>4.1666931231003845E-2</c:v>
                </c:pt>
                <c:pt idx="50">
                  <c:v>4.1680050005943881E-2</c:v>
                </c:pt>
                <c:pt idx="51">
                  <c:v>4.1693168601298902E-2</c:v>
                </c:pt>
                <c:pt idx="52">
                  <c:v>4.1706287017071242E-2</c:v>
                </c:pt>
                <c:pt idx="53">
                  <c:v>4.1719405253263564E-2</c:v>
                </c:pt>
                <c:pt idx="54">
                  <c:v>4.1732523309878311E-2</c:v>
                </c:pt>
                <c:pt idx="55">
                  <c:v>4.1745641186917815E-2</c:v>
                </c:pt>
                <c:pt idx="56">
                  <c:v>4.1758758884384628E-2</c:v>
                </c:pt>
                <c:pt idx="57">
                  <c:v>4.1771876402281194E-2</c:v>
                </c:pt>
                <c:pt idx="58">
                  <c:v>4.1784993740609844E-2</c:v>
                </c:pt>
                <c:pt idx="59">
                  <c:v>4.1798110899373242E-2</c:v>
                </c:pt>
                <c:pt idx="60">
                  <c:v>4.181122787857372E-2</c:v>
                </c:pt>
                <c:pt idx="61">
                  <c:v>4.1824344678213832E-2</c:v>
                </c:pt>
                <c:pt idx="62">
                  <c:v>4.1837461298295908E-2</c:v>
                </c:pt>
                <c:pt idx="63">
                  <c:v>4.1850577738822503E-2</c:v>
                </c:pt>
                <c:pt idx="64">
                  <c:v>4.1863693999796059E-2</c:v>
                </c:pt>
                <c:pt idx="65">
                  <c:v>4.1876810081218907E-2</c:v>
                </c:pt>
                <c:pt idx="66">
                  <c:v>4.1889925983093712E-2</c:v>
                </c:pt>
                <c:pt idx="67">
                  <c:v>4.1903041705422805E-2</c:v>
                </c:pt>
                <c:pt idx="68">
                  <c:v>4.1916157248208741E-2</c:v>
                </c:pt>
                <c:pt idx="69">
                  <c:v>4.1929272611453738E-2</c:v>
                </c:pt>
                <c:pt idx="70">
                  <c:v>4.1942387795160574E-2</c:v>
                </c:pt>
                <c:pt idx="71">
                  <c:v>4.1955502799331579E-2</c:v>
                </c:pt>
                <c:pt idx="72">
                  <c:v>4.1968617623969084E-2</c:v>
                </c:pt>
                <c:pt idx="73">
                  <c:v>4.1981732269075756E-2</c:v>
                </c:pt>
                <c:pt idx="74">
                  <c:v>4.1994846734653812E-2</c:v>
                </c:pt>
                <c:pt idx="75">
                  <c:v>4.2007961020706031E-2</c:v>
                </c:pt>
                <c:pt idx="76">
                  <c:v>4.202107512723452E-2</c:v>
                </c:pt>
                <c:pt idx="77">
                  <c:v>4.2034189054241944E-2</c:v>
                </c:pt>
                <c:pt idx="78">
                  <c:v>4.2047302801730746E-2</c:v>
                </c:pt>
                <c:pt idx="79">
                  <c:v>4.2060416369703368E-2</c:v>
                </c:pt>
                <c:pt idx="80">
                  <c:v>4.2073529758162254E-2</c:v>
                </c:pt>
                <c:pt idx="81">
                  <c:v>4.2086642967109844E-2</c:v>
                </c:pt>
                <c:pt idx="82">
                  <c:v>4.2099755996548693E-2</c:v>
                </c:pt>
                <c:pt idx="83">
                  <c:v>4.2112868846481133E-2</c:v>
                </c:pt>
                <c:pt idx="84">
                  <c:v>4.2125981516909605E-2</c:v>
                </c:pt>
                <c:pt idx="85">
                  <c:v>4.2139094007836664E-2</c:v>
                </c:pt>
                <c:pt idx="86">
                  <c:v>4.2152206319264751E-2</c:v>
                </c:pt>
                <c:pt idx="87">
                  <c:v>4.216531845119631E-2</c:v>
                </c:pt>
                <c:pt idx="88">
                  <c:v>4.2178430403633782E-2</c:v>
                </c:pt>
                <c:pt idx="89">
                  <c:v>4.2191542176579611E-2</c:v>
                </c:pt>
                <c:pt idx="90">
                  <c:v>4.2204653770036349E-2</c:v>
                </c:pt>
                <c:pt idx="91">
                  <c:v>4.2217765184006328E-2</c:v>
                </c:pt>
                <c:pt idx="92">
                  <c:v>4.2230876418492103E-2</c:v>
                </c:pt>
                <c:pt idx="93">
                  <c:v>4.2243987473496003E-2</c:v>
                </c:pt>
                <c:pt idx="94">
                  <c:v>4.2257098349020694E-2</c:v>
                </c:pt>
                <c:pt idx="95">
                  <c:v>4.2270209045068396E-2</c:v>
                </c:pt>
                <c:pt idx="96">
                  <c:v>4.2283319561641775E-2</c:v>
                </c:pt>
                <c:pt idx="97">
                  <c:v>4.229642989874316E-2</c:v>
                </c:pt>
                <c:pt idx="98">
                  <c:v>4.2309540056374995E-2</c:v>
                </c:pt>
                <c:pt idx="99">
                  <c:v>4.2322650034539833E-2</c:v>
                </c:pt>
                <c:pt idx="100">
                  <c:v>4.2335759833240005E-2</c:v>
                </c:pt>
                <c:pt idx="101">
                  <c:v>4.2348869452478066E-2</c:v>
                </c:pt>
                <c:pt idx="102">
                  <c:v>4.2361978892256458E-2</c:v>
                </c:pt>
                <c:pt idx="103">
                  <c:v>4.2375088152577733E-2</c:v>
                </c:pt>
                <c:pt idx="104">
                  <c:v>4.2388197233444114E-2</c:v>
                </c:pt>
                <c:pt idx="105">
                  <c:v>4.2401306134858263E-2</c:v>
                </c:pt>
                <c:pt idx="106">
                  <c:v>4.2414414856822513E-2</c:v>
                </c:pt>
                <c:pt idx="107">
                  <c:v>4.2427523399339306E-2</c:v>
                </c:pt>
                <c:pt idx="108">
                  <c:v>4.2440631762411307E-2</c:v>
                </c:pt>
                <c:pt idx="109">
                  <c:v>4.2453739946040736E-2</c:v>
                </c:pt>
                <c:pt idx="110">
                  <c:v>4.2466847950230147E-2</c:v>
                </c:pt>
                <c:pt idx="111">
                  <c:v>4.2479955774981981E-2</c:v>
                </c:pt>
                <c:pt idx="112">
                  <c:v>4.2493063420298682E-2</c:v>
                </c:pt>
                <c:pt idx="113">
                  <c:v>4.2506170886182804E-2</c:v>
                </c:pt>
                <c:pt idx="114">
                  <c:v>4.2519278172636676E-2</c:v>
                </c:pt>
                <c:pt idx="115">
                  <c:v>4.2532385279662743E-2</c:v>
                </c:pt>
                <c:pt idx="116">
                  <c:v>4.2545492207263669E-2</c:v>
                </c:pt>
                <c:pt idx="117">
                  <c:v>4.2558598955441673E-2</c:v>
                </c:pt>
                <c:pt idx="118">
                  <c:v>4.257170552419931E-2</c:v>
                </c:pt>
                <c:pt idx="119">
                  <c:v>4.2584811913539022E-2</c:v>
                </c:pt>
                <c:pt idx="120">
                  <c:v>4.2597918123463252E-2</c:v>
                </c:pt>
                <c:pt idx="121">
                  <c:v>4.2611024153974442E-2</c:v>
                </c:pt>
                <c:pt idx="122">
                  <c:v>4.2624130005075145E-2</c:v>
                </c:pt>
                <c:pt idx="123">
                  <c:v>4.2637235676767804E-2</c:v>
                </c:pt>
                <c:pt idx="124">
                  <c:v>4.2650341169054751E-2</c:v>
                </c:pt>
                <c:pt idx="125">
                  <c:v>4.2663446481938538E-2</c:v>
                </c:pt>
                <c:pt idx="126">
                  <c:v>4.267655161542161E-2</c:v>
                </c:pt>
                <c:pt idx="127">
                  <c:v>4.2689656569506296E-2</c:v>
                </c:pt>
                <c:pt idx="128">
                  <c:v>4.2702761344195261E-2</c:v>
                </c:pt>
                <c:pt idx="129">
                  <c:v>4.2715865939490838E-2</c:v>
                </c:pt>
                <c:pt idx="130">
                  <c:v>4.2728970355395579E-2</c:v>
                </c:pt>
                <c:pt idx="131">
                  <c:v>4.2742074591911816E-2</c:v>
                </c:pt>
                <c:pt idx="132">
                  <c:v>4.2755178649042103E-2</c:v>
                </c:pt>
                <c:pt idx="133">
                  <c:v>4.276828252678877E-2</c:v>
                </c:pt>
                <c:pt idx="134">
                  <c:v>4.2781386225154372E-2</c:v>
                </c:pt>
                <c:pt idx="135">
                  <c:v>4.2794489744141351E-2</c:v>
                </c:pt>
                <c:pt idx="136">
                  <c:v>4.280759308375226E-2</c:v>
                </c:pt>
                <c:pt idx="137">
                  <c:v>4.282069624398932E-2</c:v>
                </c:pt>
                <c:pt idx="138">
                  <c:v>4.2833799224855196E-2</c:v>
                </c:pt>
                <c:pt idx="139">
                  <c:v>4.2846902026352218E-2</c:v>
                </c:pt>
                <c:pt idx="140">
                  <c:v>4.2860004648482941E-2</c:v>
                </c:pt>
                <c:pt idx="141">
                  <c:v>4.2873107091249696E-2</c:v>
                </c:pt>
                <c:pt idx="142">
                  <c:v>4.2886209354655147E-2</c:v>
                </c:pt>
                <c:pt idx="143">
                  <c:v>4.2899311438701515E-2</c:v>
                </c:pt>
                <c:pt idx="144">
                  <c:v>4.2912413343391353E-2</c:v>
                </c:pt>
                <c:pt idx="145">
                  <c:v>4.2925515068727105E-2</c:v>
                </c:pt>
                <c:pt idx="146">
                  <c:v>4.2938616614711322E-2</c:v>
                </c:pt>
                <c:pt idx="147">
                  <c:v>4.2951717981346338E-2</c:v>
                </c:pt>
                <c:pt idx="148">
                  <c:v>4.2964819168634594E-2</c:v>
                </c:pt>
                <c:pt idx="149">
                  <c:v>4.2977920176578643E-2</c:v>
                </c:pt>
                <c:pt idx="150">
                  <c:v>4.2991021005180929E-2</c:v>
                </c:pt>
                <c:pt idx="151">
                  <c:v>4.3004121654443783E-2</c:v>
                </c:pt>
                <c:pt idx="152">
                  <c:v>4.3017222124369869E-2</c:v>
                </c:pt>
                <c:pt idx="153">
                  <c:v>4.3030322414961408E-2</c:v>
                </c:pt>
                <c:pt idx="154">
                  <c:v>4.3043422526221065E-2</c:v>
                </c:pt>
                <c:pt idx="155">
                  <c:v>4.3056522458151059E-2</c:v>
                </c:pt>
                <c:pt idx="156">
                  <c:v>4.3069622210754166E-2</c:v>
                </c:pt>
                <c:pt idx="157">
                  <c:v>4.3082721784032496E-2</c:v>
                </c:pt>
                <c:pt idx="158">
                  <c:v>4.3095821177988825E-2</c:v>
                </c:pt>
                <c:pt idx="159">
                  <c:v>4.3108920392625372E-2</c:v>
                </c:pt>
                <c:pt idx="160">
                  <c:v>4.312201942794458E-2</c:v>
                </c:pt>
                <c:pt idx="161">
                  <c:v>4.3135118283949114E-2</c:v>
                </c:pt>
                <c:pt idx="162">
                  <c:v>4.3148216960641306E-2</c:v>
                </c:pt>
                <c:pt idx="163">
                  <c:v>4.3161315458023597E-2</c:v>
                </c:pt>
                <c:pt idx="164">
                  <c:v>4.317441377609843E-2</c:v>
                </c:pt>
                <c:pt idx="165">
                  <c:v>4.3187511914868359E-2</c:v>
                </c:pt>
                <c:pt idx="166">
                  <c:v>4.3200609874335716E-2</c:v>
                </c:pt>
                <c:pt idx="167">
                  <c:v>4.3213707654502942E-2</c:v>
                </c:pt>
                <c:pt idx="168">
                  <c:v>4.3226805255372591E-2</c:v>
                </c:pt>
                <c:pt idx="169">
                  <c:v>4.3239902676947217E-2</c:v>
                </c:pt>
                <c:pt idx="170">
                  <c:v>4.325299991922904E-2</c:v>
                </c:pt>
                <c:pt idx="171">
                  <c:v>4.3266096982220614E-2</c:v>
                </c:pt>
                <c:pt idx="172">
                  <c:v>4.3279193865924381E-2</c:v>
                </c:pt>
                <c:pt idx="173">
                  <c:v>4.3292290570342784E-2</c:v>
                </c:pt>
                <c:pt idx="174">
                  <c:v>4.3305387095478376E-2</c:v>
                </c:pt>
                <c:pt idx="175">
                  <c:v>4.3318483441333488E-2</c:v>
                </c:pt>
                <c:pt idx="176">
                  <c:v>4.3331579607910564E-2</c:v>
                </c:pt>
                <c:pt idx="177">
                  <c:v>4.3344675595212268E-2</c:v>
                </c:pt>
                <c:pt idx="178">
                  <c:v>4.3357771403240819E-2</c:v>
                </c:pt>
                <c:pt idx="179">
                  <c:v>4.3370867031998661E-2</c:v>
                </c:pt>
                <c:pt idx="180">
                  <c:v>4.3383962481488458E-2</c:v>
                </c:pt>
                <c:pt idx="181">
                  <c:v>4.3397057751712542E-2</c:v>
                </c:pt>
                <c:pt idx="182">
                  <c:v>4.3410152842673355E-2</c:v>
                </c:pt>
                <c:pt idx="183">
                  <c:v>4.3423247754373451E-2</c:v>
                </c:pt>
                <c:pt idx="184">
                  <c:v>4.3436342486815049E-2</c:v>
                </c:pt>
                <c:pt idx="185">
                  <c:v>4.3449437040000816E-2</c:v>
                </c:pt>
                <c:pt idx="186">
                  <c:v>4.3462531413933192E-2</c:v>
                </c:pt>
                <c:pt idx="187">
                  <c:v>4.3475625608614621E-2</c:v>
                </c:pt>
                <c:pt idx="188">
                  <c:v>4.3488719624047434E-2</c:v>
                </c:pt>
                <c:pt idx="189">
                  <c:v>4.3501813460234184E-2</c:v>
                </c:pt>
                <c:pt idx="190">
                  <c:v>4.3514907117177315E-2</c:v>
                </c:pt>
                <c:pt idx="191">
                  <c:v>4.3528000594879268E-2</c:v>
                </c:pt>
                <c:pt idx="192">
                  <c:v>4.3541093893342597E-2</c:v>
                </c:pt>
                <c:pt idx="193">
                  <c:v>4.3554187012569523E-2</c:v>
                </c:pt>
                <c:pt idx="194">
                  <c:v>4.356727995256271E-2</c:v>
                </c:pt>
                <c:pt idx="195">
                  <c:v>4.35803727133246E-2</c:v>
                </c:pt>
                <c:pt idx="196">
                  <c:v>4.3593465294857525E-2</c:v>
                </c:pt>
                <c:pt idx="197">
                  <c:v>4.3606557697164039E-2</c:v>
                </c:pt>
                <c:pt idx="198">
                  <c:v>4.3619649920246473E-2</c:v>
                </c:pt>
                <c:pt idx="199">
                  <c:v>4.3632741964107491E-2</c:v>
                </c:pt>
                <c:pt idx="200">
                  <c:v>4.3645833828749314E-2</c:v>
                </c:pt>
                <c:pt idx="201">
                  <c:v>4.3658925514174607E-2</c:v>
                </c:pt>
                <c:pt idx="202">
                  <c:v>4.367201702038559E-2</c:v>
                </c:pt>
                <c:pt idx="203">
                  <c:v>4.3685108347384927E-2</c:v>
                </c:pt>
                <c:pt idx="204">
                  <c:v>4.369819949517495E-2</c:v>
                </c:pt>
                <c:pt idx="205">
                  <c:v>4.3711290463758212E-2</c:v>
                </c:pt>
                <c:pt idx="206">
                  <c:v>4.3724381253137157E-2</c:v>
                </c:pt>
                <c:pt idx="207">
                  <c:v>4.3737471863314115E-2</c:v>
                </c:pt>
                <c:pt idx="208">
                  <c:v>4.3750562294291528E-2</c:v>
                </c:pt>
                <c:pt idx="209">
                  <c:v>4.3763652546072063E-2</c:v>
                </c:pt>
                <c:pt idx="210">
                  <c:v>4.3776742618658049E-2</c:v>
                </c:pt>
                <c:pt idx="211">
                  <c:v>4.3789832512051818E-2</c:v>
                </c:pt>
                <c:pt idx="212">
                  <c:v>4.3802922226256036E-2</c:v>
                </c:pt>
                <c:pt idx="213">
                  <c:v>4.3816011761273033E-2</c:v>
                </c:pt>
                <c:pt idx="214">
                  <c:v>4.3829101117105251E-2</c:v>
                </c:pt>
                <c:pt idx="215">
                  <c:v>4.3842190293755245E-2</c:v>
                </c:pt>
                <c:pt idx="216">
                  <c:v>4.3855279291225346E-2</c:v>
                </c:pt>
                <c:pt idx="217">
                  <c:v>4.3868368109518108E-2</c:v>
                </c:pt>
                <c:pt idx="218">
                  <c:v>4.3881456748635861E-2</c:v>
                </c:pt>
                <c:pt idx="219">
                  <c:v>4.389454520858127E-2</c:v>
                </c:pt>
                <c:pt idx="220">
                  <c:v>4.3907633489356557E-2</c:v>
                </c:pt>
                <c:pt idx="221">
                  <c:v>4.3920721590964273E-2</c:v>
                </c:pt>
                <c:pt idx="222">
                  <c:v>4.3933809513406863E-2</c:v>
                </c:pt>
                <c:pt idx="223">
                  <c:v>4.3946897256686879E-2</c:v>
                </c:pt>
                <c:pt idx="224">
                  <c:v>4.3959984820806541E-2</c:v>
                </c:pt>
                <c:pt idx="225">
                  <c:v>4.3973072205768515E-2</c:v>
                </c:pt>
                <c:pt idx="226">
                  <c:v>4.3986159411575132E-2</c:v>
                </c:pt>
                <c:pt idx="227">
                  <c:v>4.3999246438228945E-2</c:v>
                </c:pt>
                <c:pt idx="228">
                  <c:v>4.4012333285732397E-2</c:v>
                </c:pt>
                <c:pt idx="229">
                  <c:v>4.4025419954087819E-2</c:v>
                </c:pt>
                <c:pt idx="230">
                  <c:v>4.4038506443297765E-2</c:v>
                </c:pt>
                <c:pt idx="231">
                  <c:v>4.4051592753364677E-2</c:v>
                </c:pt>
                <c:pt idx="232">
                  <c:v>4.4064678884290998E-2</c:v>
                </c:pt>
                <c:pt idx="233">
                  <c:v>4.407776483607917E-2</c:v>
                </c:pt>
                <c:pt idx="234">
                  <c:v>4.4090850608731635E-2</c:v>
                </c:pt>
                <c:pt idx="235">
                  <c:v>4.4103936202250837E-2</c:v>
                </c:pt>
                <c:pt idx="236">
                  <c:v>4.4117021616639218E-2</c:v>
                </c:pt>
                <c:pt idx="237">
                  <c:v>4.4130106851899331E-2</c:v>
                </c:pt>
                <c:pt idx="238">
                  <c:v>4.4143191908033619E-2</c:v>
                </c:pt>
                <c:pt idx="239">
                  <c:v>4.4156276785044413E-2</c:v>
                </c:pt>
                <c:pt idx="240">
                  <c:v>4.4169361482934155E-2</c:v>
                </c:pt>
                <c:pt idx="241">
                  <c:v>4.4182446001705511E-2</c:v>
                </c:pt>
                <c:pt idx="242">
                  <c:v>4.41955303413607E-2</c:v>
                </c:pt>
                <c:pt idx="243">
                  <c:v>4.4208614501902277E-2</c:v>
                </c:pt>
                <c:pt idx="244">
                  <c:v>4.4221698483332683E-2</c:v>
                </c:pt>
                <c:pt idx="245">
                  <c:v>4.4234782285654473E-2</c:v>
                </c:pt>
                <c:pt idx="246">
                  <c:v>4.4247865908869866E-2</c:v>
                </c:pt>
                <c:pt idx="247">
                  <c:v>4.4260949352981527E-2</c:v>
                </c:pt>
                <c:pt idx="248">
                  <c:v>4.4274032617991788E-2</c:v>
                </c:pt>
                <c:pt idx="249">
                  <c:v>4.428711570390309E-2</c:v>
                </c:pt>
                <c:pt idx="250">
                  <c:v>4.4300198610717989E-2</c:v>
                </c:pt>
                <c:pt idx="251">
                  <c:v>4.4313281338438926E-2</c:v>
                </c:pt>
                <c:pt idx="252">
                  <c:v>4.4326363887068232E-2</c:v>
                </c:pt>
                <c:pt idx="253">
                  <c:v>4.4339446256608461E-2</c:v>
                </c:pt>
                <c:pt idx="254">
                  <c:v>4.4352528447061945E-2</c:v>
                </c:pt>
                <c:pt idx="255">
                  <c:v>4.4365610458431348E-2</c:v>
                </c:pt>
                <c:pt idx="256">
                  <c:v>4.4378692290719002E-2</c:v>
                </c:pt>
                <c:pt idx="257">
                  <c:v>4.4391773943927348E-2</c:v>
                </c:pt>
                <c:pt idx="258">
                  <c:v>4.4404855418058831E-2</c:v>
                </c:pt>
                <c:pt idx="259">
                  <c:v>4.4417936713115891E-2</c:v>
                </c:pt>
                <c:pt idx="260">
                  <c:v>4.4431017829100972E-2</c:v>
                </c:pt>
                <c:pt idx="261">
                  <c:v>4.4444098766016626E-2</c:v>
                </c:pt>
                <c:pt idx="262">
                  <c:v>4.4457179523865187E-2</c:v>
                </c:pt>
                <c:pt idx="263">
                  <c:v>4.4470260102649206E-2</c:v>
                </c:pt>
                <c:pt idx="264">
                  <c:v>4.4483340502371127E-2</c:v>
                </c:pt>
                <c:pt idx="265">
                  <c:v>4.4496420723033281E-2</c:v>
                </c:pt>
                <c:pt idx="266">
                  <c:v>4.4509500764638221E-2</c:v>
                </c:pt>
                <c:pt idx="267">
                  <c:v>4.4522580627188391E-2</c:v>
                </c:pt>
                <c:pt idx="268">
                  <c:v>4.4535660310686231E-2</c:v>
                </c:pt>
                <c:pt idx="269">
                  <c:v>4.4548739815134186E-2</c:v>
                </c:pt>
                <c:pt idx="270">
                  <c:v>4.4561819140534698E-2</c:v>
                </c:pt>
                <c:pt idx="271">
                  <c:v>4.4574898286890208E-2</c:v>
                </c:pt>
                <c:pt idx="272">
                  <c:v>4.4587977254203159E-2</c:v>
                </c:pt>
                <c:pt idx="273">
                  <c:v>4.4601056042476106E-2</c:v>
                </c:pt>
                <c:pt idx="274">
                  <c:v>4.4614134651711379E-2</c:v>
                </c:pt>
                <c:pt idx="275">
                  <c:v>4.4627213081911532E-2</c:v>
                </c:pt>
                <c:pt idx="276">
                  <c:v>4.4640291333078896E-2</c:v>
                </c:pt>
                <c:pt idx="277">
                  <c:v>4.4653369405216026E-2</c:v>
                </c:pt>
                <c:pt idx="278">
                  <c:v>4.4666447298325251E-2</c:v>
                </c:pt>
                <c:pt idx="279">
                  <c:v>4.4679525012409238E-2</c:v>
                </c:pt>
                <c:pt idx="280">
                  <c:v>4.4692602547470206E-2</c:v>
                </c:pt>
                <c:pt idx="281">
                  <c:v>4.4705679903510709E-2</c:v>
                </c:pt>
                <c:pt idx="282">
                  <c:v>4.4718757080533189E-2</c:v>
                </c:pt>
                <c:pt idx="283">
                  <c:v>4.4731834078540089E-2</c:v>
                </c:pt>
                <c:pt idx="284">
                  <c:v>4.4744910897533963E-2</c:v>
                </c:pt>
                <c:pt idx="285">
                  <c:v>4.475798753751703E-2</c:v>
                </c:pt>
                <c:pt idx="286">
                  <c:v>4.4771063998491956E-2</c:v>
                </c:pt>
                <c:pt idx="287">
                  <c:v>4.4784140280461071E-2</c:v>
                </c:pt>
                <c:pt idx="288">
                  <c:v>4.479721638342693E-2</c:v>
                </c:pt>
                <c:pt idx="289">
                  <c:v>4.4810292307391864E-2</c:v>
                </c:pt>
                <c:pt idx="290">
                  <c:v>4.4823368052358425E-2</c:v>
                </c:pt>
                <c:pt idx="291">
                  <c:v>4.4836443618328947E-2</c:v>
                </c:pt>
                <c:pt idx="292">
                  <c:v>4.4849519005305982E-2</c:v>
                </c:pt>
                <c:pt idx="293">
                  <c:v>4.4862594213291973E-2</c:v>
                </c:pt>
                <c:pt idx="294">
                  <c:v>4.4875669242289362E-2</c:v>
                </c:pt>
                <c:pt idx="295">
                  <c:v>4.4888744092300592E-2</c:v>
                </c:pt>
                <c:pt idx="296">
                  <c:v>4.4901818763327994E-2</c:v>
                </c:pt>
                <c:pt idx="297">
                  <c:v>4.4914893255374233E-2</c:v>
                </c:pt>
                <c:pt idx="298">
                  <c:v>4.492796756844164E-2</c:v>
                </c:pt>
                <c:pt idx="299">
                  <c:v>4.4941041702532658E-2</c:v>
                </c:pt>
                <c:pt idx="300">
                  <c:v>4.4954115657649729E-2</c:v>
                </c:pt>
                <c:pt idx="301">
                  <c:v>4.4967189433795407E-2</c:v>
                </c:pt>
                <c:pt idx="302">
                  <c:v>4.4980263030972023E-2</c:v>
                </c:pt>
                <c:pt idx="303">
                  <c:v>4.4993336449182131E-2</c:v>
                </c:pt>
                <c:pt idx="304">
                  <c:v>4.5006409688428062E-2</c:v>
                </c:pt>
                <c:pt idx="305">
                  <c:v>4.5019482748712369E-2</c:v>
                </c:pt>
                <c:pt idx="306">
                  <c:v>4.5032555630037385E-2</c:v>
                </c:pt>
                <c:pt idx="307">
                  <c:v>4.5045628332405663E-2</c:v>
                </c:pt>
                <c:pt idx="308">
                  <c:v>4.5058700855819644E-2</c:v>
                </c:pt>
                <c:pt idx="309">
                  <c:v>4.5071773200281773E-2</c:v>
                </c:pt>
                <c:pt idx="310">
                  <c:v>4.508484536579449E-2</c:v>
                </c:pt>
                <c:pt idx="311">
                  <c:v>4.5097917352360239E-2</c:v>
                </c:pt>
                <c:pt idx="312">
                  <c:v>4.5110989159981352E-2</c:v>
                </c:pt>
                <c:pt idx="313">
                  <c:v>4.5124060788660492E-2</c:v>
                </c:pt>
                <c:pt idx="314">
                  <c:v>4.5137132238399991E-2</c:v>
                </c:pt>
                <c:pt idx="315">
                  <c:v>4.5150203509202402E-2</c:v>
                </c:pt>
                <c:pt idx="316">
                  <c:v>4.5163274601070058E-2</c:v>
                </c:pt>
                <c:pt idx="317">
                  <c:v>4.51763455140054E-2</c:v>
                </c:pt>
                <c:pt idx="318">
                  <c:v>4.5189416248010872E-2</c:v>
                </c:pt>
                <c:pt idx="319">
                  <c:v>4.5202486803089026E-2</c:v>
                </c:pt>
                <c:pt idx="320">
                  <c:v>4.5215557179242305E-2</c:v>
                </c:pt>
                <c:pt idx="321">
                  <c:v>4.5228627376473041E-2</c:v>
                </c:pt>
                <c:pt idx="322">
                  <c:v>4.5241697394783786E-2</c:v>
                </c:pt>
                <c:pt idx="323">
                  <c:v>4.5254767234176985E-2</c:v>
                </c:pt>
                <c:pt idx="324">
                  <c:v>4.5267836894654967E-2</c:v>
                </c:pt>
                <c:pt idx="325">
                  <c:v>4.5280906376220398E-2</c:v>
                </c:pt>
                <c:pt idx="326">
                  <c:v>4.5293975678875498E-2</c:v>
                </c:pt>
                <c:pt idx="327">
                  <c:v>4.530704480262282E-2</c:v>
                </c:pt>
                <c:pt idx="328">
                  <c:v>4.5320113747464918E-2</c:v>
                </c:pt>
                <c:pt idx="329">
                  <c:v>4.5333182513404013E-2</c:v>
                </c:pt>
                <c:pt idx="330">
                  <c:v>4.5346251100442769E-2</c:v>
                </c:pt>
                <c:pt idx="331">
                  <c:v>4.5359319508583518E-2</c:v>
                </c:pt>
                <c:pt idx="332">
                  <c:v>4.5372387737828701E-2</c:v>
                </c:pt>
                <c:pt idx="333">
                  <c:v>4.5385455788180762E-2</c:v>
                </c:pt>
                <c:pt idx="334">
                  <c:v>4.5398523659642254E-2</c:v>
                </c:pt>
                <c:pt idx="335">
                  <c:v>4.5411591352215508E-2</c:v>
                </c:pt>
                <c:pt idx="336">
                  <c:v>4.5424658865903078E-2</c:v>
                </c:pt>
                <c:pt idx="337">
                  <c:v>4.5437726200707407E-2</c:v>
                </c:pt>
                <c:pt idx="338">
                  <c:v>4.5450793356630825E-2</c:v>
                </c:pt>
                <c:pt idx="339">
                  <c:v>4.5463860333675887E-2</c:v>
                </c:pt>
                <c:pt idx="340">
                  <c:v>4.5476927131844924E-2</c:v>
                </c:pt>
                <c:pt idx="341">
                  <c:v>4.5489993751140601E-2</c:v>
                </c:pt>
                <c:pt idx="342">
                  <c:v>4.5503060191565137E-2</c:v>
                </c:pt>
                <c:pt idx="343">
                  <c:v>4.5516126453121086E-2</c:v>
                </c:pt>
                <c:pt idx="344">
                  <c:v>4.5529192535810892E-2</c:v>
                </c:pt>
                <c:pt idx="345">
                  <c:v>4.5542258439636996E-2</c:v>
                </c:pt>
                <c:pt idx="346">
                  <c:v>4.555532416460184E-2</c:v>
                </c:pt>
                <c:pt idx="347">
                  <c:v>4.5568389710707868E-2</c:v>
                </c:pt>
                <c:pt idx="348">
                  <c:v>4.5581455077957633E-2</c:v>
                </c:pt>
                <c:pt idx="349">
                  <c:v>4.5594520266353356E-2</c:v>
                </c:pt>
                <c:pt idx="350">
                  <c:v>4.56075852758977E-2</c:v>
                </c:pt>
                <c:pt idx="351">
                  <c:v>4.5620650106593108E-2</c:v>
                </c:pt>
                <c:pt idx="352">
                  <c:v>4.5633714758441801E-2</c:v>
                </c:pt>
                <c:pt idx="353">
                  <c:v>4.5646779231446444E-2</c:v>
                </c:pt>
                <c:pt idx="354">
                  <c:v>4.5659843525609478E-2</c:v>
                </c:pt>
                <c:pt idx="355">
                  <c:v>4.5672907640933236E-2</c:v>
                </c:pt>
                <c:pt idx="356">
                  <c:v>4.568597157742027E-2</c:v>
                </c:pt>
                <c:pt idx="357">
                  <c:v>4.5699035335072913E-2</c:v>
                </c:pt>
                <c:pt idx="358">
                  <c:v>4.5712098913893717E-2</c:v>
                </c:pt>
                <c:pt idx="359">
                  <c:v>4.5725162313885126E-2</c:v>
                </c:pt>
                <c:pt idx="360">
                  <c:v>4.5738225535049581E-2</c:v>
                </c:pt>
                <c:pt idx="361">
                  <c:v>4.5751288577389415E-2</c:v>
                </c:pt>
                <c:pt idx="362">
                  <c:v>4.5764351440907292E-2</c:v>
                </c:pt>
                <c:pt idx="363">
                  <c:v>4.5777414125605431E-2</c:v>
                </c:pt>
                <c:pt idx="364">
                  <c:v>4.5790476631486388E-2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'2030'!$O$15:$O$380</c:f>
              <c:numCache>
                <c:formatCode>0.00%</c:formatCode>
                <c:ptCount val="366"/>
                <c:pt idx="0">
                  <c:v>4.3166527853365222E-2</c:v>
                </c:pt>
                <c:pt idx="1">
                  <c:v>4.320519379713561E-2</c:v>
                </c:pt>
                <c:pt idx="2">
                  <c:v>4.3243909569522218E-2</c:v>
                </c:pt>
                <c:pt idx="3">
                  <c:v>4.3282665367268262E-2</c:v>
                </c:pt>
                <c:pt idx="4">
                  <c:v>4.3321452656593866E-2</c:v>
                </c:pt>
                <c:pt idx="5">
                  <c:v>4.3360264136944868E-2</c:v>
                </c:pt>
                <c:pt idx="6">
                  <c:v>4.3399093694938294E-2</c:v>
                </c:pt>
                <c:pt idx="7">
                  <c:v>4.3437936349274113E-2</c:v>
                </c:pt>
                <c:pt idx="8">
                  <c:v>4.3476788187450412E-2</c:v>
                </c:pt>
                <c:pt idx="9">
                  <c:v>4.3515646295178158E-2</c:v>
                </c:pt>
                <c:pt idx="10">
                  <c:v>4.3554508679441502E-2</c:v>
                </c:pt>
                <c:pt idx="11">
                  <c:v>4.3593374186188208E-2</c:v>
                </c:pt>
                <c:pt idx="12">
                  <c:v>4.3632242413664923E-2</c:v>
                </c:pt>
                <c:pt idx="13">
                  <c:v>4.3671113622430341E-2</c:v>
                </c:pt>
                <c:pt idx="14">
                  <c:v>4.3709988643088317E-2</c:v>
                </c:pt>
                <c:pt idx="15">
                  <c:v>4.3748868782781475E-2</c:v>
                </c:pt>
                <c:pt idx="16">
                  <c:v>4.378775573147365E-2</c:v>
                </c:pt>
                <c:pt idx="17">
                  <c:v>4.3826651469028338E-2</c:v>
                </c:pt>
                <c:pt idx="18">
                  <c:v>4.3865558174059315E-2</c:v>
                </c:pt>
                <c:pt idx="19">
                  <c:v>4.3904478135489033E-2</c:v>
                </c:pt>
                <c:pt idx="20">
                  <c:v>4.3943413667702387E-2</c:v>
                </c:pt>
                <c:pt idx="21">
                  <c:v>4.3982367030126458E-2</c:v>
                </c:pt>
                <c:pt idx="22">
                  <c:v>4.4021340352003446E-2</c:v>
                </c:pt>
                <c:pt idx="23">
                  <c:v>4.4060335563053887E-2</c:v>
                </c:pt>
                <c:pt idx="24">
                  <c:v>4.4099354330651229E-2</c:v>
                </c:pt>
                <c:pt idx="25">
                  <c:v>4.4138398004048597E-2</c:v>
                </c:pt>
                <c:pt idx="26">
                  <c:v>4.4177467566113737E-2</c:v>
                </c:pt>
                <c:pt idx="27">
                  <c:v>4.421656359294119E-2</c:v>
                </c:pt>
                <c:pt idx="28">
                  <c:v>4.4255686221620634E-2</c:v>
                </c:pt>
                <c:pt idx="29">
                  <c:v>4.4294835126350254E-2</c:v>
                </c:pt>
                <c:pt idx="30">
                  <c:v>4.4334009502993162E-2</c:v>
                </c:pt>
                <c:pt idx="31">
                  <c:v>4.4373208062084502E-2</c:v>
                </c:pt>
                <c:pt idx="32">
                  <c:v>4.4412429030209116E-2</c:v>
                </c:pt>
                <c:pt idx="33">
                  <c:v>4.4451670159583755E-2</c:v>
                </c:pt>
                <c:pt idx="34">
                  <c:v>4.4490928745595099E-2</c:v>
                </c:pt>
                <c:pt idx="35">
                  <c:v>4.4530201651967423E-2</c:v>
                </c:pt>
                <c:pt idx="36">
                  <c:v>4.456948534315977E-2</c:v>
                </c:pt>
                <c:pt idx="37">
                  <c:v>4.4608775923525565E-2</c:v>
                </c:pt>
                <c:pt idx="38">
                  <c:v>4.4648069182705516E-2</c:v>
                </c:pt>
                <c:pt idx="39">
                  <c:v>4.4687360646670761E-2</c:v>
                </c:pt>
                <c:pt idx="40">
                  <c:v>4.4726645633784715E-2</c:v>
                </c:pt>
                <c:pt idx="41">
                  <c:v>4.476591931521326E-2</c:v>
                </c:pt>
                <c:pt idx="42">
                  <c:v>4.4805176778979668E-2</c:v>
                </c:pt>
                <c:pt idx="43">
                  <c:v>4.4844413096937444E-2</c:v>
                </c:pt>
                <c:pt idx="44">
                  <c:v>4.4883623393917604E-2</c:v>
                </c:pt>
                <c:pt idx="45">
                  <c:v>4.4922802918299483E-2</c:v>
                </c:pt>
                <c:pt idx="46">
                  <c:v>4.4961947113254089E-2</c:v>
                </c:pt>
                <c:pt idx="47">
                  <c:v>4.5001051687916974E-2</c:v>
                </c:pt>
                <c:pt idx="48">
                  <c:v>4.5040112687763763E-2</c:v>
                </c:pt>
                <c:pt idx="49">
                  <c:v>4.5079126563483923E-2</c:v>
                </c:pt>
                <c:pt idx="50">
                  <c:v>4.5118090237678599E-2</c:v>
                </c:pt>
                <c:pt idx="51">
                  <c:v>4.5157001168744701E-2</c:v>
                </c:pt>
                <c:pt idx="52">
                  <c:v>4.5195857411349474E-2</c:v>
                </c:pt>
                <c:pt idx="53">
                  <c:v>4.5234657672947862E-2</c:v>
                </c:pt>
                <c:pt idx="54">
                  <c:v>4.52734013658464E-2</c:v>
                </c:pt>
                <c:pt idx="55">
                  <c:v>4.5312088654374673E-2</c:v>
                </c:pt>
                <c:pt idx="56">
                  <c:v>4.5350720496783965E-2</c:v>
                </c:pt>
                <c:pt idx="57">
                  <c:v>4.5389298681555321E-2</c:v>
                </c:pt>
                <c:pt idx="58">
                  <c:v>4.5427825857863112E-2</c:v>
                </c:pt>
                <c:pt idx="59">
                  <c:v>4.5466305560004493E-2</c:v>
                </c:pt>
                <c:pt idx="60">
                  <c:v>4.5504742225671156E-2</c:v>
                </c:pt>
                <c:pt idx="61">
                  <c:v>4.5543141208003325E-2</c:v>
                </c:pt>
                <c:pt idx="62">
                  <c:v>4.5581508781430302E-2</c:v>
                </c:pt>
                <c:pt idx="63">
                  <c:v>4.5619852141362459E-2</c:v>
                </c:pt>
                <c:pt idx="64">
                  <c:v>4.5658179397859079E-2</c:v>
                </c:pt>
                <c:pt idx="65">
                  <c:v>4.5696499563451259E-2</c:v>
                </c:pt>
                <c:pt idx="66">
                  <c:v>4.573482253535148E-2</c:v>
                </c:pt>
                <c:pt idx="67">
                  <c:v>4.5773159072328477E-2</c:v>
                </c:pt>
                <c:pt idx="68">
                  <c:v>4.5811520766568366E-2</c:v>
                </c:pt>
                <c:pt idx="69">
                  <c:v>4.5849920010880958E-2</c:v>
                </c:pt>
                <c:pt idx="70">
                  <c:v>4.5888369961641091E-2</c:v>
                </c:pt>
                <c:pt idx="71">
                  <c:v>4.5926884497881501E-2</c:v>
                </c:pt>
                <c:pt idx="72">
                  <c:v>4.5965478176973378E-2</c:v>
                </c:pt>
                <c:pt idx="73">
                  <c:v>4.6004166187344424E-2</c:v>
                </c:pt>
                <c:pt idx="74">
                  <c:v>4.6042964298692542E-2</c:v>
                </c:pt>
                <c:pt idx="75">
                  <c:v>4.6081888810154334E-2</c:v>
                </c:pt>
                <c:pt idx="76">
                  <c:v>4.6120956496883712E-2</c:v>
                </c:pt>
                <c:pt idx="77">
                  <c:v>4.6160184555485678E-2</c:v>
                </c:pt>
                <c:pt idx="78">
                  <c:v>4.6199590548735014E-2</c:v>
                </c:pt>
                <c:pt idx="79">
                  <c:v>4.6239192349988627E-2</c:v>
                </c:pt>
                <c:pt idx="80">
                  <c:v>4.6279008087675273E-2</c:v>
                </c:pt>
                <c:pt idx="81">
                  <c:v>4.6319056090216297E-2</c:v>
                </c:pt>
                <c:pt idx="82">
                  <c:v>4.6359354831697716E-2</c:v>
                </c:pt>
                <c:pt idx="83">
                  <c:v>4.6399922878577179E-2</c:v>
                </c:pt>
                <c:pt idx="84">
                  <c:v>4.6440778837669741E-2</c:v>
                </c:pt>
                <c:pt idx="85">
                  <c:v>4.648194130561515E-2</c:v>
                </c:pt>
                <c:pt idx="86">
                  <c:v>4.6523428819986098E-2</c:v>
                </c:pt>
                <c:pt idx="87">
                  <c:v>4.6565259812153537E-2</c:v>
                </c:pt>
                <c:pt idx="88">
                  <c:v>4.6607452561981129E-2</c:v>
                </c:pt>
                <c:pt idx="89">
                  <c:v>4.6650025154377654E-2</c:v>
                </c:pt>
                <c:pt idx="90">
                  <c:v>4.6692995437694146E-2</c:v>
                </c:pt>
                <c:pt idx="91">
                  <c:v>4.6736380983912272E-2</c:v>
                </c:pt>
                <c:pt idx="92">
                  <c:v>4.6780199050532462E-2</c:v>
                </c:pt>
                <c:pt idx="93">
                  <c:v>4.6824466544035125E-2</c:v>
                </c:pt>
                <c:pt idx="94">
                  <c:v>4.6869199984757449E-2</c:v>
                </c:pt>
                <c:pt idx="95">
                  <c:v>4.6914415472999869E-2</c:v>
                </c:pt>
                <c:pt idx="96">
                  <c:v>4.6960128656153656E-2</c:v>
                </c:pt>
                <c:pt idx="97">
                  <c:v>4.7006354696622343E-2</c:v>
                </c:pt>
                <c:pt idx="98">
                  <c:v>4.7053108240296272E-2</c:v>
                </c:pt>
                <c:pt idx="99">
                  <c:v>4.710040338533146E-2</c:v>
                </c:pt>
                <c:pt idx="100">
                  <c:v>4.7148253650980493E-2</c:v>
                </c:pt>
                <c:pt idx="101">
                  <c:v>4.7196671946226641E-2</c:v>
                </c:pt>
                <c:pt idx="102">
                  <c:v>4.7245670537979914E-2</c:v>
                </c:pt>
                <c:pt idx="103">
                  <c:v>4.7295261018607052E-2</c:v>
                </c:pt>
                <c:pt idx="104">
                  <c:v>4.7345454272587142E-2</c:v>
                </c:pt>
                <c:pt idx="105">
                  <c:v>4.7396260442107201E-2</c:v>
                </c:pt>
                <c:pt idx="106">
                  <c:v>4.7447688891441686E-2</c:v>
                </c:pt>
                <c:pt idx="107">
                  <c:v>4.7499748169992341E-2</c:v>
                </c:pt>
                <c:pt idx="108">
                  <c:v>4.7552445973902062E-2</c:v>
                </c:pt>
                <c:pt idx="109">
                  <c:v>4.7605789106197248E-2</c:v>
                </c:pt>
                <c:pt idx="110">
                  <c:v>4.7659783435456064E-2</c:v>
                </c:pt>
                <c:pt idx="111">
                  <c:v>4.7714433853047238E-2</c:v>
                </c:pt>
                <c:pt idx="112">
                  <c:v>4.776974422903079E-2</c:v>
                </c:pt>
                <c:pt idx="113">
                  <c:v>4.7825717366861725E-2</c:v>
                </c:pt>
                <c:pt idx="114">
                  <c:v>4.7882354957087578E-2</c:v>
                </c:pt>
                <c:pt idx="115">
                  <c:v>4.7939657530279386E-2</c:v>
                </c:pt>
                <c:pt idx="116">
                  <c:v>4.7997624409484969E-2</c:v>
                </c:pt>
                <c:pt idx="117">
                  <c:v>4.8056253662539961E-2</c:v>
                </c:pt>
                <c:pt idx="118">
                  <c:v>4.8115542054616683E-2</c:v>
                </c:pt>
                <c:pt idx="119">
                  <c:v>8.0885102312609237E-3</c:v>
                </c:pt>
                <c:pt idx="120">
                  <c:v>8.1724394528763355E-3</c:v>
                </c:pt>
                <c:pt idx="121">
                  <c:v>8.2564731972242372E-3</c:v>
                </c:pt>
                <c:pt idx="122">
                  <c:v>8.3406128308472875E-3</c:v>
                </c:pt>
                <c:pt idx="123">
                  <c:v>8.4248593868299672E-3</c:v>
                </c:pt>
                <c:pt idx="124">
                  <c:v>8.5092135474160082E-3</c:v>
                </c:pt>
                <c:pt idx="125">
                  <c:v>8.5936756270626885E-3</c:v>
                </c:pt>
                <c:pt idx="126">
                  <c:v>8.6782455560784812E-3</c:v>
                </c:pt>
                <c:pt idx="127">
                  <c:v>8.7629228649968374E-3</c:v>
                </c:pt>
                <c:pt idx="128">
                  <c:v>8.8477066698436947E-3</c:v>
                </c:pt>
                <c:pt idx="129">
                  <c:v>8.9325956584598281E-3</c:v>
                </c:pt>
                <c:pt idx="130">
                  <c:v>9.0175880780407665E-3</c:v>
                </c:pt>
                <c:pt idx="131">
                  <c:v>9.1026817240573779E-3</c:v>
                </c:pt>
                <c:pt idx="132">
                  <c:v>9.187873930718132E-3</c:v>
                </c:pt>
                <c:pt idx="133">
                  <c:v>9.2731615631309328E-3</c:v>
                </c:pt>
                <c:pt idx="134">
                  <c:v>9.3585410113166071E-3</c:v>
                </c:pt>
                <c:pt idx="135">
                  <c:v>9.4440081862191827E-3</c:v>
                </c:pt>
                <c:pt idx="136">
                  <c:v>9.5295585178485909E-3</c:v>
                </c:pt>
                <c:pt idx="137">
                  <c:v>9.6151869556805967E-3</c:v>
                </c:pt>
                <c:pt idx="138">
                  <c:v>9.7008879714258322E-3</c:v>
                </c:pt>
                <c:pt idx="139">
                  <c:v>9.7866555642651364E-3</c:v>
                </c:pt>
                <c:pt idx="140">
                  <c:v>9.8724832686324423E-3</c:v>
                </c:pt>
                <c:pt idx="141">
                  <c:v>9.9583641646084076E-3</c:v>
                </c:pt>
                <c:pt idx="142">
                  <c:v>1.0044290890969186E-2</c:v>
                </c:pt>
                <c:pt idx="143">
                  <c:v>1.0130255660914233E-2</c:v>
                </c:pt>
                <c:pt idx="144">
                  <c:v>1.0216250280475851E-2</c:v>
                </c:pt>
                <c:pt idx="145">
                  <c:v>1.0302266169590879E-2</c:v>
                </c:pt>
                <c:pt idx="146">
                  <c:v>1.0388294385792141E-2</c:v>
                </c:pt>
                <c:pt idx="147">
                  <c:v>1.0474325650454284E-2</c:v>
                </c:pt>
                <c:pt idx="148">
                  <c:v>1.05603503775048E-2</c:v>
                </c:pt>
                <c:pt idx="149">
                  <c:v>1.0646358704488202E-2</c:v>
                </c:pt>
                <c:pt idx="150">
                  <c:v>1.0732340525847929E-2</c:v>
                </c:pt>
                <c:pt idx="151">
                  <c:v>1.081828552826828E-2</c:v>
                </c:pt>
                <c:pt idx="152">
                  <c:v>1.0904183227897005E-2</c:v>
                </c:pt>
                <c:pt idx="153">
                  <c:v>1.0990023009248499E-2</c:v>
                </c:pt>
                <c:pt idx="154">
                  <c:v>1.1075794165568288E-2</c:v>
                </c:pt>
                <c:pt idx="155">
                  <c:v>1.1161485940421576E-2</c:v>
                </c:pt>
                <c:pt idx="156">
                  <c:v>1.1247087570252773E-2</c:v>
                </c:pt>
                <c:pt idx="157">
                  <c:v>1.1332588327648397E-2</c:v>
                </c:pt>
                <c:pt idx="158">
                  <c:v>1.1417977565024122E-2</c:v>
                </c:pt>
                <c:pt idx="159">
                  <c:v>1.1503244758446581E-2</c:v>
                </c:pt>
                <c:pt idx="160">
                  <c:v>1.1588379551293727E-2</c:v>
                </c:pt>
                <c:pt idx="161">
                  <c:v>1.16733717974522E-2</c:v>
                </c:pt>
                <c:pt idx="162">
                  <c:v>1.1758211603748594E-2</c:v>
                </c:pt>
                <c:pt idx="163">
                  <c:v>1.1842889371311824E-2</c:v>
                </c:pt>
                <c:pt idx="164">
                  <c:v>1.1927395835567326E-2</c:v>
                </c:pt>
                <c:pt idx="165">
                  <c:v>1.2011722104569892E-2</c:v>
                </c:pt>
                <c:pt idx="166">
                  <c:v>1.209585969539112E-2</c:v>
                </c:pt>
                <c:pt idx="167">
                  <c:v>1.2179800568288886E-2</c:v>
                </c:pt>
                <c:pt idx="168">
                  <c:v>1.2263537158400688E-2</c:v>
                </c:pt>
                <c:pt idx="169">
                  <c:v>1.2347062404719857E-2</c:v>
                </c:pt>
                <c:pt idx="170">
                  <c:v>1.2430369776132356E-2</c:v>
                </c:pt>
                <c:pt idx="171">
                  <c:v>1.2513453294314187E-2</c:v>
                </c:pt>
                <c:pt idx="172">
                  <c:v>1.2596307553312532E-2</c:v>
                </c:pt>
                <c:pt idx="173">
                  <c:v>1.2678927735659524E-2</c:v>
                </c:pt>
                <c:pt idx="174">
                  <c:v>1.2761309624894825E-2</c:v>
                </c:pt>
                <c:pt idx="175">
                  <c:v>1.2843449614401429E-2</c:v>
                </c:pt>
                <c:pt idx="176">
                  <c:v>1.2925344712489189E-2</c:v>
                </c:pt>
                <c:pt idx="177">
                  <c:v>1.3006992543690742E-2</c:v>
                </c:pt>
                <c:pt idx="178">
                  <c:v>1.3088391346265875E-2</c:v>
                </c:pt>
                <c:pt idx="179">
                  <c:v>1.3169539965941439E-2</c:v>
                </c:pt>
                <c:pt idx="180">
                  <c:v>1.325043784594529E-2</c:v>
                </c:pt>
                <c:pt idx="181">
                  <c:v>1.3331085013423517E-2</c:v>
                </c:pt>
                <c:pt idx="182">
                  <c:v>1.3411482062360489E-2</c:v>
                </c:pt>
                <c:pt idx="183">
                  <c:v>1.3491630133150093E-2</c:v>
                </c:pt>
                <c:pt idx="184">
                  <c:v>1.3571530888994848E-2</c:v>
                </c:pt>
                <c:pt idx="185">
                  <c:v>1.3651186489335179E-2</c:v>
                </c:pt>
                <c:pt idx="186">
                  <c:v>1.3730599560536245E-2</c:v>
                </c:pt>
                <c:pt idx="187">
                  <c:v>1.3809773164081237E-2</c:v>
                </c:pt>
                <c:pt idx="188">
                  <c:v>1.3888710762540477E-2</c:v>
                </c:pt>
                <c:pt idx="189">
                  <c:v>1.3967416183602638E-2</c:v>
                </c:pt>
                <c:pt idx="190">
                  <c:v>1.4045893582469021E-2</c:v>
                </c:pt>
                <c:pt idx="191">
                  <c:v>1.4124147402923528E-2</c:v>
                </c:pt>
                <c:pt idx="192">
                  <c:v>1.4202182337399383E-2</c:v>
                </c:pt>
                <c:pt idx="193">
                  <c:v>1.4280003286369053E-2</c:v>
                </c:pt>
                <c:pt idx="194">
                  <c:v>1.4357615317386265E-2</c:v>
                </c:pt>
                <c:pt idx="195">
                  <c:v>1.4435023624107493E-2</c:v>
                </c:pt>
                <c:pt idx="196">
                  <c:v>1.4512233485616493E-2</c:v>
                </c:pt>
                <c:pt idx="197">
                  <c:v>1.4589250226367652E-2</c:v>
                </c:pt>
                <c:pt idx="198">
                  <c:v>1.4666079177053279E-2</c:v>
                </c:pt>
                <c:pt idx="199">
                  <c:v>1.4742725636686622E-2</c:v>
                </c:pt>
                <c:pt idx="200">
                  <c:v>1.4819194836175444E-2</c:v>
                </c:pt>
                <c:pt idx="201">
                  <c:v>1.4895491903642191E-2</c:v>
                </c:pt>
                <c:pt idx="202">
                  <c:v>1.4971621831724813E-2</c:v>
                </c:pt>
                <c:pt idx="203">
                  <c:v>1.504758944706833E-2</c:v>
                </c:pt>
                <c:pt idx="204">
                  <c:v>1.5123399382191477E-2</c:v>
                </c:pt>
                <c:pt idx="205">
                  <c:v>1.5199056049884778E-2</c:v>
                </c:pt>
                <c:pt idx="206">
                  <c:v>1.5274563620267483E-2</c:v>
                </c:pt>
                <c:pt idx="207">
                  <c:v>1.5349926000600568E-2</c:v>
                </c:pt>
                <c:pt idx="208">
                  <c:v>1.5425146817921906E-2</c:v>
                </c:pt>
                <c:pt idx="209">
                  <c:v>1.5500229404538546E-2</c:v>
                </c:pt>
                <c:pt idx="210">
                  <c:v>1.5575176786379293E-2</c:v>
                </c:pt>
                <c:pt idx="211">
                  <c:v>1.5649991674180023E-2</c:v>
                </c:pt>
                <c:pt idx="212">
                  <c:v>1.5724676457443246E-2</c:v>
                </c:pt>
                <c:pt idx="213">
                  <c:v>1.5799233201084031E-2</c:v>
                </c:pt>
                <c:pt idx="214">
                  <c:v>1.587366364464643E-2</c:v>
                </c:pt>
                <c:pt idx="215">
                  <c:v>1.5947969203947622E-2</c:v>
                </c:pt>
                <c:pt idx="216">
                  <c:v>1.602215097498251E-2</c:v>
                </c:pt>
                <c:pt idx="217">
                  <c:v>1.6096209739899447E-2</c:v>
                </c:pt>
                <c:pt idx="218">
                  <c:v>1.6170145974837246E-2</c:v>
                </c:pt>
                <c:pt idx="219">
                  <c:v>1.6243959859397371E-2</c:v>
                </c:pt>
                <c:pt idx="220">
                  <c:v>1.6317651287510199E-2</c:v>
                </c:pt>
                <c:pt idx="221">
                  <c:v>1.6391219879443922E-2</c:v>
                </c:pt>
                <c:pt idx="222">
                  <c:v>1.6464664994696322E-2</c:v>
                </c:pt>
                <c:pt idx="223">
                  <c:v>1.6537985745505631E-2</c:v>
                </c:pt>
                <c:pt idx="224">
                  <c:v>1.6611181010715497E-2</c:v>
                </c:pt>
                <c:pt idx="225">
                  <c:v>1.668424944973159E-2</c:v>
                </c:pt>
                <c:pt idx="226">
                  <c:v>1.6757189516313272E-2</c:v>
                </c:pt>
                <c:pt idx="227">
                  <c:v>1.6829999471953131E-2</c:v>
                </c:pt>
                <c:pt idx="228">
                  <c:v>1.6902677398609654E-2</c:v>
                </c:pt>
                <c:pt idx="229">
                  <c:v>1.697522121057405E-2</c:v>
                </c:pt>
                <c:pt idx="230">
                  <c:v>1.7047628665271063E-2</c:v>
                </c:pt>
                <c:pt idx="231">
                  <c:v>1.7119897372814885E-2</c:v>
                </c:pt>
                <c:pt idx="232">
                  <c:v>1.7192024804165672E-2</c:v>
                </c:pt>
                <c:pt idx="233">
                  <c:v>1.7264008297757934E-2</c:v>
                </c:pt>
                <c:pt idx="234">
                  <c:v>1.7335845064500897E-2</c:v>
                </c:pt>
                <c:pt idx="235">
                  <c:v>1.7407532191080217E-2</c:v>
                </c:pt>
                <c:pt idx="236">
                  <c:v>1.7479066641522111E-2</c:v>
                </c:pt>
                <c:pt idx="237">
                  <c:v>1.7550445257012506E-2</c:v>
                </c:pt>
                <c:pt idx="238">
                  <c:v>1.7621664753996881E-2</c:v>
                </c:pt>
                <c:pt idx="239">
                  <c:v>1.7692721720618629E-2</c:v>
                </c:pt>
                <c:pt idx="240">
                  <c:v>1.7763612611586665E-2</c:v>
                </c:pt>
                <c:pt idx="241">
                  <c:v>1.7834333741594367E-2</c:v>
                </c:pt>
                <c:pt idx="242">
                  <c:v>1.7904881277442719E-2</c:v>
                </c:pt>
                <c:pt idx="243">
                  <c:v>1.7975251229049707E-2</c:v>
                </c:pt>
                <c:pt idx="244">
                  <c:v>1.8045439439555225E-2</c:v>
                </c:pt>
                <c:pt idx="245">
                  <c:v>1.8115441574755847E-2</c:v>
                </c:pt>
                <c:pt idx="246">
                  <c:v>1.8185253112126289E-2</c:v>
                </c:pt>
                <c:pt idx="247">
                  <c:v>1.8254869329704014E-2</c:v>
                </c:pt>
                <c:pt idx="248">
                  <c:v>1.8324285295129826E-2</c:v>
                </c:pt>
                <c:pt idx="249">
                  <c:v>1.8393495855150179E-2</c:v>
                </c:pt>
                <c:pt idx="250">
                  <c:v>1.8462495625896368E-2</c:v>
                </c:pt>
                <c:pt idx="251">
                  <c:v>1.8531278984261025E-2</c:v>
                </c:pt>
                <c:pt idx="252">
                  <c:v>1.8599840060693918E-2</c:v>
                </c:pt>
                <c:pt idx="253">
                  <c:v>1.8668172733736298E-2</c:v>
                </c:pt>
                <c:pt idx="254">
                  <c:v>1.8736270626606235E-2</c:v>
                </c:pt>
                <c:pt idx="255">
                  <c:v>1.880412710613636E-2</c:v>
                </c:pt>
                <c:pt idx="256">
                  <c:v>1.8871735284350356E-2</c:v>
                </c:pt>
                <c:pt idx="257">
                  <c:v>1.8939088022945368E-2</c:v>
                </c:pt>
                <c:pt idx="258">
                  <c:v>1.9006177940924275E-2</c:v>
                </c:pt>
                <c:pt idx="259">
                  <c:v>1.9072997425595147E-2</c:v>
                </c:pt>
                <c:pt idx="260">
                  <c:v>1.9139538647124674E-2</c:v>
                </c:pt>
                <c:pt idx="261">
                  <c:v>1.9205793576798892E-2</c:v>
                </c:pt>
                <c:pt idx="262">
                  <c:v>1.9271754009107959E-2</c:v>
                </c:pt>
                <c:pt idx="263">
                  <c:v>1.9337411587732424E-2</c:v>
                </c:pt>
                <c:pt idx="264">
                  <c:v>1.9402757835467296E-2</c:v>
                </c:pt>
                <c:pt idx="265">
                  <c:v>1.9467784188076823E-2</c:v>
                </c:pt>
                <c:pt idx="266">
                  <c:v>1.9532482032028529E-2</c:v>
                </c:pt>
                <c:pt idx="267">
                  <c:v>1.959684274600916E-2</c:v>
                </c:pt>
                <c:pt idx="268">
                  <c:v>1.966085774607966E-2</c:v>
                </c:pt>
                <c:pt idx="269">
                  <c:v>1.9724518534280245E-2</c:v>
                </c:pt>
                <c:pt idx="270">
                  <c:v>1.9787816750450937E-2</c:v>
                </c:pt>
                <c:pt idx="271">
                  <c:v>1.9850744226989188E-2</c:v>
                </c:pt>
                <c:pt idx="272">
                  <c:v>1.9913293046222771E-2</c:v>
                </c:pt>
                <c:pt idx="273">
                  <c:v>1.997545560003583E-2</c:v>
                </c:pt>
                <c:pt idx="274">
                  <c:v>2.0037224651347357E-2</c:v>
                </c:pt>
                <c:pt idx="275">
                  <c:v>2.0098593397006238E-2</c:v>
                </c:pt>
                <c:pt idx="276">
                  <c:v>2.0159555531634909E-2</c:v>
                </c:pt>
                <c:pt idx="277">
                  <c:v>2.0220105311925713E-2</c:v>
                </c:pt>
                <c:pt idx="278">
                  <c:v>2.0280237620869893E-2</c:v>
                </c:pt>
                <c:pt idx="279">
                  <c:v>2.0339948031379774E-2</c:v>
                </c:pt>
                <c:pt idx="280">
                  <c:v>2.0399232868750183E-2</c:v>
                </c:pt>
                <c:pt idx="281">
                  <c:v>2.045808927139519E-2</c:v>
                </c:pt>
                <c:pt idx="282">
                  <c:v>2.0516515249292325E-2</c:v>
                </c:pt>
                <c:pt idx="283">
                  <c:v>2.0574509739567218E-2</c:v>
                </c:pt>
                <c:pt idx="284">
                  <c:v>2.0632072658658233E-2</c:v>
                </c:pt>
                <c:pt idx="285">
                  <c:v>2.0689204950512803E-2</c:v>
                </c:pt>
                <c:pt idx="286">
                  <c:v>2.0745908630284832E-2</c:v>
                </c:pt>
                <c:pt idx="287">
                  <c:v>2.0802186823025575E-2</c:v>
                </c:pt>
                <c:pt idx="288">
                  <c:v>2.0858043796888902E-2</c:v>
                </c:pt>
                <c:pt idx="289">
                  <c:v>2.0913484990405396E-2</c:v>
                </c:pt>
                <c:pt idx="290">
                  <c:v>2.096851703341843E-2</c:v>
                </c:pt>
                <c:pt idx="291">
                  <c:v>2.1023147761318178E-2</c:v>
                </c:pt>
                <c:pt idx="292">
                  <c:v>2.1077386222257386E-2</c:v>
                </c:pt>
                <c:pt idx="293">
                  <c:v>2.1131242677083797E-2</c:v>
                </c:pt>
                <c:pt idx="294">
                  <c:v>2.1184728591779011E-2</c:v>
                </c:pt>
                <c:pt idx="295">
                  <c:v>2.1237856622251524E-2</c:v>
                </c:pt>
                <c:pt idx="296">
                  <c:v>2.1290640591391883E-2</c:v>
                </c:pt>
                <c:pt idx="297">
                  <c:v>2.1343095458360314E-2</c:v>
                </c:pt>
                <c:pt idx="298">
                  <c:v>2.1395237280140776E-2</c:v>
                </c:pt>
                <c:pt idx="299">
                  <c:v>2.1447083165460061E-2</c:v>
                </c:pt>
                <c:pt idx="300">
                  <c:v>2.1498651221235184E-2</c:v>
                </c:pt>
                <c:pt idx="301">
                  <c:v>2.1549960491776637E-2</c:v>
                </c:pt>
                <c:pt idx="302">
                  <c:v>2.1601030891038726E-2</c:v>
                </c:pt>
                <c:pt idx="303">
                  <c:v>2.1651883128269326E-2</c:v>
                </c:pt>
                <c:pt idx="304">
                  <c:v>2.1702538627471769E-2</c:v>
                </c:pt>
                <c:pt idx="305">
                  <c:v>2.1753019441147554E-2</c:v>
                </c:pt>
                <c:pt idx="306">
                  <c:v>2.1803348158842443E-2</c:v>
                </c:pt>
                <c:pt idx="307">
                  <c:v>2.1853547811067967E-2</c:v>
                </c:pt>
                <c:pt idx="308">
                  <c:v>2.1903641769215169E-2</c:v>
                </c:pt>
                <c:pt idx="309">
                  <c:v>2.1953653642118192E-2</c:v>
                </c:pt>
                <c:pt idx="310">
                  <c:v>2.2003607169959947E-2</c:v>
                </c:pt>
                <c:pt idx="311">
                  <c:v>2.2053526116241468E-2</c:v>
                </c:pt>
                <c:pt idx="312">
                  <c:v>2.2103434158560441E-2</c:v>
                </c:pt>
                <c:pt idx="313">
                  <c:v>2.2153354778960577E-2</c:v>
                </c:pt>
                <c:pt idx="314">
                  <c:v>2.2203311154625423E-2</c:v>
                </c:pt>
                <c:pt idx="315">
                  <c:v>2.2253326049693184E-2</c:v>
                </c:pt>
                <c:pt idx="316">
                  <c:v>2.2303421708967295E-2</c:v>
                </c:pt>
                <c:pt idx="317">
                  <c:v>2.2353619754287939E-2</c:v>
                </c:pt>
                <c:pt idx="318">
                  <c:v>2.2403941084313456E-2</c:v>
                </c:pt>
                <c:pt idx="319">
                  <c:v>2.2454405778438786E-2</c:v>
                </c:pt>
                <c:pt idx="320">
                  <c:v>2.2505033005548188E-2</c:v>
                </c:pt>
                <c:pt idx="321">
                  <c:v>2.2555840938265202E-2</c:v>
                </c:pt>
                <c:pt idx="322">
                  <c:v>2.260684667332136E-2</c:v>
                </c:pt>
                <c:pt idx="323">
                  <c:v>2.2658066158618609E-2</c:v>
                </c:pt>
                <c:pt idx="324">
                  <c:v>2.2709514127508955E-2</c:v>
                </c:pt>
                <c:pt idx="325">
                  <c:v>2.2761204040758362E-2</c:v>
                </c:pt>
                <c:pt idx="326">
                  <c:v>2.2813148036601071E-2</c:v>
                </c:pt>
                <c:pt idx="327">
                  <c:v>2.2865356889226893E-2</c:v>
                </c:pt>
                <c:pt idx="328">
                  <c:v>2.2917839975976038E-2</c:v>
                </c:pt>
                <c:pt idx="329">
                  <c:v>2.2970605253446796E-2</c:v>
                </c:pt>
                <c:pt idx="330">
                  <c:v>2.3023659242649451E-2</c:v>
                </c:pt>
                <c:pt idx="331">
                  <c:v>2.3077007023267104E-2</c:v>
                </c:pt>
                <c:pt idx="332">
                  <c:v>2.3130652237010715E-2</c:v>
                </c:pt>
                <c:pt idx="333">
                  <c:v>2.3184597099982523E-2</c:v>
                </c:pt>
                <c:pt idx="334">
                  <c:v>2.3238842423889478E-2</c:v>
                </c:pt>
                <c:pt idx="335">
                  <c:v>2.3293387645877472E-2</c:v>
                </c:pt>
                <c:pt idx="336">
                  <c:v>2.3348230866688569E-2</c:v>
                </c:pt>
                <c:pt idx="337">
                  <c:v>2.340336889677682E-2</c:v>
                </c:pt>
                <c:pt idx="338">
                  <c:v>2.3458797309956179E-2</c:v>
                </c:pt>
                <c:pt idx="339">
                  <c:v>2.3514510504094976E-2</c:v>
                </c:pt>
                <c:pt idx="340">
                  <c:v>2.3570501768316876E-2</c:v>
                </c:pt>
                <c:pt idx="341">
                  <c:v>2.3626763356119459E-2</c:v>
                </c:pt>
                <c:pt idx="342">
                  <c:v>2.3683286563776957E-2</c:v>
                </c:pt>
                <c:pt idx="343">
                  <c:v>2.374006181335598E-2</c:v>
                </c:pt>
                <c:pt idx="344">
                  <c:v>2.3797078739640737E-2</c:v>
                </c:pt>
                <c:pt idx="345">
                  <c:v>2.385432628023873E-2</c:v>
                </c:pt>
                <c:pt idx="346">
                  <c:v>2.3911792768118736E-2</c:v>
                </c:pt>
                <c:pt idx="347">
                  <c:v>2.396946602582076E-2</c:v>
                </c:pt>
                <c:pt idx="348">
                  <c:v>2.4027333460572134E-2</c:v>
                </c:pt>
                <c:pt idx="349">
                  <c:v>2.408538215954523E-2</c:v>
                </c:pt>
                <c:pt idx="350">
                  <c:v>2.4143598984500941E-2</c:v>
                </c:pt>
                <c:pt idx="351">
                  <c:v>2.4201970665076549E-2</c:v>
                </c:pt>
                <c:pt idx="352">
                  <c:v>2.4260483889998481E-2</c:v>
                </c:pt>
                <c:pt idx="353">
                  <c:v>2.4319125395528225E-2</c:v>
                </c:pt>
                <c:pt idx="354">
                  <c:v>2.437788205048334E-2</c:v>
                </c:pt>
                <c:pt idx="355">
                  <c:v>2.4436740937215162E-2</c:v>
                </c:pt>
                <c:pt idx="356">
                  <c:v>2.4495689427969414E-2</c:v>
                </c:pt>
                <c:pt idx="357">
                  <c:v>2.4554715256105478E-2</c:v>
                </c:pt>
                <c:pt idx="358">
                  <c:v>2.4613806581703781E-2</c:v>
                </c:pt>
                <c:pt idx="359">
                  <c:v>2.4672952051148441E-2</c:v>
                </c:pt>
                <c:pt idx="360">
                  <c:v>2.4732140850332873E-2</c:v>
                </c:pt>
                <c:pt idx="361">
                  <c:v>2.4791362751199288E-2</c:v>
                </c:pt>
                <c:pt idx="362">
                  <c:v>2.4850608151388391E-2</c:v>
                </c:pt>
                <c:pt idx="363">
                  <c:v>2.4909868106841957E-2</c:v>
                </c:pt>
                <c:pt idx="364">
                  <c:v>2.4969134357268111E-2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'2030'!$P$14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'2030'!$P$15:$P$380</c:f>
              <c:numCache>
                <c:formatCode>0.00%</c:formatCode>
                <c:ptCount val="366"/>
                <c:pt idx="0">
                  <c:v>5.3122935182282958E-4</c:v>
                </c:pt>
                <c:pt idx="1">
                  <c:v>5.380430808942957E-4</c:v>
                </c:pt>
                <c:pt idx="2">
                  <c:v>5.4491556329067461E-4</c:v>
                </c:pt>
                <c:pt idx="3">
                  <c:v>5.5184691446645659E-4</c:v>
                </c:pt>
                <c:pt idx="4">
                  <c:v>5.5883771437480049E-4</c:v>
                </c:pt>
                <c:pt idx="5">
                  <c:v>5.6588900056135205E-4</c:v>
                </c:pt>
                <c:pt idx="6">
                  <c:v>5.7300225882918224E-4</c:v>
                </c:pt>
                <c:pt idx="7">
                  <c:v>5.8017941215072523E-4</c:v>
                </c:pt>
                <c:pt idx="8">
                  <c:v>5.8736437535512962E-4</c:v>
                </c:pt>
                <c:pt idx="9">
                  <c:v>5.9318259917929422E-4</c:v>
                </c:pt>
                <c:pt idx="10">
                  <c:v>5.9696698577305616E-4</c:v>
                </c:pt>
                <c:pt idx="11">
                  <c:v>5.9877739841915768E-4</c:v>
                </c:pt>
                <c:pt idx="12">
                  <c:v>5.9867609554898769E-4</c:v>
                </c:pt>
                <c:pt idx="13">
                  <c:v>5.9672700141166247E-4</c:v>
                </c:pt>
                <c:pt idx="14">
                  <c:v>5.9299502837002836E-4</c:v>
                </c:pt>
                <c:pt idx="15">
                  <c:v>5.8775153647552217E-4</c:v>
                </c:pt>
                <c:pt idx="16">
                  <c:v>5.8143943251479807E-4</c:v>
                </c:pt>
                <c:pt idx="17">
                  <c:v>5.7410569850488685E-4</c:v>
                </c:pt>
                <c:pt idx="18">
                  <c:v>5.6579621777556508E-4</c:v>
                </c:pt>
                <c:pt idx="19">
                  <c:v>5.5655813398671405E-4</c:v>
                </c:pt>
                <c:pt idx="20">
                  <c:v>5.4643799698104816E-4</c:v>
                </c:pt>
                <c:pt idx="21">
                  <c:v>5.3547835231624403E-4</c:v>
                </c:pt>
                <c:pt idx="22">
                  <c:v>5.2367216213828293E-4</c:v>
                </c:pt>
                <c:pt idx="23">
                  <c:v>5.1059871036975696E-4</c:v>
                </c:pt>
                <c:pt idx="24">
                  <c:v>4.9745691186624957E-4</c:v>
                </c:pt>
                <c:pt idx="25">
                  <c:v>4.842667934716661E-4</c:v>
                </c:pt>
                <c:pt idx="26">
                  <c:v>4.7104659579316597E-4</c:v>
                </c:pt>
                <c:pt idx="27">
                  <c:v>4.5781281827189706E-4</c:v>
                </c:pt>
                <c:pt idx="28">
                  <c:v>4.4458027436539317E-4</c:v>
                </c:pt>
                <c:pt idx="29">
                  <c:v>4.3031388346313271E-4</c:v>
                </c:pt>
                <c:pt idx="30">
                  <c:v>4.1488196157068872E-4</c:v>
                </c:pt>
                <c:pt idx="31">
                  <c:v>3.9833259821538613E-4</c:v>
                </c:pt>
                <c:pt idx="32">
                  <c:v>3.8071123885158119E-4</c:v>
                </c:pt>
                <c:pt idx="33">
                  <c:v>3.6206060728589099E-4</c:v>
                </c:pt>
                <c:pt idx="34">
                  <c:v>3.4242065297451264E-4</c:v>
                </c:pt>
                <c:pt idx="35">
                  <c:v>3.2182852000656311E-4</c:v>
                </c:pt>
                <c:pt idx="36">
                  <c:v>3.0029194239707683E-4</c:v>
                </c:pt>
                <c:pt idx="37">
                  <c:v>2.7864433439302633E-4</c:v>
                </c:pt>
                <c:pt idx="38">
                  <c:v>2.5726073009766422E-4</c:v>
                </c:pt>
                <c:pt idx="39">
                  <c:v>2.3614618747054954E-4</c:v>
                </c:pt>
                <c:pt idx="40">
                  <c:v>2.1530343744406334E-4</c:v>
                </c:pt>
                <c:pt idx="41">
                  <c:v>1.9473306798841581E-4</c:v>
                </c:pt>
                <c:pt idx="42">
                  <c:v>1.7443369887269291E-4</c:v>
                </c:pt>
                <c:pt idx="43">
                  <c:v>1.5518350891147449E-4</c:v>
                </c:pt>
                <c:pt idx="44">
                  <c:v>1.3785246795448066E-4</c:v>
                </c:pt>
                <c:pt idx="45">
                  <c:v>1.223859334027036E-4</c:v>
                </c:pt>
                <c:pt idx="46">
                  <c:v>1.0873041596700338E-4</c:v>
                </c:pt>
                <c:pt idx="47">
                  <c:v>9.6833890149290743E-5</c:v>
                </c:pt>
                <c:pt idx="48">
                  <c:v>8.6646066091698897E-5</c:v>
                </c:pt>
                <c:pt idx="49">
                  <c:v>7.8118627478812494E-5</c:v>
                </c:pt>
                <c:pt idx="50">
                  <c:v>7.1200338876941139E-5</c:v>
                </c:pt>
                <c:pt idx="51">
                  <c:v>6.5725160420775769E-5</c:v>
                </c:pt>
                <c:pt idx="52">
                  <c:v>6.094786057594238E-5</c:v>
                </c:pt>
                <c:pt idx="53">
                  <c:v>5.6850476248914829E-5</c:v>
                </c:pt>
                <c:pt idx="54">
                  <c:v>5.3415889655719695E-5</c:v>
                </c:pt>
                <c:pt idx="55">
                  <c:v>5.0627568722366505E-5</c:v>
                </c:pt>
                <c:pt idx="56">
                  <c:v>4.846960081712971E-5</c:v>
                </c:pt>
                <c:pt idx="57">
                  <c:v>4.6949529161704832E-5</c:v>
                </c:pt>
                <c:pt idx="58">
                  <c:v>4.5368356192073378E-5</c:v>
                </c:pt>
                <c:pt idx="59">
                  <c:v>4.3727636328705246E-5</c:v>
                </c:pt>
                <c:pt idx="60">
                  <c:v>4.2028784329074315E-5</c:v>
                </c:pt>
                <c:pt idx="61">
                  <c:v>4.0273073250446187E-5</c:v>
                </c:pt>
                <c:pt idx="62">
                  <c:v>3.8461632130001592E-5</c:v>
                </c:pt>
                <c:pt idx="63">
                  <c:v>3.6595443367522788E-5</c:v>
                </c:pt>
                <c:pt idx="64">
                  <c:v>3.4674766246977232E-5</c:v>
                </c:pt>
                <c:pt idx="65">
                  <c:v>3.2823553439501564E-5</c:v>
                </c:pt>
                <c:pt idx="66">
                  <c:v>3.1145277186493519E-5</c:v>
                </c:pt>
                <c:pt idx="67">
                  <c:v>2.9636015048773634E-5</c:v>
                </c:pt>
                <c:pt idx="68">
                  <c:v>2.8292062931540366E-5</c:v>
                </c:pt>
                <c:pt idx="69">
                  <c:v>2.7109924897255338E-5</c:v>
                </c:pt>
                <c:pt idx="70">
                  <c:v>2.6086304388191123E-5</c:v>
                </c:pt>
                <c:pt idx="71">
                  <c:v>2.5253435518157898E-5</c:v>
                </c:pt>
                <c:pt idx="72">
                  <c:v>2.4587212592117691E-5</c:v>
                </c:pt>
                <c:pt idx="73">
                  <c:v>2.408468245540328E-5</c:v>
                </c:pt>
                <c:pt idx="74">
                  <c:v>2.3743085098446877E-5</c:v>
                </c:pt>
                <c:pt idx="75">
                  <c:v>2.3559850275907397E-5</c:v>
                </c:pt>
                <c:pt idx="76">
                  <c:v>2.3532594997062641E-5</c:v>
                </c:pt>
                <c:pt idx="77">
                  <c:v>2.3659121800600959E-5</c:v>
                </c:pt>
                <c:pt idx="78">
                  <c:v>2.3936664298279243E-5</c:v>
                </c:pt>
                <c:pt idx="79">
                  <c:v>2.4334675030531713E-5</c:v>
                </c:pt>
                <c:pt idx="80">
                  <c:v>2.4738133915647041E-5</c:v>
                </c:pt>
                <c:pt idx="81">
                  <c:v>2.5147758032911738E-5</c:v>
                </c:pt>
                <c:pt idx="82">
                  <c:v>2.5564296031808524E-5</c:v>
                </c:pt>
                <c:pt idx="83">
                  <c:v>2.5988528832829167E-5</c:v>
                </c:pt>
                <c:pt idx="84">
                  <c:v>2.6421270551873531E-5</c:v>
                </c:pt>
                <c:pt idx="85">
                  <c:v>2.6878603369117611E-5</c:v>
                </c:pt>
                <c:pt idx="86">
                  <c:v>2.7328198205199523E-5</c:v>
                </c:pt>
                <c:pt idx="87">
                  <c:v>2.7771131266795562E-5</c:v>
                </c:pt>
                <c:pt idx="88">
                  <c:v>2.8208483372177024E-5</c:v>
                </c:pt>
                <c:pt idx="89">
                  <c:v>2.8641339103073E-5</c:v>
                </c:pt>
                <c:pt idx="90">
                  <c:v>2.9070786327870866E-5</c:v>
                </c:pt>
                <c:pt idx="91">
                  <c:v>2.9497916064054767E-5</c:v>
                </c:pt>
                <c:pt idx="92">
                  <c:v>2.9922874488382013E-5</c:v>
                </c:pt>
                <c:pt idx="93">
                  <c:v>3.03739995998122E-5</c:v>
                </c:pt>
                <c:pt idx="94">
                  <c:v>3.0879035317770735E-5</c:v>
                </c:pt>
                <c:pt idx="95">
                  <c:v>3.1438479172377388E-5</c:v>
                </c:pt>
                <c:pt idx="96">
                  <c:v>3.2052927133707498E-5</c:v>
                </c:pt>
                <c:pt idx="97">
                  <c:v>3.2723073419530301E-5</c:v>
                </c:pt>
                <c:pt idx="98">
                  <c:v>3.3449710417555239E-5</c:v>
                </c:pt>
                <c:pt idx="99">
                  <c:v>3.4193932462947943E-5</c:v>
                </c:pt>
                <c:pt idx="100">
                  <c:v>3.4941371087964322E-5</c:v>
                </c:pt>
                <c:pt idx="101">
                  <c:v>3.5692693599268206E-5</c:v>
                </c:pt>
                <c:pt idx="102">
                  <c:v>3.6448551321448619E-5</c:v>
                </c:pt>
                <c:pt idx="103">
                  <c:v>3.7209579151162143E-5</c:v>
                </c:pt>
                <c:pt idx="104">
                  <c:v>3.7976394972446361E-5</c:v>
                </c:pt>
                <c:pt idx="105">
                  <c:v>3.8749598959919373E-5</c:v>
                </c:pt>
                <c:pt idx="106">
                  <c:v>3.9530517797257832E-5</c:v>
                </c:pt>
                <c:pt idx="107">
                  <c:v>4.0278627045868587E-5</c:v>
                </c:pt>
                <c:pt idx="108">
                  <c:v>4.0964262354569109E-5</c:v>
                </c:pt>
                <c:pt idx="109">
                  <c:v>4.1586818008610404E-5</c:v>
                </c:pt>
                <c:pt idx="110">
                  <c:v>4.2145601076667935E-5</c:v>
                </c:pt>
                <c:pt idx="111">
                  <c:v>4.2639736222962859E-5</c:v>
                </c:pt>
                <c:pt idx="112">
                  <c:v>4.3068058250953257E-5</c:v>
                </c:pt>
                <c:pt idx="113">
                  <c:v>4.3435995843565569E-5</c:v>
                </c:pt>
                <c:pt idx="114">
                  <c:v>4.3784609997036877E-5</c:v>
                </c:pt>
                <c:pt idx="115">
                  <c:v>4.4113203673680571E-5</c:v>
                </c:pt>
                <c:pt idx="116">
                  <c:v>4.4420988840202115E-5</c:v>
                </c:pt>
                <c:pt idx="117">
                  <c:v>4.4707084701152143E-5</c:v>
                </c:pt>
                <c:pt idx="118">
                  <c:v>4.4970516002766413E-5</c:v>
                </c:pt>
                <c:pt idx="119">
                  <c:v>4.5210211457067984E-5</c:v>
                </c:pt>
                <c:pt idx="120">
                  <c:v>4.5425739134470771E-5</c:v>
                </c:pt>
                <c:pt idx="121">
                  <c:v>4.5611620603666121E-5</c:v>
                </c:pt>
                <c:pt idx="122">
                  <c:v>4.5812984476745176E-5</c:v>
                </c:pt>
                <c:pt idx="123">
                  <c:v>4.6029650181642693E-5</c:v>
                </c:pt>
                <c:pt idx="124">
                  <c:v>4.6261423647241457E-5</c:v>
                </c:pt>
                <c:pt idx="125">
                  <c:v>4.6508095829842796E-5</c:v>
                </c:pt>
                <c:pt idx="126">
                  <c:v>4.6769441243443122E-5</c:v>
                </c:pt>
                <c:pt idx="127">
                  <c:v>4.7016340444000856E-5</c:v>
                </c:pt>
                <c:pt idx="128">
                  <c:v>4.7239841986149374E-5</c:v>
                </c:pt>
                <c:pt idx="129">
                  <c:v>4.7438404368227442E-5</c:v>
                </c:pt>
                <c:pt idx="130">
                  <c:v>4.7610388684627385E-5</c:v>
                </c:pt>
                <c:pt idx="131">
                  <c:v>4.77540588925677E-5</c:v>
                </c:pt>
                <c:pt idx="132">
                  <c:v>4.7867582538997523E-5</c:v>
                </c:pt>
                <c:pt idx="133">
                  <c:v>4.794903199364673E-5</c:v>
                </c:pt>
                <c:pt idx="134">
                  <c:v>4.7996881277253856E-5</c:v>
                </c:pt>
                <c:pt idx="135">
                  <c:v>4.7985285663691482E-5</c:v>
                </c:pt>
                <c:pt idx="136">
                  <c:v>4.7917079411342684E-5</c:v>
                </c:pt>
                <c:pt idx="137">
                  <c:v>4.7789262579237385E-5</c:v>
                </c:pt>
                <c:pt idx="138">
                  <c:v>4.7598719710377802E-5</c:v>
                </c:pt>
                <c:pt idx="139">
                  <c:v>4.7342226075104297E-5</c:v>
                </c:pt>
                <c:pt idx="140">
                  <c:v>4.7016454848082123E-5</c:v>
                </c:pt>
                <c:pt idx="141">
                  <c:v>4.6629306251869022E-5</c:v>
                </c:pt>
                <c:pt idx="142">
                  <c:v>4.6212110667832995E-5</c:v>
                </c:pt>
                <c:pt idx="143">
                  <c:v>4.5762942334583574E-5</c:v>
                </c:pt>
                <c:pt idx="144">
                  <c:v>4.528010508979601E-5</c:v>
                </c:pt>
                <c:pt idx="145">
                  <c:v>4.4761900606723746E-5</c:v>
                </c:pt>
                <c:pt idx="146">
                  <c:v>4.4206634422512927E-5</c:v>
                </c:pt>
                <c:pt idx="147">
                  <c:v>4.361262224155999E-5</c:v>
                </c:pt>
                <c:pt idx="148">
                  <c:v>4.2978227726582526E-5</c:v>
                </c:pt>
                <c:pt idx="149">
                  <c:v>4.231873772031015E-5</c:v>
                </c:pt>
                <c:pt idx="150">
                  <c:v>4.1662629258655309E-5</c:v>
                </c:pt>
                <c:pt idx="151">
                  <c:v>4.1010246575303411E-5</c:v>
                </c:pt>
                <c:pt idx="152">
                  <c:v>4.0361986157085424E-5</c:v>
                </c:pt>
                <c:pt idx="153">
                  <c:v>3.9718297173352036E-5</c:v>
                </c:pt>
                <c:pt idx="154">
                  <c:v>3.9079681610417796E-5</c:v>
                </c:pt>
                <c:pt idx="155">
                  <c:v>3.846640167256553E-5</c:v>
                </c:pt>
                <c:pt idx="156">
                  <c:v>3.7866038912777493E-5</c:v>
                </c:pt>
                <c:pt idx="157">
                  <c:v>3.7279469088407441E-5</c:v>
                </c:pt>
                <c:pt idx="158">
                  <c:v>3.670761845742944E-5</c:v>
                </c:pt>
                <c:pt idx="159">
                  <c:v>3.61514619399379E-5</c:v>
                </c:pt>
                <c:pt idx="160">
                  <c:v>3.5612021033440347E-5</c:v>
                </c:pt>
                <c:pt idx="161">
                  <c:v>3.5090361509654553E-5</c:v>
                </c:pt>
                <c:pt idx="162">
                  <c:v>3.4587565910088307E-5</c:v>
                </c:pt>
                <c:pt idx="163">
                  <c:v>3.4154780704489207E-5</c:v>
                </c:pt>
                <c:pt idx="164">
                  <c:v>3.3774690076120039E-5</c:v>
                </c:pt>
                <c:pt idx="165">
                  <c:v>3.3449416613378952E-5</c:v>
                </c:pt>
                <c:pt idx="166">
                  <c:v>3.3181107559247675E-5</c:v>
                </c:pt>
                <c:pt idx="167">
                  <c:v>3.2971927213108952E-5</c:v>
                </c:pt>
                <c:pt idx="168">
                  <c:v>3.2824049412871109E-5</c:v>
                </c:pt>
                <c:pt idx="169">
                  <c:v>3.2793154603333915E-5</c:v>
                </c:pt>
                <c:pt idx="170">
                  <c:v>3.2859725673426316E-5</c:v>
                </c:pt>
                <c:pt idx="171">
                  <c:v>3.3026843593402793E-5</c:v>
                </c:pt>
                <c:pt idx="172">
                  <c:v>3.3297549622747274E-5</c:v>
                </c:pt>
                <c:pt idx="173">
                  <c:v>3.3674548791129676E-5</c:v>
                </c:pt>
                <c:pt idx="174">
                  <c:v>3.4160457987304749E-5</c:v>
                </c:pt>
                <c:pt idx="175">
                  <c:v>3.4758092965332516E-5</c:v>
                </c:pt>
                <c:pt idx="176">
                  <c:v>3.5470044022876698E-5</c:v>
                </c:pt>
                <c:pt idx="177">
                  <c:v>3.6323858235416367E-5</c:v>
                </c:pt>
                <c:pt idx="178">
                  <c:v>3.7264726521364744E-5</c:v>
                </c:pt>
                <c:pt idx="179">
                  <c:v>3.8294508561075179E-5</c:v>
                </c:pt>
                <c:pt idx="180">
                  <c:v>3.9415022232192935E-5</c:v>
                </c:pt>
                <c:pt idx="181">
                  <c:v>4.0628047874543269E-5</c:v>
                </c:pt>
                <c:pt idx="182">
                  <c:v>4.1935333339267976E-5</c:v>
                </c:pt>
                <c:pt idx="183">
                  <c:v>4.3362476352523679E-5</c:v>
                </c:pt>
                <c:pt idx="184">
                  <c:v>4.4850709593951455E-5</c:v>
                </c:pt>
                <c:pt idx="185">
                  <c:v>4.6400914538278952E-5</c:v>
                </c:pt>
                <c:pt idx="186">
                  <c:v>4.8013994127929543E-5</c:v>
                </c:pt>
                <c:pt idx="187">
                  <c:v>4.9690878767105796E-5</c:v>
                </c:pt>
                <c:pt idx="188">
                  <c:v>5.1432532507903005E-5</c:v>
                </c:pt>
                <c:pt idx="189">
                  <c:v>5.323995942750257E-5</c:v>
                </c:pt>
                <c:pt idx="190">
                  <c:v>5.5114129077209216E-5</c:v>
                </c:pt>
                <c:pt idx="191">
                  <c:v>5.7074829647936386E-5</c:v>
                </c:pt>
                <c:pt idx="192">
                  <c:v>5.909530985737518E-5</c:v>
                </c:pt>
                <c:pt idx="193">
                  <c:v>6.1175991697222615E-5</c:v>
                </c:pt>
                <c:pt idx="194">
                  <c:v>6.3317286072749735E-5</c:v>
                </c:pt>
                <c:pt idx="195">
                  <c:v>6.5519592124153983E-5</c:v>
                </c:pt>
                <c:pt idx="196">
                  <c:v>6.7783296264037145E-5</c:v>
                </c:pt>
                <c:pt idx="197">
                  <c:v>7.0063762363689873E-5</c:v>
                </c:pt>
                <c:pt idx="198">
                  <c:v>7.2334437415600528E-5</c:v>
                </c:pt>
                <c:pt idx="199">
                  <c:v>7.459454019347716E-5</c:v>
                </c:pt>
                <c:pt idx="200">
                  <c:v>7.6843300974123102E-5</c:v>
                </c:pt>
                <c:pt idx="201">
                  <c:v>7.9079958835721453E-5</c:v>
                </c:pt>
                <c:pt idx="202">
                  <c:v>8.1303758790080184E-5</c:v>
                </c:pt>
                <c:pt idx="203">
                  <c:v>8.3513948776659761E-5</c:v>
                </c:pt>
                <c:pt idx="204">
                  <c:v>8.5710631130268169E-5</c:v>
                </c:pt>
                <c:pt idx="205">
                  <c:v>8.7832378381038181E-5</c:v>
                </c:pt>
                <c:pt idx="206">
                  <c:v>8.9857322687299289E-5</c:v>
                </c:pt>
                <c:pt idx="207">
                  <c:v>9.1784075518349252E-5</c:v>
                </c:pt>
                <c:pt idx="208">
                  <c:v>9.3611288814594198E-5</c:v>
                </c:pt>
                <c:pt idx="209">
                  <c:v>9.5337648856993958E-5</c:v>
                </c:pt>
                <c:pt idx="210">
                  <c:v>9.6961870416274954E-5</c:v>
                </c:pt>
                <c:pt idx="211">
                  <c:v>9.8470867587487174E-5</c:v>
                </c:pt>
                <c:pt idx="212">
                  <c:v>9.9911601111328207E-5</c:v>
                </c:pt>
                <c:pt idx="213">
                  <c:v>1.0128331334813073E-4</c:v>
                </c:pt>
                <c:pt idx="214">
                  <c:v>1.0258525184025019E-4</c:v>
                </c:pt>
                <c:pt idx="215">
                  <c:v>1.038166662046237E-4</c:v>
                </c:pt>
                <c:pt idx="216">
                  <c:v>1.0497680533647556E-4</c:v>
                </c:pt>
                <c:pt idx="217">
                  <c:v>1.0606491490361112E-4</c:v>
                </c:pt>
                <c:pt idx="218">
                  <c:v>1.0707969166943517E-4</c:v>
                </c:pt>
                <c:pt idx="219">
                  <c:v>1.0803731152160815E-4</c:v>
                </c:pt>
                <c:pt idx="220">
                  <c:v>1.0900351002037629E-4</c:v>
                </c:pt>
                <c:pt idx="221">
                  <c:v>1.0997878314520627E-4</c:v>
                </c:pt>
                <c:pt idx="222">
                  <c:v>1.1096362840699695E-4</c:v>
                </c:pt>
                <c:pt idx="223">
                  <c:v>1.1195854571055216E-4</c:v>
                </c:pt>
                <c:pt idx="224">
                  <c:v>1.1296403830431794E-4</c:v>
                </c:pt>
                <c:pt idx="225">
                  <c:v>1.1386630671013769E-4</c:v>
                </c:pt>
                <c:pt idx="226">
                  <c:v>1.1467705171698609E-4</c:v>
                </c:pt>
                <c:pt idx="227">
                  <c:v>1.1539552313840415E-4</c:v>
                </c:pt>
                <c:pt idx="228">
                  <c:v>1.1602096252852119E-4</c:v>
                </c:pt>
                <c:pt idx="229">
                  <c:v>1.1655260057415854E-4</c:v>
                </c:pt>
                <c:pt idx="230">
                  <c:v>1.1698965449112918E-4</c:v>
                </c:pt>
                <c:pt idx="231">
                  <c:v>1.173313253775306E-4</c:v>
                </c:pt>
                <c:pt idx="232">
                  <c:v>1.1757607559355601E-4</c:v>
                </c:pt>
                <c:pt idx="233">
                  <c:v>1.1760743434285331E-4</c:v>
                </c:pt>
                <c:pt idx="234">
                  <c:v>1.1740433380196238E-4</c:v>
                </c:pt>
                <c:pt idx="235">
                  <c:v>1.1696395932567197E-4</c:v>
                </c:pt>
                <c:pt idx="236">
                  <c:v>1.1628347760987363E-4</c:v>
                </c:pt>
                <c:pt idx="237">
                  <c:v>1.1535993893159802E-4</c:v>
                </c:pt>
                <c:pt idx="238">
                  <c:v>1.1419033787889364E-4</c:v>
                </c:pt>
                <c:pt idx="239">
                  <c:v>1.128572475797105E-4</c:v>
                </c:pt>
                <c:pt idx="240">
                  <c:v>1.1148035580534344E-4</c:v>
                </c:pt>
                <c:pt idx="241">
                  <c:v>1.1005916629198639E-4</c:v>
                </c:pt>
                <c:pt idx="242">
                  <c:v>1.0859316309681938E-4</c:v>
                </c:pt>
                <c:pt idx="243">
                  <c:v>1.0708181039022881E-4</c:v>
                </c:pt>
                <c:pt idx="244">
                  <c:v>1.0552455228531512E-4</c:v>
                </c:pt>
                <c:pt idx="245">
                  <c:v>1.0392081269564886E-4</c:v>
                </c:pt>
                <c:pt idx="246">
                  <c:v>1.0226999526136842E-4</c:v>
                </c:pt>
                <c:pt idx="247">
                  <c:v>1.0061787077347434E-4</c:v>
                </c:pt>
                <c:pt idx="248">
                  <c:v>9.9086755783739161E-5</c:v>
                </c:pt>
                <c:pt idx="249">
                  <c:v>9.7678254280140057E-5</c:v>
                </c:pt>
                <c:pt idx="250">
                  <c:v>9.6393990676321898E-5</c:v>
                </c:pt>
                <c:pt idx="251">
                  <c:v>9.5235610616796823E-5</c:v>
                </c:pt>
                <c:pt idx="252">
                  <c:v>9.420478168560239E-5</c:v>
                </c:pt>
                <c:pt idx="253">
                  <c:v>9.3216552410926176E-5</c:v>
                </c:pt>
                <c:pt idx="254">
                  <c:v>9.217996544767058E-5</c:v>
                </c:pt>
                <c:pt idx="255">
                  <c:v>9.1094302114190401E-5</c:v>
                </c:pt>
                <c:pt idx="256">
                  <c:v>8.9958826802463051E-5</c:v>
                </c:pt>
                <c:pt idx="257">
                  <c:v>8.877278791851198E-5</c:v>
                </c:pt>
                <c:pt idx="258">
                  <c:v>8.7535418979306769E-5</c:v>
                </c:pt>
                <c:pt idx="259">
                  <c:v>8.6245939877196889E-5</c:v>
                </c:pt>
                <c:pt idx="260">
                  <c:v>8.4905102751572483E-5</c:v>
                </c:pt>
                <c:pt idx="261">
                  <c:v>8.3620682401407966E-5</c:v>
                </c:pt>
                <c:pt idx="262">
                  <c:v>8.2342938720657107E-5</c:v>
                </c:pt>
                <c:pt idx="263">
                  <c:v>8.1071137489660306E-5</c:v>
                </c:pt>
                <c:pt idx="264">
                  <c:v>7.9804578734956371E-5</c:v>
                </c:pt>
                <c:pt idx="265">
                  <c:v>7.854294585378777E-5</c:v>
                </c:pt>
                <c:pt idx="266">
                  <c:v>7.7285763266580462E-5</c:v>
                </c:pt>
                <c:pt idx="267">
                  <c:v>7.6405815699394326E-5</c:v>
                </c:pt>
                <c:pt idx="268">
                  <c:v>7.6000719235176967E-5</c:v>
                </c:pt>
                <c:pt idx="269">
                  <c:v>7.6076495738852795E-5</c:v>
                </c:pt>
                <c:pt idx="270">
                  <c:v>7.6639135892152277E-5</c:v>
                </c:pt>
                <c:pt idx="271">
                  <c:v>7.7694540644949523E-5</c:v>
                </c:pt>
                <c:pt idx="272">
                  <c:v>7.9248459904987856E-5</c:v>
                </c:pt>
                <c:pt idx="273">
                  <c:v>8.1306428580755206E-5</c:v>
                </c:pt>
                <c:pt idx="274">
                  <c:v>8.3876194158925423E-5</c:v>
                </c:pt>
                <c:pt idx="275">
                  <c:v>8.7032255665294006E-5</c:v>
                </c:pt>
                <c:pt idx="276">
                  <c:v>9.0666078098704535E-5</c:v>
                </c:pt>
                <c:pt idx="277">
                  <c:v>9.4782807323312207E-5</c:v>
                </c:pt>
                <c:pt idx="278">
                  <c:v>9.938743367184796E-5</c:v>
                </c:pt>
                <c:pt idx="279">
                  <c:v>1.0448477135294038E-4</c:v>
                </c:pt>
                <c:pt idx="280">
                  <c:v>1.1007943925293578E-4</c:v>
                </c:pt>
                <c:pt idx="281">
                  <c:v>1.1583561422743847E-4</c:v>
                </c:pt>
                <c:pt idx="282">
                  <c:v>1.2135451516081791E-4</c:v>
                </c:pt>
                <c:pt idx="283">
                  <c:v>1.2663147347057271E-4</c:v>
                </c:pt>
                <c:pt idx="284">
                  <c:v>1.3166186102564256E-4</c:v>
                </c:pt>
                <c:pt idx="285">
                  <c:v>1.3644111144155564E-4</c:v>
                </c:pt>
                <c:pt idx="286">
                  <c:v>1.4096474101036476E-4</c:v>
                </c:pt>
                <c:pt idx="287">
                  <c:v>1.4522836903598893E-4</c:v>
                </c:pt>
                <c:pt idx="288">
                  <c:v>1.4923123974812079E-4</c:v>
                </c:pt>
                <c:pt idx="289">
                  <c:v>1.5512215037967307E-4</c:v>
                </c:pt>
                <c:pt idx="290">
                  <c:v>1.6284890546858327E-4</c:v>
                </c:pt>
                <c:pt idx="291">
                  <c:v>1.7242838564078674E-4</c:v>
                </c:pt>
                <c:pt idx="292">
                  <c:v>1.8387694619497404E-4</c:v>
                </c:pt>
                <c:pt idx="293">
                  <c:v>1.9721036773729089E-4</c:v>
                </c:pt>
                <c:pt idx="294">
                  <c:v>2.1244381488558201E-4</c:v>
                </c:pt>
                <c:pt idx="295">
                  <c:v>2.3174869813970915E-4</c:v>
                </c:pt>
                <c:pt idx="296">
                  <c:v>2.5551957534777252E-4</c:v>
                </c:pt>
                <c:pt idx="297">
                  <c:v>2.8379460550715426E-4</c:v>
                </c:pt>
                <c:pt idx="298">
                  <c:v>3.1660934449095603E-4</c:v>
                </c:pt>
                <c:pt idx="299">
                  <c:v>3.5399819118812431E-4</c:v>
                </c:pt>
                <c:pt idx="300">
                  <c:v>3.9599437795961959E-4</c:v>
                </c:pt>
                <c:pt idx="301">
                  <c:v>4.4262997462871632E-4</c:v>
                </c:pt>
                <c:pt idx="302">
                  <c:v>4.9396223188801001E-4</c:v>
                </c:pt>
                <c:pt idx="303">
                  <c:v>5.4745473601164362E-4</c:v>
                </c:pt>
                <c:pt idx="304">
                  <c:v>6.0088056980457031E-4</c:v>
                </c:pt>
                <c:pt idx="305">
                  <c:v>6.542422004834202E-4</c:v>
                </c:pt>
                <c:pt idx="306">
                  <c:v>7.07540973788013E-4</c:v>
                </c:pt>
                <c:pt idx="307">
                  <c:v>7.6077703323297716E-4</c:v>
                </c:pt>
                <c:pt idx="308">
                  <c:v>8.1394921740603004E-4</c:v>
                </c:pt>
                <c:pt idx="309">
                  <c:v>8.6606547609479744E-4</c:v>
                </c:pt>
                <c:pt idx="310">
                  <c:v>9.1485818646359516E-4</c:v>
                </c:pt>
                <c:pt idx="311">
                  <c:v>9.6029125507717135E-4</c:v>
                </c:pt>
                <c:pt idx="312">
                  <c:v>1.0023264273920425E-3</c:v>
                </c:pt>
                <c:pt idx="313">
                  <c:v>1.0409233222906211E-3</c:v>
                </c:pt>
                <c:pt idx="314">
                  <c:v>1.0760394845968301E-3</c:v>
                </c:pt>
                <c:pt idx="315">
                  <c:v>1.1076304630735284E-3</c:v>
                </c:pt>
                <c:pt idx="316">
                  <c:v>1.1357892763328148E-3</c:v>
                </c:pt>
                <c:pt idx="317">
                  <c:v>1.1610647203168683E-3</c:v>
                </c:pt>
                <c:pt idx="318">
                  <c:v>1.186138837288366E-3</c:v>
                </c:pt>
                <c:pt idx="319">
                  <c:v>1.2109898070535902E-3</c:v>
                </c:pt>
                <c:pt idx="320">
                  <c:v>1.2355908051041257E-3</c:v>
                </c:pt>
                <c:pt idx="321">
                  <c:v>1.2599096911858915E-3</c:v>
                </c:pt>
                <c:pt idx="322">
                  <c:v>1.283908712015155E-3</c:v>
                </c:pt>
                <c:pt idx="323">
                  <c:v>1.3046734333452428E-3</c:v>
                </c:pt>
                <c:pt idx="324">
                  <c:v>1.3231617745791714E-3</c:v>
                </c:pt>
                <c:pt idx="325">
                  <c:v>1.3392961147743825E-3</c:v>
                </c:pt>
                <c:pt idx="326">
                  <c:v>1.3529865194895634E-3</c:v>
                </c:pt>
                <c:pt idx="327">
                  <c:v>1.3641430971808065E-3</c:v>
                </c:pt>
                <c:pt idx="328">
                  <c:v>1.3726783711495523E-3</c:v>
                </c:pt>
                <c:pt idx="329">
                  <c:v>1.3785026690330679E-3</c:v>
                </c:pt>
                <c:pt idx="330">
                  <c:v>1.3817272012899386E-3</c:v>
                </c:pt>
                <c:pt idx="331">
                  <c:v>1.3815897490688962E-3</c:v>
                </c:pt>
                <c:pt idx="332">
                  <c:v>1.3775507753456321E-3</c:v>
                </c:pt>
                <c:pt idx="333">
                  <c:v>1.3695435728465839E-3</c:v>
                </c:pt>
                <c:pt idx="334">
                  <c:v>1.35750058941503E-3</c:v>
                </c:pt>
                <c:pt idx="335">
                  <c:v>1.3413544929283844E-3</c:v>
                </c:pt>
                <c:pt idx="336">
                  <c:v>1.3210393616162057E-3</c:v>
                </c:pt>
                <c:pt idx="337">
                  <c:v>1.298116781308568E-3</c:v>
                </c:pt>
                <c:pt idx="338">
                  <c:v>1.2755573876197339E-3</c:v>
                </c:pt>
                <c:pt idx="339">
                  <c:v>1.2533408723470654E-3</c:v>
                </c:pt>
                <c:pt idx="340">
                  <c:v>1.2314479329924744E-3</c:v>
                </c:pt>
                <c:pt idx="341">
                  <c:v>1.2098604260947397E-3</c:v>
                </c:pt>
                <c:pt idx="342">
                  <c:v>1.1885615144947368E-3</c:v>
                </c:pt>
                <c:pt idx="343">
                  <c:v>1.1675358081466283E-3</c:v>
                </c:pt>
                <c:pt idx="344">
                  <c:v>1.1468368160361415E-3</c:v>
                </c:pt>
                <c:pt idx="345">
                  <c:v>1.126530562425451E-3</c:v>
                </c:pt>
                <c:pt idx="346">
                  <c:v>1.1083106674423457E-3</c:v>
                </c:pt>
                <c:pt idx="347">
                  <c:v>1.0921835492039014E-3</c:v>
                </c:pt>
                <c:pt idx="348">
                  <c:v>1.0781530105837781E-3</c:v>
                </c:pt>
                <c:pt idx="349">
                  <c:v>1.0662200640547542E-3</c:v>
                </c:pt>
                <c:pt idx="350">
                  <c:v>1.0563827627188258E-3</c:v>
                </c:pt>
                <c:pt idx="351">
                  <c:v>1.0493931027863298E-3</c:v>
                </c:pt>
                <c:pt idx="352">
                  <c:v>1.0435954190425834E-3</c:v>
                </c:pt>
                <c:pt idx="353">
                  <c:v>1.0389813376940698E-3</c:v>
                </c:pt>
                <c:pt idx="354">
                  <c:v>1.035540743939539E-3</c:v>
                </c:pt>
                <c:pt idx="355">
                  <c:v>1.0332617518550964E-3</c:v>
                </c:pt>
                <c:pt idx="356">
                  <c:v>1.0321242246254759E-3</c:v>
                </c:pt>
                <c:pt idx="357">
                  <c:v>1.0321181235419283E-3</c:v>
                </c:pt>
                <c:pt idx="358">
                  <c:v>1.0331801206180879E-3</c:v>
                </c:pt>
                <c:pt idx="359">
                  <c:v>1.0352602489421265E-3</c:v>
                </c:pt>
                <c:pt idx="360">
                  <c:v>1.0399645363662698E-3</c:v>
                </c:pt>
                <c:pt idx="361">
                  <c:v>1.0465305739439581E-3</c:v>
                </c:pt>
                <c:pt idx="362">
                  <c:v>1.0549377182658044E-3</c:v>
                </c:pt>
                <c:pt idx="363">
                  <c:v>1.0651621114899801E-3</c:v>
                </c:pt>
                <c:pt idx="364">
                  <c:v>1.077177079806157E-3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611920"/>
        <c:axId val="665612312"/>
      </c:lineChart>
      <c:dateAx>
        <c:axId val="66561192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12312"/>
        <c:crosses val="autoZero"/>
        <c:auto val="1"/>
        <c:lblOffset val="100"/>
        <c:baseTimeUnit val="days"/>
        <c:majorUnit val="1"/>
        <c:majorTimeUnit val="months"/>
      </c:dateAx>
      <c:valAx>
        <c:axId val="66561231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119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'2031'!$V$14</c:f>
              <c:strCache>
                <c:ptCount val="1"/>
                <c:pt idx="0">
                  <c:v>Enveloppe 2031</c:v>
                </c:pt>
              </c:strCache>
            </c:strRef>
          </c:tx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'2031'!Env_an</c:f>
              <c:numCache>
                <c:formatCode>0.00</c:formatCode>
                <c:ptCount val="366"/>
                <c:pt idx="0">
                  <c:v>92.765251842442794</c:v>
                </c:pt>
                <c:pt idx="1">
                  <c:v>93.329825556265888</c:v>
                </c:pt>
                <c:pt idx="2">
                  <c:v>93.928041709891303</c:v>
                </c:pt>
                <c:pt idx="3">
                  <c:v>94.558125429434341</c:v>
                </c:pt>
                <c:pt idx="4">
                  <c:v>95.218302315547376</c:v>
                </c:pt>
                <c:pt idx="5">
                  <c:v>95.906798418135423</c:v>
                </c:pt>
                <c:pt idx="6">
                  <c:v>96.621840258297155</c:v>
                </c:pt>
                <c:pt idx="7">
                  <c:v>97.361654824026203</c:v>
                </c:pt>
                <c:pt idx="8">
                  <c:v>98.134243045235877</c:v>
                </c:pt>
                <c:pt idx="9">
                  <c:v>98.947494126183827</c:v>
                </c:pt>
                <c:pt idx="10">
                  <c:v>99.799209879186748</c:v>
                </c:pt>
                <c:pt idx="11">
                  <c:v>100.68704738086868</c:v>
                </c:pt>
                <c:pt idx="12">
                  <c:v>101.60866436806748</c:v>
                </c:pt>
                <c:pt idx="13">
                  <c:v>102.56171920412268</c:v>
                </c:pt>
                <c:pt idx="14">
                  <c:v>103.54387093883716</c:v>
                </c:pt>
                <c:pt idx="15">
                  <c:v>104.55273570106283</c:v>
                </c:pt>
                <c:pt idx="16">
                  <c:v>105.58589176345463</c:v>
                </c:pt>
                <c:pt idx="17">
                  <c:v>106.64100010531226</c:v>
                </c:pt>
                <c:pt idx="18">
                  <c:v>107.71572234596114</c:v>
                </c:pt>
                <c:pt idx="19">
                  <c:v>108.80772019504167</c:v>
                </c:pt>
                <c:pt idx="20">
                  <c:v>109.91465577728614</c:v>
                </c:pt>
                <c:pt idx="21">
                  <c:v>111.03419236737165</c:v>
                </c:pt>
                <c:pt idx="22">
                  <c:v>112.1741781664068</c:v>
                </c:pt>
                <c:pt idx="23">
                  <c:v>113.34277255827885</c:v>
                </c:pt>
                <c:pt idx="24">
                  <c:v>114.53769166784679</c:v>
                </c:pt>
                <c:pt idx="25">
                  <c:v>115.75692134842696</c:v>
                </c:pt>
                <c:pt idx="26">
                  <c:v>116.99844810314814</c:v>
                </c:pt>
                <c:pt idx="27">
                  <c:v>118.26025909515194</c:v>
                </c:pt>
                <c:pt idx="28">
                  <c:v>119.54034211758183</c:v>
                </c:pt>
                <c:pt idx="29">
                  <c:v>120.83694611533834</c:v>
                </c:pt>
                <c:pt idx="30">
                  <c:v>122.14810372774522</c:v>
                </c:pt>
                <c:pt idx="31">
                  <c:v>123.47180477403194</c:v>
                </c:pt>
                <c:pt idx="32">
                  <c:v>124.80603977648178</c:v>
                </c:pt>
                <c:pt idx="33">
                  <c:v>126.14879992260256</c:v>
                </c:pt>
                <c:pt idx="34">
                  <c:v>127.49807710728038</c:v>
                </c:pt>
                <c:pt idx="35">
                  <c:v>128.85186389800739</c:v>
                </c:pt>
                <c:pt idx="36">
                  <c:v>130.21969085441165</c:v>
                </c:pt>
                <c:pt idx="37">
                  <c:v>131.61019598547068</c:v>
                </c:pt>
                <c:pt idx="38">
                  <c:v>133.02026841889693</c:v>
                </c:pt>
                <c:pt idx="39">
                  <c:v>134.44689552559134</c:v>
                </c:pt>
                <c:pt idx="40">
                  <c:v>135.88706559351112</c:v>
                </c:pt>
                <c:pt idx="41">
                  <c:v>137.3377678374427</c:v>
                </c:pt>
                <c:pt idx="42">
                  <c:v>138.795992386753</c:v>
                </c:pt>
                <c:pt idx="43">
                  <c:v>140.25850539783431</c:v>
                </c:pt>
                <c:pt idx="44">
                  <c:v>141.72203765340919</c:v>
                </c:pt>
                <c:pt idx="45">
                  <c:v>143.18358159120876</c:v>
                </c:pt>
                <c:pt idx="46">
                  <c:v>144.64013049073694</c:v>
                </c:pt>
                <c:pt idx="47">
                  <c:v>146.08867845834007</c:v>
                </c:pt>
                <c:pt idx="48">
                  <c:v>147.5262204243401</c:v>
                </c:pt>
                <c:pt idx="49">
                  <c:v>148.94975212760204</c:v>
                </c:pt>
                <c:pt idx="50">
                  <c:v>150.36704393339113</c:v>
                </c:pt>
                <c:pt idx="51">
                  <c:v>151.78690274643307</c:v>
                </c:pt>
                <c:pt idx="52">
                  <c:v>153.20804688175949</c:v>
                </c:pt>
                <c:pt idx="53">
                  <c:v>154.6289733480877</c:v>
                </c:pt>
                <c:pt idx="54">
                  <c:v>156.0481794195143</c:v>
                </c:pt>
                <c:pt idx="55">
                  <c:v>157.46416272148994</c:v>
                </c:pt>
                <c:pt idx="56">
                  <c:v>158.87542121709635</c:v>
                </c:pt>
                <c:pt idx="57">
                  <c:v>160.28044584457407</c:v>
                </c:pt>
                <c:pt idx="58">
                  <c:v>161.67796120726388</c:v>
                </c:pt>
                <c:pt idx="59">
                  <c:v>163.06646650913919</c:v>
                </c:pt>
                <c:pt idx="60">
                  <c:v>164.44446127852345</c:v>
                </c:pt>
                <c:pt idx="61">
                  <c:v>165.8104453552391</c:v>
                </c:pt>
                <c:pt idx="62">
                  <c:v>167.16291889055992</c:v>
                </c:pt>
                <c:pt idx="63">
                  <c:v>168.50038234001636</c:v>
                </c:pt>
                <c:pt idx="64">
                  <c:v>169.82414561709689</c:v>
                </c:pt>
                <c:pt idx="65">
                  <c:v>171.13676694079007</c:v>
                </c:pt>
                <c:pt idx="66">
                  <c:v>172.43864696329035</c:v>
                </c:pt>
                <c:pt idx="67">
                  <c:v>173.7302230029054</c:v>
                </c:pt>
                <c:pt idx="68">
                  <c:v>175.01193210102753</c:v>
                </c:pt>
                <c:pt idx="69">
                  <c:v>176.28421102995802</c:v>
                </c:pt>
                <c:pt idx="70">
                  <c:v>177.5474962932268</c:v>
                </c:pt>
                <c:pt idx="71">
                  <c:v>178.80221127688799</c:v>
                </c:pt>
                <c:pt idx="72">
                  <c:v>180.04879933105838</c:v>
                </c:pt>
                <c:pt idx="73">
                  <c:v>181.28769613218583</c:v>
                </c:pt>
                <c:pt idx="74">
                  <c:v>182.51933708490284</c:v>
                </c:pt>
                <c:pt idx="75">
                  <c:v>183.74415732164439</c:v>
                </c:pt>
                <c:pt idx="76">
                  <c:v>184.96259171602793</c:v>
                </c:pt>
                <c:pt idx="77">
                  <c:v>186.1750748692867</c:v>
                </c:pt>
                <c:pt idx="78">
                  <c:v>187.38794460214476</c:v>
                </c:pt>
                <c:pt idx="79">
                  <c:v>188.60510539981473</c:v>
                </c:pt>
                <c:pt idx="80">
                  <c:v>189.82336985008175</c:v>
                </c:pt>
                <c:pt idx="81">
                  <c:v>191.03950780821765</c:v>
                </c:pt>
                <c:pt idx="82">
                  <c:v>192.25028997894776</c:v>
                </c:pt>
                <c:pt idx="83">
                  <c:v>193.45248790586115</c:v>
                </c:pt>
                <c:pt idx="84">
                  <c:v>194.64287400846226</c:v>
                </c:pt>
                <c:pt idx="85">
                  <c:v>195.81821555704832</c:v>
                </c:pt>
                <c:pt idx="86">
                  <c:v>196.97529979803855</c:v>
                </c:pt>
                <c:pt idx="87">
                  <c:v>198.11090186260384</c:v>
                </c:pt>
                <c:pt idx="88">
                  <c:v>199.22179778362039</c:v>
                </c:pt>
                <c:pt idx="89">
                  <c:v>200.30476456034046</c:v>
                </c:pt>
                <c:pt idx="90">
                  <c:v>201.35658013294429</c:v>
                </c:pt>
                <c:pt idx="91">
                  <c:v>202.37402341709335</c:v>
                </c:pt>
                <c:pt idx="92">
                  <c:v>203.3603185543972</c:v>
                </c:pt>
                <c:pt idx="93">
                  <c:v>204.32132375782516</c:v>
                </c:pt>
                <c:pt idx="94">
                  <c:v>205.25777594526389</c:v>
                </c:pt>
                <c:pt idx="95">
                  <c:v>206.17042293237657</c:v>
                </c:pt>
                <c:pt idx="96">
                  <c:v>207.060012321042</c:v>
                </c:pt>
                <c:pt idx="97">
                  <c:v>207.92729153843328</c:v>
                </c:pt>
                <c:pt idx="98">
                  <c:v>208.77300744559835</c:v>
                </c:pt>
                <c:pt idx="99">
                  <c:v>209.59792145457067</c:v>
                </c:pt>
                <c:pt idx="100">
                  <c:v>210.40278932273176</c:v>
                </c:pt>
                <c:pt idx="101">
                  <c:v>211.188358033566</c:v>
                </c:pt>
                <c:pt idx="102">
                  <c:v>211.9553744459111</c:v>
                </c:pt>
                <c:pt idx="103">
                  <c:v>212.70458525933657</c:v>
                </c:pt>
                <c:pt idx="104">
                  <c:v>213.43673707290327</c:v>
                </c:pt>
                <c:pt idx="105">
                  <c:v>214.15257635433764</c:v>
                </c:pt>
                <c:pt idx="106">
                  <c:v>214.84879969467497</c:v>
                </c:pt>
                <c:pt idx="107">
                  <c:v>215.52229853658915</c:v>
                </c:pt>
                <c:pt idx="108">
                  <c:v>216.1740977804192</c:v>
                </c:pt>
                <c:pt idx="109">
                  <c:v>216.8052098310817</c:v>
                </c:pt>
                <c:pt idx="110">
                  <c:v>217.41664693780689</c:v>
                </c:pt>
                <c:pt idx="111">
                  <c:v>218.00942125856972</c:v>
                </c:pt>
                <c:pt idx="112">
                  <c:v>218.5845448911254</c:v>
                </c:pt>
                <c:pt idx="113">
                  <c:v>219.1430271788503</c:v>
                </c:pt>
                <c:pt idx="114">
                  <c:v>219.68586229811109</c:v>
                </c:pt>
                <c:pt idx="115">
                  <c:v>220.21406177714229</c:v>
                </c:pt>
                <c:pt idx="116">
                  <c:v>220.72863705986805</c:v>
                </c:pt>
                <c:pt idx="117">
                  <c:v>221.23059950128524</c:v>
                </c:pt>
                <c:pt idx="118">
                  <c:v>221.72096039925484</c:v>
                </c:pt>
                <c:pt idx="119">
                  <c:v>222.20073099942368</c:v>
                </c:pt>
                <c:pt idx="120">
                  <c:v>222.66731041958749</c:v>
                </c:pt>
                <c:pt idx="121">
                  <c:v>223.11776541587113</c:v>
                </c:pt>
                <c:pt idx="122">
                  <c:v>223.55258518255437</c:v>
                </c:pt>
                <c:pt idx="123">
                  <c:v>223.97227853054864</c:v>
                </c:pt>
                <c:pt idx="124">
                  <c:v>224.37735442868029</c:v>
                </c:pt>
                <c:pt idx="125">
                  <c:v>224.76832198341179</c:v>
                </c:pt>
                <c:pt idx="126">
                  <c:v>225.14569044132074</c:v>
                </c:pt>
                <c:pt idx="127">
                  <c:v>225.50998156342956</c:v>
                </c:pt>
                <c:pt idx="128">
                  <c:v>225.86170808565112</c:v>
                </c:pt>
                <c:pt idx="129">
                  <c:v>226.20138014191375</c:v>
                </c:pt>
                <c:pt idx="130">
                  <c:v>226.52950805393462</c:v>
                </c:pt>
                <c:pt idx="131">
                  <c:v>226.84660231246013</c:v>
                </c:pt>
                <c:pt idx="132">
                  <c:v>227.15317358038109</c:v>
                </c:pt>
                <c:pt idx="133">
                  <c:v>227.44973269704437</c:v>
                </c:pt>
                <c:pt idx="134">
                  <c:v>227.73444155466609</c:v>
                </c:pt>
                <c:pt idx="135">
                  <c:v>228.00546848298018</c:v>
                </c:pt>
                <c:pt idx="136">
                  <c:v>228.26332266608978</c:v>
                </c:pt>
                <c:pt idx="137">
                  <c:v>228.5085162995309</c:v>
                </c:pt>
                <c:pt idx="138">
                  <c:v>228.74156166059899</c:v>
                </c:pt>
                <c:pt idx="139">
                  <c:v>228.96297110989426</c:v>
                </c:pt>
                <c:pt idx="140">
                  <c:v>229.17325706090693</c:v>
                </c:pt>
                <c:pt idx="141">
                  <c:v>229.37292612123534</c:v>
                </c:pt>
                <c:pt idx="142">
                  <c:v>229.56247600600918</c:v>
                </c:pt>
                <c:pt idx="143">
                  <c:v>229.74241845467577</c:v>
                </c:pt>
                <c:pt idx="144">
                  <c:v>229.91326505123592</c:v>
                </c:pt>
                <c:pt idx="145">
                  <c:v>230.0755273227648</c:v>
                </c:pt>
                <c:pt idx="146">
                  <c:v>230.2297167003824</c:v>
                </c:pt>
                <c:pt idx="147">
                  <c:v>230.37634450984308</c:v>
                </c:pt>
                <c:pt idx="148">
                  <c:v>230.51575436303864</c:v>
                </c:pt>
                <c:pt idx="149">
                  <c:v>230.64762435318806</c:v>
                </c:pt>
                <c:pt idx="150">
                  <c:v>230.77145834887139</c:v>
                </c:pt>
                <c:pt idx="151">
                  <c:v>230.88676406445532</c:v>
                </c:pt>
                <c:pt idx="152">
                  <c:v>230.99304941001486</c:v>
                </c:pt>
                <c:pt idx="153">
                  <c:v>231.08982244926204</c:v>
                </c:pt>
                <c:pt idx="154">
                  <c:v>231.17659138449329</c:v>
                </c:pt>
                <c:pt idx="155">
                  <c:v>231.25285819207025</c:v>
                </c:pt>
                <c:pt idx="156">
                  <c:v>231.31813863317174</c:v>
                </c:pt>
                <c:pt idx="157">
                  <c:v>231.37194134415017</c:v>
                </c:pt>
                <c:pt idx="158">
                  <c:v>231.4137749596116</c:v>
                </c:pt>
                <c:pt idx="159">
                  <c:v>231.44314806503783</c:v>
                </c:pt>
                <c:pt idx="160">
                  <c:v>231.45956917038345</c:v>
                </c:pt>
                <c:pt idx="161">
                  <c:v>231.46254667410886</c:v>
                </c:pt>
                <c:pt idx="162">
                  <c:v>231.45175618901288</c:v>
                </c:pt>
                <c:pt idx="163">
                  <c:v>231.42751526014348</c:v>
                </c:pt>
                <c:pt idx="164">
                  <c:v>231.39032365631064</c:v>
                </c:pt>
                <c:pt idx="165">
                  <c:v>231.34069004489265</c:v>
                </c:pt>
                <c:pt idx="166">
                  <c:v>231.27912251704919</c:v>
                </c:pt>
                <c:pt idx="167">
                  <c:v>231.20612856664766</c:v>
                </c:pt>
                <c:pt idx="168">
                  <c:v>231.12221508669825</c:v>
                </c:pt>
                <c:pt idx="169">
                  <c:v>231.02785897135499</c:v>
                </c:pt>
                <c:pt idx="170">
                  <c:v>230.92357147886614</c:v>
                </c:pt>
                <c:pt idx="171">
                  <c:v>230.80985669305485</c:v>
                </c:pt>
                <c:pt idx="172">
                  <c:v>230.68721812034502</c:v>
                </c:pt>
                <c:pt idx="173">
                  <c:v>230.55615881412302</c:v>
                </c:pt>
                <c:pt idx="174">
                  <c:v>230.41718128086089</c:v>
                </c:pt>
                <c:pt idx="175">
                  <c:v>230.27078736244374</c:v>
                </c:pt>
                <c:pt idx="176">
                  <c:v>230.11839777569222</c:v>
                </c:pt>
                <c:pt idx="177">
                  <c:v>229.96042283462015</c:v>
                </c:pt>
                <c:pt idx="178">
                  <c:v>229.79589071071834</c:v>
                </c:pt>
                <c:pt idx="179">
                  <c:v>229.62379815077853</c:v>
                </c:pt>
                <c:pt idx="180">
                  <c:v>229.44314187042426</c:v>
                </c:pt>
                <c:pt idx="181">
                  <c:v>229.25291857475708</c:v>
                </c:pt>
                <c:pt idx="182">
                  <c:v>229.05212497026193</c:v>
                </c:pt>
                <c:pt idx="183">
                  <c:v>228.8397759089128</c:v>
                </c:pt>
                <c:pt idx="184">
                  <c:v>228.61490316363935</c:v>
                </c:pt>
                <c:pt idx="185">
                  <c:v>228.37650525579431</c:v>
                </c:pt>
                <c:pt idx="186">
                  <c:v>228.12358070148699</c:v>
                </c:pt>
                <c:pt idx="187">
                  <c:v>227.85512799609722</c:v>
                </c:pt>
                <c:pt idx="188">
                  <c:v>227.57014566946506</c:v>
                </c:pt>
                <c:pt idx="189">
                  <c:v>227.26763229816143</c:v>
                </c:pt>
                <c:pt idx="190">
                  <c:v>226.94692047997921</c:v>
                </c:pt>
                <c:pt idx="191">
                  <c:v>226.608667704646</c:v>
                </c:pt>
                <c:pt idx="192">
                  <c:v>226.25388249604694</c:v>
                </c:pt>
                <c:pt idx="193">
                  <c:v>225.88356622167103</c:v>
                </c:pt>
                <c:pt idx="194">
                  <c:v>225.49871988070564</c:v>
                </c:pt>
                <c:pt idx="195">
                  <c:v>225.10034410979284</c:v>
                </c:pt>
                <c:pt idx="196">
                  <c:v>224.68943925263122</c:v>
                </c:pt>
                <c:pt idx="197">
                  <c:v>224.26699853606615</c:v>
                </c:pt>
                <c:pt idx="198">
                  <c:v>223.83399890419639</c:v>
                </c:pt>
                <c:pt idx="199">
                  <c:v>223.39143883954037</c:v>
                </c:pt>
                <c:pt idx="200">
                  <c:v>222.94031668943686</c:v>
                </c:pt>
                <c:pt idx="201">
                  <c:v>222.48163069767878</c:v>
                </c:pt>
                <c:pt idx="202">
                  <c:v>222.01637900757504</c:v>
                </c:pt>
                <c:pt idx="203">
                  <c:v>221.54555968826099</c:v>
                </c:pt>
                <c:pt idx="204">
                  <c:v>221.067668409573</c:v>
                </c:pt>
                <c:pt idx="205">
                  <c:v>220.58055661948634</c:v>
                </c:pt>
                <c:pt idx="206">
                  <c:v>220.08423436937687</c:v>
                </c:pt>
                <c:pt idx="207">
                  <c:v>219.57870037463854</c:v>
                </c:pt>
                <c:pt idx="208">
                  <c:v>219.06395356081609</c:v>
                </c:pt>
                <c:pt idx="209">
                  <c:v>218.53999308800556</c:v>
                </c:pt>
                <c:pt idx="210">
                  <c:v>218.0068183266531</c:v>
                </c:pt>
                <c:pt idx="211">
                  <c:v>217.46443571991526</c:v>
                </c:pt>
                <c:pt idx="212">
                  <c:v>216.91285375387406</c:v>
                </c:pt>
                <c:pt idx="213">
                  <c:v>216.35207278579759</c:v>
                </c:pt>
                <c:pt idx="214">
                  <c:v>215.78209336523258</c:v>
                </c:pt>
                <c:pt idx="215">
                  <c:v>215.20291622588147</c:v>
                </c:pt>
                <c:pt idx="216">
                  <c:v>214.61454226968959</c:v>
                </c:pt>
                <c:pt idx="217">
                  <c:v>214.01697258214563</c:v>
                </c:pt>
                <c:pt idx="218">
                  <c:v>213.4112917689605</c:v>
                </c:pt>
                <c:pt idx="219">
                  <c:v>212.79824894046888</c:v>
                </c:pt>
                <c:pt idx="220">
                  <c:v>212.17732251175647</c:v>
                </c:pt>
                <c:pt idx="221">
                  <c:v>211.54801393645488</c:v>
                </c:pt>
                <c:pt idx="222">
                  <c:v>210.90982492602117</c:v>
                </c:pt>
                <c:pt idx="223">
                  <c:v>210.26225743622331</c:v>
                </c:pt>
                <c:pt idx="224">
                  <c:v>209.60481364356303</c:v>
                </c:pt>
                <c:pt idx="225">
                  <c:v>208.93703627850883</c:v>
                </c:pt>
                <c:pt idx="226">
                  <c:v>208.25842098756084</c:v>
                </c:pt>
                <c:pt idx="227">
                  <c:v>207.56847061313252</c:v>
                </c:pt>
                <c:pt idx="228">
                  <c:v>206.86668817467313</c:v>
                </c:pt>
                <c:pt idx="229">
                  <c:v>206.15257686046601</c:v>
                </c:pt>
                <c:pt idx="230">
                  <c:v>205.42564001084659</c:v>
                </c:pt>
                <c:pt idx="231">
                  <c:v>204.68538112627655</c:v>
                </c:pt>
                <c:pt idx="232">
                  <c:v>203.93255277925743</c:v>
                </c:pt>
                <c:pt idx="233">
                  <c:v>203.16827134475591</c:v>
                </c:pt>
                <c:pt idx="234">
                  <c:v>202.39254165413948</c:v>
                </c:pt>
                <c:pt idx="235">
                  <c:v>201.60536654585761</c:v>
                </c:pt>
                <c:pt idx="236">
                  <c:v>200.80674883356033</c:v>
                </c:pt>
                <c:pt idx="237">
                  <c:v>199.99669135440857</c:v>
                </c:pt>
                <c:pt idx="238">
                  <c:v>199.17519692646485</c:v>
                </c:pt>
                <c:pt idx="239">
                  <c:v>198.34224054799461</c:v>
                </c:pt>
                <c:pt idx="240">
                  <c:v>197.49778458027083</c:v>
                </c:pt>
                <c:pt idx="241">
                  <c:v>196.64183187180925</c:v>
                </c:pt>
                <c:pt idx="242">
                  <c:v>195.77438527575563</c:v>
                </c:pt>
                <c:pt idx="243">
                  <c:v>194.89544766692185</c:v>
                </c:pt>
                <c:pt idx="244">
                  <c:v>194.00502193093649</c:v>
                </c:pt>
                <c:pt idx="245">
                  <c:v>193.10311097505985</c:v>
                </c:pt>
                <c:pt idx="246">
                  <c:v>192.18971772416924</c:v>
                </c:pt>
                <c:pt idx="247">
                  <c:v>191.26483326032397</c:v>
                </c:pt>
                <c:pt idx="248">
                  <c:v>190.32842985917313</c:v>
                </c:pt>
                <c:pt idx="249">
                  <c:v>189.38051061927828</c:v>
                </c:pt>
                <c:pt idx="250">
                  <c:v>188.42107867239579</c:v>
                </c:pt>
                <c:pt idx="251">
                  <c:v>187.45013718605958</c:v>
                </c:pt>
                <c:pt idx="252">
                  <c:v>186.46768936132986</c:v>
                </c:pt>
                <c:pt idx="253">
                  <c:v>185.473763222419</c:v>
                </c:pt>
                <c:pt idx="254">
                  <c:v>184.46838953709164</c:v>
                </c:pt>
                <c:pt idx="255">
                  <c:v>183.4515714146111</c:v>
                </c:pt>
                <c:pt idx="256">
                  <c:v>182.42331196970596</c:v>
                </c:pt>
                <c:pt idx="257">
                  <c:v>181.38361430468979</c:v>
                </c:pt>
                <c:pt idx="258">
                  <c:v>180.3324815086043</c:v>
                </c:pt>
                <c:pt idx="259">
                  <c:v>179.26991664074052</c:v>
                </c:pt>
                <c:pt idx="260">
                  <c:v>178.19268081097348</c:v>
                </c:pt>
                <c:pt idx="261">
                  <c:v>177.09849930489401</c:v>
                </c:pt>
                <c:pt idx="262">
                  <c:v>175.98888382726946</c:v>
                </c:pt>
                <c:pt idx="263">
                  <c:v>174.86533397781642</c:v>
                </c:pt>
                <c:pt idx="264">
                  <c:v>173.72934896195787</c:v>
                </c:pt>
                <c:pt idx="265">
                  <c:v>172.58242747194885</c:v>
                </c:pt>
                <c:pt idx="266">
                  <c:v>171.42606783537551</c:v>
                </c:pt>
                <c:pt idx="267">
                  <c:v>170.26166951024936</c:v>
                </c:pt>
                <c:pt idx="268">
                  <c:v>169.09070648864127</c:v>
                </c:pt>
                <c:pt idx="269">
                  <c:v>167.91467675195881</c:v>
                </c:pt>
                <c:pt idx="270">
                  <c:v>166.73507789865201</c:v>
                </c:pt>
                <c:pt idx="271">
                  <c:v>165.5534071502675</c:v>
                </c:pt>
                <c:pt idx="272">
                  <c:v>164.37116134356475</c:v>
                </c:pt>
                <c:pt idx="273">
                  <c:v>163.18983693051754</c:v>
                </c:pt>
                <c:pt idx="274">
                  <c:v>162.00611202242192</c:v>
                </c:pt>
                <c:pt idx="275">
                  <c:v>160.81599425091611</c:v>
                </c:pt>
                <c:pt idx="276">
                  <c:v>159.62001636515629</c:v>
                </c:pt>
                <c:pt idx="277">
                  <c:v>158.41867777692448</c:v>
                </c:pt>
                <c:pt idx="278">
                  <c:v>157.21247761055491</c:v>
                </c:pt>
                <c:pt idx="279">
                  <c:v>156.00191469420298</c:v>
                </c:pt>
                <c:pt idx="280">
                  <c:v>154.78748755497662</c:v>
                </c:pt>
                <c:pt idx="281">
                  <c:v>153.56977430869202</c:v>
                </c:pt>
                <c:pt idx="282">
                  <c:v>152.34936597472233</c:v>
                </c:pt>
                <c:pt idx="283">
                  <c:v>151.12675793421806</c:v>
                </c:pt>
                <c:pt idx="284">
                  <c:v>149.90244511197992</c:v>
                </c:pt>
                <c:pt idx="285">
                  <c:v>148.6769219793276</c:v>
                </c:pt>
                <c:pt idx="286">
                  <c:v>147.45068255483596</c:v>
                </c:pt>
                <c:pt idx="287">
                  <c:v>146.22422041402521</c:v>
                </c:pt>
                <c:pt idx="288">
                  <c:v>144.99462484896443</c:v>
                </c:pt>
                <c:pt idx="289">
                  <c:v>143.75889425779795</c:v>
                </c:pt>
                <c:pt idx="290">
                  <c:v>142.51803245685667</c:v>
                </c:pt>
                <c:pt idx="291">
                  <c:v>141.27303696706551</c:v>
                </c:pt>
                <c:pt idx="292">
                  <c:v>140.02490514345737</c:v>
                </c:pt>
                <c:pt idx="293">
                  <c:v>138.77463417428928</c:v>
                </c:pt>
                <c:pt idx="294">
                  <c:v>137.52322109406268</c:v>
                </c:pt>
                <c:pt idx="295">
                  <c:v>136.27118561299952</c:v>
                </c:pt>
                <c:pt idx="296">
                  <c:v>135.01945876293686</c:v>
                </c:pt>
                <c:pt idx="297">
                  <c:v>133.76904704842417</c:v>
                </c:pt>
                <c:pt idx="298">
                  <c:v>132.5209573275321</c:v>
                </c:pt>
                <c:pt idx="299">
                  <c:v>131.27619645708046</c:v>
                </c:pt>
                <c:pt idx="300">
                  <c:v>130.03577124599965</c:v>
                </c:pt>
                <c:pt idx="301">
                  <c:v>128.80068840328366</c:v>
                </c:pt>
                <c:pt idx="302">
                  <c:v>127.56514986897537</c:v>
                </c:pt>
                <c:pt idx="303">
                  <c:v>126.3243924663407</c:v>
                </c:pt>
                <c:pt idx="304">
                  <c:v>125.08079669599546</c:v>
                </c:pt>
                <c:pt idx="305">
                  <c:v>123.83634924541869</c:v>
                </c:pt>
                <c:pt idx="306">
                  <c:v>122.59303630065415</c:v>
                </c:pt>
                <c:pt idx="307">
                  <c:v>121.35284357001913</c:v>
                </c:pt>
                <c:pt idx="308">
                  <c:v>120.11775630067923</c:v>
                </c:pt>
                <c:pt idx="309">
                  <c:v>118.88996288051978</c:v>
                </c:pt>
                <c:pt idx="310">
                  <c:v>117.67187434273252</c:v>
                </c:pt>
                <c:pt idx="311">
                  <c:v>116.46546117703654</c:v>
                </c:pt>
                <c:pt idx="312">
                  <c:v>115.27269373854783</c:v>
                </c:pt>
                <c:pt idx="313">
                  <c:v>114.09554232684606</c:v>
                </c:pt>
                <c:pt idx="314">
                  <c:v>112.93597727393519</c:v>
                </c:pt>
                <c:pt idx="315">
                  <c:v>111.79596901881787</c:v>
                </c:pt>
                <c:pt idx="316">
                  <c:v>110.66388456744524</c:v>
                </c:pt>
                <c:pt idx="317">
                  <c:v>109.52947592200559</c:v>
                </c:pt>
                <c:pt idx="318">
                  <c:v>108.39637314476538</c:v>
                </c:pt>
                <c:pt idx="319">
                  <c:v>107.26854640784191</c:v>
                </c:pt>
                <c:pt idx="320">
                  <c:v>106.14996592035348</c:v>
                </c:pt>
                <c:pt idx="321">
                  <c:v>105.04460192098017</c:v>
                </c:pt>
                <c:pt idx="322">
                  <c:v>103.95642469449226</c:v>
                </c:pt>
                <c:pt idx="323">
                  <c:v>102.88985937339122</c:v>
                </c:pt>
                <c:pt idx="324">
                  <c:v>101.84868420514032</c:v>
                </c:pt>
                <c:pt idx="325">
                  <c:v>100.83686505377284</c:v>
                </c:pt>
                <c:pt idx="326">
                  <c:v>99.858369288784573</c:v>
                </c:pt>
                <c:pt idx="327">
                  <c:v>98.917163862548378</c:v>
                </c:pt>
                <c:pt idx="328">
                  <c:v>98.017215088427022</c:v>
                </c:pt>
                <c:pt idx="329">
                  <c:v>97.162489604626913</c:v>
                </c:pt>
                <c:pt idx="330">
                  <c:v>96.342850271120895</c:v>
                </c:pt>
                <c:pt idx="331">
                  <c:v>95.546838462265782</c:v>
                </c:pt>
                <c:pt idx="332">
                  <c:v>94.776311423935567</c:v>
                </c:pt>
                <c:pt idx="333">
                  <c:v>94.033178969366659</c:v>
                </c:pt>
                <c:pt idx="334">
                  <c:v>93.319351532805229</c:v>
                </c:pt>
                <c:pt idx="335">
                  <c:v>92.636740091880071</c:v>
                </c:pt>
                <c:pt idx="336">
                  <c:v>91.98725610377636</c:v>
                </c:pt>
                <c:pt idx="337">
                  <c:v>91.372604918128957</c:v>
                </c:pt>
                <c:pt idx="338">
                  <c:v>90.794279505980583</c:v>
                </c:pt>
                <c:pt idx="339">
                  <c:v>90.25419911777351</c:v>
                </c:pt>
                <c:pt idx="340">
                  <c:v>89.754282499120052</c:v>
                </c:pt>
                <c:pt idx="341">
                  <c:v>89.296447858026767</c:v>
                </c:pt>
                <c:pt idx="342">
                  <c:v>88.882612876642412</c:v>
                </c:pt>
                <c:pt idx="343">
                  <c:v>88.514694599534366</c:v>
                </c:pt>
                <c:pt idx="344">
                  <c:v>88.189422837422029</c:v>
                </c:pt>
                <c:pt idx="345">
                  <c:v>87.902371801136624</c:v>
                </c:pt>
                <c:pt idx="346">
                  <c:v>87.653581432709544</c:v>
                </c:pt>
                <c:pt idx="347">
                  <c:v>87.443235337035915</c:v>
                </c:pt>
                <c:pt idx="348">
                  <c:v>87.271516655478393</c:v>
                </c:pt>
                <c:pt idx="349">
                  <c:v>87.13860807096647</c:v>
                </c:pt>
                <c:pt idx="350">
                  <c:v>87.044691832922268</c:v>
                </c:pt>
                <c:pt idx="351">
                  <c:v>86.989855522698633</c:v>
                </c:pt>
                <c:pt idx="352">
                  <c:v>86.974479863637583</c:v>
                </c:pt>
                <c:pt idx="353">
                  <c:v>86.998745365810223</c:v>
                </c:pt>
                <c:pt idx="354">
                  <c:v>87.062832165778033</c:v>
                </c:pt>
                <c:pt idx="355">
                  <c:v>87.166920144879953</c:v>
                </c:pt>
                <c:pt idx="356">
                  <c:v>87.311189389243978</c:v>
                </c:pt>
                <c:pt idx="357">
                  <c:v>87.495818634963058</c:v>
                </c:pt>
                <c:pt idx="358">
                  <c:v>87.724562814158901</c:v>
                </c:pt>
                <c:pt idx="359">
                  <c:v>87.999902434144047</c:v>
                </c:pt>
                <c:pt idx="360">
                  <c:v>88.319907920564162</c:v>
                </c:pt>
                <c:pt idx="361">
                  <c:v>88.682941067344956</c:v>
                </c:pt>
                <c:pt idx="362">
                  <c:v>89.087270213465644</c:v>
                </c:pt>
                <c:pt idx="363">
                  <c:v>89.531163825973891</c:v>
                </c:pt>
                <c:pt idx="364">
                  <c:v>90.012890544178504</c:v>
                </c:pt>
                <c:pt idx="365">
                  <c:v>91.389071193310656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'2031'!$B$15:$B$380</c:f>
              <c:numCache>
                <c:formatCode>0.00</c:formatCode>
                <c:ptCount val="366"/>
                <c:pt idx="0">
                  <c:v>92.875329140527739</c:v>
                </c:pt>
                <c:pt idx="1">
                  <c:v>67.912879215612335</c:v>
                </c:pt>
                <c:pt idx="2">
                  <c:v>70.724412156496484</c:v>
                </c:pt>
                <c:pt idx="3">
                  <c:v>75.953788744815867</c:v>
                </c:pt>
                <c:pt idx="4">
                  <c:v>57.110582905592828</c:v>
                </c:pt>
                <c:pt idx="5">
                  <c:v>97.821255889720931</c:v>
                </c:pt>
                <c:pt idx="6">
                  <c:v>37.003808518241783</c:v>
                </c:pt>
                <c:pt idx="7">
                  <c:v>24.774707080650682</c:v>
                </c:pt>
                <c:pt idx="8">
                  <c:v>7.7350052490394052</c:v>
                </c:pt>
                <c:pt idx="9">
                  <c:v>7.1107891346737908</c:v>
                </c:pt>
                <c:pt idx="10">
                  <c:v>95.334549764134948</c:v>
                </c:pt>
                <c:pt idx="11">
                  <c:v>81.737187799427289</c:v>
                </c:pt>
                <c:pt idx="12">
                  <c:v>26.227750022594179</c:v>
                </c:pt>
                <c:pt idx="13">
                  <c:v>104.60021639513828</c:v>
                </c:pt>
                <c:pt idx="14">
                  <c:v>106.20315660860985</c:v>
                </c:pt>
                <c:pt idx="15">
                  <c:v>105.61853131626955</c:v>
                </c:pt>
                <c:pt idx="16">
                  <c:v>82.939674932982157</c:v>
                </c:pt>
                <c:pt idx="17">
                  <c:v>21.723384596209677</c:v>
                </c:pt>
                <c:pt idx="18">
                  <c:v>44.362614759708613</c:v>
                </c:pt>
                <c:pt idx="19">
                  <c:v>22.8635191843988</c:v>
                </c:pt>
                <c:pt idx="20">
                  <c:v>57.398688975770767</c:v>
                </c:pt>
                <c:pt idx="21">
                  <c:v>110.23202507050244</c:v>
                </c:pt>
                <c:pt idx="22">
                  <c:v>112.0433272009704</c:v>
                </c:pt>
                <c:pt idx="23">
                  <c:v>113.42457842900555</c:v>
                </c:pt>
                <c:pt idx="24">
                  <c:v>112.37329832531682</c:v>
                </c:pt>
                <c:pt idx="25">
                  <c:v>114.34859180498766</c:v>
                </c:pt>
                <c:pt idx="26">
                  <c:v>116.20902619335973</c:v>
                </c:pt>
                <c:pt idx="27">
                  <c:v>18.004090039006112</c:v>
                </c:pt>
                <c:pt idx="28">
                  <c:v>28.218209681648087</c:v>
                </c:pt>
                <c:pt idx="29">
                  <c:v>25.423078909109282</c:v>
                </c:pt>
                <c:pt idx="30">
                  <c:v>25.266208305648455</c:v>
                </c:pt>
                <c:pt idx="31">
                  <c:v>55.074692754172403</c:v>
                </c:pt>
                <c:pt idx="32">
                  <c:v>24.56384571229702</c:v>
                </c:pt>
                <c:pt idx="33">
                  <c:v>55.135282194199974</c:v>
                </c:pt>
                <c:pt idx="34">
                  <c:v>50.162346939818299</c:v>
                </c:pt>
                <c:pt idx="35">
                  <c:v>42.049136498475939</c:v>
                </c:pt>
                <c:pt idx="36">
                  <c:v>89.207411131863637</c:v>
                </c:pt>
                <c:pt idx="37">
                  <c:v>40.307645237576921</c:v>
                </c:pt>
                <c:pt idx="38">
                  <c:v>134.87258356893602</c:v>
                </c:pt>
                <c:pt idx="39">
                  <c:v>134.22474865634643</c:v>
                </c:pt>
                <c:pt idx="40">
                  <c:v>126.0659877180744</c:v>
                </c:pt>
                <c:pt idx="41">
                  <c:v>62.877075499733728</c:v>
                </c:pt>
                <c:pt idx="42">
                  <c:v>105.30321973842013</c:v>
                </c:pt>
                <c:pt idx="43">
                  <c:v>128.47552428324195</c:v>
                </c:pt>
                <c:pt idx="44">
                  <c:v>73.254011120853932</c:v>
                </c:pt>
                <c:pt idx="45">
                  <c:v>77.345156746488115</c:v>
                </c:pt>
                <c:pt idx="46">
                  <c:v>29.873445850793257</c:v>
                </c:pt>
                <c:pt idx="47">
                  <c:v>44.009800607925939</c:v>
                </c:pt>
                <c:pt idx="48">
                  <c:v>125.12482177491782</c:v>
                </c:pt>
                <c:pt idx="49">
                  <c:v>71.317892351077759</c:v>
                </c:pt>
                <c:pt idx="50">
                  <c:v>89.726483384883991</c:v>
                </c:pt>
                <c:pt idx="51">
                  <c:v>97.639085888348617</c:v>
                </c:pt>
                <c:pt idx="52">
                  <c:v>130.70882100237594</c:v>
                </c:pt>
                <c:pt idx="53">
                  <c:v>135.06653135710457</c:v>
                </c:pt>
                <c:pt idx="54">
                  <c:v>85.612860159693597</c:v>
                </c:pt>
                <c:pt idx="55">
                  <c:v>121.25980398565474</c:v>
                </c:pt>
                <c:pt idx="56">
                  <c:v>160.90775640791003</c:v>
                </c:pt>
                <c:pt idx="57">
                  <c:v>107.05860481924823</c:v>
                </c:pt>
                <c:pt idx="58">
                  <c:v>145.24061999587275</c:v>
                </c:pt>
                <c:pt idx="59">
                  <c:v>163.17624890127766</c:v>
                </c:pt>
                <c:pt idx="60">
                  <c:v>49.938184177267111</c:v>
                </c:pt>
                <c:pt idx="61">
                  <c:v>150.56098415900956</c:v>
                </c:pt>
                <c:pt idx="62">
                  <c:v>19.2243545609008</c:v>
                </c:pt>
                <c:pt idx="63">
                  <c:v>63.484974965206547</c:v>
                </c:pt>
                <c:pt idx="64">
                  <c:v>89.628396970097825</c:v>
                </c:pt>
                <c:pt idx="65">
                  <c:v>133.15420788913914</c:v>
                </c:pt>
                <c:pt idx="66">
                  <c:v>122.77046080525238</c:v>
                </c:pt>
                <c:pt idx="67">
                  <c:v>132.24967451374761</c:v>
                </c:pt>
                <c:pt idx="68">
                  <c:v>95.062281861042933</c:v>
                </c:pt>
                <c:pt idx="69">
                  <c:v>65.064941702964262</c:v>
                </c:pt>
                <c:pt idx="70">
                  <c:v>60.894015994181125</c:v>
                </c:pt>
                <c:pt idx="71">
                  <c:v>53.778069129209641</c:v>
                </c:pt>
                <c:pt idx="72">
                  <c:v>52.775023426093092</c:v>
                </c:pt>
                <c:pt idx="73">
                  <c:v>56.30565353284215</c:v>
                </c:pt>
                <c:pt idx="74">
                  <c:v>37.422742257858282</c:v>
                </c:pt>
                <c:pt idx="75">
                  <c:v>48.065919997630012</c:v>
                </c:pt>
                <c:pt idx="76">
                  <c:v>50.745671854397273</c:v>
                </c:pt>
                <c:pt idx="77">
                  <c:v>115.32165751821373</c:v>
                </c:pt>
                <c:pt idx="78">
                  <c:v>123.17159576689373</c:v>
                </c:pt>
                <c:pt idx="79">
                  <c:v>177.50864383015153</c:v>
                </c:pt>
                <c:pt idx="80">
                  <c:v>158.04390623862071</c:v>
                </c:pt>
                <c:pt idx="81">
                  <c:v>189.18135009555877</c:v>
                </c:pt>
                <c:pt idx="82">
                  <c:v>187.60425619269174</c:v>
                </c:pt>
                <c:pt idx="83">
                  <c:v>159.83315706706281</c:v>
                </c:pt>
                <c:pt idx="84">
                  <c:v>176.22658999595413</c:v>
                </c:pt>
                <c:pt idx="85">
                  <c:v>178.14319381959524</c:v>
                </c:pt>
                <c:pt idx="86">
                  <c:v>140.46084634176958</c:v>
                </c:pt>
                <c:pt idx="87">
                  <c:v>110.44649046865305</c:v>
                </c:pt>
                <c:pt idx="88">
                  <c:v>29.014078362301241</c:v>
                </c:pt>
                <c:pt idx="89">
                  <c:v>83.946660321868364</c:v>
                </c:pt>
                <c:pt idx="90">
                  <c:v>142.49271299929907</c:v>
                </c:pt>
                <c:pt idx="91">
                  <c:v>69.704228500773311</c:v>
                </c:pt>
                <c:pt idx="92">
                  <c:v>111.89562799902255</c:v>
                </c:pt>
                <c:pt idx="93">
                  <c:v>170.71475307824204</c:v>
                </c:pt>
                <c:pt idx="94">
                  <c:v>209.16764958185783</c:v>
                </c:pt>
                <c:pt idx="95">
                  <c:v>51.931192680114385</c:v>
                </c:pt>
                <c:pt idx="96">
                  <c:v>159.59516215034591</c:v>
                </c:pt>
                <c:pt idx="97">
                  <c:v>127.02587524658466</c:v>
                </c:pt>
                <c:pt idx="98">
                  <c:v>137.11571154249825</c:v>
                </c:pt>
                <c:pt idx="99">
                  <c:v>214.06156100850322</c:v>
                </c:pt>
                <c:pt idx="100">
                  <c:v>172.16185592283864</c:v>
                </c:pt>
                <c:pt idx="101">
                  <c:v>144.14617702633248</c:v>
                </c:pt>
                <c:pt idx="102">
                  <c:v>23.913576862223014</c:v>
                </c:pt>
                <c:pt idx="103">
                  <c:v>171.67541782836525</c:v>
                </c:pt>
                <c:pt idx="104">
                  <c:v>181.25291571678324</c:v>
                </c:pt>
                <c:pt idx="105">
                  <c:v>182.3452885613795</c:v>
                </c:pt>
                <c:pt idx="106">
                  <c:v>218.74250153033333</c:v>
                </c:pt>
                <c:pt idx="107">
                  <c:v>161.43450244377192</c:v>
                </c:pt>
                <c:pt idx="108">
                  <c:v>36.462394558851386</c:v>
                </c:pt>
                <c:pt idx="109">
                  <c:v>41.352804170622782</c:v>
                </c:pt>
                <c:pt idx="110">
                  <c:v>36.849979039678225</c:v>
                </c:pt>
                <c:pt idx="111">
                  <c:v>112.13179162025855</c:v>
                </c:pt>
                <c:pt idx="112">
                  <c:v>40.850805349507631</c:v>
                </c:pt>
                <c:pt idx="113">
                  <c:v>110.33911214287312</c:v>
                </c:pt>
                <c:pt idx="114">
                  <c:v>186.53109446339479</c:v>
                </c:pt>
                <c:pt idx="115">
                  <c:v>219.19257072965118</c:v>
                </c:pt>
                <c:pt idx="116">
                  <c:v>156.14554960209219</c:v>
                </c:pt>
                <c:pt idx="117">
                  <c:v>90.940812715207059</c:v>
                </c:pt>
                <c:pt idx="118">
                  <c:v>168.05691049923013</c:v>
                </c:pt>
                <c:pt idx="119">
                  <c:v>157.35791820802862</c:v>
                </c:pt>
                <c:pt idx="120">
                  <c:v>187.31288910217089</c:v>
                </c:pt>
                <c:pt idx="121">
                  <c:v>111.1434175818268</c:v>
                </c:pt>
                <c:pt idx="122">
                  <c:v>126.55542246750929</c:v>
                </c:pt>
                <c:pt idx="123">
                  <c:v>74.280982213210336</c:v>
                </c:pt>
                <c:pt idx="124">
                  <c:v>156.489538123194</c:v>
                </c:pt>
                <c:pt idx="125">
                  <c:v>145.58082956236632</c:v>
                </c:pt>
                <c:pt idx="126">
                  <c:v>184.62912277369529</c:v>
                </c:pt>
                <c:pt idx="127">
                  <c:v>201.70700920011157</c:v>
                </c:pt>
                <c:pt idx="128">
                  <c:v>217.49721683891522</c:v>
                </c:pt>
                <c:pt idx="129">
                  <c:v>208.15059585275293</c:v>
                </c:pt>
                <c:pt idx="130">
                  <c:v>224.19841935428641</c:v>
                </c:pt>
                <c:pt idx="131">
                  <c:v>168.39536894092222</c:v>
                </c:pt>
                <c:pt idx="132">
                  <c:v>160.01189677900933</c:v>
                </c:pt>
                <c:pt idx="133">
                  <c:v>197.42189099433358</c:v>
                </c:pt>
                <c:pt idx="134">
                  <c:v>207.7210955612106</c:v>
                </c:pt>
                <c:pt idx="135">
                  <c:v>200.87809303564066</c:v>
                </c:pt>
                <c:pt idx="136">
                  <c:v>218.9891472540919</c:v>
                </c:pt>
                <c:pt idx="137">
                  <c:v>210.32515191312262</c:v>
                </c:pt>
                <c:pt idx="138">
                  <c:v>214.69616220720306</c:v>
                </c:pt>
                <c:pt idx="139">
                  <c:v>192.56646117939661</c:v>
                </c:pt>
                <c:pt idx="140">
                  <c:v>199.52170851196871</c:v>
                </c:pt>
                <c:pt idx="141">
                  <c:v>148.58829204564555</c:v>
                </c:pt>
                <c:pt idx="142">
                  <c:v>70.240569978579714</c:v>
                </c:pt>
                <c:pt idx="143">
                  <c:v>65.600764952818921</c:v>
                </c:pt>
                <c:pt idx="144">
                  <c:v>162.78134166021752</c:v>
                </c:pt>
                <c:pt idx="145">
                  <c:v>104.68331117031082</c:v>
                </c:pt>
                <c:pt idx="146">
                  <c:v>176.24657180351622</c:v>
                </c:pt>
                <c:pt idx="147">
                  <c:v>216.83968801245956</c:v>
                </c:pt>
                <c:pt idx="148">
                  <c:v>236.20846386291737</c:v>
                </c:pt>
                <c:pt idx="149">
                  <c:v>199.1111765101559</c:v>
                </c:pt>
                <c:pt idx="150">
                  <c:v>218.20508484616502</c:v>
                </c:pt>
                <c:pt idx="151">
                  <c:v>227.7993161422896</c:v>
                </c:pt>
                <c:pt idx="152">
                  <c:v>160.22743846825014</c:v>
                </c:pt>
                <c:pt idx="153">
                  <c:v>220.13051211945435</c:v>
                </c:pt>
                <c:pt idx="154">
                  <c:v>95.908846123285315</c:v>
                </c:pt>
                <c:pt idx="155">
                  <c:v>124.26221549751716</c:v>
                </c:pt>
                <c:pt idx="156">
                  <c:v>182.58753528943683</c:v>
                </c:pt>
                <c:pt idx="157">
                  <c:v>113.77474088799561</c:v>
                </c:pt>
                <c:pt idx="158">
                  <c:v>86.683557227337715</c:v>
                </c:pt>
                <c:pt idx="159">
                  <c:v>183.89489708260433</c:v>
                </c:pt>
                <c:pt idx="160">
                  <c:v>232.47817474417019</c:v>
                </c:pt>
                <c:pt idx="161">
                  <c:v>220.8065300625382</c:v>
                </c:pt>
                <c:pt idx="162">
                  <c:v>174.32138031907175</c:v>
                </c:pt>
                <c:pt idx="163">
                  <c:v>214.39618280650572</c:v>
                </c:pt>
                <c:pt idx="164">
                  <c:v>193.57219562238393</c:v>
                </c:pt>
                <c:pt idx="165">
                  <c:v>217.29301530328928</c:v>
                </c:pt>
                <c:pt idx="166">
                  <c:v>205.1362907187067</c:v>
                </c:pt>
                <c:pt idx="167">
                  <c:v>211.53607284430112</c:v>
                </c:pt>
                <c:pt idx="168">
                  <c:v>218.0845277211138</c:v>
                </c:pt>
                <c:pt idx="169">
                  <c:v>222.22697629258892</c:v>
                </c:pt>
                <c:pt idx="170">
                  <c:v>119.67625558492735</c:v>
                </c:pt>
                <c:pt idx="171">
                  <c:v>85.358108178290408</c:v>
                </c:pt>
                <c:pt idx="172">
                  <c:v>168.7257699149032</c:v>
                </c:pt>
                <c:pt idx="173">
                  <c:v>165.08682712960385</c:v>
                </c:pt>
                <c:pt idx="174">
                  <c:v>164.95664412852</c:v>
                </c:pt>
                <c:pt idx="175">
                  <c:v>140.70478919640342</c:v>
                </c:pt>
                <c:pt idx="176">
                  <c:v>46.793299339505673</c:v>
                </c:pt>
                <c:pt idx="177">
                  <c:v>54.668764015235311</c:v>
                </c:pt>
                <c:pt idx="178">
                  <c:v>239.03063256405525</c:v>
                </c:pt>
                <c:pt idx="179">
                  <c:v>226.94031518994035</c:v>
                </c:pt>
                <c:pt idx="180">
                  <c:v>52.989887810381816</c:v>
                </c:pt>
                <c:pt idx="181">
                  <c:v>203.20492489059507</c:v>
                </c:pt>
                <c:pt idx="182">
                  <c:v>224.56822308769623</c:v>
                </c:pt>
                <c:pt idx="183">
                  <c:v>185.99503092947913</c:v>
                </c:pt>
                <c:pt idx="184">
                  <c:v>181.44459815716152</c:v>
                </c:pt>
                <c:pt idx="185">
                  <c:v>218.26163018094428</c:v>
                </c:pt>
                <c:pt idx="186">
                  <c:v>173.26318640784865</c:v>
                </c:pt>
                <c:pt idx="187">
                  <c:v>215.32310607315446</c:v>
                </c:pt>
                <c:pt idx="188">
                  <c:v>228.35205659380688</c:v>
                </c:pt>
                <c:pt idx="189">
                  <c:v>225.96603525463419</c:v>
                </c:pt>
                <c:pt idx="190">
                  <c:v>224.15121232596164</c:v>
                </c:pt>
                <c:pt idx="191">
                  <c:v>218.0825432567776</c:v>
                </c:pt>
                <c:pt idx="192">
                  <c:v>215.52731230293631</c:v>
                </c:pt>
                <c:pt idx="193">
                  <c:v>215.65469693180208</c:v>
                </c:pt>
                <c:pt idx="194">
                  <c:v>213.32632275256833</c:v>
                </c:pt>
                <c:pt idx="195">
                  <c:v>204.6307427057024</c:v>
                </c:pt>
                <c:pt idx="196">
                  <c:v>210.02557411950249</c:v>
                </c:pt>
                <c:pt idx="197">
                  <c:v>209.33829243971957</c:v>
                </c:pt>
                <c:pt idx="198">
                  <c:v>212.78077515834428</c:v>
                </c:pt>
                <c:pt idx="199">
                  <c:v>150.59959922715819</c:v>
                </c:pt>
                <c:pt idx="200">
                  <c:v>154.41739236737621</c:v>
                </c:pt>
                <c:pt idx="201">
                  <c:v>206.28529784827003</c:v>
                </c:pt>
                <c:pt idx="202">
                  <c:v>156.48925036263608</c:v>
                </c:pt>
                <c:pt idx="203">
                  <c:v>180.09895486594536</c:v>
                </c:pt>
                <c:pt idx="204">
                  <c:v>209.0110316564176</c:v>
                </c:pt>
                <c:pt idx="205">
                  <c:v>112.52647369809679</c:v>
                </c:pt>
                <c:pt idx="206">
                  <c:v>200.78450772756065</c:v>
                </c:pt>
                <c:pt idx="207">
                  <c:v>220.34664580947347</c:v>
                </c:pt>
                <c:pt idx="208">
                  <c:v>177.99001718520094</c:v>
                </c:pt>
                <c:pt idx="209">
                  <c:v>108.11752012242108</c:v>
                </c:pt>
                <c:pt idx="210">
                  <c:v>187.14295175313779</c:v>
                </c:pt>
                <c:pt idx="211">
                  <c:v>214.16440135078005</c:v>
                </c:pt>
                <c:pt idx="212">
                  <c:v>213.12722830541273</c:v>
                </c:pt>
                <c:pt idx="213">
                  <c:v>213.18443109256552</c:v>
                </c:pt>
                <c:pt idx="214">
                  <c:v>202.4157086512449</c:v>
                </c:pt>
                <c:pt idx="215">
                  <c:v>192.09484112131867</c:v>
                </c:pt>
                <c:pt idx="216">
                  <c:v>178.73171426869251</c:v>
                </c:pt>
                <c:pt idx="217">
                  <c:v>191.70961662938566</c:v>
                </c:pt>
                <c:pt idx="218">
                  <c:v>204.87490846727823</c:v>
                </c:pt>
                <c:pt idx="219">
                  <c:v>208.47039751922057</c:v>
                </c:pt>
                <c:pt idx="220">
                  <c:v>198.68300961194453</c:v>
                </c:pt>
                <c:pt idx="221">
                  <c:v>193.14230498443266</c:v>
                </c:pt>
                <c:pt idx="222">
                  <c:v>179.25292498464631</c:v>
                </c:pt>
                <c:pt idx="223">
                  <c:v>187.79814284047498</c:v>
                </c:pt>
                <c:pt idx="224">
                  <c:v>130.54369239918802</c:v>
                </c:pt>
                <c:pt idx="225">
                  <c:v>143.18978031441077</c:v>
                </c:pt>
                <c:pt idx="226">
                  <c:v>147.39876457810641</c:v>
                </c:pt>
                <c:pt idx="227">
                  <c:v>132.60273051040926</c:v>
                </c:pt>
                <c:pt idx="228">
                  <c:v>102.12606248244822</c:v>
                </c:pt>
                <c:pt idx="229">
                  <c:v>125.40142375238796</c:v>
                </c:pt>
                <c:pt idx="230">
                  <c:v>135.30289757374632</c:v>
                </c:pt>
                <c:pt idx="231">
                  <c:v>197.64281859769068</c:v>
                </c:pt>
                <c:pt idx="232">
                  <c:v>126.0924817435782</c:v>
                </c:pt>
                <c:pt idx="233">
                  <c:v>99.440441143367039</c:v>
                </c:pt>
                <c:pt idx="234">
                  <c:v>172.58773219711352</c:v>
                </c:pt>
                <c:pt idx="235">
                  <c:v>183.82727515993523</c:v>
                </c:pt>
                <c:pt idx="236">
                  <c:v>128.76575459327893</c:v>
                </c:pt>
                <c:pt idx="237">
                  <c:v>173.86570967492813</c:v>
                </c:pt>
                <c:pt idx="238">
                  <c:v>190.19419645298564</c:v>
                </c:pt>
                <c:pt idx="239">
                  <c:v>187.30747306542855</c:v>
                </c:pt>
                <c:pt idx="240">
                  <c:v>126.08952508071962</c:v>
                </c:pt>
                <c:pt idx="241">
                  <c:v>187.23054052780682</c:v>
                </c:pt>
                <c:pt idx="242">
                  <c:v>83.292796352241837</c:v>
                </c:pt>
                <c:pt idx="243">
                  <c:v>165.66279296789511</c:v>
                </c:pt>
                <c:pt idx="244">
                  <c:v>163.29156964623942</c:v>
                </c:pt>
                <c:pt idx="245">
                  <c:v>127.55266215098675</c:v>
                </c:pt>
                <c:pt idx="246">
                  <c:v>179.6771870360437</c:v>
                </c:pt>
                <c:pt idx="247">
                  <c:v>158.68878321677641</c:v>
                </c:pt>
                <c:pt idx="248">
                  <c:v>177.96172637857597</c:v>
                </c:pt>
                <c:pt idx="249">
                  <c:v>135.2607047828017</c:v>
                </c:pt>
                <c:pt idx="250">
                  <c:v>157.23687928545127</c:v>
                </c:pt>
                <c:pt idx="251">
                  <c:v>84.09738516884525</c:v>
                </c:pt>
                <c:pt idx="252">
                  <c:v>174.94657523888571</c:v>
                </c:pt>
                <c:pt idx="253">
                  <c:v>178.33270996379849</c:v>
                </c:pt>
                <c:pt idx="254">
                  <c:v>123.47580716531517</c:v>
                </c:pt>
                <c:pt idx="255">
                  <c:v>44.451728170368455</c:v>
                </c:pt>
                <c:pt idx="256">
                  <c:v>141.76077778583189</c:v>
                </c:pt>
                <c:pt idx="257">
                  <c:v>158.63030050071873</c:v>
                </c:pt>
                <c:pt idx="258">
                  <c:v>101.2703736244703</c:v>
                </c:pt>
                <c:pt idx="259">
                  <c:v>184.03357027146848</c:v>
                </c:pt>
                <c:pt idx="260">
                  <c:v>177.72694414601344</c:v>
                </c:pt>
                <c:pt idx="261">
                  <c:v>175.3698577560863</c:v>
                </c:pt>
                <c:pt idx="262">
                  <c:v>179.35992785132274</c:v>
                </c:pt>
                <c:pt idx="263">
                  <c:v>174.50650163318593</c:v>
                </c:pt>
                <c:pt idx="264">
                  <c:v>169.50709333598496</c:v>
                </c:pt>
                <c:pt idx="265">
                  <c:v>108.69243954433908</c:v>
                </c:pt>
                <c:pt idx="266">
                  <c:v>73.122281061253858</c:v>
                </c:pt>
                <c:pt idx="267">
                  <c:v>127.0049201325858</c:v>
                </c:pt>
                <c:pt idx="268">
                  <c:v>128.55097623932306</c:v>
                </c:pt>
                <c:pt idx="269">
                  <c:v>59.036935563471459</c:v>
                </c:pt>
                <c:pt idx="270">
                  <c:v>59.216355308423282</c:v>
                </c:pt>
                <c:pt idx="271">
                  <c:v>88.124010525015677</c:v>
                </c:pt>
                <c:pt idx="272">
                  <c:v>126.36324456339453</c:v>
                </c:pt>
                <c:pt idx="273">
                  <c:v>143.23610521015885</c:v>
                </c:pt>
                <c:pt idx="274">
                  <c:v>148.28603865953971</c:v>
                </c:pt>
                <c:pt idx="275">
                  <c:v>139.2825363613378</c:v>
                </c:pt>
                <c:pt idx="276">
                  <c:v>159.37920309098769</c:v>
                </c:pt>
                <c:pt idx="277">
                  <c:v>161.98059334303227</c:v>
                </c:pt>
                <c:pt idx="278">
                  <c:v>54.388687962992897</c:v>
                </c:pt>
                <c:pt idx="279">
                  <c:v>111.76437702215915</c:v>
                </c:pt>
                <c:pt idx="280">
                  <c:v>62.446343190335497</c:v>
                </c:pt>
                <c:pt idx="281">
                  <c:v>147.25310038856054</c:v>
                </c:pt>
                <c:pt idx="282">
                  <c:v>117.81368992955527</c:v>
                </c:pt>
                <c:pt idx="283">
                  <c:v>90.701213553009879</c:v>
                </c:pt>
                <c:pt idx="284">
                  <c:v>113.926340925324</c:v>
                </c:pt>
                <c:pt idx="285">
                  <c:v>88.084497402958462</c:v>
                </c:pt>
                <c:pt idx="286">
                  <c:v>78.503730493932835</c:v>
                </c:pt>
                <c:pt idx="287">
                  <c:v>143.408990496869</c:v>
                </c:pt>
                <c:pt idx="288">
                  <c:v>128.57881895969058</c:v>
                </c:pt>
                <c:pt idx="289">
                  <c:v>82.401129105774729</c:v>
                </c:pt>
                <c:pt idx="290">
                  <c:v>131.5543523908778</c:v>
                </c:pt>
                <c:pt idx="291">
                  <c:v>58.068303153141244</c:v>
                </c:pt>
                <c:pt idx="292">
                  <c:v>36.954542238489957</c:v>
                </c:pt>
                <c:pt idx="293">
                  <c:v>60.217418137560863</c:v>
                </c:pt>
                <c:pt idx="294">
                  <c:v>126.21338268061149</c:v>
                </c:pt>
                <c:pt idx="295">
                  <c:v>76.655898621312829</c:v>
                </c:pt>
                <c:pt idx="296">
                  <c:v>98.603685120282833</c:v>
                </c:pt>
                <c:pt idx="297">
                  <c:v>85.272504461540805</c:v>
                </c:pt>
                <c:pt idx="298">
                  <c:v>56.314930108797597</c:v>
                </c:pt>
                <c:pt idx="299">
                  <c:v>50.542480915182317</c:v>
                </c:pt>
                <c:pt idx="300">
                  <c:v>66.697047141855407</c:v>
                </c:pt>
                <c:pt idx="301">
                  <c:v>96.82632509232657</c:v>
                </c:pt>
                <c:pt idx="302">
                  <c:v>80.949906302027472</c:v>
                </c:pt>
                <c:pt idx="303">
                  <c:v>81.955267891248297</c:v>
                </c:pt>
                <c:pt idx="304">
                  <c:v>81.33380513751662</c:v>
                </c:pt>
                <c:pt idx="305">
                  <c:v>108.02931381756305</c:v>
                </c:pt>
                <c:pt idx="306">
                  <c:v>41.251615114922437</c:v>
                </c:pt>
                <c:pt idx="307">
                  <c:v>48.889082937977264</c:v>
                </c:pt>
                <c:pt idx="308">
                  <c:v>114.9680210200623</c:v>
                </c:pt>
                <c:pt idx="309">
                  <c:v>115.36888777443473</c:v>
                </c:pt>
                <c:pt idx="310">
                  <c:v>111.3890502574709</c:v>
                </c:pt>
                <c:pt idx="311">
                  <c:v>74.559986583364022</c:v>
                </c:pt>
                <c:pt idx="312">
                  <c:v>42.066362849855288</c:v>
                </c:pt>
                <c:pt idx="313">
                  <c:v>87.348374356803177</c:v>
                </c:pt>
                <c:pt idx="314">
                  <c:v>106.28350288986849</c:v>
                </c:pt>
                <c:pt idx="315">
                  <c:v>104.80801847772872</c:v>
                </c:pt>
                <c:pt idx="316">
                  <c:v>103.51069933518279</c:v>
                </c:pt>
                <c:pt idx="317">
                  <c:v>39.498562058914217</c:v>
                </c:pt>
                <c:pt idx="318">
                  <c:v>49.689767957100266</c:v>
                </c:pt>
                <c:pt idx="319">
                  <c:v>103.5891325709465</c:v>
                </c:pt>
                <c:pt idx="320">
                  <c:v>61.518622957290397</c:v>
                </c:pt>
                <c:pt idx="321">
                  <c:v>48.821585587653971</c:v>
                </c:pt>
                <c:pt idx="322">
                  <c:v>23.215556920932961</c:v>
                </c:pt>
                <c:pt idx="323">
                  <c:v>67.88660092634224</c:v>
                </c:pt>
                <c:pt idx="324">
                  <c:v>13.448335708039238</c:v>
                </c:pt>
                <c:pt idx="325">
                  <c:v>32.650731233489935</c:v>
                </c:pt>
                <c:pt idx="326">
                  <c:v>53.848697865910331</c:v>
                </c:pt>
                <c:pt idx="327">
                  <c:v>52.988983844180289</c:v>
                </c:pt>
                <c:pt idx="328">
                  <c:v>17.159150315785155</c:v>
                </c:pt>
                <c:pt idx="329">
                  <c:v>51.653042578668853</c:v>
                </c:pt>
                <c:pt idx="330">
                  <c:v>56.260334280080563</c:v>
                </c:pt>
                <c:pt idx="331">
                  <c:v>36.572353446331427</c:v>
                </c:pt>
                <c:pt idx="332">
                  <c:v>52.10568321739968</c:v>
                </c:pt>
                <c:pt idx="333">
                  <c:v>20.668528673661452</c:v>
                </c:pt>
                <c:pt idx="334">
                  <c:v>15.523940089739636</c:v>
                </c:pt>
                <c:pt idx="335">
                  <c:v>25.033103722020101</c:v>
                </c:pt>
                <c:pt idx="336">
                  <c:v>34.324648098997656</c:v>
                </c:pt>
                <c:pt idx="337">
                  <c:v>73.646873335568031</c:v>
                </c:pt>
                <c:pt idx="338">
                  <c:v>92.425980015378912</c:v>
                </c:pt>
                <c:pt idx="339">
                  <c:v>48.032773043220494</c:v>
                </c:pt>
                <c:pt idx="340">
                  <c:v>74.300822547175457</c:v>
                </c:pt>
                <c:pt idx="341">
                  <c:v>14.060247925330579</c:v>
                </c:pt>
                <c:pt idx="342">
                  <c:v>27.027653985340091</c:v>
                </c:pt>
                <c:pt idx="343">
                  <c:v>65.14739968453209</c:v>
                </c:pt>
                <c:pt idx="344">
                  <c:v>61.327682046207379</c:v>
                </c:pt>
                <c:pt idx="345">
                  <c:v>21.387831350001591</c:v>
                </c:pt>
                <c:pt idx="346">
                  <c:v>22.27694223721851</c:v>
                </c:pt>
                <c:pt idx="347">
                  <c:v>65.378904014128963</c:v>
                </c:pt>
                <c:pt idx="348">
                  <c:v>32.541380988115513</c:v>
                </c:pt>
                <c:pt idx="349">
                  <c:v>19.833575572721749</c:v>
                </c:pt>
                <c:pt idx="350">
                  <c:v>12.305696675553195</c:v>
                </c:pt>
                <c:pt idx="351">
                  <c:v>67.027988376862282</c:v>
                </c:pt>
                <c:pt idx="352">
                  <c:v>64.427727954312743</c:v>
                </c:pt>
                <c:pt idx="353">
                  <c:v>16.843770175668201</c:v>
                </c:pt>
                <c:pt idx="354">
                  <c:v>79.589788550217207</c:v>
                </c:pt>
                <c:pt idx="355">
                  <c:v>66.297494755034236</c:v>
                </c:pt>
                <c:pt idx="356">
                  <c:v>68.002967982097758</c:v>
                </c:pt>
                <c:pt idx="357">
                  <c:v>82.553476409522077</c:v>
                </c:pt>
                <c:pt idx="358">
                  <c:v>46.510507226004279</c:v>
                </c:pt>
                <c:pt idx="359">
                  <c:v>79.469218235596813</c:v>
                </c:pt>
                <c:pt idx="360">
                  <c:v>24.631369375106559</c:v>
                </c:pt>
                <c:pt idx="361">
                  <c:v>64.641517466054495</c:v>
                </c:pt>
                <c:pt idx="362">
                  <c:v>39.9762045883488</c:v>
                </c:pt>
                <c:pt idx="363">
                  <c:v>57.2480671849871</c:v>
                </c:pt>
                <c:pt idx="364">
                  <c:v>45.823317999178073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'2031'!$W$14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'2031'!$W$15:$W$380</c:f>
              <c:numCache>
                <c:formatCode>0.00</c:formatCode>
                <c:ptCount val="366"/>
                <c:pt idx="0">
                  <c:v>92.875329140527739</c:v>
                </c:pt>
                <c:pt idx="1">
                  <c:v>67.912879215612335</c:v>
                </c:pt>
                <c:pt idx="2">
                  <c:v>70.724412156496484</c:v>
                </c:pt>
                <c:pt idx="3">
                  <c:v>75.953788744815867</c:v>
                </c:pt>
                <c:pt idx="4">
                  <c:v>57.110582905592828</c:v>
                </c:pt>
                <c:pt idx="5">
                  <c:v>97.821255889720931</c:v>
                </c:pt>
                <c:pt idx="6">
                  <c:v>37.003808518241783</c:v>
                </c:pt>
                <c:pt idx="7">
                  <c:v>24.774707080650682</c:v>
                </c:pt>
                <c:pt idx="8">
                  <c:v>7.7350052490394052</c:v>
                </c:pt>
                <c:pt idx="9">
                  <c:v>7.1107891346737908</c:v>
                </c:pt>
                <c:pt idx="10">
                  <c:v>95.334549764134948</c:v>
                </c:pt>
                <c:pt idx="11">
                  <c:v>81.737187799427289</c:v>
                </c:pt>
                <c:pt idx="12">
                  <c:v>26.227750022594179</c:v>
                </c:pt>
                <c:pt idx="13">
                  <c:v>104.60021639513828</c:v>
                </c:pt>
                <c:pt idx="14">
                  <c:v>106.20315660860985</c:v>
                </c:pt>
                <c:pt idx="15">
                  <c:v>105.61853131626955</c:v>
                </c:pt>
                <c:pt idx="16">
                  <c:v>82.939674932982157</c:v>
                </c:pt>
                <c:pt idx="17">
                  <c:v>21.723384596209677</c:v>
                </c:pt>
                <c:pt idx="18">
                  <c:v>44.362614759708613</c:v>
                </c:pt>
                <c:pt idx="19">
                  <c:v>22.8635191843988</c:v>
                </c:pt>
                <c:pt idx="20">
                  <c:v>57.398688975770767</c:v>
                </c:pt>
                <c:pt idx="21">
                  <c:v>110.23202507050244</c:v>
                </c:pt>
                <c:pt idx="22">
                  <c:v>112.0433272009704</c:v>
                </c:pt>
                <c:pt idx="23">
                  <c:v>113.42457842900555</c:v>
                </c:pt>
                <c:pt idx="24">
                  <c:v>112.37329832531682</c:v>
                </c:pt>
                <c:pt idx="25">
                  <c:v>114.34859180498766</c:v>
                </c:pt>
                <c:pt idx="26">
                  <c:v>116.20902619335973</c:v>
                </c:pt>
                <c:pt idx="27">
                  <c:v>18.004090039006112</c:v>
                </c:pt>
                <c:pt idx="28">
                  <c:v>28.218209681648087</c:v>
                </c:pt>
                <c:pt idx="29">
                  <c:v>25.423078909109282</c:v>
                </c:pt>
                <c:pt idx="30">
                  <c:v>25.266208305648455</c:v>
                </c:pt>
                <c:pt idx="31">
                  <c:v>55.074692754172403</c:v>
                </c:pt>
                <c:pt idx="32">
                  <c:v>24.56384571229702</c:v>
                </c:pt>
                <c:pt idx="33">
                  <c:v>55.135282194199974</c:v>
                </c:pt>
                <c:pt idx="34">
                  <c:v>50.162346939818299</c:v>
                </c:pt>
                <c:pt idx="35">
                  <c:v>42.049136498475939</c:v>
                </c:pt>
                <c:pt idx="36">
                  <c:v>89.207411131863637</c:v>
                </c:pt>
                <c:pt idx="37">
                  <c:v>40.307645237576921</c:v>
                </c:pt>
                <c:pt idx="38">
                  <c:v>134.87258356893602</c:v>
                </c:pt>
                <c:pt idx="39">
                  <c:v>134.22474865634643</c:v>
                </c:pt>
                <c:pt idx="40">
                  <c:v>126.0659877180744</c:v>
                </c:pt>
                <c:pt idx="41">
                  <c:v>62.877075499733728</c:v>
                </c:pt>
                <c:pt idx="42">
                  <c:v>105.30321973842013</c:v>
                </c:pt>
                <c:pt idx="43">
                  <c:v>128.47552428324195</c:v>
                </c:pt>
                <c:pt idx="44">
                  <c:v>73.254011120853932</c:v>
                </c:pt>
                <c:pt idx="45">
                  <c:v>77.345156746488115</c:v>
                </c:pt>
                <c:pt idx="46">
                  <c:v>29.873445850793257</c:v>
                </c:pt>
                <c:pt idx="47">
                  <c:v>44.009800607925939</c:v>
                </c:pt>
                <c:pt idx="48">
                  <c:v>125.12482177491782</c:v>
                </c:pt>
                <c:pt idx="49">
                  <c:v>71.317892351077759</c:v>
                </c:pt>
                <c:pt idx="50">
                  <c:v>89.726483384883991</c:v>
                </c:pt>
                <c:pt idx="51">
                  <c:v>97.639085888348617</c:v>
                </c:pt>
                <c:pt idx="52">
                  <c:v>130.70882100237594</c:v>
                </c:pt>
                <c:pt idx="53">
                  <c:v>135.06653135710457</c:v>
                </c:pt>
                <c:pt idx="54">
                  <c:v>85.612860159693597</c:v>
                </c:pt>
                <c:pt idx="55">
                  <c:v>121.25980398565474</c:v>
                </c:pt>
                <c:pt idx="56">
                  <c:v>160.90775640791003</c:v>
                </c:pt>
                <c:pt idx="57">
                  <c:v>107.05860481924823</c:v>
                </c:pt>
                <c:pt idx="58">
                  <c:v>145.24061999587275</c:v>
                </c:pt>
                <c:pt idx="59">
                  <c:v>163.17624890127766</c:v>
                </c:pt>
                <c:pt idx="60">
                  <c:v>49.938184177267111</c:v>
                </c:pt>
                <c:pt idx="61">
                  <c:v>150.56098415900956</c:v>
                </c:pt>
                <c:pt idx="62">
                  <c:v>19.2243545609008</c:v>
                </c:pt>
                <c:pt idx="63">
                  <c:v>63.484974965206547</c:v>
                </c:pt>
                <c:pt idx="64">
                  <c:v>89.628396970097825</c:v>
                </c:pt>
                <c:pt idx="65">
                  <c:v>133.15420788913914</c:v>
                </c:pt>
                <c:pt idx="66">
                  <c:v>122.77046080525238</c:v>
                </c:pt>
                <c:pt idx="67">
                  <c:v>132.24967451374761</c:v>
                </c:pt>
                <c:pt idx="68">
                  <c:v>95.062281861042933</c:v>
                </c:pt>
                <c:pt idx="69">
                  <c:v>65.064941702964262</c:v>
                </c:pt>
                <c:pt idx="70">
                  <c:v>60.894015994181125</c:v>
                </c:pt>
                <c:pt idx="71">
                  <c:v>53.778069129209641</c:v>
                </c:pt>
                <c:pt idx="72">
                  <c:v>52.775023426093092</c:v>
                </c:pt>
                <c:pt idx="73">
                  <c:v>56.30565353284215</c:v>
                </c:pt>
                <c:pt idx="74">
                  <c:v>37.422742257858282</c:v>
                </c:pt>
                <c:pt idx="75">
                  <c:v>48.065919997630012</c:v>
                </c:pt>
                <c:pt idx="76">
                  <c:v>50.745671854397273</c:v>
                </c:pt>
                <c:pt idx="77">
                  <c:v>115.32165751821373</c:v>
                </c:pt>
                <c:pt idx="78">
                  <c:v>123.17159576689373</c:v>
                </c:pt>
                <c:pt idx="79">
                  <c:v>177.50864383015153</c:v>
                </c:pt>
                <c:pt idx="80">
                  <c:v>158.04390623862071</c:v>
                </c:pt>
                <c:pt idx="81">
                  <c:v>189.18135009555877</c:v>
                </c:pt>
                <c:pt idx="82">
                  <c:v>187.60425619269174</c:v>
                </c:pt>
                <c:pt idx="83">
                  <c:v>159.83315706706281</c:v>
                </c:pt>
                <c:pt idx="84">
                  <c:v>176.22658999595413</c:v>
                </c:pt>
                <c:pt idx="85">
                  <c:v>178.14319381959524</c:v>
                </c:pt>
                <c:pt idx="86">
                  <c:v>140.46084634176958</c:v>
                </c:pt>
                <c:pt idx="87">
                  <c:v>110.44649046865305</c:v>
                </c:pt>
                <c:pt idx="88">
                  <c:v>29.014078362301241</c:v>
                </c:pt>
                <c:pt idx="89">
                  <c:v>83.946660321868364</c:v>
                </c:pt>
                <c:pt idx="90">
                  <c:v>142.49271299929907</c:v>
                </c:pt>
                <c:pt idx="91">
                  <c:v>69.704228500773311</c:v>
                </c:pt>
                <c:pt idx="92">
                  <c:v>111.89562799902255</c:v>
                </c:pt>
                <c:pt idx="93">
                  <c:v>170.71475307824204</c:v>
                </c:pt>
                <c:pt idx="94">
                  <c:v>209.16764958185783</c:v>
                </c:pt>
                <c:pt idx="95">
                  <c:v>51.931192680114385</c:v>
                </c:pt>
                <c:pt idx="96">
                  <c:v>159.59516215034591</c:v>
                </c:pt>
                <c:pt idx="97">
                  <c:v>127.02587524658466</c:v>
                </c:pt>
                <c:pt idx="98">
                  <c:v>137.11571154249825</c:v>
                </c:pt>
                <c:pt idx="99">
                  <c:v>214.06156100850322</c:v>
                </c:pt>
                <c:pt idx="100">
                  <c:v>172.16185592283864</c:v>
                </c:pt>
                <c:pt idx="101">
                  <c:v>144.14617702633248</c:v>
                </c:pt>
                <c:pt idx="102">
                  <c:v>23.913576862223014</c:v>
                </c:pt>
                <c:pt idx="103">
                  <c:v>171.67541782836525</c:v>
                </c:pt>
                <c:pt idx="104">
                  <c:v>181.25291571678324</c:v>
                </c:pt>
                <c:pt idx="105">
                  <c:v>182.3452885613795</c:v>
                </c:pt>
                <c:pt idx="106">
                  <c:v>218.74250153033333</c:v>
                </c:pt>
                <c:pt idx="107">
                  <c:v>161.43450244377192</c:v>
                </c:pt>
                <c:pt idx="108">
                  <c:v>36.462394558851386</c:v>
                </c:pt>
                <c:pt idx="109">
                  <c:v>41.352804170622782</c:v>
                </c:pt>
                <c:pt idx="110">
                  <c:v>36.849979039678225</c:v>
                </c:pt>
                <c:pt idx="111">
                  <c:v>112.13179162025855</c:v>
                </c:pt>
                <c:pt idx="112">
                  <c:v>40.850805349507631</c:v>
                </c:pt>
                <c:pt idx="113">
                  <c:v>110.33911214287312</c:v>
                </c:pt>
                <c:pt idx="114">
                  <c:v>186.53109446339479</c:v>
                </c:pt>
                <c:pt idx="115">
                  <c:v>219.19257072965118</c:v>
                </c:pt>
                <c:pt idx="116">
                  <c:v>156.14554960209219</c:v>
                </c:pt>
                <c:pt idx="117">
                  <c:v>90.940812715207059</c:v>
                </c:pt>
                <c:pt idx="118">
                  <c:v>168.05691049923013</c:v>
                </c:pt>
                <c:pt idx="119">
                  <c:v>157.35791820802862</c:v>
                </c:pt>
                <c:pt idx="120">
                  <c:v>187.31288910217089</c:v>
                </c:pt>
                <c:pt idx="121">
                  <c:v>111.1434175818268</c:v>
                </c:pt>
                <c:pt idx="122">
                  <c:v>126.55542246750929</c:v>
                </c:pt>
                <c:pt idx="123">
                  <c:v>74.280982213210336</c:v>
                </c:pt>
                <c:pt idx="124">
                  <c:v>156.489538123194</c:v>
                </c:pt>
                <c:pt idx="125">
                  <c:v>145.58082956236632</c:v>
                </c:pt>
                <c:pt idx="126">
                  <c:v>184.62912277369529</c:v>
                </c:pt>
                <c:pt idx="127">
                  <c:v>201.70700920011157</c:v>
                </c:pt>
                <c:pt idx="128">
                  <c:v>217.49721683891522</c:v>
                </c:pt>
                <c:pt idx="129">
                  <c:v>208.15059585275293</c:v>
                </c:pt>
                <c:pt idx="130">
                  <c:v>224.19841935428641</c:v>
                </c:pt>
                <c:pt idx="131">
                  <c:v>168.39536894092222</c:v>
                </c:pt>
                <c:pt idx="132">
                  <c:v>160.01189677900933</c:v>
                </c:pt>
                <c:pt idx="133">
                  <c:v>197.42189099433358</c:v>
                </c:pt>
                <c:pt idx="134">
                  <c:v>207.7210955612106</c:v>
                </c:pt>
                <c:pt idx="135">
                  <c:v>200.87809303564066</c:v>
                </c:pt>
                <c:pt idx="136">
                  <c:v>218.9891472540919</c:v>
                </c:pt>
                <c:pt idx="137">
                  <c:v>210.32515191312262</c:v>
                </c:pt>
                <c:pt idx="138">
                  <c:v>214.69616220720306</c:v>
                </c:pt>
                <c:pt idx="139">
                  <c:v>192.56646117939661</c:v>
                </c:pt>
                <c:pt idx="140">
                  <c:v>199.52170851196871</c:v>
                </c:pt>
                <c:pt idx="141">
                  <c:v>148.58829204564555</c:v>
                </c:pt>
                <c:pt idx="142">
                  <c:v>70.240569978579714</c:v>
                </c:pt>
                <c:pt idx="143">
                  <c:v>65.600764952818921</c:v>
                </c:pt>
                <c:pt idx="144">
                  <c:v>162.78134166021752</c:v>
                </c:pt>
                <c:pt idx="145">
                  <c:v>104.68331117031082</c:v>
                </c:pt>
                <c:pt idx="146">
                  <c:v>176.24657180351622</c:v>
                </c:pt>
                <c:pt idx="147">
                  <c:v>216.83968801245956</c:v>
                </c:pt>
                <c:pt idx="148">
                  <c:v>236.20846386291737</c:v>
                </c:pt>
                <c:pt idx="149">
                  <c:v>199.1111765101559</c:v>
                </c:pt>
                <c:pt idx="150">
                  <c:v>218.20508484616502</c:v>
                </c:pt>
                <c:pt idx="151">
                  <c:v>227.7993161422896</c:v>
                </c:pt>
                <c:pt idx="152">
                  <c:v>160.22743846825014</c:v>
                </c:pt>
                <c:pt idx="153">
                  <c:v>220.13051211945435</c:v>
                </c:pt>
                <c:pt idx="154">
                  <c:v>95.908846123285315</c:v>
                </c:pt>
                <c:pt idx="155">
                  <c:v>124.26221549751716</c:v>
                </c:pt>
                <c:pt idx="156">
                  <c:v>182.58753528943683</c:v>
                </c:pt>
                <c:pt idx="157">
                  <c:v>113.77474088799561</c:v>
                </c:pt>
                <c:pt idx="158">
                  <c:v>86.683557227337715</c:v>
                </c:pt>
                <c:pt idx="159">
                  <c:v>183.89489708260433</c:v>
                </c:pt>
                <c:pt idx="160">
                  <c:v>232.47817474417019</c:v>
                </c:pt>
                <c:pt idx="161">
                  <c:v>220.8065300625382</c:v>
                </c:pt>
                <c:pt idx="162">
                  <c:v>174.32138031907175</c:v>
                </c:pt>
                <c:pt idx="163">
                  <c:v>214.39618280650572</c:v>
                </c:pt>
                <c:pt idx="164">
                  <c:v>193.57219562238393</c:v>
                </c:pt>
                <c:pt idx="165">
                  <c:v>217.29301530328928</c:v>
                </c:pt>
                <c:pt idx="166">
                  <c:v>205.1362907187067</c:v>
                </c:pt>
                <c:pt idx="167">
                  <c:v>211.53607284430112</c:v>
                </c:pt>
                <c:pt idx="168">
                  <c:v>218.0845277211138</c:v>
                </c:pt>
                <c:pt idx="169">
                  <c:v>222.22697629258892</c:v>
                </c:pt>
                <c:pt idx="170">
                  <c:v>119.67625558492735</c:v>
                </c:pt>
                <c:pt idx="171">
                  <c:v>85.358108178290408</c:v>
                </c:pt>
                <c:pt idx="172">
                  <c:v>168.7257699149032</c:v>
                </c:pt>
                <c:pt idx="173">
                  <c:v>165.08682712960385</c:v>
                </c:pt>
                <c:pt idx="174">
                  <c:v>164.95664412852</c:v>
                </c:pt>
                <c:pt idx="175">
                  <c:v>140.70478919640342</c:v>
                </c:pt>
                <c:pt idx="176">
                  <c:v>46.793299339505673</c:v>
                </c:pt>
                <c:pt idx="177">
                  <c:v>54.668764015235311</c:v>
                </c:pt>
                <c:pt idx="178">
                  <c:v>239.03063256405525</c:v>
                </c:pt>
                <c:pt idx="179">
                  <c:v>226.94031518994035</c:v>
                </c:pt>
                <c:pt idx="180">
                  <c:v>52.989887810381816</c:v>
                </c:pt>
                <c:pt idx="181">
                  <c:v>203.20492489059507</c:v>
                </c:pt>
                <c:pt idx="182">
                  <c:v>224.56822308769623</c:v>
                </c:pt>
                <c:pt idx="183">
                  <c:v>185.99503092947913</c:v>
                </c:pt>
                <c:pt idx="184">
                  <c:v>181.44459815716152</c:v>
                </c:pt>
                <c:pt idx="185">
                  <c:v>218.26163018094428</c:v>
                </c:pt>
                <c:pt idx="186">
                  <c:v>173.26318640784865</c:v>
                </c:pt>
                <c:pt idx="187">
                  <c:v>215.32310607315446</c:v>
                </c:pt>
                <c:pt idx="188">
                  <c:v>228.35205659380688</c:v>
                </c:pt>
                <c:pt idx="189">
                  <c:v>225.96603525463419</c:v>
                </c:pt>
                <c:pt idx="190">
                  <c:v>224.15121232596164</c:v>
                </c:pt>
                <c:pt idx="191">
                  <c:v>218.0825432567776</c:v>
                </c:pt>
                <c:pt idx="192">
                  <c:v>215.52731230293631</c:v>
                </c:pt>
                <c:pt idx="193">
                  <c:v>215.65469693180208</c:v>
                </c:pt>
                <c:pt idx="194">
                  <c:v>213.32632275256833</c:v>
                </c:pt>
                <c:pt idx="195">
                  <c:v>204.6307427057024</c:v>
                </c:pt>
                <c:pt idx="196">
                  <c:v>210.02557411950249</c:v>
                </c:pt>
                <c:pt idx="197">
                  <c:v>209.33829243971957</c:v>
                </c:pt>
                <c:pt idx="198">
                  <c:v>212.78077515834428</c:v>
                </c:pt>
                <c:pt idx="199">
                  <c:v>150.59959922715819</c:v>
                </c:pt>
                <c:pt idx="200">
                  <c:v>154.41739236737621</c:v>
                </c:pt>
                <c:pt idx="201">
                  <c:v>206.28529784827003</c:v>
                </c:pt>
                <c:pt idx="202">
                  <c:v>156.48925036263608</c:v>
                </c:pt>
                <c:pt idx="203">
                  <c:v>180.09895486594536</c:v>
                </c:pt>
                <c:pt idx="204">
                  <c:v>209.0110316564176</c:v>
                </c:pt>
                <c:pt idx="205">
                  <c:v>112.52647369809679</c:v>
                </c:pt>
                <c:pt idx="206">
                  <c:v>200.78450772756065</c:v>
                </c:pt>
                <c:pt idx="207">
                  <c:v>220.34664580947347</c:v>
                </c:pt>
                <c:pt idx="208">
                  <c:v>177.99001718520094</c:v>
                </c:pt>
                <c:pt idx="209">
                  <c:v>108.11752012242108</c:v>
                </c:pt>
                <c:pt idx="210">
                  <c:v>187.14295175313779</c:v>
                </c:pt>
                <c:pt idx="211">
                  <c:v>214.16440135078005</c:v>
                </c:pt>
                <c:pt idx="212">
                  <c:v>213.12722830541273</c:v>
                </c:pt>
                <c:pt idx="213">
                  <c:v>213.18443109256552</c:v>
                </c:pt>
                <c:pt idx="214">
                  <c:v>202.4157086512449</c:v>
                </c:pt>
                <c:pt idx="215">
                  <c:v>192.09484112131867</c:v>
                </c:pt>
                <c:pt idx="216">
                  <c:v>178.73171426869251</c:v>
                </c:pt>
                <c:pt idx="217">
                  <c:v>191.70961662938566</c:v>
                </c:pt>
                <c:pt idx="218">
                  <c:v>204.87490846727823</c:v>
                </c:pt>
                <c:pt idx="219">
                  <c:v>208.47039751922057</c:v>
                </c:pt>
                <c:pt idx="220">
                  <c:v>198.68300961194453</c:v>
                </c:pt>
                <c:pt idx="221">
                  <c:v>193.14230498443266</c:v>
                </c:pt>
                <c:pt idx="222">
                  <c:v>179.25292498464631</c:v>
                </c:pt>
                <c:pt idx="223">
                  <c:v>187.79814284047498</c:v>
                </c:pt>
                <c:pt idx="224">
                  <c:v>130.54369239918802</c:v>
                </c:pt>
                <c:pt idx="225">
                  <c:v>143.18978031441077</c:v>
                </c:pt>
                <c:pt idx="226">
                  <c:v>147.39876457810641</c:v>
                </c:pt>
                <c:pt idx="227">
                  <c:v>132.60273051040926</c:v>
                </c:pt>
                <c:pt idx="228">
                  <c:v>102.12606248244822</c:v>
                </c:pt>
                <c:pt idx="229">
                  <c:v>125.40142375238796</c:v>
                </c:pt>
                <c:pt idx="230">
                  <c:v>135.30289757374632</c:v>
                </c:pt>
                <c:pt idx="231">
                  <c:v>197.64281859769068</c:v>
                </c:pt>
                <c:pt idx="232">
                  <c:v>126.0924817435782</c:v>
                </c:pt>
                <c:pt idx="233">
                  <c:v>99.440441143367039</c:v>
                </c:pt>
                <c:pt idx="234">
                  <c:v>172.58773219711352</c:v>
                </c:pt>
                <c:pt idx="235">
                  <c:v>183.82727515993523</c:v>
                </c:pt>
                <c:pt idx="236">
                  <c:v>128.76575459327893</c:v>
                </c:pt>
                <c:pt idx="237">
                  <c:v>173.86570967492813</c:v>
                </c:pt>
                <c:pt idx="238">
                  <c:v>190.19419645298564</c:v>
                </c:pt>
                <c:pt idx="239">
                  <c:v>187.30747306542855</c:v>
                </c:pt>
                <c:pt idx="240">
                  <c:v>126.08952508071962</c:v>
                </c:pt>
                <c:pt idx="241">
                  <c:v>187.23054052780682</c:v>
                </c:pt>
                <c:pt idx="242">
                  <c:v>83.292796352241837</c:v>
                </c:pt>
                <c:pt idx="243">
                  <c:v>165.66279296789511</c:v>
                </c:pt>
                <c:pt idx="244">
                  <c:v>163.29156964623942</c:v>
                </c:pt>
                <c:pt idx="245">
                  <c:v>127.55266215098675</c:v>
                </c:pt>
                <c:pt idx="246">
                  <c:v>179.6771870360437</c:v>
                </c:pt>
                <c:pt idx="247">
                  <c:v>158.68878321677641</c:v>
                </c:pt>
                <c:pt idx="248">
                  <c:v>177.96172637857597</c:v>
                </c:pt>
                <c:pt idx="249">
                  <c:v>135.2607047828017</c:v>
                </c:pt>
                <c:pt idx="250">
                  <c:v>157.23687928545127</c:v>
                </c:pt>
                <c:pt idx="251">
                  <c:v>84.09738516884525</c:v>
                </c:pt>
                <c:pt idx="252">
                  <c:v>174.94657523888571</c:v>
                </c:pt>
                <c:pt idx="253">
                  <c:v>178.33270996379849</c:v>
                </c:pt>
                <c:pt idx="254">
                  <c:v>123.47580716531517</c:v>
                </c:pt>
                <c:pt idx="255">
                  <c:v>44.451728170368455</c:v>
                </c:pt>
                <c:pt idx="256">
                  <c:v>141.76077778583189</c:v>
                </c:pt>
                <c:pt idx="257">
                  <c:v>158.63030050071873</c:v>
                </c:pt>
                <c:pt idx="258">
                  <c:v>101.2703736244703</c:v>
                </c:pt>
                <c:pt idx="259">
                  <c:v>184.03357027146848</c:v>
                </c:pt>
                <c:pt idx="260">
                  <c:v>177.72694414601344</c:v>
                </c:pt>
                <c:pt idx="261">
                  <c:v>175.3698577560863</c:v>
                </c:pt>
                <c:pt idx="262">
                  <c:v>179.35992785132274</c:v>
                </c:pt>
                <c:pt idx="263">
                  <c:v>174.50650163318593</c:v>
                </c:pt>
                <c:pt idx="264">
                  <c:v>169.50709333598496</c:v>
                </c:pt>
                <c:pt idx="265">
                  <c:v>108.69243954433908</c:v>
                </c:pt>
                <c:pt idx="266">
                  <c:v>73.122281061253858</c:v>
                </c:pt>
                <c:pt idx="267">
                  <c:v>127.0049201325858</c:v>
                </c:pt>
                <c:pt idx="268">
                  <c:v>128.55097623932306</c:v>
                </c:pt>
                <c:pt idx="269">
                  <c:v>59.036935563471459</c:v>
                </c:pt>
                <c:pt idx="270">
                  <c:v>59.216355308423282</c:v>
                </c:pt>
                <c:pt idx="271">
                  <c:v>88.124010525015677</c:v>
                </c:pt>
                <c:pt idx="272">
                  <c:v>126.36324456339453</c:v>
                </c:pt>
                <c:pt idx="273">
                  <c:v>143.23610521015885</c:v>
                </c:pt>
                <c:pt idx="274">
                  <c:v>148.28603865953971</c:v>
                </c:pt>
                <c:pt idx="275">
                  <c:v>139.2825363613378</c:v>
                </c:pt>
                <c:pt idx="276">
                  <c:v>159.37920309098769</c:v>
                </c:pt>
                <c:pt idx="277">
                  <c:v>161.98059334303227</c:v>
                </c:pt>
                <c:pt idx="278">
                  <c:v>54.388687962992897</c:v>
                </c:pt>
                <c:pt idx="279">
                  <c:v>111.76437702215915</c:v>
                </c:pt>
                <c:pt idx="280">
                  <c:v>62.446343190335497</c:v>
                </c:pt>
                <c:pt idx="281">
                  <c:v>147.25310038856054</c:v>
                </c:pt>
                <c:pt idx="282">
                  <c:v>117.81368992955527</c:v>
                </c:pt>
                <c:pt idx="283">
                  <c:v>90.701213553009879</c:v>
                </c:pt>
                <c:pt idx="284">
                  <c:v>113.926340925324</c:v>
                </c:pt>
                <c:pt idx="285">
                  <c:v>88.084497402958462</c:v>
                </c:pt>
                <c:pt idx="286">
                  <c:v>78.503730493932835</c:v>
                </c:pt>
                <c:pt idx="287">
                  <c:v>143.408990496869</c:v>
                </c:pt>
                <c:pt idx="288">
                  <c:v>128.57881895969058</c:v>
                </c:pt>
                <c:pt idx="289">
                  <c:v>82.401129105774729</c:v>
                </c:pt>
                <c:pt idx="290">
                  <c:v>131.5543523908778</c:v>
                </c:pt>
                <c:pt idx="291">
                  <c:v>58.068303153141244</c:v>
                </c:pt>
                <c:pt idx="292">
                  <c:v>36.954542238489957</c:v>
                </c:pt>
                <c:pt idx="293">
                  <c:v>60.217418137560863</c:v>
                </c:pt>
                <c:pt idx="294">
                  <c:v>126.21338268061149</c:v>
                </c:pt>
                <c:pt idx="295">
                  <c:v>76.655898621312829</c:v>
                </c:pt>
                <c:pt idx="296">
                  <c:v>98.603685120282833</c:v>
                </c:pt>
                <c:pt idx="297">
                  <c:v>85.272504461540805</c:v>
                </c:pt>
                <c:pt idx="298">
                  <c:v>56.314930108797597</c:v>
                </c:pt>
                <c:pt idx="299">
                  <c:v>50.542480915182317</c:v>
                </c:pt>
                <c:pt idx="300">
                  <c:v>66.697047141855407</c:v>
                </c:pt>
                <c:pt idx="301">
                  <c:v>96.82632509232657</c:v>
                </c:pt>
                <c:pt idx="302">
                  <c:v>80.949906302027472</c:v>
                </c:pt>
                <c:pt idx="303">
                  <c:v>81.955267891248297</c:v>
                </c:pt>
                <c:pt idx="304">
                  <c:v>81.33380513751662</c:v>
                </c:pt>
                <c:pt idx="305">
                  <c:v>108.02931381756305</c:v>
                </c:pt>
                <c:pt idx="306">
                  <c:v>41.251615114922437</c:v>
                </c:pt>
                <c:pt idx="307">
                  <c:v>48.889082937977264</c:v>
                </c:pt>
                <c:pt idx="308">
                  <c:v>114.9680210200623</c:v>
                </c:pt>
                <c:pt idx="309">
                  <c:v>115.36888777443473</c:v>
                </c:pt>
                <c:pt idx="310">
                  <c:v>111.3890502574709</c:v>
                </c:pt>
                <c:pt idx="311">
                  <c:v>74.559986583364022</c:v>
                </c:pt>
                <c:pt idx="312">
                  <c:v>42.066362849855288</c:v>
                </c:pt>
                <c:pt idx="313">
                  <c:v>87.348374356803177</c:v>
                </c:pt>
                <c:pt idx="314">
                  <c:v>106.28350288986849</c:v>
                </c:pt>
                <c:pt idx="315">
                  <c:v>104.80801847772872</c:v>
                </c:pt>
                <c:pt idx="316">
                  <c:v>103.51069933518279</c:v>
                </c:pt>
                <c:pt idx="317">
                  <c:v>39.498562058914217</c:v>
                </c:pt>
                <c:pt idx="318">
                  <c:v>49.689767957100266</c:v>
                </c:pt>
                <c:pt idx="319">
                  <c:v>103.5891325709465</c:v>
                </c:pt>
                <c:pt idx="320">
                  <c:v>61.518622957290397</c:v>
                </c:pt>
                <c:pt idx="321">
                  <c:v>48.821585587653971</c:v>
                </c:pt>
                <c:pt idx="322">
                  <c:v>23.215556920932961</c:v>
                </c:pt>
                <c:pt idx="323">
                  <c:v>67.88660092634224</c:v>
                </c:pt>
                <c:pt idx="324">
                  <c:v>13.448335708039238</c:v>
                </c:pt>
                <c:pt idx="325">
                  <c:v>32.650731233489935</c:v>
                </c:pt>
                <c:pt idx="326">
                  <c:v>53.848697865910331</c:v>
                </c:pt>
                <c:pt idx="327">
                  <c:v>52.988983844180289</c:v>
                </c:pt>
                <c:pt idx="328">
                  <c:v>17.159150315785155</c:v>
                </c:pt>
                <c:pt idx="329">
                  <c:v>51.653042578668853</c:v>
                </c:pt>
                <c:pt idx="330">
                  <c:v>56.260334280080563</c:v>
                </c:pt>
                <c:pt idx="331">
                  <c:v>36.572353446331427</c:v>
                </c:pt>
                <c:pt idx="332">
                  <c:v>52.10568321739968</c:v>
                </c:pt>
                <c:pt idx="333">
                  <c:v>20.668528673661452</c:v>
                </c:pt>
                <c:pt idx="334">
                  <c:v>15.523940089739636</c:v>
                </c:pt>
                <c:pt idx="335">
                  <c:v>25.033103722020101</c:v>
                </c:pt>
                <c:pt idx="336">
                  <c:v>34.324648098997656</c:v>
                </c:pt>
                <c:pt idx="337">
                  <c:v>73.646873335568031</c:v>
                </c:pt>
                <c:pt idx="338">
                  <c:v>92.425980015378912</c:v>
                </c:pt>
                <c:pt idx="339">
                  <c:v>48.032773043220494</c:v>
                </c:pt>
                <c:pt idx="340">
                  <c:v>74.300822547175457</c:v>
                </c:pt>
                <c:pt idx="341">
                  <c:v>14.060247925330579</c:v>
                </c:pt>
                <c:pt idx="342">
                  <c:v>27.027653985340091</c:v>
                </c:pt>
                <c:pt idx="343">
                  <c:v>65.14739968453209</c:v>
                </c:pt>
                <c:pt idx="344">
                  <c:v>61.327682046207379</c:v>
                </c:pt>
                <c:pt idx="345">
                  <c:v>21.387831350001591</c:v>
                </c:pt>
                <c:pt idx="346">
                  <c:v>22.27694223721851</c:v>
                </c:pt>
                <c:pt idx="347">
                  <c:v>65.378904014128963</c:v>
                </c:pt>
                <c:pt idx="348">
                  <c:v>32.541380988115513</c:v>
                </c:pt>
                <c:pt idx="349">
                  <c:v>19.833575572721749</c:v>
                </c:pt>
                <c:pt idx="350">
                  <c:v>12.305696675553195</c:v>
                </c:pt>
                <c:pt idx="351">
                  <c:v>67.027988376862282</c:v>
                </c:pt>
                <c:pt idx="352">
                  <c:v>64.427727954312743</c:v>
                </c:pt>
                <c:pt idx="353">
                  <c:v>16.843770175668201</c:v>
                </c:pt>
                <c:pt idx="354">
                  <c:v>79.589788550217207</c:v>
                </c:pt>
                <c:pt idx="355">
                  <c:v>66.297494755034236</c:v>
                </c:pt>
                <c:pt idx="356">
                  <c:v>68.002967982097758</c:v>
                </c:pt>
                <c:pt idx="357">
                  <c:v>82.553476409522077</c:v>
                </c:pt>
                <c:pt idx="358">
                  <c:v>46.510507226004279</c:v>
                </c:pt>
                <c:pt idx="359">
                  <c:v>79.469218235596813</c:v>
                </c:pt>
                <c:pt idx="360">
                  <c:v>24.631369375106559</c:v>
                </c:pt>
                <c:pt idx="361">
                  <c:v>64.641517466054495</c:v>
                </c:pt>
                <c:pt idx="362">
                  <c:v>39.9762045883488</c:v>
                </c:pt>
                <c:pt idx="363">
                  <c:v>57.2480671849871</c:v>
                </c:pt>
                <c:pt idx="364">
                  <c:v>45.823317999178073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613488"/>
        <c:axId val="665613880"/>
      </c:lineChart>
      <c:dateAx>
        <c:axId val="665613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13880"/>
        <c:crosses val="autoZero"/>
        <c:auto val="1"/>
        <c:lblOffset val="100"/>
        <c:baseTimeUnit val="days"/>
        <c:majorUnit val="1"/>
        <c:majorTimeUnit val="months"/>
      </c:dateAx>
      <c:valAx>
        <c:axId val="665613880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1348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Hangar Goussaud Espanès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Masques!$N$5</c:f>
              <c:numCache>
                <c:formatCode>0.0\°</c:formatCode>
                <c:ptCount val="1"/>
                <c:pt idx="0">
                  <c:v>32</c:v>
                </c:pt>
              </c:numCache>
            </c:numRef>
          </c:xVal>
          <c:yVal>
            <c:numRef>
              <c:f>Masques!$O$5</c:f>
              <c:numCache>
                <c:formatCode>0.0\°</c:formatCode>
                <c:ptCount val="1"/>
                <c:pt idx="0">
                  <c:v>75.963756532073518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4.6692150486632604</c:v>
                </c:pt>
                <c:pt idx="2">
                  <c:v>4.5012713351493323</c:v>
                </c:pt>
                <c:pt idx="3">
                  <c:v>2.6693744229124139</c:v>
                </c:pt>
                <c:pt idx="4">
                  <c:v>4.3015453710935949</c:v>
                </c:pt>
                <c:pt idx="5">
                  <c:v>17.207994787133728</c:v>
                </c:pt>
                <c:pt idx="6">
                  <c:v>18.308075961905178</c:v>
                </c:pt>
                <c:pt idx="7">
                  <c:v>16.188733750115894</c:v>
                </c:pt>
                <c:pt idx="8">
                  <c:v>15.262795604321614</c:v>
                </c:pt>
                <c:pt idx="9">
                  <c:v>16.689064283663136</c:v>
                </c:pt>
                <c:pt idx="10">
                  <c:v>7.096911716470764</c:v>
                </c:pt>
                <c:pt idx="11">
                  <c:v>12.967287041403557</c:v>
                </c:pt>
                <c:pt idx="12">
                  <c:v>12.390166570935284</c:v>
                </c:pt>
                <c:pt idx="13">
                  <c:v>9.3435807212241659</c:v>
                </c:pt>
                <c:pt idx="14">
                  <c:v>5.5419575815479565</c:v>
                </c:pt>
                <c:pt idx="15">
                  <c:v>8.4396742864815781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4.2840911467537177</c:v>
                </c:pt>
                <c:pt idx="2">
                  <c:v>4.1464054587167745</c:v>
                </c:pt>
                <c:pt idx="3">
                  <c:v>2.3012207588277387</c:v>
                </c:pt>
                <c:pt idx="4">
                  <c:v>3.7083384899004614</c:v>
                </c:pt>
                <c:pt idx="5">
                  <c:v>16.514951356201873</c:v>
                </c:pt>
                <c:pt idx="6">
                  <c:v>17.559051122592248</c:v>
                </c:pt>
                <c:pt idx="7">
                  <c:v>15.386665145929452</c:v>
                </c:pt>
                <c:pt idx="8">
                  <c:v>14.675025584494763</c:v>
                </c:pt>
                <c:pt idx="9">
                  <c:v>16.093698667158328</c:v>
                </c:pt>
                <c:pt idx="10">
                  <c:v>6.5995997789089591</c:v>
                </c:pt>
                <c:pt idx="11">
                  <c:v>12.438949001653604</c:v>
                </c:pt>
                <c:pt idx="12">
                  <c:v>11.857005740114619</c:v>
                </c:pt>
                <c:pt idx="13">
                  <c:v>8.7853692688243559</c:v>
                </c:pt>
                <c:pt idx="14">
                  <c:v>4.9974678391050409</c:v>
                </c:pt>
                <c:pt idx="15">
                  <c:v>7.9288605666239276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3.8985790177775774</c:v>
                </c:pt>
                <c:pt idx="2">
                  <c:v>3.7912206278247305</c:v>
                </c:pt>
                <c:pt idx="3">
                  <c:v>1.9328768760312105</c:v>
                </c:pt>
                <c:pt idx="4">
                  <c:v>3.1143344383042804</c:v>
                </c:pt>
                <c:pt idx="5">
                  <c:v>15.816901197859012</c:v>
                </c:pt>
                <c:pt idx="6">
                  <c:v>16.80377796084683</c:v>
                </c:pt>
                <c:pt idx="7">
                  <c:v>14.578369209555044</c:v>
                </c:pt>
                <c:pt idx="8">
                  <c:v>14.084080535830546</c:v>
                </c:pt>
                <c:pt idx="9">
                  <c:v>15.494741840200962</c:v>
                </c:pt>
                <c:pt idx="10">
                  <c:v>6.1012870376128872</c:v>
                </c:pt>
                <c:pt idx="11">
                  <c:v>11.908452972650165</c:v>
                </c:pt>
                <c:pt idx="12">
                  <c:v>11.321753561691404</c:v>
                </c:pt>
                <c:pt idx="13">
                  <c:v>8.2254718046518693</c:v>
                </c:pt>
                <c:pt idx="14">
                  <c:v>4.4520716824443722</c:v>
                </c:pt>
                <c:pt idx="15">
                  <c:v>7.4167751790021796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3.5127130299830411</c:v>
                </c:pt>
                <c:pt idx="2">
                  <c:v>3.4357437460815436</c:v>
                </c:pt>
                <c:pt idx="3">
                  <c:v>1.5643730951949784</c:v>
                </c:pt>
                <c:pt idx="4">
                  <c:v>2.5196595274318998</c:v>
                </c:pt>
                <c:pt idx="5">
                  <c:v>15.113999288730515</c:v>
                </c:pt>
                <c:pt idx="6">
                  <c:v>16.042443668339423</c:v>
                </c:pt>
                <c:pt idx="7">
                  <c:v>13.764098517816151</c:v>
                </c:pt>
                <c:pt idx="8">
                  <c:v>13.490061386582317</c:v>
                </c:pt>
                <c:pt idx="9">
                  <c:v>14.892293284871336</c:v>
                </c:pt>
                <c:pt idx="10">
                  <c:v>5.6020460711129143</c:v>
                </c:pt>
                <c:pt idx="11">
                  <c:v>11.375877206052342</c:v>
                </c:pt>
                <c:pt idx="12">
                  <c:v>10.784491666471492</c:v>
                </c:pt>
                <c:pt idx="13">
                  <c:v>7.6639880767847108</c:v>
                </c:pt>
                <c:pt idx="14">
                  <c:v>3.9058659129310791</c:v>
                </c:pt>
                <c:pt idx="15">
                  <c:v>6.9034954732595359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3.1265277431118879</c:v>
                </c:pt>
                <c:pt idx="2">
                  <c:v>3.0800018512774776</c:v>
                </c:pt>
                <c:pt idx="3">
                  <c:v>1.1957398162267225</c:v>
                </c:pt>
                <c:pt idx="4">
                  <c:v>1.924440931775218</c:v>
                </c:pt>
                <c:pt idx="5">
                  <c:v>14.406408606014732</c:v>
                </c:pt>
                <c:pt idx="6">
                  <c:v>15.275247010023811</c:v>
                </c:pt>
                <c:pt idx="7">
                  <c:v>12.944119042711465</c:v>
                </c:pt>
                <c:pt idx="8">
                  <c:v>12.893072760235553</c:v>
                </c:pt>
                <c:pt idx="9">
                  <c:v>14.286456733755912</c:v>
                </c:pt>
                <c:pt idx="10">
                  <c:v>5.1019502922058111</c:v>
                </c:pt>
                <c:pt idx="11">
                  <c:v>10.841302005356241</c:v>
                </c:pt>
                <c:pt idx="12">
                  <c:v>10.24530371264502</c:v>
                </c:pt>
                <c:pt idx="13">
                  <c:v>7.1010196175503628</c:v>
                </c:pt>
                <c:pt idx="14">
                  <c:v>3.3589482079460371</c:v>
                </c:pt>
                <c:pt idx="15">
                  <c:v>6.3890999268076039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2.7400578901511294</c:v>
                </c:pt>
                <c:pt idx="2">
                  <c:v>2.724022103249554</c:v>
                </c:pt>
                <c:pt idx="3">
                  <c:v>1</c:v>
                </c:pt>
                <c:pt idx="4">
                  <c:v>1.3288065276728847</c:v>
                </c:pt>
                <c:pt idx="5">
                  <c:v>13.694300026549888</c:v>
                </c:pt>
                <c:pt idx="6">
                  <c:v>14.502398227586665</c:v>
                </c:pt>
                <c:pt idx="7">
                  <c:v>12.118709846128292</c:v>
                </c:pt>
                <c:pt idx="8">
                  <c:v>12.293222906976482</c:v>
                </c:pt>
                <c:pt idx="9">
                  <c:v>13.6773401187122</c:v>
                </c:pt>
                <c:pt idx="10">
                  <c:v>4.6010738861280913</c:v>
                </c:pt>
                <c:pt idx="11">
                  <c:v>10.304809670132661</c:v>
                </c:pt>
                <c:pt idx="12">
                  <c:v>9.7042753234244703</c:v>
                </c:pt>
                <c:pt idx="13">
                  <c:v>6.5366696432563485</c:v>
                </c:pt>
                <c:pt idx="14">
                  <c:v>2.8114170184331484</c:v>
                </c:pt>
                <c:pt idx="15">
                  <c:v>5.8736680779337398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2.3533383588509182</c:v>
                </c:pt>
                <c:pt idx="2">
                  <c:v>2.3678317716065744</c:v>
                </c:pt>
                <c:pt idx="3">
                  <c:v>1</c:v>
                </c:pt>
                <c:pt idx="4">
                  <c:v>1</c:v>
                </c:pt>
                <c:pt idx="5">
                  <c:v>12.97785219638374</c:v>
                </c:pt>
                <c:pt idx="6">
                  <c:v>13.724118894102979</c:v>
                </c:pt>
                <c:pt idx="7">
                  <c:v>11.288162706355138</c:v>
                </c:pt>
                <c:pt idx="8">
                  <c:v>11.690623625047232</c:v>
                </c:pt>
                <c:pt idx="9">
                  <c:v>13.065055508045601</c:v>
                </c:pt>
                <c:pt idx="10">
                  <c:v>4.0994917470077938</c:v>
                </c:pt>
                <c:pt idx="11">
                  <c:v>9.7664844355765901</c:v>
                </c:pt>
                <c:pt idx="12">
                  <c:v>9.1614940199335013</c:v>
                </c:pt>
                <c:pt idx="13">
                  <c:v>5.9710429492674271</c:v>
                </c:pt>
                <c:pt idx="14">
                  <c:v>2.2633714643594147</c:v>
                </c:pt>
                <c:pt idx="15">
                  <c:v>5.3572804564385255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1.9664041730329158</c:v>
                </c:pt>
                <c:pt idx="2">
                  <c:v>2.0114582233280163</c:v>
                </c:pt>
                <c:pt idx="3">
                  <c:v>1</c:v>
                </c:pt>
                <c:pt idx="4">
                  <c:v>1</c:v>
                </c:pt>
                <c:pt idx="5">
                  <c:v>12.257251370323257</c:v>
                </c:pt>
                <c:pt idx="6">
                  <c:v>12.940641718514401</c:v>
                </c:pt>
                <c:pt idx="7">
                  <c:v>10.452781676030888</c:v>
                </c:pt>
                <c:pt idx="8">
                  <c:v>11.085390171960917</c:v>
                </c:pt>
                <c:pt idx="9">
                  <c:v>12.449719031938134</c:v>
                </c:pt>
                <c:pt idx="10">
                  <c:v>3.5972794127248409</c:v>
                </c:pt>
                <c:pt idx="11">
                  <c:v>9.2264124074299332</c:v>
                </c:pt>
                <c:pt idx="12">
                  <c:v>8.617049149432221</c:v>
                </c:pt>
                <c:pt idx="13">
                  <c:v>5.4042458006689653</c:v>
                </c:pt>
                <c:pt idx="14">
                  <c:v>1.714911228360283</c:v>
                </c:pt>
                <c:pt idx="15">
                  <c:v>4.8400185119431134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1.5792904737138835</c:v>
                </c:pt>
                <c:pt idx="2">
                  <c:v>1.6549289102507294</c:v>
                </c:pt>
                <c:pt idx="3">
                  <c:v>1</c:v>
                </c:pt>
                <c:pt idx="4">
                  <c:v>1</c:v>
                </c:pt>
                <c:pt idx="5">
                  <c:v>11.532691221128255</c:v>
                </c:pt>
                <c:pt idx="6">
                  <c:v>12.152210298893703</c:v>
                </c:pt>
                <c:pt idx="7">
                  <c:v>9.6128825717889317</c:v>
                </c:pt>
                <c:pt idx="8">
                  <c:v>10.477641165598921</c:v>
                </c:pt>
                <c:pt idx="9">
                  <c:v>11.831450796022789</c:v>
                </c:pt>
                <c:pt idx="10">
                  <c:v>3.0945129983167421</c:v>
                </c:pt>
                <c:pt idx="11">
                  <c:v>8.6846814923583988</c:v>
                </c:pt>
                <c:pt idx="12">
                  <c:v>8.0710318089848716</c:v>
                </c:pt>
                <c:pt idx="13">
                  <c:v>4.8363858187784352</c:v>
                </c:pt>
                <c:pt idx="14">
                  <c:v>1.1661364478518792</c:v>
                </c:pt>
                <c:pt idx="15">
                  <c:v>4.3219645400162596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1.1920325000697056</c:v>
                </c:pt>
                <c:pt idx="2">
                  <c:v>1.2982713564576216</c:v>
                </c:pt>
                <c:pt idx="3">
                  <c:v>1</c:v>
                </c:pt>
                <c:pt idx="4">
                  <c:v>1</c:v>
                </c:pt>
                <c:pt idx="5">
                  <c:v>10.80437261821238</c:v>
                </c:pt>
                <c:pt idx="6">
                  <c:v>11.359078823836438</c:v>
                </c:pt>
                <c:pt idx="7">
                  <c:v>8.7687923965047769</c:v>
                </c:pt>
                <c:pt idx="8">
                  <c:v>9.8674984752630497</c:v>
                </c:pt>
                <c:pt idx="9">
                  <c:v>11.210374783054332</c:v>
                </c:pt>
                <c:pt idx="10">
                  <c:v>2.5912691280724771</c:v>
                </c:pt>
                <c:pt idx="11">
                  <c:v>8.1413813238828716</c:v>
                </c:pt>
                <c:pt idx="12">
                  <c:v>7.523534764696107</c:v>
                </c:pt>
                <c:pt idx="13">
                  <c:v>4.2675718637885209</c:v>
                </c:pt>
                <c:pt idx="14">
                  <c:v>1</c:v>
                </c:pt>
                <c:pt idx="15">
                  <c:v>3.803201606280314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10.072503375925281</c:v>
                </c:pt>
                <c:pt idx="6">
                  <c:v>10.561511721727511</c:v>
                </c:pt>
                <c:pt idx="7">
                  <c:v>7.9208486957265656</c:v>
                </c:pt>
                <c:pt idx="8">
                  <c:v>9.2550871028070212</c:v>
                </c:pt>
                <c:pt idx="9">
                  <c:v>10.58661874268704</c:v>
                </c:pt>
                <c:pt idx="10">
                  <c:v>2.0876248664628982</c:v>
                </c:pt>
                <c:pt idx="11">
                  <c:v>7.5966031839851995</c:v>
                </c:pt>
                <c:pt idx="12">
                  <c:v>6.9746523666621609</c:v>
                </c:pt>
                <c:pt idx="13">
                  <c:v>3.697913913845559</c:v>
                </c:pt>
                <c:pt idx="14">
                  <c:v>1</c:v>
                </c:pt>
                <c:pt idx="15">
                  <c:v>3.2838134686643761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-148</c:v>
                </c:pt>
                <c:pt idx="1">
                  <c:v>212</c:v>
                </c:pt>
                <c:pt idx="2">
                  <c:v>213</c:v>
                </c:pt>
                <c:pt idx="3">
                  <c:v>213</c:v>
                </c:pt>
                <c:pt idx="4">
                  <c:v>213</c:v>
                </c:pt>
                <c:pt idx="5">
                  <c:v>213</c:v>
                </c:pt>
                <c:pt idx="6">
                  <c:v>213</c:v>
                </c:pt>
                <c:pt idx="7">
                  <c:v>213</c:v>
                </c:pt>
                <c:pt idx="8">
                  <c:v>213</c:v>
                </c:pt>
                <c:pt idx="9">
                  <c:v>213</c:v>
                </c:pt>
                <c:pt idx="10">
                  <c:v>213</c:v>
                </c:pt>
                <c:pt idx="11">
                  <c:v>213</c:v>
                </c:pt>
                <c:pt idx="12">
                  <c:v>213</c:v>
                </c:pt>
                <c:pt idx="13">
                  <c:v>213</c:v>
                </c:pt>
                <c:pt idx="14">
                  <c:v>213</c:v>
                </c:pt>
                <c:pt idx="15">
                  <c:v>213</c:v>
                </c:pt>
                <c:pt idx="16">
                  <c:v>213</c:v>
                </c:pt>
                <c:pt idx="17">
                  <c:v>213</c:v>
                </c:pt>
                <c:pt idx="18">
                  <c:v>213</c:v>
                </c:pt>
                <c:pt idx="19">
                  <c:v>213</c:v>
                </c:pt>
                <c:pt idx="20">
                  <c:v>213</c:v>
                </c:pt>
                <c:pt idx="21">
                  <c:v>213</c:v>
                </c:pt>
                <c:pt idx="22">
                  <c:v>213</c:v>
                </c:pt>
                <c:pt idx="23">
                  <c:v>213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14.036243467926479</c:v>
                </c:pt>
                <c:pt idx="3">
                  <c:v>14.036243467926479</c:v>
                </c:pt>
                <c:pt idx="4">
                  <c:v>14.036243467926479</c:v>
                </c:pt>
                <c:pt idx="5">
                  <c:v>14.036243467926479</c:v>
                </c:pt>
                <c:pt idx="6">
                  <c:v>14.036243467926479</c:v>
                </c:pt>
                <c:pt idx="7">
                  <c:v>14.036243467926479</c:v>
                </c:pt>
                <c:pt idx="8">
                  <c:v>14.036243467926479</c:v>
                </c:pt>
                <c:pt idx="9">
                  <c:v>14.036243467926479</c:v>
                </c:pt>
                <c:pt idx="10">
                  <c:v>14.036243467926479</c:v>
                </c:pt>
                <c:pt idx="11">
                  <c:v>14.036243467926479</c:v>
                </c:pt>
                <c:pt idx="12">
                  <c:v>14.036243467926479</c:v>
                </c:pt>
                <c:pt idx="13">
                  <c:v>14.036243467926479</c:v>
                </c:pt>
                <c:pt idx="14">
                  <c:v>14.036243467926479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5727192"/>
        <c:axId val="655727584"/>
      </c:scatterChart>
      <c:valAx>
        <c:axId val="655727192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655727584"/>
        <c:crosses val="autoZero"/>
        <c:crossBetween val="midCat"/>
        <c:majorUnit val="30"/>
      </c:valAx>
      <c:valAx>
        <c:axId val="655727584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27192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'2031'!$L$14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'2031'!$L$15:$L$380</c:f>
              <c:numCache>
                <c:formatCode>0.00%</c:formatCode>
                <c:ptCount val="366"/>
                <c:pt idx="0">
                  <c:v>4.5803538958552714E-2</c:v>
                </c:pt>
                <c:pt idx="1">
                  <c:v>4.5816601106806631E-2</c:v>
                </c:pt>
                <c:pt idx="2">
                  <c:v>4.5829663076250804E-2</c:v>
                </c:pt>
                <c:pt idx="3">
                  <c:v>4.5842724866887563E-2</c:v>
                </c:pt>
                <c:pt idx="4">
                  <c:v>4.5855786478719351E-2</c:v>
                </c:pt>
                <c:pt idx="5">
                  <c:v>4.5868847911748611E-2</c:v>
                </c:pt>
                <c:pt idx="6">
                  <c:v>4.5881909165977897E-2</c:v>
                </c:pt>
                <c:pt idx="7">
                  <c:v>4.5894970241409538E-2</c:v>
                </c:pt>
                <c:pt idx="8">
                  <c:v>4.5908031138045979E-2</c:v>
                </c:pt>
                <c:pt idx="9">
                  <c:v>4.5921091855889773E-2</c:v>
                </c:pt>
                <c:pt idx="10">
                  <c:v>4.5934152394943251E-2</c:v>
                </c:pt>
                <c:pt idx="11">
                  <c:v>4.5947212755208966E-2</c:v>
                </c:pt>
                <c:pt idx="12">
                  <c:v>4.5960272936689361E-2</c:v>
                </c:pt>
                <c:pt idx="13">
                  <c:v>4.5973332939386768E-2</c:v>
                </c:pt>
                <c:pt idx="14">
                  <c:v>4.5986392763303741E-2</c:v>
                </c:pt>
                <c:pt idx="15">
                  <c:v>4.5999452408442609E-2</c:v>
                </c:pt>
                <c:pt idx="16">
                  <c:v>4.6012511874806039E-2</c:v>
                </c:pt>
                <c:pt idx="17">
                  <c:v>4.602557116239625E-2</c:v>
                </c:pt>
                <c:pt idx="18">
                  <c:v>4.6038630271215797E-2</c:v>
                </c:pt>
                <c:pt idx="19">
                  <c:v>4.6051689201267121E-2</c:v>
                </c:pt>
                <c:pt idx="20">
                  <c:v>4.6064747952552665E-2</c:v>
                </c:pt>
                <c:pt idx="21">
                  <c:v>4.6077806525074871E-2</c:v>
                </c:pt>
                <c:pt idx="22">
                  <c:v>4.6090864918836183E-2</c:v>
                </c:pt>
                <c:pt idx="23">
                  <c:v>4.6103923133839042E-2</c:v>
                </c:pt>
                <c:pt idx="24">
                  <c:v>4.6116981170085891E-2</c:v>
                </c:pt>
                <c:pt idx="25">
                  <c:v>4.6130039027579173E-2</c:v>
                </c:pt>
                <c:pt idx="26">
                  <c:v>4.614309670632144E-2</c:v>
                </c:pt>
                <c:pt idx="27">
                  <c:v>4.6156154206314914E-2</c:v>
                </c:pt>
                <c:pt idx="28">
                  <c:v>4.6169211527562259E-2</c:v>
                </c:pt>
                <c:pt idx="29">
                  <c:v>4.6182268670065807E-2</c:v>
                </c:pt>
                <c:pt idx="30">
                  <c:v>4.619532563382811E-2</c:v>
                </c:pt>
                <c:pt idx="31">
                  <c:v>4.6208382418851501E-2</c:v>
                </c:pt>
                <c:pt idx="32">
                  <c:v>4.6221439025138533E-2</c:v>
                </c:pt>
                <c:pt idx="33">
                  <c:v>4.6234495452691426E-2</c:v>
                </c:pt>
                <c:pt idx="34">
                  <c:v>4.6247551701512957E-2</c:v>
                </c:pt>
                <c:pt idx="35">
                  <c:v>4.6260607771605344E-2</c:v>
                </c:pt>
                <c:pt idx="36">
                  <c:v>4.6273663662971032E-2</c:v>
                </c:pt>
                <c:pt idx="37">
                  <c:v>4.6286719375612573E-2</c:v>
                </c:pt>
                <c:pt idx="38">
                  <c:v>4.629977490953241E-2</c:v>
                </c:pt>
                <c:pt idx="39">
                  <c:v>4.6312830264732985E-2</c:v>
                </c:pt>
                <c:pt idx="40">
                  <c:v>4.632588544121663E-2</c:v>
                </c:pt>
                <c:pt idx="41">
                  <c:v>4.6338940438985898E-2</c:v>
                </c:pt>
                <c:pt idx="42">
                  <c:v>4.6351995258043233E-2</c:v>
                </c:pt>
                <c:pt idx="43">
                  <c:v>4.6365049898390964E-2</c:v>
                </c:pt>
                <c:pt idx="44">
                  <c:v>4.6378104360031758E-2</c:v>
                </c:pt>
                <c:pt idx="45">
                  <c:v>4.6391158642967834E-2</c:v>
                </c:pt>
                <c:pt idx="46">
                  <c:v>4.6404212747201856E-2</c:v>
                </c:pt>
                <c:pt idx="47">
                  <c:v>4.6417266672736046E-2</c:v>
                </c:pt>
                <c:pt idx="48">
                  <c:v>4.6430320419572957E-2</c:v>
                </c:pt>
                <c:pt idx="49">
                  <c:v>4.6443373987715142E-2</c:v>
                </c:pt>
                <c:pt idx="50">
                  <c:v>4.6456427377164822E-2</c:v>
                </c:pt>
                <c:pt idx="51">
                  <c:v>4.6469480587924661E-2</c:v>
                </c:pt>
                <c:pt idx="52">
                  <c:v>4.648253361999688E-2</c:v>
                </c:pt>
                <c:pt idx="53">
                  <c:v>4.6495586473384143E-2</c:v>
                </c:pt>
                <c:pt idx="54">
                  <c:v>4.6508639148088782E-2</c:v>
                </c:pt>
                <c:pt idx="55">
                  <c:v>4.652169164411335E-2</c:v>
                </c:pt>
                <c:pt idx="56">
                  <c:v>4.6534743961460068E-2</c:v>
                </c:pt>
                <c:pt idx="57">
                  <c:v>4.65477961001316E-2</c:v>
                </c:pt>
                <c:pt idx="58">
                  <c:v>4.6560848060130278E-2</c:v>
                </c:pt>
                <c:pt idx="59">
                  <c:v>4.6573899841458655E-2</c:v>
                </c:pt>
                <c:pt idx="60">
                  <c:v>4.6586951444119062E-2</c:v>
                </c:pt>
                <c:pt idx="61">
                  <c:v>4.6600002868113943E-2</c:v>
                </c:pt>
                <c:pt idx="62">
                  <c:v>4.6613054113445851E-2</c:v>
                </c:pt>
                <c:pt idx="63">
                  <c:v>4.6626105180117117E-2</c:v>
                </c:pt>
                <c:pt idx="64">
                  <c:v>4.6639156068130294E-2</c:v>
                </c:pt>
                <c:pt idx="65">
                  <c:v>4.6652206777487715E-2</c:v>
                </c:pt>
                <c:pt idx="66">
                  <c:v>4.6665257308191932E-2</c:v>
                </c:pt>
                <c:pt idx="67">
                  <c:v>4.6678307660245388E-2</c:v>
                </c:pt>
                <c:pt idx="68">
                  <c:v>4.6691357833650415E-2</c:v>
                </c:pt>
                <c:pt idx="69">
                  <c:v>4.6704407828409567E-2</c:v>
                </c:pt>
                <c:pt idx="70">
                  <c:v>4.6717457644525173E-2</c:v>
                </c:pt>
                <c:pt idx="71">
                  <c:v>4.6730507281999789E-2</c:v>
                </c:pt>
                <c:pt idx="72">
                  <c:v>4.6743556740835857E-2</c:v>
                </c:pt>
                <c:pt idx="73">
                  <c:v>4.6756606021035818E-2</c:v>
                </c:pt>
                <c:pt idx="74">
                  <c:v>4.6769655122602005E-2</c:v>
                </c:pt>
                <c:pt idx="75">
                  <c:v>4.6782704045536971E-2</c:v>
                </c:pt>
                <c:pt idx="76">
                  <c:v>4.6795752789843159E-2</c:v>
                </c:pt>
                <c:pt idx="77">
                  <c:v>4.6808801355523011E-2</c:v>
                </c:pt>
                <c:pt idx="78">
                  <c:v>4.6821849742578969E-2</c:v>
                </c:pt>
                <c:pt idx="79">
                  <c:v>4.6834897951013477E-2</c:v>
                </c:pt>
                <c:pt idx="80">
                  <c:v>4.6847945980828865E-2</c:v>
                </c:pt>
                <c:pt idx="81">
                  <c:v>4.6860993832027797E-2</c:v>
                </c:pt>
                <c:pt idx="82">
                  <c:v>4.6874041504612607E-2</c:v>
                </c:pt>
                <c:pt idx="83">
                  <c:v>4.6887088998585624E-2</c:v>
                </c:pt>
                <c:pt idx="84">
                  <c:v>4.6900136313949514E-2</c:v>
                </c:pt>
                <c:pt idx="85">
                  <c:v>4.6913183450706497E-2</c:v>
                </c:pt>
                <c:pt idx="86">
                  <c:v>4.6926230408859237E-2</c:v>
                </c:pt>
                <c:pt idx="87">
                  <c:v>4.6939277188410067E-2</c:v>
                </c:pt>
                <c:pt idx="88">
                  <c:v>4.6952323789361428E-2</c:v>
                </c:pt>
                <c:pt idx="89">
                  <c:v>4.6965370211715762E-2</c:v>
                </c:pt>
                <c:pt idx="90">
                  <c:v>4.6978416455475513E-2</c:v>
                </c:pt>
                <c:pt idx="91">
                  <c:v>4.6991462520643124E-2</c:v>
                </c:pt>
                <c:pt idx="92">
                  <c:v>4.7004508407221146E-2</c:v>
                </c:pt>
                <c:pt idx="93">
                  <c:v>4.7017554115211913E-2</c:v>
                </c:pt>
                <c:pt idx="94">
                  <c:v>4.7030599644617865E-2</c:v>
                </c:pt>
                <c:pt idx="95">
                  <c:v>4.7043644995441447E-2</c:v>
                </c:pt>
                <c:pt idx="96">
                  <c:v>4.7056690167685211E-2</c:v>
                </c:pt>
                <c:pt idx="97">
                  <c:v>4.7069735161351489E-2</c:v>
                </c:pt>
                <c:pt idx="98">
                  <c:v>4.7082779976442724E-2</c:v>
                </c:pt>
                <c:pt idx="99">
                  <c:v>4.7095824612961357E-2</c:v>
                </c:pt>
                <c:pt idx="100">
                  <c:v>4.7108869070909942E-2</c:v>
                </c:pt>
                <c:pt idx="101">
                  <c:v>4.7121913350290812E-2</c:v>
                </c:pt>
                <c:pt idx="102">
                  <c:v>4.7134957451106518E-2</c:v>
                </c:pt>
                <c:pt idx="103">
                  <c:v>4.7148001373359394E-2</c:v>
                </c:pt>
                <c:pt idx="104">
                  <c:v>4.7161045117051992E-2</c:v>
                </c:pt>
                <c:pt idx="105">
                  <c:v>4.7174088682186532E-2</c:v>
                </c:pt>
                <c:pt idx="106">
                  <c:v>4.7187132068765791E-2</c:v>
                </c:pt>
                <c:pt idx="107">
                  <c:v>4.7200175276791989E-2</c:v>
                </c:pt>
                <c:pt idx="108">
                  <c:v>4.7213218306267568E-2</c:v>
                </c:pt>
                <c:pt idx="109">
                  <c:v>4.7226261157195082E-2</c:v>
                </c:pt>
                <c:pt idx="110">
                  <c:v>4.7239303829576862E-2</c:v>
                </c:pt>
                <c:pt idx="111">
                  <c:v>4.7252346323415462E-2</c:v>
                </c:pt>
                <c:pt idx="112">
                  <c:v>4.7265388638713213E-2</c:v>
                </c:pt>
                <c:pt idx="113">
                  <c:v>4.7278430775472668E-2</c:v>
                </c:pt>
                <c:pt idx="114">
                  <c:v>4.7291472733696271E-2</c:v>
                </c:pt>
                <c:pt idx="115">
                  <c:v>4.7304514513386353E-2</c:v>
                </c:pt>
                <c:pt idx="116">
                  <c:v>4.7317556114545467E-2</c:v>
                </c:pt>
                <c:pt idx="117">
                  <c:v>4.7330597537175945E-2</c:v>
                </c:pt>
                <c:pt idx="118">
                  <c:v>4.7343638781280339E-2</c:v>
                </c:pt>
                <c:pt idx="119">
                  <c:v>4.7356679846861094E-2</c:v>
                </c:pt>
                <c:pt idx="120">
                  <c:v>4.736972073392054E-2</c:v>
                </c:pt>
                <c:pt idx="121">
                  <c:v>4.738276144246123E-2</c:v>
                </c:pt>
                <c:pt idx="122">
                  <c:v>4.7395801972485607E-2</c:v>
                </c:pt>
                <c:pt idx="123">
                  <c:v>4.7408842323996003E-2</c:v>
                </c:pt>
                <c:pt idx="124">
                  <c:v>4.7421882496994971E-2</c:v>
                </c:pt>
                <c:pt idx="125">
                  <c:v>4.7434922491484954E-2</c:v>
                </c:pt>
                <c:pt idx="126">
                  <c:v>4.7447962307468283E-2</c:v>
                </c:pt>
                <c:pt idx="127">
                  <c:v>4.7461001944947512E-2</c:v>
                </c:pt>
                <c:pt idx="128">
                  <c:v>4.7474041403925082E-2</c:v>
                </c:pt>
                <c:pt idx="129">
                  <c:v>4.7487080684403438E-2</c:v>
                </c:pt>
                <c:pt idx="130">
                  <c:v>4.7500119786384909E-2</c:v>
                </c:pt>
                <c:pt idx="131">
                  <c:v>4.751315870987205E-2</c:v>
                </c:pt>
                <c:pt idx="132">
                  <c:v>4.7526197454867303E-2</c:v>
                </c:pt>
                <c:pt idx="133">
                  <c:v>4.753923602137311E-2</c:v>
                </c:pt>
                <c:pt idx="134">
                  <c:v>4.7552274409391804E-2</c:v>
                </c:pt>
                <c:pt idx="135">
                  <c:v>4.7565312618926048E-2</c:v>
                </c:pt>
                <c:pt idx="136">
                  <c:v>4.7578350649978063E-2</c:v>
                </c:pt>
                <c:pt idx="137">
                  <c:v>4.7591388502550402E-2</c:v>
                </c:pt>
                <c:pt idx="138">
                  <c:v>4.7604426176645509E-2</c:v>
                </c:pt>
                <c:pt idx="139">
                  <c:v>4.7617463672265714E-2</c:v>
                </c:pt>
                <c:pt idx="140">
                  <c:v>4.7630500989413682E-2</c:v>
                </c:pt>
                <c:pt idx="141">
                  <c:v>4.7643538128091634E-2</c:v>
                </c:pt>
                <c:pt idx="142">
                  <c:v>4.7656575088302122E-2</c:v>
                </c:pt>
                <c:pt idx="143">
                  <c:v>4.766961187004759E-2</c:v>
                </c:pt>
                <c:pt idx="144">
                  <c:v>4.768264847333048E-2</c:v>
                </c:pt>
                <c:pt idx="145">
                  <c:v>4.7695684898153123E-2</c:v>
                </c:pt>
                <c:pt idx="146">
                  <c:v>4.7708721144518185E-2</c:v>
                </c:pt>
                <c:pt idx="147">
                  <c:v>4.7721757212427884E-2</c:v>
                </c:pt>
                <c:pt idx="148">
                  <c:v>4.7734793101884776E-2</c:v>
                </c:pt>
                <c:pt idx="149">
                  <c:v>4.7747828812891413E-2</c:v>
                </c:pt>
                <c:pt idx="150">
                  <c:v>4.7760864345450016E-2</c:v>
                </c:pt>
                <c:pt idx="151">
                  <c:v>4.7773899699563027E-2</c:v>
                </c:pt>
                <c:pt idx="152">
                  <c:v>4.7786934875233111E-2</c:v>
                </c:pt>
                <c:pt idx="153">
                  <c:v>4.77999698724626E-2</c:v>
                </c:pt>
                <c:pt idx="154">
                  <c:v>4.7813004691253824E-2</c:v>
                </c:pt>
                <c:pt idx="155">
                  <c:v>4.7826039331609449E-2</c:v>
                </c:pt>
                <c:pt idx="156">
                  <c:v>4.7839073793531695E-2</c:v>
                </c:pt>
                <c:pt idx="157">
                  <c:v>4.7852108077023114E-2</c:v>
                </c:pt>
                <c:pt idx="158">
                  <c:v>4.7865142182086151E-2</c:v>
                </c:pt>
                <c:pt idx="159">
                  <c:v>4.7878176108723247E-2</c:v>
                </c:pt>
                <c:pt idx="160">
                  <c:v>4.7891209856936845E-2</c:v>
                </c:pt>
                <c:pt idx="161">
                  <c:v>4.7904243426729387E-2</c:v>
                </c:pt>
                <c:pt idx="162">
                  <c:v>4.7917276818103316E-2</c:v>
                </c:pt>
                <c:pt idx="163">
                  <c:v>4.7930310031060963E-2</c:v>
                </c:pt>
                <c:pt idx="164">
                  <c:v>4.7943343065604993E-2</c:v>
                </c:pt>
                <c:pt idx="165">
                  <c:v>4.7956375921737626E-2</c:v>
                </c:pt>
                <c:pt idx="166">
                  <c:v>4.7969408599461416E-2</c:v>
                </c:pt>
                <c:pt idx="167">
                  <c:v>4.7982441098778805E-2</c:v>
                </c:pt>
                <c:pt idx="168">
                  <c:v>4.7995473419692236E-2</c:v>
                </c:pt>
                <c:pt idx="169">
                  <c:v>4.8008505562204151E-2</c:v>
                </c:pt>
                <c:pt idx="170">
                  <c:v>4.8021537526316993E-2</c:v>
                </c:pt>
                <c:pt idx="171">
                  <c:v>4.8034569312033093E-2</c:v>
                </c:pt>
                <c:pt idx="172">
                  <c:v>4.8047600919355116E-2</c:v>
                </c:pt>
                <c:pt idx="173">
                  <c:v>4.8060632348285282E-2</c:v>
                </c:pt>
                <c:pt idx="174">
                  <c:v>4.8073663598826144E-2</c:v>
                </c:pt>
                <c:pt idx="175">
                  <c:v>4.8086694670980146E-2</c:v>
                </c:pt>
                <c:pt idx="176">
                  <c:v>4.8099725564749729E-2</c:v>
                </c:pt>
                <c:pt idx="177">
                  <c:v>4.8112756280137337E-2</c:v>
                </c:pt>
                <c:pt idx="178">
                  <c:v>4.8125786817145411E-2</c:v>
                </c:pt>
                <c:pt idx="179">
                  <c:v>4.8138817175776283E-2</c:v>
                </c:pt>
                <c:pt idx="180">
                  <c:v>4.8151847356032507E-2</c:v>
                </c:pt>
                <c:pt idx="181">
                  <c:v>4.8164877357916636E-2</c:v>
                </c:pt>
                <c:pt idx="182">
                  <c:v>4.8177907181430779E-2</c:v>
                </c:pt>
                <c:pt idx="183">
                  <c:v>4.8190936826577713E-2</c:v>
                </c:pt>
                <c:pt idx="184">
                  <c:v>4.8203966293359768E-2</c:v>
                </c:pt>
                <c:pt idx="185">
                  <c:v>4.8216995581779276E-2</c:v>
                </c:pt>
                <c:pt idx="186">
                  <c:v>4.8230024691838791E-2</c:v>
                </c:pt>
                <c:pt idx="187">
                  <c:v>4.8243053623540755E-2</c:v>
                </c:pt>
                <c:pt idx="188">
                  <c:v>4.825608237688761E-2</c:v>
                </c:pt>
                <c:pt idx="189">
                  <c:v>4.8269110951881689E-2</c:v>
                </c:pt>
                <c:pt idx="190">
                  <c:v>4.8282139348525543E-2</c:v>
                </c:pt>
                <c:pt idx="191">
                  <c:v>4.8295167566821617E-2</c:v>
                </c:pt>
                <c:pt idx="192">
                  <c:v>4.8308195606772353E-2</c:v>
                </c:pt>
                <c:pt idx="193">
                  <c:v>4.8321223468380081E-2</c:v>
                </c:pt>
                <c:pt idx="194">
                  <c:v>4.8334251151647356E-2</c:v>
                </c:pt>
                <c:pt idx="195">
                  <c:v>4.834727865657662E-2</c:v>
                </c:pt>
                <c:pt idx="196">
                  <c:v>4.8360305983170204E-2</c:v>
                </c:pt>
                <c:pt idx="197">
                  <c:v>4.8373333131430774E-2</c:v>
                </c:pt>
                <c:pt idx="198">
                  <c:v>4.8386360101360437E-2</c:v>
                </c:pt>
                <c:pt idx="199">
                  <c:v>4.8399386892961971E-2</c:v>
                </c:pt>
                <c:pt idx="200">
                  <c:v>4.8412413506237595E-2</c:v>
                </c:pt>
                <c:pt idx="201">
                  <c:v>4.8425439941189863E-2</c:v>
                </c:pt>
                <c:pt idx="202">
                  <c:v>4.8438466197821106E-2</c:v>
                </c:pt>
                <c:pt idx="203">
                  <c:v>4.8451492276133878E-2</c:v>
                </c:pt>
                <c:pt idx="204">
                  <c:v>4.8464518176130622E-2</c:v>
                </c:pt>
                <c:pt idx="205">
                  <c:v>4.8477543897813669E-2</c:v>
                </c:pt>
                <c:pt idx="206">
                  <c:v>4.8490569441185571E-2</c:v>
                </c:pt>
                <c:pt idx="207">
                  <c:v>4.8503594806248662E-2</c:v>
                </c:pt>
                <c:pt idx="208">
                  <c:v>4.8516619993005494E-2</c:v>
                </c:pt>
                <c:pt idx="209">
                  <c:v>4.8529645001458399E-2</c:v>
                </c:pt>
                <c:pt idx="210">
                  <c:v>4.854266983160993E-2</c:v>
                </c:pt>
                <c:pt idx="211">
                  <c:v>4.855569448346253E-2</c:v>
                </c:pt>
                <c:pt idx="212">
                  <c:v>4.8568718957018531E-2</c:v>
                </c:pt>
                <c:pt idx="213">
                  <c:v>4.8581743252280374E-2</c:v>
                </c:pt>
                <c:pt idx="214">
                  <c:v>4.8594767369250613E-2</c:v>
                </c:pt>
                <c:pt idx="215">
                  <c:v>4.860779130793158E-2</c:v>
                </c:pt>
                <c:pt idx="216">
                  <c:v>4.8620815068325829E-2</c:v>
                </c:pt>
                <c:pt idx="217">
                  <c:v>4.863383865043569E-2</c:v>
                </c:pt>
                <c:pt idx="218">
                  <c:v>4.8646862054263607E-2</c:v>
                </c:pt>
                <c:pt idx="219">
                  <c:v>4.8659885279812132E-2</c:v>
                </c:pt>
                <c:pt idx="220">
                  <c:v>4.8672908327083597E-2</c:v>
                </c:pt>
                <c:pt idx="221">
                  <c:v>4.8685931196080556E-2</c:v>
                </c:pt>
                <c:pt idx="222">
                  <c:v>4.869895388680523E-2</c:v>
                </c:pt>
                <c:pt idx="223">
                  <c:v>4.8711976399260282E-2</c:v>
                </c:pt>
                <c:pt idx="224">
                  <c:v>4.8724998733448155E-2</c:v>
                </c:pt>
                <c:pt idx="225">
                  <c:v>4.873802088937107E-2</c:v>
                </c:pt>
                <c:pt idx="226">
                  <c:v>4.8751042867031691E-2</c:v>
                </c:pt>
                <c:pt idx="227">
                  <c:v>4.876406466643235E-2</c:v>
                </c:pt>
                <c:pt idx="228">
                  <c:v>4.8777086287575488E-2</c:v>
                </c:pt>
                <c:pt idx="229">
                  <c:v>4.8790107730463661E-2</c:v>
                </c:pt>
                <c:pt idx="230">
                  <c:v>4.8803128995099088E-2</c:v>
                </c:pt>
                <c:pt idx="231">
                  <c:v>4.8816150081484433E-2</c:v>
                </c:pt>
                <c:pt idx="232">
                  <c:v>4.8829170989622028E-2</c:v>
                </c:pt>
                <c:pt idx="233">
                  <c:v>4.8842191719514316E-2</c:v>
                </c:pt>
                <c:pt idx="234">
                  <c:v>4.8855212271163739E-2</c:v>
                </c:pt>
                <c:pt idx="235">
                  <c:v>4.886823264457274E-2</c:v>
                </c:pt>
                <c:pt idx="236">
                  <c:v>4.8881252839743761E-2</c:v>
                </c:pt>
                <c:pt idx="237">
                  <c:v>4.8894272856679244E-2</c:v>
                </c:pt>
                <c:pt idx="238">
                  <c:v>4.8907292695381632E-2</c:v>
                </c:pt>
                <c:pt idx="239">
                  <c:v>4.8920312355853257E-2</c:v>
                </c:pt>
                <c:pt idx="240">
                  <c:v>4.8933331838096783E-2</c:v>
                </c:pt>
                <c:pt idx="241">
                  <c:v>4.8946351142114541E-2</c:v>
                </c:pt>
                <c:pt idx="242">
                  <c:v>4.8959370267908975E-2</c:v>
                </c:pt>
                <c:pt idx="243">
                  <c:v>4.8972389215482415E-2</c:v>
                </c:pt>
                <c:pt idx="244">
                  <c:v>4.8985407984837415E-2</c:v>
                </c:pt>
                <c:pt idx="245">
                  <c:v>4.8998426575976417E-2</c:v>
                </c:pt>
                <c:pt idx="246">
                  <c:v>4.9011444988901864E-2</c:v>
                </c:pt>
                <c:pt idx="247">
                  <c:v>4.9024463223616199E-2</c:v>
                </c:pt>
                <c:pt idx="248">
                  <c:v>4.9037481280121753E-2</c:v>
                </c:pt>
                <c:pt idx="249">
                  <c:v>4.9050499158421079E-2</c:v>
                </c:pt>
                <c:pt idx="250">
                  <c:v>4.906351685851662E-2</c:v>
                </c:pt>
                <c:pt idx="251">
                  <c:v>4.9076534380410708E-2</c:v>
                </c:pt>
                <c:pt idx="252">
                  <c:v>4.9089551724105895E-2</c:v>
                </c:pt>
                <c:pt idx="253">
                  <c:v>4.9102568889604625E-2</c:v>
                </c:pt>
                <c:pt idx="254">
                  <c:v>4.9115585876909229E-2</c:v>
                </c:pt>
                <c:pt idx="255">
                  <c:v>4.9128602686022149E-2</c:v>
                </c:pt>
                <c:pt idx="256">
                  <c:v>4.9141619316945939E-2</c:v>
                </c:pt>
                <c:pt idx="257">
                  <c:v>4.9154635769683042E-2</c:v>
                </c:pt>
                <c:pt idx="258">
                  <c:v>4.9167652044235788E-2</c:v>
                </c:pt>
                <c:pt idx="259">
                  <c:v>4.918066814060662E-2</c:v>
                </c:pt>
                <c:pt idx="260">
                  <c:v>4.9193684058798093E-2</c:v>
                </c:pt>
                <c:pt idx="261">
                  <c:v>4.9206699798812537E-2</c:v>
                </c:pt>
                <c:pt idx="262">
                  <c:v>4.9219715360652505E-2</c:v>
                </c:pt>
                <c:pt idx="263">
                  <c:v>4.923273074432033E-2</c:v>
                </c:pt>
                <c:pt idx="264">
                  <c:v>4.9245745949818454E-2</c:v>
                </c:pt>
                <c:pt idx="265">
                  <c:v>4.9258760977149318E-2</c:v>
                </c:pt>
                <c:pt idx="266">
                  <c:v>4.9271775826315367E-2</c:v>
                </c:pt>
                <c:pt idx="267">
                  <c:v>4.9284790497319153E-2</c:v>
                </c:pt>
                <c:pt idx="268">
                  <c:v>4.9297804990163008E-2</c:v>
                </c:pt>
                <c:pt idx="269">
                  <c:v>4.9310819304849263E-2</c:v>
                </c:pt>
                <c:pt idx="270">
                  <c:v>4.9323833441380582E-2</c:v>
                </c:pt>
                <c:pt idx="271">
                  <c:v>4.9336847399759298E-2</c:v>
                </c:pt>
                <c:pt idx="272">
                  <c:v>4.9349861179987853E-2</c:v>
                </c:pt>
                <c:pt idx="273">
                  <c:v>4.9362874782068689E-2</c:v>
                </c:pt>
                <c:pt idx="274">
                  <c:v>4.9375888206004248E-2</c:v>
                </c:pt>
                <c:pt idx="275">
                  <c:v>4.9388901451796974E-2</c:v>
                </c:pt>
                <c:pt idx="276">
                  <c:v>4.9401914519449197E-2</c:v>
                </c:pt>
                <c:pt idx="277">
                  <c:v>4.9414927408963583E-2</c:v>
                </c:pt>
                <c:pt idx="278">
                  <c:v>4.9427940120342351E-2</c:v>
                </c:pt>
                <c:pt idx="279">
                  <c:v>4.9440952653588055E-2</c:v>
                </c:pt>
                <c:pt idx="280">
                  <c:v>4.9453965008703027E-2</c:v>
                </c:pt>
                <c:pt idx="281">
                  <c:v>4.9466977185689931E-2</c:v>
                </c:pt>
                <c:pt idx="282">
                  <c:v>4.9479989184550988E-2</c:v>
                </c:pt>
                <c:pt idx="283">
                  <c:v>4.9493001005288639E-2</c:v>
                </c:pt>
                <c:pt idx="284">
                  <c:v>4.950601264790544E-2</c:v>
                </c:pt>
                <c:pt idx="285">
                  <c:v>4.9519024112403831E-2</c:v>
                </c:pt>
                <c:pt idx="286">
                  <c:v>4.9532035398786145E-2</c:v>
                </c:pt>
                <c:pt idx="287">
                  <c:v>4.9545046507054935E-2</c:v>
                </c:pt>
                <c:pt idx="288">
                  <c:v>4.9558057437212533E-2</c:v>
                </c:pt>
                <c:pt idx="289">
                  <c:v>4.957106818926138E-2</c:v>
                </c:pt>
                <c:pt idx="290">
                  <c:v>4.9584078763204031E-2</c:v>
                </c:pt>
                <c:pt idx="291">
                  <c:v>4.9597089159042818E-2</c:v>
                </c:pt>
                <c:pt idx="292">
                  <c:v>4.9610099376780292E-2</c:v>
                </c:pt>
                <c:pt idx="293">
                  <c:v>4.9623109416418676E-2</c:v>
                </c:pt>
                <c:pt idx="294">
                  <c:v>4.9636119277960633E-2</c:v>
                </c:pt>
                <c:pt idx="295">
                  <c:v>4.9649128961408495E-2</c:v>
                </c:pt>
                <c:pt idx="296">
                  <c:v>4.9662138466764705E-2</c:v>
                </c:pt>
                <c:pt idx="297">
                  <c:v>4.9675147794031704E-2</c:v>
                </c:pt>
                <c:pt idx="298">
                  <c:v>4.9688156943211936E-2</c:v>
                </c:pt>
                <c:pt idx="299">
                  <c:v>4.9701165914307843E-2</c:v>
                </c:pt>
                <c:pt idx="300">
                  <c:v>4.9714174707321868E-2</c:v>
                </c:pt>
                <c:pt idx="301">
                  <c:v>4.9727183322256452E-2</c:v>
                </c:pt>
                <c:pt idx="302">
                  <c:v>4.9740191759114039E-2</c:v>
                </c:pt>
                <c:pt idx="303">
                  <c:v>4.9753200017896959E-2</c:v>
                </c:pt>
                <c:pt idx="304">
                  <c:v>4.9766208098607767E-2</c:v>
                </c:pt>
                <c:pt idx="305">
                  <c:v>4.9779216001249016E-2</c:v>
                </c:pt>
                <c:pt idx="306">
                  <c:v>4.9792223725822815E-2</c:v>
                </c:pt>
                <c:pt idx="307">
                  <c:v>4.9805231272331829E-2</c:v>
                </c:pt>
                <c:pt idx="308">
                  <c:v>4.9818238640778501E-2</c:v>
                </c:pt>
                <c:pt idx="309">
                  <c:v>4.9831245831165272E-2</c:v>
                </c:pt>
                <c:pt idx="310">
                  <c:v>4.9844252843494474E-2</c:v>
                </c:pt>
                <c:pt idx="311">
                  <c:v>4.9857259677768551E-2</c:v>
                </c:pt>
                <c:pt idx="312">
                  <c:v>4.9870266333990054E-2</c:v>
                </c:pt>
                <c:pt idx="313">
                  <c:v>4.9883272812161317E-2</c:v>
                </c:pt>
                <c:pt idx="314">
                  <c:v>4.9896279112284891E-2</c:v>
                </c:pt>
                <c:pt idx="315">
                  <c:v>4.9909285234362999E-2</c:v>
                </c:pt>
                <c:pt idx="316">
                  <c:v>4.9922291178398304E-2</c:v>
                </c:pt>
                <c:pt idx="317">
                  <c:v>4.9935296944393248E-2</c:v>
                </c:pt>
                <c:pt idx="318">
                  <c:v>4.9948302532350053E-2</c:v>
                </c:pt>
                <c:pt idx="319">
                  <c:v>4.9961307942271271E-2</c:v>
                </c:pt>
                <c:pt idx="320">
                  <c:v>4.9974313174159457E-2</c:v>
                </c:pt>
                <c:pt idx="321">
                  <c:v>4.998731822801683E-2</c:v>
                </c:pt>
                <c:pt idx="322">
                  <c:v>5.0000323103845945E-2</c:v>
                </c:pt>
                <c:pt idx="323">
                  <c:v>5.0013327801649243E-2</c:v>
                </c:pt>
                <c:pt idx="324">
                  <c:v>5.0026332321429168E-2</c:v>
                </c:pt>
                <c:pt idx="325">
                  <c:v>5.0039336663188161E-2</c:v>
                </c:pt>
                <c:pt idx="326">
                  <c:v>5.0052340826928665E-2</c:v>
                </c:pt>
                <c:pt idx="327">
                  <c:v>5.0065344812653012E-2</c:v>
                </c:pt>
                <c:pt idx="328">
                  <c:v>5.0078348620363755E-2</c:v>
                </c:pt>
                <c:pt idx="329">
                  <c:v>5.0091352250063226E-2</c:v>
                </c:pt>
                <c:pt idx="330">
                  <c:v>5.0104355701753978E-2</c:v>
                </c:pt>
                <c:pt idx="331">
                  <c:v>5.0117358975438453E-2</c:v>
                </c:pt>
                <c:pt idx="332">
                  <c:v>5.0130362071118983E-2</c:v>
                </c:pt>
                <c:pt idx="333">
                  <c:v>5.0143364988798012E-2</c:v>
                </c:pt>
                <c:pt idx="334">
                  <c:v>5.0156367728478091E-2</c:v>
                </c:pt>
                <c:pt idx="335">
                  <c:v>5.0169370290161441E-2</c:v>
                </c:pt>
                <c:pt idx="336">
                  <c:v>5.0182372673850728E-2</c:v>
                </c:pt>
                <c:pt idx="337">
                  <c:v>5.0195374879548393E-2</c:v>
                </c:pt>
                <c:pt idx="338">
                  <c:v>5.0208376907256658E-2</c:v>
                </c:pt>
                <c:pt idx="339">
                  <c:v>5.0221378756978186E-2</c:v>
                </c:pt>
                <c:pt idx="340">
                  <c:v>5.0234380428715197E-2</c:v>
                </c:pt>
                <c:pt idx="341">
                  <c:v>5.0247381922470247E-2</c:v>
                </c:pt>
                <c:pt idx="342">
                  <c:v>5.0260383238245887E-2</c:v>
                </c:pt>
                <c:pt idx="343">
                  <c:v>5.0273384376044339E-2</c:v>
                </c:pt>
                <c:pt idx="344">
                  <c:v>5.0286385335868156E-2</c:v>
                </c:pt>
                <c:pt idx="345">
                  <c:v>5.0299386117719669E-2</c:v>
                </c:pt>
                <c:pt idx="346">
                  <c:v>5.0312386721601543E-2</c:v>
                </c:pt>
                <c:pt idx="347">
                  <c:v>5.0325387147515999E-2</c:v>
                </c:pt>
                <c:pt idx="348">
                  <c:v>5.0338387395465478E-2</c:v>
                </c:pt>
                <c:pt idx="349">
                  <c:v>5.0351387465452535E-2</c:v>
                </c:pt>
                <c:pt idx="350">
                  <c:v>5.0364387357479612E-2</c:v>
                </c:pt>
                <c:pt idx="351">
                  <c:v>5.037738707154904E-2</c:v>
                </c:pt>
                <c:pt idx="352">
                  <c:v>5.0390386607663262E-2</c:v>
                </c:pt>
                <c:pt idx="353">
                  <c:v>5.0403385965824721E-2</c:v>
                </c:pt>
                <c:pt idx="354">
                  <c:v>5.0416385146035969E-2</c:v>
                </c:pt>
                <c:pt idx="355">
                  <c:v>5.0429384148299339E-2</c:v>
                </c:pt>
                <c:pt idx="356">
                  <c:v>5.0442382972617272E-2</c:v>
                </c:pt>
                <c:pt idx="357">
                  <c:v>5.0455381618992212E-2</c:v>
                </c:pt>
                <c:pt idx="358">
                  <c:v>5.0468380087426601E-2</c:v>
                </c:pt>
                <c:pt idx="359">
                  <c:v>5.0481378377922881E-2</c:v>
                </c:pt>
                <c:pt idx="360">
                  <c:v>5.0494376490483384E-2</c:v>
                </c:pt>
                <c:pt idx="361">
                  <c:v>5.0507374425110774E-2</c:v>
                </c:pt>
                <c:pt idx="362">
                  <c:v>5.0520372181807272E-2</c:v>
                </c:pt>
                <c:pt idx="363">
                  <c:v>5.0533369760575431E-2</c:v>
                </c:pt>
                <c:pt idx="364">
                  <c:v>5.0546367161417693E-2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'2031'!$O$15:$O$380</c:f>
              <c:numCache>
                <c:formatCode>0.00%</c:formatCode>
                <c:ptCount val="366"/>
                <c:pt idx="0">
                  <c:v>2.5028399344446509E-2</c:v>
                </c:pt>
                <c:pt idx="1">
                  <c:v>2.508765622341692E-2</c:v>
                </c:pt>
                <c:pt idx="2">
                  <c:v>2.5146898866660088E-2</c:v>
                </c:pt>
                <c:pt idx="3">
                  <c:v>2.5206121861443297E-2</c:v>
                </c:pt>
                <c:pt idx="4">
                  <c:v>2.5265320500563581E-2</c:v>
                </c:pt>
                <c:pt idx="5">
                  <c:v>2.532449076677978E-2</c:v>
                </c:pt>
                <c:pt idx="6">
                  <c:v>2.5383629311278653E-2</c:v>
                </c:pt>
                <c:pt idx="7">
                  <c:v>2.5442733426570618E-2</c:v>
                </c:pt>
                <c:pt idx="8">
                  <c:v>2.5501801014256177E-2</c:v>
                </c:pt>
                <c:pt idx="9">
                  <c:v>2.556083054814505E-2</c:v>
                </c:pt>
                <c:pt idx="10">
                  <c:v>2.5619821033245602E-2</c:v>
                </c:pt>
                <c:pt idx="11">
                  <c:v>2.567877196117168E-2</c:v>
                </c:pt>
                <c:pt idx="12">
                  <c:v>2.57376832625387E-2</c:v>
                </c:pt>
                <c:pt idx="13">
                  <c:v>2.5796555256938608E-2</c:v>
                </c:pt>
                <c:pt idx="14">
                  <c:v>2.5855388601095756E-2</c:v>
                </c:pt>
                <c:pt idx="15">
                  <c:v>2.5914184235811662E-2</c:v>
                </c:pt>
                <c:pt idx="16">
                  <c:v>2.5972943332306403E-2</c:v>
                </c:pt>
                <c:pt idx="17">
                  <c:v>2.6031667238558646E-2</c:v>
                </c:pt>
                <c:pt idx="18">
                  <c:v>2.609035742623407E-2</c:v>
                </c:pt>
                <c:pt idx="19">
                  <c:v>2.614901543877431E-2</c:v>
                </c:pt>
                <c:pt idx="20">
                  <c:v>2.6207642841195502E-2</c:v>
                </c:pt>
                <c:pt idx="21">
                  <c:v>2.626624117211725E-2</c:v>
                </c:pt>
                <c:pt idx="22">
                  <c:v>2.6324811898509683E-2</c:v>
                </c:pt>
                <c:pt idx="23">
                  <c:v>2.6383356373609095E-2</c:v>
                </c:pt>
                <c:pt idx="24">
                  <c:v>2.6441875798410997E-2</c:v>
                </c:pt>
                <c:pt idx="25">
                  <c:v>2.6500371187104767E-2</c:v>
                </c:pt>
                <c:pt idx="26">
                  <c:v>2.6558843336766263E-2</c:v>
                </c:pt>
                <c:pt idx="27">
                  <c:v>2.6617292801574481E-2</c:v>
                </c:pt>
                <c:pt idx="28">
                  <c:v>2.6675719871766163E-2</c:v>
                </c:pt>
                <c:pt idx="29">
                  <c:v>2.6734124557488928E-2</c:v>
                </c:pt>
                <c:pt idx="30">
                  <c:v>2.6792506577659397E-2</c:v>
                </c:pt>
                <c:pt idx="31">
                  <c:v>2.6850865353877953E-2</c:v>
                </c:pt>
                <c:pt idx="32">
                  <c:v>2.6909200009398494E-2</c:v>
                </c:pt>
                <c:pt idx="33">
                  <c:v>2.6967509373097855E-2</c:v>
                </c:pt>
                <c:pt idx="34">
                  <c:v>2.7025791988338314E-2</c:v>
                </c:pt>
                <c:pt idx="35">
                  <c:v>2.7084046126567164E-2</c:v>
                </c:pt>
                <c:pt idx="36">
                  <c:v>2.7142269805449794E-2</c:v>
                </c:pt>
                <c:pt idx="37">
                  <c:v>2.7200460811289136E-2</c:v>
                </c:pt>
                <c:pt idx="38">
                  <c:v>2.7258616725443115E-2</c:v>
                </c:pt>
                <c:pt idx="39">
                  <c:v>2.7316734954414851E-2</c:v>
                </c:pt>
                <c:pt idx="40">
                  <c:v>2.7374812763257542E-2</c:v>
                </c:pt>
                <c:pt idx="41">
                  <c:v>2.743284731190691E-2</c:v>
                </c:pt>
                <c:pt idx="42">
                  <c:v>2.7490835694030519E-2</c:v>
                </c:pt>
                <c:pt idx="43">
                  <c:v>2.7548774977963538E-2</c:v>
                </c:pt>
                <c:pt idx="44">
                  <c:v>2.7606662249286467E-2</c:v>
                </c:pt>
                <c:pt idx="45">
                  <c:v>2.7664494654590643E-2</c:v>
                </c:pt>
                <c:pt idx="46">
                  <c:v>2.7722269445972964E-2</c:v>
                </c:pt>
                <c:pt idx="47">
                  <c:v>2.7779984025801566E-2</c:v>
                </c:pt>
                <c:pt idx="48">
                  <c:v>2.7837635991299809E-2</c:v>
                </c:pt>
                <c:pt idx="49">
                  <c:v>2.7895223178505405E-2</c:v>
                </c:pt>
                <c:pt idx="50">
                  <c:v>2.7952743705176284E-2</c:v>
                </c:pt>
                <c:pt idx="51">
                  <c:v>2.8010196012233424E-2</c:v>
                </c:pt>
                <c:pt idx="52">
                  <c:v>2.8067578903353506E-2</c:v>
                </c:pt>
                <c:pt idx="53">
                  <c:v>2.8124891582350462E-2</c:v>
                </c:pt>
                <c:pt idx="54">
                  <c:v>2.8182133688014629E-2</c:v>
                </c:pt>
                <c:pt idx="55">
                  <c:v>2.8239305326110707E-2</c:v>
                </c:pt>
                <c:pt idx="56">
                  <c:v>2.8296407098270176E-2</c:v>
                </c:pt>
                <c:pt idx="57">
                  <c:v>2.8353440127551355E-2</c:v>
                </c:pt>
                <c:pt idx="58">
                  <c:v>2.8410406080478009E-2</c:v>
                </c:pt>
                <c:pt idx="59">
                  <c:v>2.8467307185407312E-2</c:v>
                </c:pt>
                <c:pt idx="60">
                  <c:v>2.852414624711792E-2</c:v>
                </c:pt>
                <c:pt idx="61">
                  <c:v>2.8580926657548973E-2</c:v>
                </c:pt>
                <c:pt idx="62">
                  <c:v>2.8637652402660817E-2</c:v>
                </c:pt>
                <c:pt idx="63">
                  <c:v>2.8694328065427075E-2</c:v>
                </c:pt>
                <c:pt idx="64">
                  <c:v>2.8750958825005734E-2</c:v>
                </c:pt>
                <c:pt idx="65">
                  <c:v>2.8807550452172453E-2</c:v>
                </c:pt>
                <c:pt idx="66">
                  <c:v>2.8864109301133842E-2</c:v>
                </c:pt>
                <c:pt idx="67">
                  <c:v>2.8920642297869684E-2</c:v>
                </c:pt>
                <c:pt idx="68">
                  <c:v>2.897715692518181E-2</c:v>
                </c:pt>
                <c:pt idx="69">
                  <c:v>2.9033661204653265E-2</c:v>
                </c:pt>
                <c:pt idx="70">
                  <c:v>2.9090163675743651E-2</c:v>
                </c:pt>
                <c:pt idx="71">
                  <c:v>2.9146673372265355E-2</c:v>
                </c:pt>
                <c:pt idx="72">
                  <c:v>2.9203199796500871E-2</c:v>
                </c:pt>
                <c:pt idx="73">
                  <c:v>2.9259752891232414E-2</c:v>
                </c:pt>
                <c:pt idx="74">
                  <c:v>2.9316343009963129E-2</c:v>
                </c:pt>
                <c:pt idx="75">
                  <c:v>2.937298088561233E-2</c:v>
                </c:pt>
                <c:pt idx="76">
                  <c:v>2.9429677597967833E-2</c:v>
                </c:pt>
                <c:pt idx="77">
                  <c:v>2.9486444540173819E-2</c:v>
                </c:pt>
                <c:pt idx="78">
                  <c:v>2.9543293384526045E-2</c:v>
                </c:pt>
                <c:pt idx="79">
                  <c:v>2.9600236047834624E-2</c:v>
                </c:pt>
                <c:pt idx="80">
                  <c:v>2.9657284656601245E-2</c:v>
                </c:pt>
                <c:pt idx="81">
                  <c:v>2.9714451512240062E-2</c:v>
                </c:pt>
                <c:pt idx="82">
                  <c:v>2.9771749056552405E-2</c:v>
                </c:pt>
                <c:pt idx="83">
                  <c:v>2.9829189837643211E-2</c:v>
                </c:pt>
                <c:pt idx="84">
                  <c:v>2.9886786476443029E-2</c:v>
                </c:pt>
                <c:pt idx="85">
                  <c:v>2.9944551633974477E-2</c:v>
                </c:pt>
                <c:pt idx="86">
                  <c:v>3.0002497979474733E-2</c:v>
                </c:pt>
                <c:pt idx="87">
                  <c:v>3.0060638159458621E-2</c:v>
                </c:pt>
                <c:pt idx="88">
                  <c:v>3.0118984767778929E-2</c:v>
                </c:pt>
                <c:pt idx="89">
                  <c:v>3.0177550316712834E-2</c:v>
                </c:pt>
                <c:pt idx="90">
                  <c:v>3.0236347209076191E-2</c:v>
                </c:pt>
                <c:pt idx="91">
                  <c:v>3.0295387711340958E-2</c:v>
                </c:pt>
                <c:pt idx="92">
                  <c:v>3.0354683927706384E-2</c:v>
                </c:pt>
                <c:pt idx="93">
                  <c:v>3.0414247775050772E-2</c:v>
                </c:pt>
                <c:pt idx="94">
                  <c:v>3.047409095866992E-2</c:v>
                </c:pt>
                <c:pt idx="95">
                  <c:v>3.0534224948689088E-2</c:v>
                </c:pt>
                <c:pt idx="96">
                  <c:v>3.0594660957019397E-2</c:v>
                </c:pt>
                <c:pt idx="97">
                  <c:v>3.0655409914716145E-2</c:v>
                </c:pt>
                <c:pt idx="98">
                  <c:v>3.0716482449586725E-2</c:v>
                </c:pt>
                <c:pt idx="99">
                  <c:v>3.0777888863888908E-2</c:v>
                </c:pt>
                <c:pt idx="100">
                  <c:v>3.0839639111957074E-2</c:v>
                </c:pt>
                <c:pt idx="101">
                  <c:v>3.0901742777594624E-2</c:v>
                </c:pt>
                <c:pt idx="102">
                  <c:v>3.0964209051074412E-2</c:v>
                </c:pt>
                <c:pt idx="103">
                  <c:v>3.1027046705596837E-2</c:v>
                </c:pt>
                <c:pt idx="104">
                  <c:v>3.1090264073066604E-2</c:v>
                </c:pt>
                <c:pt idx="105">
                  <c:v>3.1153869019063363E-2</c:v>
                </c:pt>
                <c:pt idx="106">
                  <c:v>3.1217868916899733E-2</c:v>
                </c:pt>
                <c:pt idx="107">
                  <c:v>3.1282270620681014E-2</c:v>
                </c:pt>
                <c:pt idx="108">
                  <c:v>3.1347080437304879E-2</c:v>
                </c:pt>
                <c:pt idx="109">
                  <c:v>3.1412304097365576E-2</c:v>
                </c:pt>
                <c:pt idx="110">
                  <c:v>3.1477946724955935E-2</c:v>
                </c:pt>
                <c:pt idx="111">
                  <c:v>3.1544012806391131E-2</c:v>
                </c:pt>
                <c:pt idx="112">
                  <c:v>3.1610506157909668E-2</c:v>
                </c:pt>
                <c:pt idx="113">
                  <c:v>3.1677429892440601E-2</c:v>
                </c:pt>
                <c:pt idx="114">
                  <c:v>3.1744786385559325E-2</c:v>
                </c:pt>
                <c:pt idx="115">
                  <c:v>3.1812577240788051E-2</c:v>
                </c:pt>
                <c:pt idx="116">
                  <c:v>3.1880803254430982E-2</c:v>
                </c:pt>
                <c:pt idx="117">
                  <c:v>3.1949464380166062E-2</c:v>
                </c:pt>
                <c:pt idx="118">
                  <c:v>3.2018559693647489E-2</c:v>
                </c:pt>
                <c:pt idx="119">
                  <c:v>3.2088087357402179E-2</c:v>
                </c:pt>
                <c:pt idx="120">
                  <c:v>3.2158044586331418E-2</c:v>
                </c:pt>
                <c:pt idx="121">
                  <c:v>3.22284276141531E-2</c:v>
                </c:pt>
                <c:pt idx="122">
                  <c:v>3.229923166114259E-2</c:v>
                </c:pt>
                <c:pt idx="123">
                  <c:v>3.2370450903547995E-2</c:v>
                </c:pt>
                <c:pt idx="124">
                  <c:v>3.2442078445070674E-2</c:v>
                </c:pt>
                <c:pt idx="125">
                  <c:v>3.2514106290811882E-2</c:v>
                </c:pt>
                <c:pt idx="126">
                  <c:v>3.2586525324093264E-2</c:v>
                </c:pt>
                <c:pt idx="127">
                  <c:v>3.2659325286559841E-2</c:v>
                </c:pt>
                <c:pt idx="128">
                  <c:v>3.2732494761971181E-2</c:v>
                </c:pt>
                <c:pt idx="129">
                  <c:v>3.280602116407863E-2</c:v>
                </c:pt>
                <c:pt idx="130">
                  <c:v>3.2879890728973009E-2</c:v>
                </c:pt>
                <c:pt idx="131">
                  <c:v>3.2954088512269504E-2</c:v>
                </c:pt>
                <c:pt idx="132">
                  <c:v>3.3028598391473339E-2</c:v>
                </c:pt>
                <c:pt idx="133">
                  <c:v>3.3103403073842456E-2</c:v>
                </c:pt>
                <c:pt idx="134">
                  <c:v>3.3178484110030569E-2</c:v>
                </c:pt>
                <c:pt idx="135">
                  <c:v>3.3253821913757642E-2</c:v>
                </c:pt>
                <c:pt idx="136">
                  <c:v>3.3329395787713559E-2</c:v>
                </c:pt>
                <c:pt idx="137">
                  <c:v>3.3405183955856135E-2</c:v>
                </c:pt>
                <c:pt idx="138">
                  <c:v>3.3481163602216493E-2</c:v>
                </c:pt>
                <c:pt idx="139">
                  <c:v>3.3557310916273203E-2</c:v>
                </c:pt>
                <c:pt idx="140">
                  <c:v>3.3633601144903338E-2</c:v>
                </c:pt>
                <c:pt idx="141">
                  <c:v>3.3710008650862176E-2</c:v>
                </c:pt>
                <c:pt idx="142">
                  <c:v>3.3786506977686433E-2</c:v>
                </c:pt>
                <c:pt idx="143">
                  <c:v>3.3863068920857019E-2</c:v>
                </c:pt>
                <c:pt idx="144">
                  <c:v>3.3939666604999204E-2</c:v>
                </c:pt>
                <c:pt idx="145">
                  <c:v>3.4016271566839132E-2</c:v>
                </c:pt>
                <c:pt idx="146">
                  <c:v>3.4092854843578185E-2</c:v>
                </c:pt>
                <c:pt idx="147">
                  <c:v>3.4169387066290767E-2</c:v>
                </c:pt>
                <c:pt idx="148">
                  <c:v>3.4245838557896306E-2</c:v>
                </c:pt>
                <c:pt idx="149">
                  <c:v>3.4322179435205713E-2</c:v>
                </c:pt>
                <c:pt idx="150">
                  <c:v>3.4398379714493554E-2</c:v>
                </c:pt>
                <c:pt idx="151">
                  <c:v>3.4474409420003162E-2</c:v>
                </c:pt>
                <c:pt idx="152">
                  <c:v>3.4550238694751711E-2</c:v>
                </c:pt>
                <c:pt idx="153">
                  <c:v>3.4625837912967056E-2</c:v>
                </c:pt>
                <c:pt idx="154">
                  <c:v>3.4701177793457924E-2</c:v>
                </c:pt>
                <c:pt idx="155">
                  <c:v>3.4776229513194715E-2</c:v>
                </c:pt>
                <c:pt idx="156">
                  <c:v>3.4850964820359868E-2</c:v>
                </c:pt>
                <c:pt idx="157">
                  <c:v>3.492535614611441E-2</c:v>
                </c:pt>
                <c:pt idx="158">
                  <c:v>3.4999376714321857E-2</c:v>
                </c:pt>
                <c:pt idx="159">
                  <c:v>3.5073000648471547E-2</c:v>
                </c:pt>
                <c:pt idx="160">
                  <c:v>3.5146203075051327E-2</c:v>
                </c:pt>
                <c:pt idx="161">
                  <c:v>3.5218960222634363E-2</c:v>
                </c:pt>
                <c:pt idx="162">
                  <c:v>3.5291249515965656E-2</c:v>
                </c:pt>
                <c:pt idx="163">
                  <c:v>3.5363049664362683E-2</c:v>
                </c:pt>
                <c:pt idx="164">
                  <c:v>3.5434340743778242E-2</c:v>
                </c:pt>
                <c:pt idx="165">
                  <c:v>3.5505104271914965E-2</c:v>
                </c:pt>
                <c:pt idx="166">
                  <c:v>3.557532327582727E-2</c:v>
                </c:pt>
                <c:pt idx="167">
                  <c:v>3.5644982351498683E-2</c:v>
                </c:pt>
                <c:pt idx="168">
                  <c:v>3.5714067714940151E-2</c:v>
                </c:pt>
                <c:pt idx="169">
                  <c:v>3.5782567244416322E-2</c:v>
                </c:pt>
                <c:pt idx="170">
                  <c:v>3.5850470513472975E-2</c:v>
                </c:pt>
                <c:pt idx="171">
                  <c:v>3.5917768814508665E-2</c:v>
                </c:pt>
                <c:pt idx="172">
                  <c:v>3.5984455172705015E-2</c:v>
                </c:pt>
                <c:pt idx="173">
                  <c:v>3.6050524350205497E-2</c:v>
                </c:pt>
                <c:pt idx="174">
                  <c:v>3.6115972840508069E-2</c:v>
                </c:pt>
                <c:pt idx="175">
                  <c:v>3.618079885311367E-2</c:v>
                </c:pt>
                <c:pt idx="176">
                  <c:v>3.6245002288549794E-2</c:v>
                </c:pt>
                <c:pt idx="177">
                  <c:v>3.630858470396426E-2</c:v>
                </c:pt>
                <c:pt idx="178">
                  <c:v>3.6371549269558649E-2</c:v>
                </c:pt>
                <c:pt idx="179">
                  <c:v>3.6433900716204379E-2</c:v>
                </c:pt>
                <c:pt idx="180">
                  <c:v>3.6495645274652946E-2</c:v>
                </c:pt>
                <c:pt idx="181">
                  <c:v>3.6556790606818976E-2</c:v>
                </c:pt>
                <c:pt idx="182">
                  <c:v>3.6617345729676405E-2</c:v>
                </c:pt>
                <c:pt idx="183">
                  <c:v>3.6677320932365025E-2</c:v>
                </c:pt>
                <c:pt idx="184">
                  <c:v>3.6736727687157272E-2</c:v>
                </c:pt>
                <c:pt idx="185">
                  <c:v>3.6795578554980196E-2</c:v>
                </c:pt>
                <c:pt idx="186">
                  <c:v>3.6853887086228027E-2</c:v>
                </c:pt>
                <c:pt idx="187">
                  <c:v>3.6911667717633163E-2</c:v>
                </c:pt>
                <c:pt idx="188">
                  <c:v>3.6968935665989515E-2</c:v>
                </c:pt>
                <c:pt idx="189">
                  <c:v>3.702570681954058E-2</c:v>
                </c:pt>
                <c:pt idx="190">
                  <c:v>3.7081997627855849E-2</c:v>
                </c:pt>
                <c:pt idx="191">
                  <c:v>3.713782499102225E-2</c:v>
                </c:pt>
                <c:pt idx="192">
                  <c:v>3.719320614897343E-2</c:v>
                </c:pt>
                <c:pt idx="193">
                  <c:v>3.7248158571767699E-2</c:v>
                </c:pt>
                <c:pt idx="194">
                  <c:v>3.7302699851606093E-2</c:v>
                </c:pt>
                <c:pt idx="195">
                  <c:v>3.7356847597355428E-2</c:v>
                </c:pt>
                <c:pt idx="196">
                  <c:v>3.7410619332307694E-2</c:v>
                </c:pt>
                <c:pt idx="197">
                  <c:v>3.7464032395866806E-2</c:v>
                </c:pt>
                <c:pt idx="198">
                  <c:v>3.7517103849806922E-2</c:v>
                </c:pt>
                <c:pt idx="199">
                  <c:v>3.7569850389694806E-2</c:v>
                </c:pt>
                <c:pt idx="200">
                  <c:v>3.76222882620105E-2</c:v>
                </c:pt>
                <c:pt idx="201">
                  <c:v>3.7674433187439113E-2</c:v>
                </c:pt>
                <c:pt idx="202">
                  <c:v>3.7726300290739721E-2</c:v>
                </c:pt>
                <c:pt idx="203">
                  <c:v>3.7777904037528516E-2</c:v>
                </c:pt>
                <c:pt idx="204">
                  <c:v>3.7829258178241003E-2</c:v>
                </c:pt>
                <c:pt idx="205">
                  <c:v>3.7880375699464452E-2</c:v>
                </c:pt>
                <c:pt idx="206">
                  <c:v>3.793126878275678E-2</c:v>
                </c:pt>
                <c:pt idx="207">
                  <c:v>3.7981948770993187E-2</c:v>
                </c:pt>
                <c:pt idx="208">
                  <c:v>3.8032426142207025E-2</c:v>
                </c:pt>
                <c:pt idx="209">
                  <c:v>3.8082710490818523E-2</c:v>
                </c:pt>
                <c:pt idx="210">
                  <c:v>3.8132810516073305E-2</c:v>
                </c:pt>
                <c:pt idx="211">
                  <c:v>3.8182734017444896E-2</c:v>
                </c:pt>
                <c:pt idx="212">
                  <c:v>3.8232487896690232E-2</c:v>
                </c:pt>
                <c:pt idx="213">
                  <c:v>3.828207816618668E-2</c:v>
                </c:pt>
                <c:pt idx="214">
                  <c:v>3.833150996312383E-2</c:v>
                </c:pt>
                <c:pt idx="215">
                  <c:v>3.8380787569072379E-2</c:v>
                </c:pt>
                <c:pt idx="216">
                  <c:v>3.842991443440897E-2</c:v>
                </c:pt>
                <c:pt idx="217">
                  <c:v>3.8478893207037554E-2</c:v>
                </c:pt>
                <c:pt idx="218">
                  <c:v>3.8527725764817042E-2</c:v>
                </c:pt>
                <c:pt idx="219">
                  <c:v>3.8576413251081458E-2</c:v>
                </c:pt>
                <c:pt idx="220">
                  <c:v>3.8624956112621928E-2</c:v>
                </c:pt>
                <c:pt idx="221">
                  <c:v>3.8673354139491647E-2</c:v>
                </c:pt>
                <c:pt idx="222">
                  <c:v>3.8721606505993218E-2</c:v>
                </c:pt>
                <c:pt idx="223">
                  <c:v>3.8769711812214759E-2</c:v>
                </c:pt>
                <c:pt idx="224">
                  <c:v>3.8817668125494594E-2</c:v>
                </c:pt>
                <c:pt idx="225">
                  <c:v>3.8865473021216394E-2</c:v>
                </c:pt>
                <c:pt idx="226">
                  <c:v>3.8913123622364681E-2</c:v>
                </c:pt>
                <c:pt idx="227">
                  <c:v>3.8960616637306114E-2</c:v>
                </c:pt>
                <c:pt idx="228">
                  <c:v>3.9007948395303561E-2</c:v>
                </c:pt>
                <c:pt idx="229">
                  <c:v>3.9055114879317968E-2</c:v>
                </c:pt>
                <c:pt idx="230">
                  <c:v>3.910211175570516E-2</c:v>
                </c:pt>
                <c:pt idx="231">
                  <c:v>3.9148934400473401E-2</c:v>
                </c:pt>
                <c:pt idx="232">
                  <c:v>3.9195577921828623E-2</c:v>
                </c:pt>
                <c:pt idx="233">
                  <c:v>3.9242037178799434E-2</c:v>
                </c:pt>
                <c:pt idx="234">
                  <c:v>3.9288306795802176E-2</c:v>
                </c:pt>
                <c:pt idx="235">
                  <c:v>3.9334381173075278E-2</c:v>
                </c:pt>
                <c:pt idx="236">
                  <c:v>3.9380254492983241E-2</c:v>
                </c:pt>
                <c:pt idx="237">
                  <c:v>3.9425920722260775E-2</c:v>
                </c:pt>
                <c:pt idx="238">
                  <c:v>3.9471373610338277E-2</c:v>
                </c:pt>
                <c:pt idx="239">
                  <c:v>3.9516606683957782E-2</c:v>
                </c:pt>
                <c:pt idx="240">
                  <c:v>3.956161323835538E-2</c:v>
                </c:pt>
                <c:pt idx="241">
                  <c:v>3.9606386325348672E-2</c:v>
                </c:pt>
                <c:pt idx="242">
                  <c:v>3.9650918738727461E-2</c:v>
                </c:pt>
                <c:pt idx="243">
                  <c:v>3.9695202997400411E-2</c:v>
                </c:pt>
                <c:pt idx="244">
                  <c:v>3.9739231326799504E-2</c:v>
                </c:pt>
                <c:pt idx="245">
                  <c:v>3.9782995639087708E-2</c:v>
                </c:pt>
                <c:pt idx="246">
                  <c:v>3.982648751275196E-2</c:v>
                </c:pt>
                <c:pt idx="247">
                  <c:v>3.9869698172193498E-2</c:v>
                </c:pt>
                <c:pt idx="248">
                  <c:v>3.991261846794953E-2</c:v>
                </c:pt>
                <c:pt idx="249">
                  <c:v>3.9955238858195269E-2</c:v>
                </c:pt>
                <c:pt idx="250">
                  <c:v>3.9997549392181246E-2</c:v>
                </c:pt>
                <c:pt idx="251">
                  <c:v>4.003953969625941E-2</c:v>
                </c:pt>
                <c:pt idx="252">
                  <c:v>4.008119896314092E-2</c:v>
                </c:pt>
                <c:pt idx="253">
                  <c:v>4.0122515945010186E-2</c:v>
                </c:pt>
                <c:pt idx="254">
                  <c:v>4.0163478951092874E-2</c:v>
                </c:pt>
                <c:pt idx="255">
                  <c:v>4.0204075850240266E-2</c:v>
                </c:pt>
                <c:pt idx="256">
                  <c:v>4.0244294079050336E-2</c:v>
                </c:pt>
                <c:pt idx="257">
                  <c:v>4.0284120655994682E-2</c:v>
                </c:pt>
                <c:pt idx="258">
                  <c:v>4.0323542201964248E-2</c:v>
                </c:pt>
                <c:pt idx="259">
                  <c:v>4.0362544967582209E-2</c:v>
                </c:pt>
                <c:pt idx="260">
                  <c:v>4.0401114867563433E-2</c:v>
                </c:pt>
                <c:pt idx="261">
                  <c:v>4.0439237522324728E-2</c:v>
                </c:pt>
                <c:pt idx="262">
                  <c:v>4.0476898306971237E-2</c:v>
                </c:pt>
                <c:pt idx="263">
                  <c:v>4.0514082407700977E-2</c:v>
                </c:pt>
                <c:pt idx="264">
                  <c:v>4.0550774885584576E-2</c:v>
                </c:pt>
                <c:pt idx="265">
                  <c:v>4.0586960747588822E-2</c:v>
                </c:pt>
                <c:pt idx="266">
                  <c:v>4.0622625024624825E-2</c:v>
                </c:pt>
                <c:pt idx="267">
                  <c:v>4.0657752856312346E-2</c:v>
                </c:pt>
                <c:pt idx="268">
                  <c:v>4.0692329582064514E-2</c:v>
                </c:pt>
                <c:pt idx="269">
                  <c:v>4.0726340838011271E-2</c:v>
                </c:pt>
                <c:pt idx="270">
                  <c:v>4.0759772659196399E-2</c:v>
                </c:pt>
                <c:pt idx="271">
                  <c:v>4.0792611586404195E-2</c:v>
                </c:pt>
                <c:pt idx="272">
                  <c:v>4.082484477689699E-2</c:v>
                </c:pt>
                <c:pt idx="273">
                  <c:v>4.0856460118275262E-2</c:v>
                </c:pt>
                <c:pt idx="274">
                  <c:v>4.0887446344609779E-2</c:v>
                </c:pt>
                <c:pt idx="275">
                  <c:v>4.0917793153939112E-2</c:v>
                </c:pt>
                <c:pt idx="276">
                  <c:v>4.0947491326177948E-2</c:v>
                </c:pt>
                <c:pt idx="277">
                  <c:v>4.0976532840442489E-2</c:v>
                </c:pt>
                <c:pt idx="278">
                  <c:v>4.1004910990768119E-2</c:v>
                </c:pt>
                <c:pt idx="279">
                  <c:v>4.1032620499174076E-2</c:v>
                </c:pt>
                <c:pt idx="280">
                  <c:v>4.1059657625018127E-2</c:v>
                </c:pt>
                <c:pt idx="281">
                  <c:v>4.1086020269583537E-2</c:v>
                </c:pt>
                <c:pt idx="282">
                  <c:v>4.1111708074849297E-2</c:v>
                </c:pt>
                <c:pt idx="283">
                  <c:v>4.1136722515414503E-2</c:v>
                </c:pt>
                <c:pt idx="284">
                  <c:v>4.1161066982577321E-2</c:v>
                </c:pt>
                <c:pt idx="285">
                  <c:v>4.1184746859609225E-2</c:v>
                </c:pt>
                <c:pt idx="286">
                  <c:v>4.1207769587314931E-2</c:v>
                </c:pt>
                <c:pt idx="287">
                  <c:v>4.1230144719028451E-2</c:v>
                </c:pt>
                <c:pt idx="288">
                  <c:v>4.1251883964264137E-2</c:v>
                </c:pt>
                <c:pt idx="289">
                  <c:v>4.1273001220319357E-2</c:v>
                </c:pt>
                <c:pt idx="290">
                  <c:v>4.1293512591210987E-2</c:v>
                </c:pt>
                <c:pt idx="291">
                  <c:v>4.131343639342052E-2</c:v>
                </c:pt>
                <c:pt idx="292">
                  <c:v>4.1332793148022212E-2</c:v>
                </c:pt>
                <c:pt idx="293">
                  <c:v>4.1351605558873954E-2</c:v>
                </c:pt>
                <c:pt idx="294">
                  <c:v>4.1369898476659762E-2</c:v>
                </c:pt>
                <c:pt idx="295">
                  <c:v>4.1387698848687253E-2</c:v>
                </c:pt>
                <c:pt idx="296">
                  <c:v>4.1405035654459077E-2</c:v>
                </c:pt>
                <c:pt idx="297">
                  <c:v>4.1421939827155703E-2</c:v>
                </c:pt>
                <c:pt idx="298">
                  <c:v>4.143844416128549E-2</c:v>
                </c:pt>
                <c:pt idx="299">
                  <c:v>4.1454583206876026E-2</c:v>
                </c:pt>
                <c:pt idx="300">
                  <c:v>4.1470393150697275E-2</c:v>
                </c:pt>
                <c:pt idx="301">
                  <c:v>4.1485911685120586E-2</c:v>
                </c:pt>
                <c:pt idx="302">
                  <c:v>4.1501177865327921E-2</c:v>
                </c:pt>
                <c:pt idx="303">
                  <c:v>4.1516231955690173E-2</c:v>
                </c:pt>
                <c:pt idx="304">
                  <c:v>4.1531115266233237E-2</c:v>
                </c:pt>
                <c:pt idx="305">
                  <c:v>4.154586998020194E-2</c:v>
                </c:pt>
                <c:pt idx="306">
                  <c:v>4.1560538973817333E-2</c:v>
                </c:pt>
                <c:pt idx="307">
                  <c:v>4.1575165629398017E-2</c:v>
                </c:pt>
                <c:pt idx="308">
                  <c:v>4.1589793643083024E-2</c:v>
                </c:pt>
                <c:pt idx="309">
                  <c:v>4.1604466828449954E-2</c:v>
                </c:pt>
                <c:pt idx="310">
                  <c:v>4.1619228917368203E-2</c:v>
                </c:pt>
                <c:pt idx="311">
                  <c:v>4.1634123359461213E-2</c:v>
                </c:pt>
                <c:pt idx="312">
                  <c:v>4.164919312157514E-2</c:v>
                </c:pt>
                <c:pt idx="313">
                  <c:v>4.1664480488662323E-2</c:v>
                </c:pt>
                <c:pt idx="314">
                  <c:v>4.16800268674875E-2</c:v>
                </c:pt>
                <c:pt idx="315">
                  <c:v>4.1695872594551327E-2</c:v>
                </c:pt>
                <c:pt idx="316">
                  <c:v>4.1712056749601614E-2</c:v>
                </c:pt>
                <c:pt idx="317">
                  <c:v>4.172861697606562E-2</c:v>
                </c:pt>
                <c:pt idx="318">
                  <c:v>4.1745589309688511E-2</c:v>
                </c:pt>
                <c:pt idx="319">
                  <c:v>4.1763008016604222E-2</c:v>
                </c:pt>
                <c:pt idx="320">
                  <c:v>4.1780905441994108E-2</c:v>
                </c:pt>
                <c:pt idx="321">
                  <c:v>4.1799311870409632E-2</c:v>
                </c:pt>
                <c:pt idx="322">
                  <c:v>4.1818255398744938E-2</c:v>
                </c:pt>
                <c:pt idx="323">
                  <c:v>4.183776182274785E-2</c:v>
                </c:pt>
                <c:pt idx="324">
                  <c:v>4.1857854537851472E-2</c:v>
                </c:pt>
                <c:pt idx="325">
                  <c:v>4.1878554454996338E-2</c:v>
                </c:pt>
                <c:pt idx="326">
                  <c:v>4.1899879931994524E-2</c:v>
                </c:pt>
                <c:pt idx="327">
                  <c:v>4.1921846720864034E-2</c:v>
                </c:pt>
                <c:pt idx="328">
                  <c:v>4.1944467931435164E-2</c:v>
                </c:pt>
                <c:pt idx="329">
                  <c:v>4.1967754011401182E-2</c:v>
                </c:pt>
                <c:pt idx="330">
                  <c:v>4.199171274285534E-2</c:v>
                </c:pt>
                <c:pt idx="331">
                  <c:v>4.2016349255225315E-2</c:v>
                </c:pt>
                <c:pt idx="332">
                  <c:v>4.2041666054386868E-2</c:v>
                </c:pt>
                <c:pt idx="333">
                  <c:v>4.2067663067610915E-2</c:v>
                </c:pt>
                <c:pt idx="334">
                  <c:v>4.2094337703873899E-2</c:v>
                </c:pt>
                <c:pt idx="335">
                  <c:v>4.2121684928942256E-2</c:v>
                </c:pt>
                <c:pt idx="336">
                  <c:v>4.2149697354527248E-2</c:v>
                </c:pt>
                <c:pt idx="337">
                  <c:v>4.217836534069893E-2</c:v>
                </c:pt>
                <c:pt idx="338">
                  <c:v>4.2207677110648205E-2</c:v>
                </c:pt>
                <c:pt idx="339">
                  <c:v>4.2237618876793906E-2</c:v>
                </c:pt>
                <c:pt idx="340">
                  <c:v>4.2268174977149478E-2</c:v>
                </c:pt>
                <c:pt idx="341">
                  <c:v>4.2299328020791407E-2</c:v>
                </c:pt>
                <c:pt idx="342">
                  <c:v>4.233105904120886E-2</c:v>
                </c:pt>
                <c:pt idx="343">
                  <c:v>4.2363347656263498E-2</c:v>
                </c:pt>
                <c:pt idx="344">
                  <c:v>4.2396172233448229E-2</c:v>
                </c:pt>
                <c:pt idx="345">
                  <c:v>4.2429510059105988E-2</c:v>
                </c:pt>
                <c:pt idx="346">
                  <c:v>4.2463337510253288E-2</c:v>
                </c:pt>
                <c:pt idx="347">
                  <c:v>4.2497630227649644E-2</c:v>
                </c:pt>
                <c:pt idx="348">
                  <c:v>4.2532363288761178E-2</c:v>
                </c:pt>
                <c:pt idx="349">
                  <c:v>4.2567511379286965E-2</c:v>
                </c:pt>
                <c:pt idx="350">
                  <c:v>4.2603048961947519E-2</c:v>
                </c:pt>
                <c:pt idx="351">
                  <c:v>4.2638950441277267E-2</c:v>
                </c:pt>
                <c:pt idx="352">
                  <c:v>4.2675190323215997E-2</c:v>
                </c:pt>
                <c:pt idx="353">
                  <c:v>4.2711743368357057E-2</c:v>
                </c:pt>
                <c:pt idx="354">
                  <c:v>4.2748584737783368E-2</c:v>
                </c:pt>
                <c:pt idx="355">
                  <c:v>4.2785690130502763E-2</c:v>
                </c:pt>
                <c:pt idx="356">
                  <c:v>4.2823035911584116E-2</c:v>
                </c:pt>
                <c:pt idx="357">
                  <c:v>4.2860599230191393E-2</c:v>
                </c:pt>
                <c:pt idx="358">
                  <c:v>4.289835812681516E-2</c:v>
                </c:pt>
                <c:pt idx="359">
                  <c:v>4.293629162910808E-2</c:v>
                </c:pt>
                <c:pt idx="360">
                  <c:v>4.2974379835842375E-2</c:v>
                </c:pt>
                <c:pt idx="361">
                  <c:v>4.3012603988620834E-2</c:v>
                </c:pt>
                <c:pt idx="362">
                  <c:v>4.3050946531088992E-2</c:v>
                </c:pt>
                <c:pt idx="363">
                  <c:v>4.3089391155512573E-2</c:v>
                </c:pt>
                <c:pt idx="364">
                  <c:v>4.3127922836700056E-2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'2031'!$P$14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'2031'!$P$15:$P$380</c:f>
              <c:numCache>
                <c:formatCode>0.00%</c:formatCode>
                <c:ptCount val="366"/>
                <c:pt idx="0">
                  <c:v>1.0909548799360425E-3</c:v>
                </c:pt>
                <c:pt idx="1">
                  <c:v>1.1049005647874339E-3</c:v>
                </c:pt>
                <c:pt idx="2">
                  <c:v>1.1189832632816892E-3</c:v>
                </c:pt>
                <c:pt idx="3">
                  <c:v>1.133202707851978E-3</c:v>
                </c:pt>
                <c:pt idx="4">
                  <c:v>1.1475595546246269E-3</c:v>
                </c:pt>
                <c:pt idx="5">
                  <c:v>1.1620553732888095E-3</c:v>
                </c:pt>
                <c:pt idx="6">
                  <c:v>1.1766926317998908E-3</c:v>
                </c:pt>
                <c:pt idx="7">
                  <c:v>1.1914746772648298E-3</c:v>
                </c:pt>
                <c:pt idx="8">
                  <c:v>1.2062857086688095E-3</c:v>
                </c:pt>
                <c:pt idx="9">
                  <c:v>1.218296133534386E-3</c:v>
                </c:pt>
                <c:pt idx="10">
                  <c:v>1.2261312181058167E-3</c:v>
                </c:pt>
                <c:pt idx="11">
                  <c:v>1.2299140797644619E-3</c:v>
                </c:pt>
                <c:pt idx="12">
                  <c:v>1.2297727809993202E-3</c:v>
                </c:pt>
                <c:pt idx="13">
                  <c:v>1.2258388324952504E-3</c:v>
                </c:pt>
                <c:pt idx="14">
                  <c:v>1.218245802298089E-3</c:v>
                </c:pt>
                <c:pt idx="15">
                  <c:v>1.2075437839259354E-3</c:v>
                </c:pt>
                <c:pt idx="16">
                  <c:v>1.1946306631378796E-3</c:v>
                </c:pt>
                <c:pt idx="17">
                  <c:v>1.179603649656057E-3</c:v>
                </c:pt>
                <c:pt idx="18">
                  <c:v>1.1625577190570696E-3</c:v>
                </c:pt>
                <c:pt idx="19">
                  <c:v>1.143590456596185E-3</c:v>
                </c:pt>
                <c:pt idx="20">
                  <c:v>1.1227982445997206E-3</c:v>
                </c:pt>
                <c:pt idx="21">
                  <c:v>1.1002692518840491E-3</c:v>
                </c:pt>
                <c:pt idx="22">
                  <c:v>1.0759897801737284E-3</c:v>
                </c:pt>
                <c:pt idx="23">
                  <c:v>1.0490955488143179E-3</c:v>
                </c:pt>
                <c:pt idx="24">
                  <c:v>1.022052880963231E-3</c:v>
                </c:pt>
                <c:pt idx="25">
                  <c:v>9.949033364363897E-4</c:v>
                </c:pt>
                <c:pt idx="26">
                  <c:v>9.6768480660095412E-4</c:v>
                </c:pt>
                <c:pt idx="27">
                  <c:v>9.4043160562972804E-4</c:v>
                </c:pt>
                <c:pt idx="28">
                  <c:v>9.1317458282773637E-4</c:v>
                </c:pt>
                <c:pt idx="29">
                  <c:v>8.8378755455425118E-4</c:v>
                </c:pt>
                <c:pt idx="30">
                  <c:v>8.5200800322837288E-4</c:v>
                </c:pt>
                <c:pt idx="31">
                  <c:v>8.1793571263592487E-4</c:v>
                </c:pt>
                <c:pt idx="32">
                  <c:v>7.8166507047002073E-4</c:v>
                </c:pt>
                <c:pt idx="33">
                  <c:v>7.4328491252142993E-4</c:v>
                </c:pt>
                <c:pt idx="34">
                  <c:v>7.028784183714874E-4</c:v>
                </c:pt>
                <c:pt idx="35">
                  <c:v>6.6052305204218858E-4</c:v>
                </c:pt>
                <c:pt idx="36">
                  <c:v>6.1623597061850931E-4</c:v>
                </c:pt>
                <c:pt idx="37">
                  <c:v>5.7172859416362366E-4</c:v>
                </c:pt>
                <c:pt idx="38">
                  <c:v>5.2777150817324547E-4</c:v>
                </c:pt>
                <c:pt idx="39">
                  <c:v>4.8437550504807617E-4</c:v>
                </c:pt>
                <c:pt idx="40">
                  <c:v>4.4154661340376741E-4</c:v>
                </c:pt>
                <c:pt idx="41">
                  <c:v>3.9928647906084378E-4</c:v>
                </c:pt>
                <c:pt idx="42">
                  <c:v>3.5759272700726228E-4</c:v>
                </c:pt>
                <c:pt idx="43">
                  <c:v>3.1806204627457248E-4</c:v>
                </c:pt>
                <c:pt idx="44">
                  <c:v>2.8247768890756267E-4</c:v>
                </c:pt>
                <c:pt idx="45">
                  <c:v>2.5072618986006381E-4</c:v>
                </c:pt>
                <c:pt idx="46">
                  <c:v>2.2269639753819112E-4</c:v>
                </c:pt>
                <c:pt idx="47">
                  <c:v>1.9828010664895226E-4</c:v>
                </c:pt>
                <c:pt idx="48">
                  <c:v>1.7737261094460309E-4</c:v>
                </c:pt>
                <c:pt idx="49">
                  <c:v>1.5987318545950064E-4</c:v>
                </c:pt>
                <c:pt idx="50">
                  <c:v>1.4567507062294096E-4</c:v>
                </c:pt>
                <c:pt idx="51">
                  <c:v>1.3443682017944206E-4</c:v>
                </c:pt>
                <c:pt idx="52">
                  <c:v>1.246318153653868E-4</c:v>
                </c:pt>
                <c:pt idx="53">
                  <c:v>1.1622244980167465E-4</c:v>
                </c:pt>
                <c:pt idx="54">
                  <c:v>1.0917281287363329E-4</c:v>
                </c:pt>
                <c:pt idx="55">
                  <c:v>1.0344815599048987E-4</c:v>
                </c:pt>
                <c:pt idx="56">
                  <c:v>9.9014958719160278E-5</c:v>
                </c:pt>
                <c:pt idx="57">
                  <c:v>9.5886899650815199E-5</c:v>
                </c:pt>
                <c:pt idx="58">
                  <c:v>9.2634297268347763E-5</c:v>
                </c:pt>
                <c:pt idx="59">
                  <c:v>8.9260534200949734E-5</c:v>
                </c:pt>
                <c:pt idx="60">
                  <c:v>8.5768717269032142E-5</c:v>
                </c:pt>
                <c:pt idx="61">
                  <c:v>8.2161674171902144E-5</c:v>
                </c:pt>
                <c:pt idx="62">
                  <c:v>7.8441949669520652E-5</c:v>
                </c:pt>
                <c:pt idx="63">
                  <c:v>7.4611801234299836E-5</c:v>
                </c:pt>
                <c:pt idx="64">
                  <c:v>7.0672025176632525E-5</c:v>
                </c:pt>
                <c:pt idx="65">
                  <c:v>6.6875153512061962E-5</c:v>
                </c:pt>
                <c:pt idx="66">
                  <c:v>6.3431592094807018E-5</c:v>
                </c:pt>
                <c:pt idx="67">
                  <c:v>6.0333057093567267E-5</c:v>
                </c:pt>
                <c:pt idx="68">
                  <c:v>5.7571694269142835E-5</c:v>
                </c:pt>
                <c:pt idx="69">
                  <c:v>5.5140056873360971E-5</c:v>
                </c:pt>
                <c:pt idx="70">
                  <c:v>5.3031086367611489E-5</c:v>
                </c:pt>
                <c:pt idx="71">
                  <c:v>5.1309920973580608E-5</c:v>
                </c:pt>
                <c:pt idx="72">
                  <c:v>4.9927700407868034E-5</c:v>
                </c:pt>
                <c:pt idx="73">
                  <c:v>4.8877937385925209E-5</c:v>
                </c:pt>
                <c:pt idx="74">
                  <c:v>4.8154511486936261E-5</c:v>
                </c:pt>
                <c:pt idx="75">
                  <c:v>4.7751660280034428E-5</c:v>
                </c:pt>
                <c:pt idx="76">
                  <c:v>4.7663972125437285E-5</c:v>
                </c:pt>
                <c:pt idx="77">
                  <c:v>4.7886380465957928E-5</c:v>
                </c:pt>
                <c:pt idx="78">
                  <c:v>4.8412635592017409E-5</c:v>
                </c:pt>
                <c:pt idx="79">
                  <c:v>4.9180189540416375E-5</c:v>
                </c:pt>
                <c:pt idx="80">
                  <c:v>4.9956341651850488E-5</c:v>
                </c:pt>
                <c:pt idx="81">
                  <c:v>5.07424163700405E-5</c:v>
                </c:pt>
                <c:pt idx="82">
                  <c:v>5.1539792433149998E-5</c:v>
                </c:pt>
                <c:pt idx="83">
                  <c:v>5.2349903570363452E-5</c:v>
                </c:pt>
                <c:pt idx="84">
                  <c:v>5.3174239602117141E-5</c:v>
                </c:pt>
                <c:pt idx="85">
                  <c:v>5.4045039959712143E-5</c:v>
                </c:pt>
                <c:pt idx="86">
                  <c:v>5.4897033978268353E-5</c:v>
                </c:pt>
                <c:pt idx="87">
                  <c:v>5.5732298335862302E-5</c:v>
                </c:pt>
                <c:pt idx="88">
                  <c:v>5.6552910443437434E-5</c:v>
                </c:pt>
                <c:pt idx="89">
                  <c:v>5.7360946222537518E-5</c:v>
                </c:pt>
                <c:pt idx="90">
                  <c:v>5.8158478614770552E-5</c:v>
                </c:pt>
                <c:pt idx="91">
                  <c:v>5.8947576754887844E-5</c:v>
                </c:pt>
                <c:pt idx="92">
                  <c:v>5.9728413138683571E-5</c:v>
                </c:pt>
                <c:pt idx="93">
                  <c:v>6.0557717546059201E-5</c:v>
                </c:pt>
                <c:pt idx="94">
                  <c:v>6.1490567785513195E-5</c:v>
                </c:pt>
                <c:pt idx="95">
                  <c:v>6.2527414072813817E-5</c:v>
                </c:pt>
                <c:pt idx="96">
                  <c:v>6.366887193626031E-5</c:v>
                </c:pt>
                <c:pt idx="97">
                  <c:v>6.4915719672424584E-5</c:v>
                </c:pt>
                <c:pt idx="98">
                  <c:v>6.6270741342089321E-5</c:v>
                </c:pt>
                <c:pt idx="99">
                  <c:v>6.7666426309644852E-5</c:v>
                </c:pt>
                <c:pt idx="100">
                  <c:v>6.9062667242836799E-5</c:v>
                </c:pt>
                <c:pt idx="101">
                  <c:v>7.0460756403148178E-5</c:v>
                </c:pt>
                <c:pt idx="102">
                  <c:v>7.1861959685270388E-5</c:v>
                </c:pt>
                <c:pt idx="103">
                  <c:v>7.3267517031071414E-5</c:v>
                </c:pt>
                <c:pt idx="104">
                  <c:v>7.4678642665220281E-5</c:v>
                </c:pt>
                <c:pt idx="105">
                  <c:v>7.609652520929226E-5</c:v>
                </c:pt>
                <c:pt idx="106">
                  <c:v>7.752378876013549E-5</c:v>
                </c:pt>
                <c:pt idx="107">
                  <c:v>7.8880644273003291E-5</c:v>
                </c:pt>
                <c:pt idx="108">
                  <c:v>8.010899480685076E-5</c:v>
                </c:pt>
                <c:pt idx="109">
                  <c:v>8.1208255445217359E-5</c:v>
                </c:pt>
                <c:pt idx="110">
                  <c:v>8.2177725604502694E-5</c:v>
                </c:pt>
                <c:pt idx="111">
                  <c:v>8.3016407368996344E-5</c:v>
                </c:pt>
                <c:pt idx="112">
                  <c:v>8.3722801741710059E-5</c:v>
                </c:pt>
                <c:pt idx="113">
                  <c:v>8.4307391773683974E-5</c:v>
                </c:pt>
                <c:pt idx="114">
                  <c:v>8.4848808127681823E-5</c:v>
                </c:pt>
                <c:pt idx="115">
                  <c:v>8.5345602873356357E-5</c:v>
                </c:pt>
                <c:pt idx="116">
                  <c:v>8.5796157049255277E-5</c:v>
                </c:pt>
                <c:pt idx="117">
                  <c:v>8.6198678364595579E-5</c:v>
                </c:pt>
                <c:pt idx="118">
                  <c:v>8.655119910064189E-5</c:v>
                </c:pt>
                <c:pt idx="119">
                  <c:v>8.685157430642025E-5</c:v>
                </c:pt>
                <c:pt idx="120">
                  <c:v>8.7098893112617294E-5</c:v>
                </c:pt>
                <c:pt idx="121">
                  <c:v>8.728147562127253E-5</c:v>
                </c:pt>
                <c:pt idx="122">
                  <c:v>8.7486151331253893E-5</c:v>
                </c:pt>
                <c:pt idx="123">
                  <c:v>8.7711924438055159E-5</c:v>
                </c:pt>
                <c:pt idx="124">
                  <c:v>8.7957743064315589E-5</c:v>
                </c:pt>
                <c:pt idx="125">
                  <c:v>8.8222495827047805E-5</c:v>
                </c:pt>
                <c:pt idx="126">
                  <c:v>8.8505008545643855E-5</c:v>
                </c:pt>
                <c:pt idx="127">
                  <c:v>8.8749290838161755E-5</c:v>
                </c:pt>
                <c:pt idx="128">
                  <c:v>8.8940251226911276E-5</c:v>
                </c:pt>
                <c:pt idx="129">
                  <c:v>8.9074965016645635E-5</c:v>
                </c:pt>
                <c:pt idx="130">
                  <c:v>8.9150346831507984E-5</c:v>
                </c:pt>
                <c:pt idx="131">
                  <c:v>8.9163153153210952E-5</c:v>
                </c:pt>
                <c:pt idx="132">
                  <c:v>8.9109985714027251E-5</c:v>
                </c:pt>
                <c:pt idx="133">
                  <c:v>8.8987295812907691E-5</c:v>
                </c:pt>
                <c:pt idx="134">
                  <c:v>8.8792305431142441E-5</c:v>
                </c:pt>
                <c:pt idx="135">
                  <c:v>8.8498374269471811E-5</c:v>
                </c:pt>
                <c:pt idx="136">
                  <c:v>8.8116509229416509E-5</c:v>
                </c:pt>
                <c:pt idx="137">
                  <c:v>8.7645017205727462E-5</c:v>
                </c:pt>
                <c:pt idx="138">
                  <c:v>8.7082230115142535E-5</c:v>
                </c:pt>
                <c:pt idx="139">
                  <c:v>8.6426516838690649E-5</c:v>
                </c:pt>
                <c:pt idx="140">
                  <c:v>8.5676295230211518E-5</c:v>
                </c:pt>
                <c:pt idx="141">
                  <c:v>8.4855546927778836E-5</c:v>
                </c:pt>
                <c:pt idx="142">
                  <c:v>8.4027040797441245E-5</c:v>
                </c:pt>
                <c:pt idx="143">
                  <c:v>8.3192423330830825E-5</c:v>
                </c:pt>
                <c:pt idx="144">
                  <c:v>8.2353963362981878E-5</c:v>
                </c:pt>
                <c:pt idx="145">
                  <c:v>8.1514118799452093E-5</c:v>
                </c:pt>
                <c:pt idx="146">
                  <c:v>8.0675534715400656E-5</c:v>
                </c:pt>
                <c:pt idx="147">
                  <c:v>7.9841040012870699E-5</c:v>
                </c:pt>
                <c:pt idx="148">
                  <c:v>7.9013700047782123E-5</c:v>
                </c:pt>
                <c:pt idx="149">
                  <c:v>7.8176042492897213E-5</c:v>
                </c:pt>
                <c:pt idx="150">
                  <c:v>7.7340389409690747E-5</c:v>
                </c:pt>
                <c:pt idx="151">
                  <c:v>7.6503195081841749E-5</c:v>
                </c:pt>
                <c:pt idx="152">
                  <c:v>7.5660791092052994E-5</c:v>
                </c:pt>
                <c:pt idx="153">
                  <c:v>7.4809395444550038E-5</c:v>
                </c:pt>
                <c:pt idx="154">
                  <c:v>7.394512263029822E-5</c:v>
                </c:pt>
                <c:pt idx="155">
                  <c:v>7.3091266341168272E-5</c:v>
                </c:pt>
                <c:pt idx="156">
                  <c:v>7.2211699768545494E-5</c:v>
                </c:pt>
                <c:pt idx="157">
                  <c:v>7.1301128378776943E-5</c:v>
                </c:pt>
                <c:pt idx="158">
                  <c:v>7.0354176971453833E-5</c:v>
                </c:pt>
                <c:pt idx="159">
                  <c:v>6.9365406873064453E-5</c:v>
                </c:pt>
                <c:pt idx="160">
                  <c:v>6.8329333559345634E-5</c:v>
                </c:pt>
                <c:pt idx="161">
                  <c:v>6.7240444523033901E-5</c:v>
                </c:pt>
                <c:pt idx="162">
                  <c:v>6.6093169396050957E-5</c:v>
                </c:pt>
                <c:pt idx="163">
                  <c:v>6.4999335057965929E-5</c:v>
                </c:pt>
                <c:pt idx="164">
                  <c:v>6.4004399177070202E-5</c:v>
                </c:pt>
                <c:pt idx="165">
                  <c:v>6.3112902209531572E-5</c:v>
                </c:pt>
                <c:pt idx="166">
                  <c:v>6.2329452712518588E-5</c:v>
                </c:pt>
                <c:pt idx="167">
                  <c:v>6.1658710843420799E-5</c:v>
                </c:pt>
                <c:pt idx="168">
                  <c:v>6.110537190256173E-5</c:v>
                </c:pt>
                <c:pt idx="169">
                  <c:v>6.0801324664255322E-5</c:v>
                </c:pt>
                <c:pt idx="170">
                  <c:v>6.0727311140775596E-5</c:v>
                </c:pt>
                <c:pt idx="171">
                  <c:v>6.089244377988043E-5</c:v>
                </c:pt>
                <c:pt idx="172">
                  <c:v>6.1305733384522297E-5</c:v>
                </c:pt>
                <c:pt idx="173">
                  <c:v>6.1975532202596218E-5</c:v>
                </c:pt>
                <c:pt idx="174">
                  <c:v>6.2909978503277323E-5</c:v>
                </c:pt>
                <c:pt idx="175">
                  <c:v>6.411751011170175E-5</c:v>
                </c:pt>
                <c:pt idx="176">
                  <c:v>6.5606071018520175E-5</c:v>
                </c:pt>
                <c:pt idx="177">
                  <c:v>6.7412766179358928E-5</c:v>
                </c:pt>
                <c:pt idx="178">
                  <c:v>6.9405173035796754E-5</c:v>
                </c:pt>
                <c:pt idx="179">
                  <c:v>7.1587125252371941E-5</c:v>
                </c:pt>
                <c:pt idx="180">
                  <c:v>7.3962354315429462E-5</c:v>
                </c:pt>
                <c:pt idx="181">
                  <c:v>7.6534499170772204E-5</c:v>
                </c:pt>
                <c:pt idx="182">
                  <c:v>7.9307117569383094E-5</c:v>
                </c:pt>
                <c:pt idx="183">
                  <c:v>8.2204452513992831E-5</c:v>
                </c:pt>
                <c:pt idx="184">
                  <c:v>8.5076557387298409E-5</c:v>
                </c:pt>
                <c:pt idx="185">
                  <c:v>8.7918526276711535E-5</c:v>
                </c:pt>
                <c:pt idx="186">
                  <c:v>9.0725696228691449E-5</c:v>
                </c:pt>
                <c:pt idx="187">
                  <c:v>9.3493655083292903E-5</c:v>
                </c:pt>
                <c:pt idx="188">
                  <c:v>9.6218246958452948E-5</c:v>
                </c:pt>
                <c:pt idx="189">
                  <c:v>9.8895575494732402E-5</c:v>
                </c:pt>
                <c:pt idx="190">
                  <c:v>1.0152185556332542E-4</c:v>
                </c:pt>
                <c:pt idx="191">
                  <c:v>1.0414111770530532E-4</c:v>
                </c:pt>
                <c:pt idx="192">
                  <c:v>1.0672049407072951E-4</c:v>
                </c:pt>
                <c:pt idx="193">
                  <c:v>1.0925692357878378E-4</c:v>
                </c:pt>
                <c:pt idx="194">
                  <c:v>1.1174747239828284E-4</c:v>
                </c:pt>
                <c:pt idx="195">
                  <c:v>1.1418933099146113E-4</c:v>
                </c:pt>
                <c:pt idx="196">
                  <c:v>1.1657981032853234E-4</c:v>
                </c:pt>
                <c:pt idx="197">
                  <c:v>1.1894675894750109E-4</c:v>
                </c:pt>
                <c:pt idx="198">
                  <c:v>1.2138999051873776E-4</c:v>
                </c:pt>
                <c:pt idx="199">
                  <c:v>1.2391283154617082E-4</c:v>
                </c:pt>
                <c:pt idx="200">
                  <c:v>1.2651848432430527E-4</c:v>
                </c:pt>
                <c:pt idx="201">
                  <c:v>1.2921002292897484E-4</c:v>
                </c:pt>
                <c:pt idx="202">
                  <c:v>1.3199038938731432E-4</c:v>
                </c:pt>
                <c:pt idx="203">
                  <c:v>1.3486238995688739E-4</c:v>
                </c:pt>
                <c:pt idx="204">
                  <c:v>1.3783006569241209E-4</c:v>
                </c:pt>
                <c:pt idx="205">
                  <c:v>1.4079625529740675E-4</c:v>
                </c:pt>
                <c:pt idx="206">
                  <c:v>1.4370991953764579E-4</c:v>
                </c:pt>
                <c:pt idx="207">
                  <c:v>1.4657207695922142E-4</c:v>
                </c:pt>
                <c:pt idx="208">
                  <c:v>1.4938369748205793E-4</c:v>
                </c:pt>
                <c:pt idx="209">
                  <c:v>1.5214569909632238E-4</c:v>
                </c:pt>
                <c:pt idx="210">
                  <c:v>1.5485894503486364E-4</c:v>
                </c:pt>
                <c:pt idx="211">
                  <c:v>1.5749279066767539E-4</c:v>
                </c:pt>
                <c:pt idx="212">
                  <c:v>1.6000778716304166E-4</c:v>
                </c:pt>
                <c:pt idx="213">
                  <c:v>1.6240257962291699E-4</c:v>
                </c:pt>
                <c:pt idx="214">
                  <c:v>1.6467581854969567E-4</c:v>
                </c:pt>
                <c:pt idx="215">
                  <c:v>1.6682615476239004E-4</c:v>
                </c:pt>
                <c:pt idx="216">
                  <c:v>1.6885223482640289E-4</c:v>
                </c:pt>
                <c:pt idx="217">
                  <c:v>1.7075269696457246E-4</c:v>
                </c:pt>
                <c:pt idx="218">
                  <c:v>1.7252529183167041E-4</c:v>
                </c:pt>
                <c:pt idx="219">
                  <c:v>1.7417765090937346E-4</c:v>
                </c:pt>
                <c:pt idx="220">
                  <c:v>1.7581629255953159E-4</c:v>
                </c:pt>
                <c:pt idx="221">
                  <c:v>1.7744137335481942E-4</c:v>
                </c:pt>
                <c:pt idx="222">
                  <c:v>1.7905306572908749E-4</c:v>
                </c:pt>
                <c:pt idx="223">
                  <c:v>1.8065155773947401E-4</c:v>
                </c:pt>
                <c:pt idx="224">
                  <c:v>1.8223705298143719E-4</c:v>
                </c:pt>
                <c:pt idx="225">
                  <c:v>1.8361681421935158E-4</c:v>
                </c:pt>
                <c:pt idx="226">
                  <c:v>1.8482261917191211E-4</c:v>
                </c:pt>
                <c:pt idx="227">
                  <c:v>1.8585291525835036E-4</c:v>
                </c:pt>
                <c:pt idx="228">
                  <c:v>1.8670612978958782E-4</c:v>
                </c:pt>
                <c:pt idx="229">
                  <c:v>1.873806649609425E-4</c:v>
                </c:pt>
                <c:pt idx="230">
                  <c:v>1.8787489283573545E-4</c:v>
                </c:pt>
                <c:pt idx="231">
                  <c:v>1.8818715023943629E-4</c:v>
                </c:pt>
                <c:pt idx="232">
                  <c:v>1.8831458049055702E-4</c:v>
                </c:pt>
                <c:pt idx="233">
                  <c:v>1.8810169877671613E-4</c:v>
                </c:pt>
                <c:pt idx="234">
                  <c:v>1.875348648008505E-4</c:v>
                </c:pt>
                <c:pt idx="235">
                  <c:v>1.8661013374070786E-4</c:v>
                </c:pt>
                <c:pt idx="236">
                  <c:v>1.8532351295911571E-4</c:v>
                </c:pt>
                <c:pt idx="237">
                  <c:v>1.8367080767313501E-4</c:v>
                </c:pt>
                <c:pt idx="238">
                  <c:v>1.8164771955304102E-4</c:v>
                </c:pt>
                <c:pt idx="239">
                  <c:v>1.793900765927453E-4</c:v>
                </c:pt>
                <c:pt idx="240">
                  <c:v>1.7709989931709628E-4</c:v>
                </c:pt>
                <c:pt idx="241">
                  <c:v>1.7477687310279419E-4</c:v>
                </c:pt>
                <c:pt idx="242">
                  <c:v>1.7242065575174336E-4</c:v>
                </c:pt>
                <c:pt idx="243">
                  <c:v>1.700308778186344E-4</c:v>
                </c:pt>
                <c:pt idx="244">
                  <c:v>1.6760714294885581E-4</c:v>
                </c:pt>
                <c:pt idx="245">
                  <c:v>1.6514902820967945E-4</c:v>
                </c:pt>
                <c:pt idx="246">
                  <c:v>1.6265608447528496E-4</c:v>
                </c:pt>
                <c:pt idx="247">
                  <c:v>1.6018982669886283E-4</c:v>
                </c:pt>
                <c:pt idx="248">
                  <c:v>1.5791189129871883E-4</c:v>
                </c:pt>
                <c:pt idx="249">
                  <c:v>1.5582454620235731E-4</c:v>
                </c:pt>
                <c:pt idx="250">
                  <c:v>1.5393010082403202E-4</c:v>
                </c:pt>
                <c:pt idx="251">
                  <c:v>1.5223090669554061E-4</c:v>
                </c:pt>
                <c:pt idx="252">
                  <c:v>1.5072935797312548E-4</c:v>
                </c:pt>
                <c:pt idx="253">
                  <c:v>1.4929425399216631E-4</c:v>
                </c:pt>
                <c:pt idx="254">
                  <c:v>1.477768187119969E-4</c:v>
                </c:pt>
                <c:pt idx="255">
                  <c:v>1.4617577419400116E-4</c:v>
                </c:pt>
                <c:pt idx="256">
                  <c:v>1.4448981506963549E-4</c:v>
                </c:pt>
                <c:pt idx="257">
                  <c:v>1.4271760994757324E-4</c:v>
                </c:pt>
                <c:pt idx="258">
                  <c:v>1.408578030837914E-4</c:v>
                </c:pt>
                <c:pt idx="259">
                  <c:v>1.3890901633355297E-4</c:v>
                </c:pt>
                <c:pt idx="260">
                  <c:v>1.3687234111997465E-4</c:v>
                </c:pt>
                <c:pt idx="261">
                  <c:v>1.3493947545649209E-4</c:v>
                </c:pt>
                <c:pt idx="262">
                  <c:v>1.3304428229945234E-4</c:v>
                </c:pt>
                <c:pt idx="263">
                  <c:v>1.3118593177467757E-4</c:v>
                </c:pt>
                <c:pt idx="264">
                  <c:v>1.2936365053430981E-4</c:v>
                </c:pt>
                <c:pt idx="265">
                  <c:v>1.2757728616924255E-4</c:v>
                </c:pt>
                <c:pt idx="266">
                  <c:v>1.2582642797289689E-4</c:v>
                </c:pt>
                <c:pt idx="267">
                  <c:v>1.2468886916458766E-4</c:v>
                </c:pt>
                <c:pt idx="268">
                  <c:v>1.2431513195890087E-4</c:v>
                </c:pt>
                <c:pt idx="269">
                  <c:v>1.2471465493114989E-4</c:v>
                </c:pt>
                <c:pt idx="270">
                  <c:v>1.2589682302979917E-4</c:v>
                </c:pt>
                <c:pt idx="271">
                  <c:v>1.2787087268680873E-4</c:v>
                </c:pt>
                <c:pt idx="272">
                  <c:v>1.3064579258913352E-4</c:v>
                </c:pt>
                <c:pt idx="273">
                  <c:v>1.3423022029776182E-4</c:v>
                </c:pt>
                <c:pt idx="274">
                  <c:v>1.386364572666805E-4</c:v>
                </c:pt>
                <c:pt idx="275">
                  <c:v>1.4391765079321351E-4</c:v>
                </c:pt>
                <c:pt idx="276">
                  <c:v>1.4987841206404143E-4</c:v>
                </c:pt>
                <c:pt idx="277">
                  <c:v>1.5652567513024345E-4</c:v>
                </c:pt>
                <c:pt idx="278">
                  <c:v>1.6386614892115542E-4</c:v>
                </c:pt>
                <c:pt idx="279">
                  <c:v>1.7190628867240371E-4</c:v>
                </c:pt>
                <c:pt idx="280">
                  <c:v>1.8065226949722226E-4</c:v>
                </c:pt>
                <c:pt idx="281">
                  <c:v>1.8958981408286334E-4</c:v>
                </c:pt>
                <c:pt idx="282">
                  <c:v>1.9810093900273729E-4</c:v>
                </c:pt>
                <c:pt idx="283">
                  <c:v>2.0617775108599772E-4</c:v>
                </c:pt>
                <c:pt idx="284">
                  <c:v>2.1381244189714156E-4</c:v>
                </c:pt>
                <c:pt idx="285">
                  <c:v>2.2099732346809604E-4</c:v>
                </c:pt>
                <c:pt idx="286">
                  <c:v>2.2772486319145376E-4</c:v>
                </c:pt>
                <c:pt idx="287">
                  <c:v>2.339877174839819E-4</c:v>
                </c:pt>
                <c:pt idx="288">
                  <c:v>2.3978439148378925E-4</c:v>
                </c:pt>
                <c:pt idx="289">
                  <c:v>2.4805567313313881E-4</c:v>
                </c:pt>
                <c:pt idx="290">
                  <c:v>2.5878234675680631E-4</c:v>
                </c:pt>
                <c:pt idx="291">
                  <c:v>2.7198645275893516E-4</c:v>
                </c:pt>
                <c:pt idx="292">
                  <c:v>2.8768936116028434E-4</c:v>
                </c:pt>
                <c:pt idx="293">
                  <c:v>3.0591170502199512E-4</c:v>
                </c:pt>
                <c:pt idx="294">
                  <c:v>3.2667332464658927E-4</c:v>
                </c:pt>
                <c:pt idx="295">
                  <c:v>3.5349357668239267E-4</c:v>
                </c:pt>
                <c:pt idx="296">
                  <c:v>3.8697395468983872E-4</c:v>
                </c:pt>
                <c:pt idx="297">
                  <c:v>4.2717133349744099E-4</c:v>
                </c:pt>
                <c:pt idx="298">
                  <c:v>4.7413868157638488E-4</c:v>
                </c:pt>
                <c:pt idx="299">
                  <c:v>5.2792728095233255E-4</c:v>
                </c:pt>
                <c:pt idx="300">
                  <c:v>5.8858670826626193E-4</c:v>
                </c:pt>
                <c:pt idx="301">
                  <c:v>6.5616483632341762E-4</c:v>
                </c:pt>
                <c:pt idx="302">
                  <c:v>7.3074680153701851E-4</c:v>
                </c:pt>
                <c:pt idx="303">
                  <c:v>8.0950075181122113E-4</c:v>
                </c:pt>
                <c:pt idx="304">
                  <c:v>8.8939135283140223E-4</c:v>
                </c:pt>
                <c:pt idx="305">
                  <c:v>9.7043356558061222E-4</c:v>
                </c:pt>
                <c:pt idx="306">
                  <c:v>1.0526410217884276E-3</c:v>
                </c:pt>
                <c:pt idx="307">
                  <c:v>1.136025849186942E-3</c:v>
                </c:pt>
                <c:pt idx="308">
                  <c:v>1.2205984583044283E-3</c:v>
                </c:pt>
                <c:pt idx="309">
                  <c:v>1.304657203511765E-3</c:v>
                </c:pt>
                <c:pt idx="310">
                  <c:v>1.3845348619638618E-3</c:v>
                </c:pt>
                <c:pt idx="311">
                  <c:v>1.460185202906141E-3</c:v>
                </c:pt>
                <c:pt idx="312">
                  <c:v>1.5315586206496401E-3</c:v>
                </c:pt>
                <c:pt idx="313">
                  <c:v>1.5986021087977639E-3</c:v>
                </c:pt>
                <c:pt idx="314">
                  <c:v>1.6612592492532927E-3</c:v>
                </c:pt>
                <c:pt idx="315">
                  <c:v>1.719470225953774E-3</c:v>
                </c:pt>
                <c:pt idx="316">
                  <c:v>1.773389458232658E-3</c:v>
                </c:pt>
                <c:pt idx="317">
                  <c:v>1.8226696568240056E-3</c:v>
                </c:pt>
                <c:pt idx="318">
                  <c:v>1.8703130119603725E-3</c:v>
                </c:pt>
                <c:pt idx="319">
                  <c:v>1.9162747658108472E-3</c:v>
                </c:pt>
                <c:pt idx="320">
                  <c:v>1.9605002375840978E-3</c:v>
                </c:pt>
                <c:pt idx="321">
                  <c:v>2.0029246019576492E-3</c:v>
                </c:pt>
                <c:pt idx="322">
                  <c:v>2.0434727307496957E-3</c:v>
                </c:pt>
                <c:pt idx="323">
                  <c:v>2.0776482417049868E-3</c:v>
                </c:pt>
                <c:pt idx="324">
                  <c:v>2.1071033883281578E-3</c:v>
                </c:pt>
                <c:pt idx="325">
                  <c:v>2.1317014780352643E-3</c:v>
                </c:pt>
                <c:pt idx="326">
                  <c:v>2.151286482945334E-3</c:v>
                </c:pt>
                <c:pt idx="327">
                  <c:v>2.1657032027096621E-3</c:v>
                </c:pt>
                <c:pt idx="328">
                  <c:v>2.1748015173578125E-3</c:v>
                </c:pt>
                <c:pt idx="329">
                  <c:v>2.1784295651634464E-3</c:v>
                </c:pt>
                <c:pt idx="330">
                  <c:v>2.1767542524555503E-3</c:v>
                </c:pt>
                <c:pt idx="331">
                  <c:v>2.169454639996599E-3</c:v>
                </c:pt>
                <c:pt idx="332">
                  <c:v>2.156971918165993E-3</c:v>
                </c:pt>
                <c:pt idx="333">
                  <c:v>2.1392112940815966E-3</c:v>
                </c:pt>
                <c:pt idx="334">
                  <c:v>2.1160770067292535E-3</c:v>
                </c:pt>
                <c:pt idx="335">
                  <c:v>2.0874738118210447E-3</c:v>
                </c:pt>
                <c:pt idx="336">
                  <c:v>2.0533086368749432E-3</c:v>
                </c:pt>
                <c:pt idx="337">
                  <c:v>2.0157489252382627E-3</c:v>
                </c:pt>
                <c:pt idx="338">
                  <c:v>1.9793641998942092E-3</c:v>
                </c:pt>
                <c:pt idx="339">
                  <c:v>1.9441284952725591E-3</c:v>
                </c:pt>
                <c:pt idx="340">
                  <c:v>1.9100168445310419E-3</c:v>
                </c:pt>
                <c:pt idx="341">
                  <c:v>1.8770053256962473E-3</c:v>
                </c:pt>
                <c:pt idx="342">
                  <c:v>1.8450710897092402E-3</c:v>
                </c:pt>
                <c:pt idx="343">
                  <c:v>1.8141923727360231E-3</c:v>
                </c:pt>
                <c:pt idx="344">
                  <c:v>1.784453240877615E-3</c:v>
                </c:pt>
                <c:pt idx="345">
                  <c:v>1.7559564215582062E-3</c:v>
                </c:pt>
                <c:pt idx="346">
                  <c:v>1.7303373661153904E-3</c:v>
                </c:pt>
                <c:pt idx="347">
                  <c:v>1.7076031506328346E-3</c:v>
                </c:pt>
                <c:pt idx="348">
                  <c:v>1.6877572786649711E-3</c:v>
                </c:pt>
                <c:pt idx="349">
                  <c:v>1.6707994554120852E-3</c:v>
                </c:pt>
                <c:pt idx="350">
                  <c:v>1.6567253698384606E-3</c:v>
                </c:pt>
                <c:pt idx="351">
                  <c:v>1.6466077537725583E-3</c:v>
                </c:pt>
                <c:pt idx="352">
                  <c:v>1.6381458815297207E-3</c:v>
                </c:pt>
                <c:pt idx="353">
                  <c:v>1.6313267380214447E-3</c:v>
                </c:pt>
                <c:pt idx="354">
                  <c:v>1.6261349798381869E-3</c:v>
                </c:pt>
                <c:pt idx="355">
                  <c:v>1.6225529028257445E-3</c:v>
                </c:pt>
                <c:pt idx="356">
                  <c:v>1.6205534638071288E-3</c:v>
                </c:pt>
                <c:pt idx="357">
                  <c:v>1.620119428615008E-3</c:v>
                </c:pt>
                <c:pt idx="358">
                  <c:v>1.6211537082698381E-3</c:v>
                </c:pt>
                <c:pt idx="359">
                  <c:v>1.6235807550650419E-3</c:v>
                </c:pt>
                <c:pt idx="360">
                  <c:v>1.6296337984334378E-3</c:v>
                </c:pt>
                <c:pt idx="361">
                  <c:v>1.6382280098894515E-3</c:v>
                </c:pt>
                <c:pt idx="362">
                  <c:v>1.649338221187722E-3</c:v>
                </c:pt>
                <c:pt idx="363">
                  <c:v>1.6629348873083898E-3</c:v>
                </c:pt>
                <c:pt idx="364">
                  <c:v>1.6789846140603762E-3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614272"/>
        <c:axId val="665614664"/>
      </c:lineChart>
      <c:dateAx>
        <c:axId val="6656142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14664"/>
        <c:crosses val="autoZero"/>
        <c:auto val="1"/>
        <c:lblOffset val="100"/>
        <c:baseTimeUnit val="days"/>
        <c:majorUnit val="1"/>
        <c:majorTimeUnit val="months"/>
      </c:dateAx>
      <c:valAx>
        <c:axId val="6656146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6142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0.60457829942861385</c:v>
                </c:pt>
                <c:pt idx="1">
                  <c:v>0.60425825265103927</c:v>
                </c:pt>
                <c:pt idx="2">
                  <c:v>0.60395621458428694</c:v>
                </c:pt>
                <c:pt idx="3">
                  <c:v>0.60367031220166523</c:v>
                </c:pt>
                <c:pt idx="4">
                  <c:v>0.60339891408843827</c:v>
                </c:pt>
                <c:pt idx="5">
                  <c:v>0.6031406226112801</c:v>
                </c:pt>
                <c:pt idx="6">
                  <c:v>0.60289426432719972</c:v>
                </c:pt>
                <c:pt idx="7">
                  <c:v>0.60265887878487523</c:v>
                </c:pt>
                <c:pt idx="8">
                  <c:v>0.60243370588267942</c:v>
                </c:pt>
                <c:pt idx="9">
                  <c:v>0.60221817195725846</c:v>
                </c:pt>
                <c:pt idx="10">
                  <c:v>0.60201187478427232</c:v>
                </c:pt>
                <c:pt idx="11">
                  <c:v>0.6018145676787835</c:v>
                </c:pt>
                <c:pt idx="12">
                  <c:v>0.60162614288674821</c:v>
                </c:pt>
                <c:pt idx="13">
                  <c:v>0.60144661446112435</c:v>
                </c:pt>
                <c:pt idx="14">
                  <c:v>0.60127610081626426</c:v>
                </c:pt>
                <c:pt idx="15">
                  <c:v>0.60111480715254595</c:v>
                </c:pt>
                <c:pt idx="16">
                  <c:v>0.60096300793964963</c:v>
                </c:pt>
                <c:pt idx="17">
                  <c:v>0.60082102964158302</c:v>
                </c:pt>
                <c:pt idx="18">
                  <c:v>0.60068923385957229</c:v>
                </c:pt>
                <c:pt idx="19">
                  <c:v>0.60056800106036667</c:v>
                </c:pt>
                <c:pt idx="20">
                  <c:v>0.60045771504746426</c:v>
                </c:pt>
                <c:pt idx="21">
                  <c:v>0.60035874832137592</c:v>
                </c:pt>
                <c:pt idx="22">
                  <c:v>0.60027144846244596</c:v>
                </c:pt>
                <c:pt idx="23">
                  <c:v>0.60019612565608527</c:v>
                </c:pt>
                <c:pt idx="24">
                  <c:v>0.60013304146569446</c:v>
                </c:pt>
                <c:pt idx="25">
                  <c:v>0.60008239894324023</c:v>
                </c:pt>
                <c:pt idx="26">
                  <c:v>0.60004433415154113</c:v>
                </c:pt>
                <c:pt idx="27">
                  <c:v>0.60001890915601352</c:v>
                </c:pt>
                <c:pt idx="28">
                  <c:v>0.60000610652707764</c:v>
                </c:pt>
                <c:pt idx="29">
                  <c:v>0.60000582537781422</c:v>
                </c:pt>
                <c:pt idx="30">
                  <c:v>0.60001787894495195</c:v>
                </c:pt>
                <c:pt idx="31">
                  <c:v>0.60004199370502986</c:v>
                </c:pt>
                <c:pt idx="32">
                  <c:v>0.60007781000177363</c:v>
                </c:pt>
                <c:pt idx="33">
                  <c:v>0.60012488414550325</c:v>
                </c:pt>
                <c:pt idx="34">
                  <c:v>0.60018269193090101</c:v>
                </c:pt>
                <c:pt idx="35">
                  <c:v>0.60025063350584451</c:v>
                </c:pt>
                <c:pt idx="36">
                  <c:v>0.60032803951137059</c:v>
                </c:pt>
                <c:pt idx="37">
                  <c:v>0.60041417840130806</c:v>
                </c:pt>
                <c:pt idx="38">
                  <c:v>0.60050826483977415</c:v>
                </c:pt>
                <c:pt idx="39">
                  <c:v>0.6006094690656828</c:v>
                </c:pt>
                <c:pt idx="40">
                  <c:v>0.60071692710570546</c:v>
                </c:pt>
                <c:pt idx="41">
                  <c:v>0.60082975171083119</c:v>
                </c:pt>
                <c:pt idx="42">
                  <c:v>0.60094704388681452</c:v>
                </c:pt>
                <c:pt idx="43">
                  <c:v>0.60106790488540773</c:v>
                </c:pt>
                <c:pt idx="44">
                  <c:v>0.60119144852134865</c:v>
                </c:pt>
                <c:pt idx="45">
                  <c:v>0.60131681367960876</c:v>
                </c:pt>
                <c:pt idx="46">
                  <c:v>0.60144317687837145</c:v>
                </c:pt>
                <c:pt idx="47">
                  <c:v>0.6015697647555619</c:v>
                </c:pt>
                <c:pt idx="48">
                  <c:v>0.60169586635044547</c:v>
                </c:pt>
                <c:pt idx="49">
                  <c:v>0.60182084505675992</c:v>
                </c:pt>
                <c:pt idx="50">
                  <c:v>0.60194415012999103</c:v>
                </c:pt>
                <c:pt idx="51">
                  <c:v>0.60206532763862897</c:v>
                </c:pt>
                <c:pt idx="52">
                  <c:v>0.60218403075745885</c:v>
                </c:pt>
                <c:pt idx="53">
                  <c:v>0.60230002931003135</c:v>
                </c:pt>
                <c:pt idx="54">
                  <c:v>0.60241321847730278</c:v>
                </c:pt>
                <c:pt idx="55">
                  <c:v>0.60252362659990943</c:v>
                </c:pt>
                <c:pt idx="56">
                  <c:v>0.60263142201250741</c:v>
                </c:pt>
                <c:pt idx="57">
                  <c:v>0.6027369188599403</c:v>
                </c:pt>
                <c:pt idx="58">
                  <c:v>0.60284058185655764</c:v>
                </c:pt>
                <c:pt idx="59">
                  <c:v>0.60294302996164917</c:v>
                </c:pt>
                <c:pt idx="60">
                  <c:v>0.60304503895556516</c:v>
                </c:pt>
                <c:pt idx="61">
                  <c:v>0.60314754291252048</c:v>
                </c:pt>
                <c:pt idx="62">
                  <c:v>0.60325163457719966</c:v>
                </c:pt>
                <c:pt idx="63">
                  <c:v>0.60335856466298265</c:v>
                </c:pt>
                <c:pt idx="64">
                  <c:v>0.60346974009977061</c:v>
                </c:pt>
                <c:pt idx="65">
                  <c:v>0.60358672126890556</c:v>
                </c:pt>
                <c:pt idx="66">
                  <c:v>0.6037112182714589</c:v>
                </c:pt>
                <c:pt idx="67">
                  <c:v>0.60384508628411104</c:v>
                </c:pt>
                <c:pt idx="68">
                  <c:v>0.60399032006389874</c:v>
                </c:pt>
                <c:pt idx="69">
                  <c:v>0.60414904766919597</c:v>
                </c:pt>
                <c:pt idx="70">
                  <c:v>0.60432352346937124</c:v>
                </c:pt>
                <c:pt idx="71">
                  <c:v>0.60451612051959969</c:v>
                </c:pt>
                <c:pt idx="72">
                  <c:v>0.60472932238026522</c:v>
                </c:pt>
                <c:pt idx="73">
                  <c:v>0.60496571446227188</c:v>
                </c:pt>
                <c:pt idx="74">
                  <c:v>0.60522797498038727</c:v>
                </c:pt>
                <c:pt idx="75">
                  <c:v>0.60551886559649126</c:v>
                </c:pt>
                <c:pt idx="76">
                  <c:v>0.60584122183331646</c:v>
                </c:pt>
                <c:pt idx="77">
                  <c:v>0.60619794333700627</c:v>
                </c:pt>
                <c:pt idx="78">
                  <c:v>0.60659198406361292</c:v>
                </c:pt>
                <c:pt idx="79">
                  <c:v>0.60702634246059539</c:v>
                </c:pt>
                <c:pt idx="80">
                  <c:v>0.60750405170952115</c:v>
                </c:pt>
                <c:pt idx="81">
                  <c:v>0.60802817009061338</c:v>
                </c:pt>
                <c:pt idx="82">
                  <c:v>0.6086017715236085</c:v>
                </c:pt>
                <c:pt idx="83">
                  <c:v>0.60922793633269923</c:v>
                </c:pt>
                <c:pt idx="84">
                  <c:v>0.60990974227623396</c:v>
                </c:pt>
                <c:pt idx="85">
                  <c:v>0.61065025587443977</c:v>
                </c:pt>
                <c:pt idx="86">
                  <c:v>0.6114525240608456</c:v>
                </c:pt>
                <c:pt idx="87">
                  <c:v>0.61231956617540229</c:v>
                </c:pt>
                <c:pt idx="88">
                  <c:v>0.61325436630966779</c:v>
                </c:pt>
                <c:pt idx="89">
                  <c:v>0.6142598660069285</c:v>
                </c:pt>
                <c:pt idx="90">
                  <c:v>0.61533895731289323</c:v>
                </c:pt>
                <c:pt idx="91">
                  <c:v>0.61649447616572062</c:v>
                </c:pt>
                <c:pt idx="92">
                  <c:v>0.61772919610771782</c:v>
                </c:pt>
                <c:pt idx="93">
                  <c:v>0.6190458222951799</c:v>
                </c:pt>
                <c:pt idx="94">
                  <c:v>0.62044698577760438</c:v>
                </c:pt>
                <c:pt idx="95">
                  <c:v>0.621935238012983</c:v>
                </c:pt>
                <c:pt idx="96">
                  <c:v>0.62351304558212872</c:v>
                </c:pt>
                <c:pt idx="97">
                  <c:v>0.6251827850620636</c:v>
                </c:pt>
                <c:pt idx="98">
                  <c:v>0.62694673801645262</c:v>
                </c:pt>
                <c:pt idx="99">
                  <c:v>0.62880708605991731</c:v>
                </c:pt>
                <c:pt idx="100">
                  <c:v>0.63076590595284798</c:v>
                </c:pt>
                <c:pt idx="101">
                  <c:v>0.63282516468404204</c:v>
                </c:pt>
                <c:pt idx="102">
                  <c:v>0.63498671450013544</c:v>
                </c:pt>
                <c:pt idx="103">
                  <c:v>0.63725228784333743</c:v>
                </c:pt>
                <c:pt idx="104">
                  <c:v>0.63962349216240544</c:v>
                </c:pt>
                <c:pt idx="105">
                  <c:v>0.64210180456604782</c:v>
                </c:pt>
                <c:pt idx="106">
                  <c:v>0.64468856629298599</c:v>
                </c:pt>
                <c:pt idx="107">
                  <c:v>0.64738497697865482</c:v>
                </c:pt>
                <c:pt idx="108">
                  <c:v>0.65019208870491529</c:v>
                </c:pt>
                <c:pt idx="109">
                  <c:v>0.65311079982610099</c:v>
                </c:pt>
                <c:pt idx="110">
                  <c:v>0.65614184857212821</c:v>
                </c:pt>
                <c:pt idx="111">
                  <c:v>0.65928580643717583</c:v>
                </c:pt>
                <c:pt idx="112">
                  <c:v>0.66254307137046731</c:v>
                </c:pt>
                <c:pt idx="113">
                  <c:v>0.66591386079386361</c:v>
                </c:pt>
                <c:pt idx="114">
                  <c:v>0.66939820447918286</c:v>
                </c:pt>
                <c:pt idx="115">
                  <c:v>0.67299593732628415</c:v>
                </c:pt>
                <c:pt idx="116">
                  <c:v>0.67670669209087531</c:v>
                </c:pt>
                <c:pt idx="117">
                  <c:v>0.68052989211860793</c:v>
                </c:pt>
                <c:pt idx="118">
                  <c:v>0.68446474414919523</c:v>
                </c:pt>
                <c:pt idx="119">
                  <c:v>0.68851023126092314</c:v>
                </c:pt>
                <c:pt idx="120">
                  <c:v>0.69266510603190956</c:v>
                </c:pt>
                <c:pt idx="121">
                  <c:v>0.69692788399970962</c:v>
                </c:pt>
                <c:pt idx="122">
                  <c:v>0.70129683750527161</c:v>
                </c:pt>
                <c:pt idx="123">
                  <c:v>0.70576999001073237</c:v>
                </c:pt>
                <c:pt idx="124">
                  <c:v>0.71034511098304465</c:v>
                </c:pt>
                <c:pt idx="125">
                  <c:v>0.71501971143686638</c:v>
                </c:pt>
                <c:pt idx="126">
                  <c:v>0.71979104023048723</c:v>
                </c:pt>
                <c:pt idx="127">
                  <c:v>0.72465608120776859</c:v>
                </c:pt>
                <c:pt idx="128">
                  <c:v>0.72961155127710708</c:v>
                </c:pt>
                <c:pt idx="129">
                  <c:v>0.7346538995152907</c:v>
                </c:pt>
                <c:pt idx="130">
                  <c:v>0.73977930737980246</c:v>
                </c:pt>
                <c:pt idx="131">
                  <c:v>0.74498369010764909</c:v>
                </c:pt>
                <c:pt idx="132">
                  <c:v>0.75026269937219203</c:v>
                </c:pt>
                <c:pt idx="133">
                  <c:v>0.75561172726176895</c:v>
                </c:pt>
                <c:pt idx="134">
                  <c:v>0.76102591163517674</c:v>
                </c:pt>
                <c:pt idx="135">
                  <c:v>0.76650014289941526</c:v>
                </c:pt>
                <c:pt idx="136">
                  <c:v>0.77202907224453754</c:v>
                </c:pt>
                <c:pt idx="137">
                  <c:v>0.77760712135912158</c:v>
                </c:pt>
                <c:pt idx="138">
                  <c:v>0.78322849363786029</c:v>
                </c:pt>
                <c:pt idx="139">
                  <c:v>0.78888718688019166</c:v>
                </c:pt>
                <c:pt idx="140">
                  <c:v>0.79457700746586535</c:v>
                </c:pt>
                <c:pt idx="141">
                  <c:v>0.80029158597999939</c:v>
                </c:pt>
                <c:pt idx="142">
                  <c:v>0.80602439424666517</c:v>
                </c:pt>
                <c:pt idx="143">
                  <c:v>0.81176876371646534</c:v>
                </c:pt>
                <c:pt idx="144">
                  <c:v>0.81751790514011213</c:v>
                </c:pt>
                <c:pt idx="145">
                  <c:v>0.82326492944677909</c:v>
                </c:pt>
                <c:pt idx="146">
                  <c:v>0.82900286973316695</c:v>
                </c:pt>
                <c:pt idx="147">
                  <c:v>0.83472470425689438</c:v>
                </c:pt>
                <c:pt idx="148">
                  <c:v>0.84042338031617936</c:v>
                </c:pt>
                <c:pt idx="149">
                  <c:v>0.84609183888690254</c:v>
                </c:pt>
                <c:pt idx="150">
                  <c:v>0.85172303987820552</c:v>
                </c:pt>
                <c:pt idx="151">
                  <c:v>0.85730998785886836</c:v>
                </c:pt>
                <c:pt idx="152">
                  <c:v>0.86284575809894726</c:v>
                </c:pt>
                <c:pt idx="153">
                  <c:v>0.86832352276463809</c:v>
                </c:pt>
                <c:pt idx="154">
                  <c:v>0.87373657709914276</c:v>
                </c:pt>
                <c:pt idx="155">
                  <c:v>0.8790783654185379</c:v>
                </c:pt>
                <c:pt idx="156">
                  <c:v>0.88434250674933024</c:v>
                </c:pt>
                <c:pt idx="157">
                  <c:v>0.88952281993357363</c:v>
                </c:pt>
                <c:pt idx="158">
                  <c:v>0.8946133480281715</c:v>
                </c:pt>
                <c:pt idx="159">
                  <c:v>0.89960838182728109</c:v>
                </c:pt>
                <c:pt idx="160">
                  <c:v>0.90450248234059194</c:v>
                </c:pt>
                <c:pt idx="161">
                  <c:v>0.90929050206565898</c:v>
                </c:pt>
                <c:pt idx="162">
                  <c:v>0.91396760489936879</c:v>
                </c:pt>
                <c:pt idx="163">
                  <c:v>0.91852928454200511</c:v>
                </c:pt>
                <c:pt idx="164">
                  <c:v>0.92297138125713984</c:v>
                </c:pt>
                <c:pt idx="165">
                  <c:v>0.9272900968616854</c:v>
                </c:pt>
                <c:pt idx="166">
                  <c:v>0.93148200783276369</c:v>
                </c:pt>
                <c:pt idx="167">
                  <c:v>0.93554407643150084</c:v>
                </c:pt>
                <c:pt idx="168">
                  <c:v>0.93947365975832464</c:v>
                </c:pt>
                <c:pt idx="169">
                  <c:v>0.94326851666967559</c:v>
                </c:pt>
                <c:pt idx="170">
                  <c:v>0.94692681250213284</c:v>
                </c:pt>
                <c:pt idx="171">
                  <c:v>0.95044712156663069</c:v>
                </c:pt>
                <c:pt idx="172">
                  <c:v>0.95382842739256313</c:v>
                </c:pt>
                <c:pt idx="173">
                  <c:v>0.95707012071897468</c:v>
                </c:pt>
                <c:pt idx="174">
                  <c:v>0.96017199524755636</c:v>
                </c:pt>
                <c:pt idx="175">
                  <c:v>0.96313424118963542</c:v>
                </c:pt>
                <c:pt idx="176">
                  <c:v>0.96595743665661438</c:v>
                </c:pt>
                <c:pt idx="177">
                  <c:v>0.96864253696018876</c:v>
                </c:pt>
                <c:pt idx="178">
                  <c:v>0.97119086190502157</c:v>
                </c:pt>
                <c:pt idx="179">
                  <c:v>0.97360408117219543</c:v>
                </c:pt>
                <c:pt idx="180">
                  <c:v>0.97588419790656256</c:v>
                </c:pt>
                <c:pt idx="181">
                  <c:v>0.97803353063491905</c:v>
                </c:pt>
                <c:pt idx="182">
                  <c:v>0.98005469365460984</c:v>
                </c:pt>
                <c:pt idx="183">
                  <c:v>0.98195057604360725</c:v>
                </c:pt>
                <c:pt idx="184">
                  <c:v>0.98372431945317584</c:v>
                </c:pt>
                <c:pt idx="185">
                  <c:v>0.9853792948528588</c:v>
                </c:pt>
                <c:pt idx="186">
                  <c:v>0.98691907840459148</c:v>
                </c:pt>
                <c:pt idx="187">
                  <c:v>0.98834742664822151</c:v>
                </c:pt>
                <c:pt idx="188">
                  <c:v>0.98966825118451485</c:v>
                </c:pt>
                <c:pt idx="189">
                  <c:v>0.99088559304384516</c:v>
                </c:pt>
                <c:pt idx="190">
                  <c:v>0.9920035969291523</c:v>
                </c:pt>
                <c:pt idx="191">
                  <c:v>0.99302648552044026</c:v>
                </c:pt>
                <c:pt idx="192">
                  <c:v>0.99395853402505574</c:v>
                </c:pt>
                <c:pt idx="193">
                  <c:v>0.99480404515330823</c:v>
                </c:pt>
                <c:pt idx="194">
                  <c:v>0.99556732469267872</c:v>
                </c:pt>
                <c:pt idx="195">
                  <c:v>0.9962526578460128</c:v>
                </c:pt>
                <c:pt idx="196">
                  <c:v>0.99686428648976422</c:v>
                </c:pt>
                <c:pt idx="197">
                  <c:v>0.99740638749766264</c:v>
                </c:pt>
                <c:pt idx="198">
                  <c:v>0.99788305226322138</c:v>
                </c:pt>
                <c:pt idx="199">
                  <c:v>0.99829826754140993</c:v>
                </c:pt>
                <c:pt idx="200">
                  <c:v>0.99865589771572472</c:v>
                </c:pt>
                <c:pt idx="201">
                  <c:v>0.99895966858194629</c:v>
                </c:pt>
                <c:pt idx="202">
                  <c:v>0.99921315272422606</c:v>
                </c:pt>
                <c:pt idx="203">
                  <c:v>0.99941975654296478</c:v>
                </c:pt>
                <c:pt idx="204">
                  <c:v>0.99958270897738566</c:v>
                </c:pt>
                <c:pt idx="205">
                  <c:v>0.99970505194896342</c:v>
                </c:pt>
                <c:pt idx="206">
                  <c:v>0.99978963253507569</c:v>
                </c:pt>
                <c:pt idx="207">
                  <c:v>0.99983909686562189</c:v>
                </c:pt>
                <c:pt idx="208">
                  <c:v>0.99985588571902273</c:v>
                </c:pt>
                <c:pt idx="209">
                  <c:v>0.99984223177819298</c:v>
                </c:pt>
                <c:pt idx="210">
                  <c:v>0.99980015849187565</c:v>
                </c:pt>
                <c:pt idx="211">
                  <c:v>0.99973148047235272</c:v>
                </c:pt>
                <c:pt idx="212">
                  <c:v>0.99963780534709201</c:v>
                </c:pt>
                <c:pt idx="213">
                  <c:v>0.9995205369695489</c:v>
                </c:pt>
                <c:pt idx="214">
                  <c:v>0.99938087988317947</c:v>
                </c:pt>
                <c:pt idx="215">
                  <c:v>0.99921984492289773</c:v>
                </c:pt>
                <c:pt idx="216">
                  <c:v>0.99903825582980099</c:v>
                </c:pt>
                <c:pt idx="217">
                  <c:v>0.99883675674807082</c:v>
                </c:pt>
                <c:pt idx="218">
                  <c:v>0.99861582046760844</c:v>
                </c:pt>
                <c:pt idx="219">
                  <c:v>0.99837575727223327</c:v>
                </c:pt>
                <c:pt idx="220">
                  <c:v>0.99811672425118192</c:v>
                </c:pt>
                <c:pt idx="221">
                  <c:v>0.99783873493122033</c:v>
                </c:pt>
                <c:pt idx="222">
                  <c:v>0.99754166908790198</c:v>
                </c:pt>
                <c:pt idx="223">
                  <c:v>0.99722528259737375</c:v>
                </c:pt>
                <c:pt idx="224">
                  <c:v>0.9968892171945738</c:v>
                </c:pt>
                <c:pt idx="225">
                  <c:v>0.99653301000966721</c:v>
                </c:pt>
                <c:pt idx="226">
                  <c:v>0.99615610276200495</c:v>
                </c:pt>
                <c:pt idx="227">
                  <c:v>0.99575785049972632</c:v>
                </c:pt>
                <c:pt idx="228">
                  <c:v>0.99533752978320933</c:v>
                </c:pt>
                <c:pt idx="229">
                  <c:v>0.99489434622181661</c:v>
                </c:pt>
                <c:pt idx="230">
                  <c:v>0.99442744128564253</c:v>
                </c:pt>
                <c:pt idx="231">
                  <c:v>0.99393589832709273</c:v>
                </c:pt>
                <c:pt idx="232">
                  <c:v>0.99341874776098615</c:v>
                </c:pt>
                <c:pt idx="233">
                  <c:v>0.99287497136627267</c:v>
                </c:pt>
                <c:pt idx="234">
                  <c:v>0.9923035056872701</c:v>
                </c:pt>
                <c:pt idx="235">
                  <c:v>0.99170324452734449</c:v>
                </c:pt>
                <c:pt idx="236">
                  <c:v>0.99107304054302559</c:v>
                </c:pt>
                <c:pt idx="237">
                  <c:v>0.99041170596149275</c:v>
                </c:pt>
                <c:pt idx="238">
                  <c:v>0.98971801245898994</c:v>
                </c:pt>
                <c:pt idx="239">
                  <c:v>0.98899069025189179</c:v>
                </c:pt>
                <c:pt idx="240">
                  <c:v>0.98822842646563969</c:v>
                </c:pt>
                <c:pt idx="241">
                  <c:v>0.98742986285947887</c:v>
                </c:pt>
                <c:pt idx="242">
                  <c:v>0.98659359299665617</c:v>
                </c:pt>
                <c:pt idx="243">
                  <c:v>0.9857181589603855</c:v>
                </c:pt>
                <c:pt idx="244">
                  <c:v>0.98480204772528879</c:v>
                </c:pt>
                <c:pt idx="245">
                  <c:v>0.98384368730206961</c:v>
                </c:pt>
                <c:pt idx="246">
                  <c:v>0.98284144277977403</c:v>
                </c:pt>
                <c:pt idx="247">
                  <c:v>0.98179361239504859</c:v>
                </c:pt>
                <c:pt idx="248">
                  <c:v>0.98069842376122951</c:v>
                </c:pt>
                <c:pt idx="249">
                  <c:v>0.97955403039187494</c:v>
                </c:pt>
                <c:pt idx="250">
                  <c:v>0.97835850865339413</c:v>
                </c:pt>
                <c:pt idx="251">
                  <c:v>0.97710985527977512</c:v>
                </c:pt>
                <c:pt idx="252">
                  <c:v>0.97580598557900677</c:v>
                </c:pt>
                <c:pt idx="253">
                  <c:v>0.97444473245570595</c:v>
                </c:pt>
                <c:pt idx="254">
                  <c:v>0.9730238463676989</c:v>
                </c:pt>
                <c:pt idx="255">
                  <c:v>0.97154099632593671</c:v>
                </c:pt>
                <c:pt idx="256">
                  <c:v>0.96999377203723292</c:v>
                </c:pt>
                <c:pt idx="257">
                  <c:v>0.9683796872779693</c:v>
                </c:pt>
                <c:pt idx="258">
                  <c:v>0.9666961845742561</c:v>
                </c:pt>
                <c:pt idx="259">
                  <c:v>0.96494064125016266</c:v>
                </c:pt>
                <c:pt idx="260">
                  <c:v>0.96311037689069634</c:v>
                </c:pt>
                <c:pt idx="261">
                  <c:v>0.96120266225036788</c:v>
                </c:pt>
                <c:pt idx="262">
                  <c:v>0.95921472962157506</c:v>
                </c:pt>
                <c:pt idx="263">
                  <c:v>0.95714378465986294</c:v>
                </c:pt>
                <c:pt idx="264">
                  <c:v>0.95498701964555321</c:v>
                </c:pt>
                <c:pt idx="265">
                  <c:v>0.95274162814343621</c:v>
                </c:pt>
                <c:pt idx="266">
                  <c:v>0.95040482100443024</c:v>
                </c:pt>
                <c:pt idx="267">
                  <c:v>0.94797384363547132</c:v>
                </c:pt>
                <c:pt idx="268">
                  <c:v>0.94544599444663047</c:v>
                </c:pt>
                <c:pt idx="269">
                  <c:v>0.94281864436775531</c:v>
                </c:pt>
                <c:pt idx="270">
                  <c:v>0.94008925731094739</c:v>
                </c:pt>
                <c:pt idx="271">
                  <c:v>0.93725541144016344</c:v>
                </c:pt>
                <c:pt idx="272">
                  <c:v>0.93431482109526731</c:v>
                </c:pt>
                <c:pt idx="273">
                  <c:v>0.93126535920518227</c:v>
                </c:pt>
                <c:pt idx="274">
                  <c:v>0.92810508001352443</c:v>
                </c:pt>
                <c:pt idx="275">
                  <c:v>0.9248322419303654</c:v>
                </c:pt>
                <c:pt idx="276">
                  <c:v>0.92144533031574949</c:v>
                </c:pt>
                <c:pt idx="277">
                  <c:v>0.9179430799943108</c:v>
                </c:pt>
                <c:pt idx="278">
                  <c:v>0.91432449729596932</c:v>
                </c:pt>
                <c:pt idx="279">
                  <c:v>0.91058888141524863</c:v>
                </c:pt>
                <c:pt idx="280">
                  <c:v>0.90673584488131709</c:v>
                </c:pt>
                <c:pt idx="281">
                  <c:v>0.90276533293247851</c:v>
                </c:pt>
                <c:pt idx="282">
                  <c:v>0.89867764159247643</c:v>
                </c:pt>
                <c:pt idx="283">
                  <c:v>0.89447343425168757</c:v>
                </c:pt>
                <c:pt idx="284">
                  <c:v>0.8901537565639891</c:v>
                </c:pt>
                <c:pt idx="285">
                  <c:v>0.88572004947976746</c:v>
                </c:pt>
                <c:pt idx="286">
                  <c:v>0.88117416024711881</c:v>
                </c:pt>
                <c:pt idx="287">
                  <c:v>0.87651835122667876</c:v>
                </c:pt>
                <c:pt idx="288">
                  <c:v>0.8717553063806176</c:v>
                </c:pt>
                <c:pt idx="289">
                  <c:v>0.86688813531301845</c:v>
                </c:pt>
                <c:pt idx="290">
                  <c:v>0.86192037475695327</c:v>
                </c:pt>
                <c:pt idx="291">
                  <c:v>0.85685598742298774</c:v>
                </c:pt>
                <c:pt idx="292">
                  <c:v>0.85169935814433595</c:v>
                </c:pt>
                <c:pt idx="293">
                  <c:v>0.84645528727532271</c:v>
                </c:pt>
                <c:pt idx="294">
                  <c:v>0.84112898132199043</c:v>
                </c:pt>
                <c:pt idx="295">
                  <c:v>0.83572604080636914</c:v>
                </c:pt>
                <c:pt idx="296">
                  <c:v>0.83025244538896747</c:v>
                </c:pt>
                <c:pt idx="297">
                  <c:v>0.82471453629716374</c:v>
                </c:pt>
                <c:pt idx="298">
                  <c:v>0.81911899613020722</c:v>
                </c:pt>
                <c:pt idx="299">
                  <c:v>0.81347282613424399</c:v>
                </c:pt>
                <c:pt idx="300">
                  <c:v>0.80778332106293327</c:v>
                </c:pt>
                <c:pt idx="301">
                  <c:v>0.80205804176065143</c:v>
                </c:pt>
                <c:pt idx="302">
                  <c:v>0.7963047856257206</c:v>
                </c:pt>
                <c:pt idx="303">
                  <c:v>0.79053155513041851</c:v>
                </c:pt>
                <c:pt idx="304">
                  <c:v>0.78474652459248617</c:v>
                </c:pt>
                <c:pt idx="305">
                  <c:v>0.77895800540929394</c:v>
                </c:pt>
                <c:pt idx="306">
                  <c:v>0.77317440998061149</c:v>
                </c:pt>
                <c:pt idx="307">
                  <c:v>0.76740421455885688</c:v>
                </c:pt>
                <c:pt idx="308">
                  <c:v>0.76165592127670301</c:v>
                </c:pt>
                <c:pt idx="309">
                  <c:v>0.75593801961083673</c:v>
                </c:pt>
                <c:pt idx="310">
                  <c:v>0.75025894754742239</c:v>
                </c:pt>
                <c:pt idx="311">
                  <c:v>0.74462705271936014</c:v>
                </c:pt>
                <c:pt idx="312">
                  <c:v>0.73905055378765083</c:v>
                </c:pt>
                <c:pt idx="313">
                  <c:v>0.73353750233911663</c:v>
                </c:pt>
                <c:pt idx="314">
                  <c:v>0.72809574557030932</c:v>
                </c:pt>
                <c:pt idx="315">
                  <c:v>0.72273289002272234</c:v>
                </c:pt>
                <c:pt idx="316">
                  <c:v>0.71745626662741557</c:v>
                </c:pt>
                <c:pt idx="317">
                  <c:v>0.71227289730794707</c:v>
                </c:pt>
                <c:pt idx="318">
                  <c:v>0.70718946337911481</c:v>
                </c:pt>
                <c:pt idx="319">
                  <c:v>0.70221227596561042</c:v>
                </c:pt>
                <c:pt idx="320">
                  <c:v>0.69734724864930842</c:v>
                </c:pt>
                <c:pt idx="321">
                  <c:v>0.69259987253677058</c:v>
                </c:pt>
                <c:pt idx="322">
                  <c:v>0.68797519391974316</c:v>
                </c:pt>
                <c:pt idx="323">
                  <c:v>0.6834777946811299</c:v>
                </c:pt>
                <c:pt idx="324">
                  <c:v>0.67911177557735525</c:v>
                </c:pt>
                <c:pt idx="325">
                  <c:v>0.67488074250533581</c:v>
                </c:pt>
                <c:pt idx="326">
                  <c:v>0.67078779583869075</c:v>
                </c:pt>
                <c:pt idx="327">
                  <c:v>0.66683552289354608</c:v>
                </c:pt>
                <c:pt idx="328">
                  <c:v>0.66302599355952796</c:v>
                </c:pt>
                <c:pt idx="329">
                  <c:v>0.65936075910655212</c:v>
                </c:pt>
                <c:pt idx="330">
                  <c:v>0.65584085415297422</c:v>
                </c:pt>
                <c:pt idx="331">
                  <c:v>0.65246680175585481</c:v>
                </c:pt>
                <c:pt idx="332">
                  <c:v>0.64923862155967649</c:v>
                </c:pt>
                <c:pt idx="333">
                  <c:v>0.64615584091608813</c:v>
                </c:pt>
                <c:pt idx="334">
                  <c:v>0.64321750886433393</c:v>
                </c:pt>
                <c:pt idx="335">
                  <c:v>0.64042221284015988</c:v>
                </c:pt>
                <c:pt idx="336">
                  <c:v>0.63776809796037026</c:v>
                </c:pt>
                <c:pt idx="337">
                  <c:v>0.63525288871101571</c:v>
                </c:pt>
                <c:pt idx="338">
                  <c:v>0.63287391284958383</c:v>
                </c:pt>
                <c:pt idx="339">
                  <c:v>0.6306281273157095</c:v>
                </c:pt>
                <c:pt idx="340">
                  <c:v>0.62851214593092741</c:v>
                </c:pt>
                <c:pt idx="341">
                  <c:v>0.62652226865599625</c:v>
                </c:pt>
                <c:pt idx="342">
                  <c:v>0.62465451216441836</c:v>
                </c:pt>
                <c:pt idx="343">
                  <c:v>0.62290464148302538</c:v>
                </c:pt>
                <c:pt idx="344">
                  <c:v>0.62126820244498304</c:v>
                </c:pt>
                <c:pt idx="345">
                  <c:v>0.61974055469729172</c:v>
                </c:pt>
                <c:pt idx="346">
                  <c:v>0.61831690500385694</c:v>
                </c:pt>
                <c:pt idx="347">
                  <c:v>0.61699234058646302</c:v>
                </c:pt>
                <c:pt idx="348">
                  <c:v>0.6157618622494625</c:v>
                </c:pt>
                <c:pt idx="349">
                  <c:v>0.61462041703967107</c:v>
                </c:pt>
                <c:pt idx="350">
                  <c:v>0.61356293020072572</c:v>
                </c:pt>
                <c:pt idx="351">
                  <c:v>0.61258433619096941</c:v>
                </c:pt>
                <c:pt idx="352">
                  <c:v>0.61167960854563364</c:v>
                </c:pt>
                <c:pt idx="353">
                  <c:v>0.61084378837758946</c:v>
                </c:pt>
                <c:pt idx="354">
                  <c:v>0.61007201132608702</c:v>
                </c:pt>
                <c:pt idx="355">
                  <c:v>0.60935953277953325</c:v>
                </c:pt>
                <c:pt idx="356">
                  <c:v>0.60870175121632608</c:v>
                </c:pt>
                <c:pt idx="357">
                  <c:v>0.60809422952685477</c:v>
                </c:pt>
                <c:pt idx="358">
                  <c:v>0.60753271419984134</c:v>
                </c:pt>
                <c:pt idx="359">
                  <c:v>0.60701315227700314</c:v>
                </c:pt>
                <c:pt idx="360">
                  <c:v>0.60653170600139006</c:v>
                </c:pt>
                <c:pt idx="361">
                  <c:v>0.60608476510646603</c:v>
                </c:pt>
                <c:pt idx="362">
                  <c:v>0.60566895671486809</c:v>
                </c:pt>
                <c:pt idx="363">
                  <c:v>0.60528115283757489</c:v>
                </c:pt>
                <c:pt idx="364">
                  <c:v>0.60491847548575273</c:v>
                </c:pt>
                <c:pt idx="365">
                  <c:v>0.60457829942861385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726800"/>
        <c:axId val="655726016"/>
      </c:lineChart>
      <c:dateAx>
        <c:axId val="655726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26016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655726016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268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2.004729162751032E-2</c:v>
                </c:pt>
                <c:pt idx="1">
                  <c:v>1.9874190488348709E-2</c:v>
                </c:pt>
                <c:pt idx="2">
                  <c:v>1.9662346941515703E-2</c:v>
                </c:pt>
                <c:pt idx="3">
                  <c:v>1.9411669548453896E-2</c:v>
                </c:pt>
                <c:pt idx="4">
                  <c:v>1.9122068246727672E-2</c:v>
                </c:pt>
                <c:pt idx="5">
                  <c:v>1.8793455178968421E-2</c:v>
                </c:pt>
                <c:pt idx="6">
                  <c:v>1.8425745522022172E-2</c:v>
                </c:pt>
                <c:pt idx="7">
                  <c:v>1.8018858315736505E-2</c:v>
                </c:pt>
                <c:pt idx="8">
                  <c:v>1.757271729197725E-2</c:v>
                </c:pt>
                <c:pt idx="9">
                  <c:v>1.7086026311264494E-2</c:v>
                </c:pt>
                <c:pt idx="10">
                  <c:v>1.6568517353893347E-2</c:v>
                </c:pt>
                <c:pt idx="11">
                  <c:v>1.6020142224392457E-2</c:v>
                </c:pt>
                <c:pt idx="12">
                  <c:v>1.5440859905926224E-2</c:v>
                </c:pt>
                <c:pt idx="13">
                  <c:v>1.4830637206244005E-2</c:v>
                </c:pt>
                <c:pt idx="14">
                  <c:v>1.4189449403419209E-2</c:v>
                </c:pt>
                <c:pt idx="15">
                  <c:v>1.3530420617991692E-2</c:v>
                </c:pt>
                <c:pt idx="16">
                  <c:v>1.2882628885819055E-2</c:v>
                </c:pt>
                <c:pt idx="17">
                  <c:v>1.2246105373655902E-2</c:v>
                </c:pt>
                <c:pt idx="18">
                  <c:v>1.1620884821813383E-2</c:v>
                </c:pt>
                <c:pt idx="19">
                  <c:v>1.1007056898084594E-2</c:v>
                </c:pt>
                <c:pt idx="20">
                  <c:v>1.0404725080870782E-2</c:v>
                </c:pt>
                <c:pt idx="21">
                  <c:v>9.8139442779663685E-3</c:v>
                </c:pt>
                <c:pt idx="22">
                  <c:v>9.2347653960537426E-3</c:v>
                </c:pt>
                <c:pt idx="23">
                  <c:v>8.6780797817540209E-3</c:v>
                </c:pt>
                <c:pt idx="24">
                  <c:v>8.1451621724813808E-3</c:v>
                </c:pt>
                <c:pt idx="25">
                  <c:v>7.6360534030151823E-3</c:v>
                </c:pt>
                <c:pt idx="26">
                  <c:v>7.1507897296935246E-3</c:v>
                </c:pt>
                <c:pt idx="27">
                  <c:v>6.689403082618642E-3</c:v>
                </c:pt>
                <c:pt idx="28">
                  <c:v>6.2519213179994659E-3</c:v>
                </c:pt>
                <c:pt idx="29">
                  <c:v>5.8548049369541964E-3</c:v>
                </c:pt>
                <c:pt idx="30">
                  <c:v>5.4849153582738645E-3</c:v>
                </c:pt>
                <c:pt idx="31">
                  <c:v>5.1422689301384309E-3</c:v>
                </c:pt>
                <c:pt idx="32">
                  <c:v>4.8268788238161209E-3</c:v>
                </c:pt>
                <c:pt idx="33">
                  <c:v>4.53875532037884E-3</c:v>
                </c:pt>
                <c:pt idx="34">
                  <c:v>4.2779060974365559E-3</c:v>
                </c:pt>
                <c:pt idx="35">
                  <c:v>4.0443365158651821E-3</c:v>
                </c:pt>
                <c:pt idx="36">
                  <c:v>3.8380499065261741E-3</c:v>
                </c:pt>
                <c:pt idx="37">
                  <c:v>3.6601917201374134E-3</c:v>
                </c:pt>
                <c:pt idx="38">
                  <c:v>3.4999207892873821E-3</c:v>
                </c:pt>
                <c:pt idx="39">
                  <c:v>3.3572382266413786E-3</c:v>
                </c:pt>
                <c:pt idx="40">
                  <c:v>3.2321443132898421E-3</c:v>
                </c:pt>
                <c:pt idx="41">
                  <c:v>3.1246386835294205E-3</c:v>
                </c:pt>
                <c:pt idx="42">
                  <c:v>3.034720509622852E-3</c:v>
                </c:pt>
                <c:pt idx="43">
                  <c:v>2.9554043634699091E-3</c:v>
                </c:pt>
                <c:pt idx="44">
                  <c:v>2.8702686871877911E-3</c:v>
                </c:pt>
                <c:pt idx="45">
                  <c:v>2.7793167235724706E-3</c:v>
                </c:pt>
                <c:pt idx="46">
                  <c:v>2.6825511896193832E-3</c:v>
                </c:pt>
                <c:pt idx="47">
                  <c:v>2.5799742151050944E-3</c:v>
                </c:pt>
                <c:pt idx="48">
                  <c:v>2.4715872811380828E-3</c:v>
                </c:pt>
                <c:pt idx="49">
                  <c:v>2.3573911587304618E-3</c:v>
                </c:pt>
                <c:pt idx="50">
                  <c:v>2.2373858473563229E-3</c:v>
                </c:pt>
                <c:pt idx="51">
                  <c:v>2.1156974124013194E-3</c:v>
                </c:pt>
                <c:pt idx="52">
                  <c:v>1.9911719472288794E-3</c:v>
                </c:pt>
                <c:pt idx="53">
                  <c:v>1.8637984798150716E-3</c:v>
                </c:pt>
                <c:pt idx="54">
                  <c:v>1.7335754684099872E-3</c:v>
                </c:pt>
                <c:pt idx="55">
                  <c:v>1.6005014900974523E-3</c:v>
                </c:pt>
                <c:pt idx="56">
                  <c:v>1.464575249671694E-3</c:v>
                </c:pt>
                <c:pt idx="57">
                  <c:v>1.3343210981251238E-3</c:v>
                </c:pt>
                <c:pt idx="58">
                  <c:v>1.2167199291674262E-3</c:v>
                </c:pt>
                <c:pt idx="59">
                  <c:v>1.1117711532067291E-3</c:v>
                </c:pt>
                <c:pt idx="60">
                  <c:v>1.019474384314117E-3</c:v>
                </c:pt>
                <c:pt idx="61">
                  <c:v>9.3982940088199805E-4</c:v>
                </c:pt>
                <c:pt idx="62">
                  <c:v>8.728361062812544E-4</c:v>
                </c:pt>
                <c:pt idx="63">
                  <c:v>8.1849448952082894E-4</c:v>
                </c:pt>
                <c:pt idx="64">
                  <c:v>7.768045859041921E-4</c:v>
                </c:pt>
                <c:pt idx="65">
                  <c:v>7.4979977096379497E-4</c:v>
                </c:pt>
                <c:pt idx="66">
                  <c:v>7.3335302237885285E-4</c:v>
                </c:pt>
                <c:pt idx="67">
                  <c:v>7.2746426209494908E-4</c:v>
                </c:pt>
                <c:pt idx="68">
                  <c:v>7.3213332281383625E-4</c:v>
                </c:pt>
                <c:pt idx="69">
                  <c:v>7.4735991515955411E-4</c:v>
                </c:pt>
                <c:pt idx="70">
                  <c:v>7.7314359484742903E-4</c:v>
                </c:pt>
                <c:pt idx="71">
                  <c:v>8.0892071930837792E-4</c:v>
                </c:pt>
                <c:pt idx="72">
                  <c:v>8.4616481329654724E-4</c:v>
                </c:pt>
                <c:pt idx="73">
                  <c:v>8.8487519389101601E-4</c:v>
                </c:pt>
                <c:pt idx="74">
                  <c:v>9.2505110010219604E-4</c:v>
                </c:pt>
                <c:pt idx="75">
                  <c:v>9.6669168830125865E-4</c:v>
                </c:pt>
                <c:pt idx="76">
                  <c:v>1.0097960276472351E-3</c:v>
                </c:pt>
                <c:pt idx="77">
                  <c:v>1.0543630955166514E-3</c:v>
                </c:pt>
                <c:pt idx="78">
                  <c:v>1.1003918036357884E-3</c:v>
                </c:pt>
                <c:pt idx="79">
                  <c:v>1.1490848179901878E-3</c:v>
                </c:pt>
                <c:pt idx="80">
                  <c:v>1.198411105916393E-3</c:v>
                </c:pt>
                <c:pt idx="81">
                  <c:v>1.2483702490373367E-3</c:v>
                </c:pt>
                <c:pt idx="82">
                  <c:v>1.2989617742582918E-3</c:v>
                </c:pt>
                <c:pt idx="83">
                  <c:v>1.3501851520504675E-3</c:v>
                </c:pt>
                <c:pt idx="84">
                  <c:v>1.4020397947383341E-3</c:v>
                </c:pt>
                <c:pt idx="85">
                  <c:v>1.4563841227670025E-3</c:v>
                </c:pt>
                <c:pt idx="86">
                  <c:v>1.5137799034240999E-3</c:v>
                </c:pt>
                <c:pt idx="87">
                  <c:v>1.5742260094418854E-3</c:v>
                </c:pt>
                <c:pt idx="88">
                  <c:v>1.6377212145698753E-3</c:v>
                </c:pt>
                <c:pt idx="89">
                  <c:v>1.7042641853381652E-3</c:v>
                </c:pt>
                <c:pt idx="90">
                  <c:v>1.7738534728178215E-3</c:v>
                </c:pt>
                <c:pt idx="91">
                  <c:v>1.8464875043865982E-3</c:v>
                </c:pt>
                <c:pt idx="92">
                  <c:v>1.9221645754911375E-3</c:v>
                </c:pt>
                <c:pt idx="93">
                  <c:v>1.9978190463106902E-3</c:v>
                </c:pt>
                <c:pt idx="94">
                  <c:v>2.0722503578632177E-3</c:v>
                </c:pt>
                <c:pt idx="95">
                  <c:v>2.1454573255537414E-3</c:v>
                </c:pt>
                <c:pt idx="96">
                  <c:v>2.2174387146294602E-3</c:v>
                </c:pt>
                <c:pt idx="97">
                  <c:v>2.2881932434375115E-3</c:v>
                </c:pt>
                <c:pt idx="98">
                  <c:v>2.3577195866671631E-3</c:v>
                </c:pt>
                <c:pt idx="99">
                  <c:v>2.4186014363673969E-3</c:v>
                </c:pt>
                <c:pt idx="100">
                  <c:v>2.4689823520724877E-3</c:v>
                </c:pt>
                <c:pt idx="101">
                  <c:v>2.5088638823492436E-3</c:v>
                </c:pt>
                <c:pt idx="102">
                  <c:v>2.5382478855463658E-3</c:v>
                </c:pt>
                <c:pt idx="103">
                  <c:v>2.5571365580134421E-3</c:v>
                </c:pt>
                <c:pt idx="104">
                  <c:v>2.5655324623694714E-3</c:v>
                </c:pt>
                <c:pt idx="105">
                  <c:v>2.5634385557256E-3</c:v>
                </c:pt>
                <c:pt idx="106">
                  <c:v>2.5508582179332639E-3</c:v>
                </c:pt>
                <c:pt idx="107">
                  <c:v>2.5269720071568534E-3</c:v>
                </c:pt>
                <c:pt idx="108">
                  <c:v>2.4948435642063232E-3</c:v>
                </c:pt>
                <c:pt idx="109">
                  <c:v>2.4544766643330705E-3</c:v>
                </c:pt>
                <c:pt idx="110">
                  <c:v>2.405881266135417E-3</c:v>
                </c:pt>
                <c:pt idx="111">
                  <c:v>2.3490673731480136E-3</c:v>
                </c:pt>
                <c:pt idx="112">
                  <c:v>2.2840393084916765E-3</c:v>
                </c:pt>
                <c:pt idx="113">
                  <c:v>2.2127200711117619E-3</c:v>
                </c:pt>
                <c:pt idx="114">
                  <c:v>2.1425126745642873E-3</c:v>
                </c:pt>
                <c:pt idx="115">
                  <c:v>2.0734170113206885E-3</c:v>
                </c:pt>
                <c:pt idx="116">
                  <c:v>2.0054329964078878E-3</c:v>
                </c:pt>
                <c:pt idx="117">
                  <c:v>1.938560565408784E-3</c:v>
                </c:pt>
                <c:pt idx="118">
                  <c:v>1.8727996724443024E-3</c:v>
                </c:pt>
                <c:pt idx="119">
                  <c:v>1.8081502881607467E-3</c:v>
                </c:pt>
                <c:pt idx="120">
                  <c:v>1.7446123977147784E-3</c:v>
                </c:pt>
                <c:pt idx="121">
                  <c:v>1.6803331286509573E-3</c:v>
                </c:pt>
                <c:pt idx="122">
                  <c:v>1.6161347001163152E-3</c:v>
                </c:pt>
                <c:pt idx="123">
                  <c:v>1.5520178582058804E-3</c:v>
                </c:pt>
                <c:pt idx="124">
                  <c:v>1.487983393786869E-3</c:v>
                </c:pt>
                <c:pt idx="125">
                  <c:v>1.4240321423946124E-3</c:v>
                </c:pt>
                <c:pt idx="126">
                  <c:v>1.3601649841098701E-3</c:v>
                </c:pt>
                <c:pt idx="127">
                  <c:v>1.2968257464706378E-3</c:v>
                </c:pt>
                <c:pt idx="128">
                  <c:v>1.2321028055861758E-3</c:v>
                </c:pt>
                <c:pt idx="129">
                  <c:v>1.165998330507269E-3</c:v>
                </c:pt>
                <c:pt idx="130">
                  <c:v>1.0985145965213537E-3</c:v>
                </c:pt>
                <c:pt idx="131">
                  <c:v>1.0296539877334729E-3</c:v>
                </c:pt>
                <c:pt idx="132">
                  <c:v>9.5941899965856173E-4</c:v>
                </c:pt>
                <c:pt idx="133">
                  <c:v>8.8781224181874654E-4</c:v>
                </c:pt>
                <c:pt idx="134">
                  <c:v>8.1483644033517218E-4</c:v>
                </c:pt>
                <c:pt idx="135">
                  <c:v>7.4317133023524252E-4</c:v>
                </c:pt>
                <c:pt idx="136">
                  <c:v>6.7466281012555055E-4</c:v>
                </c:pt>
                <c:pt idx="137">
                  <c:v>6.0930946968433487E-4</c:v>
                </c:pt>
                <c:pt idx="138">
                  <c:v>5.4710979083774701E-4</c:v>
                </c:pt>
                <c:pt idx="139">
                  <c:v>4.8806214201413682E-4</c:v>
                </c:pt>
                <c:pt idx="140">
                  <c:v>4.3216477237070008E-4</c:v>
                </c:pt>
                <c:pt idx="141">
                  <c:v>3.808511590021414E-4</c:v>
                </c:pt>
                <c:pt idx="142">
                  <c:v>3.3367531610688488E-4</c:v>
                </c:pt>
                <c:pt idx="143">
                  <c:v>2.9063342703436034E-4</c:v>
                </c:pt>
                <c:pt idx="144">
                  <c:v>2.5172321471067814E-4</c:v>
                </c:pt>
                <c:pt idx="145">
                  <c:v>2.1694180509947264E-4</c:v>
                </c:pt>
                <c:pt idx="146">
                  <c:v>1.8628577346506279E-4</c:v>
                </c:pt>
                <c:pt idx="147">
                  <c:v>1.5975119064273684E-4</c:v>
                </c:pt>
                <c:pt idx="148">
                  <c:v>1.373336693038316E-4</c:v>
                </c:pt>
                <c:pt idx="149">
                  <c:v>1.1942142311667095E-4</c:v>
                </c:pt>
                <c:pt idx="150">
                  <c:v>1.0334780893223046E-4</c:v>
                </c:pt>
                <c:pt idx="151">
                  <c:v>8.9110728690898887E-5</c:v>
                </c:pt>
                <c:pt idx="152">
                  <c:v>7.6707918704359192E-5</c:v>
                </c:pt>
                <c:pt idx="153">
                  <c:v>6.6136970268847924E-5</c:v>
                </c:pt>
                <c:pt idx="154">
                  <c:v>5.7395350278900973E-5</c:v>
                </c:pt>
                <c:pt idx="155">
                  <c:v>5.0629430659411452E-5</c:v>
                </c:pt>
                <c:pt idx="156">
                  <c:v>4.4410975521177059E-5</c:v>
                </c:pt>
                <c:pt idx="157">
                  <c:v>3.8739232475189289E-5</c:v>
                </c:pt>
                <c:pt idx="158">
                  <c:v>3.3613415391061783E-5</c:v>
                </c:pt>
                <c:pt idx="159">
                  <c:v>2.9032710529543594E-5</c:v>
                </c:pt>
                <c:pt idx="160">
                  <c:v>2.4996282675414935E-5</c:v>
                </c:pt>
                <c:pt idx="161">
                  <c:v>2.1503281270034774E-5</c:v>
                </c:pt>
                <c:pt idx="162">
                  <c:v>1.85528465440614E-5</c:v>
                </c:pt>
                <c:pt idx="163">
                  <c:v>1.6244701323162514E-5</c:v>
                </c:pt>
                <c:pt idx="164">
                  <c:v>1.4187871205099164E-5</c:v>
                </c:pt>
                <c:pt idx="165">
                  <c:v>1.2381949389903219E-5</c:v>
                </c:pt>
                <c:pt idx="166">
                  <c:v>1.0826530742333711E-5</c:v>
                </c:pt>
                <c:pt idx="167">
                  <c:v>9.5212146268355174E-6</c:v>
                </c:pt>
                <c:pt idx="168">
                  <c:v>8.4656077428290498E-6</c:v>
                </c:pt>
                <c:pt idx="169">
                  <c:v>7.7596143929555886E-6</c:v>
                </c:pt>
                <c:pt idx="170">
                  <c:v>7.2548544441125428E-6</c:v>
                </c:pt>
                <c:pt idx="171">
                  <c:v>6.9510412452446422E-6</c:v>
                </c:pt>
                <c:pt idx="172">
                  <c:v>6.8479029900998027E-6</c:v>
                </c:pt>
                <c:pt idx="173">
                  <c:v>6.945125614588608E-6</c:v>
                </c:pt>
                <c:pt idx="174">
                  <c:v>7.2424010474392742E-6</c:v>
                </c:pt>
                <c:pt idx="175">
                  <c:v>7.7394792184113132E-6</c:v>
                </c:pt>
                <c:pt idx="176">
                  <c:v>8.4361111604375732E-6</c:v>
                </c:pt>
                <c:pt idx="177">
                  <c:v>9.4794818599645444E-6</c:v>
                </c:pt>
                <c:pt idx="178">
                  <c:v>1.0769261076079797E-5</c:v>
                </c:pt>
                <c:pt idx="179">
                  <c:v>1.2305150645581113E-5</c:v>
                </c:pt>
                <c:pt idx="180">
                  <c:v>1.4086858496490216E-5</c:v>
                </c:pt>
                <c:pt idx="181">
                  <c:v>1.6114099862022726E-5</c:v>
                </c:pt>
                <c:pt idx="182">
                  <c:v>1.8386598494638682E-5</c:v>
                </c:pt>
                <c:pt idx="183">
                  <c:v>2.129079725954597E-5</c:v>
                </c:pt>
                <c:pt idx="184">
                  <c:v>2.4726321164738792E-5</c:v>
                </c:pt>
                <c:pt idx="185">
                  <c:v>2.8692593507281552E-5</c:v>
                </c:pt>
                <c:pt idx="186">
                  <c:v>3.3189061498176767E-5</c:v>
                </c:pt>
                <c:pt idx="187">
                  <c:v>3.8215198888464799E-5</c:v>
                </c:pt>
                <c:pt idx="188">
                  <c:v>4.3770508595618402E-5</c:v>
                </c:pt>
                <c:pt idx="189">
                  <c:v>4.9854525328966106E-5</c:v>
                </c:pt>
                <c:pt idx="190">
                  <c:v>5.6466818216510541E-5</c:v>
                </c:pt>
                <c:pt idx="191">
                  <c:v>6.5010196119536507E-5</c:v>
                </c:pt>
                <c:pt idx="192">
                  <c:v>7.5336279730642172E-5</c:v>
                </c:pt>
                <c:pt idx="193">
                  <c:v>8.7443529483965823E-5</c:v>
                </c:pt>
                <c:pt idx="194">
                  <c:v>1.0133052620685811E-4</c:v>
                </c:pt>
                <c:pt idx="195">
                  <c:v>1.1699597994827736E-4</c:v>
                </c:pt>
                <c:pt idx="196">
                  <c:v>1.3443873880455607E-4</c:v>
                </c:pt>
                <c:pt idx="197">
                  <c:v>1.5626436708252923E-4</c:v>
                </c:pt>
                <c:pt idx="198">
                  <c:v>1.8208510968443779E-4</c:v>
                </c:pt>
                <c:pt idx="199">
                  <c:v>2.1189856936924432E-4</c:v>
                </c:pt>
                <c:pt idx="200">
                  <c:v>2.4570269574480323E-4</c:v>
                </c:pt>
                <c:pt idx="201">
                  <c:v>2.8349580507834886E-4</c:v>
                </c:pt>
                <c:pt idx="202">
                  <c:v>3.2527660010693631E-4</c:v>
                </c:pt>
                <c:pt idx="203">
                  <c:v>3.7104418985382413E-4</c:v>
                </c:pt>
                <c:pt idx="204">
                  <c:v>4.207975423859037E-4</c:v>
                </c:pt>
                <c:pt idx="205">
                  <c:v>4.7496501591257794E-4</c:v>
                </c:pt>
                <c:pt idx="206">
                  <c:v>5.3214826801927233E-4</c:v>
                </c:pt>
                <c:pt idx="207">
                  <c:v>5.9234750324654091E-4</c:v>
                </c:pt>
                <c:pt idx="208">
                  <c:v>6.5556307282415704E-4</c:v>
                </c:pt>
                <c:pt idx="209">
                  <c:v>7.217954668196165E-4</c:v>
                </c:pt>
                <c:pt idx="210">
                  <c:v>7.9104530630455723E-4</c:v>
                </c:pt>
                <c:pt idx="211">
                  <c:v>8.6152083119760961E-4</c:v>
                </c:pt>
                <c:pt idx="212">
                  <c:v>9.3062462418154056E-4</c:v>
                </c:pt>
                <c:pt idx="213">
                  <c:v>9.9835900690700783E-4</c:v>
                </c:pt>
                <c:pt idx="214">
                  <c:v>1.064726149274072E-3</c:v>
                </c:pt>
                <c:pt idx="215">
                  <c:v>1.1297280729663964E-3</c:v>
                </c:pt>
                <c:pt idx="216">
                  <c:v>1.1933666549829396E-3</c:v>
                </c:pt>
                <c:pt idx="217">
                  <c:v>1.255643631173554E-3</c:v>
                </c:pt>
                <c:pt idx="218">
                  <c:v>1.3165605997694952E-3</c:v>
                </c:pt>
                <c:pt idx="219">
                  <c:v>1.3779708145895016E-3</c:v>
                </c:pt>
                <c:pt idx="220">
                  <c:v>1.439446589224022E-3</c:v>
                </c:pt>
                <c:pt idx="221">
                  <c:v>1.5009890145741152E-3</c:v>
                </c:pt>
                <c:pt idx="222">
                  <c:v>1.5625991205129326E-3</c:v>
                </c:pt>
                <c:pt idx="223">
                  <c:v>1.6242778757499861E-3</c:v>
                </c:pt>
                <c:pt idx="224">
                  <c:v>1.6860261876665836E-3</c:v>
                </c:pt>
                <c:pt idx="225">
                  <c:v>1.7470511440930959E-3</c:v>
                </c:pt>
                <c:pt idx="226">
                  <c:v>1.8091445465874384E-3</c:v>
                </c:pt>
                <c:pt idx="227">
                  <c:v>1.8723071150479956E-3</c:v>
                </c:pt>
                <c:pt idx="228">
                  <c:v>1.9365395440791087E-3</c:v>
                </c:pt>
                <c:pt idx="229">
                  <c:v>2.0018425002309693E-3</c:v>
                </c:pt>
                <c:pt idx="230">
                  <c:v>2.068216619263256E-3</c:v>
                </c:pt>
                <c:pt idx="231">
                  <c:v>2.1356625034162332E-3</c:v>
                </c:pt>
                <c:pt idx="232">
                  <c:v>2.2041807186450853E-3</c:v>
                </c:pt>
                <c:pt idx="233">
                  <c:v>2.2666284545834791E-3</c:v>
                </c:pt>
                <c:pt idx="234">
                  <c:v>2.3211534898518902E-3</c:v>
                </c:pt>
                <c:pt idx="235">
                  <c:v>2.3677565619362553E-3</c:v>
                </c:pt>
                <c:pt idx="236">
                  <c:v>2.4064389131878998E-3</c:v>
                </c:pt>
                <c:pt idx="237">
                  <c:v>2.4372003287777373E-3</c:v>
                </c:pt>
                <c:pt idx="238">
                  <c:v>2.4600403438302392E-3</c:v>
                </c:pt>
                <c:pt idx="239">
                  <c:v>2.472007113248824E-3</c:v>
                </c:pt>
                <c:pt idx="240">
                  <c:v>2.4738931658711862E-3</c:v>
                </c:pt>
                <c:pt idx="241">
                  <c:v>2.4656966383365818E-3</c:v>
                </c:pt>
                <c:pt idx="242">
                  <c:v>2.4474152857614424E-3</c:v>
                </c:pt>
                <c:pt idx="243">
                  <c:v>2.4190464668939322E-3</c:v>
                </c:pt>
                <c:pt idx="244">
                  <c:v>2.3805871292559046E-3</c:v>
                </c:pt>
                <c:pt idx="245">
                  <c:v>2.3320337942631954E-3</c:v>
                </c:pt>
                <c:pt idx="246">
                  <c:v>2.2733825423444029E-3</c:v>
                </c:pt>
                <c:pt idx="247">
                  <c:v>2.2064203169232998E-3</c:v>
                </c:pt>
                <c:pt idx="248">
                  <c:v>2.1382951119115431E-3</c:v>
                </c:pt>
                <c:pt idx="249">
                  <c:v>2.0690052871317772E-3</c:v>
                </c:pt>
                <c:pt idx="250">
                  <c:v>1.9985491099353959E-3</c:v>
                </c:pt>
                <c:pt idx="251">
                  <c:v>1.9269247535399815E-3</c:v>
                </c:pt>
                <c:pt idx="252">
                  <c:v>1.8541302952910664E-3</c:v>
                </c:pt>
                <c:pt idx="253">
                  <c:v>1.781320812232537E-3</c:v>
                </c:pt>
                <c:pt idx="254">
                  <c:v>1.7114513502797545E-3</c:v>
                </c:pt>
                <c:pt idx="255">
                  <c:v>1.6445219840047823E-3</c:v>
                </c:pt>
                <c:pt idx="256">
                  <c:v>1.5805328947249321E-3</c:v>
                </c:pt>
                <c:pt idx="257">
                  <c:v>1.5194843748270335E-3</c:v>
                </c:pt>
                <c:pt idx="258">
                  <c:v>1.46137683210605E-3</c:v>
                </c:pt>
                <c:pt idx="259">
                  <c:v>1.4062107941193863E-3</c:v>
                </c:pt>
                <c:pt idx="260">
                  <c:v>1.3539869125026238E-3</c:v>
                </c:pt>
                <c:pt idx="261">
                  <c:v>1.3041623473851645E-3</c:v>
                </c:pt>
                <c:pt idx="262">
                  <c:v>1.2549413161916162E-3</c:v>
                </c:pt>
                <c:pt idx="263">
                  <c:v>1.2063230634868662E-3</c:v>
                </c:pt>
                <c:pt idx="264">
                  <c:v>1.158306886349385E-3</c:v>
                </c:pt>
                <c:pt idx="265">
                  <c:v>1.1108970515815147E-3</c:v>
                </c:pt>
                <c:pt idx="266">
                  <c:v>1.064094652638027E-3</c:v>
                </c:pt>
                <c:pt idx="267">
                  <c:v>1.0198634442293482E-3</c:v>
                </c:pt>
                <c:pt idx="268">
                  <c:v>9.7704152669541742E-4</c:v>
                </c:pt>
                <c:pt idx="269">
                  <c:v>9.3562749869276391E-4</c:v>
                </c:pt>
                <c:pt idx="270">
                  <c:v>8.9562023456848786E-4</c:v>
                </c:pt>
                <c:pt idx="271">
                  <c:v>8.5701887126000801E-4</c:v>
                </c:pt>
                <c:pt idx="272">
                  <c:v>8.1982279521788611E-4</c:v>
                </c:pt>
                <c:pt idx="273">
                  <c:v>7.8403162931906586E-4</c:v>
                </c:pt>
                <c:pt idx="274">
                  <c:v>7.4964521978934217E-4</c:v>
                </c:pt>
                <c:pt idx="275">
                  <c:v>7.2493365059778222E-4</c:v>
                </c:pt>
                <c:pt idx="276">
                  <c:v>7.1045372608774602E-4</c:v>
                </c:pt>
                <c:pt idx="277">
                  <c:v>7.0621709974210713E-4</c:v>
                </c:pt>
                <c:pt idx="278">
                  <c:v>7.1223586791284552E-4</c:v>
                </c:pt>
                <c:pt idx="279">
                  <c:v>7.2852247586415884E-4</c:v>
                </c:pt>
                <c:pt idx="280">
                  <c:v>7.5508962382129412E-4</c:v>
                </c:pt>
                <c:pt idx="281">
                  <c:v>7.9596356861528833E-4</c:v>
                </c:pt>
                <c:pt idx="282">
                  <c:v>8.4918428355233136E-4</c:v>
                </c:pt>
                <c:pt idx="283">
                  <c:v>9.1476735428035259E-4</c:v>
                </c:pt>
                <c:pt idx="284">
                  <c:v>9.9272823344508316E-4</c:v>
                </c:pt>
                <c:pt idx="285">
                  <c:v>1.0830821281028597E-3</c:v>
                </c:pt>
                <c:pt idx="286">
                  <c:v>1.1858438871412648E-3</c:v>
                </c:pt>
                <c:pt idx="287">
                  <c:v>1.3010278886921899E-3</c:v>
                </c:pt>
                <c:pt idx="288">
                  <c:v>1.428647927547677E-3</c:v>
                </c:pt>
                <c:pt idx="289">
                  <c:v>1.5619037477886627E-3</c:v>
                </c:pt>
                <c:pt idx="290">
                  <c:v>1.6924757511885707E-3</c:v>
                </c:pt>
                <c:pt idx="291">
                  <c:v>1.8203567347842428E-3</c:v>
                </c:pt>
                <c:pt idx="292">
                  <c:v>1.9455391302573028E-3</c:v>
                </c:pt>
                <c:pt idx="293">
                  <c:v>2.0680150293428219E-3</c:v>
                </c:pt>
                <c:pt idx="294">
                  <c:v>2.1877762092331388E-3</c:v>
                </c:pt>
                <c:pt idx="295">
                  <c:v>2.3059324004958289E-3</c:v>
                </c:pt>
                <c:pt idx="296">
                  <c:v>2.4184621441745023E-3</c:v>
                </c:pt>
                <c:pt idx="297">
                  <c:v>2.5253743403283839E-3</c:v>
                </c:pt>
                <c:pt idx="298">
                  <c:v>2.6266622073191355E-3</c:v>
                </c:pt>
                <c:pt idx="299">
                  <c:v>2.7223184770335091E-3</c:v>
                </c:pt>
                <c:pt idx="300">
                  <c:v>2.8123354390629505E-3</c:v>
                </c:pt>
                <c:pt idx="301">
                  <c:v>2.8967049848766598E-3</c:v>
                </c:pt>
                <c:pt idx="302">
                  <c:v>2.9754186519996904E-3</c:v>
                </c:pt>
                <c:pt idx="303">
                  <c:v>3.0645772085055064E-3</c:v>
                </c:pt>
                <c:pt idx="304">
                  <c:v>3.1710447037315891E-3</c:v>
                </c:pt>
                <c:pt idx="305">
                  <c:v>3.2948393125770124E-3</c:v>
                </c:pt>
                <c:pt idx="306">
                  <c:v>3.4359788051473742E-3</c:v>
                </c:pt>
                <c:pt idx="307">
                  <c:v>3.5944804139054422E-3</c:v>
                </c:pt>
                <c:pt idx="308">
                  <c:v>3.7703607007970332E-3</c:v>
                </c:pt>
                <c:pt idx="309">
                  <c:v>3.974290921138917E-3</c:v>
                </c:pt>
                <c:pt idx="310">
                  <c:v>4.2051735237089594E-3</c:v>
                </c:pt>
                <c:pt idx="311">
                  <c:v>4.4630329186000281E-3</c:v>
                </c:pt>
                <c:pt idx="312">
                  <c:v>4.7478919435933742E-3</c:v>
                </c:pt>
                <c:pt idx="313">
                  <c:v>5.0597716580039771E-3</c:v>
                </c:pt>
                <c:pt idx="314">
                  <c:v>5.3986911364908331E-3</c:v>
                </c:pt>
                <c:pt idx="315">
                  <c:v>5.7646672629194625E-3</c:v>
                </c:pt>
                <c:pt idx="316">
                  <c:v>6.1577145241585507E-3</c:v>
                </c:pt>
                <c:pt idx="317">
                  <c:v>6.5908092579157456E-3</c:v>
                </c:pt>
                <c:pt idx="318">
                  <c:v>7.047773521582955E-3</c:v>
                </c:pt>
                <c:pt idx="319">
                  <c:v>7.5286099444005234E-3</c:v>
                </c:pt>
                <c:pt idx="320">
                  <c:v>8.033318127133697E-3</c:v>
                </c:pt>
                <c:pt idx="321">
                  <c:v>8.5618944606883681E-3</c:v>
                </c:pt>
                <c:pt idx="322">
                  <c:v>9.1143319447656908E-3</c:v>
                </c:pt>
                <c:pt idx="323">
                  <c:v>9.6894065312196839E-3</c:v>
                </c:pt>
                <c:pt idx="324">
                  <c:v>1.0276395687235162E-2</c:v>
                </c:pt>
                <c:pt idx="325">
                  <c:v>1.0875272639928898E-2</c:v>
                </c:pt>
                <c:pt idx="326">
                  <c:v>1.1485947657227113E-2</c:v>
                </c:pt>
                <c:pt idx="327">
                  <c:v>1.2108356998096821E-2</c:v>
                </c:pt>
                <c:pt idx="328">
                  <c:v>1.2742483699560291E-2</c:v>
                </c:pt>
                <c:pt idx="329">
                  <c:v>1.338831356633605E-2</c:v>
                </c:pt>
                <c:pt idx="330">
                  <c:v>1.4045835376442543E-2</c:v>
                </c:pt>
                <c:pt idx="331">
                  <c:v>1.468627317474591E-2</c:v>
                </c:pt>
                <c:pt idx="332">
                  <c:v>1.5296609660466002E-2</c:v>
                </c:pt>
                <c:pt idx="333">
                  <c:v>1.587683643721103E-2</c:v>
                </c:pt>
                <c:pt idx="334">
                  <c:v>1.6426951767489168E-2</c:v>
                </c:pt>
                <c:pt idx="335">
                  <c:v>1.6946960049687359E-2</c:v>
                </c:pt>
                <c:pt idx="336">
                  <c:v>1.7436871294880141E-2</c:v>
                </c:pt>
                <c:pt idx="337">
                  <c:v>1.7886985520222651E-2</c:v>
                </c:pt>
                <c:pt idx="338">
                  <c:v>1.829853721010298E-2</c:v>
                </c:pt>
                <c:pt idx="339">
                  <c:v>1.8671549643398035E-2</c:v>
                </c:pt>
                <c:pt idx="340">
                  <c:v>1.9006049640834577E-2</c:v>
                </c:pt>
                <c:pt idx="341">
                  <c:v>1.9302066893673819E-2</c:v>
                </c:pt>
                <c:pt idx="342">
                  <c:v>1.9559633292389519E-2</c:v>
                </c:pt>
                <c:pt idx="343">
                  <c:v>1.9778782255148987E-2</c:v>
                </c:pt>
                <c:pt idx="344">
                  <c:v>1.9959548056546969E-2</c:v>
                </c:pt>
                <c:pt idx="345">
                  <c:v>2.0101965156168765E-2</c:v>
                </c:pt>
                <c:pt idx="346">
                  <c:v>2.0229292209504968E-2</c:v>
                </c:pt>
                <c:pt idx="347">
                  <c:v>2.0341565913901311E-2</c:v>
                </c:pt>
                <c:pt idx="348">
                  <c:v>2.0438822837187644E-2</c:v>
                </c:pt>
                <c:pt idx="349">
                  <c:v>2.0521099151144903E-2</c:v>
                </c:pt>
                <c:pt idx="350">
                  <c:v>2.0588430365372869E-2</c:v>
                </c:pt>
                <c:pt idx="351">
                  <c:v>2.0635289447097884E-2</c:v>
                </c:pt>
                <c:pt idx="352">
                  <c:v>2.0671430328733163E-2</c:v>
                </c:pt>
                <c:pt idx="353">
                  <c:v>2.0696886519483836E-2</c:v>
                </c:pt>
                <c:pt idx="354">
                  <c:v>2.0711690327568928E-2</c:v>
                </c:pt>
                <c:pt idx="355">
                  <c:v>2.0715872665470366E-2</c:v>
                </c:pt>
                <c:pt idx="356">
                  <c:v>2.0709474864578352E-2</c:v>
                </c:pt>
                <c:pt idx="357">
                  <c:v>2.0692485744102353E-2</c:v>
                </c:pt>
                <c:pt idx="358">
                  <c:v>2.0664850597888702E-2</c:v>
                </c:pt>
                <c:pt idx="359">
                  <c:v>2.062651332812613E-2</c:v>
                </c:pt>
                <c:pt idx="360">
                  <c:v>2.0567675209907946E-2</c:v>
                </c:pt>
                <c:pt idx="361">
                  <c:v>2.0493843104695871E-2</c:v>
                </c:pt>
                <c:pt idx="362">
                  <c:v>2.0404953273158916E-2</c:v>
                </c:pt>
                <c:pt idx="363">
                  <c:v>2.0300941284308378E-2</c:v>
                </c:pt>
                <c:pt idx="364">
                  <c:v>2.0181742344715016E-2</c:v>
                </c:pt>
                <c:pt idx="365" formatCode="0.0000">
                  <c:v>2.004729162751032E-2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3.007584603182285E-2</c:v>
                </c:pt>
                <c:pt idx="1">
                  <c:v>2.9739299433951292E-2</c:v>
                </c:pt>
                <c:pt idx="2">
                  <c:v>2.9357489409548552E-2</c:v>
                </c:pt>
                <c:pt idx="3">
                  <c:v>2.8930293764352865E-2</c:v>
                </c:pt>
                <c:pt idx="4">
                  <c:v>2.8457593086104131E-2</c:v>
                </c:pt>
                <c:pt idx="5">
                  <c:v>2.7939271711369926E-2</c:v>
                </c:pt>
                <c:pt idx="6">
                  <c:v>2.7375218692672256E-2</c:v>
                </c:pt>
                <c:pt idx="7">
                  <c:v>2.6765328765077756E-2</c:v>
                </c:pt>
                <c:pt idx="8">
                  <c:v>2.610950331313E-2</c:v>
                </c:pt>
                <c:pt idx="9">
                  <c:v>2.5405465498600125E-2</c:v>
                </c:pt>
                <c:pt idx="10">
                  <c:v>2.4674736064575913E-2</c:v>
                </c:pt>
                <c:pt idx="11">
                  <c:v>2.3917262560316305E-2</c:v>
                </c:pt>
                <c:pt idx="12">
                  <c:v>2.3133001168266023E-2</c:v>
                </c:pt>
                <c:pt idx="13">
                  <c:v>2.2321917256277034E-2</c:v>
                </c:pt>
                <c:pt idx="14">
                  <c:v>2.1483985929513321E-2</c:v>
                </c:pt>
                <c:pt idx="15">
                  <c:v>2.0626998251821595E-2</c:v>
                </c:pt>
                <c:pt idx="16">
                  <c:v>1.9774670397371286E-2</c:v>
                </c:pt>
                <c:pt idx="17">
                  <c:v>1.892703002182174E-2</c:v>
                </c:pt>
                <c:pt idx="18">
                  <c:v>1.8084111158640007E-2</c:v>
                </c:pt>
                <c:pt idx="19">
                  <c:v>1.7246034959461823E-2</c:v>
                </c:pt>
                <c:pt idx="20">
                  <c:v>1.6412947859420195E-2</c:v>
                </c:pt>
                <c:pt idx="21">
                  <c:v>1.5584923341061041E-2</c:v>
                </c:pt>
                <c:pt idx="22">
                  <c:v>1.4762030684303788E-2</c:v>
                </c:pt>
                <c:pt idx="23">
                  <c:v>1.3954717952966933E-2</c:v>
                </c:pt>
                <c:pt idx="24">
                  <c:v>1.316524113472047E-2</c:v>
                </c:pt>
                <c:pt idx="25">
                  <c:v>1.2393658529469958E-2</c:v>
                </c:pt>
                <c:pt idx="26">
                  <c:v>1.1640023343312983E-2</c:v>
                </c:pt>
                <c:pt idx="27">
                  <c:v>1.0904383879716602E-2</c:v>
                </c:pt>
                <c:pt idx="28">
                  <c:v>1.0186783730917385E-2</c:v>
                </c:pt>
                <c:pt idx="29">
                  <c:v>9.5137998460814981E-3</c:v>
                </c:pt>
                <c:pt idx="30">
                  <c:v>8.8776488353756369E-3</c:v>
                </c:pt>
                <c:pt idx="31">
                  <c:v>8.2783588096263638E-3</c:v>
                </c:pt>
                <c:pt idx="32">
                  <c:v>7.715953010458622E-3</c:v>
                </c:pt>
                <c:pt idx="33">
                  <c:v>7.1904501983170747E-3</c:v>
                </c:pt>
                <c:pt idx="34">
                  <c:v>6.7018650405179609E-3</c:v>
                </c:pt>
                <c:pt idx="35">
                  <c:v>6.2502084992899351E-3</c:v>
                </c:pt>
                <c:pt idx="36">
                  <c:v>5.8354882198014104E-3</c:v>
                </c:pt>
                <c:pt idx="37">
                  <c:v>5.4704164608356982E-3</c:v>
                </c:pt>
                <c:pt idx="38">
                  <c:v>5.1446128395882936E-3</c:v>
                </c:pt>
                <c:pt idx="39">
                  <c:v>4.8580767897291191E-3</c:v>
                </c:pt>
                <c:pt idx="40">
                  <c:v>4.6108060221997449E-3</c:v>
                </c:pt>
                <c:pt idx="41">
                  <c:v>4.4027969377367533E-3</c:v>
                </c:pt>
                <c:pt idx="42">
                  <c:v>4.234045039363604E-3</c:v>
                </c:pt>
                <c:pt idx="43">
                  <c:v>4.0953539870169408E-3</c:v>
                </c:pt>
                <c:pt idx="44">
                  <c:v>3.9602064299342271E-3</c:v>
                </c:pt>
                <c:pt idx="45">
                  <c:v>3.8286043054262184E-3</c:v>
                </c:pt>
                <c:pt idx="46">
                  <c:v>3.7005490845489395E-3</c:v>
                </c:pt>
                <c:pt idx="47">
                  <c:v>3.5760418090524403E-3</c:v>
                </c:pt>
                <c:pt idx="48">
                  <c:v>3.4550831282869564E-3</c:v>
                </c:pt>
                <c:pt idx="49">
                  <c:v>3.3376733361379814E-3</c:v>
                </c:pt>
                <c:pt idx="50">
                  <c:v>3.2238124079427568E-3</c:v>
                </c:pt>
                <c:pt idx="51">
                  <c:v>3.1126748171237052E-3</c:v>
                </c:pt>
                <c:pt idx="52">
                  <c:v>2.9915488352552054E-3</c:v>
                </c:pt>
                <c:pt idx="53">
                  <c:v>2.8604192575929308E-3</c:v>
                </c:pt>
                <c:pt idx="54">
                  <c:v>2.7192843020064461E-3</c:v>
                </c:pt>
                <c:pt idx="55">
                  <c:v>2.5681422106228918E-3</c:v>
                </c:pt>
                <c:pt idx="56">
                  <c:v>2.4069912809617272E-3</c:v>
                </c:pt>
                <c:pt idx="57">
                  <c:v>2.2462359102297011E-3</c:v>
                </c:pt>
                <c:pt idx="58">
                  <c:v>2.0950627673815515E-3</c:v>
                </c:pt>
                <c:pt idx="59">
                  <c:v>1.9534708421517035E-3</c:v>
                </c:pt>
                <c:pt idx="60">
                  <c:v>1.8214593557670678E-3</c:v>
                </c:pt>
                <c:pt idx="61">
                  <c:v>1.6990277311565289E-3</c:v>
                </c:pt>
                <c:pt idx="62">
                  <c:v>1.5861755631582306E-3</c:v>
                </c:pt>
                <c:pt idx="63">
                  <c:v>1.4829025887312499E-3</c:v>
                </c:pt>
                <c:pt idx="64">
                  <c:v>1.3892086571616431E-3</c:v>
                </c:pt>
                <c:pt idx="65">
                  <c:v>1.3104619113875424E-3</c:v>
                </c:pt>
                <c:pt idx="66">
                  <c:v>1.2474876284108872E-3</c:v>
                </c:pt>
                <c:pt idx="67">
                  <c:v>1.2002858080639065E-3</c:v>
                </c:pt>
                <c:pt idx="68">
                  <c:v>1.1688563646201024E-3</c:v>
                </c:pt>
                <c:pt idx="69">
                  <c:v>1.153199077742452E-3</c:v>
                </c:pt>
                <c:pt idx="70">
                  <c:v>1.1533135434365273E-3</c:v>
                </c:pt>
                <c:pt idx="71">
                  <c:v>1.1693738712756727E-3</c:v>
                </c:pt>
                <c:pt idx="72">
                  <c:v>1.1909729611456622E-3</c:v>
                </c:pt>
                <c:pt idx="73">
                  <c:v>1.2181100315935458E-3</c:v>
                </c:pt>
                <c:pt idx="74">
                  <c:v>1.2507841546515758E-3</c:v>
                </c:pt>
                <c:pt idx="75">
                  <c:v>1.2889942386039154E-3</c:v>
                </c:pt>
                <c:pt idx="76">
                  <c:v>1.332739010750145E-3</c:v>
                </c:pt>
                <c:pt idx="77">
                  <c:v>1.3820170001722025E-3</c:v>
                </c:pt>
                <c:pt idx="78">
                  <c:v>1.4368265605909092E-3</c:v>
                </c:pt>
                <c:pt idx="79">
                  <c:v>1.4989905838271843E-3</c:v>
                </c:pt>
                <c:pt idx="80">
                  <c:v>1.5631441221666904E-3</c:v>
                </c:pt>
                <c:pt idx="81">
                  <c:v>1.629286491833517E-3</c:v>
                </c:pt>
                <c:pt idx="82">
                  <c:v>1.6974169350553832E-3</c:v>
                </c:pt>
                <c:pt idx="83">
                  <c:v>1.7675346146925402E-3</c:v>
                </c:pt>
                <c:pt idx="84">
                  <c:v>1.8396386088715478E-3</c:v>
                </c:pt>
                <c:pt idx="85">
                  <c:v>1.9151406428695812E-3</c:v>
                </c:pt>
                <c:pt idx="86">
                  <c:v>1.9938647575648738E-3</c:v>
                </c:pt>
                <c:pt idx="87">
                  <c:v>2.0758095605700375E-3</c:v>
                </c:pt>
                <c:pt idx="88">
                  <c:v>2.1609735354162366E-3</c:v>
                </c:pt>
                <c:pt idx="89">
                  <c:v>2.2493550328500653E-3</c:v>
                </c:pt>
                <c:pt idx="90">
                  <c:v>2.340952262126556E-3</c:v>
                </c:pt>
                <c:pt idx="91">
                  <c:v>2.4357632823092199E-3</c:v>
                </c:pt>
                <c:pt idx="92">
                  <c:v>2.5337859935654471E-3</c:v>
                </c:pt>
                <c:pt idx="93">
                  <c:v>2.631440448357412E-3</c:v>
                </c:pt>
                <c:pt idx="94">
                  <c:v>2.7269064352908982E-3</c:v>
                </c:pt>
                <c:pt idx="95">
                  <c:v>2.8201825436804575E-3</c:v>
                </c:pt>
                <c:pt idx="96">
                  <c:v>2.9112673140232318E-3</c:v>
                </c:pt>
                <c:pt idx="97">
                  <c:v>3.0001592438462545E-3</c:v>
                </c:pt>
                <c:pt idx="98">
                  <c:v>3.086856793533248E-3</c:v>
                </c:pt>
                <c:pt idx="99">
                  <c:v>3.1632762534333299E-3</c:v>
                </c:pt>
                <c:pt idx="100">
                  <c:v>3.228007065241411E-3</c:v>
                </c:pt>
                <c:pt idx="101">
                  <c:v>3.2810506779152615E-3</c:v>
                </c:pt>
                <c:pt idx="102">
                  <c:v>3.3224088757098629E-3</c:v>
                </c:pt>
                <c:pt idx="103">
                  <c:v>3.3520838095726399E-3</c:v>
                </c:pt>
                <c:pt idx="104">
                  <c:v>3.3700780286034806E-3</c:v>
                </c:pt>
                <c:pt idx="105">
                  <c:v>3.3763945114548776E-3</c:v>
                </c:pt>
                <c:pt idx="106">
                  <c:v>3.3710366977653273E-3</c:v>
                </c:pt>
                <c:pt idx="107">
                  <c:v>3.3521110183965083E-3</c:v>
                </c:pt>
                <c:pt idx="108">
                  <c:v>3.3231948185571312E-3</c:v>
                </c:pt>
                <c:pt idx="109">
                  <c:v>3.2842923588672179E-3</c:v>
                </c:pt>
                <c:pt idx="110">
                  <c:v>3.2354161474578425E-3</c:v>
                </c:pt>
                <c:pt idx="111">
                  <c:v>3.1765788512500702E-3</c:v>
                </c:pt>
                <c:pt idx="112">
                  <c:v>3.1077855374557393E-3</c:v>
                </c:pt>
                <c:pt idx="113">
                  <c:v>3.0310518608683942E-3</c:v>
                </c:pt>
                <c:pt idx="114">
                  <c:v>2.9544473997135516E-3</c:v>
                </c:pt>
                <c:pt idx="115">
                  <c:v>2.8779725046082717E-3</c:v>
                </c:pt>
                <c:pt idx="116">
                  <c:v>2.8016275790353484E-3</c:v>
                </c:pt>
                <c:pt idx="117">
                  <c:v>2.7254130791509279E-3</c:v>
                </c:pt>
                <c:pt idx="118">
                  <c:v>2.6493295135667804E-3</c:v>
                </c:pt>
                <c:pt idx="119">
                  <c:v>2.573377443139829E-3</c:v>
                </c:pt>
                <c:pt idx="120">
                  <c:v>2.4975574807582879E-3</c:v>
                </c:pt>
                <c:pt idx="121">
                  <c:v>2.4201543351319963E-3</c:v>
                </c:pt>
                <c:pt idx="122">
                  <c:v>2.3430620945595324E-3</c:v>
                </c:pt>
                <c:pt idx="123">
                  <c:v>2.2662814371315117E-3</c:v>
                </c:pt>
                <c:pt idx="124">
                  <c:v>2.1898130870562E-3</c:v>
                </c:pt>
                <c:pt idx="125">
                  <c:v>2.1136578141398793E-3</c:v>
                </c:pt>
                <c:pt idx="126">
                  <c:v>2.037816433240127E-3</c:v>
                </c:pt>
                <c:pt idx="127">
                  <c:v>1.9613369755571643E-3</c:v>
                </c:pt>
                <c:pt idx="128">
                  <c:v>1.8822172554280921E-3</c:v>
                </c:pt>
                <c:pt idx="129">
                  <c:v>1.8004605836151515E-3</c:v>
                </c:pt>
                <c:pt idx="130">
                  <c:v>1.7160704401849331E-3</c:v>
                </c:pt>
                <c:pt idx="131">
                  <c:v>1.6290504794025497E-3</c:v>
                </c:pt>
                <c:pt idx="132">
                  <c:v>1.5394045346427243E-3</c:v>
                </c:pt>
                <c:pt idx="133">
                  <c:v>1.447136623308964E-3</c:v>
                </c:pt>
                <c:pt idx="134">
                  <c:v>1.3522509517443753E-3</c:v>
                </c:pt>
                <c:pt idx="135">
                  <c:v>1.2576419543102288E-3</c:v>
                </c:pt>
                <c:pt idx="136">
                  <c:v>1.1650205891992594E-3</c:v>
                </c:pt>
                <c:pt idx="137">
                  <c:v>1.0743870766481999E-3</c:v>
                </c:pt>
                <c:pt idx="138">
                  <c:v>9.8574160664858666E-4</c:v>
                </c:pt>
                <c:pt idx="139">
                  <c:v>8.990843353878222E-4</c:v>
                </c:pt>
                <c:pt idx="140">
                  <c:v>8.1441538164109565E-4</c:v>
                </c:pt>
                <c:pt idx="141">
                  <c:v>7.3449207293824507E-4</c:v>
                </c:pt>
                <c:pt idx="142">
                  <c:v>6.6025669446163893E-4</c:v>
                </c:pt>
                <c:pt idx="143">
                  <c:v>5.9170363861765828E-4</c:v>
                </c:pt>
                <c:pt idx="144">
                  <c:v>5.288304855700116E-4</c:v>
                </c:pt>
                <c:pt idx="145">
                  <c:v>4.7163395329355407E-4</c:v>
                </c:pt>
                <c:pt idx="146">
                  <c:v>4.201099611223036E-4</c:v>
                </c:pt>
                <c:pt idx="147">
                  <c:v>3.7425369331243324E-4</c:v>
                </c:pt>
                <c:pt idx="148">
                  <c:v>3.3405966259438024E-4</c:v>
                </c:pt>
                <c:pt idx="149">
                  <c:v>3.0000273641070401E-4</c:v>
                </c:pt>
                <c:pt idx="150">
                  <c:v>2.6920279618256553E-4</c:v>
                </c:pt>
                <c:pt idx="151">
                  <c:v>2.4165629085808225E-4</c:v>
                </c:pt>
                <c:pt idx="152">
                  <c:v>2.1735936572471579E-4</c:v>
                </c:pt>
                <c:pt idx="153">
                  <c:v>1.9630789890866043E-4</c:v>
                </c:pt>
                <c:pt idx="154">
                  <c:v>1.7849753787549686E-4</c:v>
                </c:pt>
                <c:pt idx="155">
                  <c:v>1.6416780117594243E-4</c:v>
                </c:pt>
                <c:pt idx="156">
                  <c:v>1.5057569824175653E-4</c:v>
                </c:pt>
                <c:pt idx="157">
                  <c:v>1.3772037090834435E-4</c:v>
                </c:pt>
                <c:pt idx="158">
                  <c:v>1.2560089217238129E-4</c:v>
                </c:pt>
                <c:pt idx="159">
                  <c:v>1.1421627439604528E-4</c:v>
                </c:pt>
                <c:pt idx="160">
                  <c:v>1.035654775126287E-4</c:v>
                </c:pt>
                <c:pt idx="161">
                  <c:v>9.3647417230887799E-5</c:v>
                </c:pt>
                <c:pt idx="162">
                  <c:v>8.4460973240009648E-5</c:v>
                </c:pt>
                <c:pt idx="163">
                  <c:v>7.6468581424546679E-5</c:v>
                </c:pt>
                <c:pt idx="164">
                  <c:v>6.9191131745656602E-5</c:v>
                </c:pt>
                <c:pt idx="165">
                  <c:v>6.2627475959588564E-5</c:v>
                </c:pt>
                <c:pt idx="166">
                  <c:v>5.6776464057584629E-5</c:v>
                </c:pt>
                <c:pt idx="167">
                  <c:v>5.1636952311749645E-5</c:v>
                </c:pt>
                <c:pt idx="168">
                  <c:v>4.7207811322594628E-5</c:v>
                </c:pt>
                <c:pt idx="169">
                  <c:v>4.395014353361535E-5</c:v>
                </c:pt>
                <c:pt idx="170">
                  <c:v>4.1620033875363023E-5</c:v>
                </c:pt>
                <c:pt idx="171">
                  <c:v>4.0216170567952424E-5</c:v>
                </c:pt>
                <c:pt idx="172">
                  <c:v>3.9737310248945813E-5</c:v>
                </c:pt>
                <c:pt idx="173">
                  <c:v>4.0181944902604403E-5</c:v>
                </c:pt>
                <c:pt idx="174">
                  <c:v>4.1548590568623033E-5</c:v>
                </c:pt>
                <c:pt idx="175">
                  <c:v>4.3836098715602395E-5</c:v>
                </c:pt>
                <c:pt idx="176">
                  <c:v>4.7043325896562744E-5</c:v>
                </c:pt>
                <c:pt idx="177">
                  <c:v>5.141062059072321E-5</c:v>
                </c:pt>
                <c:pt idx="178">
                  <c:v>5.6476130624369407E-5</c:v>
                </c:pt>
                <c:pt idx="179">
                  <c:v>6.2239030540995485E-5</c:v>
                </c:pt>
                <c:pt idx="180">
                  <c:v>6.8698514951472887E-5</c:v>
                </c:pt>
                <c:pt idx="181">
                  <c:v>7.5853801979442769E-5</c:v>
                </c:pt>
                <c:pt idx="182">
                  <c:v>8.3704136707127806E-5</c:v>
                </c:pt>
                <c:pt idx="183">
                  <c:v>9.2722043166564599E-5</c:v>
                </c:pt>
                <c:pt idx="184">
                  <c:v>1.02446963486913E-4</c:v>
                </c:pt>
                <c:pt idx="185">
                  <c:v>1.128782353899416E-4</c:v>
                </c:pt>
                <c:pt idx="186">
                  <c:v>1.2401523873838499E-4</c:v>
                </c:pt>
                <c:pt idx="187">
                  <c:v>1.3585739904956146E-4</c:v>
                </c:pt>
                <c:pt idx="188">
                  <c:v>1.4840419100992916E-4</c:v>
                </c:pt>
                <c:pt idx="189">
                  <c:v>1.6165514198618154E-4</c:v>
                </c:pt>
                <c:pt idx="190">
                  <c:v>1.7560983554125255E-4</c:v>
                </c:pt>
                <c:pt idx="191">
                  <c:v>1.9296340542949498E-4</c:v>
                </c:pt>
                <c:pt idx="192">
                  <c:v>2.1347269297480724E-4</c:v>
                </c:pt>
                <c:pt idx="193">
                  <c:v>2.3713507122058504E-4</c:v>
                </c:pt>
                <c:pt idx="194">
                  <c:v>2.6394813083482574E-4</c:v>
                </c:pt>
                <c:pt idx="195">
                  <c:v>2.9390969574399016E-4</c:v>
                </c:pt>
                <c:pt idx="196">
                  <c:v>3.2701783875959545E-4</c:v>
                </c:pt>
                <c:pt idx="197">
                  <c:v>3.6608501181412226E-4</c:v>
                </c:pt>
                <c:pt idx="198">
                  <c:v>4.1063666284116995E-4</c:v>
                </c:pt>
                <c:pt idx="199">
                  <c:v>4.6066990141914352E-4</c:v>
                </c:pt>
                <c:pt idx="200">
                  <c:v>5.1618233163726269E-4</c:v>
                </c:pt>
                <c:pt idx="201">
                  <c:v>5.7717207930755199E-4</c:v>
                </c:pt>
                <c:pt idx="202">
                  <c:v>6.436378191772838E-4</c:v>
                </c:pt>
                <c:pt idx="203">
                  <c:v>7.1557880215324414E-4</c:v>
                </c:pt>
                <c:pt idx="204">
                  <c:v>7.9299381390088861E-4</c:v>
                </c:pt>
                <c:pt idx="205">
                  <c:v>8.7495744681597798E-4</c:v>
                </c:pt>
                <c:pt idx="206">
                  <c:v>9.5878505096639016E-4</c:v>
                </c:pt>
                <c:pt idx="207">
                  <c:v>1.0444782725970376E-3</c:v>
                </c:pt>
                <c:pt idx="208">
                  <c:v>1.1320387990806082E-3</c:v>
                </c:pt>
                <c:pt idx="209">
                  <c:v>1.2214683540280611E-3</c:v>
                </c:pt>
                <c:pt idx="210">
                  <c:v>1.31276869243017E-3</c:v>
                </c:pt>
                <c:pt idx="211">
                  <c:v>1.4042815449532532E-3</c:v>
                </c:pt>
                <c:pt idx="212">
                  <c:v>1.4932034564930242E-3</c:v>
                </c:pt>
                <c:pt idx="213">
                  <c:v>1.5795376293329174E-3</c:v>
                </c:pt>
                <c:pt idx="214">
                  <c:v>1.6632870218084971E-3</c:v>
                </c:pt>
                <c:pt idx="215">
                  <c:v>1.7444543550028835E-3</c:v>
                </c:pt>
                <c:pt idx="216">
                  <c:v>1.823042119438051E-3</c:v>
                </c:pt>
                <c:pt idx="217">
                  <c:v>1.8990525817720681E-3</c:v>
                </c:pt>
                <c:pt idx="218">
                  <c:v>1.9724877914884167E-3</c:v>
                </c:pt>
                <c:pt idx="219">
                  <c:v>2.0452900557540207E-3</c:v>
                </c:pt>
                <c:pt idx="220">
                  <c:v>2.1183831703787599E-3</c:v>
                </c:pt>
                <c:pt idx="221">
                  <c:v>2.1917682989807418E-3</c:v>
                </c:pt>
                <c:pt idx="222">
                  <c:v>2.2654465422977488E-3</c:v>
                </c:pt>
                <c:pt idx="223">
                  <c:v>2.3394189374884825E-3</c:v>
                </c:pt>
                <c:pt idx="224">
                  <c:v>2.4136864573912589E-3</c:v>
                </c:pt>
                <c:pt idx="225">
                  <c:v>2.4864205346525497E-3</c:v>
                </c:pt>
                <c:pt idx="226">
                  <c:v>2.5592806919529395E-3</c:v>
                </c:pt>
                <c:pt idx="227">
                  <c:v>2.6322676683888484E-3</c:v>
                </c:pt>
                <c:pt idx="228">
                  <c:v>2.7053821315908377E-3</c:v>
                </c:pt>
                <c:pt idx="229">
                  <c:v>2.778624677411762E-3</c:v>
                </c:pt>
                <c:pt idx="230">
                  <c:v>2.8519958296486293E-3</c:v>
                </c:pt>
                <c:pt idx="231">
                  <c:v>2.9254960397743276E-3</c:v>
                </c:pt>
                <c:pt idx="232">
                  <c:v>2.9991256866186097E-3</c:v>
                </c:pt>
                <c:pt idx="233">
                  <c:v>3.0650989813129706E-3</c:v>
                </c:pt>
                <c:pt idx="234">
                  <c:v>3.1214746910009105E-3</c:v>
                </c:pt>
                <c:pt idx="235">
                  <c:v>3.1682537043545111E-3</c:v>
                </c:pt>
                <c:pt idx="236">
                  <c:v>3.2054375842296011E-3</c:v>
                </c:pt>
                <c:pt idx="237">
                  <c:v>3.2330259508206484E-3</c:v>
                </c:pt>
                <c:pt idx="238">
                  <c:v>3.2510181156810689E-3</c:v>
                </c:pt>
                <c:pt idx="239">
                  <c:v>3.2559669631278577E-3</c:v>
                </c:pt>
                <c:pt idx="240">
                  <c:v>3.2497008421069509E-3</c:v>
                </c:pt>
                <c:pt idx="241">
                  <c:v>3.2322175969775849E-3</c:v>
                </c:pt>
                <c:pt idx="242">
                  <c:v>3.2035146426258195E-3</c:v>
                </c:pt>
                <c:pt idx="243">
                  <c:v>3.1635889479499448E-3</c:v>
                </c:pt>
                <c:pt idx="244">
                  <c:v>3.1124370193291759E-3</c:v>
                </c:pt>
                <c:pt idx="245">
                  <c:v>3.0500548840640858E-3</c:v>
                </c:pt>
                <c:pt idx="246">
                  <c:v>2.9764380738150835E-3</c:v>
                </c:pt>
                <c:pt idx="247">
                  <c:v>2.8929428616278475E-3</c:v>
                </c:pt>
                <c:pt idx="248">
                  <c:v>2.8073599626332684E-3</c:v>
                </c:pt>
                <c:pt idx="249">
                  <c:v>2.7196870914435959E-3</c:v>
                </c:pt>
                <c:pt idx="250">
                  <c:v>2.6299218183015774E-3</c:v>
                </c:pt>
                <c:pt idx="251">
                  <c:v>2.5380615660712306E-3</c:v>
                </c:pt>
                <c:pt idx="252">
                  <c:v>2.4441036071292071E-3</c:v>
                </c:pt>
                <c:pt idx="253">
                  <c:v>2.349799724147401E-3</c:v>
                </c:pt>
                <c:pt idx="254">
                  <c:v>2.258600257208736E-3</c:v>
                </c:pt>
                <c:pt idx="255">
                  <c:v>2.1705049212307087E-3</c:v>
                </c:pt>
                <c:pt idx="256">
                  <c:v>2.0855135336647801E-3</c:v>
                </c:pt>
                <c:pt idx="257">
                  <c:v>2.0036260190625338E-3</c:v>
                </c:pt>
                <c:pt idx="258">
                  <c:v>1.9248424136607972E-3</c:v>
                </c:pt>
                <c:pt idx="259">
                  <c:v>1.8491628699874223E-3</c:v>
                </c:pt>
                <c:pt idx="260">
                  <c:v>1.7765876614161871E-3</c:v>
                </c:pt>
                <c:pt idx="261">
                  <c:v>1.707285914588248E-3</c:v>
                </c:pt>
                <c:pt idx="262">
                  <c:v>1.6398932476828761E-3</c:v>
                </c:pt>
                <c:pt idx="263">
                  <c:v>1.5744094139074547E-3</c:v>
                </c:pt>
                <c:pt idx="264">
                  <c:v>1.5108342972820863E-3</c:v>
                </c:pt>
                <c:pt idx="265">
                  <c:v>1.4491743288668974E-3</c:v>
                </c:pt>
                <c:pt idx="266">
                  <c:v>1.3894318867528769E-3</c:v>
                </c:pt>
                <c:pt idx="267">
                  <c:v>1.3367962362989155E-3</c:v>
                </c:pt>
                <c:pt idx="268">
                  <c:v>1.289509289102448E-3</c:v>
                </c:pt>
                <c:pt idx="269">
                  <c:v>1.2475730058398129E-3</c:v>
                </c:pt>
                <c:pt idx="270">
                  <c:v>1.2109899635380508E-3</c:v>
                </c:pt>
                <c:pt idx="271">
                  <c:v>1.1797633062311482E-3</c:v>
                </c:pt>
                <c:pt idx="272">
                  <c:v>1.1538966956466611E-3</c:v>
                </c:pt>
                <c:pt idx="273">
                  <c:v>1.1333942618793225E-3</c:v>
                </c:pt>
                <c:pt idx="274">
                  <c:v>1.1182605540774276E-3</c:v>
                </c:pt>
                <c:pt idx="275">
                  <c:v>1.1185946694978347E-3</c:v>
                </c:pt>
                <c:pt idx="276">
                  <c:v>1.134244725146712E-3</c:v>
                </c:pt>
                <c:pt idx="277">
                  <c:v>1.1652288729502786E-3</c:v>
                </c:pt>
                <c:pt idx="278">
                  <c:v>1.2115657897606104E-3</c:v>
                </c:pt>
                <c:pt idx="279">
                  <c:v>1.2732745369907952E-3</c:v>
                </c:pt>
                <c:pt idx="280">
                  <c:v>1.3503744202597266E-3</c:v>
                </c:pt>
                <c:pt idx="281">
                  <c:v>1.4420823249847155E-3</c:v>
                </c:pt>
                <c:pt idx="282">
                  <c:v>1.5431939048986907E-3</c:v>
                </c:pt>
                <c:pt idx="283">
                  <c:v>1.6537204529039312E-3</c:v>
                </c:pt>
                <c:pt idx="284">
                  <c:v>1.7736729400603748E-3</c:v>
                </c:pt>
                <c:pt idx="285">
                  <c:v>1.9030619303279709E-3</c:v>
                </c:pt>
                <c:pt idx="286">
                  <c:v>2.0418974953231059E-3</c:v>
                </c:pt>
                <c:pt idx="287">
                  <c:v>2.1901891290612586E-3</c:v>
                </c:pt>
                <c:pt idx="288">
                  <c:v>2.3479456627046955E-3</c:v>
                </c:pt>
                <c:pt idx="289">
                  <c:v>2.5062088154519119E-3</c:v>
                </c:pt>
                <c:pt idx="290">
                  <c:v>2.6548153372029652E-3</c:v>
                </c:pt>
                <c:pt idx="291">
                  <c:v>2.7937480989803569E-3</c:v>
                </c:pt>
                <c:pt idx="292">
                  <c:v>2.9229898136947023E-3</c:v>
                </c:pt>
                <c:pt idx="293">
                  <c:v>3.0425231252529036E-3</c:v>
                </c:pt>
                <c:pt idx="294">
                  <c:v>3.152330697658389E-3</c:v>
                </c:pt>
                <c:pt idx="295">
                  <c:v>3.2648163032122264E-3</c:v>
                </c:pt>
                <c:pt idx="296">
                  <c:v>3.3808183973540948E-3</c:v>
                </c:pt>
                <c:pt idx="297">
                  <c:v>3.500362201935673E-3</c:v>
                </c:pt>
                <c:pt idx="298">
                  <c:v>3.6234508643591887E-3</c:v>
                </c:pt>
                <c:pt idx="299">
                  <c:v>3.7500872619205352E-3</c:v>
                </c:pt>
                <c:pt idx="300">
                  <c:v>3.8802739752636672E-3</c:v>
                </c:pt>
                <c:pt idx="301">
                  <c:v>4.014013261825944E-3</c:v>
                </c:pt>
                <c:pt idx="302">
                  <c:v>4.151307029290445E-3</c:v>
                </c:pt>
                <c:pt idx="303">
                  <c:v>4.3181668396376841E-3</c:v>
                </c:pt>
                <c:pt idx="304">
                  <c:v>4.5236445527854965E-3</c:v>
                </c:pt>
                <c:pt idx="305">
                  <c:v>4.7677827159529895E-3</c:v>
                </c:pt>
                <c:pt idx="306">
                  <c:v>5.0506230688476782E-3</c:v>
                </c:pt>
                <c:pt idx="307">
                  <c:v>5.3722062470655599E-3</c:v>
                </c:pt>
                <c:pt idx="308">
                  <c:v>5.7325714854545061E-3</c:v>
                </c:pt>
                <c:pt idx="309">
                  <c:v>6.1419584637702612E-3</c:v>
                </c:pt>
                <c:pt idx="310">
                  <c:v>6.5879205354097345E-3</c:v>
                </c:pt>
                <c:pt idx="311">
                  <c:v>7.0704881998275709E-3</c:v>
                </c:pt>
                <c:pt idx="312">
                  <c:v>7.589689418914883E-3</c:v>
                </c:pt>
                <c:pt idx="313">
                  <c:v>8.1455493380054329E-3</c:v>
                </c:pt>
                <c:pt idx="314">
                  <c:v>8.7380900068262397E-3</c:v>
                </c:pt>
                <c:pt idx="315">
                  <c:v>9.3673301005319665E-3</c:v>
                </c:pt>
                <c:pt idx="316">
                  <c:v>1.0033284640633309E-2</c:v>
                </c:pt>
                <c:pt idx="317">
                  <c:v>1.0743666264190732E-2</c:v>
                </c:pt>
                <c:pt idx="318">
                  <c:v>1.1472334023325384E-2</c:v>
                </c:pt>
                <c:pt idx="319">
                  <c:v>1.2219272957890596E-2</c:v>
                </c:pt>
                <c:pt idx="320">
                  <c:v>1.2984464644909178E-2</c:v>
                </c:pt>
                <c:pt idx="321">
                  <c:v>1.3767887061050615E-2</c:v>
                </c:pt>
                <c:pt idx="322">
                  <c:v>1.456951444517003E-2</c:v>
                </c:pt>
                <c:pt idx="323">
                  <c:v>1.5387152579261104E-2</c:v>
                </c:pt>
                <c:pt idx="324">
                  <c:v>1.6210514481296165E-2</c:v>
                </c:pt>
                <c:pt idx="325">
                  <c:v>1.7039553250109037E-2</c:v>
                </c:pt>
                <c:pt idx="326">
                  <c:v>1.7874125540399535E-2</c:v>
                </c:pt>
                <c:pt idx="327">
                  <c:v>1.8714132324136358E-2</c:v>
                </c:pt>
                <c:pt idx="328">
                  <c:v>1.9559549330808865E-2</c:v>
                </c:pt>
                <c:pt idx="329">
                  <c:v>2.0410357395721768E-2</c:v>
                </c:pt>
                <c:pt idx="330">
                  <c:v>2.126654255682657E-2</c:v>
                </c:pt>
                <c:pt idx="331">
                  <c:v>2.2104631786942896E-2</c:v>
                </c:pt>
                <c:pt idx="332">
                  <c:v>2.291689007619703E-2</c:v>
                </c:pt>
                <c:pt idx="333">
                  <c:v>2.370331426382663E-2</c:v>
                </c:pt>
                <c:pt idx="334">
                  <c:v>2.4463908903295289E-2</c:v>
                </c:pt>
                <c:pt idx="335">
                  <c:v>2.5198685815240516E-2</c:v>
                </c:pt>
                <c:pt idx="336">
                  <c:v>2.5907663640167083E-2</c:v>
                </c:pt>
                <c:pt idx="337">
                  <c:v>2.6569444061105368E-2</c:v>
                </c:pt>
                <c:pt idx="338">
                  <c:v>2.7186224692177047E-2</c:v>
                </c:pt>
                <c:pt idx="339">
                  <c:v>2.7758040966465031E-2</c:v>
                </c:pt>
                <c:pt idx="340">
                  <c:v>2.8284933401266543E-2</c:v>
                </c:pt>
                <c:pt idx="341">
                  <c:v>2.8766946815125965E-2</c:v>
                </c:pt>
                <c:pt idx="342">
                  <c:v>2.9204129544858588E-2</c:v>
                </c:pt>
                <c:pt idx="343">
                  <c:v>2.9596532662280562E-2</c:v>
                </c:pt>
                <c:pt idx="344">
                  <c:v>2.9944209191315449E-2</c:v>
                </c:pt>
                <c:pt idx="345">
                  <c:v>3.0247213324846062E-2</c:v>
                </c:pt>
                <c:pt idx="346">
                  <c:v>3.0517520288381571E-2</c:v>
                </c:pt>
                <c:pt idx="347">
                  <c:v>3.0755186256075939E-2</c:v>
                </c:pt>
                <c:pt idx="348">
                  <c:v>3.0960267094345326E-2</c:v>
                </c:pt>
                <c:pt idx="349">
                  <c:v>3.1132817786465598E-2</c:v>
                </c:pt>
                <c:pt idx="350">
                  <c:v>3.1272891857776611E-2</c:v>
                </c:pt>
                <c:pt idx="351">
                  <c:v>3.1368979152071E-2</c:v>
                </c:pt>
                <c:pt idx="352">
                  <c:v>3.1442564212819261E-2</c:v>
                </c:pt>
                <c:pt idx="353">
                  <c:v>3.1493696605803569E-2</c:v>
                </c:pt>
                <c:pt idx="354">
                  <c:v>3.152242339993399E-2</c:v>
                </c:pt>
                <c:pt idx="355">
                  <c:v>3.1528788762878568E-2</c:v>
                </c:pt>
                <c:pt idx="356">
                  <c:v>3.1512851830953141E-2</c:v>
                </c:pt>
                <c:pt idx="357">
                  <c:v>3.1474590842773986E-2</c:v>
                </c:pt>
                <c:pt idx="358">
                  <c:v>3.1413916884844066E-2</c:v>
                </c:pt>
                <c:pt idx="359">
                  <c:v>3.133073815079998E-2</c:v>
                </c:pt>
                <c:pt idx="360">
                  <c:v>3.120347891138885E-2</c:v>
                </c:pt>
                <c:pt idx="361">
                  <c:v>3.1043610552587825E-2</c:v>
                </c:pt>
                <c:pt idx="362">
                  <c:v>3.085102401254464E-2</c:v>
                </c:pt>
                <c:pt idx="363">
                  <c:v>3.0625608701525822E-2</c:v>
                </c:pt>
                <c:pt idx="364">
                  <c:v>3.0367253212571884E-2</c:v>
                </c:pt>
                <c:pt idx="365">
                  <c:v>3.007584603182285E-2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3.9959899687169752E-2</c:v>
                </c:pt>
                <c:pt idx="1">
                  <c:v>3.955583227163359E-2</c:v>
                </c:pt>
                <c:pt idx="2">
                  <c:v>3.9109758506310786E-2</c:v>
                </c:pt>
                <c:pt idx="3">
                  <c:v>3.862153834032369E-2</c:v>
                </c:pt>
                <c:pt idx="4">
                  <c:v>3.8091035131983378E-2</c:v>
                </c:pt>
                <c:pt idx="5">
                  <c:v>3.7518116545666551E-2</c:v>
                </c:pt>
                <c:pt idx="6">
                  <c:v>3.6902655449095927E-2</c:v>
                </c:pt>
                <c:pt idx="7">
                  <c:v>3.6244530809902309E-2</c:v>
                </c:pt>
                <c:pt idx="8">
                  <c:v>3.5543628592642547E-2</c:v>
                </c:pt>
                <c:pt idx="9">
                  <c:v>3.4791348468499919E-2</c:v>
                </c:pt>
                <c:pt idx="10">
                  <c:v>3.401689700540312E-2</c:v>
                </c:pt>
                <c:pt idx="11">
                  <c:v>3.3220208686116796E-2</c:v>
                </c:pt>
                <c:pt idx="12">
                  <c:v>3.2401226611378516E-2</c:v>
                </c:pt>
                <c:pt idx="13">
                  <c:v>3.1559902952369885E-2</c:v>
                </c:pt>
                <c:pt idx="14">
                  <c:v>3.0696199402738395E-2</c:v>
                </c:pt>
                <c:pt idx="15">
                  <c:v>2.9789109586041595E-2</c:v>
                </c:pt>
                <c:pt idx="16">
                  <c:v>2.885131214254447E-2</c:v>
                </c:pt>
                <c:pt idx="17">
                  <c:v>2.788279632625015E-2</c:v>
                </c:pt>
                <c:pt idx="18">
                  <c:v>2.6883564345848487E-2</c:v>
                </c:pt>
                <c:pt idx="19">
                  <c:v>2.585375321184823E-2</c:v>
                </c:pt>
                <c:pt idx="20">
                  <c:v>2.4793546786048292E-2</c:v>
                </c:pt>
                <c:pt idx="21">
                  <c:v>2.3703027191484954E-2</c:v>
                </c:pt>
                <c:pt idx="22">
                  <c:v>2.2582275695651122E-2</c:v>
                </c:pt>
                <c:pt idx="23">
                  <c:v>2.1443239370980093E-2</c:v>
                </c:pt>
                <c:pt idx="24">
                  <c:v>2.0294520910006088E-2</c:v>
                </c:pt>
                <c:pt idx="25">
                  <c:v>1.9136199462768396E-2</c:v>
                </c:pt>
                <c:pt idx="26">
                  <c:v>1.7968350233453913E-2</c:v>
                </c:pt>
                <c:pt idx="27">
                  <c:v>1.6791044384187031E-2</c:v>
                </c:pt>
                <c:pt idx="28">
                  <c:v>1.5604348939162927E-2</c:v>
                </c:pt>
                <c:pt idx="29">
                  <c:v>1.4458249302824711E-2</c:v>
                </c:pt>
                <c:pt idx="30">
                  <c:v>1.3373808343719063E-2</c:v>
                </c:pt>
                <c:pt idx="31">
                  <c:v>1.2351072200206849E-2</c:v>
                </c:pt>
                <c:pt idx="32">
                  <c:v>1.1390078778401369E-2</c:v>
                </c:pt>
                <c:pt idx="33">
                  <c:v>1.0490858401543226E-2</c:v>
                </c:pt>
                <c:pt idx="34">
                  <c:v>9.6534344594204347E-3</c:v>
                </c:pt>
                <c:pt idx="35">
                  <c:v>8.8778240577709767E-3</c:v>
                </c:pt>
                <c:pt idx="36">
                  <c:v>8.1640386676653364E-3</c:v>
                </c:pt>
                <c:pt idx="37">
                  <c:v>7.5362641144163149E-3</c:v>
                </c:pt>
                <c:pt idx="38">
                  <c:v>6.9826339045075516E-3</c:v>
                </c:pt>
                <c:pt idx="39">
                  <c:v>6.5031436265486188E-3</c:v>
                </c:pt>
                <c:pt idx="40">
                  <c:v>6.0977858743320431E-3</c:v>
                </c:pt>
                <c:pt idx="41">
                  <c:v>5.7665510257337944E-3</c:v>
                </c:pt>
                <c:pt idx="42">
                  <c:v>5.5094280215705754E-3</c:v>
                </c:pt>
                <c:pt idx="43">
                  <c:v>5.3147853443889408E-3</c:v>
                </c:pt>
                <c:pt idx="44">
                  <c:v>5.1327357540906417E-3</c:v>
                </c:pt>
                <c:pt idx="45">
                  <c:v>4.9632800677588962E-3</c:v>
                </c:pt>
                <c:pt idx="46">
                  <c:v>4.806418699842622E-3</c:v>
                </c:pt>
                <c:pt idx="47">
                  <c:v>4.6621517941780252E-3</c:v>
                </c:pt>
                <c:pt idx="48">
                  <c:v>4.5304793559549248E-3</c:v>
                </c:pt>
                <c:pt idx="49">
                  <c:v>4.4114013837206513E-3</c:v>
                </c:pt>
                <c:pt idx="50">
                  <c:v>4.3049180013596733E-3</c:v>
                </c:pt>
                <c:pt idx="51">
                  <c:v>4.2048902040673006E-3</c:v>
                </c:pt>
                <c:pt idx="52">
                  <c:v>4.0871399581563694E-3</c:v>
                </c:pt>
                <c:pt idx="53">
                  <c:v>3.951647414786051E-3</c:v>
                </c:pt>
                <c:pt idx="54">
                  <c:v>3.7984105253278783E-3</c:v>
                </c:pt>
                <c:pt idx="55">
                  <c:v>3.6274271635012637E-3</c:v>
                </c:pt>
                <c:pt idx="56">
                  <c:v>3.4386951805802321E-3</c:v>
                </c:pt>
                <c:pt idx="57">
                  <c:v>3.2446148737271543E-3</c:v>
                </c:pt>
                <c:pt idx="58">
                  <c:v>3.0567999713413882E-3</c:v>
                </c:pt>
                <c:pt idx="59">
                  <c:v>2.8752490035132035E-3</c:v>
                </c:pt>
                <c:pt idx="60">
                  <c:v>2.6999607623570537E-3</c:v>
                </c:pt>
                <c:pt idx="61">
                  <c:v>2.5309342825375909E-3</c:v>
                </c:pt>
                <c:pt idx="62">
                  <c:v>2.3681688217923949E-3</c:v>
                </c:pt>
                <c:pt idx="63">
                  <c:v>2.2116638414612275E-3</c:v>
                </c:pt>
                <c:pt idx="64">
                  <c:v>2.0614189870069122E-3</c:v>
                </c:pt>
                <c:pt idx="65">
                  <c:v>1.9265543512352141E-3</c:v>
                </c:pt>
                <c:pt idx="66">
                  <c:v>1.8132095694226233E-3</c:v>
                </c:pt>
                <c:pt idx="67">
                  <c:v>1.7213847236587671E-3</c:v>
                </c:pt>
                <c:pt idx="68">
                  <c:v>1.6510798134010201E-3</c:v>
                </c:pt>
                <c:pt idx="69">
                  <c:v>1.6022946885470865E-3</c:v>
                </c:pt>
                <c:pt idx="70">
                  <c:v>1.5750289825147477E-3</c:v>
                </c:pt>
                <c:pt idx="71">
                  <c:v>1.5703652694851625E-3</c:v>
                </c:pt>
                <c:pt idx="72">
                  <c:v>1.5758999042050916E-3</c:v>
                </c:pt>
                <c:pt idx="73">
                  <c:v>1.5916319773390201E-3</c:v>
                </c:pt>
                <c:pt idx="74">
                  <c:v>1.6175603524226556E-3</c:v>
                </c:pt>
                <c:pt idx="75">
                  <c:v>1.6536836341389481E-3</c:v>
                </c:pt>
                <c:pt idx="76">
                  <c:v>1.7000001365899253E-3</c:v>
                </c:pt>
                <c:pt idx="77">
                  <c:v>1.7565078515729747E-3</c:v>
                </c:pt>
                <c:pt idx="78">
                  <c:v>1.8232044677271673E-3</c:v>
                </c:pt>
                <c:pt idx="79">
                  <c:v>1.9024183139875258E-3</c:v>
                </c:pt>
                <c:pt idx="80">
                  <c:v>1.9850334791288201E-3</c:v>
                </c:pt>
                <c:pt idx="81">
                  <c:v>2.0710489904786997E-3</c:v>
                </c:pt>
                <c:pt idx="82">
                  <c:v>2.1604637780378235E-3</c:v>
                </c:pt>
                <c:pt idx="83">
                  <c:v>2.2532766653036635E-3</c:v>
                </c:pt>
                <c:pt idx="84">
                  <c:v>2.3494863601005141E-3</c:v>
                </c:pt>
                <c:pt idx="85">
                  <c:v>2.4499731320263276E-3</c:v>
                </c:pt>
                <c:pt idx="86">
                  <c:v>2.553652625898455E-3</c:v>
                </c:pt>
                <c:pt idx="87">
                  <c:v>2.6605231709170723E-3</c:v>
                </c:pt>
                <c:pt idx="88">
                  <c:v>2.770582945610237E-3</c:v>
                </c:pt>
                <c:pt idx="89">
                  <c:v>2.8838299692016726E-3</c:v>
                </c:pt>
                <c:pt idx="90">
                  <c:v>3.0002620929735872E-3</c:v>
                </c:pt>
                <c:pt idx="91">
                  <c:v>3.1198769916385132E-3</c:v>
                </c:pt>
                <c:pt idx="92">
                  <c:v>3.2426721547052007E-3</c:v>
                </c:pt>
                <c:pt idx="93">
                  <c:v>3.3642273124040206E-3</c:v>
                </c:pt>
                <c:pt idx="94">
                  <c:v>3.4822174058479678E-3</c:v>
                </c:pt>
                <c:pt idx="95">
                  <c:v>3.5966408380392685E-3</c:v>
                </c:pt>
                <c:pt idx="96">
                  <c:v>3.7074959731821632E-3</c:v>
                </c:pt>
                <c:pt idx="97">
                  <c:v>3.8147811462266382E-3</c:v>
                </c:pt>
                <c:pt idx="98">
                  <c:v>3.9184946723859956E-3</c:v>
                </c:pt>
                <c:pt idx="99">
                  <c:v>4.0099206702144405E-3</c:v>
                </c:pt>
                <c:pt idx="100">
                  <c:v>4.0881791821907416E-3</c:v>
                </c:pt>
                <c:pt idx="101">
                  <c:v>4.1532716285830147E-3</c:v>
                </c:pt>
                <c:pt idx="102">
                  <c:v>4.2051998014571244E-3</c:v>
                </c:pt>
                <c:pt idx="103">
                  <c:v>4.2439659000308534E-3</c:v>
                </c:pt>
                <c:pt idx="104">
                  <c:v>4.2695725661100704E-3</c:v>
                </c:pt>
                <c:pt idx="105">
                  <c:v>4.282022919449101E-3</c:v>
                </c:pt>
                <c:pt idx="106">
                  <c:v>4.2813205931532452E-3</c:v>
                </c:pt>
                <c:pt idx="107">
                  <c:v>4.2650342532012109E-3</c:v>
                </c:pt>
                <c:pt idx="108">
                  <c:v>4.2375803573272697E-3</c:v>
                </c:pt>
                <c:pt idx="109">
                  <c:v>4.1989634104546113E-3</c:v>
                </c:pt>
                <c:pt idx="110">
                  <c:v>4.1491984053284659E-3</c:v>
                </c:pt>
                <c:pt idx="111">
                  <c:v>4.0883005850143568E-3</c:v>
                </c:pt>
                <c:pt idx="112">
                  <c:v>4.0162754582730867E-3</c:v>
                </c:pt>
                <c:pt idx="113">
                  <c:v>3.9346796492336425E-3</c:v>
                </c:pt>
                <c:pt idx="114">
                  <c:v>3.8522141937239428E-3</c:v>
                </c:pt>
                <c:pt idx="115">
                  <c:v>3.7688798862701624E-3</c:v>
                </c:pt>
                <c:pt idx="116">
                  <c:v>3.6846776045801454E-3</c:v>
                </c:pt>
                <c:pt idx="117">
                  <c:v>3.5996083111875066E-3</c:v>
                </c:pt>
                <c:pt idx="118">
                  <c:v>3.5136730550627132E-3</c:v>
                </c:pt>
                <c:pt idx="119">
                  <c:v>3.4268729732336053E-3</c:v>
                </c:pt>
                <c:pt idx="120">
                  <c:v>3.3392092924013871E-3</c:v>
                </c:pt>
                <c:pt idx="121">
                  <c:v>3.2489085500467976E-3</c:v>
                </c:pt>
                <c:pt idx="122">
                  <c:v>3.1584020912884953E-3</c:v>
                </c:pt>
                <c:pt idx="123">
                  <c:v>3.0676910100196856E-3</c:v>
                </c:pt>
                <c:pt idx="124">
                  <c:v>2.9767764741445361E-3</c:v>
                </c:pt>
                <c:pt idx="125">
                  <c:v>2.8856597260162125E-3</c:v>
                </c:pt>
                <c:pt idx="126">
                  <c:v>2.7943420828383456E-3</c:v>
                </c:pt>
                <c:pt idx="127">
                  <c:v>2.7013198929769534E-3</c:v>
                </c:pt>
                <c:pt idx="128">
                  <c:v>2.605049978419767E-3</c:v>
                </c:pt>
                <c:pt idx="129">
                  <c:v>2.5055363333966784E-3</c:v>
                </c:pt>
                <c:pt idx="130">
                  <c:v>2.402783159460901E-3</c:v>
                </c:pt>
                <c:pt idx="131">
                  <c:v>2.2967948715020064E-3</c:v>
                </c:pt>
                <c:pt idx="132">
                  <c:v>2.1875761037820928E-3</c:v>
                </c:pt>
                <c:pt idx="133">
                  <c:v>2.0751317159834453E-3</c:v>
                </c:pt>
                <c:pt idx="134">
                  <c:v>1.9594667992446579E-3</c:v>
                </c:pt>
                <c:pt idx="135">
                  <c:v>1.843251379198368E-3</c:v>
                </c:pt>
                <c:pt idx="136">
                  <c:v>1.7282561926612195E-3</c:v>
                </c:pt>
                <c:pt idx="137">
                  <c:v>1.6144826480995768E-3</c:v>
                </c:pt>
                <c:pt idx="138">
                  <c:v>1.5019321794937509E-3</c:v>
                </c:pt>
                <c:pt idx="139">
                  <c:v>1.3906062442231703E-3</c:v>
                </c:pt>
                <c:pt idx="140">
                  <c:v>1.2805063208773319E-3</c:v>
                </c:pt>
                <c:pt idx="141">
                  <c:v>1.1752965858462057E-3</c:v>
                </c:pt>
                <c:pt idx="142">
                  <c:v>1.0764675106681319E-3</c:v>
                </c:pt>
                <c:pt idx="143">
                  <c:v>9.8401219941495637E-4</c:v>
                </c:pt>
                <c:pt idx="144">
                  <c:v>8.9792911650159949E-4</c:v>
                </c:pt>
                <c:pt idx="145">
                  <c:v>8.1821569024525642E-4</c:v>
                </c:pt>
                <c:pt idx="146">
                  <c:v>7.4486838407524902E-4</c:v>
                </c:pt>
                <c:pt idx="147">
                  <c:v>6.7788276776831234E-4</c:v>
                </c:pt>
                <c:pt idx="148">
                  <c:v>6.1725358866546523E-4</c:v>
                </c:pt>
                <c:pt idx="149">
                  <c:v>5.640038460528288E-4</c:v>
                </c:pt>
                <c:pt idx="150">
                  <c:v>5.1547656263992614E-4</c:v>
                </c:pt>
                <c:pt idx="151">
                  <c:v>4.7166684485440099E-4</c:v>
                </c:pt>
                <c:pt idx="152">
                  <c:v>4.3256934173662321E-4</c:v>
                </c:pt>
                <c:pt idx="153">
                  <c:v>3.9817829783435278E-4</c:v>
                </c:pt>
                <c:pt idx="154">
                  <c:v>3.6848760609982118E-4</c:v>
                </c:pt>
                <c:pt idx="155">
                  <c:v>3.4389749052046557E-4</c:v>
                </c:pt>
                <c:pt idx="156">
                  <c:v>3.2076368104655813E-4</c:v>
                </c:pt>
                <c:pt idx="157">
                  <c:v>2.9908447176091936E-4</c:v>
                </c:pt>
                <c:pt idx="158">
                  <c:v>2.7885803764042798E-4</c:v>
                </c:pt>
                <c:pt idx="159">
                  <c:v>2.600824507985032E-4</c:v>
                </c:pt>
                <c:pt idx="160">
                  <c:v>2.4275569673060668E-4</c:v>
                </c:pt>
                <c:pt idx="161">
                  <c:v>2.2687569055698112E-4</c:v>
                </c:pt>
                <c:pt idx="162">
                  <c:v>2.1244029326673085E-4</c:v>
                </c:pt>
                <c:pt idx="163">
                  <c:v>2.0014418139788418E-4</c:v>
                </c:pt>
                <c:pt idx="164">
                  <c:v>1.889630713538601E-4</c:v>
                </c:pt>
                <c:pt idx="165">
                  <c:v>1.7889526904071341E-4</c:v>
                </c:pt>
                <c:pt idx="166">
                  <c:v>1.6993907855931959E-4</c:v>
                </c:pt>
                <c:pt idx="167">
                  <c:v>1.6209281474948697E-4</c:v>
                </c:pt>
                <c:pt idx="168">
                  <c:v>1.5535481573885021E-4</c:v>
                </c:pt>
                <c:pt idx="169">
                  <c:v>1.5041824273103195E-4</c:v>
                </c:pt>
                <c:pt idx="170">
                  <c:v>1.4687703563005569E-4</c:v>
                </c:pt>
                <c:pt idx="171">
                  <c:v>1.4472931892902725E-4</c:v>
                </c:pt>
                <c:pt idx="172">
                  <c:v>1.4397331996543206E-4</c:v>
                </c:pt>
                <c:pt idx="173">
                  <c:v>1.4460614814558969E-4</c:v>
                </c:pt>
                <c:pt idx="174">
                  <c:v>1.4662491231028608E-4</c:v>
                </c:pt>
                <c:pt idx="175">
                  <c:v>1.5002792725674988E-4</c:v>
                </c:pt>
                <c:pt idx="176">
                  <c:v>1.5481351542568194E-4</c:v>
                </c:pt>
                <c:pt idx="177">
                  <c:v>1.6138234009740489E-4</c:v>
                </c:pt>
                <c:pt idx="178">
                  <c:v>1.6904014292202127E-4</c:v>
                </c:pt>
                <c:pt idx="179">
                  <c:v>1.7778567542222433E-4</c:v>
                </c:pt>
                <c:pt idx="180">
                  <c:v>1.8761772000490946E-4</c:v>
                </c:pt>
                <c:pt idx="181">
                  <c:v>1.9853509533288409E-4</c:v>
                </c:pt>
                <c:pt idx="182">
                  <c:v>2.1053666169782264E-4</c:v>
                </c:pt>
                <c:pt idx="183">
                  <c:v>2.2463382541990814E-4</c:v>
                </c:pt>
                <c:pt idx="184">
                  <c:v>2.4013391910608452E-4</c:v>
                </c:pt>
                <c:pt idx="185">
                  <c:v>2.570355954723983E-4</c:v>
                </c:pt>
                <c:pt idx="186">
                  <c:v>2.7533758330818361E-4</c:v>
                </c:pt>
                <c:pt idx="187">
                  <c:v>2.9503869443244879E-4</c:v>
                </c:pt>
                <c:pt idx="188">
                  <c:v>3.1613783065214817E-4</c:v>
                </c:pt>
                <c:pt idx="189">
                  <c:v>3.3863399071293711E-4</c:v>
                </c:pt>
                <c:pt idx="190">
                  <c:v>3.6252627726055886E-4</c:v>
                </c:pt>
                <c:pt idx="191">
                  <c:v>3.9139454268208648E-4</c:v>
                </c:pt>
                <c:pt idx="192">
                  <c:v>4.2483443016578761E-4</c:v>
                </c:pt>
                <c:pt idx="193">
                  <c:v>4.628422891445542E-4</c:v>
                </c:pt>
                <c:pt idx="194">
                  <c:v>5.0541479184970336E-4</c:v>
                </c:pt>
                <c:pt idx="195">
                  <c:v>5.5254895596983176E-4</c:v>
                </c:pt>
                <c:pt idx="196">
                  <c:v>6.0424216729535927E-4</c:v>
                </c:pt>
                <c:pt idx="197">
                  <c:v>6.6308689929181833E-4</c:v>
                </c:pt>
                <c:pt idx="198">
                  <c:v>7.2807192353982128E-4</c:v>
                </c:pt>
                <c:pt idx="199">
                  <c:v>7.991946693673939E-4</c:v>
                </c:pt>
                <c:pt idx="200">
                  <c:v>8.7645315020217548E-4</c:v>
                </c:pt>
                <c:pt idx="201">
                  <c:v>9.5984599406412797E-4</c:v>
                </c:pt>
                <c:pt idx="202">
                  <c:v>1.0493724740596186E-3</c:v>
                </c:pt>
                <c:pt idx="203">
                  <c:v>1.1450325388948567E-3</c:v>
                </c:pt>
                <c:pt idx="204">
                  <c:v>1.2468251631870594E-3</c:v>
                </c:pt>
                <c:pt idx="205">
                  <c:v>1.353289386859383E-3</c:v>
                </c:pt>
                <c:pt idx="206">
                  <c:v>1.4608596325358743E-3</c:v>
                </c:pt>
                <c:pt idx="207">
                  <c:v>1.5695386551797667E-3</c:v>
                </c:pt>
                <c:pt idx="208">
                  <c:v>1.6793291749363306E-3</c:v>
                </c:pt>
                <c:pt idx="209">
                  <c:v>1.7902338741905572E-3</c:v>
                </c:pt>
                <c:pt idx="210">
                  <c:v>1.902255394671006E-3</c:v>
                </c:pt>
                <c:pt idx="211">
                  <c:v>2.0136793756483995E-3</c:v>
                </c:pt>
                <c:pt idx="212">
                  <c:v>2.1219219029175304E-3</c:v>
                </c:pt>
                <c:pt idx="213">
                  <c:v>2.226986807509363E-3</c:v>
                </c:pt>
                <c:pt idx="214">
                  <c:v>2.3288776216672359E-3</c:v>
                </c:pt>
                <c:pt idx="215">
                  <c:v>2.4275975870772246E-3</c:v>
                </c:pt>
                <c:pt idx="216">
                  <c:v>2.523149663092574E-3</c:v>
                </c:pt>
                <c:pt idx="217">
                  <c:v>2.6155365349663316E-3</c:v>
                </c:pt>
                <c:pt idx="218">
                  <c:v>2.7047606220729028E-3</c:v>
                </c:pt>
                <c:pt idx="219">
                  <c:v>2.7923210192433937E-3</c:v>
                </c:pt>
                <c:pt idx="220">
                  <c:v>2.8796764537033608E-3</c:v>
                </c:pt>
                <c:pt idx="221">
                  <c:v>2.9668283014927187E-3</c:v>
                </c:pt>
                <c:pt idx="222">
                  <c:v>3.0537778377745426E-3</c:v>
                </c:pt>
                <c:pt idx="223">
                  <c:v>3.1405262374447646E-3</c:v>
                </c:pt>
                <c:pt idx="224">
                  <c:v>3.2270745756839297E-3</c:v>
                </c:pt>
                <c:pt idx="225">
                  <c:v>3.3110756267054485E-3</c:v>
                </c:pt>
                <c:pt idx="226">
                  <c:v>3.3942458126134598E-3</c:v>
                </c:pt>
                <c:pt idx="227">
                  <c:v>3.4765858610154355E-3</c:v>
                </c:pt>
                <c:pt idx="228">
                  <c:v>3.5580963817954622E-3</c:v>
                </c:pt>
                <c:pt idx="229">
                  <c:v>3.6387778692891018E-3</c:v>
                </c:pt>
                <c:pt idx="230">
                  <c:v>3.7186307045030276E-3</c:v>
                </c:pt>
                <c:pt idx="231">
                  <c:v>3.797655157347193E-3</c:v>
                </c:pt>
                <c:pt idx="232">
                  <c:v>3.8758513888007586E-3</c:v>
                </c:pt>
                <c:pt idx="233">
                  <c:v>3.9448244621717527E-3</c:v>
                </c:pt>
                <c:pt idx="234">
                  <c:v>4.0030763338900288E-3</c:v>
                </c:pt>
                <c:pt idx="235">
                  <c:v>4.050608145070962E-3</c:v>
                </c:pt>
                <c:pt idx="236">
                  <c:v>4.087421919328686E-3</c:v>
                </c:pt>
                <c:pt idx="237">
                  <c:v>4.1135172272231211E-3</c:v>
                </c:pt>
                <c:pt idx="238">
                  <c:v>4.1288932916708826E-3</c:v>
                </c:pt>
                <c:pt idx="239">
                  <c:v>4.1292938706605576E-3</c:v>
                </c:pt>
                <c:pt idx="240">
                  <c:v>4.1170659687289769E-3</c:v>
                </c:pt>
                <c:pt idx="241">
                  <c:v>4.0922071291533092E-3</c:v>
                </c:pt>
                <c:pt idx="242">
                  <c:v>4.0547144084596741E-3</c:v>
                </c:pt>
                <c:pt idx="243">
                  <c:v>4.0045843578276567E-3</c:v>
                </c:pt>
                <c:pt idx="244">
                  <c:v>3.9418130044736243E-3</c:v>
                </c:pt>
                <c:pt idx="245">
                  <c:v>3.8663958329982948E-3</c:v>
                </c:pt>
                <c:pt idx="246">
                  <c:v>3.7783277667317598E-3</c:v>
                </c:pt>
                <c:pt idx="247">
                  <c:v>3.6784527048972864E-3</c:v>
                </c:pt>
                <c:pt idx="248">
                  <c:v>3.5751700665205941E-3</c:v>
                </c:pt>
                <c:pt idx="249">
                  <c:v>3.4684767770417776E-3</c:v>
                </c:pt>
                <c:pt idx="250">
                  <c:v>3.3583695477003572E-3</c:v>
                </c:pt>
                <c:pt idx="251">
                  <c:v>3.2448448705991798E-3</c:v>
                </c:pt>
                <c:pt idx="252">
                  <c:v>3.1278990136416602E-3</c:v>
                </c:pt>
                <c:pt idx="253">
                  <c:v>3.0097695238166908E-3</c:v>
                </c:pt>
                <c:pt idx="254">
                  <c:v>2.894716327417965E-3</c:v>
                </c:pt>
                <c:pt idx="255">
                  <c:v>2.7827386289543837E-3</c:v>
                </c:pt>
                <c:pt idx="256">
                  <c:v>2.6738357201112287E-3</c:v>
                </c:pt>
                <c:pt idx="257">
                  <c:v>2.5680069842747722E-3</c:v>
                </c:pt>
                <c:pt idx="258">
                  <c:v>2.4652519010812022E-3</c:v>
                </c:pt>
                <c:pt idx="259">
                  <c:v>2.3655700509920166E-3</c:v>
                </c:pt>
                <c:pt idx="260">
                  <c:v>2.2689611198041864E-3</c:v>
                </c:pt>
                <c:pt idx="261">
                  <c:v>2.1764708200707572E-3</c:v>
                </c:pt>
                <c:pt idx="262">
                  <c:v>2.0872479167011872E-3</c:v>
                </c:pt>
                <c:pt idx="263">
                  <c:v>2.001292617115969E-3</c:v>
                </c:pt>
                <c:pt idx="264">
                  <c:v>1.9186053409867177E-3</c:v>
                </c:pt>
                <c:pt idx="265">
                  <c:v>1.8391948642919624E-3</c:v>
                </c:pt>
                <c:pt idx="266">
                  <c:v>1.7630648632279049E-3</c:v>
                </c:pt>
                <c:pt idx="267">
                  <c:v>1.6990334306449695E-3</c:v>
                </c:pt>
                <c:pt idx="268">
                  <c:v>1.6448576577452008E-3</c:v>
                </c:pt>
                <c:pt idx="269">
                  <c:v>1.6005432765823118E-3</c:v>
                </c:pt>
                <c:pt idx="270">
                  <c:v>1.5660970319427928E-3</c:v>
                </c:pt>
                <c:pt idx="271">
                  <c:v>1.5415265905266446E-3</c:v>
                </c:pt>
                <c:pt idx="272">
                  <c:v>1.5268404501668125E-3</c:v>
                </c:pt>
                <c:pt idx="273">
                  <c:v>1.5220478490317422E-3</c:v>
                </c:pt>
                <c:pt idx="274">
                  <c:v>1.5271586748446793E-3</c:v>
                </c:pt>
                <c:pt idx="275">
                  <c:v>1.5542141267422599E-3</c:v>
                </c:pt>
                <c:pt idx="276">
                  <c:v>1.6021887939627142E-3</c:v>
                </c:pt>
                <c:pt idx="277">
                  <c:v>1.6711079711074423E-3</c:v>
                </c:pt>
                <c:pt idx="278">
                  <c:v>1.7609975713967125E-3</c:v>
                </c:pt>
                <c:pt idx="279">
                  <c:v>1.8718839351532935E-3</c:v>
                </c:pt>
                <c:pt idx="280">
                  <c:v>2.0037936383000467E-3</c:v>
                </c:pt>
                <c:pt idx="281">
                  <c:v>2.1507827680763841E-3</c:v>
                </c:pt>
                <c:pt idx="282">
                  <c:v>2.3039969700986845E-3</c:v>
                </c:pt>
                <c:pt idx="283">
                  <c:v>2.4634428922117161E-3</c:v>
                </c:pt>
                <c:pt idx="284">
                  <c:v>2.6291266550939681E-3</c:v>
                </c:pt>
                <c:pt idx="285">
                  <c:v>2.8010537965196211E-3</c:v>
                </c:pt>
                <c:pt idx="286">
                  <c:v>2.9792292156414391E-3</c:v>
                </c:pt>
                <c:pt idx="287">
                  <c:v>3.163657117253096E-3</c:v>
                </c:pt>
                <c:pt idx="288">
                  <c:v>3.3543409560590231E-3</c:v>
                </c:pt>
                <c:pt idx="289">
                  <c:v>3.5399480203908117E-3</c:v>
                </c:pt>
                <c:pt idx="290">
                  <c:v>3.7083575675382692E-3</c:v>
                </c:pt>
                <c:pt idx="291">
                  <c:v>3.8595417170381361E-3</c:v>
                </c:pt>
                <c:pt idx="292">
                  <c:v>3.9934726533777292E-3</c:v>
                </c:pt>
                <c:pt idx="293">
                  <c:v>4.1101227839938923E-3</c:v>
                </c:pt>
                <c:pt idx="294">
                  <c:v>4.2094648972606273E-3</c:v>
                </c:pt>
                <c:pt idx="295">
                  <c:v>4.3151062752741351E-3</c:v>
                </c:pt>
                <c:pt idx="296">
                  <c:v>4.4330996930425316E-3</c:v>
                </c:pt>
                <c:pt idx="297">
                  <c:v>4.5634868917686158E-3</c:v>
                </c:pt>
                <c:pt idx="298">
                  <c:v>4.706280499057274E-3</c:v>
                </c:pt>
                <c:pt idx="299">
                  <c:v>4.8614930858922141E-3</c:v>
                </c:pt>
                <c:pt idx="300">
                  <c:v>5.0291370717344226E-3</c:v>
                </c:pt>
                <c:pt idx="301">
                  <c:v>5.2092246296088314E-3</c:v>
                </c:pt>
                <c:pt idx="302">
                  <c:v>5.401767591200056E-3</c:v>
                </c:pt>
                <c:pt idx="303">
                  <c:v>5.6557069904756051E-3</c:v>
                </c:pt>
                <c:pt idx="304">
                  <c:v>5.9825149272522389E-3</c:v>
                </c:pt>
                <c:pt idx="305">
                  <c:v>6.3822737111875055E-3</c:v>
                </c:pt>
                <c:pt idx="306">
                  <c:v>6.8550643127201884E-3</c:v>
                </c:pt>
                <c:pt idx="307">
                  <c:v>7.4009658030347383E-3</c:v>
                </c:pt>
                <c:pt idx="308">
                  <c:v>8.0200547939755784E-3</c:v>
                </c:pt>
                <c:pt idx="309">
                  <c:v>8.7240652240136232E-3</c:v>
                </c:pt>
                <c:pt idx="310">
                  <c:v>9.4893076371965809E-3</c:v>
                </c:pt>
                <c:pt idx="311">
                  <c:v>1.031583398651924E-2</c:v>
                </c:pt>
                <c:pt idx="312">
                  <c:v>1.1203691918271747E-2</c:v>
                </c:pt>
                <c:pt idx="313">
                  <c:v>1.2152924305124796E-2</c:v>
                </c:pt>
                <c:pt idx="314">
                  <c:v>1.3163568779133425E-2</c:v>
                </c:pt>
                <c:pt idx="315">
                  <c:v>1.4235657264865384E-2</c:v>
                </c:pt>
                <c:pt idx="316">
                  <c:v>1.5369215512371207E-2</c:v>
                </c:pt>
                <c:pt idx="317">
                  <c:v>1.6543564412335041E-2</c:v>
                </c:pt>
                <c:pt idx="318">
                  <c:v>1.7709493327150723E-2</c:v>
                </c:pt>
                <c:pt idx="319">
                  <c:v>1.886694264298136E-2</c:v>
                </c:pt>
                <c:pt idx="320">
                  <c:v>2.0015849808203236E-2</c:v>
                </c:pt>
                <c:pt idx="321">
                  <c:v>2.1156149402500751E-2</c:v>
                </c:pt>
                <c:pt idx="322">
                  <c:v>2.2287773206055905E-2</c:v>
                </c:pt>
                <c:pt idx="323">
                  <c:v>2.3402238689543858E-2</c:v>
                </c:pt>
                <c:pt idx="324">
                  <c:v>2.448774910274577E-2</c:v>
                </c:pt>
                <c:pt idx="325">
                  <c:v>2.5544213820972845E-2</c:v>
                </c:pt>
                <c:pt idx="326">
                  <c:v>2.6571402922478043E-2</c:v>
                </c:pt>
                <c:pt idx="327">
                  <c:v>2.7569161110580016E-2</c:v>
                </c:pt>
                <c:pt idx="328">
                  <c:v>2.8537449766327341E-2</c:v>
                </c:pt>
                <c:pt idx="329">
                  <c:v>2.9476241076315437E-2</c:v>
                </c:pt>
                <c:pt idx="330">
                  <c:v>3.0385517523281984E-2</c:v>
                </c:pt>
                <c:pt idx="331">
                  <c:v>3.1252693305169124E-2</c:v>
                </c:pt>
                <c:pt idx="332">
                  <c:v>3.2098530717472387E-2</c:v>
                </c:pt>
                <c:pt idx="333">
                  <c:v>3.2923042275893134E-2</c:v>
                </c:pt>
                <c:pt idx="334">
                  <c:v>3.3726248067458831E-2</c:v>
                </c:pt>
                <c:pt idx="335">
                  <c:v>3.450817538433161E-2</c:v>
                </c:pt>
                <c:pt idx="336">
                  <c:v>3.5268858357260603E-2</c:v>
                </c:pt>
                <c:pt idx="337">
                  <c:v>3.5979271628868853E-2</c:v>
                </c:pt>
                <c:pt idx="338">
                  <c:v>3.6647885594633077E-2</c:v>
                </c:pt>
                <c:pt idx="339">
                  <c:v>3.7274751712136088E-2</c:v>
                </c:pt>
                <c:pt idx="340">
                  <c:v>3.7859926826332713E-2</c:v>
                </c:pt>
                <c:pt idx="341">
                  <c:v>3.8403472443249563E-2</c:v>
                </c:pt>
                <c:pt idx="342">
                  <c:v>3.8905454003670507E-2</c:v>
                </c:pt>
                <c:pt idx="343">
                  <c:v>3.936594015643053E-2</c:v>
                </c:pt>
                <c:pt idx="344">
                  <c:v>3.9785002032212809E-2</c:v>
                </c:pt>
                <c:pt idx="345">
                  <c:v>4.0162712517005629E-2</c:v>
                </c:pt>
                <c:pt idx="346">
                  <c:v>4.0498274924534873E-2</c:v>
                </c:pt>
                <c:pt idx="347">
                  <c:v>4.0791763326695027E-2</c:v>
                </c:pt>
                <c:pt idx="348">
                  <c:v>4.1043251307916216E-2</c:v>
                </c:pt>
                <c:pt idx="349">
                  <c:v>4.1252811223277605E-2</c:v>
                </c:pt>
                <c:pt idx="350">
                  <c:v>4.1420513457425166E-2</c:v>
                </c:pt>
                <c:pt idx="351">
                  <c:v>4.1532964362905753E-2</c:v>
                </c:pt>
                <c:pt idx="352">
                  <c:v>4.1619311741809058E-2</c:v>
                </c:pt>
                <c:pt idx="353">
                  <c:v>4.1679622036232079E-2</c:v>
                </c:pt>
                <c:pt idx="354">
                  <c:v>4.1713958781241962E-2</c:v>
                </c:pt>
                <c:pt idx="355">
                  <c:v>4.1722382133854451E-2</c:v>
                </c:pt>
                <c:pt idx="356">
                  <c:v>4.1704972586669081E-2</c:v>
                </c:pt>
                <c:pt idx="357">
                  <c:v>4.1661704158887487E-2</c:v>
                </c:pt>
                <c:pt idx="358">
                  <c:v>4.1592462545641161E-2</c:v>
                </c:pt>
                <c:pt idx="359">
                  <c:v>4.1497130073807585E-2</c:v>
                </c:pt>
                <c:pt idx="360">
                  <c:v>4.1346441361971645E-2</c:v>
                </c:pt>
                <c:pt idx="361">
                  <c:v>4.1153737644842626E-2</c:v>
                </c:pt>
                <c:pt idx="362">
                  <c:v>4.0918876557194818E-2</c:v>
                </c:pt>
                <c:pt idx="363">
                  <c:v>4.0641713651872732E-2</c:v>
                </c:pt>
                <c:pt idx="364">
                  <c:v>4.0322103316069606E-2</c:v>
                </c:pt>
                <c:pt idx="365">
                  <c:v>3.9959899687169752E-2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5.0120999752314564E-2</c:v>
                </c:pt>
                <c:pt idx="1">
                  <c:v>4.9761297681683352E-2</c:v>
                </c:pt>
                <c:pt idx="2">
                  <c:v>4.9358950200960629E-2</c:v>
                </c:pt>
                <c:pt idx="3">
                  <c:v>4.8913794950648508E-2</c:v>
                </c:pt>
                <c:pt idx="4">
                  <c:v>4.8425672631356408E-2</c:v>
                </c:pt>
                <c:pt idx="5">
                  <c:v>4.7894427916139272E-2</c:v>
                </c:pt>
                <c:pt idx="6">
                  <c:v>4.7319910363350627E-2</c:v>
                </c:pt>
                <c:pt idx="7">
                  <c:v>4.67019753285818E-2</c:v>
                </c:pt>
                <c:pt idx="8">
                  <c:v>4.6040484877177802E-2</c:v>
                </c:pt>
                <c:pt idx="9">
                  <c:v>4.5313707965854579E-2</c:v>
                </c:pt>
                <c:pt idx="10">
                  <c:v>4.4553330963241961E-2</c:v>
                </c:pt>
                <c:pt idx="11">
                  <c:v>4.3759253157391764E-2</c:v>
                </c:pt>
                <c:pt idx="12">
                  <c:v>4.2931383378928149E-2</c:v>
                </c:pt>
                <c:pt idx="13">
                  <c:v>4.2069640695221233E-2</c:v>
                </c:pt>
                <c:pt idx="14">
                  <c:v>4.117395510396029E-2</c:v>
                </c:pt>
                <c:pt idx="15">
                  <c:v>4.0195635641074395E-2</c:v>
                </c:pt>
                <c:pt idx="16">
                  <c:v>3.9145515635668225E-2</c:v>
                </c:pt>
                <c:pt idx="17">
                  <c:v>3.8023541253468331E-2</c:v>
                </c:pt>
                <c:pt idx="18">
                  <c:v>3.6829679366831916E-2</c:v>
                </c:pt>
                <c:pt idx="19">
                  <c:v>3.5564085799538805E-2</c:v>
                </c:pt>
                <c:pt idx="20">
                  <c:v>3.422698750870453E-2</c:v>
                </c:pt>
                <c:pt idx="21">
                  <c:v>3.2818477172947141E-2</c:v>
                </c:pt>
                <c:pt idx="22">
                  <c:v>3.1338650449645636E-2</c:v>
                </c:pt>
                <c:pt idx="23">
                  <c:v>2.9802237845820451E-2</c:v>
                </c:pt>
                <c:pt idx="24">
                  <c:v>2.8231012488154419E-2</c:v>
                </c:pt>
                <c:pt idx="25">
                  <c:v>2.662507897168544E-2</c:v>
                </c:pt>
                <c:pt idx="26">
                  <c:v>2.4984538592598953E-2</c:v>
                </c:pt>
                <c:pt idx="27">
                  <c:v>2.3309488989978481E-2</c:v>
                </c:pt>
                <c:pt idx="28">
                  <c:v>2.1600023788033707E-2</c:v>
                </c:pt>
                <c:pt idx="29">
                  <c:v>1.9931463809123983E-2</c:v>
                </c:pt>
                <c:pt idx="30">
                  <c:v>1.8352589660429634E-2</c:v>
                </c:pt>
                <c:pt idx="31">
                  <c:v>1.6863467346914938E-2</c:v>
                </c:pt>
                <c:pt idx="32">
                  <c:v>1.5464150893659753E-2</c:v>
                </c:pt>
                <c:pt idx="33">
                  <c:v>1.4154683290280565E-2</c:v>
                </c:pt>
                <c:pt idx="34">
                  <c:v>1.293509743541329E-2</c:v>
                </c:pt>
                <c:pt idx="35">
                  <c:v>1.1805417081171193E-2</c:v>
                </c:pt>
                <c:pt idx="36">
                  <c:v>1.0765657777575641E-2</c:v>
                </c:pt>
                <c:pt idx="37">
                  <c:v>9.8524435179473506E-3</c:v>
                </c:pt>
                <c:pt idx="38">
                  <c:v>9.0511401329748404E-3</c:v>
                </c:pt>
                <c:pt idx="39">
                  <c:v>8.3617391370736337E-3</c:v>
                </c:pt>
                <c:pt idx="40">
                  <c:v>7.7842276682921043E-3</c:v>
                </c:pt>
                <c:pt idx="41">
                  <c:v>7.3185896639535288E-3</c:v>
                </c:pt>
                <c:pt idx="42">
                  <c:v>6.9648070362418645E-3</c:v>
                </c:pt>
                <c:pt idx="43">
                  <c:v>6.7086708635806193E-3</c:v>
                </c:pt>
                <c:pt idx="44">
                  <c:v>6.475001072524353E-3</c:v>
                </c:pt>
                <c:pt idx="45">
                  <c:v>6.2637973192912364E-3</c:v>
                </c:pt>
                <c:pt idx="46">
                  <c:v>6.0750589249966604E-3</c:v>
                </c:pt>
                <c:pt idx="47">
                  <c:v>5.9087851113987372E-3</c:v>
                </c:pt>
                <c:pt idx="48">
                  <c:v>5.7649752365740671E-3</c:v>
                </c:pt>
                <c:pt idx="49">
                  <c:v>5.6436290306409584E-3</c:v>
                </c:pt>
                <c:pt idx="50">
                  <c:v>5.5447468314518715E-3</c:v>
                </c:pt>
                <c:pt idx="51">
                  <c:v>5.4563680078025881E-3</c:v>
                </c:pt>
                <c:pt idx="52">
                  <c:v>5.3418838659845327E-3</c:v>
                </c:pt>
                <c:pt idx="53">
                  <c:v>5.2012692157266229E-3</c:v>
                </c:pt>
                <c:pt idx="54">
                  <c:v>5.034521695676304E-3</c:v>
                </c:pt>
                <c:pt idx="55">
                  <c:v>4.8416387568516886E-3</c:v>
                </c:pt>
                <c:pt idx="56">
                  <c:v>4.6226177439412331E-3</c:v>
                </c:pt>
                <c:pt idx="57">
                  <c:v>4.3919263388875916E-3</c:v>
                </c:pt>
                <c:pt idx="58">
                  <c:v>4.1637469547085451E-3</c:v>
                </c:pt>
                <c:pt idx="59">
                  <c:v>3.9380775990805047E-3</c:v>
                </c:pt>
                <c:pt idx="60">
                  <c:v>3.7149165748860866E-3</c:v>
                </c:pt>
                <c:pt idx="61">
                  <c:v>3.4942624724145933E-3</c:v>
                </c:pt>
                <c:pt idx="62">
                  <c:v>3.2761141615579889E-3</c:v>
                </c:pt>
                <c:pt idx="63">
                  <c:v>3.0604707840158466E-3</c:v>
                </c:pt>
                <c:pt idx="64">
                  <c:v>2.8473317454887591E-3</c:v>
                </c:pt>
                <c:pt idx="65">
                  <c:v>2.6501706224712203E-3</c:v>
                </c:pt>
                <c:pt idx="66">
                  <c:v>2.4809496766956354E-3</c:v>
                </c:pt>
                <c:pt idx="67">
                  <c:v>2.3396690693450388E-3</c:v>
                </c:pt>
                <c:pt idx="68">
                  <c:v>2.2263288817515655E-3</c:v>
                </c:pt>
                <c:pt idx="69">
                  <c:v>2.1409290285002197E-3</c:v>
                </c:pt>
                <c:pt idx="70">
                  <c:v>2.0834691705424557E-3</c:v>
                </c:pt>
                <c:pt idx="71">
                  <c:v>2.0560558341932589E-3</c:v>
                </c:pt>
                <c:pt idx="72">
                  <c:v>2.0442172498433475E-3</c:v>
                </c:pt>
                <c:pt idx="73">
                  <c:v>2.0479523416171938E-3</c:v>
                </c:pt>
                <c:pt idx="74">
                  <c:v>2.0672597120466878E-3</c:v>
                </c:pt>
                <c:pt idx="75">
                  <c:v>2.1021375936269887E-3</c:v>
                </c:pt>
                <c:pt idx="76">
                  <c:v>2.1525838003669953E-3</c:v>
                </c:pt>
                <c:pt idx="77">
                  <c:v>2.2185956793454938E-3</c:v>
                </c:pt>
                <c:pt idx="78">
                  <c:v>2.300170126445341E-3</c:v>
                </c:pt>
                <c:pt idx="79">
                  <c:v>2.3999720991861101E-3</c:v>
                </c:pt>
                <c:pt idx="80">
                  <c:v>2.5045334279006188E-3</c:v>
                </c:pt>
                <c:pt idx="81">
                  <c:v>2.6138528296727535E-3</c:v>
                </c:pt>
                <c:pt idx="82">
                  <c:v>2.7279288973020028E-3</c:v>
                </c:pt>
                <c:pt idx="83">
                  <c:v>2.8467600864660798E-3</c:v>
                </c:pt>
                <c:pt idx="84">
                  <c:v>2.9703447028913903E-3</c:v>
                </c:pt>
                <c:pt idx="85">
                  <c:v>3.0991592729162835E-3</c:v>
                </c:pt>
                <c:pt idx="86">
                  <c:v>3.2310955436187648E-3</c:v>
                </c:pt>
                <c:pt idx="87">
                  <c:v>3.3661515223514515E-3</c:v>
                </c:pt>
                <c:pt idx="88">
                  <c:v>3.5043250361413928E-3</c:v>
                </c:pt>
                <c:pt idx="89">
                  <c:v>3.6456137232396889E-3</c:v>
                </c:pt>
                <c:pt idx="90">
                  <c:v>3.7900150246648421E-3</c:v>
                </c:pt>
                <c:pt idx="91">
                  <c:v>3.9375261757575025E-3</c:v>
                </c:pt>
                <c:pt idx="92">
                  <c:v>4.0881441977276998E-3</c:v>
                </c:pt>
                <c:pt idx="93">
                  <c:v>4.2363328774249181E-3</c:v>
                </c:pt>
                <c:pt idx="94">
                  <c:v>4.3794311410656579E-3</c:v>
                </c:pt>
                <c:pt idx="95">
                  <c:v>4.5174371671055672E-3</c:v>
                </c:pt>
                <c:pt idx="96">
                  <c:v>4.6503491061318002E-3</c:v>
                </c:pt>
                <c:pt idx="97">
                  <c:v>4.7781650945022359E-3</c:v>
                </c:pt>
                <c:pt idx="98">
                  <c:v>4.9008832679518048E-3</c:v>
                </c:pt>
                <c:pt idx="99">
                  <c:v>5.0087841625190569E-3</c:v>
                </c:pt>
                <c:pt idx="100">
                  <c:v>5.1013908810882717E-3</c:v>
                </c:pt>
                <c:pt idx="101">
                  <c:v>5.178704948631649E-3</c:v>
                </c:pt>
                <c:pt idx="102">
                  <c:v>5.2407283200124784E-3</c:v>
                </c:pt>
                <c:pt idx="103">
                  <c:v>5.2874634210403441E-3</c:v>
                </c:pt>
                <c:pt idx="104">
                  <c:v>5.3189131896285565E-3</c:v>
                </c:pt>
                <c:pt idx="105">
                  <c:v>5.335081116857091E-3</c:v>
                </c:pt>
                <c:pt idx="106">
                  <c:v>5.3359712880880587E-3</c:v>
                </c:pt>
                <c:pt idx="107">
                  <c:v>5.3191080314583111E-3</c:v>
                </c:pt>
                <c:pt idx="108">
                  <c:v>5.2900221419550581E-3</c:v>
                </c:pt>
                <c:pt idx="109">
                  <c:v>5.2487183473314755E-3</c:v>
                </c:pt>
                <c:pt idx="110">
                  <c:v>5.1952144173223981E-3</c:v>
                </c:pt>
                <c:pt idx="111">
                  <c:v>5.1295284422317846E-3</c:v>
                </c:pt>
                <c:pt idx="112">
                  <c:v>5.0516663166652364E-3</c:v>
                </c:pt>
                <c:pt idx="113">
                  <c:v>4.9627328702121854E-3</c:v>
                </c:pt>
                <c:pt idx="114">
                  <c:v>4.872431127362774E-3</c:v>
                </c:pt>
                <c:pt idx="115">
                  <c:v>4.7807620591757034E-3</c:v>
                </c:pt>
                <c:pt idx="116">
                  <c:v>4.6877267385373716E-3</c:v>
                </c:pt>
                <c:pt idx="117">
                  <c:v>4.5933263427250758E-3</c:v>
                </c:pt>
                <c:pt idx="118">
                  <c:v>4.4975621559284742E-3</c:v>
                </c:pt>
                <c:pt idx="119">
                  <c:v>4.4004355717829511E-3</c:v>
                </c:pt>
                <c:pt idx="120">
                  <c:v>4.3019480958971521E-3</c:v>
                </c:pt>
                <c:pt idx="121">
                  <c:v>4.2001821965281898E-3</c:v>
                </c:pt>
                <c:pt idx="122">
                  <c:v>4.097614392468721E-3</c:v>
                </c:pt>
                <c:pt idx="123">
                  <c:v>3.9942461987334038E-3</c:v>
                </c:pt>
                <c:pt idx="124">
                  <c:v>3.8900792339710169E-3</c:v>
                </c:pt>
                <c:pt idx="125">
                  <c:v>3.7851152220049872E-3</c:v>
                </c:pt>
                <c:pt idx="126">
                  <c:v>3.679355993326396E-3</c:v>
                </c:pt>
                <c:pt idx="127">
                  <c:v>3.5713526902906561E-3</c:v>
                </c:pt>
                <c:pt idx="128">
                  <c:v>3.4600134206495361E-3</c:v>
                </c:pt>
                <c:pt idx="129">
                  <c:v>3.3453423924090929E-3</c:v>
                </c:pt>
                <c:pt idx="130">
                  <c:v>3.227344035600667E-3</c:v>
                </c:pt>
                <c:pt idx="131">
                  <c:v>3.1060230084519126E-3</c:v>
                </c:pt>
                <c:pt idx="132">
                  <c:v>2.9813842035881764E-3</c:v>
                </c:pt>
                <c:pt idx="133">
                  <c:v>2.8534327542495308E-3</c:v>
                </c:pt>
                <c:pt idx="134">
                  <c:v>2.7221740404925325E-3</c:v>
                </c:pt>
                <c:pt idx="135">
                  <c:v>2.5892989625564745E-3</c:v>
                </c:pt>
                <c:pt idx="136">
                  <c:v>2.4567233091783458E-3</c:v>
                </c:pt>
                <c:pt idx="137">
                  <c:v>2.3244496686935174E-3</c:v>
                </c:pt>
                <c:pt idx="138">
                  <c:v>2.1924807146878546E-3</c:v>
                </c:pt>
                <c:pt idx="139">
                  <c:v>2.0608192056056139E-3</c:v>
                </c:pt>
                <c:pt idx="140">
                  <c:v>1.9294679842499342E-3</c:v>
                </c:pt>
                <c:pt idx="141">
                  <c:v>1.802309342888977E-3</c:v>
                </c:pt>
                <c:pt idx="142">
                  <c:v>1.6807782219170246E-3</c:v>
                </c:pt>
                <c:pt idx="143">
                  <c:v>1.5648672438251729E-3</c:v>
                </c:pt>
                <c:pt idx="144">
                  <c:v>1.4545776478671118E-3</c:v>
                </c:pt>
                <c:pt idx="145">
                  <c:v>1.3499096072314145E-3</c:v>
                </c:pt>
                <c:pt idx="146">
                  <c:v>1.2508622916730346E-3</c:v>
                </c:pt>
                <c:pt idx="147">
                  <c:v>1.1574339301860146E-3</c:v>
                </c:pt>
                <c:pt idx="148">
                  <c:v>1.069621873646444E-3</c:v>
                </c:pt>
                <c:pt idx="149">
                  <c:v>9.895890443272176E-4</c:v>
                </c:pt>
                <c:pt idx="150">
                  <c:v>9.1565283888652479E-4</c:v>
                </c:pt>
                <c:pt idx="151">
                  <c:v>8.478075579572169E-4</c:v>
                </c:pt>
                <c:pt idx="152">
                  <c:v>7.860468616213488E-4</c:v>
                </c:pt>
                <c:pt idx="153">
                  <c:v>7.3036383760279467E-4</c:v>
                </c:pt>
                <c:pt idx="154">
                  <c:v>6.8075106946416386E-4</c:v>
                </c:pt>
                <c:pt idx="155">
                  <c:v>6.3812374066228724E-4</c:v>
                </c:pt>
                <c:pt idx="156">
                  <c:v>5.9862002832347357E-4</c:v>
                </c:pt>
                <c:pt idx="157">
                  <c:v>5.6223606900027698E-4</c:v>
                </c:pt>
                <c:pt idx="158">
                  <c:v>5.2896778933790459E-4</c:v>
                </c:pt>
                <c:pt idx="159">
                  <c:v>4.98810941029393E-4</c:v>
                </c:pt>
                <c:pt idx="160">
                  <c:v>4.7176113577647948E-4</c:v>
                </c:pt>
                <c:pt idx="161">
                  <c:v>4.4781388024526299E-4</c:v>
                </c:pt>
                <c:pt idx="162">
                  <c:v>4.2696461102438989E-4</c:v>
                </c:pt>
                <c:pt idx="163">
                  <c:v>4.1000996888575751E-4</c:v>
                </c:pt>
                <c:pt idx="164">
                  <c:v>3.9479456275232392E-4</c:v>
                </c:pt>
                <c:pt idx="165">
                  <c:v>3.8131590383463178E-4</c:v>
                </c:pt>
                <c:pt idx="166">
                  <c:v>3.6957151097900457E-4</c:v>
                </c:pt>
                <c:pt idx="167">
                  <c:v>3.5955893025348633E-4</c:v>
                </c:pt>
                <c:pt idx="168">
                  <c:v>3.5127575454397376E-4</c:v>
                </c:pt>
                <c:pt idx="169">
                  <c:v>3.4551850674460397E-4</c:v>
                </c:pt>
                <c:pt idx="170">
                  <c:v>3.4136783946543003E-4</c:v>
                </c:pt>
                <c:pt idx="171">
                  <c:v>3.38821793354439E-4</c:v>
                </c:pt>
                <c:pt idx="172">
                  <c:v>3.3787852731001375E-4</c:v>
                </c:pt>
                <c:pt idx="173">
                  <c:v>3.3853344165043049E-4</c:v>
                </c:pt>
                <c:pt idx="174">
                  <c:v>3.4078186091146892E-4</c:v>
                </c:pt>
                <c:pt idx="175">
                  <c:v>3.4462193185192676E-4</c:v>
                </c:pt>
                <c:pt idx="176">
                  <c:v>3.5005181002034392E-4</c:v>
                </c:pt>
                <c:pt idx="177">
                  <c:v>3.5798293500490208E-4</c:v>
                </c:pt>
                <c:pt idx="178">
                  <c:v>3.6761656921654681E-4</c:v>
                </c:pt>
                <c:pt idx="179">
                  <c:v>3.7895080108042185E-4</c:v>
                </c:pt>
                <c:pt idx="180">
                  <c:v>3.9198376277033896E-4</c:v>
                </c:pt>
                <c:pt idx="181">
                  <c:v>4.0671363859607685E-4</c:v>
                </c:pt>
                <c:pt idx="182">
                  <c:v>4.2313867339337691E-4</c:v>
                </c:pt>
                <c:pt idx="183">
                  <c:v>4.4338882120277794E-4</c:v>
                </c:pt>
                <c:pt idx="184">
                  <c:v>4.6666608422236288E-4</c:v>
                </c:pt>
                <c:pt idx="185">
                  <c:v>4.9296739115615583E-4</c:v>
                </c:pt>
                <c:pt idx="186">
                  <c:v>5.2228981454704136E-4</c:v>
                </c:pt>
                <c:pt idx="187">
                  <c:v>5.5463058574727812E-4</c:v>
                </c:pt>
                <c:pt idx="188">
                  <c:v>5.8998710989241249E-4</c:v>
                </c:pt>
                <c:pt idx="189">
                  <c:v>6.2835698086106853E-4</c:v>
                </c:pt>
                <c:pt idx="190">
                  <c:v>6.6973799625470514E-4</c:v>
                </c:pt>
                <c:pt idx="191">
                  <c:v>7.1792064450735356E-4</c:v>
                </c:pt>
                <c:pt idx="192">
                  <c:v>7.7199130479255293E-4</c:v>
                </c:pt>
                <c:pt idx="193">
                  <c:v>8.3194567343418651E-4</c:v>
                </c:pt>
                <c:pt idx="194">
                  <c:v>8.9777988469999547E-4</c:v>
                </c:pt>
                <c:pt idx="195">
                  <c:v>9.6949054001835777E-4</c:v>
                </c:pt>
                <c:pt idx="196">
                  <c:v>1.0470747371692207E-3</c:v>
                </c:pt>
                <c:pt idx="197">
                  <c:v>1.132171095643631E-3</c:v>
                </c:pt>
                <c:pt idx="198">
                  <c:v>1.2226558869356061E-3</c:v>
                </c:pt>
                <c:pt idx="199">
                  <c:v>1.318528323385978E-3</c:v>
                </c:pt>
                <c:pt idx="200">
                  <c:v>1.4197881973732947E-3</c:v>
                </c:pt>
                <c:pt idx="201">
                  <c:v>1.526435908132843E-3</c:v>
                </c:pt>
                <c:pt idx="202">
                  <c:v>1.6384724885787577E-3</c:v>
                </c:pt>
                <c:pt idx="203">
                  <c:v>1.755899632156452E-3</c:v>
                </c:pt>
                <c:pt idx="204">
                  <c:v>1.878717187962315E-3</c:v>
                </c:pt>
                <c:pt idx="205">
                  <c:v>2.0055172129188931E-3</c:v>
                </c:pt>
                <c:pt idx="206">
                  <c:v>2.1325241012416945E-3</c:v>
                </c:pt>
                <c:pt idx="207">
                  <c:v>2.2597416028773938E-3</c:v>
                </c:pt>
                <c:pt idx="208">
                  <c:v>2.3871733515946686E-3</c:v>
                </c:pt>
                <c:pt idx="209">
                  <c:v>2.5148228643621195E-3</c:v>
                </c:pt>
                <c:pt idx="210">
                  <c:v>2.6426935407920294E-3</c:v>
                </c:pt>
                <c:pt idx="211">
                  <c:v>2.7689320358678035E-3</c:v>
                </c:pt>
                <c:pt idx="212">
                  <c:v>2.8919059920560625E-3</c:v>
                </c:pt>
                <c:pt idx="213">
                  <c:v>3.0116195179064813E-3</c:v>
                </c:pt>
                <c:pt idx="214">
                  <c:v>3.1280764027070847E-3</c:v>
                </c:pt>
                <c:pt idx="215">
                  <c:v>3.2412801249423022E-3</c:v>
                </c:pt>
                <c:pt idx="216">
                  <c:v>3.3512338607428159E-3</c:v>
                </c:pt>
                <c:pt idx="217">
                  <c:v>3.4579404923462723E-3</c:v>
                </c:pt>
                <c:pt idx="218">
                  <c:v>3.5614026165431672E-3</c:v>
                </c:pt>
                <c:pt idx="219">
                  <c:v>3.662682990434912E-3</c:v>
                </c:pt>
                <c:pt idx="220">
                  <c:v>3.7631880224819419E-3</c:v>
                </c:pt>
                <c:pt idx="221">
                  <c:v>3.8629192532190298E-3</c:v>
                </c:pt>
                <c:pt idx="222">
                  <c:v>3.9618780819519151E-3</c:v>
                </c:pt>
                <c:pt idx="223">
                  <c:v>4.0600657688734153E-3</c:v>
                </c:pt>
                <c:pt idx="224">
                  <c:v>4.1574834371037187E-3</c:v>
                </c:pt>
                <c:pt idx="225">
                  <c:v>4.2517406050419579E-3</c:v>
                </c:pt>
                <c:pt idx="226">
                  <c:v>4.3446932242978773E-3</c:v>
                </c:pt>
                <c:pt idx="227">
                  <c:v>4.4363419676846884E-3</c:v>
                </c:pt>
                <c:pt idx="228">
                  <c:v>4.526687362417482E-3</c:v>
                </c:pt>
                <c:pt idx="229">
                  <c:v>4.6157297935226771E-3</c:v>
                </c:pt>
                <c:pt idx="230">
                  <c:v>4.7034695073048527E-3</c:v>
                </c:pt>
                <c:pt idx="231">
                  <c:v>4.7899066148291173E-3</c:v>
                </c:pt>
                <c:pt idx="232">
                  <c:v>4.875041095319629E-3</c:v>
                </c:pt>
                <c:pt idx="233">
                  <c:v>4.949511137339881E-3</c:v>
                </c:pt>
                <c:pt idx="234">
                  <c:v>5.0122548627127457E-3</c:v>
                </c:pt>
                <c:pt idx="235">
                  <c:v>5.0632737679851452E-3</c:v>
                </c:pt>
                <c:pt idx="236">
                  <c:v>5.1025704844448036E-3</c:v>
                </c:pt>
                <c:pt idx="237">
                  <c:v>5.1301446182857634E-3</c:v>
                </c:pt>
                <c:pt idx="238">
                  <c:v>5.1459953947780935E-3</c:v>
                </c:pt>
                <c:pt idx="239">
                  <c:v>5.1447921157201848E-3</c:v>
                </c:pt>
                <c:pt idx="240">
                  <c:v>5.1289247681283899E-3</c:v>
                </c:pt>
                <c:pt idx="241">
                  <c:v>5.0983905187742765E-3</c:v>
                </c:pt>
                <c:pt idx="242">
                  <c:v>5.053185968146896E-3</c:v>
                </c:pt>
                <c:pt idx="243">
                  <c:v>4.9933071288598644E-3</c:v>
                </c:pt>
                <c:pt idx="244">
                  <c:v>4.9187494040320431E-3</c:v>
                </c:pt>
                <c:pt idx="245">
                  <c:v>4.8295075656237087E-3</c:v>
                </c:pt>
                <c:pt idx="246">
                  <c:v>4.7255757327693878E-3</c:v>
                </c:pt>
                <c:pt idx="247">
                  <c:v>4.607408300133539E-3</c:v>
                </c:pt>
                <c:pt idx="248">
                  <c:v>4.4843714041429466E-3</c:v>
                </c:pt>
                <c:pt idx="249">
                  <c:v>4.356461101184878E-3</c:v>
                </c:pt>
                <c:pt idx="250">
                  <c:v>4.2236731559912458E-3</c:v>
                </c:pt>
                <c:pt idx="251">
                  <c:v>4.0860030345690511E-3</c:v>
                </c:pt>
                <c:pt idx="252">
                  <c:v>3.9434458969719302E-3</c:v>
                </c:pt>
                <c:pt idx="253">
                  <c:v>3.7985620313836215E-3</c:v>
                </c:pt>
                <c:pt idx="254">
                  <c:v>3.6566866603921413E-3</c:v>
                </c:pt>
                <c:pt idx="255">
                  <c:v>3.5178184020029694E-3</c:v>
                </c:pt>
                <c:pt idx="256">
                  <c:v>3.3819559422903797E-3</c:v>
                </c:pt>
                <c:pt idx="257">
                  <c:v>3.2490980398212524E-3</c:v>
                </c:pt>
                <c:pt idx="258">
                  <c:v>3.1192435301096049E-3</c:v>
                </c:pt>
                <c:pt idx="259">
                  <c:v>2.992391330104665E-3</c:v>
                </c:pt>
                <c:pt idx="260">
                  <c:v>2.8685404425963777E-3</c:v>
                </c:pt>
                <c:pt idx="261">
                  <c:v>2.7497245923418533E-3</c:v>
                </c:pt>
                <c:pt idx="262">
                  <c:v>2.6354822356586104E-3</c:v>
                </c:pt>
                <c:pt idx="263">
                  <c:v>2.5258139205305138E-3</c:v>
                </c:pt>
                <c:pt idx="264">
                  <c:v>2.420720487575244E-3</c:v>
                </c:pt>
                <c:pt idx="265">
                  <c:v>2.3202133446745391E-3</c:v>
                </c:pt>
                <c:pt idx="266">
                  <c:v>2.2242974944207566E-3</c:v>
                </c:pt>
                <c:pt idx="267">
                  <c:v>2.1460013542876429E-3</c:v>
                </c:pt>
                <c:pt idx="268">
                  <c:v>2.0827609785222067E-3</c:v>
                </c:pt>
                <c:pt idx="269">
                  <c:v>2.0345863758169697E-3</c:v>
                </c:pt>
                <c:pt idx="270">
                  <c:v>2.0014890291062785E-3</c:v>
                </c:pt>
                <c:pt idx="271">
                  <c:v>1.9834817568896903E-3</c:v>
                </c:pt>
                <c:pt idx="272">
                  <c:v>1.9805785746043049E-3</c:v>
                </c:pt>
                <c:pt idx="273">
                  <c:v>1.9927945559754892E-3</c:v>
                </c:pt>
                <c:pt idx="274">
                  <c:v>2.0201456943891938E-3</c:v>
                </c:pt>
                <c:pt idx="275">
                  <c:v>2.0766854962646531E-3</c:v>
                </c:pt>
                <c:pt idx="276">
                  <c:v>2.1604038502962019E-3</c:v>
                </c:pt>
                <c:pt idx="277">
                  <c:v>2.2713339893163124E-3</c:v>
                </c:pt>
                <c:pt idx="278">
                  <c:v>2.4095098708362037E-3</c:v>
                </c:pt>
                <c:pt idx="279">
                  <c:v>2.574965928388392E-3</c:v>
                </c:pt>
                <c:pt idx="280">
                  <c:v>2.7677368228883072E-3</c:v>
                </c:pt>
                <c:pt idx="281">
                  <c:v>2.9762243705687037E-3</c:v>
                </c:pt>
                <c:pt idx="282">
                  <c:v>3.1873391087946291E-3</c:v>
                </c:pt>
                <c:pt idx="283">
                  <c:v>3.4010824028829836E-3</c:v>
                </c:pt>
                <c:pt idx="284">
                  <c:v>3.6174548625502478E-3</c:v>
                </c:pt>
                <c:pt idx="285">
                  <c:v>3.8364563195796507E-3</c:v>
                </c:pt>
                <c:pt idx="286">
                  <c:v>4.0580858055171663E-3</c:v>
                </c:pt>
                <c:pt idx="287">
                  <c:v>4.2823415293390781E-3</c:v>
                </c:pt>
                <c:pt idx="288">
                  <c:v>4.5092208551299516E-3</c:v>
                </c:pt>
                <c:pt idx="289">
                  <c:v>4.7248776502576339E-3</c:v>
                </c:pt>
                <c:pt idx="290">
                  <c:v>4.9151629358138542E-3</c:v>
                </c:pt>
                <c:pt idx="291">
                  <c:v>5.0800371117446976E-3</c:v>
                </c:pt>
                <c:pt idx="292">
                  <c:v>5.21946088333899E-3</c:v>
                </c:pt>
                <c:pt idx="293">
                  <c:v>5.3333954939019006E-3</c:v>
                </c:pt>
                <c:pt idx="294">
                  <c:v>5.4218029574133282E-3</c:v>
                </c:pt>
                <c:pt idx="295">
                  <c:v>5.5204360082279488E-3</c:v>
                </c:pt>
                <c:pt idx="296">
                  <c:v>5.6410608996732767E-3</c:v>
                </c:pt>
                <c:pt idx="297">
                  <c:v>5.7837377658570598E-3</c:v>
                </c:pt>
                <c:pt idx="298">
                  <c:v>5.9484895375993318E-3</c:v>
                </c:pt>
                <c:pt idx="299">
                  <c:v>6.1353393206590627E-3</c:v>
                </c:pt>
                <c:pt idx="300">
                  <c:v>6.3443102262570354E-3</c:v>
                </c:pt>
                <c:pt idx="301">
                  <c:v>6.5754252015838045E-3</c:v>
                </c:pt>
                <c:pt idx="302">
                  <c:v>6.8287068603191253E-3</c:v>
                </c:pt>
                <c:pt idx="303">
                  <c:v>7.1779125057819769E-3</c:v>
                </c:pt>
                <c:pt idx="304">
                  <c:v>7.6370766672400796E-3</c:v>
                </c:pt>
                <c:pt idx="305">
                  <c:v>8.206324654508039E-3</c:v>
                </c:pt>
                <c:pt idx="306">
                  <c:v>8.8857798595071927E-3</c:v>
                </c:pt>
                <c:pt idx="307">
                  <c:v>9.6755629109618966E-3</c:v>
                </c:pt>
                <c:pt idx="308">
                  <c:v>1.0575790829030566E-2</c:v>
                </c:pt>
                <c:pt idx="309">
                  <c:v>1.1600954011098166E-2</c:v>
                </c:pt>
                <c:pt idx="310">
                  <c:v>1.2715176075180863E-2</c:v>
                </c:pt>
                <c:pt idx="311">
                  <c:v>1.3918533390252683E-2</c:v>
                </c:pt>
                <c:pt idx="312">
                  <c:v>1.5211096056575961E-2</c:v>
                </c:pt>
                <c:pt idx="313">
                  <c:v>1.6592927226639378E-2</c:v>
                </c:pt>
                <c:pt idx="314">
                  <c:v>1.8064082425985842E-2</c:v>
                </c:pt>
                <c:pt idx="315">
                  <c:v>1.9624608874210206E-2</c:v>
                </c:pt>
                <c:pt idx="316">
                  <c:v>2.1274544805740744E-2</c:v>
                </c:pt>
                <c:pt idx="317">
                  <c:v>2.2965934917513711E-2</c:v>
                </c:pt>
                <c:pt idx="318">
                  <c:v>2.4624604581882065E-2</c:v>
                </c:pt>
                <c:pt idx="319">
                  <c:v>2.6250449510676593E-2</c:v>
                </c:pt>
                <c:pt idx="320">
                  <c:v>2.7843362669271274E-2</c:v>
                </c:pt>
                <c:pt idx="321">
                  <c:v>2.9403234534065723E-2</c:v>
                </c:pt>
                <c:pt idx="322">
                  <c:v>3.0929953350099012E-2</c:v>
                </c:pt>
                <c:pt idx="323">
                  <c:v>3.2402014731036551E-2</c:v>
                </c:pt>
                <c:pt idx="324">
                  <c:v>3.3804840021017295E-2</c:v>
                </c:pt>
                <c:pt idx="325">
                  <c:v>3.5138287449673525E-2</c:v>
                </c:pt>
                <c:pt idx="326">
                  <c:v>3.6402027550074108E-2</c:v>
                </c:pt>
                <c:pt idx="327">
                  <c:v>3.7595839475567862E-2</c:v>
                </c:pt>
                <c:pt idx="328">
                  <c:v>3.8719666561804506E-2</c:v>
                </c:pt>
                <c:pt idx="329">
                  <c:v>3.9773469661786069E-2</c:v>
                </c:pt>
                <c:pt idx="330">
                  <c:v>4.0757225932100294E-2</c:v>
                </c:pt>
                <c:pt idx="331">
                  <c:v>4.1660127412010355E-2</c:v>
                </c:pt>
                <c:pt idx="332">
                  <c:v>4.2530313579183354E-2</c:v>
                </c:pt>
                <c:pt idx="333">
                  <c:v>4.3367811300487204E-2</c:v>
                </c:pt>
                <c:pt idx="334">
                  <c:v>4.4172656079101598E-2</c:v>
                </c:pt>
                <c:pt idx="335">
                  <c:v>4.4944891492661232E-2</c:v>
                </c:pt>
                <c:pt idx="336">
                  <c:v>4.5684568630927715E-2</c:v>
                </c:pt>
                <c:pt idx="337">
                  <c:v>4.6360182306255798E-2</c:v>
                </c:pt>
                <c:pt idx="338">
                  <c:v>4.699322149693299E-2</c:v>
                </c:pt>
                <c:pt idx="339">
                  <c:v>4.7583756151402347E-2</c:v>
                </c:pt>
                <c:pt idx="340">
                  <c:v>4.8131861368074937E-2</c:v>
                </c:pt>
                <c:pt idx="341">
                  <c:v>4.8637616656526127E-2</c:v>
                </c:pt>
                <c:pt idx="342">
                  <c:v>4.9101105198669802E-2</c:v>
                </c:pt>
                <c:pt idx="343">
                  <c:v>4.9522413109437842E-2</c:v>
                </c:pt>
                <c:pt idx="344">
                  <c:v>4.9901628698097639E-2</c:v>
                </c:pt>
                <c:pt idx="345">
                  <c:v>5.0238841729138894E-2</c:v>
                </c:pt>
                <c:pt idx="346">
                  <c:v>5.0535216981377938E-2</c:v>
                </c:pt>
                <c:pt idx="347">
                  <c:v>5.0790845092527459E-2</c:v>
                </c:pt>
                <c:pt idx="348">
                  <c:v>5.1005816017511883E-2</c:v>
                </c:pt>
                <c:pt idx="349">
                  <c:v>5.1180218307886736E-2</c:v>
                </c:pt>
                <c:pt idx="350">
                  <c:v>5.1314138392258485E-2</c:v>
                </c:pt>
                <c:pt idx="351">
                  <c:v>5.1397923848068051E-2</c:v>
                </c:pt>
                <c:pt idx="352">
                  <c:v>5.1463239025155406E-2</c:v>
                </c:pt>
                <c:pt idx="353">
                  <c:v>5.1510169207499401E-2</c:v>
                </c:pt>
                <c:pt idx="354">
                  <c:v>5.1538797576965688E-2</c:v>
                </c:pt>
                <c:pt idx="355">
                  <c:v>5.154920487173939E-2</c:v>
                </c:pt>
                <c:pt idx="356">
                  <c:v>5.1541498933603401E-2</c:v>
                </c:pt>
                <c:pt idx="357">
                  <c:v>5.1515658226762961E-2</c:v>
                </c:pt>
                <c:pt idx="358">
                  <c:v>5.1471554110493166E-2</c:v>
                </c:pt>
                <c:pt idx="359">
                  <c:v>5.1409055507668833E-2</c:v>
                </c:pt>
                <c:pt idx="360">
                  <c:v>5.1296380353489456E-2</c:v>
                </c:pt>
                <c:pt idx="361">
                  <c:v>5.1143121069965929E-2</c:v>
                </c:pt>
                <c:pt idx="362">
                  <c:v>5.094911695608529E-2</c:v>
                </c:pt>
                <c:pt idx="363">
                  <c:v>5.0714205030203685E-2</c:v>
                </c:pt>
                <c:pt idx="364">
                  <c:v>5.0438220920070415E-2</c:v>
                </c:pt>
                <c:pt idx="365">
                  <c:v>5.0120999752314564E-2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5.9425853977433905E-2</c:v>
                </c:pt>
                <c:pt idx="1">
                  <c:v>5.9261263755958658E-2</c:v>
                </c:pt>
                <c:pt idx="2">
                  <c:v>5.9046502837472148E-2</c:v>
                </c:pt>
                <c:pt idx="3">
                  <c:v>5.8781381219636684E-2</c:v>
                </c:pt>
                <c:pt idx="4">
                  <c:v>5.8465710284209743E-2</c:v>
                </c:pt>
                <c:pt idx="5">
                  <c:v>5.8099303874861098E-2</c:v>
                </c:pt>
                <c:pt idx="6">
                  <c:v>5.7681979375614478E-2</c:v>
                </c:pt>
                <c:pt idx="7">
                  <c:v>5.7213558788184661E-2</c:v>
                </c:pt>
                <c:pt idx="8">
                  <c:v>5.6693869810007576E-2</c:v>
                </c:pt>
                <c:pt idx="9">
                  <c:v>5.6088488934501746E-2</c:v>
                </c:pt>
                <c:pt idx="10">
                  <c:v>5.5424278690824204E-2</c:v>
                </c:pt>
                <c:pt idx="11">
                  <c:v>5.4701084242671068E-2</c:v>
                </c:pt>
                <c:pt idx="12">
                  <c:v>5.3918761760739849E-2</c:v>
                </c:pt>
                <c:pt idx="13">
                  <c:v>5.3077179654758978E-2</c:v>
                </c:pt>
                <c:pt idx="14">
                  <c:v>5.2176219804758089E-2</c:v>
                </c:pt>
                <c:pt idx="15">
                  <c:v>5.1156689494895442E-2</c:v>
                </c:pt>
                <c:pt idx="16">
                  <c:v>5.0041919686725472E-2</c:v>
                </c:pt>
                <c:pt idx="17">
                  <c:v>4.8831821489573796E-2</c:v>
                </c:pt>
                <c:pt idx="18">
                  <c:v>4.7526331135555953E-2</c:v>
                </c:pt>
                <c:pt idx="19">
                  <c:v>4.6125628236738735E-2</c:v>
                </c:pt>
                <c:pt idx="20">
                  <c:v>4.4629988005711697E-2</c:v>
                </c:pt>
                <c:pt idx="21">
                  <c:v>4.30395145603212E-2</c:v>
                </c:pt>
                <c:pt idx="22">
                  <c:v>4.135431716336313E-2</c:v>
                </c:pt>
                <c:pt idx="23">
                  <c:v>3.9583420124287311E-2</c:v>
                </c:pt>
                <c:pt idx="24">
                  <c:v>3.7761311053387037E-2</c:v>
                </c:pt>
                <c:pt idx="25">
                  <c:v>3.5888114465531903E-2</c:v>
                </c:pt>
                <c:pt idx="26">
                  <c:v>3.3963952095107455E-2</c:v>
                </c:pt>
                <c:pt idx="27">
                  <c:v>3.1988942367495193E-2</c:v>
                </c:pt>
                <c:pt idx="28">
                  <c:v>2.9963199871197176E-2</c:v>
                </c:pt>
                <c:pt idx="29">
                  <c:v>2.7959537819300429E-2</c:v>
                </c:pt>
                <c:pt idx="30">
                  <c:v>2.603722909514387E-2</c:v>
                </c:pt>
                <c:pt idx="31">
                  <c:v>2.4196359546471868E-2</c:v>
                </c:pt>
                <c:pt idx="32">
                  <c:v>2.2437002088740433E-2</c:v>
                </c:pt>
                <c:pt idx="33">
                  <c:v>2.0759217562812019E-2</c:v>
                </c:pt>
                <c:pt idx="34">
                  <c:v>1.9163055592739574E-2</c:v>
                </c:pt>
                <c:pt idx="35">
                  <c:v>1.7648555443517202E-2</c:v>
                </c:pt>
                <c:pt idx="36">
                  <c:v>1.6215746878790873E-2</c:v>
                </c:pt>
                <c:pt idx="37">
                  <c:v>1.4915194911424736E-2</c:v>
                </c:pt>
                <c:pt idx="38">
                  <c:v>1.3737993707710616E-2</c:v>
                </c:pt>
                <c:pt idx="39">
                  <c:v>1.2684140128093171E-2</c:v>
                </c:pt>
                <c:pt idx="40">
                  <c:v>1.17536249743621E-2</c:v>
                </c:pt>
                <c:pt idx="41">
                  <c:v>1.0946434285177378E-2</c:v>
                </c:pt>
                <c:pt idx="42">
                  <c:v>1.0262550631508561E-2</c:v>
                </c:pt>
                <c:pt idx="43">
                  <c:v>9.699958729251815E-3</c:v>
                </c:pt>
                <c:pt idx="44">
                  <c:v>9.1860004831649886E-3</c:v>
                </c:pt>
                <c:pt idx="45">
                  <c:v>8.7206699695213056E-3</c:v>
                </c:pt>
                <c:pt idx="46">
                  <c:v>8.3039605040765123E-3</c:v>
                </c:pt>
                <c:pt idx="47">
                  <c:v>7.9358651525246477E-3</c:v>
                </c:pt>
                <c:pt idx="48">
                  <c:v>7.6163772408560232E-3</c:v>
                </c:pt>
                <c:pt idx="49">
                  <c:v>7.3454908657810914E-3</c:v>
                </c:pt>
                <c:pt idx="50">
                  <c:v>7.1232014051126682E-3</c:v>
                </c:pt>
                <c:pt idx="51">
                  <c:v>6.9346959220833249E-3</c:v>
                </c:pt>
                <c:pt idx="52">
                  <c:v>6.7294395115654352E-3</c:v>
                </c:pt>
                <c:pt idx="53">
                  <c:v>6.5073989723564022E-3</c:v>
                </c:pt>
                <c:pt idx="54">
                  <c:v>6.2685707673946532E-3</c:v>
                </c:pt>
                <c:pt idx="55">
                  <c:v>6.0129514027687792E-3</c:v>
                </c:pt>
                <c:pt idx="56">
                  <c:v>5.7405374799697449E-3</c:v>
                </c:pt>
                <c:pt idx="57">
                  <c:v>5.467877628900328E-3</c:v>
                </c:pt>
                <c:pt idx="58">
                  <c:v>5.1969639796623744E-3</c:v>
                </c:pt>
                <c:pt idx="59">
                  <c:v>4.9277940718597006E-3</c:v>
                </c:pt>
                <c:pt idx="60">
                  <c:v>4.6603657899823752E-3</c:v>
                </c:pt>
                <c:pt idx="61">
                  <c:v>4.394677357991629E-3</c:v>
                </c:pt>
                <c:pt idx="62">
                  <c:v>4.1307273338991061E-3</c:v>
                </c:pt>
                <c:pt idx="63">
                  <c:v>3.8685146043573905E-3</c:v>
                </c:pt>
                <c:pt idx="64">
                  <c:v>3.6080383792360155E-3</c:v>
                </c:pt>
                <c:pt idx="65">
                  <c:v>3.3660255304566837E-3</c:v>
                </c:pt>
                <c:pt idx="66">
                  <c:v>3.1572866717761001E-3</c:v>
                </c:pt>
                <c:pt idx="67">
                  <c:v>2.981821962862331E-3</c:v>
                </c:pt>
                <c:pt idx="68">
                  <c:v>2.8396314772580942E-3</c:v>
                </c:pt>
                <c:pt idx="69">
                  <c:v>2.7307150988943769E-3</c:v>
                </c:pt>
                <c:pt idx="70">
                  <c:v>2.6550724186165417E-3</c:v>
                </c:pt>
                <c:pt idx="71">
                  <c:v>2.6157614304226184E-3</c:v>
                </c:pt>
                <c:pt idx="72">
                  <c:v>2.5962285812831023E-3</c:v>
                </c:pt>
                <c:pt idx="73">
                  <c:v>2.5964725492236512E-3</c:v>
                </c:pt>
                <c:pt idx="74">
                  <c:v>2.6164916094819518E-3</c:v>
                </c:pt>
                <c:pt idx="75">
                  <c:v>2.6562835729894694E-3</c:v>
                </c:pt>
                <c:pt idx="76">
                  <c:v>2.715845724846384E-3</c:v>
                </c:pt>
                <c:pt idx="77">
                  <c:v>2.7951747628037061E-3</c:v>
                </c:pt>
                <c:pt idx="78">
                  <c:v>2.8942668164995424E-3</c:v>
                </c:pt>
                <c:pt idx="79">
                  <c:v>3.0156333264604041E-3</c:v>
                </c:pt>
                <c:pt idx="80">
                  <c:v>3.1425542039685995E-3</c:v>
                </c:pt>
                <c:pt idx="81">
                  <c:v>3.2750278906279067E-3</c:v>
                </c:pt>
                <c:pt idx="82">
                  <c:v>3.4130526777169895E-3</c:v>
                </c:pt>
                <c:pt idx="83">
                  <c:v>3.5566266912064113E-3</c:v>
                </c:pt>
                <c:pt idx="84">
                  <c:v>3.7057478767854573E-3</c:v>
                </c:pt>
                <c:pt idx="85">
                  <c:v>3.860882763831619E-3</c:v>
                </c:pt>
                <c:pt idx="86">
                  <c:v>4.0189715543238018E-3</c:v>
                </c:pt>
                <c:pt idx="87">
                  <c:v>4.1800119282701083E-3</c:v>
                </c:pt>
                <c:pt idx="88">
                  <c:v>4.3440013591340291E-3</c:v>
                </c:pt>
                <c:pt idx="89">
                  <c:v>4.5109371058265416E-3</c:v>
                </c:pt>
                <c:pt idx="90">
                  <c:v>4.6808162046904486E-3</c:v>
                </c:pt>
                <c:pt idx="91">
                  <c:v>4.8536354614988472E-3</c:v>
                </c:pt>
                <c:pt idx="92">
                  <c:v>5.0293914434442416E-3</c:v>
                </c:pt>
                <c:pt idx="93">
                  <c:v>5.2021018524375188E-3</c:v>
                </c:pt>
                <c:pt idx="94">
                  <c:v>5.3692597113252291E-3</c:v>
                </c:pt>
                <c:pt idx="95">
                  <c:v>5.5308627426510866E-3</c:v>
                </c:pt>
                <c:pt idx="96">
                  <c:v>5.6869086264945924E-3</c:v>
                </c:pt>
                <c:pt idx="97">
                  <c:v>5.8373950153413753E-3</c:v>
                </c:pt>
                <c:pt idx="98">
                  <c:v>5.982319548913209E-3</c:v>
                </c:pt>
                <c:pt idx="99">
                  <c:v>6.1105772805177469E-3</c:v>
                </c:pt>
                <c:pt idx="100">
                  <c:v>6.2217007944505012E-3</c:v>
                </c:pt>
                <c:pt idx="101">
                  <c:v>6.3156915383115768E-3</c:v>
                </c:pt>
                <c:pt idx="102">
                  <c:v>6.3925514331659153E-3</c:v>
                </c:pt>
                <c:pt idx="103">
                  <c:v>6.4522829195223889E-3</c:v>
                </c:pt>
                <c:pt idx="104">
                  <c:v>6.4948890034375699E-3</c:v>
                </c:pt>
                <c:pt idx="105">
                  <c:v>6.5203733025042459E-3</c:v>
                </c:pt>
                <c:pt idx="106">
                  <c:v>6.528740091904065E-3</c:v>
                </c:pt>
                <c:pt idx="107">
                  <c:v>6.5171269886340885E-3</c:v>
                </c:pt>
                <c:pt idx="108">
                  <c:v>6.491510197087374E-3</c:v>
                </c:pt>
                <c:pt idx="109">
                  <c:v>6.4518948359493242E-3</c:v>
                </c:pt>
                <c:pt idx="110">
                  <c:v>6.3983020248474876E-3</c:v>
                </c:pt>
                <c:pt idx="111">
                  <c:v>6.3307533426593642E-3</c:v>
                </c:pt>
                <c:pt idx="112">
                  <c:v>6.2492553720437105E-3</c:v>
                </c:pt>
                <c:pt idx="113">
                  <c:v>6.1548787967838263E-3</c:v>
                </c:pt>
                <c:pt idx="114">
                  <c:v>6.0587094795685921E-3</c:v>
                </c:pt>
                <c:pt idx="115">
                  <c:v>5.9607484716688863E-3</c:v>
                </c:pt>
                <c:pt idx="116">
                  <c:v>5.8609969413795406E-3</c:v>
                </c:pt>
                <c:pt idx="117">
                  <c:v>5.7594561773638558E-3</c:v>
                </c:pt>
                <c:pt idx="118">
                  <c:v>5.6561275919462493E-3</c:v>
                </c:pt>
                <c:pt idx="119">
                  <c:v>5.5510127244196754E-3</c:v>
                </c:pt>
                <c:pt idx="120">
                  <c:v>5.4441132443456717E-3</c:v>
                </c:pt>
                <c:pt idx="121">
                  <c:v>5.3337907620741457E-3</c:v>
                </c:pt>
                <c:pt idx="122">
                  <c:v>5.2229077122163551E-3</c:v>
                </c:pt>
                <c:pt idx="123">
                  <c:v>5.1114653790126112E-3</c:v>
                </c:pt>
                <c:pt idx="124">
                  <c:v>4.9994651477046218E-3</c:v>
                </c:pt>
                <c:pt idx="125">
                  <c:v>4.8869085056347074E-3</c:v>
                </c:pt>
                <c:pt idx="126">
                  <c:v>4.7737970432843385E-3</c:v>
                </c:pt>
                <c:pt idx="127">
                  <c:v>4.6586224323533765E-3</c:v>
                </c:pt>
                <c:pt idx="128">
                  <c:v>4.5403273408918315E-3</c:v>
                </c:pt>
                <c:pt idx="129">
                  <c:v>4.4189157442294106E-3</c:v>
                </c:pt>
                <c:pt idx="130">
                  <c:v>4.2943918354884786E-3</c:v>
                </c:pt>
                <c:pt idx="131">
                  <c:v>4.1667600313415086E-3</c:v>
                </c:pt>
                <c:pt idx="132">
                  <c:v>4.0360249778077532E-3</c:v>
                </c:pt>
                <c:pt idx="133">
                  <c:v>3.9021915560710969E-3</c:v>
                </c:pt>
                <c:pt idx="134">
                  <c:v>3.7652648882779572E-3</c:v>
                </c:pt>
                <c:pt idx="135">
                  <c:v>3.6246820845761939E-3</c:v>
                </c:pt>
                <c:pt idx="136">
                  <c:v>3.4820829677903241E-3</c:v>
                </c:pt>
                <c:pt idx="137">
                  <c:v>3.3374723869752068E-3</c:v>
                </c:pt>
                <c:pt idx="138">
                  <c:v>3.1908554008828025E-3</c:v>
                </c:pt>
                <c:pt idx="139">
                  <c:v>3.0422372818602827E-3</c:v>
                </c:pt>
                <c:pt idx="140">
                  <c:v>2.8916235195931288E-3</c:v>
                </c:pt>
                <c:pt idx="141">
                  <c:v>2.7425407145834409E-3</c:v>
                </c:pt>
                <c:pt idx="142">
                  <c:v>2.5964818554291063E-3</c:v>
                </c:pt>
                <c:pt idx="143">
                  <c:v>2.4534400335233493E-3</c:v>
                </c:pt>
                <c:pt idx="144">
                  <c:v>2.3134219815405142E-3</c:v>
                </c:pt>
                <c:pt idx="145">
                  <c:v>2.1764335015180269E-3</c:v>
                </c:pt>
                <c:pt idx="146">
                  <c:v>2.042479498100934E-3</c:v>
                </c:pt>
                <c:pt idx="147">
                  <c:v>1.9115640118520004E-3</c:v>
                </c:pt>
                <c:pt idx="148">
                  <c:v>1.7836902525145872E-3</c:v>
                </c:pt>
                <c:pt idx="149">
                  <c:v>1.6629033634698084E-3</c:v>
                </c:pt>
                <c:pt idx="150">
                  <c:v>1.54976391363787E-3</c:v>
                </c:pt>
                <c:pt idx="151">
                  <c:v>1.4442658148032413E-3</c:v>
                </c:pt>
                <c:pt idx="152">
                  <c:v>1.3464020847060937E-3</c:v>
                </c:pt>
                <c:pt idx="153">
                  <c:v>1.256164932406289E-3</c:v>
                </c:pt>
                <c:pt idx="154">
                  <c:v>1.1735458436546479E-3</c:v>
                </c:pt>
                <c:pt idx="155">
                  <c:v>1.1003745001924045E-3</c:v>
                </c:pt>
                <c:pt idx="156">
                  <c:v>1.0331421038989902E-3</c:v>
                </c:pt>
                <c:pt idx="157">
                  <c:v>9.7184111018787064E-4</c:v>
                </c:pt>
                <c:pt idx="158">
                  <c:v>9.1646361076583663E-4</c:v>
                </c:pt>
                <c:pt idx="159">
                  <c:v>8.670014001830583E-4</c:v>
                </c:pt>
                <c:pt idx="160">
                  <c:v>8.2344604239298509E-4</c:v>
                </c:pt>
                <c:pt idx="161">
                  <c:v>7.8578893730323757E-4</c:v>
                </c:pt>
                <c:pt idx="162">
                  <c:v>7.5402138733086683E-4</c:v>
                </c:pt>
                <c:pt idx="163">
                  <c:v>7.291018263116864E-4</c:v>
                </c:pt>
                <c:pt idx="164">
                  <c:v>7.0700874779339E-4</c:v>
                </c:pt>
                <c:pt idx="165">
                  <c:v>6.8773822782100633E-4</c:v>
                </c:pt>
                <c:pt idx="166">
                  <c:v>6.7128636710625988E-4</c:v>
                </c:pt>
                <c:pt idx="167">
                  <c:v>6.5764932288364046E-4</c:v>
                </c:pt>
                <c:pt idx="168">
                  <c:v>6.4682334078486044E-4</c:v>
                </c:pt>
                <c:pt idx="169">
                  <c:v>6.3976908138574449E-4</c:v>
                </c:pt>
                <c:pt idx="170">
                  <c:v>6.3465692987659569E-4</c:v>
                </c:pt>
                <c:pt idx="171">
                  <c:v>6.3148477551260409E-4</c:v>
                </c:pt>
                <c:pt idx="172">
                  <c:v>6.3025065028744049E-4</c:v>
                </c:pt>
                <c:pt idx="173">
                  <c:v>6.3094735520893418E-4</c:v>
                </c:pt>
                <c:pt idx="174">
                  <c:v>6.3356750285086037E-4</c:v>
                </c:pt>
                <c:pt idx="175">
                  <c:v>6.3810896511328808E-4</c:v>
                </c:pt>
                <c:pt idx="176">
                  <c:v>6.4456962450792194E-4</c:v>
                </c:pt>
                <c:pt idx="177">
                  <c:v>6.5476675727090862E-4</c:v>
                </c:pt>
                <c:pt idx="178">
                  <c:v>6.6773542847966443E-4</c:v>
                </c:pt>
                <c:pt idx="179">
                  <c:v>6.834725479465568E-4</c:v>
                </c:pt>
                <c:pt idx="180">
                  <c:v>7.0197509139825981E-4</c:v>
                </c:pt>
                <c:pt idx="181">
                  <c:v>7.2324011411755611E-4</c:v>
                </c:pt>
                <c:pt idx="182">
                  <c:v>7.4726476459003493E-4</c:v>
                </c:pt>
                <c:pt idx="183">
                  <c:v>7.7802418816104045E-4</c:v>
                </c:pt>
                <c:pt idx="184">
                  <c:v>8.1455277052327037E-4</c:v>
                </c:pt>
                <c:pt idx="185">
                  <c:v>8.5684451406568384E-4</c:v>
                </c:pt>
                <c:pt idx="186">
                  <c:v>9.0489367964186789E-4</c:v>
                </c:pt>
                <c:pt idx="187">
                  <c:v>9.5869481507156391E-4</c:v>
                </c:pt>
                <c:pt idx="188">
                  <c:v>1.0182427836479891E-3</c:v>
                </c:pt>
                <c:pt idx="189">
                  <c:v>1.0835327926207491E-3</c:v>
                </c:pt>
                <c:pt idx="190">
                  <c:v>1.1545604217132657E-3</c:v>
                </c:pt>
                <c:pt idx="191">
                  <c:v>1.2347636772935546E-3</c:v>
                </c:pt>
                <c:pt idx="192">
                  <c:v>1.3223266358493154E-3</c:v>
                </c:pt>
                <c:pt idx="193">
                  <c:v>1.4172446148151589E-3</c:v>
                </c:pt>
                <c:pt idx="194">
                  <c:v>1.5195135193267803E-3</c:v>
                </c:pt>
                <c:pt idx="195">
                  <c:v>1.6291298788021016E-3</c:v>
                </c:pt>
                <c:pt idx="196">
                  <c:v>1.7460908834782797E-3</c:v>
                </c:pt>
                <c:pt idx="197">
                  <c:v>1.8698410900599713E-3</c:v>
                </c:pt>
                <c:pt idx="198">
                  <c:v>1.9964224670633445E-3</c:v>
                </c:pt>
                <c:pt idx="199">
                  <c:v>2.1258380563741607E-3</c:v>
                </c:pt>
                <c:pt idx="200">
                  <c:v>2.2580913640130652E-3</c:v>
                </c:pt>
                <c:pt idx="201">
                  <c:v>2.3931863743702213E-3</c:v>
                </c:pt>
                <c:pt idx="202">
                  <c:v>2.5311275644458822E-3</c:v>
                </c:pt>
                <c:pt idx="203">
                  <c:v>2.6719199181379385E-3</c:v>
                </c:pt>
                <c:pt idx="204">
                  <c:v>2.815565146310295E-3</c:v>
                </c:pt>
                <c:pt idx="205">
                  <c:v>2.9605989782890258E-3</c:v>
                </c:pt>
                <c:pt idx="206">
                  <c:v>3.1035967615927595E-3</c:v>
                </c:pt>
                <c:pt idx="207">
                  <c:v>3.2445637790649005E-3</c:v>
                </c:pt>
                <c:pt idx="208">
                  <c:v>3.3835050278945779E-3</c:v>
                </c:pt>
                <c:pt idx="209">
                  <c:v>3.5204252248014207E-3</c:v>
                </c:pt>
                <c:pt idx="210">
                  <c:v>3.6553288113139182E-3</c:v>
                </c:pt>
                <c:pt idx="211">
                  <c:v>3.786633202975146E-3</c:v>
                </c:pt>
                <c:pt idx="212">
                  <c:v>3.9148945658740815E-3</c:v>
                </c:pt>
                <c:pt idx="213">
                  <c:v>4.0401168319339547E-3</c:v>
                </c:pt>
                <c:pt idx="214">
                  <c:v>4.1623036206827327E-3</c:v>
                </c:pt>
                <c:pt idx="215">
                  <c:v>4.2814582471634478E-3</c:v>
                </c:pt>
                <c:pt idx="216">
                  <c:v>4.3975837298332512E-3</c:v>
                </c:pt>
                <c:pt idx="217">
                  <c:v>4.5106827984766652E-3</c:v>
                </c:pt>
                <c:pt idx="218">
                  <c:v>4.6207579020991684E-3</c:v>
                </c:pt>
                <c:pt idx="219">
                  <c:v>4.728837990278849E-3</c:v>
                </c:pt>
                <c:pt idx="220">
                  <c:v>4.8363866726314911E-3</c:v>
                </c:pt>
                <c:pt idx="221">
                  <c:v>4.9434053491774288E-3</c:v>
                </c:pt>
                <c:pt idx="222">
                  <c:v>5.0498952822695476E-3</c:v>
                </c:pt>
                <c:pt idx="223">
                  <c:v>5.1558575981133972E-3</c:v>
                </c:pt>
                <c:pt idx="224">
                  <c:v>5.2612932881896919E-3</c:v>
                </c:pt>
                <c:pt idx="225">
                  <c:v>5.3634386447696516E-3</c:v>
                </c:pt>
                <c:pt idx="226">
                  <c:v>5.4638798470190491E-3</c:v>
                </c:pt>
                <c:pt idx="227">
                  <c:v>5.5626174245484916E-3</c:v>
                </c:pt>
                <c:pt idx="228">
                  <c:v>5.659651738571316E-3</c:v>
                </c:pt>
                <c:pt idx="229">
                  <c:v>5.7549829863569176E-3</c:v>
                </c:pt>
                <c:pt idx="230">
                  <c:v>5.8486112057563018E-3</c:v>
                </c:pt>
                <c:pt idx="231">
                  <c:v>5.9405362797465729E-3</c:v>
                </c:pt>
                <c:pt idx="232">
                  <c:v>6.0307579408711218E-3</c:v>
                </c:pt>
                <c:pt idx="233">
                  <c:v>6.1085798685251392E-3</c:v>
                </c:pt>
                <c:pt idx="234">
                  <c:v>6.1729734061054184E-3</c:v>
                </c:pt>
                <c:pt idx="235">
                  <c:v>6.223940344078434E-3</c:v>
                </c:pt>
                <c:pt idx="236">
                  <c:v>6.2614838732771251E-3</c:v>
                </c:pt>
                <c:pt idx="237">
                  <c:v>6.2856034789463937E-3</c:v>
                </c:pt>
                <c:pt idx="238">
                  <c:v>6.2962982056598707E-3</c:v>
                </c:pt>
                <c:pt idx="239">
                  <c:v>6.2878078933574387E-3</c:v>
                </c:pt>
                <c:pt idx="240">
                  <c:v>6.2628954239995751E-3</c:v>
                </c:pt>
                <c:pt idx="241">
                  <c:v>6.2215575677438163E-3</c:v>
                </c:pt>
                <c:pt idx="242">
                  <c:v>6.1637904562575037E-3</c:v>
                </c:pt>
                <c:pt idx="243">
                  <c:v>6.0895895585369869E-3</c:v>
                </c:pt>
                <c:pt idx="244">
                  <c:v>5.9989496566945294E-3</c:v>
                </c:pt>
                <c:pt idx="245">
                  <c:v>5.8918648216909515E-3</c:v>
                </c:pt>
                <c:pt idx="246">
                  <c:v>5.7683283890642085E-3</c:v>
                </c:pt>
                <c:pt idx="247">
                  <c:v>5.6287846302731847E-3</c:v>
                </c:pt>
                <c:pt idx="248">
                  <c:v>5.4839346123498117E-3</c:v>
                </c:pt>
                <c:pt idx="249">
                  <c:v>5.3337738861767977E-3</c:v>
                </c:pt>
                <c:pt idx="250">
                  <c:v>5.1782976783490151E-3</c:v>
                </c:pt>
                <c:pt idx="251">
                  <c:v>5.017500883480493E-3</c:v>
                </c:pt>
                <c:pt idx="252">
                  <c:v>4.8513780563170248E-3</c:v>
                </c:pt>
                <c:pt idx="253">
                  <c:v>4.6823397623965667E-3</c:v>
                </c:pt>
                <c:pt idx="254">
                  <c:v>4.5161504806837949E-3</c:v>
                </c:pt>
                <c:pt idx="255">
                  <c:v>4.3528082692899442E-3</c:v>
                </c:pt>
                <c:pt idx="256">
                  <c:v>4.192311232070328E-3</c:v>
                </c:pt>
                <c:pt idx="257">
                  <c:v>4.0346575228094794E-3</c:v>
                </c:pt>
                <c:pt idx="258">
                  <c:v>3.8798453494441752E-3</c:v>
                </c:pt>
                <c:pt idx="259">
                  <c:v>3.7278729783283252E-3</c:v>
                </c:pt>
                <c:pt idx="260">
                  <c:v>3.5787387383953155E-3</c:v>
                </c:pt>
                <c:pt idx="261">
                  <c:v>3.4353944770702878E-3</c:v>
                </c:pt>
                <c:pt idx="262">
                  <c:v>3.2973878866074998E-3</c:v>
                </c:pt>
                <c:pt idx="263">
                  <c:v>3.1647195061511157E-3</c:v>
                </c:pt>
                <c:pt idx="264">
                  <c:v>3.0373902221138018E-3</c:v>
                </c:pt>
                <c:pt idx="265">
                  <c:v>2.9154141788029649E-3</c:v>
                </c:pt>
                <c:pt idx="266">
                  <c:v>2.798797512457847E-3</c:v>
                </c:pt>
                <c:pt idx="267">
                  <c:v>2.7037142829995022E-3</c:v>
                </c:pt>
                <c:pt idx="268">
                  <c:v>2.6277525169668362E-3</c:v>
                </c:pt>
                <c:pt idx="269">
                  <c:v>2.5709251308265119E-3</c:v>
                </c:pt>
                <c:pt idx="270">
                  <c:v>2.5332468971409443E-3</c:v>
                </c:pt>
                <c:pt idx="271">
                  <c:v>2.514734268466017E-3</c:v>
                </c:pt>
                <c:pt idx="272">
                  <c:v>2.5154052013105191E-3</c:v>
                </c:pt>
                <c:pt idx="273">
                  <c:v>2.5352789800682455E-3</c:v>
                </c:pt>
                <c:pt idx="274">
                  <c:v>2.5743760409774746E-3</c:v>
                </c:pt>
                <c:pt idx="275">
                  <c:v>2.64877367012835E-3</c:v>
                </c:pt>
                <c:pt idx="276">
                  <c:v>2.7555456101634717E-3</c:v>
                </c:pt>
                <c:pt idx="277">
                  <c:v>2.8947314229507814E-3</c:v>
                </c:pt>
                <c:pt idx="278">
                  <c:v>3.0663715077189741E-3</c:v>
                </c:pt>
                <c:pt idx="279">
                  <c:v>3.2705068049276322E-3</c:v>
                </c:pt>
                <c:pt idx="280">
                  <c:v>3.5071785001615963E-3</c:v>
                </c:pt>
                <c:pt idx="281">
                  <c:v>3.762024948423686E-3</c:v>
                </c:pt>
                <c:pt idx="282">
                  <c:v>4.0187942574145081E-3</c:v>
                </c:pt>
                <c:pt idx="283">
                  <c:v>4.2774862926325116E-3</c:v>
                </c:pt>
                <c:pt idx="284">
                  <c:v>4.5380999945473935E-3</c:v>
                </c:pt>
                <c:pt idx="285">
                  <c:v>4.8006333630874745E-3</c:v>
                </c:pt>
                <c:pt idx="286">
                  <c:v>5.065083442163245E-3</c:v>
                </c:pt>
                <c:pt idx="287">
                  <c:v>5.3314463041551638E-3</c:v>
                </c:pt>
                <c:pt idx="288">
                  <c:v>5.5997170344145586E-3</c:v>
                </c:pt>
                <c:pt idx="289">
                  <c:v>5.8679428850040042E-3</c:v>
                </c:pt>
                <c:pt idx="290">
                  <c:v>6.1199550938245513E-3</c:v>
                </c:pt>
                <c:pt idx="291">
                  <c:v>6.355723364702171E-3</c:v>
                </c:pt>
                <c:pt idx="292">
                  <c:v>6.5752171291238127E-3</c:v>
                </c:pt>
                <c:pt idx="293">
                  <c:v>6.7784056957906763E-3</c:v>
                </c:pt>
                <c:pt idx="294">
                  <c:v>6.9652584001527766E-3</c:v>
                </c:pt>
                <c:pt idx="295">
                  <c:v>7.1851484308071258E-3</c:v>
                </c:pt>
                <c:pt idx="296">
                  <c:v>7.4526682400958069E-3</c:v>
                </c:pt>
                <c:pt idx="297">
                  <c:v>7.767918805993021E-3</c:v>
                </c:pt>
                <c:pt idx="298">
                  <c:v>8.1309535905718586E-3</c:v>
                </c:pt>
                <c:pt idx="299">
                  <c:v>8.5418264096305211E-3</c:v>
                </c:pt>
                <c:pt idx="300">
                  <c:v>9.0005910656976978E-3</c:v>
                </c:pt>
                <c:pt idx="301">
                  <c:v>9.5073009810177495E-3</c:v>
                </c:pt>
                <c:pt idx="302">
                  <c:v>1.006200883055179E-2</c:v>
                </c:pt>
                <c:pt idx="303">
                  <c:v>1.0736023080552123E-2</c:v>
                </c:pt>
                <c:pt idx="304">
                  <c:v>1.1531437526272351E-2</c:v>
                </c:pt>
                <c:pt idx="305">
                  <c:v>1.2448387847080614E-2</c:v>
                </c:pt>
                <c:pt idx="306">
                  <c:v>1.3487006720101441E-2</c:v>
                </c:pt>
                <c:pt idx="307">
                  <c:v>1.4647422888734796E-2</c:v>
                </c:pt>
                <c:pt idx="308">
                  <c:v>1.592976023107591E-2</c:v>
                </c:pt>
                <c:pt idx="309">
                  <c:v>1.7342892559815207E-2</c:v>
                </c:pt>
                <c:pt idx="310">
                  <c:v>1.8837247049494507E-2</c:v>
                </c:pt>
                <c:pt idx="311">
                  <c:v>2.0412880802633052E-2</c:v>
                </c:pt>
                <c:pt idx="312">
                  <c:v>2.2069843752840934E-2</c:v>
                </c:pt>
                <c:pt idx="313">
                  <c:v>2.3808178048131859E-2</c:v>
                </c:pt>
                <c:pt idx="314">
                  <c:v>2.5627917434075359E-2</c:v>
                </c:pt>
                <c:pt idx="315">
                  <c:v>2.7529086637193414E-2</c:v>
                </c:pt>
                <c:pt idx="316">
                  <c:v>2.9511700748047102E-2</c:v>
                </c:pt>
                <c:pt idx="317">
                  <c:v>3.1517463502003178E-2</c:v>
                </c:pt>
                <c:pt idx="318">
                  <c:v>3.34746582283394E-2</c:v>
                </c:pt>
                <c:pt idx="319">
                  <c:v>3.538314901573384E-2</c:v>
                </c:pt>
                <c:pt idx="320">
                  <c:v>3.7242797401183532E-2</c:v>
                </c:pt>
                <c:pt idx="321">
                  <c:v>3.905346274988214E-2</c:v>
                </c:pt>
                <c:pt idx="322">
                  <c:v>4.0815002635267716E-2</c:v>
                </c:pt>
                <c:pt idx="323">
                  <c:v>4.249334841013757E-2</c:v>
                </c:pt>
                <c:pt idx="324">
                  <c:v>4.4079532394994236E-2</c:v>
                </c:pt>
                <c:pt idx="325">
                  <c:v>4.5573379642457203E-2</c:v>
                </c:pt>
                <c:pt idx="326">
                  <c:v>4.6974473986556221E-2</c:v>
                </c:pt>
                <c:pt idx="327">
                  <c:v>4.8282544484310547E-2</c:v>
                </c:pt>
                <c:pt idx="328">
                  <c:v>4.9497532805957499E-2</c:v>
                </c:pt>
                <c:pt idx="329">
                  <c:v>5.0619401961726228E-2</c:v>
                </c:pt>
                <c:pt idx="330">
                  <c:v>5.1648134688447998E-2</c:v>
                </c:pt>
                <c:pt idx="331">
                  <c:v>5.2560517050924016E-2</c:v>
                </c:pt>
                <c:pt idx="332">
                  <c:v>5.3415046639542961E-2</c:v>
                </c:pt>
                <c:pt idx="333">
                  <c:v>5.4211763871648548E-2</c:v>
                </c:pt>
                <c:pt idx="334">
                  <c:v>5.4950719690564503E-2</c:v>
                </c:pt>
                <c:pt idx="335">
                  <c:v>5.5631974568227528E-2</c:v>
                </c:pt>
                <c:pt idx="336">
                  <c:v>5.6255597507228861E-2</c:v>
                </c:pt>
                <c:pt idx="337">
                  <c:v>5.6794835703376047E-2</c:v>
                </c:pt>
                <c:pt idx="338">
                  <c:v>5.728375249161894E-2</c:v>
                </c:pt>
                <c:pt idx="339">
                  <c:v>5.7722437211031354E-2</c:v>
                </c:pt>
                <c:pt idx="340">
                  <c:v>5.8110983477872545E-2</c:v>
                </c:pt>
                <c:pt idx="341">
                  <c:v>5.8449488312783383E-2</c:v>
                </c:pt>
                <c:pt idx="342">
                  <c:v>5.8738051267951175E-2</c:v>
                </c:pt>
                <c:pt idx="343">
                  <c:v>5.8976773553680827E-2</c:v>
                </c:pt>
                <c:pt idx="344">
                  <c:v>5.9165757165734356E-2</c:v>
                </c:pt>
                <c:pt idx="345">
                  <c:v>5.930510401215322E-2</c:v>
                </c:pt>
                <c:pt idx="346">
                  <c:v>5.9419731091619944E-2</c:v>
                </c:pt>
                <c:pt idx="347">
                  <c:v>5.9509741665719429E-2</c:v>
                </c:pt>
                <c:pt idx="348">
                  <c:v>5.957523810560459E-2</c:v>
                </c:pt>
                <c:pt idx="349">
                  <c:v>5.9616321451320474E-2</c:v>
                </c:pt>
                <c:pt idx="350">
                  <c:v>5.963309097229768E-2</c:v>
                </c:pt>
                <c:pt idx="351">
                  <c:v>5.9627232695009684E-2</c:v>
                </c:pt>
                <c:pt idx="352">
                  <c:v>5.9625692269910713E-2</c:v>
                </c:pt>
                <c:pt idx="353">
                  <c:v>5.9628574331645291E-2</c:v>
                </c:pt>
                <c:pt idx="354">
                  <c:v>5.9635983859269825E-2</c:v>
                </c:pt>
                <c:pt idx="355">
                  <c:v>5.9648026229141095E-2</c:v>
                </c:pt>
                <c:pt idx="356">
                  <c:v>5.9664841867367348E-2</c:v>
                </c:pt>
                <c:pt idx="357">
                  <c:v>5.9686425547553011E-2</c:v>
                </c:pt>
                <c:pt idx="358">
                  <c:v>5.9712651880500407E-2</c:v>
                </c:pt>
                <c:pt idx="359">
                  <c:v>5.9743395873742694E-2</c:v>
                </c:pt>
                <c:pt idx="360">
                  <c:v>5.9751630640691944E-2</c:v>
                </c:pt>
                <c:pt idx="361">
                  <c:v>5.9735611604780518E-2</c:v>
                </c:pt>
                <c:pt idx="362">
                  <c:v>5.9695182913962481E-2</c:v>
                </c:pt>
                <c:pt idx="363">
                  <c:v>5.9630186737506634E-2</c:v>
                </c:pt>
                <c:pt idx="364">
                  <c:v>5.9540463810450368E-2</c:v>
                </c:pt>
                <c:pt idx="365">
                  <c:v>5.9425853977433905E-2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6.9311784578984278E-2</c:v>
                </c:pt>
                <c:pt idx="1">
                  <c:v>6.9350760152266572E-2</c:v>
                </c:pt>
                <c:pt idx="2">
                  <c:v>6.9330357927372369E-2</c:v>
                </c:pt>
                <c:pt idx="3">
                  <c:v>6.9250357035802804E-2</c:v>
                </c:pt>
                <c:pt idx="4">
                  <c:v>6.9110536238964251E-2</c:v>
                </c:pt>
                <c:pt idx="5">
                  <c:v>6.8910675207694436E-2</c:v>
                </c:pt>
                <c:pt idx="6">
                  <c:v>6.8650555802529392E-2</c:v>
                </c:pt>
                <c:pt idx="7">
                  <c:v>6.8329963352663795E-2</c:v>
                </c:pt>
                <c:pt idx="8">
                  <c:v>6.7948687935727156E-2</c:v>
                </c:pt>
                <c:pt idx="9">
                  <c:v>6.745212430467655E-2</c:v>
                </c:pt>
                <c:pt idx="10">
                  <c:v>6.685744541539046E-2</c:v>
                </c:pt>
                <c:pt idx="11">
                  <c:v>6.6164426874570303E-2</c:v>
                </c:pt>
                <c:pt idx="12">
                  <c:v>6.5372858245327042E-2</c:v>
                </c:pt>
                <c:pt idx="13">
                  <c:v>6.4482545116888237E-2</c:v>
                </c:pt>
                <c:pt idx="14">
                  <c:v>6.3493311173381903E-2</c:v>
                </c:pt>
                <c:pt idx="15">
                  <c:v>6.2356972156975304E-2</c:v>
                </c:pt>
                <c:pt idx="16">
                  <c:v>6.1115930532517661E-2</c:v>
                </c:pt>
                <c:pt idx="17">
                  <c:v>5.9770076991390475E-2</c:v>
                </c:pt>
                <c:pt idx="18">
                  <c:v>5.8319329962251448E-2</c:v>
                </c:pt>
                <c:pt idx="19">
                  <c:v>5.6763903941469351E-2</c:v>
                </c:pt>
                <c:pt idx="20">
                  <c:v>5.5104131139568156E-2</c:v>
                </c:pt>
                <c:pt idx="21">
                  <c:v>5.3340133493389251E-2</c:v>
                </c:pt>
                <c:pt idx="22">
                  <c:v>5.147203850745205E-2</c:v>
                </c:pt>
                <c:pt idx="23">
                  <c:v>4.9501444441691848E-2</c:v>
                </c:pt>
                <c:pt idx="24">
                  <c:v>4.7483065105014523E-2</c:v>
                </c:pt>
                <c:pt idx="25">
                  <c:v>4.5417046132777993E-2</c:v>
                </c:pt>
                <c:pt idx="26">
                  <c:v>4.3303529198761369E-2</c:v>
                </c:pt>
                <c:pt idx="27">
                  <c:v>4.1142651524723843E-2</c:v>
                </c:pt>
                <c:pt idx="28">
                  <c:v>3.8934545390779896E-2</c:v>
                </c:pt>
                <c:pt idx="29">
                  <c:v>3.6731468273188593E-2</c:v>
                </c:pt>
                <c:pt idx="30">
                  <c:v>3.4581633221452392E-2</c:v>
                </c:pt>
                <c:pt idx="31">
                  <c:v>3.2485144160001637E-2</c:v>
                </c:pt>
                <c:pt idx="32">
                  <c:v>3.0442092791396352E-2</c:v>
                </c:pt>
                <c:pt idx="33">
                  <c:v>2.845255915955373E-2</c:v>
                </c:pt>
                <c:pt idx="34">
                  <c:v>2.6516612213096608E-2</c:v>
                </c:pt>
                <c:pt idx="35">
                  <c:v>2.4634310368659786E-2</c:v>
                </c:pt>
                <c:pt idx="36">
                  <c:v>2.2805702074141631E-2</c:v>
                </c:pt>
                <c:pt idx="37">
                  <c:v>2.109949035811455E-2</c:v>
                </c:pt>
                <c:pt idx="38">
                  <c:v>1.9514224697673475E-2</c:v>
                </c:pt>
                <c:pt idx="39">
                  <c:v>1.8049911679747403E-2</c:v>
                </c:pt>
                <c:pt idx="40">
                  <c:v>1.6706550140346065E-2</c:v>
                </c:pt>
                <c:pt idx="41">
                  <c:v>1.5484132434415876E-2</c:v>
                </c:pt>
                <c:pt idx="42">
                  <c:v>1.4382645705573452E-2</c:v>
                </c:pt>
                <c:pt idx="43">
                  <c:v>1.341719034563311E-2</c:v>
                </c:pt>
                <c:pt idx="44">
                  <c:v>1.2535659770075876E-2</c:v>
                </c:pt>
                <c:pt idx="45">
                  <c:v>1.1738040324037529E-2</c:v>
                </c:pt>
                <c:pt idx="46">
                  <c:v>1.1024317062323596E-2</c:v>
                </c:pt>
                <c:pt idx="47">
                  <c:v>1.0394474630384476E-2</c:v>
                </c:pt>
                <c:pt idx="48">
                  <c:v>9.8484981451582403E-3</c:v>
                </c:pt>
                <c:pt idx="49">
                  <c:v>9.3863740760019264E-3</c:v>
                </c:pt>
                <c:pt idx="50">
                  <c:v>9.0080911255679946E-3</c:v>
                </c:pt>
                <c:pt idx="51">
                  <c:v>8.6953917125367885E-3</c:v>
                </c:pt>
                <c:pt idx="52">
                  <c:v>8.3796240983497836E-3</c:v>
                </c:pt>
                <c:pt idx="53">
                  <c:v>8.0607454438449723E-3</c:v>
                </c:pt>
                <c:pt idx="54">
                  <c:v>7.7387507783372627E-3</c:v>
                </c:pt>
                <c:pt idx="55">
                  <c:v>7.4136354842116109E-3</c:v>
                </c:pt>
                <c:pt idx="56">
                  <c:v>7.08539530667691E-3</c:v>
                </c:pt>
                <c:pt idx="57">
                  <c:v>6.7721745642922134E-3</c:v>
                </c:pt>
                <c:pt idx="58">
                  <c:v>6.4588582862792438E-3</c:v>
                </c:pt>
                <c:pt idx="59">
                  <c:v>6.1454434600737877E-3</c:v>
                </c:pt>
                <c:pt idx="60">
                  <c:v>5.8319274623855237E-3</c:v>
                </c:pt>
                <c:pt idx="61">
                  <c:v>5.5183080595137927E-3</c:v>
                </c:pt>
                <c:pt idx="62">
                  <c:v>5.2045834076562608E-3</c:v>
                </c:pt>
                <c:pt idx="63">
                  <c:v>4.8907520532317436E-3</c:v>
                </c:pt>
                <c:pt idx="64">
                  <c:v>4.5768129331847755E-3</c:v>
                </c:pt>
                <c:pt idx="65">
                  <c:v>4.2834134160634595E-3</c:v>
                </c:pt>
                <c:pt idx="66">
                  <c:v>4.0288034419179823E-3</c:v>
                </c:pt>
                <c:pt idx="67">
                  <c:v>3.8129831366694174E-3</c:v>
                </c:pt>
                <c:pt idx="68">
                  <c:v>3.6359525398502982E-3</c:v>
                </c:pt>
                <c:pt idx="69">
                  <c:v>3.4977114839615277E-3</c:v>
                </c:pt>
                <c:pt idx="70">
                  <c:v>3.3982594738451899E-3</c:v>
                </c:pt>
                <c:pt idx="71">
                  <c:v>3.3416311283192292E-3</c:v>
                </c:pt>
                <c:pt idx="72">
                  <c:v>3.3096763082310957E-3</c:v>
                </c:pt>
                <c:pt idx="73">
                  <c:v>3.3023934171601114E-3</c:v>
                </c:pt>
                <c:pt idx="74">
                  <c:v>3.3197803656350986E-3</c:v>
                </c:pt>
                <c:pt idx="75">
                  <c:v>3.3618344943892298E-3</c:v>
                </c:pt>
                <c:pt idx="76">
                  <c:v>3.4285524976062076E-3</c:v>
                </c:pt>
                <c:pt idx="77">
                  <c:v>3.519930346175561E-3</c:v>
                </c:pt>
                <c:pt idx="78">
                  <c:v>3.6359633123964094E-3</c:v>
                </c:pt>
                <c:pt idx="79">
                  <c:v>3.7784888005252142E-3</c:v>
                </c:pt>
                <c:pt idx="80">
                  <c:v>3.9268679838221267E-3</c:v>
                </c:pt>
                <c:pt idx="81">
                  <c:v>4.0810990482474992E-3</c:v>
                </c:pt>
                <c:pt idx="82">
                  <c:v>4.241180005563853E-3</c:v>
                </c:pt>
                <c:pt idx="83">
                  <c:v>4.4071086775418237E-3</c:v>
                </c:pt>
                <c:pt idx="84">
                  <c:v>4.5788826801782629E-3</c:v>
                </c:pt>
                <c:pt idx="85">
                  <c:v>4.7573655423334806E-3</c:v>
                </c:pt>
                <c:pt idx="86">
                  <c:v>4.9385207532783677E-3</c:v>
                </c:pt>
                <c:pt idx="87">
                  <c:v>5.1223456619383934E-3</c:v>
                </c:pt>
                <c:pt idx="88">
                  <c:v>5.3088373891728114E-3</c:v>
                </c:pt>
                <c:pt idx="89">
                  <c:v>5.4979928205157735E-3</c:v>
                </c:pt>
                <c:pt idx="90">
                  <c:v>5.6898085989079486E-3</c:v>
                </c:pt>
                <c:pt idx="91">
                  <c:v>5.8842811174454161E-3</c:v>
                </c:pt>
                <c:pt idx="92">
                  <c:v>6.0814065121170659E-3</c:v>
                </c:pt>
                <c:pt idx="93">
                  <c:v>6.2755481991875464E-3</c:v>
                </c:pt>
                <c:pt idx="94">
                  <c:v>6.4648736734481118E-3</c:v>
                </c:pt>
                <c:pt idx="95">
                  <c:v>6.6493799486979505E-3</c:v>
                </c:pt>
                <c:pt idx="96">
                  <c:v>6.8290639536712147E-3</c:v>
                </c:pt>
                <c:pt idx="97">
                  <c:v>7.0039225449099601E-3</c:v>
                </c:pt>
                <c:pt idx="98">
                  <c:v>7.1739525195885527E-3</c:v>
                </c:pt>
                <c:pt idx="99">
                  <c:v>7.3263463035762146E-3</c:v>
                </c:pt>
                <c:pt idx="100">
                  <c:v>7.4602390794098481E-3</c:v>
                </c:pt>
                <c:pt idx="101">
                  <c:v>7.5756319764341482E-3</c:v>
                </c:pt>
                <c:pt idx="102">
                  <c:v>7.6725266199299735E-3</c:v>
                </c:pt>
                <c:pt idx="103">
                  <c:v>7.7509251807369771E-3</c:v>
                </c:pt>
                <c:pt idx="104">
                  <c:v>7.8108304250257736E-3</c:v>
                </c:pt>
                <c:pt idx="105">
                  <c:v>7.8522457639318647E-3</c:v>
                </c:pt>
                <c:pt idx="106">
                  <c:v>7.8751753032665506E-3</c:v>
                </c:pt>
                <c:pt idx="107">
                  <c:v>7.8757985311355989E-3</c:v>
                </c:pt>
                <c:pt idx="108">
                  <c:v>7.8597463829551632E-3</c:v>
                </c:pt>
                <c:pt idx="109">
                  <c:v>7.827024582797085E-3</c:v>
                </c:pt>
                <c:pt idx="110">
                  <c:v>7.7776582721312904E-3</c:v>
                </c:pt>
                <c:pt idx="111">
                  <c:v>7.7116732719599195E-3</c:v>
                </c:pt>
                <c:pt idx="112">
                  <c:v>7.6290772286774612E-3</c:v>
                </c:pt>
                <c:pt idx="113">
                  <c:v>7.5313443714515862E-3</c:v>
                </c:pt>
                <c:pt idx="114">
                  <c:v>7.4312596685415302E-3</c:v>
                </c:pt>
                <c:pt idx="115">
                  <c:v>7.3288242640486279E-3</c:v>
                </c:pt>
                <c:pt idx="116">
                  <c:v>7.2240394363256265E-3</c:v>
                </c:pt>
                <c:pt idx="117">
                  <c:v>7.1169066023482079E-3</c:v>
                </c:pt>
                <c:pt idx="118">
                  <c:v>7.0074273220229561E-3</c:v>
                </c:pt>
                <c:pt idx="119">
                  <c:v>6.895603302513399E-3</c:v>
                </c:pt>
                <c:pt idx="120">
                  <c:v>6.7814364025568681E-3</c:v>
                </c:pt>
                <c:pt idx="121">
                  <c:v>6.6633562710155343E-3</c:v>
                </c:pt>
                <c:pt idx="122">
                  <c:v>6.5451808776975304E-3</c:v>
                </c:pt>
                <c:pt idx="123">
                  <c:v>6.4269110731894332E-3</c:v>
                </c:pt>
                <c:pt idx="124">
                  <c:v>6.3085477977510981E-3</c:v>
                </c:pt>
                <c:pt idx="125">
                  <c:v>6.1900920815601964E-3</c:v>
                </c:pt>
                <c:pt idx="126">
                  <c:v>6.0715450448805839E-3</c:v>
                </c:pt>
                <c:pt idx="127">
                  <c:v>5.9508077504142895E-3</c:v>
                </c:pt>
                <c:pt idx="128">
                  <c:v>5.8264217003114798E-3</c:v>
                </c:pt>
                <c:pt idx="129">
                  <c:v>5.6983911534325459E-3</c:v>
                </c:pt>
                <c:pt idx="130">
                  <c:v>5.5667206124995214E-3</c:v>
                </c:pt>
                <c:pt idx="131">
                  <c:v>5.4314148308044104E-3</c:v>
                </c:pt>
                <c:pt idx="132">
                  <c:v>5.292478818967228E-3</c:v>
                </c:pt>
                <c:pt idx="133">
                  <c:v>5.1499178517219026E-3</c:v>
                </c:pt>
                <c:pt idx="134">
                  <c:v>5.0037374746765536E-3</c:v>
                </c:pt>
                <c:pt idx="135">
                  <c:v>4.851732121803537E-3</c:v>
                </c:pt>
                <c:pt idx="136">
                  <c:v>4.6954761148837367E-3</c:v>
                </c:pt>
                <c:pt idx="137">
                  <c:v>4.5349765405084215E-3</c:v>
                </c:pt>
                <c:pt idx="138">
                  <c:v>4.3702408179573781E-3</c:v>
                </c:pt>
                <c:pt idx="139">
                  <c:v>4.2012767072420344E-3</c:v>
                </c:pt>
                <c:pt idx="140">
                  <c:v>4.0280923169372998E-3</c:v>
                </c:pt>
                <c:pt idx="141">
                  <c:v>3.8540095434830544E-3</c:v>
                </c:pt>
                <c:pt idx="142">
                  <c:v>3.6811068628821732E-3</c:v>
                </c:pt>
                <c:pt idx="143">
                  <c:v>3.5093764125518363E-3</c:v>
                </c:pt>
                <c:pt idx="144">
                  <c:v>3.3388297861755311E-3</c:v>
                </c:pt>
                <c:pt idx="145">
                  <c:v>3.1694777008264082E-3</c:v>
                </c:pt>
                <c:pt idx="146">
                  <c:v>3.0013300093865037E-3</c:v>
                </c:pt>
                <c:pt idx="147">
                  <c:v>2.834395713060591E-3</c:v>
                </c:pt>
                <c:pt idx="148">
                  <c:v>2.6686829738220021E-3</c:v>
                </c:pt>
                <c:pt idx="149">
                  <c:v>2.5095059084193493E-3</c:v>
                </c:pt>
                <c:pt idx="150">
                  <c:v>2.3590614163614605E-3</c:v>
                </c:pt>
                <c:pt idx="151">
                  <c:v>2.2173438397082709E-3</c:v>
                </c:pt>
                <c:pt idx="152">
                  <c:v>2.0843464055513784E-3</c:v>
                </c:pt>
                <c:pt idx="153">
                  <c:v>1.9600613233281953E-3</c:v>
                </c:pt>
                <c:pt idx="154">
                  <c:v>1.8444798821471787E-3</c:v>
                </c:pt>
                <c:pt idx="155">
                  <c:v>1.7403029522421699E-3</c:v>
                </c:pt>
                <c:pt idx="156">
                  <c:v>1.6442258023089326E-3</c:v>
                </c:pt>
                <c:pt idx="157">
                  <c:v>1.5562384521229063E-3</c:v>
                </c:pt>
                <c:pt idx="158">
                  <c:v>1.4763304061442657E-3</c:v>
                </c:pt>
                <c:pt idx="159">
                  <c:v>1.4044907442385686E-3</c:v>
                </c:pt>
                <c:pt idx="160">
                  <c:v>1.3407082124132091E-3</c:v>
                </c:pt>
                <c:pt idx="161">
                  <c:v>1.284971313539413E-3</c:v>
                </c:pt>
                <c:pt idx="162">
                  <c:v>1.2372683980812155E-3</c:v>
                </c:pt>
                <c:pt idx="163">
                  <c:v>1.1991105702060076E-3</c:v>
                </c:pt>
                <c:pt idx="164">
                  <c:v>1.1652182466555334E-3</c:v>
                </c:pt>
                <c:pt idx="165">
                  <c:v>1.1355856100005851E-3</c:v>
                </c:pt>
                <c:pt idx="166">
                  <c:v>1.1102068777091936E-3</c:v>
                </c:pt>
                <c:pt idx="167">
                  <c:v>1.0890763502075182E-3</c:v>
                </c:pt>
                <c:pt idx="168">
                  <c:v>1.0721884589710898E-3</c:v>
                </c:pt>
                <c:pt idx="169">
                  <c:v>1.0610561147776543E-3</c:v>
                </c:pt>
                <c:pt idx="170">
                  <c:v>1.0529823393100371E-3</c:v>
                </c:pt>
                <c:pt idx="171">
                  <c:v>1.0479638705255588E-3</c:v>
                </c:pt>
                <c:pt idx="172">
                  <c:v>1.0459976711260771E-3</c:v>
                </c:pt>
                <c:pt idx="173">
                  <c:v>1.0470720088633747E-3</c:v>
                </c:pt>
                <c:pt idx="174">
                  <c:v>1.0511748314044834E-3</c:v>
                </c:pt>
                <c:pt idx="175">
                  <c:v>1.0583028142925534E-3</c:v>
                </c:pt>
                <c:pt idx="176">
                  <c:v>1.0684526497793613E-3</c:v>
                </c:pt>
                <c:pt idx="177">
                  <c:v>1.0843027817911738E-3</c:v>
                </c:pt>
                <c:pt idx="178">
                  <c:v>1.1043341582875801E-3</c:v>
                </c:pt>
                <c:pt idx="179">
                  <c:v>1.1285421674721078E-3</c:v>
                </c:pt>
                <c:pt idx="180">
                  <c:v>1.1569222979882705E-3</c:v>
                </c:pt>
                <c:pt idx="181">
                  <c:v>1.189470159500902E-3</c:v>
                </c:pt>
                <c:pt idx="182">
                  <c:v>1.2261815032855907E-3</c:v>
                </c:pt>
                <c:pt idx="183">
                  <c:v>1.2722739091463261E-3</c:v>
                </c:pt>
                <c:pt idx="184">
                  <c:v>1.3262284748018661E-3</c:v>
                </c:pt>
                <c:pt idx="185">
                  <c:v>1.3880371923306637E-3</c:v>
                </c:pt>
                <c:pt idx="186">
                  <c:v>1.4576924145048196E-3</c:v>
                </c:pt>
                <c:pt idx="187">
                  <c:v>1.535186893644384E-3</c:v>
                </c:pt>
                <c:pt idx="188">
                  <c:v>1.6205138204807722E-3</c:v>
                </c:pt>
                <c:pt idx="189">
                  <c:v>1.7136668629810805E-3</c:v>
                </c:pt>
                <c:pt idx="190">
                  <c:v>1.8146402052276118E-3</c:v>
                </c:pt>
                <c:pt idx="191">
                  <c:v>1.9266678004435883E-3</c:v>
                </c:pt>
                <c:pt idx="192">
                  <c:v>2.0470755368735306E-3</c:v>
                </c:pt>
                <c:pt idx="193">
                  <c:v>2.1758588923246332E-3</c:v>
                </c:pt>
                <c:pt idx="194">
                  <c:v>2.3130140555853939E-3</c:v>
                </c:pt>
                <c:pt idx="195">
                  <c:v>2.4585379681388805E-3</c:v>
                </c:pt>
                <c:pt idx="196">
                  <c:v>2.6124283658079776E-3</c:v>
                </c:pt>
                <c:pt idx="197">
                  <c:v>2.7725305231268709E-3</c:v>
                </c:pt>
                <c:pt idx="198">
                  <c:v>2.93365131321115E-3</c:v>
                </c:pt>
                <c:pt idx="199">
                  <c:v>3.0957970048460259E-3</c:v>
                </c:pt>
                <c:pt idx="200">
                  <c:v>3.2589742667924605E-3</c:v>
                </c:pt>
                <c:pt idx="201">
                  <c:v>3.4231901731032774E-3</c:v>
                </c:pt>
                <c:pt idx="202">
                  <c:v>3.588452208448863E-3</c:v>
                </c:pt>
                <c:pt idx="203">
                  <c:v>3.7547682735095361E-3</c:v>
                </c:pt>
                <c:pt idx="204">
                  <c:v>3.9221414049380654E-3</c:v>
                </c:pt>
                <c:pt idx="205">
                  <c:v>4.0885356316994505E-3</c:v>
                </c:pt>
                <c:pt idx="206">
                  <c:v>4.2507301478595539E-3</c:v>
                </c:pt>
                <c:pt idx="207">
                  <c:v>4.408731793457076E-3</c:v>
                </c:pt>
                <c:pt idx="208">
                  <c:v>4.5625469553787724E-3</c:v>
                </c:pt>
                <c:pt idx="209">
                  <c:v>4.7121815781461943E-3</c:v>
                </c:pt>
                <c:pt idx="210">
                  <c:v>4.8576411748288495E-3</c:v>
                </c:pt>
                <c:pt idx="211">
                  <c:v>4.9974096990663694E-3</c:v>
                </c:pt>
                <c:pt idx="212">
                  <c:v>5.1336393313484111E-3</c:v>
                </c:pt>
                <c:pt idx="213">
                  <c:v>5.2663341094984469E-3</c:v>
                </c:pt>
                <c:pt idx="214">
                  <c:v>5.3954977208316096E-3</c:v>
                </c:pt>
                <c:pt idx="215">
                  <c:v>5.5211335113793903E-3</c:v>
                </c:pt>
                <c:pt idx="216">
                  <c:v>5.6432444950994072E-3</c:v>
                </c:pt>
                <c:pt idx="217">
                  <c:v>5.7618333631033495E-3</c:v>
                </c:pt>
                <c:pt idx="218">
                  <c:v>5.8769024928594926E-3</c:v>
                </c:pt>
                <c:pt idx="219">
                  <c:v>5.9898691708377546E-3</c:v>
                </c:pt>
                <c:pt idx="220">
                  <c:v>6.1027681144472665E-3</c:v>
                </c:pt>
                <c:pt idx="221">
                  <c:v>6.2156004632920965E-3</c:v>
                </c:pt>
                <c:pt idx="222">
                  <c:v>6.3283672347064527E-3</c:v>
                </c:pt>
                <c:pt idx="223">
                  <c:v>6.4410693241165468E-3</c:v>
                </c:pt>
                <c:pt idx="224">
                  <c:v>6.5537075052791239E-3</c:v>
                </c:pt>
                <c:pt idx="225">
                  <c:v>6.6625942089815803E-3</c:v>
                </c:pt>
                <c:pt idx="226">
                  <c:v>6.769249862533115E-3</c:v>
                </c:pt>
                <c:pt idx="227">
                  <c:v>6.873674780389828E-3</c:v>
                </c:pt>
                <c:pt idx="228">
                  <c:v>6.9758690823825261E-3</c:v>
                </c:pt>
                <c:pt idx="229">
                  <c:v>7.075832699545339E-3</c:v>
                </c:pt>
                <c:pt idx="230">
                  <c:v>7.1735653800339633E-3</c:v>
                </c:pt>
                <c:pt idx="231">
                  <c:v>7.2690666950666651E-3</c:v>
                </c:pt>
                <c:pt idx="232">
                  <c:v>7.3623360447373073E-3</c:v>
                </c:pt>
                <c:pt idx="233">
                  <c:v>7.4410373540077504E-3</c:v>
                </c:pt>
                <c:pt idx="234">
                  <c:v>7.5037529471401734E-3</c:v>
                </c:pt>
                <c:pt idx="235">
                  <c:v>7.5504848286629851E-3</c:v>
                </c:pt>
                <c:pt idx="236">
                  <c:v>7.5812366815665279E-3</c:v>
                </c:pt>
                <c:pt idx="237">
                  <c:v>7.5960076784022121E-3</c:v>
                </c:pt>
                <c:pt idx="238">
                  <c:v>7.5947964589218485E-3</c:v>
                </c:pt>
                <c:pt idx="239">
                  <c:v>7.5721757949150995E-3</c:v>
                </c:pt>
                <c:pt idx="240">
                  <c:v>7.5318321992322501E-3</c:v>
                </c:pt>
                <c:pt idx="241">
                  <c:v>7.4737620492933664E-3</c:v>
                </c:pt>
                <c:pt idx="242">
                  <c:v>7.3979610253811735E-3</c:v>
                </c:pt>
                <c:pt idx="243">
                  <c:v>7.3044240845469262E-3</c:v>
                </c:pt>
                <c:pt idx="244">
                  <c:v>7.1931454344772057E-3</c:v>
                </c:pt>
                <c:pt idx="245">
                  <c:v>7.0641185072957309E-3</c:v>
                </c:pt>
                <c:pt idx="246">
                  <c:v>6.9173359333603397E-3</c:v>
                </c:pt>
                <c:pt idx="247">
                  <c:v>6.7536240855386939E-3</c:v>
                </c:pt>
                <c:pt idx="248">
                  <c:v>6.5853247599253701E-3</c:v>
                </c:pt>
                <c:pt idx="249">
                  <c:v>6.4124334267302444E-3</c:v>
                </c:pt>
                <c:pt idx="250">
                  <c:v>6.2349452501662119E-3</c:v>
                </c:pt>
                <c:pt idx="251">
                  <c:v>6.0528550818346599E-3</c:v>
                </c:pt>
                <c:pt idx="252">
                  <c:v>5.8661574538775045E-3</c:v>
                </c:pt>
                <c:pt idx="253">
                  <c:v>5.6766116178048514E-3</c:v>
                </c:pt>
                <c:pt idx="254">
                  <c:v>5.4896476843521473E-3</c:v>
                </c:pt>
                <c:pt idx="255">
                  <c:v>5.3052631974687611E-3</c:v>
                </c:pt>
                <c:pt idx="256">
                  <c:v>5.1234557210868038E-3</c:v>
                </c:pt>
                <c:pt idx="257">
                  <c:v>4.9442228429054276E-3</c:v>
                </c:pt>
                <c:pt idx="258">
                  <c:v>4.7675621782210988E-3</c:v>
                </c:pt>
                <c:pt idx="259">
                  <c:v>4.5934713738095554E-3</c:v>
                </c:pt>
                <c:pt idx="260">
                  <c:v>4.4219481116820761E-3</c:v>
                </c:pt>
                <c:pt idx="261">
                  <c:v>4.2568866865080419E-3</c:v>
                </c:pt>
                <c:pt idx="262">
                  <c:v>4.0974508440996876E-3</c:v>
                </c:pt>
                <c:pt idx="263">
                  <c:v>3.9436408469936323E-3</c:v>
                </c:pt>
                <c:pt idx="264">
                  <c:v>3.795457339297573E-3</c:v>
                </c:pt>
                <c:pt idx="265">
                  <c:v>3.6529175237724498E-3</c:v>
                </c:pt>
                <c:pt idx="266">
                  <c:v>3.5160286591789675E-3</c:v>
                </c:pt>
                <c:pt idx="267">
                  <c:v>3.4047552513576333E-3</c:v>
                </c:pt>
                <c:pt idx="268">
                  <c:v>3.3173413985609357E-3</c:v>
                </c:pt>
                <c:pt idx="269">
                  <c:v>3.253803500195412E-3</c:v>
                </c:pt>
                <c:pt idx="270">
                  <c:v>3.2141602441827181E-3</c:v>
                </c:pt>
                <c:pt idx="271">
                  <c:v>3.1984323872679579E-3</c:v>
                </c:pt>
                <c:pt idx="272">
                  <c:v>3.2066425354058173E-3</c:v>
                </c:pt>
                <c:pt idx="273">
                  <c:v>3.2388149241120569E-3</c:v>
                </c:pt>
                <c:pt idx="274">
                  <c:v>3.2949751988498445E-3</c:v>
                </c:pt>
                <c:pt idx="275">
                  <c:v>3.392754552891277E-3</c:v>
                </c:pt>
                <c:pt idx="276">
                  <c:v>3.5282863780695395E-3</c:v>
                </c:pt>
                <c:pt idx="277">
                  <c:v>3.7016167425043527E-3</c:v>
                </c:pt>
                <c:pt idx="278">
                  <c:v>3.9127926503892416E-3</c:v>
                </c:pt>
                <c:pt idx="279">
                  <c:v>4.1618616967688911E-3</c:v>
                </c:pt>
                <c:pt idx="280">
                  <c:v>4.448871722347379E-3</c:v>
                </c:pt>
                <c:pt idx="281">
                  <c:v>4.7561229884172853E-3</c:v>
                </c:pt>
                <c:pt idx="282">
                  <c:v>5.0635513361712231E-3</c:v>
                </c:pt>
                <c:pt idx="283">
                  <c:v>5.3711535933734685E-3</c:v>
                </c:pt>
                <c:pt idx="284">
                  <c:v>5.6789254702156412E-3</c:v>
                </c:pt>
                <c:pt idx="285">
                  <c:v>5.986861560199932E-3</c:v>
                </c:pt>
                <c:pt idx="286">
                  <c:v>6.2949553410676512E-3</c:v>
                </c:pt>
                <c:pt idx="287">
                  <c:v>6.6031991756828464E-3</c:v>
                </c:pt>
                <c:pt idx="288">
                  <c:v>6.9115843129324483E-3</c:v>
                </c:pt>
                <c:pt idx="289">
                  <c:v>7.234848026804447E-3</c:v>
                </c:pt>
                <c:pt idx="290">
                  <c:v>7.555279983767013E-3</c:v>
                </c:pt>
                <c:pt idx="291">
                  <c:v>7.872864161548471E-3</c:v>
                </c:pt>
                <c:pt idx="292">
                  <c:v>8.1875834996949174E-3</c:v>
                </c:pt>
                <c:pt idx="293">
                  <c:v>8.4994199275118826E-3</c:v>
                </c:pt>
                <c:pt idx="294">
                  <c:v>8.8083543919830701E-3</c:v>
                </c:pt>
                <c:pt idx="295">
                  <c:v>9.1814818363377491E-3</c:v>
                </c:pt>
                <c:pt idx="296">
                  <c:v>9.6368111791182692E-3</c:v>
                </c:pt>
                <c:pt idx="297">
                  <c:v>1.0174496845387286E-2</c:v>
                </c:pt>
                <c:pt idx="298">
                  <c:v>1.0794633519451133E-2</c:v>
                </c:pt>
                <c:pt idx="299">
                  <c:v>1.1497316512102276E-2</c:v>
                </c:pt>
                <c:pt idx="300">
                  <c:v>1.2282641127218464E-2</c:v>
                </c:pt>
                <c:pt idx="301">
                  <c:v>1.3150702028335197E-2</c:v>
                </c:pt>
                <c:pt idx="302">
                  <c:v>1.4101592605239575E-2</c:v>
                </c:pt>
                <c:pt idx="303">
                  <c:v>1.5186498074840524E-2</c:v>
                </c:pt>
                <c:pt idx="304">
                  <c:v>1.6390733892153373E-2</c:v>
                </c:pt>
                <c:pt idx="305">
                  <c:v>1.7714429115883976E-2</c:v>
                </c:pt>
                <c:pt idx="306">
                  <c:v>1.9157708558810448E-2</c:v>
                </c:pt>
                <c:pt idx="307">
                  <c:v>2.0720691874791242E-2</c:v>
                </c:pt>
                <c:pt idx="308">
                  <c:v>2.2403492645632326E-2</c:v>
                </c:pt>
                <c:pt idx="309">
                  <c:v>2.4207658206141836E-2</c:v>
                </c:pt>
                <c:pt idx="310">
                  <c:v>2.6065779163266262E-2</c:v>
                </c:pt>
                <c:pt idx="311">
                  <c:v>2.7977870403664739E-2</c:v>
                </c:pt>
                <c:pt idx="312">
                  <c:v>2.9943939424632776E-2</c:v>
                </c:pt>
                <c:pt idx="313">
                  <c:v>3.1963985929169374E-2</c:v>
                </c:pt>
                <c:pt idx="314">
                  <c:v>3.4038001420825241E-2</c:v>
                </c:pt>
                <c:pt idx="315">
                  <c:v>3.6165968798880177E-2</c:v>
                </c:pt>
                <c:pt idx="316">
                  <c:v>3.8347861953104669E-2</c:v>
                </c:pt>
                <c:pt idx="317">
                  <c:v>4.0536257901534811E-2</c:v>
                </c:pt>
                <c:pt idx="318">
                  <c:v>4.2679686861832121E-2</c:v>
                </c:pt>
                <c:pt idx="319">
                  <c:v>4.4778003389226662E-2</c:v>
                </c:pt>
                <c:pt idx="320">
                  <c:v>4.6831058677838079E-2</c:v>
                </c:pt>
                <c:pt idx="321">
                  <c:v>4.883870091313338E-2</c:v>
                </c:pt>
                <c:pt idx="322">
                  <c:v>5.0800775624592787E-2</c:v>
                </c:pt>
                <c:pt idx="323">
                  <c:v>5.2663253754898359E-2</c:v>
                </c:pt>
                <c:pt idx="324">
                  <c:v>5.4424489949532341E-2</c:v>
                </c:pt>
                <c:pt idx="325">
                  <c:v>5.6084286397905143E-2</c:v>
                </c:pt>
                <c:pt idx="326">
                  <c:v>5.7642148736695743E-2</c:v>
                </c:pt>
                <c:pt idx="327">
                  <c:v>5.909776275258629E-2</c:v>
                </c:pt>
                <c:pt idx="328">
                  <c:v>6.0451073728539889E-2</c:v>
                </c:pt>
                <c:pt idx="329">
                  <c:v>6.1702050502018206E-2</c:v>
                </c:pt>
                <c:pt idx="330">
                  <c:v>6.2850683694017237E-2</c:v>
                </c:pt>
                <c:pt idx="331">
                  <c:v>6.3854860679269279E-2</c:v>
                </c:pt>
                <c:pt idx="332">
                  <c:v>6.4762137669803557E-2</c:v>
                </c:pt>
                <c:pt idx="333">
                  <c:v>6.5572562885857943E-2</c:v>
                </c:pt>
                <c:pt idx="334">
                  <c:v>6.628619855826047E-2</c:v>
                </c:pt>
                <c:pt idx="335">
                  <c:v>6.6903119252735191E-2</c:v>
                </c:pt>
                <c:pt idx="336">
                  <c:v>6.7423410193491851E-2</c:v>
                </c:pt>
                <c:pt idx="337">
                  <c:v>6.7829883762337811E-2</c:v>
                </c:pt>
                <c:pt idx="338">
                  <c:v>6.8176603673671621E-2</c:v>
                </c:pt>
                <c:pt idx="339">
                  <c:v>6.8463679554808213E-2</c:v>
                </c:pt>
                <c:pt idx="340">
                  <c:v>6.8691224480240606E-2</c:v>
                </c:pt>
                <c:pt idx="341">
                  <c:v>6.8859353935495221E-2</c:v>
                </c:pt>
                <c:pt idx="342">
                  <c:v>6.8968184780945532E-2</c:v>
                </c:pt>
                <c:pt idx="343">
                  <c:v>6.9017834214927673E-2</c:v>
                </c:pt>
                <c:pt idx="344">
                  <c:v>6.9008418737762298E-2</c:v>
                </c:pt>
                <c:pt idx="345">
                  <c:v>6.8940053115167335E-2</c:v>
                </c:pt>
                <c:pt idx="346">
                  <c:v>6.8866636612170642E-2</c:v>
                </c:pt>
                <c:pt idx="347">
                  <c:v>6.8788286406522195E-2</c:v>
                </c:pt>
                <c:pt idx="348">
                  <c:v>6.8705118768609214E-2</c:v>
                </c:pt>
                <c:pt idx="349">
                  <c:v>6.861724896252748E-2</c:v>
                </c:pt>
                <c:pt idx="350">
                  <c:v>6.8524791148502504E-2</c:v>
                </c:pt>
                <c:pt idx="351">
                  <c:v>6.8439503643172278E-2</c:v>
                </c:pt>
                <c:pt idx="352">
                  <c:v>6.8378798308996708E-2</c:v>
                </c:pt>
                <c:pt idx="353">
                  <c:v>6.8342799586572134E-2</c:v>
                </c:pt>
                <c:pt idx="354">
                  <c:v>6.8331634433409963E-2</c:v>
                </c:pt>
                <c:pt idx="355">
                  <c:v>6.834543272703246E-2</c:v>
                </c:pt>
                <c:pt idx="356">
                  <c:v>6.8384367324072701E-2</c:v>
                </c:pt>
                <c:pt idx="357">
                  <c:v>6.8448447287221534E-2</c:v>
                </c:pt>
                <c:pt idx="358">
                  <c:v>6.8537546875976532E-2</c:v>
                </c:pt>
                <c:pt idx="359">
                  <c:v>6.8651543262319425E-2</c:v>
                </c:pt>
                <c:pt idx="360">
                  <c:v>6.8772987258819404E-2</c:v>
                </c:pt>
                <c:pt idx="361">
                  <c:v>6.8890069440374679E-2</c:v>
                </c:pt>
                <c:pt idx="362">
                  <c:v>6.9002640986775318E-2</c:v>
                </c:pt>
                <c:pt idx="363">
                  <c:v>6.9110551759916941E-2</c:v>
                </c:pt>
                <c:pt idx="364">
                  <c:v>6.9213650426327211E-2</c:v>
                </c:pt>
                <c:pt idx="365">
                  <c:v>6.9311784578984278E-2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7.966084169367256E-2</c:v>
                </c:pt>
                <c:pt idx="1">
                  <c:v>7.9901989148916622E-2</c:v>
                </c:pt>
                <c:pt idx="2">
                  <c:v>8.0090615948989599E-2</c:v>
                </c:pt>
                <c:pt idx="3">
                  <c:v>8.0226488813771923E-2</c:v>
                </c:pt>
                <c:pt idx="4">
                  <c:v>8.0309372425349287E-2</c:v>
                </c:pt>
                <c:pt idx="5">
                  <c:v>8.0339030565147435E-2</c:v>
                </c:pt>
                <c:pt idx="6">
                  <c:v>8.0315227251930632E-2</c:v>
                </c:pt>
                <c:pt idx="7">
                  <c:v>8.0237727878280832E-2</c:v>
                </c:pt>
                <c:pt idx="8">
                  <c:v>8.0106300348021076E-2</c:v>
                </c:pt>
                <c:pt idx="9">
                  <c:v>7.9838631182271844E-2</c:v>
                </c:pt>
                <c:pt idx="10">
                  <c:v>7.9436868291118221E-2</c:v>
                </c:pt>
                <c:pt idx="11">
                  <c:v>7.8900714076129128E-2</c:v>
                </c:pt>
                <c:pt idx="12">
                  <c:v>7.8229886504940047E-2</c:v>
                </c:pt>
                <c:pt idx="13">
                  <c:v>7.7424121949635924E-2</c:v>
                </c:pt>
                <c:pt idx="14">
                  <c:v>7.6483178024023893E-2</c:v>
                </c:pt>
                <c:pt idx="15">
                  <c:v>7.5363208040463786E-2</c:v>
                </c:pt>
                <c:pt idx="16">
                  <c:v>7.4114876182288222E-2</c:v>
                </c:pt>
                <c:pt idx="17">
                  <c:v>7.2738029100775495E-2</c:v>
                </c:pt>
                <c:pt idx="18">
                  <c:v>7.1232545148842405E-2</c:v>
                </c:pt>
                <c:pt idx="19">
                  <c:v>6.9598663386328072E-2</c:v>
                </c:pt>
                <c:pt idx="20">
                  <c:v>6.78367706043565E-2</c:v>
                </c:pt>
                <c:pt idx="21">
                  <c:v>6.59469989286149E-2</c:v>
                </c:pt>
                <c:pt idx="22">
                  <c:v>6.3929488479051957E-2</c:v>
                </c:pt>
                <c:pt idx="23">
                  <c:v>6.1775814544479668E-2</c:v>
                </c:pt>
                <c:pt idx="24">
                  <c:v>5.9568479371926587E-2</c:v>
                </c:pt>
                <c:pt idx="25">
                  <c:v>5.7307650041353526E-2</c:v>
                </c:pt>
                <c:pt idx="26">
                  <c:v>5.4993489421622112E-2</c:v>
                </c:pt>
                <c:pt idx="27">
                  <c:v>5.2626155620747933E-2</c:v>
                </c:pt>
                <c:pt idx="28">
                  <c:v>5.0205801437185303E-2</c:v>
                </c:pt>
                <c:pt idx="29">
                  <c:v>4.775782566419768E-2</c:v>
                </c:pt>
                <c:pt idx="30">
                  <c:v>4.5326056668081684E-2</c:v>
                </c:pt>
                <c:pt idx="31">
                  <c:v>4.2910621064474214E-2</c:v>
                </c:pt>
                <c:pt idx="32">
                  <c:v>4.0511634258287153E-2</c:v>
                </c:pt>
                <c:pt idx="33">
                  <c:v>3.8129200618930728E-2</c:v>
                </c:pt>
                <c:pt idx="34">
                  <c:v>3.5763413655697664E-2</c:v>
                </c:pt>
                <c:pt idx="35">
                  <c:v>3.3414356193094442E-2</c:v>
                </c:pt>
                <c:pt idx="36">
                  <c:v>3.1082100546099056E-2</c:v>
                </c:pt>
                <c:pt idx="37">
                  <c:v>2.8858153261882874E-2</c:v>
                </c:pt>
                <c:pt idx="38">
                  <c:v>2.6751115241265295E-2</c:v>
                </c:pt>
                <c:pt idx="39">
                  <c:v>2.4761005559261241E-2</c:v>
                </c:pt>
                <c:pt idx="40">
                  <c:v>2.2887833384791379E-2</c:v>
                </c:pt>
                <c:pt idx="41">
                  <c:v>2.1131599207597353E-2</c:v>
                </c:pt>
                <c:pt idx="42">
                  <c:v>1.9492296064988771E-2</c:v>
                </c:pt>
                <c:pt idx="43">
                  <c:v>1.8008179901641611E-2</c:v>
                </c:pt>
                <c:pt idx="44">
                  <c:v>1.6653995468382893E-2</c:v>
                </c:pt>
                <c:pt idx="45">
                  <c:v>1.5429718843394656E-2</c:v>
                </c:pt>
                <c:pt idx="46">
                  <c:v>1.4335324151290589E-2</c:v>
                </c:pt>
                <c:pt idx="47">
                  <c:v>1.3370784927132354E-2</c:v>
                </c:pt>
                <c:pt idx="48">
                  <c:v>1.253607548027119E-2</c:v>
                </c:pt>
                <c:pt idx="49">
                  <c:v>1.1831172258305718E-2</c:v>
                </c:pt>
                <c:pt idx="50">
                  <c:v>1.1256055210968832E-2</c:v>
                </c:pt>
                <c:pt idx="51">
                  <c:v>1.078869334141023E-2</c:v>
                </c:pt>
                <c:pt idx="52">
                  <c:v>1.0337658797567022E-2</c:v>
                </c:pt>
                <c:pt idx="53">
                  <c:v>9.90289715069371E-3</c:v>
                </c:pt>
                <c:pt idx="54">
                  <c:v>9.4844016779225635E-3</c:v>
                </c:pt>
                <c:pt idx="55">
                  <c:v>9.0821664222213196E-3</c:v>
                </c:pt>
                <c:pt idx="56">
                  <c:v>8.6961861418945741E-3</c:v>
                </c:pt>
                <c:pt idx="57">
                  <c:v>8.3453472141547715E-3</c:v>
                </c:pt>
                <c:pt idx="58">
                  <c:v>7.9913906593170585E-3</c:v>
                </c:pt>
                <c:pt idx="59">
                  <c:v>7.6343128187209329E-3</c:v>
                </c:pt>
                <c:pt idx="60">
                  <c:v>7.2741104598218103E-3</c:v>
                </c:pt>
                <c:pt idx="61">
                  <c:v>6.9107807859090029E-3</c:v>
                </c:pt>
                <c:pt idx="62">
                  <c:v>6.5443214458148352E-3</c:v>
                </c:pt>
                <c:pt idx="63">
                  <c:v>6.1747305436414606E-3</c:v>
                </c:pt>
                <c:pt idx="64">
                  <c:v>5.8020066484647829E-3</c:v>
                </c:pt>
                <c:pt idx="65">
                  <c:v>5.4511964473754025E-3</c:v>
                </c:pt>
                <c:pt idx="66">
                  <c:v>5.1443162750572351E-3</c:v>
                </c:pt>
                <c:pt idx="67">
                  <c:v>4.8813661722588381E-3</c:v>
                </c:pt>
                <c:pt idx="68">
                  <c:v>4.6623461049297979E-3</c:v>
                </c:pt>
                <c:pt idx="69">
                  <c:v>4.4872558275853083E-3</c:v>
                </c:pt>
                <c:pt idx="70">
                  <c:v>4.3560947466910619E-3</c:v>
                </c:pt>
                <c:pt idx="71">
                  <c:v>4.2742032119349226E-3</c:v>
                </c:pt>
                <c:pt idx="72">
                  <c:v>4.2226880859032659E-3</c:v>
                </c:pt>
                <c:pt idx="73">
                  <c:v>4.2015474771578852E-3</c:v>
                </c:pt>
                <c:pt idx="74">
                  <c:v>4.2107789023835334E-3</c:v>
                </c:pt>
                <c:pt idx="75">
                  <c:v>4.2503791919037406E-3</c:v>
                </c:pt>
                <c:pt idx="76">
                  <c:v>4.3203443951856145E-3</c:v>
                </c:pt>
                <c:pt idx="77">
                  <c:v>4.4206696863562005E-3</c:v>
                </c:pt>
                <c:pt idx="78">
                  <c:v>4.5513493967077418E-3</c:v>
                </c:pt>
                <c:pt idx="79">
                  <c:v>4.7131302848192023E-3</c:v>
                </c:pt>
                <c:pt idx="80">
                  <c:v>4.8809763081146601E-3</c:v>
                </c:pt>
                <c:pt idx="81">
                  <c:v>5.0548853624549596E-3</c:v>
                </c:pt>
                <c:pt idx="82">
                  <c:v>5.2348551479815889E-3</c:v>
                </c:pt>
                <c:pt idx="83">
                  <c:v>5.4208831527484585E-3</c:v>
                </c:pt>
                <c:pt idx="84">
                  <c:v>5.6129666363686241E-3</c:v>
                </c:pt>
                <c:pt idx="85">
                  <c:v>5.8125691811955578E-3</c:v>
                </c:pt>
                <c:pt idx="86">
                  <c:v>6.0143485768330502E-3</c:v>
                </c:pt>
                <c:pt idx="87">
                  <c:v>6.2183018410376821E-3</c:v>
                </c:pt>
                <c:pt idx="88">
                  <c:v>6.4244257471942475E-3</c:v>
                </c:pt>
                <c:pt idx="89">
                  <c:v>6.6327168183819042E-3</c:v>
                </c:pt>
                <c:pt idx="90">
                  <c:v>6.8431713214288951E-3</c:v>
                </c:pt>
                <c:pt idx="91">
                  <c:v>7.0557852609881124E-3</c:v>
                </c:pt>
                <c:pt idx="92">
                  <c:v>7.2705543735987139E-3</c:v>
                </c:pt>
                <c:pt idx="93">
                  <c:v>7.4829933555188612E-3</c:v>
                </c:pt>
                <c:pt idx="94">
                  <c:v>7.6923608128071676E-3</c:v>
                </c:pt>
                <c:pt idx="95">
                  <c:v>7.8986528324469351E-3</c:v>
                </c:pt>
                <c:pt idx="96">
                  <c:v>8.1018653507626947E-3</c:v>
                </c:pt>
                <c:pt idx="97">
                  <c:v>8.3019941615793159E-3</c:v>
                </c:pt>
                <c:pt idx="98">
                  <c:v>8.4990349243234155E-3</c:v>
                </c:pt>
                <c:pt idx="99">
                  <c:v>8.678611015418794E-3</c:v>
                </c:pt>
                <c:pt idx="100">
                  <c:v>8.8392569432457005E-3</c:v>
                </c:pt>
                <c:pt idx="101">
                  <c:v>8.9809731410860402E-3</c:v>
                </c:pt>
                <c:pt idx="102">
                  <c:v>9.1037605236639289E-3</c:v>
                </c:pt>
                <c:pt idx="103">
                  <c:v>9.2076205378794681E-3</c:v>
                </c:pt>
                <c:pt idx="104">
                  <c:v>9.2925552137198709E-3</c:v>
                </c:pt>
                <c:pt idx="105">
                  <c:v>9.3585672150067085E-3</c:v>
                </c:pt>
                <c:pt idx="106">
                  <c:v>9.4056598902344732E-3</c:v>
                </c:pt>
                <c:pt idx="107">
                  <c:v>9.4283896368238546E-3</c:v>
                </c:pt>
                <c:pt idx="108">
                  <c:v>9.4312374768407061E-3</c:v>
                </c:pt>
                <c:pt idx="109">
                  <c:v>9.4142097083382715E-3</c:v>
                </c:pt>
                <c:pt idx="110">
                  <c:v>9.3773360055644447E-3</c:v>
                </c:pt>
                <c:pt idx="111">
                  <c:v>9.3206470467405208E-3</c:v>
                </c:pt>
                <c:pt idx="112">
                  <c:v>9.244151682279822E-3</c:v>
                </c:pt>
                <c:pt idx="113">
                  <c:v>9.1495746127577739E-3</c:v>
                </c:pt>
                <c:pt idx="114">
                  <c:v>9.0512665277278515E-3</c:v>
                </c:pt>
                <c:pt idx="115">
                  <c:v>8.9492289868517098E-3</c:v>
                </c:pt>
                <c:pt idx="116">
                  <c:v>8.8434637184668322E-3</c:v>
                </c:pt>
                <c:pt idx="117">
                  <c:v>8.733972626486796E-3</c:v>
                </c:pt>
                <c:pt idx="118">
                  <c:v>8.620757797224184E-3</c:v>
                </c:pt>
                <c:pt idx="119">
                  <c:v>8.5038215062354667E-3</c:v>
                </c:pt>
                <c:pt idx="120">
                  <c:v>8.3831662251545314E-3</c:v>
                </c:pt>
                <c:pt idx="121">
                  <c:v>8.2570426797089341E-3</c:v>
                </c:pt>
                <c:pt idx="122">
                  <c:v>8.1308874954021341E-3</c:v>
                </c:pt>
                <c:pt idx="123">
                  <c:v>8.0047013151402172E-3</c:v>
                </c:pt>
                <c:pt idx="124">
                  <c:v>7.8784848746830879E-3</c:v>
                </c:pt>
                <c:pt idx="125">
                  <c:v>7.7522390027726243E-3</c:v>
                </c:pt>
                <c:pt idx="126">
                  <c:v>7.6259646211660689E-3</c:v>
                </c:pt>
                <c:pt idx="127">
                  <c:v>7.4966094491408586E-3</c:v>
                </c:pt>
                <c:pt idx="128">
                  <c:v>7.3624671350003452E-3</c:v>
                </c:pt>
                <c:pt idx="129">
                  <c:v>7.223542719403485E-3</c:v>
                </c:pt>
                <c:pt idx="130">
                  <c:v>7.0798415410732694E-3</c:v>
                </c:pt>
                <c:pt idx="131">
                  <c:v>6.9313692455774184E-3</c:v>
                </c:pt>
                <c:pt idx="132">
                  <c:v>6.7781317941714853E-3</c:v>
                </c:pt>
                <c:pt idx="133">
                  <c:v>6.620135472677615E-3</c:v>
                </c:pt>
                <c:pt idx="134">
                  <c:v>6.4573869003309815E-3</c:v>
                </c:pt>
                <c:pt idx="135">
                  <c:v>6.286975046765726E-3</c:v>
                </c:pt>
                <c:pt idx="136">
                  <c:v>6.1106549813240993E-3</c:v>
                </c:pt>
                <c:pt idx="137">
                  <c:v>5.9284355994800126E-3</c:v>
                </c:pt>
                <c:pt idx="138">
                  <c:v>5.7403262279410424E-3</c:v>
                </c:pt>
                <c:pt idx="139">
                  <c:v>5.5463366357802876E-3</c:v>
                </c:pt>
                <c:pt idx="140">
                  <c:v>5.3464770452914716E-3</c:v>
                </c:pt>
                <c:pt idx="141">
                  <c:v>5.1443929090820607E-3</c:v>
                </c:pt>
                <c:pt idx="142">
                  <c:v>4.9431075476244583E-3</c:v>
                </c:pt>
                <c:pt idx="143">
                  <c:v>4.7426098546201082E-3</c:v>
                </c:pt>
                <c:pt idx="144">
                  <c:v>4.5429147535661213E-3</c:v>
                </c:pt>
                <c:pt idx="145">
                  <c:v>4.3440362015744272E-3</c:v>
                </c:pt>
                <c:pt idx="146">
                  <c:v>4.1459871974498337E-3</c:v>
                </c:pt>
                <c:pt idx="147">
                  <c:v>3.9487797898968549E-3</c:v>
                </c:pt>
                <c:pt idx="148">
                  <c:v>3.7524250856341046E-3</c:v>
                </c:pt>
                <c:pt idx="149">
                  <c:v>3.5626428349805092E-3</c:v>
                </c:pt>
                <c:pt idx="150">
                  <c:v>3.3823344535321757E-3</c:v>
                </c:pt>
                <c:pt idx="151">
                  <c:v>3.2114952283350796E-3</c:v>
                </c:pt>
                <c:pt idx="152">
                  <c:v>3.0501191617478825E-3</c:v>
                </c:pt>
                <c:pt idx="153">
                  <c:v>2.8981990769264021E-3</c:v>
                </c:pt>
                <c:pt idx="154">
                  <c:v>2.7557267233239459E-3</c:v>
                </c:pt>
                <c:pt idx="155">
                  <c:v>2.625848712195759E-3</c:v>
                </c:pt>
                <c:pt idx="156">
                  <c:v>2.5049407051038601E-3</c:v>
                </c:pt>
                <c:pt idx="157">
                  <c:v>2.3929925675701237E-3</c:v>
                </c:pt>
                <c:pt idx="158">
                  <c:v>2.2899935304007825E-3</c:v>
                </c:pt>
                <c:pt idx="159">
                  <c:v>2.1959322900077932E-3</c:v>
                </c:pt>
                <c:pt idx="160">
                  <c:v>2.1107971087545719E-3</c:v>
                </c:pt>
                <c:pt idx="161">
                  <c:v>2.0345759152794107E-3</c:v>
                </c:pt>
                <c:pt idx="162">
                  <c:v>1.9672564048296461E-3</c:v>
                </c:pt>
                <c:pt idx="163">
                  <c:v>1.911396156299246E-3</c:v>
                </c:pt>
                <c:pt idx="164">
                  <c:v>1.861313512715434E-3</c:v>
                </c:pt>
                <c:pt idx="165">
                  <c:v>1.8170008506562371E-3</c:v>
                </c:pt>
                <c:pt idx="166">
                  <c:v>1.7784505753552669E-3</c:v>
                </c:pt>
                <c:pt idx="167">
                  <c:v>1.7456551857295867E-3</c:v>
                </c:pt>
                <c:pt idx="168">
                  <c:v>1.7186073394561564E-3</c:v>
                </c:pt>
                <c:pt idx="169">
                  <c:v>1.6998623145319395E-3</c:v>
                </c:pt>
                <c:pt idx="170">
                  <c:v>1.6862780027787922E-3</c:v>
                </c:pt>
                <c:pt idx="171">
                  <c:v>1.6778487951605769E-3</c:v>
                </c:pt>
                <c:pt idx="172">
                  <c:v>1.6745694619366063E-3</c:v>
                </c:pt>
                <c:pt idx="173">
                  <c:v>1.6764208747356141E-3</c:v>
                </c:pt>
                <c:pt idx="174">
                  <c:v>1.6833834045436675E-3</c:v>
                </c:pt>
                <c:pt idx="175">
                  <c:v>1.6954513963250491E-3</c:v>
                </c:pt>
                <c:pt idx="176">
                  <c:v>1.7126192232420781E-3</c:v>
                </c:pt>
                <c:pt idx="177">
                  <c:v>1.7380037437908847E-3</c:v>
                </c:pt>
                <c:pt idx="178">
                  <c:v>1.7690430122749335E-3</c:v>
                </c:pt>
                <c:pt idx="179">
                  <c:v>1.805730946429656E-3</c:v>
                </c:pt>
                <c:pt idx="180">
                  <c:v>1.848061607847405E-3</c:v>
                </c:pt>
                <c:pt idx="181">
                  <c:v>1.8960292298249683E-3</c:v>
                </c:pt>
                <c:pt idx="182">
                  <c:v>1.9496282452240272E-3</c:v>
                </c:pt>
                <c:pt idx="183">
                  <c:v>2.0144713161396994E-3</c:v>
                </c:pt>
                <c:pt idx="184">
                  <c:v>2.0880003599895781E-3</c:v>
                </c:pt>
                <c:pt idx="185">
                  <c:v>2.1702070326017893E-3</c:v>
                </c:pt>
                <c:pt idx="186">
                  <c:v>2.2610834164477241E-3</c:v>
                </c:pt>
                <c:pt idx="187">
                  <c:v>2.3606220636115875E-3</c:v>
                </c:pt>
                <c:pt idx="188">
                  <c:v>2.4688160387735833E-3</c:v>
                </c:pt>
                <c:pt idx="189">
                  <c:v>2.5856589621329608E-3</c:v>
                </c:pt>
                <c:pt idx="190">
                  <c:v>2.7111450524157873E-3</c:v>
                </c:pt>
                <c:pt idx="191">
                  <c:v>2.8488225211790777E-3</c:v>
                </c:pt>
                <c:pt idx="192">
                  <c:v>2.9955789996968332E-3</c:v>
                </c:pt>
                <c:pt idx="193">
                  <c:v>3.1514104060425606E-3</c:v>
                </c:pt>
                <c:pt idx="194">
                  <c:v>3.3163134615533676E-3</c:v>
                </c:pt>
                <c:pt idx="195">
                  <c:v>3.490285736061265E-3</c:v>
                </c:pt>
                <c:pt idx="196">
                  <c:v>3.673325693025465E-3</c:v>
                </c:pt>
                <c:pt idx="197">
                  <c:v>3.8625913968708789E-3</c:v>
                </c:pt>
                <c:pt idx="198">
                  <c:v>4.0524969757795857E-3</c:v>
                </c:pt>
                <c:pt idx="199">
                  <c:v>4.2430506005044074E-3</c:v>
                </c:pt>
                <c:pt idx="200">
                  <c:v>4.4342608716997495E-3</c:v>
                </c:pt>
                <c:pt idx="201">
                  <c:v>4.6261368233774533E-3</c:v>
                </c:pt>
                <c:pt idx="202">
                  <c:v>4.8186879263768323E-3</c:v>
                </c:pt>
                <c:pt idx="203">
                  <c:v>5.0119240919242617E-3</c:v>
                </c:pt>
                <c:pt idx="204">
                  <c:v>5.2058486598521051E-3</c:v>
                </c:pt>
                <c:pt idx="205">
                  <c:v>5.3975009362508498E-3</c:v>
                </c:pt>
                <c:pt idx="206">
                  <c:v>5.5833485549344588E-3</c:v>
                </c:pt>
                <c:pt idx="207">
                  <c:v>5.7633997176003158E-3</c:v>
                </c:pt>
                <c:pt idx="208">
                  <c:v>5.9376620385813055E-3</c:v>
                </c:pt>
                <c:pt idx="209">
                  <c:v>6.106142559787823E-3</c:v>
                </c:pt>
                <c:pt idx="210">
                  <c:v>6.2688477658144641E-3</c:v>
                </c:pt>
                <c:pt idx="211">
                  <c:v>6.424088727790247E-3</c:v>
                </c:pt>
                <c:pt idx="212">
                  <c:v>6.5747044365899003E-3</c:v>
                </c:pt>
                <c:pt idx="213">
                  <c:v>6.7206993795586546E-3</c:v>
                </c:pt>
                <c:pt idx="214">
                  <c:v>6.8620776140510967E-3</c:v>
                </c:pt>
                <c:pt idx="215">
                  <c:v>6.9988427795019586E-3</c:v>
                </c:pt>
                <c:pt idx="216">
                  <c:v>7.1309981094776972E-3</c:v>
                </c:pt>
                <c:pt idx="217">
                  <c:v>7.2585464437510162E-3</c:v>
                </c:pt>
                <c:pt idx="218">
                  <c:v>7.3814902403430372E-3</c:v>
                </c:pt>
                <c:pt idx="219">
                  <c:v>7.5014873439443186E-3</c:v>
                </c:pt>
                <c:pt idx="220">
                  <c:v>7.6214951245215283E-3</c:v>
                </c:pt>
                <c:pt idx="221">
                  <c:v>7.7415144906010551E-3</c:v>
                </c:pt>
                <c:pt idx="222">
                  <c:v>7.861546224080555E-3</c:v>
                </c:pt>
                <c:pt idx="223">
                  <c:v>7.9815909804397591E-3</c:v>
                </c:pt>
                <c:pt idx="224">
                  <c:v>8.1016492887971154E-3</c:v>
                </c:pt>
                <c:pt idx="225">
                  <c:v>8.2164691668104185E-3</c:v>
                </c:pt>
                <c:pt idx="226">
                  <c:v>8.3277443849313331E-3</c:v>
                </c:pt>
                <c:pt idx="227">
                  <c:v>8.4354749513628775E-3</c:v>
                </c:pt>
                <c:pt idx="228">
                  <c:v>8.5396606259672183E-3</c:v>
                </c:pt>
                <c:pt idx="229">
                  <c:v>8.6403009295112996E-3</c:v>
                </c:pt>
                <c:pt idx="230">
                  <c:v>8.7373951530228238E-3</c:v>
                </c:pt>
                <c:pt idx="231">
                  <c:v>8.8309423671734388E-3</c:v>
                </c:pt>
                <c:pt idx="232">
                  <c:v>8.920941431506001E-3</c:v>
                </c:pt>
                <c:pt idx="233">
                  <c:v>8.9935452906826311E-3</c:v>
                </c:pt>
                <c:pt idx="234">
                  <c:v>9.0470949257578873E-3</c:v>
                </c:pt>
                <c:pt idx="235">
                  <c:v>9.0815924780522309E-3</c:v>
                </c:pt>
                <c:pt idx="236">
                  <c:v>9.0970420708545111E-3</c:v>
                </c:pt>
                <c:pt idx="237">
                  <c:v>9.0934423719895904E-3</c:v>
                </c:pt>
                <c:pt idx="238">
                  <c:v>9.0707914017540466E-3</c:v>
                </c:pt>
                <c:pt idx="239">
                  <c:v>9.0247705269321122E-3</c:v>
                </c:pt>
                <c:pt idx="240">
                  <c:v>8.9606306581169835E-3</c:v>
                </c:pt>
                <c:pt idx="241">
                  <c:v>8.8783678510175722E-3</c:v>
                </c:pt>
                <c:pt idx="242">
                  <c:v>8.7779774349071148E-3</c:v>
                </c:pt>
                <c:pt idx="243">
                  <c:v>8.659453985949337E-3</c:v>
                </c:pt>
                <c:pt idx="244">
                  <c:v>8.5227913004777989E-3</c:v>
                </c:pt>
                <c:pt idx="245">
                  <c:v>8.367982368198296E-3</c:v>
                </c:pt>
                <c:pt idx="246">
                  <c:v>8.1950193453857231E-3</c:v>
                </c:pt>
                <c:pt idx="247">
                  <c:v>8.0053066503984992E-3</c:v>
                </c:pt>
                <c:pt idx="248">
                  <c:v>7.8126980297610078E-3</c:v>
                </c:pt>
                <c:pt idx="249">
                  <c:v>7.61718924767387E-3</c:v>
                </c:pt>
                <c:pt idx="250">
                  <c:v>7.4187758237812505E-3</c:v>
                </c:pt>
                <c:pt idx="251">
                  <c:v>7.2174530290678302E-3</c:v>
                </c:pt>
                <c:pt idx="252">
                  <c:v>7.0132158814787647E-3</c:v>
                </c:pt>
                <c:pt idx="253">
                  <c:v>6.8067707483441611E-3</c:v>
                </c:pt>
                <c:pt idx="254">
                  <c:v>6.6024364344201949E-3</c:v>
                </c:pt>
                <c:pt idx="255">
                  <c:v>6.4002099647144607E-3</c:v>
                </c:pt>
                <c:pt idx="256">
                  <c:v>6.2000883500951164E-3</c:v>
                </c:pt>
                <c:pt idx="257">
                  <c:v>6.00206859037018E-3</c:v>
                </c:pt>
                <c:pt idx="258">
                  <c:v>5.8061476774219183E-3</c:v>
                </c:pt>
                <c:pt idx="259">
                  <c:v>5.6123225984045762E-3</c:v>
                </c:pt>
                <c:pt idx="260">
                  <c:v>5.4205903387894725E-3</c:v>
                </c:pt>
                <c:pt idx="261">
                  <c:v>5.2361053494423748E-3</c:v>
                </c:pt>
                <c:pt idx="262">
                  <c:v>5.0574513736030644E-3</c:v>
                </c:pt>
                <c:pt idx="263">
                  <c:v>4.8846284191038959E-3</c:v>
                </c:pt>
                <c:pt idx="264">
                  <c:v>4.7176369126471001E-3</c:v>
                </c:pt>
                <c:pt idx="265">
                  <c:v>4.556497880011068E-3</c:v>
                </c:pt>
                <c:pt idx="266">
                  <c:v>4.4012201284325397E-3</c:v>
                </c:pt>
                <c:pt idx="267">
                  <c:v>4.276021639317994E-3</c:v>
                </c:pt>
                <c:pt idx="268">
                  <c:v>4.1802064656138397E-3</c:v>
                </c:pt>
                <c:pt idx="269">
                  <c:v>4.1137952254507761E-3</c:v>
                </c:pt>
                <c:pt idx="270">
                  <c:v>4.0768113111288081E-3</c:v>
                </c:pt>
                <c:pt idx="271">
                  <c:v>4.0692806186435719E-3</c:v>
                </c:pt>
                <c:pt idx="272">
                  <c:v>4.0912312773105537E-3</c:v>
                </c:pt>
                <c:pt idx="273">
                  <c:v>4.1426933793453843E-3</c:v>
                </c:pt>
                <c:pt idx="274">
                  <c:v>4.2236987094885423E-3</c:v>
                </c:pt>
                <c:pt idx="275">
                  <c:v>4.3526053274654331E-3</c:v>
                </c:pt>
                <c:pt idx="276">
                  <c:v>4.5242868468648037E-3</c:v>
                </c:pt>
                <c:pt idx="277">
                  <c:v>4.7387953478626316E-3</c:v>
                </c:pt>
                <c:pt idx="278">
                  <c:v>4.9961839048516888E-3</c:v>
                </c:pt>
                <c:pt idx="279">
                  <c:v>5.2965061954594753E-3</c:v>
                </c:pt>
                <c:pt idx="280">
                  <c:v>5.6398161096055362E-3</c:v>
                </c:pt>
                <c:pt idx="281">
                  <c:v>6.004757052954602E-3</c:v>
                </c:pt>
                <c:pt idx="282">
                  <c:v>6.3669855982214441E-3</c:v>
                </c:pt>
                <c:pt idx="283">
                  <c:v>6.7264938185640057E-3</c:v>
                </c:pt>
                <c:pt idx="284">
                  <c:v>7.0832724566410781E-3</c:v>
                </c:pt>
                <c:pt idx="285">
                  <c:v>7.4373109523967846E-3</c:v>
                </c:pt>
                <c:pt idx="286">
                  <c:v>7.7885974709015551E-3</c:v>
                </c:pt>
                <c:pt idx="287">
                  <c:v>8.1371189301369211E-3</c:v>
                </c:pt>
                <c:pt idx="288">
                  <c:v>8.4828610288010028E-3</c:v>
                </c:pt>
                <c:pt idx="289">
                  <c:v>8.86314062228339E-3</c:v>
                </c:pt>
                <c:pt idx="290">
                  <c:v>9.2595448810422597E-3</c:v>
                </c:pt>
                <c:pt idx="291">
                  <c:v>9.6720786701841414E-3</c:v>
                </c:pt>
                <c:pt idx="292">
                  <c:v>1.0100744807049778E-2</c:v>
                </c:pt>
                <c:pt idx="293">
                  <c:v>1.054554391673806E-2</c:v>
                </c:pt>
                <c:pt idx="294">
                  <c:v>1.1006474287602146E-2</c:v>
                </c:pt>
                <c:pt idx="295">
                  <c:v>1.157291327968109E-2</c:v>
                </c:pt>
                <c:pt idx="296">
                  <c:v>1.2266620813645565E-2</c:v>
                </c:pt>
                <c:pt idx="297">
                  <c:v>1.3087819625226026E-2</c:v>
                </c:pt>
                <c:pt idx="298">
                  <c:v>1.4036658209384198E-2</c:v>
                </c:pt>
                <c:pt idx="299">
                  <c:v>1.5113286062918951E-2</c:v>
                </c:pt>
                <c:pt idx="300">
                  <c:v>1.6317852703753744E-2</c:v>
                </c:pt>
                <c:pt idx="301">
                  <c:v>1.7650506690189523E-2</c:v>
                </c:pt>
                <c:pt idx="302">
                  <c:v>1.9111394640185686E-2</c:v>
                </c:pt>
                <c:pt idx="303">
                  <c:v>2.0725409837699115E-2</c:v>
                </c:pt>
                <c:pt idx="304">
                  <c:v>2.2455167777103296E-2</c:v>
                </c:pt>
                <c:pt idx="305">
                  <c:v>2.4300788037079229E-2</c:v>
                </c:pt>
                <c:pt idx="306">
                  <c:v>2.6262384355777806E-2</c:v>
                </c:pt>
                <c:pt idx="307">
                  <c:v>2.8340063748744055E-2</c:v>
                </c:pt>
                <c:pt idx="308">
                  <c:v>3.0533925626648098E-2</c:v>
                </c:pt>
                <c:pt idx="309">
                  <c:v>3.2835638659882482E-2</c:v>
                </c:pt>
                <c:pt idx="310">
                  <c:v>3.5155367321529109E-2</c:v>
                </c:pt>
                <c:pt idx="311">
                  <c:v>3.7493071450255766E-2</c:v>
                </c:pt>
                <c:pt idx="312">
                  <c:v>3.9848703258859815E-2</c:v>
                </c:pt>
                <c:pt idx="313">
                  <c:v>4.2222207208351938E-2</c:v>
                </c:pt>
                <c:pt idx="314">
                  <c:v>4.4613519881747589E-2</c:v>
                </c:pt>
                <c:pt idx="315">
                  <c:v>4.7022569858294332E-2</c:v>
                </c:pt>
                <c:pt idx="316">
                  <c:v>4.9449277587149981E-2</c:v>
                </c:pt>
                <c:pt idx="317">
                  <c:v>5.1850508840612784E-2</c:v>
                </c:pt>
                <c:pt idx="318">
                  <c:v>5.4201238360531694E-2</c:v>
                </c:pt>
                <c:pt idx="319">
                  <c:v>5.6501299980589122E-2</c:v>
                </c:pt>
                <c:pt idx="320">
                  <c:v>5.8750523931987597E-2</c:v>
                </c:pt>
                <c:pt idx="321">
                  <c:v>6.0948737238503137E-2</c:v>
                </c:pt>
                <c:pt idx="322">
                  <c:v>6.3095764111792768E-2</c:v>
                </c:pt>
                <c:pt idx="323">
                  <c:v>6.5110139617143695E-2</c:v>
                </c:pt>
                <c:pt idx="324">
                  <c:v>6.7000088080772971E-2</c:v>
                </c:pt>
                <c:pt idx="325">
                  <c:v>6.8765379039029809E-2</c:v>
                </c:pt>
                <c:pt idx="326">
                  <c:v>7.0405420724495169E-2</c:v>
                </c:pt>
                <c:pt idx="327">
                  <c:v>7.1919846907802093E-2</c:v>
                </c:pt>
                <c:pt idx="328">
                  <c:v>7.3308608826520044E-2</c:v>
                </c:pt>
                <c:pt idx="329">
                  <c:v>7.4571684731594867E-2</c:v>
                </c:pt>
                <c:pt idx="330">
                  <c:v>7.5709077713313019E-2</c:v>
                </c:pt>
                <c:pt idx="331">
                  <c:v>7.6670461926508671E-2</c:v>
                </c:pt>
                <c:pt idx="332">
                  <c:v>7.7499054129061037E-2</c:v>
                </c:pt>
                <c:pt idx="333">
                  <c:v>7.819491953439027E-2</c:v>
                </c:pt>
                <c:pt idx="334">
                  <c:v>7.8758139675784308E-2</c:v>
                </c:pt>
                <c:pt idx="335">
                  <c:v>7.9188810108273236E-2</c:v>
                </c:pt>
                <c:pt idx="336">
                  <c:v>7.9487038109647426E-2</c:v>
                </c:pt>
                <c:pt idx="337">
                  <c:v>7.9650500136346239E-2</c:v>
                </c:pt>
                <c:pt idx="338">
                  <c:v>7.9760744152839014E-2</c:v>
                </c:pt>
                <c:pt idx="339">
                  <c:v>7.9817903797611348E-2</c:v>
                </c:pt>
                <c:pt idx="340">
                  <c:v>7.9822114388785531E-2</c:v>
                </c:pt>
                <c:pt idx="341">
                  <c:v>7.9773512003316518E-2</c:v>
                </c:pt>
                <c:pt idx="342">
                  <c:v>7.9672232556134537E-2</c:v>
                </c:pt>
                <c:pt idx="343">
                  <c:v>7.9518410878480397E-2</c:v>
                </c:pt>
                <c:pt idx="344">
                  <c:v>7.9312179797291674E-2</c:v>
                </c:pt>
                <c:pt idx="345">
                  <c:v>7.9053669213883737E-2</c:v>
                </c:pt>
                <c:pt idx="346">
                  <c:v>7.8811789347094555E-2</c:v>
                </c:pt>
                <c:pt idx="347">
                  <c:v>7.8586672980797009E-2</c:v>
                </c:pt>
                <c:pt idx="348">
                  <c:v>7.8378452243869079E-2</c:v>
                </c:pt>
                <c:pt idx="349">
                  <c:v>7.8187258888008315E-2</c:v>
                </c:pt>
                <c:pt idx="350">
                  <c:v>7.8013224567086717E-2</c:v>
                </c:pt>
                <c:pt idx="351">
                  <c:v>7.7874893259454195E-2</c:v>
                </c:pt>
                <c:pt idx="352">
                  <c:v>7.777484684229892E-2</c:v>
                </c:pt>
                <c:pt idx="353">
                  <c:v>7.771322919396588E-2</c:v>
                </c:pt>
                <c:pt idx="354">
                  <c:v>7.7690188171626748E-2</c:v>
                </c:pt>
                <c:pt idx="355">
                  <c:v>7.7705876249877306E-2</c:v>
                </c:pt>
                <c:pt idx="356">
                  <c:v>7.7760496252544067E-2</c:v>
                </c:pt>
                <c:pt idx="357">
                  <c:v>7.7854066406668573E-2</c:v>
                </c:pt>
                <c:pt idx="358">
                  <c:v>7.7986453190239932E-2</c:v>
                </c:pt>
                <c:pt idx="359">
                  <c:v>7.8157527686495337E-2</c:v>
                </c:pt>
                <c:pt idx="360">
                  <c:v>7.8364717918719448E-2</c:v>
                </c:pt>
                <c:pt idx="361">
                  <c:v>7.858944303544696E-2</c:v>
                </c:pt>
                <c:pt idx="362">
                  <c:v>7.8831560797899117E-2</c:v>
                </c:pt>
                <c:pt idx="363">
                  <c:v>7.9090928712517702E-2</c:v>
                </c:pt>
                <c:pt idx="364">
                  <c:v>7.9367403688356916E-2</c:v>
                </c:pt>
                <c:pt idx="365">
                  <c:v>7.966084169367256E-2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9.0940694098893729E-2</c:v>
                </c:pt>
                <c:pt idx="1">
                  <c:v>9.1355414844534466E-2</c:v>
                </c:pt>
                <c:pt idx="2">
                  <c:v>9.1736705462698354E-2</c:v>
                </c:pt>
                <c:pt idx="3">
                  <c:v>9.2084332857767251E-2</c:v>
                </c:pt>
                <c:pt idx="4">
                  <c:v>9.2398060532593793E-2</c:v>
                </c:pt>
                <c:pt idx="5">
                  <c:v>9.2677649320787536E-2</c:v>
                </c:pt>
                <c:pt idx="6">
                  <c:v>9.2922858119996718E-2</c:v>
                </c:pt>
                <c:pt idx="7">
                  <c:v>9.313344462344153E-2</c:v>
                </c:pt>
                <c:pt idx="8">
                  <c:v>9.330916605253009E-2</c:v>
                </c:pt>
                <c:pt idx="9">
                  <c:v>9.3338741286532412E-2</c:v>
                </c:pt>
                <c:pt idx="10">
                  <c:v>9.3213247154827997E-2</c:v>
                </c:pt>
                <c:pt idx="11">
                  <c:v>9.2932323387209539E-2</c:v>
                </c:pt>
                <c:pt idx="12">
                  <c:v>9.2495624842206955E-2</c:v>
                </c:pt>
                <c:pt idx="13">
                  <c:v>9.190282479455214E-2</c:v>
                </c:pt>
                <c:pt idx="14">
                  <c:v>9.1153618221324159E-2</c:v>
                </c:pt>
                <c:pt idx="15">
                  <c:v>9.0183812662303686E-2</c:v>
                </c:pt>
                <c:pt idx="16">
                  <c:v>8.9036047197986232E-2</c:v>
                </c:pt>
                <c:pt idx="17">
                  <c:v>8.7710093056108718E-2</c:v>
                </c:pt>
                <c:pt idx="18">
                  <c:v>8.6205760524563635E-2</c:v>
                </c:pt>
                <c:pt idx="19">
                  <c:v>8.4523298983577688E-2</c:v>
                </c:pt>
                <c:pt idx="20">
                  <c:v>8.2663144570513644E-2</c:v>
                </c:pt>
                <c:pt idx="21">
                  <c:v>8.0625430565074874E-2</c:v>
                </c:pt>
                <c:pt idx="22">
                  <c:v>7.8410303867599951E-2</c:v>
                </c:pt>
                <c:pt idx="23">
                  <c:v>7.5994822177901725E-2</c:v>
                </c:pt>
                <c:pt idx="24">
                  <c:v>7.3490549082804141E-2</c:v>
                </c:pt>
                <c:pt idx="25">
                  <c:v>7.0897674997187063E-2</c:v>
                </c:pt>
                <c:pt idx="26">
                  <c:v>6.8216388263118863E-2</c:v>
                </c:pt>
                <c:pt idx="27">
                  <c:v>6.5446874233797261E-2</c:v>
                </c:pt>
                <c:pt idx="28">
                  <c:v>6.2589314358767342E-2</c:v>
                </c:pt>
                <c:pt idx="29">
                  <c:v>5.9664177303398992E-2</c:v>
                </c:pt>
                <c:pt idx="30">
                  <c:v>5.6735634467930555E-2</c:v>
                </c:pt>
                <c:pt idx="31">
                  <c:v>5.3803841915793606E-2</c:v>
                </c:pt>
                <c:pt idx="32">
                  <c:v>5.0868943571436946E-2</c:v>
                </c:pt>
                <c:pt idx="33">
                  <c:v>4.7931071190688464E-2</c:v>
                </c:pt>
                <c:pt idx="34">
                  <c:v>4.4990344331319175E-2</c:v>
                </c:pt>
                <c:pt idx="35">
                  <c:v>4.2046870323541395E-2</c:v>
                </c:pt>
                <c:pt idx="36">
                  <c:v>3.9100744240414341E-2</c:v>
                </c:pt>
                <c:pt idx="37">
                  <c:v>3.6271436094021135E-2</c:v>
                </c:pt>
                <c:pt idx="38">
                  <c:v>3.358208447252204E-2</c:v>
                </c:pt>
                <c:pt idx="39">
                  <c:v>3.103271513182208E-2</c:v>
                </c:pt>
                <c:pt idx="40">
                  <c:v>2.8623341267470376E-2</c:v>
                </c:pt>
                <c:pt idx="41">
                  <c:v>2.6353964983259079E-2</c:v>
                </c:pt>
                <c:pt idx="42">
                  <c:v>2.422457875961052E-2</c:v>
                </c:pt>
                <c:pt idx="43">
                  <c:v>2.2289460424410972E-2</c:v>
                </c:pt>
                <c:pt idx="44">
                  <c:v>2.0528302686417591E-2</c:v>
                </c:pt>
                <c:pt idx="45">
                  <c:v>1.8941072237284137E-2</c:v>
                </c:pt>
                <c:pt idx="46">
                  <c:v>1.7527733371382411E-2</c:v>
                </c:pt>
                <c:pt idx="47">
                  <c:v>1.6288249812161287E-2</c:v>
                </c:pt>
                <c:pt idx="48">
                  <c:v>1.5222586538290847E-2</c:v>
                </c:pt>
                <c:pt idx="49">
                  <c:v>1.4330711609949179E-2</c:v>
                </c:pt>
                <c:pt idx="50">
                  <c:v>1.3612597995022535E-2</c:v>
                </c:pt>
                <c:pt idx="51">
                  <c:v>1.304233384361963E-2</c:v>
                </c:pt>
                <c:pt idx="52">
                  <c:v>1.2500558283421269E-2</c:v>
                </c:pt>
                <c:pt idx="53">
                  <c:v>1.1987205331038808E-2</c:v>
                </c:pt>
                <c:pt idx="54">
                  <c:v>1.1502266829496025E-2</c:v>
                </c:pt>
                <c:pt idx="55">
                  <c:v>1.104573565373787E-2</c:v>
                </c:pt>
                <c:pt idx="56">
                  <c:v>1.0617605622373877E-2</c:v>
                </c:pt>
                <c:pt idx="57">
                  <c:v>1.0236070980766435E-2</c:v>
                </c:pt>
                <c:pt idx="58">
                  <c:v>9.8468535792950434E-3</c:v>
                </c:pt>
                <c:pt idx="59">
                  <c:v>9.4499490098554646E-3</c:v>
                </c:pt>
                <c:pt idx="60">
                  <c:v>9.0453533136118161E-3</c:v>
                </c:pt>
                <c:pt idx="61">
                  <c:v>8.6330630049161975E-3</c:v>
                </c:pt>
                <c:pt idx="62">
                  <c:v>8.2130750952172146E-3</c:v>
                </c:pt>
                <c:pt idx="63">
                  <c:v>7.785387116990612E-3</c:v>
                </c:pt>
                <c:pt idx="64">
                  <c:v>7.3499971476412886E-3</c:v>
                </c:pt>
                <c:pt idx="65">
                  <c:v>6.9366535123089081E-3</c:v>
                </c:pt>
                <c:pt idx="66">
                  <c:v>6.5712481728806629E-3</c:v>
                </c:pt>
                <c:pt idx="67">
                  <c:v>6.2537810062034726E-3</c:v>
                </c:pt>
                <c:pt idx="68">
                  <c:v>5.9842518454540994E-3</c:v>
                </c:pt>
                <c:pt idx="69">
                  <c:v>5.7626603310295642E-3</c:v>
                </c:pt>
                <c:pt idx="70">
                  <c:v>5.5890057614635122E-3</c:v>
                </c:pt>
                <c:pt idx="71">
                  <c:v>5.4706560911501681E-3</c:v>
                </c:pt>
                <c:pt idx="72">
                  <c:v>5.3894093713934459E-3</c:v>
                </c:pt>
                <c:pt idx="73">
                  <c:v>5.3452634004974298E-3</c:v>
                </c:pt>
                <c:pt idx="74">
                  <c:v>5.3382152766019873E-3</c:v>
                </c:pt>
                <c:pt idx="75">
                  <c:v>5.3682612822750185E-3</c:v>
                </c:pt>
                <c:pt idx="76">
                  <c:v>5.4353967690906821E-3</c:v>
                </c:pt>
                <c:pt idx="77">
                  <c:v>5.539616042222275E-3</c:v>
                </c:pt>
                <c:pt idx="78">
                  <c:v>5.6809124035402088E-3</c:v>
                </c:pt>
                <c:pt idx="79">
                  <c:v>5.8588920746891751E-3</c:v>
                </c:pt>
                <c:pt idx="80">
                  <c:v>6.0438197615067793E-3</c:v>
                </c:pt>
                <c:pt idx="81">
                  <c:v>6.2356929348212665E-3</c:v>
                </c:pt>
                <c:pt idx="82">
                  <c:v>6.4345088491500509E-3</c:v>
                </c:pt>
                <c:pt idx="83">
                  <c:v>6.6402645239500091E-3</c:v>
                </c:pt>
                <c:pt idx="84">
                  <c:v>6.8529567248861237E-3</c:v>
                </c:pt>
                <c:pt idx="85">
                  <c:v>7.0744122932319868E-3</c:v>
                </c:pt>
                <c:pt idx="86">
                  <c:v>7.2972617095119026E-3</c:v>
                </c:pt>
                <c:pt idx="87">
                  <c:v>7.5215016413581271E-3</c:v>
                </c:pt>
                <c:pt idx="88">
                  <c:v>7.7471284987157977E-3</c:v>
                </c:pt>
                <c:pt idx="89">
                  <c:v>7.9741384300073808E-3</c:v>
                </c:pt>
                <c:pt idx="90">
                  <c:v>8.2025273182833643E-3</c:v>
                </c:pt>
                <c:pt idx="91">
                  <c:v>8.4322907773980629E-3</c:v>
                </c:pt>
                <c:pt idx="92">
                  <c:v>8.6634241481685272E-3</c:v>
                </c:pt>
                <c:pt idx="93">
                  <c:v>8.8928647791557975E-3</c:v>
                </c:pt>
                <c:pt idx="94">
                  <c:v>9.1210127807861419E-3</c:v>
                </c:pt>
                <c:pt idx="95">
                  <c:v>9.3478632664954191E-3</c:v>
                </c:pt>
                <c:pt idx="96">
                  <c:v>9.573411133938595E-3</c:v>
                </c:pt>
                <c:pt idx="97">
                  <c:v>9.7976510683422061E-3</c:v>
                </c:pt>
                <c:pt idx="98">
                  <c:v>1.0020577545788414E-2</c:v>
                </c:pt>
                <c:pt idx="99">
                  <c:v>1.0226914054546827E-2</c:v>
                </c:pt>
                <c:pt idx="100">
                  <c:v>1.0414830602972153E-2</c:v>
                </c:pt>
                <c:pt idx="101">
                  <c:v>1.0584326592333862E-2</c:v>
                </c:pt>
                <c:pt idx="102">
                  <c:v>1.0735401857567528E-2</c:v>
                </c:pt>
                <c:pt idx="103">
                  <c:v>1.0868056716583202E-2</c:v>
                </c:pt>
                <c:pt idx="104">
                  <c:v>1.0982292019782888E-2</c:v>
                </c:pt>
                <c:pt idx="105">
                  <c:v>1.1078109199384871E-2</c:v>
                </c:pt>
                <c:pt idx="106">
                  <c:v>1.1155510318855718E-2</c:v>
                </c:pt>
                <c:pt idx="107">
                  <c:v>1.1206881227892547E-2</c:v>
                </c:pt>
                <c:pt idx="108">
                  <c:v>1.1235281726371905E-2</c:v>
                </c:pt>
                <c:pt idx="109">
                  <c:v>1.1240718414358501E-2</c:v>
                </c:pt>
                <c:pt idx="110">
                  <c:v>1.1223225802931414E-2</c:v>
                </c:pt>
                <c:pt idx="111">
                  <c:v>1.1182839800271299E-2</c:v>
                </c:pt>
                <c:pt idx="112">
                  <c:v>1.1119570276310865E-2</c:v>
                </c:pt>
                <c:pt idx="113">
                  <c:v>1.1034853549319941E-2</c:v>
                </c:pt>
                <c:pt idx="114">
                  <c:v>1.0943938329288418E-2</c:v>
                </c:pt>
                <c:pt idx="115">
                  <c:v>1.0846827054913461E-2</c:v>
                </c:pt>
                <c:pt idx="116">
                  <c:v>1.0743522392269387E-2</c:v>
                </c:pt>
                <c:pt idx="117">
                  <c:v>1.0634027246230944E-2</c:v>
                </c:pt>
                <c:pt idx="118">
                  <c:v>1.0518344771803141E-2</c:v>
                </c:pt>
                <c:pt idx="119">
                  <c:v>1.0396478385477565E-2</c:v>
                </c:pt>
                <c:pt idx="120">
                  <c:v>1.026843177657483E-2</c:v>
                </c:pt>
                <c:pt idx="121">
                  <c:v>1.0131837566897285E-2</c:v>
                </c:pt>
                <c:pt idx="122">
                  <c:v>9.9942973701443137E-3</c:v>
                </c:pt>
                <c:pt idx="123">
                  <c:v>9.8558122712481232E-3</c:v>
                </c:pt>
                <c:pt idx="124">
                  <c:v>9.7163834879319955E-3</c:v>
                </c:pt>
                <c:pt idx="125">
                  <c:v>9.5760123725221764E-3</c:v>
                </c:pt>
                <c:pt idx="126">
                  <c:v>9.4347004136432402E-3</c:v>
                </c:pt>
                <c:pt idx="127">
                  <c:v>9.2882509348319025E-3</c:v>
                </c:pt>
                <c:pt idx="128">
                  <c:v>9.1352476519005171E-3</c:v>
                </c:pt>
                <c:pt idx="129">
                  <c:v>8.97569701485172E-3</c:v>
                </c:pt>
                <c:pt idx="130">
                  <c:v>8.8096058589740966E-3</c:v>
                </c:pt>
                <c:pt idx="131">
                  <c:v>8.6369814168554913E-3</c:v>
                </c:pt>
                <c:pt idx="132">
                  <c:v>8.4578313304735104E-3</c:v>
                </c:pt>
                <c:pt idx="133">
                  <c:v>8.2721636633305371E-3</c:v>
                </c:pt>
                <c:pt idx="134">
                  <c:v>8.079986912548633E-3</c:v>
                </c:pt>
                <c:pt idx="135">
                  <c:v>7.8814685421895389E-3</c:v>
                </c:pt>
                <c:pt idx="136">
                  <c:v>7.6789797060970539E-3</c:v>
                </c:pt>
                <c:pt idx="137">
                  <c:v>7.4725277989642373E-3</c:v>
                </c:pt>
                <c:pt idx="138">
                  <c:v>7.2621205675690026E-3</c:v>
                </c:pt>
                <c:pt idx="139">
                  <c:v>7.047766118366959E-3</c:v>
                </c:pt>
                <c:pt idx="140">
                  <c:v>6.8294729247350338E-3</c:v>
                </c:pt>
                <c:pt idx="141">
                  <c:v>6.6119210377281459E-3</c:v>
                </c:pt>
                <c:pt idx="142">
                  <c:v>6.3992636268759215E-3</c:v>
                </c:pt>
                <c:pt idx="143">
                  <c:v>6.1914797024662412E-3</c:v>
                </c:pt>
                <c:pt idx="144">
                  <c:v>5.9885813150315831E-3</c:v>
                </c:pt>
                <c:pt idx="145">
                  <c:v>5.7905791150259763E-3</c:v>
                </c:pt>
                <c:pt idx="146">
                  <c:v>5.5974824071481138E-3</c:v>
                </c:pt>
                <c:pt idx="147">
                  <c:v>5.409299204834254E-3</c:v>
                </c:pt>
                <c:pt idx="148">
                  <c:v>5.2260362846296114E-3</c:v>
                </c:pt>
                <c:pt idx="149">
                  <c:v>5.048595010121215E-3</c:v>
                </c:pt>
                <c:pt idx="150">
                  <c:v>4.8768209559500722E-3</c:v>
                </c:pt>
                <c:pt idx="151">
                  <c:v>4.7107163856789968E-3</c:v>
                </c:pt>
                <c:pt idx="152">
                  <c:v>4.5502825132918692E-3</c:v>
                </c:pt>
                <c:pt idx="153">
                  <c:v>4.3955195659295641E-3</c:v>
                </c:pt>
                <c:pt idx="154">
                  <c:v>4.2464268466486351E-3</c:v>
                </c:pt>
                <c:pt idx="155">
                  <c:v>4.1060660995586445E-3</c:v>
                </c:pt>
                <c:pt idx="156">
                  <c:v>3.9697916938470574E-3</c:v>
                </c:pt>
                <c:pt idx="157">
                  <c:v>3.8376030266086126E-3</c:v>
                </c:pt>
                <c:pt idx="158">
                  <c:v>3.7094988450676989E-3</c:v>
                </c:pt>
                <c:pt idx="159">
                  <c:v>3.5854772914240443E-3</c:v>
                </c:pt>
                <c:pt idx="160">
                  <c:v>3.465535947737589E-3</c:v>
                </c:pt>
                <c:pt idx="161">
                  <c:v>3.3496718807774222E-3</c:v>
                </c:pt>
                <c:pt idx="162">
                  <c:v>3.2378816868879712E-3</c:v>
                </c:pt>
                <c:pt idx="163">
                  <c:v>3.1360102674208739E-3</c:v>
                </c:pt>
                <c:pt idx="164">
                  <c:v>3.0431555594859806E-3</c:v>
                </c:pt>
                <c:pt idx="165">
                  <c:v>2.9593055750407582E-3</c:v>
                </c:pt>
                <c:pt idx="166">
                  <c:v>2.8844483034475483E-3</c:v>
                </c:pt>
                <c:pt idx="167">
                  <c:v>2.8185718127737218E-3</c:v>
                </c:pt>
                <c:pt idx="168">
                  <c:v>2.761664351170937E-3</c:v>
                </c:pt>
                <c:pt idx="169">
                  <c:v>2.7195458370838127E-3</c:v>
                </c:pt>
                <c:pt idx="170">
                  <c:v>2.6891572365747517E-3</c:v>
                </c:pt>
                <c:pt idx="171">
                  <c:v>2.6704844726042967E-3</c:v>
                </c:pt>
                <c:pt idx="172">
                  <c:v>2.6635143313145791E-3</c:v>
                </c:pt>
                <c:pt idx="173">
                  <c:v>2.6682117771540414E-3</c:v>
                </c:pt>
                <c:pt idx="174">
                  <c:v>2.6845411354466252E-3</c:v>
                </c:pt>
                <c:pt idx="175">
                  <c:v>2.7124889748046045E-3</c:v>
                </c:pt>
                <c:pt idx="176">
                  <c:v>2.7520419280033953E-3</c:v>
                </c:pt>
                <c:pt idx="177">
                  <c:v>2.8062176326631243E-3</c:v>
                </c:pt>
                <c:pt idx="178">
                  <c:v>2.8691902863046087E-3</c:v>
                </c:pt>
                <c:pt idx="179">
                  <c:v>2.9409505531397765E-3</c:v>
                </c:pt>
                <c:pt idx="180">
                  <c:v>3.0214893502754276E-3</c:v>
                </c:pt>
                <c:pt idx="181">
                  <c:v>3.110797891094167E-3</c:v>
                </c:pt>
                <c:pt idx="182">
                  <c:v>3.2088677286563724E-3</c:v>
                </c:pt>
                <c:pt idx="183">
                  <c:v>3.3165722014256486E-3</c:v>
                </c:pt>
                <c:pt idx="184">
                  <c:v>3.4281079296637697E-3</c:v>
                </c:pt>
                <c:pt idx="185">
                  <c:v>3.5434735708790278E-3</c:v>
                </c:pt>
                <c:pt idx="186">
                  <c:v>3.6626681300914545E-3</c:v>
                </c:pt>
                <c:pt idx="187">
                  <c:v>3.7856909790545891E-3</c:v>
                </c:pt>
                <c:pt idx="188">
                  <c:v>3.9125418754985689E-3</c:v>
                </c:pt>
                <c:pt idx="189">
                  <c:v>4.0432209822766968E-3</c:v>
                </c:pt>
                <c:pt idx="190">
                  <c:v>4.1777288866475396E-3</c:v>
                </c:pt>
                <c:pt idx="191">
                  <c:v>4.3206331930045723E-3</c:v>
                </c:pt>
                <c:pt idx="192">
                  <c:v>4.4689174477018489E-3</c:v>
                </c:pt>
                <c:pt idx="193">
                  <c:v>4.6225821875003122E-3</c:v>
                </c:pt>
                <c:pt idx="194">
                  <c:v>4.7816285491558176E-3</c:v>
                </c:pt>
                <c:pt idx="195">
                  <c:v>4.9460582963749599E-3</c:v>
                </c:pt>
                <c:pt idx="196">
                  <c:v>5.1158738466245213E-3</c:v>
                </c:pt>
                <c:pt idx="197">
                  <c:v>5.2912326549967087E-3</c:v>
                </c:pt>
                <c:pt idx="198">
                  <c:v>5.4712615950429817E-3</c:v>
                </c:pt>
                <c:pt idx="199">
                  <c:v>5.655965800279091E-3</c:v>
                </c:pt>
                <c:pt idx="200">
                  <c:v>5.8453511110662035E-3</c:v>
                </c:pt>
                <c:pt idx="201">
                  <c:v>6.0394240978667796E-3</c:v>
                </c:pt>
                <c:pt idx="202">
                  <c:v>6.2381920845215088E-3</c:v>
                </c:pt>
                <c:pt idx="203">
                  <c:v>6.4416631716420793E-3</c:v>
                </c:pt>
                <c:pt idx="204">
                  <c:v>6.6498372987571419E-3</c:v>
                </c:pt>
                <c:pt idx="205">
                  <c:v>6.8586396247495296E-3</c:v>
                </c:pt>
                <c:pt idx="206">
                  <c:v>7.0635271875897701E-3</c:v>
                </c:pt>
                <c:pt idx="207">
                  <c:v>7.264507454561614E-3</c:v>
                </c:pt>
                <c:pt idx="208">
                  <c:v>7.4615874133428517E-3</c:v>
                </c:pt>
                <c:pt idx="209">
                  <c:v>7.6547735820663215E-3</c:v>
                </c:pt>
                <c:pt idx="210">
                  <c:v>7.8440720195880435E-3</c:v>
                </c:pt>
                <c:pt idx="211">
                  <c:v>8.0271942414713218E-3</c:v>
                </c:pt>
                <c:pt idx="212">
                  <c:v>8.2039923183863644E-3</c:v>
                </c:pt>
                <c:pt idx="213">
                  <c:v>8.3744717086825394E-3</c:v>
                </c:pt>
                <c:pt idx="214">
                  <c:v>8.5386373131050713E-3</c:v>
                </c:pt>
                <c:pt idx="215">
                  <c:v>8.6964934912961683E-3</c:v>
                </c:pt>
                <c:pt idx="216">
                  <c:v>8.848044078272152E-3</c:v>
                </c:pt>
                <c:pt idx="217">
                  <c:v>8.9932924009290174E-3</c:v>
                </c:pt>
                <c:pt idx="218">
                  <c:v>9.1322412945077595E-3</c:v>
                </c:pt>
                <c:pt idx="219">
                  <c:v>9.2662694728887253E-3</c:v>
                </c:pt>
                <c:pt idx="220">
                  <c:v>9.3994429841732698E-3</c:v>
                </c:pt>
                <c:pt idx="221">
                  <c:v>9.5317627117701559E-3</c:v>
                </c:pt>
                <c:pt idx="222">
                  <c:v>9.6632293580530392E-3</c:v>
                </c:pt>
                <c:pt idx="223">
                  <c:v>9.7938434468742234E-3</c:v>
                </c:pt>
                <c:pt idx="224">
                  <c:v>9.9236053258881518E-3</c:v>
                </c:pt>
                <c:pt idx="225">
                  <c:v>1.0045171342678237E-2</c:v>
                </c:pt>
                <c:pt idx="226">
                  <c:v>1.016083373092329E-2</c:v>
                </c:pt>
                <c:pt idx="227">
                  <c:v>1.0270592123870007E-2</c:v>
                </c:pt>
                <c:pt idx="228">
                  <c:v>1.0374445814243223E-2</c:v>
                </c:pt>
                <c:pt idx="229">
                  <c:v>1.0472393769620955E-2</c:v>
                </c:pt>
                <c:pt idx="230">
                  <c:v>1.0564434647944156E-2</c:v>
                </c:pt>
                <c:pt idx="231">
                  <c:v>1.0650566813058841E-2</c:v>
                </c:pt>
                <c:pt idx="232">
                  <c:v>1.073078835006956E-2</c:v>
                </c:pt>
                <c:pt idx="233">
                  <c:v>1.0790385658617901E-2</c:v>
                </c:pt>
                <c:pt idx="234">
                  <c:v>1.0827978132817691E-2</c:v>
                </c:pt>
                <c:pt idx="235">
                  <c:v>1.0843568070225242E-2</c:v>
                </c:pt>
                <c:pt idx="236">
                  <c:v>1.083716010689892E-2</c:v>
                </c:pt>
                <c:pt idx="237">
                  <c:v>1.0808752347012994E-2</c:v>
                </c:pt>
                <c:pt idx="238">
                  <c:v>1.0758342132646733E-2</c:v>
                </c:pt>
                <c:pt idx="239">
                  <c:v>1.0682980749064633E-2</c:v>
                </c:pt>
                <c:pt idx="240">
                  <c:v>1.059001106859892E-2</c:v>
                </c:pt>
                <c:pt idx="241">
                  <c:v>1.047942896414906E-2</c:v>
                </c:pt>
                <c:pt idx="242">
                  <c:v>1.0351229584240155E-2</c:v>
                </c:pt>
                <c:pt idx="243">
                  <c:v>1.0205407327105263E-2</c:v>
                </c:pt>
                <c:pt idx="244">
                  <c:v>1.0041955814712161E-2</c:v>
                </c:pt>
                <c:pt idx="245">
                  <c:v>9.8608678666994663E-3</c:v>
                </c:pt>
                <c:pt idx="246">
                  <c:v>9.6621354743063482E-3</c:v>
                </c:pt>
                <c:pt idx="247">
                  <c:v>9.4475134201688227E-3</c:v>
                </c:pt>
                <c:pt idx="248">
                  <c:v>9.2317222103886452E-3</c:v>
                </c:pt>
                <c:pt idx="249">
                  <c:v>9.0147579685706889E-3</c:v>
                </c:pt>
                <c:pt idx="250">
                  <c:v>8.7966166373574517E-3</c:v>
                </c:pt>
                <c:pt idx="251">
                  <c:v>8.5772939768911788E-3</c:v>
                </c:pt>
                <c:pt idx="252">
                  <c:v>8.3567855629485491E-3</c:v>
                </c:pt>
                <c:pt idx="253">
                  <c:v>8.1346962927677565E-3</c:v>
                </c:pt>
                <c:pt idx="254">
                  <c:v>7.913971852637005E-3</c:v>
                </c:pt>
                <c:pt idx="255">
                  <c:v>7.6946086554312391E-3</c:v>
                </c:pt>
                <c:pt idx="256">
                  <c:v>7.4766030524292685E-3</c:v>
                </c:pt>
                <c:pt idx="257">
                  <c:v>7.2599513352796415E-3</c:v>
                </c:pt>
                <c:pt idx="258">
                  <c:v>7.0446497380323913E-3</c:v>
                </c:pt>
                <c:pt idx="259">
                  <c:v>6.8306944392480416E-3</c:v>
                </c:pt>
                <c:pt idx="260">
                  <c:v>6.6180815639219279E-3</c:v>
                </c:pt>
                <c:pt idx="261">
                  <c:v>6.4139225317813133E-3</c:v>
                </c:pt>
                <c:pt idx="262">
                  <c:v>6.2164500635977201E-3</c:v>
                </c:pt>
                <c:pt idx="263">
                  <c:v>6.0256644292009387E-3</c:v>
                </c:pt>
                <c:pt idx="264">
                  <c:v>5.8415663999163555E-3</c:v>
                </c:pt>
                <c:pt idx="265">
                  <c:v>5.6641823383329079E-3</c:v>
                </c:pt>
                <c:pt idx="266">
                  <c:v>5.4935237528477487E-3</c:v>
                </c:pt>
                <c:pt idx="267">
                  <c:v>5.3583551250535365E-3</c:v>
                </c:pt>
                <c:pt idx="268">
                  <c:v>5.2590901648138814E-3</c:v>
                </c:pt>
                <c:pt idx="269">
                  <c:v>5.1957546926781053E-3</c:v>
                </c:pt>
                <c:pt idx="270">
                  <c:v>5.1683778525090885E-3</c:v>
                </c:pt>
                <c:pt idx="271">
                  <c:v>5.1769917811098094E-3</c:v>
                </c:pt>
                <c:pt idx="272">
                  <c:v>5.2216312779727742E-3</c:v>
                </c:pt>
                <c:pt idx="273">
                  <c:v>5.3023334749738513E-3</c:v>
                </c:pt>
                <c:pt idx="274">
                  <c:v>5.4191375061226716E-3</c:v>
                </c:pt>
                <c:pt idx="275">
                  <c:v>5.5897383659336613E-3</c:v>
                </c:pt>
                <c:pt idx="276">
                  <c:v>5.8070489198746604E-3</c:v>
                </c:pt>
                <c:pt idx="277">
                  <c:v>6.0711258473434742E-3</c:v>
                </c:pt>
                <c:pt idx="278">
                  <c:v>6.3820268040901433E-3</c:v>
                </c:pt>
                <c:pt idx="279">
                  <c:v>6.7398099955449488E-3</c:v>
                </c:pt>
                <c:pt idx="280">
                  <c:v>7.1445337501966633E-3</c:v>
                </c:pt>
                <c:pt idx="281">
                  <c:v>7.5710766438014483E-3</c:v>
                </c:pt>
                <c:pt idx="282">
                  <c:v>7.9905199158273096E-3</c:v>
                </c:pt>
                <c:pt idx="283">
                  <c:v>8.4028486413933023E-3</c:v>
                </c:pt>
                <c:pt idx="284">
                  <c:v>8.8080463364950314E-3</c:v>
                </c:pt>
                <c:pt idx="285">
                  <c:v>9.2060950264236593E-3</c:v>
                </c:pt>
                <c:pt idx="286">
                  <c:v>9.5969753142551868E-3</c:v>
                </c:pt>
                <c:pt idx="287">
                  <c:v>9.9806664492695634E-3</c:v>
                </c:pt>
                <c:pt idx="288">
                  <c:v>1.0357146395395742E-2</c:v>
                </c:pt>
                <c:pt idx="289">
                  <c:v>1.077935635886572E-2</c:v>
                </c:pt>
                <c:pt idx="290">
                  <c:v>1.1229570357544244E-2</c:v>
                </c:pt>
                <c:pt idx="291">
                  <c:v>1.1707805426348012E-2</c:v>
                </c:pt>
                <c:pt idx="292">
                  <c:v>1.2214075898520372E-2</c:v>
                </c:pt>
                <c:pt idx="293">
                  <c:v>1.274839315311114E-2</c:v>
                </c:pt>
                <c:pt idx="294">
                  <c:v>1.3310765362422575E-2</c:v>
                </c:pt>
                <c:pt idx="295">
                  <c:v>1.4017890964408211E-2</c:v>
                </c:pt>
                <c:pt idx="296">
                  <c:v>1.4895387090001775E-2</c:v>
                </c:pt>
                <c:pt idx="297">
                  <c:v>1.5943542336067554E-2</c:v>
                </c:pt>
                <c:pt idx="298">
                  <c:v>1.7162555929868002E-2</c:v>
                </c:pt>
                <c:pt idx="299">
                  <c:v>1.8552628597184959E-2</c:v>
                </c:pt>
                <c:pt idx="300">
                  <c:v>2.0113961249177695E-2</c:v>
                </c:pt>
                <c:pt idx="301">
                  <c:v>2.1846753669198766E-2</c:v>
                </c:pt>
                <c:pt idx="302">
                  <c:v>2.3751203199644366E-2</c:v>
                </c:pt>
                <c:pt idx="303">
                  <c:v>2.5847391849550316E-2</c:v>
                </c:pt>
                <c:pt idx="304">
                  <c:v>2.8082253120971429E-2</c:v>
                </c:pt>
                <c:pt idx="305">
                  <c:v>3.0455929216146458E-2</c:v>
                </c:pt>
                <c:pt idx="306">
                  <c:v>3.2968554840850685E-2</c:v>
                </c:pt>
                <c:pt idx="307">
                  <c:v>3.5620256148573337E-2</c:v>
                </c:pt>
                <c:pt idx="308">
                  <c:v>3.8411149684452084E-2</c:v>
                </c:pt>
                <c:pt idx="309">
                  <c:v>4.1318642584173733E-2</c:v>
                </c:pt>
                <c:pt idx="310">
                  <c:v>4.4225422553800853E-2</c:v>
                </c:pt>
                <c:pt idx="311">
                  <c:v>4.7131412347195832E-2</c:v>
                </c:pt>
                <c:pt idx="312">
                  <c:v>5.0036525916137664E-2</c:v>
                </c:pt>
                <c:pt idx="313">
                  <c:v>5.2940668431732563E-2</c:v>
                </c:pt>
                <c:pt idx="314">
                  <c:v>5.5843736305457657E-2</c:v>
                </c:pt>
                <c:pt idx="315">
                  <c:v>5.8745617210751028E-2</c:v>
                </c:pt>
                <c:pt idx="316">
                  <c:v>6.1646190103913888E-2</c:v>
                </c:pt>
                <c:pt idx="317">
                  <c:v>6.4482265349287735E-2</c:v>
                </c:pt>
                <c:pt idx="318">
                  <c:v>6.7233644550115559E-2</c:v>
                </c:pt>
                <c:pt idx="319">
                  <c:v>6.9900105833196155E-2</c:v>
                </c:pt>
                <c:pt idx="320">
                  <c:v>7.248142487751659E-2</c:v>
                </c:pt>
                <c:pt idx="321">
                  <c:v>7.4977375572648011E-2</c:v>
                </c:pt>
                <c:pt idx="322">
                  <c:v>7.7387730677450986E-2</c:v>
                </c:pt>
                <c:pt idx="323">
                  <c:v>7.9602303760126655E-2</c:v>
                </c:pt>
                <c:pt idx="324">
                  <c:v>8.1643597092200093E-2</c:v>
                </c:pt>
                <c:pt idx="325">
                  <c:v>8.3511326359418617E-2</c:v>
                </c:pt>
                <c:pt idx="326">
                  <c:v>8.5204772985787533E-2</c:v>
                </c:pt>
                <c:pt idx="327">
                  <c:v>8.6723499974474302E-2</c:v>
                </c:pt>
                <c:pt idx="328">
                  <c:v>8.8067458136786028E-2</c:v>
                </c:pt>
                <c:pt idx="329">
                  <c:v>8.9236631781063114E-2</c:v>
                </c:pt>
                <c:pt idx="330">
                  <c:v>9.0231035687353287E-2</c:v>
                </c:pt>
                <c:pt idx="331">
                  <c:v>9.1008226530910508E-2</c:v>
                </c:pt>
                <c:pt idx="332">
                  <c:v>9.1631520338392114E-2</c:v>
                </c:pt>
                <c:pt idx="333">
                  <c:v>9.2101011182170248E-2</c:v>
                </c:pt>
                <c:pt idx="334">
                  <c:v>9.2416809687777865E-2</c:v>
                </c:pt>
                <c:pt idx="335">
                  <c:v>9.2579040372196594E-2</c:v>
                </c:pt>
                <c:pt idx="336">
                  <c:v>9.2587838981133305E-2</c:v>
                </c:pt>
                <c:pt idx="337">
                  <c:v>9.2451838303933345E-2</c:v>
                </c:pt>
                <c:pt idx="338">
                  <c:v>9.2281334014172975E-2</c:v>
                </c:pt>
                <c:pt idx="339">
                  <c:v>9.2076486928440504E-2</c:v>
                </c:pt>
                <c:pt idx="340">
                  <c:v>9.1837457253079194E-2</c:v>
                </c:pt>
                <c:pt idx="341">
                  <c:v>9.1564403991284626E-2</c:v>
                </c:pt>
                <c:pt idx="342">
                  <c:v>9.1257484350136642E-2</c:v>
                </c:pt>
                <c:pt idx="343">
                  <c:v>9.0916853146705626E-2</c:v>
                </c:pt>
                <c:pt idx="344">
                  <c:v>9.0542662215366262E-2</c:v>
                </c:pt>
                <c:pt idx="345">
                  <c:v>9.013505981430163E-2</c:v>
                </c:pt>
                <c:pt idx="346">
                  <c:v>8.9760698491700722E-2</c:v>
                </c:pt>
                <c:pt idx="347">
                  <c:v>8.9419728690392622E-2</c:v>
                </c:pt>
                <c:pt idx="348">
                  <c:v>8.9112300364746308E-2</c:v>
                </c:pt>
                <c:pt idx="349">
                  <c:v>8.8838563546584801E-2</c:v>
                </c:pt>
                <c:pt idx="350">
                  <c:v>8.859866891285155E-2</c:v>
                </c:pt>
                <c:pt idx="351">
                  <c:v>8.8416777569970476E-2</c:v>
                </c:pt>
                <c:pt idx="352">
                  <c:v>8.8284557634660435E-2</c:v>
                </c:pt>
                <c:pt idx="353">
                  <c:v>8.8202173834546746E-2</c:v>
                </c:pt>
                <c:pt idx="354">
                  <c:v>8.8169796085339883E-2</c:v>
                </c:pt>
                <c:pt idx="355">
                  <c:v>8.818760032411023E-2</c:v>
                </c:pt>
                <c:pt idx="356">
                  <c:v>8.8255820521997555E-2</c:v>
                </c:pt>
                <c:pt idx="357">
                  <c:v>8.8374482134422741E-2</c:v>
                </c:pt>
                <c:pt idx="358">
                  <c:v>8.8543439311298863E-2</c:v>
                </c:pt>
                <c:pt idx="359">
                  <c:v>8.8762552207902135E-2</c:v>
                </c:pt>
                <c:pt idx="360">
                  <c:v>8.9040197490541415E-2</c:v>
                </c:pt>
                <c:pt idx="361">
                  <c:v>8.9352186127414635E-2</c:v>
                </c:pt>
                <c:pt idx="362">
                  <c:v>8.9698373927991681E-2</c:v>
                </c:pt>
                <c:pt idx="363">
                  <c:v>9.0078617227266608E-2</c:v>
                </c:pt>
                <c:pt idx="364">
                  <c:v>9.0492772187473591E-2</c:v>
                </c:pt>
                <c:pt idx="365">
                  <c:v>9.0940694098893729E-2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0.10312654892372131</c:v>
                </c:pt>
                <c:pt idx="1">
                  <c:v>0.10360706111400329</c:v>
                </c:pt>
                <c:pt idx="2">
                  <c:v>0.10408177604062774</c:v>
                </c:pt>
                <c:pt idx="3">
                  <c:v>0.10455046835809838</c:v>
                </c:pt>
                <c:pt idx="4">
                  <c:v>0.10501290892182392</c:v>
                </c:pt>
                <c:pt idx="5">
                  <c:v>0.1054688649308041</c:v>
                </c:pt>
                <c:pt idx="6">
                  <c:v>0.10591810007144788</c:v>
                </c:pt>
                <c:pt idx="7">
                  <c:v>0.10636037465940455</c:v>
                </c:pt>
                <c:pt idx="8">
                  <c:v>0.106795445782623</c:v>
                </c:pt>
                <c:pt idx="9">
                  <c:v>0.10709818311861048</c:v>
                </c:pt>
                <c:pt idx="10">
                  <c:v>0.10724933334670333</c:v>
                </c:pt>
                <c:pt idx="11">
                  <c:v>0.10724849956649167</c:v>
                </c:pt>
                <c:pt idx="12">
                  <c:v>0.10709529737736519</c:v>
                </c:pt>
                <c:pt idx="13">
                  <c:v>0.10678935809232087</c:v>
                </c:pt>
                <c:pt idx="14">
                  <c:v>0.10633033195023561</c:v>
                </c:pt>
                <c:pt idx="15">
                  <c:v>0.1056253018840267</c:v>
                </c:pt>
                <c:pt idx="16">
                  <c:v>0.10469950308808877</c:v>
                </c:pt>
                <c:pt idx="17">
                  <c:v>0.1035526254470122</c:v>
                </c:pt>
                <c:pt idx="18">
                  <c:v>0.1021844031103981</c:v>
                </c:pt>
                <c:pt idx="19">
                  <c:v>0.10059509078670785</c:v>
                </c:pt>
                <c:pt idx="20">
                  <c:v>9.8785172055825057E-2</c:v>
                </c:pt>
                <c:pt idx="21">
                  <c:v>9.6754776014025767E-2</c:v>
                </c:pt>
                <c:pt idx="22">
                  <c:v>9.4504050801006101E-2</c:v>
                </c:pt>
                <c:pt idx="23">
                  <c:v>9.1992805502959865E-2</c:v>
                </c:pt>
                <c:pt idx="24">
                  <c:v>8.9346501846845769E-2</c:v>
                </c:pt>
                <c:pt idx="25">
                  <c:v>8.6565345446000988E-2</c:v>
                </c:pt>
                <c:pt idx="26">
                  <c:v>8.3649543713053123E-2</c:v>
                </c:pt>
                <c:pt idx="27">
                  <c:v>8.0599304460554938E-2</c:v>
                </c:pt>
                <c:pt idx="28">
                  <c:v>7.7414834503179264E-2</c:v>
                </c:pt>
                <c:pt idx="29">
                  <c:v>7.4109502274901554E-2</c:v>
                </c:pt>
                <c:pt idx="30">
                  <c:v>7.0776226396291109E-2</c:v>
                </c:pt>
                <c:pt idx="31">
                  <c:v>6.7415192397967394E-2</c:v>
                </c:pt>
                <c:pt idx="32">
                  <c:v>6.4026573421478647E-2</c:v>
                </c:pt>
                <c:pt idx="33">
                  <c:v>6.0610529933364687E-2</c:v>
                </c:pt>
                <c:pt idx="34">
                  <c:v>5.7167209439473364E-2</c:v>
                </c:pt>
                <c:pt idx="35">
                  <c:v>5.3696746199197287E-2</c:v>
                </c:pt>
                <c:pt idx="36">
                  <c:v>5.0199260939594148E-2</c:v>
                </c:pt>
                <c:pt idx="37">
                  <c:v>4.6801701797445867E-2</c:v>
                </c:pt>
                <c:pt idx="38">
                  <c:v>4.3544477709878737E-2</c:v>
                </c:pt>
                <c:pt idx="39">
                  <c:v>4.0427629184977491E-2</c:v>
                </c:pt>
                <c:pt idx="40">
                  <c:v>3.7451181782382804E-2</c:v>
                </c:pt>
                <c:pt idx="41">
                  <c:v>3.461514758539664E-2</c:v>
                </c:pt>
                <c:pt idx="42">
                  <c:v>3.191952667281385E-2</c:v>
                </c:pt>
                <c:pt idx="43">
                  <c:v>2.9439396966191439E-2</c:v>
                </c:pt>
                <c:pt idx="44">
                  <c:v>2.7161571446446289E-2</c:v>
                </c:pt>
                <c:pt idx="45">
                  <c:v>2.5086012261706384E-2</c:v>
                </c:pt>
                <c:pt idx="46">
                  <c:v>2.3212677805400636E-2</c:v>
                </c:pt>
                <c:pt idx="47">
                  <c:v>2.154152483974725E-2</c:v>
                </c:pt>
                <c:pt idx="48">
                  <c:v>2.0072510618957651E-2</c:v>
                </c:pt>
                <c:pt idx="49">
                  <c:v>1.8805595012629173E-2</c:v>
                </c:pt>
                <c:pt idx="50">
                  <c:v>1.7740742629023296E-2</c:v>
                </c:pt>
                <c:pt idx="51">
                  <c:v>1.6860919975689361E-2</c:v>
                </c:pt>
                <c:pt idx="52">
                  <c:v>1.603929392392715E-2</c:v>
                </c:pt>
                <c:pt idx="53">
                  <c:v>1.5275777078452813E-2</c:v>
                </c:pt>
                <c:pt idx="54">
                  <c:v>1.4570357881874314E-2</c:v>
                </c:pt>
                <c:pt idx="55">
                  <c:v>1.3923026531246626E-2</c:v>
                </c:pt>
                <c:pt idx="56">
                  <c:v>1.3333774797545271E-2</c:v>
                </c:pt>
                <c:pt idx="57">
                  <c:v>1.2819430794345429E-2</c:v>
                </c:pt>
                <c:pt idx="58">
                  <c:v>1.230492795004356E-2</c:v>
                </c:pt>
                <c:pt idx="59">
                  <c:v>1.1790260789370149E-2</c:v>
                </c:pt>
                <c:pt idx="60">
                  <c:v>1.1275424476281522E-2</c:v>
                </c:pt>
                <c:pt idx="61">
                  <c:v>1.0760414814491149E-2</c:v>
                </c:pt>
                <c:pt idx="62">
                  <c:v>1.0245228247987131E-2</c:v>
                </c:pt>
                <c:pt idx="63">
                  <c:v>9.7298618615772516E-3</c:v>
                </c:pt>
                <c:pt idx="64">
                  <c:v>9.2143133813983088E-3</c:v>
                </c:pt>
                <c:pt idx="65">
                  <c:v>8.7331680738012025E-3</c:v>
                </c:pt>
                <c:pt idx="66">
                  <c:v>8.3034307995861253E-3</c:v>
                </c:pt>
                <c:pt idx="67">
                  <c:v>7.9251011974673328E-3</c:v>
                </c:pt>
                <c:pt idx="68">
                  <c:v>7.598178906431597E-3</c:v>
                </c:pt>
                <c:pt idx="69">
                  <c:v>7.3226634058267057E-3</c:v>
                </c:pt>
                <c:pt idx="70">
                  <c:v>7.0985538554827589E-3</c:v>
                </c:pt>
                <c:pt idx="71">
                  <c:v>6.935574963777817E-3</c:v>
                </c:pt>
                <c:pt idx="72">
                  <c:v>6.8168892155575983E-3</c:v>
                </c:pt>
                <c:pt idx="73">
                  <c:v>6.7424940771522489E-3</c:v>
                </c:pt>
                <c:pt idx="74">
                  <c:v>6.7123862060006175E-3</c:v>
                </c:pt>
                <c:pt idx="75">
                  <c:v>6.7265613128754285E-3</c:v>
                </c:pt>
                <c:pt idx="76">
                  <c:v>6.7850140240907977E-3</c:v>
                </c:pt>
                <c:pt idx="77">
                  <c:v>6.8877377437281404E-3</c:v>
                </c:pt>
                <c:pt idx="78">
                  <c:v>7.0347247121401758E-3</c:v>
                </c:pt>
                <c:pt idx="79">
                  <c:v>7.2246186908960543E-3</c:v>
                </c:pt>
                <c:pt idx="80">
                  <c:v>7.4228503652215214E-3</c:v>
                </c:pt>
                <c:pt idx="81">
                  <c:v>7.629416664099377E-3</c:v>
                </c:pt>
                <c:pt idx="82">
                  <c:v>7.8443142824394397E-3</c:v>
                </c:pt>
                <c:pt idx="83">
                  <c:v>8.0675396585835907E-3</c:v>
                </c:pt>
                <c:pt idx="84">
                  <c:v>8.2990889518331501E-3</c:v>
                </c:pt>
                <c:pt idx="85">
                  <c:v>8.5410418151764724E-3</c:v>
                </c:pt>
                <c:pt idx="86">
                  <c:v>8.7836723207283408E-3</c:v>
                </c:pt>
                <c:pt idx="87">
                  <c:v>9.0269767287649745E-3</c:v>
                </c:pt>
                <c:pt idx="88">
                  <c:v>9.2709510291260379E-3</c:v>
                </c:pt>
                <c:pt idx="89">
                  <c:v>9.51559093929699E-3</c:v>
                </c:pt>
                <c:pt idx="90">
                  <c:v>9.7608919024750104E-3</c:v>
                </c:pt>
                <c:pt idx="91">
                  <c:v>1.000684908566493E-2</c:v>
                </c:pt>
                <c:pt idx="92">
                  <c:v>1.0253457377754892E-2</c:v>
                </c:pt>
                <c:pt idx="93">
                  <c:v>1.0499296150797604E-2</c:v>
                </c:pt>
                <c:pt idx="94">
                  <c:v>1.0745729652470004E-2</c:v>
                </c:pt>
                <c:pt idx="95">
                  <c:v>1.0992751953041184E-2</c:v>
                </c:pt>
                <c:pt idx="96">
                  <c:v>1.1240356839660603E-2</c:v>
                </c:pt>
                <c:pt idx="97">
                  <c:v>1.1488537814610783E-2</c:v>
                </c:pt>
                <c:pt idx="98">
                  <c:v>1.1737288093479487E-2</c:v>
                </c:pt>
                <c:pt idx="99">
                  <c:v>1.197118413472934E-2</c:v>
                </c:pt>
                <c:pt idx="100">
                  <c:v>1.2188141366283172E-2</c:v>
                </c:pt>
                <c:pt idx="101">
                  <c:v>1.2388157791087146E-2</c:v>
                </c:pt>
                <c:pt idx="102">
                  <c:v>1.2571231762237976E-2</c:v>
                </c:pt>
                <c:pt idx="103">
                  <c:v>1.2737362028243618E-2</c:v>
                </c:pt>
                <c:pt idx="104">
                  <c:v>1.2886547778528719E-2</c:v>
                </c:pt>
                <c:pt idx="105">
                  <c:v>1.3018788688713962E-2</c:v>
                </c:pt>
                <c:pt idx="106">
                  <c:v>1.3134084966021581E-2</c:v>
                </c:pt>
                <c:pt idx="107">
                  <c:v>1.3221982755275778E-2</c:v>
                </c:pt>
                <c:pt idx="108">
                  <c:v>1.3283901182871328E-2</c:v>
                </c:pt>
                <c:pt idx="109">
                  <c:v>1.3319846862502619E-2</c:v>
                </c:pt>
                <c:pt idx="110">
                  <c:v>1.3329859464884415E-2</c:v>
                </c:pt>
                <c:pt idx="111">
                  <c:v>1.3313980532535177E-2</c:v>
                </c:pt>
                <c:pt idx="112">
                  <c:v>1.3272220773557754E-2</c:v>
                </c:pt>
                <c:pt idx="113">
                  <c:v>1.3205204163923998E-2</c:v>
                </c:pt>
                <c:pt idx="114">
                  <c:v>1.312832617369019E-2</c:v>
                </c:pt>
                <c:pt idx="115">
                  <c:v>1.3041590625081581E-2</c:v>
                </c:pt>
                <c:pt idx="116">
                  <c:v>1.2945001652716255E-2</c:v>
                </c:pt>
                <c:pt idx="117">
                  <c:v>1.2838563721741655E-2</c:v>
                </c:pt>
                <c:pt idx="118">
                  <c:v>1.272228164585907E-2</c:v>
                </c:pt>
                <c:pt idx="119">
                  <c:v>1.2596160605379896E-2</c:v>
                </c:pt>
                <c:pt idx="120">
                  <c:v>1.2460206165265024E-2</c:v>
                </c:pt>
                <c:pt idx="121">
                  <c:v>1.2311966118964082E-2</c:v>
                </c:pt>
                <c:pt idx="122">
                  <c:v>1.2161874136450106E-2</c:v>
                </c:pt>
                <c:pt idx="123">
                  <c:v>1.2009931701065702E-2</c:v>
                </c:pt>
                <c:pt idx="124">
                  <c:v>1.1856140469352128E-2</c:v>
                </c:pt>
                <c:pt idx="125">
                  <c:v>1.1700502274529347E-2</c:v>
                </c:pt>
                <c:pt idx="126">
                  <c:v>1.1543019129834161E-2</c:v>
                </c:pt>
                <c:pt idx="127">
                  <c:v>1.1378362804378791E-2</c:v>
                </c:pt>
                <c:pt idx="128">
                  <c:v>1.1205929109362708E-2</c:v>
                </c:pt>
                <c:pt idx="129">
                  <c:v>1.102572543862318E-2</c:v>
                </c:pt>
                <c:pt idx="130">
                  <c:v>1.0837759636121942E-2</c:v>
                </c:pt>
                <c:pt idx="131">
                  <c:v>1.064204001018515E-2</c:v>
                </c:pt>
                <c:pt idx="132">
                  <c:v>1.0438575347837738E-2</c:v>
                </c:pt>
                <c:pt idx="133">
                  <c:v>1.0227374929192668E-2</c:v>
                </c:pt>
                <c:pt idx="134">
                  <c:v>1.0008448541791053E-2</c:v>
                </c:pt>
                <c:pt idx="135">
                  <c:v>9.7847177001064503E-3</c:v>
                </c:pt>
                <c:pt idx="136">
                  <c:v>9.5586388498921891E-3</c:v>
                </c:pt>
                <c:pt idx="137">
                  <c:v>9.3302180582529853E-3</c:v>
                </c:pt>
                <c:pt idx="138">
                  <c:v>9.0994616790221593E-3</c:v>
                </c:pt>
                <c:pt idx="139">
                  <c:v>8.8663763573960733E-3</c:v>
                </c:pt>
                <c:pt idx="140">
                  <c:v>8.6309690341320015E-3</c:v>
                </c:pt>
                <c:pt idx="141">
                  <c:v>8.3986002444719036E-3</c:v>
                </c:pt>
                <c:pt idx="142">
                  <c:v>8.1745393542073212E-3</c:v>
                </c:pt>
                <c:pt idx="143">
                  <c:v>7.9587550015144688E-3</c:v>
                </c:pt>
                <c:pt idx="144">
                  <c:v>7.7512575555041393E-3</c:v>
                </c:pt>
                <c:pt idx="145">
                  <c:v>7.5520556154229012E-3</c:v>
                </c:pt>
                <c:pt idx="146">
                  <c:v>7.3611561035839962E-3</c:v>
                </c:pt>
                <c:pt idx="147">
                  <c:v>7.1785643585179663E-3</c:v>
                </c:pt>
                <c:pt idx="148">
                  <c:v>7.0042842279663259E-3</c:v>
                </c:pt>
                <c:pt idx="149">
                  <c:v>6.8349362061933339E-3</c:v>
                </c:pt>
                <c:pt idx="150">
                  <c:v>6.6676325941301901E-3</c:v>
                </c:pt>
                <c:pt idx="151">
                  <c:v>6.502382811645919E-3</c:v>
                </c:pt>
                <c:pt idx="152">
                  <c:v>6.3391954370706728E-3</c:v>
                </c:pt>
                <c:pt idx="153">
                  <c:v>6.1780782292504277E-3</c:v>
                </c:pt>
                <c:pt idx="154">
                  <c:v>6.0190381496327957E-3</c:v>
                </c:pt>
                <c:pt idx="155">
                  <c:v>5.8656918838575871E-3</c:v>
                </c:pt>
                <c:pt idx="156">
                  <c:v>5.7127234197093318E-3</c:v>
                </c:pt>
                <c:pt idx="157">
                  <c:v>5.5601401527231335E-3</c:v>
                </c:pt>
                <c:pt idx="158">
                  <c:v>5.4079487958044849E-3</c:v>
                </c:pt>
                <c:pt idx="159">
                  <c:v>5.2561553819125912E-3</c:v>
                </c:pt>
                <c:pt idx="160">
                  <c:v>5.1047652668005832E-3</c:v>
                </c:pt>
                <c:pt idx="161">
                  <c:v>4.9537831317035168E-3</c:v>
                </c:pt>
                <c:pt idx="162">
                  <c:v>4.8032129860513971E-3</c:v>
                </c:pt>
                <c:pt idx="163">
                  <c:v>4.6614635538703604E-3</c:v>
                </c:pt>
                <c:pt idx="164">
                  <c:v>4.531880188950164E-3</c:v>
                </c:pt>
                <c:pt idx="165">
                  <c:v>4.4144471354869317E-3</c:v>
                </c:pt>
                <c:pt idx="166">
                  <c:v>4.3091485883243151E-3</c:v>
                </c:pt>
                <c:pt idx="167">
                  <c:v>4.2159688295534221E-3</c:v>
                </c:pt>
                <c:pt idx="168">
                  <c:v>4.1348923652307443E-3</c:v>
                </c:pt>
                <c:pt idx="169">
                  <c:v>4.0742845234587625E-3</c:v>
                </c:pt>
                <c:pt idx="170">
                  <c:v>4.0305361975741137E-3</c:v>
                </c:pt>
                <c:pt idx="171">
                  <c:v>4.0036273465804085E-3</c:v>
                </c:pt>
                <c:pt idx="172">
                  <c:v>3.993539169985379E-3</c:v>
                </c:pt>
                <c:pt idx="173">
                  <c:v>4.000220090051328E-3</c:v>
                </c:pt>
                <c:pt idx="174">
                  <c:v>4.0236175382872812E-3</c:v>
                </c:pt>
                <c:pt idx="175">
                  <c:v>4.0637122932075569E-3</c:v>
                </c:pt>
                <c:pt idx="176">
                  <c:v>4.1204852255384726E-3</c:v>
                </c:pt>
                <c:pt idx="177">
                  <c:v>4.1974896699929235E-3</c:v>
                </c:pt>
                <c:pt idx="178">
                  <c:v>4.2863542595254428E-3</c:v>
                </c:pt>
                <c:pt idx="179">
                  <c:v>4.3870666329339043E-3</c:v>
                </c:pt>
                <c:pt idx="180">
                  <c:v>4.4996147781383887E-3</c:v>
                </c:pt>
                <c:pt idx="181">
                  <c:v>4.623987090679421E-3</c:v>
                </c:pt>
                <c:pt idx="182">
                  <c:v>4.7601724322476205E-3</c:v>
                </c:pt>
                <c:pt idx="183">
                  <c:v>4.9048324765129086E-3</c:v>
                </c:pt>
                <c:pt idx="184">
                  <c:v>5.0496334633653465E-3</c:v>
                </c:pt>
                <c:pt idx="185">
                  <c:v>5.1945797355318121E-3</c:v>
                </c:pt>
                <c:pt idx="186">
                  <c:v>5.3396759322075077E-3</c:v>
                </c:pt>
                <c:pt idx="187">
                  <c:v>5.4849269902324119E-3</c:v>
                </c:pt>
                <c:pt idx="188">
                  <c:v>5.6303381452979763E-3</c:v>
                </c:pt>
                <c:pt idx="189">
                  <c:v>5.77591493301395E-3</c:v>
                </c:pt>
                <c:pt idx="190">
                  <c:v>5.9216631901713177E-3</c:v>
                </c:pt>
                <c:pt idx="191">
                  <c:v>6.0728224424666461E-3</c:v>
                </c:pt>
                <c:pt idx="192">
                  <c:v>6.2258422439406755E-3</c:v>
                </c:pt>
                <c:pt idx="193">
                  <c:v>6.3807277918070046E-3</c:v>
                </c:pt>
                <c:pt idx="194">
                  <c:v>6.5374846965575509E-3</c:v>
                </c:pt>
                <c:pt idx="195">
                  <c:v>6.6961189915339366E-3</c:v>
                </c:pt>
                <c:pt idx="196">
                  <c:v>6.8566371422959195E-3</c:v>
                </c:pt>
                <c:pt idx="197">
                  <c:v>7.0218807855627939E-3</c:v>
                </c:pt>
                <c:pt idx="198">
                  <c:v>7.1951652109211624E-3</c:v>
                </c:pt>
                <c:pt idx="199">
                  <c:v>7.3764933410198248E-3</c:v>
                </c:pt>
                <c:pt idx="200">
                  <c:v>7.5658690398841925E-3</c:v>
                </c:pt>
                <c:pt idx="201">
                  <c:v>7.7632971527013305E-3</c:v>
                </c:pt>
                <c:pt idx="202">
                  <c:v>7.9687835456344214E-3</c:v>
                </c:pt>
                <c:pt idx="203">
                  <c:v>8.1823351457850895E-3</c:v>
                </c:pt>
                <c:pt idx="204">
                  <c:v>8.403948656083975E-3</c:v>
                </c:pt>
                <c:pt idx="205">
                  <c:v>8.6284475380504974E-3</c:v>
                </c:pt>
                <c:pt idx="206">
                  <c:v>8.8506235009700659E-3</c:v>
                </c:pt>
                <c:pt idx="207">
                  <c:v>9.070483303689961E-3</c:v>
                </c:pt>
                <c:pt idx="208">
                  <c:v>9.2880333144279483E-3</c:v>
                </c:pt>
                <c:pt idx="209">
                  <c:v>9.5032795167312549E-3</c:v>
                </c:pt>
                <c:pt idx="210">
                  <c:v>9.7162275156936918E-3</c:v>
                </c:pt>
                <c:pt idx="211">
                  <c:v>9.9245044559393581E-3</c:v>
                </c:pt>
                <c:pt idx="212">
                  <c:v>1.0125289642512136E-2</c:v>
                </c:pt>
                <c:pt idx="213">
                  <c:v>1.0318589179089619E-2</c:v>
                </c:pt>
                <c:pt idx="214">
                  <c:v>1.0504408517344426E-2</c:v>
                </c:pt>
                <c:pt idx="215">
                  <c:v>1.0682752476509386E-2</c:v>
                </c:pt>
                <c:pt idx="216">
                  <c:v>1.0853625262913015E-2</c:v>
                </c:pt>
                <c:pt idx="217">
                  <c:v>1.101703048954987E-2</c:v>
                </c:pt>
                <c:pt idx="218">
                  <c:v>1.11729711956014E-2</c:v>
                </c:pt>
                <c:pt idx="219">
                  <c:v>1.1322041244959275E-2</c:v>
                </c:pt>
                <c:pt idx="220">
                  <c:v>1.1469402838251236E-2</c:v>
                </c:pt>
                <c:pt idx="221">
                  <c:v>1.1615056781578427E-2</c:v>
                </c:pt>
                <c:pt idx="222">
                  <c:v>1.1759003644954948E-2</c:v>
                </c:pt>
                <c:pt idx="223">
                  <c:v>1.1901243767104726E-2</c:v>
                </c:pt>
                <c:pt idx="224">
                  <c:v>1.2041777260026114E-2</c:v>
                </c:pt>
                <c:pt idx="225">
                  <c:v>1.2170524176501947E-2</c:v>
                </c:pt>
                <c:pt idx="226">
                  <c:v>1.2289860361687943E-2</c:v>
                </c:pt>
                <c:pt idx="227">
                  <c:v>1.239978499105863E-2</c:v>
                </c:pt>
                <c:pt idx="228">
                  <c:v>1.2500296765614665E-2</c:v>
                </c:pt>
                <c:pt idx="229">
                  <c:v>1.259139393636631E-2</c:v>
                </c:pt>
                <c:pt idx="230">
                  <c:v>1.2673074328979947E-2</c:v>
                </c:pt>
                <c:pt idx="231">
                  <c:v>1.2745335368462856E-2</c:v>
                </c:pt>
                <c:pt idx="232">
                  <c:v>1.2808174103621553E-2</c:v>
                </c:pt>
                <c:pt idx="233">
                  <c:v>1.2846735459261448E-2</c:v>
                </c:pt>
                <c:pt idx="234">
                  <c:v>1.2860422603419611E-2</c:v>
                </c:pt>
                <c:pt idx="235">
                  <c:v>1.2849237994791098E-2</c:v>
                </c:pt>
                <c:pt idx="236">
                  <c:v>1.2813186840263417E-2</c:v>
                </c:pt>
                <c:pt idx="237">
                  <c:v>1.2752266596933244E-2</c:v>
                </c:pt>
                <c:pt idx="238">
                  <c:v>1.2666473843413207E-2</c:v>
                </c:pt>
                <c:pt idx="239">
                  <c:v>1.2554441054380854E-2</c:v>
                </c:pt>
                <c:pt idx="240">
                  <c:v>1.2426247942125457E-2</c:v>
                </c:pt>
                <c:pt idx="241">
                  <c:v>1.2281890318253082E-2</c:v>
                </c:pt>
                <c:pt idx="242">
                  <c:v>1.2121363303776883E-2</c:v>
                </c:pt>
                <c:pt idx="243">
                  <c:v>1.1944661305336736E-2</c:v>
                </c:pt>
                <c:pt idx="244">
                  <c:v>1.1751777991353317E-2</c:v>
                </c:pt>
                <c:pt idx="245">
                  <c:v>1.1542706268076275E-2</c:v>
                </c:pt>
                <c:pt idx="246">
                  <c:v>1.1317438255624901E-2</c:v>
                </c:pt>
                <c:pt idx="247">
                  <c:v>1.1077973120757138E-2</c:v>
                </c:pt>
                <c:pt idx="248">
                  <c:v>1.0839172207022683E-2</c:v>
                </c:pt>
                <c:pt idx="249">
                  <c:v>1.0601032069048567E-2</c:v>
                </c:pt>
                <c:pt idx="250">
                  <c:v>1.036354914890446E-2</c:v>
                </c:pt>
                <c:pt idx="251">
                  <c:v>1.0126719777288915E-2</c:v>
                </c:pt>
                <c:pt idx="252">
                  <c:v>9.8905401743310268E-3</c:v>
                </c:pt>
                <c:pt idx="253">
                  <c:v>9.653684901099106E-3</c:v>
                </c:pt>
                <c:pt idx="254">
                  <c:v>9.4175149652517241E-3</c:v>
                </c:pt>
                <c:pt idx="255">
                  <c:v>9.182026252206649E-3</c:v>
                </c:pt>
                <c:pt idx="256">
                  <c:v>8.9472145421075743E-3</c:v>
                </c:pt>
                <c:pt idx="257">
                  <c:v>8.7130755107702237E-3</c:v>
                </c:pt>
                <c:pt idx="258">
                  <c:v>8.4796047307066028E-3</c:v>
                </c:pt>
                <c:pt idx="259">
                  <c:v>8.2467976722427339E-3</c:v>
                </c:pt>
                <c:pt idx="260">
                  <c:v>8.0146497044146746E-3</c:v>
                </c:pt>
                <c:pt idx="261">
                  <c:v>7.7925471501319038E-3</c:v>
                </c:pt>
                <c:pt idx="262">
                  <c:v>7.5784786629662475E-3</c:v>
                </c:pt>
                <c:pt idx="263">
                  <c:v>7.3724452260467525E-3</c:v>
                </c:pt>
                <c:pt idx="264">
                  <c:v>7.1744484442194181E-3</c:v>
                </c:pt>
                <c:pt idx="265">
                  <c:v>6.98452148776511E-3</c:v>
                </c:pt>
                <c:pt idx="266">
                  <c:v>6.8026796675837121E-3</c:v>
                </c:pt>
                <c:pt idx="267">
                  <c:v>6.662365145495671E-3</c:v>
                </c:pt>
                <c:pt idx="268">
                  <c:v>6.5649302227829406E-3</c:v>
                </c:pt>
                <c:pt idx="269">
                  <c:v>6.5104063809927329E-3</c:v>
                </c:pt>
                <c:pt idx="270">
                  <c:v>6.4988289918993664E-3</c:v>
                </c:pt>
                <c:pt idx="271">
                  <c:v>6.5302369230953944E-3</c:v>
                </c:pt>
                <c:pt idx="272">
                  <c:v>6.6046721437357792E-3</c:v>
                </c:pt>
                <c:pt idx="273">
                  <c:v>6.7221793302123002E-3</c:v>
                </c:pt>
                <c:pt idx="274">
                  <c:v>6.8828054718993959E-3</c:v>
                </c:pt>
                <c:pt idx="275">
                  <c:v>7.1029299367112051E-3</c:v>
                </c:pt>
                <c:pt idx="276">
                  <c:v>7.3731851117071227E-3</c:v>
                </c:pt>
                <c:pt idx="277">
                  <c:v>7.6936315286751196E-3</c:v>
                </c:pt>
                <c:pt idx="278">
                  <c:v>8.0643306316698863E-3</c:v>
                </c:pt>
                <c:pt idx="279">
                  <c:v>8.4853443194379038E-3</c:v>
                </c:pt>
                <c:pt idx="280">
                  <c:v>8.9567344879059319E-3</c:v>
                </c:pt>
                <c:pt idx="281">
                  <c:v>9.4620253020991623E-3</c:v>
                </c:pt>
                <c:pt idx="282">
                  <c:v>9.9676064578309593E-3</c:v>
                </c:pt>
                <c:pt idx="283">
                  <c:v>1.0473471229537609E-2</c:v>
                </c:pt>
                <c:pt idx="284">
                  <c:v>1.0979611056351488E-2</c:v>
                </c:pt>
                <c:pt idx="285">
                  <c:v>1.1486015543582133E-2</c:v>
                </c:pt>
                <c:pt idx="286">
                  <c:v>1.1992672464284889E-2</c:v>
                </c:pt>
                <c:pt idx="287">
                  <c:v>1.2499567760742158E-2</c:v>
                </c:pt>
                <c:pt idx="288">
                  <c:v>1.3006685545977011E-2</c:v>
                </c:pt>
                <c:pt idx="289">
                  <c:v>1.3587258402609161E-2</c:v>
                </c:pt>
                <c:pt idx="290">
                  <c:v>1.4224922912545223E-2</c:v>
                </c:pt>
                <c:pt idx="291">
                  <c:v>1.4919726561094429E-2</c:v>
                </c:pt>
                <c:pt idx="292">
                  <c:v>1.5671712327067818E-2</c:v>
                </c:pt>
                <c:pt idx="293">
                  <c:v>1.648091816622126E-2</c:v>
                </c:pt>
                <c:pt idx="294">
                  <c:v>1.7347376494656116E-2</c:v>
                </c:pt>
                <c:pt idx="295">
                  <c:v>1.8395093529398675E-2</c:v>
                </c:pt>
                <c:pt idx="296">
                  <c:v>1.9641065254283319E-2</c:v>
                </c:pt>
                <c:pt idx="297">
                  <c:v>2.1085642547643918E-2</c:v>
                </c:pt>
                <c:pt idx="298">
                  <c:v>2.2729058725165504E-2</c:v>
                </c:pt>
                <c:pt idx="299">
                  <c:v>2.4571548149198097E-2</c:v>
                </c:pt>
                <c:pt idx="300">
                  <c:v>2.6613344701998453E-2</c:v>
                </c:pt>
                <c:pt idx="301">
                  <c:v>2.8854680258916059E-2</c:v>
                </c:pt>
                <c:pt idx="302">
                  <c:v>3.129578316162468E-2</c:v>
                </c:pt>
                <c:pt idx="303">
                  <c:v>3.3949778871532721E-2</c:v>
                </c:pt>
                <c:pt idx="304">
                  <c:v>3.6743214450914954E-2</c:v>
                </c:pt>
                <c:pt idx="305">
                  <c:v>3.9676225802482597E-2</c:v>
                </c:pt>
                <c:pt idx="306">
                  <c:v>4.2748939618950432E-2</c:v>
                </c:pt>
                <c:pt idx="307">
                  <c:v>4.5961472324746587E-2</c:v>
                </c:pt>
                <c:pt idx="308">
                  <c:v>4.9313929017408054E-2</c:v>
                </c:pt>
                <c:pt idx="309">
                  <c:v>5.2766749274452414E-2</c:v>
                </c:pt>
                <c:pt idx="310">
                  <c:v>5.6195257699380462E-2</c:v>
                </c:pt>
                <c:pt idx="311">
                  <c:v>5.9599333123738489E-2</c:v>
                </c:pt>
                <c:pt idx="312">
                  <c:v>6.2978844760679789E-2</c:v>
                </c:pt>
                <c:pt idx="313">
                  <c:v>6.6333652410695276E-2</c:v>
                </c:pt>
                <c:pt idx="314">
                  <c:v>6.9663606666881026E-2</c:v>
                </c:pt>
                <c:pt idx="315">
                  <c:v>7.2968549120891471E-2</c:v>
                </c:pt>
                <c:pt idx="316">
                  <c:v>7.6248312568030663E-2</c:v>
                </c:pt>
                <c:pt idx="317">
                  <c:v>7.9411366822919202E-2</c:v>
                </c:pt>
                <c:pt idx="318">
                  <c:v>8.2444465794496116E-2</c:v>
                </c:pt>
                <c:pt idx="319">
                  <c:v>8.5347323567419253E-2</c:v>
                </c:pt>
                <c:pt idx="320">
                  <c:v>8.8119654057617347E-2</c:v>
                </c:pt>
                <c:pt idx="321">
                  <c:v>9.0761172018146374E-2</c:v>
                </c:pt>
                <c:pt idx="322">
                  <c:v>9.3271594045414893E-2</c:v>
                </c:pt>
                <c:pt idx="323">
                  <c:v>9.5526969797638361E-2</c:v>
                </c:pt>
                <c:pt idx="324">
                  <c:v>9.7566779341785814E-2</c:v>
                </c:pt>
                <c:pt idx="325">
                  <c:v>9.9390695321491515E-2</c:v>
                </c:pt>
                <c:pt idx="326">
                  <c:v>0.10099787783008767</c:v>
                </c:pt>
                <c:pt idx="327">
                  <c:v>0.10238783015046922</c:v>
                </c:pt>
                <c:pt idx="328">
                  <c:v>0.10356051728856518</c:v>
                </c:pt>
                <c:pt idx="329">
                  <c:v>0.1045159424151114</c:v>
                </c:pt>
                <c:pt idx="330">
                  <c:v>0.10525414310548319</c:v>
                </c:pt>
                <c:pt idx="331">
                  <c:v>0.10574985169479327</c:v>
                </c:pt>
                <c:pt idx="332">
                  <c:v>0.10609480109487569</c:v>
                </c:pt>
                <c:pt idx="333">
                  <c:v>0.10628912414777653</c:v>
                </c:pt>
                <c:pt idx="334">
                  <c:v>0.10633296802309662</c:v>
                </c:pt>
                <c:pt idx="335">
                  <c:v>0.10622649161605263</c:v>
                </c:pt>
                <c:pt idx="336">
                  <c:v>0.10596986294436757</c:v>
                </c:pt>
                <c:pt idx="337">
                  <c:v>0.10558196574511793</c:v>
                </c:pt>
                <c:pt idx="338">
                  <c:v>0.10518685895582119</c:v>
                </c:pt>
                <c:pt idx="339">
                  <c:v>0.1047847311010771</c:v>
                </c:pt>
                <c:pt idx="340">
                  <c:v>0.10437576804685748</c:v>
                </c:pt>
                <c:pt idx="341">
                  <c:v>0.10396015288513276</c:v>
                </c:pt>
                <c:pt idx="342">
                  <c:v>0.10353806581842155</c:v>
                </c:pt>
                <c:pt idx="343">
                  <c:v>0.10310968404328953</c:v>
                </c:pt>
                <c:pt idx="344">
                  <c:v>0.10267518163522053</c:v>
                </c:pt>
                <c:pt idx="345">
                  <c:v>0.10223472943256734</c:v>
                </c:pt>
                <c:pt idx="346">
                  <c:v>0.10183597452422638</c:v>
                </c:pt>
                <c:pt idx="347">
                  <c:v>0.10147908886323519</c:v>
                </c:pt>
                <c:pt idx="348">
                  <c:v>0.10116424429326933</c:v>
                </c:pt>
                <c:pt idx="349">
                  <c:v>0.10089161326013833</c:v>
                </c:pt>
                <c:pt idx="350">
                  <c:v>0.1006613695252704</c:v>
                </c:pt>
                <c:pt idx="351">
                  <c:v>0.10049582769789871</c:v>
                </c:pt>
                <c:pt idx="352">
                  <c:v>0.10037645118119708</c:v>
                </c:pt>
                <c:pt idx="353">
                  <c:v>0.10030342493006682</c:v>
                </c:pt>
                <c:pt idx="354">
                  <c:v>0.10027693868369769</c:v>
                </c:pt>
                <c:pt idx="355">
                  <c:v>0.1002971877331313</c:v>
                </c:pt>
                <c:pt idx="356">
                  <c:v>0.10036443189002636</c:v>
                </c:pt>
                <c:pt idx="357">
                  <c:v>0.1004786921891629</c:v>
                </c:pt>
                <c:pt idx="358">
                  <c:v>0.10063979332164447</c:v>
                </c:pt>
                <c:pt idx="359">
                  <c:v>0.10084756551584823</c:v>
                </c:pt>
                <c:pt idx="360">
                  <c:v>0.10112060361164392</c:v>
                </c:pt>
                <c:pt idx="361">
                  <c:v>0.10143657327364271</c:v>
                </c:pt>
                <c:pt idx="362">
                  <c:v>0.10179531286929917</c:v>
                </c:pt>
                <c:pt idx="363">
                  <c:v>0.10219666205005767</c:v>
                </c:pt>
                <c:pt idx="364">
                  <c:v>0.10264046087337693</c:v>
                </c:pt>
                <c:pt idx="365">
                  <c:v>0.10312654892372131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0.1156425921083203</c:v>
                </c:pt>
                <c:pt idx="1">
                  <c:v>0.11615816235197939</c:v>
                </c:pt>
                <c:pt idx="2">
                  <c:v>0.11669680191372452</c:v>
                </c:pt>
                <c:pt idx="3">
                  <c:v>0.11725829374441855</c:v>
                </c:pt>
                <c:pt idx="4">
                  <c:v>0.11784241686854323</c:v>
                </c:pt>
                <c:pt idx="5">
                  <c:v>0.11844894591036144</c:v>
                </c:pt>
                <c:pt idx="6">
                  <c:v>0.11907765062135123</c:v>
                </c:pt>
                <c:pt idx="7">
                  <c:v>0.11972829540540925</c:v>
                </c:pt>
                <c:pt idx="8">
                  <c:v>0.12040063884543122</c:v>
                </c:pt>
                <c:pt idx="9">
                  <c:v>0.12097415205765118</c:v>
                </c:pt>
                <c:pt idx="10">
                  <c:v>0.121425215221537</c:v>
                </c:pt>
                <c:pt idx="11">
                  <c:v>0.12175342150672848</c:v>
                </c:pt>
                <c:pt idx="12">
                  <c:v>0.12195837146067545</c:v>
                </c:pt>
                <c:pt idx="13">
                  <c:v>0.12203967560087031</c:v>
                </c:pt>
                <c:pt idx="14">
                  <c:v>0.12199695700532354</c:v>
                </c:pt>
                <c:pt idx="15">
                  <c:v>0.12169723720473535</c:v>
                </c:pt>
                <c:pt idx="16">
                  <c:v>0.12114113247675122</c:v>
                </c:pt>
                <c:pt idx="17">
                  <c:v>0.12032824363645055</c:v>
                </c:pt>
                <c:pt idx="18">
                  <c:v>0.11925821852586656</c:v>
                </c:pt>
                <c:pt idx="19">
                  <c:v>0.11793131034580308</c:v>
                </c:pt>
                <c:pt idx="20">
                  <c:v>0.11634804689656131</c:v>
                </c:pt>
                <c:pt idx="21">
                  <c:v>0.11450854627328723</c:v>
                </c:pt>
                <c:pt idx="22">
                  <c:v>0.11241295090323349</c:v>
                </c:pt>
                <c:pt idx="23">
                  <c:v>0.1099968154492796</c:v>
                </c:pt>
                <c:pt idx="24">
                  <c:v>0.10738098261432495</c:v>
                </c:pt>
                <c:pt idx="25">
                  <c:v>0.10456566302281589</c:v>
                </c:pt>
                <c:pt idx="26">
                  <c:v>0.1015510754823471</c:v>
                </c:pt>
                <c:pt idx="27">
                  <c:v>9.8337444907952778E-2</c:v>
                </c:pt>
                <c:pt idx="28">
                  <c:v>9.4925000248283389E-2</c:v>
                </c:pt>
                <c:pt idx="29">
                  <c:v>9.1318480501130228E-2</c:v>
                </c:pt>
                <c:pt idx="30">
                  <c:v>8.7650918127981078E-2</c:v>
                </c:pt>
                <c:pt idx="31">
                  <c:v>8.3922529279578884E-2</c:v>
                </c:pt>
                <c:pt idx="32">
                  <c:v>8.0133518271012408E-2</c:v>
                </c:pt>
                <c:pt idx="33">
                  <c:v>7.6284076949852023E-2</c:v>
                </c:pt>
                <c:pt idx="34">
                  <c:v>7.2374384064602698E-2</c:v>
                </c:pt>
                <c:pt idx="35">
                  <c:v>6.8404604633061569E-2</c:v>
                </c:pt>
                <c:pt idx="36">
                  <c:v>6.4374889310529995E-2</c:v>
                </c:pt>
                <c:pt idx="37">
                  <c:v>6.0403260985122283E-2</c:v>
                </c:pt>
                <c:pt idx="38">
                  <c:v>5.6554404089160605E-2</c:v>
                </c:pt>
                <c:pt idx="39">
                  <c:v>5.2828381139767872E-2</c:v>
                </c:pt>
                <c:pt idx="40">
                  <c:v>4.9225237380420735E-2</c:v>
                </c:pt>
                <c:pt idx="41">
                  <c:v>4.5745002068014518E-2</c:v>
                </c:pt>
                <c:pt idx="42">
                  <c:v>4.2387689759574326E-2</c:v>
                </c:pt>
                <c:pt idx="43">
                  <c:v>3.9254445464939176E-2</c:v>
                </c:pt>
                <c:pt idx="44">
                  <c:v>3.6340733595390279E-2</c:v>
                </c:pt>
                <c:pt idx="45">
                  <c:v>3.3646515343783767E-2</c:v>
                </c:pt>
                <c:pt idx="46">
                  <c:v>3.1171745968771539E-2</c:v>
                </c:pt>
                <c:pt idx="47">
                  <c:v>2.8916377098261076E-2</c:v>
                </c:pt>
                <c:pt idx="48">
                  <c:v>2.6880359032494278E-2</c:v>
                </c:pt>
                <c:pt idx="49">
                  <c:v>2.5063643047379233E-2</c:v>
                </c:pt>
                <c:pt idx="50">
                  <c:v>2.3466183697668699E-2</c:v>
                </c:pt>
                <c:pt idx="51">
                  <c:v>2.2090973136373843E-2</c:v>
                </c:pt>
                <c:pt idx="52">
                  <c:v>2.0820090383707857E-2</c:v>
                </c:pt>
                <c:pt idx="53">
                  <c:v>1.9653417740969372E-2</c:v>
                </c:pt>
                <c:pt idx="54">
                  <c:v>1.8590938481512231E-2</c:v>
                </c:pt>
                <c:pt idx="55">
                  <c:v>1.7632638773438482E-2</c:v>
                </c:pt>
                <c:pt idx="56">
                  <c:v>1.6778507355778838E-2</c:v>
                </c:pt>
                <c:pt idx="57">
                  <c:v>1.6043468407094807E-2</c:v>
                </c:pt>
                <c:pt idx="58">
                  <c:v>1.53264078109158E-2</c:v>
                </c:pt>
                <c:pt idx="59">
                  <c:v>1.462731874082801E-2</c:v>
                </c:pt>
                <c:pt idx="60">
                  <c:v>1.3946195343850975E-2</c:v>
                </c:pt>
                <c:pt idx="61">
                  <c:v>1.3283032684579628E-2</c:v>
                </c:pt>
                <c:pt idx="62">
                  <c:v>1.2637826689309272E-2</c:v>
                </c:pt>
                <c:pt idx="63">
                  <c:v>1.2010574090194572E-2</c:v>
                </c:pt>
                <c:pt idx="64">
                  <c:v>1.1401272369364515E-2</c:v>
                </c:pt>
                <c:pt idx="65">
                  <c:v>1.084900111222647E-2</c:v>
                </c:pt>
                <c:pt idx="66">
                  <c:v>1.0350727315243868E-2</c:v>
                </c:pt>
                <c:pt idx="67">
                  <c:v>9.9064502922872315E-3</c:v>
                </c:pt>
                <c:pt idx="68">
                  <c:v>9.5161694158143791E-3</c:v>
                </c:pt>
                <c:pt idx="69">
                  <c:v>9.1798839488919474E-3</c:v>
                </c:pt>
                <c:pt idx="70">
                  <c:v>8.8975928772577831E-3</c:v>
                </c:pt>
                <c:pt idx="71">
                  <c:v>8.6815325188557297E-3</c:v>
                </c:pt>
                <c:pt idx="72">
                  <c:v>8.5167669421165795E-3</c:v>
                </c:pt>
                <c:pt idx="73">
                  <c:v>8.4032932885647442E-3</c:v>
                </c:pt>
                <c:pt idx="74">
                  <c:v>8.3411077969031203E-3</c:v>
                </c:pt>
                <c:pt idx="75">
                  <c:v>8.3302056434555755E-3</c:v>
                </c:pt>
                <c:pt idx="76">
                  <c:v>8.3705807825874574E-3</c:v>
                </c:pt>
                <c:pt idx="77">
                  <c:v>8.4622257871489245E-3</c:v>
                </c:pt>
                <c:pt idx="78">
                  <c:v>8.6051319290125303E-3</c:v>
                </c:pt>
                <c:pt idx="79">
                  <c:v>8.7977593882790309E-3</c:v>
                </c:pt>
                <c:pt idx="80">
                  <c:v>9.0010478297014845E-3</c:v>
                </c:pt>
                <c:pt idx="81">
                  <c:v>9.2149934793700813E-3</c:v>
                </c:pt>
                <c:pt idx="82">
                  <c:v>9.4395923181478346E-3</c:v>
                </c:pt>
                <c:pt idx="83">
                  <c:v>9.6748400529185121E-3</c:v>
                </c:pt>
                <c:pt idx="84">
                  <c:v>9.920732087861461E-3</c:v>
                </c:pt>
                <c:pt idx="85">
                  <c:v>1.0179663039103596E-2</c:v>
                </c:pt>
                <c:pt idx="86">
                  <c:v>1.0439395617575509E-2</c:v>
                </c:pt>
                <c:pt idx="87">
                  <c:v>1.0699925529902919E-2</c:v>
                </c:pt>
                <c:pt idx="88">
                  <c:v>1.0961248192217105E-2</c:v>
                </c:pt>
                <c:pt idx="89">
                  <c:v>1.122335872789261E-2</c:v>
                </c:pt>
                <c:pt idx="90">
                  <c:v>1.148625196526557E-2</c:v>
                </c:pt>
                <c:pt idx="91">
                  <c:v>1.1749922435387465E-2</c:v>
                </c:pt>
                <c:pt idx="92">
                  <c:v>1.2014364369754872E-2</c:v>
                </c:pt>
                <c:pt idx="93">
                  <c:v>1.2279634329196465E-2</c:v>
                </c:pt>
                <c:pt idx="94">
                  <c:v>1.2547282976825972E-2</c:v>
                </c:pt>
                <c:pt idx="95">
                  <c:v>1.2817303278659029E-2</c:v>
                </c:pt>
                <c:pt idx="96">
                  <c:v>1.30896878496468E-2</c:v>
                </c:pt>
                <c:pt idx="97">
                  <c:v>1.3364428947105529E-2</c:v>
                </c:pt>
                <c:pt idx="98">
                  <c:v>1.3641518464052009E-2</c:v>
                </c:pt>
                <c:pt idx="99">
                  <c:v>1.3906147262821369E-2</c:v>
                </c:pt>
                <c:pt idx="100">
                  <c:v>1.4155913669439234E-2</c:v>
                </c:pt>
                <c:pt idx="101">
                  <c:v>1.4390813999345718E-2</c:v>
                </c:pt>
                <c:pt idx="102">
                  <c:v>1.4610844809773413E-2</c:v>
                </c:pt>
                <c:pt idx="103">
                  <c:v>1.4816002939349648E-2</c:v>
                </c:pt>
                <c:pt idx="104">
                  <c:v>1.5006285547983092E-2</c:v>
                </c:pt>
                <c:pt idx="105">
                  <c:v>1.5181690156487687E-2</c:v>
                </c:pt>
                <c:pt idx="106">
                  <c:v>1.5342214686353285E-2</c:v>
                </c:pt>
                <c:pt idx="107">
                  <c:v>1.5474074538934861E-2</c:v>
                </c:pt>
                <c:pt idx="108">
                  <c:v>1.5577212242423595E-2</c:v>
                </c:pt>
                <c:pt idx="109">
                  <c:v>1.5651634057620049E-2</c:v>
                </c:pt>
                <c:pt idx="110">
                  <c:v>1.569738505126907E-2</c:v>
                </c:pt>
                <c:pt idx="111">
                  <c:v>1.5714512711922684E-2</c:v>
                </c:pt>
                <c:pt idx="112">
                  <c:v>1.5703028307404134E-2</c:v>
                </c:pt>
                <c:pt idx="113">
                  <c:v>1.566162064136949E-2</c:v>
                </c:pt>
                <c:pt idx="114">
                  <c:v>1.5605072360882322E-2</c:v>
                </c:pt>
                <c:pt idx="115">
                  <c:v>1.5533389407345131E-2</c:v>
                </c:pt>
                <c:pt idx="116">
                  <c:v>1.5446578157176283E-2</c:v>
                </c:pt>
                <c:pt idx="117">
                  <c:v>1.5344645449623169E-2</c:v>
                </c:pt>
                <c:pt idx="118">
                  <c:v>1.5227598614442285E-2</c:v>
                </c:pt>
                <c:pt idx="119">
                  <c:v>1.5095445499616993E-2</c:v>
                </c:pt>
                <c:pt idx="120">
                  <c:v>1.494819449905505E-2</c:v>
                </c:pt>
                <c:pt idx="121">
                  <c:v>1.4783746072308644E-2</c:v>
                </c:pt>
                <c:pt idx="122">
                  <c:v>1.4615855935799846E-2</c:v>
                </c:pt>
                <c:pt idx="123">
                  <c:v>1.4444526457403491E-2</c:v>
                </c:pt>
                <c:pt idx="124">
                  <c:v>1.4269760246419455E-2</c:v>
                </c:pt>
                <c:pt idx="125">
                  <c:v>1.4091560159981515E-2</c:v>
                </c:pt>
                <c:pt idx="126">
                  <c:v>1.390992930929554E-2</c:v>
                </c:pt>
                <c:pt idx="127">
                  <c:v>1.3719567274389719E-2</c:v>
                </c:pt>
                <c:pt idx="128">
                  <c:v>1.3521800619151791E-2</c:v>
                </c:pt>
                <c:pt idx="129">
                  <c:v>1.3316636523378167E-2</c:v>
                </c:pt>
                <c:pt idx="130">
                  <c:v>1.3104082619536791E-2</c:v>
                </c:pt>
                <c:pt idx="131">
                  <c:v>1.2884147006294313E-2</c:v>
                </c:pt>
                <c:pt idx="132">
                  <c:v>1.2656838262156836E-2</c:v>
                </c:pt>
                <c:pt idx="133">
                  <c:v>1.2422165459177252E-2</c:v>
                </c:pt>
                <c:pt idx="134">
                  <c:v>1.218013817660331E-2</c:v>
                </c:pt>
                <c:pt idx="135">
                  <c:v>1.1936004301344979E-2</c:v>
                </c:pt>
                <c:pt idx="136">
                  <c:v>1.1691869572652148E-2</c:v>
                </c:pt>
                <c:pt idx="137">
                  <c:v>1.144773784643599E-2</c:v>
                </c:pt>
                <c:pt idx="138">
                  <c:v>1.1203613158805558E-2</c:v>
                </c:pt>
                <c:pt idx="139">
                  <c:v>1.0959499726401492E-2</c:v>
                </c:pt>
                <c:pt idx="140">
                  <c:v>1.0715401946193387E-2</c:v>
                </c:pt>
                <c:pt idx="141">
                  <c:v>1.0476308943851468E-2</c:v>
                </c:pt>
                <c:pt idx="142">
                  <c:v>1.0247451627018374E-2</c:v>
                </c:pt>
                <c:pt idx="143">
                  <c:v>1.0028788460022251E-2</c:v>
                </c:pt>
                <c:pt idx="144">
                  <c:v>9.8203299431567446E-3</c:v>
                </c:pt>
                <c:pt idx="145">
                  <c:v>9.6220846057025588E-3</c:v>
                </c:pt>
                <c:pt idx="146">
                  <c:v>9.4340591208325018E-3</c:v>
                </c:pt>
                <c:pt idx="147">
                  <c:v>9.2562584207949179E-3</c:v>
                </c:pt>
                <c:pt idx="148">
                  <c:v>9.0886858118985111E-3</c:v>
                </c:pt>
                <c:pt idx="149">
                  <c:v>8.9241654665410015E-3</c:v>
                </c:pt>
                <c:pt idx="150">
                  <c:v>8.7575018353611752E-3</c:v>
                </c:pt>
                <c:pt idx="151">
                  <c:v>8.5887127696269491E-3</c:v>
                </c:pt>
                <c:pt idx="152">
                  <c:v>8.4178154993279717E-3</c:v>
                </c:pt>
                <c:pt idx="153">
                  <c:v>8.2448266081590962E-3</c:v>
                </c:pt>
                <c:pt idx="154">
                  <c:v>8.0697620085446696E-3</c:v>
                </c:pt>
                <c:pt idx="155">
                  <c:v>7.8972307615224665E-3</c:v>
                </c:pt>
                <c:pt idx="156">
                  <c:v>7.7222905175056344E-3</c:v>
                </c:pt>
                <c:pt idx="157">
                  <c:v>7.5449555659876906E-3</c:v>
                </c:pt>
                <c:pt idx="158">
                  <c:v>7.3652394482101756E-3</c:v>
                </c:pt>
                <c:pt idx="159">
                  <c:v>7.1831549280777784E-3</c:v>
                </c:pt>
                <c:pt idx="160">
                  <c:v>6.9987139631507711E-3</c:v>
                </c:pt>
                <c:pt idx="161">
                  <c:v>6.8119276755664758E-3</c:v>
                </c:pt>
                <c:pt idx="162">
                  <c:v>6.6228063229946954E-3</c:v>
                </c:pt>
                <c:pt idx="163">
                  <c:v>6.4420625900819262E-3</c:v>
                </c:pt>
                <c:pt idx="164">
                  <c:v>6.2768102188798759E-3</c:v>
                </c:pt>
                <c:pt idx="165">
                  <c:v>6.1270297286730125E-3</c:v>
                </c:pt>
                <c:pt idx="166">
                  <c:v>5.9927015758242984E-3</c:v>
                </c:pt>
                <c:pt idx="167">
                  <c:v>5.8738063276710393E-3</c:v>
                </c:pt>
                <c:pt idx="168">
                  <c:v>5.770324836584499E-3</c:v>
                </c:pt>
                <c:pt idx="169">
                  <c:v>5.6929099987007327E-3</c:v>
                </c:pt>
                <c:pt idx="170">
                  <c:v>5.6369702961118961E-3</c:v>
                </c:pt>
                <c:pt idx="171">
                  <c:v>5.6024807853527628E-3</c:v>
                </c:pt>
                <c:pt idx="172">
                  <c:v>5.5894181026030021E-3</c:v>
                </c:pt>
                <c:pt idx="173">
                  <c:v>5.597712836794503E-3</c:v>
                </c:pt>
                <c:pt idx="174">
                  <c:v>5.6272940954832399E-3</c:v>
                </c:pt>
                <c:pt idx="175">
                  <c:v>5.6781376491117147E-3</c:v>
                </c:pt>
                <c:pt idx="176">
                  <c:v>5.7502193855479703E-3</c:v>
                </c:pt>
                <c:pt idx="177">
                  <c:v>5.8480606429317144E-3</c:v>
                </c:pt>
                <c:pt idx="178">
                  <c:v>5.9610016686818569E-3</c:v>
                </c:pt>
                <c:pt idx="179">
                  <c:v>6.0890269736326788E-3</c:v>
                </c:pt>
                <c:pt idx="180">
                  <c:v>6.2321215131207258E-3</c:v>
                </c:pt>
                <c:pt idx="181">
                  <c:v>6.3902707614553814E-3</c:v>
                </c:pt>
                <c:pt idx="182">
                  <c:v>6.5634607864330967E-3</c:v>
                </c:pt>
                <c:pt idx="183">
                  <c:v>6.7446158223898609E-3</c:v>
                </c:pt>
                <c:pt idx="184">
                  <c:v>6.923127388186138E-3</c:v>
                </c:pt>
                <c:pt idx="185">
                  <c:v>7.0990045604399157E-3</c:v>
                </c:pt>
                <c:pt idx="186">
                  <c:v>7.2722566913103999E-3</c:v>
                </c:pt>
                <c:pt idx="187">
                  <c:v>7.4428933960814193E-3</c:v>
                </c:pt>
                <c:pt idx="188">
                  <c:v>7.6109245407853252E-3</c:v>
                </c:pt>
                <c:pt idx="189">
                  <c:v>7.7763602296370129E-3</c:v>
                </c:pt>
                <c:pt idx="190">
                  <c:v>7.9392107927339275E-3</c:v>
                </c:pt>
                <c:pt idx="191">
                  <c:v>8.1043596734043828E-3</c:v>
                </c:pt>
                <c:pt idx="192">
                  <c:v>8.2672938321069148E-3</c:v>
                </c:pt>
                <c:pt idx="193">
                  <c:v>8.4280239802021952E-3</c:v>
                </c:pt>
                <c:pt idx="194">
                  <c:v>8.5865610350441077E-3</c:v>
                </c:pt>
                <c:pt idx="195">
                  <c:v>8.74291610943621E-3</c:v>
                </c:pt>
                <c:pt idx="196">
                  <c:v>8.8971005008194933E-3</c:v>
                </c:pt>
                <c:pt idx="197">
                  <c:v>9.0542258737375623E-3</c:v>
                </c:pt>
                <c:pt idx="198">
                  <c:v>9.2213251599077371E-3</c:v>
                </c:pt>
                <c:pt idx="199">
                  <c:v>9.3984004667210987E-3</c:v>
                </c:pt>
                <c:pt idx="200">
                  <c:v>9.5854549724796127E-3</c:v>
                </c:pt>
                <c:pt idx="201">
                  <c:v>9.7824929755871929E-3</c:v>
                </c:pt>
                <c:pt idx="202">
                  <c:v>9.9895199437800199E-3</c:v>
                </c:pt>
                <c:pt idx="203">
                  <c:v>1.0206542563542214E-2</c:v>
                </c:pt>
                <c:pt idx="204">
                  <c:v>1.043355472936972E-2</c:v>
                </c:pt>
                <c:pt idx="205">
                  <c:v>1.066540203356605E-2</c:v>
                </c:pt>
                <c:pt idx="206">
                  <c:v>1.0897233860295535E-2</c:v>
                </c:pt>
                <c:pt idx="207">
                  <c:v>1.1129055543269898E-2</c:v>
                </c:pt>
                <c:pt idx="208">
                  <c:v>1.1360872170619188E-2</c:v>
                </c:pt>
                <c:pt idx="209">
                  <c:v>1.1592688584909689E-2</c:v>
                </c:pt>
                <c:pt idx="210">
                  <c:v>1.1824509383477927E-2</c:v>
                </c:pt>
                <c:pt idx="211">
                  <c:v>1.2054299104663059E-2</c:v>
                </c:pt>
                <c:pt idx="212">
                  <c:v>1.2276977374054589E-2</c:v>
                </c:pt>
                <c:pt idx="213">
                  <c:v>1.2492550277363165E-2</c:v>
                </c:pt>
                <c:pt idx="214">
                  <c:v>1.2701023246710666E-2</c:v>
                </c:pt>
                <c:pt idx="215">
                  <c:v>1.290240107925794E-2</c:v>
                </c:pt>
                <c:pt idx="216">
                  <c:v>1.3096687955796391E-2</c:v>
                </c:pt>
                <c:pt idx="217">
                  <c:v>1.3283887459381661E-2</c:v>
                </c:pt>
                <c:pt idx="218">
                  <c:v>1.3464002593907476E-2</c:v>
                </c:pt>
                <c:pt idx="219">
                  <c:v>1.363575867033053E-2</c:v>
                </c:pt>
                <c:pt idx="220">
                  <c:v>1.3804292306971238E-2</c:v>
                </c:pt>
                <c:pt idx="221">
                  <c:v>1.3969604420886591E-2</c:v>
                </c:pt>
                <c:pt idx="222">
                  <c:v>1.4131695600113556E-2</c:v>
                </c:pt>
                <c:pt idx="223">
                  <c:v>1.4290566112467993E-2</c:v>
                </c:pt>
                <c:pt idx="224">
                  <c:v>1.4446215914063887E-2</c:v>
                </c:pt>
                <c:pt idx="225">
                  <c:v>1.4585355821018069E-2</c:v>
                </c:pt>
                <c:pt idx="226">
                  <c:v>1.4710023392403177E-2</c:v>
                </c:pt>
                <c:pt idx="227">
                  <c:v>1.4820217312715241E-2</c:v>
                </c:pt>
                <c:pt idx="228">
                  <c:v>1.4915935598776025E-2</c:v>
                </c:pt>
                <c:pt idx="229">
                  <c:v>1.4997175637357403E-2</c:v>
                </c:pt>
                <c:pt idx="230">
                  <c:v>1.5063934223001065E-2</c:v>
                </c:pt>
                <c:pt idx="231">
                  <c:v>1.5116207595883056E-2</c:v>
                </c:pt>
                <c:pt idx="232">
                  <c:v>1.5153991479409034E-2</c:v>
                </c:pt>
                <c:pt idx="233">
                  <c:v>1.5163022597782858E-2</c:v>
                </c:pt>
                <c:pt idx="234">
                  <c:v>1.5144571183194568E-2</c:v>
                </c:pt>
                <c:pt idx="235">
                  <c:v>1.509863987850321E-2</c:v>
                </c:pt>
                <c:pt idx="236">
                  <c:v>1.5025234542543458E-2</c:v>
                </c:pt>
                <c:pt idx="237">
                  <c:v>1.4924351930694864E-2</c:v>
                </c:pt>
                <c:pt idx="238">
                  <c:v>1.4795987807865419E-2</c:v>
                </c:pt>
                <c:pt idx="239">
                  <c:v>1.464019723591708E-2</c:v>
                </c:pt>
                <c:pt idx="240">
                  <c:v>1.4470269936861383E-2</c:v>
                </c:pt>
                <c:pt idx="241">
                  <c:v>1.4286201699575915E-2</c:v>
                </c:pt>
                <c:pt idx="242">
                  <c:v>1.4087987674076402E-2</c:v>
                </c:pt>
                <c:pt idx="243">
                  <c:v>1.3875622350722268E-2</c:v>
                </c:pt>
                <c:pt idx="244">
                  <c:v>1.3649099539345505E-2</c:v>
                </c:pt>
                <c:pt idx="245">
                  <c:v>1.3408412348256729E-2</c:v>
                </c:pt>
                <c:pt idx="246">
                  <c:v>1.3153553163242499E-2</c:v>
                </c:pt>
                <c:pt idx="247">
                  <c:v>1.2886825724855692E-2</c:v>
                </c:pt>
                <c:pt idx="248">
                  <c:v>1.2622497911977152E-2</c:v>
                </c:pt>
                <c:pt idx="249">
                  <c:v>1.2360566642113208E-2</c:v>
                </c:pt>
                <c:pt idx="250">
                  <c:v>1.210102878269031E-2</c:v>
                </c:pt>
                <c:pt idx="251">
                  <c:v>1.1843881154824175E-2</c:v>
                </c:pt>
                <c:pt idx="252">
                  <c:v>1.1589120536640941E-2</c:v>
                </c:pt>
                <c:pt idx="253">
                  <c:v>1.1335241276505021E-2</c:v>
                </c:pt>
                <c:pt idx="254">
                  <c:v>1.1082178847827627E-2</c:v>
                </c:pt>
                <c:pt idx="255">
                  <c:v>1.0829929022259559E-2</c:v>
                </c:pt>
                <c:pt idx="256">
                  <c:v>1.057848746228362E-2</c:v>
                </c:pt>
                <c:pt idx="257">
                  <c:v>1.0327849722330832E-2</c:v>
                </c:pt>
                <c:pt idx="258">
                  <c:v>1.0078011249988299E-2</c:v>
                </c:pt>
                <c:pt idx="259">
                  <c:v>9.8289673873187076E-3</c:v>
                </c:pt>
                <c:pt idx="260">
                  <c:v>9.5807133719169445E-3</c:v>
                </c:pt>
                <c:pt idx="261">
                  <c:v>9.3450606347051501E-3</c:v>
                </c:pt>
                <c:pt idx="262">
                  <c:v>9.1196943919407188E-3</c:v>
                </c:pt>
                <c:pt idx="263">
                  <c:v>8.9046171779705273E-3</c:v>
                </c:pt>
                <c:pt idx="264">
                  <c:v>8.6998323313525645E-3</c:v>
                </c:pt>
                <c:pt idx="265">
                  <c:v>8.5053816845800673E-3</c:v>
                </c:pt>
                <c:pt idx="266">
                  <c:v>8.3212859643742795E-3</c:v>
                </c:pt>
                <c:pt idx="267">
                  <c:v>8.1853346098946528E-3</c:v>
                </c:pt>
                <c:pt idx="268">
                  <c:v>8.0990663492723092E-3</c:v>
                </c:pt>
                <c:pt idx="269">
                  <c:v>8.0625183438566856E-3</c:v>
                </c:pt>
                <c:pt idx="270">
                  <c:v>8.0757321631184566E-3</c:v>
                </c:pt>
                <c:pt idx="271">
                  <c:v>8.1387533278727588E-3</c:v>
                </c:pt>
                <c:pt idx="272">
                  <c:v>8.2516308536907963E-3</c:v>
                </c:pt>
                <c:pt idx="273">
                  <c:v>8.4144167942249142E-3</c:v>
                </c:pt>
                <c:pt idx="274">
                  <c:v>8.6271657846227756E-3</c:v>
                </c:pt>
                <c:pt idx="275">
                  <c:v>8.9044202774957327E-3</c:v>
                </c:pt>
                <c:pt idx="276">
                  <c:v>9.2343809643352075E-3</c:v>
                </c:pt>
                <c:pt idx="277">
                  <c:v>9.6171110509416374E-3</c:v>
                </c:pt>
                <c:pt idx="278">
                  <c:v>1.0052674534548283E-2</c:v>
                </c:pt>
                <c:pt idx="279">
                  <c:v>1.0541135723171466E-2</c:v>
                </c:pt>
                <c:pt idx="280">
                  <c:v>1.1082558755039792E-2</c:v>
                </c:pt>
                <c:pt idx="281">
                  <c:v>1.1679955743558257E-2</c:v>
                </c:pt>
                <c:pt idx="282">
                  <c:v>1.229537106174833E-2</c:v>
                </c:pt>
                <c:pt idx="283">
                  <c:v>1.2928819479672759E-2</c:v>
                </c:pt>
                <c:pt idx="284">
                  <c:v>1.3580313620430716E-2</c:v>
                </c:pt>
                <c:pt idx="285">
                  <c:v>1.4249863800260859E-2</c:v>
                </c:pt>
                <c:pt idx="286">
                  <c:v>1.4937477868752576E-2</c:v>
                </c:pt>
                <c:pt idx="287">
                  <c:v>1.5643161048949455E-2</c:v>
                </c:pt>
                <c:pt idx="288">
                  <c:v>1.6366915777492653E-2</c:v>
                </c:pt>
                <c:pt idx="289">
                  <c:v>1.7207409523848898E-2</c:v>
                </c:pt>
                <c:pt idx="290">
                  <c:v>1.8150183332172404E-2</c:v>
                </c:pt>
                <c:pt idx="291">
                  <c:v>1.9195332399805087E-2</c:v>
                </c:pt>
                <c:pt idx="292">
                  <c:v>2.0342944562557825E-2</c:v>
                </c:pt>
                <c:pt idx="293">
                  <c:v>2.1593099368107521E-2</c:v>
                </c:pt>
                <c:pt idx="294">
                  <c:v>2.2945867149341076E-2</c:v>
                </c:pt>
                <c:pt idx="295">
                  <c:v>2.4516536580436843E-2</c:v>
                </c:pt>
                <c:pt idx="296">
                  <c:v>2.6302583460444107E-2</c:v>
                </c:pt>
                <c:pt idx="297">
                  <c:v>2.8304421149508745E-2</c:v>
                </c:pt>
                <c:pt idx="298">
                  <c:v>3.0522305553446732E-2</c:v>
                </c:pt>
                <c:pt idx="299">
                  <c:v>3.2956492375017236E-2</c:v>
                </c:pt>
                <c:pt idx="300">
                  <c:v>3.5607235457805399E-2</c:v>
                </c:pt>
                <c:pt idx="301">
                  <c:v>3.8474785130030165E-2</c:v>
                </c:pt>
                <c:pt idx="302">
                  <c:v>4.1559386548413228E-2</c:v>
                </c:pt>
                <c:pt idx="303">
                  <c:v>4.4865696465846948E-2</c:v>
                </c:pt>
                <c:pt idx="304">
                  <c:v>4.8294696385704217E-2</c:v>
                </c:pt>
                <c:pt idx="305">
                  <c:v>5.1846492637265686E-2</c:v>
                </c:pt>
                <c:pt idx="306">
                  <c:v>5.5521180474390454E-2</c:v>
                </c:pt>
                <c:pt idx="307">
                  <c:v>5.9318843150349937E-2</c:v>
                </c:pt>
                <c:pt idx="308">
                  <c:v>6.3239550992254936E-2</c:v>
                </c:pt>
                <c:pt idx="309">
                  <c:v>6.7219876014475599E-2</c:v>
                </c:pt>
                <c:pt idx="310">
                  <c:v>7.1143881312772203E-2</c:v>
                </c:pt>
                <c:pt idx="311">
                  <c:v>7.5011390251323293E-2</c:v>
                </c:pt>
                <c:pt idx="312">
                  <c:v>7.8822216114788887E-2</c:v>
                </c:pt>
                <c:pt idx="313">
                  <c:v>8.2576162562814678E-2</c:v>
                </c:pt>
                <c:pt idx="314">
                  <c:v>8.6273024083954875E-2</c:v>
                </c:pt>
                <c:pt idx="315">
                  <c:v>8.9912586450449819E-2</c:v>
                </c:pt>
                <c:pt idx="316">
                  <c:v>9.3494627171931174E-2</c:v>
                </c:pt>
                <c:pt idx="317">
                  <c:v>9.6888068231851823E-2</c:v>
                </c:pt>
                <c:pt idx="318">
                  <c:v>0.10008810326232771</c:v>
                </c:pt>
                <c:pt idx="319">
                  <c:v>0.10309436680544397</c:v>
                </c:pt>
                <c:pt idx="320">
                  <c:v>0.10590649711794385</c:v>
                </c:pt>
                <c:pt idx="321">
                  <c:v>0.10852413766334308</c:v>
                </c:pt>
                <c:pt idx="322">
                  <c:v>0.11094693860447642</c:v>
                </c:pt>
                <c:pt idx="323">
                  <c:v>0.11305544689426077</c:v>
                </c:pt>
                <c:pt idx="324">
                  <c:v>0.11491303787970845</c:v>
                </c:pt>
                <c:pt idx="325">
                  <c:v>0.11651935341752055</c:v>
                </c:pt>
                <c:pt idx="326">
                  <c:v>0.11787343878592083</c:v>
                </c:pt>
                <c:pt idx="327">
                  <c:v>0.11897475045726762</c:v>
                </c:pt>
                <c:pt idx="328">
                  <c:v>0.11982328448741418</c:v>
                </c:pt>
                <c:pt idx="329">
                  <c:v>0.12041907771050603</c:v>
                </c:pt>
                <c:pt idx="330">
                  <c:v>0.12076220336715832</c:v>
                </c:pt>
                <c:pt idx="331">
                  <c:v>0.1208517199299539</c:v>
                </c:pt>
                <c:pt idx="332">
                  <c:v>0.12081902267269899</c:v>
                </c:pt>
                <c:pt idx="333">
                  <c:v>0.12066429447735121</c:v>
                </c:pt>
                <c:pt idx="334">
                  <c:v>0.12038772759183963</c:v>
                </c:pt>
                <c:pt idx="335">
                  <c:v>0.11998952153165049</c:v>
                </c:pt>
                <c:pt idx="336">
                  <c:v>0.11946988098008082</c:v>
                </c:pt>
                <c:pt idx="337">
                  <c:v>0.11885205204189764</c:v>
                </c:pt>
                <c:pt idx="338">
                  <c:v>0.11825555813642351</c:v>
                </c:pt>
                <c:pt idx="339">
                  <c:v>0.11768061555006083</c:v>
                </c:pt>
                <c:pt idx="340">
                  <c:v>0.1171274360022606</c:v>
                </c:pt>
                <c:pt idx="341">
                  <c:v>0.11659622702948245</c:v>
                </c:pt>
                <c:pt idx="342">
                  <c:v>0.11608719236906707</c:v>
                </c:pt>
                <c:pt idx="343">
                  <c:v>0.11560053234193067</c:v>
                </c:pt>
                <c:pt idx="344">
                  <c:v>0.11513644423679847</c:v>
                </c:pt>
                <c:pt idx="345">
                  <c:v>0.1146951226934062</c:v>
                </c:pt>
                <c:pt idx="346">
                  <c:v>0.11429829330031804</c:v>
                </c:pt>
                <c:pt idx="347">
                  <c:v>0.11394615014934344</c:v>
                </c:pt>
                <c:pt idx="348">
                  <c:v>0.11363888741031714</c:v>
                </c:pt>
                <c:pt idx="349">
                  <c:v>0.11337670008935259</c:v>
                </c:pt>
                <c:pt idx="350">
                  <c:v>0.11315978478932953</c:v>
                </c:pt>
                <c:pt idx="351">
                  <c:v>0.11300883485351375</c:v>
                </c:pt>
                <c:pt idx="352">
                  <c:v>0.11290100398287094</c:v>
                </c:pt>
                <c:pt idx="353">
                  <c:v>0.11283649821587614</c:v>
                </c:pt>
                <c:pt idx="354">
                  <c:v>0.11281552802031609</c:v>
                </c:pt>
                <c:pt idx="355">
                  <c:v>0.11283830900300014</c:v>
                </c:pt>
                <c:pt idx="356">
                  <c:v>0.11290512809300578</c:v>
                </c:pt>
                <c:pt idx="357">
                  <c:v>0.11301600219521783</c:v>
                </c:pt>
                <c:pt idx="358">
                  <c:v>0.11317072602622368</c:v>
                </c:pt>
                <c:pt idx="359">
                  <c:v>0.11336909942831956</c:v>
                </c:pt>
                <c:pt idx="360">
                  <c:v>0.11363402742873276</c:v>
                </c:pt>
                <c:pt idx="361">
                  <c:v>0.11394479749302878</c:v>
                </c:pt>
                <c:pt idx="362">
                  <c:v>0.11430122338146868</c:v>
                </c:pt>
                <c:pt idx="363">
                  <c:v>0.11470312046291788</c:v>
                </c:pt>
                <c:pt idx="364">
                  <c:v>0.11515030477920536</c:v>
                </c:pt>
                <c:pt idx="365">
                  <c:v>0.1156425921083203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0.12753434311565015</c:v>
                </c:pt>
                <c:pt idx="1">
                  <c:v>0.12803927341572222</c:v>
                </c:pt>
                <c:pt idx="2">
                  <c:v>0.12860224564061579</c:v>
                </c:pt>
                <c:pt idx="3">
                  <c:v>0.12922305942614787</c:v>
                </c:pt>
                <c:pt idx="4">
                  <c:v>0.12990151077199213</c:v>
                </c:pt>
                <c:pt idx="5">
                  <c:v>0.13063739081966996</c:v>
                </c:pt>
                <c:pt idx="6">
                  <c:v>0.13143048463194354</c:v>
                </c:pt>
                <c:pt idx="7">
                  <c:v>0.13228056996975046</c:v>
                </c:pt>
                <c:pt idx="8">
                  <c:v>0.13318741607065449</c:v>
                </c:pt>
                <c:pt idx="9">
                  <c:v>0.13405085948273468</c:v>
                </c:pt>
                <c:pt idx="10">
                  <c:v>0.13484181098372189</c:v>
                </c:pt>
                <c:pt idx="11">
                  <c:v>0.13555987649722667</c:v>
                </c:pt>
                <c:pt idx="12">
                  <c:v>0.13620466199880407</c:v>
                </c:pt>
                <c:pt idx="13">
                  <c:v>0.13677577504249508</c:v>
                </c:pt>
                <c:pt idx="14">
                  <c:v>0.13727282628539594</c:v>
                </c:pt>
                <c:pt idx="15">
                  <c:v>0.13751439702256008</c:v>
                </c:pt>
                <c:pt idx="16">
                  <c:v>0.13747144029710673</c:v>
                </c:pt>
                <c:pt idx="17">
                  <c:v>0.13714346252683507</c:v>
                </c:pt>
                <c:pt idx="18">
                  <c:v>0.13653001746675086</c:v>
                </c:pt>
                <c:pt idx="19">
                  <c:v>0.13563134812696495</c:v>
                </c:pt>
                <c:pt idx="20">
                  <c:v>0.13444801946564022</c:v>
                </c:pt>
                <c:pt idx="21">
                  <c:v>0.13298013111383056</c:v>
                </c:pt>
                <c:pt idx="22">
                  <c:v>0.13122781214454279</c:v>
                </c:pt>
                <c:pt idx="23">
                  <c:v>0.12909716396206711</c:v>
                </c:pt>
                <c:pt idx="24">
                  <c:v>0.12668859521274672</c:v>
                </c:pt>
                <c:pt idx="25">
                  <c:v>0.12400231108939783</c:v>
                </c:pt>
                <c:pt idx="26">
                  <c:v>0.12103853341752305</c:v>
                </c:pt>
                <c:pt idx="27">
                  <c:v>0.11779749776038365</c:v>
                </c:pt>
                <c:pt idx="28">
                  <c:v>0.1142794505263095</c:v>
                </c:pt>
                <c:pt idx="29">
                  <c:v>0.11047932207849911</c:v>
                </c:pt>
                <c:pt idx="30">
                  <c:v>0.10657865900161539</c:v>
                </c:pt>
                <c:pt idx="31">
                  <c:v>0.1025777072633393</c:v>
                </c:pt>
                <c:pt idx="32">
                  <c:v>9.8476702353340828E-2</c:v>
                </c:pt>
                <c:pt idx="33">
                  <c:v>9.427586823855949E-2</c:v>
                </c:pt>
                <c:pt idx="34">
                  <c:v>8.9975416318873291E-2</c:v>
                </c:pt>
                <c:pt idx="35">
                  <c:v>8.5575544382656202E-2</c:v>
                </c:pt>
                <c:pt idx="36">
                  <c:v>8.1076435562157059E-2</c:v>
                </c:pt>
                <c:pt idx="37">
                  <c:v>7.6568972840982366E-2</c:v>
                </c:pt>
                <c:pt idx="38">
                  <c:v>7.2147313049049214E-2</c:v>
                </c:pt>
                <c:pt idx="39">
                  <c:v>6.7811547469434699E-2</c:v>
                </c:pt>
                <c:pt idx="40">
                  <c:v>6.3561748041382746E-2</c:v>
                </c:pt>
                <c:pt idx="41">
                  <c:v>5.9397968258450243E-2</c:v>
                </c:pt>
                <c:pt idx="42">
                  <c:v>5.5320244066203894E-2</c:v>
                </c:pt>
                <c:pt idx="43">
                  <c:v>5.1459415132589677E-2</c:v>
                </c:pt>
                <c:pt idx="44">
                  <c:v>4.7820777667070102E-2</c:v>
                </c:pt>
                <c:pt idx="45">
                  <c:v>4.4404296274249695E-2</c:v>
                </c:pt>
                <c:pt idx="46">
                  <c:v>4.1209926650401789E-2</c:v>
                </c:pt>
                <c:pt idx="47">
                  <c:v>3.823761791346908E-2</c:v>
                </c:pt>
                <c:pt idx="48">
                  <c:v>3.5487314932562151E-2</c:v>
                </c:pt>
                <c:pt idx="49">
                  <c:v>3.2958960657791664E-2</c:v>
                </c:pt>
                <c:pt idx="50">
                  <c:v>3.0652498449898129E-2</c:v>
                </c:pt>
                <c:pt idx="51">
                  <c:v>2.8602105771075595E-2</c:v>
                </c:pt>
                <c:pt idx="52">
                  <c:v>2.671696720840909E-2</c:v>
                </c:pt>
                <c:pt idx="53">
                  <c:v>2.4996926550301446E-2</c:v>
                </c:pt>
                <c:pt idx="54">
                  <c:v>2.3441960214686652E-2</c:v>
                </c:pt>
                <c:pt idx="55">
                  <c:v>2.2052049046309842E-2</c:v>
                </c:pt>
                <c:pt idx="56">
                  <c:v>2.0827177803650669E-2</c:v>
                </c:pt>
                <c:pt idx="57">
                  <c:v>1.978045444679797E-2</c:v>
                </c:pt>
                <c:pt idx="58">
                  <c:v>1.8781097216278318E-2</c:v>
                </c:pt>
                <c:pt idx="59">
                  <c:v>1.7829097691466612E-2</c:v>
                </c:pt>
                <c:pt idx="60">
                  <c:v>1.6924448909587129E-2</c:v>
                </c:pt>
                <c:pt idx="61">
                  <c:v>1.6067145218483132E-2</c:v>
                </c:pt>
                <c:pt idx="62">
                  <c:v>1.5257182129365783E-2</c:v>
                </c:pt>
                <c:pt idx="63">
                  <c:v>1.4494556169604258E-2</c:v>
                </c:pt>
                <c:pt idx="64">
                  <c:v>1.3779264735462579E-2</c:v>
                </c:pt>
                <c:pt idx="65">
                  <c:v>1.3154441869271406E-2</c:v>
                </c:pt>
                <c:pt idx="66">
                  <c:v>1.258585400349254E-2</c:v>
                </c:pt>
                <c:pt idx="67">
                  <c:v>1.2073500073668567E-2</c:v>
                </c:pt>
                <c:pt idx="68">
                  <c:v>1.1617379138108995E-2</c:v>
                </c:pt>
                <c:pt idx="69">
                  <c:v>1.1217490202937642E-2</c:v>
                </c:pt>
                <c:pt idx="70">
                  <c:v>1.0873832047189655E-2</c:v>
                </c:pt>
                <c:pt idx="71">
                  <c:v>1.0600996521742231E-2</c:v>
                </c:pt>
                <c:pt idx="72">
                  <c:v>1.038586090421946E-2</c:v>
                </c:pt>
                <c:pt idx="73">
                  <c:v>1.0228422022297734E-2</c:v>
                </c:pt>
                <c:pt idx="74">
                  <c:v>1.0128675725099519E-2</c:v>
                </c:pt>
                <c:pt idx="75">
                  <c:v>1.0086616703706709E-2</c:v>
                </c:pt>
                <c:pt idx="76">
                  <c:v>1.0102238311647182E-2</c:v>
                </c:pt>
                <c:pt idx="77">
                  <c:v>1.0175532385409112E-2</c:v>
                </c:pt>
                <c:pt idx="78">
                  <c:v>1.0306489352519255E-2</c:v>
                </c:pt>
                <c:pt idx="79">
                  <c:v>1.0494212470006755E-2</c:v>
                </c:pt>
                <c:pt idx="80">
                  <c:v>1.0695590512432369E-2</c:v>
                </c:pt>
                <c:pt idx="81">
                  <c:v>1.0910618894935265E-2</c:v>
                </c:pt>
                <c:pt idx="82">
                  <c:v>1.1139292782144334E-2</c:v>
                </c:pt>
                <c:pt idx="83">
                  <c:v>1.1381607051364935E-2</c:v>
                </c:pt>
                <c:pt idx="84">
                  <c:v>1.1637556255797269E-2</c:v>
                </c:pt>
                <c:pt idx="85">
                  <c:v>1.1910127802135063E-2</c:v>
                </c:pt>
                <c:pt idx="86">
                  <c:v>1.2184728880847822E-2</c:v>
                </c:pt>
                <c:pt idx="87">
                  <c:v>1.2461354481760853E-2</c:v>
                </c:pt>
                <c:pt idx="88">
                  <c:v>1.2739999273166793E-2</c:v>
                </c:pt>
                <c:pt idx="89">
                  <c:v>1.3020657596246222E-2</c:v>
                </c:pt>
                <c:pt idx="90">
                  <c:v>1.3303323459465714E-2</c:v>
                </c:pt>
                <c:pt idx="91">
                  <c:v>1.3587990533017062E-2</c:v>
                </c:pt>
                <c:pt idx="92">
                  <c:v>1.3874652143228514E-2</c:v>
                </c:pt>
                <c:pt idx="93">
                  <c:v>1.4164545070257509E-2</c:v>
                </c:pt>
                <c:pt idx="94">
                  <c:v>1.4458580662176708E-2</c:v>
                </c:pt>
                <c:pt idx="95">
                  <c:v>1.47567506943537E-2</c:v>
                </c:pt>
                <c:pt idx="96">
                  <c:v>1.5059046518038542E-2</c:v>
                </c:pt>
                <c:pt idx="97">
                  <c:v>1.536545904902154E-2</c:v>
                </c:pt>
                <c:pt idx="98">
                  <c:v>1.5675978756182606E-2</c:v>
                </c:pt>
                <c:pt idx="99">
                  <c:v>1.597661531169331E-2</c:v>
                </c:pt>
                <c:pt idx="100">
                  <c:v>1.6264372125663173E-2</c:v>
                </c:pt>
                <c:pt idx="101">
                  <c:v>1.6539243728798947E-2</c:v>
                </c:pt>
                <c:pt idx="102">
                  <c:v>1.6801224782842086E-2</c:v>
                </c:pt>
                <c:pt idx="103">
                  <c:v>1.7050310114759378E-2</c:v>
                </c:pt>
                <c:pt idx="104">
                  <c:v>1.728649475126047E-2</c:v>
                </c:pt>
                <c:pt idx="105">
                  <c:v>1.7509773953013438E-2</c:v>
                </c:pt>
                <c:pt idx="106">
                  <c:v>1.7720143249029128E-2</c:v>
                </c:pt>
                <c:pt idx="107">
                  <c:v>1.7900223450040716E-2</c:v>
                </c:pt>
                <c:pt idx="108">
                  <c:v>1.8048776723744588E-2</c:v>
                </c:pt>
                <c:pt idx="109">
                  <c:v>1.8165808859346613E-2</c:v>
                </c:pt>
                <c:pt idx="110">
                  <c:v>1.8251370645298956E-2</c:v>
                </c:pt>
                <c:pt idx="111">
                  <c:v>1.8305515889964371E-2</c:v>
                </c:pt>
                <c:pt idx="112">
                  <c:v>1.8328256371749022E-2</c:v>
                </c:pt>
                <c:pt idx="113">
                  <c:v>1.8315700028049785E-2</c:v>
                </c:pt>
                <c:pt idx="114">
                  <c:v>1.8281812898840486E-2</c:v>
                </c:pt>
                <c:pt idx="115">
                  <c:v>1.8226603468149041E-2</c:v>
                </c:pt>
                <c:pt idx="116">
                  <c:v>1.8150080799731922E-2</c:v>
                </c:pt>
                <c:pt idx="117">
                  <c:v>1.8052254576234748E-2</c:v>
                </c:pt>
                <c:pt idx="118">
                  <c:v>1.7933135138197099E-2</c:v>
                </c:pt>
                <c:pt idx="119">
                  <c:v>1.7792733523101349E-2</c:v>
                </c:pt>
                <c:pt idx="120">
                  <c:v>1.7631061504397718E-2</c:v>
                </c:pt>
                <c:pt idx="121">
                  <c:v>1.7446720767548451E-2</c:v>
                </c:pt>
                <c:pt idx="122">
                  <c:v>1.7257052467666088E-2</c:v>
                </c:pt>
                <c:pt idx="123">
                  <c:v>1.7062060085041516E-2</c:v>
                </c:pt>
                <c:pt idx="124">
                  <c:v>1.6861747422921517E-2</c:v>
                </c:pt>
                <c:pt idx="125">
                  <c:v>1.6656118617393356E-2</c:v>
                </c:pt>
                <c:pt idx="126">
                  <c:v>1.6445178147067828E-2</c:v>
                </c:pt>
                <c:pt idx="127">
                  <c:v>1.6224557339812908E-2</c:v>
                </c:pt>
                <c:pt idx="128">
                  <c:v>1.59981566726419E-2</c:v>
                </c:pt>
                <c:pt idx="129">
                  <c:v>1.5765982181852222E-2</c:v>
                </c:pt>
                <c:pt idx="130">
                  <c:v>1.5528040309112288E-2</c:v>
                </c:pt>
                <c:pt idx="131">
                  <c:v>1.5284337911969804E-2</c:v>
                </c:pt>
                <c:pt idx="132">
                  <c:v>1.5034882274494302E-2</c:v>
                </c:pt>
                <c:pt idx="133">
                  <c:v>1.4779681117998654E-2</c:v>
                </c:pt>
                <c:pt idx="134">
                  <c:v>1.4518742611690614E-2</c:v>
                </c:pt>
                <c:pt idx="135">
                  <c:v>1.4256987382694444E-2</c:v>
                </c:pt>
                <c:pt idx="136">
                  <c:v>1.3995825078134955E-2</c:v>
                </c:pt>
                <c:pt idx="137">
                  <c:v>1.3735258957071301E-2</c:v>
                </c:pt>
                <c:pt idx="138">
                  <c:v>1.3475292440225125E-2</c:v>
                </c:pt>
                <c:pt idx="139">
                  <c:v>1.3215929109249147E-2</c:v>
                </c:pt>
                <c:pt idx="140">
                  <c:v>1.2957172705351695E-2</c:v>
                </c:pt>
                <c:pt idx="141">
                  <c:v>1.2702662585132037E-2</c:v>
                </c:pt>
                <c:pt idx="142">
                  <c:v>1.245669431622643E-2</c:v>
                </c:pt>
                <c:pt idx="143">
                  <c:v>1.2219220330712047E-2</c:v>
                </c:pt>
                <c:pt idx="144">
                  <c:v>1.1990256521954188E-2</c:v>
                </c:pt>
                <c:pt idx="145">
                  <c:v>1.1769816895891162E-2</c:v>
                </c:pt>
                <c:pt idx="146">
                  <c:v>1.1557913667047099E-2</c:v>
                </c:pt>
                <c:pt idx="147">
                  <c:v>1.1354557354884696E-2</c:v>
                </c:pt>
                <c:pt idx="148">
                  <c:v>1.115975687991552E-2</c:v>
                </c:pt>
                <c:pt idx="149">
                  <c:v>1.0967220264326677E-2</c:v>
                </c:pt>
                <c:pt idx="150">
                  <c:v>1.077208012069473E-2</c:v>
                </c:pt>
                <c:pt idx="151">
                  <c:v>1.0574358059296133E-2</c:v>
                </c:pt>
                <c:pt idx="152">
                  <c:v>1.0374074968650801E-2</c:v>
                </c:pt>
                <c:pt idx="153">
                  <c:v>1.017125098522838E-2</c:v>
                </c:pt>
                <c:pt idx="154">
                  <c:v>9.9659054632046731E-3</c:v>
                </c:pt>
                <c:pt idx="155">
                  <c:v>9.7641520718592424E-3</c:v>
                </c:pt>
                <c:pt idx="156">
                  <c:v>9.5623889107953764E-3</c:v>
                </c:pt>
                <c:pt idx="157">
                  <c:v>9.3606288172717357E-3</c:v>
                </c:pt>
                <c:pt idx="158">
                  <c:v>9.1588837382478739E-3</c:v>
                </c:pt>
                <c:pt idx="159">
                  <c:v>8.9571647282433043E-3</c:v>
                </c:pt>
                <c:pt idx="160">
                  <c:v>8.7554819472925524E-3</c:v>
                </c:pt>
                <c:pt idx="161">
                  <c:v>8.5538446588120653E-3</c:v>
                </c:pt>
                <c:pt idx="162">
                  <c:v>8.3522612275093409E-3</c:v>
                </c:pt>
                <c:pt idx="163">
                  <c:v>8.1614560594032767E-3</c:v>
                </c:pt>
                <c:pt idx="164">
                  <c:v>7.9876695915008875E-3</c:v>
                </c:pt>
                <c:pt idx="165">
                  <c:v>7.8308818184847622E-3</c:v>
                </c:pt>
                <c:pt idx="166">
                  <c:v>7.6910727039254658E-3</c:v>
                </c:pt>
                <c:pt idx="167">
                  <c:v>7.5682223713337392E-3</c:v>
                </c:pt>
                <c:pt idx="168">
                  <c:v>7.4623112954219813E-3</c:v>
                </c:pt>
                <c:pt idx="169">
                  <c:v>7.3840056592365533E-3</c:v>
                </c:pt>
                <c:pt idx="170">
                  <c:v>7.327223900468219E-3</c:v>
                </c:pt>
                <c:pt idx="171">
                  <c:v>7.2919429671129202E-3</c:v>
                </c:pt>
                <c:pt idx="172">
                  <c:v>7.2781413888251406E-3</c:v>
                </c:pt>
                <c:pt idx="173">
                  <c:v>7.2857372146455743E-3</c:v>
                </c:pt>
                <c:pt idx="174">
                  <c:v>7.3146462772437524E-3</c:v>
                </c:pt>
                <c:pt idx="175">
                  <c:v>7.3648451397499617E-3</c:v>
                </c:pt>
                <c:pt idx="176">
                  <c:v>7.4363104828822427E-3</c:v>
                </c:pt>
                <c:pt idx="177">
                  <c:v>7.5350498327208231E-3</c:v>
                </c:pt>
                <c:pt idx="178">
                  <c:v>7.6503888341456407E-3</c:v>
                </c:pt>
                <c:pt idx="179">
                  <c:v>7.7823109616950515E-3</c:v>
                </c:pt>
                <c:pt idx="180">
                  <c:v>7.9308001620250392E-3</c:v>
                </c:pt>
                <c:pt idx="181">
                  <c:v>8.0958409357280627E-3</c:v>
                </c:pt>
                <c:pt idx="182">
                  <c:v>8.2774184192079461E-3</c:v>
                </c:pt>
                <c:pt idx="183">
                  <c:v>8.4693201067040386E-3</c:v>
                </c:pt>
                <c:pt idx="184">
                  <c:v>8.6609221615883535E-3</c:v>
                </c:pt>
                <c:pt idx="185">
                  <c:v>8.852231907996274E-3</c:v>
                </c:pt>
                <c:pt idx="186">
                  <c:v>9.0432570480234627E-3</c:v>
                </c:pt>
                <c:pt idx="187">
                  <c:v>9.2340056608565188E-3</c:v>
                </c:pt>
                <c:pt idx="188">
                  <c:v>9.4244862019532138E-3</c:v>
                </c:pt>
                <c:pt idx="189">
                  <c:v>9.614707501987188E-3</c:v>
                </c:pt>
                <c:pt idx="190">
                  <c:v>9.8046787661225758E-3</c:v>
                </c:pt>
                <c:pt idx="191">
                  <c:v>9.997963599523747E-3</c:v>
                </c:pt>
                <c:pt idx="192">
                  <c:v>1.0188572796468223E-2</c:v>
                </c:pt>
                <c:pt idx="193">
                  <c:v>1.0376519239781626E-2</c:v>
                </c:pt>
                <c:pt idx="194">
                  <c:v>1.0561816048642137E-2</c:v>
                </c:pt>
                <c:pt idx="195">
                  <c:v>1.0744476565816312E-2</c:v>
                </c:pt>
                <c:pt idx="196">
                  <c:v>1.092451434456395E-2</c:v>
                </c:pt>
                <c:pt idx="197">
                  <c:v>1.1106726099659306E-2</c:v>
                </c:pt>
                <c:pt idx="198">
                  <c:v>1.1297287702875651E-2</c:v>
                </c:pt>
                <c:pt idx="199">
                  <c:v>1.1496204527447991E-2</c:v>
                </c:pt>
                <c:pt idx="200">
                  <c:v>1.1703482944558478E-2</c:v>
                </c:pt>
                <c:pt idx="201">
                  <c:v>1.191913036443463E-2</c:v>
                </c:pt>
                <c:pt idx="202">
                  <c:v>1.2143155277496195E-2</c:v>
                </c:pt>
                <c:pt idx="203">
                  <c:v>1.2375567295727457E-2</c:v>
                </c:pt>
                <c:pt idx="204">
                  <c:v>1.2616360192368517E-2</c:v>
                </c:pt>
                <c:pt idx="205">
                  <c:v>1.2861280233229409E-2</c:v>
                </c:pt>
                <c:pt idx="206">
                  <c:v>1.3106790726846283E-2</c:v>
                </c:pt>
                <c:pt idx="207">
                  <c:v>1.3352896605859275E-2</c:v>
                </c:pt>
                <c:pt idx="208">
                  <c:v>1.359960258254655E-2</c:v>
                </c:pt>
                <c:pt idx="209">
                  <c:v>1.3846913147303373E-2</c:v>
                </c:pt>
                <c:pt idx="210">
                  <c:v>1.409483256749984E-2</c:v>
                </c:pt>
                <c:pt idx="211">
                  <c:v>1.4341999988116123E-2</c:v>
                </c:pt>
                <c:pt idx="212">
                  <c:v>1.4583650804595675E-2</c:v>
                </c:pt>
                <c:pt idx="213">
                  <c:v>1.4819790532365885E-2</c:v>
                </c:pt>
                <c:pt idx="214">
                  <c:v>1.5050424105832367E-2</c:v>
                </c:pt>
                <c:pt idx="215">
                  <c:v>1.5275555892929648E-2</c:v>
                </c:pt>
                <c:pt idx="216">
                  <c:v>1.5495189709628772E-2</c:v>
                </c:pt>
                <c:pt idx="217">
                  <c:v>1.5709328834494631E-2</c:v>
                </c:pt>
                <c:pt idx="218">
                  <c:v>1.5917976023172568E-2</c:v>
                </c:pt>
                <c:pt idx="219">
                  <c:v>1.6117364668829768E-2</c:v>
                </c:pt>
                <c:pt idx="220">
                  <c:v>1.6311730976050029E-2</c:v>
                </c:pt>
                <c:pt idx="221">
                  <c:v>1.6501076078632052E-2</c:v>
                </c:pt>
                <c:pt idx="222">
                  <c:v>1.6685400670302913E-2</c:v>
                </c:pt>
                <c:pt idx="223">
                  <c:v>1.6864705018265029E-2</c:v>
                </c:pt>
                <c:pt idx="224">
                  <c:v>1.7038988976412536E-2</c:v>
                </c:pt>
                <c:pt idx="225">
                  <c:v>1.7191499877865418E-2</c:v>
                </c:pt>
                <c:pt idx="226">
                  <c:v>1.7323600658334555E-2</c:v>
                </c:pt>
                <c:pt idx="227">
                  <c:v>1.7435289507508778E-2</c:v>
                </c:pt>
                <c:pt idx="228">
                  <c:v>1.7526563719590344E-2</c:v>
                </c:pt>
                <c:pt idx="229">
                  <c:v>1.7597419746333234E-2</c:v>
                </c:pt>
                <c:pt idx="230">
                  <c:v>1.7647853250311641E-2</c:v>
                </c:pt>
                <c:pt idx="231">
                  <c:v>1.7677859158240477E-2</c:v>
                </c:pt>
                <c:pt idx="232">
                  <c:v>1.7687431713980215E-2</c:v>
                </c:pt>
                <c:pt idx="233">
                  <c:v>1.7663096285067209E-2</c:v>
                </c:pt>
                <c:pt idx="234">
                  <c:v>1.7608613219706373E-2</c:v>
                </c:pt>
                <c:pt idx="235">
                  <c:v>1.7523985358925773E-2</c:v>
                </c:pt>
                <c:pt idx="236">
                  <c:v>1.740921926592872E-2</c:v>
                </c:pt>
                <c:pt idx="237">
                  <c:v>1.7264310943720811E-2</c:v>
                </c:pt>
                <c:pt idx="238">
                  <c:v>1.7089255288512937E-2</c:v>
                </c:pt>
                <c:pt idx="239">
                  <c:v>1.6885244105636951E-2</c:v>
                </c:pt>
                <c:pt idx="240">
                  <c:v>1.6669031421069846E-2</c:v>
                </c:pt>
                <c:pt idx="241">
                  <c:v>1.6440612919483136E-2</c:v>
                </c:pt>
                <c:pt idx="242">
                  <c:v>1.6199983692369184E-2</c:v>
                </c:pt>
                <c:pt idx="243">
                  <c:v>1.5947138220103439E-2</c:v>
                </c:pt>
                <c:pt idx="244">
                  <c:v>1.5682070353917821E-2</c:v>
                </c:pt>
                <c:pt idx="245">
                  <c:v>1.5404773297733185E-2</c:v>
                </c:pt>
                <c:pt idx="246">
                  <c:v>1.5115239589981897E-2</c:v>
                </c:pt>
                <c:pt idx="247">
                  <c:v>1.4816345219900539E-2</c:v>
                </c:pt>
                <c:pt idx="248">
                  <c:v>1.4521567314184454E-2</c:v>
                </c:pt>
                <c:pt idx="249">
                  <c:v>1.4230903054491232E-2</c:v>
                </c:pt>
                <c:pt idx="250">
                  <c:v>1.3944349631150949E-2</c:v>
                </c:pt>
                <c:pt idx="251">
                  <c:v>1.3661904249493914E-2</c:v>
                </c:pt>
                <c:pt idx="252">
                  <c:v>1.3383564135663011E-2</c:v>
                </c:pt>
                <c:pt idx="253">
                  <c:v>1.310843982175916E-2</c:v>
                </c:pt>
                <c:pt idx="254">
                  <c:v>1.2835327859264088E-2</c:v>
                </c:pt>
                <c:pt idx="255">
                  <c:v>1.2564224401029108E-2</c:v>
                </c:pt>
                <c:pt idx="256">
                  <c:v>1.229512553838431E-2</c:v>
                </c:pt>
                <c:pt idx="257">
                  <c:v>1.2028027303988872E-2</c:v>
                </c:pt>
                <c:pt idx="258">
                  <c:v>1.1762925674787369E-2</c:v>
                </c:pt>
                <c:pt idx="259">
                  <c:v>1.1499816575096758E-2</c:v>
                </c:pt>
                <c:pt idx="260">
                  <c:v>1.123869587938716E-2</c:v>
                </c:pt>
                <c:pt idx="261">
                  <c:v>1.0993650275728115E-2</c:v>
                </c:pt>
                <c:pt idx="262">
                  <c:v>1.0761793782153511E-2</c:v>
                </c:pt>
                <c:pt idx="263">
                  <c:v>1.0543131110362074E-2</c:v>
                </c:pt>
                <c:pt idx="264">
                  <c:v>1.0337668003043244E-2</c:v>
                </c:pt>
                <c:pt idx="265">
                  <c:v>1.014545620051871E-2</c:v>
                </c:pt>
                <c:pt idx="266">
                  <c:v>9.9665229886757908E-3</c:v>
                </c:pt>
                <c:pt idx="267">
                  <c:v>9.8425803687347633E-3</c:v>
                </c:pt>
                <c:pt idx="268">
                  <c:v>9.7745545365730234E-3</c:v>
                </c:pt>
                <c:pt idx="269">
                  <c:v>9.7624879482989032E-3</c:v>
                </c:pt>
                <c:pt idx="270">
                  <c:v>9.8064279127710891E-3</c:v>
                </c:pt>
                <c:pt idx="271">
                  <c:v>9.9064260777551559E-3</c:v>
                </c:pt>
                <c:pt idx="272">
                  <c:v>1.0062537916307021E-2</c:v>
                </c:pt>
                <c:pt idx="273">
                  <c:v>1.0274822213051493E-2</c:v>
                </c:pt>
                <c:pt idx="274">
                  <c:v>1.0543340550569375E-2</c:v>
                </c:pt>
                <c:pt idx="275">
                  <c:v>1.0880883438368984E-2</c:v>
                </c:pt>
                <c:pt idx="276">
                  <c:v>1.1273370626434761E-2</c:v>
                </c:pt>
                <c:pt idx="277">
                  <c:v>1.1720867470805659E-2</c:v>
                </c:pt>
                <c:pt idx="278">
                  <c:v>1.2223439975094265E-2</c:v>
                </c:pt>
                <c:pt idx="279">
                  <c:v>1.2781154289890415E-2</c:v>
                </c:pt>
                <c:pt idx="280">
                  <c:v>1.3394076212260825E-2</c:v>
                </c:pt>
                <c:pt idx="281">
                  <c:v>1.4095560571222816E-2</c:v>
                </c:pt>
                <c:pt idx="282">
                  <c:v>1.4843748078608981E-2</c:v>
                </c:pt>
                <c:pt idx="283">
                  <c:v>1.5638689222274529E-2</c:v>
                </c:pt>
                <c:pt idx="284">
                  <c:v>1.6480432001584465E-2</c:v>
                </c:pt>
                <c:pt idx="285">
                  <c:v>1.7369021506026386E-2</c:v>
                </c:pt>
                <c:pt idx="286">
                  <c:v>1.8304499493954463E-2</c:v>
                </c:pt>
                <c:pt idx="287">
                  <c:v>1.928690397120314E-2</c:v>
                </c:pt>
                <c:pt idx="288">
                  <c:v>2.0316268769749079E-2</c:v>
                </c:pt>
                <c:pt idx="289">
                  <c:v>2.1520241165007316E-2</c:v>
                </c:pt>
                <c:pt idx="290">
                  <c:v>2.2886196734240666E-2</c:v>
                </c:pt>
                <c:pt idx="291">
                  <c:v>2.4414293759518025E-2</c:v>
                </c:pt>
                <c:pt idx="292">
                  <c:v>2.6104679316168711E-2</c:v>
                </c:pt>
                <c:pt idx="293">
                  <c:v>2.795748780460177E-2</c:v>
                </c:pt>
                <c:pt idx="294">
                  <c:v>2.9972839482059518E-2</c:v>
                </c:pt>
                <c:pt idx="295">
                  <c:v>3.2239509758914327E-2</c:v>
                </c:pt>
                <c:pt idx="296">
                  <c:v>3.4724538525412983E-2</c:v>
                </c:pt>
                <c:pt idx="297">
                  <c:v>3.7428396977224151E-2</c:v>
                </c:pt>
                <c:pt idx="298">
                  <c:v>4.0351348118863851E-2</c:v>
                </c:pt>
                <c:pt idx="299">
                  <c:v>4.3493652659953183E-2</c:v>
                </c:pt>
                <c:pt idx="300">
                  <c:v>4.685556734008027E-2</c:v>
                </c:pt>
                <c:pt idx="301">
                  <c:v>5.0437343253563104E-2</c:v>
                </c:pt>
                <c:pt idx="302">
                  <c:v>5.4239224174292888E-2</c:v>
                </c:pt>
                <c:pt idx="303">
                  <c:v>5.825622678100157E-2</c:v>
                </c:pt>
                <c:pt idx="304">
                  <c:v>6.2360193404047991E-2</c:v>
                </c:pt>
                <c:pt idx="305">
                  <c:v>6.6551176105395363E-2</c:v>
                </c:pt>
                <c:pt idx="306">
                  <c:v>7.0829213976393982E-2</c:v>
                </c:pt>
                <c:pt idx="307">
                  <c:v>7.5194332492352661E-2</c:v>
                </c:pt>
                <c:pt idx="308">
                  <c:v>7.9646542866592937E-2</c:v>
                </c:pt>
                <c:pt idx="309">
                  <c:v>8.4093424910947318E-2</c:v>
                </c:pt>
                <c:pt idx="310">
                  <c:v>8.8445662403749931E-2</c:v>
                </c:pt>
                <c:pt idx="311">
                  <c:v>9.2703015183283791E-2</c:v>
                </c:pt>
                <c:pt idx="312">
                  <c:v>9.6865232959260417E-2</c:v>
                </c:pt>
                <c:pt idx="313">
                  <c:v>0.10093205606422859</c:v>
                </c:pt>
                <c:pt idx="314">
                  <c:v>0.10490321620426557</c:v>
                </c:pt>
                <c:pt idx="315">
                  <c:v>0.10877843721071546</c:v>
                </c:pt>
                <c:pt idx="316">
                  <c:v>0.11255743579061701</c:v>
                </c:pt>
                <c:pt idx="317">
                  <c:v>0.11606130311025045</c:v>
                </c:pt>
                <c:pt idx="318">
                  <c:v>0.11929481961537322</c:v>
                </c:pt>
                <c:pt idx="319">
                  <c:v>0.12225753057563203</c:v>
                </c:pt>
                <c:pt idx="320">
                  <c:v>0.12494899019470536</c:v>
                </c:pt>
                <c:pt idx="321">
                  <c:v>0.12736876369140651</c:v>
                </c:pt>
                <c:pt idx="322">
                  <c:v>0.12951642938128377</c:v>
                </c:pt>
                <c:pt idx="323">
                  <c:v>0.13129262959334845</c:v>
                </c:pt>
                <c:pt idx="324">
                  <c:v>0.13278976971089596</c:v>
                </c:pt>
                <c:pt idx="325">
                  <c:v>0.13400747384694017</c:v>
                </c:pt>
                <c:pt idx="326">
                  <c:v>0.13494468435998991</c:v>
                </c:pt>
                <c:pt idx="327">
                  <c:v>0.13560082602280349</c:v>
                </c:pt>
                <c:pt idx="328">
                  <c:v>0.13597594114266737</c:v>
                </c:pt>
                <c:pt idx="329">
                  <c:v>0.13607011335446076</c:v>
                </c:pt>
                <c:pt idx="330">
                  <c:v>0.13588346276488028</c:v>
                </c:pt>
                <c:pt idx="331">
                  <c:v>0.13544437558731198</c:v>
                </c:pt>
                <c:pt idx="332">
                  <c:v>0.13493222276641303</c:v>
                </c:pt>
                <c:pt idx="333">
                  <c:v>0.13434724588886204</c:v>
                </c:pt>
                <c:pt idx="334">
                  <c:v>0.13368968857976843</c:v>
                </c:pt>
                <c:pt idx="335">
                  <c:v>0.1329597952674598</c:v>
                </c:pt>
                <c:pt idx="336">
                  <c:v>0.13215780994678167</c:v>
                </c:pt>
                <c:pt idx="337">
                  <c:v>0.13131246154421039</c:v>
                </c:pt>
                <c:pt idx="338">
                  <c:v>0.13052311021581647</c:v>
                </c:pt>
                <c:pt idx="339">
                  <c:v>0.12978999895150453</c:v>
                </c:pt>
                <c:pt idx="340">
                  <c:v>0.1291133642185589</c:v>
                </c:pt>
                <c:pt idx="341">
                  <c:v>0.12849343695155566</c:v>
                </c:pt>
                <c:pt idx="342">
                  <c:v>0.12793044354217559</c:v>
                </c:pt>
                <c:pt idx="343">
                  <c:v>0.1274246068277205</c:v>
                </c:pt>
                <c:pt idx="344">
                  <c:v>0.12697614708132518</c:v>
                </c:pt>
                <c:pt idx="345">
                  <c:v>0.1265852830010317</c:v>
                </c:pt>
                <c:pt idx="346">
                  <c:v>0.12623895332392657</c:v>
                </c:pt>
                <c:pt idx="347">
                  <c:v>0.12593737434695235</c:v>
                </c:pt>
                <c:pt idx="348">
                  <c:v>0.12568076278927276</c:v>
                </c:pt>
                <c:pt idx="349">
                  <c:v>0.12546933654930176</c:v>
                </c:pt>
                <c:pt idx="350">
                  <c:v>0.12530331546420281</c:v>
                </c:pt>
                <c:pt idx="351">
                  <c:v>0.12519789919663352</c:v>
                </c:pt>
                <c:pt idx="352">
                  <c:v>0.12512481057615468</c:v>
                </c:pt>
                <c:pt idx="353">
                  <c:v>0.12508427444801706</c:v>
                </c:pt>
                <c:pt idx="354">
                  <c:v>0.1250765188952131</c:v>
                </c:pt>
                <c:pt idx="355">
                  <c:v>0.12510177575533807</c:v>
                </c:pt>
                <c:pt idx="356">
                  <c:v>0.12516035371777418</c:v>
                </c:pt>
                <c:pt idx="357">
                  <c:v>0.12525225966012107</c:v>
                </c:pt>
                <c:pt idx="358">
                  <c:v>0.12537725185298143</c:v>
                </c:pt>
                <c:pt idx="359">
                  <c:v>0.12553509231221882</c:v>
                </c:pt>
                <c:pt idx="360">
                  <c:v>0.12575411014495752</c:v>
                </c:pt>
                <c:pt idx="361">
                  <c:v>0.12601908898566808</c:v>
                </c:pt>
                <c:pt idx="362">
                  <c:v>0.12632981402566137</c:v>
                </c:pt>
                <c:pt idx="363">
                  <c:v>0.12668607248737218</c:v>
                </c:pt>
                <c:pt idx="364">
                  <c:v>0.12708765269029831</c:v>
                </c:pt>
                <c:pt idx="365">
                  <c:v>0.12753434311565015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725232"/>
        <c:axId val="655724840"/>
      </c:lineChart>
      <c:dateAx>
        <c:axId val="655725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24840"/>
        <c:crosses val="autoZero"/>
        <c:auto val="1"/>
        <c:lblOffset val="100"/>
        <c:baseTimeUnit val="days"/>
      </c:dateAx>
      <c:valAx>
        <c:axId val="6557248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252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5724056"/>
        <c:axId val="655723664"/>
      </c:scatterChart>
      <c:valAx>
        <c:axId val="655724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23664"/>
        <c:crosses val="autoZero"/>
        <c:crossBetween val="midCat"/>
      </c:valAx>
      <c:valAx>
        <c:axId val="65572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2405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100.05397146642207</c:v>
                </c:pt>
                <c:pt idx="1">
                  <c:v>100.65049243281629</c:v>
                </c:pt>
                <c:pt idx="2">
                  <c:v>101.2839455207874</c:v>
                </c:pt>
                <c:pt idx="3">
                  <c:v>101.95303758500978</c:v>
                </c:pt>
                <c:pt idx="4">
                  <c:v>102.65647544778628</c:v>
                </c:pt>
                <c:pt idx="5">
                  <c:v>103.39296597119034</c:v>
                </c:pt>
                <c:pt idx="6">
                  <c:v>104.16121597865532</c:v>
                </c:pt>
                <c:pt idx="7">
                  <c:v>104.95993232557485</c:v>
                </c:pt>
                <c:pt idx="8">
                  <c:v>105.79504933662602</c:v>
                </c:pt>
                <c:pt idx="9">
                  <c:v>106.67193612420536</c:v>
                </c:pt>
                <c:pt idx="10">
                  <c:v>107.58845174332319</c:v>
                </c:pt>
                <c:pt idx="11">
                  <c:v>108.54245522398448</c:v>
                </c:pt>
                <c:pt idx="12">
                  <c:v>109.53180561399847</c:v>
                </c:pt>
                <c:pt idx="13">
                  <c:v>110.55436196362628</c:v>
                </c:pt>
                <c:pt idx="14">
                  <c:v>111.60798329159232</c:v>
                </c:pt>
                <c:pt idx="15">
                  <c:v>112.6905286587004</c:v>
                </c:pt>
                <c:pt idx="16">
                  <c:v>113.79985709794033</c:v>
                </c:pt>
                <c:pt idx="17">
                  <c:v>114.93382764930831</c:v>
                </c:pt>
                <c:pt idx="18">
                  <c:v>116.09029935866576</c:v>
                </c:pt>
                <c:pt idx="19">
                  <c:v>117.26713126574464</c:v>
                </c:pt>
                <c:pt idx="20">
                  <c:v>118.46218241666412</c:v>
                </c:pt>
                <c:pt idx="21">
                  <c:v>119.67331184074283</c:v>
                </c:pt>
                <c:pt idx="22">
                  <c:v>120.90882043617977</c:v>
                </c:pt>
                <c:pt idx="23">
                  <c:v>122.1767766124336</c:v>
                </c:pt>
                <c:pt idx="24">
                  <c:v>123.47469069766146</c:v>
                </c:pt>
                <c:pt idx="25">
                  <c:v>124.80007301429953</c:v>
                </c:pt>
                <c:pt idx="26">
                  <c:v>126.1504338814245</c:v>
                </c:pt>
                <c:pt idx="27">
                  <c:v>127.52328363375938</c:v>
                </c:pt>
                <c:pt idx="28">
                  <c:v>128.91613258440049</c:v>
                </c:pt>
                <c:pt idx="29">
                  <c:v>130.32649106106589</c:v>
                </c:pt>
                <c:pt idx="30">
                  <c:v>131.7518693915236</c:v>
                </c:pt>
                <c:pt idx="31">
                  <c:v>133.18977789606765</c:v>
                </c:pt>
                <c:pt idx="32">
                  <c:v>134.6377269021302</c:v>
                </c:pt>
                <c:pt idx="33">
                  <c:v>136.09322673059734</c:v>
                </c:pt>
                <c:pt idx="34">
                  <c:v>137.55378770577454</c:v>
                </c:pt>
                <c:pt idx="35">
                  <c:v>139.01692015554289</c:v>
                </c:pt>
                <c:pt idx="36">
                  <c:v>140.49054935188036</c:v>
                </c:pt>
                <c:pt idx="37">
                  <c:v>141.98272655310907</c:v>
                </c:pt>
                <c:pt idx="38">
                  <c:v>143.49115105368131</c:v>
                </c:pt>
                <c:pt idx="39">
                  <c:v>145.01352214927982</c:v>
                </c:pt>
                <c:pt idx="40">
                  <c:v>146.54753913547111</c:v>
                </c:pt>
                <c:pt idx="41">
                  <c:v>148.09090130228682</c:v>
                </c:pt>
                <c:pt idx="42">
                  <c:v>149.64130794852974</c:v>
                </c:pt>
                <c:pt idx="43">
                  <c:v>151.19645836829272</c:v>
                </c:pt>
                <c:pt idx="44">
                  <c:v>152.75405185579356</c:v>
                </c:pt>
                <c:pt idx="45">
                  <c:v>154.31178770552253</c:v>
                </c:pt>
                <c:pt idx="46">
                  <c:v>155.86736521223463</c:v>
                </c:pt>
                <c:pt idx="47">
                  <c:v>157.41848367259703</c:v>
                </c:pt>
                <c:pt idx="48">
                  <c:v>158.96284237847766</c:v>
                </c:pt>
                <c:pt idx="49">
                  <c:v>160.49814062537627</c:v>
                </c:pt>
                <c:pt idx="50">
                  <c:v>162.03114188303007</c:v>
                </c:pt>
                <c:pt idx="51">
                  <c:v>163.56904036151576</c:v>
                </c:pt>
                <c:pt idx="52">
                  <c:v>165.11018145871014</c:v>
                </c:pt>
                <c:pt idx="53">
                  <c:v>166.65291057746589</c:v>
                </c:pt>
                <c:pt idx="54">
                  <c:v>168.19557312023659</c:v>
                </c:pt>
                <c:pt idx="55">
                  <c:v>169.73651448652214</c:v>
                </c:pt>
                <c:pt idx="56">
                  <c:v>171.27408007819906</c:v>
                </c:pt>
                <c:pt idx="57">
                  <c:v>172.80661529668475</c:v>
                </c:pt>
                <c:pt idx="58">
                  <c:v>174.33246554480368</c:v>
                </c:pt>
                <c:pt idx="59">
                  <c:v>175.84997622056062</c:v>
                </c:pt>
                <c:pt idx="60">
                  <c:v>177.35749272860951</c:v>
                </c:pt>
                <c:pt idx="61">
                  <c:v>178.8533604688144</c:v>
                </c:pt>
                <c:pt idx="62">
                  <c:v>180.33592484164819</c:v>
                </c:pt>
                <c:pt idx="63">
                  <c:v>181.80353124933316</c:v>
                </c:pt>
                <c:pt idx="64">
                  <c:v>183.26222111251803</c:v>
                </c:pt>
                <c:pt idx="65">
                  <c:v>184.71830334438545</c:v>
                </c:pt>
                <c:pt idx="66">
                  <c:v>186.17052458172464</c:v>
                </c:pt>
                <c:pt idx="67">
                  <c:v>187.61763146835978</c:v>
                </c:pt>
                <c:pt idx="68">
                  <c:v>189.05837064496674</c:v>
                </c:pt>
                <c:pt idx="69">
                  <c:v>190.49148874783089</c:v>
                </c:pt>
                <c:pt idx="70">
                  <c:v>191.91573242163287</c:v>
                </c:pt>
                <c:pt idx="71">
                  <c:v>193.32984830440085</c:v>
                </c:pt>
                <c:pt idx="72">
                  <c:v>194.73258303875338</c:v>
                </c:pt>
                <c:pt idx="73">
                  <c:v>196.12268326234602</c:v>
                </c:pt>
                <c:pt idx="74">
                  <c:v>197.49889561876023</c:v>
                </c:pt>
                <c:pt idx="75">
                  <c:v>198.85996674626534</c:v>
                </c:pt>
                <c:pt idx="76">
                  <c:v>200.20464328350829</c:v>
                </c:pt>
                <c:pt idx="77">
                  <c:v>201.53167187385259</c:v>
                </c:pt>
                <c:pt idx="78">
                  <c:v>202.84469871185718</c:v>
                </c:pt>
                <c:pt idx="79">
                  <c:v>204.1475243256028</c:v>
                </c:pt>
                <c:pt idx="80">
                  <c:v>205.43912686154783</c:v>
                </c:pt>
                <c:pt idx="81">
                  <c:v>206.71848446561819</c:v>
                </c:pt>
                <c:pt idx="82">
                  <c:v>207.98457528320807</c:v>
                </c:pt>
                <c:pt idx="83">
                  <c:v>209.23637745901942</c:v>
                </c:pt>
                <c:pt idx="84">
                  <c:v>210.47286914028228</c:v>
                </c:pt>
                <c:pt idx="85">
                  <c:v>211.69302847108671</c:v>
                </c:pt>
                <c:pt idx="86">
                  <c:v>212.89583359613482</c:v>
                </c:pt>
                <c:pt idx="87">
                  <c:v>214.08026266316219</c:v>
                </c:pt>
                <c:pt idx="88">
                  <c:v>215.24529381612581</c:v>
                </c:pt>
                <c:pt idx="89">
                  <c:v>216.38990520270806</c:v>
                </c:pt>
                <c:pt idx="90">
                  <c:v>217.51307496492353</c:v>
                </c:pt>
                <c:pt idx="91">
                  <c:v>218.61378124877808</c:v>
                </c:pt>
                <c:pt idx="92">
                  <c:v>219.6932072477947</c:v>
                </c:pt>
                <c:pt idx="93">
                  <c:v>220.75306231709462</c:v>
                </c:pt>
                <c:pt idx="94">
                  <c:v>221.79311386112656</c:v>
                </c:pt>
                <c:pt idx="95">
                  <c:v>222.8131292823702</c:v>
                </c:pt>
                <c:pt idx="96">
                  <c:v>223.81287597832934</c:v>
                </c:pt>
                <c:pt idx="97">
                  <c:v>224.79212135555491</c:v>
                </c:pt>
                <c:pt idx="98">
                  <c:v>225.75063281226903</c:v>
                </c:pt>
                <c:pt idx="99">
                  <c:v>226.68817775132402</c:v>
                </c:pt>
                <c:pt idx="100">
                  <c:v>227.60452357389565</c:v>
                </c:pt>
                <c:pt idx="101">
                  <c:v>228.49943768094693</c:v>
                </c:pt>
                <c:pt idx="102">
                  <c:v>229.37268747756525</c:v>
                </c:pt>
                <c:pt idx="103">
                  <c:v>230.22404036005693</c:v>
                </c:pt>
                <c:pt idx="104">
                  <c:v>231.05326373529221</c:v>
                </c:pt>
                <c:pt idx="105">
                  <c:v>231.86012499928475</c:v>
                </c:pt>
                <c:pt idx="106">
                  <c:v>232.64458484689573</c:v>
                </c:pt>
                <c:pt idx="107">
                  <c:v>233.4071354308831</c:v>
                </c:pt>
                <c:pt idx="108">
                  <c:v>234.14834132686792</c:v>
                </c:pt>
                <c:pt idx="109">
                  <c:v>234.8687671278204</c:v>
                </c:pt>
                <c:pt idx="110">
                  <c:v>235.56897740912225</c:v>
                </c:pt>
                <c:pt idx="111">
                  <c:v>236.2495367614286</c:v>
                </c:pt>
                <c:pt idx="112">
                  <c:v>236.91100976523012</c:v>
                </c:pt>
                <c:pt idx="113">
                  <c:v>237.55396100314599</c:v>
                </c:pt>
                <c:pt idx="114">
                  <c:v>238.17895506617748</c:v>
                </c:pt>
                <c:pt idx="115">
                  <c:v>238.78655652973265</c:v>
                </c:pt>
                <c:pt idx="116">
                  <c:v>239.37732998675534</c:v>
                </c:pt>
                <c:pt idx="117">
                  <c:v>239.95184001134976</c:v>
                </c:pt>
                <c:pt idx="118">
                  <c:v>240.51065119736427</c:v>
                </c:pt>
                <c:pt idx="119">
                  <c:v>241.05432812161746</c:v>
                </c:pt>
                <c:pt idx="120">
                  <c:v>241.58152557039369</c:v>
                </c:pt>
                <c:pt idx="121">
                  <c:v>242.09094278152503</c:v>
                </c:pt>
                <c:pt idx="122">
                  <c:v>242.58321103147631</c:v>
                </c:pt>
                <c:pt idx="123">
                  <c:v>243.05896159618027</c:v>
                </c:pt>
                <c:pt idx="124">
                  <c:v>243.51882574784435</c:v>
                </c:pt>
                <c:pt idx="125">
                  <c:v>243.96343476633939</c:v>
                </c:pt>
                <c:pt idx="126">
                  <c:v>244.39341991972179</c:v>
                </c:pt>
                <c:pt idx="127">
                  <c:v>244.80941248993787</c:v>
                </c:pt>
                <c:pt idx="128">
                  <c:v>245.21204374677367</c:v>
                </c:pt>
                <c:pt idx="129">
                  <c:v>245.60194497028633</c:v>
                </c:pt>
                <c:pt idx="130">
                  <c:v>245.97974742972957</c:v>
                </c:pt>
                <c:pt idx="131">
                  <c:v>246.34608240558632</c:v>
                </c:pt>
                <c:pt idx="132">
                  <c:v>246.70158116881339</c:v>
                </c:pt>
                <c:pt idx="133">
                  <c:v>247.0468749988824</c:v>
                </c:pt>
                <c:pt idx="134">
                  <c:v>247.38039244596979</c:v>
                </c:pt>
                <c:pt idx="135">
                  <c:v>247.70034620916203</c:v>
                </c:pt>
                <c:pt idx="136">
                  <c:v>248.00704377729977</c:v>
                </c:pt>
                <c:pt idx="137">
                  <c:v>248.30079263597725</c:v>
                </c:pt>
                <c:pt idx="138">
                  <c:v>248.58190028084709</c:v>
                </c:pt>
                <c:pt idx="139">
                  <c:v>248.85067419707778</c:v>
                </c:pt>
                <c:pt idx="140">
                  <c:v>249.1074218738824</c:v>
                </c:pt>
                <c:pt idx="141">
                  <c:v>249.35245080121925</c:v>
                </c:pt>
                <c:pt idx="142">
                  <c:v>249.58606846814175</c:v>
                </c:pt>
                <c:pt idx="143">
                  <c:v>249.80858235960562</c:v>
                </c:pt>
                <c:pt idx="144">
                  <c:v>250.02029997195518</c:v>
                </c:pt>
                <c:pt idx="145">
                  <c:v>250.22152878998648</c:v>
                </c:pt>
                <c:pt idx="146">
                  <c:v>250.4125763027796</c:v>
                </c:pt>
                <c:pt idx="147">
                  <c:v>250.59375</c:v>
                </c:pt>
                <c:pt idx="148">
                  <c:v>250.76435518325974</c:v>
                </c:pt>
                <c:pt idx="149">
                  <c:v>250.92351494229263</c:v>
                </c:pt>
                <c:pt idx="150">
                  <c:v>251.07126343862288</c:v>
                </c:pt>
                <c:pt idx="151">
                  <c:v>251.20763483941556</c:v>
                </c:pt>
                <c:pt idx="152">
                  <c:v>251.3326633109312</c:v>
                </c:pt>
                <c:pt idx="153">
                  <c:v>251.44638301613077</c:v>
                </c:pt>
                <c:pt idx="154">
                  <c:v>251.54882812406868</c:v>
                </c:pt>
                <c:pt idx="155">
                  <c:v>251.64003279858403</c:v>
                </c:pt>
                <c:pt idx="156">
                  <c:v>251.72003120439393</c:v>
                </c:pt>
                <c:pt idx="157">
                  <c:v>251.78885750642846</c:v>
                </c:pt>
                <c:pt idx="158">
                  <c:v>251.84654587326307</c:v>
                </c:pt>
                <c:pt idx="159">
                  <c:v>251.89313046628877</c:v>
                </c:pt>
                <c:pt idx="160">
                  <c:v>251.92864545208536</c:v>
                </c:pt>
                <c:pt idx="161">
                  <c:v>251.9531249988824</c:v>
                </c:pt>
                <c:pt idx="162">
                  <c:v>251.96658049287009</c:v>
                </c:pt>
                <c:pt idx="163">
                  <c:v>251.96893221475187</c:v>
                </c:pt>
                <c:pt idx="164">
                  <c:v>251.96007766899257</c:v>
                </c:pt>
                <c:pt idx="165">
                  <c:v>251.93991435803474</c:v>
                </c:pt>
                <c:pt idx="166">
                  <c:v>251.90833978503943</c:v>
                </c:pt>
                <c:pt idx="167">
                  <c:v>251.86525145774442</c:v>
                </c:pt>
                <c:pt idx="168">
                  <c:v>251.8105468755588</c:v>
                </c:pt>
                <c:pt idx="169">
                  <c:v>251.74412354113804</c:v>
                </c:pt>
                <c:pt idx="170">
                  <c:v>251.66587896216663</c:v>
                </c:pt>
                <c:pt idx="171">
                  <c:v>251.5757106399962</c:v>
                </c:pt>
                <c:pt idx="172">
                  <c:v>251.47351607869246</c:v>
                </c:pt>
                <c:pt idx="173">
                  <c:v>251.35919278386447</c:v>
                </c:pt>
                <c:pt idx="174">
                  <c:v>251.23263825582603</c:v>
                </c:pt>
                <c:pt idx="175">
                  <c:v>251.09374999925495</c:v>
                </c:pt>
                <c:pt idx="176">
                  <c:v>250.94243690682842</c:v>
                </c:pt>
                <c:pt idx="177">
                  <c:v>250.77865342316886</c:v>
                </c:pt>
                <c:pt idx="178">
                  <c:v>250.60236538768348</c:v>
                </c:pt>
                <c:pt idx="179">
                  <c:v>250.41353862902946</c:v>
                </c:pt>
                <c:pt idx="180">
                  <c:v>250.21213898483131</c:v>
                </c:pt>
                <c:pt idx="181">
                  <c:v>249.99813228712551</c:v>
                </c:pt>
                <c:pt idx="182">
                  <c:v>249.77148437406868</c:v>
                </c:pt>
                <c:pt idx="183">
                  <c:v>249.53216107822954</c:v>
                </c:pt>
                <c:pt idx="184">
                  <c:v>249.2801282335605</c:v>
                </c:pt>
                <c:pt idx="185">
                  <c:v>249.01535167678125</c:v>
                </c:pt>
                <c:pt idx="186">
                  <c:v>248.73779723915669</c:v>
                </c:pt>
                <c:pt idx="187">
                  <c:v>248.44743075711386</c:v>
                </c:pt>
                <c:pt idx="188">
                  <c:v>248.14421806612185</c:v>
                </c:pt>
                <c:pt idx="189">
                  <c:v>247.8281249988824</c:v>
                </c:pt>
                <c:pt idx="190">
                  <c:v>247.49898642322847</c:v>
                </c:pt>
                <c:pt idx="191">
                  <c:v>247.15675109262978</c:v>
                </c:pt>
                <c:pt idx="192">
                  <c:v>246.80155566595499</c:v>
                </c:pt>
                <c:pt idx="193">
                  <c:v>246.43353680744764</c:v>
                </c:pt>
                <c:pt idx="194">
                  <c:v>246.05283117616284</c:v>
                </c:pt>
                <c:pt idx="195">
                  <c:v>245.65957543535959</c:v>
                </c:pt>
                <c:pt idx="196">
                  <c:v>245.25390624962748</c:v>
                </c:pt>
                <c:pt idx="197">
                  <c:v>244.83596027567984</c:v>
                </c:pt>
                <c:pt idx="198">
                  <c:v>244.40587417967618</c:v>
                </c:pt>
                <c:pt idx="199">
                  <c:v>243.96378462011262</c:v>
                </c:pt>
                <c:pt idx="200">
                  <c:v>243.50982826237697</c:v>
                </c:pt>
                <c:pt idx="201">
                  <c:v>243.04414176174575</c:v>
                </c:pt>
                <c:pt idx="202">
                  <c:v>242.56686178823668</c:v>
                </c:pt>
                <c:pt idx="203">
                  <c:v>242.07812499850988</c:v>
                </c:pt>
                <c:pt idx="204">
                  <c:v>241.57805666793138</c:v>
                </c:pt>
                <c:pt idx="205">
                  <c:v>241.06673651566462</c:v>
                </c:pt>
                <c:pt idx="206">
                  <c:v>240.5442328715165</c:v>
                </c:pt>
                <c:pt idx="207">
                  <c:v>240.0106140657727</c:v>
                </c:pt>
                <c:pt idx="208">
                  <c:v>239.4659484314333</c:v>
                </c:pt>
                <c:pt idx="209">
                  <c:v>238.91030429894369</c:v>
                </c:pt>
                <c:pt idx="210">
                  <c:v>238.3437499988824</c:v>
                </c:pt>
                <c:pt idx="211">
                  <c:v>237.76635386230691</c:v>
                </c:pt>
                <c:pt idx="212">
                  <c:v>237.17818421939654</c:v>
                </c:pt>
                <c:pt idx="213">
                  <c:v>236.57930940070321</c:v>
                </c:pt>
                <c:pt idx="214">
                  <c:v>235.96979773930673</c:v>
                </c:pt>
                <c:pt idx="215">
                  <c:v>235.34971756520017</c:v>
                </c:pt>
                <c:pt idx="216">
                  <c:v>234.71913720723239</c:v>
                </c:pt>
                <c:pt idx="217">
                  <c:v>234.0781249988824</c:v>
                </c:pt>
                <c:pt idx="218">
                  <c:v>233.42671510409565</c:v>
                </c:pt>
                <c:pt idx="219">
                  <c:v>232.76480502842793</c:v>
                </c:pt>
                <c:pt idx="220">
                  <c:v>232.09225810774205</c:v>
                </c:pt>
                <c:pt idx="221">
                  <c:v>231.40893768157275</c:v>
                </c:pt>
                <c:pt idx="222">
                  <c:v>230.71470708708677</c:v>
                </c:pt>
                <c:pt idx="223">
                  <c:v>230.00942966336649</c:v>
                </c:pt>
                <c:pt idx="224">
                  <c:v>229.29296874906868</c:v>
                </c:pt>
                <c:pt idx="225">
                  <c:v>228.56518768167922</c:v>
                </c:pt>
                <c:pt idx="226">
                  <c:v>227.82594979876387</c:v>
                </c:pt>
                <c:pt idx="227">
                  <c:v>227.07511843921881</c:v>
                </c:pt>
                <c:pt idx="228">
                  <c:v>226.3125569415146</c:v>
                </c:pt>
                <c:pt idx="229">
                  <c:v>225.53812864358935</c:v>
                </c:pt>
                <c:pt idx="230">
                  <c:v>224.75169688316859</c:v>
                </c:pt>
                <c:pt idx="231">
                  <c:v>223.9531249988824</c:v>
                </c:pt>
                <c:pt idx="232">
                  <c:v>223.14213397308652</c:v>
                </c:pt>
                <c:pt idx="233">
                  <c:v>222.3185131181564</c:v>
                </c:pt>
                <c:pt idx="234">
                  <c:v>221.48222826958767</c:v>
                </c:pt>
                <c:pt idx="235">
                  <c:v>220.63324526058778</c:v>
                </c:pt>
                <c:pt idx="236">
                  <c:v>219.77152992713133</c:v>
                </c:pt>
                <c:pt idx="237">
                  <c:v>218.89704810327714</c:v>
                </c:pt>
                <c:pt idx="238">
                  <c:v>218.00976562295108</c:v>
                </c:pt>
                <c:pt idx="239">
                  <c:v>217.1096483234316</c:v>
                </c:pt>
                <c:pt idx="240">
                  <c:v>216.19666203518531</c:v>
                </c:pt>
                <c:pt idx="241">
                  <c:v>215.27077259506495</c:v>
                </c:pt>
                <c:pt idx="242">
                  <c:v>214.33194583603847</c:v>
                </c:pt>
                <c:pt idx="243">
                  <c:v>213.38014759517142</c:v>
                </c:pt>
                <c:pt idx="244">
                  <c:v>212.41534370463341</c:v>
                </c:pt>
                <c:pt idx="245">
                  <c:v>211.43749999962748</c:v>
                </c:pt>
                <c:pt idx="246">
                  <c:v>210.44554026886556</c:v>
                </c:pt>
                <c:pt idx="247">
                  <c:v>209.43868440163453</c:v>
                </c:pt>
                <c:pt idx="248">
                  <c:v>208.4173423828158</c:v>
                </c:pt>
                <c:pt idx="249">
                  <c:v>207.38192419707772</c:v>
                </c:pt>
                <c:pt idx="250">
                  <c:v>206.33283983224206</c:v>
                </c:pt>
                <c:pt idx="251">
                  <c:v>205.27049927046255</c:v>
                </c:pt>
                <c:pt idx="252">
                  <c:v>204.19531249962748</c:v>
                </c:pt>
                <c:pt idx="253">
                  <c:v>203.10768950331425</c:v>
                </c:pt>
                <c:pt idx="254">
                  <c:v>202.00804027044882</c:v>
                </c:pt>
                <c:pt idx="255">
                  <c:v>200.89677478112282</c:v>
                </c:pt>
                <c:pt idx="256">
                  <c:v>199.77430302390297</c:v>
                </c:pt>
                <c:pt idx="257">
                  <c:v>198.64103498410964</c:v>
                </c:pt>
                <c:pt idx="258">
                  <c:v>197.49738064831388</c:v>
                </c:pt>
                <c:pt idx="259">
                  <c:v>196.34375000018628</c:v>
                </c:pt>
                <c:pt idx="260">
                  <c:v>195.17807033440499</c:v>
                </c:pt>
                <c:pt idx="261">
                  <c:v>193.99854227410896</c:v>
                </c:pt>
                <c:pt idx="262">
                  <c:v>192.80598578679243</c:v>
                </c:pt>
                <c:pt idx="263">
                  <c:v>191.60122084569718</c:v>
                </c:pt>
                <c:pt idx="264">
                  <c:v>190.38506741924874</c:v>
                </c:pt>
                <c:pt idx="265">
                  <c:v>189.15834548155377</c:v>
                </c:pt>
                <c:pt idx="266">
                  <c:v>187.92187499860302</c:v>
                </c:pt>
                <c:pt idx="267">
                  <c:v>186.67647594705755</c:v>
                </c:pt>
                <c:pt idx="268">
                  <c:v>185.42296829386615</c:v>
                </c:pt>
                <c:pt idx="269">
                  <c:v>184.162172011286</c:v>
                </c:pt>
                <c:pt idx="270">
                  <c:v>182.89490706983156</c:v>
                </c:pt>
                <c:pt idx="271">
                  <c:v>181.62199343999049</c:v>
                </c:pt>
                <c:pt idx="272">
                  <c:v>180.34425109268301</c:v>
                </c:pt>
                <c:pt idx="273">
                  <c:v>179.06249999962748</c:v>
                </c:pt>
                <c:pt idx="274">
                  <c:v>177.77344888845192</c:v>
                </c:pt>
                <c:pt idx="275">
                  <c:v>176.47394314836711</c:v>
                </c:pt>
                <c:pt idx="276">
                  <c:v>175.16500774454326</c:v>
                </c:pt>
                <c:pt idx="277">
                  <c:v>173.84766763769358</c:v>
                </c:pt>
                <c:pt idx="278">
                  <c:v>172.5229477950771</c:v>
                </c:pt>
                <c:pt idx="279">
                  <c:v>171.19187317735381</c:v>
                </c:pt>
                <c:pt idx="280">
                  <c:v>169.85546874986028</c:v>
                </c:pt>
                <c:pt idx="281">
                  <c:v>168.51475947541849</c:v>
                </c:pt>
                <c:pt idx="282">
                  <c:v>167.17077031706992</c:v>
                </c:pt>
                <c:pt idx="283">
                  <c:v>165.82452623873417</c:v>
                </c:pt>
                <c:pt idx="284">
                  <c:v>164.47705220478321</c:v>
                </c:pt>
                <c:pt idx="285">
                  <c:v>163.12937317738044</c:v>
                </c:pt>
                <c:pt idx="286">
                  <c:v>161.78251412146989</c:v>
                </c:pt>
                <c:pt idx="287">
                  <c:v>160.43749999981372</c:v>
                </c:pt>
                <c:pt idx="288">
                  <c:v>159.08889281163658</c:v>
                </c:pt>
                <c:pt idx="289">
                  <c:v>157.73155065629896</c:v>
                </c:pt>
                <c:pt idx="290">
                  <c:v>156.36694264705957</c:v>
                </c:pt>
                <c:pt idx="291">
                  <c:v>154.99653790090233</c:v>
                </c:pt>
                <c:pt idx="292">
                  <c:v>153.62180553025433</c:v>
                </c:pt>
                <c:pt idx="293">
                  <c:v>152.24421465024352</c:v>
                </c:pt>
                <c:pt idx="294">
                  <c:v>150.86523437425495</c:v>
                </c:pt>
                <c:pt idx="295">
                  <c:v>149.48633381852079</c:v>
                </c:pt>
                <c:pt idx="296">
                  <c:v>148.10898209718454</c:v>
                </c:pt>
                <c:pt idx="297">
                  <c:v>146.73464832324535</c:v>
                </c:pt>
                <c:pt idx="298">
                  <c:v>145.36480161248306</c:v>
                </c:pt>
                <c:pt idx="299">
                  <c:v>144.00091107857546</c:v>
                </c:pt>
                <c:pt idx="300">
                  <c:v>142.64444583664383</c:v>
                </c:pt>
                <c:pt idx="301">
                  <c:v>141.29687499916182</c:v>
                </c:pt>
                <c:pt idx="302">
                  <c:v>139.95059057815399</c:v>
                </c:pt>
                <c:pt idx="303">
                  <c:v>138.59857347748641</c:v>
                </c:pt>
                <c:pt idx="304">
                  <c:v>137.24317616167079</c:v>
                </c:pt>
                <c:pt idx="305">
                  <c:v>135.88675109327636</c:v>
                </c:pt>
                <c:pt idx="306">
                  <c:v>134.53165073088104</c:v>
                </c:pt>
                <c:pt idx="307">
                  <c:v>133.18022754221622</c:v>
                </c:pt>
                <c:pt idx="308">
                  <c:v>131.83483398151583</c:v>
                </c:pt>
                <c:pt idx="309">
                  <c:v>130.49782252072222</c:v>
                </c:pt>
                <c:pt idx="310">
                  <c:v>129.1715456141425</c:v>
                </c:pt>
                <c:pt idx="311">
                  <c:v>127.85835573002697</c:v>
                </c:pt>
                <c:pt idx="312">
                  <c:v>126.56060532247649</c:v>
                </c:pt>
                <c:pt idx="313">
                  <c:v>125.28064686460421</c:v>
                </c:pt>
                <c:pt idx="314">
                  <c:v>124.02083281178827</c:v>
                </c:pt>
                <c:pt idx="315">
                  <c:v>122.78351562023164</c:v>
                </c:pt>
                <c:pt idx="316">
                  <c:v>121.56043647181775</c:v>
                </c:pt>
                <c:pt idx="317">
                  <c:v>120.34363305425003</c:v>
                </c:pt>
                <c:pt idx="318">
                  <c:v>119.13590263854712</c:v>
                </c:pt>
                <c:pt idx="319">
                  <c:v>117.9400424754247</c:v>
                </c:pt>
                <c:pt idx="320">
                  <c:v>116.7588498396932</c:v>
                </c:pt>
                <c:pt idx="321">
                  <c:v>115.59512199216655</c:v>
                </c:pt>
                <c:pt idx="322">
                  <c:v>114.45165618248284</c:v>
                </c:pt>
                <c:pt idx="323">
                  <c:v>113.33124969234423</c:v>
                </c:pt>
                <c:pt idx="324">
                  <c:v>112.2366997747682</c:v>
                </c:pt>
                <c:pt idx="325">
                  <c:v>111.17080369330941</c:v>
                </c:pt>
                <c:pt idx="326">
                  <c:v>110.13635869875019</c:v>
                </c:pt>
                <c:pt idx="327">
                  <c:v>109.13616207627845</c:v>
                </c:pt>
                <c:pt idx="328">
                  <c:v>108.17301107611775</c:v>
                </c:pt>
                <c:pt idx="329">
                  <c:v>107.24970296248793</c:v>
                </c:pt>
                <c:pt idx="330">
                  <c:v>106.35950787408012</c:v>
                </c:pt>
                <c:pt idx="331">
                  <c:v>105.49513012553965</c:v>
                </c:pt>
                <c:pt idx="332">
                  <c:v>104.65851818897895</c:v>
                </c:pt>
                <c:pt idx="333">
                  <c:v>103.85162054108721</c:v>
                </c:pt>
                <c:pt idx="334">
                  <c:v>103.07638568484357</c:v>
                </c:pt>
                <c:pt idx="335">
                  <c:v>102.33476208725146</c:v>
                </c:pt>
                <c:pt idx="336">
                  <c:v>101.62869823575019</c:v>
                </c:pt>
                <c:pt idx="337">
                  <c:v>100.96014261639543</c:v>
                </c:pt>
                <c:pt idx="338">
                  <c:v>100.33104371455099</c:v>
                </c:pt>
                <c:pt idx="339">
                  <c:v>99.743350011323173</c:v>
                </c:pt>
                <c:pt idx="340">
                  <c:v>99.199009981272482</c:v>
                </c:pt>
                <c:pt idx="341">
                  <c:v>98.699972123759125</c:v>
                </c:pt>
                <c:pt idx="342">
                  <c:v>98.248184915206252</c:v>
                </c:pt>
                <c:pt idx="343">
                  <c:v>97.845596832036961</c:v>
                </c:pt>
                <c:pt idx="344">
                  <c:v>97.4892241629437</c:v>
                </c:pt>
                <c:pt idx="345">
                  <c:v>97.174932218508189</c:v>
                </c:pt>
                <c:pt idx="346">
                  <c:v>96.902942999610175</c:v>
                </c:pt>
                <c:pt idx="347">
                  <c:v>96.673478536762929</c:v>
                </c:pt>
                <c:pt idx="348">
                  <c:v>96.486760849982801</c:v>
                </c:pt>
                <c:pt idx="349">
                  <c:v>96.343011941213916</c:v>
                </c:pt>
                <c:pt idx="350">
                  <c:v>96.242453844382851</c:v>
                </c:pt>
                <c:pt idx="351">
                  <c:v>96.185308569970687</c:v>
                </c:pt>
                <c:pt idx="352">
                  <c:v>96.171798140313385</c:v>
                </c:pt>
                <c:pt idx="353">
                  <c:v>96.202144564695544</c:v>
                </c:pt>
                <c:pt idx="354">
                  <c:v>96.276569874063497</c:v>
                </c:pt>
                <c:pt idx="355">
                  <c:v>96.395296074875773</c:v>
                </c:pt>
                <c:pt idx="356">
                  <c:v>96.558545187383601</c:v>
                </c:pt>
                <c:pt idx="357">
                  <c:v>96.766539235567222</c:v>
                </c:pt>
                <c:pt idx="358">
                  <c:v>97.02104949637733</c:v>
                </c:pt>
                <c:pt idx="359">
                  <c:v>97.32283715112456</c:v>
                </c:pt>
                <c:pt idx="360">
                  <c:v>97.670609045748051</c:v>
                </c:pt>
                <c:pt idx="361">
                  <c:v>98.063072010874748</c:v>
                </c:pt>
                <c:pt idx="362">
                  <c:v>98.498932896554464</c:v>
                </c:pt>
                <c:pt idx="363">
                  <c:v>98.976898533105867</c:v>
                </c:pt>
                <c:pt idx="364">
                  <c:v>99.495675778183454</c:v>
                </c:pt>
                <c:pt idx="365">
                  <c:v>100.05397145820075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99.822769579490028</c:v>
                </c:pt>
                <c:pt idx="1">
                  <c:v>100.43917714118957</c:v>
                </c:pt>
                <c:pt idx="2">
                  <c:v>101.09191406567891</c:v>
                </c:pt>
                <c:pt idx="3">
                  <c:v>101.77907923022906</c:v>
                </c:pt>
                <c:pt idx="4">
                  <c:v>102.49877152562142</c:v>
                </c:pt>
                <c:pt idx="5">
                  <c:v>103.24908982833226</c:v>
                </c:pt>
                <c:pt idx="6">
                  <c:v>104.02813302318255</c:v>
                </c:pt>
                <c:pt idx="7">
                  <c:v>104.83399999737739</c:v>
                </c:pt>
                <c:pt idx="8">
                  <c:v>105.67530145410981</c:v>
                </c:pt>
                <c:pt idx="9">
                  <c:v>106.56024098183427</c:v>
                </c:pt>
                <c:pt idx="10">
                  <c:v>107.48630682272569</c:v>
                </c:pt>
                <c:pt idx="11">
                  <c:v>108.45098719596862</c:v>
                </c:pt>
                <c:pt idx="12">
                  <c:v>109.45177033181702</c:v>
                </c:pt>
                <c:pt idx="13">
                  <c:v>110.48614443923745</c:v>
                </c:pt>
                <c:pt idx="14">
                  <c:v>111.55159777253866</c:v>
                </c:pt>
                <c:pt idx="15">
                  <c:v>112.6456185374941</c:v>
                </c:pt>
                <c:pt idx="16">
                  <c:v>113.76569496457064</c:v>
                </c:pt>
                <c:pt idx="17">
                  <c:v>114.90931528764111</c:v>
                </c:pt>
                <c:pt idx="18">
                  <c:v>116.07396772354841</c:v>
                </c:pt>
                <c:pt idx="19">
                  <c:v>117.25714050446238</c:v>
                </c:pt>
                <c:pt idx="20">
                  <c:v>118.45632185510229</c:v>
                </c:pt>
                <c:pt idx="21">
                  <c:v>119.66899999678135</c:v>
                </c:pt>
                <c:pt idx="22">
                  <c:v>120.90362810024195</c:v>
                </c:pt>
                <c:pt idx="23">
                  <c:v>122.168892126424</c:v>
                </c:pt>
                <c:pt idx="24">
                  <c:v>123.46262955548507</c:v>
                </c:pt>
                <c:pt idx="25">
                  <c:v>124.78267784288951</c:v>
                </c:pt>
                <c:pt idx="26">
                  <c:v>126.12687445059419</c:v>
                </c:pt>
                <c:pt idx="27">
                  <c:v>127.49305685290267</c:v>
                </c:pt>
                <c:pt idx="28">
                  <c:v>128.87906249985099</c:v>
                </c:pt>
                <c:pt idx="29">
                  <c:v>130.28272886276244</c:v>
                </c:pt>
                <c:pt idx="30">
                  <c:v>131.70189340497765</c:v>
                </c:pt>
                <c:pt idx="31">
                  <c:v>133.13439358408962</c:v>
                </c:pt>
                <c:pt idx="32">
                  <c:v>134.57806687504052</c:v>
                </c:pt>
                <c:pt idx="33">
                  <c:v>136.03075072850498</c:v>
                </c:pt>
                <c:pt idx="34">
                  <c:v>137.49028261708361</c:v>
                </c:pt>
                <c:pt idx="35">
                  <c:v>138.95450000017883</c:v>
                </c:pt>
                <c:pt idx="36">
                  <c:v>140.43367492756141</c:v>
                </c:pt>
                <c:pt idx="37">
                  <c:v>141.9373586022428</c:v>
                </c:pt>
                <c:pt idx="38">
                  <c:v>143.46230721588114</c:v>
                </c:pt>
                <c:pt idx="39">
                  <c:v>145.00527696960739</c:v>
                </c:pt>
                <c:pt idx="40">
                  <c:v>146.56302405332349</c:v>
                </c:pt>
                <c:pt idx="41">
                  <c:v>148.13230466400938</c:v>
                </c:pt>
                <c:pt idx="42">
                  <c:v>149.70987500064075</c:v>
                </c:pt>
                <c:pt idx="43">
                  <c:v>151.2924912537847</c:v>
                </c:pt>
                <c:pt idx="44">
                  <c:v>152.87690962180494</c:v>
                </c:pt>
                <c:pt idx="45">
                  <c:v>154.45988629800931</c:v>
                </c:pt>
                <c:pt idx="46">
                  <c:v>156.03817747937779</c:v>
                </c:pt>
                <c:pt idx="47">
                  <c:v>157.60853935948441</c:v>
                </c:pt>
                <c:pt idx="48">
                  <c:v>159.16772813514939</c:v>
                </c:pt>
                <c:pt idx="49">
                  <c:v>160.71250000037253</c:v>
                </c:pt>
                <c:pt idx="50">
                  <c:v>162.25123478597297</c:v>
                </c:pt>
                <c:pt idx="51">
                  <c:v>163.79339358646956</c:v>
                </c:pt>
                <c:pt idx="52">
                  <c:v>165.33735450125698</c:v>
                </c:pt>
                <c:pt idx="53">
                  <c:v>166.8814956278141</c:v>
                </c:pt>
                <c:pt idx="54">
                  <c:v>168.42419506271503</c:v>
                </c:pt>
                <c:pt idx="55">
                  <c:v>169.96383090487546</c:v>
                </c:pt>
                <c:pt idx="56">
                  <c:v>171.49878125004471</c:v>
                </c:pt>
                <c:pt idx="57">
                  <c:v>173.02742419695215</c:v>
                </c:pt>
                <c:pt idx="58">
                  <c:v>174.54813784504577</c:v>
                </c:pt>
                <c:pt idx="59">
                  <c:v>176.05930028972881</c:v>
                </c:pt>
                <c:pt idx="60">
                  <c:v>177.55928963068874</c:v>
                </c:pt>
                <c:pt idx="61">
                  <c:v>179.04648396420691</c:v>
                </c:pt>
                <c:pt idx="62">
                  <c:v>180.51926138829441</c:v>
                </c:pt>
                <c:pt idx="63">
                  <c:v>181.97599999904634</c:v>
                </c:pt>
                <c:pt idx="64">
                  <c:v>183.41811169811658</c:v>
                </c:pt>
                <c:pt idx="65">
                  <c:v>184.84840379059315</c:v>
                </c:pt>
                <c:pt idx="66">
                  <c:v>186.26734748429487</c:v>
                </c:pt>
                <c:pt idx="67">
                  <c:v>187.67541399385249</c:v>
                </c:pt>
                <c:pt idx="68">
                  <c:v>189.07307452655263</c:v>
                </c:pt>
                <c:pt idx="69">
                  <c:v>190.46080029159785</c:v>
                </c:pt>
                <c:pt idx="70">
                  <c:v>191.83906250074506</c:v>
                </c:pt>
                <c:pt idx="71">
                  <c:v>193.20833236213238</c:v>
                </c:pt>
                <c:pt idx="72">
                  <c:v>194.56908108592035</c:v>
                </c:pt>
                <c:pt idx="73">
                  <c:v>195.92177988354649</c:v>
                </c:pt>
                <c:pt idx="74">
                  <c:v>197.26689996474556</c:v>
                </c:pt>
                <c:pt idx="75">
                  <c:v>198.60491253563336</c:v>
                </c:pt>
                <c:pt idx="76">
                  <c:v>199.93628881137286</c:v>
                </c:pt>
                <c:pt idx="77">
                  <c:v>201.26149999946355</c:v>
                </c:pt>
                <c:pt idx="78">
                  <c:v>202.58739932605198</c:v>
                </c:pt>
                <c:pt idx="79">
                  <c:v>203.9181997090578</c:v>
                </c:pt>
                <c:pt idx="80">
                  <c:v>205.25041189949428</c:v>
                </c:pt>
                <c:pt idx="81">
                  <c:v>206.58054664560728</c:v>
                </c:pt>
                <c:pt idx="82">
                  <c:v>207.90511470468982</c:v>
                </c:pt>
                <c:pt idx="83">
                  <c:v>209.22062682041096</c:v>
                </c:pt>
                <c:pt idx="84">
                  <c:v>210.52359375059604</c:v>
                </c:pt>
                <c:pt idx="85">
                  <c:v>211.81052623795614</c:v>
                </c:pt>
                <c:pt idx="86">
                  <c:v>213.07793503595249</c:v>
                </c:pt>
                <c:pt idx="87">
                  <c:v>214.32233090358122</c:v>
                </c:pt>
                <c:pt idx="88">
                  <c:v>215.54022457620925</c:v>
                </c:pt>
                <c:pt idx="89">
                  <c:v>216.72812681794167</c:v>
                </c:pt>
                <c:pt idx="90">
                  <c:v>217.8825483756406</c:v>
                </c:pt>
                <c:pt idx="91">
                  <c:v>218.99999999701976</c:v>
                </c:pt>
                <c:pt idx="92">
                  <c:v>220.08396619728632</c:v>
                </c:pt>
                <c:pt idx="93">
                  <c:v>221.14079591844765</c:v>
                </c:pt>
                <c:pt idx="94">
                  <c:v>222.17129655501671</c:v>
                </c:pt>
                <c:pt idx="95">
                  <c:v>223.1762755125761</c:v>
                </c:pt>
                <c:pt idx="96">
                  <c:v>224.15654017797539</c:v>
                </c:pt>
                <c:pt idx="97">
                  <c:v>225.1128979555198</c:v>
                </c:pt>
                <c:pt idx="98">
                  <c:v>226.04615625441073</c:v>
                </c:pt>
                <c:pt idx="99">
                  <c:v>226.95712245064124</c:v>
                </c:pt>
                <c:pt idx="100">
                  <c:v>227.84660395511554</c:v>
                </c:pt>
                <c:pt idx="101">
                  <c:v>228.71540816213405</c:v>
                </c:pt>
                <c:pt idx="102">
                  <c:v>229.56434248068504</c:v>
                </c:pt>
                <c:pt idx="103">
                  <c:v>230.39421429038049</c:v>
                </c:pt>
                <c:pt idx="104">
                  <c:v>231.20583099850586</c:v>
                </c:pt>
                <c:pt idx="105">
                  <c:v>232</c:v>
                </c:pt>
                <c:pt idx="106">
                  <c:v>232.77314140456065</c:v>
                </c:pt>
                <c:pt idx="107">
                  <c:v>233.52186589453905</c:v>
                </c:pt>
                <c:pt idx="108">
                  <c:v>234.24726676749333</c:v>
                </c:pt>
                <c:pt idx="109">
                  <c:v>234.95043732225895</c:v>
                </c:pt>
                <c:pt idx="110">
                  <c:v>235.63247084851773</c:v>
                </c:pt>
                <c:pt idx="111">
                  <c:v>236.29446064574375</c:v>
                </c:pt>
                <c:pt idx="112">
                  <c:v>236.9375</c:v>
                </c:pt>
                <c:pt idx="113">
                  <c:v>237.56268221991405</c:v>
                </c:pt>
                <c:pt idx="114">
                  <c:v>238.17110058537551</c:v>
                </c:pt>
                <c:pt idx="115">
                  <c:v>238.76384839713575</c:v>
                </c:pt>
                <c:pt idx="116">
                  <c:v>239.34201895424297</c:v>
                </c:pt>
                <c:pt idx="117">
                  <c:v>239.9067055412701</c:v>
                </c:pt>
                <c:pt idx="118">
                  <c:v>240.45900145513673</c:v>
                </c:pt>
                <c:pt idx="119">
                  <c:v>241.00000000298024</c:v>
                </c:pt>
                <c:pt idx="120">
                  <c:v>241.52687682349764</c:v>
                </c:pt>
                <c:pt idx="121">
                  <c:v>242.03644314706327</c:v>
                </c:pt>
                <c:pt idx="122">
                  <c:v>242.52924562894873</c:v>
                </c:pt>
                <c:pt idx="123">
                  <c:v>243.00583090313845</c:v>
                </c:pt>
                <c:pt idx="124">
                  <c:v>243.46674562522344</c:v>
                </c:pt>
                <c:pt idx="125">
                  <c:v>243.91253644398279</c:v>
                </c:pt>
                <c:pt idx="126">
                  <c:v>244.34374999850988</c:v>
                </c:pt>
                <c:pt idx="127">
                  <c:v>244.76093294237339</c:v>
                </c:pt>
                <c:pt idx="128">
                  <c:v>245.16463192392672</c:v>
                </c:pt>
                <c:pt idx="129">
                  <c:v>245.55539358407259</c:v>
                </c:pt>
                <c:pt idx="130">
                  <c:v>245.93376457574112</c:v>
                </c:pt>
                <c:pt idx="131">
                  <c:v>246.30029154462471</c:v>
                </c:pt>
                <c:pt idx="132">
                  <c:v>246.6555211352451</c:v>
                </c:pt>
                <c:pt idx="133">
                  <c:v>247</c:v>
                </c:pt>
                <c:pt idx="134">
                  <c:v>247.33172375857833</c:v>
                </c:pt>
                <c:pt idx="135">
                  <c:v>247.64868804642134</c:v>
                </c:pt>
                <c:pt idx="136">
                  <c:v>247.95143950251594</c:v>
                </c:pt>
                <c:pt idx="137">
                  <c:v>248.24052478053741</c:v>
                </c:pt>
                <c:pt idx="138">
                  <c:v>248.5164905231978</c:v>
                </c:pt>
                <c:pt idx="139">
                  <c:v>248.77988338108571</c:v>
                </c:pt>
                <c:pt idx="140">
                  <c:v>249.03124999850988</c:v>
                </c:pt>
                <c:pt idx="141">
                  <c:v>249.27113702467508</c:v>
                </c:pt>
                <c:pt idx="142">
                  <c:v>249.50009110399657</c:v>
                </c:pt>
                <c:pt idx="143">
                  <c:v>249.71865889004297</c:v>
                </c:pt>
                <c:pt idx="144">
                  <c:v>249.92738702361075</c:v>
                </c:pt>
                <c:pt idx="145">
                  <c:v>250.12682215571402</c:v>
                </c:pt>
                <c:pt idx="146">
                  <c:v>250.31751092981017</c:v>
                </c:pt>
                <c:pt idx="147">
                  <c:v>250.49999999701976</c:v>
                </c:pt>
                <c:pt idx="148">
                  <c:v>250.67465379057185</c:v>
                </c:pt>
                <c:pt idx="149">
                  <c:v>250.84110787063838</c:v>
                </c:pt>
                <c:pt idx="150">
                  <c:v>250.99881559578435</c:v>
                </c:pt>
                <c:pt idx="151">
                  <c:v>251.14723031840154</c:v>
                </c:pt>
                <c:pt idx="152">
                  <c:v>251.28580539301038</c:v>
                </c:pt>
                <c:pt idx="153">
                  <c:v>251.41399416646786</c:v>
                </c:pt>
                <c:pt idx="154">
                  <c:v>251.53124999850988</c:v>
                </c:pt>
                <c:pt idx="155">
                  <c:v>251.63702623695136</c:v>
                </c:pt>
                <c:pt idx="156">
                  <c:v>251.7307762376964</c:v>
                </c:pt>
                <c:pt idx="157">
                  <c:v>251.81195335068873</c:v>
                </c:pt>
                <c:pt idx="158">
                  <c:v>251.88001093204531</c:v>
                </c:pt>
                <c:pt idx="159">
                  <c:v>251.93440233149698</c:v>
                </c:pt>
                <c:pt idx="160">
                  <c:v>251.97458090207405</c:v>
                </c:pt>
                <c:pt idx="161">
                  <c:v>251.99999999850988</c:v>
                </c:pt>
                <c:pt idx="162">
                  <c:v>252.01029519002356</c:v>
                </c:pt>
                <c:pt idx="163">
                  <c:v>252.00583090058393</c:v>
                </c:pt>
                <c:pt idx="164">
                  <c:v>251.98715378908173</c:v>
                </c:pt>
                <c:pt idx="165">
                  <c:v>251.95481049439735</c:v>
                </c:pt>
                <c:pt idx="166">
                  <c:v>251.90934766605497</c:v>
                </c:pt>
                <c:pt idx="167">
                  <c:v>251.85131195166281</c:v>
                </c:pt>
                <c:pt idx="168">
                  <c:v>251.78125000074505</c:v>
                </c:pt>
                <c:pt idx="169">
                  <c:v>251.69970845303365</c:v>
                </c:pt>
                <c:pt idx="170">
                  <c:v>251.60723396369389</c:v>
                </c:pt>
                <c:pt idx="171">
                  <c:v>251.50437317660877</c:v>
                </c:pt>
                <c:pt idx="172">
                  <c:v>251.39167274002517</c:v>
                </c:pt>
                <c:pt idx="173">
                  <c:v>251.26967930006131</c:v>
                </c:pt>
                <c:pt idx="174">
                  <c:v>251.13893950560265</c:v>
                </c:pt>
                <c:pt idx="175">
                  <c:v>251.00000000149012</c:v>
                </c:pt>
                <c:pt idx="176">
                  <c:v>250.85440961835644</c:v>
                </c:pt>
                <c:pt idx="177">
                  <c:v>250.70262390673162</c:v>
                </c:pt>
                <c:pt idx="178">
                  <c:v>250.54354956213919</c:v>
                </c:pt>
                <c:pt idx="179">
                  <c:v>250.37609329457797</c:v>
                </c:pt>
                <c:pt idx="180">
                  <c:v>250.19916180723482</c:v>
                </c:pt>
                <c:pt idx="181">
                  <c:v>250.01166180627689</c:v>
                </c:pt>
                <c:pt idx="182">
                  <c:v>249.81249999925495</c:v>
                </c:pt>
                <c:pt idx="183">
                  <c:v>249.6005830873336</c:v>
                </c:pt>
                <c:pt idx="184">
                  <c:v>249.37481778306619</c:v>
                </c:pt>
                <c:pt idx="185">
                  <c:v>249.13411078453063</c:v>
                </c:pt>
                <c:pt idx="186">
                  <c:v>248.87736880651542</c:v>
                </c:pt>
                <c:pt idx="187">
                  <c:v>248.60349854252172</c:v>
                </c:pt>
                <c:pt idx="188">
                  <c:v>248.31140670212253</c:v>
                </c:pt>
                <c:pt idx="189">
                  <c:v>248</c:v>
                </c:pt>
                <c:pt idx="190">
                  <c:v>247.66854956171346</c:v>
                </c:pt>
                <c:pt idx="191">
                  <c:v>247.31778425574308</c:v>
                </c:pt>
                <c:pt idx="192">
                  <c:v>246.94879737496376</c:v>
                </c:pt>
                <c:pt idx="193">
                  <c:v>246.56268221225054</c:v>
                </c:pt>
                <c:pt idx="194">
                  <c:v>246.16053207016415</c:v>
                </c:pt>
                <c:pt idx="195">
                  <c:v>245.74344023125514</c:v>
                </c:pt>
                <c:pt idx="196">
                  <c:v>245.31249999925495</c:v>
                </c:pt>
                <c:pt idx="197">
                  <c:v>244.8688046651227</c:v>
                </c:pt>
                <c:pt idx="198">
                  <c:v>244.41344752279775</c:v>
                </c:pt>
                <c:pt idx="199">
                  <c:v>243.94752186685801</c:v>
                </c:pt>
                <c:pt idx="200">
                  <c:v>243.47212098953977</c:v>
                </c:pt>
                <c:pt idx="201">
                  <c:v>242.98833819159441</c:v>
                </c:pt>
                <c:pt idx="202">
                  <c:v>242.49726676440667</c:v>
                </c:pt>
                <c:pt idx="203">
                  <c:v>242</c:v>
                </c:pt>
                <c:pt idx="204">
                  <c:v>241.49489796023281</c:v>
                </c:pt>
                <c:pt idx="205">
                  <c:v>240.97959183624812</c:v>
                </c:pt>
                <c:pt idx="206">
                  <c:v>240.4540816321969</c:v>
                </c:pt>
                <c:pt idx="207">
                  <c:v>239.91836734903708</c:v>
                </c:pt>
                <c:pt idx="208">
                  <c:v>239.37244897985033</c:v>
                </c:pt>
                <c:pt idx="209">
                  <c:v>238.81632653240649</c:v>
                </c:pt>
                <c:pt idx="210">
                  <c:v>238.25000000074505</c:v>
                </c:pt>
                <c:pt idx="211">
                  <c:v>237.67346938912357</c:v>
                </c:pt>
                <c:pt idx="212">
                  <c:v>237.08673469520039</c:v>
                </c:pt>
                <c:pt idx="213">
                  <c:v>236.48979591833694</c:v>
                </c:pt>
                <c:pt idx="214">
                  <c:v>235.88265306087479</c:v>
                </c:pt>
                <c:pt idx="215">
                  <c:v>235.26530612515552</c:v>
                </c:pt>
                <c:pt idx="216">
                  <c:v>234.63775510340929</c:v>
                </c:pt>
                <c:pt idx="217">
                  <c:v>234.00000000298024</c:v>
                </c:pt>
                <c:pt idx="218">
                  <c:v>233.35322521914333</c:v>
                </c:pt>
                <c:pt idx="219">
                  <c:v>232.69825073012285</c:v>
                </c:pt>
                <c:pt idx="220">
                  <c:v>232.03452988533036</c:v>
                </c:pt>
                <c:pt idx="221">
                  <c:v>231.36151603588036</c:v>
                </c:pt>
                <c:pt idx="222">
                  <c:v>230.67866253639968</c:v>
                </c:pt>
                <c:pt idx="223">
                  <c:v>229.98542274321827</c:v>
                </c:pt>
                <c:pt idx="224">
                  <c:v>229.28125000149012</c:v>
                </c:pt>
                <c:pt idx="225">
                  <c:v>228.56559766892875</c:v>
                </c:pt>
                <c:pt idx="226">
                  <c:v>227.83791909686155</c:v>
                </c:pt>
                <c:pt idx="227">
                  <c:v>227.09766763874464</c:v>
                </c:pt>
                <c:pt idx="228">
                  <c:v>226.34429664760827</c:v>
                </c:pt>
                <c:pt idx="229">
                  <c:v>225.57725947776012</c:v>
                </c:pt>
                <c:pt idx="230">
                  <c:v>224.79600947637641</c:v>
                </c:pt>
                <c:pt idx="231">
                  <c:v>224.00000000149012</c:v>
                </c:pt>
                <c:pt idx="232">
                  <c:v>223.19005102046899</c:v>
                </c:pt>
                <c:pt idx="233">
                  <c:v>222.36734694029604</c:v>
                </c:pt>
                <c:pt idx="234">
                  <c:v>221.5318877541593</c:v>
                </c:pt>
                <c:pt idx="235">
                  <c:v>220.68367346887081</c:v>
                </c:pt>
                <c:pt idx="236">
                  <c:v>219.82270407964074</c:v>
                </c:pt>
                <c:pt idx="237">
                  <c:v>218.94897959211045</c:v>
                </c:pt>
                <c:pt idx="238">
                  <c:v>218.0625</c:v>
                </c:pt>
                <c:pt idx="239">
                  <c:v>217.16326530618326</c:v>
                </c:pt>
                <c:pt idx="240">
                  <c:v>216.25127550821216</c:v>
                </c:pt>
                <c:pt idx="241">
                  <c:v>215.3265306108764</c:v>
                </c:pt>
                <c:pt idx="242">
                  <c:v>214.38903060949275</c:v>
                </c:pt>
                <c:pt idx="243">
                  <c:v>213.43877550725429</c:v>
                </c:pt>
                <c:pt idx="244">
                  <c:v>212.47576530181937</c:v>
                </c:pt>
                <c:pt idx="245">
                  <c:v>211.49999999552966</c:v>
                </c:pt>
                <c:pt idx="246">
                  <c:v>210.51147958944949</c:v>
                </c:pt>
                <c:pt idx="247">
                  <c:v>209.51020407974721</c:v>
                </c:pt>
                <c:pt idx="248">
                  <c:v>208.49617346706137</c:v>
                </c:pt>
                <c:pt idx="249">
                  <c:v>207.46938775288208</c:v>
                </c:pt>
                <c:pt idx="250">
                  <c:v>206.42984693657073</c:v>
                </c:pt>
                <c:pt idx="251">
                  <c:v>205.37755101834023</c:v>
                </c:pt>
                <c:pt idx="252">
                  <c:v>204.31249999776483</c:v>
                </c:pt>
                <c:pt idx="253">
                  <c:v>203.23469387527024</c:v>
                </c:pt>
                <c:pt idx="254">
                  <c:v>202.14413265234657</c:v>
                </c:pt>
                <c:pt idx="255">
                  <c:v>201.04081632494928</c:v>
                </c:pt>
                <c:pt idx="256">
                  <c:v>199.92474489627142</c:v>
                </c:pt>
                <c:pt idx="257">
                  <c:v>198.79591836482285</c:v>
                </c:pt>
                <c:pt idx="258">
                  <c:v>197.65433673251954</c:v>
                </c:pt>
                <c:pt idx="259">
                  <c:v>196.49999999701976</c:v>
                </c:pt>
                <c:pt idx="260">
                  <c:v>195.32935495690577</c:v>
                </c:pt>
                <c:pt idx="261">
                  <c:v>194.13994168990425</c:v>
                </c:pt>
                <c:pt idx="262">
                  <c:v>192.93340014554559</c:v>
                </c:pt>
                <c:pt idx="263">
                  <c:v>191.71137026080063</c:v>
                </c:pt>
                <c:pt idx="264">
                  <c:v>190.47549198158086</c:v>
                </c:pt>
                <c:pt idx="265">
                  <c:v>189.22740524836951</c:v>
                </c:pt>
                <c:pt idx="266">
                  <c:v>187.96874999962748</c:v>
                </c:pt>
                <c:pt idx="267">
                  <c:v>186.70116618041479</c:v>
                </c:pt>
                <c:pt idx="268">
                  <c:v>185.42629373057611</c:v>
                </c:pt>
                <c:pt idx="269">
                  <c:v>184.14577259495854</c:v>
                </c:pt>
                <c:pt idx="270">
                  <c:v>182.86124271191656</c:v>
                </c:pt>
                <c:pt idx="271">
                  <c:v>181.57434402384928</c:v>
                </c:pt>
                <c:pt idx="272">
                  <c:v>180.28671647209143</c:v>
                </c:pt>
                <c:pt idx="273">
                  <c:v>179</c:v>
                </c:pt>
                <c:pt idx="274">
                  <c:v>177.71055029258133</c:v>
                </c:pt>
                <c:pt idx="275">
                  <c:v>176.41399416918199</c:v>
                </c:pt>
                <c:pt idx="276">
                  <c:v>175.11087828007126</c:v>
                </c:pt>
                <c:pt idx="277">
                  <c:v>173.80174927147371</c:v>
                </c:pt>
                <c:pt idx="278">
                  <c:v>172.48715379070489</c:v>
                </c:pt>
                <c:pt idx="279">
                  <c:v>171.16763848438859</c:v>
                </c:pt>
                <c:pt idx="280">
                  <c:v>169.84374999981372</c:v>
                </c:pt>
                <c:pt idx="281">
                  <c:v>168.51603498554655</c:v>
                </c:pt>
                <c:pt idx="282">
                  <c:v>167.18504008783825</c:v>
                </c:pt>
                <c:pt idx="283">
                  <c:v>165.85131195379154</c:v>
                </c:pt>
                <c:pt idx="284">
                  <c:v>164.51539723026966</c:v>
                </c:pt>
                <c:pt idx="285">
                  <c:v>163.17784256562589</c:v>
                </c:pt>
                <c:pt idx="286">
                  <c:v>161.83919460629778</c:v>
                </c:pt>
                <c:pt idx="287">
                  <c:v>160.50000000037252</c:v>
                </c:pt>
                <c:pt idx="288">
                  <c:v>159.15706997080039</c:v>
                </c:pt>
                <c:pt idx="289">
                  <c:v>157.80758017471859</c:v>
                </c:pt>
                <c:pt idx="290">
                  <c:v>156.45262390651874</c:v>
                </c:pt>
                <c:pt idx="291">
                  <c:v>155.09329446006035</c:v>
                </c:pt>
                <c:pt idx="292">
                  <c:v>153.73068513151787</c:v>
                </c:pt>
                <c:pt idx="293">
                  <c:v>152.36588921259559</c:v>
                </c:pt>
                <c:pt idx="294">
                  <c:v>151</c:v>
                </c:pt>
                <c:pt idx="295">
                  <c:v>149.63411078681901</c:v>
                </c:pt>
                <c:pt idx="296">
                  <c:v>148.26931486872155</c:v>
                </c:pt>
                <c:pt idx="297">
                  <c:v>146.90670553930104</c:v>
                </c:pt>
                <c:pt idx="298">
                  <c:v>145.54737609310874</c:v>
                </c:pt>
                <c:pt idx="299">
                  <c:v>144.19241982474924</c:v>
                </c:pt>
                <c:pt idx="300">
                  <c:v>142.84293002914637</c:v>
                </c:pt>
                <c:pt idx="301">
                  <c:v>141.5</c:v>
                </c:pt>
                <c:pt idx="302">
                  <c:v>140.15725218664323</c:v>
                </c:pt>
                <c:pt idx="303">
                  <c:v>138.8090379005032</c:v>
                </c:pt>
                <c:pt idx="304">
                  <c:v>137.45754373148083</c:v>
                </c:pt>
                <c:pt idx="305">
                  <c:v>136.10495626825306</c:v>
                </c:pt>
                <c:pt idx="306">
                  <c:v>134.75346209851227</c:v>
                </c:pt>
                <c:pt idx="307">
                  <c:v>133.40524781261169</c:v>
                </c:pt>
                <c:pt idx="308">
                  <c:v>132.06249999906868</c:v>
                </c:pt>
                <c:pt idx="309">
                  <c:v>130.72740524847592</c:v>
                </c:pt>
                <c:pt idx="310">
                  <c:v>129.40215014621083</c:v>
                </c:pt>
                <c:pt idx="311">
                  <c:v>128.08892128190823</c:v>
                </c:pt>
                <c:pt idx="312">
                  <c:v>126.78990524743817</c:v>
                </c:pt>
                <c:pt idx="313">
                  <c:v>125.50728863009385</c:v>
                </c:pt>
                <c:pt idx="314">
                  <c:v>124.24325801841914</c:v>
                </c:pt>
                <c:pt idx="315">
                  <c:v>122.99999999701977</c:v>
                </c:pt>
                <c:pt idx="316">
                  <c:v>121.76475947488632</c:v>
                </c:pt>
                <c:pt idx="317">
                  <c:v>120.52623906603881</c:v>
                </c:pt>
                <c:pt idx="318">
                  <c:v>119.2888119565589</c:v>
                </c:pt>
                <c:pt idx="319">
                  <c:v>118.05685131166663</c:v>
                </c:pt>
                <c:pt idx="320">
                  <c:v>116.83473031978522</c:v>
                </c:pt>
                <c:pt idx="321">
                  <c:v>115.62682215997151</c:v>
                </c:pt>
                <c:pt idx="322">
                  <c:v>114.43750000298023</c:v>
                </c:pt>
                <c:pt idx="323">
                  <c:v>113.27113702573948</c:v>
                </c:pt>
                <c:pt idx="324">
                  <c:v>112.13210641954625</c:v>
                </c:pt>
                <c:pt idx="325">
                  <c:v>111.02478134206362</c:v>
                </c:pt>
                <c:pt idx="326">
                  <c:v>109.95353498309851</c:v>
                </c:pt>
                <c:pt idx="327">
                  <c:v>108.92274052990335</c:v>
                </c:pt>
                <c:pt idx="328">
                  <c:v>107.93677114152483</c:v>
                </c:pt>
                <c:pt idx="329">
                  <c:v>107.00000000596046</c:v>
                </c:pt>
                <c:pt idx="330">
                  <c:v>106.10130148444857</c:v>
                </c:pt>
                <c:pt idx="331">
                  <c:v>105.2280393608979</c:v>
                </c:pt>
                <c:pt idx="332">
                  <c:v>104.3823209779603</c:v>
                </c:pt>
                <c:pt idx="333">
                  <c:v>103.56625364337648</c:v>
                </c:pt>
                <c:pt idx="334">
                  <c:v>102.78194469511509</c:v>
                </c:pt>
                <c:pt idx="335">
                  <c:v>102.03150146262985</c:v>
                </c:pt>
                <c:pt idx="336">
                  <c:v>101.31703124940395</c:v>
                </c:pt>
                <c:pt idx="337">
                  <c:v>100.64064140660422</c:v>
                </c:pt>
                <c:pt idx="338">
                  <c:v>100.0044392338821</c:v>
                </c:pt>
                <c:pt idx="339">
                  <c:v>99.410532072612213</c:v>
                </c:pt>
                <c:pt idx="340">
                  <c:v>98.86102724628789</c:v>
                </c:pt>
                <c:pt idx="341">
                  <c:v>98.358032066481456</c:v>
                </c:pt>
                <c:pt idx="342">
                  <c:v>97.903653883934027</c:v>
                </c:pt>
                <c:pt idx="343">
                  <c:v>97.5</c:v>
                </c:pt>
                <c:pt idx="344">
                  <c:v>97.143474689977509</c:v>
                </c:pt>
                <c:pt idx="345">
                  <c:v>96.829211110728124</c:v>
                </c:pt>
                <c:pt idx="346">
                  <c:v>96.557409902555605</c:v>
                </c:pt>
                <c:pt idx="347">
                  <c:v>96.32827172534806</c:v>
                </c:pt>
                <c:pt idx="348">
                  <c:v>96.141997230052951</c:v>
                </c:pt>
                <c:pt idx="349">
                  <c:v>95.998787061657225</c:v>
                </c:pt>
                <c:pt idx="350">
                  <c:v>95.89884188175202</c:v>
                </c:pt>
                <c:pt idx="351">
                  <c:v>95.842362339156011</c:v>
                </c:pt>
                <c:pt idx="352">
                  <c:v>95.829549087796892</c:v>
                </c:pt>
                <c:pt idx="353">
                  <c:v>95.860602787562783</c:v>
                </c:pt>
                <c:pt idx="354">
                  <c:v>95.935724056192811</c:v>
                </c:pt>
                <c:pt idx="355">
                  <c:v>96.055113595724109</c:v>
                </c:pt>
                <c:pt idx="356">
                  <c:v>96.218972023895816</c:v>
                </c:pt>
                <c:pt idx="357">
                  <c:v>96.427499997615811</c:v>
                </c:pt>
                <c:pt idx="358">
                  <c:v>96.684832494656249</c:v>
                </c:pt>
                <c:pt idx="359">
                  <c:v>96.993703272740049</c:v>
                </c:pt>
                <c:pt idx="360">
                  <c:v>97.352211227417001</c:v>
                </c:pt>
                <c:pt idx="361">
                  <c:v>97.758455249865861</c:v>
                </c:pt>
                <c:pt idx="362">
                  <c:v>98.210534210999811</c:v>
                </c:pt>
                <c:pt idx="363">
                  <c:v>98.706546987295155</c:v>
                </c:pt>
                <c:pt idx="364">
                  <c:v>99.244592487812042</c:v>
                </c:pt>
                <c:pt idx="365">
                  <c:v>99.822769579092665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99.941221484103295</c:v>
                </c:pt>
                <c:pt idx="1">
                  <c:v>73.086107014148709</c:v>
                </c:pt>
                <c:pt idx="2">
                  <c:v>76.118546681586153</c:v>
                </c:pt>
                <c:pt idx="3">
                  <c:v>81.754015578877613</c:v>
                </c:pt>
                <c:pt idx="4">
                  <c:v>61.477299806338095</c:v>
                </c:pt>
                <c:pt idx="5">
                  <c:v>105.31011151518356</c:v>
                </c:pt>
                <c:pt idx="6">
                  <c:v>39.840230222025987</c:v>
                </c:pt>
                <c:pt idx="7">
                  <c:v>26.676117567913273</c:v>
                </c:pt>
                <c:pt idx="8">
                  <c:v>8.3293938096908722</c:v>
                </c:pt>
                <c:pt idx="9">
                  <c:v>7.65787086076881</c:v>
                </c:pt>
                <c:pt idx="10">
                  <c:v>102.67775078920764</c:v>
                </c:pt>
                <c:pt idx="11">
                  <c:v>88.039900443053</c:v>
                </c:pt>
                <c:pt idx="12">
                  <c:v>28.252238664990184</c:v>
                </c:pt>
                <c:pt idx="13">
                  <c:v>112.68214599647807</c:v>
                </c:pt>
                <c:pt idx="14">
                  <c:v>114.41654344925561</c:v>
                </c:pt>
                <c:pt idx="15">
                  <c:v>113.79391184138983</c:v>
                </c:pt>
                <c:pt idx="16">
                  <c:v>89.36504341458523</c:v>
                </c:pt>
                <c:pt idx="17">
                  <c:v>23.40767107813555</c:v>
                </c:pt>
                <c:pt idx="18">
                  <c:v>47.804919366126292</c:v>
                </c:pt>
                <c:pt idx="19">
                  <c:v>24.638956934020555</c:v>
                </c:pt>
                <c:pt idx="20">
                  <c:v>61.859209054823204</c:v>
                </c:pt>
                <c:pt idx="21">
                  <c:v>118.80444939274724</c:v>
                </c:pt>
                <c:pt idx="22">
                  <c:v>120.76259406342568</c:v>
                </c:pt>
                <c:pt idx="23">
                  <c:v>122.2570683053769</c:v>
                </c:pt>
                <c:pt idx="24">
                  <c:v>121.12958041502201</c:v>
                </c:pt>
                <c:pt idx="25">
                  <c:v>123.264536354387</c:v>
                </c:pt>
                <c:pt idx="26">
                  <c:v>125.27585917077172</c:v>
                </c:pt>
                <c:pt idx="27">
                  <c:v>19.409681636189191</c:v>
                </c:pt>
                <c:pt idx="28">
                  <c:v>30.422636176591364</c:v>
                </c:pt>
                <c:pt idx="29">
                  <c:v>27.410360787722297</c:v>
                </c:pt>
                <c:pt idx="30">
                  <c:v>27.242367789857944</c:v>
                </c:pt>
                <c:pt idx="31">
                  <c:v>59.384641801308028</c:v>
                </c:pt>
                <c:pt idx="32">
                  <c:v>26.487106634612363</c:v>
                </c:pt>
                <c:pt idx="33">
                  <c:v>59.454283525557202</c:v>
                </c:pt>
                <c:pt idx="34">
                  <c:v>54.093584600989601</c:v>
                </c:pt>
                <c:pt idx="35">
                  <c:v>45.345948475362562</c:v>
                </c:pt>
                <c:pt idx="36">
                  <c:v>96.204482022680693</c:v>
                </c:pt>
                <c:pt idx="37">
                  <c:v>43.470447620371786</c:v>
                </c:pt>
                <c:pt idx="38">
                  <c:v>145.46002837728111</c:v>
                </c:pt>
                <c:pt idx="39">
                  <c:v>144.76568409319361</c:v>
                </c:pt>
                <c:pt idx="40">
                  <c:v>135.97033911419149</c:v>
                </c:pt>
                <c:pt idx="41">
                  <c:v>67.819064186061496</c:v>
                </c:pt>
                <c:pt idx="42">
                  <c:v>113.58344330581436</c:v>
                </c:pt>
                <c:pt idx="43">
                  <c:v>138.58254094560056</c:v>
                </c:pt>
                <c:pt idx="44">
                  <c:v>79.019753092234637</c:v>
                </c:pt>
                <c:pt idx="45">
                  <c:v>83.436368101478877</c:v>
                </c:pt>
                <c:pt idx="46">
                  <c:v>32.227533516382081</c:v>
                </c:pt>
                <c:pt idx="47">
                  <c:v>47.480172549184005</c:v>
                </c:pt>
                <c:pt idx="48">
                  <c:v>134.99858380946762</c:v>
                </c:pt>
                <c:pt idx="49">
                  <c:v>76.949920298124354</c:v>
                </c:pt>
                <c:pt idx="50">
                  <c:v>96.817942431119334</c:v>
                </c:pt>
                <c:pt idx="51">
                  <c:v>105.36240150019904</c:v>
                </c:pt>
                <c:pt idx="52">
                  <c:v>141.0568740138535</c:v>
                </c:pt>
                <c:pt idx="53">
                  <c:v>145.76894661808049</c:v>
                </c:pt>
                <c:pt idx="54">
                  <c:v>92.402693718208255</c:v>
                </c:pt>
                <c:pt idx="55">
                  <c:v>130.88551017631676</c:v>
                </c:pt>
                <c:pt idx="56">
                  <c:v>173.69259452617041</c:v>
                </c:pt>
                <c:pt idx="57">
                  <c:v>115.57286305662481</c:v>
                </c:pt>
                <c:pt idx="58">
                  <c:v>156.80231017233547</c:v>
                </c:pt>
                <c:pt idx="59">
                  <c:v>176.17782993937286</c:v>
                </c:pt>
                <c:pt idx="60">
                  <c:v>53.920842364129726</c:v>
                </c:pt>
                <c:pt idx="61">
                  <c:v>162.57970315575704</c:v>
                </c:pt>
                <c:pt idx="62">
                  <c:v>20.760372655450283</c:v>
                </c:pt>
                <c:pt idx="63">
                  <c:v>68.562079160993505</c:v>
                </c:pt>
                <c:pt idx="64">
                  <c:v>96.802876321766419</c:v>
                </c:pt>
                <c:pt idx="65">
                  <c:v>143.82262435298446</c:v>
                </c:pt>
                <c:pt idx="66">
                  <c:v>132.61599951897398</c:v>
                </c:pt>
                <c:pt idx="67">
                  <c:v>142.86523052784904</c:v>
                </c:pt>
                <c:pt idx="68">
                  <c:v>102.6999251260078</c:v>
                </c:pt>
                <c:pt idx="69">
                  <c:v>70.297364846187307</c:v>
                </c:pt>
                <c:pt idx="70">
                  <c:v>65.795608679472551</c:v>
                </c:pt>
                <c:pt idx="71">
                  <c:v>58.110947281906434</c:v>
                </c:pt>
                <c:pt idx="72">
                  <c:v>57.031108128817166</c:v>
                </c:pt>
                <c:pt idx="73">
                  <c:v>60.850782095593019</c:v>
                </c:pt>
                <c:pt idx="74">
                  <c:v>40.446477610903443</c:v>
                </c:pt>
                <c:pt idx="75">
                  <c:v>51.95333809562544</c:v>
                </c:pt>
                <c:pt idx="76">
                  <c:v>54.853768261754404</c:v>
                </c:pt>
                <c:pt idx="77">
                  <c:v>124.66653595524753</c:v>
                </c:pt>
                <c:pt idx="78">
                  <c:v>133.16227442268254</c:v>
                </c:pt>
                <c:pt idx="79">
                  <c:v>191.92079017384989</c:v>
                </c:pt>
                <c:pt idx="80">
                  <c:v>170.88818318875792</c:v>
                </c:pt>
                <c:pt idx="81">
                  <c:v>204.57122568175365</c:v>
                </c:pt>
                <c:pt idx="82">
                  <c:v>202.880750987478</c:v>
                </c:pt>
                <c:pt idx="83">
                  <c:v>172.86097391722259</c:v>
                </c:pt>
                <c:pt idx="84">
                  <c:v>190.60471742459274</c:v>
                </c:pt>
                <c:pt idx="85">
                  <c:v>192.69197360418002</c:v>
                </c:pt>
                <c:pt idx="86">
                  <c:v>151.9433815966527</c:v>
                </c:pt>
                <c:pt idx="87">
                  <c:v>119.48424336256193</c:v>
                </c:pt>
                <c:pt idx="88">
                  <c:v>31.39060598359443</c:v>
                </c:pt>
                <c:pt idx="89">
                  <c:v>90.829501711386541</c:v>
                </c:pt>
                <c:pt idx="90">
                  <c:v>154.18744589130031</c:v>
                </c:pt>
                <c:pt idx="91">
                  <c:v>75.430650895015674</c:v>
                </c:pt>
                <c:pt idx="92">
                  <c:v>121.09741152575187</c:v>
                </c:pt>
                <c:pt idx="93">
                  <c:v>184.76770122417531</c:v>
                </c:pt>
                <c:pt idx="94">
                  <c:v>226.40334911043371</c:v>
                </c:pt>
                <c:pt idx="95">
                  <c:v>56.214601212449267</c:v>
                </c:pt>
                <c:pt idx="96">
                  <c:v>172.77249888027328</c:v>
                </c:pt>
                <c:pt idx="97">
                  <c:v>137.5246543062388</c:v>
                </c:pt>
                <c:pt idx="98">
                  <c:v>148.46002089262618</c:v>
                </c:pt>
                <c:pt idx="99">
                  <c:v>231.79044704559419</c:v>
                </c:pt>
                <c:pt idx="100">
                  <c:v>186.43511486158815</c:v>
                </c:pt>
                <c:pt idx="101">
                  <c:v>156.10903736270134</c:v>
                </c:pt>
                <c:pt idx="102">
                  <c:v>25.900210588432266</c:v>
                </c:pt>
                <c:pt idx="103">
                  <c:v>185.95269093155864</c:v>
                </c:pt>
                <c:pt idx="104">
                  <c:v>196.34249793514525</c:v>
                </c:pt>
                <c:pt idx="105">
                  <c:v>197.54175886779768</c:v>
                </c:pt>
                <c:pt idx="106">
                  <c:v>236.99168583798047</c:v>
                </c:pt>
                <c:pt idx="107">
                  <c:v>174.91663566375686</c:v>
                </c:pt>
                <c:pt idx="108">
                  <c:v>39.510665427940808</c:v>
                </c:pt>
                <c:pt idx="109">
                  <c:v>44.813586575905077</c:v>
                </c:pt>
                <c:pt idx="110">
                  <c:v>39.937207740527782</c:v>
                </c:pt>
                <c:pt idx="111">
                  <c:v>121.53620399370809</c:v>
                </c:pt>
                <c:pt idx="112">
                  <c:v>44.280539977910685</c:v>
                </c:pt>
                <c:pt idx="113">
                  <c:v>119.61303848340329</c:v>
                </c:pt>
                <c:pt idx="114">
                  <c:v>202.22633446721255</c:v>
                </c:pt>
                <c:pt idx="115">
                  <c:v>237.65630334663595</c:v>
                </c:pt>
                <c:pt idx="116">
                  <c:v>169.3124393699353</c:v>
                </c:pt>
                <c:pt idx="117">
                  <c:v>98.617481089900508</c:v>
                </c:pt>
                <c:pt idx="118">
                  <c:v>182.25932645810221</c:v>
                </c:pt>
                <c:pt idx="119">
                  <c:v>170.67072459569192</c:v>
                </c:pt>
                <c:pt idx="120">
                  <c:v>203.17769484479672</c:v>
                </c:pt>
                <c:pt idx="121">
                  <c:v>120.56695071205655</c:v>
                </c:pt>
                <c:pt idx="122">
                  <c:v>137.29771718168283</c:v>
                </c:pt>
                <c:pt idx="123">
                  <c:v>80.592958342597413</c:v>
                </c:pt>
                <c:pt idx="124">
                  <c:v>169.80268251285483</c:v>
                </c:pt>
                <c:pt idx="125">
                  <c:v>157.97979101946427</c:v>
                </c:pt>
                <c:pt idx="126">
                  <c:v>200.37194692994947</c:v>
                </c:pt>
                <c:pt idx="127">
                  <c:v>218.92571868618484</c:v>
                </c:pt>
                <c:pt idx="128">
                  <c:v>236.08517663735407</c:v>
                </c:pt>
                <c:pt idx="129">
                  <c:v>225.95994154835185</c:v>
                </c:pt>
                <c:pt idx="130">
                  <c:v>243.40296531394188</c:v>
                </c:pt>
                <c:pt idx="131">
                  <c:v>182.83583092034419</c:v>
                </c:pt>
                <c:pt idx="132">
                  <c:v>173.74909777889465</c:v>
                </c:pt>
                <c:pt idx="133">
                  <c:v>214.39074224471946</c:v>
                </c:pt>
                <c:pt idx="134">
                  <c:v>225.59588021543425</c:v>
                </c:pt>
                <c:pt idx="135">
                  <c:v>218.18384203188552</c:v>
                </c:pt>
                <c:pt idx="136">
                  <c:v>237.87720454038168</c:v>
                </c:pt>
                <c:pt idx="137">
                  <c:v>228.48672372776667</c:v>
                </c:pt>
                <c:pt idx="138">
                  <c:v>233.25662834485334</c:v>
                </c:pt>
                <c:pt idx="139">
                  <c:v>209.23269880862148</c:v>
                </c:pt>
                <c:pt idx="140">
                  <c:v>216.80992389695143</c:v>
                </c:pt>
                <c:pt idx="141">
                  <c:v>161.47746440788973</c:v>
                </c:pt>
                <c:pt idx="142">
                  <c:v>76.340118544005392</c:v>
                </c:pt>
                <c:pt idx="143">
                  <c:v>71.303952619231396</c:v>
                </c:pt>
                <c:pt idx="144">
                  <c:v>176.95070353905541</c:v>
                </c:pt>
                <c:pt idx="145">
                  <c:v>113.80549834136734</c:v>
                </c:pt>
                <c:pt idx="146">
                  <c:v>191.62350448293552</c:v>
                </c:pt>
                <c:pt idx="147">
                  <c:v>235.7806603297476</c:v>
                </c:pt>
                <c:pt idx="148">
                  <c:v>256.86519806358928</c:v>
                </c:pt>
                <c:pt idx="149">
                  <c:v>216.54308989818958</c:v>
                </c:pt>
                <c:pt idx="150">
                  <c:v>237.33076111913962</c:v>
                </c:pt>
                <c:pt idx="151">
                  <c:v>247.7887989555031</c:v>
                </c:pt>
                <c:pt idx="152">
                  <c:v>174.30249761857024</c:v>
                </c:pt>
                <c:pt idx="153">
                  <c:v>239.49062250139852</c:v>
                </c:pt>
                <c:pt idx="154">
                  <c:v>104.35237094994316</c:v>
                </c:pt>
                <c:pt idx="155">
                  <c:v>135.21442308270213</c:v>
                </c:pt>
                <c:pt idx="156">
                  <c:v>198.6992170848427</c:v>
                </c:pt>
                <c:pt idx="157">
                  <c:v>123.82480660988531</c:v>
                </c:pt>
                <c:pt idx="158">
                  <c:v>94.348824057543851</c:v>
                </c:pt>
                <c:pt idx="159">
                  <c:v>200.17566222023561</c:v>
                </c:pt>
                <c:pt idx="160">
                  <c:v>253.08346878897103</c:v>
                </c:pt>
                <c:pt idx="161">
                  <c:v>240.39829308903109</c:v>
                </c:pt>
                <c:pt idx="162">
                  <c:v>189.8045422952159</c:v>
                </c:pt>
                <c:pt idx="163">
                  <c:v>233.45979077270493</c:v>
                </c:pt>
                <c:pt idx="164">
                  <c:v>210.80210938162338</c:v>
                </c:pt>
                <c:pt idx="165">
                  <c:v>236.65513691987971</c:v>
                </c:pt>
                <c:pt idx="166">
                  <c:v>223.43412002799909</c:v>
                </c:pt>
                <c:pt idx="167">
                  <c:v>230.42450598250218</c:v>
                </c:pt>
                <c:pt idx="168">
                  <c:v>237.57794236873499</c:v>
                </c:pt>
                <c:pt idx="169">
                  <c:v>242.11117824883087</c:v>
                </c:pt>
                <c:pt idx="170">
                  <c:v>130.39443966361594</c:v>
                </c:pt>
                <c:pt idx="171">
                  <c:v>93.010280369136851</c:v>
                </c:pt>
                <c:pt idx="172">
                  <c:v>183.86818847597502</c:v>
                </c:pt>
                <c:pt idx="173">
                  <c:v>179.91750851894366</c:v>
                </c:pt>
                <c:pt idx="174">
                  <c:v>179.79044298559464</c:v>
                </c:pt>
                <c:pt idx="175">
                  <c:v>153.36998421899938</c:v>
                </c:pt>
                <c:pt idx="176">
                  <c:v>51.009116400553765</c:v>
                </c:pt>
                <c:pt idx="177">
                  <c:v>59.59894424699322</c:v>
                </c:pt>
                <c:pt idx="178">
                  <c:v>260.61207165828807</c:v>
                </c:pt>
                <c:pt idx="179">
                  <c:v>247.45002413127429</c:v>
                </c:pt>
                <c:pt idx="180">
                  <c:v>57.782534053656292</c:v>
                </c:pt>
                <c:pt idx="181">
                  <c:v>221.60441669383138</c:v>
                </c:pt>
                <c:pt idx="182">
                  <c:v>244.92207274501186</c:v>
                </c:pt>
                <c:pt idx="183">
                  <c:v>202.86786743464688</c:v>
                </c:pt>
                <c:pt idx="184">
                  <c:v>197.91997286853493</c:v>
                </c:pt>
                <c:pt idx="185">
                  <c:v>238.09957047491525</c:v>
                </c:pt>
                <c:pt idx="186">
                  <c:v>189.02462826970424</c:v>
                </c:pt>
                <c:pt idx="187">
                  <c:v>234.92991381410164</c:v>
                </c:pt>
                <c:pt idx="188">
                  <c:v>249.16458276776109</c:v>
                </c:pt>
                <c:pt idx="189">
                  <c:v>246.57961768675807</c:v>
                </c:pt>
                <c:pt idx="190">
                  <c:v>244.61747019264928</c:v>
                </c:pt>
                <c:pt idx="191">
                  <c:v>238.01215341902494</c:v>
                </c:pt>
                <c:pt idx="192">
                  <c:v>235.24066730819968</c:v>
                </c:pt>
                <c:pt idx="193">
                  <c:v>235.39696058537044</c:v>
                </c:pt>
                <c:pt idx="194">
                  <c:v>232.87229363523201</c:v>
                </c:pt>
                <c:pt idx="195">
                  <c:v>223.39577791236005</c:v>
                </c:pt>
                <c:pt idx="196">
                  <c:v>229.30204866300306</c:v>
                </c:pt>
                <c:pt idx="197">
                  <c:v>228.56800088470703</c:v>
                </c:pt>
                <c:pt idx="198">
                  <c:v>232.34343250983852</c:v>
                </c:pt>
                <c:pt idx="199">
                  <c:v>164.45484514625312</c:v>
                </c:pt>
                <c:pt idx="200">
                  <c:v>168.63588062194077</c:v>
                </c:pt>
                <c:pt idx="201">
                  <c:v>225.29827757588035</c:v>
                </c:pt>
                <c:pt idx="202">
                  <c:v>170.9225367239975</c:v>
                </c:pt>
                <c:pt idx="203">
                  <c:v>196.7247161303259</c:v>
                </c:pt>
                <c:pt idx="204">
                  <c:v>228.32347365293612</c:v>
                </c:pt>
                <c:pt idx="205">
                  <c:v>122.92919914878539</c:v>
                </c:pt>
                <c:pt idx="206">
                  <c:v>219.36689548137969</c:v>
                </c:pt>
                <c:pt idx="207">
                  <c:v>240.75744789111329</c:v>
                </c:pt>
                <c:pt idx="208">
                  <c:v>194.48838294022485</c:v>
                </c:pt>
                <c:pt idx="209">
                  <c:v>118.14485084617337</c:v>
                </c:pt>
                <c:pt idx="210">
                  <c:v>204.51831402539628</c:v>
                </c:pt>
                <c:pt idx="211">
                  <c:v>234.06652052001985</c:v>
                </c:pt>
                <c:pt idx="212">
                  <c:v>232.94874797360882</c:v>
                </c:pt>
                <c:pt idx="213">
                  <c:v>233.02707544021914</c:v>
                </c:pt>
                <c:pt idx="214">
                  <c:v>221.2701847087576</c:v>
                </c:pt>
                <c:pt idx="215">
                  <c:v>210.00134100981151</c:v>
                </c:pt>
                <c:pt idx="216">
                  <c:v>195.40472194340191</c:v>
                </c:pt>
                <c:pt idx="217">
                  <c:v>209.60816001041005</c:v>
                </c:pt>
                <c:pt idx="218">
                  <c:v>224.01849945723848</c:v>
                </c:pt>
                <c:pt idx="219">
                  <c:v>227.96532559207185</c:v>
                </c:pt>
                <c:pt idx="220">
                  <c:v>217.27625624973561</c:v>
                </c:pt>
                <c:pt idx="221">
                  <c:v>211.23051410692491</c:v>
                </c:pt>
                <c:pt idx="222">
                  <c:v>196.05222207585885</c:v>
                </c:pt>
                <c:pt idx="223">
                  <c:v>205.41238028032569</c:v>
                </c:pt>
                <c:pt idx="224">
                  <c:v>142.79404848596596</c:v>
                </c:pt>
                <c:pt idx="225">
                  <c:v>156.63775376535247</c:v>
                </c:pt>
                <c:pt idx="226">
                  <c:v>161.2526894058478</c:v>
                </c:pt>
                <c:pt idx="227">
                  <c:v>145.07444437533258</c:v>
                </c:pt>
                <c:pt idx="228">
                  <c:v>111.73711703322597</c:v>
                </c:pt>
                <c:pt idx="229">
                  <c:v>137.21289143208358</c:v>
                </c:pt>
                <c:pt idx="230">
                  <c:v>148.05691589601781</c:v>
                </c:pt>
                <c:pt idx="231">
                  <c:v>216.29226150112041</c:v>
                </c:pt>
                <c:pt idx="232">
                  <c:v>137.99506704811625</c:v>
                </c:pt>
                <c:pt idx="233">
                  <c:v>108.83273565768181</c:v>
                </c:pt>
                <c:pt idx="234">
                  <c:v>188.9062372791623</c:v>
                </c:pt>
                <c:pt idx="235">
                  <c:v>201.22172147178324</c:v>
                </c:pt>
                <c:pt idx="236">
                  <c:v>140.95537461468533</c:v>
                </c:pt>
                <c:pt idx="237">
                  <c:v>190.33969049923974</c:v>
                </c:pt>
                <c:pt idx="238">
                  <c:v>208.22908354447418</c:v>
                </c:pt>
                <c:pt idx="239">
                  <c:v>205.08046560040967</c:v>
                </c:pt>
                <c:pt idx="240">
                  <c:v>138.05841280962883</c:v>
                </c:pt>
                <c:pt idx="241">
                  <c:v>205.02021150821608</c:v>
                </c:pt>
                <c:pt idx="242">
                  <c:v>91.208356380608777</c:v>
                </c:pt>
                <c:pt idx="243">
                  <c:v>181.4226808178222</c:v>
                </c:pt>
                <c:pt idx="244">
                  <c:v>178.8360068834514</c:v>
                </c:pt>
                <c:pt idx="245">
                  <c:v>139.70102045088095</c:v>
                </c:pt>
                <c:pt idx="246">
                  <c:v>196.80516308145275</c:v>
                </c:pt>
                <c:pt idx="247">
                  <c:v>173.8244682935279</c:v>
                </c:pt>
                <c:pt idx="248">
                  <c:v>194.94810319538493</c:v>
                </c:pt>
                <c:pt idx="249">
                  <c:v>148.17728238486964</c:v>
                </c:pt>
                <c:pt idx="250">
                  <c:v>172.26316013998238</c:v>
                </c:pt>
                <c:pt idx="251">
                  <c:v>92.136816423786186</c:v>
                </c:pt>
                <c:pt idx="252">
                  <c:v>191.68801678499003</c:v>
                </c:pt>
                <c:pt idx="253">
                  <c:v>195.40930696041534</c:v>
                </c:pt>
                <c:pt idx="254">
                  <c:v>135.30425984199042</c:v>
                </c:pt>
                <c:pt idx="255">
                  <c:v>48.711486880695645</c:v>
                </c:pt>
                <c:pt idx="256">
                  <c:v>155.35884692302292</c:v>
                </c:pt>
                <c:pt idx="257">
                  <c:v>173.8569482012538</c:v>
                </c:pt>
                <c:pt idx="258">
                  <c:v>110.99482020790059</c:v>
                </c:pt>
                <c:pt idx="259">
                  <c:v>201.72150038015275</c:v>
                </c:pt>
                <c:pt idx="260">
                  <c:v>194.81879732421061</c:v>
                </c:pt>
                <c:pt idx="261">
                  <c:v>192.2448463410021</c:v>
                </c:pt>
                <c:pt idx="262">
                  <c:v>196.62901416079933</c:v>
                </c:pt>
                <c:pt idx="263">
                  <c:v>191.3179458974538</c:v>
                </c:pt>
                <c:pt idx="264">
                  <c:v>185.84598226608634</c:v>
                </c:pt>
                <c:pt idx="265">
                  <c:v>119.17293135937119</c:v>
                </c:pt>
                <c:pt idx="266">
                  <c:v>80.176027230313849</c:v>
                </c:pt>
                <c:pt idx="267">
                  <c:v>139.26582651103067</c:v>
                </c:pt>
                <c:pt idx="268">
                  <c:v>140.96821646202747</c:v>
                </c:pt>
                <c:pt idx="269">
                  <c:v>64.741286379220085</c:v>
                </c:pt>
                <c:pt idx="270">
                  <c:v>64.941266554955206</c:v>
                </c:pt>
                <c:pt idx="271">
                  <c:v>96.649393993788266</c:v>
                </c:pt>
                <c:pt idx="272">
                  <c:v>138.5967620238211</c:v>
                </c:pt>
                <c:pt idx="273">
                  <c:v>157.11197366226085</c:v>
                </c:pt>
                <c:pt idx="274">
                  <c:v>162.65964891476867</c:v>
                </c:pt>
                <c:pt idx="275">
                  <c:v>152.79064899002728</c:v>
                </c:pt>
                <c:pt idx="276">
                  <c:v>174.84667705924409</c:v>
                </c:pt>
                <c:pt idx="277">
                  <c:v>177.70954073163574</c:v>
                </c:pt>
                <c:pt idx="278">
                  <c:v>59.670237446224867</c:v>
                </c:pt>
                <c:pt idx="279">
                  <c:v>122.62690257230749</c:v>
                </c:pt>
                <c:pt idx="280">
                  <c:v>68.517254335797233</c:v>
                </c:pt>
                <c:pt idx="281">
                  <c:v>161.58402633756273</c:v>
                </c:pt>
                <c:pt idx="282">
                  <c:v>129.28371187059687</c:v>
                </c:pt>
                <c:pt idx="283">
                  <c:v>99.534723219686853</c:v>
                </c:pt>
                <c:pt idx="284">
                  <c:v>125.02935085466613</c:v>
                </c:pt>
                <c:pt idx="285">
                  <c:v>96.671730861785207</c:v>
                </c:pt>
                <c:pt idx="286">
                  <c:v>86.160128113136821</c:v>
                </c:pt>
                <c:pt idx="287">
                  <c:v>157.4095998459747</c:v>
                </c:pt>
                <c:pt idx="288">
                  <c:v>141.13609952426535</c:v>
                </c:pt>
                <c:pt idx="289">
                  <c:v>90.44932204480186</c:v>
                </c:pt>
                <c:pt idx="290">
                  <c:v>144.41565792808763</c:v>
                </c:pt>
                <c:pt idx="291">
                  <c:v>63.744201053360378</c:v>
                </c:pt>
                <c:pt idx="292">
                  <c:v>40.567878446480144</c:v>
                </c:pt>
                <c:pt idx="293">
                  <c:v>66.109579565729476</c:v>
                </c:pt>
                <c:pt idx="294">
                  <c:v>138.58007051254708</c:v>
                </c:pt>
                <c:pt idx="295">
                  <c:v>84.166642562822275</c:v>
                </c:pt>
                <c:pt idx="296">
                  <c:v>108.27450579494256</c:v>
                </c:pt>
                <c:pt idx="297">
                  <c:v>93.640209590302121</c:v>
                </c:pt>
                <c:pt idx="298">
                  <c:v>61.842299177452915</c:v>
                </c:pt>
                <c:pt idx="299">
                  <c:v>55.506514695537248</c:v>
                </c:pt>
                <c:pt idx="300">
                  <c:v>73.255686968497727</c:v>
                </c:pt>
                <c:pt idx="301">
                  <c:v>106.36453669934818</c:v>
                </c:pt>
                <c:pt idx="302">
                  <c:v>88.928840015230989</c:v>
                </c:pt>
                <c:pt idx="303">
                  <c:v>90.042264193669411</c:v>
                </c:pt>
                <c:pt idx="304">
                  <c:v>89.368067113464861</c:v>
                </c:pt>
                <c:pt idx="305">
                  <c:v>118.72465698577568</c:v>
                </c:pt>
                <c:pt idx="306">
                  <c:v>45.327958657850239</c:v>
                </c:pt>
                <c:pt idx="307">
                  <c:v>53.726769074168885</c:v>
                </c:pt>
                <c:pt idx="308">
                  <c:v>126.39744220222137</c:v>
                </c:pt>
                <c:pt idx="309">
                  <c:v>126.85337190072234</c:v>
                </c:pt>
                <c:pt idx="310">
                  <c:v>122.48864217227751</c:v>
                </c:pt>
                <c:pt idx="311">
                  <c:v>81.980504790373274</c:v>
                </c:pt>
                <c:pt idx="312">
                  <c:v>46.247813119200636</c:v>
                </c:pt>
                <c:pt idx="313">
                  <c:v>96.067755850477184</c:v>
                </c:pt>
                <c:pt idx="314">
                  <c:v>116.91931335378777</c:v>
                </c:pt>
                <c:pt idx="315">
                  <c:v>115.3058916610667</c:v>
                </c:pt>
                <c:pt idx="316">
                  <c:v>113.88791436897183</c:v>
                </c:pt>
                <c:pt idx="317">
                  <c:v>43.440643377111911</c:v>
                </c:pt>
                <c:pt idx="318">
                  <c:v>54.6572788100165</c:v>
                </c:pt>
                <c:pt idx="319">
                  <c:v>114.00392589977223</c:v>
                </c:pt>
                <c:pt idx="320">
                  <c:v>67.685207187062332</c:v>
                </c:pt>
                <c:pt idx="321">
                  <c:v>53.713397448687658</c:v>
                </c:pt>
                <c:pt idx="322">
                  <c:v>25.539405273460016</c:v>
                </c:pt>
                <c:pt idx="323">
                  <c:v>74.711901468469961</c:v>
                </c:pt>
                <c:pt idx="324">
                  <c:v>14.796158423320728</c:v>
                </c:pt>
                <c:pt idx="325">
                  <c:v>35.925753134499537</c:v>
                </c:pt>
                <c:pt idx="326">
                  <c:v>59.26549414271846</c:v>
                </c:pt>
                <c:pt idx="327">
                  <c:v>58.321847918347885</c:v>
                </c:pt>
                <c:pt idx="328">
                  <c:v>18.882417047930645</c:v>
                </c:pt>
                <c:pt idx="329">
                  <c:v>56.855945185650661</c:v>
                </c:pt>
                <c:pt idx="330">
                  <c:v>61.932817208554482</c:v>
                </c:pt>
                <c:pt idx="331">
                  <c:v>40.252888141714507</c:v>
                </c:pt>
                <c:pt idx="332">
                  <c:v>57.360785760520933</c:v>
                </c:pt>
                <c:pt idx="333">
                  <c:v>22.747934672139031</c:v>
                </c:pt>
                <c:pt idx="334">
                  <c:v>17.086180397127045</c:v>
                </c:pt>
                <c:pt idx="335">
                  <c:v>27.5528918378476</c:v>
                </c:pt>
                <c:pt idx="336">
                  <c:v>37.783098286209089</c:v>
                </c:pt>
                <c:pt idx="337">
                  <c:v>81.102007560946589</c:v>
                </c:pt>
                <c:pt idx="338">
                  <c:v>101.80165922756321</c:v>
                </c:pt>
                <c:pt idx="339">
                  <c:v>52.883007862036244</c:v>
                </c:pt>
                <c:pt idx="340">
                  <c:v>81.826902027230147</c:v>
                </c:pt>
                <c:pt idx="341">
                  <c:v>15.477444404663771</c:v>
                </c:pt>
                <c:pt idx="342">
                  <c:v>29.752765723166412</c:v>
                </c:pt>
                <c:pt idx="343">
                  <c:v>71.744443051435056</c:v>
                </c:pt>
                <c:pt idx="344">
                  <c:v>67.53712274687156</c:v>
                </c:pt>
                <c:pt idx="345">
                  <c:v>23.546248768046997</c:v>
                </c:pt>
                <c:pt idx="346">
                  <c:v>24.525889099355748</c:v>
                </c:pt>
                <c:pt idx="347">
                  <c:v>72.007464364847081</c:v>
                </c:pt>
                <c:pt idx="348">
                  <c:v>91.83152399747874</c:v>
                </c:pt>
                <c:pt idx="349">
                  <c:v>96.573538746410236</c:v>
                </c:pt>
                <c:pt idx="350">
                  <c:v>97.364376896272645</c:v>
                </c:pt>
                <c:pt idx="351">
                  <c:v>98.158403846650032</c:v>
                </c:pt>
                <c:pt idx="352">
                  <c:v>96.560601713863988</c:v>
                </c:pt>
                <c:pt idx="353">
                  <c:v>98.669245392496961</c:v>
                </c:pt>
                <c:pt idx="354">
                  <c:v>87.695365898496206</c:v>
                </c:pt>
                <c:pt idx="355">
                  <c:v>94.664901862942699</c:v>
                </c:pt>
                <c:pt idx="356">
                  <c:v>74.928334057656301</c:v>
                </c:pt>
                <c:pt idx="357">
                  <c:v>90.976752342658557</c:v>
                </c:pt>
                <c:pt idx="358">
                  <c:v>51.242914990757299</c:v>
                </c:pt>
                <c:pt idx="359">
                  <c:v>87.584724087627364</c:v>
                </c:pt>
                <c:pt idx="360">
                  <c:v>41.855930622746683</c:v>
                </c:pt>
                <c:pt idx="361">
                  <c:v>71.241906609353137</c:v>
                </c:pt>
                <c:pt idx="362">
                  <c:v>44.051326696562526</c:v>
                </c:pt>
                <c:pt idx="363">
                  <c:v>76.342020804358668</c:v>
                </c:pt>
                <c:pt idx="364">
                  <c:v>98.426511979974805</c:v>
                </c:pt>
                <c:pt idx="36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'2025'!$F$14</c:f>
              <c:strCache>
                <c:ptCount val="1"/>
                <c:pt idx="0">
                  <c:v>Hors pertes 2025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'2025'!Wh_hp</c:f>
              <c:numCache>
                <c:formatCode>0.00</c:formatCode>
                <c:ptCount val="366"/>
                <c:pt idx="0">
                  <c:v>99.941221484103295</c:v>
                </c:pt>
                <c:pt idx="1">
                  <c:v>73.036364940764145</c:v>
                </c:pt>
                <c:pt idx="2">
                  <c:v>76.071000001989162</c:v>
                </c:pt>
                <c:pt idx="3">
                  <c:v>81.712848101071046</c:v>
                </c:pt>
                <c:pt idx="4">
                  <c:v>61.413582907149028</c:v>
                </c:pt>
                <c:pt idx="5">
                  <c:v>105.31011151518358</c:v>
                </c:pt>
                <c:pt idx="6">
                  <c:v>39.774962582833943</c:v>
                </c:pt>
                <c:pt idx="7">
                  <c:v>26.625893550288005</c:v>
                </c:pt>
                <c:pt idx="8">
                  <c:v>8.3135017124339221</c:v>
                </c:pt>
                <c:pt idx="9">
                  <c:v>7.6430961377598257</c:v>
                </c:pt>
                <c:pt idx="10">
                  <c:v>102.66496439013386</c:v>
                </c:pt>
                <c:pt idx="11">
                  <c:v>87.993556818183379</c:v>
                </c:pt>
                <c:pt idx="12">
                  <c:v>28.196873567373316</c:v>
                </c:pt>
                <c:pt idx="13">
                  <c:v>112.68214599647807</c:v>
                </c:pt>
                <c:pt idx="14">
                  <c:v>114.41654344925561</c:v>
                </c:pt>
                <c:pt idx="15">
                  <c:v>113.79391184138981</c:v>
                </c:pt>
                <c:pt idx="16">
                  <c:v>89.312216989045723</c:v>
                </c:pt>
                <c:pt idx="17">
                  <c:v>23.36304688198906</c:v>
                </c:pt>
                <c:pt idx="18">
                  <c:v>47.729314046366248</c:v>
                </c:pt>
                <c:pt idx="19">
                  <c:v>24.593303360576584</c:v>
                </c:pt>
                <c:pt idx="20">
                  <c:v>61.782316525726579</c:v>
                </c:pt>
                <c:pt idx="21">
                  <c:v>118.80225875335128</c:v>
                </c:pt>
                <c:pt idx="22">
                  <c:v>120.76224268548012</c:v>
                </c:pt>
                <c:pt idx="23">
                  <c:v>122.25706830537692</c:v>
                </c:pt>
                <c:pt idx="24">
                  <c:v>121.12417593029559</c:v>
                </c:pt>
                <c:pt idx="25">
                  <c:v>123.26109953833782</c:v>
                </c:pt>
                <c:pt idx="26">
                  <c:v>125.27398216449295</c:v>
                </c:pt>
                <c:pt idx="27">
                  <c:v>19.38054255181871</c:v>
                </c:pt>
                <c:pt idx="28">
                  <c:v>30.378539143770308</c:v>
                </c:pt>
                <c:pt idx="29">
                  <c:v>27.372141844211917</c:v>
                </c:pt>
                <c:pt idx="30">
                  <c:v>27.20596126964109</c:v>
                </c:pt>
                <c:pt idx="31">
                  <c:v>59.324669608011725</c:v>
                </c:pt>
                <c:pt idx="32">
                  <c:v>26.454985339413412</c:v>
                </c:pt>
                <c:pt idx="33">
                  <c:v>59.399420466271025</c:v>
                </c:pt>
                <c:pt idx="34">
                  <c:v>54.042983383627536</c:v>
                </c:pt>
                <c:pt idx="35">
                  <c:v>45.301899078070086</c:v>
                </c:pt>
                <c:pt idx="36">
                  <c:v>96.163898628288251</c:v>
                </c:pt>
                <c:pt idx="37">
                  <c:v>43.433161921561727</c:v>
                </c:pt>
                <c:pt idx="38">
                  <c:v>145.46002837728119</c:v>
                </c:pt>
                <c:pt idx="39">
                  <c:v>144.76543517524007</c:v>
                </c:pt>
                <c:pt idx="40">
                  <c:v>135.96104023947277</c:v>
                </c:pt>
                <c:pt idx="41">
                  <c:v>67.787653716419172</c:v>
                </c:pt>
                <c:pt idx="42">
                  <c:v>113.56246309368645</c:v>
                </c:pt>
                <c:pt idx="43">
                  <c:v>138.57459823834847</c:v>
                </c:pt>
                <c:pt idx="44">
                  <c:v>78.996569222849686</c:v>
                </c:pt>
                <c:pt idx="45">
                  <c:v>83.415619513947291</c:v>
                </c:pt>
                <c:pt idx="46">
                  <c:v>32.216653435462462</c:v>
                </c:pt>
                <c:pt idx="47">
                  <c:v>47.465852907334693</c:v>
                </c:pt>
                <c:pt idx="48">
                  <c:v>134.99061809325877</c:v>
                </c:pt>
                <c:pt idx="49">
                  <c:v>76.935772865981775</c:v>
                </c:pt>
                <c:pt idx="50">
                  <c:v>96.805288313138107</c:v>
                </c:pt>
                <c:pt idx="51">
                  <c:v>105.35105893334081</c:v>
                </c:pt>
                <c:pt idx="52">
                  <c:v>141.05102745646332</c:v>
                </c:pt>
                <c:pt idx="53">
                  <c:v>145.76405235753771</c:v>
                </c:pt>
                <c:pt idx="54">
                  <c:v>92.392218660484431</c:v>
                </c:pt>
                <c:pt idx="55">
                  <c:v>130.87830246175653</c:v>
                </c:pt>
                <c:pt idx="56">
                  <c:v>173.69259452617038</c:v>
                </c:pt>
                <c:pt idx="57">
                  <c:v>115.56428003094794</c:v>
                </c:pt>
                <c:pt idx="58">
                  <c:v>156.79885671892569</c:v>
                </c:pt>
                <c:pt idx="59">
                  <c:v>176.17782993937294</c:v>
                </c:pt>
                <c:pt idx="60">
                  <c:v>53.913274751463561</c:v>
                </c:pt>
                <c:pt idx="61">
                  <c:v>162.57680871730759</c:v>
                </c:pt>
                <c:pt idx="62">
                  <c:v>20.757680567877387</c:v>
                </c:pt>
                <c:pt idx="63">
                  <c:v>68.55453101976596</c:v>
                </c:pt>
                <c:pt idx="64">
                  <c:v>96.79520803198308</c:v>
                </c:pt>
                <c:pt idx="65">
                  <c:v>143.81754516256876</c:v>
                </c:pt>
                <c:pt idx="66">
                  <c:v>132.61022337921656</c:v>
                </c:pt>
                <c:pt idx="67">
                  <c:v>142.86031756865842</c:v>
                </c:pt>
                <c:pt idx="68">
                  <c:v>102.69347271944277</c:v>
                </c:pt>
                <c:pt idx="69">
                  <c:v>70.291523405706315</c:v>
                </c:pt>
                <c:pt idx="70">
                  <c:v>65.790137836881755</c:v>
                </c:pt>
                <c:pt idx="71">
                  <c:v>58.105980563521094</c:v>
                </c:pt>
                <c:pt idx="72">
                  <c:v>57.026369383729026</c:v>
                </c:pt>
                <c:pt idx="73">
                  <c:v>60.845918329271328</c:v>
                </c:pt>
                <c:pt idx="74">
                  <c:v>40.443251943058328</c:v>
                </c:pt>
                <c:pt idx="75">
                  <c:v>51.94924081641237</c:v>
                </c:pt>
                <c:pt idx="76">
                  <c:v>54.849462987760731</c:v>
                </c:pt>
                <c:pt idx="77">
                  <c:v>124.66120785776513</c:v>
                </c:pt>
                <c:pt idx="78">
                  <c:v>133.15710994603967</c:v>
                </c:pt>
                <c:pt idx="79">
                  <c:v>191.91949610061914</c:v>
                </c:pt>
                <c:pt idx="80">
                  <c:v>170.88486234762215</c:v>
                </c:pt>
                <c:pt idx="81">
                  <c:v>204.57099169939428</c:v>
                </c:pt>
                <c:pt idx="82">
                  <c:v>202.88016678387996</c:v>
                </c:pt>
                <c:pt idx="83">
                  <c:v>172.85734611474618</c:v>
                </c:pt>
                <c:pt idx="84">
                  <c:v>190.60250956224303</c:v>
                </c:pt>
                <c:pt idx="85">
                  <c:v>192.68981339120273</c:v>
                </c:pt>
                <c:pt idx="86">
                  <c:v>151.93789233792913</c:v>
                </c:pt>
                <c:pt idx="87">
                  <c:v>119.47749787227353</c:v>
                </c:pt>
                <c:pt idx="88">
                  <c:v>31.387767076281833</c:v>
                </c:pt>
                <c:pt idx="89">
                  <c:v>90.82260149087854</c:v>
                </c:pt>
                <c:pt idx="90">
                  <c:v>154.18148156421219</c:v>
                </c:pt>
                <c:pt idx="91">
                  <c:v>75.42403350441873</c:v>
                </c:pt>
                <c:pt idx="92">
                  <c:v>121.09004257195278</c:v>
                </c:pt>
                <c:pt idx="93">
                  <c:v>184.76354167584</c:v>
                </c:pt>
                <c:pt idx="94">
                  <c:v>226.40334911043368</c:v>
                </c:pt>
                <c:pt idx="95">
                  <c:v>56.209066667231923</c:v>
                </c:pt>
                <c:pt idx="96">
                  <c:v>172.76684023499183</c:v>
                </c:pt>
                <c:pt idx="97">
                  <c:v>137.51687898520248</c:v>
                </c:pt>
                <c:pt idx="98">
                  <c:v>148.45248127384926</c:v>
                </c:pt>
                <c:pt idx="99">
                  <c:v>231.79044704559419</c:v>
                </c:pt>
                <c:pt idx="100">
                  <c:v>186.42991521906976</c:v>
                </c:pt>
                <c:pt idx="101">
                  <c:v>156.10129521025971</c:v>
                </c:pt>
                <c:pt idx="102">
                  <c:v>25.897327462705299</c:v>
                </c:pt>
                <c:pt idx="103">
                  <c:v>185.94688470313324</c:v>
                </c:pt>
                <c:pt idx="104">
                  <c:v>196.33762053684018</c:v>
                </c:pt>
                <c:pt idx="105">
                  <c:v>197.53684018990865</c:v>
                </c:pt>
                <c:pt idx="106">
                  <c:v>236.99168583798047</c:v>
                </c:pt>
                <c:pt idx="107">
                  <c:v>174.90902529985027</c:v>
                </c:pt>
                <c:pt idx="108">
                  <c:v>39.505801600109919</c:v>
                </c:pt>
                <c:pt idx="109">
                  <c:v>44.808000182019306</c:v>
                </c:pt>
                <c:pt idx="110">
                  <c:v>39.932174944592859</c:v>
                </c:pt>
                <c:pt idx="111">
                  <c:v>121.52547969729987</c:v>
                </c:pt>
                <c:pt idx="112">
                  <c:v>44.274865847336528</c:v>
                </c:pt>
                <c:pt idx="113">
                  <c:v>119.60210183428875</c:v>
                </c:pt>
                <c:pt idx="114">
                  <c:v>202.22068467115736</c:v>
                </c:pt>
                <c:pt idx="115">
                  <c:v>237.6560983793112</c:v>
                </c:pt>
                <c:pt idx="116">
                  <c:v>169.30319666623143</c:v>
                </c:pt>
                <c:pt idx="117">
                  <c:v>98.606616466357494</c:v>
                </c:pt>
                <c:pt idx="118">
                  <c:v>182.251058488697</c:v>
                </c:pt>
                <c:pt idx="119">
                  <c:v>170.66138043146489</c:v>
                </c:pt>
                <c:pt idx="120">
                  <c:v>203.17164137333017</c:v>
                </c:pt>
                <c:pt idx="121">
                  <c:v>120.55560777100962</c:v>
                </c:pt>
                <c:pt idx="122">
                  <c:v>137.28655999259996</c:v>
                </c:pt>
                <c:pt idx="123">
                  <c:v>80.582880429154841</c:v>
                </c:pt>
                <c:pt idx="124">
                  <c:v>169.793079258414</c:v>
                </c:pt>
                <c:pt idx="125">
                  <c:v>157.9693987433003</c:v>
                </c:pt>
                <c:pt idx="126">
                  <c:v>200.36522174240426</c:v>
                </c:pt>
                <c:pt idx="127">
                  <c:v>218.92141690032742</c:v>
                </c:pt>
                <c:pt idx="128">
                  <c:v>236.08355332465527</c:v>
                </c:pt>
                <c:pt idx="129">
                  <c:v>225.95660530993246</c:v>
                </c:pt>
                <c:pt idx="130">
                  <c:v>243.40250387481066</c:v>
                </c:pt>
                <c:pt idx="131">
                  <c:v>182.82719727519412</c:v>
                </c:pt>
                <c:pt idx="132">
                  <c:v>173.73974383575015</c:v>
                </c:pt>
                <c:pt idx="133">
                  <c:v>214.38562345950703</c:v>
                </c:pt>
                <c:pt idx="134">
                  <c:v>225.59232381986627</c:v>
                </c:pt>
                <c:pt idx="135">
                  <c:v>218.17922550730998</c:v>
                </c:pt>
                <c:pt idx="136">
                  <c:v>237.87550099081685</c:v>
                </c:pt>
                <c:pt idx="137">
                  <c:v>228.48354832772952</c:v>
                </c:pt>
                <c:pt idx="138">
                  <c:v>233.25415049465443</c:v>
                </c:pt>
                <c:pt idx="139">
                  <c:v>209.22700069060397</c:v>
                </c:pt>
                <c:pt idx="140">
                  <c:v>216.80516600851209</c:v>
                </c:pt>
                <c:pt idx="141">
                  <c:v>161.46791330266169</c:v>
                </c:pt>
                <c:pt idx="142">
                  <c:v>76.331299928436565</c:v>
                </c:pt>
                <c:pt idx="143">
                  <c:v>71.295709698976268</c:v>
                </c:pt>
                <c:pt idx="144">
                  <c:v>176.94222739975024</c:v>
                </c:pt>
                <c:pt idx="145">
                  <c:v>113.79537983953227</c:v>
                </c:pt>
                <c:pt idx="146">
                  <c:v>191.61620557976181</c:v>
                </c:pt>
                <c:pt idx="147">
                  <c:v>235.77841637189272</c:v>
                </c:pt>
                <c:pt idx="148">
                  <c:v>256.86519806358928</c:v>
                </c:pt>
                <c:pt idx="149">
                  <c:v>216.53831026219575</c:v>
                </c:pt>
                <c:pt idx="150">
                  <c:v>237.32868042592912</c:v>
                </c:pt>
                <c:pt idx="151">
                  <c:v>247.78826745926835</c:v>
                </c:pt>
                <c:pt idx="152">
                  <c:v>174.29397371704206</c:v>
                </c:pt>
                <c:pt idx="153">
                  <c:v>239.48882016682157</c:v>
                </c:pt>
                <c:pt idx="154">
                  <c:v>104.34275187592198</c:v>
                </c:pt>
                <c:pt idx="155">
                  <c:v>135.20464966013046</c:v>
                </c:pt>
                <c:pt idx="156">
                  <c:v>198.69274331100439</c:v>
                </c:pt>
                <c:pt idx="157">
                  <c:v>123.81519094397034</c:v>
                </c:pt>
                <c:pt idx="158">
                  <c:v>94.33993593722461</c:v>
                </c:pt>
                <c:pt idx="159">
                  <c:v>200.16956858187126</c:v>
                </c:pt>
                <c:pt idx="160">
                  <c:v>253.08346878897106</c:v>
                </c:pt>
                <c:pt idx="161">
                  <c:v>240.39671833646247</c:v>
                </c:pt>
                <c:pt idx="162">
                  <c:v>189.79803801848166</c:v>
                </c:pt>
                <c:pt idx="163">
                  <c:v>233.45746566440073</c:v>
                </c:pt>
                <c:pt idx="164">
                  <c:v>210.79755875796707</c:v>
                </c:pt>
                <c:pt idx="165">
                  <c:v>236.65328174242001</c:v>
                </c:pt>
                <c:pt idx="166">
                  <c:v>223.43092818991823</c:v>
                </c:pt>
                <c:pt idx="167">
                  <c:v>230.42207636231043</c:v>
                </c:pt>
                <c:pt idx="168">
                  <c:v>237.57631031264023</c:v>
                </c:pt>
                <c:pt idx="169">
                  <c:v>242.1100694090749</c:v>
                </c:pt>
                <c:pt idx="170">
                  <c:v>130.38694816869889</c:v>
                </c:pt>
                <c:pt idx="171">
                  <c:v>93.003310898453762</c:v>
                </c:pt>
                <c:pt idx="172">
                  <c:v>183.86230240408662</c:v>
                </c:pt>
                <c:pt idx="173">
                  <c:v>179.91137305216787</c:v>
                </c:pt>
                <c:pt idx="174">
                  <c:v>179.78422965580336</c:v>
                </c:pt>
                <c:pt idx="175">
                  <c:v>153.36259576637232</c:v>
                </c:pt>
                <c:pt idx="176">
                  <c:v>51.004591419820137</c:v>
                </c:pt>
                <c:pt idx="177">
                  <c:v>59.593507861365282</c:v>
                </c:pt>
                <c:pt idx="178">
                  <c:v>260.61207165828807</c:v>
                </c:pt>
                <c:pt idx="179">
                  <c:v>247.44962326262933</c:v>
                </c:pt>
                <c:pt idx="180">
                  <c:v>57.776736562332232</c:v>
                </c:pt>
                <c:pt idx="181">
                  <c:v>221.60067851119237</c:v>
                </c:pt>
                <c:pt idx="182">
                  <c:v>244.9213344767326</c:v>
                </c:pt>
                <c:pt idx="183">
                  <c:v>202.8618089158974</c:v>
                </c:pt>
                <c:pt idx="184">
                  <c:v>197.91324646105079</c:v>
                </c:pt>
                <c:pt idx="185">
                  <c:v>238.0977821215767</c:v>
                </c:pt>
                <c:pt idx="186">
                  <c:v>189.01671432302268</c:v>
                </c:pt>
                <c:pt idx="187">
                  <c:v>234.92761045862071</c:v>
                </c:pt>
                <c:pt idx="188">
                  <c:v>249.16458276776106</c:v>
                </c:pt>
                <c:pt idx="189">
                  <c:v>246.57935574226858</c:v>
                </c:pt>
                <c:pt idx="190">
                  <c:v>244.61690206958625</c:v>
                </c:pt>
                <c:pt idx="191">
                  <c:v>238.01044026857934</c:v>
                </c:pt>
                <c:pt idx="192">
                  <c:v>235.23850624685898</c:v>
                </c:pt>
                <c:pt idx="193">
                  <c:v>235.39487200194947</c:v>
                </c:pt>
                <c:pt idx="194">
                  <c:v>232.86980744325444</c:v>
                </c:pt>
                <c:pt idx="195">
                  <c:v>223.39172903298788</c:v>
                </c:pt>
                <c:pt idx="196">
                  <c:v>229.29904796836348</c:v>
                </c:pt>
                <c:pt idx="197">
                  <c:v>228.56493309813501</c:v>
                </c:pt>
                <c:pt idx="198">
                  <c:v>232.34110260011897</c:v>
                </c:pt>
                <c:pt idx="199">
                  <c:v>164.44386885418129</c:v>
                </c:pt>
                <c:pt idx="200">
                  <c:v>168.62515425933731</c:v>
                </c:pt>
                <c:pt idx="201">
                  <c:v>225.29484279797487</c:v>
                </c:pt>
                <c:pt idx="202">
                  <c:v>170.91183066307204</c:v>
                </c:pt>
                <c:pt idx="203">
                  <c:v>196.71678849317479</c:v>
                </c:pt>
                <c:pt idx="204">
                  <c:v>228.3207470888735</c:v>
                </c:pt>
                <c:pt idx="205">
                  <c:v>122.9157891157828</c:v>
                </c:pt>
                <c:pt idx="206">
                  <c:v>219.36253693957997</c:v>
                </c:pt>
                <c:pt idx="207">
                  <c:v>240.75744789111332</c:v>
                </c:pt>
                <c:pt idx="208">
                  <c:v>194.4798281037196</c:v>
                </c:pt>
                <c:pt idx="209">
                  <c:v>118.13059822608463</c:v>
                </c:pt>
                <c:pt idx="210">
                  <c:v>204.5112758421526</c:v>
                </c:pt>
                <c:pt idx="211">
                  <c:v>234.06564163572224</c:v>
                </c:pt>
                <c:pt idx="212">
                  <c:v>232.94772520115757</c:v>
                </c:pt>
                <c:pt idx="213">
                  <c:v>233.02620371514436</c:v>
                </c:pt>
                <c:pt idx="214">
                  <c:v>221.26663175983668</c:v>
                </c:pt>
                <c:pt idx="215">
                  <c:v>209.99541673862984</c:v>
                </c:pt>
                <c:pt idx="216">
                  <c:v>195.39603110957427</c:v>
                </c:pt>
                <c:pt idx="217">
                  <c:v>209.60228087978973</c:v>
                </c:pt>
                <c:pt idx="218">
                  <c:v>224.01606250511344</c:v>
                </c:pt>
                <c:pt idx="219">
                  <c:v>227.96405251561183</c:v>
                </c:pt>
                <c:pt idx="220">
                  <c:v>217.27242651939505</c:v>
                </c:pt>
                <c:pt idx="221">
                  <c:v>211.22537496262294</c:v>
                </c:pt>
                <c:pt idx="222">
                  <c:v>196.04392207892252</c:v>
                </c:pt>
                <c:pt idx="223">
                  <c:v>205.40613838304728</c:v>
                </c:pt>
                <c:pt idx="224">
                  <c:v>142.7786072867946</c:v>
                </c:pt>
                <c:pt idx="225">
                  <c:v>156.62352842250127</c:v>
                </c:pt>
                <c:pt idx="226">
                  <c:v>161.23901399643847</c:v>
                </c:pt>
                <c:pt idx="227">
                  <c:v>145.05917207036046</c:v>
                </c:pt>
                <c:pt idx="228">
                  <c:v>111.72057273103623</c:v>
                </c:pt>
                <c:pt idx="229">
                  <c:v>137.1971385660587</c:v>
                </c:pt>
                <c:pt idx="230">
                  <c:v>148.0420863905467</c:v>
                </c:pt>
                <c:pt idx="231">
                  <c:v>216.29007762331904</c:v>
                </c:pt>
                <c:pt idx="232">
                  <c:v>137.97962950829523</c:v>
                </c:pt>
                <c:pt idx="233">
                  <c:v>108.81649845529543</c:v>
                </c:pt>
                <c:pt idx="234">
                  <c:v>188.8981448569638</c:v>
                </c:pt>
                <c:pt idx="235">
                  <c:v>201.21659295731149</c:v>
                </c:pt>
                <c:pt idx="236">
                  <c:v>140.9408819373692</c:v>
                </c:pt>
                <c:pt idx="237">
                  <c:v>190.33263540419841</c:v>
                </c:pt>
                <c:pt idx="238">
                  <c:v>208.22645235862808</c:v>
                </c:pt>
                <c:pt idx="239">
                  <c:v>205.07731135773452</c:v>
                </c:pt>
                <c:pt idx="240">
                  <c:v>138.04480244695046</c:v>
                </c:pt>
                <c:pt idx="241">
                  <c:v>205.01757261101724</c:v>
                </c:pt>
                <c:pt idx="242">
                  <c:v>91.194461479249355</c:v>
                </c:pt>
                <c:pt idx="243">
                  <c:v>181.41556583386378</c:v>
                </c:pt>
                <c:pt idx="244">
                  <c:v>178.828709347885</c:v>
                </c:pt>
                <c:pt idx="245">
                  <c:v>139.68897318404385</c:v>
                </c:pt>
                <c:pt idx="246">
                  <c:v>196.80195499839624</c:v>
                </c:pt>
                <c:pt idx="247">
                  <c:v>173.81716246549223</c:v>
                </c:pt>
                <c:pt idx="248">
                  <c:v>194.94501919489912</c:v>
                </c:pt>
                <c:pt idx="249">
                  <c:v>148.1671012496717</c:v>
                </c:pt>
                <c:pt idx="250">
                  <c:v>172.2563829145945</c:v>
                </c:pt>
                <c:pt idx="251">
                  <c:v>92.124865379763008</c:v>
                </c:pt>
                <c:pt idx="252">
                  <c:v>191.68525538343451</c:v>
                </c:pt>
                <c:pt idx="253">
                  <c:v>195.40756807681353</c:v>
                </c:pt>
                <c:pt idx="254">
                  <c:v>135.29401778627326</c:v>
                </c:pt>
                <c:pt idx="255">
                  <c:v>48.703759753615437</c:v>
                </c:pt>
                <c:pt idx="256">
                  <c:v>155.35108260808562</c:v>
                </c:pt>
                <c:pt idx="257">
                  <c:v>173.85211447063554</c:v>
                </c:pt>
                <c:pt idx="258">
                  <c:v>110.98416797812214</c:v>
                </c:pt>
                <c:pt idx="259">
                  <c:v>201.72150038015278</c:v>
                </c:pt>
                <c:pt idx="260">
                  <c:v>194.8186888386638</c:v>
                </c:pt>
                <c:pt idx="261">
                  <c:v>192.24445184856694</c:v>
                </c:pt>
                <c:pt idx="262">
                  <c:v>196.62901416079933</c:v>
                </c:pt>
                <c:pt idx="263">
                  <c:v>191.31786546161311</c:v>
                </c:pt>
                <c:pt idx="264">
                  <c:v>185.84506827116434</c:v>
                </c:pt>
                <c:pt idx="265">
                  <c:v>119.16411156483636</c:v>
                </c:pt>
                <c:pt idx="266">
                  <c:v>80.166943203062473</c:v>
                </c:pt>
                <c:pt idx="267">
                  <c:v>139.25888345217695</c:v>
                </c:pt>
                <c:pt idx="268">
                  <c:v>140.96159030993226</c:v>
                </c:pt>
                <c:pt idx="269">
                  <c:v>64.733014071790336</c:v>
                </c:pt>
                <c:pt idx="270">
                  <c:v>64.932920622666686</c:v>
                </c:pt>
                <c:pt idx="271">
                  <c:v>96.640228249937707</c:v>
                </c:pt>
                <c:pt idx="272">
                  <c:v>138.5901124773232</c:v>
                </c:pt>
                <c:pt idx="273">
                  <c:v>157.10787311652112</c:v>
                </c:pt>
                <c:pt idx="274">
                  <c:v>162.65660885808694</c:v>
                </c:pt>
                <c:pt idx="275">
                  <c:v>152.78596044253095</c:v>
                </c:pt>
                <c:pt idx="276">
                  <c:v>174.84661412437026</c:v>
                </c:pt>
                <c:pt idx="277">
                  <c:v>177.70954073163574</c:v>
                </c:pt>
                <c:pt idx="278">
                  <c:v>59.660085381440531</c:v>
                </c:pt>
                <c:pt idx="279">
                  <c:v>122.61743124117875</c:v>
                </c:pt>
                <c:pt idx="280">
                  <c:v>68.505584335404691</c:v>
                </c:pt>
                <c:pt idx="281">
                  <c:v>161.58203961622985</c:v>
                </c:pt>
                <c:pt idx="282">
                  <c:v>129.2745819501219</c:v>
                </c:pt>
                <c:pt idx="283">
                  <c:v>99.521853178217128</c:v>
                </c:pt>
                <c:pt idx="284">
                  <c:v>125.01931236336677</c:v>
                </c:pt>
                <c:pt idx="285">
                  <c:v>96.658143237946021</c:v>
                </c:pt>
                <c:pt idx="286">
                  <c:v>86.145847854859412</c:v>
                </c:pt>
                <c:pt idx="287">
                  <c:v>157.40849876128289</c:v>
                </c:pt>
                <c:pt idx="288">
                  <c:v>141.13016635513085</c:v>
                </c:pt>
                <c:pt idx="289">
                  <c:v>90.434565456040701</c:v>
                </c:pt>
                <c:pt idx="290">
                  <c:v>144.41125434689133</c:v>
                </c:pt>
                <c:pt idx="291">
                  <c:v>63.728680455382055</c:v>
                </c:pt>
                <c:pt idx="292">
                  <c:v>40.555564367139134</c:v>
                </c:pt>
                <c:pt idx="293">
                  <c:v>66.092475115413492</c:v>
                </c:pt>
                <c:pt idx="294">
                  <c:v>138.57455725450427</c:v>
                </c:pt>
                <c:pt idx="295">
                  <c:v>84.147537607762004</c:v>
                </c:pt>
                <c:pt idx="296">
                  <c:v>108.25804462882567</c:v>
                </c:pt>
                <c:pt idx="297">
                  <c:v>93.619228192576173</c:v>
                </c:pt>
                <c:pt idx="298">
                  <c:v>61.818045649966535</c:v>
                </c:pt>
                <c:pt idx="299">
                  <c:v>55.480714333997945</c:v>
                </c:pt>
                <c:pt idx="300">
                  <c:v>73.225728090254506</c:v>
                </c:pt>
                <c:pt idx="301">
                  <c:v>106.33988765020166</c:v>
                </c:pt>
                <c:pt idx="302">
                  <c:v>88.895138654872014</c:v>
                </c:pt>
                <c:pt idx="303">
                  <c:v>90.005947569682547</c:v>
                </c:pt>
                <c:pt idx="304">
                  <c:v>89.328583703252008</c:v>
                </c:pt>
                <c:pt idx="305">
                  <c:v>118.70370821860377</c:v>
                </c:pt>
                <c:pt idx="306">
                  <c:v>45.2827521411213</c:v>
                </c:pt>
                <c:pt idx="307">
                  <c:v>53.674500314478273</c:v>
                </c:pt>
                <c:pt idx="308">
                  <c:v>126.38789821848169</c:v>
                </c:pt>
                <c:pt idx="309">
                  <c:v>126.84626261505547</c:v>
                </c:pt>
                <c:pt idx="310">
                  <c:v>122.47544113409467</c:v>
                </c:pt>
                <c:pt idx="311">
                  <c:v>81.917434417486461</c:v>
                </c:pt>
                <c:pt idx="312">
                  <c:v>46.181647376312895</c:v>
                </c:pt>
                <c:pt idx="313">
                  <c:v>96.014445981746078</c:v>
                </c:pt>
                <c:pt idx="314">
                  <c:v>116.90226641559407</c:v>
                </c:pt>
                <c:pt idx="315">
                  <c:v>115.28731929885106</c:v>
                </c:pt>
                <c:pt idx="316">
                  <c:v>113.86823150956916</c:v>
                </c:pt>
                <c:pt idx="317">
                  <c:v>43.364049160594824</c:v>
                </c:pt>
                <c:pt idx="318">
                  <c:v>54.573105930498691</c:v>
                </c:pt>
                <c:pt idx="319">
                  <c:v>113.99247059317187</c:v>
                </c:pt>
                <c:pt idx="320">
                  <c:v>67.59981024016939</c:v>
                </c:pt>
                <c:pt idx="321">
                  <c:v>53.625133611051865</c:v>
                </c:pt>
                <c:pt idx="322">
                  <c:v>25.48337966290233</c:v>
                </c:pt>
                <c:pt idx="323">
                  <c:v>74.630752953796346</c:v>
                </c:pt>
                <c:pt idx="324">
                  <c:v>14.762672341470477</c:v>
                </c:pt>
                <c:pt idx="325">
                  <c:v>35.846328284144036</c:v>
                </c:pt>
                <c:pt idx="326">
                  <c:v>59.175406565764945</c:v>
                </c:pt>
                <c:pt idx="327">
                  <c:v>58.232050433152608</c:v>
                </c:pt>
                <c:pt idx="328">
                  <c:v>18.838537102613426</c:v>
                </c:pt>
                <c:pt idx="329">
                  <c:v>56.767531015075413</c:v>
                </c:pt>
                <c:pt idx="330">
                  <c:v>61.847587039388216</c:v>
                </c:pt>
                <c:pt idx="331">
                  <c:v>40.171323982561468</c:v>
                </c:pt>
                <c:pt idx="332">
                  <c:v>57.276679204081212</c:v>
                </c:pt>
                <c:pt idx="333">
                  <c:v>22.69668701037028</c:v>
                </c:pt>
                <c:pt idx="334">
                  <c:v>17.048185229646048</c:v>
                </c:pt>
                <c:pt idx="335">
                  <c:v>27.492554320951911</c:v>
                </c:pt>
                <c:pt idx="336">
                  <c:v>37.710291255934422</c:v>
                </c:pt>
                <c:pt idx="337">
                  <c:v>81.054495231438239</c:v>
                </c:pt>
                <c:pt idx="338">
                  <c:v>101.80165922756323</c:v>
                </c:pt>
                <c:pt idx="339">
                  <c:v>52.811119976469229</c:v>
                </c:pt>
                <c:pt idx="340">
                  <c:v>81.786641447267698</c:v>
                </c:pt>
                <c:pt idx="341">
                  <c:v>15.447071897065474</c:v>
                </c:pt>
                <c:pt idx="342">
                  <c:v>29.695672481472943</c:v>
                </c:pt>
                <c:pt idx="343">
                  <c:v>71.692961584893965</c:v>
                </c:pt>
                <c:pt idx="344">
                  <c:v>67.482056600708489</c:v>
                </c:pt>
                <c:pt idx="345">
                  <c:v>23.502813996973341</c:v>
                </c:pt>
                <c:pt idx="346">
                  <c:v>24.481233780946404</c:v>
                </c:pt>
                <c:pt idx="347">
                  <c:v>71.960686558847016</c:v>
                </c:pt>
                <c:pt idx="348">
                  <c:v>35.774036989258526</c:v>
                </c:pt>
                <c:pt idx="349">
                  <c:v>21.79975806197972</c:v>
                </c:pt>
                <c:pt idx="350">
                  <c:v>13.526356914453068</c:v>
                </c:pt>
                <c:pt idx="351">
                  <c:v>73.793837271309528</c:v>
                </c:pt>
                <c:pt idx="352">
                  <c:v>70.927575090692514</c:v>
                </c:pt>
                <c:pt idx="353">
                  <c:v>18.517600915500022</c:v>
                </c:pt>
                <c:pt idx="354">
                  <c:v>87.676820116771282</c:v>
                </c:pt>
                <c:pt idx="355">
                  <c:v>73.001478849495911</c:v>
                </c:pt>
                <c:pt idx="356">
                  <c:v>74.887673278935708</c:v>
                </c:pt>
                <c:pt idx="357">
                  <c:v>90.964141947928468</c:v>
                </c:pt>
                <c:pt idx="358">
                  <c:v>51.183903375606121</c:v>
                </c:pt>
                <c:pt idx="359">
                  <c:v>87.563867217887122</c:v>
                </c:pt>
                <c:pt idx="360">
                  <c:v>27.089194177929443</c:v>
                </c:pt>
                <c:pt idx="361">
                  <c:v>71.194152085711238</c:v>
                </c:pt>
                <c:pt idx="362">
                  <c:v>43.9910053185802</c:v>
                </c:pt>
                <c:pt idx="363">
                  <c:v>63.04030921839766</c:v>
                </c:pt>
                <c:pt idx="364">
                  <c:v>50.440870395733704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104.83399999999999</c:v>
                </c:pt>
                <c:pt idx="21">
                  <c:v>119.66900000000001</c:v>
                </c:pt>
                <c:pt idx="35">
                  <c:v>138.9545</c:v>
                </c:pt>
                <c:pt idx="49">
                  <c:v>160.71250000000001</c:v>
                </c:pt>
                <c:pt idx="63">
                  <c:v>181.976</c:v>
                </c:pt>
                <c:pt idx="77">
                  <c:v>201.26150000000001</c:v>
                </c:pt>
                <c:pt idx="91">
                  <c:v>219</c:v>
                </c:pt>
                <c:pt idx="105">
                  <c:v>232</c:v>
                </c:pt>
                <c:pt idx="119">
                  <c:v>241</c:v>
                </c:pt>
                <c:pt idx="133">
                  <c:v>247</c:v>
                </c:pt>
                <c:pt idx="147">
                  <c:v>250.5</c:v>
                </c:pt>
                <c:pt idx="161">
                  <c:v>252</c:v>
                </c:pt>
                <c:pt idx="175">
                  <c:v>251</c:v>
                </c:pt>
                <c:pt idx="189">
                  <c:v>248</c:v>
                </c:pt>
                <c:pt idx="203">
                  <c:v>242</c:v>
                </c:pt>
                <c:pt idx="217">
                  <c:v>234</c:v>
                </c:pt>
                <c:pt idx="231">
                  <c:v>224</c:v>
                </c:pt>
                <c:pt idx="245">
                  <c:v>211.5</c:v>
                </c:pt>
                <c:pt idx="259">
                  <c:v>196.5</c:v>
                </c:pt>
                <c:pt idx="273">
                  <c:v>179</c:v>
                </c:pt>
                <c:pt idx="287">
                  <c:v>160.5</c:v>
                </c:pt>
                <c:pt idx="301">
                  <c:v>141.5</c:v>
                </c:pt>
                <c:pt idx="315">
                  <c:v>123</c:v>
                </c:pt>
                <c:pt idx="329">
                  <c:v>107</c:v>
                </c:pt>
                <c:pt idx="343">
                  <c:v>97.5</c:v>
                </c:pt>
                <c:pt idx="357">
                  <c:v>96.427499999999995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722880"/>
        <c:axId val="655722488"/>
      </c:lineChart>
      <c:dateAx>
        <c:axId val="655722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22488"/>
        <c:crosses val="autoZero"/>
        <c:auto val="1"/>
        <c:lblOffset val="100"/>
        <c:baseTimeUnit val="days"/>
        <c:majorUnit val="1"/>
        <c:majorTimeUnit val="months"/>
      </c:dateAx>
      <c:valAx>
        <c:axId val="655722488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2288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'2022'!$A$15:$A$380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97.638140424625419</c:v>
                </c:pt>
                <c:pt idx="1">
                  <c:v>98.233344509030758</c:v>
                </c:pt>
                <c:pt idx="2">
                  <c:v>98.863986843102367</c:v>
                </c:pt>
                <c:pt idx="3">
                  <c:v>99.528200245277759</c:v>
                </c:pt>
                <c:pt idx="4">
                  <c:v>100.22411812109105</c:v>
                </c:pt>
                <c:pt idx="5">
                  <c:v>100.94987443481581</c:v>
                </c:pt>
                <c:pt idx="6">
                  <c:v>101.70360373055706</c:v>
                </c:pt>
                <c:pt idx="7">
                  <c:v>102.48344112548318</c:v>
                </c:pt>
                <c:pt idx="8">
                  <c:v>103.29779762897223</c:v>
                </c:pt>
                <c:pt idx="9">
                  <c:v>104.1546837499439</c:v>
                </c:pt>
                <c:pt idx="10">
                  <c:v>105.05163484354999</c:v>
                </c:pt>
                <c:pt idx="11">
                  <c:v>105.98618698334103</c:v>
                </c:pt>
                <c:pt idx="12">
                  <c:v>106.9558770179305</c:v>
                </c:pt>
                <c:pt idx="13">
                  <c:v>107.95824253931072</c:v>
                </c:pt>
                <c:pt idx="14">
                  <c:v>108.99082194807582</c:v>
                </c:pt>
                <c:pt idx="15">
                  <c:v>110.05115429307031</c:v>
                </c:pt>
                <c:pt idx="16">
                  <c:v>111.13677933266239</c:v>
                </c:pt>
                <c:pt idx="17">
                  <c:v>112.24523768885493</c:v>
                </c:pt>
                <c:pt idx="18">
                  <c:v>113.37407072921143</c:v>
                </c:pt>
                <c:pt idx="19">
                  <c:v>114.52082059878799</c:v>
                </c:pt>
                <c:pt idx="20">
                  <c:v>115.68303019890479</c:v>
                </c:pt>
                <c:pt idx="21">
                  <c:v>116.85824319266078</c:v>
                </c:pt>
                <c:pt idx="22">
                  <c:v>118.0547105953279</c:v>
                </c:pt>
                <c:pt idx="23">
                  <c:v>119.28090824187947</c:v>
                </c:pt>
                <c:pt idx="24">
                  <c:v>120.53471781483698</c:v>
                </c:pt>
                <c:pt idx="25">
                  <c:v>121.81402184168698</c:v>
                </c:pt>
                <c:pt idx="26">
                  <c:v>123.11670352469662</c:v>
                </c:pt>
                <c:pt idx="27">
                  <c:v>124.44064674769498</c:v>
                </c:pt>
                <c:pt idx="28">
                  <c:v>125.78373604132696</c:v>
                </c:pt>
                <c:pt idx="29">
                  <c:v>127.14385697112047</c:v>
                </c:pt>
                <c:pt idx="30">
                  <c:v>128.51889568140882</c:v>
                </c:pt>
                <c:pt idx="31">
                  <c:v>129.90673882768519</c:v>
                </c:pt>
                <c:pt idx="32">
                  <c:v>131.30527376374764</c:v>
                </c:pt>
                <c:pt idx="33">
                  <c:v>132.71238850175641</c:v>
                </c:pt>
                <c:pt idx="34">
                  <c:v>134.12597175772328</c:v>
                </c:pt>
                <c:pt idx="35">
                  <c:v>135.54391291738273</c:v>
                </c:pt>
                <c:pt idx="36">
                  <c:v>136.97623051690613</c:v>
                </c:pt>
                <c:pt idx="37">
                  <c:v>138.43223652256776</c:v>
                </c:pt>
                <c:pt idx="38">
                  <c:v>139.908762164808</c:v>
                </c:pt>
                <c:pt idx="39">
                  <c:v>141.40263985925367</c:v>
                </c:pt>
                <c:pt idx="40">
                  <c:v>142.9107030106255</c:v>
                </c:pt>
                <c:pt idx="41">
                  <c:v>144.42978602784277</c:v>
                </c:pt>
                <c:pt idx="42">
                  <c:v>145.95672431592143</c:v>
                </c:pt>
                <c:pt idx="43">
                  <c:v>147.48835366074658</c:v>
                </c:pt>
                <c:pt idx="44">
                  <c:v>149.02151059440709</c:v>
                </c:pt>
                <c:pt idx="45">
                  <c:v>150.5530332643016</c:v>
                </c:pt>
                <c:pt idx="46">
                  <c:v>152.0797607817114</c:v>
                </c:pt>
                <c:pt idx="47">
                  <c:v>155.25436347794965</c:v>
                </c:pt>
                <c:pt idx="48">
                  <c:v>156.77829789482823</c:v>
                </c:pt>
                <c:pt idx="49">
                  <c:v>158.28780677403512</c:v>
                </c:pt>
                <c:pt idx="50">
                  <c:v>159.7911463614125</c:v>
                </c:pt>
                <c:pt idx="51">
                  <c:v>161.29763531656533</c:v>
                </c:pt>
                <c:pt idx="52">
                  <c:v>162.80567695847344</c:v>
                </c:pt>
                <c:pt idx="53">
                  <c:v>164.31367420016488</c:v>
                </c:pt>
                <c:pt idx="54">
                  <c:v>165.8200304023309</c:v>
                </c:pt>
                <c:pt idx="55">
                  <c:v>167.32314937099616</c:v>
                </c:pt>
                <c:pt idx="56">
                  <c:v>168.82143534620167</c:v>
                </c:pt>
                <c:pt idx="57">
                  <c:v>170.31329289283357</c:v>
                </c:pt>
                <c:pt idx="58">
                  <c:v>171.79712832255393</c:v>
                </c:pt>
                <c:pt idx="59">
                  <c:v>173.27134730368991</c:v>
                </c:pt>
                <c:pt idx="60">
                  <c:v>174.73435593588337</c:v>
                </c:pt>
                <c:pt idx="61">
                  <c:v>176.18456073826854</c:v>
                </c:pt>
                <c:pt idx="62">
                  <c:v>177.62036865062208</c:v>
                </c:pt>
                <c:pt idx="63">
                  <c:v>179.04018702626195</c:v>
                </c:pt>
                <c:pt idx="64">
                  <c:v>180.44540826825585</c:v>
                </c:pt>
                <c:pt idx="65">
                  <c:v>181.83879659070726</c:v>
                </c:pt>
                <c:pt idx="66">
                  <c:v>183.22081739272897</c:v>
                </c:pt>
                <c:pt idx="67">
                  <c:v>184.59193616680366</c:v>
                </c:pt>
                <c:pt idx="68">
                  <c:v>185.95261817619436</c:v>
                </c:pt>
                <c:pt idx="69">
                  <c:v>187.30332738264548</c:v>
                </c:pt>
                <c:pt idx="70">
                  <c:v>188.64452972307615</c:v>
                </c:pt>
                <c:pt idx="71">
                  <c:v>189.9766896725742</c:v>
                </c:pt>
                <c:pt idx="72">
                  <c:v>191.30027178536167</c:v>
                </c:pt>
                <c:pt idx="73">
                  <c:v>192.61574021312035</c:v>
                </c:pt>
                <c:pt idx="74">
                  <c:v>193.9235588837405</c:v>
                </c:pt>
                <c:pt idx="75">
                  <c:v>195.2241915003757</c:v>
                </c:pt>
                <c:pt idx="76">
                  <c:v>196.51810155504364</c:v>
                </c:pt>
                <c:pt idx="77">
                  <c:v>197.80575231353609</c:v>
                </c:pt>
                <c:pt idx="78">
                  <c:v>199.09387879259361</c:v>
                </c:pt>
                <c:pt idx="79">
                  <c:v>200.38661946583409</c:v>
                </c:pt>
                <c:pt idx="80">
                  <c:v>201.68054390924235</c:v>
                </c:pt>
                <c:pt idx="81">
                  <c:v>202.97222200306928</c:v>
                </c:pt>
                <c:pt idx="82">
                  <c:v>204.25822460992006</c:v>
                </c:pt>
                <c:pt idx="83">
                  <c:v>205.53512355660942</c:v>
                </c:pt>
                <c:pt idx="84">
                  <c:v>206.79949166617308</c:v>
                </c:pt>
                <c:pt idx="85">
                  <c:v>208.04790262040444</c:v>
                </c:pt>
                <c:pt idx="86">
                  <c:v>209.27693147481256</c:v>
                </c:pt>
                <c:pt idx="87">
                  <c:v>210.48315405516115</c:v>
                </c:pt>
                <c:pt idx="88">
                  <c:v>211.66314717262637</c:v>
                </c:pt>
                <c:pt idx="89">
                  <c:v>212.81348868286452</c:v>
                </c:pt>
                <c:pt idx="90">
                  <c:v>213.93075744902495</c:v>
                </c:pt>
                <c:pt idx="91">
                  <c:v>215.01153336821474</c:v>
                </c:pt>
                <c:pt idx="92">
                  <c:v>216.05924362758472</c:v>
                </c:pt>
                <c:pt idx="93">
                  <c:v>217.08012593141703</c:v>
                </c:pt>
                <c:pt idx="94">
                  <c:v>218.07497661194927</c:v>
                </c:pt>
                <c:pt idx="95">
                  <c:v>219.04459204201527</c:v>
                </c:pt>
                <c:pt idx="96">
                  <c:v>219.98976833704793</c:v>
                </c:pt>
                <c:pt idx="97">
                  <c:v>220.91130139407068</c:v>
                </c:pt>
                <c:pt idx="98">
                  <c:v>221.80998688274559</c:v>
                </c:pt>
                <c:pt idx="99">
                  <c:v>222.68662086696639</c:v>
                </c:pt>
                <c:pt idx="100">
                  <c:v>223.54199887713594</c:v>
                </c:pt>
                <c:pt idx="101">
                  <c:v>224.37691601225166</c:v>
                </c:pt>
                <c:pt idx="102">
                  <c:v>225.1921671765609</c:v>
                </c:pt>
                <c:pt idx="103">
                  <c:v>225.98854704017489</c:v>
                </c:pt>
                <c:pt idx="104">
                  <c:v>226.76685009892131</c:v>
                </c:pt>
                <c:pt idx="105">
                  <c:v>227.52787063903602</c:v>
                </c:pt>
                <c:pt idx="106">
                  <c:v>228.26810036327944</c:v>
                </c:pt>
                <c:pt idx="107">
                  <c:v>228.98421985891179</c:v>
                </c:pt>
                <c:pt idx="108">
                  <c:v>229.67730587459403</c:v>
                </c:pt>
                <c:pt idx="109">
                  <c:v>230.34843440932599</c:v>
                </c:pt>
                <c:pt idx="110">
                  <c:v>230.9986812134519</c:v>
                </c:pt>
                <c:pt idx="111">
                  <c:v>231.62912181445739</c:v>
                </c:pt>
                <c:pt idx="112">
                  <c:v>232.24083150233082</c:v>
                </c:pt>
                <c:pt idx="113">
                  <c:v>232.83488516739479</c:v>
                </c:pt>
                <c:pt idx="114">
                  <c:v>233.41235642595538</c:v>
                </c:pt>
                <c:pt idx="115">
                  <c:v>233.97431976137358</c:v>
                </c:pt>
                <c:pt idx="116">
                  <c:v>234.52184943766486</c:v>
                </c:pt>
                <c:pt idx="117">
                  <c:v>235.05601949208963</c:v>
                </c:pt>
                <c:pt idx="118">
                  <c:v>235.57790376654759</c:v>
                </c:pt>
                <c:pt idx="119">
                  <c:v>236.08857591057776</c:v>
                </c:pt>
                <c:pt idx="120">
                  <c:v>236.58527183809863</c:v>
                </c:pt>
                <c:pt idx="121">
                  <c:v>237.06487175749641</c:v>
                </c:pt>
                <c:pt idx="122">
                  <c:v>237.52791374435176</c:v>
                </c:pt>
                <c:pt idx="123">
                  <c:v>237.97493727647321</c:v>
                </c:pt>
                <c:pt idx="124">
                  <c:v>238.40648184995055</c:v>
                </c:pt>
                <c:pt idx="125">
                  <c:v>238.82308695587943</c:v>
                </c:pt>
                <c:pt idx="126">
                  <c:v>239.22529208170428</c:v>
                </c:pt>
                <c:pt idx="127">
                  <c:v>239.61363792116853</c:v>
                </c:pt>
                <c:pt idx="128">
                  <c:v>239.98866449385685</c:v>
                </c:pt>
                <c:pt idx="129">
                  <c:v>240.35091152349219</c:v>
                </c:pt>
                <c:pt idx="130">
                  <c:v>240.70091877571829</c:v>
                </c:pt>
                <c:pt idx="131">
                  <c:v>241.03922604077593</c:v>
                </c:pt>
                <c:pt idx="132">
                  <c:v>241.36637314018239</c:v>
                </c:pt>
                <c:pt idx="133">
                  <c:v>241.68289993547202</c:v>
                </c:pt>
                <c:pt idx="134">
                  <c:v>241.98685038985511</c:v>
                </c:pt>
                <c:pt idx="135">
                  <c:v>242.27627073563326</c:v>
                </c:pt>
                <c:pt idx="136">
                  <c:v>242.55170203846072</c:v>
                </c:pt>
                <c:pt idx="137">
                  <c:v>242.81368566851091</c:v>
                </c:pt>
                <c:pt idx="138">
                  <c:v>243.06276301186227</c:v>
                </c:pt>
                <c:pt idx="139">
                  <c:v>243.29947548209807</c:v>
                </c:pt>
                <c:pt idx="140">
                  <c:v>243.52436449846545</c:v>
                </c:pt>
                <c:pt idx="141">
                  <c:v>243.73797086153181</c:v>
                </c:pt>
                <c:pt idx="142">
                  <c:v>243.94083382742775</c:v>
                </c:pt>
                <c:pt idx="143">
                  <c:v>244.13349451022304</c:v>
                </c:pt>
                <c:pt idx="144">
                  <c:v>244.31649395243466</c:v>
                </c:pt>
                <c:pt idx="145">
                  <c:v>244.4903731483966</c:v>
                </c:pt>
                <c:pt idx="146">
                  <c:v>244.65567301295079</c:v>
                </c:pt>
                <c:pt idx="147">
                  <c:v>244.81293438156882</c:v>
                </c:pt>
                <c:pt idx="148">
                  <c:v>244.9625199195028</c:v>
                </c:pt>
                <c:pt idx="149">
                  <c:v>245.10407873576185</c:v>
                </c:pt>
                <c:pt idx="150">
                  <c:v>245.23708104253112</c:v>
                </c:pt>
                <c:pt idx="151">
                  <c:v>245.36099928329472</c:v>
                </c:pt>
                <c:pt idx="152">
                  <c:v>245.47530609113034</c:v>
                </c:pt>
                <c:pt idx="153">
                  <c:v>245.57947426064985</c:v>
                </c:pt>
                <c:pt idx="154">
                  <c:v>245.67297674912948</c:v>
                </c:pt>
                <c:pt idx="155">
                  <c:v>245.75528503404166</c:v>
                </c:pt>
                <c:pt idx="156">
                  <c:v>245.82587322344298</c:v>
                </c:pt>
                <c:pt idx="157">
                  <c:v>245.8842145586836</c:v>
                </c:pt>
                <c:pt idx="158">
                  <c:v>245.92978235936098</c:v>
                </c:pt>
                <c:pt idx="159">
                  <c:v>245.962049991963</c:v>
                </c:pt>
                <c:pt idx="160">
                  <c:v>245.98049086057904</c:v>
                </c:pt>
                <c:pt idx="161">
                  <c:v>245.98457838707469</c:v>
                </c:pt>
                <c:pt idx="162">
                  <c:v>245.97396384388995</c:v>
                </c:pt>
                <c:pt idx="163">
                  <c:v>245.94900540789087</c:v>
                </c:pt>
                <c:pt idx="164">
                  <c:v>245.9102446981189</c:v>
                </c:pt>
                <c:pt idx="165">
                  <c:v>245.8582211527179</c:v>
                </c:pt>
                <c:pt idx="166">
                  <c:v>245.79347380850299</c:v>
                </c:pt>
                <c:pt idx="167">
                  <c:v>245.71654128032807</c:v>
                </c:pt>
                <c:pt idx="168">
                  <c:v>245.62796175791286</c:v>
                </c:pt>
                <c:pt idx="169">
                  <c:v>245.52826800253504</c:v>
                </c:pt>
                <c:pt idx="170">
                  <c:v>245.41799929904496</c:v>
                </c:pt>
                <c:pt idx="171">
                  <c:v>245.29769235317329</c:v>
                </c:pt>
                <c:pt idx="172">
                  <c:v>245.16788343919785</c:v>
                </c:pt>
                <c:pt idx="173">
                  <c:v>245.02910842293414</c:v>
                </c:pt>
                <c:pt idx="174">
                  <c:v>244.88190274553637</c:v>
                </c:pt>
                <c:pt idx="175">
                  <c:v>244.72680139223922</c:v>
                </c:pt>
                <c:pt idx="176">
                  <c:v>244.56531600286689</c:v>
                </c:pt>
                <c:pt idx="177">
                  <c:v>244.39788913813351</c:v>
                </c:pt>
                <c:pt idx="178">
                  <c:v>244.22346147925487</c:v>
                </c:pt>
                <c:pt idx="179">
                  <c:v>244.04096824239841</c:v>
                </c:pt>
                <c:pt idx="180">
                  <c:v>243.84934474583062</c:v>
                </c:pt>
                <c:pt idx="181">
                  <c:v>243.64752642552872</c:v>
                </c:pt>
                <c:pt idx="182">
                  <c:v>243.43444884087262</c:v>
                </c:pt>
                <c:pt idx="183">
                  <c:v>243.20904508556328</c:v>
                </c:pt>
                <c:pt idx="184">
                  <c:v>242.97025727976927</c:v>
                </c:pt>
                <c:pt idx="185">
                  <c:v>242.71702154314792</c:v>
                </c:pt>
                <c:pt idx="186">
                  <c:v>242.44827416616772</c:v>
                </c:pt>
                <c:pt idx="187">
                  <c:v>242.16295158506384</c:v>
                </c:pt>
                <c:pt idx="188">
                  <c:v>241.85999043095993</c:v>
                </c:pt>
                <c:pt idx="189">
                  <c:v>241.53832753254727</c:v>
                </c:pt>
                <c:pt idx="190">
                  <c:v>241.19725482297403</c:v>
                </c:pt>
                <c:pt idx="191">
                  <c:v>240.83748190734534</c:v>
                </c:pt>
                <c:pt idx="192">
                  <c:v>240.46007798631308</c:v>
                </c:pt>
                <c:pt idx="193">
                  <c:v>240.06610890811206</c:v>
                </c:pt>
                <c:pt idx="194">
                  <c:v>239.65664017305647</c:v>
                </c:pt>
                <c:pt idx="195">
                  <c:v>239.23273692416367</c:v>
                </c:pt>
                <c:pt idx="196">
                  <c:v>238.79546400612347</c:v>
                </c:pt>
                <c:pt idx="197">
                  <c:v>238.34589101118036</c:v>
                </c:pt>
                <c:pt idx="198">
                  <c:v>237.88508527863681</c:v>
                </c:pt>
                <c:pt idx="199">
                  <c:v>237.41411095426884</c:v>
                </c:pt>
                <c:pt idx="200">
                  <c:v>236.93403191824117</c:v>
                </c:pt>
                <c:pt idx="201">
                  <c:v>236.44591181006095</c:v>
                </c:pt>
                <c:pt idx="202">
                  <c:v>235.95081402437884</c:v>
                </c:pt>
                <c:pt idx="203">
                  <c:v>235.44980173269568</c:v>
                </c:pt>
                <c:pt idx="204">
                  <c:v>234.94127874170454</c:v>
                </c:pt>
                <c:pt idx="205">
                  <c:v>234.42294722381661</c:v>
                </c:pt>
                <c:pt idx="206">
                  <c:v>233.89480990434413</c:v>
                </c:pt>
                <c:pt idx="207">
                  <c:v>233.35686737564819</c:v>
                </c:pt>
                <c:pt idx="208">
                  <c:v>232.80912032577865</c:v>
                </c:pt>
                <c:pt idx="209">
                  <c:v>232.25156956404882</c:v>
                </c:pt>
                <c:pt idx="210">
                  <c:v>231.68421599586682</c:v>
                </c:pt>
                <c:pt idx="211">
                  <c:v>231.10706194716724</c:v>
                </c:pt>
                <c:pt idx="212">
                  <c:v>230.52010307330346</c:v>
                </c:pt>
                <c:pt idx="213">
                  <c:v>229.9233405691289</c:v>
                </c:pt>
                <c:pt idx="214">
                  <c:v>229.31677574469924</c:v>
                </c:pt>
                <c:pt idx="215">
                  <c:v>228.70041001962403</c:v>
                </c:pt>
                <c:pt idx="216">
                  <c:v>228.07424490969336</c:v>
                </c:pt>
                <c:pt idx="217">
                  <c:v>227.43828204715243</c:v>
                </c:pt>
                <c:pt idx="218">
                  <c:v>226.79367431635828</c:v>
                </c:pt>
                <c:pt idx="219">
                  <c:v>226.14121826300445</c:v>
                </c:pt>
                <c:pt idx="220">
                  <c:v>225.48037682049991</c:v>
                </c:pt>
                <c:pt idx="221">
                  <c:v>224.81062039707459</c:v>
                </c:pt>
                <c:pt idx="222">
                  <c:v>224.13141963289593</c:v>
                </c:pt>
                <c:pt idx="223">
                  <c:v>223.44224539106179</c:v>
                </c:pt>
                <c:pt idx="224">
                  <c:v>222.74256873783503</c:v>
                </c:pt>
                <c:pt idx="225">
                  <c:v>222.03187349316281</c:v>
                </c:pt>
                <c:pt idx="226">
                  <c:v>221.30962985461028</c:v>
                </c:pt>
                <c:pt idx="227">
                  <c:v>220.57530956153042</c:v>
                </c:pt>
                <c:pt idx="228">
                  <c:v>219.82838453225187</c:v>
                </c:pt>
                <c:pt idx="229">
                  <c:v>219.06832685979651</c:v>
                </c:pt>
                <c:pt idx="230">
                  <c:v>218.29460879816776</c:v>
                </c:pt>
                <c:pt idx="231">
                  <c:v>217.50670277471073</c:v>
                </c:pt>
                <c:pt idx="232">
                  <c:v>216.705408356231</c:v>
                </c:pt>
                <c:pt idx="233">
                  <c:v>215.89189116232785</c:v>
                </c:pt>
                <c:pt idx="234">
                  <c:v>215.06615623333221</c:v>
                </c:pt>
                <c:pt idx="235">
                  <c:v>214.22820661790018</c:v>
                </c:pt>
                <c:pt idx="236">
                  <c:v>213.37804534625613</c:v>
                </c:pt>
                <c:pt idx="237">
                  <c:v>212.51567546078232</c:v>
                </c:pt>
                <c:pt idx="238">
                  <c:v>211.64109998695392</c:v>
                </c:pt>
                <c:pt idx="239">
                  <c:v>210.75431293783706</c:v>
                </c:pt>
                <c:pt idx="240">
                  <c:v>209.85530450162821</c:v>
                </c:pt>
                <c:pt idx="241">
                  <c:v>208.94407765753982</c:v>
                </c:pt>
                <c:pt idx="242">
                  <c:v>208.02063538348062</c:v>
                </c:pt>
                <c:pt idx="243">
                  <c:v>207.08498067378758</c:v>
                </c:pt>
                <c:pt idx="244">
                  <c:v>206.13711652724308</c:v>
                </c:pt>
                <c:pt idx="245">
                  <c:v>205.17704595807572</c:v>
                </c:pt>
                <c:pt idx="246">
                  <c:v>204.20477199123144</c:v>
                </c:pt>
                <c:pt idx="247">
                  <c:v>203.22029290692427</c:v>
                </c:pt>
                <c:pt idx="248">
                  <c:v>202.22359921894045</c:v>
                </c:pt>
                <c:pt idx="249">
                  <c:v>201.21469399654407</c:v>
                </c:pt>
                <c:pt idx="250">
                  <c:v>200.19358033011838</c:v>
                </c:pt>
                <c:pt idx="251">
                  <c:v>199.16026133374234</c:v>
                </c:pt>
                <c:pt idx="252">
                  <c:v>198.11474014293245</c:v>
                </c:pt>
                <c:pt idx="253">
                  <c:v>197.05702854448566</c:v>
                </c:pt>
                <c:pt idx="254">
                  <c:v>195.9871387389536</c:v>
                </c:pt>
                <c:pt idx="255">
                  <c:v>194.90507388131599</c:v>
                </c:pt>
                <c:pt idx="256">
                  <c:v>193.81083713624596</c:v>
                </c:pt>
                <c:pt idx="257">
                  <c:v>192.70443166212863</c:v>
                </c:pt>
                <c:pt idx="258">
                  <c:v>191.58586061365705</c:v>
                </c:pt>
                <c:pt idx="259">
                  <c:v>190.45512712831933</c:v>
                </c:pt>
                <c:pt idx="260">
                  <c:v>189.30879049493768</c:v>
                </c:pt>
                <c:pt idx="261">
                  <c:v>188.14446011803926</c:v>
                </c:pt>
                <c:pt idx="262">
                  <c:v>186.96373415506903</c:v>
                </c:pt>
                <c:pt idx="263">
                  <c:v>185.76820557831044</c:v>
                </c:pt>
                <c:pt idx="264">
                  <c:v>184.55946691839262</c:v>
                </c:pt>
                <c:pt idx="265">
                  <c:v>183.33911021266965</c:v>
                </c:pt>
                <c:pt idx="266">
                  <c:v>182.10872705447019</c:v>
                </c:pt>
                <c:pt idx="267">
                  <c:v>180.86987419859835</c:v>
                </c:pt>
                <c:pt idx="268">
                  <c:v>179.62413404309092</c:v>
                </c:pt>
                <c:pt idx="269">
                  <c:v>178.37309706735616</c:v>
                </c:pt>
                <c:pt idx="270">
                  <c:v>177.11835329123824</c:v>
                </c:pt>
                <c:pt idx="271">
                  <c:v>175.86149228131643</c:v>
                </c:pt>
                <c:pt idx="272">
                  <c:v>174.60410314233229</c:v>
                </c:pt>
                <c:pt idx="273">
                  <c:v>173.34777451691761</c:v>
                </c:pt>
                <c:pt idx="274">
                  <c:v>172.08897726239255</c:v>
                </c:pt>
                <c:pt idx="275">
                  <c:v>170.82347127638499</c:v>
                </c:pt>
                <c:pt idx="276">
                  <c:v>169.55179701286605</c:v>
                </c:pt>
                <c:pt idx="277">
                  <c:v>168.2744846058101</c:v>
                </c:pt>
                <c:pt idx="278">
                  <c:v>166.99206391404167</c:v>
                </c:pt>
                <c:pt idx="279">
                  <c:v>165.7050645141172</c:v>
                </c:pt>
                <c:pt idx="280">
                  <c:v>164.41401569708856</c:v>
                </c:pt>
                <c:pt idx="281">
                  <c:v>163.11947481065411</c:v>
                </c:pt>
                <c:pt idx="282">
                  <c:v>161.82200319937593</c:v>
                </c:pt>
                <c:pt idx="283">
                  <c:v>160.52212852558262</c:v>
                </c:pt>
                <c:pt idx="284">
                  <c:v>159.22037810378205</c:v>
                </c:pt>
                <c:pt idx="285">
                  <c:v>157.91727890357151</c:v>
                </c:pt>
                <c:pt idx="286">
                  <c:v>156.61335754913625</c:v>
                </c:pt>
                <c:pt idx="287">
                  <c:v>155.30914032708554</c:v>
                </c:pt>
                <c:pt idx="288">
                  <c:v>154.00153849080999</c:v>
                </c:pt>
                <c:pt idx="289">
                  <c:v>152.68764885973499</c:v>
                </c:pt>
                <c:pt idx="290">
                  <c:v>151.36853479264022</c:v>
                </c:pt>
                <c:pt idx="291">
                  <c:v>150.04525375795262</c:v>
                </c:pt>
                <c:pt idx="292">
                  <c:v>148.71886293456441</c:v>
                </c:pt>
                <c:pt idx="293">
                  <c:v>147.39041921351878</c:v>
                </c:pt>
                <c:pt idx="294">
                  <c:v>146.06097921555764</c:v>
                </c:pt>
                <c:pt idx="295">
                  <c:v>144.73143980074249</c:v>
                </c:pt>
                <c:pt idx="296">
                  <c:v>143.40283348597396</c:v>
                </c:pt>
                <c:pt idx="297">
                  <c:v>142.07621940488232</c:v>
                </c:pt>
                <c:pt idx="298">
                  <c:v>140.75265662796929</c:v>
                </c:pt>
                <c:pt idx="299">
                  <c:v>139.43320404536237</c:v>
                </c:pt>
                <c:pt idx="300">
                  <c:v>138.11892035920928</c:v>
                </c:pt>
                <c:pt idx="301">
                  <c:v>136.81086407306731</c:v>
                </c:pt>
                <c:pt idx="302">
                  <c:v>135.50286890830972</c:v>
                </c:pt>
                <c:pt idx="303">
                  <c:v>134.18965299372874</c:v>
                </c:pt>
                <c:pt idx="304">
                  <c:v>132.87348227540062</c:v>
                </c:pt>
                <c:pt idx="305">
                  <c:v>131.55646631989157</c:v>
                </c:pt>
                <c:pt idx="306">
                  <c:v>130.24071423406303</c:v>
                </c:pt>
                <c:pt idx="307">
                  <c:v>128.92833469318398</c:v>
                </c:pt>
                <c:pt idx="308">
                  <c:v>127.62143596059282</c:v>
                </c:pt>
                <c:pt idx="309">
                  <c:v>126.32218981213457</c:v>
                </c:pt>
                <c:pt idx="310">
                  <c:v>125.03284658043563</c:v>
                </c:pt>
                <c:pt idx="311">
                  <c:v>123.75550902703446</c:v>
                </c:pt>
                <c:pt idx="312">
                  <c:v>122.49227966768589</c:v>
                </c:pt>
                <c:pt idx="313">
                  <c:v>121.24526080590591</c:v>
                </c:pt>
                <c:pt idx="314">
                  <c:v>120.01655457645917</c:v>
                </c:pt>
                <c:pt idx="315">
                  <c:v>118.80826297560418</c:v>
                </c:pt>
                <c:pt idx="316">
                  <c:v>117.60804790146557</c:v>
                </c:pt>
                <c:pt idx="317">
                  <c:v>116.40495503092093</c:v>
                </c:pt>
                <c:pt idx="318">
                  <c:v>115.20304282195964</c:v>
                </c:pt>
                <c:pt idx="319">
                  <c:v>114.00653323580444</c:v>
                </c:pt>
                <c:pt idx="320">
                  <c:v>112.81964774398271</c:v>
                </c:pt>
                <c:pt idx="321">
                  <c:v>111.64660729613938</c:v>
                </c:pt>
                <c:pt idx="322">
                  <c:v>110.49163231676256</c:v>
                </c:pt>
                <c:pt idx="323">
                  <c:v>109.35910329554119</c:v>
                </c:pt>
                <c:pt idx="324">
                  <c:v>108.25317895343754</c:v>
                </c:pt>
                <c:pt idx="325">
                  <c:v>107.17807634386902</c:v>
                </c:pt>
                <c:pt idx="326">
                  <c:v>106.13801248222559</c:v>
                </c:pt>
                <c:pt idx="327">
                  <c:v>105.13720365510378</c:v>
                </c:pt>
                <c:pt idx="328">
                  <c:v>104.17986531292497</c:v>
                </c:pt>
                <c:pt idx="329">
                  <c:v>103.27021242107604</c:v>
                </c:pt>
                <c:pt idx="330">
                  <c:v>102.3974910304016</c:v>
                </c:pt>
                <c:pt idx="331">
                  <c:v>101.54953840961562</c:v>
                </c:pt>
                <c:pt idx="332">
                  <c:v>100.72840907077985</c:v>
                </c:pt>
                <c:pt idx="333">
                  <c:v>99.936131974080993</c:v>
                </c:pt>
                <c:pt idx="334">
                  <c:v>99.17473609717095</c:v>
                </c:pt>
                <c:pt idx="335">
                  <c:v>98.446250374318922</c:v>
                </c:pt>
                <c:pt idx="336">
                  <c:v>97.752703653772585</c:v>
                </c:pt>
                <c:pt idx="337">
                  <c:v>97.096044095591736</c:v>
                </c:pt>
                <c:pt idx="338">
                  <c:v>96.478152326409045</c:v>
                </c:pt>
                <c:pt idx="339">
                  <c:v>95.901059271094624</c:v>
                </c:pt>
                <c:pt idx="340">
                  <c:v>95.366795380482642</c:v>
                </c:pt>
                <c:pt idx="341">
                  <c:v>94.877390614696253</c:v>
                </c:pt>
                <c:pt idx="342">
                  <c:v>94.434874471534599</c:v>
                </c:pt>
                <c:pt idx="343">
                  <c:v>94.04127588167411</c:v>
                </c:pt>
                <c:pt idx="344">
                  <c:v>93.693119538464188</c:v>
                </c:pt>
                <c:pt idx="345">
                  <c:v>93.385704206297575</c:v>
                </c:pt>
                <c:pt idx="346">
                  <c:v>93.119137990165839</c:v>
                </c:pt>
                <c:pt idx="347">
                  <c:v>92.893610847101428</c:v>
                </c:pt>
                <c:pt idx="348">
                  <c:v>92.709312501673949</c:v>
                </c:pt>
                <c:pt idx="349">
                  <c:v>92.566432447623953</c:v>
                </c:pt>
                <c:pt idx="350">
                  <c:v>92.465159969401626</c:v>
                </c:pt>
                <c:pt idx="351">
                  <c:v>92.405648044328302</c:v>
                </c:pt>
                <c:pt idx="352">
                  <c:v>92.388163325091824</c:v>
                </c:pt>
                <c:pt idx="353">
                  <c:v>92.412894254140838</c:v>
                </c:pt>
                <c:pt idx="354">
                  <c:v>92.480029046881029</c:v>
                </c:pt>
                <c:pt idx="355">
                  <c:v>92.589755813912063</c:v>
                </c:pt>
                <c:pt idx="356">
                  <c:v>92.742263026130743</c:v>
                </c:pt>
                <c:pt idx="357">
                  <c:v>92.937737793167969</c:v>
                </c:pt>
                <c:pt idx="358">
                  <c:v>93.180161541751772</c:v>
                </c:pt>
                <c:pt idx="359">
                  <c:v>93.472163553274044</c:v>
                </c:pt>
                <c:pt idx="360">
                  <c:v>93.81182652642201</c:v>
                </c:pt>
                <c:pt idx="361">
                  <c:v>94.197346462705653</c:v>
                </c:pt>
                <c:pt idx="362">
                  <c:v>94.62688383645839</c:v>
                </c:pt>
                <c:pt idx="363">
                  <c:v>95.098599439834473</c:v>
                </c:pt>
                <c:pt idx="364">
                  <c:v>95.610654416936484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'2022'!$A$15:$A$380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97.754000000000005</c:v>
                </c:pt>
                <c:pt idx="1">
                  <c:v>71.480999999999995</c:v>
                </c:pt>
                <c:pt idx="2">
                  <c:v>74.441000000000003</c:v>
                </c:pt>
                <c:pt idx="3">
                  <c:v>79.945999999999998</c:v>
                </c:pt>
                <c:pt idx="4">
                  <c:v>60.113</c:v>
                </c:pt>
                <c:pt idx="5">
                  <c:v>102.965</c:v>
                </c:pt>
                <c:pt idx="6">
                  <c:v>38.950000000000003</c:v>
                </c:pt>
                <c:pt idx="7">
                  <c:v>26.077999999999999</c:v>
                </c:pt>
                <c:pt idx="8">
                  <c:v>8.1419999999999995</c:v>
                </c:pt>
                <c:pt idx="9">
                  <c:v>7.4850000000000003</c:v>
                </c:pt>
                <c:pt idx="10">
                  <c:v>100.352</c:v>
                </c:pt>
                <c:pt idx="11">
                  <c:v>86.039000000000001</c:v>
                </c:pt>
                <c:pt idx="12">
                  <c:v>27.608000000000001</c:v>
                </c:pt>
                <c:pt idx="13">
                  <c:v>110.104</c:v>
                </c:pt>
                <c:pt idx="14">
                  <c:v>111.79</c:v>
                </c:pt>
                <c:pt idx="15">
                  <c:v>111.173</c:v>
                </c:pt>
                <c:pt idx="16">
                  <c:v>87.3</c:v>
                </c:pt>
                <c:pt idx="17">
                  <c:v>22.865000000000002</c:v>
                </c:pt>
                <c:pt idx="18">
                  <c:v>46.692999999999998</c:v>
                </c:pt>
                <c:pt idx="19">
                  <c:v>24.064</c:v>
                </c:pt>
                <c:pt idx="20">
                  <c:v>60.411000000000001</c:v>
                </c:pt>
                <c:pt idx="21">
                  <c:v>116.014</c:v>
                </c:pt>
                <c:pt idx="22">
                  <c:v>117.917</c:v>
                </c:pt>
                <c:pt idx="23">
                  <c:v>119.367</c:v>
                </c:pt>
                <c:pt idx="24">
                  <c:v>118.25700000000001</c:v>
                </c:pt>
                <c:pt idx="25">
                  <c:v>120.33200000000001</c:v>
                </c:pt>
                <c:pt idx="26">
                  <c:v>122.286</c:v>
                </c:pt>
                <c:pt idx="27">
                  <c:v>18.945</c:v>
                </c:pt>
                <c:pt idx="28">
                  <c:v>29.692</c:v>
                </c:pt>
                <c:pt idx="29">
                  <c:v>26.75</c:v>
                </c:pt>
                <c:pt idx="30">
                  <c:v>26.584</c:v>
                </c:pt>
                <c:pt idx="31">
                  <c:v>57.945</c:v>
                </c:pt>
                <c:pt idx="32">
                  <c:v>25.843</c:v>
                </c:pt>
                <c:pt idx="33">
                  <c:v>58.003999999999998</c:v>
                </c:pt>
                <c:pt idx="34">
                  <c:v>52.77</c:v>
                </c:pt>
                <c:pt idx="35">
                  <c:v>44.233000000000004</c:v>
                </c:pt>
                <c:pt idx="36">
                  <c:v>93.835999999999999</c:v>
                </c:pt>
                <c:pt idx="37">
                  <c:v>42.396999999999998</c:v>
                </c:pt>
                <c:pt idx="38">
                  <c:v>141.857</c:v>
                </c:pt>
                <c:pt idx="39">
                  <c:v>141.16900000000001</c:v>
                </c:pt>
                <c:pt idx="40">
                  <c:v>132.58199999999999</c:v>
                </c:pt>
                <c:pt idx="41">
                  <c:v>66.123999999999995</c:v>
                </c:pt>
                <c:pt idx="42">
                  <c:v>110.736</c:v>
                </c:pt>
                <c:pt idx="43">
                  <c:v>135.09800000000001</c:v>
                </c:pt>
                <c:pt idx="44">
                  <c:v>77.027000000000001</c:v>
                </c:pt>
                <c:pt idx="45">
                  <c:v>81.326000000000008</c:v>
                </c:pt>
                <c:pt idx="46">
                  <c:v>31.41</c:v>
                </c:pt>
                <c:pt idx="47">
                  <c:v>46.771000000000001</c:v>
                </c:pt>
                <c:pt idx="48">
                  <c:v>132.97200000000001</c:v>
                </c:pt>
                <c:pt idx="49">
                  <c:v>75.789000000000001</c:v>
                </c:pt>
                <c:pt idx="50">
                  <c:v>95.350000000000009</c:v>
                </c:pt>
                <c:pt idx="51">
                  <c:v>103.75700000000001</c:v>
                </c:pt>
                <c:pt idx="52">
                  <c:v>138.89699999999999</c:v>
                </c:pt>
                <c:pt idx="53">
                  <c:v>143.52600000000001</c:v>
                </c:pt>
                <c:pt idx="54">
                  <c:v>90.974000000000004</c:v>
                </c:pt>
                <c:pt idx="55">
                  <c:v>128.852</c:v>
                </c:pt>
                <c:pt idx="56">
                  <c:v>170.98099999999999</c:v>
                </c:pt>
                <c:pt idx="57">
                  <c:v>113.76</c:v>
                </c:pt>
                <c:pt idx="58">
                  <c:v>154.33100000000002</c:v>
                </c:pt>
                <c:pt idx="59">
                  <c:v>173.38800000000001</c:v>
                </c:pt>
                <c:pt idx="60">
                  <c:v>53.063000000000002</c:v>
                </c:pt>
                <c:pt idx="61">
                  <c:v>159.98099999999999</c:v>
                </c:pt>
                <c:pt idx="62">
                  <c:v>20.427</c:v>
                </c:pt>
                <c:pt idx="63">
                  <c:v>67.456000000000003</c:v>
                </c:pt>
                <c:pt idx="64">
                  <c:v>95.234000000000009</c:v>
                </c:pt>
                <c:pt idx="65">
                  <c:v>141.48099999999999</c:v>
                </c:pt>
                <c:pt idx="66">
                  <c:v>130.447</c:v>
                </c:pt>
                <c:pt idx="67">
                  <c:v>140.518</c:v>
                </c:pt>
                <c:pt idx="68">
                  <c:v>101.005</c:v>
                </c:pt>
                <c:pt idx="69">
                  <c:v>69.132000000000005</c:v>
                </c:pt>
                <c:pt idx="70">
                  <c:v>64.7</c:v>
                </c:pt>
                <c:pt idx="71">
                  <c:v>57.139000000000003</c:v>
                </c:pt>
                <c:pt idx="72">
                  <c:v>56.073</c:v>
                </c:pt>
                <c:pt idx="73">
                  <c:v>59.823999999999998</c:v>
                </c:pt>
                <c:pt idx="74">
                  <c:v>39.761000000000003</c:v>
                </c:pt>
                <c:pt idx="75">
                  <c:v>51.069000000000003</c:v>
                </c:pt>
                <c:pt idx="76">
                  <c:v>53.916000000000004</c:v>
                </c:pt>
                <c:pt idx="77">
                  <c:v>122.526</c:v>
                </c:pt>
                <c:pt idx="78">
                  <c:v>130.86600000000001</c:v>
                </c:pt>
                <c:pt idx="79">
                  <c:v>188.59700000000001</c:v>
                </c:pt>
                <c:pt idx="80">
                  <c:v>167.916</c:v>
                </c:pt>
                <c:pt idx="81">
                  <c:v>200.99799999999999</c:v>
                </c:pt>
                <c:pt idx="82">
                  <c:v>199.322</c:v>
                </c:pt>
                <c:pt idx="83">
                  <c:v>169.816</c:v>
                </c:pt>
                <c:pt idx="84">
                  <c:v>187.233</c:v>
                </c:pt>
                <c:pt idx="85">
                  <c:v>189.26900000000001</c:v>
                </c:pt>
                <c:pt idx="86">
                  <c:v>149.233</c:v>
                </c:pt>
                <c:pt idx="87">
                  <c:v>117.34400000000001</c:v>
                </c:pt>
                <c:pt idx="88">
                  <c:v>30.826000000000001</c:v>
                </c:pt>
                <c:pt idx="89">
                  <c:v>89.189000000000007</c:v>
                </c:pt>
                <c:pt idx="90">
                  <c:v>151.39099999999999</c:v>
                </c:pt>
                <c:pt idx="91">
                  <c:v>74.057000000000002</c:v>
                </c:pt>
                <c:pt idx="92">
                  <c:v>118.883</c:v>
                </c:pt>
                <c:pt idx="93">
                  <c:v>181.375</c:v>
                </c:pt>
                <c:pt idx="94">
                  <c:v>222.22900000000001</c:v>
                </c:pt>
                <c:pt idx="95">
                  <c:v>55.173999999999999</c:v>
                </c:pt>
                <c:pt idx="96">
                  <c:v>169.56100000000001</c:v>
                </c:pt>
                <c:pt idx="97">
                  <c:v>134.958</c:v>
                </c:pt>
                <c:pt idx="98">
                  <c:v>145.678</c:v>
                </c:pt>
                <c:pt idx="99">
                  <c:v>227.429</c:v>
                </c:pt>
                <c:pt idx="100">
                  <c:v>182.91300000000001</c:v>
                </c:pt>
                <c:pt idx="101">
                  <c:v>153.148</c:v>
                </c:pt>
                <c:pt idx="102">
                  <c:v>25.407</c:v>
                </c:pt>
                <c:pt idx="103">
                  <c:v>182.39699999999999</c:v>
                </c:pt>
                <c:pt idx="104">
                  <c:v>192.57300000000001</c:v>
                </c:pt>
                <c:pt idx="105">
                  <c:v>193.73400000000001</c:v>
                </c:pt>
                <c:pt idx="106">
                  <c:v>232.405</c:v>
                </c:pt>
                <c:pt idx="107">
                  <c:v>171.518</c:v>
                </c:pt>
                <c:pt idx="108">
                  <c:v>38.74</c:v>
                </c:pt>
                <c:pt idx="109">
                  <c:v>43.936</c:v>
                </c:pt>
                <c:pt idx="110">
                  <c:v>39.152000000000001</c:v>
                </c:pt>
                <c:pt idx="111">
                  <c:v>119.137</c:v>
                </c:pt>
                <c:pt idx="112">
                  <c:v>43.402999999999999</c:v>
                </c:pt>
                <c:pt idx="113">
                  <c:v>117.233</c:v>
                </c:pt>
                <c:pt idx="114">
                  <c:v>198.18600000000001</c:v>
                </c:pt>
                <c:pt idx="115">
                  <c:v>232.88900000000001</c:v>
                </c:pt>
                <c:pt idx="116">
                  <c:v>165.90299999999999</c:v>
                </c:pt>
                <c:pt idx="117">
                  <c:v>96.623999999999995</c:v>
                </c:pt>
                <c:pt idx="118">
                  <c:v>178.56</c:v>
                </c:pt>
                <c:pt idx="119">
                  <c:v>167.19300000000001</c:v>
                </c:pt>
                <c:pt idx="120">
                  <c:v>199.02100000000002</c:v>
                </c:pt>
                <c:pt idx="121">
                  <c:v>118.09100000000001</c:v>
                </c:pt>
                <c:pt idx="122">
                  <c:v>134.46700000000001</c:v>
                </c:pt>
                <c:pt idx="123">
                  <c:v>78.924999999999997</c:v>
                </c:pt>
                <c:pt idx="124">
                  <c:v>166.274</c:v>
                </c:pt>
                <c:pt idx="125">
                  <c:v>154.684</c:v>
                </c:pt>
                <c:pt idx="126">
                  <c:v>196.17500000000001</c:v>
                </c:pt>
                <c:pt idx="127">
                  <c:v>214.322</c:v>
                </c:pt>
                <c:pt idx="128">
                  <c:v>231.101</c:v>
                </c:pt>
                <c:pt idx="129">
                  <c:v>221.17099999999999</c:v>
                </c:pt>
                <c:pt idx="130">
                  <c:v>238.22400000000002</c:v>
                </c:pt>
                <c:pt idx="131">
                  <c:v>178.93100000000001</c:v>
                </c:pt>
                <c:pt idx="132">
                  <c:v>170.024</c:v>
                </c:pt>
                <c:pt idx="133">
                  <c:v>209.77600000000001</c:v>
                </c:pt>
                <c:pt idx="134">
                  <c:v>220.721</c:v>
                </c:pt>
                <c:pt idx="135">
                  <c:v>213.45099999999999</c:v>
                </c:pt>
                <c:pt idx="136">
                  <c:v>232.697</c:v>
                </c:pt>
                <c:pt idx="137">
                  <c:v>223.49200000000002</c:v>
                </c:pt>
                <c:pt idx="138">
                  <c:v>228.13800000000001</c:v>
                </c:pt>
                <c:pt idx="139">
                  <c:v>204.624</c:v>
                </c:pt>
                <c:pt idx="140">
                  <c:v>212.01599999999999</c:v>
                </c:pt>
                <c:pt idx="141">
                  <c:v>157.89400000000001</c:v>
                </c:pt>
                <c:pt idx="142">
                  <c:v>74.64</c:v>
                </c:pt>
                <c:pt idx="143">
                  <c:v>69.710000000000008</c:v>
                </c:pt>
                <c:pt idx="144">
                  <c:v>172.97900000000001</c:v>
                </c:pt>
                <c:pt idx="145">
                  <c:v>111.242</c:v>
                </c:pt>
                <c:pt idx="146">
                  <c:v>187.29</c:v>
                </c:pt>
                <c:pt idx="147">
                  <c:v>230.428</c:v>
                </c:pt>
                <c:pt idx="148">
                  <c:v>251.012</c:v>
                </c:pt>
                <c:pt idx="149">
                  <c:v>211.59100000000001</c:v>
                </c:pt>
                <c:pt idx="150">
                  <c:v>231.88300000000001</c:v>
                </c:pt>
                <c:pt idx="151">
                  <c:v>242.08</c:v>
                </c:pt>
                <c:pt idx="152">
                  <c:v>170.273</c:v>
                </c:pt>
                <c:pt idx="153">
                  <c:v>233.93299999999999</c:v>
                </c:pt>
                <c:pt idx="154">
                  <c:v>101.923</c:v>
                </c:pt>
                <c:pt idx="155">
                  <c:v>132.05500000000001</c:v>
                </c:pt>
                <c:pt idx="156">
                  <c:v>194.03900000000002</c:v>
                </c:pt>
                <c:pt idx="157">
                  <c:v>120.911</c:v>
                </c:pt>
                <c:pt idx="158">
                  <c:v>92.120999999999995</c:v>
                </c:pt>
                <c:pt idx="159">
                  <c:v>195.43100000000001</c:v>
                </c:pt>
                <c:pt idx="160">
                  <c:v>247.06300000000002</c:v>
                </c:pt>
                <c:pt idx="161">
                  <c:v>234.66</c:v>
                </c:pt>
                <c:pt idx="162">
                  <c:v>185.25900000000001</c:v>
                </c:pt>
                <c:pt idx="163">
                  <c:v>227.84900000000002</c:v>
                </c:pt>
                <c:pt idx="164">
                  <c:v>205.71899999999999</c:v>
                </c:pt>
                <c:pt idx="165">
                  <c:v>230.929</c:v>
                </c:pt>
                <c:pt idx="166">
                  <c:v>218.01</c:v>
                </c:pt>
                <c:pt idx="167">
                  <c:v>224.81200000000001</c:v>
                </c:pt>
                <c:pt idx="168">
                  <c:v>231.77199999999999</c:v>
                </c:pt>
                <c:pt idx="169">
                  <c:v>236.17500000000001</c:v>
                </c:pt>
                <c:pt idx="170">
                  <c:v>127.188</c:v>
                </c:pt>
                <c:pt idx="171">
                  <c:v>90.716000000000008</c:v>
                </c:pt>
                <c:pt idx="172">
                  <c:v>179.31700000000001</c:v>
                </c:pt>
                <c:pt idx="173">
                  <c:v>175.45000000000002</c:v>
                </c:pt>
                <c:pt idx="174">
                  <c:v>175.31200000000001</c:v>
                </c:pt>
                <c:pt idx="175">
                  <c:v>149.53800000000001</c:v>
                </c:pt>
                <c:pt idx="176">
                  <c:v>49.731000000000002</c:v>
                </c:pt>
                <c:pt idx="177">
                  <c:v>58.100999999999999</c:v>
                </c:pt>
                <c:pt idx="178">
                  <c:v>254.03800000000001</c:v>
                </c:pt>
                <c:pt idx="179">
                  <c:v>241.18899999999999</c:v>
                </c:pt>
                <c:pt idx="180">
                  <c:v>56.317</c:v>
                </c:pt>
                <c:pt idx="181">
                  <c:v>215.964</c:v>
                </c:pt>
                <c:pt idx="182">
                  <c:v>238.66900000000001</c:v>
                </c:pt>
                <c:pt idx="183">
                  <c:v>197.67400000000001</c:v>
                </c:pt>
                <c:pt idx="184">
                  <c:v>192.83799999999999</c:v>
                </c:pt>
                <c:pt idx="185">
                  <c:v>231.96700000000001</c:v>
                </c:pt>
                <c:pt idx="186">
                  <c:v>184.143</c:v>
                </c:pt>
                <c:pt idx="187">
                  <c:v>228.84399999999999</c:v>
                </c:pt>
                <c:pt idx="188">
                  <c:v>242.691</c:v>
                </c:pt>
                <c:pt idx="189">
                  <c:v>240.155</c:v>
                </c:pt>
                <c:pt idx="190">
                  <c:v>238.226</c:v>
                </c:pt>
                <c:pt idx="191">
                  <c:v>231.77600000000001</c:v>
                </c:pt>
                <c:pt idx="192">
                  <c:v>229.06</c:v>
                </c:pt>
                <c:pt idx="193">
                  <c:v>229.19499999999999</c:v>
                </c:pt>
                <c:pt idx="194">
                  <c:v>226.72</c:v>
                </c:pt>
                <c:pt idx="195">
                  <c:v>217.47800000000001</c:v>
                </c:pt>
                <c:pt idx="196">
                  <c:v>223.21100000000001</c:v>
                </c:pt>
                <c:pt idx="197">
                  <c:v>222.48000000000002</c:v>
                </c:pt>
                <c:pt idx="198">
                  <c:v>226.13800000000001</c:v>
                </c:pt>
                <c:pt idx="199">
                  <c:v>160.053</c:v>
                </c:pt>
                <c:pt idx="200">
                  <c:v>164.11</c:v>
                </c:pt>
                <c:pt idx="201">
                  <c:v>219.233</c:v>
                </c:pt>
                <c:pt idx="202">
                  <c:v>166.31100000000001</c:v>
                </c:pt>
                <c:pt idx="203">
                  <c:v>191.40200000000002</c:v>
                </c:pt>
                <c:pt idx="204">
                  <c:v>222.12800000000001</c:v>
                </c:pt>
                <c:pt idx="205">
                  <c:v>119.58800000000001</c:v>
                </c:pt>
                <c:pt idx="206">
                  <c:v>213.38400000000001</c:v>
                </c:pt>
                <c:pt idx="207">
                  <c:v>234.173</c:v>
                </c:pt>
                <c:pt idx="208">
                  <c:v>189.15800000000002</c:v>
                </c:pt>
                <c:pt idx="209">
                  <c:v>114.901</c:v>
                </c:pt>
                <c:pt idx="210">
                  <c:v>198.88400000000001</c:v>
                </c:pt>
                <c:pt idx="211">
                  <c:v>227.6</c:v>
                </c:pt>
                <c:pt idx="212">
                  <c:v>226.49700000000001</c:v>
                </c:pt>
                <c:pt idx="213">
                  <c:v>226.55700000000002</c:v>
                </c:pt>
                <c:pt idx="214">
                  <c:v>215.11199999999999</c:v>
                </c:pt>
                <c:pt idx="215">
                  <c:v>204.143</c:v>
                </c:pt>
                <c:pt idx="216">
                  <c:v>189.941</c:v>
                </c:pt>
                <c:pt idx="217">
                  <c:v>203.732</c:v>
                </c:pt>
                <c:pt idx="218">
                  <c:v>217.72200000000001</c:v>
                </c:pt>
                <c:pt idx="219">
                  <c:v>221.542</c:v>
                </c:pt>
                <c:pt idx="220">
                  <c:v>211.14000000000001</c:v>
                </c:pt>
                <c:pt idx="221">
                  <c:v>205.251</c:v>
                </c:pt>
                <c:pt idx="222">
                  <c:v>190.49</c:v>
                </c:pt>
                <c:pt idx="223">
                  <c:v>199.57</c:v>
                </c:pt>
                <c:pt idx="224">
                  <c:v>138.726</c:v>
                </c:pt>
                <c:pt idx="225">
                  <c:v>152.16400000000002</c:v>
                </c:pt>
                <c:pt idx="226">
                  <c:v>156.636</c:v>
                </c:pt>
                <c:pt idx="227">
                  <c:v>140.91200000000001</c:v>
                </c:pt>
                <c:pt idx="228">
                  <c:v>108.52500000000001</c:v>
                </c:pt>
                <c:pt idx="229">
                  <c:v>133.25800000000001</c:v>
                </c:pt>
                <c:pt idx="230">
                  <c:v>143.779</c:v>
                </c:pt>
                <c:pt idx="231">
                  <c:v>210.023</c:v>
                </c:pt>
                <c:pt idx="232">
                  <c:v>133.99</c:v>
                </c:pt>
                <c:pt idx="233">
                  <c:v>105.66800000000001</c:v>
                </c:pt>
                <c:pt idx="234">
                  <c:v>183.39500000000001</c:v>
                </c:pt>
                <c:pt idx="235">
                  <c:v>195.33700000000002</c:v>
                </c:pt>
                <c:pt idx="236">
                  <c:v>136.827</c:v>
                </c:pt>
                <c:pt idx="237">
                  <c:v>184.749</c:v>
                </c:pt>
                <c:pt idx="238">
                  <c:v>202.09800000000001</c:v>
                </c:pt>
                <c:pt idx="239">
                  <c:v>199.029</c:v>
                </c:pt>
                <c:pt idx="240">
                  <c:v>133.97900000000001</c:v>
                </c:pt>
                <c:pt idx="241">
                  <c:v>198.94400000000002</c:v>
                </c:pt>
                <c:pt idx="242">
                  <c:v>88.503</c:v>
                </c:pt>
                <c:pt idx="243">
                  <c:v>176.024</c:v>
                </c:pt>
                <c:pt idx="244">
                  <c:v>173.50300000000001</c:v>
                </c:pt>
                <c:pt idx="245">
                  <c:v>135.52799999999999</c:v>
                </c:pt>
                <c:pt idx="246">
                  <c:v>190.91</c:v>
                </c:pt>
                <c:pt idx="247">
                  <c:v>168.608</c:v>
                </c:pt>
                <c:pt idx="248">
                  <c:v>189.084</c:v>
                </c:pt>
                <c:pt idx="249">
                  <c:v>143.71299999999999</c:v>
                </c:pt>
                <c:pt idx="250">
                  <c:v>167.06100000000001</c:v>
                </c:pt>
                <c:pt idx="251">
                  <c:v>89.350999999999999</c:v>
                </c:pt>
                <c:pt idx="252">
                  <c:v>185.874</c:v>
                </c:pt>
                <c:pt idx="253">
                  <c:v>189.47</c:v>
                </c:pt>
                <c:pt idx="254">
                  <c:v>131.18600000000001</c:v>
                </c:pt>
                <c:pt idx="255">
                  <c:v>47.227000000000004</c:v>
                </c:pt>
                <c:pt idx="256">
                  <c:v>150.61000000000001</c:v>
                </c:pt>
                <c:pt idx="257">
                  <c:v>168.53100000000001</c:v>
                </c:pt>
                <c:pt idx="258">
                  <c:v>107.59</c:v>
                </c:pt>
                <c:pt idx="259">
                  <c:v>195.51599999999999</c:v>
                </c:pt>
                <c:pt idx="260">
                  <c:v>188.81399999999999</c:v>
                </c:pt>
                <c:pt idx="261">
                  <c:v>186.30799999999999</c:v>
                </c:pt>
                <c:pt idx="262">
                  <c:v>190.54500000000002</c:v>
                </c:pt>
                <c:pt idx="263">
                  <c:v>185.387</c:v>
                </c:pt>
                <c:pt idx="264">
                  <c:v>180.07400000000001</c:v>
                </c:pt>
                <c:pt idx="265">
                  <c:v>115.467</c:v>
                </c:pt>
                <c:pt idx="266">
                  <c:v>77.679000000000002</c:v>
                </c:pt>
                <c:pt idx="267">
                  <c:v>134.91800000000001</c:v>
                </c:pt>
                <c:pt idx="268">
                  <c:v>136.559</c:v>
                </c:pt>
                <c:pt idx="269">
                  <c:v>62.713999999999999</c:v>
                </c:pt>
                <c:pt idx="270">
                  <c:v>62.904000000000003</c:v>
                </c:pt>
                <c:pt idx="271">
                  <c:v>93.611000000000004</c:v>
                </c:pt>
                <c:pt idx="272">
                  <c:v>134.22999999999999</c:v>
                </c:pt>
                <c:pt idx="273">
                  <c:v>152.15200000000002</c:v>
                </c:pt>
                <c:pt idx="274">
                  <c:v>157.51500000000001</c:v>
                </c:pt>
                <c:pt idx="275">
                  <c:v>147.95000000000002</c:v>
                </c:pt>
                <c:pt idx="276">
                  <c:v>169.29599999999999</c:v>
                </c:pt>
                <c:pt idx="277">
                  <c:v>172.05799999999999</c:v>
                </c:pt>
                <c:pt idx="278">
                  <c:v>57.771999999999998</c:v>
                </c:pt>
                <c:pt idx="279">
                  <c:v>118.71600000000001</c:v>
                </c:pt>
                <c:pt idx="280">
                  <c:v>66.33</c:v>
                </c:pt>
                <c:pt idx="281">
                  <c:v>156.41</c:v>
                </c:pt>
                <c:pt idx="282">
                  <c:v>125.139</c:v>
                </c:pt>
                <c:pt idx="283">
                  <c:v>96.34</c:v>
                </c:pt>
                <c:pt idx="284">
                  <c:v>121.008</c:v>
                </c:pt>
                <c:pt idx="285">
                  <c:v>93.558999999999997</c:v>
                </c:pt>
                <c:pt idx="286">
                  <c:v>83.382000000000005</c:v>
                </c:pt>
                <c:pt idx="287">
                  <c:v>152.31900000000002</c:v>
                </c:pt>
                <c:pt idx="288">
                  <c:v>136.566</c:v>
                </c:pt>
                <c:pt idx="289">
                  <c:v>87.519000000000005</c:v>
                </c:pt>
                <c:pt idx="290">
                  <c:v>139.72399999999999</c:v>
                </c:pt>
                <c:pt idx="291">
                  <c:v>61.673999999999999</c:v>
                </c:pt>
                <c:pt idx="292">
                  <c:v>39.249000000000002</c:v>
                </c:pt>
                <c:pt idx="293">
                  <c:v>63.956000000000003</c:v>
                </c:pt>
                <c:pt idx="294">
                  <c:v>134.04900000000001</c:v>
                </c:pt>
                <c:pt idx="295">
                  <c:v>81.415000000000006</c:v>
                </c:pt>
                <c:pt idx="296">
                  <c:v>104.726</c:v>
                </c:pt>
                <c:pt idx="297">
                  <c:v>90.567999999999998</c:v>
                </c:pt>
                <c:pt idx="298">
                  <c:v>59.813000000000002</c:v>
                </c:pt>
                <c:pt idx="299">
                  <c:v>53.683</c:v>
                </c:pt>
                <c:pt idx="300">
                  <c:v>70.843000000000004</c:v>
                </c:pt>
                <c:pt idx="301">
                  <c:v>102.848</c:v>
                </c:pt>
                <c:pt idx="302">
                  <c:v>85.986999999999995</c:v>
                </c:pt>
                <c:pt idx="303">
                  <c:v>87.058000000000007</c:v>
                </c:pt>
                <c:pt idx="304">
                  <c:v>86.400999999999996</c:v>
                </c:pt>
                <c:pt idx="305">
                  <c:v>114.764</c:v>
                </c:pt>
                <c:pt idx="306">
                  <c:v>43.825000000000003</c:v>
                </c:pt>
                <c:pt idx="307">
                  <c:v>51.941000000000003</c:v>
                </c:pt>
                <c:pt idx="308">
                  <c:v>122.15</c:v>
                </c:pt>
                <c:pt idx="309">
                  <c:v>122.581</c:v>
                </c:pt>
                <c:pt idx="310">
                  <c:v>118.357</c:v>
                </c:pt>
                <c:pt idx="311">
                  <c:v>79.227000000000004</c:v>
                </c:pt>
                <c:pt idx="312">
                  <c:v>44.701000000000001</c:v>
                </c:pt>
                <c:pt idx="313">
                  <c:v>92.822000000000003</c:v>
                </c:pt>
                <c:pt idx="314">
                  <c:v>112.947</c:v>
                </c:pt>
                <c:pt idx="315">
                  <c:v>111.38200000000001</c:v>
                </c:pt>
                <c:pt idx="316">
                  <c:v>110.006</c:v>
                </c:pt>
                <c:pt idx="317">
                  <c:v>41.978000000000002</c:v>
                </c:pt>
                <c:pt idx="318">
                  <c:v>52.81</c:v>
                </c:pt>
                <c:pt idx="319">
                  <c:v>110.096</c:v>
                </c:pt>
                <c:pt idx="320">
                  <c:v>65.384</c:v>
                </c:pt>
                <c:pt idx="321">
                  <c:v>51.89</c:v>
                </c:pt>
                <c:pt idx="322">
                  <c:v>24.675000000000001</c:v>
                </c:pt>
                <c:pt idx="323">
                  <c:v>72.155000000000001</c:v>
                </c:pt>
                <c:pt idx="324">
                  <c:v>14.294</c:v>
                </c:pt>
                <c:pt idx="325">
                  <c:v>34.704000000000001</c:v>
                </c:pt>
                <c:pt idx="326">
                  <c:v>57.234999999999999</c:v>
                </c:pt>
                <c:pt idx="327">
                  <c:v>56.320999999999998</c:v>
                </c:pt>
                <c:pt idx="328">
                  <c:v>18.238</c:v>
                </c:pt>
                <c:pt idx="329">
                  <c:v>54.9</c:v>
                </c:pt>
                <c:pt idx="330">
                  <c:v>59.795999999999999</c:v>
                </c:pt>
                <c:pt idx="331">
                  <c:v>38.869999999999997</c:v>
                </c:pt>
                <c:pt idx="332">
                  <c:v>55.378</c:v>
                </c:pt>
                <c:pt idx="333">
                  <c:v>21.966000000000001</c:v>
                </c:pt>
                <c:pt idx="334">
                  <c:v>16.498000000000001</c:v>
                </c:pt>
                <c:pt idx="335">
                  <c:v>26.603000000000002</c:v>
                </c:pt>
                <c:pt idx="336">
                  <c:v>36.475999999999999</c:v>
                </c:pt>
                <c:pt idx="337">
                  <c:v>78.260000000000005</c:v>
                </c:pt>
                <c:pt idx="338">
                  <c:v>98.212000000000003</c:v>
                </c:pt>
                <c:pt idx="339">
                  <c:v>51.038000000000004</c:v>
                </c:pt>
                <c:pt idx="340">
                  <c:v>78.947000000000003</c:v>
                </c:pt>
                <c:pt idx="341">
                  <c:v>14.939</c:v>
                </c:pt>
                <c:pt idx="342">
                  <c:v>28.716000000000001</c:v>
                </c:pt>
                <c:pt idx="343">
                  <c:v>69.215000000000003</c:v>
                </c:pt>
                <c:pt idx="344">
                  <c:v>65.155000000000001</c:v>
                </c:pt>
                <c:pt idx="345">
                  <c:v>22.722000000000001</c:v>
                </c:pt>
                <c:pt idx="346">
                  <c:v>23.666</c:v>
                </c:pt>
                <c:pt idx="347">
                  <c:v>69.454000000000008</c:v>
                </c:pt>
                <c:pt idx="348">
                  <c:v>34.569000000000003</c:v>
                </c:pt>
                <c:pt idx="349">
                  <c:v>21.068999999999999</c:v>
                </c:pt>
                <c:pt idx="350">
                  <c:v>13.072000000000001</c:v>
                </c:pt>
                <c:pt idx="351">
                  <c:v>71.201000000000008</c:v>
                </c:pt>
                <c:pt idx="352">
                  <c:v>68.438000000000002</c:v>
                </c:pt>
                <c:pt idx="353">
                  <c:v>17.891999999999999</c:v>
                </c:pt>
                <c:pt idx="354">
                  <c:v>84.542000000000002</c:v>
                </c:pt>
                <c:pt idx="355">
                  <c:v>70.421999999999997</c:v>
                </c:pt>
                <c:pt idx="356">
                  <c:v>72.233000000000004</c:v>
                </c:pt>
                <c:pt idx="357">
                  <c:v>87.688000000000002</c:v>
                </c:pt>
                <c:pt idx="358">
                  <c:v>49.402999999999999</c:v>
                </c:pt>
                <c:pt idx="359">
                  <c:v>84.411000000000001</c:v>
                </c:pt>
                <c:pt idx="360">
                  <c:v>26.163</c:v>
                </c:pt>
                <c:pt idx="361">
                  <c:v>68.661000000000001</c:v>
                </c:pt>
                <c:pt idx="362">
                  <c:v>42.462000000000003</c:v>
                </c:pt>
                <c:pt idx="363">
                  <c:v>60.808</c:v>
                </c:pt>
                <c:pt idx="364">
                  <c:v>48.673000000000002</c:v>
                </c:pt>
                <c:pt idx="365" formatCode="General">
                  <c:v>8.9990000000000006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'2022'!$W$15:$W$380</c:f>
              <c:numCache>
                <c:formatCode>0.00</c:formatCode>
                <c:ptCount val="366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722096"/>
        <c:axId val="655721312"/>
      </c:lineChart>
      <c:dateAx>
        <c:axId val="655722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21312"/>
        <c:crosses val="autoZero"/>
        <c:auto val="1"/>
        <c:lblOffset val="100"/>
        <c:baseTimeUnit val="days"/>
        <c:majorUnit val="1"/>
        <c:majorTimeUnit val="months"/>
      </c:dateAx>
      <c:valAx>
        <c:axId val="655721312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220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651599105667346"/>
          <c:h val="0.1339475065616797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'2022'!$BK$14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'2022'!$A$15:$A$380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'2022'!$BK$15:$BK$380</c:f>
              <c:numCache>
                <c:formatCode>0.00</c:formatCode>
                <c:ptCount val="366"/>
                <c:pt idx="347">
                  <c:v>94.353645807503554</c:v>
                </c:pt>
                <c:pt idx="348">
                  <c:v>94.163781002946578</c:v>
                </c:pt>
                <c:pt idx="349">
                  <c:v>94.016118694231565</c:v>
                </c:pt>
                <c:pt idx="350">
                  <c:v>93.910845727474339</c:v>
                </c:pt>
                <c:pt idx="351">
                  <c:v>93.848148885773739</c:v>
                </c:pt>
                <c:pt idx="352">
                  <c:v>93.828214904918482</c:v>
                </c:pt>
                <c:pt idx="353">
                  <c:v>93.851230472524961</c:v>
                </c:pt>
                <c:pt idx="354">
                  <c:v>93.917382179354959</c:v>
                </c:pt>
                <c:pt idx="355">
                  <c:v>94.026856641635121</c:v>
                </c:pt>
                <c:pt idx="356">
                  <c:v>94.17984033463371</c:v>
                </c:pt>
                <c:pt idx="357">
                  <c:v>94.376519712269683</c:v>
                </c:pt>
                <c:pt idx="358">
                  <c:v>94.620931503744046</c:v>
                </c:pt>
                <c:pt idx="359">
                  <c:v>94.915739963748209</c:v>
                </c:pt>
                <c:pt idx="360">
                  <c:v>95.259073295177501</c:v>
                </c:pt>
                <c:pt idx="361">
                  <c:v>95.649060280962516</c:v>
                </c:pt>
                <c:pt idx="362">
                  <c:v>96.083830267254768</c:v>
                </c:pt>
                <c:pt idx="363">
                  <c:v>96.5615131873911</c:v>
                </c:pt>
                <c:pt idx="364">
                  <c:v>97.080239586978294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'2022'!$AW$14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'2022'!$A$15:$A$380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'2022'!$AW$15:$AW$380</c:f>
              <c:numCache>
                <c:formatCode>0.00</c:formatCode>
                <c:ptCount val="366"/>
                <c:pt idx="347">
                  <c:v>0.157</c:v>
                </c:pt>
                <c:pt idx="348">
                  <c:v>89.941999999999993</c:v>
                </c:pt>
                <c:pt idx="349">
                  <c:v>94.578999999999994</c:v>
                </c:pt>
                <c:pt idx="350">
                  <c:v>95.346000000000004</c:v>
                </c:pt>
                <c:pt idx="351">
                  <c:v>96.116</c:v>
                </c:pt>
                <c:pt idx="352">
                  <c:v>94.543999999999997</c:v>
                </c:pt>
                <c:pt idx="353">
                  <c:v>96.600999999999999</c:v>
                </c:pt>
                <c:pt idx="354">
                  <c:v>70.882000000000005</c:v>
                </c:pt>
                <c:pt idx="355">
                  <c:v>92.665999999999997</c:v>
                </c:pt>
                <c:pt idx="356">
                  <c:v>32.118000000000002</c:v>
                </c:pt>
                <c:pt idx="357">
                  <c:v>57.265999999999998</c:v>
                </c:pt>
                <c:pt idx="358">
                  <c:v>42.027999999999999</c:v>
                </c:pt>
                <c:pt idx="359">
                  <c:v>47.93</c:v>
                </c:pt>
                <c:pt idx="360">
                  <c:v>40.956000000000003</c:v>
                </c:pt>
                <c:pt idx="361">
                  <c:v>17.408000000000001</c:v>
                </c:pt>
                <c:pt idx="362">
                  <c:v>19.262</c:v>
                </c:pt>
                <c:pt idx="363">
                  <c:v>74.683000000000007</c:v>
                </c:pt>
                <c:pt idx="364">
                  <c:v>96.28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720528"/>
        <c:axId val="655720136"/>
      </c:lineChart>
      <c:dateAx>
        <c:axId val="655720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20136"/>
        <c:crosses val="autoZero"/>
        <c:auto val="1"/>
        <c:lblOffset val="100"/>
        <c:baseTimeUnit val="days"/>
        <c:majorUnit val="1"/>
        <c:majorTimeUnit val="months"/>
      </c:dateAx>
      <c:valAx>
        <c:axId val="655720136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557205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651599105667346"/>
          <c:h val="0.1339475065616797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915400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7968380" y="1095374"/>
            <a:ext cx="6911346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72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38100</xdr:colOff>
      <xdr:row>4</xdr:row>
      <xdr:rowOff>9525</xdr:rowOff>
    </xdr:from>
    <xdr:to>
      <xdr:col>39</xdr:col>
      <xdr:colOff>47625</xdr:colOff>
      <xdr:row>50</xdr:row>
      <xdr:rowOff>0</xdr:rowOff>
    </xdr:to>
    <xdr:graphicFrame macro="">
      <xdr:nvGraphicFramePr>
        <xdr:cNvPr id="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104774</xdr:colOff>
      <xdr:row>23</xdr:row>
      <xdr:rowOff>0</xdr:rowOff>
    </xdr:from>
    <xdr:to>
      <xdr:col>52</xdr:col>
      <xdr:colOff>230699</xdr:colOff>
      <xdr:row>58</xdr:row>
      <xdr:rowOff>39375</xdr:rowOff>
    </xdr:to>
    <xdr:graphicFrame macro="">
      <xdr:nvGraphicFramePr>
        <xdr:cNvPr id="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78300</xdr:colOff>
      <xdr:row>58</xdr:row>
      <xdr:rowOff>39375</xdr:rowOff>
    </xdr:to>
    <xdr:graphicFrame macro="">
      <xdr:nvGraphicFramePr>
        <xdr:cNvPr id="10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400049</xdr:colOff>
      <xdr:row>0</xdr:row>
      <xdr:rowOff>0</xdr:rowOff>
    </xdr:from>
    <xdr:to>
      <xdr:col>46</xdr:col>
      <xdr:colOff>725999</xdr:colOff>
      <xdr:row>27</xdr:row>
      <xdr:rowOff>87000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726000</xdr:colOff>
      <xdr:row>27</xdr:row>
      <xdr:rowOff>87000</xdr:rowOff>
    </xdr:to>
    <xdr:graphicFrame macro="">
      <xdr:nvGraphicFramePr>
        <xdr:cNvPr id="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47</xdr:col>
      <xdr:colOff>40651</xdr:colOff>
      <xdr:row>27</xdr:row>
      <xdr:rowOff>84142</xdr:rowOff>
    </xdr:to>
    <xdr:graphicFrame macro="">
      <xdr:nvGraphicFramePr>
        <xdr:cNvPr id="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743397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tabSelected="1" workbookViewId="0">
      <pane ySplit="5" topLeftCell="A6" activePane="bottomLeft" state="frozen"/>
      <selection activeCell="B15" sqref="B15:B380"/>
      <selection pane="bottomLeft" activeCell="K8" sqref="K8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7" width="8.8554687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4" t="s">
        <v>50</v>
      </c>
      <c r="M1" s="234"/>
      <c r="N1" s="134"/>
      <c r="O1" s="77"/>
      <c r="P1" s="159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198">
        <f>Tmaj</f>
        <v>44926</v>
      </c>
      <c r="D2" s="1198"/>
      <c r="F2" s="8"/>
      <c r="G2" s="8"/>
      <c r="H2" s="26"/>
      <c r="I2" s="8"/>
      <c r="K2" s="21"/>
      <c r="L2" s="135"/>
      <c r="M2" s="135"/>
      <c r="N2" s="82" t="s">
        <v>4</v>
      </c>
      <c r="O2" s="155">
        <f>PertePVan</f>
        <v>5.0000000000000001E-3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199" t="str">
        <f>Station</f>
        <v>Hangar Goussaud Espanès</v>
      </c>
      <c r="D3" s="1200"/>
      <c r="E3" s="1200"/>
      <c r="F3" s="1200"/>
      <c r="G3" s="1200"/>
      <c r="H3" s="1201"/>
      <c r="K3" s="21"/>
      <c r="L3" s="30"/>
      <c r="M3" s="30"/>
      <c r="N3" s="205" t="s">
        <v>165</v>
      </c>
      <c r="O3" s="706">
        <f>Salim_i</f>
        <v>0.08</v>
      </c>
      <c r="P3" s="443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02">
        <f>T0</f>
        <v>44424</v>
      </c>
      <c r="D4" s="1203"/>
      <c r="H4" s="33" t="s">
        <v>298</v>
      </c>
      <c r="I4" s="648">
        <f>Azi_pvG</f>
        <v>32</v>
      </c>
      <c r="J4" s="648">
        <f>Azi_pvD</f>
        <v>32</v>
      </c>
      <c r="K4" s="21"/>
      <c r="L4" s="30"/>
      <c r="M4" s="30"/>
      <c r="N4" s="82" t="s">
        <v>22</v>
      </c>
      <c r="O4" s="156">
        <f>Persistant</f>
        <v>0.6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196">
        <f>Tservice</f>
        <v>44536</v>
      </c>
      <c r="D5" s="1197"/>
      <c r="E5" s="95"/>
      <c r="H5" s="33" t="s">
        <v>15</v>
      </c>
      <c r="I5" s="649">
        <f>Ram_pv</f>
        <v>0.25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12">
        <f>Pc</f>
        <v>35.72</v>
      </c>
      <c r="D6" s="553"/>
      <c r="E6" s="132"/>
      <c r="F6" s="554"/>
      <c r="G6" s="554"/>
      <c r="H6" s="555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16"/>
      <c r="B7" s="527"/>
      <c r="C7" s="52"/>
      <c r="D7" s="817"/>
      <c r="E7" s="29"/>
      <c r="F7" s="527"/>
      <c r="G7" s="527"/>
      <c r="H7" s="684"/>
      <c r="I7" s="527"/>
      <c r="J7" s="22" t="s">
        <v>371</v>
      </c>
      <c r="K7" s="1194" t="s">
        <v>372</v>
      </c>
      <c r="L7" s="1195"/>
      <c r="M7" s="1191" t="b">
        <f>IF(K7="début",TRUE,FALSE)</f>
        <v>0</v>
      </c>
      <c r="N7" s="791"/>
      <c r="O7" s="30"/>
      <c r="P7" s="30"/>
      <c r="Q7" s="527"/>
      <c r="R7" s="527"/>
      <c r="S7" s="527"/>
      <c r="T7" s="527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39" t="str">
        <f>"Bilan ICEA "&amp;C3&amp;" (kWh)"</f>
        <v>Bilan ICEA Hangar Goussaud Espanès (kWh)</v>
      </c>
      <c r="B8" s="132"/>
      <c r="C8" s="133"/>
      <c r="D8" s="556"/>
      <c r="E8" s="553"/>
      <c r="F8" s="132"/>
      <c r="G8" s="132"/>
      <c r="H8" s="62"/>
      <c r="I8" s="132"/>
      <c r="J8" s="22" t="s">
        <v>115</v>
      </c>
      <c r="K8" s="550">
        <f>[3]!Inter_net</f>
        <v>2</v>
      </c>
      <c r="L8" s="551">
        <f>[3]!Inter_tai</f>
        <v>7</v>
      </c>
      <c r="N8" s="15"/>
    </row>
    <row r="9" spans="1:29" ht="15.75" x14ac:dyDescent="0.25">
      <c r="A9" s="29" t="s">
        <v>279</v>
      </c>
      <c r="B9" s="145">
        <f>AVERAGE(B11:B30)</f>
        <v>45358.518529528505</v>
      </c>
      <c r="C9" s="866">
        <f t="shared" ref="C9:J9" si="0">AVERAGE(C11:C30)</f>
        <v>1378.6328231113184</v>
      </c>
      <c r="D9" s="867">
        <f t="shared" si="0"/>
        <v>12.0279121815118</v>
      </c>
      <c r="E9" s="145">
        <f t="shared" si="0"/>
        <v>1390.6607352928299</v>
      </c>
      <c r="F9" s="145">
        <f t="shared" si="0"/>
        <v>46749.179264821345</v>
      </c>
      <c r="G9" s="145">
        <f t="shared" si="0"/>
        <v>48017.853910917453</v>
      </c>
      <c r="H9" s="873">
        <f t="shared" si="0"/>
        <v>1061.8590470839504</v>
      </c>
      <c r="I9" s="874">
        <f t="shared" si="0"/>
        <v>7.9409877476603414</v>
      </c>
      <c r="J9" s="145">
        <f t="shared" si="0"/>
        <v>44287.02465923073</v>
      </c>
      <c r="K9" s="337" t="s">
        <v>6</v>
      </c>
      <c r="L9" s="21"/>
      <c r="P9" s="15"/>
    </row>
    <row r="10" spans="1:29" s="236" customFormat="1" ht="51" customHeight="1" x14ac:dyDescent="0.25">
      <c r="A10" s="170" t="s">
        <v>52</v>
      </c>
      <c r="B10" s="170" t="s">
        <v>107</v>
      </c>
      <c r="C10" s="327" t="s">
        <v>61</v>
      </c>
      <c r="D10" s="328" t="s">
        <v>98</v>
      </c>
      <c r="E10" s="170" t="s">
        <v>97</v>
      </c>
      <c r="F10" s="170" t="s">
        <v>110</v>
      </c>
      <c r="G10" s="170" t="s">
        <v>109</v>
      </c>
      <c r="H10" s="327" t="s">
        <v>62</v>
      </c>
      <c r="I10" s="328" t="s">
        <v>63</v>
      </c>
      <c r="J10" s="170" t="s">
        <v>108</v>
      </c>
      <c r="K10" s="327" t="s">
        <v>55</v>
      </c>
      <c r="L10" s="328" t="s">
        <v>56</v>
      </c>
      <c r="M10" s="327" t="s">
        <v>273</v>
      </c>
      <c r="N10" s="328" t="s">
        <v>274</v>
      </c>
      <c r="O10" s="100" t="s">
        <v>275</v>
      </c>
      <c r="P10" s="100" t="s">
        <v>276</v>
      </c>
      <c r="Q10" s="100" t="s">
        <v>277</v>
      </c>
      <c r="R10" s="100" t="s">
        <v>278</v>
      </c>
      <c r="S10" s="100"/>
      <c r="T10" s="100"/>
      <c r="U10" s="237"/>
      <c r="V10" s="237"/>
      <c r="W10" s="237"/>
      <c r="X10" s="238"/>
      <c r="Y10" s="235"/>
      <c r="Z10" s="235"/>
      <c r="AA10" s="235"/>
      <c r="AB10" s="235"/>
    </row>
    <row r="11" spans="1:29" s="19" customFormat="1" ht="12.75" x14ac:dyDescent="0.2">
      <c r="A11" s="359">
        <f>'2022'!An</f>
        <v>2022</v>
      </c>
      <c r="B11" s="360">
        <f>'2022'!Prod_an</f>
        <v>46798.06900000001</v>
      </c>
      <c r="C11" s="361">
        <f>'2022'!Wh_Psa</f>
        <v>975.46900518979078</v>
      </c>
      <c r="D11" s="362">
        <f>'2022'!Wh_Pvg</f>
        <v>1.9670278367604659</v>
      </c>
      <c r="E11" s="360">
        <f t="shared" ref="E11:E16" si="1">C11+D11</f>
        <v>977.43603302655129</v>
      </c>
      <c r="F11" s="360">
        <f t="shared" ref="F11:F16" si="2">B11+E11</f>
        <v>47775.505033026559</v>
      </c>
      <c r="G11" s="360">
        <f>'2022'!F$9</f>
        <v>48010.743765373198</v>
      </c>
      <c r="H11" s="361">
        <f>'2022'!Wh_gain_sa</f>
        <v>-0.18757708950988672</v>
      </c>
      <c r="I11" s="362">
        <f>'2022'!Wh_gain_vg</f>
        <v>-3.7824816026121866E-4</v>
      </c>
      <c r="J11" s="360">
        <f>'2022'!Prod_an_s</f>
        <v>46789.070000000007</v>
      </c>
      <c r="K11" s="850" t="str">
        <f>IF('2022'!Acti_net,'2022'!Tnet,"")</f>
        <v/>
      </c>
      <c r="L11" s="851" t="str">
        <f>IF('2022'!Acti_tai,'2022'!Ttai,"")</f>
        <v/>
      </c>
      <c r="M11" s="860">
        <v>0</v>
      </c>
      <c r="N11" s="861">
        <v>0</v>
      </c>
      <c r="O11" s="365">
        <f>+'2022'!$AJ$3</f>
        <v>0</v>
      </c>
      <c r="P11" s="365">
        <f>+'2022'!$AJ$4</f>
        <v>0</v>
      </c>
      <c r="Q11" s="365">
        <f>+'2022'!$AK$3</f>
        <v>0</v>
      </c>
      <c r="R11" s="365">
        <f>+'2022'!$AK$4</f>
        <v>0</v>
      </c>
      <c r="S11" s="852"/>
      <c r="T11" s="852"/>
    </row>
    <row r="12" spans="1:29" s="19" customFormat="1" ht="12.75" x14ac:dyDescent="0.2">
      <c r="A12" s="357">
        <f>'2023'!An</f>
        <v>2023</v>
      </c>
      <c r="B12" s="358">
        <f>'2023'!Prod_an</f>
        <v>45754.411547150055</v>
      </c>
      <c r="C12" s="141">
        <f>'2023'!Wh_Psa</f>
        <v>1804.2679485092444</v>
      </c>
      <c r="D12" s="325">
        <f>'2023'!Wh_Pvg</f>
        <v>5.3619392829272767</v>
      </c>
      <c r="E12" s="358">
        <f t="shared" si="1"/>
        <v>1809.6298877921718</v>
      </c>
      <c r="F12" s="358">
        <f t="shared" si="2"/>
        <v>47564.041434942228</v>
      </c>
      <c r="G12" s="358">
        <f>'2023'!F$9</f>
        <v>48008.830877037304</v>
      </c>
      <c r="H12" s="141">
        <f>'2023'!Wh_gain_sa</f>
        <v>0</v>
      </c>
      <c r="I12" s="325">
        <f>'2023'!Wh_gain_vg</f>
        <v>0</v>
      </c>
      <c r="J12" s="358">
        <f>'2023'!Prod_an_s</f>
        <v>45754.411547150055</v>
      </c>
      <c r="K12" s="848" t="str">
        <f>IF('2023'!Acti_net,'2023'!Tnet,"")</f>
        <v/>
      </c>
      <c r="L12" s="849" t="str">
        <f>IF('2023'!Acti_tai,'2023'!Ttai,"")</f>
        <v/>
      </c>
      <c r="M12" s="858">
        <f>O12+P11+(K11="")*M11</f>
        <v>0</v>
      </c>
      <c r="N12" s="859">
        <f>Q12+R11+(L11="")*N11</f>
        <v>0</v>
      </c>
      <c r="O12" s="365">
        <f>+'2023'!$AJ$3</f>
        <v>0</v>
      </c>
      <c r="P12" s="365">
        <f>+'2023'!$AJ$4</f>
        <v>0</v>
      </c>
      <c r="Q12" s="365">
        <f>+'2023'!$AK$3</f>
        <v>0</v>
      </c>
      <c r="R12" s="365">
        <f>+'2023'!$AK$4</f>
        <v>0</v>
      </c>
      <c r="S12" s="852"/>
      <c r="T12" s="852"/>
    </row>
    <row r="13" spans="1:29" s="19" customFormat="1" ht="12.75" x14ac:dyDescent="0.2">
      <c r="A13" s="357">
        <f>'2024'!An</f>
        <v>2024</v>
      </c>
      <c r="B13" s="358">
        <f>'2024'!Prod_an</f>
        <v>46335.252723847181</v>
      </c>
      <c r="C13" s="141">
        <f>'2024'!Wh_Psa</f>
        <v>1042.1447930344912</v>
      </c>
      <c r="D13" s="325">
        <f>'2024'!Wh_Pvg</f>
        <v>9.22288290289295</v>
      </c>
      <c r="E13" s="358">
        <f t="shared" si="1"/>
        <v>1051.3676759373841</v>
      </c>
      <c r="F13" s="358">
        <f t="shared" si="2"/>
        <v>47386.620399784566</v>
      </c>
      <c r="G13" s="358">
        <f>'2024'!F$9</f>
        <v>48069.970538116788</v>
      </c>
      <c r="H13" s="141">
        <f>'2024'!Wh_gain_sa</f>
        <v>1374.1774298321866</v>
      </c>
      <c r="I13" s="325">
        <f>'2024'!Wh_gain_vg</f>
        <v>-0.27343625272676775</v>
      </c>
      <c r="J13" s="358">
        <f>'2024'!Prod_an_s</f>
        <v>44961.524139482048</v>
      </c>
      <c r="K13" s="848">
        <f>IF('2024'!Acti_net,'2024'!Tnet,"")</f>
        <v>45383</v>
      </c>
      <c r="L13" s="849" t="str">
        <f>IF('2024'!Acti_tai,'2024'!Ttai,"")</f>
        <v/>
      </c>
      <c r="M13" s="858">
        <f t="shared" ref="M13:M20" si="3">O13+P12+(K12="")*M12</f>
        <v>0</v>
      </c>
      <c r="N13" s="859">
        <f>Q13+R12+(L12="")*N12</f>
        <v>0</v>
      </c>
      <c r="O13" s="365">
        <f>+'2024'!$AJ$3</f>
        <v>0</v>
      </c>
      <c r="P13" s="365">
        <f>+'2024'!$AJ$4</f>
        <v>1373.6413931438924</v>
      </c>
      <c r="Q13" s="365">
        <f>+'2024'!$AK$3</f>
        <v>0</v>
      </c>
      <c r="R13" s="365">
        <f>+'2024'!$AK$4</f>
        <v>-0.27343625272676775</v>
      </c>
      <c r="S13" s="852"/>
      <c r="T13" s="852"/>
    </row>
    <row r="14" spans="1:29" s="19" customFormat="1" ht="12.75" x14ac:dyDescent="0.2">
      <c r="A14" s="357">
        <f>'2025'!An</f>
        <v>2025</v>
      </c>
      <c r="B14" s="358">
        <f>'2025'!Prod_an</f>
        <v>45332.61322713003</v>
      </c>
      <c r="C14" s="141">
        <f>'2025'!Wh_Psa</f>
        <v>1740.6097990962335</v>
      </c>
      <c r="D14" s="325">
        <f>'2025'!Wh_Pvg</f>
        <v>12.871730285426759</v>
      </c>
      <c r="E14" s="358">
        <f t="shared" si="1"/>
        <v>1753.4815293816603</v>
      </c>
      <c r="F14" s="358">
        <f t="shared" si="2"/>
        <v>47086.094756511688</v>
      </c>
      <c r="G14" s="358">
        <f>'2025'!F$9</f>
        <v>48004.634322705489</v>
      </c>
      <c r="H14" s="141">
        <f>'2025'!Wh_gain_sa</f>
        <v>1144.1158692661911</v>
      </c>
      <c r="I14" s="325">
        <f>'2025'!Wh_gain_vg</f>
        <v>-0.3248914757905883</v>
      </c>
      <c r="J14" s="358">
        <f>'2025'!Prod_an_s</f>
        <v>44188.386360484037</v>
      </c>
      <c r="K14" s="848" t="str">
        <f>IF('2025'!Acti_net,'2025'!Tnet,"")</f>
        <v/>
      </c>
      <c r="L14" s="849" t="str">
        <f>IF('2025'!Acti_tai,'2025'!Ttai,"")</f>
        <v/>
      </c>
      <c r="M14" s="858">
        <f t="shared" si="3"/>
        <v>1373.6413931438924</v>
      </c>
      <c r="N14" s="859">
        <f>Q14+R13+(L13="")*N13</f>
        <v>-0.27343625272676775</v>
      </c>
      <c r="O14" s="365">
        <f>+'2025'!$AJ$3</f>
        <v>0</v>
      </c>
      <c r="P14" s="365">
        <f>+'2025'!$AJ$4</f>
        <v>1144.1158692661911</v>
      </c>
      <c r="Q14" s="365">
        <f>+'2025'!$AK$3</f>
        <v>0</v>
      </c>
      <c r="R14" s="365">
        <f>+'2025'!$AK$4</f>
        <v>-0.3248914757905883</v>
      </c>
      <c r="S14" s="852"/>
      <c r="T14" s="852"/>
    </row>
    <row r="15" spans="1:29" s="19" customFormat="1" ht="12.75" x14ac:dyDescent="0.2">
      <c r="A15" s="357">
        <f>'2026'!An</f>
        <v>2026</v>
      </c>
      <c r="B15" s="358">
        <f>'2026'!Prod_an</f>
        <v>45710.699979511141</v>
      </c>
      <c r="C15" s="141">
        <f>'2026'!Wh_Psa</f>
        <v>1120.4107346921624</v>
      </c>
      <c r="D15" s="325">
        <f>'2026'!Wh_Pvg</f>
        <v>17.329589335993006</v>
      </c>
      <c r="E15" s="358">
        <f t="shared" si="1"/>
        <v>1137.7403240281553</v>
      </c>
      <c r="F15" s="358">
        <f t="shared" si="2"/>
        <v>46848.440303539297</v>
      </c>
      <c r="G15" s="358">
        <f>'2026'!F$9</f>
        <v>48002.250626658468</v>
      </c>
      <c r="H15" s="141">
        <f>'2026'!Wh_gain_sa</f>
        <v>1530.4806442253762</v>
      </c>
      <c r="I15" s="325">
        <f>'2026'!Wh_gain_vg</f>
        <v>-0.58011543175026503</v>
      </c>
      <c r="J15" s="358">
        <f>'2026'!Prod_an_s</f>
        <v>44180.514702751876</v>
      </c>
      <c r="K15" s="848">
        <f>IF('2026'!Acti_net,'2026'!Tnet,"")</f>
        <v>46142</v>
      </c>
      <c r="L15" s="849" t="str">
        <f>IF('2026'!Acti_tai,'2026'!Ttai,"")</f>
        <v/>
      </c>
      <c r="M15" s="858">
        <f t="shared" si="3"/>
        <v>2738.7566963914192</v>
      </c>
      <c r="N15" s="859">
        <f t="shared" ref="N15:N20" si="4">Q15+R14+(L14="")*N14</f>
        <v>-0.59832772851735605</v>
      </c>
      <c r="O15" s="365">
        <f>+'2026'!$AJ$3</f>
        <v>220.99943398133576</v>
      </c>
      <c r="P15" s="365">
        <f>+'2026'!$AJ$4</f>
        <v>1309.1080947466312</v>
      </c>
      <c r="Q15" s="365">
        <f>+'2026'!$AK$3</f>
        <v>0</v>
      </c>
      <c r="R15" s="365">
        <f>+'2026'!$AK$4</f>
        <v>-0.58011543175026503</v>
      </c>
      <c r="S15" s="852"/>
      <c r="T15" s="852"/>
    </row>
    <row r="16" spans="1:29" s="19" customFormat="1" ht="12.75" x14ac:dyDescent="0.2">
      <c r="A16" s="357">
        <f>'2027'!An</f>
        <v>2027</v>
      </c>
      <c r="B16" s="358">
        <f>'2027'!Prod_an</f>
        <v>44936.517738218798</v>
      </c>
      <c r="C16" s="141">
        <f>'2027'!Wh_Psa</f>
        <v>1654.7102946753485</v>
      </c>
      <c r="D16" s="325">
        <f>'2027'!Wh_Pvg</f>
        <v>21.599011415632731</v>
      </c>
      <c r="E16" s="358">
        <f t="shared" si="1"/>
        <v>1676.3093060909812</v>
      </c>
      <c r="F16" s="358">
        <f t="shared" si="2"/>
        <v>46612.827044309779</v>
      </c>
      <c r="G16" s="358">
        <f>'2027'!F$9</f>
        <v>47999.715268106018</v>
      </c>
      <c r="H16" s="141">
        <f>'2027'!Wh_gain_sa</f>
        <v>1228.9004938124249</v>
      </c>
      <c r="I16" s="325">
        <f>'2027'!Wh_gain_vg</f>
        <v>-0.59073574754364344</v>
      </c>
      <c r="J16" s="358">
        <f>'2027'!Prod_an_s</f>
        <v>43707.498183236676</v>
      </c>
      <c r="K16" s="848" t="str">
        <f>IF('2027'!Acti_net,'2027'!Tnet,"")</f>
        <v/>
      </c>
      <c r="L16" s="849" t="str">
        <f>IF('2027'!Acti_tai,'2027'!Ttai,"")</f>
        <v/>
      </c>
      <c r="M16" s="858">
        <f t="shared" si="3"/>
        <v>1309.1080947466312</v>
      </c>
      <c r="N16" s="859">
        <f t="shared" si="4"/>
        <v>-1.1784431602676211</v>
      </c>
      <c r="O16" s="365">
        <f>+'2027'!$AJ$3</f>
        <v>0</v>
      </c>
      <c r="P16" s="365">
        <f>+'2027'!$AJ$4</f>
        <v>1228.9004938124249</v>
      </c>
      <c r="Q16" s="365">
        <f>+'2027'!$AK$3</f>
        <v>0</v>
      </c>
      <c r="R16" s="365">
        <f>+'2027'!$AK$4</f>
        <v>-0.59073574754364344</v>
      </c>
      <c r="S16" s="852"/>
      <c r="T16" s="852"/>
    </row>
    <row r="17" spans="1:30" s="19" customFormat="1" ht="12.75" x14ac:dyDescent="0.2">
      <c r="A17" s="357">
        <f>'2028'!An</f>
        <v>2028</v>
      </c>
      <c r="B17" s="358">
        <f>'2028'!Prod_an</f>
        <v>45309.924102607147</v>
      </c>
      <c r="C17" s="141">
        <f>'2028'!Wh_Psa</f>
        <v>1101.3435628194629</v>
      </c>
      <c r="D17" s="325">
        <f>'2028'!Wh_Pvg</f>
        <v>26.847140028913124</v>
      </c>
      <c r="E17" s="358">
        <f>C17+D17</f>
        <v>1128.1907028483761</v>
      </c>
      <c r="F17" s="358">
        <f>B17+E17</f>
        <v>46438.114805455523</v>
      </c>
      <c r="G17" s="358">
        <f>'2028'!F$9</f>
        <v>48060.077444817493</v>
      </c>
      <c r="H17" s="141">
        <f>'2028'!Wh_gain_sa</f>
        <v>1501.942487128169</v>
      </c>
      <c r="I17" s="325">
        <f>'2028'!Wh_gain_vg</f>
        <v>-0.88978591607668989</v>
      </c>
      <c r="J17" s="358">
        <f>'2028'!Prod_an_s</f>
        <v>43808.232217304467</v>
      </c>
      <c r="K17" s="848">
        <f>IF('2028'!Acti_net,'2028'!Tnet,"")</f>
        <v>46873</v>
      </c>
      <c r="L17" s="849" t="str">
        <f>IF('2028'!Acti_tai,'2028'!Ttai,"")</f>
        <v/>
      </c>
      <c r="M17" s="858">
        <f t="shared" si="3"/>
        <v>2778.4041400949573</v>
      </c>
      <c r="N17" s="859">
        <f t="shared" si="4"/>
        <v>-1.7691789078112645</v>
      </c>
      <c r="O17" s="365">
        <f>+'2028'!$AJ$3</f>
        <v>240.39555153590095</v>
      </c>
      <c r="P17" s="365">
        <f>+'2028'!$AJ$4</f>
        <v>1261.2205779221158</v>
      </c>
      <c r="Q17" s="365">
        <f>+'2028'!$AK$3</f>
        <v>0</v>
      </c>
      <c r="R17" s="365">
        <f>+'2028'!$AK$4</f>
        <v>-0.88978591607668989</v>
      </c>
      <c r="S17" s="852"/>
      <c r="T17" s="852"/>
    </row>
    <row r="18" spans="1:30" s="19" customFormat="1" ht="12.75" x14ac:dyDescent="0.2">
      <c r="A18" s="357">
        <f>'2029'!An</f>
        <v>2029</v>
      </c>
      <c r="B18" s="358">
        <f>'2029'!Prod_an</f>
        <v>44505.157422455581</v>
      </c>
      <c r="C18" s="141">
        <f>'2029'!Wh_Psa</f>
        <v>1638.9707822350238</v>
      </c>
      <c r="D18" s="325">
        <f>'2029'!Wh_Pvg</f>
        <v>11.441857009672644</v>
      </c>
      <c r="E18" s="358">
        <f>C18+D18</f>
        <v>1650.4126392446965</v>
      </c>
      <c r="F18" s="358">
        <f>B18+E18</f>
        <v>46155.57006170028</v>
      </c>
      <c r="G18" s="358">
        <f>'2029'!F$9</f>
        <v>48006.514341163085</v>
      </c>
      <c r="H18" s="141">
        <f>'2029'!Wh_gain_sa</f>
        <v>1186.4948085770229</v>
      </c>
      <c r="I18" s="325">
        <f>'2029'!Wh_gain_vg</f>
        <v>19.154497860633128</v>
      </c>
      <c r="J18" s="358">
        <f>'2029'!Prod_an_s</f>
        <v>43297.842593077272</v>
      </c>
      <c r="K18" s="848" t="str">
        <f>IF('2029'!Acti_net,'2029'!Tnet,"")</f>
        <v/>
      </c>
      <c r="L18" s="849">
        <f>IF('2029'!Acti_tai,'2029'!Ttai,"")</f>
        <v>47208</v>
      </c>
      <c r="M18" s="858">
        <f t="shared" si="3"/>
        <v>1261.2205779221158</v>
      </c>
      <c r="N18" s="859">
        <f t="shared" si="4"/>
        <v>-2.9477869047280034</v>
      </c>
      <c r="O18" s="365">
        <f>+'2029'!$AJ$3</f>
        <v>0</v>
      </c>
      <c r="P18" s="365">
        <f>+'2029'!$AJ$4</f>
        <v>1186.4948085770229</v>
      </c>
      <c r="Q18" s="365">
        <f>+'2029'!$AK$3</f>
        <v>-0.28882208084004901</v>
      </c>
      <c r="R18" s="365">
        <f>+'2029'!$AK$4</f>
        <v>19.386603429919177</v>
      </c>
      <c r="S18" s="852"/>
      <c r="T18" s="852"/>
    </row>
    <row r="19" spans="1:30" s="19" customFormat="1" ht="12.75" x14ac:dyDescent="0.2">
      <c r="A19" s="357">
        <f>'2030'!An</f>
        <v>2030</v>
      </c>
      <c r="B19" s="358">
        <f>'2030'!Prod_an</f>
        <v>44836.644667626642</v>
      </c>
      <c r="C19" s="141">
        <f>'2030'!Wh_Psa</f>
        <v>1085.7424871502592</v>
      </c>
      <c r="D19" s="325">
        <f>'2030'!Wh_Pvg</f>
        <v>5.0858218187610573</v>
      </c>
      <c r="E19" s="358">
        <f>C19+D19</f>
        <v>1090.8283089690203</v>
      </c>
      <c r="F19" s="358">
        <f>B19+E19</f>
        <v>45927.472976595665</v>
      </c>
      <c r="G19" s="358">
        <f>'2030'!F$9</f>
        <v>48008.92654992095</v>
      </c>
      <c r="H19" s="141">
        <f>'2030'!Wh_gain_sa</f>
        <v>1479.678068315852</v>
      </c>
      <c r="I19" s="325">
        <f>'2030'!Wh_gain_vg</f>
        <v>30.742293690580293</v>
      </c>
      <c r="J19" s="358">
        <f>'2030'!Prod_an_s</f>
        <v>43324.483915038967</v>
      </c>
      <c r="K19" s="848">
        <f>IF('2030'!Acti_net,'2030'!Tnet,"")</f>
        <v>47603</v>
      </c>
      <c r="L19" s="849" t="str">
        <f>IF('2030'!Acti_tai,'2030'!Ttai,"")</f>
        <v/>
      </c>
      <c r="M19" s="858">
        <f t="shared" si="3"/>
        <v>2676.5362104997143</v>
      </c>
      <c r="N19" s="859">
        <f t="shared" si="4"/>
        <v>19.386603429919177</v>
      </c>
      <c r="O19" s="365">
        <f>+'2030'!$AJ$3</f>
        <v>228.82082400057573</v>
      </c>
      <c r="P19" s="365">
        <f>+'2030'!$AJ$4</f>
        <v>1250.528674022795</v>
      </c>
      <c r="Q19" s="365">
        <f>+'2030'!$AK$3</f>
        <v>0</v>
      </c>
      <c r="R19" s="365">
        <f>+'2030'!$AK$4</f>
        <v>30.742293690580293</v>
      </c>
      <c r="S19" s="852"/>
      <c r="T19" s="852"/>
    </row>
    <row r="20" spans="1:30" s="19" customFormat="1" ht="12.75" x14ac:dyDescent="0.2">
      <c r="A20" s="357">
        <f>'2031'!An</f>
        <v>2031</v>
      </c>
      <c r="B20" s="358">
        <f>'2031'!Prod_an</f>
        <v>44065.894886738497</v>
      </c>
      <c r="C20" s="141">
        <f>'2031'!Wh_Psa</f>
        <v>1622.6588237111648</v>
      </c>
      <c r="D20" s="325">
        <f>'2031'!Wh_Pvg</f>
        <v>8.5521218981379938</v>
      </c>
      <c r="E20" s="358">
        <f>C20+D20</f>
        <v>1631.2109456093028</v>
      </c>
      <c r="F20" s="358">
        <f>B20+E20</f>
        <v>45697.105832347799</v>
      </c>
      <c r="G20" s="358">
        <f>'2031'!F$9</f>
        <v>48006.875375275704</v>
      </c>
      <c r="H20" s="141">
        <f>'2031'!Wh_gain_sa</f>
        <v>1172.9882467717914</v>
      </c>
      <c r="I20" s="325">
        <f>'2031'!Wh_gain_vg</f>
        <v>32.172428997438203</v>
      </c>
      <c r="J20" s="358">
        <f>'2031'!Prod_an_s</f>
        <v>42858.282933781855</v>
      </c>
      <c r="K20" s="848" t="str">
        <f>IF('2031'!Acti_net,'2031'!Tnet,"")</f>
        <v/>
      </c>
      <c r="L20" s="849" t="str">
        <f>IF('2031'!Acti_tai,'2031'!Ttai,"")</f>
        <v/>
      </c>
      <c r="M20" s="858">
        <f t="shared" si="3"/>
        <v>1250.528674022795</v>
      </c>
      <c r="N20" s="859">
        <f t="shared" si="4"/>
        <v>50.128897120499474</v>
      </c>
      <c r="O20" s="365">
        <f>+'2031'!$AJ$3</f>
        <v>0</v>
      </c>
      <c r="P20" s="365">
        <f>+'2031'!$AJ$4</f>
        <v>1172.9882467717914</v>
      </c>
      <c r="Q20" s="365">
        <f>+'2031'!$AK$3</f>
        <v>0</v>
      </c>
      <c r="R20" s="365">
        <f>+'2031'!$AK$4</f>
        <v>32.172428997438203</v>
      </c>
      <c r="S20" s="852"/>
      <c r="T20" s="852"/>
    </row>
    <row r="21" spans="1:30" s="19" customFormat="1" ht="12.75" x14ac:dyDescent="0.2">
      <c r="A21" s="699"/>
      <c r="B21" s="700"/>
      <c r="C21" s="701"/>
      <c r="D21" s="698"/>
      <c r="E21" s="700"/>
      <c r="F21" s="700"/>
      <c r="G21" s="700"/>
      <c r="H21" s="701"/>
      <c r="I21" s="698"/>
      <c r="J21" s="700"/>
      <c r="K21" s="862"/>
      <c r="L21" s="863"/>
      <c r="M21" s="854"/>
      <c r="N21" s="855"/>
      <c r="O21" s="10"/>
      <c r="P21" s="10"/>
      <c r="Q21" s="10"/>
      <c r="R21" s="10"/>
      <c r="S21" s="852"/>
      <c r="T21" s="852"/>
    </row>
    <row r="22" spans="1:30" s="19" customFormat="1" ht="12.75" x14ac:dyDescent="0.2">
      <c r="A22" s="699"/>
      <c r="B22" s="700"/>
      <c r="C22" s="701"/>
      <c r="D22" s="698"/>
      <c r="E22" s="700"/>
      <c r="F22" s="700"/>
      <c r="G22" s="700"/>
      <c r="H22" s="701"/>
      <c r="I22" s="698"/>
      <c r="J22" s="700"/>
      <c r="K22" s="862"/>
      <c r="L22" s="863"/>
      <c r="M22" s="854"/>
      <c r="N22" s="855"/>
      <c r="O22" s="10"/>
      <c r="P22" s="853"/>
      <c r="Q22" s="10"/>
      <c r="R22" s="853"/>
      <c r="S22" s="852"/>
      <c r="T22" s="852"/>
    </row>
    <row r="23" spans="1:30" s="19" customFormat="1" ht="12.75" x14ac:dyDescent="0.2">
      <c r="A23" s="699"/>
      <c r="B23" s="700"/>
      <c r="C23" s="701"/>
      <c r="D23" s="698"/>
      <c r="E23" s="700"/>
      <c r="F23" s="700"/>
      <c r="G23" s="700"/>
      <c r="H23" s="701"/>
      <c r="I23" s="698"/>
      <c r="J23" s="700"/>
      <c r="K23" s="862"/>
      <c r="L23" s="863"/>
      <c r="M23" s="854"/>
      <c r="N23" s="855"/>
      <c r="O23" s="10"/>
      <c r="P23" s="853"/>
      <c r="Q23" s="10"/>
      <c r="S23" s="852"/>
      <c r="T23" s="852"/>
    </row>
    <row r="24" spans="1:30" s="19" customFormat="1" ht="12.75" x14ac:dyDescent="0.2">
      <c r="A24" s="699"/>
      <c r="B24" s="700"/>
      <c r="C24" s="701"/>
      <c r="D24" s="698"/>
      <c r="E24" s="700"/>
      <c r="F24" s="700"/>
      <c r="G24" s="700"/>
      <c r="H24" s="701"/>
      <c r="I24" s="698"/>
      <c r="J24" s="700"/>
      <c r="K24" s="862"/>
      <c r="L24" s="863"/>
      <c r="M24" s="854"/>
      <c r="N24" s="855"/>
      <c r="O24" s="10"/>
      <c r="P24" s="853"/>
      <c r="Q24" s="10"/>
      <c r="R24" s="853"/>
      <c r="S24" s="852"/>
      <c r="T24" s="852"/>
    </row>
    <row r="25" spans="1:30" s="19" customFormat="1" ht="12.75" x14ac:dyDescent="0.2">
      <c r="A25" s="699"/>
      <c r="B25" s="700"/>
      <c r="C25" s="701"/>
      <c r="D25" s="698"/>
      <c r="E25" s="700"/>
      <c r="F25" s="700"/>
      <c r="G25" s="700"/>
      <c r="H25" s="701"/>
      <c r="I25" s="698"/>
      <c r="J25" s="700"/>
      <c r="K25" s="862"/>
      <c r="L25" s="863"/>
      <c r="M25" s="854"/>
      <c r="N25" s="855"/>
      <c r="O25" s="10"/>
      <c r="P25" s="853"/>
      <c r="Q25" s="10"/>
      <c r="R25" s="853"/>
      <c r="S25" s="852"/>
      <c r="T25" s="852"/>
    </row>
    <row r="26" spans="1:30" s="19" customFormat="1" ht="12.75" x14ac:dyDescent="0.2">
      <c r="A26" s="699"/>
      <c r="B26" s="700"/>
      <c r="C26" s="701"/>
      <c r="D26" s="698"/>
      <c r="E26" s="700"/>
      <c r="F26" s="700"/>
      <c r="G26" s="700"/>
      <c r="H26" s="701"/>
      <c r="I26" s="698"/>
      <c r="J26" s="700"/>
      <c r="K26" s="862"/>
      <c r="L26" s="863"/>
      <c r="M26" s="854"/>
      <c r="N26" s="855"/>
      <c r="O26" s="10"/>
      <c r="P26" s="853"/>
      <c r="Q26" s="10"/>
      <c r="R26" s="853"/>
      <c r="S26" s="852"/>
      <c r="T26" s="852"/>
    </row>
    <row r="27" spans="1:30" s="19" customFormat="1" ht="12.75" x14ac:dyDescent="0.2">
      <c r="A27" s="699"/>
      <c r="B27" s="700"/>
      <c r="C27" s="701"/>
      <c r="D27" s="698"/>
      <c r="E27" s="700"/>
      <c r="F27" s="700"/>
      <c r="G27" s="700"/>
      <c r="H27" s="701"/>
      <c r="I27" s="698"/>
      <c r="J27" s="700"/>
      <c r="K27" s="862"/>
      <c r="L27" s="863"/>
      <c r="M27" s="854"/>
      <c r="N27" s="855"/>
      <c r="O27" s="10"/>
      <c r="P27" s="853"/>
      <c r="Q27" s="10"/>
      <c r="R27" s="853"/>
      <c r="S27" s="852"/>
      <c r="T27" s="852"/>
    </row>
    <row r="28" spans="1:30" s="19" customFormat="1" ht="12.75" x14ac:dyDescent="0.2">
      <c r="A28" s="699"/>
      <c r="B28" s="700"/>
      <c r="C28" s="701"/>
      <c r="D28" s="698"/>
      <c r="E28" s="700"/>
      <c r="F28" s="700"/>
      <c r="G28" s="700"/>
      <c r="H28" s="701"/>
      <c r="I28" s="698"/>
      <c r="J28" s="700"/>
      <c r="K28" s="862"/>
      <c r="L28" s="863"/>
      <c r="M28" s="854"/>
      <c r="N28" s="855"/>
      <c r="O28" s="10"/>
      <c r="P28" s="10"/>
      <c r="Q28" s="10"/>
      <c r="R28" s="10"/>
      <c r="S28" s="852"/>
      <c r="T28" s="852"/>
    </row>
    <row r="29" spans="1:30" s="19" customFormat="1" ht="12.75" x14ac:dyDescent="0.2">
      <c r="A29" s="699"/>
      <c r="B29" s="700"/>
      <c r="C29" s="701"/>
      <c r="D29" s="698"/>
      <c r="E29" s="700"/>
      <c r="F29" s="700"/>
      <c r="G29" s="700"/>
      <c r="H29" s="701"/>
      <c r="I29" s="698"/>
      <c r="J29" s="700"/>
      <c r="K29" s="862"/>
      <c r="L29" s="863"/>
      <c r="M29" s="854"/>
      <c r="N29" s="855"/>
      <c r="O29" s="10"/>
      <c r="P29" s="10"/>
      <c r="Q29" s="10"/>
      <c r="R29" s="10"/>
      <c r="S29" s="852"/>
      <c r="T29" s="852"/>
    </row>
    <row r="30" spans="1:30" s="19" customFormat="1" ht="12.75" x14ac:dyDescent="0.2">
      <c r="A30" s="702"/>
      <c r="B30" s="703"/>
      <c r="C30" s="704"/>
      <c r="D30" s="705"/>
      <c r="E30" s="703"/>
      <c r="F30" s="703"/>
      <c r="G30" s="703"/>
      <c r="H30" s="704"/>
      <c r="I30" s="705"/>
      <c r="J30" s="703"/>
      <c r="K30" s="864"/>
      <c r="L30" s="865"/>
      <c r="M30" s="856"/>
      <c r="N30" s="857"/>
      <c r="O30" s="10"/>
      <c r="P30" s="10"/>
      <c r="Q30" s="10"/>
      <c r="R30" s="10"/>
      <c r="S30" s="852"/>
      <c r="T30" s="852"/>
      <c r="AD30" s="30"/>
    </row>
    <row r="31" spans="1:30" s="4" customFormat="1" x14ac:dyDescent="0.25">
      <c r="A31" s="868" t="s">
        <v>366</v>
      </c>
      <c r="B31" s="869">
        <f>SUM(B11:B11)/1000</f>
        <v>46.798069000000012</v>
      </c>
      <c r="C31" s="870">
        <f t="shared" ref="C31:J31" si="5">SUM(C11:C11)/1000</f>
        <v>0.97546900518979074</v>
      </c>
      <c r="D31" s="871">
        <f t="shared" si="5"/>
        <v>1.9670278367604657E-3</v>
      </c>
      <c r="E31" s="869">
        <f t="shared" si="5"/>
        <v>0.97743603302655124</v>
      </c>
      <c r="F31" s="869">
        <f t="shared" si="5"/>
        <v>47.775505033026562</v>
      </c>
      <c r="G31" s="869">
        <f t="shared" si="5"/>
        <v>48.010743765373199</v>
      </c>
      <c r="H31" s="870">
        <f t="shared" si="5"/>
        <v>-1.8757708950988672E-4</v>
      </c>
      <c r="I31" s="871">
        <f t="shared" si="5"/>
        <v>-3.7824816026121865E-7</v>
      </c>
      <c r="J31" s="869">
        <f t="shared" si="5"/>
        <v>46.789070000000009</v>
      </c>
      <c r="K31" s="1179" t="s">
        <v>10</v>
      </c>
      <c r="L31" s="3"/>
      <c r="M31" s="1180" t="s">
        <v>367</v>
      </c>
      <c r="N31" s="1180" t="s">
        <v>368</v>
      </c>
      <c r="O31" s="1180" t="s">
        <v>368</v>
      </c>
      <c r="P31" s="3"/>
      <c r="Q31" s="3"/>
      <c r="R31" s="77"/>
      <c r="S31" s="134"/>
      <c r="T31" s="77"/>
      <c r="U31" s="77"/>
      <c r="V31" s="77"/>
      <c r="W31" s="77"/>
      <c r="X31" s="872"/>
      <c r="Y31" s="3"/>
      <c r="Z31" s="3"/>
      <c r="AA31" s="3"/>
      <c r="AB31" s="3"/>
    </row>
    <row r="32" spans="1:30" ht="15.75" x14ac:dyDescent="0.25">
      <c r="A32" s="1189" t="s">
        <v>370</v>
      </c>
      <c r="B32" s="1190">
        <f>IF(K16&lt;&gt;"",B15-H16-C16+C15-D16+D15,B16)</f>
        <v>44936.517738218798</v>
      </c>
      <c r="J32" s="351" t="s">
        <v>253</v>
      </c>
      <c r="K32" s="68">
        <f>[1]!Inter_net</f>
        <v>2</v>
      </c>
      <c r="L32" s="68">
        <f>[1]!Inter_tai</f>
        <v>7</v>
      </c>
      <c r="M32" s="1181">
        <f>Inter_net</f>
        <v>2</v>
      </c>
      <c r="N32" s="1185">
        <f>CHOOSE(Inter_net,N33,N34,N35,N36)</f>
        <v>1340.8119443946587</v>
      </c>
      <c r="O32" s="1186">
        <f>CHOOSE(Inter_net,O33,O34,O35,O36)</f>
        <v>2.9837913836707679E-2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279</v>
      </c>
      <c r="B33" s="1131">
        <f t="shared" ref="B33:J33" si="6">AVERAGE(B35:B54)</f>
        <v>2.8843033151050801E-2</v>
      </c>
      <c r="C33" s="1132">
        <f t="shared" si="6"/>
        <v>3.4836807928907455E-2</v>
      </c>
      <c r="D33" s="1133">
        <f t="shared" si="6"/>
        <v>1.9889084922774824E-3</v>
      </c>
      <c r="E33" s="1131">
        <f t="shared" si="6"/>
        <v>2.7339946556382898E-2</v>
      </c>
      <c r="F33" s="1132">
        <f t="shared" si="6"/>
        <v>2.9643804592153898E-2</v>
      </c>
      <c r="G33" s="1133">
        <f t="shared" si="6"/>
        <v>2.5056098995035182E-4</v>
      </c>
      <c r="H33" s="1134">
        <f t="shared" si="6"/>
        <v>2.348357998895919E-2</v>
      </c>
      <c r="I33" s="1135">
        <f t="shared" si="6"/>
        <v>1.6555596091079669E-4</v>
      </c>
      <c r="J33" s="1136">
        <f t="shared" si="6"/>
        <v>5.5384850585766407E-2</v>
      </c>
      <c r="K33" s="337"/>
      <c r="L33" s="21"/>
      <c r="M33" s="1182">
        <v>1</v>
      </c>
      <c r="N33" s="1183">
        <f>O33*$B$32</f>
        <v>1340.8119443946587</v>
      </c>
      <c r="O33" s="1187">
        <f>AVERAGE(H19:H20)/AVERAGE(B19:B20)</f>
        <v>2.9837913836707679E-2</v>
      </c>
      <c r="P33" s="15"/>
    </row>
    <row r="34" spans="1:28" s="236" customFormat="1" ht="41.25" customHeight="1" x14ac:dyDescent="0.2">
      <c r="A34" s="170" t="s">
        <v>52</v>
      </c>
      <c r="B34" s="1137" t="s">
        <v>352</v>
      </c>
      <c r="C34" s="1138" t="s">
        <v>353</v>
      </c>
      <c r="D34" s="1139" t="s">
        <v>354</v>
      </c>
      <c r="E34" s="1137" t="s">
        <v>355</v>
      </c>
      <c r="F34" s="327" t="s">
        <v>356</v>
      </c>
      <c r="G34" s="328" t="s">
        <v>357</v>
      </c>
      <c r="H34" s="327" t="s">
        <v>358</v>
      </c>
      <c r="I34" s="328" t="s">
        <v>359</v>
      </c>
      <c r="J34" s="170" t="s">
        <v>360</v>
      </c>
      <c r="K34" s="327" t="s">
        <v>361</v>
      </c>
      <c r="L34" s="327" t="s">
        <v>362</v>
      </c>
      <c r="M34" s="1182">
        <v>2</v>
      </c>
      <c r="N34" s="1184">
        <f>O34*$B$32</f>
        <v>1340.8119443946587</v>
      </c>
      <c r="O34" s="1188">
        <f>AVERAGE(H19:H20)/AVERAGE(B19:B20)</f>
        <v>2.9837913836707679E-2</v>
      </c>
      <c r="P34" s="100"/>
      <c r="Q34" s="100"/>
      <c r="R34" s="100"/>
      <c r="S34" s="100"/>
      <c r="T34" s="100"/>
      <c r="U34" s="237"/>
      <c r="V34" s="237"/>
      <c r="W34" s="237"/>
      <c r="X34" s="238"/>
      <c r="Y34" s="235"/>
      <c r="Z34" s="235"/>
      <c r="AA34" s="235"/>
      <c r="AB34" s="235"/>
    </row>
    <row r="35" spans="1:28" s="19" customFormat="1" ht="12.75" x14ac:dyDescent="0.2">
      <c r="A35" s="359">
        <f>A11</f>
        <v>2022</v>
      </c>
      <c r="B35" s="1141">
        <f>'2022'!L$379</f>
        <v>6.8484472410675901E-3</v>
      </c>
      <c r="C35" s="1142">
        <f>'2022'!O$379</f>
        <v>2.9436928440858216E-2</v>
      </c>
      <c r="D35" s="1143">
        <f>'2022'!P$379</f>
        <v>5.5212489864228838E-4</v>
      </c>
      <c r="E35" s="1141">
        <f>'2022'!Wh_Ppv/'2022'!Prod_an</f>
        <v>4.9229731676435412E-3</v>
      </c>
      <c r="F35" s="1142">
        <f>'2022'!Wh_Psa/'2022'!D$9</f>
        <v>2.0742102046489776E-2</v>
      </c>
      <c r="G35" s="1143">
        <f>'2022'!Wh_Pvg/'2022'!E$9</f>
        <v>4.0972298304039836E-5</v>
      </c>
      <c r="H35" s="1144">
        <f>H11/'2022'!Z$9</f>
        <v>-3.9885871426951392E-6</v>
      </c>
      <c r="I35" s="1145">
        <f>I11/'2022'!AA$9</f>
        <v>-7.8787377410481163E-9</v>
      </c>
      <c r="J35" s="1146">
        <f>1-B11/G11</f>
        <v>2.5258404062629913E-2</v>
      </c>
      <c r="K35" s="850" t="str">
        <f>K11</f>
        <v/>
      </c>
      <c r="L35" s="1147">
        <f>(K35&lt;&gt;"")*('2022'!O$383-'2022'!O$381)</f>
        <v>0</v>
      </c>
      <c r="M35" s="1182">
        <v>3</v>
      </c>
      <c r="N35" s="1184">
        <f>O35*$B$32</f>
        <v>1293.167754506788</v>
      </c>
      <c r="O35" s="1188">
        <f>AVERAGE(H18:H20)/AVERAGE(B18:B20)</f>
        <v>2.8777658341045429E-2</v>
      </c>
      <c r="P35" s="365"/>
      <c r="Q35" s="365"/>
      <c r="R35" s="365"/>
      <c r="S35" s="852"/>
      <c r="T35" s="852"/>
    </row>
    <row r="36" spans="1:28" s="19" customFormat="1" ht="12.75" x14ac:dyDescent="0.2">
      <c r="A36" s="1148">
        <f t="shared" ref="A36:A44" si="7">A12</f>
        <v>2023</v>
      </c>
      <c r="B36" s="1149">
        <f>'2023'!L$379</f>
        <v>1.1798429345499573E-2</v>
      </c>
      <c r="C36" s="1150">
        <f>'2023'!O$379</f>
        <v>4.378391840709106E-2</v>
      </c>
      <c r="D36" s="1151">
        <f>'2023'!P$379</f>
        <v>1.1047975743684361E-3</v>
      </c>
      <c r="E36" s="1149">
        <f>'2023'!Wh_Ppv/'2023'!Prod_an</f>
        <v>9.346893388342558E-3</v>
      </c>
      <c r="F36" s="1150">
        <f>'2023'!Wh_Psa/'2023'!D$9</f>
        <v>3.9068578461073221E-2</v>
      </c>
      <c r="G36" s="1151">
        <f>'2023'!Wh_Pvg/'2023'!E$9</f>
        <v>1.1169960918146003E-4</v>
      </c>
      <c r="H36" s="1149">
        <f>H12/'2023'!Z$9</f>
        <v>0</v>
      </c>
      <c r="I36" s="1152">
        <f>I12/'2023'!AA$9</f>
        <v>0</v>
      </c>
      <c r="J36" s="1151">
        <f t="shared" ref="J36:J42" si="8">1-B12/G12</f>
        <v>4.6958430120104033E-2</v>
      </c>
      <c r="K36" s="848" t="str">
        <f t="shared" ref="K36:K43" si="9">K12</f>
        <v/>
      </c>
      <c r="L36" s="1140">
        <f>(K36&lt;&gt;"")*('2023'!O$383-'2023'!O$381)</f>
        <v>0</v>
      </c>
      <c r="M36" s="1182">
        <v>4</v>
      </c>
      <c r="N36" s="1184">
        <f>O36*$B$32</f>
        <v>1342.9598922502905</v>
      </c>
      <c r="O36" s="1188">
        <f>AVERAGE(H17:H20)/AVERAGE(B17:B20)</f>
        <v>2.9885713442991034E-2</v>
      </c>
      <c r="P36" s="365"/>
      <c r="Q36" s="365"/>
      <c r="R36" s="365"/>
      <c r="S36" s="852"/>
      <c r="T36" s="852"/>
    </row>
    <row r="37" spans="1:28" s="19" customFormat="1" ht="12.75" x14ac:dyDescent="0.2">
      <c r="A37" s="1148">
        <f t="shared" si="7"/>
        <v>2024</v>
      </c>
      <c r="B37" s="1149">
        <f>'2024'!L$379</f>
        <v>1.672374016711875E-2</v>
      </c>
      <c r="C37" s="1150">
        <f>'2024'!O$379</f>
        <v>2.6633594411993193E-2</v>
      </c>
      <c r="D37" s="1151">
        <f>'2024'!P$379</f>
        <v>1.7092481207857484E-3</v>
      </c>
      <c r="E37" s="1149">
        <f>'2024'!Wh_Ppv/'2024'!Prod_an</f>
        <v>1.4416299507099974E-2</v>
      </c>
      <c r="F37" s="1150">
        <f>'2024'!Wh_Psa/'2024'!D$9</f>
        <v>2.2171767105474086E-2</v>
      </c>
      <c r="G37" s="1151">
        <f>'2024'!Wh_Pvg/'2024'!E$9</f>
        <v>1.9190190018385602E-4</v>
      </c>
      <c r="H37" s="1149">
        <f>H13/'2024'!Z$9</f>
        <v>3.012934441673687E-2</v>
      </c>
      <c r="I37" s="1152">
        <f>I13/'2024'!AA$9</f>
        <v>-5.689428894403569E-6</v>
      </c>
      <c r="J37" s="1151">
        <f t="shared" si="8"/>
        <v>3.6087349229683263E-2</v>
      </c>
      <c r="K37" s="848">
        <f t="shared" si="9"/>
        <v>45383</v>
      </c>
      <c r="L37" s="1140">
        <f>(K37&lt;&gt;"")*('2024'!O$383-'2024'!O$381)</f>
        <v>3.8720176759281605E-2</v>
      </c>
      <c r="M37" s="1182"/>
      <c r="N37" s="1192" t="s">
        <v>369</v>
      </c>
      <c r="O37" s="1193"/>
      <c r="P37" s="365"/>
      <c r="Q37" s="365"/>
      <c r="R37" s="365"/>
      <c r="S37" s="852"/>
      <c r="T37" s="852"/>
    </row>
    <row r="38" spans="1:28" s="19" customFormat="1" ht="12.75" x14ac:dyDescent="0.2">
      <c r="A38" s="1148">
        <f t="shared" si="7"/>
        <v>2025</v>
      </c>
      <c r="B38" s="1149">
        <f>'2025'!L$379</f>
        <v>2.163789580940545E-2</v>
      </c>
      <c r="C38" s="1150">
        <f>'2025'!O$379</f>
        <v>4.4282861233282504E-2</v>
      </c>
      <c r="D38" s="1151">
        <f>'2025'!P$379</f>
        <v>2.3148061856876618E-3</v>
      </c>
      <c r="E38" s="1149">
        <f>'2025'!Wh_Ppv/'2025'!Prod_an</f>
        <v>1.949695991360198E-2</v>
      </c>
      <c r="F38" s="1150">
        <f>'2025'!Wh_Psa/'2025'!D$9</f>
        <v>3.766211751179558E-2</v>
      </c>
      <c r="G38" s="1151">
        <f>'2025'!Wh_Pvg/'2025'!E$9</f>
        <v>2.6821129382192157E-4</v>
      </c>
      <c r="H38" s="1149">
        <f>H14/'2025'!Z$9</f>
        <v>2.5396560755667718E-2</v>
      </c>
      <c r="I38" s="1152">
        <f>I14/'2025'!AA$9</f>
        <v>-6.7698406617613581E-6</v>
      </c>
      <c r="J38" s="1151">
        <f t="shared" si="8"/>
        <v>5.5661732107219364E-2</v>
      </c>
      <c r="K38" s="848" t="str">
        <f t="shared" si="9"/>
        <v/>
      </c>
      <c r="L38" s="1140">
        <f>(K38&lt;&gt;"")*('2025'!O$383-'2025'!O$381)</f>
        <v>0</v>
      </c>
      <c r="M38" s="365"/>
      <c r="N38" s="365"/>
      <c r="O38" s="365"/>
      <c r="P38" s="365"/>
      <c r="Q38" s="365"/>
      <c r="R38" s="365"/>
      <c r="S38" s="852"/>
      <c r="T38" s="852"/>
    </row>
    <row r="39" spans="1:28" s="19" customFormat="1" ht="12.75" x14ac:dyDescent="0.2">
      <c r="A39" s="1148">
        <f t="shared" si="7"/>
        <v>2026</v>
      </c>
      <c r="B39" s="1149">
        <f>'2026'!L$379</f>
        <v>2.6514165593150563E-2</v>
      </c>
      <c r="C39" s="1150">
        <f>'2026'!O$379</f>
        <v>2.4969134357268111E-2</v>
      </c>
      <c r="D39" s="1151">
        <f>'2026'!P$379</f>
        <v>2.9748441966086412E-3</v>
      </c>
      <c r="E39" s="1149">
        <f>'2026'!Wh_Ppv/'2026'!Prod_an</f>
        <v>2.4619284960218073E-2</v>
      </c>
      <c r="F39" s="1150">
        <f>'2026'!Wh_Psa/'2026'!D$9</f>
        <v>2.3921965715907895E-2</v>
      </c>
      <c r="G39" s="1151">
        <f>'2026'!Wh_Pvg/'2026'!E$9</f>
        <v>3.6115305029105161E-4</v>
      </c>
      <c r="H39" s="1149">
        <f>H15/'2026'!Z$9</f>
        <v>3.3809386002551789E-2</v>
      </c>
      <c r="I39" s="1152">
        <f>I15/'2026'!AA$9</f>
        <v>-1.2089753175072188E-5</v>
      </c>
      <c r="J39" s="1151">
        <f t="shared" si="8"/>
        <v>4.7738400121487112E-2</v>
      </c>
      <c r="K39" s="848">
        <f t="shared" si="9"/>
        <v>46142</v>
      </c>
      <c r="L39" s="1140">
        <f>(K39&lt;&gt;"")*('2026'!O$383-'2026'!O$381)</f>
        <v>4.10508348716071E-2</v>
      </c>
      <c r="M39" s="365"/>
      <c r="N39" s="365"/>
      <c r="O39" s="365"/>
      <c r="P39" s="365"/>
      <c r="Q39" s="365"/>
      <c r="R39" s="365"/>
      <c r="S39" s="852"/>
      <c r="T39" s="852"/>
    </row>
    <row r="40" spans="1:28" s="19" customFormat="1" ht="12.75" x14ac:dyDescent="0.2">
      <c r="A40" s="1148">
        <f t="shared" si="7"/>
        <v>2027</v>
      </c>
      <c r="B40" s="1149">
        <f>'2027'!L$379</f>
        <v>3.1366131484806936E-2</v>
      </c>
      <c r="C40" s="1150">
        <f>'2027'!O$379</f>
        <v>4.3127922836700056E-2</v>
      </c>
      <c r="D40" s="1151">
        <f>'2027'!P$379</f>
        <v>3.6360475405024227E-3</v>
      </c>
      <c r="E40" s="1149">
        <f>'2027'!Wh_Ppv/'2027'!Prod_an</f>
        <v>2.9735789799245401E-2</v>
      </c>
      <c r="F40" s="1150">
        <f>'2027'!Wh_Psa/'2027'!D$9</f>
        <v>3.5759937142080027E-2</v>
      </c>
      <c r="G40" s="1151">
        <f>'2027'!Wh_Pvg/'2027'!E$9</f>
        <v>4.5019836037667573E-4</v>
      </c>
      <c r="H40" s="1149">
        <f>H16/'2027'!Z$9</f>
        <v>2.7304476430906093E-2</v>
      </c>
      <c r="I40" s="1152">
        <f>I16/'2027'!AA$9</f>
        <v>-1.2312983212164635E-5</v>
      </c>
      <c r="J40" s="1151">
        <f t="shared" si="8"/>
        <v>6.3816993762931706E-2</v>
      </c>
      <c r="K40" s="848" t="str">
        <f t="shared" si="9"/>
        <v/>
      </c>
      <c r="L40" s="1140">
        <f>(K40&lt;&gt;"")*('2027'!O$383-'2027'!O$381)</f>
        <v>0</v>
      </c>
      <c r="M40" s="365"/>
      <c r="N40" s="365"/>
      <c r="O40" s="365"/>
      <c r="P40" s="365"/>
      <c r="Q40" s="365"/>
      <c r="R40" s="365"/>
      <c r="S40" s="852"/>
      <c r="T40" s="852"/>
    </row>
    <row r="41" spans="1:28" s="19" customFormat="1" ht="12.75" x14ac:dyDescent="0.2">
      <c r="A41" s="1148">
        <f t="shared" si="7"/>
        <v>2028</v>
      </c>
      <c r="B41" s="1149">
        <f>'2028'!L$379</f>
        <v>3.619391461778132E-2</v>
      </c>
      <c r="C41" s="1150">
        <f>'2028'!O$379</f>
        <v>2.4908739571213194E-2</v>
      </c>
      <c r="D41" s="1151">
        <f>'2028'!P$379</f>
        <v>4.3165503082330837E-3</v>
      </c>
      <c r="E41" s="1149">
        <f>'2028'!Wh_Ppv/'2028'!Prod_an</f>
        <v>3.4912857518838256E-2</v>
      </c>
      <c r="F41" s="1150">
        <f>'2028'!Wh_Psa/'2028'!D$9</f>
        <v>2.3486900097390788E-2</v>
      </c>
      <c r="G41" s="1151">
        <f>'2028'!Wh_Pvg/'2028'!E$9</f>
        <v>5.589472382492676E-4</v>
      </c>
      <c r="H41" s="1149">
        <f>H17/'2028'!Z$9</f>
        <v>3.3128070119984289E-2</v>
      </c>
      <c r="I41" s="1152">
        <f>I17/'2028'!AA$9</f>
        <v>-1.852500414899109E-5</v>
      </c>
      <c r="J41" s="1151">
        <f t="shared" si="8"/>
        <v>5.7223239920245028E-2</v>
      </c>
      <c r="K41" s="848">
        <f t="shared" si="9"/>
        <v>46873</v>
      </c>
      <c r="L41" s="1140">
        <f>(K41&lt;&gt;"")*('2028'!O$383-'2028'!O$381)</f>
        <v>4.0082819895401155E-2</v>
      </c>
      <c r="M41" s="365"/>
      <c r="N41" s="365"/>
      <c r="O41" s="365"/>
      <c r="P41" s="365"/>
      <c r="Q41" s="365"/>
      <c r="R41" s="365"/>
      <c r="S41" s="852"/>
      <c r="T41" s="852"/>
    </row>
    <row r="42" spans="1:28" s="19" customFormat="1" ht="12.75" x14ac:dyDescent="0.2">
      <c r="A42" s="1148">
        <f t="shared" si="7"/>
        <v>2029</v>
      </c>
      <c r="B42" s="1149">
        <f>'2029'!L$379</f>
        <v>4.1010763458773747E-2</v>
      </c>
      <c r="C42" s="1150">
        <f>'2029'!O$379</f>
        <v>4.3127922836700056E-2</v>
      </c>
      <c r="D42" s="1151">
        <f>'2029'!P$379</f>
        <v>5.2450440408000911E-4</v>
      </c>
      <c r="E42" s="1149">
        <f>'2029'!Wh_Ppv/'2029'!Prod_an</f>
        <v>4.0092799620265934E-2</v>
      </c>
      <c r="F42" s="1150">
        <f>'2029'!Wh_Psa/'2029'!D$9</f>
        <v>3.5406971395862269E-2</v>
      </c>
      <c r="G42" s="1151">
        <f>'2029'!Wh_Pvg/'2029'!E$9</f>
        <v>2.3840094954748472E-4</v>
      </c>
      <c r="H42" s="1149">
        <f>H18/'2029'!Z$9</f>
        <v>2.6346725448590461E-2</v>
      </c>
      <c r="I42" s="1152">
        <f>I18/'2029'!AA$9</f>
        <v>3.9927983984229548E-4</v>
      </c>
      <c r="J42" s="1151">
        <f t="shared" si="8"/>
        <v>7.2935037395649327E-2</v>
      </c>
      <c r="K42" s="848" t="str">
        <f t="shared" si="9"/>
        <v/>
      </c>
      <c r="L42" s="1140">
        <f>(K42&lt;&gt;"")*('2029'!O$383-'2029'!O$381)</f>
        <v>0</v>
      </c>
      <c r="M42" s="365"/>
      <c r="N42" s="365"/>
      <c r="O42" s="365"/>
      <c r="P42" s="365"/>
      <c r="Q42" s="365"/>
      <c r="R42" s="365"/>
      <c r="S42" s="852"/>
      <c r="T42" s="852"/>
    </row>
    <row r="43" spans="1:28" s="19" customFormat="1" ht="12.75" x14ac:dyDescent="0.2">
      <c r="A43" s="1148">
        <f t="shared" si="7"/>
        <v>2030</v>
      </c>
      <c r="B43" s="1149">
        <f>'2030'!L$379</f>
        <v>4.5790476631486388E-2</v>
      </c>
      <c r="C43" s="1150">
        <f>'2030'!O$379</f>
        <v>2.4969134357268111E-2</v>
      </c>
      <c r="D43" s="1151">
        <f>'2030'!P$379</f>
        <v>1.077177079806157E-3</v>
      </c>
      <c r="E43" s="1149">
        <f>'2030'!Wh_Ppv/'2030'!Prod_an</f>
        <v>4.5317643264535849E-2</v>
      </c>
      <c r="F43" s="1150">
        <f>'2030'!Wh_Psa/'2030'!D$9</f>
        <v>2.316570104236693E-2</v>
      </c>
      <c r="G43" s="1151">
        <f>'2030'!Wh_Pvg/'2030'!E$9</f>
        <v>1.059469367301663E-4</v>
      </c>
      <c r="H43" s="1149">
        <f>H19/'2030'!Z$9</f>
        <v>3.2672923624527013E-2</v>
      </c>
      <c r="I43" s="1152">
        <f>I19/'2030'!AA$9</f>
        <v>6.4087491439274863E-4</v>
      </c>
      <c r="J43" s="1151">
        <f t="shared" ref="J43:J44" si="10">1-B19/G19</f>
        <v>6.6076917570645599E-2</v>
      </c>
      <c r="K43" s="848">
        <f t="shared" si="9"/>
        <v>47603</v>
      </c>
      <c r="L43" s="1140">
        <f>(K43&lt;&gt;"")*('2030'!O$383-'2030'!O$381)</f>
        <v>4.0027031823355763E-2</v>
      </c>
      <c r="M43" s="365"/>
      <c r="N43" s="365"/>
      <c r="O43" s="365"/>
      <c r="P43" s="365"/>
      <c r="Q43" s="365"/>
      <c r="R43" s="365"/>
      <c r="S43" s="852"/>
      <c r="T43" s="852"/>
    </row>
    <row r="44" spans="1:28" s="19" customFormat="1" ht="12.75" x14ac:dyDescent="0.2">
      <c r="A44" s="1148">
        <f t="shared" si="7"/>
        <v>2031</v>
      </c>
      <c r="B44" s="1149">
        <f>'2031'!L$379</f>
        <v>5.0546367161417693E-2</v>
      </c>
      <c r="C44" s="1150">
        <f>'2031'!O$379</f>
        <v>4.3127922836700056E-2</v>
      </c>
      <c r="D44" s="1151">
        <f>'2031'!P$379</f>
        <v>1.6789846140603762E-3</v>
      </c>
      <c r="E44" s="1149">
        <f>'2031'!Wh_Ppv/'2031'!Prod_an</f>
        <v>5.0537964424037407E-2</v>
      </c>
      <c r="F44" s="1150">
        <f>'2031'!Wh_Psa/'2031'!D$9</f>
        <v>3.5052005403098364E-2</v>
      </c>
      <c r="G44" s="1151">
        <f>'2031'!Wh_Pvg/'2031'!E$9</f>
        <v>1.7817826281759516E-4</v>
      </c>
      <c r="H44" s="1149">
        <f>H20/'2031'!Z$9</f>
        <v>2.6052301677770347E-2</v>
      </c>
      <c r="I44" s="1152">
        <f>I20/'2031'!AA$9</f>
        <v>6.7079974370305652E-4</v>
      </c>
      <c r="J44" s="1151">
        <f t="shared" si="10"/>
        <v>8.2092001567068751E-2</v>
      </c>
      <c r="K44" s="848" t="str">
        <f>K20</f>
        <v/>
      </c>
      <c r="L44" s="1140">
        <f>(K44&lt;&gt;"")*('2031'!O$383-'2031'!O$381)</f>
        <v>0</v>
      </c>
      <c r="M44" s="365"/>
      <c r="N44" s="365"/>
      <c r="O44" s="365"/>
      <c r="P44" s="365"/>
      <c r="Q44" s="365"/>
      <c r="R44" s="365"/>
      <c r="S44" s="852"/>
      <c r="T44" s="852"/>
    </row>
    <row r="45" spans="1:28" s="19" customFormat="1" ht="12.75" x14ac:dyDescent="0.2">
      <c r="A45" s="699"/>
      <c r="B45" s="854"/>
      <c r="C45" s="1153"/>
      <c r="D45" s="1154"/>
      <c r="E45" s="854"/>
      <c r="F45" s="1153"/>
      <c r="G45" s="1154"/>
      <c r="H45" s="1155"/>
      <c r="I45" s="700"/>
      <c r="J45" s="1154"/>
      <c r="K45" s="862"/>
      <c r="L45" s="1154"/>
      <c r="M45" s="10"/>
      <c r="N45" s="10"/>
      <c r="O45" s="10"/>
      <c r="P45" s="10"/>
      <c r="Q45" s="10"/>
      <c r="R45" s="10"/>
      <c r="S45" s="852"/>
      <c r="T45" s="852"/>
    </row>
    <row r="46" spans="1:28" s="19" customFormat="1" ht="12.75" x14ac:dyDescent="0.2">
      <c r="A46" s="699"/>
      <c r="B46" s="854"/>
      <c r="C46" s="1153"/>
      <c r="D46" s="1154"/>
      <c r="E46" s="854"/>
      <c r="F46" s="1153"/>
      <c r="G46" s="1154"/>
      <c r="H46" s="1155"/>
      <c r="I46" s="700"/>
      <c r="J46" s="1154"/>
      <c r="K46" s="862"/>
      <c r="L46" s="1154"/>
      <c r="M46" s="10"/>
      <c r="N46" s="10"/>
      <c r="O46" s="10"/>
      <c r="P46" s="853"/>
      <c r="Q46" s="10"/>
      <c r="R46" s="853"/>
      <c r="S46" s="852"/>
      <c r="T46" s="852"/>
    </row>
    <row r="47" spans="1:28" s="19" customFormat="1" ht="12.75" x14ac:dyDescent="0.2">
      <c r="A47" s="699"/>
      <c r="B47" s="854"/>
      <c r="C47" s="1153"/>
      <c r="D47" s="1154"/>
      <c r="E47" s="854"/>
      <c r="F47" s="1153"/>
      <c r="G47" s="1154"/>
      <c r="H47" s="1155"/>
      <c r="I47" s="700"/>
      <c r="J47" s="1154"/>
      <c r="K47" s="862"/>
      <c r="L47" s="1154"/>
      <c r="M47" s="10"/>
      <c r="N47" s="10"/>
      <c r="O47" s="10"/>
      <c r="P47" s="853"/>
      <c r="Q47" s="10"/>
      <c r="S47" s="852"/>
      <c r="T47" s="852"/>
    </row>
    <row r="48" spans="1:28" s="19" customFormat="1" ht="12.75" x14ac:dyDescent="0.2">
      <c r="A48" s="699"/>
      <c r="B48" s="854"/>
      <c r="C48" s="1153"/>
      <c r="D48" s="1154"/>
      <c r="E48" s="854"/>
      <c r="F48" s="1153"/>
      <c r="G48" s="1154"/>
      <c r="H48" s="1155"/>
      <c r="I48" s="700"/>
      <c r="J48" s="1154"/>
      <c r="K48" s="862"/>
      <c r="L48" s="1154"/>
      <c r="M48" s="10"/>
      <c r="N48" s="10"/>
      <c r="O48" s="10"/>
      <c r="P48" s="853"/>
      <c r="Q48" s="10"/>
      <c r="R48" s="853"/>
      <c r="S48" s="852"/>
      <c r="T48" s="852"/>
    </row>
    <row r="49" spans="1:30" s="19" customFormat="1" ht="12.75" x14ac:dyDescent="0.2">
      <c r="A49" s="699"/>
      <c r="B49" s="854"/>
      <c r="C49" s="1153"/>
      <c r="D49" s="1154"/>
      <c r="E49" s="854"/>
      <c r="F49" s="1153"/>
      <c r="G49" s="1154"/>
      <c r="H49" s="1155"/>
      <c r="I49" s="700"/>
      <c r="J49" s="1154"/>
      <c r="K49" s="862"/>
      <c r="L49" s="1154"/>
      <c r="M49" s="10"/>
      <c r="N49" s="10"/>
      <c r="O49" s="10"/>
      <c r="P49" s="853"/>
      <c r="Q49" s="10"/>
      <c r="R49" s="853"/>
      <c r="S49" s="852"/>
      <c r="T49" s="852"/>
    </row>
    <row r="50" spans="1:30" s="19" customFormat="1" ht="12.75" x14ac:dyDescent="0.2">
      <c r="A50" s="699"/>
      <c r="B50" s="854"/>
      <c r="C50" s="1153"/>
      <c r="D50" s="1154"/>
      <c r="E50" s="854"/>
      <c r="F50" s="1153"/>
      <c r="G50" s="1154"/>
      <c r="H50" s="1155"/>
      <c r="I50" s="700"/>
      <c r="J50" s="1154"/>
      <c r="K50" s="862"/>
      <c r="L50" s="1154"/>
      <c r="M50" s="10"/>
      <c r="N50" s="10"/>
      <c r="O50" s="10"/>
      <c r="P50" s="853"/>
      <c r="Q50" s="10"/>
      <c r="R50" s="853"/>
      <c r="S50" s="852"/>
      <c r="T50" s="852"/>
    </row>
    <row r="51" spans="1:30" s="19" customFormat="1" ht="12.75" x14ac:dyDescent="0.2">
      <c r="A51" s="699"/>
      <c r="B51" s="854"/>
      <c r="C51" s="1153"/>
      <c r="D51" s="1154"/>
      <c r="E51" s="854"/>
      <c r="F51" s="1153"/>
      <c r="G51" s="1154"/>
      <c r="H51" s="1155"/>
      <c r="I51" s="700"/>
      <c r="J51" s="1154"/>
      <c r="K51" s="862"/>
      <c r="L51" s="1154"/>
      <c r="M51" s="10"/>
      <c r="N51" s="10"/>
      <c r="O51" s="10"/>
      <c r="P51" s="853"/>
      <c r="Q51" s="10"/>
      <c r="R51" s="853"/>
      <c r="S51" s="852"/>
      <c r="T51" s="852"/>
    </row>
    <row r="52" spans="1:30" s="19" customFormat="1" ht="12.75" x14ac:dyDescent="0.2">
      <c r="A52" s="699"/>
      <c r="B52" s="854"/>
      <c r="C52" s="1153"/>
      <c r="D52" s="1154"/>
      <c r="E52" s="854"/>
      <c r="F52" s="1153"/>
      <c r="G52" s="1154"/>
      <c r="H52" s="1155"/>
      <c r="I52" s="700"/>
      <c r="J52" s="1154"/>
      <c r="K52" s="862"/>
      <c r="L52" s="1154"/>
      <c r="M52" s="10"/>
      <c r="N52" s="10"/>
      <c r="O52" s="10"/>
      <c r="P52" s="10"/>
      <c r="Q52" s="10"/>
      <c r="R52" s="10"/>
      <c r="S52" s="852"/>
      <c r="T52" s="852"/>
    </row>
    <row r="53" spans="1:30" s="19" customFormat="1" ht="12.75" x14ac:dyDescent="0.2">
      <c r="A53" s="699"/>
      <c r="B53" s="854"/>
      <c r="C53" s="1153"/>
      <c r="D53" s="1154"/>
      <c r="E53" s="854"/>
      <c r="F53" s="1153"/>
      <c r="G53" s="1154"/>
      <c r="H53" s="1155"/>
      <c r="I53" s="700"/>
      <c r="J53" s="1154"/>
      <c r="K53" s="862"/>
      <c r="L53" s="1154"/>
      <c r="M53" s="10"/>
      <c r="N53" s="10"/>
      <c r="O53" s="10"/>
      <c r="P53" s="10"/>
      <c r="Q53" s="10"/>
      <c r="R53" s="10"/>
      <c r="S53" s="852"/>
      <c r="T53" s="852"/>
    </row>
    <row r="54" spans="1:30" s="19" customFormat="1" ht="12.75" x14ac:dyDescent="0.2">
      <c r="A54" s="702"/>
      <c r="B54" s="856"/>
      <c r="C54" s="703"/>
      <c r="D54" s="1156"/>
      <c r="E54" s="856"/>
      <c r="F54" s="703"/>
      <c r="G54" s="1156"/>
      <c r="H54" s="1157"/>
      <c r="I54" s="703"/>
      <c r="J54" s="1156"/>
      <c r="K54" s="864"/>
      <c r="L54" s="1156"/>
      <c r="M54" s="10"/>
      <c r="N54" s="10"/>
      <c r="O54" s="10"/>
      <c r="P54" s="10"/>
      <c r="Q54" s="10"/>
      <c r="R54" s="10"/>
      <c r="S54" s="852"/>
      <c r="T54" s="852"/>
      <c r="AD54" s="30"/>
    </row>
    <row r="55" spans="1:30" s="19" customFormat="1" ht="12.75" x14ac:dyDescent="0.2">
      <c r="A55" s="1158"/>
      <c r="B55" s="700"/>
      <c r="C55" s="701"/>
      <c r="D55" s="698"/>
      <c r="E55" s="700"/>
      <c r="F55" s="700"/>
      <c r="G55" s="700"/>
      <c r="H55" s="701"/>
      <c r="I55" s="698"/>
      <c r="J55" s="700"/>
      <c r="K55" s="1159"/>
      <c r="L55" s="1159"/>
      <c r="M55" s="700"/>
      <c r="N55" s="1160"/>
      <c r="O55" s="10"/>
      <c r="P55" s="10"/>
      <c r="Q55" s="10"/>
      <c r="R55" s="10"/>
      <c r="S55" s="852"/>
      <c r="T55" s="852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4">
        <f>MIN(B$61:B$80)</f>
        <v>2.9177355145142485</v>
      </c>
      <c r="C57" s="364">
        <f t="shared" ref="C57:N57" si="11">MIN(C$61:C$80)</f>
        <v>3.9376701357668833</v>
      </c>
      <c r="D57" s="364">
        <f t="shared" si="11"/>
        <v>5.0398992758733554</v>
      </c>
      <c r="E57" s="364">
        <f t="shared" si="11"/>
        <v>5.9033645267891393</v>
      </c>
      <c r="F57" s="364">
        <f t="shared" si="11"/>
        <v>6.3701102146648676</v>
      </c>
      <c r="G57" s="364">
        <f t="shared" si="11"/>
        <v>6.4639046656689034</v>
      </c>
      <c r="H57" s="364">
        <f t="shared" si="11"/>
        <v>6.2771348277961829</v>
      </c>
      <c r="I57" s="364">
        <f t="shared" si="11"/>
        <v>5.7985235071269434</v>
      </c>
      <c r="J57" s="364">
        <f t="shared" si="11"/>
        <v>5.0505029555683834</v>
      </c>
      <c r="K57" s="364">
        <f t="shared" si="11"/>
        <v>4.0564632460531191</v>
      </c>
      <c r="L57" s="364">
        <f t="shared" si="11"/>
        <v>3.0341054134494834</v>
      </c>
      <c r="M57" s="364">
        <f t="shared" si="11"/>
        <v>2.4842090605951141</v>
      </c>
      <c r="N57" s="364">
        <f t="shared" si="11"/>
        <v>4.7955400416522487</v>
      </c>
      <c r="P57" s="365"/>
      <c r="Q57" s="366"/>
      <c r="R57" s="365"/>
      <c r="S57" s="365"/>
      <c r="T57" s="365"/>
      <c r="U57" s="365"/>
      <c r="V57" s="365"/>
    </row>
    <row r="58" spans="1:30" s="10" customFormat="1" ht="11.25" x14ac:dyDescent="0.2">
      <c r="A58" s="75" t="s">
        <v>58</v>
      </c>
      <c r="B58" s="364">
        <f>AVERAGE(B$61:B$80)</f>
        <v>2.9854445692527687</v>
      </c>
      <c r="C58" s="364">
        <f t="shared" ref="C58:N58" si="12">AVERAGE(C$61:C$80)</f>
        <v>4.0347168106943867</v>
      </c>
      <c r="D58" s="364">
        <f t="shared" si="12"/>
        <v>5.1660049848205167</v>
      </c>
      <c r="E58" s="364">
        <f t="shared" si="12"/>
        <v>6.0680145905231155</v>
      </c>
      <c r="F58" s="364">
        <f t="shared" si="12"/>
        <v>6.5662213099358882</v>
      </c>
      <c r="G58" s="364">
        <f t="shared" si="12"/>
        <v>6.6820494731526265</v>
      </c>
      <c r="H58" s="364">
        <f t="shared" si="12"/>
        <v>6.4867543698251255</v>
      </c>
      <c r="I58" s="364">
        <f t="shared" si="12"/>
        <v>5.9895066968288146</v>
      </c>
      <c r="J58" s="364">
        <f t="shared" si="12"/>
        <v>5.2140550123714648</v>
      </c>
      <c r="K58" s="364">
        <f t="shared" si="12"/>
        <v>4.184949605817657</v>
      </c>
      <c r="L58" s="364">
        <f t="shared" si="12"/>
        <v>3.1276131902799209</v>
      </c>
      <c r="M58" s="364">
        <f t="shared" si="12"/>
        <v>2.5622507315067571</v>
      </c>
      <c r="N58" s="364">
        <f t="shared" si="12"/>
        <v>4.925225458023526</v>
      </c>
      <c r="P58" s="365"/>
      <c r="Q58" s="366"/>
      <c r="R58" s="365"/>
      <c r="S58" s="365"/>
      <c r="T58" s="365"/>
      <c r="U58" s="365"/>
      <c r="V58" s="365"/>
    </row>
    <row r="59" spans="1:30" s="10" customFormat="1" ht="11.25" x14ac:dyDescent="0.2">
      <c r="A59" s="75" t="s">
        <v>59</v>
      </c>
      <c r="B59" s="364">
        <f>MAX(B$61:B$80)</f>
        <v>3.0645266502289989</v>
      </c>
      <c r="C59" s="364">
        <f t="shared" ref="C59:N59" si="13">MAX(C$61:C$80)</f>
        <v>4.1351957264920927</v>
      </c>
      <c r="D59" s="364">
        <f t="shared" si="13"/>
        <v>5.291943986766503</v>
      </c>
      <c r="E59" s="364">
        <f t="shared" si="13"/>
        <v>6.3391071952620051</v>
      </c>
      <c r="F59" s="364">
        <f t="shared" si="13"/>
        <v>6.7524405967106773</v>
      </c>
      <c r="G59" s="364">
        <f t="shared" si="13"/>
        <v>6.8695101511868772</v>
      </c>
      <c r="H59" s="364">
        <f t="shared" si="13"/>
        <v>6.6711764669883573</v>
      </c>
      <c r="I59" s="364">
        <f t="shared" si="13"/>
        <v>6.1618420415424922</v>
      </c>
      <c r="J59" s="364">
        <f t="shared" si="13"/>
        <v>5.3656962759802802</v>
      </c>
      <c r="K59" s="364">
        <f t="shared" si="13"/>
        <v>4.3086129638973665</v>
      </c>
      <c r="L59" s="364">
        <f t="shared" si="13"/>
        <v>3.2243383969993311</v>
      </c>
      <c r="M59" s="364">
        <f t="shared" si="13"/>
        <v>2.6391249925482336</v>
      </c>
      <c r="N59" s="364">
        <f t="shared" si="13"/>
        <v>5.034328755591849</v>
      </c>
      <c r="P59" s="365"/>
      <c r="Q59" s="366"/>
      <c r="R59" s="365"/>
      <c r="S59" s="365"/>
      <c r="T59" s="365"/>
      <c r="U59" s="365"/>
      <c r="V59" s="365"/>
    </row>
    <row r="60" spans="1:30" s="19" customFormat="1" ht="12.75" x14ac:dyDescent="0.2">
      <c r="A60" s="107" t="s">
        <v>52</v>
      </c>
      <c r="B60" s="339">
        <v>15</v>
      </c>
      <c r="C60" s="339">
        <v>46</v>
      </c>
      <c r="D60" s="339">
        <v>75</v>
      </c>
      <c r="E60" s="339">
        <v>106</v>
      </c>
      <c r="F60" s="339">
        <v>136</v>
      </c>
      <c r="G60" s="339">
        <v>167</v>
      </c>
      <c r="H60" s="339">
        <v>197</v>
      </c>
      <c r="I60" s="339">
        <v>228</v>
      </c>
      <c r="J60" s="339">
        <v>259</v>
      </c>
      <c r="K60" s="339">
        <v>289</v>
      </c>
      <c r="L60" s="339">
        <v>320</v>
      </c>
      <c r="M60" s="339">
        <v>350</v>
      </c>
      <c r="N60" s="339" t="s">
        <v>60</v>
      </c>
      <c r="O60" s="30"/>
      <c r="P60" s="145"/>
      <c r="Q60" s="338"/>
      <c r="R60" s="145"/>
      <c r="S60" s="145"/>
      <c r="T60" s="145"/>
      <c r="U60" s="145"/>
      <c r="V60" s="32"/>
      <c r="W60" s="30"/>
      <c r="X60" s="30"/>
      <c r="Y60" s="30"/>
      <c r="Z60" s="30"/>
    </row>
    <row r="61" spans="1:30" s="19" customFormat="1" ht="12.75" x14ac:dyDescent="0.2">
      <c r="A61" s="138">
        <f>'2022'!An</f>
        <v>2022</v>
      </c>
      <c r="B61" s="340"/>
      <c r="C61" s="340"/>
      <c r="D61" s="340"/>
      <c r="E61" s="341"/>
      <c r="F61" s="340"/>
      <c r="G61" s="340">
        <f>AVERAGE('2022'!$V$166:$V$195)/Pc</f>
        <v>6.8695101511868772</v>
      </c>
      <c r="H61" s="340">
        <f>AVERAGE('2022'!$V$196:$V$226)/Pc</f>
        <v>6.6711764669883573</v>
      </c>
      <c r="I61" s="340">
        <f>AVERAGE('2022'!$V$227:$V$257)/Pc</f>
        <v>6.1618420415424922</v>
      </c>
      <c r="J61" s="342">
        <f>AVERAGE('2022'!$V$258:$V$287)/Pc</f>
        <v>5.3656962759802802</v>
      </c>
      <c r="K61" s="343">
        <f>AVERAGE('2022'!$V$288:$V$318)/Pc</f>
        <v>4.3086129638973665</v>
      </c>
      <c r="L61" s="340">
        <f>AVERAGE('2022'!$V$319:$V$348)/Pc</f>
        <v>3.2243383969993311</v>
      </c>
      <c r="M61" s="344">
        <f>AVERAGE('2022'!$V$349:$V$379)/Pc</f>
        <v>2.6391249925482336</v>
      </c>
      <c r="N61" s="348">
        <f t="shared" ref="N61:N66" si="14">AVERAGE(B61:M61)</f>
        <v>5.034328755591849</v>
      </c>
      <c r="O61" s="30"/>
      <c r="P61" s="145"/>
      <c r="Q61" s="338"/>
      <c r="R61" s="145"/>
      <c r="S61" s="145"/>
      <c r="T61" s="145"/>
      <c r="U61" s="145"/>
      <c r="V61" s="32"/>
      <c r="W61" s="30"/>
      <c r="X61" s="30"/>
      <c r="Y61" s="30"/>
      <c r="Z61" s="30"/>
    </row>
    <row r="62" spans="1:30" s="19" customFormat="1" ht="12.75" x14ac:dyDescent="0.2">
      <c r="A62" s="139">
        <f>'2023'!An</f>
        <v>2023</v>
      </c>
      <c r="B62" s="345">
        <f>AVERAGE('2023'!$V$15:$V$45)/Pc</f>
        <v>3.0645266502289989</v>
      </c>
      <c r="C62" s="345">
        <f>AVERAGE('2023'!$V$46:$V$73)/Pc</f>
        <v>4.1351957264920927</v>
      </c>
      <c r="D62" s="345">
        <f>AVERAGE('2023'!$V$74:$V$104)/Pc</f>
        <v>5.291943986766503</v>
      </c>
      <c r="E62" s="346">
        <f>AVERAGE('2023'!$V$105:$V$134)/Pc</f>
        <v>6.1889062299651867</v>
      </c>
      <c r="F62" s="345">
        <f>AVERAGE('2023'!$V$135:$V$165)/Pc</f>
        <v>6.6110707462754279</v>
      </c>
      <c r="G62" s="345">
        <f>AVERAGE('2023'!$V$166:$V$195)/Pc</f>
        <v>6.7103429532791008</v>
      </c>
      <c r="H62" s="345">
        <f>AVERAGE('2023'!$V$196:$V$226)/Pc</f>
        <v>6.5186084670728945</v>
      </c>
      <c r="I62" s="345">
        <f>AVERAGE('2023'!$V$227:$V$257)/Pc</f>
        <v>6.0236535665123645</v>
      </c>
      <c r="J62" s="343">
        <f>AVERAGE('2023'!$V$258:$V$287)/Pc</f>
        <v>5.2481504378831545</v>
      </c>
      <c r="K62" s="343">
        <f>AVERAGE('2023'!$V$288:$V$318)/Pc</f>
        <v>4.2166896964114908</v>
      </c>
      <c r="L62" s="345">
        <f>AVERAGE('2023'!$V$319:$V$348)/Pc</f>
        <v>3.1564196553657773</v>
      </c>
      <c r="M62" s="347">
        <f>AVERAGE('2023'!$V$349:$V$379)/Pc</f>
        <v>2.585075508950486</v>
      </c>
      <c r="N62" s="349">
        <f t="shared" si="14"/>
        <v>4.9792153021002905</v>
      </c>
      <c r="O62" s="30"/>
      <c r="P62" s="145"/>
      <c r="Q62" s="338"/>
      <c r="R62" s="145"/>
      <c r="S62" s="145"/>
      <c r="T62" s="145"/>
      <c r="U62" s="145"/>
      <c r="V62" s="32"/>
      <c r="W62" s="30"/>
      <c r="X62" s="30"/>
      <c r="Y62" s="30"/>
      <c r="Z62" s="30"/>
    </row>
    <row r="63" spans="1:30" s="19" customFormat="1" ht="12.75" x14ac:dyDescent="0.2">
      <c r="A63" s="139">
        <f>'2024'!An</f>
        <v>2024</v>
      </c>
      <c r="B63" s="345">
        <f>AVERAGE('2024'!$V$15:$V$45)/Pc</f>
        <v>3.0031401681512109</v>
      </c>
      <c r="C63" s="345">
        <f>AVERAGE('2024'!$V$46:$V$74)/Pc</f>
        <v>4.0757774296540497</v>
      </c>
      <c r="D63" s="345">
        <f>AVERAGE('2024'!$V$75:$V$105)/Pc</f>
        <v>5.2278100683864865</v>
      </c>
      <c r="E63" s="346">
        <f>AVERAGE('2024'!$V$106:$V$135)/Pc</f>
        <v>6.3391071952620051</v>
      </c>
      <c r="F63" s="345">
        <f>AVERAGE('2024'!$V$136:$V$166)/Pc</f>
        <v>6.7524405967106773</v>
      </c>
      <c r="G63" s="345">
        <f>AVERAGE('2024'!$V$167:$V$196)/Pc</f>
        <v>6.8404527711231218</v>
      </c>
      <c r="H63" s="345">
        <f>AVERAGE('2024'!$V$197:$V$227)/Pc</f>
        <v>6.629248053141616</v>
      </c>
      <c r="I63" s="345">
        <f>AVERAGE('2024'!$V$228:$V$258)/Pc</f>
        <v>6.1095427525485615</v>
      </c>
      <c r="J63" s="343">
        <f>AVERAGE('2024'!$V$259:$V$288)/Pc</f>
        <v>5.3046414218024927</v>
      </c>
      <c r="K63" s="343">
        <f>AVERAGE('2024'!$V$289:$V$319)/Pc</f>
        <v>4.2457090299919038</v>
      </c>
      <c r="L63" s="345">
        <f>AVERAGE('2024'!$V$320:$V$349)/Pc</f>
        <v>3.1684016832241708</v>
      </c>
      <c r="M63" s="347">
        <f>AVERAGE('2024'!$V$350:$V$380)/Pc</f>
        <v>2.615050182258281</v>
      </c>
      <c r="N63" s="350">
        <f t="shared" si="14"/>
        <v>5.0259434460212153</v>
      </c>
      <c r="O63" s="30"/>
      <c r="P63" s="145"/>
      <c r="Q63" s="338"/>
      <c r="R63" s="145"/>
      <c r="S63" s="145"/>
      <c r="T63" s="145"/>
      <c r="U63" s="145"/>
      <c r="V63" s="32"/>
      <c r="W63" s="30"/>
      <c r="X63" s="30"/>
      <c r="Y63" s="30"/>
      <c r="Z63" s="30"/>
    </row>
    <row r="64" spans="1:30" s="19" customFormat="1" ht="12.75" x14ac:dyDescent="0.2">
      <c r="A64" s="139">
        <f>'2025'!An</f>
        <v>2025</v>
      </c>
      <c r="B64" s="345">
        <f>AVERAGE('2025'!$V$15:$V$45)/Pc</f>
        <v>3.0383143756621451</v>
      </c>
      <c r="C64" s="345">
        <f>AVERAGE('2025'!$V$46:$V$73)/Pc</f>
        <v>4.1019479966746086</v>
      </c>
      <c r="D64" s="345">
        <f>AVERAGE('2025'!$V$74:$V$104)/Pc</f>
        <v>5.2490938715918416</v>
      </c>
      <c r="E64" s="346">
        <f>AVERAGE('2025'!$V$105:$V$134)/Pc</f>
        <v>6.1367851703490661</v>
      </c>
      <c r="F64" s="345">
        <f>AVERAGE('2025'!$V$135:$V$165)/Pc</f>
        <v>6.5534700072437575</v>
      </c>
      <c r="G64" s="345">
        <f>AVERAGE('2025'!$V$166:$V$195)/Pc</f>
        <v>6.65012683752839</v>
      </c>
      <c r="H64" s="345">
        <f>AVERAGE('2025'!$V$196:$V$226)/Pc</f>
        <v>6.4581196983076756</v>
      </c>
      <c r="I64" s="345">
        <f>AVERAGE('2025'!$V$227:$V$257)/Pc</f>
        <v>5.9658912857685165</v>
      </c>
      <c r="J64" s="343">
        <f>AVERAGE('2025'!$V$258:$V$287)/Pc</f>
        <v>5.1966181080598499</v>
      </c>
      <c r="K64" s="343">
        <f>AVERAGE('2025'!$V$288:$V$318)/Pc</f>
        <v>4.1738461990148918</v>
      </c>
      <c r="L64" s="345">
        <f>AVERAGE('2025'!$V$319:$V$348)/Pc</f>
        <v>3.1204192130111728</v>
      </c>
      <c r="M64" s="347">
        <f>AVERAGE('2025'!$V$349:$V$379)/Pc</f>
        <v>2.5549874271092903</v>
      </c>
      <c r="N64" s="349">
        <f t="shared" si="14"/>
        <v>4.9333016825267668</v>
      </c>
      <c r="O64" s="30"/>
      <c r="P64" s="145"/>
      <c r="Q64" s="338"/>
      <c r="R64" s="145"/>
      <c r="S64" s="145"/>
      <c r="T64" s="145"/>
      <c r="U64" s="145"/>
      <c r="V64" s="32"/>
      <c r="W64" s="30"/>
      <c r="X64" s="30"/>
      <c r="Y64" s="30"/>
      <c r="Z64" s="30"/>
    </row>
    <row r="65" spans="1:26" s="19" customFormat="1" ht="12.75" x14ac:dyDescent="0.2">
      <c r="A65" s="538">
        <f>'2026'!An</f>
        <v>2026</v>
      </c>
      <c r="B65" s="539">
        <f>AVERAGE('2026'!$V$15:$V$45)/Pc</f>
        <v>2.967609162619596</v>
      </c>
      <c r="C65" s="539">
        <f>AVERAGE('2026'!$V$46:$V$73)/Pc</f>
        <v>4.0105419003100566</v>
      </c>
      <c r="D65" s="539">
        <f>AVERAGE('2026'!$V$74:$V$104)/Pc</f>
        <v>5.1354476139770968</v>
      </c>
      <c r="E65" s="541">
        <f>AVERAGE('2026'!$V$105:$V$134)/Pc</f>
        <v>6.0155782368434219</v>
      </c>
      <c r="F65" s="539">
        <f>AVERAGE('2026'!$V$135:$V$165)/Pc</f>
        <v>6.691610902988069</v>
      </c>
      <c r="G65" s="539">
        <f>AVERAGE('2026'!$V$166:$V$195)/Pc</f>
        <v>6.7882284963451811</v>
      </c>
      <c r="H65" s="539">
        <f>AVERAGE('2026'!$V$196:$V$226)/Pc</f>
        <v>6.5883347884319416</v>
      </c>
      <c r="I65" s="539">
        <f>AVERAGE('2026'!$V$227:$V$257)/Pc</f>
        <v>6.0813185310930811</v>
      </c>
      <c r="J65" s="539">
        <f>AVERAGE('2026'!$V$258:$V$287)/Pc</f>
        <v>5.2928272123164009</v>
      </c>
      <c r="K65" s="539">
        <f>AVERAGE('2026'!$V$288:$V$318)/Pc</f>
        <v>4.2465138763683496</v>
      </c>
      <c r="L65" s="539">
        <f>AVERAGE('2026'!$V$319:$V$348)/Pc</f>
        <v>3.1693677189959959</v>
      </c>
      <c r="M65" s="540">
        <f>AVERAGE('2026'!$V$349:$V$379)/Pc</f>
        <v>2.5927344503971139</v>
      </c>
      <c r="N65" s="546">
        <f t="shared" si="14"/>
        <v>4.9650094075571918</v>
      </c>
      <c r="O65" s="30"/>
      <c r="P65" s="145"/>
      <c r="Q65" s="338"/>
      <c r="R65" s="145"/>
      <c r="S65" s="145"/>
      <c r="T65" s="145"/>
      <c r="U65" s="145"/>
      <c r="V65" s="32"/>
      <c r="W65" s="30"/>
      <c r="X65" s="30"/>
      <c r="Y65" s="30"/>
      <c r="Z65" s="30"/>
    </row>
    <row r="66" spans="1:26" s="19" customFormat="1" ht="12.75" x14ac:dyDescent="0.2">
      <c r="A66" s="538">
        <v>2023</v>
      </c>
      <c r="B66" s="539">
        <f>AVERAGE('2027'!$V$15:$V$45)/Pc</f>
        <v>3.0093551256831326</v>
      </c>
      <c r="C66" s="539">
        <f>AVERAGE('2027'!$V$46:$V$73)/Pc</f>
        <v>4.0663284659094794</v>
      </c>
      <c r="D66" s="539">
        <f>AVERAGE('2027'!$V$74:$V$104)/Pc</f>
        <v>5.2049902583282064</v>
      </c>
      <c r="E66" s="541">
        <f>AVERAGE('2027'!$V$105:$V$134)/Pc</f>
        <v>6.0849012849635482</v>
      </c>
      <c r="F66" s="539">
        <f>AVERAGE('2027'!$V$135:$V$165)/Pc</f>
        <v>6.4978339401311596</v>
      </c>
      <c r="G66" s="539">
        <f>AVERAGE('2027'!$V$166:$V$195)/Pc</f>
        <v>6.5935832617386172</v>
      </c>
      <c r="H66" s="539">
        <f>AVERAGE('2027'!$V$196:$V$226)/Pc</f>
        <v>6.4028011080590161</v>
      </c>
      <c r="I66" s="539">
        <f>AVERAGE('2027'!$V$227:$V$257)/Pc</f>
        <v>5.9143051457276732</v>
      </c>
      <c r="J66" s="539">
        <f>AVERAGE('2027'!$V$258:$V$287)/Pc</f>
        <v>5.1515742213544096</v>
      </c>
      <c r="K66" s="539">
        <f>AVERAGE('2027'!$V$288:$V$318)/Pc</f>
        <v>4.1366094286633341</v>
      </c>
      <c r="L66" s="539">
        <f>AVERAGE('2027'!$V$319:$V$348)/Pc</f>
        <v>3.0888582969975227</v>
      </c>
      <c r="M66" s="540">
        <f>AVERAGE('2027'!$V$349:$V$379)/Pc</f>
        <v>2.5291531100506428</v>
      </c>
      <c r="N66" s="546">
        <f t="shared" si="14"/>
        <v>4.8900244706338949</v>
      </c>
      <c r="O66" s="30"/>
      <c r="P66" s="145"/>
      <c r="Q66" s="338"/>
      <c r="R66" s="145"/>
      <c r="S66" s="145"/>
      <c r="T66" s="145"/>
      <c r="U66" s="145"/>
      <c r="V66" s="32"/>
      <c r="W66" s="30"/>
      <c r="X66" s="30"/>
      <c r="Y66" s="30"/>
      <c r="Z66" s="30"/>
    </row>
    <row r="67" spans="1:26" s="19" customFormat="1" ht="12.75" x14ac:dyDescent="0.2">
      <c r="A67" s="538">
        <v>2024</v>
      </c>
      <c r="B67" s="539">
        <f>AVERAGE('2028'!$V$15:$V$45)/Pc</f>
        <v>2.9375496182315883</v>
      </c>
      <c r="C67" s="539">
        <f>AVERAGE('2028'!$V$46:$V$73)/Pc</f>
        <v>3.9732743395604562</v>
      </c>
      <c r="D67" s="539">
        <f>AVERAGE('2028'!$V$74:$V$104)/Pc</f>
        <v>5.089611856984587</v>
      </c>
      <c r="E67" s="541">
        <f>AVERAGE('2028'!$V$105:$V$134)/Pc</f>
        <v>5.9527108954990249</v>
      </c>
      <c r="F67" s="539">
        <f>AVERAGE('2028'!$V$135:$V$165)/Pc</f>
        <v>6.6248812032364803</v>
      </c>
      <c r="G67" s="539">
        <f>AVERAGE('2028'!$V$166:$V$195)/Pc</f>
        <v>6.720560721609516</v>
      </c>
      <c r="H67" s="539">
        <f>AVERAGE('2028'!$V$196:$V$226)/Pc</f>
        <v>6.522458513229652</v>
      </c>
      <c r="I67" s="539">
        <f>AVERAGE('2028'!$V$227:$V$257)/Pc</f>
        <v>6.0202930996198223</v>
      </c>
      <c r="J67" s="539">
        <f>AVERAGE('2028'!$V$258:$V$287)/Pc</f>
        <v>5.2398655197947628</v>
      </c>
      <c r="K67" s="539">
        <f>AVERAGE('2028'!$V$288:$V$318)/Pc</f>
        <v>4.2030045630454405</v>
      </c>
      <c r="L67" s="539">
        <f>AVERAGE('2028'!$V$319:$V$348)/Pc</f>
        <v>3.1331411168058061</v>
      </c>
      <c r="M67" s="540">
        <f>AVERAGE('2028'!$V$349:$V$379)/Pc</f>
        <v>2.563472931402317</v>
      </c>
      <c r="N67" s="546">
        <f>AVERAGE(B67:M67)</f>
        <v>4.9150686982516207</v>
      </c>
      <c r="O67" s="30"/>
      <c r="P67" s="145"/>
      <c r="Q67" s="338"/>
      <c r="R67" s="145"/>
      <c r="S67" s="145"/>
      <c r="T67" s="145"/>
      <c r="U67" s="145"/>
      <c r="V67" s="32"/>
      <c r="W67" s="30"/>
      <c r="X67" s="30"/>
      <c r="Y67" s="30"/>
      <c r="Z67" s="30"/>
    </row>
    <row r="68" spans="1:26" s="19" customFormat="1" ht="12.75" x14ac:dyDescent="0.2">
      <c r="A68" s="538">
        <v>2025</v>
      </c>
      <c r="B68" s="539">
        <f>AVERAGE('2029'!$V$15:$V$45)/Pc</f>
        <v>2.9751482215351936</v>
      </c>
      <c r="C68" s="539">
        <f>AVERAGE('2029'!$V$46:$V$73)/Pc</f>
        <v>4.0235529023222156</v>
      </c>
      <c r="D68" s="539">
        <f>AVERAGE('2029'!$V$74:$V$104)/Pc</f>
        <v>5.1527206374974686</v>
      </c>
      <c r="E68" s="541">
        <f>AVERAGE('2029'!$V$105:$V$134)/Pc</f>
        <v>6.0255631463202102</v>
      </c>
      <c r="F68" s="539">
        <f>AVERAGE('2029'!$V$135:$V$165)/Pc</f>
        <v>6.434587232524688</v>
      </c>
      <c r="G68" s="539">
        <f>AVERAGE('2029'!$V$166:$V$195)/Pc</f>
        <v>6.5291854570376939</v>
      </c>
      <c r="H68" s="539">
        <f>AVERAGE('2029'!$V$196:$V$226)/Pc</f>
        <v>6.3407287294122492</v>
      </c>
      <c r="I68" s="539">
        <f>AVERAGE('2029'!$V$227:$V$257)/Pc</f>
        <v>5.8575002023989899</v>
      </c>
      <c r="J68" s="539">
        <f>AVERAGE('2029'!$V$258:$V$287)/Pc</f>
        <v>5.1017395494408282</v>
      </c>
      <c r="K68" s="539">
        <f>AVERAGE('2029'!$V$288:$V$318)/Pc</f>
        <v>4.0980434060590207</v>
      </c>
      <c r="L68" s="539">
        <f>AVERAGE('2029'!$V$319:$V$348)/Pc</f>
        <v>3.0682343870496012</v>
      </c>
      <c r="M68" s="540">
        <f>AVERAGE('2029'!$V$349:$V$379)/Pc</f>
        <v>2.5122070026565191</v>
      </c>
      <c r="N68" s="546">
        <f>AVERAGE(B68:M68)</f>
        <v>4.8432675728545567</v>
      </c>
      <c r="O68" s="30"/>
      <c r="P68" s="145"/>
      <c r="Q68" s="338"/>
      <c r="R68" s="145"/>
      <c r="S68" s="145"/>
      <c r="T68" s="145"/>
      <c r="U68" s="145"/>
      <c r="V68" s="32"/>
      <c r="W68" s="30"/>
      <c r="X68" s="30"/>
      <c r="Y68" s="30"/>
      <c r="Z68" s="30"/>
    </row>
    <row r="69" spans="1:26" s="19" customFormat="1" ht="12.75" x14ac:dyDescent="0.2">
      <c r="A69" s="538">
        <v>2026</v>
      </c>
      <c r="B69" s="539">
        <f>AVERAGE('2030'!$V$15:$V$45)/Pc</f>
        <v>2.9177355145142485</v>
      </c>
      <c r="C69" s="539">
        <f>AVERAGE('2030'!$V$46:$V$73)/Pc</f>
        <v>3.9376701357668833</v>
      </c>
      <c r="D69" s="539">
        <f>AVERAGE('2030'!$V$74:$V$104)/Pc</f>
        <v>5.0398992758733554</v>
      </c>
      <c r="E69" s="541">
        <f>AVERAGE('2030'!$V$105:$V$134)/Pc</f>
        <v>5.9033645267891393</v>
      </c>
      <c r="F69" s="539">
        <f>AVERAGE('2030'!$V$135:$V$165)/Pc</f>
        <v>6.5599869456478741</v>
      </c>
      <c r="G69" s="539">
        <f>AVERAGE('2030'!$V$166:$V$195)/Pc</f>
        <v>6.6545994160088666</v>
      </c>
      <c r="H69" s="539">
        <f>AVERAGE('2030'!$V$196:$V$226)/Pc</f>
        <v>6.45893304581167</v>
      </c>
      <c r="I69" s="539">
        <f>AVERAGE('2030'!$V$227:$V$257)/Pc</f>
        <v>5.9621968359497073</v>
      </c>
      <c r="J69" s="539">
        <f>AVERAGE('2030'!$V$258:$V$287)/Pc</f>
        <v>5.1889344215140838</v>
      </c>
      <c r="K69" s="539">
        <f>AVERAGE('2030'!$V$288:$V$318)/Pc</f>
        <v>4.1640036486716534</v>
      </c>
      <c r="L69" s="539">
        <f>AVERAGE('2030'!$V$319:$V$348)/Pc</f>
        <v>3.1128460209003488</v>
      </c>
      <c r="M69" s="540">
        <f>AVERAGE('2030'!$V$349:$V$379)/Pc</f>
        <v>2.5464926490995694</v>
      </c>
      <c r="N69" s="546">
        <f>AVERAGE(B69:M69)</f>
        <v>4.8705552030456163</v>
      </c>
      <c r="O69" s="30"/>
      <c r="P69" s="145"/>
      <c r="Q69" s="338"/>
      <c r="R69" s="145"/>
      <c r="S69" s="145"/>
      <c r="T69" s="145"/>
      <c r="U69" s="145"/>
      <c r="V69" s="32"/>
      <c r="W69" s="30"/>
      <c r="X69" s="30"/>
      <c r="Y69" s="30"/>
      <c r="Z69" s="30"/>
    </row>
    <row r="70" spans="1:26" s="19" customFormat="1" ht="12.75" x14ac:dyDescent="0.2">
      <c r="A70" s="538">
        <v>2027</v>
      </c>
      <c r="B70" s="539">
        <f>AVERAGE('2031'!$V$15:$V$45)/Pc</f>
        <v>2.9556222866488095</v>
      </c>
      <c r="C70" s="539">
        <f>AVERAGE('2031'!$V$46:$V$73)/Pc</f>
        <v>3.9881623995596334</v>
      </c>
      <c r="D70" s="539">
        <f>AVERAGE('2031'!$V$74:$V$104)/Pc</f>
        <v>5.1025272939791106</v>
      </c>
      <c r="E70" s="541">
        <f>AVERAGE('2031'!$V$105:$V$134)/Pc</f>
        <v>5.9652146287164358</v>
      </c>
      <c r="F70" s="539">
        <f>AVERAGE('2031'!$V$135:$V$165)/Pc</f>
        <v>6.3701102146648676</v>
      </c>
      <c r="G70" s="539">
        <f>AVERAGE('2031'!$V$166:$V$195)/Pc</f>
        <v>6.4639046656689034</v>
      </c>
      <c r="H70" s="539">
        <f>AVERAGE('2031'!$V$196:$V$226)/Pc</f>
        <v>6.2771348277961829</v>
      </c>
      <c r="I70" s="539">
        <f>AVERAGE('2031'!$V$227:$V$257)/Pc</f>
        <v>5.7985235071269434</v>
      </c>
      <c r="J70" s="539">
        <f>AVERAGE('2031'!$V$258:$V$287)/Pc</f>
        <v>5.0505029555683834</v>
      </c>
      <c r="K70" s="539">
        <f>AVERAGE('2031'!$V$288:$V$318)/Pc</f>
        <v>4.0564632460531191</v>
      </c>
      <c r="L70" s="539">
        <f>AVERAGE('2031'!$V$319:$V$348)/Pc</f>
        <v>3.0341054134494834</v>
      </c>
      <c r="M70" s="540">
        <f>AVERAGE('2031'!$V$349:$V$379)/Pc</f>
        <v>2.4842090605951141</v>
      </c>
      <c r="N70" s="546">
        <f>AVERAGE(B70:M70)</f>
        <v>4.7955400416522487</v>
      </c>
      <c r="O70" s="30"/>
      <c r="P70" s="145"/>
      <c r="Q70" s="338"/>
      <c r="R70" s="145"/>
      <c r="S70" s="145"/>
      <c r="T70" s="145"/>
      <c r="U70" s="145"/>
      <c r="V70" s="32"/>
      <c r="W70" s="30"/>
      <c r="X70" s="30"/>
      <c r="Y70" s="30"/>
      <c r="Z70" s="30"/>
    </row>
    <row r="71" spans="1:26" s="19" customFormat="1" ht="12.75" x14ac:dyDescent="0.2">
      <c r="A71" s="538"/>
      <c r="B71" s="539"/>
      <c r="C71" s="539"/>
      <c r="D71" s="539"/>
      <c r="E71" s="541"/>
      <c r="F71" s="539"/>
      <c r="G71" s="539"/>
      <c r="H71" s="539"/>
      <c r="I71" s="539"/>
      <c r="J71" s="539"/>
      <c r="K71" s="539"/>
      <c r="L71" s="539"/>
      <c r="M71" s="540"/>
      <c r="N71" s="546"/>
      <c r="O71" s="30"/>
      <c r="P71" s="145"/>
      <c r="Q71" s="338"/>
      <c r="R71" s="145"/>
      <c r="S71" s="145"/>
      <c r="T71" s="145"/>
      <c r="U71" s="145"/>
      <c r="V71" s="32"/>
      <c r="W71" s="30"/>
      <c r="X71" s="30"/>
      <c r="Y71" s="30"/>
      <c r="Z71" s="30"/>
    </row>
    <row r="72" spans="1:26" s="19" customFormat="1" ht="12.75" x14ac:dyDescent="0.2">
      <c r="A72" s="538"/>
      <c r="B72" s="539"/>
      <c r="C72" s="539"/>
      <c r="D72" s="539"/>
      <c r="E72" s="541"/>
      <c r="F72" s="539"/>
      <c r="G72" s="539"/>
      <c r="H72" s="539"/>
      <c r="I72" s="539"/>
      <c r="J72" s="539"/>
      <c r="K72" s="539"/>
      <c r="L72" s="539"/>
      <c r="M72" s="540"/>
      <c r="N72" s="546"/>
      <c r="O72" s="30"/>
      <c r="P72" s="145"/>
      <c r="Q72" s="338"/>
      <c r="R72" s="145"/>
      <c r="S72" s="145"/>
      <c r="T72" s="145"/>
      <c r="U72" s="145"/>
      <c r="V72" s="32"/>
      <c r="W72" s="30"/>
      <c r="X72" s="30"/>
      <c r="Y72" s="30"/>
      <c r="Z72" s="30"/>
    </row>
    <row r="73" spans="1:26" s="19" customFormat="1" ht="12.75" x14ac:dyDescent="0.2">
      <c r="A73" s="538"/>
      <c r="B73" s="539"/>
      <c r="C73" s="539"/>
      <c r="D73" s="539"/>
      <c r="E73" s="541"/>
      <c r="F73" s="539"/>
      <c r="G73" s="539"/>
      <c r="H73" s="539"/>
      <c r="I73" s="539"/>
      <c r="J73" s="539"/>
      <c r="K73" s="539"/>
      <c r="L73" s="539"/>
      <c r="M73" s="540"/>
      <c r="N73" s="546"/>
      <c r="O73" s="30"/>
      <c r="P73" s="145"/>
      <c r="Q73" s="338"/>
      <c r="R73" s="145"/>
      <c r="S73" s="145"/>
      <c r="T73" s="145"/>
      <c r="U73" s="145"/>
      <c r="V73" s="32"/>
      <c r="W73" s="30"/>
      <c r="X73" s="30"/>
      <c r="Y73" s="30"/>
      <c r="Z73" s="30"/>
    </row>
    <row r="74" spans="1:26" s="19" customFormat="1" ht="12.75" x14ac:dyDescent="0.2">
      <c r="A74" s="538"/>
      <c r="B74" s="539"/>
      <c r="C74" s="539"/>
      <c r="D74" s="539"/>
      <c r="E74" s="541"/>
      <c r="F74" s="539"/>
      <c r="G74" s="539"/>
      <c r="H74" s="539"/>
      <c r="I74" s="539"/>
      <c r="J74" s="539"/>
      <c r="K74" s="539"/>
      <c r="L74" s="539"/>
      <c r="M74" s="540"/>
      <c r="N74" s="546"/>
      <c r="O74" s="30"/>
      <c r="P74" s="145"/>
      <c r="Q74" s="338"/>
      <c r="R74" s="145"/>
      <c r="S74" s="145"/>
      <c r="T74" s="145"/>
      <c r="U74" s="145"/>
      <c r="V74" s="32"/>
      <c r="W74" s="30"/>
      <c r="X74" s="30"/>
      <c r="Y74" s="30"/>
      <c r="Z74" s="30"/>
    </row>
    <row r="75" spans="1:26" s="19" customFormat="1" ht="12.75" x14ac:dyDescent="0.2">
      <c r="A75" s="538"/>
      <c r="B75" s="539"/>
      <c r="C75" s="539"/>
      <c r="D75" s="539"/>
      <c r="E75" s="541"/>
      <c r="F75" s="539"/>
      <c r="G75" s="539"/>
      <c r="H75" s="539"/>
      <c r="I75" s="539"/>
      <c r="J75" s="539"/>
      <c r="K75" s="539"/>
      <c r="L75" s="539"/>
      <c r="M75" s="540"/>
      <c r="N75" s="546"/>
      <c r="O75" s="30"/>
      <c r="P75" s="145"/>
      <c r="Q75" s="338"/>
      <c r="R75" s="145"/>
      <c r="S75" s="145"/>
      <c r="T75" s="145"/>
      <c r="U75" s="145"/>
      <c r="V75" s="32"/>
      <c r="W75" s="30"/>
      <c r="X75" s="30"/>
      <c r="Y75" s="30"/>
      <c r="Z75" s="30"/>
    </row>
    <row r="76" spans="1:26" s="19" customFormat="1" ht="12.75" x14ac:dyDescent="0.2">
      <c r="A76" s="538"/>
      <c r="B76" s="539"/>
      <c r="C76" s="539"/>
      <c r="D76" s="539"/>
      <c r="E76" s="541"/>
      <c r="F76" s="539"/>
      <c r="G76" s="539"/>
      <c r="H76" s="539"/>
      <c r="I76" s="539"/>
      <c r="J76" s="539"/>
      <c r="K76" s="539"/>
      <c r="L76" s="539"/>
      <c r="M76" s="540"/>
      <c r="N76" s="546"/>
      <c r="O76" s="30"/>
      <c r="P76" s="145"/>
      <c r="Q76" s="338"/>
      <c r="R76" s="145"/>
      <c r="S76" s="145"/>
      <c r="T76" s="145"/>
      <c r="U76" s="145"/>
      <c r="V76" s="32"/>
      <c r="W76" s="30"/>
      <c r="X76" s="30"/>
      <c r="Y76" s="30"/>
      <c r="Z76" s="30"/>
    </row>
    <row r="77" spans="1:26" s="19" customFormat="1" ht="12.75" x14ac:dyDescent="0.2">
      <c r="A77" s="538"/>
      <c r="B77" s="539"/>
      <c r="C77" s="539"/>
      <c r="D77" s="539"/>
      <c r="E77" s="541"/>
      <c r="F77" s="539"/>
      <c r="G77" s="539"/>
      <c r="H77" s="539"/>
      <c r="I77" s="539"/>
      <c r="J77" s="539"/>
      <c r="K77" s="539"/>
      <c r="L77" s="539"/>
      <c r="M77" s="540"/>
      <c r="N77" s="546"/>
      <c r="O77" s="30"/>
      <c r="P77" s="145"/>
      <c r="Q77" s="338"/>
      <c r="R77" s="145"/>
      <c r="S77" s="145"/>
      <c r="T77" s="145"/>
      <c r="U77" s="145"/>
      <c r="V77" s="32"/>
      <c r="W77" s="30"/>
      <c r="X77" s="30"/>
      <c r="Y77" s="30"/>
      <c r="Z77" s="30"/>
    </row>
    <row r="78" spans="1:26" s="19" customFormat="1" ht="12.75" x14ac:dyDescent="0.2">
      <c r="A78" s="538"/>
      <c r="B78" s="539"/>
      <c r="C78" s="539"/>
      <c r="D78" s="539"/>
      <c r="E78" s="541"/>
      <c r="F78" s="539"/>
      <c r="G78" s="539"/>
      <c r="H78" s="539"/>
      <c r="I78" s="539"/>
      <c r="J78" s="539"/>
      <c r="K78" s="539"/>
      <c r="L78" s="539"/>
      <c r="M78" s="540"/>
      <c r="N78" s="546"/>
      <c r="O78" s="30"/>
      <c r="P78" s="145"/>
      <c r="Q78" s="338"/>
      <c r="R78" s="145"/>
      <c r="S78" s="145"/>
      <c r="T78" s="145"/>
      <c r="U78" s="145"/>
      <c r="V78" s="32"/>
      <c r="W78" s="30"/>
      <c r="X78" s="30"/>
      <c r="Y78" s="30"/>
      <c r="Z78" s="30"/>
    </row>
    <row r="79" spans="1:26" s="19" customFormat="1" ht="12.75" x14ac:dyDescent="0.2">
      <c r="A79" s="538"/>
      <c r="B79" s="539"/>
      <c r="C79" s="539"/>
      <c r="D79" s="539"/>
      <c r="E79" s="541"/>
      <c r="F79" s="539"/>
      <c r="G79" s="539"/>
      <c r="H79" s="539"/>
      <c r="I79" s="539"/>
      <c r="J79" s="539"/>
      <c r="K79" s="539"/>
      <c r="L79" s="539"/>
      <c r="M79" s="540"/>
      <c r="N79" s="546"/>
      <c r="O79" s="30"/>
      <c r="P79" s="145"/>
      <c r="Q79" s="338"/>
      <c r="R79" s="145"/>
      <c r="S79" s="145"/>
      <c r="T79" s="145"/>
      <c r="U79" s="145"/>
      <c r="V79" s="32"/>
      <c r="W79" s="30"/>
      <c r="X79" s="30"/>
      <c r="Y79" s="30"/>
      <c r="Z79" s="30"/>
    </row>
    <row r="80" spans="1:26" s="19" customFormat="1" ht="12.75" x14ac:dyDescent="0.2">
      <c r="A80" s="542"/>
      <c r="B80" s="543"/>
      <c r="C80" s="543"/>
      <c r="D80" s="543"/>
      <c r="E80" s="544"/>
      <c r="F80" s="543"/>
      <c r="G80" s="543"/>
      <c r="H80" s="543"/>
      <c r="I80" s="543"/>
      <c r="J80" s="543"/>
      <c r="K80" s="543"/>
      <c r="L80" s="543"/>
      <c r="M80" s="545"/>
      <c r="N80" s="547"/>
      <c r="O80" s="30"/>
      <c r="P80" s="145"/>
      <c r="Q80" s="338"/>
      <c r="R80" s="145"/>
      <c r="S80" s="145"/>
      <c r="T80" s="145"/>
      <c r="U80" s="145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K7:L7"/>
    <mergeCell ref="C5:D5"/>
    <mergeCell ref="C2:D2"/>
    <mergeCell ref="C3:H3"/>
    <mergeCell ref="C4:D4"/>
  </mergeCells>
  <conditionalFormatting sqref="M11:M30">
    <cfRule type="expression" dxfId="52" priority="10" stopIfTrue="1">
      <formula>K11&lt;&gt;""</formula>
    </cfRule>
  </conditionalFormatting>
  <conditionalFormatting sqref="N11:N30">
    <cfRule type="expression" dxfId="51" priority="9" stopIfTrue="1">
      <formula>$L11&lt;&gt;""</formula>
    </cfRule>
  </conditionalFormatting>
  <conditionalFormatting sqref="M55">
    <cfRule type="expression" dxfId="50" priority="8" stopIfTrue="1">
      <formula>K55&lt;&gt;""</formula>
    </cfRule>
  </conditionalFormatting>
  <conditionalFormatting sqref="N55">
    <cfRule type="expression" dxfId="49" priority="7" stopIfTrue="1">
      <formula>$L55&lt;&gt;""</formula>
    </cfRule>
  </conditionalFormatting>
  <conditionalFormatting sqref="L45:L54">
    <cfRule type="expression" dxfId="48" priority="6" stopIfTrue="1">
      <formula>K45&lt;&gt;""</formula>
    </cfRule>
  </conditionalFormatting>
  <conditionalFormatting sqref="L40">
    <cfRule type="expression" dxfId="47" priority="4" stopIfTrue="1">
      <formula>K40&lt;&gt;""</formula>
    </cfRule>
  </conditionalFormatting>
  <conditionalFormatting sqref="L41">
    <cfRule type="expression" dxfId="46" priority="3" stopIfTrue="1">
      <formula>K41&lt;&gt;""</formula>
    </cfRule>
  </conditionalFormatting>
  <conditionalFormatting sqref="L35:L39">
    <cfRule type="expression" dxfId="45" priority="5" stopIfTrue="1">
      <formula>K35&lt;&gt;""</formula>
    </cfRule>
  </conditionalFormatting>
  <conditionalFormatting sqref="L42">
    <cfRule type="expression" dxfId="44" priority="2" stopIfTrue="1">
      <formula>K42&lt;&gt;""</formula>
    </cfRule>
  </conditionalFormatting>
  <conditionalFormatting sqref="L43:L44">
    <cfRule type="expression" dxfId="43" priority="1" stopIfTrue="1">
      <formula>K43&lt;&gt;""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'2026'!An+1</f>
        <v>2027</v>
      </c>
      <c r="K1" s="1270"/>
      <c r="L1" s="113" t="str">
        <f>"Calcul pertes et enveloppes en "&amp;TEXT(An,0)</f>
        <v>Calcul pertes et enveloppes en 2027</v>
      </c>
      <c r="M1" s="239"/>
      <c r="N1" s="239"/>
      <c r="V1" s="450"/>
      <c r="W1" s="448"/>
      <c r="X1" s="479" t="str">
        <f>"Prévision sans nettoyage ni taille végétation en "&amp;TEXT(An,0)</f>
        <v>Prévision sans nettoyage ni taille végétation en 2027</v>
      </c>
      <c r="Y1" s="480"/>
      <c r="Z1" s="481"/>
      <c r="AA1" s="482"/>
      <c r="AB1" s="483"/>
      <c r="AC1" s="484"/>
      <c r="AD1" s="484"/>
      <c r="AE1" s="484"/>
      <c r="AF1" s="484"/>
      <c r="AG1" s="484"/>
      <c r="AH1" s="484"/>
      <c r="AI1" s="484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71">
        <f>Tmaj</f>
        <v>44926</v>
      </c>
      <c r="F3" s="1271"/>
      <c r="G3" s="8"/>
      <c r="H3" s="26"/>
      <c r="I3" s="6"/>
      <c r="J3" s="34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 t="s">
        <v>96</v>
      </c>
      <c r="Y3" s="495"/>
      <c r="Z3" s="496"/>
      <c r="AA3" s="490"/>
      <c r="AB3" s="490"/>
      <c r="AC3" s="422"/>
      <c r="AD3" s="422"/>
      <c r="AE3" s="422"/>
      <c r="AF3" s="422"/>
      <c r="AG3" s="422"/>
      <c r="AH3" s="422"/>
      <c r="AI3" s="422"/>
      <c r="AJ3" s="823">
        <f>AL11-AJ11</f>
        <v>0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9" t="str">
        <f>Station</f>
        <v>Hangar Goussaud Espanès</v>
      </c>
      <c r="F4" s="1200"/>
      <c r="G4" s="1200"/>
      <c r="H4" s="1200"/>
      <c r="I4" s="1201"/>
      <c r="J4" s="154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22"/>
      <c r="AD4" s="422"/>
      <c r="AE4" s="422"/>
      <c r="AF4" s="422"/>
      <c r="AG4" s="422"/>
      <c r="AH4" s="422"/>
      <c r="AI4" s="422"/>
      <c r="AJ4" s="823">
        <f>AL12-AJ12</f>
        <v>1228.9004938124249</v>
      </c>
      <c r="AK4" s="824">
        <f>AM12-AK12</f>
        <v>-0.59073574754364344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72">
        <f>T0</f>
        <v>44424</v>
      </c>
      <c r="F5" s="1272"/>
      <c r="G5" s="34"/>
      <c r="H5" s="154"/>
      <c r="I5" s="154"/>
      <c r="K5" s="188"/>
      <c r="L5" s="498"/>
      <c r="M5" s="497"/>
      <c r="N5" s="497"/>
      <c r="O5" s="19"/>
      <c r="R5" s="39"/>
      <c r="S5" s="174"/>
      <c r="T5" s="174"/>
      <c r="U5" s="41"/>
      <c r="V5" s="499"/>
      <c r="W5" s="500"/>
      <c r="X5" s="501"/>
      <c r="Y5" s="502"/>
      <c r="Z5" s="232">
        <f>Wh_Psa_s-Wh_Psa</f>
        <v>1228.9004938124249</v>
      </c>
      <c r="AA5" s="233">
        <f>Wh_Pvg_s-Wh_Pvg</f>
        <v>-0.59073574754364344</v>
      </c>
      <c r="AB5" s="506" t="s">
        <v>6</v>
      </c>
      <c r="AC5" s="500"/>
      <c r="AD5" s="500"/>
      <c r="AE5" s="500"/>
      <c r="AF5" s="500"/>
      <c r="AG5" s="500"/>
      <c r="AH5" s="500"/>
      <c r="AI5" s="500"/>
      <c r="AJ5" s="508">
        <f>SUMIF(AJ15:AJ380,"VRAI",Wh)</f>
        <v>0</v>
      </c>
      <c r="AK5" s="508">
        <f>SUMIF(AK15:AK380,"VRAI",Wh)</f>
        <v>0</v>
      </c>
      <c r="AL5" s="508">
        <f>SUMIF(AJ15:AJ380,"VRAI",Wh_s)</f>
        <v>0</v>
      </c>
      <c r="AM5" s="508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73">
        <f>Tservice</f>
        <v>44536</v>
      </c>
      <c r="F6" s="1273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2"/>
      <c r="W6" s="454"/>
      <c r="X6" s="489"/>
      <c r="Y6" s="490"/>
      <c r="Z6" s="454"/>
      <c r="AA6" s="454"/>
      <c r="AB6" s="508"/>
      <c r="AC6" s="454"/>
      <c r="AD6" s="454"/>
      <c r="AE6" s="454"/>
      <c r="AF6" s="454"/>
      <c r="AG6" s="454"/>
      <c r="AH6" s="454"/>
      <c r="AI6" s="454"/>
      <c r="AJ6" s="508">
        <f>SUMIF(AJ15:AJ380,"FAUX",Wh)</f>
        <v>44936.517738218798</v>
      </c>
      <c r="AK6" s="508">
        <f>SUMIF(AK15:AK380,"FAUX",Wh)</f>
        <v>44936.517738218798</v>
      </c>
      <c r="AL6" s="508">
        <f>SUMIF(AJ15:AJ380,"FAUX",Wh_s)</f>
        <v>43707.498183236676</v>
      </c>
      <c r="AM6" s="508">
        <f>SUMIF(AK15:AK380,"FAUX",Wh_s)</f>
        <v>43707.498183236676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AND(YEAR(Tnet)=An,Resal_2027="I")</f>
        <v>0</v>
      </c>
      <c r="F7" s="316" t="b">
        <f>YEAR(Tnet)=An</f>
        <v>0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2"/>
      <c r="W7" s="510"/>
      <c r="X7" s="511"/>
      <c r="Y7" s="244"/>
      <c r="Z7" s="510"/>
      <c r="AA7" s="510"/>
      <c r="AB7" s="510"/>
      <c r="AC7" s="510"/>
      <c r="AD7" s="244"/>
      <c r="AE7" s="244"/>
      <c r="AF7" s="485"/>
      <c r="AG7" s="485"/>
      <c r="AH7" s="485"/>
      <c r="AI7" s="510"/>
      <c r="AJ7" s="508">
        <f>SUMIF(AJ15:AJ380,"VRAI",Wh_pvt)</f>
        <v>0</v>
      </c>
      <c r="AK7" s="508">
        <f>SUMIF(AK15:AK380,"VRAI",Wh_sa)</f>
        <v>0</v>
      </c>
      <c r="AL7" s="508">
        <f>SUMIF(AJ15:AJ380,"VRAI",Wh_pvt_s)</f>
        <v>0</v>
      </c>
      <c r="AM7" s="508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AND(YEAR(Tnet)=An,Resal_2027&lt;&gt;"I")</f>
        <v>0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0"/>
      <c r="W8" s="399"/>
      <c r="X8" s="1267" t="s">
        <v>102</v>
      </c>
      <c r="Y8" s="1268"/>
      <c r="Z8" s="490"/>
      <c r="AA8" s="490"/>
      <c r="AB8" s="454"/>
      <c r="AC8" s="512" t="s">
        <v>61</v>
      </c>
      <c r="AD8" s="454"/>
      <c r="AE8" s="454"/>
      <c r="AF8" s="454"/>
      <c r="AG8" s="454"/>
      <c r="AH8" s="454"/>
      <c r="AI8" s="454"/>
      <c r="AJ8" s="508">
        <f>SUMIF(AJ15:AJ380,"FAUX",Wh_pvt)</f>
        <v>46272.740583992534</v>
      </c>
      <c r="AK8" s="508">
        <f>SUMIF(AK15:AK380,"FAUX",Wh_sa)</f>
        <v>47976.654996168996</v>
      </c>
      <c r="AL8" s="508">
        <f>SUMIF(AJ15:AJ380,"FAUX",Wh_pvt_s)</f>
        <v>45007.290175373055</v>
      </c>
      <c r="AM8" s="508">
        <f>SUMIF(AK15:AK380,"FAUX",Wh_sa_s)</f>
        <v>47976.654996168996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46272.740583992534</v>
      </c>
      <c r="E9" s="180">
        <f>SUM(E$15:E$380)</f>
        <v>47976.654996168996</v>
      </c>
      <c r="F9" s="180">
        <f>SUM(F$15:F$380)</f>
        <v>47999.715268106018</v>
      </c>
      <c r="H9" s="1260">
        <f>+SUM(Wh)</f>
        <v>44936.517738218798</v>
      </c>
      <c r="I9" s="1261"/>
      <c r="J9" s="1262"/>
      <c r="K9" s="187"/>
      <c r="L9" s="228"/>
      <c r="M9" s="228"/>
      <c r="N9" s="228"/>
      <c r="O9" s="219">
        <f>Tnet_2027</f>
        <v>46142</v>
      </c>
      <c r="P9" s="240" t="s">
        <v>91</v>
      </c>
      <c r="Q9" s="241"/>
      <c r="R9" s="241"/>
      <c r="S9" s="241"/>
      <c r="T9" s="241"/>
      <c r="U9" s="242"/>
      <c r="V9" s="454"/>
      <c r="W9" s="513"/>
      <c r="X9" s="1265">
        <f>+SUM(Wh_s)</f>
        <v>43707.498183236676</v>
      </c>
      <c r="Y9" s="1266"/>
      <c r="Z9" s="508">
        <f>SUM(Z$15:Z$380)</f>
        <v>45007.290175373055</v>
      </c>
      <c r="AA9" s="508">
        <f>SUM(AA$15:AA$380)</f>
        <v>47976.654996168996</v>
      </c>
      <c r="AB9" s="508">
        <f>F9</f>
        <v>47999.715268106018</v>
      </c>
      <c r="AC9" s="321">
        <f>IF(An_Tnet,Tnet,'2026'!Tnet_s)</f>
        <v>46142</v>
      </c>
      <c r="AD9" s="312" t="s">
        <v>91</v>
      </c>
      <c r="AE9" s="312"/>
      <c r="AF9" s="312"/>
      <c r="AG9" s="312"/>
      <c r="AH9" s="312"/>
      <c r="AI9" s="313"/>
      <c r="AJ9" s="508">
        <f>SUMIF(AJ15:AJ380,"VRAI",Wh_sa)</f>
        <v>0</v>
      </c>
      <c r="AK9" s="508">
        <f>SUMIF(AK15:AK380,"VRAI",Wh_hp)</f>
        <v>0</v>
      </c>
      <c r="AL9" s="508">
        <f>SUMIF(AJ15:AJ380,"VRAI",Wh_sa_s)</f>
        <v>0</v>
      </c>
      <c r="AM9" s="508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IF(Inflex,'2026'!Resal+('2026'!Salim-'2026'!Resal)*(1-EXP(-(Tnet-'2026'!Tnet)/('2026'!Tau_j))),IF(An_Tnet,Resal_2027,'2026'!Resal))</f>
        <v>8.0000000000000002E-3</v>
      </c>
      <c r="P10" s="416" t="b">
        <f>NOT(Acti_tai)</f>
        <v>1</v>
      </c>
      <c r="Q10" s="253">
        <f>IF(Acti_tai,'2026'!PousD,Dens-Dd)</f>
        <v>0</v>
      </c>
      <c r="R10" s="270"/>
      <c r="S10" s="271"/>
      <c r="T10" s="272"/>
      <c r="U10" s="262">
        <f>IF(Acti_tai,'2026'!PousH,Hdtf-Hdd)</f>
        <v>0.5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IF(OR(Inflex,GainD),'2026'!Resal_s+('2026'!Salim-'2026'!Resal_s)*(1-EXP(('2026'!Tnet_s-Tnet)/('2026'!Tau_j))),IF(Acti_net,'2026'!Resal+('2026'!Salim-'2026'!Resal)*(1-EXP(('2026'!Tnet-Tnet)/'2026'!Tau_j)),'2026'!Resal_s))</f>
        <v>4.8660311512712343E-2</v>
      </c>
      <c r="AD10" s="422"/>
      <c r="AE10" s="422"/>
      <c r="AF10" s="256"/>
      <c r="AG10" s="257"/>
      <c r="AH10" s="258"/>
      <c r="AI10" s="465"/>
      <c r="AJ10" s="508">
        <f>SUMIF(AJ15:AJ380,"FAUX",Wh_sa)</f>
        <v>47976.654996168996</v>
      </c>
      <c r="AK10" s="508">
        <f>SUMIF(AK15:AK380,"FAUX",Wh_hp)</f>
        <v>47999.715268106018</v>
      </c>
      <c r="AL10" s="508">
        <f>SUMIF(AJ15:AJ380,"FAUX",Wh_sa_s)</f>
        <v>47976.654996168996</v>
      </c>
      <c r="AM10" s="508">
        <f>SUMIF(AK15:AK380,"FAUX",Wh_hp)</f>
        <v>47999.715268106018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1336.2228457737365</v>
      </c>
      <c r="E11" s="51">
        <f>(E$9-D$9)*Prod_an/D$9</f>
        <v>1654.7102946753485</v>
      </c>
      <c r="F11" s="182">
        <f>(F$9-E$9)*Prod_an/E$9</f>
        <v>21.599011415632731</v>
      </c>
      <c r="G11" s="181" t="s">
        <v>6</v>
      </c>
      <c r="K11" s="190"/>
      <c r="L11" s="207">
        <f>Tvie_2027</f>
        <v>44609</v>
      </c>
      <c r="M11" s="834"/>
      <c r="N11" s="834"/>
      <c r="O11" s="198">
        <f>IF(An_Tnet,Salim_2028,'2026'!Salim)</f>
        <v>0.08</v>
      </c>
      <c r="P11" s="252">
        <f>Ttai_2027</f>
        <v>44562</v>
      </c>
      <c r="Q11" s="268">
        <f>Dens_2027</f>
        <v>0.5</v>
      </c>
      <c r="R11" s="273"/>
      <c r="S11" s="226"/>
      <c r="T11" s="226"/>
      <c r="U11" s="262">
        <f>Htf_2027</f>
        <v>2.9895288383629239</v>
      </c>
      <c r="V11" s="422"/>
      <c r="W11" s="511"/>
      <c r="X11" s="518" t="s">
        <v>43</v>
      </c>
      <c r="Y11" s="50">
        <f>Z$9-Prod_an_s</f>
        <v>1299.7919921363791</v>
      </c>
      <c r="Z11" s="51">
        <f>(AA$9-Z$9)*Prod_an_s/Z$9</f>
        <v>2883.6107884877733</v>
      </c>
      <c r="AA11" s="182">
        <f>(AB$9-AA$9)*Prod_an_s/AA$9</f>
        <v>21.008275668089087</v>
      </c>
      <c r="AB11" s="519" t="s">
        <v>6</v>
      </c>
      <c r="AC11" s="321"/>
      <c r="AD11" s="422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0</v>
      </c>
      <c r="AK11" s="824">
        <f>IF($AK7=0,0,($AK9-$AK7)*$AK5/$AK7)</f>
        <v>0</v>
      </c>
      <c r="AL11" s="823">
        <f>IF($AL7=0,0,($AL9-$AL7)*$AL5/$AL7)</f>
        <v>0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Pspv_2027</f>
        <v>0</v>
      </c>
      <c r="M12" s="208"/>
      <c r="N12" s="208"/>
      <c r="O12" s="201">
        <f>IF(An_Tnet,Tau_2027*365,'2026'!Tau_j)</f>
        <v>912.5</v>
      </c>
      <c r="P12" s="277">
        <f>INDEX(Croivg,MIN(MAX(Ttai-$A$15,0)+1,366))</f>
        <v>2.3909964587625958E-6</v>
      </c>
      <c r="Q12" s="276">
        <f>'2026'!Df</f>
        <v>0.5</v>
      </c>
      <c r="R12" s="274"/>
      <c r="S12" s="275"/>
      <c r="T12" s="275"/>
      <c r="U12" s="263">
        <f>'2026'!Hdf</f>
        <v>2.4895288383629239</v>
      </c>
      <c r="V12" s="40"/>
      <c r="W12" s="34"/>
      <c r="X12" s="54"/>
      <c r="Y12" s="34"/>
      <c r="AB12" s="315" t="s">
        <v>106</v>
      </c>
      <c r="AC12" s="314" t="b">
        <f>NOT(An_Tnet)</f>
        <v>1</v>
      </c>
      <c r="AE12" s="292">
        <f>'2026'!Df_s</f>
        <v>0.5</v>
      </c>
      <c r="AF12" s="199"/>
      <c r="AG12" s="199"/>
      <c r="AH12" s="199"/>
      <c r="AI12" s="293">
        <f>'2026'!Hdf_s</f>
        <v>2.4895288383629239</v>
      </c>
      <c r="AJ12" s="823">
        <f>IF($AJ8=0,0,($AJ10-$AJ8)*$AJ6/$AJ8)</f>
        <v>1654.7102946753485</v>
      </c>
      <c r="AK12" s="824">
        <f>IF($AK8=0,0,($AK10-$AK8)*$AK6/$AK8)</f>
        <v>21.599011415632731</v>
      </c>
      <c r="AL12" s="823">
        <f>IF($AL8=0,0,($AL10-$AL8)*$AL6/$AL8)</f>
        <v>2883.6107884877733</v>
      </c>
      <c r="AM12" s="824">
        <f>IF($AM8=0,0,($AM10-$AM8)*$AM6/$AM8)</f>
        <v>21.008275668089087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1654.7102946753485</v>
      </c>
      <c r="AK13" s="73">
        <f>+AK11+AK12</f>
        <v>21.599011415632731</v>
      </c>
      <c r="AL13" s="73">
        <f>+AL11+AL12</f>
        <v>2883.6107884877733</v>
      </c>
      <c r="AM13" s="73">
        <f>+AM11+AM12</f>
        <v>21.008275668089087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411" t="s">
        <v>188</v>
      </c>
      <c r="C14" s="411"/>
      <c r="D14" s="53" t="s">
        <v>30</v>
      </c>
      <c r="E14" s="158" t="s">
        <v>29</v>
      </c>
      <c r="F14" s="158" t="str">
        <f>"Hors pertes "&amp; TEXT(An,0)</f>
        <v>Hors pertes 2027</v>
      </c>
      <c r="G14" s="107" t="s">
        <v>42</v>
      </c>
      <c r="H14" s="408" t="s">
        <v>117</v>
      </c>
      <c r="I14" s="410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2027</v>
      </c>
      <c r="W14" s="828" t="s">
        <v>116</v>
      </c>
      <c r="X14" s="254" t="s">
        <v>2</v>
      </c>
      <c r="Y14" s="107" t="str">
        <f>"Wh / Jour "&amp; TEXT(An,0)</f>
        <v>Wh / Jour 2027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129">
        <f>DATE(An,1,1)</f>
        <v>46388</v>
      </c>
      <c r="B15" s="405">
        <f>'2026'!Wh/'2026'!Env_an*'2027'!Env_an</f>
        <v>94.570827373781171</v>
      </c>
      <c r="C15" s="831"/>
      <c r="D15" s="388">
        <f t="shared" ref="D15:D78" si="0">Wh/(1-Ppv)</f>
        <v>97.147917970821283</v>
      </c>
      <c r="E15" s="395">
        <f t="shared" ref="E15:E79" si="1">Wh_pvt/(1-Psa)</f>
        <v>99.641792546060586</v>
      </c>
      <c r="F15" s="395">
        <f t="shared" ref="F15:F78" si="2">Wh_sa/(1-Pvg*MEDIAN((-Sdif+Wh/Env_an)/Csdif,0,1))</f>
        <v>99.941221484103281</v>
      </c>
      <c r="G15" s="123">
        <f>+Wh_hp/MaxiM</f>
        <v>1.0011866221014729</v>
      </c>
      <c r="H15" s="409" t="b">
        <f>Wh_hp&gt;='2026'!Maxi_hp</f>
        <v>1</v>
      </c>
      <c r="I15" s="391">
        <f>IF(H15,Wh_hp,'2026'!Maxi_hp)</f>
        <v>99.941221484103281</v>
      </c>
      <c r="J15" s="84">
        <f>IF(H15,An,'2026'!An_max)</f>
        <v>2027</v>
      </c>
      <c r="K15" s="193">
        <f t="shared" ref="K15:K78" si="3">t</f>
        <v>46388</v>
      </c>
      <c r="L15" s="142">
        <f>IF(t&lt;Tvie,1-EXP((T0-t)*PertePVj)+'2026'!Pspv,1-EXP((T0-t)*PertePVj)+Pspv)</f>
        <v>2.652749179672742E-2</v>
      </c>
      <c r="M15" s="835"/>
      <c r="N15" s="835"/>
      <c r="O15" s="48">
        <f>IF(t&lt;Tnet,'2026'!Resal+('2026'!Salim-'2026'!Resal)*(1-EXP(('2026'!Tnet-t)/('2026'!Tau_j))),Resal+(Salim-Resal)*(1-EXP((Tnet-t)/(Tau_j))))*Salcycl</f>
        <v>2.5028399344446509E-2</v>
      </c>
      <c r="P15" s="298">
        <f>(INDEX(Models!$BJ15:$BT15,,T15)*(1-R15)+INDEX(Models!$BJ15:$BT15,,T15+1)*R15-ERP_i)*Q15*Ramure*Pc/MaxiM</f>
        <v>2.9960504143961269E-3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0.48953003386115324</v>
      </c>
      <c r="S15" s="800">
        <f t="shared" ref="S15:S78" si="6">INDEX(Echel_vg,T15)</f>
        <v>2</v>
      </c>
      <c r="T15" s="245">
        <f t="shared" ref="T15:T78" si="7">MIN(MATCH(Hp_vg,Echel_vg),10)</f>
        <v>8</v>
      </c>
      <c r="U15" s="247">
        <f t="shared" ref="U15:U78" si="8">IF(OR(t&lt;Ttai,Notai),Hdd+PousH*Croivg,Hdtf+PousH*(Croivg-Croi_tai))</f>
        <v>2.4895300338611532</v>
      </c>
      <c r="V15" s="377">
        <f t="shared" ref="V15:V78" si="9">MaxiM*(1-Ppv)*(1-Pvg)*(1-Psa)</f>
        <v>94.458740544573686</v>
      </c>
      <c r="W15" s="397">
        <f t="shared" ref="W15:W78" si="10">Wh*(A15&gt;Tmaj)</f>
        <v>94.570827373781171</v>
      </c>
      <c r="X15" s="152">
        <f t="shared" ref="X15:X78" si="11">t</f>
        <v>46388</v>
      </c>
      <c r="Y15" s="380">
        <f t="shared" ref="Y15:Y78" si="12">Wh_pvt_s*(1-Ppv)</f>
        <v>91.557104170580715</v>
      </c>
      <c r="Z15" s="380">
        <f>Wh_sa_s*(1-Psa_s)</f>
        <v>94.052069677413542</v>
      </c>
      <c r="AA15" s="381">
        <f t="shared" ref="AA15:AA78" si="13">Wh_hp*(1-Pvg_s*MEDIAN((-Sdif+Wh/Env_an)/Csdif,0,1))</f>
        <v>99.641792546060586</v>
      </c>
      <c r="AB15" s="193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5.6098176536347702E-2</v>
      </c>
      <c r="AD15" s="227">
        <f>(INDEX(Models!$BJ15:$BT15,,AH15)*(1-AF15)+INDEX(Models!$BJ15:$BT15,,AH15+1)*AF15-ERP_i)*AE15*Ramure*Pc/MaxiM</f>
        <v>2.9960504143961269E-3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0.48953003386115324</v>
      </c>
      <c r="AG15" s="800">
        <f>INDEX(Echel_vg,AH15)</f>
        <v>2</v>
      </c>
      <c r="AH15" s="245">
        <f t="shared" ref="AH15:AH78" si="16">MIN(MATCH(Hp_vg_s,Echel_vg),10)</f>
        <v>8</v>
      </c>
      <c r="AI15" s="220">
        <f t="shared" ref="AI15:AI78" si="17">IF(OR(t&lt;Ttai,Notai),Hdd_s+PousH*Croivg,Hdtai_s+PousH*(Croivg-Croi_tai))</f>
        <v>2.4895300338611532</v>
      </c>
      <c r="AJ15" s="261" t="b">
        <f t="shared" ref="AJ15:AJ78" si="18">t&lt;Tnet</f>
        <v>0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46389</v>
      </c>
      <c r="B16" s="406">
        <f>'2026'!Wh/'2026'!Env_an*'2027'!Env_an</f>
        <v>69.151963245551741</v>
      </c>
      <c r="C16" s="831"/>
      <c r="D16" s="388">
        <f t="shared" si="0"/>
        <v>71.037352681331427</v>
      </c>
      <c r="E16" s="380">
        <f t="shared" si="1"/>
        <v>72.865374138303849</v>
      </c>
      <c r="F16" s="380">
        <f t="shared" si="2"/>
        <v>73.00007281783688</v>
      </c>
      <c r="G16" s="110">
        <f t="shared" ref="G16:G79" si="21">+Wh_hp/MaxiM</f>
        <v>0.72680875028694292</v>
      </c>
      <c r="H16" s="409" t="b">
        <f>Wh_hp&gt;='2026'!Maxi_hp</f>
        <v>0</v>
      </c>
      <c r="I16" s="385">
        <f>IF(H16,Wh_hp,'2026'!Maxi_hp)</f>
        <v>73.086107014148709</v>
      </c>
      <c r="J16" s="85">
        <f>IF(H16,An,'2026'!An_max)</f>
        <v>2022</v>
      </c>
      <c r="K16" s="193">
        <f t="shared" si="3"/>
        <v>46389</v>
      </c>
      <c r="L16" s="143">
        <f>IF(t&lt;Tvie,1-EXP((T0-t)*PertePVj)+'2026'!Pspv,1-EXP((T0-t)*PertePVj)+Pspv)</f>
        <v>2.6540817817879647E-2</v>
      </c>
      <c r="M16" s="835"/>
      <c r="N16" s="835"/>
      <c r="O16" s="48">
        <f>IF(t&lt;Tnet,'2026'!Resal+('2026'!Salim-'2026'!Resal)*(1-EXP(('2026'!Tnet-t)/('2026'!Tau_j))),Resal+(Salim-Resal)*(1-EXP((Tnet-t)/(Tau_j))))*Salcycl</f>
        <v>2.508765622341692E-2</v>
      </c>
      <c r="P16" s="165">
        <f>(INDEX(Models!$BJ16:$BT16,,T16)*(1-R16)+INDEX(Models!$BJ16:$BT16,,T16+1)*R16-ERP_i)*Q16*Ramure*Pc/MaxiM</f>
        <v>3.0201883701076772E-3</v>
      </c>
      <c r="Q16" s="301">
        <f t="shared" si="4"/>
        <v>0.5</v>
      </c>
      <c r="R16" s="173">
        <f t="shared" si="5"/>
        <v>0.48955924847514742</v>
      </c>
      <c r="S16" s="801">
        <f t="shared" si="6"/>
        <v>2</v>
      </c>
      <c r="T16" s="172">
        <f t="shared" si="7"/>
        <v>8</v>
      </c>
      <c r="U16" s="247">
        <f t="shared" si="8"/>
        <v>2.4895592484751474</v>
      </c>
      <c r="V16" s="378">
        <f t="shared" si="9"/>
        <v>95.032646842882983</v>
      </c>
      <c r="W16" s="397">
        <f t="shared" si="10"/>
        <v>69.151963245551741</v>
      </c>
      <c r="X16" s="153">
        <f t="shared" si="11"/>
        <v>46389</v>
      </c>
      <c r="Y16" s="380">
        <f t="shared" si="12"/>
        <v>66.950640200492657</v>
      </c>
      <c r="Z16" s="380">
        <f t="shared" ref="Z16:Z78" si="22">Wh_sa_s*(1-Psa_s)</f>
        <v>68.776011799914528</v>
      </c>
      <c r="AA16" s="381">
        <f t="shared" si="13"/>
        <v>72.865374138303849</v>
      </c>
      <c r="AB16" s="193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5.6122162093443728E-2</v>
      </c>
      <c r="AD16" s="227">
        <f>(INDEX(Models!$BJ16:$BT16,,AH16)*(1-AF16)+INDEX(Models!$BJ16:$BT16,,AH16+1)*AF16-ERP_i)*AE16*Ramure*Pc/MaxiM</f>
        <v>3.0201883701076772E-3</v>
      </c>
      <c r="AE16" s="301">
        <f t="shared" si="15"/>
        <v>0.5</v>
      </c>
      <c r="AF16" s="173">
        <f t="shared" ref="AF16:AF78" si="23">(Hp_vg_s-AG16)/(INDEX(Echel_vg,AH16+1)-AG16)</f>
        <v>0.48955924847514742</v>
      </c>
      <c r="AG16" s="801">
        <f t="shared" ref="AG16:AG79" si="24">INDEX(Echel_vg,AH16)</f>
        <v>2</v>
      </c>
      <c r="AH16" s="172">
        <f t="shared" si="16"/>
        <v>8</v>
      </c>
      <c r="AI16" s="221">
        <f t="shared" si="17"/>
        <v>2.4895592484751474</v>
      </c>
      <c r="AJ16" s="261" t="b">
        <f t="shared" si="18"/>
        <v>0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46390</v>
      </c>
      <c r="B17" s="406">
        <f>'2026'!Wh/'2026'!Env_an*'2027'!Env_an</f>
        <v>72.013858306361485</v>
      </c>
      <c r="C17" s="831"/>
      <c r="D17" s="388">
        <f t="shared" si="0"/>
        <v>73.978288404114465</v>
      </c>
      <c r="E17" s="380">
        <f t="shared" si="1"/>
        <v>75.886601086983418</v>
      </c>
      <c r="F17" s="380">
        <f t="shared" si="2"/>
        <v>76.03653045298033</v>
      </c>
      <c r="G17" s="110">
        <f t="shared" si="21"/>
        <v>0.75215244617467403</v>
      </c>
      <c r="H17" s="409" t="b">
        <f>Wh_hp&gt;='2026'!Maxi_hp</f>
        <v>0</v>
      </c>
      <c r="I17" s="385">
        <f>IF(H17,Wh_hp,'2026'!Maxi_hp)</f>
        <v>76.118546681586153</v>
      </c>
      <c r="J17" s="85">
        <f>IF(H17,An,'2026'!An_max)</f>
        <v>2022</v>
      </c>
      <c r="K17" s="193">
        <f t="shared" si="3"/>
        <v>46390</v>
      </c>
      <c r="L17" s="143">
        <f>IF(t&lt;Tvie,1-EXP((T0-t)*PertePVj)+'2026'!Pspv,1-EXP((T0-t)*PertePVj)+Pspv)</f>
        <v>2.6554143656610019E-2</v>
      </c>
      <c r="M17" s="835"/>
      <c r="N17" s="835"/>
      <c r="O17" s="48">
        <f>IF(t&lt;Tnet,'2026'!Resal+('2026'!Salim-'2026'!Resal)*(1-EXP(('2026'!Tnet-t)/('2026'!Tau_j))),Resal+(Salim-Resal)*(1-EXP((Tnet-t)/(Tau_j))))*Salcycl</f>
        <v>2.5146898866660088E-2</v>
      </c>
      <c r="P17" s="165">
        <f>(INDEX(Models!$BJ17:$BT17,,T17)*(1-R17)+INDEX(Models!$BJ17:$BT17,,T17+1)*R17-ERP_i)*Q17*Ramure*Pc/MaxiM</f>
        <v>3.0471861696302208E-3</v>
      </c>
      <c r="Q17" s="301">
        <f t="shared" si="4"/>
        <v>0.5</v>
      </c>
      <c r="R17" s="173">
        <f t="shared" si="5"/>
        <v>0.48958968507063716</v>
      </c>
      <c r="S17" s="801">
        <f t="shared" si="6"/>
        <v>2</v>
      </c>
      <c r="T17" s="172">
        <f t="shared" si="7"/>
        <v>8</v>
      </c>
      <c r="U17" s="247">
        <f t="shared" si="8"/>
        <v>2.4895896850706372</v>
      </c>
      <c r="V17" s="378">
        <f t="shared" si="9"/>
        <v>95.640535996576631</v>
      </c>
      <c r="W17" s="397">
        <f t="shared" si="10"/>
        <v>72.013858306361485</v>
      </c>
      <c r="X17" s="153">
        <f t="shared" si="11"/>
        <v>46390</v>
      </c>
      <c r="Y17" s="380">
        <f t="shared" si="12"/>
        <v>69.723890326048533</v>
      </c>
      <c r="Z17" s="380">
        <f t="shared" si="22"/>
        <v>71.625853530217228</v>
      </c>
      <c r="AA17" s="381">
        <f t="shared" si="13"/>
        <v>75.886601086983418</v>
      </c>
      <c r="AB17" s="193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5.6146243154076722E-2</v>
      </c>
      <c r="AD17" s="227">
        <f>(INDEX(Models!$BJ17:$BT17,,AH17)*(1-AF17)+INDEX(Models!$BJ17:$BT17,,AH17+1)*AF17-ERP_i)*AE17*Ramure*Pc/MaxiM</f>
        <v>3.0471861696302208E-3</v>
      </c>
      <c r="AE17" s="301">
        <f t="shared" si="15"/>
        <v>0.5</v>
      </c>
      <c r="AF17" s="173">
        <f>(Hp_vg_s-AG17)/(INDEX(Echel_vg,AH17+1)-AG17)</f>
        <v>0.48958968507063716</v>
      </c>
      <c r="AG17" s="801">
        <f>INDEX(Echel_vg,AH17)</f>
        <v>2</v>
      </c>
      <c r="AH17" s="172">
        <f t="shared" si="16"/>
        <v>8</v>
      </c>
      <c r="AI17" s="221">
        <f t="shared" si="17"/>
        <v>2.4895896850706372</v>
      </c>
      <c r="AJ17" s="261" t="b">
        <f t="shared" si="18"/>
        <v>0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46391</v>
      </c>
      <c r="B18" s="406">
        <f>'2026'!Wh/'2026'!Env_an*'2027'!Env_an</f>
        <v>77.337364502191235</v>
      </c>
      <c r="C18" s="831"/>
      <c r="D18" s="388">
        <f t="shared" si="0"/>
        <v>79.448099446197972</v>
      </c>
      <c r="E18" s="380">
        <f t="shared" si="1"/>
        <v>81.50246039491978</v>
      </c>
      <c r="F18" s="380">
        <f t="shared" si="2"/>
        <v>81.683155444538244</v>
      </c>
      <c r="G18" s="110">
        <f t="shared" si="21"/>
        <v>0.80255349195847125</v>
      </c>
      <c r="H18" s="409" t="b">
        <f>Wh_hp&gt;='2026'!Maxi_hp</f>
        <v>0</v>
      </c>
      <c r="I18" s="385">
        <f>IF(H18,Wh_hp,'2026'!Maxi_hp)</f>
        <v>81.754015578877613</v>
      </c>
      <c r="J18" s="85">
        <f>IF(H18,An,'2026'!An_max)</f>
        <v>2022</v>
      </c>
      <c r="K18" s="193">
        <f t="shared" si="3"/>
        <v>46391</v>
      </c>
      <c r="L18" s="143">
        <f>IF(t&lt;Tvie,1-EXP((T0-t)*PertePVj)+'2026'!Pspv,1-EXP((T0-t)*PertePVj)+Pspv)</f>
        <v>2.6567469312920755E-2</v>
      </c>
      <c r="M18" s="835"/>
      <c r="N18" s="835"/>
      <c r="O18" s="48">
        <f>IF(t&lt;Tnet,'2026'!Resal+('2026'!Salim-'2026'!Resal)*(1-EXP(('2026'!Tnet-t)/('2026'!Tau_j))),Resal+(Salim-Resal)*(1-EXP((Tnet-t)/(Tau_j))))*Salcycl</f>
        <v>2.5206121861443297E-2</v>
      </c>
      <c r="P18" s="165">
        <f>(INDEX(Models!$BJ18:$BT18,,T18)*(1-R18)+INDEX(Models!$BJ18:$BT18,,T18+1)*R18-ERP_i)*Q18*Ramure*Pc/MaxiM</f>
        <v>3.0770052522210403E-3</v>
      </c>
      <c r="Q18" s="301">
        <f t="shared" si="4"/>
        <v>0.5</v>
      </c>
      <c r="R18" s="173">
        <f t="shared" si="5"/>
        <v>0.4896213946019321</v>
      </c>
      <c r="S18" s="801">
        <f t="shared" si="6"/>
        <v>2</v>
      </c>
      <c r="T18" s="172">
        <f t="shared" si="7"/>
        <v>8</v>
      </c>
      <c r="U18" s="247">
        <f t="shared" si="8"/>
        <v>2.4896213946019321</v>
      </c>
      <c r="V18" s="378">
        <f t="shared" si="9"/>
        <v>96.280598161460546</v>
      </c>
      <c r="W18" s="397">
        <f t="shared" si="10"/>
        <v>77.337364502191235</v>
      </c>
      <c r="X18" s="153">
        <f t="shared" si="11"/>
        <v>46391</v>
      </c>
      <c r="Y18" s="380">
        <f t="shared" si="12"/>
        <v>74.880746499792366</v>
      </c>
      <c r="Z18" s="380">
        <f>Wh_sa_s*(1-Psa_s)</f>
        <v>76.924434040579257</v>
      </c>
      <c r="AA18" s="381">
        <f t="shared" si="13"/>
        <v>81.50246039491978</v>
      </c>
      <c r="AB18" s="193">
        <f>t</f>
        <v>46391</v>
      </c>
      <c r="AC18" s="119">
        <f>IF(OR(t&lt;Tnet,NoTnet),'2026'!Resal_s+('2026'!Salim-'2026'!Resal_s)*(1-EXP(('2026'!Tnet_s-t)/'2026'!Tau_j)),Resal_s+(Salim-Resal_s)*(1-EXP((Tnet_s-t)/Tau_j)))*Salcycl</f>
        <v>5.6170406784748855E-2</v>
      </c>
      <c r="AD18" s="227">
        <f>(INDEX(Models!$BJ18:$BT18,,AH18)*(1-AF18)+INDEX(Models!$BJ18:$BT18,,AH18+1)*AF18-ERP_i)*AE18*Ramure*Pc/MaxiM</f>
        <v>3.0770052522210403E-3</v>
      </c>
      <c r="AE18" s="301">
        <f t="shared" si="15"/>
        <v>0.5</v>
      </c>
      <c r="AF18" s="173">
        <f t="shared" si="23"/>
        <v>0.4896213946019321</v>
      </c>
      <c r="AG18" s="801">
        <f t="shared" si="24"/>
        <v>2</v>
      </c>
      <c r="AH18" s="172">
        <f t="shared" si="16"/>
        <v>8</v>
      </c>
      <c r="AI18" s="221">
        <f t="shared" si="17"/>
        <v>2.4896213946019321</v>
      </c>
      <c r="AJ18" s="261" t="b">
        <f t="shared" si="18"/>
        <v>0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46392</v>
      </c>
      <c r="B19" s="406">
        <f>'2026'!Wh/'2026'!Env_an*'2027'!Env_an</f>
        <v>58.149844654994737</v>
      </c>
      <c r="C19" s="831"/>
      <c r="D19" s="388">
        <f t="shared" si="0"/>
        <v>59.737720751317532</v>
      </c>
      <c r="E19" s="380">
        <f t="shared" si="1"/>
        <v>61.286134583818381</v>
      </c>
      <c r="F19" s="380">
        <f t="shared" si="2"/>
        <v>61.367860396805895</v>
      </c>
      <c r="G19" s="110">
        <f t="shared" si="21"/>
        <v>0.59871800884429027</v>
      </c>
      <c r="H19" s="409" t="b">
        <f>Wh_hp&gt;='2026'!Maxi_hp</f>
        <v>0</v>
      </c>
      <c r="I19" s="385">
        <f>IF(H19,Wh_hp,'2026'!Maxi_hp)</f>
        <v>61.477299806338095</v>
      </c>
      <c r="J19" s="85">
        <f>IF(H19,An,'2026'!An_max)</f>
        <v>2022</v>
      </c>
      <c r="K19" s="193">
        <f t="shared" si="3"/>
        <v>46392</v>
      </c>
      <c r="L19" s="143">
        <f>IF(t&lt;Tvie,1-EXP((T0-t)*PertePVj)+'2026'!Pspv,1-EXP((T0-t)*PertePVj)+Pspv)</f>
        <v>2.658079478681441E-2</v>
      </c>
      <c r="M19" s="835"/>
      <c r="N19" s="835"/>
      <c r="O19" s="48">
        <f>IF(t&lt;Tnet,'2026'!Resal+('2026'!Salim-'2026'!Resal)*(1-EXP(('2026'!Tnet-t)/('2026'!Tau_j))),Resal+(Salim-Resal)*(1-EXP((Tnet-t)/(Tau_j))))*Salcycl</f>
        <v>2.5265320500563581E-2</v>
      </c>
      <c r="P19" s="165">
        <f>(INDEX(Models!$BJ19:$BT19,,T19)*(1-R19)+INDEX(Models!$BJ19:$BT19,,T19+1)*R19-ERP_i)*Q19*Ramure*Pc/MaxiM</f>
        <v>3.109605469356222E-3</v>
      </c>
      <c r="Q19" s="301">
        <f t="shared" si="4"/>
        <v>0.5</v>
      </c>
      <c r="R19" s="173">
        <f t="shared" si="5"/>
        <v>0.48965443013449406</v>
      </c>
      <c r="S19" s="801">
        <f t="shared" si="6"/>
        <v>2</v>
      </c>
      <c r="T19" s="172">
        <f t="shared" si="7"/>
        <v>8</v>
      </c>
      <c r="U19" s="247">
        <f t="shared" si="8"/>
        <v>2.4896544301344941</v>
      </c>
      <c r="V19" s="378">
        <f t="shared" si="9"/>
        <v>96.95102389541843</v>
      </c>
      <c r="W19" s="397">
        <f t="shared" si="10"/>
        <v>58.149844654994737</v>
      </c>
      <c r="X19" s="153">
        <f t="shared" si="11"/>
        <v>46392</v>
      </c>
      <c r="Y19" s="380">
        <f t="shared" si="12"/>
        <v>56.304691032962701</v>
      </c>
      <c r="Z19" s="380">
        <f t="shared" si="22"/>
        <v>57.842182208262045</v>
      </c>
      <c r="AA19" s="381">
        <f t="shared" si="13"/>
        <v>61.286134583818381</v>
      </c>
      <c r="AB19" s="193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5.6194641723507514E-2</v>
      </c>
      <c r="AD19" s="227">
        <f>(INDEX(Models!$BJ19:$BT19,,AH19)*(1-AF19)+INDEX(Models!$BJ19:$BT19,,AH19+1)*AF19-ERP_i)*AE19*Ramure*Pc/MaxiM</f>
        <v>3.109605469356222E-3</v>
      </c>
      <c r="AE19" s="301">
        <f t="shared" si="15"/>
        <v>0.5</v>
      </c>
      <c r="AF19" s="173">
        <f t="shared" si="23"/>
        <v>0.48965443013449406</v>
      </c>
      <c r="AG19" s="801">
        <f t="shared" si="24"/>
        <v>2</v>
      </c>
      <c r="AH19" s="172">
        <f t="shared" si="16"/>
        <v>8</v>
      </c>
      <c r="AI19" s="221">
        <f t="shared" si="17"/>
        <v>2.4896544301344941</v>
      </c>
      <c r="AJ19" s="261" t="b">
        <f t="shared" si="18"/>
        <v>0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46393</v>
      </c>
      <c r="B20" s="406">
        <f>'2026'!Wh/'2026'!Env_an*'2027'!Env_an</f>
        <v>99.599258871156323</v>
      </c>
      <c r="C20" s="831"/>
      <c r="D20" s="388">
        <f t="shared" si="0"/>
        <v>102.32037932539235</v>
      </c>
      <c r="E20" s="380">
        <f t="shared" si="1"/>
        <v>104.97891693809775</v>
      </c>
      <c r="F20" s="380">
        <f t="shared" si="2"/>
        <v>105.31011151518359</v>
      </c>
      <c r="G20" s="110">
        <f t="shared" si="21"/>
        <v>1.0199616450883791</v>
      </c>
      <c r="H20" s="409" t="b">
        <f>Wh_hp&gt;='2026'!Maxi_hp</f>
        <v>1</v>
      </c>
      <c r="I20" s="385">
        <f>IF(H20,Wh_hp,'2026'!Maxi_hp)</f>
        <v>105.31011151518359</v>
      </c>
      <c r="J20" s="85">
        <f>IF(H20,An,'2026'!An_max)</f>
        <v>2027</v>
      </c>
      <c r="K20" s="193">
        <f t="shared" si="3"/>
        <v>46393</v>
      </c>
      <c r="L20" s="143">
        <f>IF(t&lt;Tvie,1-EXP((T0-t)*PertePVj)+'2026'!Pspv,1-EXP((T0-t)*PertePVj)+Pspv)</f>
        <v>2.6594120078293537E-2</v>
      </c>
      <c r="M20" s="835"/>
      <c r="N20" s="835"/>
      <c r="O20" s="48">
        <f>IF(t&lt;Tnet,'2026'!Resal+('2026'!Salim-'2026'!Resal)*(1-EXP(('2026'!Tnet-t)/('2026'!Tau_j))),Resal+(Salim-Resal)*(1-EXP((Tnet-t)/(Tau_j))))*Salcycl</f>
        <v>2.532449076677978E-2</v>
      </c>
      <c r="P20" s="165">
        <f>(INDEX(Models!$BJ20:$BT20,,T20)*(1-R20)+INDEX(Models!$BJ20:$BT20,,T20+1)*R20-ERP_i)*Q20*Ramure*Pc/MaxiM</f>
        <v>3.1449456497640083E-3</v>
      </c>
      <c r="Q20" s="301">
        <f t="shared" si="4"/>
        <v>0.5</v>
      </c>
      <c r="R20" s="173">
        <f t="shared" si="5"/>
        <v>0.48968884693124481</v>
      </c>
      <c r="S20" s="801">
        <f t="shared" si="6"/>
        <v>2</v>
      </c>
      <c r="T20" s="172">
        <f t="shared" si="7"/>
        <v>8</v>
      </c>
      <c r="U20" s="247">
        <f t="shared" si="8"/>
        <v>2.4896888469312448</v>
      </c>
      <c r="V20" s="378">
        <f t="shared" si="9"/>
        <v>97.650004145524633</v>
      </c>
      <c r="W20" s="397">
        <f t="shared" si="10"/>
        <v>99.599258871156323</v>
      </c>
      <c r="X20" s="153">
        <f t="shared" si="11"/>
        <v>46393</v>
      </c>
      <c r="Y20" s="380">
        <f t="shared" si="12"/>
        <v>96.442245022674101</v>
      </c>
      <c r="Z20" s="380">
        <f t="shared" si="22"/>
        <v>99.07711368091509</v>
      </c>
      <c r="AA20" s="381">
        <f t="shared" si="13"/>
        <v>104.97891693809775</v>
      </c>
      <c r="AB20" s="193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5.6218938328947823E-2</v>
      </c>
      <c r="AD20" s="227">
        <f>(INDEX(Models!$BJ20:$BT20,,AH20)*(1-AF20)+INDEX(Models!$BJ20:$BT20,,AH20+1)*AF20-ERP_i)*AE20*Ramure*Pc/MaxiM</f>
        <v>3.1449456497640083E-3</v>
      </c>
      <c r="AE20" s="301">
        <f t="shared" si="15"/>
        <v>0.5</v>
      </c>
      <c r="AF20" s="173">
        <f t="shared" si="23"/>
        <v>0.48968884693124481</v>
      </c>
      <c r="AG20" s="801">
        <f t="shared" si="24"/>
        <v>2</v>
      </c>
      <c r="AH20" s="172">
        <f t="shared" si="16"/>
        <v>8</v>
      </c>
      <c r="AI20" s="221">
        <f t="shared" si="17"/>
        <v>2.4896888469312448</v>
      </c>
      <c r="AJ20" s="261" t="b">
        <f t="shared" si="18"/>
        <v>0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46394</v>
      </c>
      <c r="B21" s="406">
        <f>'2026'!Wh/'2026'!Env_an*'2027'!Env_an</f>
        <v>37.675505625563552</v>
      </c>
      <c r="C21" s="831"/>
      <c r="D21" s="388">
        <f t="shared" si="0"/>
        <v>38.705356271001492</v>
      </c>
      <c r="E21" s="380">
        <f t="shared" si="1"/>
        <v>39.713427185355002</v>
      </c>
      <c r="F21" s="380">
        <f t="shared" si="2"/>
        <v>39.728416720432669</v>
      </c>
      <c r="G21" s="110">
        <f t="shared" si="21"/>
        <v>0.38190069903089807</v>
      </c>
      <c r="H21" s="409" t="b">
        <f>Wh_hp&gt;='2026'!Maxi_hp</f>
        <v>0</v>
      </c>
      <c r="I21" s="385">
        <f>IF(H21,Wh_hp,'2026'!Maxi_hp)</f>
        <v>39.840230222025987</v>
      </c>
      <c r="J21" s="85">
        <f>IF(H21,An,'2026'!An_max)</f>
        <v>2022</v>
      </c>
      <c r="K21" s="193">
        <f t="shared" si="3"/>
        <v>46394</v>
      </c>
      <c r="L21" s="143">
        <f>IF(t&lt;Tvie,1-EXP((T0-t)*PertePVj)+'2026'!Pspv,1-EXP((T0-t)*PertePVj)+Pspv)</f>
        <v>2.660744518736069E-2</v>
      </c>
      <c r="M21" s="835"/>
      <c r="N21" s="835"/>
      <c r="O21" s="48">
        <f>IF(t&lt;Tnet,'2026'!Resal+('2026'!Salim-'2026'!Resal)*(1-EXP(('2026'!Tnet-t)/('2026'!Tau_j))),Resal+(Salim-Resal)*(1-EXP((Tnet-t)/(Tau_j))))*Salcycl</f>
        <v>2.5383629311278653E-2</v>
      </c>
      <c r="P21" s="165">
        <f>(INDEX(Models!$BJ21:$BT21,,T21)*(1-R21)+INDEX(Models!$BJ21:$BT21,,T21+1)*R21-ERP_i)*Q21*Ramure*Pc/MaxiM</f>
        <v>3.1829841406470789E-3</v>
      </c>
      <c r="Q21" s="301">
        <f t="shared" si="4"/>
        <v>0.5</v>
      </c>
      <c r="R21" s="173">
        <f t="shared" si="5"/>
        <v>0.48972470254230771</v>
      </c>
      <c r="S21" s="801">
        <f t="shared" si="6"/>
        <v>2</v>
      </c>
      <c r="T21" s="172">
        <f t="shared" si="7"/>
        <v>8</v>
      </c>
      <c r="U21" s="247">
        <f t="shared" si="8"/>
        <v>2.4897247025423077</v>
      </c>
      <c r="V21" s="378">
        <f t="shared" si="9"/>
        <v>98.375730282174302</v>
      </c>
      <c r="W21" s="397">
        <f t="shared" si="10"/>
        <v>37.675505625563552</v>
      </c>
      <c r="X21" s="153">
        <f t="shared" si="11"/>
        <v>46394</v>
      </c>
      <c r="Y21" s="380">
        <f t="shared" si="12"/>
        <v>36.482571360387681</v>
      </c>
      <c r="Z21" s="380">
        <f t="shared" si="22"/>
        <v>37.479813442183072</v>
      </c>
      <c r="AA21" s="381">
        <f t="shared" si="13"/>
        <v>39.713427185355002</v>
      </c>
      <c r="AB21" s="193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5.6243288516676183E-2</v>
      </c>
      <c r="AD21" s="227">
        <f>(INDEX(Models!$BJ21:$BT21,,AH21)*(1-AF21)+INDEX(Models!$BJ21:$BT21,,AH21+1)*AF21-ERP_i)*AE21*Ramure*Pc/MaxiM</f>
        <v>3.1829841406470789E-3</v>
      </c>
      <c r="AE21" s="301">
        <f t="shared" si="15"/>
        <v>0.5</v>
      </c>
      <c r="AF21" s="173">
        <f t="shared" si="23"/>
        <v>0.48972470254230771</v>
      </c>
      <c r="AG21" s="801">
        <f t="shared" si="24"/>
        <v>2</v>
      </c>
      <c r="AH21" s="172">
        <f t="shared" si="16"/>
        <v>8</v>
      </c>
      <c r="AI21" s="221">
        <f t="shared" si="17"/>
        <v>2.4897247025423077</v>
      </c>
      <c r="AJ21" s="261" t="b">
        <f t="shared" si="18"/>
        <v>0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46395</v>
      </c>
      <c r="B22" s="406">
        <f>'2026'!Wh/'2026'!Env_an*'2027'!Env_an</f>
        <v>25.223763732873401</v>
      </c>
      <c r="C22" s="831"/>
      <c r="D22" s="388">
        <f t="shared" si="0"/>
        <v>25.913603823073174</v>
      </c>
      <c r="E22" s="380">
        <f t="shared" si="1"/>
        <v>26.590129397101652</v>
      </c>
      <c r="F22" s="380">
        <f t="shared" si="2"/>
        <v>26.590129397101652</v>
      </c>
      <c r="G22" s="110">
        <f t="shared" si="21"/>
        <v>0.2536403208669597</v>
      </c>
      <c r="H22" s="409" t="b">
        <f>Wh_hp&gt;='2026'!Maxi_hp</f>
        <v>0</v>
      </c>
      <c r="I22" s="385">
        <f>IF(H22,Wh_hp,'2026'!Maxi_hp)</f>
        <v>26.676117567913273</v>
      </c>
      <c r="J22" s="85">
        <f>IF(H22,An,'2026'!An_max)</f>
        <v>2022</v>
      </c>
      <c r="K22" s="193">
        <f t="shared" si="3"/>
        <v>46395</v>
      </c>
      <c r="L22" s="143">
        <f>IF(t&lt;Tvie,1-EXP((T0-t)*PertePVj)+'2026'!Pspv,1-EXP((T0-t)*PertePVj)+Pspv)</f>
        <v>2.66207701140182E-2</v>
      </c>
      <c r="M22" s="835"/>
      <c r="N22" s="835"/>
      <c r="O22" s="48">
        <f>IF(t&lt;Tnet,'2026'!Resal+('2026'!Salim-'2026'!Resal)*(1-EXP(('2026'!Tnet-t)/('2026'!Tau_j))),Resal+(Salim-Resal)*(1-EXP((Tnet-t)/(Tau_j))))*Salcycl</f>
        <v>2.5442733426570618E-2</v>
      </c>
      <c r="P22" s="165">
        <f>(INDEX(Models!$BJ22:$BT22,,T22)*(1-R22)+INDEX(Models!$BJ22:$BT22,,T22+1)*R22-ERP_i)*Q22*Ramure*Pc/MaxiM</f>
        <v>3.2236793228880827E-3</v>
      </c>
      <c r="Q22" s="301">
        <f t="shared" si="4"/>
        <v>0.5</v>
      </c>
      <c r="R22" s="173">
        <f t="shared" si="5"/>
        <v>0.48976205689830499</v>
      </c>
      <c r="S22" s="801">
        <f t="shared" si="6"/>
        <v>2</v>
      </c>
      <c r="T22" s="172">
        <f t="shared" si="7"/>
        <v>8</v>
      </c>
      <c r="U22" s="247">
        <f t="shared" si="8"/>
        <v>2.489762056898305</v>
      </c>
      <c r="V22" s="378">
        <f t="shared" si="9"/>
        <v>99.126394105415628</v>
      </c>
      <c r="W22" s="397">
        <f t="shared" si="10"/>
        <v>25.223763732873401</v>
      </c>
      <c r="X22" s="153">
        <f t="shared" si="11"/>
        <v>46395</v>
      </c>
      <c r="Y22" s="380">
        <f t="shared" si="12"/>
        <v>24.425943697567405</v>
      </c>
      <c r="Z22" s="380">
        <f t="shared" si="22"/>
        <v>25.09396435388145</v>
      </c>
      <c r="AA22" s="381">
        <f t="shared" si="13"/>
        <v>26.590129397101652</v>
      </c>
      <c r="AB22" s="193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5.6267685684270652E-2</v>
      </c>
      <c r="AD22" s="227">
        <f>(INDEX(Models!$BJ22:$BT22,,AH22)*(1-AF22)+INDEX(Models!$BJ22:$BT22,,AH22+1)*AF22-ERP_i)*AE22*Ramure*Pc/MaxiM</f>
        <v>3.2236793228880827E-3</v>
      </c>
      <c r="AE22" s="301">
        <f t="shared" si="15"/>
        <v>0.5</v>
      </c>
      <c r="AF22" s="173">
        <f t="shared" si="23"/>
        <v>0.48976205689830499</v>
      </c>
      <c r="AG22" s="801">
        <f t="shared" si="24"/>
        <v>2</v>
      </c>
      <c r="AH22" s="172">
        <f t="shared" si="16"/>
        <v>8</v>
      </c>
      <c r="AI22" s="221">
        <f t="shared" si="17"/>
        <v>2.489762056898305</v>
      </c>
      <c r="AJ22" s="261" t="b">
        <f t="shared" si="18"/>
        <v>0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46396</v>
      </c>
      <c r="B23" s="406">
        <f>'2026'!Wh/'2026'!Env_an*'2027'!Env_an</f>
        <v>7.8749840882715771</v>
      </c>
      <c r="C23" s="831"/>
      <c r="D23" s="388">
        <f t="shared" si="0"/>
        <v>8.090466336115302</v>
      </c>
      <c r="E23" s="380">
        <f t="shared" si="1"/>
        <v>8.3021870584633675</v>
      </c>
      <c r="F23" s="380">
        <f t="shared" si="2"/>
        <v>8.3021870584633675</v>
      </c>
      <c r="G23" s="110">
        <f t="shared" si="21"/>
        <v>7.8563173648183493E-2</v>
      </c>
      <c r="H23" s="409" t="b">
        <f>Wh_hp&gt;='2026'!Maxi_hp</f>
        <v>0</v>
      </c>
      <c r="I23" s="385">
        <f>IF(H23,Wh_hp,'2026'!Maxi_hp)</f>
        <v>8.3293938096908722</v>
      </c>
      <c r="J23" s="85">
        <f>IF(H23,An,'2026'!An_max)</f>
        <v>2022</v>
      </c>
      <c r="K23" s="193">
        <f t="shared" si="3"/>
        <v>46396</v>
      </c>
      <c r="L23" s="143">
        <f>IF(t&lt;Tvie,1-EXP((T0-t)*PertePVj)+'2026'!Pspv,1-EXP((T0-t)*PertePVj)+Pspv)</f>
        <v>2.6634094858268731E-2</v>
      </c>
      <c r="M23" s="835"/>
      <c r="N23" s="835"/>
      <c r="O23" s="48">
        <f>IF(t&lt;Tnet,'2026'!Resal+('2026'!Salim-'2026'!Resal)*(1-EXP(('2026'!Tnet-t)/('2026'!Tau_j))),Resal+(Salim-Resal)*(1-EXP((Tnet-t)/(Tau_j))))*Salcycl</f>
        <v>2.5501801014256177E-2</v>
      </c>
      <c r="P23" s="165">
        <f>(INDEX(Models!$BJ23:$BT23,,T23)*(1-R23)+INDEX(Models!$BJ23:$BT23,,T23+1)*R23-ERP_i)*Q23*Ramure*Pc/MaxiM</f>
        <v>3.2666651191521918E-3</v>
      </c>
      <c r="Q23" s="301">
        <f t="shared" si="4"/>
        <v>0.5</v>
      </c>
      <c r="R23" s="173">
        <f t="shared" si="5"/>
        <v>0.48980097240734022</v>
      </c>
      <c r="S23" s="801">
        <f t="shared" si="6"/>
        <v>2</v>
      </c>
      <c r="T23" s="172">
        <f t="shared" si="7"/>
        <v>8</v>
      </c>
      <c r="U23" s="247">
        <f t="shared" si="8"/>
        <v>2.4898009724073402</v>
      </c>
      <c r="V23" s="378">
        <f t="shared" si="9"/>
        <v>99.910158767090863</v>
      </c>
      <c r="W23" s="397">
        <f t="shared" si="10"/>
        <v>7.8749840882715771</v>
      </c>
      <c r="X23" s="153">
        <f t="shared" si="11"/>
        <v>46396</v>
      </c>
      <c r="Y23" s="380">
        <f t="shared" si="12"/>
        <v>7.6261654565219619</v>
      </c>
      <c r="Z23" s="380">
        <f t="shared" si="22"/>
        <v>7.8348393099011622</v>
      </c>
      <c r="AA23" s="381">
        <f t="shared" si="13"/>
        <v>8.3021870584633675</v>
      </c>
      <c r="AB23" s="193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5.6292124625857962E-2</v>
      </c>
      <c r="AD23" s="227">
        <f>(INDEX(Models!$BJ23:$BT23,,AH23)*(1-AF23)+INDEX(Models!$BJ23:$BT23,,AH23+1)*AF23-ERP_i)*AE23*Ramure*Pc/MaxiM</f>
        <v>3.2666651191521918E-3</v>
      </c>
      <c r="AE23" s="301">
        <f t="shared" si="15"/>
        <v>0.5</v>
      </c>
      <c r="AF23" s="173">
        <f t="shared" si="23"/>
        <v>0.48980097240734022</v>
      </c>
      <c r="AG23" s="801">
        <f t="shared" si="24"/>
        <v>2</v>
      </c>
      <c r="AH23" s="172">
        <f t="shared" si="16"/>
        <v>8</v>
      </c>
      <c r="AI23" s="221">
        <f t="shared" si="17"/>
        <v>2.4898009724073402</v>
      </c>
      <c r="AJ23" s="261" t="b">
        <f t="shared" si="18"/>
        <v>0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46397</v>
      </c>
      <c r="B24" s="406">
        <f>'2026'!Wh/'2026'!Env_an*'2027'!Env_an</f>
        <v>7.2392791212841496</v>
      </c>
      <c r="C24" s="831"/>
      <c r="D24" s="388">
        <f t="shared" si="0"/>
        <v>7.4374684628372494</v>
      </c>
      <c r="E24" s="380">
        <f t="shared" si="1"/>
        <v>7.6325631152748112</v>
      </c>
      <c r="F24" s="380">
        <f t="shared" si="2"/>
        <v>7.6325631152748112</v>
      </c>
      <c r="G24" s="110">
        <f t="shared" si="21"/>
        <v>7.1626744130354997E-2</v>
      </c>
      <c r="H24" s="409" t="b">
        <f>Wh_hp&gt;='2026'!Maxi_hp</f>
        <v>0</v>
      </c>
      <c r="I24" s="385">
        <f>IF(H24,Wh_hp,'2026'!Maxi_hp)</f>
        <v>7.65787086076881</v>
      </c>
      <c r="J24" s="85">
        <f>IF(H24,An,'2026'!An_max)</f>
        <v>2022</v>
      </c>
      <c r="K24" s="193">
        <f t="shared" si="3"/>
        <v>46397</v>
      </c>
      <c r="L24" s="143">
        <f>IF(t&lt;Tvie,1-EXP((T0-t)*PertePVj)+'2026'!Pspv,1-EXP((T0-t)*PertePVj)+Pspv)</f>
        <v>2.6647419420114726E-2</v>
      </c>
      <c r="M24" s="835"/>
      <c r="N24" s="835"/>
      <c r="O24" s="48">
        <f>IF(t&lt;Tnet,'2026'!Resal+('2026'!Salim-'2026'!Resal)*(1-EXP(('2026'!Tnet-t)/('2026'!Tau_j))),Resal+(Salim-Resal)*(1-EXP((Tnet-t)/(Tau_j))))*Salcycl</f>
        <v>2.556083054814505E-2</v>
      </c>
      <c r="P24" s="165">
        <f>(INDEX(Models!$BJ24:$BT24,,T24)*(1-R24)+INDEX(Models!$BJ24:$BT24,,T24+1)*R24-ERP_i)*Q24*Ramure*Pc/MaxiM</f>
        <v>3.3051592604842026E-3</v>
      </c>
      <c r="Q24" s="301">
        <f t="shared" si="4"/>
        <v>0.5</v>
      </c>
      <c r="R24" s="173">
        <f t="shared" si="5"/>
        <v>0.48984151405580967</v>
      </c>
      <c r="S24" s="801">
        <f t="shared" si="6"/>
        <v>2</v>
      </c>
      <c r="T24" s="172">
        <f t="shared" si="7"/>
        <v>8</v>
      </c>
      <c r="U24" s="247">
        <f t="shared" si="8"/>
        <v>2.4898415140558097</v>
      </c>
      <c r="V24" s="378">
        <f t="shared" si="9"/>
        <v>100.73544788976919</v>
      </c>
      <c r="W24" s="397">
        <f t="shared" si="10"/>
        <v>7.2392791212841496</v>
      </c>
      <c r="X24" s="153">
        <f t="shared" si="11"/>
        <v>46397</v>
      </c>
      <c r="Y24" s="380">
        <f t="shared" si="12"/>
        <v>7.0107891169429424</v>
      </c>
      <c r="Z24" s="380">
        <f t="shared" si="22"/>
        <v>7.2027231003653265</v>
      </c>
      <c r="AA24" s="381">
        <f t="shared" si="13"/>
        <v>7.6325631152748112</v>
      </c>
      <c r="AB24" s="193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5.6316601437498726E-2</v>
      </c>
      <c r="AD24" s="227">
        <f>(INDEX(Models!$BJ24:$BT24,,AH24)*(1-AF24)+INDEX(Models!$BJ24:$BT24,,AH24+1)*AF24-ERP_i)*AE24*Ramure*Pc/MaxiM</f>
        <v>3.3051592604842026E-3</v>
      </c>
      <c r="AE24" s="301">
        <f t="shared" si="15"/>
        <v>0.5</v>
      </c>
      <c r="AF24" s="173">
        <f t="shared" si="23"/>
        <v>0.48984151405580967</v>
      </c>
      <c r="AG24" s="801">
        <f t="shared" si="24"/>
        <v>2</v>
      </c>
      <c r="AH24" s="172">
        <f t="shared" si="16"/>
        <v>8</v>
      </c>
      <c r="AI24" s="221">
        <f t="shared" si="17"/>
        <v>2.4898415140558097</v>
      </c>
      <c r="AJ24" s="261" t="b">
        <f t="shared" si="18"/>
        <v>0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46398</v>
      </c>
      <c r="B25" s="406">
        <f>'2026'!Wh/'2026'!Env_an*'2027'!Env_an</f>
        <v>97.054959116975837</v>
      </c>
      <c r="C25" s="831"/>
      <c r="D25" s="388">
        <f t="shared" si="0"/>
        <v>99.713392323086509</v>
      </c>
      <c r="E25" s="380">
        <f t="shared" si="1"/>
        <v>102.33520188067034</v>
      </c>
      <c r="F25" s="380">
        <f t="shared" si="2"/>
        <v>102.65579267914376</v>
      </c>
      <c r="G25" s="110">
        <f t="shared" si="21"/>
        <v>0.95505926023164256</v>
      </c>
      <c r="H25" s="409" t="b">
        <f>Wh_hp&gt;='2026'!Maxi_hp</f>
        <v>0</v>
      </c>
      <c r="I25" s="385">
        <f>IF(H25,Wh_hp,'2026'!Maxi_hp)</f>
        <v>102.67775078920764</v>
      </c>
      <c r="J25" s="85">
        <f>IF(H25,An,'2026'!An_max)</f>
        <v>2022</v>
      </c>
      <c r="K25" s="193">
        <f t="shared" si="3"/>
        <v>46398</v>
      </c>
      <c r="L25" s="143">
        <f>IF(t&lt;Tvie,1-EXP((T0-t)*PertePVj)+'2026'!Pspv,1-EXP((T0-t)*PertePVj)+Pspv)</f>
        <v>2.6660743799558517E-2</v>
      </c>
      <c r="M25" s="835"/>
      <c r="N25" s="835"/>
      <c r="O25" s="48">
        <f>IF(t&lt;Tnet,'2026'!Resal+('2026'!Salim-'2026'!Resal)*(1-EXP(('2026'!Tnet-t)/('2026'!Tau_j))),Resal+(Salim-Resal)*(1-EXP((Tnet-t)/(Tau_j))))*Salcycl</f>
        <v>2.5619821033245602E-2</v>
      </c>
      <c r="P25" s="165">
        <f>(INDEX(Models!$BJ25:$BT25,,T25)*(1-R25)+INDEX(Models!$BJ25:$BT25,,T25+1)*R25-ERP_i)*Q25*Ramure*Pc/MaxiM</f>
        <v>3.3361810183702664E-3</v>
      </c>
      <c r="Q25" s="301">
        <f t="shared" si="4"/>
        <v>0.5</v>
      </c>
      <c r="R25" s="173">
        <f t="shared" si="5"/>
        <v>0.48988374951317581</v>
      </c>
      <c r="S25" s="801">
        <f t="shared" si="6"/>
        <v>2</v>
      </c>
      <c r="T25" s="172">
        <f t="shared" si="7"/>
        <v>8</v>
      </c>
      <c r="U25" s="247">
        <f t="shared" si="8"/>
        <v>2.4898837495131758</v>
      </c>
      <c r="V25" s="378">
        <f t="shared" si="9"/>
        <v>101.60018858530192</v>
      </c>
      <c r="W25" s="397">
        <f t="shared" si="10"/>
        <v>97.054959116975837</v>
      </c>
      <c r="X25" s="153">
        <f t="shared" si="11"/>
        <v>46398</v>
      </c>
      <c r="Y25" s="380">
        <f t="shared" si="12"/>
        <v>93.994907362579625</v>
      </c>
      <c r="Z25" s="380">
        <f t="shared" si="22"/>
        <v>96.569522665202243</v>
      </c>
      <c r="AA25" s="381">
        <f t="shared" si="13"/>
        <v>102.33520188067034</v>
      </c>
      <c r="AB25" s="193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5.634111341463189E-2</v>
      </c>
      <c r="AD25" s="227">
        <f>(INDEX(Models!$BJ25:$BT25,,AH25)*(1-AF25)+INDEX(Models!$BJ25:$BT25,,AH25+1)*AF25-ERP_i)*AE25*Ramure*Pc/MaxiM</f>
        <v>3.3361810183702664E-3</v>
      </c>
      <c r="AE25" s="301">
        <f t="shared" si="15"/>
        <v>0.5</v>
      </c>
      <c r="AF25" s="173">
        <f t="shared" si="23"/>
        <v>0.48988374951317581</v>
      </c>
      <c r="AG25" s="801">
        <f t="shared" si="24"/>
        <v>2</v>
      </c>
      <c r="AH25" s="172">
        <f t="shared" si="16"/>
        <v>8</v>
      </c>
      <c r="AI25" s="221">
        <f t="shared" si="17"/>
        <v>2.4898837495131758</v>
      </c>
      <c r="AJ25" s="261" t="b">
        <f t="shared" si="18"/>
        <v>0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46399</v>
      </c>
      <c r="B26" s="406">
        <f>'2026'!Wh/'2026'!Env_an*'2027'!Env_an</f>
        <v>83.210549002693895</v>
      </c>
      <c r="C26" s="831"/>
      <c r="D26" s="388">
        <f t="shared" si="0"/>
        <v>85.490940153440263</v>
      </c>
      <c r="E26" s="380">
        <f t="shared" si="1"/>
        <v>87.744100911689571</v>
      </c>
      <c r="F26" s="380">
        <f t="shared" si="2"/>
        <v>87.960182270371845</v>
      </c>
      <c r="G26" s="110">
        <f t="shared" si="21"/>
        <v>0.81105930471088905</v>
      </c>
      <c r="H26" s="409" t="b">
        <f>Wh_hp&gt;='2026'!Maxi_hp</f>
        <v>0</v>
      </c>
      <c r="I26" s="385">
        <f>IF(H26,Wh_hp,'2026'!Maxi_hp)</f>
        <v>88.039900443053</v>
      </c>
      <c r="J26" s="85">
        <f>IF(H26,An,'2026'!An_max)</f>
        <v>2022</v>
      </c>
      <c r="K26" s="193">
        <f t="shared" si="3"/>
        <v>46399</v>
      </c>
      <c r="L26" s="143">
        <f>IF(t&lt;Tvie,1-EXP((T0-t)*PertePVj)+'2026'!Pspv,1-EXP((T0-t)*PertePVj)+Pspv)</f>
        <v>2.6674067996602879E-2</v>
      </c>
      <c r="M26" s="835"/>
      <c r="N26" s="835"/>
      <c r="O26" s="48">
        <f>IF(t&lt;Tnet,'2026'!Resal+('2026'!Salim-'2026'!Resal)*(1-EXP(('2026'!Tnet-t)/('2026'!Tau_j))),Resal+(Salim-Resal)*(1-EXP((Tnet-t)/(Tau_j))))*Salcycl</f>
        <v>2.567877196117168E-2</v>
      </c>
      <c r="P26" s="165">
        <f>(INDEX(Models!$BJ26:$BT26,,T26)*(1-R26)+INDEX(Models!$BJ26:$BT26,,T26+1)*R26-ERP_i)*Q26*Ramure*Pc/MaxiM</f>
        <v>3.3599563568313482E-3</v>
      </c>
      <c r="Q26" s="301">
        <f t="shared" si="4"/>
        <v>0.5</v>
      </c>
      <c r="R26" s="173">
        <f t="shared" si="5"/>
        <v>0.48992774924084692</v>
      </c>
      <c r="S26" s="801">
        <f t="shared" si="6"/>
        <v>2</v>
      </c>
      <c r="T26" s="172">
        <f t="shared" si="7"/>
        <v>8</v>
      </c>
      <c r="U26" s="247">
        <f t="shared" si="8"/>
        <v>2.4899277492408469</v>
      </c>
      <c r="V26" s="378">
        <f t="shared" si="9"/>
        <v>102.50199102251275</v>
      </c>
      <c r="W26" s="397">
        <f t="shared" si="10"/>
        <v>83.210549002693895</v>
      </c>
      <c r="X26" s="153">
        <f t="shared" si="11"/>
        <v>46399</v>
      </c>
      <c r="Y26" s="380">
        <f t="shared" si="12"/>
        <v>80.589778111690165</v>
      </c>
      <c r="Z26" s="380">
        <f t="shared" si="22"/>
        <v>82.798346845452059</v>
      </c>
      <c r="AA26" s="381">
        <f t="shared" si="13"/>
        <v>87.744100911689571</v>
      </c>
      <c r="AB26" s="193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5.6365658942875096E-2</v>
      </c>
      <c r="AD26" s="227">
        <f>(INDEX(Models!$BJ26:$BT26,,AH26)*(1-AF26)+INDEX(Models!$BJ26:$BT26,,AH26+1)*AF26-ERP_i)*AE26*Ramure*Pc/MaxiM</f>
        <v>3.3599563568313482E-3</v>
      </c>
      <c r="AE26" s="301">
        <f t="shared" si="15"/>
        <v>0.5</v>
      </c>
      <c r="AF26" s="173">
        <f t="shared" si="23"/>
        <v>0.48992774924084692</v>
      </c>
      <c r="AG26" s="801">
        <f t="shared" si="24"/>
        <v>2</v>
      </c>
      <c r="AH26" s="172">
        <f t="shared" si="16"/>
        <v>8</v>
      </c>
      <c r="AI26" s="221">
        <f t="shared" si="17"/>
        <v>2.4899277492408469</v>
      </c>
      <c r="AJ26" s="261" t="b">
        <f t="shared" si="18"/>
        <v>0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46400</v>
      </c>
      <c r="B27" s="406">
        <f>'2026'!Wh/'2026'!Env_an*'2027'!Env_an</f>
        <v>26.700067820084218</v>
      </c>
      <c r="C27" s="831"/>
      <c r="D27" s="388">
        <f t="shared" si="0"/>
        <v>27.432160644931084</v>
      </c>
      <c r="E27" s="380">
        <f t="shared" si="1"/>
        <v>28.156852804072219</v>
      </c>
      <c r="F27" s="380">
        <f t="shared" si="2"/>
        <v>28.156852804072219</v>
      </c>
      <c r="G27" s="110">
        <f t="shared" si="21"/>
        <v>0.2572535164914293</v>
      </c>
      <c r="H27" s="409" t="b">
        <f>Wh_hp&gt;='2026'!Maxi_hp</f>
        <v>0</v>
      </c>
      <c r="I27" s="385">
        <f>IF(H27,Wh_hp,'2026'!Maxi_hp)</f>
        <v>28.252238664990184</v>
      </c>
      <c r="J27" s="85">
        <f>IF(H27,An,'2026'!An_max)</f>
        <v>2022</v>
      </c>
      <c r="K27" s="193">
        <f t="shared" si="3"/>
        <v>46400</v>
      </c>
      <c r="L27" s="143">
        <f>IF(t&lt;Tvie,1-EXP((T0-t)*PertePVj)+'2026'!Pspv,1-EXP((T0-t)*PertePVj)+Pspv)</f>
        <v>2.6687392011250144E-2</v>
      </c>
      <c r="M27" s="835"/>
      <c r="N27" s="835"/>
      <c r="O27" s="48">
        <f>IF(t&lt;Tnet,'2026'!Resal+('2026'!Salim-'2026'!Resal)*(1-EXP(('2026'!Tnet-t)/('2026'!Tau_j))),Resal+(Salim-Resal)*(1-EXP((Tnet-t)/(Tau_j))))*Salcycl</f>
        <v>2.57376832625387E-2</v>
      </c>
      <c r="P27" s="165">
        <f>(INDEX(Models!$BJ27:$BT27,,T27)*(1-R27)+INDEX(Models!$BJ27:$BT27,,T27+1)*R27-ERP_i)*Q27*Ramure*Pc/MaxiM</f>
        <v>3.3767215195788436E-3</v>
      </c>
      <c r="Q27" s="301">
        <f t="shared" si="4"/>
        <v>0.5</v>
      </c>
      <c r="R27" s="173">
        <f t="shared" si="5"/>
        <v>0.48997358660531587</v>
      </c>
      <c r="S27" s="801">
        <f t="shared" si="6"/>
        <v>2</v>
      </c>
      <c r="T27" s="172">
        <f t="shared" si="7"/>
        <v>8</v>
      </c>
      <c r="U27" s="247">
        <f t="shared" si="8"/>
        <v>2.4899735866053159</v>
      </c>
      <c r="V27" s="378">
        <f t="shared" si="9"/>
        <v>103.43846602924266</v>
      </c>
      <c r="W27" s="397">
        <f t="shared" si="10"/>
        <v>26.700067820084218</v>
      </c>
      <c r="X27" s="153">
        <f t="shared" si="11"/>
        <v>46400</v>
      </c>
      <c r="Y27" s="380">
        <f t="shared" si="12"/>
        <v>25.860021705368979</v>
      </c>
      <c r="Z27" s="380">
        <f t="shared" si="22"/>
        <v>26.569081190477998</v>
      </c>
      <c r="AA27" s="381">
        <f t="shared" si="13"/>
        <v>28.156852804072219</v>
      </c>
      <c r="AB27" s="193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5.6390237383511406E-2</v>
      </c>
      <c r="AD27" s="227">
        <f>(INDEX(Models!$BJ27:$BT27,,AH27)*(1-AF27)+INDEX(Models!$BJ27:$BT27,,AH27+1)*AF27-ERP_i)*AE27*Ramure*Pc/MaxiM</f>
        <v>3.3767215195788436E-3</v>
      </c>
      <c r="AE27" s="301">
        <f t="shared" si="15"/>
        <v>0.5</v>
      </c>
      <c r="AF27" s="173">
        <f t="shared" si="23"/>
        <v>0.48997358660531587</v>
      </c>
      <c r="AG27" s="801">
        <f t="shared" si="24"/>
        <v>2</v>
      </c>
      <c r="AH27" s="172">
        <f t="shared" si="16"/>
        <v>8</v>
      </c>
      <c r="AI27" s="221">
        <f t="shared" si="17"/>
        <v>2.4899735866053159</v>
      </c>
      <c r="AJ27" s="261" t="b">
        <f t="shared" si="18"/>
        <v>0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46401</v>
      </c>
      <c r="B28" s="406">
        <f>'2026'!Wh/'2026'!Env_an*'2027'!Env_an</f>
        <v>106.48240316835194</v>
      </c>
      <c r="C28" s="831"/>
      <c r="D28" s="388">
        <f t="shared" si="0"/>
        <v>109.40355644115586</v>
      </c>
      <c r="E28" s="380">
        <f t="shared" si="1"/>
        <v>112.30052309044154</v>
      </c>
      <c r="F28" s="380">
        <f t="shared" si="2"/>
        <v>112.68214599647807</v>
      </c>
      <c r="G28" s="110">
        <f t="shared" si="21"/>
        <v>1.0198758094816887</v>
      </c>
      <c r="H28" s="409" t="b">
        <f>Wh_hp&gt;='2026'!Maxi_hp</f>
        <v>1</v>
      </c>
      <c r="I28" s="385">
        <f>IF(H28,Wh_hp,'2026'!Maxi_hp)</f>
        <v>112.68214599647807</v>
      </c>
      <c r="J28" s="85">
        <f>IF(H28,An,'2026'!An_max)</f>
        <v>2027</v>
      </c>
      <c r="K28" s="193">
        <f t="shared" si="3"/>
        <v>46401</v>
      </c>
      <c r="L28" s="143">
        <f>IF(t&lt;Tvie,1-EXP((T0-t)*PertePVj)+'2026'!Pspv,1-EXP((T0-t)*PertePVj)+Pspv)</f>
        <v>2.6700715843502754E-2</v>
      </c>
      <c r="M28" s="835"/>
      <c r="N28" s="835"/>
      <c r="O28" s="48">
        <f>IF(t&lt;Tnet,'2026'!Resal+('2026'!Salim-'2026'!Resal)*(1-EXP(('2026'!Tnet-t)/('2026'!Tau_j))),Resal+(Salim-Resal)*(1-EXP((Tnet-t)/(Tau_j))))*Salcycl</f>
        <v>2.5796555256938608E-2</v>
      </c>
      <c r="P28" s="165">
        <f>(INDEX(Models!$BJ28:$BT28,,T28)*(1-R28)+INDEX(Models!$BJ28:$BT28,,T28+1)*R28-ERP_i)*Q28*Ramure*Pc/MaxiM</f>
        <v>3.3867202533438634E-3</v>
      </c>
      <c r="Q28" s="301">
        <f t="shared" si="4"/>
        <v>0.5</v>
      </c>
      <c r="R28" s="173">
        <f t="shared" si="5"/>
        <v>0.49002133799570524</v>
      </c>
      <c r="S28" s="801">
        <f t="shared" si="6"/>
        <v>2</v>
      </c>
      <c r="T28" s="172">
        <f t="shared" si="7"/>
        <v>8</v>
      </c>
      <c r="U28" s="247">
        <f t="shared" si="8"/>
        <v>2.4900213379957052</v>
      </c>
      <c r="V28" s="378">
        <f t="shared" si="9"/>
        <v>104.40722505465385</v>
      </c>
      <c r="W28" s="397">
        <f t="shared" si="10"/>
        <v>106.48240316835194</v>
      </c>
      <c r="X28" s="153">
        <f t="shared" si="11"/>
        <v>46401</v>
      </c>
      <c r="Y28" s="380">
        <f t="shared" si="12"/>
        <v>103.13576185695206</v>
      </c>
      <c r="Z28" s="380">
        <f t="shared" si="22"/>
        <v>105.96510604272551</v>
      </c>
      <c r="AA28" s="381">
        <f t="shared" si="13"/>
        <v>112.30052309044154</v>
      </c>
      <c r="AB28" s="193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5.6414848955011497E-2</v>
      </c>
      <c r="AD28" s="227">
        <f>(INDEX(Models!$BJ28:$BT28,,AH28)*(1-AF28)+INDEX(Models!$BJ28:$BT28,,AH28+1)*AF28-ERP_i)*AE28*Ramure*Pc/MaxiM</f>
        <v>3.3867202533438634E-3</v>
      </c>
      <c r="AE28" s="301">
        <f t="shared" si="15"/>
        <v>0.5</v>
      </c>
      <c r="AF28" s="173">
        <f t="shared" si="23"/>
        <v>0.49002133799570524</v>
      </c>
      <c r="AG28" s="801">
        <f t="shared" si="24"/>
        <v>2</v>
      </c>
      <c r="AH28" s="172">
        <f t="shared" si="16"/>
        <v>8</v>
      </c>
      <c r="AI28" s="221">
        <f t="shared" si="17"/>
        <v>2.4900213379957052</v>
      </c>
      <c r="AJ28" s="261" t="b">
        <f t="shared" si="18"/>
        <v>0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46402</v>
      </c>
      <c r="B29" s="406">
        <f>'2026'!Wh/'2026'!Env_an*'2027'!Env_an</f>
        <v>108.11298731521906</v>
      </c>
      <c r="C29" s="831"/>
      <c r="D29" s="388">
        <f t="shared" si="0"/>
        <v>111.08039332956335</v>
      </c>
      <c r="E29" s="380">
        <f t="shared" si="1"/>
        <v>114.02864834415928</v>
      </c>
      <c r="F29" s="380">
        <f t="shared" si="2"/>
        <v>114.4165434492556</v>
      </c>
      <c r="G29" s="110">
        <f t="shared" si="21"/>
        <v>1.025682695128749</v>
      </c>
      <c r="H29" s="409" t="b">
        <f>Wh_hp&gt;='2026'!Maxi_hp</f>
        <v>1</v>
      </c>
      <c r="I29" s="385">
        <f>IF(H29,Wh_hp,'2026'!Maxi_hp)</f>
        <v>114.4165434492556</v>
      </c>
      <c r="J29" s="85">
        <f>IF(H29,An,'2026'!An_max)</f>
        <v>2027</v>
      </c>
      <c r="K29" s="193">
        <f t="shared" si="3"/>
        <v>46402</v>
      </c>
      <c r="L29" s="143">
        <f>IF(t&lt;Tvie,1-EXP((T0-t)*PertePVj)+'2026'!Pspv,1-EXP((T0-t)*PertePVj)+Pspv)</f>
        <v>2.6714039493363373E-2</v>
      </c>
      <c r="M29" s="835"/>
      <c r="N29" s="835"/>
      <c r="O29" s="48">
        <f>IF(t&lt;Tnet,'2026'!Resal+('2026'!Salim-'2026'!Resal)*(1-EXP(('2026'!Tnet-t)/('2026'!Tau_j))),Resal+(Salim-Resal)*(1-EXP((Tnet-t)/(Tau_j))))*Salcycl</f>
        <v>2.5855388601095756E-2</v>
      </c>
      <c r="P29" s="165">
        <f>(INDEX(Models!$BJ29:$BT29,,T29)*(1-R29)+INDEX(Models!$BJ29:$BT29,,T29+1)*R29-ERP_i)*Q29*Ramure*Pc/MaxiM</f>
        <v>3.3902012191825721E-3</v>
      </c>
      <c r="Q29" s="301">
        <f t="shared" si="4"/>
        <v>0.5</v>
      </c>
      <c r="R29" s="173">
        <f t="shared" si="5"/>
        <v>0.49007108294587765</v>
      </c>
      <c r="S29" s="801">
        <f t="shared" si="6"/>
        <v>2</v>
      </c>
      <c r="T29" s="172">
        <f t="shared" si="7"/>
        <v>8</v>
      </c>
      <c r="U29" s="247">
        <f t="shared" si="8"/>
        <v>2.4900710829458776</v>
      </c>
      <c r="V29" s="378">
        <f t="shared" si="9"/>
        <v>105.40588022853224</v>
      </c>
      <c r="W29" s="397">
        <f t="shared" si="10"/>
        <v>108.11298731521906</v>
      </c>
      <c r="X29" s="153">
        <f t="shared" si="11"/>
        <v>46402</v>
      </c>
      <c r="Y29" s="380">
        <f t="shared" si="12"/>
        <v>104.71868730420714</v>
      </c>
      <c r="Z29" s="380">
        <f t="shared" si="22"/>
        <v>107.59292906033147</v>
      </c>
      <c r="AA29" s="381">
        <f t="shared" si="13"/>
        <v>114.02864834415928</v>
      </c>
      <c r="AB29" s="193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5.6439494611947312E-2</v>
      </c>
      <c r="AD29" s="227">
        <f>(INDEX(Models!$BJ29:$BT29,,AH29)*(1-AF29)+INDEX(Models!$BJ29:$BT29,,AH29+1)*AF29-ERP_i)*AE29*Ramure*Pc/MaxiM</f>
        <v>3.3902012191825721E-3</v>
      </c>
      <c r="AE29" s="301">
        <f t="shared" si="15"/>
        <v>0.5</v>
      </c>
      <c r="AF29" s="173">
        <f t="shared" si="23"/>
        <v>0.49007108294587765</v>
      </c>
      <c r="AG29" s="801">
        <f t="shared" si="24"/>
        <v>2</v>
      </c>
      <c r="AH29" s="172">
        <f t="shared" si="16"/>
        <v>8</v>
      </c>
      <c r="AI29" s="221">
        <f t="shared" si="17"/>
        <v>2.4900710829458776</v>
      </c>
      <c r="AJ29" s="261" t="b">
        <f t="shared" si="18"/>
        <v>0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46403</v>
      </c>
      <c r="B30" s="406">
        <f>'2026'!Wh/'2026'!Env_an*'2027'!Env_an</f>
        <v>107.51730393508714</v>
      </c>
      <c r="C30" s="831"/>
      <c r="D30" s="388">
        <f t="shared" si="0"/>
        <v>110.46987230851381</v>
      </c>
      <c r="E30" s="380">
        <f t="shared" si="1"/>
        <v>113.40876801685913</v>
      </c>
      <c r="F30" s="380">
        <f t="shared" si="2"/>
        <v>113.79391184138981</v>
      </c>
      <c r="G30" s="110">
        <f t="shared" si="21"/>
        <v>1.0101938567944699</v>
      </c>
      <c r="H30" s="409" t="b">
        <f>Wh_hp&gt;='2026'!Maxi_hp</f>
        <v>1</v>
      </c>
      <c r="I30" s="385">
        <f>IF(H30,Wh_hp,'2026'!Maxi_hp)</f>
        <v>113.79391184138981</v>
      </c>
      <c r="J30" s="85">
        <f>IF(H30,An,'2026'!An_max)</f>
        <v>2027</v>
      </c>
      <c r="K30" s="193">
        <f t="shared" si="3"/>
        <v>46403</v>
      </c>
      <c r="L30" s="143">
        <f>IF(t&lt;Tvie,1-EXP((T0-t)*PertePVj)+'2026'!Pspv,1-EXP((T0-t)*PertePVj)+Pspv)</f>
        <v>2.6727362960834333E-2</v>
      </c>
      <c r="M30" s="835"/>
      <c r="N30" s="835"/>
      <c r="O30" s="48">
        <f>IF(t&lt;Tnet,'2026'!Resal+('2026'!Salim-'2026'!Resal)*(1-EXP(('2026'!Tnet-t)/('2026'!Tau_j))),Resal+(Salim-Resal)*(1-EXP((Tnet-t)/(Tau_j))))*Salcycl</f>
        <v>2.5914184235811662E-2</v>
      </c>
      <c r="P30" s="165">
        <f>(INDEX(Models!$BJ30:$BT30,,T30)*(1-R30)+INDEX(Models!$BJ30:$BT30,,T30+1)*R30-ERP_i)*Q30*Ramure*Pc/MaxiM</f>
        <v>3.3845732016622482E-3</v>
      </c>
      <c r="Q30" s="301">
        <f t="shared" si="4"/>
        <v>0.5</v>
      </c>
      <c r="R30" s="173">
        <f t="shared" si="5"/>
        <v>0.49012290426127114</v>
      </c>
      <c r="S30" s="801">
        <f t="shared" si="6"/>
        <v>2</v>
      </c>
      <c r="T30" s="172">
        <f t="shared" si="7"/>
        <v>8</v>
      </c>
      <c r="U30" s="247">
        <f t="shared" si="8"/>
        <v>2.4901229042612711</v>
      </c>
      <c r="V30" s="378">
        <f t="shared" si="9"/>
        <v>106.43234782307944</v>
      </c>
      <c r="W30" s="397">
        <f t="shared" si="10"/>
        <v>107.51730393508714</v>
      </c>
      <c r="X30" s="153">
        <f t="shared" si="11"/>
        <v>46403</v>
      </c>
      <c r="Y30" s="380">
        <f t="shared" si="12"/>
        <v>104.14526762344981</v>
      </c>
      <c r="Z30" s="380">
        <f t="shared" si="22"/>
        <v>107.00523538838468</v>
      </c>
      <c r="AA30" s="381">
        <f t="shared" si="13"/>
        <v>113.40876801685913</v>
      </c>
      <c r="AB30" s="193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5.6464175922645785E-2</v>
      </c>
      <c r="AD30" s="227">
        <f>(INDEX(Models!$BJ30:$BT30,,AH30)*(1-AF30)+INDEX(Models!$BJ30:$BT30,,AH30+1)*AF30-ERP_i)*AE30*Ramure*Pc/MaxiM</f>
        <v>3.3845732016622482E-3</v>
      </c>
      <c r="AE30" s="301">
        <f t="shared" si="15"/>
        <v>0.5</v>
      </c>
      <c r="AF30" s="173">
        <f t="shared" si="23"/>
        <v>0.49012290426127114</v>
      </c>
      <c r="AG30" s="801">
        <f t="shared" si="24"/>
        <v>2</v>
      </c>
      <c r="AH30" s="172">
        <f t="shared" si="16"/>
        <v>8</v>
      </c>
      <c r="AI30" s="221">
        <f t="shared" si="17"/>
        <v>2.4901229042612711</v>
      </c>
      <c r="AJ30" s="261" t="b">
        <f t="shared" si="18"/>
        <v>0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46404</v>
      </c>
      <c r="B31" s="406">
        <f>'2026'!Wh/'2026'!Env_an*'2027'!Env_an</f>
        <v>84.430926972098774</v>
      </c>
      <c r="C31" s="831"/>
      <c r="D31" s="388">
        <f t="shared" si="0"/>
        <v>86.750700228523428</v>
      </c>
      <c r="E31" s="380">
        <f t="shared" si="1"/>
        <v>89.063953238949864</v>
      </c>
      <c r="F31" s="380">
        <f t="shared" si="2"/>
        <v>89.272585493256017</v>
      </c>
      <c r="G31" s="110">
        <f t="shared" si="21"/>
        <v>0.78470566651096041</v>
      </c>
      <c r="H31" s="409" t="b">
        <f>Wh_hp&gt;='2026'!Maxi_hp</f>
        <v>0</v>
      </c>
      <c r="I31" s="385">
        <f>IF(H31,Wh_hp,'2026'!Maxi_hp)</f>
        <v>89.36504341458523</v>
      </c>
      <c r="J31" s="85">
        <f>IF(H31,An,'2026'!An_max)</f>
        <v>2022</v>
      </c>
      <c r="K31" s="193">
        <f t="shared" si="3"/>
        <v>46404</v>
      </c>
      <c r="L31" s="143">
        <f>IF(t&lt;Tvie,1-EXP((T0-t)*PertePVj)+'2026'!Pspv,1-EXP((T0-t)*PertePVj)+Pspv)</f>
        <v>2.6740686245918299E-2</v>
      </c>
      <c r="M31" s="835"/>
      <c r="N31" s="835"/>
      <c r="O31" s="48">
        <f>IF(t&lt;Tnet,'2026'!Resal+('2026'!Salim-'2026'!Resal)*(1-EXP(('2026'!Tnet-t)/('2026'!Tau_j))),Resal+(Salim-Resal)*(1-EXP((Tnet-t)/(Tau_j))))*Salcycl</f>
        <v>2.5972943332306403E-2</v>
      </c>
      <c r="P31" s="165">
        <f>(INDEX(Models!$BJ31:$BT31,,T31)*(1-R31)+INDEX(Models!$BJ31:$BT31,,T31+1)*R31-ERP_i)*Q31*Ramure*Pc/MaxiM</f>
        <v>3.3694232203011439E-3</v>
      </c>
      <c r="Q31" s="301">
        <f t="shared" si="4"/>
        <v>0.5</v>
      </c>
      <c r="R31" s="173">
        <f t="shared" si="5"/>
        <v>0.49017688815062499</v>
      </c>
      <c r="S31" s="801">
        <f t="shared" si="6"/>
        <v>2</v>
      </c>
      <c r="T31" s="172">
        <f t="shared" si="7"/>
        <v>8</v>
      </c>
      <c r="U31" s="247">
        <f t="shared" si="8"/>
        <v>2.490176888150625</v>
      </c>
      <c r="V31" s="378">
        <f t="shared" si="9"/>
        <v>107.48432187571908</v>
      </c>
      <c r="W31" s="397">
        <f t="shared" si="10"/>
        <v>84.430926972098774</v>
      </c>
      <c r="X31" s="153">
        <f t="shared" si="11"/>
        <v>46404</v>
      </c>
      <c r="Y31" s="380">
        <f t="shared" si="12"/>
        <v>81.78573342781327</v>
      </c>
      <c r="Z31" s="380">
        <f t="shared" si="22"/>
        <v>84.032828940878218</v>
      </c>
      <c r="AA31" s="381">
        <f t="shared" si="13"/>
        <v>89.063953238949864</v>
      </c>
      <c r="AB31" s="193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5.6488894946911096E-2</v>
      </c>
      <c r="AD31" s="227">
        <f>(INDEX(Models!$BJ31:$BT31,,AH31)*(1-AF31)+INDEX(Models!$BJ31:$BT31,,AH31+1)*AF31-ERP_i)*AE31*Ramure*Pc/MaxiM</f>
        <v>3.3694232203011439E-3</v>
      </c>
      <c r="AE31" s="301">
        <f t="shared" si="15"/>
        <v>0.5</v>
      </c>
      <c r="AF31" s="173">
        <f t="shared" si="23"/>
        <v>0.49017688815062499</v>
      </c>
      <c r="AG31" s="801">
        <f t="shared" si="24"/>
        <v>2</v>
      </c>
      <c r="AH31" s="172">
        <f t="shared" si="16"/>
        <v>8</v>
      </c>
      <c r="AI31" s="221">
        <f t="shared" si="17"/>
        <v>2.490176888150625</v>
      </c>
      <c r="AJ31" s="261" t="b">
        <f t="shared" si="18"/>
        <v>0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46405</v>
      </c>
      <c r="B32" s="406">
        <f>'2026'!Wh/'2026'!Env_an*'2027'!Env_an</f>
        <v>22.114177015956265</v>
      </c>
      <c r="C32" s="831"/>
      <c r="D32" s="388">
        <f t="shared" si="0"/>
        <v>22.722083859965867</v>
      </c>
      <c r="E32" s="380">
        <f t="shared" si="1"/>
        <v>23.329386691190599</v>
      </c>
      <c r="F32" s="380">
        <f t="shared" si="2"/>
        <v>23.329386691190599</v>
      </c>
      <c r="G32" s="110">
        <f t="shared" si="21"/>
        <v>0.20302432951403859</v>
      </c>
      <c r="H32" s="409" t="b">
        <f>Wh_hp&gt;='2026'!Maxi_hp</f>
        <v>0</v>
      </c>
      <c r="I32" s="385">
        <f>IF(H32,Wh_hp,'2026'!Maxi_hp)</f>
        <v>23.40767107813555</v>
      </c>
      <c r="J32" s="85">
        <f>IF(H32,An,'2026'!An_max)</f>
        <v>2022</v>
      </c>
      <c r="K32" s="193">
        <f t="shared" si="3"/>
        <v>46405</v>
      </c>
      <c r="L32" s="143">
        <f>IF(t&lt;Tvie,1-EXP((T0-t)*PertePVj)+'2026'!Pspv,1-EXP((T0-t)*PertePVj)+Pspv)</f>
        <v>2.6754009348617713E-2</v>
      </c>
      <c r="M32" s="835"/>
      <c r="N32" s="835"/>
      <c r="O32" s="48">
        <f>IF(t&lt;Tnet,'2026'!Resal+('2026'!Salim-'2026'!Resal)*(1-EXP(('2026'!Tnet-t)/('2026'!Tau_j))),Resal+(Salim-Resal)*(1-EXP((Tnet-t)/(Tau_j))))*Salcycl</f>
        <v>2.6031667238558646E-2</v>
      </c>
      <c r="P32" s="165">
        <f>(INDEX(Models!$BJ32:$BT32,,T32)*(1-R32)+INDEX(Models!$BJ32:$BT32,,T32+1)*R32-ERP_i)*Q32*Ramure*Pc/MaxiM</f>
        <v>3.3451072414755556E-3</v>
      </c>
      <c r="Q32" s="301">
        <f t="shared" si="4"/>
        <v>0.5</v>
      </c>
      <c r="R32" s="173">
        <f t="shared" si="5"/>
        <v>0.49023312436276667</v>
      </c>
      <c r="S32" s="801">
        <f t="shared" si="6"/>
        <v>2</v>
      </c>
      <c r="T32" s="172">
        <f t="shared" si="7"/>
        <v>8</v>
      </c>
      <c r="U32" s="247">
        <f t="shared" si="8"/>
        <v>2.4902331243627667</v>
      </c>
      <c r="V32" s="378">
        <f t="shared" si="9"/>
        <v>108.55941637653284</v>
      </c>
      <c r="W32" s="397">
        <f t="shared" si="10"/>
        <v>22.114177015956265</v>
      </c>
      <c r="X32" s="153">
        <f t="shared" si="11"/>
        <v>46405</v>
      </c>
      <c r="Y32" s="380">
        <f t="shared" si="12"/>
        <v>21.422076430226799</v>
      </c>
      <c r="Z32" s="380">
        <f t="shared" si="22"/>
        <v>22.01095780100697</v>
      </c>
      <c r="AA32" s="381">
        <f t="shared" si="13"/>
        <v>23.329386691190599</v>
      </c>
      <c r="AB32" s="193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5.6513654115111479E-2</v>
      </c>
      <c r="AD32" s="227">
        <f>(INDEX(Models!$BJ32:$BT32,,AH32)*(1-AF32)+INDEX(Models!$BJ32:$BT32,,AH32+1)*AF32-ERP_i)*AE32*Ramure*Pc/MaxiM</f>
        <v>3.3451072414755556E-3</v>
      </c>
      <c r="AE32" s="301">
        <f t="shared" si="15"/>
        <v>0.5</v>
      </c>
      <c r="AF32" s="173">
        <f t="shared" si="23"/>
        <v>0.49023312436276667</v>
      </c>
      <c r="AG32" s="801">
        <f t="shared" si="24"/>
        <v>2</v>
      </c>
      <c r="AH32" s="172">
        <f t="shared" si="16"/>
        <v>8</v>
      </c>
      <c r="AI32" s="221">
        <f t="shared" si="17"/>
        <v>2.4902331243627667</v>
      </c>
      <c r="AJ32" s="261" t="b">
        <f t="shared" si="18"/>
        <v>0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46406</v>
      </c>
      <c r="B33" s="406">
        <f>'2026'!Wh/'2026'!Env_an*'2027'!Env_an</f>
        <v>45.161405644560404</v>
      </c>
      <c r="C33" s="831"/>
      <c r="D33" s="388">
        <f t="shared" si="0"/>
        <v>46.403503645070742</v>
      </c>
      <c r="E33" s="380">
        <f t="shared" si="1"/>
        <v>47.646621017571505</v>
      </c>
      <c r="F33" s="380">
        <f t="shared" si="2"/>
        <v>47.671849057659784</v>
      </c>
      <c r="G33" s="110">
        <f t="shared" si="21"/>
        <v>0.41070233052771227</v>
      </c>
      <c r="H33" s="409" t="b">
        <f>Wh_hp&gt;='2026'!Maxi_hp</f>
        <v>0</v>
      </c>
      <c r="I33" s="385">
        <f>IF(H33,Wh_hp,'2026'!Maxi_hp)</f>
        <v>47.804919366126292</v>
      </c>
      <c r="J33" s="85">
        <f>IF(H33,An,'2026'!An_max)</f>
        <v>2022</v>
      </c>
      <c r="K33" s="193">
        <f t="shared" si="3"/>
        <v>46406</v>
      </c>
      <c r="L33" s="143">
        <f>IF(t&lt;Tvie,1-EXP((T0-t)*PertePVj)+'2026'!Pspv,1-EXP((T0-t)*PertePVj)+Pspv)</f>
        <v>2.6767332268934907E-2</v>
      </c>
      <c r="M33" s="835"/>
      <c r="N33" s="835"/>
      <c r="O33" s="48">
        <f>IF(t&lt;Tnet,'2026'!Resal+('2026'!Salim-'2026'!Resal)*(1-EXP(('2026'!Tnet-t)/('2026'!Tau_j))),Resal+(Salim-Resal)*(1-EXP((Tnet-t)/(Tau_j))))*Salcycl</f>
        <v>2.609035742623407E-2</v>
      </c>
      <c r="P33" s="165">
        <f>(INDEX(Models!$BJ33:$BT33,,T33)*(1-R33)+INDEX(Models!$BJ33:$BT33,,T33+1)*R33-ERP_i)*Q33*Ramure*Pc/MaxiM</f>
        <v>3.311977435326689E-3</v>
      </c>
      <c r="Q33" s="301">
        <f t="shared" si="4"/>
        <v>0.5</v>
      </c>
      <c r="R33" s="173">
        <f t="shared" si="5"/>
        <v>0.49029170632862762</v>
      </c>
      <c r="S33" s="801">
        <f t="shared" si="6"/>
        <v>2</v>
      </c>
      <c r="T33" s="172">
        <f t="shared" si="7"/>
        <v>8</v>
      </c>
      <c r="U33" s="247">
        <f t="shared" si="8"/>
        <v>2.4902917063286276</v>
      </c>
      <c r="V33" s="378">
        <f t="shared" si="9"/>
        <v>109.65524592073757</v>
      </c>
      <c r="W33" s="397">
        <f t="shared" si="10"/>
        <v>45.161405644560404</v>
      </c>
      <c r="X33" s="153">
        <f t="shared" si="11"/>
        <v>46406</v>
      </c>
      <c r="Y33" s="380">
        <f t="shared" si="12"/>
        <v>43.749489306896997</v>
      </c>
      <c r="Z33" s="380">
        <f t="shared" si="22"/>
        <v>44.952754626385357</v>
      </c>
      <c r="AA33" s="381">
        <f t="shared" si="13"/>
        <v>47.646621017571505</v>
      </c>
      <c r="AB33" s="193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5.653845610988207E-2</v>
      </c>
      <c r="AD33" s="227">
        <f>(INDEX(Models!$BJ33:$BT33,,AH33)*(1-AF33)+INDEX(Models!$BJ33:$BT33,,AH33+1)*AF33-ERP_i)*AE33*Ramure*Pc/MaxiM</f>
        <v>3.311977435326689E-3</v>
      </c>
      <c r="AE33" s="301">
        <f t="shared" si="15"/>
        <v>0.5</v>
      </c>
      <c r="AF33" s="173">
        <f t="shared" si="23"/>
        <v>0.49029170632862762</v>
      </c>
      <c r="AG33" s="801">
        <f t="shared" si="24"/>
        <v>2</v>
      </c>
      <c r="AH33" s="172">
        <f t="shared" si="16"/>
        <v>8</v>
      </c>
      <c r="AI33" s="221">
        <f t="shared" si="17"/>
        <v>2.4902917063286276</v>
      </c>
      <c r="AJ33" s="261" t="b">
        <f t="shared" si="18"/>
        <v>0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46407</v>
      </c>
      <c r="B34" s="406">
        <f>'2026'!Wh/'2026'!Env_an*'2027'!Env_an</f>
        <v>23.275727558042867</v>
      </c>
      <c r="C34" s="831"/>
      <c r="D34" s="388">
        <f t="shared" si="0"/>
        <v>23.916219583784816</v>
      </c>
      <c r="E34" s="380">
        <f t="shared" si="1"/>
        <v>24.558397499141421</v>
      </c>
      <c r="F34" s="380">
        <f t="shared" si="2"/>
        <v>24.558397499141421</v>
      </c>
      <c r="G34" s="110">
        <f t="shared" si="21"/>
        <v>0.20944052868325591</v>
      </c>
      <c r="H34" s="409" t="b">
        <f>Wh_hp&gt;='2026'!Maxi_hp</f>
        <v>0</v>
      </c>
      <c r="I34" s="385">
        <f>IF(H34,Wh_hp,'2026'!Maxi_hp)</f>
        <v>24.638956934020555</v>
      </c>
      <c r="J34" s="85">
        <f>IF(H34,An,'2026'!An_max)</f>
        <v>2022</v>
      </c>
      <c r="K34" s="193">
        <f t="shared" si="3"/>
        <v>46407</v>
      </c>
      <c r="L34" s="143">
        <f>IF(t&lt;Tvie,1-EXP((T0-t)*PertePVj)+'2026'!Pspv,1-EXP((T0-t)*PertePVj)+Pspv)</f>
        <v>2.6780655006872545E-2</v>
      </c>
      <c r="M34" s="835"/>
      <c r="N34" s="835"/>
      <c r="O34" s="48">
        <f>IF(t&lt;Tnet,'2026'!Resal+('2026'!Salim-'2026'!Resal)*(1-EXP(('2026'!Tnet-t)/('2026'!Tau_j))),Resal+(Salim-Resal)*(1-EXP((Tnet-t)/(Tau_j))))*Salcycl</f>
        <v>2.614901543877431E-2</v>
      </c>
      <c r="P34" s="165">
        <f>(INDEX(Models!$BJ34:$BT34,,T34)*(1-R34)+INDEX(Models!$BJ34:$BT34,,T34+1)*R34-ERP_i)*Q34*Ramure*Pc/MaxiM</f>
        <v>3.2703951358683571E-3</v>
      </c>
      <c r="Q34" s="301">
        <f t="shared" si="4"/>
        <v>0.5</v>
      </c>
      <c r="R34" s="173">
        <f t="shared" si="5"/>
        <v>0.49035273130867019</v>
      </c>
      <c r="S34" s="801">
        <f t="shared" si="6"/>
        <v>2</v>
      </c>
      <c r="T34" s="172">
        <f t="shared" si="7"/>
        <v>8</v>
      </c>
      <c r="U34" s="247">
        <f t="shared" si="8"/>
        <v>2.4903527313086702</v>
      </c>
      <c r="V34" s="378">
        <f t="shared" si="9"/>
        <v>110.76942403511025</v>
      </c>
      <c r="W34" s="397">
        <f t="shared" si="10"/>
        <v>23.275727558042867</v>
      </c>
      <c r="X34" s="153">
        <f t="shared" si="11"/>
        <v>46407</v>
      </c>
      <c r="Y34" s="380">
        <f t="shared" si="12"/>
        <v>22.548804548398884</v>
      </c>
      <c r="Z34" s="380">
        <f t="shared" si="22"/>
        <v>23.169293401744</v>
      </c>
      <c r="AA34" s="381">
        <f t="shared" si="13"/>
        <v>24.558397499141421</v>
      </c>
      <c r="AB34" s="193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5.656330375163876E-2</v>
      </c>
      <c r="AD34" s="227">
        <f>(INDEX(Models!$BJ34:$BT34,,AH34)*(1-AF34)+INDEX(Models!$BJ34:$BT34,,AH34+1)*AF34-ERP_i)*AE34*Ramure*Pc/MaxiM</f>
        <v>3.2703951358683571E-3</v>
      </c>
      <c r="AE34" s="301">
        <f t="shared" si="15"/>
        <v>0.5</v>
      </c>
      <c r="AF34" s="173">
        <f t="shared" si="23"/>
        <v>0.49035273130867019</v>
      </c>
      <c r="AG34" s="801">
        <f t="shared" si="24"/>
        <v>2</v>
      </c>
      <c r="AH34" s="172">
        <f t="shared" si="16"/>
        <v>8</v>
      </c>
      <c r="AI34" s="221">
        <f t="shared" si="17"/>
        <v>2.4903527313086702</v>
      </c>
      <c r="AJ34" s="261" t="b">
        <f t="shared" si="18"/>
        <v>0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46408</v>
      </c>
      <c r="B35" s="406">
        <f>'2026'!Wh/'2026'!Env_an*'2027'!Env_an</f>
        <v>58.435230794343568</v>
      </c>
      <c r="C35" s="831"/>
      <c r="D35" s="388">
        <f t="shared" si="0"/>
        <v>60.044049715169443</v>
      </c>
      <c r="E35" s="380">
        <f t="shared" si="1"/>
        <v>61.660013321892968</v>
      </c>
      <c r="F35" s="380">
        <f t="shared" si="2"/>
        <v>61.723119094414336</v>
      </c>
      <c r="G35" s="110">
        <f t="shared" si="21"/>
        <v>0.52106226267868649</v>
      </c>
      <c r="H35" s="409" t="b">
        <f>Wh_hp&gt;='2026'!Maxi_hp</f>
        <v>0</v>
      </c>
      <c r="I35" s="385">
        <f>IF(H35,Wh_hp,'2026'!Maxi_hp)</f>
        <v>61.859209054823204</v>
      </c>
      <c r="J35" s="85">
        <f>IF(H35,An,'2026'!An_max)</f>
        <v>2022</v>
      </c>
      <c r="K35" s="193">
        <f t="shared" si="3"/>
        <v>46408</v>
      </c>
      <c r="L35" s="143">
        <f>IF(t&lt;Tvie,1-EXP((T0-t)*PertePVj)+'2026'!Pspv,1-EXP((T0-t)*PertePVj)+Pspv)</f>
        <v>2.679397756243318E-2</v>
      </c>
      <c r="M35" s="835"/>
      <c r="N35" s="835"/>
      <c r="O35" s="48">
        <f>IF(t&lt;Tnet,'2026'!Resal+('2026'!Salim-'2026'!Resal)*(1-EXP(('2026'!Tnet-t)/('2026'!Tau_j))),Resal+(Salim-Resal)*(1-EXP((Tnet-t)/(Tau_j))))*Salcycl</f>
        <v>2.6207642841195502E-2</v>
      </c>
      <c r="P35" s="165">
        <f>(INDEX(Models!$BJ35:$BT35,,T35)*(1-R35)+INDEX(Models!$BJ35:$BT35,,T35+1)*R35-ERP_i)*Q35*Ramure*Pc/MaxiM</f>
        <v>3.2207193282055833E-3</v>
      </c>
      <c r="Q35" s="301">
        <f t="shared" si="4"/>
        <v>0.5</v>
      </c>
      <c r="R35" s="173">
        <f t="shared" si="5"/>
        <v>0.49041630054590657</v>
      </c>
      <c r="S35" s="801">
        <f t="shared" si="6"/>
        <v>2</v>
      </c>
      <c r="T35" s="172">
        <f t="shared" si="7"/>
        <v>8</v>
      </c>
      <c r="U35" s="247">
        <f t="shared" si="8"/>
        <v>2.4904163005459066</v>
      </c>
      <c r="V35" s="378">
        <f t="shared" si="9"/>
        <v>111.89956413007594</v>
      </c>
      <c r="W35" s="397">
        <f t="shared" si="10"/>
        <v>58.435230794343568</v>
      </c>
      <c r="X35" s="153">
        <f t="shared" si="11"/>
        <v>46408</v>
      </c>
      <c r="Y35" s="380">
        <f t="shared" si="12"/>
        <v>56.612157477224159</v>
      </c>
      <c r="Z35" s="380">
        <f t="shared" si="22"/>
        <v>58.170784162873332</v>
      </c>
      <c r="AA35" s="381">
        <f t="shared" si="13"/>
        <v>61.660013321892968</v>
      </c>
      <c r="AB35" s="193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5.6588199889031778E-2</v>
      </c>
      <c r="AD35" s="227">
        <f>(INDEX(Models!$BJ35:$BT35,,AH35)*(1-AF35)+INDEX(Models!$BJ35:$BT35,,AH35+1)*AF35-ERP_i)*AE35*Ramure*Pc/MaxiM</f>
        <v>3.2207193282055833E-3</v>
      </c>
      <c r="AE35" s="301">
        <f t="shared" si="15"/>
        <v>0.5</v>
      </c>
      <c r="AF35" s="173">
        <f t="shared" si="23"/>
        <v>0.49041630054590657</v>
      </c>
      <c r="AG35" s="801">
        <f t="shared" si="24"/>
        <v>2</v>
      </c>
      <c r="AH35" s="172">
        <f t="shared" si="16"/>
        <v>8</v>
      </c>
      <c r="AI35" s="221">
        <f t="shared" si="17"/>
        <v>2.4904163005459066</v>
      </c>
      <c r="AJ35" s="261" t="b">
        <f t="shared" si="18"/>
        <v>0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46409</v>
      </c>
      <c r="B36" s="406">
        <f>'2026'!Wh/'2026'!Env_an*'2027'!Env_an</f>
        <v>112.22659966369559</v>
      </c>
      <c r="C36" s="831"/>
      <c r="D36" s="388">
        <f t="shared" si="0"/>
        <v>115.31796288265554</v>
      </c>
      <c r="E36" s="380">
        <f t="shared" si="1"/>
        <v>118.42863805139896</v>
      </c>
      <c r="F36" s="380">
        <f t="shared" si="2"/>
        <v>118.80055963482823</v>
      </c>
      <c r="G36" s="110">
        <f t="shared" si="21"/>
        <v>0.99274297970254222</v>
      </c>
      <c r="H36" s="409" t="b">
        <f>Wh_hp&gt;='2026'!Maxi_hp</f>
        <v>0</v>
      </c>
      <c r="I36" s="385">
        <f>IF(H36,Wh_hp,'2026'!Maxi_hp)</f>
        <v>118.80444939274724</v>
      </c>
      <c r="J36" s="85">
        <f>IF(H36,An,'2026'!An_max)</f>
        <v>2022</v>
      </c>
      <c r="K36" s="193">
        <f t="shared" si="3"/>
        <v>46409</v>
      </c>
      <c r="L36" s="143">
        <f>IF(t&lt;Tvie,1-EXP((T0-t)*PertePVj)+'2026'!Pspv,1-EXP((T0-t)*PertePVj)+Pspv)</f>
        <v>2.6807299935619144E-2</v>
      </c>
      <c r="M36" s="835"/>
      <c r="N36" s="835"/>
      <c r="O36" s="48">
        <f>IF(t&lt;Tnet,'2026'!Resal+('2026'!Salim-'2026'!Resal)*(1-EXP(('2026'!Tnet-t)/('2026'!Tau_j))),Resal+(Salim-Resal)*(1-EXP((Tnet-t)/(Tau_j))))*Salcycl</f>
        <v>2.626624117211725E-2</v>
      </c>
      <c r="P36" s="165">
        <f>(INDEX(Models!$BJ36:$BT36,,T36)*(1-R36)+INDEX(Models!$BJ36:$BT36,,T36+1)*R36-ERP_i)*Q36*Ramure*Pc/MaxiM</f>
        <v>3.1632857111082964E-3</v>
      </c>
      <c r="Q36" s="301">
        <f t="shared" si="4"/>
        <v>0.5</v>
      </c>
      <c r="R36" s="173">
        <f t="shared" si="5"/>
        <v>0.49048251942468868</v>
      </c>
      <c r="S36" s="801">
        <f t="shared" si="6"/>
        <v>2</v>
      </c>
      <c r="T36" s="172">
        <f t="shared" si="7"/>
        <v>8</v>
      </c>
      <c r="U36" s="247">
        <f t="shared" si="8"/>
        <v>2.4904825194246887</v>
      </c>
      <c r="V36" s="378">
        <f t="shared" si="9"/>
        <v>113.04328164002209</v>
      </c>
      <c r="W36" s="397">
        <f t="shared" si="10"/>
        <v>112.22659966369559</v>
      </c>
      <c r="X36" s="153">
        <f t="shared" si="11"/>
        <v>46409</v>
      </c>
      <c r="Y36" s="380">
        <f t="shared" si="12"/>
        <v>108.72900080399502</v>
      </c>
      <c r="Z36" s="380">
        <f t="shared" si="22"/>
        <v>111.7240201214026</v>
      </c>
      <c r="AA36" s="381">
        <f t="shared" si="13"/>
        <v>118.42863805139896</v>
      </c>
      <c r="AB36" s="193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5.6613147295390694E-2</v>
      </c>
      <c r="AD36" s="227">
        <f>(INDEX(Models!$BJ36:$BT36,,AH36)*(1-AF36)+INDEX(Models!$BJ36:$BT36,,AH36+1)*AF36-ERP_i)*AE36*Ramure*Pc/MaxiM</f>
        <v>3.1632857111082964E-3</v>
      </c>
      <c r="AE36" s="301">
        <f t="shared" si="15"/>
        <v>0.5</v>
      </c>
      <c r="AF36" s="173">
        <f t="shared" si="23"/>
        <v>0.49048251942468868</v>
      </c>
      <c r="AG36" s="801">
        <f t="shared" si="24"/>
        <v>2</v>
      </c>
      <c r="AH36" s="172">
        <f t="shared" si="16"/>
        <v>8</v>
      </c>
      <c r="AI36" s="221">
        <f t="shared" si="17"/>
        <v>2.4904825194246887</v>
      </c>
      <c r="AJ36" s="261" t="b">
        <f t="shared" si="18"/>
        <v>0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46410</v>
      </c>
      <c r="B37" s="406">
        <f>'2026'!Wh/'2026'!Env_an*'2027'!Env_an</f>
        <v>114.0753585927347</v>
      </c>
      <c r="C37" s="831"/>
      <c r="D37" s="388">
        <f t="shared" si="0"/>
        <v>117.21925185261692</v>
      </c>
      <c r="E37" s="380">
        <f t="shared" si="1"/>
        <v>120.38845529295612</v>
      </c>
      <c r="F37" s="380">
        <f t="shared" si="2"/>
        <v>120.76196883886253</v>
      </c>
      <c r="G37" s="110">
        <f t="shared" si="21"/>
        <v>0.99882832911133179</v>
      </c>
      <c r="H37" s="409" t="b">
        <f>Wh_hp&gt;='2026'!Maxi_hp</f>
        <v>0</v>
      </c>
      <c r="I37" s="385">
        <f>IF(H37,Wh_hp,'2026'!Maxi_hp)</f>
        <v>120.76259406342568</v>
      </c>
      <c r="J37" s="85">
        <f>IF(H37,An,'2026'!An_max)</f>
        <v>2022</v>
      </c>
      <c r="K37" s="193">
        <f t="shared" si="3"/>
        <v>46410</v>
      </c>
      <c r="L37" s="143">
        <f>IF(t&lt;Tvie,1-EXP((T0-t)*PertePVj)+'2026'!Pspv,1-EXP((T0-t)*PertePVj)+Pspv)</f>
        <v>2.6820622126432991E-2</v>
      </c>
      <c r="M37" s="835"/>
      <c r="N37" s="835"/>
      <c r="O37" s="48">
        <f>IF(t&lt;Tnet,'2026'!Resal+('2026'!Salim-'2026'!Resal)*(1-EXP(('2026'!Tnet-t)/('2026'!Tau_j))),Resal+(Salim-Resal)*(1-EXP((Tnet-t)/(Tau_j))))*Salcycl</f>
        <v>2.6324811898509683E-2</v>
      </c>
      <c r="P37" s="165">
        <f>(INDEX(Models!$BJ37:$BT37,,T37)*(1-R37)+INDEX(Models!$BJ37:$BT37,,T37+1)*R37-ERP_i)*Q37*Ramure*Pc/MaxiM</f>
        <v>3.0981361193643925E-3</v>
      </c>
      <c r="Q37" s="301">
        <f t="shared" si="4"/>
        <v>0.5</v>
      </c>
      <c r="R37" s="173">
        <f t="shared" si="5"/>
        <v>0.49055149763546568</v>
      </c>
      <c r="S37" s="801">
        <f t="shared" si="6"/>
        <v>2</v>
      </c>
      <c r="T37" s="172">
        <f t="shared" si="7"/>
        <v>8</v>
      </c>
      <c r="U37" s="247">
        <f t="shared" si="8"/>
        <v>2.4905514976354657</v>
      </c>
      <c r="V37" s="378">
        <f t="shared" si="9"/>
        <v>114.20858268717443</v>
      </c>
      <c r="W37" s="397">
        <f t="shared" si="10"/>
        <v>114.0753585927347</v>
      </c>
      <c r="X37" s="153">
        <f t="shared" si="11"/>
        <v>46410</v>
      </c>
      <c r="Y37" s="380">
        <f t="shared" si="12"/>
        <v>110.52386134453249</v>
      </c>
      <c r="Z37" s="380">
        <f t="shared" si="22"/>
        <v>113.5698760757048</v>
      </c>
      <c r="AA37" s="381">
        <f t="shared" si="13"/>
        <v>120.38845529295612</v>
      </c>
      <c r="AB37" s="193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5.6638148572127102E-2</v>
      </c>
      <c r="AD37" s="227">
        <f>(INDEX(Models!$BJ37:$BT37,,AH37)*(1-AF37)+INDEX(Models!$BJ37:$BT37,,AH37+1)*AF37-ERP_i)*AE37*Ramure*Pc/MaxiM</f>
        <v>3.0981361193643925E-3</v>
      </c>
      <c r="AE37" s="301">
        <f t="shared" si="15"/>
        <v>0.5</v>
      </c>
      <c r="AF37" s="173">
        <f t="shared" si="23"/>
        <v>0.49055149763546568</v>
      </c>
      <c r="AG37" s="801">
        <f t="shared" si="24"/>
        <v>2</v>
      </c>
      <c r="AH37" s="172">
        <f t="shared" si="16"/>
        <v>8</v>
      </c>
      <c r="AI37" s="221">
        <f t="shared" si="17"/>
        <v>2.4905514976354657</v>
      </c>
      <c r="AJ37" s="261" t="b">
        <f t="shared" si="18"/>
        <v>0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46411</v>
      </c>
      <c r="B38" s="406">
        <f>'2026'!Wh/'2026'!Env_an*'2027'!Env_an</f>
        <v>115.48732154265093</v>
      </c>
      <c r="C38" s="831"/>
      <c r="D38" s="388">
        <f t="shared" si="0"/>
        <v>118.6717527256798</v>
      </c>
      <c r="E38" s="380">
        <f t="shared" si="1"/>
        <v>121.88755554102679</v>
      </c>
      <c r="F38" s="380">
        <f t="shared" si="2"/>
        <v>122.25706830537693</v>
      </c>
      <c r="G38" s="110">
        <f t="shared" si="21"/>
        <v>1.0007217563932862</v>
      </c>
      <c r="H38" s="409" t="b">
        <f>Wh_hp&gt;='2026'!Maxi_hp</f>
        <v>1</v>
      </c>
      <c r="I38" s="385">
        <f>IF(H38,Wh_hp,'2026'!Maxi_hp)</f>
        <v>122.25706830537693</v>
      </c>
      <c r="J38" s="85">
        <f>IF(H38,An,'2026'!An_max)</f>
        <v>2027</v>
      </c>
      <c r="K38" s="193">
        <f t="shared" si="3"/>
        <v>46411</v>
      </c>
      <c r="L38" s="143">
        <f>IF(t&lt;Tvie,1-EXP((T0-t)*PertePVj)+'2026'!Pspv,1-EXP((T0-t)*PertePVj)+Pspv)</f>
        <v>2.6833944134877274E-2</v>
      </c>
      <c r="M38" s="835"/>
      <c r="N38" s="835"/>
      <c r="O38" s="48">
        <f>IF(t&lt;Tnet,'2026'!Resal+('2026'!Salim-'2026'!Resal)*(1-EXP(('2026'!Tnet-t)/('2026'!Tau_j))),Resal+(Salim-Resal)*(1-EXP((Tnet-t)/(Tau_j))))*Salcycl</f>
        <v>2.6383356373609095E-2</v>
      </c>
      <c r="P38" s="165">
        <f>(INDEX(Models!$BJ38:$BT38,,T38)*(1-R38)+INDEX(Models!$BJ38:$BT38,,T38+1)*R38-ERP_i)*Q38*Ramure*Pc/MaxiM</f>
        <v>3.0224245474884943E-3</v>
      </c>
      <c r="Q38" s="301">
        <f t="shared" si="4"/>
        <v>0.5</v>
      </c>
      <c r="R38" s="173">
        <f t="shared" si="5"/>
        <v>0.49062334934569529</v>
      </c>
      <c r="S38" s="801">
        <f t="shared" si="6"/>
        <v>2</v>
      </c>
      <c r="T38" s="172">
        <f t="shared" si="7"/>
        <v>8</v>
      </c>
      <c r="U38" s="247">
        <f t="shared" si="8"/>
        <v>2.4906233493456953</v>
      </c>
      <c r="V38" s="378">
        <f t="shared" si="9"/>
        <v>115.40402794766875</v>
      </c>
      <c r="W38" s="397">
        <f t="shared" si="10"/>
        <v>115.48732154265093</v>
      </c>
      <c r="X38" s="153">
        <f t="shared" si="11"/>
        <v>46411</v>
      </c>
      <c r="Y38" s="380">
        <f t="shared" si="12"/>
        <v>111.89562170895995</v>
      </c>
      <c r="Z38" s="380">
        <f t="shared" si="22"/>
        <v>114.98101586525976</v>
      </c>
      <c r="AA38" s="381">
        <f t="shared" si="13"/>
        <v>121.88755554102679</v>
      </c>
      <c r="AB38" s="193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5.6663206059968232E-2</v>
      </c>
      <c r="AD38" s="227">
        <f>(INDEX(Models!$BJ38:$BT38,,AH38)*(1-AF38)+INDEX(Models!$BJ38:$BT38,,AH38+1)*AF38-ERP_i)*AE38*Ramure*Pc/MaxiM</f>
        <v>3.0224245474884943E-3</v>
      </c>
      <c r="AE38" s="301">
        <f t="shared" si="15"/>
        <v>0.5</v>
      </c>
      <c r="AF38" s="173">
        <f t="shared" si="23"/>
        <v>0.49062334934569529</v>
      </c>
      <c r="AG38" s="801">
        <f t="shared" si="24"/>
        <v>2</v>
      </c>
      <c r="AH38" s="172">
        <f t="shared" si="16"/>
        <v>8</v>
      </c>
      <c r="AI38" s="221">
        <f t="shared" si="17"/>
        <v>2.4906233493456953</v>
      </c>
      <c r="AJ38" s="261" t="b">
        <f t="shared" si="18"/>
        <v>0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46412</v>
      </c>
      <c r="B39" s="406">
        <f>'2026'!Wh/'2026'!Env_an*'2027'!Env_an</f>
        <v>114.42304003889122</v>
      </c>
      <c r="C39" s="831"/>
      <c r="D39" s="388">
        <f t="shared" si="0"/>
        <v>117.57973444104844</v>
      </c>
      <c r="E39" s="380">
        <f t="shared" si="1"/>
        <v>120.77320451459957</v>
      </c>
      <c r="F39" s="380">
        <f t="shared" si="2"/>
        <v>121.11993542606662</v>
      </c>
      <c r="G39" s="110">
        <f t="shared" si="21"/>
        <v>0.98102507505426473</v>
      </c>
      <c r="H39" s="409" t="b">
        <f>Wh_hp&gt;='2026'!Maxi_hp</f>
        <v>0</v>
      </c>
      <c r="I39" s="385">
        <f>IF(H39,Wh_hp,'2026'!Maxi_hp)</f>
        <v>121.12958041502201</v>
      </c>
      <c r="J39" s="85">
        <f>IF(H39,An,'2026'!An_max)</f>
        <v>2022</v>
      </c>
      <c r="K39" s="193">
        <f t="shared" si="3"/>
        <v>46412</v>
      </c>
      <c r="L39" s="143">
        <f>IF(t&lt;Tvie,1-EXP((T0-t)*PertePVj)+'2026'!Pspv,1-EXP((T0-t)*PertePVj)+Pspv)</f>
        <v>2.6847265960954436E-2</v>
      </c>
      <c r="M39" s="835"/>
      <c r="N39" s="835"/>
      <c r="O39" s="48">
        <f>IF(t&lt;Tnet,'2026'!Resal+('2026'!Salim-'2026'!Resal)*(1-EXP(('2026'!Tnet-t)/('2026'!Tau_j))),Resal+(Salim-Resal)*(1-EXP((Tnet-t)/(Tau_j))))*Salcycl</f>
        <v>2.6441875798410997E-2</v>
      </c>
      <c r="P39" s="165">
        <f>(INDEX(Models!$BJ39:$BT39,,T39)*(1-R39)+INDEX(Models!$BJ39:$BT39,,T39+1)*R39-ERP_i)*Q39*Ramure*Pc/MaxiM</f>
        <v>2.9421312027901902E-3</v>
      </c>
      <c r="Q39" s="301">
        <f t="shared" si="4"/>
        <v>0.5</v>
      </c>
      <c r="R39" s="173">
        <f t="shared" si="5"/>
        <v>0.49069819337710374</v>
      </c>
      <c r="S39" s="801">
        <f t="shared" si="6"/>
        <v>2</v>
      </c>
      <c r="T39" s="172">
        <f t="shared" si="7"/>
        <v>8</v>
      </c>
      <c r="U39" s="247">
        <f t="shared" si="8"/>
        <v>2.4906981933771037</v>
      </c>
      <c r="V39" s="378">
        <f t="shared" si="9"/>
        <v>116.62691293203402</v>
      </c>
      <c r="W39" s="397">
        <f t="shared" si="10"/>
        <v>114.42304003889122</v>
      </c>
      <c r="X39" s="153">
        <f t="shared" si="11"/>
        <v>46412</v>
      </c>
      <c r="Y39" s="380">
        <f t="shared" si="12"/>
        <v>110.86815182921471</v>
      </c>
      <c r="Z39" s="380">
        <f t="shared" si="22"/>
        <v>113.92677423723538</v>
      </c>
      <c r="AA39" s="381">
        <f t="shared" si="13"/>
        <v>120.77320451459957</v>
      </c>
      <c r="AB39" s="193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5.6688321758793493E-2</v>
      </c>
      <c r="AD39" s="227">
        <f>(INDEX(Models!$BJ39:$BT39,,AH39)*(1-AF39)+INDEX(Models!$BJ39:$BT39,,AH39+1)*AF39-ERP_i)*AE39*Ramure*Pc/MaxiM</f>
        <v>2.9421312027901902E-3</v>
      </c>
      <c r="AE39" s="301">
        <f t="shared" si="15"/>
        <v>0.5</v>
      </c>
      <c r="AF39" s="173">
        <f t="shared" si="23"/>
        <v>0.49069819337710374</v>
      </c>
      <c r="AG39" s="801">
        <f t="shared" si="24"/>
        <v>2</v>
      </c>
      <c r="AH39" s="172">
        <f t="shared" si="16"/>
        <v>8</v>
      </c>
      <c r="AI39" s="221">
        <f t="shared" si="17"/>
        <v>2.4906981933771037</v>
      </c>
      <c r="AJ39" s="261" t="b">
        <f t="shared" si="18"/>
        <v>0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46413</v>
      </c>
      <c r="B40" s="406">
        <f>'2026'!Wh/'2026'!Env_an*'2027'!Env_an</f>
        <v>116.44108153890612</v>
      </c>
      <c r="C40" s="831"/>
      <c r="D40" s="388">
        <f t="shared" si="0"/>
        <v>119.65508749901758</v>
      </c>
      <c r="E40" s="380">
        <f t="shared" si="1"/>
        <v>122.91230931944717</v>
      </c>
      <c r="F40" s="380">
        <f t="shared" si="2"/>
        <v>123.2583994258291</v>
      </c>
      <c r="G40" s="110">
        <f t="shared" si="21"/>
        <v>0.98778453513411857</v>
      </c>
      <c r="H40" s="409" t="b">
        <f>Wh_hp&gt;='2026'!Maxi_hp</f>
        <v>0</v>
      </c>
      <c r="I40" s="385">
        <f>IF(H40,Wh_hp,'2026'!Maxi_hp)</f>
        <v>123.264536354387</v>
      </c>
      <c r="J40" s="85">
        <f>IF(H40,An,'2026'!An_max)</f>
        <v>2022</v>
      </c>
      <c r="K40" s="193">
        <f t="shared" si="3"/>
        <v>46413</v>
      </c>
      <c r="L40" s="143">
        <f>IF(t&lt;Tvie,1-EXP((T0-t)*PertePVj)+'2026'!Pspv,1-EXP((T0-t)*PertePVj)+Pspv)</f>
        <v>2.686058760466703E-2</v>
      </c>
      <c r="M40" s="835"/>
      <c r="N40" s="835"/>
      <c r="O40" s="48">
        <f>IF(t&lt;Tnet,'2026'!Resal+('2026'!Salim-'2026'!Resal)*(1-EXP(('2026'!Tnet-t)/('2026'!Tau_j))),Resal+(Salim-Resal)*(1-EXP((Tnet-t)/(Tau_j))))*Salcycl</f>
        <v>2.6500371187104767E-2</v>
      </c>
      <c r="P40" s="165">
        <f>(INDEX(Models!$BJ40:$BT40,,T40)*(1-R40)+INDEX(Models!$BJ40:$BT40,,T40+1)*R40-ERP_i)*Q40*Ramure*Pc/MaxiM</f>
        <v>2.8575065152189297E-3</v>
      </c>
      <c r="Q40" s="301">
        <f t="shared" si="4"/>
        <v>0.5</v>
      </c>
      <c r="R40" s="173">
        <f t="shared" si="5"/>
        <v>0.49077615338949609</v>
      </c>
      <c r="S40" s="801">
        <f t="shared" si="6"/>
        <v>2</v>
      </c>
      <c r="T40" s="172">
        <f t="shared" si="7"/>
        <v>8</v>
      </c>
      <c r="U40" s="247">
        <f t="shared" si="8"/>
        <v>2.4907761533894961</v>
      </c>
      <c r="V40" s="378">
        <f t="shared" si="9"/>
        <v>117.87518241074665</v>
      </c>
      <c r="W40" s="397">
        <f t="shared" si="10"/>
        <v>116.44108153890612</v>
      </c>
      <c r="X40" s="153">
        <f t="shared" si="11"/>
        <v>46413</v>
      </c>
      <c r="Y40" s="380">
        <f t="shared" si="12"/>
        <v>112.82726498254058</v>
      </c>
      <c r="Z40" s="380">
        <f t="shared" si="22"/>
        <v>115.94152240203901</v>
      </c>
      <c r="AA40" s="381">
        <f t="shared" si="13"/>
        <v>122.91230931944717</v>
      </c>
      <c r="AB40" s="193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5.6713497256740956E-2</v>
      </c>
      <c r="AD40" s="227">
        <f>(INDEX(Models!$BJ40:$BT40,,AH40)*(1-AF40)+INDEX(Models!$BJ40:$BT40,,AH40+1)*AF40-ERP_i)*AE40*Ramure*Pc/MaxiM</f>
        <v>2.8575065152189297E-3</v>
      </c>
      <c r="AE40" s="301">
        <f t="shared" si="15"/>
        <v>0.5</v>
      </c>
      <c r="AF40" s="173">
        <f t="shared" si="23"/>
        <v>0.49077615338949609</v>
      </c>
      <c r="AG40" s="801">
        <f t="shared" si="24"/>
        <v>2</v>
      </c>
      <c r="AH40" s="172">
        <f t="shared" si="16"/>
        <v>8</v>
      </c>
      <c r="AI40" s="221">
        <f t="shared" si="17"/>
        <v>2.4907761533894961</v>
      </c>
      <c r="AJ40" s="261" t="b">
        <f t="shared" si="18"/>
        <v>0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46414</v>
      </c>
      <c r="B41" s="406">
        <f>'2026'!Wh/'2026'!Env_an*'2027'!Env_an</f>
        <v>118.34286455588558</v>
      </c>
      <c r="C41" s="831"/>
      <c r="D41" s="388">
        <f t="shared" si="0"/>
        <v>121.61102827106713</v>
      </c>
      <c r="E41" s="380">
        <f t="shared" si="1"/>
        <v>124.92899795599972</v>
      </c>
      <c r="F41" s="380">
        <f t="shared" si="2"/>
        <v>125.2725078504489</v>
      </c>
      <c r="G41" s="110">
        <f t="shared" si="21"/>
        <v>0.99322613357488732</v>
      </c>
      <c r="H41" s="409" t="b">
        <f>Wh_hp&gt;='2026'!Maxi_hp</f>
        <v>0</v>
      </c>
      <c r="I41" s="385">
        <f>IF(H41,Wh_hp,'2026'!Maxi_hp)</f>
        <v>125.27585917077172</v>
      </c>
      <c r="J41" s="85">
        <f>IF(H41,An,'2026'!An_max)</f>
        <v>2022</v>
      </c>
      <c r="K41" s="193">
        <f t="shared" si="3"/>
        <v>46414</v>
      </c>
      <c r="L41" s="143">
        <f>IF(t&lt;Tvie,1-EXP((T0-t)*PertePVj)+'2026'!Pspv,1-EXP((T0-t)*PertePVj)+Pspv)</f>
        <v>2.6873909066017498E-2</v>
      </c>
      <c r="M41" s="835"/>
      <c r="N41" s="835"/>
      <c r="O41" s="48">
        <f>IF(t&lt;Tnet,'2026'!Resal+('2026'!Salim-'2026'!Resal)*(1-EXP(('2026'!Tnet-t)/('2026'!Tau_j))),Resal+(Salim-Resal)*(1-EXP((Tnet-t)/(Tau_j))))*Salcycl</f>
        <v>2.6558843336766263E-2</v>
      </c>
      <c r="P41" s="165">
        <f>(INDEX(Models!$BJ41:$BT41,,T41)*(1-R41)+INDEX(Models!$BJ41:$BT41,,T41+1)*R41-ERP_i)*Q41*Ramure*Pc/MaxiM</f>
        <v>2.7687895066943941E-3</v>
      </c>
      <c r="Q41" s="301">
        <f t="shared" si="4"/>
        <v>0.5</v>
      </c>
      <c r="R41" s="173">
        <f t="shared" si="5"/>
        <v>0.49085735807131803</v>
      </c>
      <c r="S41" s="801">
        <f t="shared" si="6"/>
        <v>2</v>
      </c>
      <c r="T41" s="172">
        <f t="shared" si="7"/>
        <v>8</v>
      </c>
      <c r="U41" s="247">
        <f t="shared" si="8"/>
        <v>2.490857358071318</v>
      </c>
      <c r="V41" s="378">
        <f t="shared" si="9"/>
        <v>119.14678188664519</v>
      </c>
      <c r="W41" s="397">
        <f t="shared" si="10"/>
        <v>118.34286455588558</v>
      </c>
      <c r="X41" s="153">
        <f t="shared" si="11"/>
        <v>46414</v>
      </c>
      <c r="Y41" s="380">
        <f t="shared" si="12"/>
        <v>114.67384496546866</v>
      </c>
      <c r="Z41" s="380">
        <f t="shared" si="22"/>
        <v>117.84068481342179</v>
      </c>
      <c r="AA41" s="381">
        <f t="shared" si="13"/>
        <v>124.92899795599972</v>
      </c>
      <c r="AB41" s="193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5.6738733669139452E-2</v>
      </c>
      <c r="AD41" s="227">
        <f>(INDEX(Models!$BJ41:$BT41,,AH41)*(1-AF41)+INDEX(Models!$BJ41:$BT41,,AH41+1)*AF41-ERP_i)*AE41*Ramure*Pc/MaxiM</f>
        <v>2.7687895066943941E-3</v>
      </c>
      <c r="AE41" s="301">
        <f t="shared" si="15"/>
        <v>0.5</v>
      </c>
      <c r="AF41" s="173">
        <f t="shared" si="23"/>
        <v>0.49085735807131803</v>
      </c>
      <c r="AG41" s="801">
        <f t="shared" si="24"/>
        <v>2</v>
      </c>
      <c r="AH41" s="172">
        <f t="shared" si="16"/>
        <v>8</v>
      </c>
      <c r="AI41" s="221">
        <f t="shared" si="17"/>
        <v>2.490857358071318</v>
      </c>
      <c r="AJ41" s="261" t="b">
        <f t="shared" si="18"/>
        <v>0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46415</v>
      </c>
      <c r="B42" s="406">
        <f>'2026'!Wh/'2026'!Env_an*'2027'!Env_an</f>
        <v>18.335884400451285</v>
      </c>
      <c r="C42" s="831"/>
      <c r="D42" s="388">
        <f t="shared" si="0"/>
        <v>18.842507232694217</v>
      </c>
      <c r="E42" s="380">
        <f t="shared" si="1"/>
        <v>19.357758354806219</v>
      </c>
      <c r="F42" s="380">
        <f t="shared" si="2"/>
        <v>19.357758354806219</v>
      </c>
      <c r="G42" s="110">
        <f t="shared" si="21"/>
        <v>0.1518338239951417</v>
      </c>
      <c r="H42" s="409" t="b">
        <f>Wh_hp&gt;='2026'!Maxi_hp</f>
        <v>0</v>
      </c>
      <c r="I42" s="385">
        <f>IF(H42,Wh_hp,'2026'!Maxi_hp)</f>
        <v>19.409681636189191</v>
      </c>
      <c r="J42" s="85">
        <f>IF(H42,An,'2026'!An_max)</f>
        <v>2022</v>
      </c>
      <c r="K42" s="193">
        <f t="shared" si="3"/>
        <v>46415</v>
      </c>
      <c r="L42" s="143">
        <f>IF(t&lt;Tvie,1-EXP((T0-t)*PertePVj)+'2026'!Pspv,1-EXP((T0-t)*PertePVj)+Pspv)</f>
        <v>2.6887230345008284E-2</v>
      </c>
      <c r="M42" s="835"/>
      <c r="N42" s="835"/>
      <c r="O42" s="48">
        <f>IF(t&lt;Tnet,'2026'!Resal+('2026'!Salim-'2026'!Resal)*(1-EXP(('2026'!Tnet-t)/('2026'!Tau_j))),Resal+(Salim-Resal)*(1-EXP((Tnet-t)/(Tau_j))))*Salcycl</f>
        <v>2.6617292801574481E-2</v>
      </c>
      <c r="P42" s="165">
        <f>(INDEX(Models!$BJ42:$BT42,,T42)*(1-R42)+INDEX(Models!$BJ42:$BT42,,T42+1)*R42-ERP_i)*Q42*Ramure*Pc/MaxiM</f>
        <v>2.6762071189695927E-3</v>
      </c>
      <c r="Q42" s="301">
        <f t="shared" si="4"/>
        <v>0.5</v>
      </c>
      <c r="R42" s="173">
        <f t="shared" si="5"/>
        <v>0.49094194133716407</v>
      </c>
      <c r="S42" s="801">
        <f t="shared" si="6"/>
        <v>2</v>
      </c>
      <c r="T42" s="172">
        <f t="shared" si="7"/>
        <v>8</v>
      </c>
      <c r="U42" s="247">
        <f t="shared" si="8"/>
        <v>2.4909419413371641</v>
      </c>
      <c r="V42" s="378">
        <f t="shared" si="9"/>
        <v>120.4396576132557</v>
      </c>
      <c r="W42" s="397">
        <f t="shared" si="10"/>
        <v>18.335884400451285</v>
      </c>
      <c r="X42" s="153">
        <f t="shared" si="11"/>
        <v>46415</v>
      </c>
      <c r="Y42" s="380">
        <f t="shared" si="12"/>
        <v>17.768001785170274</v>
      </c>
      <c r="Z42" s="380">
        <f t="shared" si="22"/>
        <v>18.258933948086774</v>
      </c>
      <c r="AA42" s="381">
        <f t="shared" si="13"/>
        <v>19.357758354806219</v>
      </c>
      <c r="AB42" s="193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5.6764031587708264E-2</v>
      </c>
      <c r="AD42" s="227">
        <f>(INDEX(Models!$BJ42:$BT42,,AH42)*(1-AF42)+INDEX(Models!$BJ42:$BT42,,AH42+1)*AF42-ERP_i)*AE42*Ramure*Pc/MaxiM</f>
        <v>2.6762071189695927E-3</v>
      </c>
      <c r="AE42" s="301">
        <f t="shared" si="15"/>
        <v>0.5</v>
      </c>
      <c r="AF42" s="173">
        <f t="shared" si="23"/>
        <v>0.49094194133716407</v>
      </c>
      <c r="AG42" s="801">
        <f t="shared" si="24"/>
        <v>2</v>
      </c>
      <c r="AH42" s="172">
        <f t="shared" si="16"/>
        <v>8</v>
      </c>
      <c r="AI42" s="221">
        <f t="shared" si="17"/>
        <v>2.4909419413371641</v>
      </c>
      <c r="AJ42" s="261" t="b">
        <f t="shared" si="18"/>
        <v>0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46416</v>
      </c>
      <c r="B43" s="406">
        <f>'2026'!Wh/'2026'!Env_an*'2027'!Env_an</f>
        <v>28.740227233305429</v>
      </c>
      <c r="C43" s="831"/>
      <c r="D43" s="388">
        <f t="shared" si="0"/>
        <v>29.5347276949791</v>
      </c>
      <c r="E43" s="380">
        <f t="shared" si="1"/>
        <v>30.344180555208126</v>
      </c>
      <c r="F43" s="380">
        <f t="shared" si="2"/>
        <v>30.344180555208126</v>
      </c>
      <c r="G43" s="110">
        <f t="shared" si="21"/>
        <v>0.23544693735837199</v>
      </c>
      <c r="H43" s="409" t="b">
        <f>Wh_hp&gt;='2026'!Maxi_hp</f>
        <v>0</v>
      </c>
      <c r="I43" s="385">
        <f>IF(H43,Wh_hp,'2026'!Maxi_hp)</f>
        <v>30.422636176591364</v>
      </c>
      <c r="J43" s="85">
        <f>IF(H43,An,'2026'!An_max)</f>
        <v>2022</v>
      </c>
      <c r="K43" s="193">
        <f t="shared" si="3"/>
        <v>46416</v>
      </c>
      <c r="L43" s="143">
        <f>IF(t&lt;Tvie,1-EXP((T0-t)*PertePVj)+'2026'!Pspv,1-EXP((T0-t)*PertePVj)+Pspv)</f>
        <v>2.690055144164194E-2</v>
      </c>
      <c r="M43" s="835"/>
      <c r="N43" s="835"/>
      <c r="O43" s="48">
        <f>IF(t&lt;Tnet,'2026'!Resal+('2026'!Salim-'2026'!Resal)*(1-EXP(('2026'!Tnet-t)/('2026'!Tau_j))),Resal+(Salim-Resal)*(1-EXP((Tnet-t)/(Tau_j))))*Salcycl</f>
        <v>2.6675719871766163E-2</v>
      </c>
      <c r="P43" s="165">
        <f>(INDEX(Models!$BJ43:$BT43,,T43)*(1-R43)+INDEX(Models!$BJ43:$BT43,,T43+1)*R43-ERP_i)*Q43*Ramure*Pc/MaxiM</f>
        <v>2.5799737160072866E-3</v>
      </c>
      <c r="Q43" s="301">
        <f t="shared" si="4"/>
        <v>0.5</v>
      </c>
      <c r="R43" s="173">
        <f t="shared" si="5"/>
        <v>0.49103004253244942</v>
      </c>
      <c r="S43" s="801">
        <f t="shared" si="6"/>
        <v>2</v>
      </c>
      <c r="T43" s="172">
        <f t="shared" si="7"/>
        <v>8</v>
      </c>
      <c r="U43" s="247">
        <f t="shared" si="8"/>
        <v>2.4910300425324494</v>
      </c>
      <c r="V43" s="378">
        <f t="shared" si="9"/>
        <v>121.7517565701821</v>
      </c>
      <c r="W43" s="397">
        <f t="shared" si="10"/>
        <v>28.740227233305429</v>
      </c>
      <c r="X43" s="153">
        <f t="shared" si="11"/>
        <v>46416</v>
      </c>
      <c r="Y43" s="380">
        <f t="shared" si="12"/>
        <v>27.851033600839873</v>
      </c>
      <c r="Z43" s="380">
        <f t="shared" si="22"/>
        <v>28.620953019859417</v>
      </c>
      <c r="AA43" s="381">
        <f t="shared" si="13"/>
        <v>30.344180555208126</v>
      </c>
      <c r="AB43" s="193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5.678939104035028E-2</v>
      </c>
      <c r="AD43" s="227">
        <f>(INDEX(Models!$BJ43:$BT43,,AH43)*(1-AF43)+INDEX(Models!$BJ43:$BT43,,AH43+1)*AF43-ERP_i)*AE43*Ramure*Pc/MaxiM</f>
        <v>2.5799737160072866E-3</v>
      </c>
      <c r="AE43" s="301">
        <f t="shared" si="15"/>
        <v>0.5</v>
      </c>
      <c r="AF43" s="173">
        <f t="shared" si="23"/>
        <v>0.49103004253244942</v>
      </c>
      <c r="AG43" s="801">
        <f t="shared" si="24"/>
        <v>2</v>
      </c>
      <c r="AH43" s="172">
        <f t="shared" si="16"/>
        <v>8</v>
      </c>
      <c r="AI43" s="221">
        <f t="shared" si="17"/>
        <v>2.4910300425324494</v>
      </c>
      <c r="AJ43" s="261" t="b">
        <f t="shared" si="18"/>
        <v>0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46417</v>
      </c>
      <c r="B44" s="406">
        <f>'2026'!Wh/'2026'!Env_an*'2027'!Env_an</f>
        <v>25.895290501594758</v>
      </c>
      <c r="C44" s="831"/>
      <c r="D44" s="388">
        <f t="shared" si="0"/>
        <v>26.611509265155565</v>
      </c>
      <c r="E44" s="380">
        <f t="shared" si="1"/>
        <v>27.342486710587906</v>
      </c>
      <c r="F44" s="380">
        <f t="shared" si="2"/>
        <v>27.342486710587906</v>
      </c>
      <c r="G44" s="110">
        <f t="shared" si="21"/>
        <v>0.20987038688289994</v>
      </c>
      <c r="H44" s="409" t="b">
        <f>Wh_hp&gt;='2026'!Maxi_hp</f>
        <v>0</v>
      </c>
      <c r="I44" s="385">
        <f>IF(H44,Wh_hp,'2026'!Maxi_hp)</f>
        <v>27.410360787722297</v>
      </c>
      <c r="J44" s="85">
        <f>IF(H44,An,'2026'!An_max)</f>
        <v>2022</v>
      </c>
      <c r="K44" s="193">
        <f t="shared" si="3"/>
        <v>46417</v>
      </c>
      <c r="L44" s="143">
        <f>IF(t&lt;Tvie,1-EXP((T0-t)*PertePVj)+'2026'!Pspv,1-EXP((T0-t)*PertePVj)+Pspv)</f>
        <v>2.691387235592102E-2</v>
      </c>
      <c r="M44" s="835"/>
      <c r="N44" s="835"/>
      <c r="O44" s="48">
        <f>IF(t&lt;Tnet,'2026'!Resal+('2026'!Salim-'2026'!Resal)*(1-EXP(('2026'!Tnet-t)/('2026'!Tau_j))),Resal+(Salim-Resal)*(1-EXP((Tnet-t)/(Tau_j))))*Salcycl</f>
        <v>2.6734124557488928E-2</v>
      </c>
      <c r="P44" s="165">
        <f>(INDEX(Models!$BJ44:$BT44,,T44)*(1-R44)+INDEX(Models!$BJ44:$BT44,,T44+1)*R44-ERP_i)*Q44*Ramure*Pc/MaxiM</f>
        <v>2.4773662686674233E-3</v>
      </c>
      <c r="Q44" s="301">
        <f t="shared" si="4"/>
        <v>0.5</v>
      </c>
      <c r="R44" s="173">
        <f t="shared" si="5"/>
        <v>0.49112180664544258</v>
      </c>
      <c r="S44" s="801">
        <f t="shared" si="6"/>
        <v>2</v>
      </c>
      <c r="T44" s="172">
        <f t="shared" si="7"/>
        <v>8</v>
      </c>
      <c r="U44" s="247">
        <f t="shared" si="8"/>
        <v>2.4911218066454426</v>
      </c>
      <c r="V44" s="378">
        <f t="shared" si="9"/>
        <v>123.08138735552816</v>
      </c>
      <c r="W44" s="397">
        <f t="shared" si="10"/>
        <v>25.895290501594758</v>
      </c>
      <c r="X44" s="153">
        <f t="shared" si="11"/>
        <v>46417</v>
      </c>
      <c r="Y44" s="380">
        <f t="shared" si="12"/>
        <v>25.094945862449645</v>
      </c>
      <c r="Z44" s="380">
        <f t="shared" si="22"/>
        <v>25.789028483230524</v>
      </c>
      <c r="AA44" s="381">
        <f t="shared" si="13"/>
        <v>27.342486710587906</v>
      </c>
      <c r="AB44" s="193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5.6814811461747272E-2</v>
      </c>
      <c r="AD44" s="227">
        <f>(INDEX(Models!$BJ44:$BT44,,AH44)*(1-AF44)+INDEX(Models!$BJ44:$BT44,,AH44+1)*AF44-ERP_i)*AE44*Ramure*Pc/MaxiM</f>
        <v>2.4773662686674233E-3</v>
      </c>
      <c r="AE44" s="301">
        <f t="shared" si="15"/>
        <v>0.5</v>
      </c>
      <c r="AF44" s="173">
        <f t="shared" si="23"/>
        <v>0.49112180664544258</v>
      </c>
      <c r="AG44" s="801">
        <f t="shared" si="24"/>
        <v>2</v>
      </c>
      <c r="AH44" s="172">
        <f t="shared" si="16"/>
        <v>8</v>
      </c>
      <c r="AI44" s="221">
        <f t="shared" si="17"/>
        <v>2.4911218066454426</v>
      </c>
      <c r="AJ44" s="261" t="b">
        <f t="shared" si="18"/>
        <v>0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46418</v>
      </c>
      <c r="B45" s="406">
        <f>'2026'!Wh/'2026'!Env_an*'2027'!Env_an</f>
        <v>25.737429120927473</v>
      </c>
      <c r="C45" s="831"/>
      <c r="D45" s="388">
        <f t="shared" si="0"/>
        <v>26.449643786265028</v>
      </c>
      <c r="E45" s="380">
        <f t="shared" si="1"/>
        <v>27.177805313904152</v>
      </c>
      <c r="F45" s="380">
        <f t="shared" si="2"/>
        <v>27.177805313904152</v>
      </c>
      <c r="G45" s="110">
        <f t="shared" si="21"/>
        <v>0.20635850109104786</v>
      </c>
      <c r="H45" s="409" t="b">
        <f>Wh_hp&gt;='2026'!Maxi_hp</f>
        <v>0</v>
      </c>
      <c r="I45" s="385">
        <f>IF(H45,Wh_hp,'2026'!Maxi_hp)</f>
        <v>27.242367789857944</v>
      </c>
      <c r="J45" s="85">
        <f>IF(H45,An,'2026'!An_max)</f>
        <v>2022</v>
      </c>
      <c r="K45" s="193">
        <f t="shared" si="3"/>
        <v>46418</v>
      </c>
      <c r="L45" s="143">
        <f>IF(t&lt;Tvie,1-EXP((T0-t)*PertePVj)+'2026'!Pspv,1-EXP((T0-t)*PertePVj)+Pspv)</f>
        <v>2.6927193087847967E-2</v>
      </c>
      <c r="M45" s="835"/>
      <c r="N45" s="835"/>
      <c r="O45" s="48">
        <f>IF(t&lt;Tnet,'2026'!Resal+('2026'!Salim-'2026'!Resal)*(1-EXP(('2026'!Tnet-t)/('2026'!Tau_j))),Resal+(Salim-Resal)*(1-EXP((Tnet-t)/(Tau_j))))*Salcycl</f>
        <v>2.6792506577659397E-2</v>
      </c>
      <c r="P45" s="165">
        <f>(INDEX(Models!$BJ45:$BT45,,T45)*(1-R45)+INDEX(Models!$BJ45:$BT45,,T45+1)*R45-ERP_i)*Q45*Ramure*Pc/MaxiM</f>
        <v>2.3711001093790541E-3</v>
      </c>
      <c r="Q45" s="301">
        <f t="shared" si="4"/>
        <v>0.5</v>
      </c>
      <c r="R45" s="173">
        <f t="shared" si="5"/>
        <v>0.4912173845268728</v>
      </c>
      <c r="S45" s="801">
        <f t="shared" si="6"/>
        <v>2</v>
      </c>
      <c r="T45" s="172">
        <f t="shared" si="7"/>
        <v>8</v>
      </c>
      <c r="U45" s="247">
        <f t="shared" si="8"/>
        <v>2.4912173845268728</v>
      </c>
      <c r="V45" s="378">
        <f t="shared" si="9"/>
        <v>124.42619501580391</v>
      </c>
      <c r="W45" s="397">
        <f t="shared" si="10"/>
        <v>25.737429120927473</v>
      </c>
      <c r="X45" s="153">
        <f t="shared" si="11"/>
        <v>46418</v>
      </c>
      <c r="Y45" s="380">
        <f t="shared" si="12"/>
        <v>24.942785897969696</v>
      </c>
      <c r="Z45" s="380">
        <f t="shared" si="22"/>
        <v>25.63301093277957</v>
      </c>
      <c r="AA45" s="381">
        <f t="shared" si="13"/>
        <v>27.177805313904152</v>
      </c>
      <c r="AB45" s="193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5.6840291674849323E-2</v>
      </c>
      <c r="AD45" s="227">
        <f>(INDEX(Models!$BJ45:$BT45,,AH45)*(1-AF45)+INDEX(Models!$BJ45:$BT45,,AH45+1)*AF45-ERP_i)*AE45*Ramure*Pc/MaxiM</f>
        <v>2.3711001093790541E-3</v>
      </c>
      <c r="AE45" s="301">
        <f t="shared" si="15"/>
        <v>0.5</v>
      </c>
      <c r="AF45" s="173">
        <f t="shared" si="23"/>
        <v>0.4912173845268728</v>
      </c>
      <c r="AG45" s="801">
        <f t="shared" si="24"/>
        <v>2</v>
      </c>
      <c r="AH45" s="172">
        <f t="shared" si="16"/>
        <v>8</v>
      </c>
      <c r="AI45" s="221">
        <f t="shared" si="17"/>
        <v>2.4912173845268728</v>
      </c>
      <c r="AJ45" s="261" t="b">
        <f t="shared" si="18"/>
        <v>0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46419</v>
      </c>
      <c r="B46" s="406">
        <f>'2026'!Wh/'2026'!Env_an*'2027'!Env_an</f>
        <v>56.106106629680205</v>
      </c>
      <c r="C46" s="831"/>
      <c r="D46" s="388">
        <f t="shared" si="0"/>
        <v>57.659482709954631</v>
      </c>
      <c r="E46" s="380">
        <f t="shared" si="1"/>
        <v>59.250407421799785</v>
      </c>
      <c r="F46" s="380">
        <f t="shared" si="2"/>
        <v>59.278376145771716</v>
      </c>
      <c r="G46" s="110">
        <f t="shared" si="21"/>
        <v>0.44525215873936158</v>
      </c>
      <c r="H46" s="409" t="b">
        <f>Wh_hp&gt;='2026'!Maxi_hp</f>
        <v>0</v>
      </c>
      <c r="I46" s="385">
        <f>IF(H46,Wh_hp,'2026'!Maxi_hp)</f>
        <v>59.384641801308028</v>
      </c>
      <c r="J46" s="85">
        <f>IF(H46,An,'2026'!An_max)</f>
        <v>2022</v>
      </c>
      <c r="K46" s="193">
        <f t="shared" si="3"/>
        <v>46419</v>
      </c>
      <c r="L46" s="143">
        <f>IF(t&lt;Tvie,1-EXP((T0-t)*PertePVj)+'2026'!Pspv,1-EXP((T0-t)*PertePVj)+Pspv)</f>
        <v>2.6940513637425334E-2</v>
      </c>
      <c r="M46" s="835"/>
      <c r="N46" s="835"/>
      <c r="O46" s="48">
        <f>IF(t&lt;Tnet,'2026'!Resal+('2026'!Salim-'2026'!Resal)*(1-EXP(('2026'!Tnet-t)/('2026'!Tau_j))),Resal+(Salim-Resal)*(1-EXP((Tnet-t)/(Tau_j))))*Salcycl</f>
        <v>2.6850865353877953E-2</v>
      </c>
      <c r="P46" s="165">
        <f>(INDEX(Models!$BJ46:$BT46,,T46)*(1-R46)+INDEX(Models!$BJ46:$BT46,,T46+1)*R46-ERP_i)*Q46*Ramure*Pc/MaxiM</f>
        <v>2.2613644674466448E-3</v>
      </c>
      <c r="Q46" s="301">
        <f t="shared" si="4"/>
        <v>0.5</v>
      </c>
      <c r="R46" s="173">
        <f t="shared" si="5"/>
        <v>0.49131693311731306</v>
      </c>
      <c r="S46" s="801">
        <f t="shared" si="6"/>
        <v>2</v>
      </c>
      <c r="T46" s="172">
        <f t="shared" si="7"/>
        <v>8</v>
      </c>
      <c r="U46" s="247">
        <f t="shared" si="8"/>
        <v>2.4913169331173131</v>
      </c>
      <c r="V46" s="378">
        <f t="shared" si="9"/>
        <v>125.78412875278494</v>
      </c>
      <c r="W46" s="397">
        <f t="shared" si="10"/>
        <v>56.106106629680205</v>
      </c>
      <c r="X46" s="153">
        <f t="shared" si="11"/>
        <v>46419</v>
      </c>
      <c r="Y46" s="380">
        <f t="shared" si="12"/>
        <v>54.37561873176665</v>
      </c>
      <c r="Z46" s="380">
        <f t="shared" si="22"/>
        <v>55.881083832839366</v>
      </c>
      <c r="AA46" s="381">
        <f t="shared" si="13"/>
        <v>59.250407421799785</v>
      </c>
      <c r="AB46" s="193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5.6865829883234846E-2</v>
      </c>
      <c r="AD46" s="227">
        <f>(INDEX(Models!$BJ46:$BT46,,AH46)*(1-AF46)+INDEX(Models!$BJ46:$BT46,,AH46+1)*AF46-ERP_i)*AE46*Ramure*Pc/MaxiM</f>
        <v>2.2613644674466448E-3</v>
      </c>
      <c r="AE46" s="301">
        <f t="shared" si="15"/>
        <v>0.5</v>
      </c>
      <c r="AF46" s="173">
        <f t="shared" si="23"/>
        <v>0.49131693311731306</v>
      </c>
      <c r="AG46" s="801">
        <f t="shared" si="24"/>
        <v>2</v>
      </c>
      <c r="AH46" s="172">
        <f t="shared" si="16"/>
        <v>8</v>
      </c>
      <c r="AI46" s="221">
        <f t="shared" si="17"/>
        <v>2.4913169331173131</v>
      </c>
      <c r="AJ46" s="261" t="b">
        <f t="shared" si="18"/>
        <v>0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46420</v>
      </c>
      <c r="B47" s="406">
        <f>'2026'!Wh/'2026'!Env_an*'2027'!Env_an</f>
        <v>25.025792683200038</v>
      </c>
      <c r="C47" s="831"/>
      <c r="D47" s="388">
        <f t="shared" si="0"/>
        <v>25.719018847991403</v>
      </c>
      <c r="E47" s="380">
        <f t="shared" si="1"/>
        <v>26.430235336969382</v>
      </c>
      <c r="F47" s="380">
        <f t="shared" si="2"/>
        <v>26.430235336969382</v>
      </c>
      <c r="G47" s="110">
        <f t="shared" si="21"/>
        <v>0.19639333474384493</v>
      </c>
      <c r="H47" s="409" t="b">
        <f>Wh_hp&gt;='2026'!Maxi_hp</f>
        <v>0</v>
      </c>
      <c r="I47" s="385">
        <f>IF(H47,Wh_hp,'2026'!Maxi_hp)</f>
        <v>26.487106634612363</v>
      </c>
      <c r="J47" s="85">
        <f>IF(H47,An,'2026'!An_max)</f>
        <v>2022</v>
      </c>
      <c r="K47" s="193">
        <f t="shared" si="3"/>
        <v>46420</v>
      </c>
      <c r="L47" s="143">
        <f>IF(t&lt;Tvie,1-EXP((T0-t)*PertePVj)+'2026'!Pspv,1-EXP((T0-t)*PertePVj)+Pspv)</f>
        <v>2.6953834004655453E-2</v>
      </c>
      <c r="M47" s="835"/>
      <c r="N47" s="835"/>
      <c r="O47" s="48">
        <f>IF(t&lt;Tnet,'2026'!Resal+('2026'!Salim-'2026'!Resal)*(1-EXP(('2026'!Tnet-t)/('2026'!Tau_j))),Resal+(Salim-Resal)*(1-EXP((Tnet-t)/(Tau_j))))*Salcycl</f>
        <v>2.6909200009398494E-2</v>
      </c>
      <c r="P47" s="165">
        <f>(INDEX(Models!$BJ47:$BT47,,T47)*(1-R47)+INDEX(Models!$BJ47:$BT47,,T47+1)*R47-ERP_i)*Q47*Ramure*Pc/MaxiM</f>
        <v>2.1483347941072856E-3</v>
      </c>
      <c r="Q47" s="301">
        <f t="shared" si="4"/>
        <v>0.5</v>
      </c>
      <c r="R47" s="173">
        <f t="shared" si="5"/>
        <v>0.49142061568255802</v>
      </c>
      <c r="S47" s="801">
        <f t="shared" si="6"/>
        <v>2</v>
      </c>
      <c r="T47" s="172">
        <f t="shared" si="7"/>
        <v>8</v>
      </c>
      <c r="U47" s="247">
        <f t="shared" si="8"/>
        <v>2.491420615682558</v>
      </c>
      <c r="V47" s="378">
        <f t="shared" si="9"/>
        <v>127.1531385451524</v>
      </c>
      <c r="W47" s="397">
        <f t="shared" si="10"/>
        <v>25.025792683200038</v>
      </c>
      <c r="X47" s="153">
        <f t="shared" si="11"/>
        <v>46420</v>
      </c>
      <c r="Y47" s="380">
        <f t="shared" si="12"/>
        <v>24.254714677299631</v>
      </c>
      <c r="Z47" s="380">
        <f t="shared" si="22"/>
        <v>24.92658162060491</v>
      </c>
      <c r="AA47" s="381">
        <f t="shared" si="13"/>
        <v>26.430235336969382</v>
      </c>
      <c r="AB47" s="193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5.6891423674205042E-2</v>
      </c>
      <c r="AD47" s="227">
        <f>(INDEX(Models!$BJ47:$BT47,,AH47)*(1-AF47)+INDEX(Models!$BJ47:$BT47,,AH47+1)*AF47-ERP_i)*AE47*Ramure*Pc/MaxiM</f>
        <v>2.1483347941072856E-3</v>
      </c>
      <c r="AE47" s="301">
        <f t="shared" si="15"/>
        <v>0.5</v>
      </c>
      <c r="AF47" s="173">
        <f t="shared" si="23"/>
        <v>0.49142061568255802</v>
      </c>
      <c r="AG47" s="801">
        <f t="shared" si="24"/>
        <v>2</v>
      </c>
      <c r="AH47" s="172">
        <f t="shared" si="16"/>
        <v>8</v>
      </c>
      <c r="AI47" s="221">
        <f t="shared" si="17"/>
        <v>2.491420615682558</v>
      </c>
      <c r="AJ47" s="261" t="b">
        <f t="shared" si="18"/>
        <v>0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46421</v>
      </c>
      <c r="B48" s="406">
        <f>'2026'!Wh/'2026'!Env_an*'2027'!Env_an</f>
        <v>56.176536079005274</v>
      </c>
      <c r="C48" s="831"/>
      <c r="D48" s="388">
        <f t="shared" si="0"/>
        <v>57.733442731025882</v>
      </c>
      <c r="E48" s="380">
        <f t="shared" si="1"/>
        <v>59.333519987425674</v>
      </c>
      <c r="F48" s="380">
        <f t="shared" si="2"/>
        <v>59.3571390992525</v>
      </c>
      <c r="G48" s="110">
        <f t="shared" si="21"/>
        <v>0.4363508896434718</v>
      </c>
      <c r="H48" s="409" t="b">
        <f>Wh_hp&gt;='2026'!Maxi_hp</f>
        <v>0</v>
      </c>
      <c r="I48" s="385">
        <f>IF(H48,Wh_hp,'2026'!Maxi_hp)</f>
        <v>59.454283525557202</v>
      </c>
      <c r="J48" s="85">
        <f>IF(H48,An,'2026'!An_max)</f>
        <v>2022</v>
      </c>
      <c r="K48" s="193">
        <f t="shared" si="3"/>
        <v>46421</v>
      </c>
      <c r="L48" s="143">
        <f>IF(t&lt;Tvie,1-EXP((T0-t)*PertePVj)+'2026'!Pspv,1-EXP((T0-t)*PertePVj)+Pspv)</f>
        <v>2.6967154189540987E-2</v>
      </c>
      <c r="M48" s="835"/>
      <c r="N48" s="835"/>
      <c r="O48" s="48">
        <f>IF(t&lt;Tnet,'2026'!Resal+('2026'!Salim-'2026'!Resal)*(1-EXP(('2026'!Tnet-t)/('2026'!Tau_j))),Resal+(Salim-Resal)*(1-EXP((Tnet-t)/(Tau_j))))*Salcycl</f>
        <v>2.6967509373097855E-2</v>
      </c>
      <c r="P48" s="165">
        <f>(INDEX(Models!$BJ48:$BT48,,T48)*(1-R48)+INDEX(Models!$BJ48:$BT48,,T48+1)*R48-ERP_i)*Q48*Ramure*Pc/MaxiM</f>
        <v>2.0321728309005364E-3</v>
      </c>
      <c r="Q48" s="301">
        <f t="shared" si="4"/>
        <v>0.5</v>
      </c>
      <c r="R48" s="173">
        <f t="shared" si="5"/>
        <v>0.49152860205719096</v>
      </c>
      <c r="S48" s="801">
        <f t="shared" si="6"/>
        <v>2</v>
      </c>
      <c r="T48" s="172">
        <f t="shared" si="7"/>
        <v>8</v>
      </c>
      <c r="U48" s="247">
        <f t="shared" si="8"/>
        <v>2.491528602057191</v>
      </c>
      <c r="V48" s="378">
        <f t="shared" si="9"/>
        <v>128.53117510516316</v>
      </c>
      <c r="W48" s="397">
        <f t="shared" si="10"/>
        <v>56.176536079005274</v>
      </c>
      <c r="X48" s="153">
        <f t="shared" si="11"/>
        <v>46421</v>
      </c>
      <c r="Y48" s="380">
        <f t="shared" si="12"/>
        <v>54.447444202698186</v>
      </c>
      <c r="Z48" s="380">
        <f t="shared" si="22"/>
        <v>55.95642987503448</v>
      </c>
      <c r="AA48" s="381">
        <f t="shared" si="13"/>
        <v>59.333519987425674</v>
      </c>
      <c r="AB48" s="193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5.691707003236772E-2</v>
      </c>
      <c r="AD48" s="227">
        <f>(INDEX(Models!$BJ48:$BT48,,AH48)*(1-AF48)+INDEX(Models!$BJ48:$BT48,,AH48+1)*AF48-ERP_i)*AE48*Ramure*Pc/MaxiM</f>
        <v>2.0321728309005364E-3</v>
      </c>
      <c r="AE48" s="301">
        <f t="shared" si="15"/>
        <v>0.5</v>
      </c>
      <c r="AF48" s="173">
        <f t="shared" si="23"/>
        <v>0.49152860205719096</v>
      </c>
      <c r="AG48" s="801">
        <f t="shared" si="24"/>
        <v>2</v>
      </c>
      <c r="AH48" s="172">
        <f t="shared" si="16"/>
        <v>8</v>
      </c>
      <c r="AI48" s="221">
        <f t="shared" si="17"/>
        <v>2.491528602057191</v>
      </c>
      <c r="AJ48" s="261" t="b">
        <f t="shared" si="18"/>
        <v>0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46422</v>
      </c>
      <c r="B49" s="406">
        <f>'2026'!Wh/'2026'!Env_an*'2027'!Env_an</f>
        <v>51.113719826400136</v>
      </c>
      <c r="C49" s="831"/>
      <c r="D49" s="388">
        <f t="shared" si="0"/>
        <v>52.531031978992914</v>
      </c>
      <c r="E49" s="380">
        <f t="shared" si="1"/>
        <v>53.990158779587404</v>
      </c>
      <c r="F49" s="380">
        <f t="shared" si="2"/>
        <v>54.003948747314844</v>
      </c>
      <c r="G49" s="110">
        <f t="shared" si="21"/>
        <v>0.39278374965391688</v>
      </c>
      <c r="H49" s="409" t="b">
        <f>Wh_hp&gt;='2026'!Maxi_hp</f>
        <v>0</v>
      </c>
      <c r="I49" s="385">
        <f>IF(H49,Wh_hp,'2026'!Maxi_hp)</f>
        <v>54.093584600989601</v>
      </c>
      <c r="J49" s="85">
        <f>IF(H49,An,'2026'!An_max)</f>
        <v>2022</v>
      </c>
      <c r="K49" s="193">
        <f t="shared" si="3"/>
        <v>46422</v>
      </c>
      <c r="L49" s="143">
        <f>IF(t&lt;Tvie,1-EXP((T0-t)*PertePVj)+'2026'!Pspv,1-EXP((T0-t)*PertePVj)+Pspv)</f>
        <v>2.698047419208438E-2</v>
      </c>
      <c r="M49" s="835"/>
      <c r="N49" s="835"/>
      <c r="O49" s="48">
        <f>IF(t&lt;Tnet,'2026'!Resal+('2026'!Salim-'2026'!Resal)*(1-EXP(('2026'!Tnet-t)/('2026'!Tau_j))),Resal+(Salim-Resal)*(1-EXP((Tnet-t)/(Tau_j))))*Salcycl</f>
        <v>2.7025791988338314E-2</v>
      </c>
      <c r="P49" s="165">
        <f>(INDEX(Models!$BJ49:$BT49,,T49)*(1-R49)+INDEX(Models!$BJ49:$BT49,,T49+1)*R49-ERP_i)*Q49*Ramure*Pc/MaxiM</f>
        <v>1.9130267557631278E-3</v>
      </c>
      <c r="Q49" s="301">
        <f t="shared" si="4"/>
        <v>0.5</v>
      </c>
      <c r="R49" s="173">
        <f t="shared" si="5"/>
        <v>0.4916410688965569</v>
      </c>
      <c r="S49" s="801">
        <f t="shared" si="6"/>
        <v>2</v>
      </c>
      <c r="T49" s="172">
        <f t="shared" si="7"/>
        <v>8</v>
      </c>
      <c r="U49" s="247">
        <f t="shared" si="8"/>
        <v>2.4916410688965569</v>
      </c>
      <c r="V49" s="378">
        <f t="shared" si="9"/>
        <v>129.91618991601146</v>
      </c>
      <c r="W49" s="397">
        <f t="shared" si="10"/>
        <v>51.113719826400136</v>
      </c>
      <c r="X49" s="153">
        <f t="shared" si="11"/>
        <v>46422</v>
      </c>
      <c r="Y49" s="380">
        <f t="shared" si="12"/>
        <v>49.542077143014204</v>
      </c>
      <c r="Z49" s="380">
        <f t="shared" si="22"/>
        <v>50.915809836270782</v>
      </c>
      <c r="AA49" s="381">
        <f t="shared" si="13"/>
        <v>53.990158779587404</v>
      </c>
      <c r="AB49" s="193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5.6942765363360522E-2</v>
      </c>
      <c r="AD49" s="227">
        <f>(INDEX(Models!$BJ49:$BT49,,AH49)*(1-AF49)+INDEX(Models!$BJ49:$BT49,,AH49+1)*AF49-ERP_i)*AE49*Ramure*Pc/MaxiM</f>
        <v>1.9130267557631278E-3</v>
      </c>
      <c r="AE49" s="301">
        <f t="shared" si="15"/>
        <v>0.5</v>
      </c>
      <c r="AF49" s="173">
        <f t="shared" si="23"/>
        <v>0.4916410688965569</v>
      </c>
      <c r="AG49" s="801">
        <f t="shared" si="24"/>
        <v>2</v>
      </c>
      <c r="AH49" s="172">
        <f t="shared" si="16"/>
        <v>8</v>
      </c>
      <c r="AI49" s="221">
        <f t="shared" si="17"/>
        <v>2.4916410688965569</v>
      </c>
      <c r="AJ49" s="261" t="b">
        <f t="shared" si="18"/>
        <v>0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46423</v>
      </c>
      <c r="B50" s="406">
        <f>'2026'!Wh/'2026'!Env_an*'2027'!Env_an</f>
        <v>42.850056139363481</v>
      </c>
      <c r="C50" s="831"/>
      <c r="D50" s="388">
        <f t="shared" si="0"/>
        <v>44.038831279463217</v>
      </c>
      <c r="E50" s="380">
        <f t="shared" si="1"/>
        <v>45.264784798864802</v>
      </c>
      <c r="F50" s="380">
        <f t="shared" si="2"/>
        <v>45.267835234948244</v>
      </c>
      <c r="G50" s="110">
        <f t="shared" si="21"/>
        <v>0.32577451780899491</v>
      </c>
      <c r="H50" s="409" t="b">
        <f>Wh_hp&gt;='2026'!Maxi_hp</f>
        <v>0</v>
      </c>
      <c r="I50" s="385">
        <f>IF(H50,Wh_hp,'2026'!Maxi_hp)</f>
        <v>45.345948475362562</v>
      </c>
      <c r="J50" s="85">
        <f>IF(H50,An,'2026'!An_max)</f>
        <v>2022</v>
      </c>
      <c r="K50" s="193">
        <f t="shared" si="3"/>
        <v>46423</v>
      </c>
      <c r="L50" s="143">
        <f>IF(t&lt;Tvie,1-EXP((T0-t)*PertePVj)+'2026'!Pspv,1-EXP((T0-t)*PertePVj)+Pspv)</f>
        <v>2.6993794012288075E-2</v>
      </c>
      <c r="M50" s="835"/>
      <c r="N50" s="835"/>
      <c r="O50" s="48">
        <f>IF(t&lt;Tnet,'2026'!Resal+('2026'!Salim-'2026'!Resal)*(1-EXP(('2026'!Tnet-t)/('2026'!Tau_j))),Resal+(Salim-Resal)*(1-EXP((Tnet-t)/(Tau_j))))*Salcycl</f>
        <v>2.7084046126567164E-2</v>
      </c>
      <c r="P50" s="165">
        <f>(INDEX(Models!$BJ50:$BT50,,T50)*(1-R50)+INDEX(Models!$BJ50:$BT50,,T50+1)*R50-ERP_i)*Q50*Ramure*Pc/MaxiM</f>
        <v>1.7910313939195825E-3</v>
      </c>
      <c r="Q50" s="301">
        <f t="shared" si="4"/>
        <v>0.5</v>
      </c>
      <c r="R50" s="173">
        <f t="shared" si="5"/>
        <v>0.49175819993733771</v>
      </c>
      <c r="S50" s="801">
        <f t="shared" si="6"/>
        <v>2</v>
      </c>
      <c r="T50" s="172">
        <f t="shared" si="7"/>
        <v>8</v>
      </c>
      <c r="U50" s="247">
        <f t="shared" si="8"/>
        <v>2.4917581999373377</v>
      </c>
      <c r="V50" s="378">
        <f t="shared" si="9"/>
        <v>131.30613518999036</v>
      </c>
      <c r="W50" s="397">
        <f t="shared" si="10"/>
        <v>42.850056139363481</v>
      </c>
      <c r="X50" s="153">
        <f t="shared" si="11"/>
        <v>46423</v>
      </c>
      <c r="Y50" s="380">
        <f t="shared" si="12"/>
        <v>41.533857388673574</v>
      </c>
      <c r="Z50" s="380">
        <f t="shared" si="22"/>
        <v>42.686117655860158</v>
      </c>
      <c r="AA50" s="381">
        <f t="shared" si="13"/>
        <v>45.264784798864802</v>
      </c>
      <c r="AB50" s="193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5.6968505527266164E-2</v>
      </c>
      <c r="AD50" s="227">
        <f>(INDEX(Models!$BJ50:$BT50,,AH50)*(1-AF50)+INDEX(Models!$BJ50:$BT50,,AH50+1)*AF50-ERP_i)*AE50*Ramure*Pc/MaxiM</f>
        <v>1.7910313939195825E-3</v>
      </c>
      <c r="AE50" s="301">
        <f t="shared" si="15"/>
        <v>0.5</v>
      </c>
      <c r="AF50" s="173">
        <f t="shared" si="23"/>
        <v>0.49175819993733771</v>
      </c>
      <c r="AG50" s="801">
        <f t="shared" si="24"/>
        <v>2</v>
      </c>
      <c r="AH50" s="172">
        <f t="shared" si="16"/>
        <v>8</v>
      </c>
      <c r="AI50" s="221">
        <f t="shared" si="17"/>
        <v>2.4917581999373377</v>
      </c>
      <c r="AJ50" s="261" t="b">
        <f t="shared" si="18"/>
        <v>0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46424</v>
      </c>
      <c r="B51" s="406">
        <f>'2026'!Wh/'2026'!Env_an*'2027'!Env_an</f>
        <v>90.913908290017275</v>
      </c>
      <c r="C51" s="831"/>
      <c r="D51" s="388">
        <f t="shared" si="0"/>
        <v>93.43738229277109</v>
      </c>
      <c r="E51" s="380">
        <f t="shared" si="1"/>
        <v>96.04424099512029</v>
      </c>
      <c r="F51" s="380">
        <f t="shared" si="2"/>
        <v>96.132347739075442</v>
      </c>
      <c r="G51" s="110">
        <f t="shared" si="21"/>
        <v>0.6845391448216569</v>
      </c>
      <c r="H51" s="409" t="b">
        <f>Wh_hp&gt;='2026'!Maxi_hp</f>
        <v>0</v>
      </c>
      <c r="I51" s="385">
        <f>IF(H51,Wh_hp,'2026'!Maxi_hp)</f>
        <v>96.204482022680693</v>
      </c>
      <c r="J51" s="85">
        <f>IF(H51,An,'2026'!An_max)</f>
        <v>2022</v>
      </c>
      <c r="K51" s="193">
        <f t="shared" si="3"/>
        <v>46424</v>
      </c>
      <c r="L51" s="143">
        <f>IF(t&lt;Tvie,1-EXP((T0-t)*PertePVj)+'2026'!Pspv,1-EXP((T0-t)*PertePVj)+Pspv)</f>
        <v>2.7007113650154624E-2</v>
      </c>
      <c r="M51" s="835"/>
      <c r="N51" s="835"/>
      <c r="O51" s="48">
        <f>IF(t&lt;Tnet,'2026'!Resal+('2026'!Salim-'2026'!Resal)*(1-EXP(('2026'!Tnet-t)/('2026'!Tau_j))),Resal+(Salim-Resal)*(1-EXP((Tnet-t)/(Tau_j))))*Salcycl</f>
        <v>2.7142269805449794E-2</v>
      </c>
      <c r="P51" s="165">
        <f>(INDEX(Models!$BJ51:$BT51,,T51)*(1-R51)+INDEX(Models!$BJ51:$BT51,,T51+1)*R51-ERP_i)*Q51*Ramure*Pc/MaxiM</f>
        <v>1.6661609347831481E-3</v>
      </c>
      <c r="Q51" s="301">
        <f t="shared" si="4"/>
        <v>0.5</v>
      </c>
      <c r="R51" s="173">
        <f t="shared" si="5"/>
        <v>0.4918801862669322</v>
      </c>
      <c r="S51" s="801">
        <f t="shared" si="6"/>
        <v>2</v>
      </c>
      <c r="T51" s="172">
        <f t="shared" si="7"/>
        <v>8</v>
      </c>
      <c r="U51" s="247">
        <f t="shared" si="8"/>
        <v>2.4918801862669322</v>
      </c>
      <c r="V51" s="378">
        <f t="shared" si="9"/>
        <v>132.71073425046112</v>
      </c>
      <c r="W51" s="397">
        <f t="shared" si="10"/>
        <v>90.913908290017275</v>
      </c>
      <c r="X51" s="153">
        <f t="shared" si="11"/>
        <v>46424</v>
      </c>
      <c r="Y51" s="380">
        <f t="shared" si="12"/>
        <v>88.124226543603797</v>
      </c>
      <c r="Z51" s="380">
        <f t="shared" si="22"/>
        <v>90.570268066603532</v>
      </c>
      <c r="AA51" s="381">
        <f t="shared" si="13"/>
        <v>96.04424099512029</v>
      </c>
      <c r="AB51" s="193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5.6994285881179239E-2</v>
      </c>
      <c r="AD51" s="227">
        <f>(INDEX(Models!$BJ51:$BT51,,AH51)*(1-AF51)+INDEX(Models!$BJ51:$BT51,,AH51+1)*AF51-ERP_i)*AE51*Ramure*Pc/MaxiM</f>
        <v>1.6661609347831481E-3</v>
      </c>
      <c r="AE51" s="301">
        <f t="shared" si="15"/>
        <v>0.5</v>
      </c>
      <c r="AF51" s="173">
        <f t="shared" si="23"/>
        <v>0.4918801862669322</v>
      </c>
      <c r="AG51" s="801">
        <f t="shared" si="24"/>
        <v>2</v>
      </c>
      <c r="AH51" s="172">
        <f t="shared" si="16"/>
        <v>8</v>
      </c>
      <c r="AI51" s="221">
        <f t="shared" si="17"/>
        <v>2.4918801862669322</v>
      </c>
      <c r="AJ51" s="261" t="b">
        <f t="shared" si="18"/>
        <v>0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46425</v>
      </c>
      <c r="B52" s="406">
        <f>'2026'!Wh/'2026'!Env_an*'2027'!Env_an</f>
        <v>41.081968441880278</v>
      </c>
      <c r="C52" s="831"/>
      <c r="D52" s="388">
        <f t="shared" si="0"/>
        <v>42.222848084067387</v>
      </c>
      <c r="E52" s="380">
        <f t="shared" si="1"/>
        <v>43.403441699078236</v>
      </c>
      <c r="F52" s="380">
        <f t="shared" si="2"/>
        <v>43.404040966361528</v>
      </c>
      <c r="G52" s="110">
        <f t="shared" si="21"/>
        <v>0.30579715864654455</v>
      </c>
      <c r="H52" s="409" t="b">
        <f>Wh_hp&gt;='2026'!Maxi_hp</f>
        <v>0</v>
      </c>
      <c r="I52" s="385">
        <f>IF(H52,Wh_hp,'2026'!Maxi_hp)</f>
        <v>43.470447620371786</v>
      </c>
      <c r="J52" s="85">
        <f>IF(H52,An,'2026'!An_max)</f>
        <v>2022</v>
      </c>
      <c r="K52" s="193">
        <f t="shared" si="3"/>
        <v>46425</v>
      </c>
      <c r="L52" s="143">
        <f>IF(t&lt;Tvie,1-EXP((T0-t)*PertePVj)+'2026'!Pspv,1-EXP((T0-t)*PertePVj)+Pspv)</f>
        <v>2.7020433105686581E-2</v>
      </c>
      <c r="M52" s="835"/>
      <c r="N52" s="835"/>
      <c r="O52" s="48">
        <f>IF(t&lt;Tnet,'2026'!Resal+('2026'!Salim-'2026'!Resal)*(1-EXP(('2026'!Tnet-t)/('2026'!Tau_j))),Resal+(Salim-Resal)*(1-EXP((Tnet-t)/(Tau_j))))*Salcycl</f>
        <v>2.7200460811289136E-2</v>
      </c>
      <c r="P52" s="165">
        <f>(INDEX(Models!$BJ52:$BT52,,T52)*(1-R52)+INDEX(Models!$BJ52:$BT52,,T52+1)*R52-ERP_i)*Q52*Ramure*Pc/MaxiM</f>
        <v>1.5425590201833298E-3</v>
      </c>
      <c r="Q52" s="301">
        <f t="shared" si="4"/>
        <v>0.5</v>
      </c>
      <c r="R52" s="173">
        <f t="shared" si="5"/>
        <v>0.49200722660183338</v>
      </c>
      <c r="S52" s="801">
        <f t="shared" si="6"/>
        <v>2</v>
      </c>
      <c r="T52" s="172">
        <f t="shared" si="7"/>
        <v>8</v>
      </c>
      <c r="U52" s="247">
        <f t="shared" si="8"/>
        <v>2.4920072266018334</v>
      </c>
      <c r="V52" s="378">
        <f t="shared" si="9"/>
        <v>134.13847140502949</v>
      </c>
      <c r="W52" s="397">
        <f t="shared" si="10"/>
        <v>41.081968441880278</v>
      </c>
      <c r="X52" s="153">
        <f t="shared" si="11"/>
        <v>46425</v>
      </c>
      <c r="Y52" s="380">
        <f t="shared" si="12"/>
        <v>39.822665284960706</v>
      </c>
      <c r="Z52" s="380">
        <f t="shared" si="22"/>
        <v>40.928573055312995</v>
      </c>
      <c r="AA52" s="381">
        <f t="shared" si="13"/>
        <v>43.403441699078236</v>
      </c>
      <c r="AB52" s="193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5.7020101330300749E-2</v>
      </c>
      <c r="AD52" s="227">
        <f>(INDEX(Models!$BJ52:$BT52,,AH52)*(1-AF52)+INDEX(Models!$BJ52:$BT52,,AH52+1)*AF52-ERP_i)*AE52*Ramure*Pc/MaxiM</f>
        <v>1.5425590201833298E-3</v>
      </c>
      <c r="AE52" s="301">
        <f t="shared" si="15"/>
        <v>0.5</v>
      </c>
      <c r="AF52" s="173">
        <f t="shared" si="23"/>
        <v>0.49200722660183338</v>
      </c>
      <c r="AG52" s="801">
        <f t="shared" si="24"/>
        <v>2</v>
      </c>
      <c r="AH52" s="172">
        <f t="shared" si="16"/>
        <v>8</v>
      </c>
      <c r="AI52" s="221">
        <f t="shared" si="17"/>
        <v>2.4920072266018334</v>
      </c>
      <c r="AJ52" s="261" t="b">
        <f t="shared" si="18"/>
        <v>0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46426</v>
      </c>
      <c r="B53" s="406">
        <f>'2026'!Wh/'2026'!Env_an*'2027'!Env_an</f>
        <v>137.47397854363368</v>
      </c>
      <c r="C53" s="831"/>
      <c r="D53" s="388">
        <f t="shared" si="0"/>
        <v>141.2936768153626</v>
      </c>
      <c r="E53" s="380">
        <f t="shared" si="1"/>
        <v>145.25307470699269</v>
      </c>
      <c r="F53" s="380">
        <f t="shared" si="2"/>
        <v>145.46002837728122</v>
      </c>
      <c r="G53" s="110">
        <f t="shared" si="21"/>
        <v>1.013925059481958</v>
      </c>
      <c r="H53" s="409" t="b">
        <f>Wh_hp&gt;='2026'!Maxi_hp</f>
        <v>1</v>
      </c>
      <c r="I53" s="385">
        <f>IF(H53,Wh_hp,'2026'!Maxi_hp)</f>
        <v>145.46002837728122</v>
      </c>
      <c r="J53" s="85">
        <f>IF(H53,An,'2026'!An_max)</f>
        <v>2027</v>
      </c>
      <c r="K53" s="193">
        <f t="shared" si="3"/>
        <v>46426</v>
      </c>
      <c r="L53" s="143">
        <f>IF(t&lt;Tvie,1-EXP((T0-t)*PertePVj)+'2026'!Pspv,1-EXP((T0-t)*PertePVj)+Pspv)</f>
        <v>2.7033752378886389E-2</v>
      </c>
      <c r="M53" s="835"/>
      <c r="N53" s="835"/>
      <c r="O53" s="48">
        <f>IF(t&lt;Tnet,'2026'!Resal+('2026'!Salim-'2026'!Resal)*(1-EXP(('2026'!Tnet-t)/('2026'!Tau_j))),Resal+(Salim-Resal)*(1-EXP((Tnet-t)/(Tau_j))))*Salcycl</f>
        <v>2.7258616725443115E-2</v>
      </c>
      <c r="P53" s="165">
        <f>(INDEX(Models!$BJ53:$BT53,,T53)*(1-R53)+INDEX(Models!$BJ53:$BT53,,T53+1)*R53-ERP_i)*Q53*Ramure*Pc/MaxiM</f>
        <v>1.4227528524313718E-3</v>
      </c>
      <c r="Q53" s="301">
        <f t="shared" si="4"/>
        <v>0.5</v>
      </c>
      <c r="R53" s="173">
        <f t="shared" si="5"/>
        <v>0.49213952757519985</v>
      </c>
      <c r="S53" s="801">
        <f t="shared" si="6"/>
        <v>2</v>
      </c>
      <c r="T53" s="172">
        <f t="shared" si="7"/>
        <v>8</v>
      </c>
      <c r="U53" s="247">
        <f t="shared" si="8"/>
        <v>2.4921395275751999</v>
      </c>
      <c r="V53" s="378">
        <f t="shared" si="9"/>
        <v>135.5859363155231</v>
      </c>
      <c r="W53" s="397">
        <f t="shared" si="10"/>
        <v>137.47397854363368</v>
      </c>
      <c r="X53" s="153">
        <f t="shared" si="11"/>
        <v>46426</v>
      </c>
      <c r="Y53" s="380">
        <f t="shared" si="12"/>
        <v>133.26424429241811</v>
      </c>
      <c r="Z53" s="380">
        <f t="shared" si="22"/>
        <v>136.96697559473105</v>
      </c>
      <c r="AA53" s="381">
        <f t="shared" si="13"/>
        <v>145.25307470699269</v>
      </c>
      <c r="AB53" s="193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5.7045946386859801E-2</v>
      </c>
      <c r="AD53" s="227">
        <f>(INDEX(Models!$BJ53:$BT53,,AH53)*(1-AF53)+INDEX(Models!$BJ53:$BT53,,AH53+1)*AF53-ERP_i)*AE53*Ramure*Pc/MaxiM</f>
        <v>1.4227528524313718E-3</v>
      </c>
      <c r="AE53" s="301">
        <f t="shared" si="15"/>
        <v>0.5</v>
      </c>
      <c r="AF53" s="173">
        <f t="shared" si="23"/>
        <v>0.49213952757519985</v>
      </c>
      <c r="AG53" s="801">
        <f t="shared" si="24"/>
        <v>2</v>
      </c>
      <c r="AH53" s="172">
        <f t="shared" si="16"/>
        <v>8</v>
      </c>
      <c r="AI53" s="221">
        <f t="shared" si="17"/>
        <v>2.4921395275751999</v>
      </c>
      <c r="AJ53" s="261" t="b">
        <f t="shared" si="18"/>
        <v>0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46427</v>
      </c>
      <c r="B54" s="406">
        <f>'2026'!Wh/'2026'!Env_an*'2027'!Env_an</f>
        <v>136.82360770761767</v>
      </c>
      <c r="C54" s="831"/>
      <c r="D54" s="388">
        <f t="shared" si="0"/>
        <v>140.62716057014737</v>
      </c>
      <c r="E54" s="380">
        <f t="shared" si="1"/>
        <v>144.57651902087247</v>
      </c>
      <c r="F54" s="380">
        <f t="shared" si="2"/>
        <v>144.7652373710965</v>
      </c>
      <c r="G54" s="110">
        <f t="shared" si="21"/>
        <v>0.99834461473728853</v>
      </c>
      <c r="H54" s="409" t="b">
        <f>Wh_hp&gt;='2026'!Maxi_hp</f>
        <v>0</v>
      </c>
      <c r="I54" s="385">
        <f>IF(H54,Wh_hp,'2026'!Maxi_hp)</f>
        <v>144.76568409319361</v>
      </c>
      <c r="J54" s="85">
        <f>IF(H54,An,'2026'!An_max)</f>
        <v>2022</v>
      </c>
      <c r="K54" s="193">
        <f t="shared" si="3"/>
        <v>46427</v>
      </c>
      <c r="L54" s="143">
        <f>IF(t&lt;Tvie,1-EXP((T0-t)*PertePVj)+'2026'!Pspv,1-EXP((T0-t)*PertePVj)+Pspv)</f>
        <v>2.704707146975649E-2</v>
      </c>
      <c r="M54" s="835"/>
      <c r="N54" s="835"/>
      <c r="O54" s="48">
        <f>IF(t&lt;Tnet,'2026'!Resal+('2026'!Salim-'2026'!Resal)*(1-EXP(('2026'!Tnet-t)/('2026'!Tau_j))),Resal+(Salim-Resal)*(1-EXP((Tnet-t)/(Tau_j))))*Salcycl</f>
        <v>2.7316734954414851E-2</v>
      </c>
      <c r="P54" s="165">
        <f>(INDEX(Models!$BJ54:$BT54,,T54)*(1-R54)+INDEX(Models!$BJ54:$BT54,,T54+1)*R54-ERP_i)*Q54*Ramure*Pc/MaxiM</f>
        <v>1.3067008650125863E-3</v>
      </c>
      <c r="Q54" s="301">
        <f t="shared" si="4"/>
        <v>0.5</v>
      </c>
      <c r="R54" s="173">
        <f t="shared" si="5"/>
        <v>0.49227730403379111</v>
      </c>
      <c r="S54" s="801">
        <f t="shared" si="6"/>
        <v>2</v>
      </c>
      <c r="T54" s="172">
        <f t="shared" si="7"/>
        <v>8</v>
      </c>
      <c r="U54" s="247">
        <f t="shared" si="8"/>
        <v>2.4922773040337911</v>
      </c>
      <c r="V54" s="378">
        <f t="shared" si="9"/>
        <v>137.05005578366405</v>
      </c>
      <c r="W54" s="397">
        <f t="shared" si="10"/>
        <v>136.82360770761767</v>
      </c>
      <c r="X54" s="153">
        <f t="shared" si="11"/>
        <v>46427</v>
      </c>
      <c r="Y54" s="380">
        <f t="shared" si="12"/>
        <v>132.63807519351766</v>
      </c>
      <c r="Z54" s="380">
        <f t="shared" si="22"/>
        <v>136.32527463983547</v>
      </c>
      <c r="AA54" s="381">
        <f t="shared" si="13"/>
        <v>144.57651902087247</v>
      </c>
      <c r="AB54" s="193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5.7071815236094878E-2</v>
      </c>
      <c r="AD54" s="227">
        <f>(INDEX(Models!$BJ54:$BT54,,AH54)*(1-AF54)+INDEX(Models!$BJ54:$BT54,,AH54+1)*AF54-ERP_i)*AE54*Ramure*Pc/MaxiM</f>
        <v>1.3067008650125863E-3</v>
      </c>
      <c r="AE54" s="301">
        <f t="shared" si="15"/>
        <v>0.5</v>
      </c>
      <c r="AF54" s="173">
        <f t="shared" si="23"/>
        <v>0.49227730403379111</v>
      </c>
      <c r="AG54" s="801">
        <f t="shared" si="24"/>
        <v>2</v>
      </c>
      <c r="AH54" s="172">
        <f t="shared" si="16"/>
        <v>8</v>
      </c>
      <c r="AI54" s="221">
        <f t="shared" si="17"/>
        <v>2.4922773040337911</v>
      </c>
      <c r="AJ54" s="261" t="b">
        <f t="shared" si="18"/>
        <v>0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46428</v>
      </c>
      <c r="B55" s="406">
        <f>'2026'!Wh/'2026'!Env_an*'2027'!Env_an</f>
        <v>128.51582674587954</v>
      </c>
      <c r="C55" s="831"/>
      <c r="D55" s="388">
        <f t="shared" si="0"/>
        <v>132.09024021115678</v>
      </c>
      <c r="E55" s="380">
        <f t="shared" si="1"/>
        <v>135.80795762284251</v>
      </c>
      <c r="F55" s="380">
        <f t="shared" si="2"/>
        <v>135.9535687206579</v>
      </c>
      <c r="G55" s="110">
        <f t="shared" si="21"/>
        <v>0.92761165102048115</v>
      </c>
      <c r="H55" s="409" t="b">
        <f>Wh_hp&gt;='2026'!Maxi_hp</f>
        <v>0</v>
      </c>
      <c r="I55" s="385">
        <f>IF(H55,Wh_hp,'2026'!Maxi_hp)</f>
        <v>135.97033911419149</v>
      </c>
      <c r="J55" s="85">
        <f>IF(H55,An,'2026'!An_max)</f>
        <v>2022</v>
      </c>
      <c r="K55" s="193">
        <f t="shared" si="3"/>
        <v>46428</v>
      </c>
      <c r="L55" s="143">
        <f>IF(t&lt;Tvie,1-EXP((T0-t)*PertePVj)+'2026'!Pspv,1-EXP((T0-t)*PertePVj)+Pspv)</f>
        <v>2.7060390378299326E-2</v>
      </c>
      <c r="M55" s="835"/>
      <c r="N55" s="835"/>
      <c r="O55" s="48">
        <f>IF(t&lt;Tnet,'2026'!Resal+('2026'!Salim-'2026'!Resal)*(1-EXP(('2026'!Tnet-t)/('2026'!Tau_j))),Resal+(Salim-Resal)*(1-EXP((Tnet-t)/(Tau_j))))*Salcycl</f>
        <v>2.7374812763257542E-2</v>
      </c>
      <c r="P55" s="165">
        <f>(INDEX(Models!$BJ55:$BT55,,T55)*(1-R55)+INDEX(Models!$BJ55:$BT55,,T55+1)*R55-ERP_i)*Q55*Ramure*Pc/MaxiM</f>
        <v>1.194350141036162E-3</v>
      </c>
      <c r="Q55" s="301">
        <f t="shared" si="4"/>
        <v>0.5</v>
      </c>
      <c r="R55" s="173">
        <f t="shared" si="5"/>
        <v>0.4924207793444535</v>
      </c>
      <c r="S55" s="801">
        <f t="shared" si="6"/>
        <v>2</v>
      </c>
      <c r="T55" s="172">
        <f t="shared" si="7"/>
        <v>8</v>
      </c>
      <c r="U55" s="247">
        <f t="shared" si="8"/>
        <v>2.4924207793444535</v>
      </c>
      <c r="V55" s="378">
        <f t="shared" si="9"/>
        <v>138.52775752549661</v>
      </c>
      <c r="W55" s="397">
        <f t="shared" si="10"/>
        <v>128.51582674587954</v>
      </c>
      <c r="X55" s="153">
        <f t="shared" si="11"/>
        <v>46428</v>
      </c>
      <c r="Y55" s="380">
        <f t="shared" si="12"/>
        <v>124.58845399320202</v>
      </c>
      <c r="Z55" s="380">
        <f t="shared" si="22"/>
        <v>128.05363535527619</v>
      </c>
      <c r="AA55" s="381">
        <f t="shared" si="13"/>
        <v>135.80795762284251</v>
      </c>
      <c r="AB55" s="193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5.70977018084695E-2</v>
      </c>
      <c r="AD55" s="227">
        <f>(INDEX(Models!$BJ55:$BT55,,AH55)*(1-AF55)+INDEX(Models!$BJ55:$BT55,,AH55+1)*AF55-ERP_i)*AE55*Ramure*Pc/MaxiM</f>
        <v>1.194350141036162E-3</v>
      </c>
      <c r="AE55" s="301">
        <f t="shared" si="15"/>
        <v>0.5</v>
      </c>
      <c r="AF55" s="173">
        <f t="shared" si="23"/>
        <v>0.4924207793444535</v>
      </c>
      <c r="AG55" s="801">
        <f t="shared" si="24"/>
        <v>2</v>
      </c>
      <c r="AH55" s="172">
        <f t="shared" si="16"/>
        <v>8</v>
      </c>
      <c r="AI55" s="221">
        <f t="shared" si="17"/>
        <v>2.4924207793444535</v>
      </c>
      <c r="AJ55" s="261" t="b">
        <f t="shared" si="18"/>
        <v>0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46429</v>
      </c>
      <c r="B56" s="406">
        <f>'2026'!Wh/'2026'!Env_an*'2027'!Env_an</f>
        <v>64.103231519464316</v>
      </c>
      <c r="C56" s="831"/>
      <c r="D56" s="388">
        <f t="shared" si="0"/>
        <v>65.887038020592129</v>
      </c>
      <c r="E56" s="380">
        <f t="shared" si="1"/>
        <v>67.745489695478554</v>
      </c>
      <c r="F56" s="380">
        <f t="shared" si="2"/>
        <v>67.762076308799593</v>
      </c>
      <c r="G56" s="110">
        <f t="shared" si="21"/>
        <v>0.45744293564118998</v>
      </c>
      <c r="H56" s="409" t="b">
        <f>Wh_hp&gt;='2026'!Maxi_hp</f>
        <v>0</v>
      </c>
      <c r="I56" s="385">
        <f>IF(H56,Wh_hp,'2026'!Maxi_hp)</f>
        <v>67.819064186061496</v>
      </c>
      <c r="J56" s="85">
        <f>IF(H56,An,'2026'!An_max)</f>
        <v>2022</v>
      </c>
      <c r="K56" s="193">
        <f t="shared" si="3"/>
        <v>46429</v>
      </c>
      <c r="L56" s="143">
        <f>IF(t&lt;Tvie,1-EXP((T0-t)*PertePVj)+'2026'!Pspv,1-EXP((T0-t)*PertePVj)+Pspv)</f>
        <v>2.7073709104517674E-2</v>
      </c>
      <c r="M56" s="835"/>
      <c r="N56" s="835"/>
      <c r="O56" s="48">
        <f>IF(t&lt;Tnet,'2026'!Resal+('2026'!Salim-'2026'!Resal)*(1-EXP(('2026'!Tnet-t)/('2026'!Tau_j))),Resal+(Salim-Resal)*(1-EXP((Tnet-t)/(Tau_j))))*Salcycl</f>
        <v>2.743284731190691E-2</v>
      </c>
      <c r="P56" s="165">
        <f>(INDEX(Models!$BJ56:$BT56,,T56)*(1-R56)+INDEX(Models!$BJ56:$BT56,,T56+1)*R56-ERP_i)*Q56*Ramure*Pc/MaxiM</f>
        <v>1.0856379185484079E-3</v>
      </c>
      <c r="Q56" s="301">
        <f t="shared" si="4"/>
        <v>0.5</v>
      </c>
      <c r="R56" s="173">
        <f t="shared" si="5"/>
        <v>0.49257018571031486</v>
      </c>
      <c r="S56" s="801">
        <f t="shared" si="6"/>
        <v>2</v>
      </c>
      <c r="T56" s="172">
        <f t="shared" si="7"/>
        <v>8</v>
      </c>
      <c r="U56" s="247">
        <f t="shared" si="8"/>
        <v>2.4925701857103149</v>
      </c>
      <c r="V56" s="378">
        <f t="shared" si="9"/>
        <v>140.01597017799136</v>
      </c>
      <c r="W56" s="397">
        <f t="shared" si="10"/>
        <v>64.103231519464316</v>
      </c>
      <c r="X56" s="153">
        <f t="shared" si="11"/>
        <v>46429</v>
      </c>
      <c r="Y56" s="380">
        <f t="shared" si="12"/>
        <v>62.146273401826207</v>
      </c>
      <c r="Z56" s="380">
        <f t="shared" si="22"/>
        <v>63.875623449980694</v>
      </c>
      <c r="AA56" s="381">
        <f t="shared" si="13"/>
        <v>67.745489695478554</v>
      </c>
      <c r="AB56" s="193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5.7123599857248374E-2</v>
      </c>
      <c r="AD56" s="227">
        <f>(INDEX(Models!$BJ56:$BT56,,AH56)*(1-AF56)+INDEX(Models!$BJ56:$BT56,,AH56+1)*AF56-ERP_i)*AE56*Ramure*Pc/MaxiM</f>
        <v>1.0856379185484079E-3</v>
      </c>
      <c r="AE56" s="301">
        <f t="shared" si="15"/>
        <v>0.5</v>
      </c>
      <c r="AF56" s="173">
        <f t="shared" si="23"/>
        <v>0.49257018571031486</v>
      </c>
      <c r="AG56" s="801">
        <f t="shared" si="24"/>
        <v>2</v>
      </c>
      <c r="AH56" s="172">
        <f t="shared" si="16"/>
        <v>8</v>
      </c>
      <c r="AI56" s="221">
        <f t="shared" si="17"/>
        <v>2.4925701857103149</v>
      </c>
      <c r="AJ56" s="261" t="b">
        <f t="shared" si="18"/>
        <v>0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46430</v>
      </c>
      <c r="B57" s="406">
        <f>'2026'!Wh/'2026'!Env_an*'2027'!Env_an</f>
        <v>107.36354347112696</v>
      </c>
      <c r="C57" s="831"/>
      <c r="D57" s="388">
        <f t="shared" si="0"/>
        <v>110.35266927485111</v>
      </c>
      <c r="E57" s="380">
        <f t="shared" si="1"/>
        <v>113.47211247474898</v>
      </c>
      <c r="F57" s="380">
        <f t="shared" si="2"/>
        <v>113.54506403472838</v>
      </c>
      <c r="G57" s="110">
        <f t="shared" si="21"/>
        <v>0.75843403138398469</v>
      </c>
      <c r="H57" s="409" t="b">
        <f>Wh_hp&gt;='2026'!Maxi_hp</f>
        <v>0</v>
      </c>
      <c r="I57" s="385">
        <f>IF(H57,Wh_hp,'2026'!Maxi_hp)</f>
        <v>113.58344330581436</v>
      </c>
      <c r="J57" s="85">
        <f>IF(H57,An,'2026'!An_max)</f>
        <v>2022</v>
      </c>
      <c r="K57" s="193">
        <f t="shared" si="3"/>
        <v>46430</v>
      </c>
      <c r="L57" s="143">
        <f>IF(t&lt;Tvie,1-EXP((T0-t)*PertePVj)+'2026'!Pspv,1-EXP((T0-t)*PertePVj)+Pspv)</f>
        <v>2.7087027648413753E-2</v>
      </c>
      <c r="M57" s="835"/>
      <c r="N57" s="835"/>
      <c r="O57" s="48">
        <f>IF(t&lt;Tnet,'2026'!Resal+('2026'!Salim-'2026'!Resal)*(1-EXP(('2026'!Tnet-t)/('2026'!Tau_j))),Resal+(Salim-Resal)*(1-EXP((Tnet-t)/(Tau_j))))*Salcycl</f>
        <v>2.7490835694030519E-2</v>
      </c>
      <c r="P57" s="165">
        <f>(INDEX(Models!$BJ57:$BT57,,T57)*(1-R57)+INDEX(Models!$BJ57:$BT57,,T57+1)*R57-ERP_i)*Q57*Ramure*Pc/MaxiM</f>
        <v>9.8049298170076659E-4</v>
      </c>
      <c r="Q57" s="301">
        <f t="shared" si="4"/>
        <v>0.5</v>
      </c>
      <c r="R57" s="173">
        <f t="shared" si="5"/>
        <v>0.49272576449683747</v>
      </c>
      <c r="S57" s="801">
        <f t="shared" si="6"/>
        <v>2</v>
      </c>
      <c r="T57" s="172">
        <f t="shared" si="7"/>
        <v>8</v>
      </c>
      <c r="U57" s="247">
        <f t="shared" si="8"/>
        <v>2.4927257644968375</v>
      </c>
      <c r="V57" s="378">
        <f t="shared" si="9"/>
        <v>141.51162328416885</v>
      </c>
      <c r="W57" s="397">
        <f t="shared" si="10"/>
        <v>107.36354347112696</v>
      </c>
      <c r="X57" s="153">
        <f t="shared" si="11"/>
        <v>46430</v>
      </c>
      <c r="Y57" s="380">
        <f t="shared" si="12"/>
        <v>104.08927137393466</v>
      </c>
      <c r="Z57" s="380">
        <f t="shared" si="22"/>
        <v>106.98723763785875</v>
      </c>
      <c r="AA57" s="381">
        <f t="shared" si="13"/>
        <v>113.47211247474898</v>
      </c>
      <c r="AB57" s="193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5.7149503040522957E-2</v>
      </c>
      <c r="AD57" s="227">
        <f>(INDEX(Models!$BJ57:$BT57,,AH57)*(1-AF57)+INDEX(Models!$BJ57:$BT57,,AH57+1)*AF57-ERP_i)*AE57*Ramure*Pc/MaxiM</f>
        <v>9.8049298170076659E-4</v>
      </c>
      <c r="AE57" s="301">
        <f t="shared" si="15"/>
        <v>0.5</v>
      </c>
      <c r="AF57" s="173">
        <f t="shared" si="23"/>
        <v>0.49272576449683747</v>
      </c>
      <c r="AG57" s="801">
        <f t="shared" si="24"/>
        <v>2</v>
      </c>
      <c r="AH57" s="172">
        <f t="shared" si="16"/>
        <v>8</v>
      </c>
      <c r="AI57" s="221">
        <f t="shared" si="17"/>
        <v>2.4927257644968375</v>
      </c>
      <c r="AJ57" s="261" t="b">
        <f t="shared" si="18"/>
        <v>0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46431</v>
      </c>
      <c r="B58" s="406">
        <f>'2026'!Wh/'2026'!Env_an*'2027'!Env_an</f>
        <v>130.99691589310089</v>
      </c>
      <c r="C58" s="831"/>
      <c r="D58" s="388">
        <f t="shared" si="0"/>
        <v>134.64586543520963</v>
      </c>
      <c r="E58" s="380">
        <f t="shared" si="1"/>
        <v>138.46027643407868</v>
      </c>
      <c r="F58" s="380">
        <f t="shared" si="2"/>
        <v>138.56786918978884</v>
      </c>
      <c r="G58" s="110">
        <f t="shared" si="21"/>
        <v>0.91589389560218804</v>
      </c>
      <c r="H58" s="409" t="b">
        <f>Wh_hp&gt;='2026'!Maxi_hp</f>
        <v>0</v>
      </c>
      <c r="I58" s="385">
        <f>IF(H58,Wh_hp,'2026'!Maxi_hp)</f>
        <v>138.58254094560056</v>
      </c>
      <c r="J58" s="85">
        <f>IF(H58,An,'2026'!An_max)</f>
        <v>2022</v>
      </c>
      <c r="K58" s="193">
        <f t="shared" si="3"/>
        <v>46431</v>
      </c>
      <c r="L58" s="143">
        <f>IF(t&lt;Tvie,1-EXP((T0-t)*PertePVj)+'2026'!Pspv,1-EXP((T0-t)*PertePVj)+Pspv)</f>
        <v>2.7100346009990117E-2</v>
      </c>
      <c r="M58" s="835"/>
      <c r="N58" s="835"/>
      <c r="O58" s="48">
        <f>IF(t&lt;Tnet,'2026'!Resal+('2026'!Salim-'2026'!Resal)*(1-EXP(('2026'!Tnet-t)/('2026'!Tau_j))),Resal+(Salim-Resal)*(1-EXP((Tnet-t)/(Tau_j))))*Salcycl</f>
        <v>2.7548774977963538E-2</v>
      </c>
      <c r="P58" s="165">
        <f>(INDEX(Models!$BJ58:$BT58,,T58)*(1-R58)+INDEX(Models!$BJ58:$BT58,,T58+1)*R58-ERP_i)*Q58*Ramure*Pc/MaxiM</f>
        <v>8.8235669879501821E-4</v>
      </c>
      <c r="Q58" s="301">
        <f t="shared" si="4"/>
        <v>0.5</v>
      </c>
      <c r="R58" s="173">
        <f t="shared" si="5"/>
        <v>0.49288776656787681</v>
      </c>
      <c r="S58" s="801">
        <f t="shared" si="6"/>
        <v>2</v>
      </c>
      <c r="T58" s="172">
        <f t="shared" si="7"/>
        <v>8</v>
      </c>
      <c r="U58" s="247">
        <f t="shared" si="8"/>
        <v>2.4928877665678768</v>
      </c>
      <c r="V58" s="378">
        <f t="shared" si="9"/>
        <v>143.01114346406857</v>
      </c>
      <c r="W58" s="397">
        <f t="shared" si="10"/>
        <v>130.99691589310089</v>
      </c>
      <c r="X58" s="153">
        <f t="shared" si="11"/>
        <v>46431</v>
      </c>
      <c r="Y58" s="380">
        <f t="shared" si="12"/>
        <v>127.00597314737225</v>
      </c>
      <c r="Z58" s="380">
        <f t="shared" si="22"/>
        <v>130.54375405161403</v>
      </c>
      <c r="AA58" s="381">
        <f t="shared" si="13"/>
        <v>138.46027643407868</v>
      </c>
      <c r="AB58" s="193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5.7175405006747441E-2</v>
      </c>
      <c r="AD58" s="227">
        <f>(INDEX(Models!$BJ58:$BT58,,AH58)*(1-AF58)+INDEX(Models!$BJ58:$BT58,,AH58+1)*AF58-ERP_i)*AE58*Ramure*Pc/MaxiM</f>
        <v>8.8235669879501821E-4</v>
      </c>
      <c r="AE58" s="301">
        <f t="shared" si="15"/>
        <v>0.5</v>
      </c>
      <c r="AF58" s="173">
        <f t="shared" si="23"/>
        <v>0.49288776656787681</v>
      </c>
      <c r="AG58" s="801">
        <f t="shared" si="24"/>
        <v>2</v>
      </c>
      <c r="AH58" s="172">
        <f t="shared" si="16"/>
        <v>8</v>
      </c>
      <c r="AI58" s="221">
        <f t="shared" si="17"/>
        <v>2.4928877665678768</v>
      </c>
      <c r="AJ58" s="261" t="b">
        <f t="shared" si="18"/>
        <v>0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46432</v>
      </c>
      <c r="B59" s="406">
        <f>'2026'!Wh/'2026'!Env_an*'2027'!Env_an</f>
        <v>74.695636366538878</v>
      </c>
      <c r="C59" s="831"/>
      <c r="D59" s="388">
        <f t="shared" si="0"/>
        <v>76.777351697813273</v>
      </c>
      <c r="E59" s="380">
        <f t="shared" si="1"/>
        <v>78.957093510544198</v>
      </c>
      <c r="F59" s="380">
        <f t="shared" si="2"/>
        <v>78.976511077301268</v>
      </c>
      <c r="G59" s="110">
        <f t="shared" si="21"/>
        <v>0.516601959528601</v>
      </c>
      <c r="H59" s="409" t="b">
        <f>Wh_hp&gt;='2026'!Maxi_hp</f>
        <v>0</v>
      </c>
      <c r="I59" s="385">
        <f>IF(H59,Wh_hp,'2026'!Maxi_hp)</f>
        <v>79.019753092234637</v>
      </c>
      <c r="J59" s="85">
        <f>IF(H59,An,'2026'!An_max)</f>
        <v>2022</v>
      </c>
      <c r="K59" s="193">
        <f t="shared" si="3"/>
        <v>46432</v>
      </c>
      <c r="L59" s="143">
        <f>IF(t&lt;Tvie,1-EXP((T0-t)*PertePVj)+'2026'!Pspv,1-EXP((T0-t)*PertePVj)+Pspv)</f>
        <v>2.711366418924932E-2</v>
      </c>
      <c r="M59" s="835"/>
      <c r="N59" s="835"/>
      <c r="O59" s="48">
        <f>IF(t&lt;Tnet,'2026'!Resal+('2026'!Salim-'2026'!Resal)*(1-EXP(('2026'!Tnet-t)/('2026'!Tau_j))),Resal+(Salim-Resal)*(1-EXP((Tnet-t)/(Tau_j))))*Salcycl</f>
        <v>2.7606662249286467E-2</v>
      </c>
      <c r="P59" s="165">
        <f>(INDEX(Models!$BJ59:$BT59,,T59)*(1-R59)+INDEX(Models!$BJ59:$BT59,,T59+1)*R59-ERP_i)*Q59*Ramure*Pc/MaxiM</f>
        <v>7.9353331474982095E-4</v>
      </c>
      <c r="Q59" s="301">
        <f t="shared" si="4"/>
        <v>0.5</v>
      </c>
      <c r="R59" s="173">
        <f t="shared" si="5"/>
        <v>0.49305645263185838</v>
      </c>
      <c r="S59" s="801">
        <f t="shared" si="6"/>
        <v>2</v>
      </c>
      <c r="T59" s="172">
        <f t="shared" si="7"/>
        <v>8</v>
      </c>
      <c r="U59" s="247">
        <f t="shared" si="8"/>
        <v>2.4930564526318584</v>
      </c>
      <c r="V59" s="378">
        <f t="shared" si="9"/>
        <v>144.51110086271248</v>
      </c>
      <c r="W59" s="397">
        <f t="shared" si="10"/>
        <v>74.695636366538878</v>
      </c>
      <c r="X59" s="153">
        <f t="shared" si="11"/>
        <v>46432</v>
      </c>
      <c r="Y59" s="380">
        <f t="shared" si="12"/>
        <v>72.422286503499151</v>
      </c>
      <c r="Z59" s="380">
        <f t="shared" si="22"/>
        <v>74.440645158353831</v>
      </c>
      <c r="AA59" s="381">
        <f t="shared" si="13"/>
        <v>78.957093510544198</v>
      </c>
      <c r="AB59" s="193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5.7201299482828927E-2</v>
      </c>
      <c r="AD59" s="227">
        <f>(INDEX(Models!$BJ59:$BT59,,AH59)*(1-AF59)+INDEX(Models!$BJ59:$BT59,,AH59+1)*AF59-ERP_i)*AE59*Ramure*Pc/MaxiM</f>
        <v>7.9353331474982095E-4</v>
      </c>
      <c r="AE59" s="301">
        <f t="shared" si="15"/>
        <v>0.5</v>
      </c>
      <c r="AF59" s="173">
        <f t="shared" si="23"/>
        <v>0.49305645263185838</v>
      </c>
      <c r="AG59" s="801">
        <f t="shared" si="24"/>
        <v>2</v>
      </c>
      <c r="AH59" s="172">
        <f t="shared" si="16"/>
        <v>8</v>
      </c>
      <c r="AI59" s="221">
        <f t="shared" si="17"/>
        <v>2.4930564526318584</v>
      </c>
      <c r="AJ59" s="261" t="b">
        <f t="shared" si="18"/>
        <v>0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46433</v>
      </c>
      <c r="B60" s="406">
        <f>'2026'!Wh/'2026'!Env_an*'2027'!Env_an</f>
        <v>78.871086840108617</v>
      </c>
      <c r="C60" s="831"/>
      <c r="D60" s="388">
        <f t="shared" si="0"/>
        <v>81.070278850310757</v>
      </c>
      <c r="E60" s="380">
        <f t="shared" si="1"/>
        <v>83.376857478336774</v>
      </c>
      <c r="F60" s="380">
        <f t="shared" si="2"/>
        <v>83.397281599313217</v>
      </c>
      <c r="G60" s="110">
        <f t="shared" si="21"/>
        <v>0.53992841506052591</v>
      </c>
      <c r="H60" s="409" t="b">
        <f>Wh_hp&gt;='2026'!Maxi_hp</f>
        <v>0</v>
      </c>
      <c r="I60" s="385">
        <f>IF(H60,Wh_hp,'2026'!Maxi_hp)</f>
        <v>83.436368101478877</v>
      </c>
      <c r="J60" s="85">
        <f>IF(H60,An,'2026'!An_max)</f>
        <v>2022</v>
      </c>
      <c r="K60" s="193">
        <f t="shared" si="3"/>
        <v>46433</v>
      </c>
      <c r="L60" s="143">
        <f>IF(t&lt;Tvie,1-EXP((T0-t)*PertePVj)+'2026'!Pspv,1-EXP((T0-t)*PertePVj)+Pspv)</f>
        <v>2.7126982186193804E-2</v>
      </c>
      <c r="M60" s="835"/>
      <c r="N60" s="835"/>
      <c r="O60" s="48">
        <f>IF(t&lt;Tnet,'2026'!Resal+('2026'!Salim-'2026'!Resal)*(1-EXP(('2026'!Tnet-t)/('2026'!Tau_j))),Resal+(Salim-Resal)*(1-EXP((Tnet-t)/(Tau_j))))*Salcycl</f>
        <v>2.7664494654590643E-2</v>
      </c>
      <c r="P60" s="165">
        <f>(INDEX(Models!$BJ60:$BT60,,T60)*(1-R60)+INDEX(Models!$BJ60:$BT60,,T60+1)*R60-ERP_i)*Q60*Ramure*Pc/MaxiM</f>
        <v>7.1375559633766474E-4</v>
      </c>
      <c r="Q60" s="301">
        <f t="shared" si="4"/>
        <v>0.5</v>
      </c>
      <c r="R60" s="173">
        <f t="shared" si="5"/>
        <v>0.49323209359818865</v>
      </c>
      <c r="S60" s="801">
        <f t="shared" si="6"/>
        <v>2</v>
      </c>
      <c r="T60" s="172">
        <f t="shared" si="7"/>
        <v>8</v>
      </c>
      <c r="U60" s="247">
        <f t="shared" si="8"/>
        <v>2.4932320935981886</v>
      </c>
      <c r="V60" s="378">
        <f t="shared" si="9"/>
        <v>146.00842732496977</v>
      </c>
      <c r="W60" s="397">
        <f t="shared" si="10"/>
        <v>78.871086840108617</v>
      </c>
      <c r="X60" s="153">
        <f t="shared" si="11"/>
        <v>46433</v>
      </c>
      <c r="Y60" s="380">
        <f t="shared" si="12"/>
        <v>76.473106781805257</v>
      </c>
      <c r="Z60" s="380">
        <f t="shared" si="22"/>
        <v>78.605435017256383</v>
      </c>
      <c r="AA60" s="381">
        <f t="shared" si="13"/>
        <v>83.376857478336774</v>
      </c>
      <c r="AB60" s="193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5.7227180363809214E-2</v>
      </c>
      <c r="AD60" s="227">
        <f>(INDEX(Models!$BJ60:$BT60,,AH60)*(1-AF60)+INDEX(Models!$BJ60:$BT60,,AH60+1)*AF60-ERP_i)*AE60*Ramure*Pc/MaxiM</f>
        <v>7.1375559633766474E-4</v>
      </c>
      <c r="AE60" s="301">
        <f t="shared" si="15"/>
        <v>0.5</v>
      </c>
      <c r="AF60" s="173">
        <f t="shared" si="23"/>
        <v>0.49323209359818865</v>
      </c>
      <c r="AG60" s="801">
        <f t="shared" si="24"/>
        <v>2</v>
      </c>
      <c r="AH60" s="172">
        <f t="shared" si="16"/>
        <v>8</v>
      </c>
      <c r="AI60" s="221">
        <f t="shared" si="17"/>
        <v>2.4932320935981886</v>
      </c>
      <c r="AJ60" s="261" t="b">
        <f t="shared" si="18"/>
        <v>0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46434</v>
      </c>
      <c r="B61" s="406">
        <f>'2026'!Wh/'2026'!Env_an*'2027'!Env_an</f>
        <v>30.464124352321559</v>
      </c>
      <c r="C61" s="831"/>
      <c r="D61" s="388">
        <f t="shared" si="0"/>
        <v>31.313995586771071</v>
      </c>
      <c r="E61" s="380">
        <f t="shared" si="1"/>
        <v>32.206842348356176</v>
      </c>
      <c r="F61" s="380">
        <f t="shared" si="2"/>
        <v>32.206842348356176</v>
      </c>
      <c r="G61" s="110">
        <f t="shared" si="21"/>
        <v>0.20640360499348098</v>
      </c>
      <c r="H61" s="409" t="b">
        <f>Wh_hp&gt;='2026'!Maxi_hp</f>
        <v>0</v>
      </c>
      <c r="I61" s="385">
        <f>IF(H61,Wh_hp,'2026'!Maxi_hp)</f>
        <v>32.227533516382081</v>
      </c>
      <c r="J61" s="85">
        <f>IF(H61,An,'2026'!An_max)</f>
        <v>2022</v>
      </c>
      <c r="K61" s="193">
        <f t="shared" si="3"/>
        <v>46434</v>
      </c>
      <c r="L61" s="143">
        <f>IF(t&lt;Tvie,1-EXP((T0-t)*PertePVj)+'2026'!Pspv,1-EXP((T0-t)*PertePVj)+Pspv)</f>
        <v>2.7140300000826123E-2</v>
      </c>
      <c r="M61" s="835"/>
      <c r="N61" s="835"/>
      <c r="O61" s="48">
        <f>IF(t&lt;Tnet,'2026'!Resal+('2026'!Salim-'2026'!Resal)*(1-EXP(('2026'!Tnet-t)/('2026'!Tau_j))),Resal+(Salim-Resal)*(1-EXP((Tnet-t)/(Tau_j))))*Salcycl</f>
        <v>2.7722269445972964E-2</v>
      </c>
      <c r="P61" s="165">
        <f>(INDEX(Models!$BJ61:$BT61,,T61)*(1-R61)+INDEX(Models!$BJ61:$BT61,,T61+1)*R61-ERP_i)*Q61*Ramure*Pc/MaxiM</f>
        <v>6.4276116232300925E-4</v>
      </c>
      <c r="Q61" s="301">
        <f t="shared" si="4"/>
        <v>0.5</v>
      </c>
      <c r="R61" s="173">
        <f t="shared" si="5"/>
        <v>0.49341497094397679</v>
      </c>
      <c r="S61" s="801">
        <f t="shared" si="6"/>
        <v>2</v>
      </c>
      <c r="T61" s="172">
        <f t="shared" si="7"/>
        <v>8</v>
      </c>
      <c r="U61" s="247">
        <f t="shared" si="8"/>
        <v>2.4934149709439768</v>
      </c>
      <c r="V61" s="378">
        <f t="shared" si="9"/>
        <v>147.5000555213426</v>
      </c>
      <c r="W61" s="397">
        <f t="shared" si="10"/>
        <v>30.464124352321559</v>
      </c>
      <c r="X61" s="153">
        <f t="shared" si="11"/>
        <v>46434</v>
      </c>
      <c r="Y61" s="380">
        <f t="shared" si="12"/>
        <v>29.53884437002948</v>
      </c>
      <c r="Z61" s="380">
        <f t="shared" si="22"/>
        <v>30.362902657037356</v>
      </c>
      <c r="AA61" s="381">
        <f t="shared" si="13"/>
        <v>32.206842348356176</v>
      </c>
      <c r="AB61" s="193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5.7253041803178584E-2</v>
      </c>
      <c r="AD61" s="227">
        <f>(INDEX(Models!$BJ61:$BT61,,AH61)*(1-AF61)+INDEX(Models!$BJ61:$BT61,,AH61+1)*AF61-ERP_i)*AE61*Ramure*Pc/MaxiM</f>
        <v>6.4276116232300925E-4</v>
      </c>
      <c r="AE61" s="301">
        <f t="shared" si="15"/>
        <v>0.5</v>
      </c>
      <c r="AF61" s="173">
        <f t="shared" si="23"/>
        <v>0.49341497094397679</v>
      </c>
      <c r="AG61" s="801">
        <f t="shared" si="24"/>
        <v>2</v>
      </c>
      <c r="AH61" s="172">
        <f t="shared" si="16"/>
        <v>8</v>
      </c>
      <c r="AI61" s="221">
        <f t="shared" si="17"/>
        <v>2.4934149709439768</v>
      </c>
      <c r="AJ61" s="261" t="b">
        <f t="shared" si="18"/>
        <v>0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46435</v>
      </c>
      <c r="B62" s="406">
        <f>'2026'!Wh/'2026'!Env_an*'2027'!Env_an</f>
        <v>44.881702165781249</v>
      </c>
      <c r="C62" s="831"/>
      <c r="D62" s="388">
        <f t="shared" si="0"/>
        <v>46.134418526168488</v>
      </c>
      <c r="E62" s="380">
        <f t="shared" si="1"/>
        <v>47.452652453303166</v>
      </c>
      <c r="F62" s="380">
        <f t="shared" si="2"/>
        <v>47.452701783510989</v>
      </c>
      <c r="G62" s="110">
        <f t="shared" si="21"/>
        <v>0.30107950988161625</v>
      </c>
      <c r="H62" s="409" t="b">
        <f>Wh_hp&gt;='2026'!Maxi_hp</f>
        <v>0</v>
      </c>
      <c r="I62" s="385">
        <f>IF(H62,Wh_hp,'2026'!Maxi_hp)</f>
        <v>47.480172549184005</v>
      </c>
      <c r="J62" s="85">
        <f>IF(H62,An,'2026'!An_max)</f>
        <v>2022</v>
      </c>
      <c r="K62" s="193">
        <f t="shared" si="3"/>
        <v>46435</v>
      </c>
      <c r="L62" s="143">
        <f>IF(t&lt;Tvie,1-EXP((T0-t)*PertePVj)+'2026'!Pspv,1-EXP((T0-t)*PertePVj)+Pspv)</f>
        <v>2.715361763314883E-2</v>
      </c>
      <c r="M62" s="835"/>
      <c r="N62" s="835"/>
      <c r="O62" s="48">
        <f>IF(t&lt;Tnet,'2026'!Resal+('2026'!Salim-'2026'!Resal)*(1-EXP(('2026'!Tnet-t)/('2026'!Tau_j))),Resal+(Salim-Resal)*(1-EXP((Tnet-t)/(Tau_j))))*Salcycl</f>
        <v>2.7779984025801566E-2</v>
      </c>
      <c r="P62" s="165">
        <f>(INDEX(Models!$BJ62:$BT62,,T62)*(1-R62)+INDEX(Models!$BJ62:$BT62,,T62+1)*R62-ERP_i)*Q62*Ramure*Pc/MaxiM</f>
        <v>5.8029399513141744E-4</v>
      </c>
      <c r="Q62" s="301">
        <f t="shared" si="4"/>
        <v>0.5</v>
      </c>
      <c r="R62" s="173">
        <f t="shared" si="5"/>
        <v>0.49360537709113306</v>
      </c>
      <c r="S62" s="801">
        <f t="shared" si="6"/>
        <v>2</v>
      </c>
      <c r="T62" s="172">
        <f t="shared" si="7"/>
        <v>8</v>
      </c>
      <c r="U62" s="247">
        <f t="shared" si="8"/>
        <v>2.4936053770911331</v>
      </c>
      <c r="V62" s="378">
        <f t="shared" si="9"/>
        <v>148.98291893599202</v>
      </c>
      <c r="W62" s="397">
        <f t="shared" si="10"/>
        <v>44.881702165781249</v>
      </c>
      <c r="X62" s="153">
        <f t="shared" si="11"/>
        <v>46435</v>
      </c>
      <c r="Y62" s="380">
        <f t="shared" si="12"/>
        <v>43.519911042979835</v>
      </c>
      <c r="Z62" s="380">
        <f t="shared" si="22"/>
        <v>44.73461774828175</v>
      </c>
      <c r="AA62" s="381">
        <f t="shared" si="13"/>
        <v>47.452652453303166</v>
      </c>
      <c r="AB62" s="193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5.7278878302875889E-2</v>
      </c>
      <c r="AD62" s="227">
        <f>(INDEX(Models!$BJ62:$BT62,,AH62)*(1-AF62)+INDEX(Models!$BJ62:$BT62,,AH62+1)*AF62-ERP_i)*AE62*Ramure*Pc/MaxiM</f>
        <v>5.8029399513141744E-4</v>
      </c>
      <c r="AE62" s="301">
        <f t="shared" si="15"/>
        <v>0.5</v>
      </c>
      <c r="AF62" s="173">
        <f t="shared" si="23"/>
        <v>0.49360537709113306</v>
      </c>
      <c r="AG62" s="801">
        <f t="shared" si="24"/>
        <v>2</v>
      </c>
      <c r="AH62" s="172">
        <f t="shared" si="16"/>
        <v>8</v>
      </c>
      <c r="AI62" s="221">
        <f t="shared" si="17"/>
        <v>2.4936053770911331</v>
      </c>
      <c r="AJ62" s="261" t="b">
        <f t="shared" si="18"/>
        <v>0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46436</v>
      </c>
      <c r="B63" s="406">
        <f>'2026'!Wh/'2026'!Env_an*'2027'!Env_an</f>
        <v>127.6079862857823</v>
      </c>
      <c r="C63" s="831"/>
      <c r="D63" s="388">
        <f t="shared" si="0"/>
        <v>131.17151429951764</v>
      </c>
      <c r="E63" s="380">
        <f t="shared" si="1"/>
        <v>134.92757913259823</v>
      </c>
      <c r="F63" s="380">
        <f t="shared" si="2"/>
        <v>134.983189604562</v>
      </c>
      <c r="G63" s="110">
        <f t="shared" si="21"/>
        <v>0.84805626860457362</v>
      </c>
      <c r="H63" s="409" t="b">
        <f>Wh_hp&gt;='2026'!Maxi_hp</f>
        <v>0</v>
      </c>
      <c r="I63" s="385">
        <f>IF(H63,Wh_hp,'2026'!Maxi_hp)</f>
        <v>134.99858380946762</v>
      </c>
      <c r="J63" s="85">
        <f>IF(H63,An,'2026'!An_max)</f>
        <v>2022</v>
      </c>
      <c r="K63" s="193">
        <f t="shared" si="3"/>
        <v>46436</v>
      </c>
      <c r="L63" s="143">
        <f>IF(t&lt;Tvie,1-EXP((T0-t)*PertePVj)+'2026'!Pspv,1-EXP((T0-t)*PertePVj)+Pspv)</f>
        <v>2.7166935083164145E-2</v>
      </c>
      <c r="M63" s="835"/>
      <c r="N63" s="835"/>
      <c r="O63" s="48">
        <f>IF(t&lt;Tnet,'2026'!Resal+('2026'!Salim-'2026'!Resal)*(1-EXP(('2026'!Tnet-t)/('2026'!Tau_j))),Resal+(Salim-Resal)*(1-EXP((Tnet-t)/(Tau_j))))*Salcycl</f>
        <v>2.7837635991299809E-2</v>
      </c>
      <c r="P63" s="165">
        <f>(INDEX(Models!$BJ63:$BT63,,T63)*(1-R63)+INDEX(Models!$BJ63:$BT63,,T63+1)*R63-ERP_i)*Q63*Ramure*Pc/MaxiM</f>
        <v>5.2610576053703549E-4</v>
      </c>
      <c r="Q63" s="301">
        <f t="shared" si="4"/>
        <v>0.5</v>
      </c>
      <c r="R63" s="173">
        <f t="shared" si="5"/>
        <v>0.49380361579388143</v>
      </c>
      <c r="S63" s="801">
        <f t="shared" si="6"/>
        <v>2</v>
      </c>
      <c r="T63" s="172">
        <f t="shared" si="7"/>
        <v>8</v>
      </c>
      <c r="U63" s="247">
        <f t="shared" si="8"/>
        <v>2.4938036157938814</v>
      </c>
      <c r="V63" s="378">
        <f t="shared" si="9"/>
        <v>150.45395186709629</v>
      </c>
      <c r="W63" s="397">
        <f t="shared" si="10"/>
        <v>127.6079862857823</v>
      </c>
      <c r="X63" s="153">
        <f t="shared" si="11"/>
        <v>46436</v>
      </c>
      <c r="Y63" s="380">
        <f t="shared" si="12"/>
        <v>123.74008221981981</v>
      </c>
      <c r="Z63" s="380">
        <f t="shared" si="22"/>
        <v>127.19559673930073</v>
      </c>
      <c r="AA63" s="381">
        <f t="shared" si="13"/>
        <v>134.92757913259823</v>
      </c>
      <c r="AB63" s="193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5.7304684802052232E-2</v>
      </c>
      <c r="AD63" s="227">
        <f>(INDEX(Models!$BJ63:$BT63,,AH63)*(1-AF63)+INDEX(Models!$BJ63:$BT63,,AH63+1)*AF63-ERP_i)*AE63*Ramure*Pc/MaxiM</f>
        <v>5.2610576053703549E-4</v>
      </c>
      <c r="AE63" s="301">
        <f t="shared" si="15"/>
        <v>0.5</v>
      </c>
      <c r="AF63" s="173">
        <f t="shared" si="23"/>
        <v>0.49380361579388143</v>
      </c>
      <c r="AG63" s="801">
        <f t="shared" si="24"/>
        <v>2</v>
      </c>
      <c r="AH63" s="172">
        <f t="shared" si="16"/>
        <v>8</v>
      </c>
      <c r="AI63" s="221">
        <f t="shared" si="17"/>
        <v>2.4938036157938814</v>
      </c>
      <c r="AJ63" s="261" t="b">
        <f t="shared" si="18"/>
        <v>0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46437</v>
      </c>
      <c r="B64" s="406">
        <f>'2026'!Wh/'2026'!Env_an*'2027'!Env_an</f>
        <v>72.735316770450865</v>
      </c>
      <c r="C64" s="831"/>
      <c r="D64" s="388">
        <f t="shared" si="0"/>
        <v>74.767516743178732</v>
      </c>
      <c r="E64" s="380">
        <f t="shared" si="1"/>
        <v>76.913022676060905</v>
      </c>
      <c r="F64" s="380">
        <f t="shared" si="2"/>
        <v>76.922453228616405</v>
      </c>
      <c r="G64" s="110">
        <f t="shared" si="21"/>
        <v>0.47863391602045952</v>
      </c>
      <c r="H64" s="409" t="b">
        <f>Wh_hp&gt;='2026'!Maxi_hp</f>
        <v>0</v>
      </c>
      <c r="I64" s="385">
        <f>IF(H64,Wh_hp,'2026'!Maxi_hp)</f>
        <v>76.949920298124354</v>
      </c>
      <c r="J64" s="85">
        <f>IF(H64,An,'2026'!An_max)</f>
        <v>2022</v>
      </c>
      <c r="K64" s="193">
        <f t="shared" si="3"/>
        <v>46437</v>
      </c>
      <c r="L64" s="143">
        <f>IF(t&lt;Tvie,1-EXP((T0-t)*PertePVj)+'2026'!Pspv,1-EXP((T0-t)*PertePVj)+Pspv)</f>
        <v>2.7180252350874956E-2</v>
      </c>
      <c r="M64" s="835"/>
      <c r="N64" s="835"/>
      <c r="O64" s="48">
        <f>IF(t&lt;Tnet,'2026'!Resal+('2026'!Salim-'2026'!Resal)*(1-EXP(('2026'!Tnet-t)/('2026'!Tau_j))),Resal+(Salim-Resal)*(1-EXP((Tnet-t)/(Tau_j))))*Salcycl</f>
        <v>2.7895223178505405E-2</v>
      </c>
      <c r="P64" s="165">
        <f>(INDEX(Models!$BJ64:$BT64,,T64)*(1-R64)+INDEX(Models!$BJ64:$BT64,,T64+1)*R64-ERP_i)*Q64*Ramure*Pc/MaxiM</f>
        <v>4.7995695773651826E-4</v>
      </c>
      <c r="Q64" s="301">
        <f t="shared" si="4"/>
        <v>0.5</v>
      </c>
      <c r="R64" s="173">
        <f t="shared" si="5"/>
        <v>0.49401000253669025</v>
      </c>
      <c r="S64" s="801">
        <f t="shared" si="6"/>
        <v>2</v>
      </c>
      <c r="T64" s="172">
        <f t="shared" si="7"/>
        <v>8</v>
      </c>
      <c r="U64" s="247">
        <f t="shared" si="8"/>
        <v>2.4940100025366903</v>
      </c>
      <c r="V64" s="378">
        <f t="shared" si="9"/>
        <v>151.91008941415456</v>
      </c>
      <c r="W64" s="397">
        <f t="shared" si="10"/>
        <v>72.735316770450865</v>
      </c>
      <c r="X64" s="153">
        <f t="shared" si="11"/>
        <v>46437</v>
      </c>
      <c r="Y64" s="380">
        <f t="shared" si="12"/>
        <v>70.532898790331174</v>
      </c>
      <c r="Z64" s="380">
        <f t="shared" si="22"/>
        <v>72.503563954964918</v>
      </c>
      <c r="AA64" s="381">
        <f t="shared" si="13"/>
        <v>76.913022676060905</v>
      </c>
      <c r="AB64" s="193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5.733045676370771E-2</v>
      </c>
      <c r="AD64" s="227">
        <f>(INDEX(Models!$BJ64:$BT64,,AH64)*(1-AF64)+INDEX(Models!$BJ64:$BT64,,AH64+1)*AF64-ERP_i)*AE64*Ramure*Pc/MaxiM</f>
        <v>4.7995695773651826E-4</v>
      </c>
      <c r="AE64" s="301">
        <f t="shared" si="15"/>
        <v>0.5</v>
      </c>
      <c r="AF64" s="173">
        <f t="shared" si="23"/>
        <v>0.49401000253669025</v>
      </c>
      <c r="AG64" s="801">
        <f t="shared" si="24"/>
        <v>2</v>
      </c>
      <c r="AH64" s="172">
        <f t="shared" si="16"/>
        <v>8</v>
      </c>
      <c r="AI64" s="221">
        <f t="shared" si="17"/>
        <v>2.4940100025366903</v>
      </c>
      <c r="AJ64" s="261" t="b">
        <f t="shared" si="18"/>
        <v>0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46438</v>
      </c>
      <c r="B65" s="406">
        <f>'2026'!Wh/'2026'!Env_an*'2027'!Env_an</f>
        <v>91.511987198794245</v>
      </c>
      <c r="C65" s="831"/>
      <c r="D65" s="388">
        <f t="shared" si="0"/>
        <v>94.070088687392172</v>
      </c>
      <c r="E65" s="380">
        <f t="shared" si="1"/>
        <v>96.775221655335386</v>
      </c>
      <c r="F65" s="380">
        <f t="shared" si="2"/>
        <v>96.793339418652764</v>
      </c>
      <c r="G65" s="110">
        <f t="shared" si="21"/>
        <v>0.59656457805288021</v>
      </c>
      <c r="H65" s="409" t="b">
        <f>Wh_hp&gt;='2026'!Maxi_hp</f>
        <v>0</v>
      </c>
      <c r="I65" s="385">
        <f>IF(H65,Wh_hp,'2026'!Maxi_hp)</f>
        <v>96.817942431119334</v>
      </c>
      <c r="J65" s="85">
        <f>IF(H65,An,'2026'!An_max)</f>
        <v>2022</v>
      </c>
      <c r="K65" s="193">
        <f t="shared" si="3"/>
        <v>46438</v>
      </c>
      <c r="L65" s="143">
        <f>IF(t&lt;Tvie,1-EXP((T0-t)*PertePVj)+'2026'!Pspv,1-EXP((T0-t)*PertePVj)+Pspv)</f>
        <v>2.7193569436283371E-2</v>
      </c>
      <c r="M65" s="835"/>
      <c r="N65" s="835"/>
      <c r="O65" s="48">
        <f>IF(t&lt;Tnet,'2026'!Resal+('2026'!Salim-'2026'!Resal)*(1-EXP(('2026'!Tnet-t)/('2026'!Tau_j))),Resal+(Salim-Resal)*(1-EXP((Tnet-t)/(Tau_j))))*Salcycl</f>
        <v>2.7952743705176284E-2</v>
      </c>
      <c r="P65" s="165">
        <f>(INDEX(Models!$BJ65:$BT65,,T65)*(1-R65)+INDEX(Models!$BJ65:$BT65,,T65+1)*R65-ERP_i)*Q65*Ramure*Pc/MaxiM</f>
        <v>4.4158628397448059E-4</v>
      </c>
      <c r="Q65" s="301">
        <f t="shared" si="4"/>
        <v>0.5</v>
      </c>
      <c r="R65" s="173">
        <f t="shared" si="5"/>
        <v>0.49422486494260065</v>
      </c>
      <c r="S65" s="801">
        <f t="shared" si="6"/>
        <v>2</v>
      </c>
      <c r="T65" s="172">
        <f t="shared" si="7"/>
        <v>8</v>
      </c>
      <c r="U65" s="247">
        <f t="shared" si="8"/>
        <v>2.4942248649426007</v>
      </c>
      <c r="V65" s="378">
        <f t="shared" si="9"/>
        <v>153.35925894395635</v>
      </c>
      <c r="W65" s="397">
        <f t="shared" si="10"/>
        <v>91.511987198794245</v>
      </c>
      <c r="X65" s="153">
        <f t="shared" si="11"/>
        <v>46438</v>
      </c>
      <c r="Y65" s="380">
        <f t="shared" si="12"/>
        <v>88.743842124416787</v>
      </c>
      <c r="Z65" s="380">
        <f t="shared" si="22"/>
        <v>91.224563629777805</v>
      </c>
      <c r="AA65" s="381">
        <f t="shared" si="13"/>
        <v>96.775221655335386</v>
      </c>
      <c r="AB65" s="193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5.7356190258351834E-2</v>
      </c>
      <c r="AD65" s="227">
        <f>(INDEX(Models!$BJ65:$BT65,,AH65)*(1-AF65)+INDEX(Models!$BJ65:$BT65,,AH65+1)*AF65-ERP_i)*AE65*Ramure*Pc/MaxiM</f>
        <v>4.4158628397448059E-4</v>
      </c>
      <c r="AE65" s="301">
        <f t="shared" si="15"/>
        <v>0.5</v>
      </c>
      <c r="AF65" s="173">
        <f t="shared" si="23"/>
        <v>0.49422486494260065</v>
      </c>
      <c r="AG65" s="801">
        <f t="shared" si="24"/>
        <v>2</v>
      </c>
      <c r="AH65" s="172">
        <f t="shared" si="16"/>
        <v>8</v>
      </c>
      <c r="AI65" s="221">
        <f t="shared" si="17"/>
        <v>2.4942248649426007</v>
      </c>
      <c r="AJ65" s="261" t="b">
        <f t="shared" si="18"/>
        <v>0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46439</v>
      </c>
      <c r="B66" s="406">
        <f>'2026'!Wh/'2026'!Env_an*'2027'!Env_an</f>
        <v>99.584020028323252</v>
      </c>
      <c r="C66" s="831"/>
      <c r="D66" s="388">
        <f t="shared" si="0"/>
        <v>102.36916630051984</v>
      </c>
      <c r="E66" s="380">
        <f t="shared" si="1"/>
        <v>105.31917709479208</v>
      </c>
      <c r="F66" s="380">
        <f t="shared" si="2"/>
        <v>105.34038390435443</v>
      </c>
      <c r="G66" s="110">
        <f t="shared" si="21"/>
        <v>0.64312962566920195</v>
      </c>
      <c r="H66" s="409" t="b">
        <f>Wh_hp&gt;='2026'!Maxi_hp</f>
        <v>0</v>
      </c>
      <c r="I66" s="385">
        <f>IF(H66,Wh_hp,'2026'!Maxi_hp)</f>
        <v>105.36240150019904</v>
      </c>
      <c r="J66" s="85">
        <f>IF(H66,An,'2026'!An_max)</f>
        <v>2022</v>
      </c>
      <c r="K66" s="193">
        <f t="shared" si="3"/>
        <v>46439</v>
      </c>
      <c r="L66" s="143">
        <f>IF(t&lt;Tvie,1-EXP((T0-t)*PertePVj)+'2026'!Pspv,1-EXP((T0-t)*PertePVj)+Pspv)</f>
        <v>2.7206886339392167E-2</v>
      </c>
      <c r="M66" s="835"/>
      <c r="N66" s="835"/>
      <c r="O66" s="48">
        <f>IF(t&lt;Tnet,'2026'!Resal+('2026'!Salim-'2026'!Resal)*(1-EXP(('2026'!Tnet-t)/('2026'!Tau_j))),Resal+(Salim-Resal)*(1-EXP((Tnet-t)/(Tau_j))))*Salcycl</f>
        <v>2.8010196012233424E-2</v>
      </c>
      <c r="P66" s="165">
        <f>(INDEX(Models!$BJ66:$BT66,,T66)*(1-R66)+INDEX(Models!$BJ66:$BT66,,T66+1)*R66-ERP_i)*Q66*Ramure*Pc/MaxiM</f>
        <v>4.1053474919285879E-4</v>
      </c>
      <c r="Q66" s="301">
        <f t="shared" si="4"/>
        <v>0.5</v>
      </c>
      <c r="R66" s="173">
        <f t="shared" si="5"/>
        <v>0.49444854319188725</v>
      </c>
      <c r="S66" s="801">
        <f t="shared" si="6"/>
        <v>2</v>
      </c>
      <c r="T66" s="172">
        <f t="shared" si="7"/>
        <v>8</v>
      </c>
      <c r="U66" s="247">
        <f t="shared" si="8"/>
        <v>2.4944485431918872</v>
      </c>
      <c r="V66" s="378">
        <f t="shared" si="9"/>
        <v>154.81044118359264</v>
      </c>
      <c r="W66" s="397">
        <f t="shared" si="10"/>
        <v>99.584020028323252</v>
      </c>
      <c r="X66" s="153">
        <f t="shared" si="11"/>
        <v>46439</v>
      </c>
      <c r="Y66" s="380">
        <f t="shared" si="12"/>
        <v>96.574780056832111</v>
      </c>
      <c r="Z66" s="380">
        <f t="shared" si="22"/>
        <v>99.275764497779463</v>
      </c>
      <c r="AA66" s="381">
        <f t="shared" si="13"/>
        <v>105.31917709479208</v>
      </c>
      <c r="AB66" s="193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5.7381882043887153E-2</v>
      </c>
      <c r="AD66" s="227">
        <f>(INDEX(Models!$BJ66:$BT66,,AH66)*(1-AF66)+INDEX(Models!$BJ66:$BT66,,AH66+1)*AF66-ERP_i)*AE66*Ramure*Pc/MaxiM</f>
        <v>4.1053474919285879E-4</v>
      </c>
      <c r="AE66" s="301">
        <f t="shared" si="15"/>
        <v>0.5</v>
      </c>
      <c r="AF66" s="173">
        <f t="shared" si="23"/>
        <v>0.49444854319188725</v>
      </c>
      <c r="AG66" s="801">
        <f t="shared" si="24"/>
        <v>2</v>
      </c>
      <c r="AH66" s="172">
        <f t="shared" si="16"/>
        <v>8</v>
      </c>
      <c r="AI66" s="221">
        <f t="shared" si="17"/>
        <v>2.4944485431918872</v>
      </c>
      <c r="AJ66" s="261" t="b">
        <f t="shared" si="18"/>
        <v>0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46440</v>
      </c>
      <c r="B67" s="406">
        <f>'2026'!Wh/'2026'!Env_an*'2027'!Env_an</f>
        <v>133.31484920873936</v>
      </c>
      <c r="C67" s="831"/>
      <c r="D67" s="388">
        <f t="shared" si="0"/>
        <v>137.04524870697946</v>
      </c>
      <c r="E67" s="380">
        <f t="shared" si="1"/>
        <v>141.00285753648302</v>
      </c>
      <c r="F67" s="380">
        <f t="shared" si="2"/>
        <v>141.04555131547843</v>
      </c>
      <c r="G67" s="110">
        <f t="shared" si="21"/>
        <v>0.85307734444490657</v>
      </c>
      <c r="H67" s="409" t="b">
        <f>Wh_hp&gt;='2026'!Maxi_hp</f>
        <v>0</v>
      </c>
      <c r="I67" s="385">
        <f>IF(H67,Wh_hp,'2026'!Maxi_hp)</f>
        <v>141.0568740138535</v>
      </c>
      <c r="J67" s="85">
        <f>IF(H67,An,'2026'!An_max)</f>
        <v>2022</v>
      </c>
      <c r="K67" s="193">
        <f t="shared" si="3"/>
        <v>46440</v>
      </c>
      <c r="L67" s="143">
        <f>IF(t&lt;Tvie,1-EXP((T0-t)*PertePVj)+'2026'!Pspv,1-EXP((T0-t)*PertePVj)+Pspv)</f>
        <v>2.7220203060203785E-2</v>
      </c>
      <c r="M67" s="835"/>
      <c r="N67" s="835"/>
      <c r="O67" s="48">
        <f>IF(t&lt;Tnet,'2026'!Resal+('2026'!Salim-'2026'!Resal)*(1-EXP(('2026'!Tnet-t)/('2026'!Tau_j))),Resal+(Salim-Resal)*(1-EXP((Tnet-t)/(Tau_j))))*Salcycl</f>
        <v>2.8067578903353506E-2</v>
      </c>
      <c r="P67" s="165">
        <f>(INDEX(Models!$BJ67:$BT67,,T67)*(1-R67)+INDEX(Models!$BJ67:$BT67,,T67+1)*R67-ERP_i)*Q67*Ramure*Pc/MaxiM</f>
        <v>3.8305710926837312E-4</v>
      </c>
      <c r="Q67" s="301">
        <f t="shared" si="4"/>
        <v>0.5</v>
      </c>
      <c r="R67" s="173">
        <f t="shared" si="5"/>
        <v>0.49468139045095683</v>
      </c>
      <c r="S67" s="801">
        <f t="shared" si="6"/>
        <v>2</v>
      </c>
      <c r="T67" s="172">
        <f t="shared" si="7"/>
        <v>8</v>
      </c>
      <c r="U67" s="247">
        <f t="shared" si="8"/>
        <v>2.4946813904509568</v>
      </c>
      <c r="V67" s="378">
        <f t="shared" si="9"/>
        <v>156.26265703395768</v>
      </c>
      <c r="W67" s="397">
        <f t="shared" si="10"/>
        <v>133.31484920873936</v>
      </c>
      <c r="X67" s="153">
        <f t="shared" si="11"/>
        <v>46440</v>
      </c>
      <c r="Y67" s="380">
        <f t="shared" si="12"/>
        <v>129.29044275467325</v>
      </c>
      <c r="Z67" s="380">
        <f t="shared" si="22"/>
        <v>132.90823181299564</v>
      </c>
      <c r="AA67" s="381">
        <f t="shared" si="13"/>
        <v>141.00285753648302</v>
      </c>
      <c r="AB67" s="193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5.7407529640971795E-2</v>
      </c>
      <c r="AD67" s="227">
        <f>(INDEX(Models!$BJ67:$BT67,,AH67)*(1-AF67)+INDEX(Models!$BJ67:$BT67,,AH67+1)*AF67-ERP_i)*AE67*Ramure*Pc/MaxiM</f>
        <v>3.8305710926837312E-4</v>
      </c>
      <c r="AE67" s="301">
        <f t="shared" si="15"/>
        <v>0.5</v>
      </c>
      <c r="AF67" s="173">
        <f t="shared" si="23"/>
        <v>0.49468139045095683</v>
      </c>
      <c r="AG67" s="801">
        <f t="shared" si="24"/>
        <v>2</v>
      </c>
      <c r="AH67" s="172">
        <f t="shared" si="16"/>
        <v>8</v>
      </c>
      <c r="AI67" s="221">
        <f t="shared" si="17"/>
        <v>2.4946813904509568</v>
      </c>
      <c r="AJ67" s="261" t="b">
        <f t="shared" si="18"/>
        <v>0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46441</v>
      </c>
      <c r="B68" s="406">
        <f>'2026'!Wh/'2026'!Env_an*'2027'!Env_an</f>
        <v>137.76159068960945</v>
      </c>
      <c r="C68" s="831"/>
      <c r="D68" s="388">
        <f t="shared" si="0"/>
        <v>141.61835699024181</v>
      </c>
      <c r="E68" s="380">
        <f t="shared" si="1"/>
        <v>145.71662116217439</v>
      </c>
      <c r="F68" s="380">
        <f t="shared" si="2"/>
        <v>145.75949862905202</v>
      </c>
      <c r="G68" s="110">
        <f t="shared" si="21"/>
        <v>0.87343116191941839</v>
      </c>
      <c r="H68" s="409" t="b">
        <f>Wh_hp&gt;='2026'!Maxi_hp</f>
        <v>0</v>
      </c>
      <c r="I68" s="385">
        <f>IF(H68,Wh_hp,'2026'!Maxi_hp)</f>
        <v>145.76894661808049</v>
      </c>
      <c r="J68" s="85">
        <f>IF(H68,An,'2026'!An_max)</f>
        <v>2022</v>
      </c>
      <c r="K68" s="193">
        <f t="shared" si="3"/>
        <v>46441</v>
      </c>
      <c r="L68" s="143">
        <f>IF(t&lt;Tvie,1-EXP((T0-t)*PertePVj)+'2026'!Pspv,1-EXP((T0-t)*PertePVj)+Pspv)</f>
        <v>2.7233519598720668E-2</v>
      </c>
      <c r="M68" s="835"/>
      <c r="N68" s="835"/>
      <c r="O68" s="48">
        <f>IF(t&lt;Tnet,'2026'!Resal+('2026'!Salim-'2026'!Resal)*(1-EXP(('2026'!Tnet-t)/('2026'!Tau_j))),Resal+(Salim-Resal)*(1-EXP((Tnet-t)/(Tau_j))))*Salcycl</f>
        <v>2.8124891582350462E-2</v>
      </c>
      <c r="P68" s="165">
        <f>(INDEX(Models!$BJ68:$BT68,,T68)*(1-R68)+INDEX(Models!$BJ68:$BT68,,T68+1)*R68-ERP_i)*Q68*Ramure*Pc/MaxiM</f>
        <v>3.5905920406378286E-4</v>
      </c>
      <c r="Q68" s="301">
        <f t="shared" si="4"/>
        <v>0.5</v>
      </c>
      <c r="R68" s="173">
        <f t="shared" si="5"/>
        <v>0.49492377331133453</v>
      </c>
      <c r="S68" s="801">
        <f t="shared" si="6"/>
        <v>2</v>
      </c>
      <c r="T68" s="172">
        <f t="shared" si="7"/>
        <v>8</v>
      </c>
      <c r="U68" s="247">
        <f t="shared" si="8"/>
        <v>2.4949237733113345</v>
      </c>
      <c r="V68" s="378">
        <f t="shared" si="9"/>
        <v>157.71437321369615</v>
      </c>
      <c r="W68" s="397">
        <f t="shared" si="10"/>
        <v>137.76159068960945</v>
      </c>
      <c r="X68" s="153">
        <f t="shared" si="11"/>
        <v>46441</v>
      </c>
      <c r="Y68" s="380">
        <f t="shared" si="12"/>
        <v>133.6071991396461</v>
      </c>
      <c r="Z68" s="380">
        <f t="shared" si="22"/>
        <v>137.3476593113399</v>
      </c>
      <c r="AA68" s="381">
        <f t="shared" si="13"/>
        <v>145.71662116217439</v>
      </c>
      <c r="AB68" s="193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5.7433131403179613E-2</v>
      </c>
      <c r="AD68" s="227">
        <f>(INDEX(Models!$BJ68:$BT68,,AH68)*(1-AF68)+INDEX(Models!$BJ68:$BT68,,AH68+1)*AF68-ERP_i)*AE68*Ramure*Pc/MaxiM</f>
        <v>3.5905920406378286E-4</v>
      </c>
      <c r="AE68" s="301">
        <f t="shared" si="15"/>
        <v>0.5</v>
      </c>
      <c r="AF68" s="173">
        <f t="shared" si="23"/>
        <v>0.49492377331133453</v>
      </c>
      <c r="AG68" s="801">
        <f t="shared" si="24"/>
        <v>2</v>
      </c>
      <c r="AH68" s="172">
        <f t="shared" si="16"/>
        <v>8</v>
      </c>
      <c r="AI68" s="221">
        <f t="shared" si="17"/>
        <v>2.4949237733113345</v>
      </c>
      <c r="AJ68" s="261" t="b">
        <f t="shared" si="18"/>
        <v>0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46442</v>
      </c>
      <c r="B69" s="406">
        <f>'2026'!Wh/'2026'!Env_an*'2027'!Env_an</f>
        <v>87.322326751689104</v>
      </c>
      <c r="C69" s="831"/>
      <c r="D69" s="388">
        <f t="shared" si="0"/>
        <v>89.768226904111742</v>
      </c>
      <c r="E69" s="380">
        <f t="shared" si="1"/>
        <v>92.371451499218679</v>
      </c>
      <c r="F69" s="380">
        <f t="shared" si="2"/>
        <v>92.38255713093109</v>
      </c>
      <c r="G69" s="110">
        <f t="shared" si="21"/>
        <v>0.54851119874155374</v>
      </c>
      <c r="H69" s="409" t="b">
        <f>Wh_hp&gt;='2026'!Maxi_hp</f>
        <v>0</v>
      </c>
      <c r="I69" s="385">
        <f>IF(H69,Wh_hp,'2026'!Maxi_hp)</f>
        <v>92.402693718208255</v>
      </c>
      <c r="J69" s="85">
        <f>IF(H69,An,'2026'!An_max)</f>
        <v>2022</v>
      </c>
      <c r="K69" s="193">
        <f t="shared" si="3"/>
        <v>46442</v>
      </c>
      <c r="L69" s="143">
        <f>IF(t&lt;Tvie,1-EXP((T0-t)*PertePVj)+'2026'!Pspv,1-EXP((T0-t)*PertePVj)+Pspv)</f>
        <v>2.7246835954945259E-2</v>
      </c>
      <c r="M69" s="835"/>
      <c r="N69" s="835"/>
      <c r="O69" s="48">
        <f>IF(t&lt;Tnet,'2026'!Resal+('2026'!Salim-'2026'!Resal)*(1-EXP(('2026'!Tnet-t)/('2026'!Tau_j))),Resal+(Salim-Resal)*(1-EXP((Tnet-t)/(Tau_j))))*Salcycl</f>
        <v>2.8182133688014629E-2</v>
      </c>
      <c r="P69" s="165">
        <f>(INDEX(Models!$BJ69:$BT69,,T69)*(1-R69)+INDEX(Models!$BJ69:$BT69,,T69+1)*R69-ERP_i)*Q69*Ramure*Pc/MaxiM</f>
        <v>3.3845126922989757E-4</v>
      </c>
      <c r="Q69" s="301">
        <f t="shared" si="4"/>
        <v>0.5</v>
      </c>
      <c r="R69" s="173">
        <f t="shared" si="5"/>
        <v>0.49517607223855276</v>
      </c>
      <c r="S69" s="801">
        <f t="shared" si="6"/>
        <v>2</v>
      </c>
      <c r="T69" s="172">
        <f t="shared" si="7"/>
        <v>8</v>
      </c>
      <c r="U69" s="247">
        <f t="shared" si="8"/>
        <v>2.4951760722385528</v>
      </c>
      <c r="V69" s="378">
        <f t="shared" si="9"/>
        <v>159.16405650809418</v>
      </c>
      <c r="W69" s="397">
        <f t="shared" si="10"/>
        <v>87.322326751689104</v>
      </c>
      <c r="X69" s="153">
        <f t="shared" si="11"/>
        <v>46442</v>
      </c>
      <c r="Y69" s="380">
        <f t="shared" si="12"/>
        <v>84.691693166389527</v>
      </c>
      <c r="Z69" s="380">
        <f t="shared" si="22"/>
        <v>87.063909218461191</v>
      </c>
      <c r="AA69" s="381">
        <f t="shared" si="13"/>
        <v>92.371451499218679</v>
      </c>
      <c r="AB69" s="193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5.7458686581344648E-2</v>
      </c>
      <c r="AD69" s="227">
        <f>(INDEX(Models!$BJ69:$BT69,,AH69)*(1-AF69)+INDEX(Models!$BJ69:$BT69,,AH69+1)*AF69-ERP_i)*AE69*Ramure*Pc/MaxiM</f>
        <v>3.3845126922989757E-4</v>
      </c>
      <c r="AE69" s="301">
        <f t="shared" si="15"/>
        <v>0.5</v>
      </c>
      <c r="AF69" s="173">
        <f t="shared" si="23"/>
        <v>0.49517607223855276</v>
      </c>
      <c r="AG69" s="801">
        <f t="shared" si="24"/>
        <v>2</v>
      </c>
      <c r="AH69" s="172">
        <f t="shared" si="16"/>
        <v>8</v>
      </c>
      <c r="AI69" s="221">
        <f t="shared" si="17"/>
        <v>2.4951760722385528</v>
      </c>
      <c r="AJ69" s="261" t="b">
        <f t="shared" si="18"/>
        <v>0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46443</v>
      </c>
      <c r="B70" s="406">
        <f>'2026'!Wh/'2026'!Env_an*'2027'!Env_an</f>
        <v>123.68248042375426</v>
      </c>
      <c r="C70" s="831"/>
      <c r="D70" s="388">
        <f t="shared" si="0"/>
        <v>127.1485697788965</v>
      </c>
      <c r="E70" s="380">
        <f t="shared" si="1"/>
        <v>130.8434993057277</v>
      </c>
      <c r="F70" s="380">
        <f t="shared" si="2"/>
        <v>130.87172348277983</v>
      </c>
      <c r="G70" s="110">
        <f t="shared" si="21"/>
        <v>0.7699974917370831</v>
      </c>
      <c r="H70" s="409" t="b">
        <f>Wh_hp&gt;='2026'!Maxi_hp</f>
        <v>0</v>
      </c>
      <c r="I70" s="385">
        <f>IF(H70,Wh_hp,'2026'!Maxi_hp)</f>
        <v>130.88551017631676</v>
      </c>
      <c r="J70" s="85">
        <f>IF(H70,An,'2026'!An_max)</f>
        <v>2022</v>
      </c>
      <c r="K70" s="193">
        <f t="shared" si="3"/>
        <v>46443</v>
      </c>
      <c r="L70" s="143">
        <f>IF(t&lt;Tvie,1-EXP((T0-t)*PertePVj)+'2026'!Pspv,1-EXP((T0-t)*PertePVj)+Pspv)</f>
        <v>2.7260152128880111E-2</v>
      </c>
      <c r="M70" s="835"/>
      <c r="N70" s="835"/>
      <c r="O70" s="48">
        <f>IF(t&lt;Tnet,'2026'!Resal+('2026'!Salim-'2026'!Resal)*(1-EXP(('2026'!Tnet-t)/('2026'!Tau_j))),Resal+(Salim-Resal)*(1-EXP((Tnet-t)/(Tau_j))))*Salcycl</f>
        <v>2.8239305326110707E-2</v>
      </c>
      <c r="P70" s="165">
        <f>(INDEX(Models!$BJ70:$BT70,,T70)*(1-R70)+INDEX(Models!$BJ70:$BT70,,T70+1)*R70-ERP_i)*Q70*Ramure*Pc/MaxiM</f>
        <v>3.2114628038271245E-4</v>
      </c>
      <c r="Q70" s="301">
        <f t="shared" si="4"/>
        <v>0.5</v>
      </c>
      <c r="R70" s="173">
        <f t="shared" si="5"/>
        <v>0.49543868203068886</v>
      </c>
      <c r="S70" s="801">
        <f t="shared" si="6"/>
        <v>2</v>
      </c>
      <c r="T70" s="172">
        <f t="shared" si="7"/>
        <v>8</v>
      </c>
      <c r="U70" s="247">
        <f t="shared" si="8"/>
        <v>2.4954386820306889</v>
      </c>
      <c r="V70" s="378">
        <f t="shared" si="9"/>
        <v>160.61017404866934</v>
      </c>
      <c r="W70" s="397">
        <f t="shared" si="10"/>
        <v>123.68248042375426</v>
      </c>
      <c r="X70" s="153">
        <f t="shared" si="11"/>
        <v>46443</v>
      </c>
      <c r="Y70" s="380">
        <f t="shared" si="12"/>
        <v>119.96028774648134</v>
      </c>
      <c r="Z70" s="380">
        <f t="shared" si="22"/>
        <v>123.32206602723147</v>
      </c>
      <c r="AA70" s="381">
        <f t="shared" si="13"/>
        <v>130.8434993057277</v>
      </c>
      <c r="AB70" s="193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5.7484195381550571E-2</v>
      </c>
      <c r="AD70" s="227">
        <f>(INDEX(Models!$BJ70:$BT70,,AH70)*(1-AF70)+INDEX(Models!$BJ70:$BT70,,AH70+1)*AF70-ERP_i)*AE70*Ramure*Pc/MaxiM</f>
        <v>3.2114628038271245E-4</v>
      </c>
      <c r="AE70" s="301">
        <f t="shared" si="15"/>
        <v>0.5</v>
      </c>
      <c r="AF70" s="173">
        <f t="shared" si="23"/>
        <v>0.49543868203068886</v>
      </c>
      <c r="AG70" s="801">
        <f t="shared" si="24"/>
        <v>2</v>
      </c>
      <c r="AH70" s="172">
        <f t="shared" si="16"/>
        <v>8</v>
      </c>
      <c r="AI70" s="221">
        <f t="shared" si="17"/>
        <v>2.4954386820306889</v>
      </c>
      <c r="AJ70" s="261" t="b">
        <f t="shared" si="18"/>
        <v>0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46444</v>
      </c>
      <c r="B71" s="406">
        <f>'2026'!Wh/'2026'!Env_an*'2027'!Env_an</f>
        <v>164.1241529845434</v>
      </c>
      <c r="C71" s="831"/>
      <c r="D71" s="388">
        <f t="shared" si="0"/>
        <v>168.72589325535077</v>
      </c>
      <c r="E71" s="380">
        <f t="shared" si="1"/>
        <v>173.63926045749872</v>
      </c>
      <c r="F71" s="380">
        <f t="shared" si="2"/>
        <v>173.69259452617038</v>
      </c>
      <c r="G71" s="110">
        <f t="shared" si="21"/>
        <v>1.0127920050517858</v>
      </c>
      <c r="H71" s="409" t="b">
        <f>Wh_hp&gt;='2026'!Maxi_hp</f>
        <v>1</v>
      </c>
      <c r="I71" s="385">
        <f>IF(H71,Wh_hp,'2026'!Maxi_hp)</f>
        <v>173.69259452617038</v>
      </c>
      <c r="J71" s="85">
        <f>IF(H71,An,'2026'!An_max)</f>
        <v>2027</v>
      </c>
      <c r="K71" s="193">
        <f t="shared" si="3"/>
        <v>46444</v>
      </c>
      <c r="L71" s="143">
        <f>IF(t&lt;Tvie,1-EXP((T0-t)*PertePVj)+'2026'!Pspv,1-EXP((T0-t)*PertePVj)+Pspv)</f>
        <v>2.7273468120527777E-2</v>
      </c>
      <c r="M71" s="835"/>
      <c r="N71" s="835"/>
      <c r="O71" s="48">
        <f>IF(t&lt;Tnet,'2026'!Resal+('2026'!Salim-'2026'!Resal)*(1-EXP(('2026'!Tnet-t)/('2026'!Tau_j))),Resal+(Salim-Resal)*(1-EXP((Tnet-t)/(Tau_j))))*Salcycl</f>
        <v>2.8296407098270176E-2</v>
      </c>
      <c r="P71" s="165">
        <f>(INDEX(Models!$BJ71:$BT71,,T71)*(1-R71)+INDEX(Models!$BJ71:$BT71,,T71+1)*R71-ERP_i)*Q71*Ramure*Pc/MaxiM</f>
        <v>3.0706011857994703E-4</v>
      </c>
      <c r="Q71" s="301">
        <f t="shared" si="4"/>
        <v>0.5</v>
      </c>
      <c r="R71" s="173">
        <f t="shared" si="5"/>
        <v>0.49571201228625394</v>
      </c>
      <c r="S71" s="801">
        <f t="shared" si="6"/>
        <v>2</v>
      </c>
      <c r="T71" s="172">
        <f t="shared" si="7"/>
        <v>8</v>
      </c>
      <c r="U71" s="247">
        <f t="shared" si="8"/>
        <v>2.4957120122862539</v>
      </c>
      <c r="V71" s="378">
        <f t="shared" si="9"/>
        <v>162.05119330118671</v>
      </c>
      <c r="W71" s="397">
        <f t="shared" si="10"/>
        <v>164.1241529845434</v>
      </c>
      <c r="X71" s="153">
        <f t="shared" si="11"/>
        <v>46444</v>
      </c>
      <c r="Y71" s="380">
        <f t="shared" si="12"/>
        <v>159.18993203280922</v>
      </c>
      <c r="Z71" s="380">
        <f t="shared" si="22"/>
        <v>163.65332579674509</v>
      </c>
      <c r="AA71" s="381">
        <f t="shared" si="13"/>
        <v>173.63926045749872</v>
      </c>
      <c r="AB71" s="193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5.7509659016302082E-2</v>
      </c>
      <c r="AD71" s="227">
        <f>(INDEX(Models!$BJ71:$BT71,,AH71)*(1-AF71)+INDEX(Models!$BJ71:$BT71,,AH71+1)*AF71-ERP_i)*AE71*Ramure*Pc/MaxiM</f>
        <v>3.0706011857994703E-4</v>
      </c>
      <c r="AE71" s="301">
        <f t="shared" si="15"/>
        <v>0.5</v>
      </c>
      <c r="AF71" s="173">
        <f t="shared" si="23"/>
        <v>0.49571201228625394</v>
      </c>
      <c r="AG71" s="801">
        <f t="shared" si="24"/>
        <v>2</v>
      </c>
      <c r="AH71" s="172">
        <f t="shared" si="16"/>
        <v>8</v>
      </c>
      <c r="AI71" s="221">
        <f t="shared" si="17"/>
        <v>2.4957120122862539</v>
      </c>
      <c r="AJ71" s="261" t="b">
        <f t="shared" si="18"/>
        <v>0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46445</v>
      </c>
      <c r="B72" s="406">
        <f>'2026'!Wh/'2026'!Env_an*'2027'!Env_an</f>
        <v>109.19946531625874</v>
      </c>
      <c r="C72" s="831"/>
      <c r="D72" s="388">
        <f t="shared" si="0"/>
        <v>112.26275485125933</v>
      </c>
      <c r="E72" s="380">
        <f t="shared" si="1"/>
        <v>115.53867371896675</v>
      </c>
      <c r="F72" s="380">
        <f t="shared" si="2"/>
        <v>115.55665747861741</v>
      </c>
      <c r="G72" s="110">
        <f t="shared" si="21"/>
        <v>0.66785168891540903</v>
      </c>
      <c r="H72" s="409" t="b">
        <f>Wh_hp&gt;='2026'!Maxi_hp</f>
        <v>0</v>
      </c>
      <c r="I72" s="385">
        <f>IF(H72,Wh_hp,'2026'!Maxi_hp)</f>
        <v>115.57286305662481</v>
      </c>
      <c r="J72" s="85">
        <f>IF(H72,An,'2026'!An_max)</f>
        <v>2022</v>
      </c>
      <c r="K72" s="193">
        <f t="shared" si="3"/>
        <v>46445</v>
      </c>
      <c r="L72" s="143">
        <f>IF(t&lt;Tvie,1-EXP((T0-t)*PertePVj)+'2026'!Pspv,1-EXP((T0-t)*PertePVj)+Pspv)</f>
        <v>2.728678392989059E-2</v>
      </c>
      <c r="M72" s="835"/>
      <c r="N72" s="835"/>
      <c r="O72" s="48">
        <f>IF(t&lt;Tnet,'2026'!Resal+('2026'!Salim-'2026'!Resal)*(1-EXP(('2026'!Tnet-t)/('2026'!Tau_j))),Resal+(Salim-Resal)*(1-EXP((Tnet-t)/(Tau_j))))*Salcycl</f>
        <v>2.8353440127551355E-2</v>
      </c>
      <c r="P72" s="165">
        <f>(INDEX(Models!$BJ72:$BT72,,T72)*(1-R72)+INDEX(Models!$BJ72:$BT72,,T72+1)*R72-ERP_i)*Q72*Ramure*Pc/MaxiM</f>
        <v>2.960738464251665E-4</v>
      </c>
      <c r="Q72" s="301">
        <f t="shared" si="4"/>
        <v>0.5</v>
      </c>
      <c r="R72" s="173">
        <f t="shared" si="5"/>
        <v>0.49599648788106432</v>
      </c>
      <c r="S72" s="801">
        <f t="shared" si="6"/>
        <v>2</v>
      </c>
      <c r="T72" s="172">
        <f t="shared" si="7"/>
        <v>8</v>
      </c>
      <c r="U72" s="247">
        <f t="shared" si="8"/>
        <v>2.4959964878810643</v>
      </c>
      <c r="V72" s="378">
        <f t="shared" si="9"/>
        <v>163.48558825728546</v>
      </c>
      <c r="W72" s="397">
        <f t="shared" si="10"/>
        <v>109.19946531625874</v>
      </c>
      <c r="X72" s="153">
        <f t="shared" si="11"/>
        <v>46445</v>
      </c>
      <c r="Y72" s="380">
        <f t="shared" si="12"/>
        <v>105.9198577148309</v>
      </c>
      <c r="Z72" s="380">
        <f t="shared" si="22"/>
        <v>108.89114691251055</v>
      </c>
      <c r="AA72" s="381">
        <f t="shared" si="13"/>
        <v>115.53867371896675</v>
      </c>
      <c r="AB72" s="193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5.7535079748495976E-2</v>
      </c>
      <c r="AD72" s="227">
        <f>(INDEX(Models!$BJ72:$BT72,,AH72)*(1-AF72)+INDEX(Models!$BJ72:$BT72,,AH72+1)*AF72-ERP_i)*AE72*Ramure*Pc/MaxiM</f>
        <v>2.960738464251665E-4</v>
      </c>
      <c r="AE72" s="301">
        <f t="shared" si="15"/>
        <v>0.5</v>
      </c>
      <c r="AF72" s="173">
        <f t="shared" si="23"/>
        <v>0.49599648788106432</v>
      </c>
      <c r="AG72" s="801">
        <f t="shared" si="24"/>
        <v>2</v>
      </c>
      <c r="AH72" s="172">
        <f t="shared" si="16"/>
        <v>8</v>
      </c>
      <c r="AI72" s="221">
        <f t="shared" si="17"/>
        <v>2.4959964878810643</v>
      </c>
      <c r="AJ72" s="261" t="b">
        <f t="shared" si="18"/>
        <v>0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46446</v>
      </c>
      <c r="B73" s="406">
        <f>'2026'!Wh/'2026'!Env_an*'2027'!Env_an</f>
        <v>148.14616175257555</v>
      </c>
      <c r="C73" s="831"/>
      <c r="D73" s="388">
        <f t="shared" si="0"/>
        <v>152.30407825178196</v>
      </c>
      <c r="E73" s="380">
        <f t="shared" si="1"/>
        <v>156.75762606448572</v>
      </c>
      <c r="F73" s="380">
        <f t="shared" si="2"/>
        <v>156.7958289716895</v>
      </c>
      <c r="G73" s="110">
        <f t="shared" si="21"/>
        <v>0.89829562725489631</v>
      </c>
      <c r="H73" s="409" t="b">
        <f>Wh_hp&gt;='2026'!Maxi_hp</f>
        <v>0</v>
      </c>
      <c r="I73" s="385">
        <f>IF(H73,Wh_hp,'2026'!Maxi_hp)</f>
        <v>156.80231017233547</v>
      </c>
      <c r="J73" s="85">
        <f>IF(H73,An,'2026'!An_max)</f>
        <v>2022</v>
      </c>
      <c r="K73" s="193">
        <f t="shared" si="3"/>
        <v>46446</v>
      </c>
      <c r="L73" s="143">
        <f>IF(t&lt;Tvie,1-EXP((T0-t)*PertePVj)+'2026'!Pspv,1-EXP((T0-t)*PertePVj)+Pspv)</f>
        <v>2.7300099556971325E-2</v>
      </c>
      <c r="M73" s="835"/>
      <c r="N73" s="835"/>
      <c r="O73" s="48">
        <f>IF(t&lt;Tnet,'2026'!Resal+('2026'!Salim-'2026'!Resal)*(1-EXP(('2026'!Tnet-t)/('2026'!Tau_j))),Resal+(Salim-Resal)*(1-EXP((Tnet-t)/(Tau_j))))*Salcycl</f>
        <v>2.8410406080478009E-2</v>
      </c>
      <c r="P73" s="165">
        <f>(INDEX(Models!$BJ73:$BT73,,T73)*(1-R73)+INDEX(Models!$BJ73:$BT73,,T73+1)*R73-ERP_i)*Q73*Ramure*Pc/MaxiM</f>
        <v>2.8504742174044424E-4</v>
      </c>
      <c r="Q73" s="301">
        <f t="shared" si="4"/>
        <v>0.5</v>
      </c>
      <c r="R73" s="173">
        <f t="shared" si="5"/>
        <v>0.49629254945365187</v>
      </c>
      <c r="S73" s="801">
        <f t="shared" si="6"/>
        <v>2</v>
      </c>
      <c r="T73" s="172">
        <f t="shared" si="7"/>
        <v>8</v>
      </c>
      <c r="U73" s="247">
        <f t="shared" si="8"/>
        <v>2.4962925494536519</v>
      </c>
      <c r="V73" s="378">
        <f t="shared" si="9"/>
        <v>164.91233233181308</v>
      </c>
      <c r="W73" s="397">
        <f t="shared" si="10"/>
        <v>148.14616175257555</v>
      </c>
      <c r="X73" s="153">
        <f t="shared" si="11"/>
        <v>46446</v>
      </c>
      <c r="Y73" s="380">
        <f t="shared" si="12"/>
        <v>143.70141597972301</v>
      </c>
      <c r="Z73" s="380">
        <f t="shared" si="22"/>
        <v>147.73458485425192</v>
      </c>
      <c r="AA73" s="381">
        <f t="shared" si="13"/>
        <v>156.75762606448572</v>
      </c>
      <c r="AB73" s="193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5.7560460927891133E-2</v>
      </c>
      <c r="AD73" s="227">
        <f>(INDEX(Models!$BJ73:$BT73,,AH73)*(1-AF73)+INDEX(Models!$BJ73:$BT73,,AH73+1)*AF73-ERP_i)*AE73*Ramure*Pc/MaxiM</f>
        <v>2.8504742174044424E-4</v>
      </c>
      <c r="AE73" s="301">
        <f t="shared" si="15"/>
        <v>0.5</v>
      </c>
      <c r="AF73" s="173">
        <f t="shared" si="23"/>
        <v>0.49629254945365187</v>
      </c>
      <c r="AG73" s="801">
        <f t="shared" si="24"/>
        <v>2</v>
      </c>
      <c r="AH73" s="172">
        <f t="shared" si="16"/>
        <v>8</v>
      </c>
      <c r="AI73" s="221">
        <f t="shared" si="17"/>
        <v>2.4962925494536519</v>
      </c>
      <c r="AJ73" s="261" t="b">
        <f t="shared" si="18"/>
        <v>0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46447</v>
      </c>
      <c r="B74" s="406">
        <f>'2026'!Wh/'2026'!Env_an*'2027'!Env_an</f>
        <v>166.44187376970595</v>
      </c>
      <c r="C74" s="831"/>
      <c r="D74" s="388">
        <f t="shared" si="0"/>
        <v>171.11562587244811</v>
      </c>
      <c r="E74" s="380">
        <f t="shared" si="1"/>
        <v>176.12956016612796</v>
      </c>
      <c r="F74" s="380">
        <f t="shared" si="2"/>
        <v>176.17782993937288</v>
      </c>
      <c r="G74" s="110">
        <f t="shared" si="21"/>
        <v>1.0006732370823297</v>
      </c>
      <c r="H74" s="409" t="b">
        <f>Wh_hp&gt;='2026'!Maxi_hp</f>
        <v>1</v>
      </c>
      <c r="I74" s="385">
        <f>IF(H74,Wh_hp,'2026'!Maxi_hp)</f>
        <v>176.17782993937288</v>
      </c>
      <c r="J74" s="85">
        <f>IF(H74,An,'2026'!An_max)</f>
        <v>2027</v>
      </c>
      <c r="K74" s="193">
        <f t="shared" si="3"/>
        <v>46447</v>
      </c>
      <c r="L74" s="143">
        <f>IF(t&lt;Tvie,1-EXP((T0-t)*PertePVj)+'2026'!Pspv,1-EXP((T0-t)*PertePVj)+Pspv)</f>
        <v>2.7313415001772201E-2</v>
      </c>
      <c r="M74" s="835"/>
      <c r="N74" s="835"/>
      <c r="O74" s="48">
        <f>IF(t&lt;Tnet,'2026'!Resal+('2026'!Salim-'2026'!Resal)*(1-EXP(('2026'!Tnet-t)/('2026'!Tau_j))),Resal+(Salim-Resal)*(1-EXP((Tnet-t)/(Tau_j))))*Salcycl</f>
        <v>2.8467307185407312E-2</v>
      </c>
      <c r="P74" s="165">
        <f>(INDEX(Models!$BJ74:$BT74,,T74)*(1-R74)+INDEX(Models!$BJ74:$BT74,,T74+1)*R74-ERP_i)*Q74*Ramure*Pc/MaxiM</f>
        <v>2.7398324330333456E-4</v>
      </c>
      <c r="Q74" s="301">
        <f t="shared" si="4"/>
        <v>0.5</v>
      </c>
      <c r="R74" s="173">
        <f t="shared" si="5"/>
        <v>0.49660065389871066</v>
      </c>
      <c r="S74" s="801">
        <f t="shared" si="6"/>
        <v>2</v>
      </c>
      <c r="T74" s="172">
        <f t="shared" si="7"/>
        <v>8</v>
      </c>
      <c r="U74" s="247">
        <f t="shared" si="8"/>
        <v>2.4966006538987107</v>
      </c>
      <c r="V74" s="378">
        <f t="shared" si="9"/>
        <v>166.32989431695177</v>
      </c>
      <c r="W74" s="397">
        <f t="shared" si="10"/>
        <v>166.44187376970595</v>
      </c>
      <c r="X74" s="153">
        <f t="shared" si="11"/>
        <v>46447</v>
      </c>
      <c r="Y74" s="380">
        <f t="shared" si="12"/>
        <v>161.45332556164885</v>
      </c>
      <c r="Z74" s="380">
        <f t="shared" si="22"/>
        <v>165.98699730390854</v>
      </c>
      <c r="AA74" s="381">
        <f t="shared" si="13"/>
        <v>176.12956016612796</v>
      </c>
      <c r="AB74" s="193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5.7585807019859679E-2</v>
      </c>
      <c r="AD74" s="227">
        <f>(INDEX(Models!$BJ74:$BT74,,AH74)*(1-AF74)+INDEX(Models!$BJ74:$BT74,,AH74+1)*AF74-ERP_i)*AE74*Ramure*Pc/MaxiM</f>
        <v>2.7398324330333456E-4</v>
      </c>
      <c r="AE74" s="301">
        <f t="shared" si="15"/>
        <v>0.5</v>
      </c>
      <c r="AF74" s="173">
        <f t="shared" si="23"/>
        <v>0.49660065389871066</v>
      </c>
      <c r="AG74" s="801">
        <f t="shared" si="24"/>
        <v>2</v>
      </c>
      <c r="AH74" s="172">
        <f t="shared" si="16"/>
        <v>8</v>
      </c>
      <c r="AI74" s="221">
        <f t="shared" si="17"/>
        <v>2.4966006538987107</v>
      </c>
      <c r="AJ74" s="261" t="b">
        <f t="shared" si="18"/>
        <v>0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46448</v>
      </c>
      <c r="B75" s="406">
        <f>'2026'!Wh/'2026'!Env_an*'2027'!Env_an</f>
        <v>50.937978186107088</v>
      </c>
      <c r="C75" s="831"/>
      <c r="D75" s="388">
        <f t="shared" si="0"/>
        <v>52.369053176456688</v>
      </c>
      <c r="E75" s="380">
        <f t="shared" si="1"/>
        <v>53.906695646784442</v>
      </c>
      <c r="F75" s="380">
        <f t="shared" si="2"/>
        <v>53.906770108604981</v>
      </c>
      <c r="G75" s="110">
        <f t="shared" si="21"/>
        <v>0.30359870340057904</v>
      </c>
      <c r="H75" s="409" t="b">
        <f>Wh_hp&gt;='2026'!Maxi_hp</f>
        <v>0</v>
      </c>
      <c r="I75" s="385">
        <f>IF(H75,Wh_hp,'2026'!Maxi_hp)</f>
        <v>53.920842364129726</v>
      </c>
      <c r="J75" s="85">
        <f>IF(H75,An,'2026'!An_max)</f>
        <v>2022</v>
      </c>
      <c r="K75" s="193">
        <f t="shared" si="3"/>
        <v>46448</v>
      </c>
      <c r="L75" s="143">
        <f>IF(t&lt;Tvie,1-EXP((T0-t)*PertePVj)+'2026'!Pspv,1-EXP((T0-t)*PertePVj)+Pspv)</f>
        <v>2.7326730264295884E-2</v>
      </c>
      <c r="M75" s="835"/>
      <c r="N75" s="835"/>
      <c r="O75" s="48">
        <f>IF(t&lt;Tnet,'2026'!Resal+('2026'!Salim-'2026'!Resal)*(1-EXP(('2026'!Tnet-t)/('2026'!Tau_j))),Resal+(Salim-Resal)*(1-EXP((Tnet-t)/(Tau_j))))*Salcycl</f>
        <v>2.852414624711792E-2</v>
      </c>
      <c r="P75" s="165">
        <f>(INDEX(Models!$BJ75:$BT75,,T75)*(1-R75)+INDEX(Models!$BJ75:$BT75,,T75+1)*R75-ERP_i)*Q75*Ramure*Pc/MaxiM</f>
        <v>2.6288327983755373E-4</v>
      </c>
      <c r="Q75" s="301">
        <f t="shared" si="4"/>
        <v>0.5</v>
      </c>
      <c r="R75" s="173">
        <f t="shared" si="5"/>
        <v>0.49692127486797233</v>
      </c>
      <c r="S75" s="801">
        <f t="shared" si="6"/>
        <v>2</v>
      </c>
      <c r="T75" s="172">
        <f t="shared" si="7"/>
        <v>8</v>
      </c>
      <c r="U75" s="247">
        <f t="shared" si="8"/>
        <v>2.4969212748679723</v>
      </c>
      <c r="V75" s="378">
        <f t="shared" si="9"/>
        <v>167.73674332445393</v>
      </c>
      <c r="W75" s="397">
        <f t="shared" si="10"/>
        <v>50.937978186107088</v>
      </c>
      <c r="X75" s="153">
        <f t="shared" si="11"/>
        <v>46448</v>
      </c>
      <c r="Y75" s="380">
        <f t="shared" si="12"/>
        <v>49.412843193285447</v>
      </c>
      <c r="Z75" s="380">
        <f t="shared" si="22"/>
        <v>50.801070339593025</v>
      </c>
      <c r="AA75" s="381">
        <f t="shared" si="13"/>
        <v>53.906695646784442</v>
      </c>
      <c r="AB75" s="193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5.7611123626284927E-2</v>
      </c>
      <c r="AD75" s="227">
        <f>(INDEX(Models!$BJ75:$BT75,,AH75)*(1-AF75)+INDEX(Models!$BJ75:$BT75,,AH75+1)*AF75-ERP_i)*AE75*Ramure*Pc/MaxiM</f>
        <v>2.6288327983755373E-4</v>
      </c>
      <c r="AE75" s="301">
        <f t="shared" si="15"/>
        <v>0.5</v>
      </c>
      <c r="AF75" s="173">
        <f t="shared" si="23"/>
        <v>0.49692127486797233</v>
      </c>
      <c r="AG75" s="801">
        <f t="shared" si="24"/>
        <v>2</v>
      </c>
      <c r="AH75" s="172">
        <f t="shared" si="16"/>
        <v>8</v>
      </c>
      <c r="AI75" s="221">
        <f t="shared" si="17"/>
        <v>2.4969212748679723</v>
      </c>
      <c r="AJ75" s="261" t="b">
        <f t="shared" si="18"/>
        <v>0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46449</v>
      </c>
      <c r="B76" s="406">
        <f>'2026'!Wh/'2026'!Env_an*'2027'!Env_an</f>
        <v>153.57646660263026</v>
      </c>
      <c r="C76" s="831"/>
      <c r="D76" s="388">
        <f t="shared" si="0"/>
        <v>157.8932759260471</v>
      </c>
      <c r="E76" s="380">
        <f t="shared" si="1"/>
        <v>162.53878501970232</v>
      </c>
      <c r="F76" s="380">
        <f t="shared" si="2"/>
        <v>162.57433565609111</v>
      </c>
      <c r="G76" s="110">
        <f t="shared" si="21"/>
        <v>0.90800071610784194</v>
      </c>
      <c r="H76" s="409" t="b">
        <f>Wh_hp&gt;='2026'!Maxi_hp</f>
        <v>0</v>
      </c>
      <c r="I76" s="385">
        <f>IF(H76,Wh_hp,'2026'!Maxi_hp)</f>
        <v>162.57970315575704</v>
      </c>
      <c r="J76" s="85">
        <f>IF(H76,An,'2026'!An_max)</f>
        <v>2022</v>
      </c>
      <c r="K76" s="193">
        <f t="shared" si="3"/>
        <v>46449</v>
      </c>
      <c r="L76" s="143">
        <f>IF(t&lt;Tvie,1-EXP((T0-t)*PertePVj)+'2026'!Pspv,1-EXP((T0-t)*PertePVj)+Pspv)</f>
        <v>2.7340045344544706E-2</v>
      </c>
      <c r="M76" s="835"/>
      <c r="N76" s="835"/>
      <c r="O76" s="48">
        <f>IF(t&lt;Tnet,'2026'!Resal+('2026'!Salim-'2026'!Resal)*(1-EXP(('2026'!Tnet-t)/('2026'!Tau_j))),Resal+(Salim-Resal)*(1-EXP((Tnet-t)/(Tau_j))))*Salcycl</f>
        <v>2.8580926657548973E-2</v>
      </c>
      <c r="P76" s="165">
        <f>(INDEX(Models!$BJ76:$BT76,,T76)*(1-R76)+INDEX(Models!$BJ76:$BT76,,T76+1)*R76-ERP_i)*Q76*Ramure*Pc/MaxiM</f>
        <v>2.5174907483992891E-4</v>
      </c>
      <c r="Q76" s="301">
        <f t="shared" si="4"/>
        <v>0.5</v>
      </c>
      <c r="R76" s="173">
        <f t="shared" si="5"/>
        <v>0.49725490327783017</v>
      </c>
      <c r="S76" s="801">
        <f t="shared" si="6"/>
        <v>2</v>
      </c>
      <c r="T76" s="172">
        <f t="shared" si="7"/>
        <v>8</v>
      </c>
      <c r="U76" s="247">
        <f t="shared" si="8"/>
        <v>2.4972549032778302</v>
      </c>
      <c r="V76" s="378">
        <f t="shared" si="9"/>
        <v>169.13134877341548</v>
      </c>
      <c r="W76" s="397">
        <f t="shared" si="10"/>
        <v>153.57646660263026</v>
      </c>
      <c r="X76" s="153">
        <f t="shared" si="11"/>
        <v>46449</v>
      </c>
      <c r="Y76" s="380">
        <f t="shared" si="12"/>
        <v>148.98293972919464</v>
      </c>
      <c r="Z76" s="380">
        <f t="shared" si="22"/>
        <v>153.17063174659921</v>
      </c>
      <c r="AA76" s="381">
        <f t="shared" si="13"/>
        <v>162.53878501970232</v>
      </c>
      <c r="AB76" s="193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5.7636417498552986E-2</v>
      </c>
      <c r="AD76" s="227">
        <f>(INDEX(Models!$BJ76:$BT76,,AH76)*(1-AF76)+INDEX(Models!$BJ76:$BT76,,AH76+1)*AF76-ERP_i)*AE76*Ramure*Pc/MaxiM</f>
        <v>2.5174907483992891E-4</v>
      </c>
      <c r="AE76" s="301">
        <f t="shared" si="15"/>
        <v>0.5</v>
      </c>
      <c r="AF76" s="173">
        <f t="shared" si="23"/>
        <v>0.49725490327783017</v>
      </c>
      <c r="AG76" s="801">
        <f t="shared" si="24"/>
        <v>2</v>
      </c>
      <c r="AH76" s="172">
        <f t="shared" si="16"/>
        <v>8</v>
      </c>
      <c r="AI76" s="221">
        <f t="shared" si="17"/>
        <v>2.4972549032778302</v>
      </c>
      <c r="AJ76" s="261" t="b">
        <f t="shared" si="18"/>
        <v>0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46450</v>
      </c>
      <c r="B77" s="406">
        <f>'2026'!Wh/'2026'!Env_an*'2027'!Env_an</f>
        <v>19.609532033467882</v>
      </c>
      <c r="C77" s="831"/>
      <c r="D77" s="388">
        <f t="shared" si="0"/>
        <v>20.16100321732192</v>
      </c>
      <c r="E77" s="380">
        <f t="shared" si="1"/>
        <v>20.755388828062028</v>
      </c>
      <c r="F77" s="380">
        <f t="shared" si="2"/>
        <v>20.755388828062028</v>
      </c>
      <c r="G77" s="110">
        <f t="shared" si="21"/>
        <v>0.11497603451532785</v>
      </c>
      <c r="H77" s="409" t="b">
        <f>Wh_hp&gt;='2026'!Maxi_hp</f>
        <v>0</v>
      </c>
      <c r="I77" s="385">
        <f>IF(H77,Wh_hp,'2026'!Maxi_hp)</f>
        <v>20.760372655450283</v>
      </c>
      <c r="J77" s="85">
        <f>IF(H77,An,'2026'!An_max)</f>
        <v>2022</v>
      </c>
      <c r="K77" s="193">
        <f t="shared" si="3"/>
        <v>46450</v>
      </c>
      <c r="L77" s="143">
        <f>IF(t&lt;Tvie,1-EXP((T0-t)*PertePVj)+'2026'!Pspv,1-EXP((T0-t)*PertePVj)+Pspv)</f>
        <v>2.735336024252133E-2</v>
      </c>
      <c r="M77" s="835"/>
      <c r="N77" s="835"/>
      <c r="O77" s="48">
        <f>IF(t&lt;Tnet,'2026'!Resal+('2026'!Salim-'2026'!Resal)*(1-EXP(('2026'!Tnet-t)/('2026'!Tau_j))),Resal+(Salim-Resal)*(1-EXP((Tnet-t)/(Tau_j))))*Salcycl</f>
        <v>2.8637652402660817E-2</v>
      </c>
      <c r="P77" s="165">
        <f>(INDEX(Models!$BJ77:$BT77,,T77)*(1-R77)+INDEX(Models!$BJ77:$BT77,,T77+1)*R77-ERP_i)*Q77*Ramure*Pc/MaxiM</f>
        <v>2.4058174968495698E-4</v>
      </c>
      <c r="Q77" s="301">
        <f t="shared" si="4"/>
        <v>0.5</v>
      </c>
      <c r="R77" s="173">
        <f t="shared" si="5"/>
        <v>0.49760204782292838</v>
      </c>
      <c r="S77" s="801">
        <f t="shared" si="6"/>
        <v>2</v>
      </c>
      <c r="T77" s="172">
        <f t="shared" si="7"/>
        <v>8</v>
      </c>
      <c r="U77" s="247">
        <f t="shared" si="8"/>
        <v>2.4976020478229284</v>
      </c>
      <c r="V77" s="378">
        <f t="shared" si="9"/>
        <v>170.51218039118558</v>
      </c>
      <c r="W77" s="397">
        <f t="shared" si="10"/>
        <v>19.609532033467882</v>
      </c>
      <c r="X77" s="153">
        <f t="shared" si="11"/>
        <v>46450</v>
      </c>
      <c r="Y77" s="380">
        <f t="shared" si="12"/>
        <v>19.023604521749931</v>
      </c>
      <c r="Z77" s="380">
        <f t="shared" si="22"/>
        <v>19.558597895833277</v>
      </c>
      <c r="AA77" s="381">
        <f t="shared" si="13"/>
        <v>20.755388828062028</v>
      </c>
      <c r="AB77" s="193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5.7661696542665931E-2</v>
      </c>
      <c r="AD77" s="227">
        <f>(INDEX(Models!$BJ77:$BT77,,AH77)*(1-AF77)+INDEX(Models!$BJ77:$BT77,,AH77+1)*AF77-ERP_i)*AE77*Ramure*Pc/MaxiM</f>
        <v>2.4058174968495698E-4</v>
      </c>
      <c r="AE77" s="301">
        <f t="shared" si="15"/>
        <v>0.5</v>
      </c>
      <c r="AF77" s="173">
        <f t="shared" si="23"/>
        <v>0.49760204782292838</v>
      </c>
      <c r="AG77" s="801">
        <f t="shared" si="24"/>
        <v>2</v>
      </c>
      <c r="AH77" s="172">
        <f t="shared" si="16"/>
        <v>8</v>
      </c>
      <c r="AI77" s="221">
        <f t="shared" si="17"/>
        <v>2.4976020478229284</v>
      </c>
      <c r="AJ77" s="261" t="b">
        <f t="shared" si="18"/>
        <v>0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46451</v>
      </c>
      <c r="B78" s="406">
        <f>'2026'!Wh/'2026'!Env_an*'2027'!Env_an</f>
        <v>64.757431710645548</v>
      </c>
      <c r="C78" s="831"/>
      <c r="D78" s="388">
        <f t="shared" si="0"/>
        <v>66.579490999719141</v>
      </c>
      <c r="E78" s="380">
        <f t="shared" si="1"/>
        <v>68.546383413072391</v>
      </c>
      <c r="F78" s="380">
        <f t="shared" si="2"/>
        <v>68.548107732121707</v>
      </c>
      <c r="G78" s="110">
        <f t="shared" si="21"/>
        <v>0.37668762766782948</v>
      </c>
      <c r="H78" s="409" t="b">
        <f>Wh_hp&gt;='2026'!Maxi_hp</f>
        <v>0</v>
      </c>
      <c r="I78" s="385">
        <f>IF(H78,Wh_hp,'2026'!Maxi_hp)</f>
        <v>68.562079160993505</v>
      </c>
      <c r="J78" s="85">
        <f>IF(H78,An,'2026'!An_max)</f>
        <v>2022</v>
      </c>
      <c r="K78" s="193">
        <f t="shared" si="3"/>
        <v>46451</v>
      </c>
      <c r="L78" s="143">
        <f>IF(t&lt;Tvie,1-EXP((T0-t)*PertePVj)+'2026'!Pspv,1-EXP((T0-t)*PertePVj)+Pspv)</f>
        <v>2.7366674958228199E-2</v>
      </c>
      <c r="M78" s="835"/>
      <c r="N78" s="835"/>
      <c r="O78" s="48">
        <f>IF(t&lt;Tnet,'2026'!Resal+('2026'!Salim-'2026'!Resal)*(1-EXP(('2026'!Tnet-t)/('2026'!Tau_j))),Resal+(Salim-Resal)*(1-EXP((Tnet-t)/(Tau_j))))*Salcycl</f>
        <v>2.8694328065427075E-2</v>
      </c>
      <c r="P78" s="165">
        <f>(INDEX(Models!$BJ78:$BT78,,T78)*(1-R78)+INDEX(Models!$BJ78:$BT78,,T78+1)*R78-ERP_i)*Q78*Ramure*Pc/MaxiM</f>
        <v>2.2938200513287021E-4</v>
      </c>
      <c r="Q78" s="301">
        <f t="shared" si="4"/>
        <v>0.5</v>
      </c>
      <c r="R78" s="173">
        <f t="shared" si="5"/>
        <v>0.49796323549482402</v>
      </c>
      <c r="S78" s="801">
        <f t="shared" si="6"/>
        <v>2</v>
      </c>
      <c r="T78" s="172">
        <f t="shared" si="7"/>
        <v>8</v>
      </c>
      <c r="U78" s="247">
        <f t="shared" si="8"/>
        <v>2.497963235494824</v>
      </c>
      <c r="V78" s="378">
        <f t="shared" si="9"/>
        <v>171.87770820704415</v>
      </c>
      <c r="W78" s="397">
        <f t="shared" si="10"/>
        <v>64.757431710645548</v>
      </c>
      <c r="X78" s="153">
        <f t="shared" si="11"/>
        <v>46451</v>
      </c>
      <c r="Y78" s="380">
        <f t="shared" si="12"/>
        <v>62.824477881011127</v>
      </c>
      <c r="Z78" s="380">
        <f t="shared" si="22"/>
        <v>64.59215026208669</v>
      </c>
      <c r="AA78" s="381">
        <f t="shared" si="13"/>
        <v>68.546383413072391</v>
      </c>
      <c r="AB78" s="193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5.7686969816581009E-2</v>
      </c>
      <c r="AD78" s="227">
        <f>(INDEX(Models!$BJ78:$BT78,,AH78)*(1-AF78)+INDEX(Models!$BJ78:$BT78,,AH78+1)*AF78-ERP_i)*AE78*Ramure*Pc/MaxiM</f>
        <v>2.2938200513287021E-4</v>
      </c>
      <c r="AE78" s="301">
        <f t="shared" si="15"/>
        <v>0.5</v>
      </c>
      <c r="AF78" s="173">
        <f t="shared" si="23"/>
        <v>0.49796323549482402</v>
      </c>
      <c r="AG78" s="801">
        <f t="shared" si="24"/>
        <v>2</v>
      </c>
      <c r="AH78" s="172">
        <f t="shared" si="16"/>
        <v>8</v>
      </c>
      <c r="AI78" s="221">
        <f t="shared" si="17"/>
        <v>2.497963235494824</v>
      </c>
      <c r="AJ78" s="261" t="b">
        <f t="shared" si="18"/>
        <v>0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46452</v>
      </c>
      <c r="B79" s="406">
        <f>'2026'!Wh/'2026'!Env_an*'2027'!Env_an</f>
        <v>91.425524818998014</v>
      </c>
      <c r="C79" s="831"/>
      <c r="D79" s="388">
        <f t="shared" ref="D79:D142" si="25">Wh/(1-Ppv)</f>
        <v>93.999222544491118</v>
      </c>
      <c r="E79" s="380">
        <f t="shared" si="1"/>
        <v>96.781791857187386</v>
      </c>
      <c r="F79" s="380">
        <f t="shared" ref="F79:F142" si="26">Wh_sa/(1-Pvg*MEDIAN((-Sdif+Wh/Env_an)/Csdif,0,1))</f>
        <v>96.788662141314177</v>
      </c>
      <c r="G79" s="110">
        <f t="shared" si="21"/>
        <v>0.52769413688336453</v>
      </c>
      <c r="H79" s="409" t="b">
        <f>Wh_hp&gt;='2026'!Maxi_hp</f>
        <v>0</v>
      </c>
      <c r="I79" s="385">
        <f>IF(H79,Wh_hp,'2026'!Maxi_hp)</f>
        <v>96.802876321766419</v>
      </c>
      <c r="J79" s="85">
        <f>IF(H79,An,'2026'!An_max)</f>
        <v>2022</v>
      </c>
      <c r="K79" s="193">
        <f t="shared" ref="K79:K142" si="27">t</f>
        <v>46452</v>
      </c>
      <c r="L79" s="143">
        <f>IF(t&lt;Tvie,1-EXP((T0-t)*PertePVj)+'2026'!Pspv,1-EXP((T0-t)*PertePVj)+Pspv)</f>
        <v>2.7379989491667756E-2</v>
      </c>
      <c r="M79" s="835"/>
      <c r="N79" s="835"/>
      <c r="O79" s="48">
        <f>IF(t&lt;Tnet,'2026'!Resal+('2026'!Salim-'2026'!Resal)*(1-EXP(('2026'!Tnet-t)/('2026'!Tau_j))),Resal+(Salim-Resal)*(1-EXP((Tnet-t)/(Tau_j))))*Salcycl</f>
        <v>2.8750958825005734E-2</v>
      </c>
      <c r="P79" s="165">
        <f>(INDEX(Models!$BJ79:$BT79,,T79)*(1-R79)+INDEX(Models!$BJ79:$BT79,,T79+1)*R79-ERP_i)*Q79*Ramure*Pc/MaxiM</f>
        <v>2.1814651302909269E-4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0.4983390121047222</v>
      </c>
      <c r="S79" s="801">
        <f t="shared" ref="S79:S142" si="30">INDEX(Echel_vg,T79)</f>
        <v>2</v>
      </c>
      <c r="T79" s="172">
        <f t="shared" ref="T79:T142" si="31">MIN(MATCH(Hp_vg,Echel_vg),10)</f>
        <v>8</v>
      </c>
      <c r="U79" s="247">
        <f t="shared" ref="U79:U142" si="32">IF(OR(t&lt;Ttai,Notai),Hdd+PousH*Croivg,Hdtf+PousH*(Croivg-Croi_tai))</f>
        <v>2.4983390121047222</v>
      </c>
      <c r="V79" s="378">
        <f t="shared" ref="V79:V142" si="33">MaxiM*(1-Ppv)*(1-Pvg)*(1-Psa)</f>
        <v>173.22926845563194</v>
      </c>
      <c r="W79" s="397">
        <f t="shared" ref="W79:W142" si="34">Wh*(A79&gt;Tmaj)</f>
        <v>91.425524818998014</v>
      </c>
      <c r="X79" s="153">
        <f t="shared" ref="X79:X142" si="35">t</f>
        <v>46452</v>
      </c>
      <c r="Y79" s="380">
        <f t="shared" ref="Y79:Y142" si="36">Wh_pvt_s*(1-Ppv)</f>
        <v>88.699343472999473</v>
      </c>
      <c r="Z79" s="380">
        <f t="shared" ref="Z79:Z142" si="37">Wh_sa_s*(1-Psa_s)</f>
        <v>91.196297130100632</v>
      </c>
      <c r="AA79" s="381">
        <f t="shared" ref="AA79:AA142" si="38">Wh_hp*(1-Pvg_s*MEDIAN((-Sdif+Wh/Env_an)/Csdif,0,1))</f>
        <v>96.781791857187386</v>
      </c>
      <c r="AB79" s="193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5.7712247519954851E-2</v>
      </c>
      <c r="AD79" s="227">
        <f>(INDEX(Models!$BJ79:$BT79,,AH79)*(1-AF79)+INDEX(Models!$BJ79:$BT79,,AH79+1)*AF79-ERP_i)*AE79*Ramure*Pc/MaxiM</f>
        <v>2.1814651302909269E-4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0.4983390121047222</v>
      </c>
      <c r="AG79" s="801">
        <f t="shared" si="24"/>
        <v>2</v>
      </c>
      <c r="AH79" s="172">
        <f t="shared" ref="AH79:AH142" si="42">MIN(MATCH(Hp_vg_s,Echel_vg),10)</f>
        <v>8</v>
      </c>
      <c r="AI79" s="221">
        <f t="shared" ref="AI79:AI142" si="43">IF(OR(t&lt;Ttai,Notai),Hdd_s+PousH*Croivg,Hdtai_s+PousH*(Croivg-Croi_tai))</f>
        <v>2.4983390121047222</v>
      </c>
      <c r="AJ79" s="261" t="b">
        <f t="shared" ref="AJ79:AJ142" si="44">t&lt;Tnet</f>
        <v>0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46453</v>
      </c>
      <c r="B80" s="406">
        <f>'2026'!Wh/'2026'!Env_an*'2027'!Env_an</f>
        <v>135.82499091384506</v>
      </c>
      <c r="C80" s="831"/>
      <c r="D80" s="388">
        <f t="shared" si="25"/>
        <v>139.65047891454978</v>
      </c>
      <c r="E80" s="380">
        <f t="shared" ref="E80:E143" si="47">Wh_pvt/(1-Psa)</f>
        <v>143.79279717379282</v>
      </c>
      <c r="F80" s="380">
        <f t="shared" si="26"/>
        <v>143.81318130564824</v>
      </c>
      <c r="G80" s="110">
        <f t="shared" ref="G80:G143" si="48">+Wh_hp/MaxiM</f>
        <v>0.7780060760955666</v>
      </c>
      <c r="H80" s="409" t="b">
        <f>Wh_hp&gt;='2026'!Maxi_hp</f>
        <v>0</v>
      </c>
      <c r="I80" s="385">
        <f>IF(H80,Wh_hp,'2026'!Maxi_hp)</f>
        <v>143.82262435298446</v>
      </c>
      <c r="J80" s="85">
        <f>IF(H80,An,'2026'!An_max)</f>
        <v>2022</v>
      </c>
      <c r="K80" s="193">
        <f t="shared" si="27"/>
        <v>46453</v>
      </c>
      <c r="L80" s="143">
        <f>IF(t&lt;Tvie,1-EXP((T0-t)*PertePVj)+'2026'!Pspv,1-EXP((T0-t)*PertePVj)+Pspv)</f>
        <v>2.7393303842842442E-2</v>
      </c>
      <c r="M80" s="835"/>
      <c r="N80" s="835"/>
      <c r="O80" s="48">
        <f>IF(t&lt;Tnet,'2026'!Resal+('2026'!Salim-'2026'!Resal)*(1-EXP(('2026'!Tnet-t)/('2026'!Tau_j))),Resal+(Salim-Resal)*(1-EXP((Tnet-t)/(Tau_j))))*Salcycl</f>
        <v>2.8807550452172453E-2</v>
      </c>
      <c r="P80" s="165">
        <f>(INDEX(Models!$BJ80:$BT80,,T80)*(1-R80)+INDEX(Models!$BJ80:$BT80,,T80+1)*R80-ERP_i)*Q80*Ramure*Pc/MaxiM</f>
        <v>2.0754469057094631E-4</v>
      </c>
      <c r="Q80" s="301">
        <f t="shared" si="28"/>
        <v>0.5</v>
      </c>
      <c r="R80" s="173">
        <f t="shared" si="29"/>
        <v>0.49872994280915783</v>
      </c>
      <c r="S80" s="801">
        <f t="shared" si="30"/>
        <v>2</v>
      </c>
      <c r="T80" s="172">
        <f t="shared" si="31"/>
        <v>8</v>
      </c>
      <c r="U80" s="247">
        <f t="shared" si="32"/>
        <v>2.4987299428091578</v>
      </c>
      <c r="V80" s="378">
        <f t="shared" si="33"/>
        <v>174.5693972668933</v>
      </c>
      <c r="W80" s="397">
        <f t="shared" si="34"/>
        <v>135.82499091384506</v>
      </c>
      <c r="X80" s="153">
        <f t="shared" si="35"/>
        <v>46453</v>
      </c>
      <c r="Y80" s="380">
        <f t="shared" si="36"/>
        <v>131.7790207233443</v>
      </c>
      <c r="Z80" s="380">
        <f t="shared" si="37"/>
        <v>135.49055465483957</v>
      </c>
      <c r="AA80" s="381">
        <f t="shared" si="38"/>
        <v>143.79279717379282</v>
      </c>
      <c r="AB80" s="193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5.7737540976540623E-2</v>
      </c>
      <c r="AD80" s="227">
        <f>(INDEX(Models!$BJ80:$BT80,,AH80)*(1-AF80)+INDEX(Models!$BJ80:$BT80,,AH80+1)*AF80-ERP_i)*AE80*Ramure*Pc/MaxiM</f>
        <v>2.0754469057094631E-4</v>
      </c>
      <c r="AE80" s="301">
        <f t="shared" si="40"/>
        <v>0.5</v>
      </c>
      <c r="AF80" s="173">
        <f t="shared" si="41"/>
        <v>0.49872994280915783</v>
      </c>
      <c r="AG80" s="801">
        <f t="shared" ref="AG80:AG143" si="49">INDEX(Echel_vg,AH80)</f>
        <v>2</v>
      </c>
      <c r="AH80" s="172">
        <f t="shared" si="42"/>
        <v>8</v>
      </c>
      <c r="AI80" s="221">
        <f t="shared" si="43"/>
        <v>2.4987299428091578</v>
      </c>
      <c r="AJ80" s="261" t="b">
        <f t="shared" si="44"/>
        <v>0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46454</v>
      </c>
      <c r="B81" s="406">
        <f>'2026'!Wh/'2026'!Env_an*'2027'!Env_an</f>
        <v>125.23376430548372</v>
      </c>
      <c r="C81" s="831"/>
      <c r="D81" s="388">
        <f t="shared" si="25"/>
        <v>128.76271484540837</v>
      </c>
      <c r="E81" s="380">
        <f t="shared" si="47"/>
        <v>132.58980136420027</v>
      </c>
      <c r="F81" s="380">
        <f t="shared" si="26"/>
        <v>132.60523388868347</v>
      </c>
      <c r="G81" s="110">
        <f t="shared" si="48"/>
        <v>0.71190810241104696</v>
      </c>
      <c r="H81" s="409" t="b">
        <f>Wh_hp&gt;='2026'!Maxi_hp</f>
        <v>0</v>
      </c>
      <c r="I81" s="385">
        <f>IF(H81,Wh_hp,'2026'!Maxi_hp)</f>
        <v>132.61599951897398</v>
      </c>
      <c r="J81" s="85">
        <f>IF(H81,An,'2026'!An_max)</f>
        <v>2022</v>
      </c>
      <c r="K81" s="193">
        <f t="shared" si="27"/>
        <v>46454</v>
      </c>
      <c r="L81" s="143">
        <f>IF(t&lt;Tvie,1-EXP((T0-t)*PertePVj)+'2026'!Pspv,1-EXP((T0-t)*PertePVj)+Pspv)</f>
        <v>2.7406618011755035E-2</v>
      </c>
      <c r="M81" s="835"/>
      <c r="N81" s="835"/>
      <c r="O81" s="48">
        <f>IF(t&lt;Tnet,'2026'!Resal+('2026'!Salim-'2026'!Resal)*(1-EXP(('2026'!Tnet-t)/('2026'!Tau_j))),Resal+(Salim-Resal)*(1-EXP((Tnet-t)/(Tau_j))))*Salcycl</f>
        <v>2.8864109301133842E-2</v>
      </c>
      <c r="P81" s="165">
        <f>(INDEX(Models!$BJ81:$BT81,,T81)*(1-R81)+INDEX(Models!$BJ81:$BT81,,T81+1)*R81-ERP_i)*Q81*Ramure*Pc/MaxiM</f>
        <v>1.9774837836703064E-4</v>
      </c>
      <c r="Q81" s="301">
        <f t="shared" si="28"/>
        <v>0.5</v>
      </c>
      <c r="R81" s="173">
        <f t="shared" si="29"/>
        <v>0.49913661263736797</v>
      </c>
      <c r="S81" s="801">
        <f t="shared" si="30"/>
        <v>2</v>
      </c>
      <c r="T81" s="172">
        <f t="shared" si="31"/>
        <v>8</v>
      </c>
      <c r="U81" s="247">
        <f t="shared" si="32"/>
        <v>2.499136612637368</v>
      </c>
      <c r="V81" s="378">
        <f t="shared" si="33"/>
        <v>175.89850790910555</v>
      </c>
      <c r="W81" s="397">
        <f t="shared" si="34"/>
        <v>125.23376430548372</v>
      </c>
      <c r="X81" s="153">
        <f t="shared" si="35"/>
        <v>46454</v>
      </c>
      <c r="Y81" s="380">
        <f t="shared" si="36"/>
        <v>121.50709773367765</v>
      </c>
      <c r="Z81" s="380">
        <f t="shared" si="37"/>
        <v>124.93103488457237</v>
      </c>
      <c r="AA81" s="381">
        <f t="shared" si="38"/>
        <v>132.58980136420027</v>
      </c>
      <c r="AB81" s="193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5.7762862609550505E-2</v>
      </c>
      <c r="AD81" s="227">
        <f>(INDEX(Models!$BJ81:$BT81,,AH81)*(1-AF81)+INDEX(Models!$BJ81:$BT81,,AH81+1)*AF81-ERP_i)*AE81*Ramure*Pc/MaxiM</f>
        <v>1.9774837836703064E-4</v>
      </c>
      <c r="AE81" s="301">
        <f t="shared" si="40"/>
        <v>0.5</v>
      </c>
      <c r="AF81" s="173">
        <f t="shared" si="41"/>
        <v>0.49913661263736797</v>
      </c>
      <c r="AG81" s="801">
        <f t="shared" si="49"/>
        <v>2</v>
      </c>
      <c r="AH81" s="172">
        <f t="shared" si="42"/>
        <v>8</v>
      </c>
      <c r="AI81" s="221">
        <f t="shared" si="43"/>
        <v>2.499136612637368</v>
      </c>
      <c r="AJ81" s="261" t="b">
        <f t="shared" si="44"/>
        <v>0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46455</v>
      </c>
      <c r="B82" s="406">
        <f>'2026'!Wh/'2026'!Env_an*'2027'!Env_an</f>
        <v>134.90396957450957</v>
      </c>
      <c r="C82" s="831"/>
      <c r="D82" s="388">
        <f t="shared" si="25"/>
        <v>138.70731471158291</v>
      </c>
      <c r="E82" s="380">
        <f t="shared" si="47"/>
        <v>142.83828979724859</v>
      </c>
      <c r="F82" s="380">
        <f t="shared" si="26"/>
        <v>142.85605550905188</v>
      </c>
      <c r="G82" s="110">
        <f t="shared" si="48"/>
        <v>0.76118684098776668</v>
      </c>
      <c r="H82" s="409" t="b">
        <f>Wh_hp&gt;='2026'!Maxi_hp</f>
        <v>0</v>
      </c>
      <c r="I82" s="385">
        <f>IF(H82,Wh_hp,'2026'!Maxi_hp)</f>
        <v>142.86523052784904</v>
      </c>
      <c r="J82" s="85">
        <f>IF(H82,An,'2026'!An_max)</f>
        <v>2022</v>
      </c>
      <c r="K82" s="193">
        <f t="shared" si="27"/>
        <v>46455</v>
      </c>
      <c r="L82" s="143">
        <f>IF(t&lt;Tvie,1-EXP((T0-t)*PertePVj)+'2026'!Pspv,1-EXP((T0-t)*PertePVj)+Pspv)</f>
        <v>2.7419931998407643E-2</v>
      </c>
      <c r="M82" s="835"/>
      <c r="N82" s="835"/>
      <c r="O82" s="48">
        <f>IF(t&lt;Tnet,'2026'!Resal+('2026'!Salim-'2026'!Resal)*(1-EXP(('2026'!Tnet-t)/('2026'!Tau_j))),Resal+(Salim-Resal)*(1-EXP((Tnet-t)/(Tau_j))))*Salcycl</f>
        <v>2.8920642297869684E-2</v>
      </c>
      <c r="P82" s="165">
        <f>(INDEX(Models!$BJ82:$BT82,,T82)*(1-R82)+INDEX(Models!$BJ82:$BT82,,T82+1)*R82-ERP_i)*Q82*Ramure*Pc/MaxiM</f>
        <v>1.8873782220117134E-4</v>
      </c>
      <c r="Q82" s="301">
        <f t="shared" si="28"/>
        <v>0.5</v>
      </c>
      <c r="R82" s="173">
        <f t="shared" si="29"/>
        <v>0.49955962701895462</v>
      </c>
      <c r="S82" s="801">
        <f t="shared" si="30"/>
        <v>2</v>
      </c>
      <c r="T82" s="172">
        <f t="shared" si="31"/>
        <v>8</v>
      </c>
      <c r="U82" s="247">
        <f t="shared" si="32"/>
        <v>2.4995596270189546</v>
      </c>
      <c r="V82" s="378">
        <f t="shared" si="33"/>
        <v>177.21704650184532</v>
      </c>
      <c r="W82" s="397">
        <f t="shared" si="34"/>
        <v>134.90396957450957</v>
      </c>
      <c r="X82" s="153">
        <f t="shared" si="35"/>
        <v>46455</v>
      </c>
      <c r="Y82" s="380">
        <f t="shared" si="36"/>
        <v>130.89363654615283</v>
      </c>
      <c r="Z82" s="380">
        <f t="shared" si="37"/>
        <v>134.58391843779646</v>
      </c>
      <c r="AA82" s="381">
        <f t="shared" si="38"/>
        <v>142.83828979724859</v>
      </c>
      <c r="AB82" s="193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5.7788225910354866E-2</v>
      </c>
      <c r="AD82" s="227">
        <f>(INDEX(Models!$BJ82:$BT82,,AH82)*(1-AF82)+INDEX(Models!$BJ82:$BT82,,AH82+1)*AF82-ERP_i)*AE82*Ramure*Pc/MaxiM</f>
        <v>1.8873782220117134E-4</v>
      </c>
      <c r="AE82" s="301">
        <f t="shared" si="40"/>
        <v>0.5</v>
      </c>
      <c r="AF82" s="173">
        <f t="shared" si="41"/>
        <v>0.49955962701895462</v>
      </c>
      <c r="AG82" s="801">
        <f t="shared" si="49"/>
        <v>2</v>
      </c>
      <c r="AH82" s="172">
        <f t="shared" si="42"/>
        <v>8</v>
      </c>
      <c r="AI82" s="221">
        <f t="shared" si="43"/>
        <v>2.4995596270189546</v>
      </c>
      <c r="AJ82" s="261" t="b">
        <f t="shared" si="44"/>
        <v>0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46456</v>
      </c>
      <c r="B83" s="406">
        <f>'2026'!Wh/'2026'!Env_an*'2027'!Env_an</f>
        <v>96.970745297553307</v>
      </c>
      <c r="C83" s="831"/>
      <c r="D83" s="388">
        <f t="shared" si="25"/>
        <v>99.706004630599978</v>
      </c>
      <c r="E83" s="380">
        <f t="shared" si="47"/>
        <v>102.68142025873797</v>
      </c>
      <c r="F83" s="380">
        <f t="shared" si="26"/>
        <v>102.68785906165346</v>
      </c>
      <c r="G83" s="110">
        <f t="shared" si="48"/>
        <v>0.54311201803212017</v>
      </c>
      <c r="H83" s="409" t="b">
        <f>Wh_hp&gt;='2026'!Maxi_hp</f>
        <v>0</v>
      </c>
      <c r="I83" s="385">
        <f>IF(H83,Wh_hp,'2026'!Maxi_hp)</f>
        <v>102.6999251260078</v>
      </c>
      <c r="J83" s="85">
        <f>IF(H83,An,'2026'!An_max)</f>
        <v>2022</v>
      </c>
      <c r="K83" s="193">
        <f t="shared" si="27"/>
        <v>46456</v>
      </c>
      <c r="L83" s="143">
        <f>IF(t&lt;Tvie,1-EXP((T0-t)*PertePVj)+'2026'!Pspv,1-EXP((T0-t)*PertePVj)+Pspv)</f>
        <v>2.7433245802803041E-2</v>
      </c>
      <c r="M83" s="835"/>
      <c r="N83" s="835"/>
      <c r="O83" s="48">
        <f>IF(t&lt;Tnet,'2026'!Resal+('2026'!Salim-'2026'!Resal)*(1-EXP(('2026'!Tnet-t)/('2026'!Tau_j))),Resal+(Salim-Resal)*(1-EXP((Tnet-t)/(Tau_j))))*Salcycl</f>
        <v>2.897715692518181E-2</v>
      </c>
      <c r="P83" s="165">
        <f>(INDEX(Models!$BJ83:$BT83,,T83)*(1-R83)+INDEX(Models!$BJ83:$BT83,,T83+1)*R83-ERP_i)*Q83*Ramure*Pc/MaxiM</f>
        <v>1.8049424361254603E-4</v>
      </c>
      <c r="Q83" s="301">
        <f t="shared" si="28"/>
        <v>0.5</v>
      </c>
      <c r="R83" s="173">
        <f t="shared" si="29"/>
        <v>0.49999961231029166</v>
      </c>
      <c r="S83" s="801">
        <f t="shared" si="30"/>
        <v>2</v>
      </c>
      <c r="T83" s="172">
        <f t="shared" si="31"/>
        <v>8</v>
      </c>
      <c r="U83" s="247">
        <f t="shared" si="32"/>
        <v>2.4999996123102917</v>
      </c>
      <c r="V83" s="378">
        <f t="shared" si="33"/>
        <v>178.52545888398521</v>
      </c>
      <c r="W83" s="397">
        <f t="shared" si="34"/>
        <v>96.970745297553307</v>
      </c>
      <c r="X83" s="153">
        <f t="shared" si="35"/>
        <v>46456</v>
      </c>
      <c r="Y83" s="380">
        <f t="shared" si="36"/>
        <v>94.091002767085115</v>
      </c>
      <c r="Z83" s="380">
        <f t="shared" si="37"/>
        <v>96.745033038634276</v>
      </c>
      <c r="AA83" s="381">
        <f t="shared" si="38"/>
        <v>102.68142025873797</v>
      </c>
      <c r="AB83" s="193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5.7813645400941263E-2</v>
      </c>
      <c r="AD83" s="227">
        <f>(INDEX(Models!$BJ83:$BT83,,AH83)*(1-AF83)+INDEX(Models!$BJ83:$BT83,,AH83+1)*AF83-ERP_i)*AE83*Ramure*Pc/MaxiM</f>
        <v>1.8049424361254603E-4</v>
      </c>
      <c r="AE83" s="301">
        <f t="shared" si="40"/>
        <v>0.5</v>
      </c>
      <c r="AF83" s="173">
        <f t="shared" si="41"/>
        <v>0.49999961231029166</v>
      </c>
      <c r="AG83" s="801">
        <f t="shared" si="49"/>
        <v>2</v>
      </c>
      <c r="AH83" s="172">
        <f t="shared" si="42"/>
        <v>8</v>
      </c>
      <c r="AI83" s="221">
        <f t="shared" si="43"/>
        <v>2.4999996123102917</v>
      </c>
      <c r="AJ83" s="261" t="b">
        <f t="shared" si="44"/>
        <v>0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46457</v>
      </c>
      <c r="B84" s="406">
        <f>'2026'!Wh/'2026'!Env_an*'2027'!Env_an</f>
        <v>66.371516831791681</v>
      </c>
      <c r="C84" s="831"/>
      <c r="D84" s="388">
        <f t="shared" si="25"/>
        <v>68.244596196736694</v>
      </c>
      <c r="E84" s="380">
        <f t="shared" si="47"/>
        <v>70.285233864446866</v>
      </c>
      <c r="F84" s="380">
        <f t="shared" si="26"/>
        <v>70.286434030761896</v>
      </c>
      <c r="G84" s="110">
        <f t="shared" si="48"/>
        <v>0.3690335960111083</v>
      </c>
      <c r="H84" s="409" t="b">
        <f>Wh_hp&gt;='2026'!Maxi_hp</f>
        <v>0</v>
      </c>
      <c r="I84" s="385">
        <f>IF(H84,Wh_hp,'2026'!Maxi_hp)</f>
        <v>70.297364846187307</v>
      </c>
      <c r="J84" s="85">
        <f>IF(H84,An,'2026'!An_max)</f>
        <v>2022</v>
      </c>
      <c r="K84" s="193">
        <f t="shared" si="27"/>
        <v>46457</v>
      </c>
      <c r="L84" s="143">
        <f>IF(t&lt;Tvie,1-EXP((T0-t)*PertePVj)+'2026'!Pspv,1-EXP((T0-t)*PertePVj)+Pspv)</f>
        <v>2.7446559424943673E-2</v>
      </c>
      <c r="M84" s="835"/>
      <c r="N84" s="835"/>
      <c r="O84" s="48">
        <f>IF(t&lt;Tnet,'2026'!Resal+('2026'!Salim-'2026'!Resal)*(1-EXP(('2026'!Tnet-t)/('2026'!Tau_j))),Resal+(Salim-Resal)*(1-EXP((Tnet-t)/(Tau_j))))*Salcycl</f>
        <v>2.9033661204653265E-2</v>
      </c>
      <c r="P84" s="165">
        <f>(INDEX(Models!$BJ84:$BT84,,T84)*(1-R84)+INDEX(Models!$BJ84:$BT84,,T84+1)*R84-ERP_i)*Q84*Ramure*Pc/MaxiM</f>
        <v>1.7299978313332033E-4</v>
      </c>
      <c r="Q84" s="301">
        <f t="shared" si="28"/>
        <v>0.5</v>
      </c>
      <c r="R84" s="173">
        <f t="shared" si="29"/>
        <v>0.50045721631795637</v>
      </c>
      <c r="S84" s="801">
        <f t="shared" si="30"/>
        <v>2</v>
      </c>
      <c r="T84" s="172">
        <f t="shared" si="31"/>
        <v>8</v>
      </c>
      <c r="U84" s="247">
        <f t="shared" si="32"/>
        <v>2.5004572163179564</v>
      </c>
      <c r="V84" s="378">
        <f t="shared" si="33"/>
        <v>179.82419062124407</v>
      </c>
      <c r="W84" s="397">
        <f t="shared" si="34"/>
        <v>66.371516831791681</v>
      </c>
      <c r="X84" s="153">
        <f t="shared" si="35"/>
        <v>46457</v>
      </c>
      <c r="Y84" s="380">
        <f t="shared" si="36"/>
        <v>64.402485550235312</v>
      </c>
      <c r="Z84" s="380">
        <f t="shared" si="37"/>
        <v>66.219996622658684</v>
      </c>
      <c r="AA84" s="381">
        <f t="shared" si="38"/>
        <v>70.285233864446866</v>
      </c>
      <c r="AB84" s="193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5.7839136590602441E-2</v>
      </c>
      <c r="AD84" s="227">
        <f>(INDEX(Models!$BJ84:$BT84,,AH84)*(1-AF84)+INDEX(Models!$BJ84:$BT84,,AH84+1)*AF84-ERP_i)*AE84*Ramure*Pc/MaxiM</f>
        <v>1.7299978313332033E-4</v>
      </c>
      <c r="AE84" s="301">
        <f t="shared" si="40"/>
        <v>0.5</v>
      </c>
      <c r="AF84" s="173">
        <f t="shared" si="41"/>
        <v>0.50045721631795637</v>
      </c>
      <c r="AG84" s="801">
        <f t="shared" si="49"/>
        <v>2</v>
      </c>
      <c r="AH84" s="172">
        <f t="shared" si="42"/>
        <v>8</v>
      </c>
      <c r="AI84" s="221">
        <f t="shared" si="43"/>
        <v>2.5004572163179564</v>
      </c>
      <c r="AJ84" s="261" t="b">
        <f t="shared" si="44"/>
        <v>0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46458</v>
      </c>
      <c r="B85" s="406">
        <f>'2026'!Wh/'2026'!Env_an*'2027'!Env_an</f>
        <v>62.117123494018081</v>
      </c>
      <c r="C85" s="831"/>
      <c r="D85" s="388">
        <f t="shared" si="25"/>
        <v>63.87101340177891</v>
      </c>
      <c r="E85" s="380">
        <f t="shared" si="47"/>
        <v>65.784701124861002</v>
      </c>
      <c r="F85" s="380">
        <f t="shared" si="26"/>
        <v>65.785372487076998</v>
      </c>
      <c r="G85" s="110">
        <f t="shared" si="48"/>
        <v>0.34291958910517251</v>
      </c>
      <c r="H85" s="409" t="b">
        <f>Wh_hp&gt;='2026'!Maxi_hp</f>
        <v>0</v>
      </c>
      <c r="I85" s="385">
        <f>IF(H85,Wh_hp,'2026'!Maxi_hp)</f>
        <v>65.795608679472551</v>
      </c>
      <c r="J85" s="85">
        <f>IF(H85,An,'2026'!An_max)</f>
        <v>2022</v>
      </c>
      <c r="K85" s="193">
        <f t="shared" si="27"/>
        <v>46458</v>
      </c>
      <c r="L85" s="143">
        <f>IF(t&lt;Tvie,1-EXP((T0-t)*PertePVj)+'2026'!Pspv,1-EXP((T0-t)*PertePVj)+Pspv)</f>
        <v>2.745987286483198E-2</v>
      </c>
      <c r="M85" s="835"/>
      <c r="N85" s="835"/>
      <c r="O85" s="48">
        <f>IF(t&lt;Tnet,'2026'!Resal+('2026'!Salim-'2026'!Resal)*(1-EXP(('2026'!Tnet-t)/('2026'!Tau_j))),Resal+(Salim-Resal)*(1-EXP((Tnet-t)/(Tau_j))))*Salcycl</f>
        <v>2.9090163675743651E-2</v>
      </c>
      <c r="P85" s="165">
        <f>(INDEX(Models!$BJ85:$BT85,,T85)*(1-R85)+INDEX(Models!$BJ85:$BT85,,T85+1)*R85-ERP_i)*Q85*Ramure*Pc/MaxiM</f>
        <v>1.6623745001789005E-4</v>
      </c>
      <c r="Q85" s="301">
        <f t="shared" si="28"/>
        <v>0.5</v>
      </c>
      <c r="R85" s="173">
        <f t="shared" si="29"/>
        <v>0.50093310881731146</v>
      </c>
      <c r="S85" s="801">
        <f t="shared" si="30"/>
        <v>2</v>
      </c>
      <c r="T85" s="172">
        <f t="shared" si="31"/>
        <v>8</v>
      </c>
      <c r="U85" s="247">
        <f t="shared" si="32"/>
        <v>2.5009331088173115</v>
      </c>
      <c r="V85" s="378">
        <f t="shared" si="33"/>
        <v>181.1136870058622</v>
      </c>
      <c r="W85" s="397">
        <f t="shared" si="34"/>
        <v>62.117123494018081</v>
      </c>
      <c r="X85" s="153">
        <f t="shared" si="35"/>
        <v>46458</v>
      </c>
      <c r="Y85" s="380">
        <f t="shared" si="36"/>
        <v>60.276177662770131</v>
      </c>
      <c r="Z85" s="380">
        <f t="shared" si="37"/>
        <v>61.978088081904588</v>
      </c>
      <c r="AA85" s="381">
        <f t="shared" si="38"/>
        <v>65.784701124861002</v>
      </c>
      <c r="AB85" s="193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5.7864715927360776E-2</v>
      </c>
      <c r="AD85" s="227">
        <f>(INDEX(Models!$BJ85:$BT85,,AH85)*(1-AF85)+INDEX(Models!$BJ85:$BT85,,AH85+1)*AF85-ERP_i)*AE85*Ramure*Pc/MaxiM</f>
        <v>1.6623745001789005E-4</v>
      </c>
      <c r="AE85" s="301">
        <f t="shared" si="40"/>
        <v>0.5</v>
      </c>
      <c r="AF85" s="173">
        <f t="shared" si="41"/>
        <v>0.50093310881731146</v>
      </c>
      <c r="AG85" s="801">
        <f t="shared" si="49"/>
        <v>2</v>
      </c>
      <c r="AH85" s="172">
        <f t="shared" si="42"/>
        <v>8</v>
      </c>
      <c r="AI85" s="221">
        <f t="shared" si="43"/>
        <v>2.5009331088173115</v>
      </c>
      <c r="AJ85" s="261" t="b">
        <f t="shared" si="44"/>
        <v>0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46459</v>
      </c>
      <c r="B86" s="406">
        <f>'2026'!Wh/'2026'!Env_an*'2027'!Env_an</f>
        <v>54.8584703017656</v>
      </c>
      <c r="C86" s="831"/>
      <c r="D86" s="388">
        <f t="shared" si="25"/>
        <v>56.408182806848487</v>
      </c>
      <c r="E86" s="380">
        <f t="shared" si="47"/>
        <v>58.101652700498725</v>
      </c>
      <c r="F86" s="380">
        <f t="shared" si="26"/>
        <v>58.101662934511182</v>
      </c>
      <c r="G86" s="110">
        <f t="shared" si="48"/>
        <v>0.3007202754879672</v>
      </c>
      <c r="H86" s="409" t="b">
        <f>Wh_hp&gt;='2026'!Maxi_hp</f>
        <v>0</v>
      </c>
      <c r="I86" s="385">
        <f>IF(H86,Wh_hp,'2026'!Maxi_hp)</f>
        <v>58.110947281906434</v>
      </c>
      <c r="J86" s="85">
        <f>IF(H86,An,'2026'!An_max)</f>
        <v>2022</v>
      </c>
      <c r="K86" s="193">
        <f t="shared" si="27"/>
        <v>46459</v>
      </c>
      <c r="L86" s="143">
        <f>IF(t&lt;Tvie,1-EXP((T0-t)*PertePVj)+'2026'!Pspv,1-EXP((T0-t)*PertePVj)+Pspv)</f>
        <v>2.7473186122470517E-2</v>
      </c>
      <c r="M86" s="835"/>
      <c r="N86" s="835"/>
      <c r="O86" s="48">
        <f>IF(t&lt;Tnet,'2026'!Resal+('2026'!Salim-'2026'!Resal)*(1-EXP(('2026'!Tnet-t)/('2026'!Tau_j))),Resal+(Salim-Resal)*(1-EXP((Tnet-t)/(Tau_j))))*Salcycl</f>
        <v>2.9146673372265355E-2</v>
      </c>
      <c r="P86" s="165">
        <f>(INDEX(Models!$BJ86:$BT86,,T86)*(1-R86)+INDEX(Models!$BJ86:$BT86,,T86+1)*R86-ERP_i)*Q86*Ramure*Pc/MaxiM</f>
        <v>1.6044397360231774E-4</v>
      </c>
      <c r="Q86" s="301">
        <f t="shared" si="28"/>
        <v>0.5</v>
      </c>
      <c r="R86" s="173">
        <f t="shared" si="29"/>
        <v>0.50142798206415762</v>
      </c>
      <c r="S86" s="801">
        <f t="shared" si="30"/>
        <v>2</v>
      </c>
      <c r="T86" s="172">
        <f t="shared" si="31"/>
        <v>8</v>
      </c>
      <c r="U86" s="247">
        <f t="shared" si="32"/>
        <v>2.5014279820641576</v>
      </c>
      <c r="V86" s="378">
        <f t="shared" si="33"/>
        <v>182.39434691595324</v>
      </c>
      <c r="W86" s="397">
        <f t="shared" si="34"/>
        <v>54.8584703017656</v>
      </c>
      <c r="X86" s="153">
        <f t="shared" si="35"/>
        <v>46459</v>
      </c>
      <c r="Y86" s="380">
        <f t="shared" si="36"/>
        <v>53.234294052714539</v>
      </c>
      <c r="Z86" s="380">
        <f t="shared" si="37"/>
        <v>54.738124741739355</v>
      </c>
      <c r="AA86" s="381">
        <f t="shared" si="38"/>
        <v>58.101652700498725</v>
      </c>
      <c r="AB86" s="193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5.7890400744667565E-2</v>
      </c>
      <c r="AD86" s="227">
        <f>(INDEX(Models!$BJ86:$BT86,,AH86)*(1-AF86)+INDEX(Models!$BJ86:$BT86,,AH86+1)*AF86-ERP_i)*AE86*Ramure*Pc/MaxiM</f>
        <v>1.6044397360231774E-4</v>
      </c>
      <c r="AE86" s="301">
        <f t="shared" si="40"/>
        <v>0.5</v>
      </c>
      <c r="AF86" s="173">
        <f t="shared" si="41"/>
        <v>0.50142798206415762</v>
      </c>
      <c r="AG86" s="801">
        <f t="shared" si="49"/>
        <v>2</v>
      </c>
      <c r="AH86" s="172">
        <f t="shared" si="42"/>
        <v>8</v>
      </c>
      <c r="AI86" s="221">
        <f t="shared" si="43"/>
        <v>2.5014279820641576</v>
      </c>
      <c r="AJ86" s="261" t="b">
        <f t="shared" si="44"/>
        <v>0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46460</v>
      </c>
      <c r="B87" s="406">
        <f>'2026'!Wh/'2026'!Env_an*'2027'!Env_an</f>
        <v>53.835458020356512</v>
      </c>
      <c r="C87" s="831"/>
      <c r="D87" s="388">
        <f t="shared" si="25"/>
        <v>55.357028952248491</v>
      </c>
      <c r="E87" s="380">
        <f t="shared" si="47"/>
        <v>57.022261446107478</v>
      </c>
      <c r="F87" s="380">
        <f t="shared" si="26"/>
        <v>57.022261446107478</v>
      </c>
      <c r="G87" s="110">
        <f t="shared" si="48"/>
        <v>0.29306949042395308</v>
      </c>
      <c r="H87" s="409" t="b">
        <f>Wh_hp&gt;='2026'!Maxi_hp</f>
        <v>0</v>
      </c>
      <c r="I87" s="385">
        <f>IF(H87,Wh_hp,'2026'!Maxi_hp)</f>
        <v>57.031108128817166</v>
      </c>
      <c r="J87" s="85">
        <f>IF(H87,An,'2026'!An_max)</f>
        <v>2022</v>
      </c>
      <c r="K87" s="193">
        <f t="shared" si="27"/>
        <v>46460</v>
      </c>
      <c r="L87" s="143">
        <f>IF(t&lt;Tvie,1-EXP((T0-t)*PertePVj)+'2026'!Pspv,1-EXP((T0-t)*PertePVj)+Pspv)</f>
        <v>2.7486499197861614E-2</v>
      </c>
      <c r="M87" s="835"/>
      <c r="N87" s="835"/>
      <c r="O87" s="48">
        <f>IF(t&lt;Tnet,'2026'!Resal+('2026'!Salim-'2026'!Resal)*(1-EXP(('2026'!Tnet-t)/('2026'!Tau_j))),Resal+(Salim-Resal)*(1-EXP((Tnet-t)/(Tau_j))))*Salcycl</f>
        <v>2.9203199796500871E-2</v>
      </c>
      <c r="P87" s="165">
        <f>(INDEX(Models!$BJ87:$BT87,,T87)*(1-R87)+INDEX(Models!$BJ87:$BT87,,T87+1)*R87-ERP_i)*Q87*Ramure*Pc/MaxiM</f>
        <v>1.5563336900704328E-4</v>
      </c>
      <c r="Q87" s="301">
        <f t="shared" si="28"/>
        <v>0.5</v>
      </c>
      <c r="R87" s="173">
        <f t="shared" si="29"/>
        <v>0.50194255129719512</v>
      </c>
      <c r="S87" s="801">
        <f t="shared" si="30"/>
        <v>2</v>
      </c>
      <c r="T87" s="172">
        <f t="shared" si="31"/>
        <v>8</v>
      </c>
      <c r="U87" s="247">
        <f t="shared" si="32"/>
        <v>2.5019425512971951</v>
      </c>
      <c r="V87" s="378">
        <f t="shared" si="33"/>
        <v>183.66660872404952</v>
      </c>
      <c r="W87" s="397">
        <f t="shared" si="34"/>
        <v>53.835458020356512</v>
      </c>
      <c r="X87" s="153">
        <f t="shared" si="35"/>
        <v>46460</v>
      </c>
      <c r="Y87" s="380">
        <f t="shared" si="36"/>
        <v>52.243180406474593</v>
      </c>
      <c r="Z87" s="380">
        <f t="shared" si="37"/>
        <v>53.719748222913019</v>
      </c>
      <c r="AA87" s="381">
        <f t="shared" si="38"/>
        <v>57.022261446107478</v>
      </c>
      <c r="AB87" s="193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5.7916209203938938E-2</v>
      </c>
      <c r="AD87" s="227">
        <f>(INDEX(Models!$BJ87:$BT87,,AH87)*(1-AF87)+INDEX(Models!$BJ87:$BT87,,AH87+1)*AF87-ERP_i)*AE87*Ramure*Pc/MaxiM</f>
        <v>1.5563336900704328E-4</v>
      </c>
      <c r="AE87" s="301">
        <f t="shared" si="40"/>
        <v>0.5</v>
      </c>
      <c r="AF87" s="173">
        <f t="shared" si="41"/>
        <v>0.50194255129719512</v>
      </c>
      <c r="AG87" s="801">
        <f t="shared" si="49"/>
        <v>2</v>
      </c>
      <c r="AH87" s="172">
        <f t="shared" si="42"/>
        <v>8</v>
      </c>
      <c r="AI87" s="221">
        <f t="shared" si="43"/>
        <v>2.5019425512971951</v>
      </c>
      <c r="AJ87" s="261" t="b">
        <f t="shared" si="44"/>
        <v>0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46461</v>
      </c>
      <c r="B88" s="406">
        <f>'2026'!Wh/'2026'!Env_an*'2027'!Env_an</f>
        <v>57.437191545102799</v>
      </c>
      <c r="C88" s="831"/>
      <c r="D88" s="388">
        <f t="shared" si="25"/>
        <v>59.06136806883358</v>
      </c>
      <c r="E88" s="380">
        <f t="shared" si="47"/>
        <v>60.841577594769269</v>
      </c>
      <c r="F88" s="380">
        <f t="shared" si="26"/>
        <v>60.841717270009319</v>
      </c>
      <c r="G88" s="110">
        <f t="shared" si="48"/>
        <v>0.31054085618338551</v>
      </c>
      <c r="H88" s="409" t="b">
        <f>Wh_hp&gt;='2026'!Maxi_hp</f>
        <v>0</v>
      </c>
      <c r="I88" s="385">
        <f>IF(H88,Wh_hp,'2026'!Maxi_hp)</f>
        <v>60.850782095593019</v>
      </c>
      <c r="J88" s="85">
        <f>IF(H88,An,'2026'!An_max)</f>
        <v>2022</v>
      </c>
      <c r="K88" s="193">
        <f t="shared" si="27"/>
        <v>46461</v>
      </c>
      <c r="L88" s="143">
        <f>IF(t&lt;Tvie,1-EXP((T0-t)*PertePVj)+'2026'!Pspv,1-EXP((T0-t)*PertePVj)+Pspv)</f>
        <v>2.7499812091007936E-2</v>
      </c>
      <c r="M88" s="835"/>
      <c r="N88" s="835"/>
      <c r="O88" s="48">
        <f>IF(t&lt;Tnet,'2026'!Resal+('2026'!Salim-'2026'!Resal)*(1-EXP(('2026'!Tnet-t)/('2026'!Tau_j))),Resal+(Salim-Resal)*(1-EXP((Tnet-t)/(Tau_j))))*Salcycl</f>
        <v>2.9259752891232414E-2</v>
      </c>
      <c r="P88" s="165">
        <f>(INDEX(Models!$BJ88:$BT88,,T88)*(1-R88)+INDEX(Models!$BJ88:$BT88,,T88+1)*R88-ERP_i)*Q88*Ramure*Pc/MaxiM</f>
        <v>1.51785874256228E-4</v>
      </c>
      <c r="Q88" s="301">
        <f t="shared" si="28"/>
        <v>0.5</v>
      </c>
      <c r="R88" s="173">
        <f t="shared" si="29"/>
        <v>0.50247755522882676</v>
      </c>
      <c r="S88" s="801">
        <f t="shared" si="30"/>
        <v>2</v>
      </c>
      <c r="T88" s="172">
        <f t="shared" si="31"/>
        <v>8</v>
      </c>
      <c r="U88" s="247">
        <f t="shared" si="32"/>
        <v>2.5024775552288268</v>
      </c>
      <c r="V88" s="378">
        <f t="shared" si="33"/>
        <v>184.93091677625623</v>
      </c>
      <c r="W88" s="397">
        <f t="shared" si="34"/>
        <v>57.437191545102799</v>
      </c>
      <c r="X88" s="153">
        <f t="shared" si="35"/>
        <v>46461</v>
      </c>
      <c r="Y88" s="380">
        <f t="shared" si="36"/>
        <v>55.740098085344123</v>
      </c>
      <c r="Z88" s="380">
        <f t="shared" si="37"/>
        <v>57.316285156913878</v>
      </c>
      <c r="AA88" s="381">
        <f t="shared" si="38"/>
        <v>60.841577594769269</v>
      </c>
      <c r="AB88" s="193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5.7942160233505791E-2</v>
      </c>
      <c r="AD88" s="227">
        <f>(INDEX(Models!$BJ88:$BT88,,AH88)*(1-AF88)+INDEX(Models!$BJ88:$BT88,,AH88+1)*AF88-ERP_i)*AE88*Ramure*Pc/MaxiM</f>
        <v>1.51785874256228E-4</v>
      </c>
      <c r="AE88" s="301">
        <f t="shared" si="40"/>
        <v>0.5</v>
      </c>
      <c r="AF88" s="173">
        <f t="shared" si="41"/>
        <v>0.50247755522882676</v>
      </c>
      <c r="AG88" s="801">
        <f t="shared" si="49"/>
        <v>2</v>
      </c>
      <c r="AH88" s="172">
        <f t="shared" si="42"/>
        <v>8</v>
      </c>
      <c r="AI88" s="221">
        <f t="shared" si="43"/>
        <v>2.5024775552288268</v>
      </c>
      <c r="AJ88" s="261" t="b">
        <f t="shared" si="44"/>
        <v>0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46462</v>
      </c>
      <c r="B89" s="406">
        <f>'2026'!Wh/'2026'!Env_an*'2027'!Env_an</f>
        <v>38.174885937381156</v>
      </c>
      <c r="C89" s="831"/>
      <c r="D89" s="388">
        <f t="shared" si="25"/>
        <v>39.254911208549963</v>
      </c>
      <c r="E89" s="380">
        <f t="shared" si="47"/>
        <v>40.440478137104222</v>
      </c>
      <c r="F89" s="380">
        <f t="shared" si="26"/>
        <v>40.440478137104222</v>
      </c>
      <c r="G89" s="110">
        <f t="shared" si="48"/>
        <v>0.20500387112248186</v>
      </c>
      <c r="H89" s="409" t="b">
        <f>Wh_hp&gt;='2026'!Maxi_hp</f>
        <v>0</v>
      </c>
      <c r="I89" s="385">
        <f>IF(H89,Wh_hp,'2026'!Maxi_hp)</f>
        <v>40.446477610903443</v>
      </c>
      <c r="J89" s="85">
        <f>IF(H89,An,'2026'!An_max)</f>
        <v>2022</v>
      </c>
      <c r="K89" s="193">
        <f t="shared" si="27"/>
        <v>46462</v>
      </c>
      <c r="L89" s="143">
        <f>IF(t&lt;Tvie,1-EXP((T0-t)*PertePVj)+'2026'!Pspv,1-EXP((T0-t)*PertePVj)+Pspv)</f>
        <v>2.7513124801912037E-2</v>
      </c>
      <c r="M89" s="835"/>
      <c r="N89" s="835"/>
      <c r="O89" s="48">
        <f>IF(t&lt;Tnet,'2026'!Resal+('2026'!Salim-'2026'!Resal)*(1-EXP(('2026'!Tnet-t)/('2026'!Tau_j))),Resal+(Salim-Resal)*(1-EXP((Tnet-t)/(Tau_j))))*Salcycl</f>
        <v>2.9316343009963129E-2</v>
      </c>
      <c r="P89" s="165">
        <f>(INDEX(Models!$BJ89:$BT89,,T89)*(1-R89)+INDEX(Models!$BJ89:$BT89,,T89+1)*R89-ERP_i)*Q89*Ramure*Pc/MaxiM</f>
        <v>1.4888274904156584E-4</v>
      </c>
      <c r="Q89" s="301">
        <f t="shared" si="28"/>
        <v>0.5</v>
      </c>
      <c r="R89" s="173">
        <f t="shared" si="29"/>
        <v>0.50303375652159854</v>
      </c>
      <c r="S89" s="801">
        <f t="shared" si="30"/>
        <v>2</v>
      </c>
      <c r="T89" s="172">
        <f t="shared" si="31"/>
        <v>8</v>
      </c>
      <c r="U89" s="247">
        <f t="shared" si="32"/>
        <v>2.5030337565215985</v>
      </c>
      <c r="V89" s="378">
        <f t="shared" si="33"/>
        <v>186.18771512179799</v>
      </c>
      <c r="W89" s="397">
        <f t="shared" si="34"/>
        <v>38.174885937381156</v>
      </c>
      <c r="X89" s="153">
        <f t="shared" si="35"/>
        <v>46462</v>
      </c>
      <c r="Y89" s="380">
        <f t="shared" si="36"/>
        <v>37.048067566520956</v>
      </c>
      <c r="Z89" s="380">
        <f t="shared" si="37"/>
        <v>38.096213441414882</v>
      </c>
      <c r="AA89" s="381">
        <f t="shared" si="38"/>
        <v>40.440478137104222</v>
      </c>
      <c r="AB89" s="193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5.7968273464563014E-2</v>
      </c>
      <c r="AD89" s="227">
        <f>(INDEX(Models!$BJ89:$BT89,,AH89)*(1-AF89)+INDEX(Models!$BJ89:$BT89,,AH89+1)*AF89-ERP_i)*AE89*Ramure*Pc/MaxiM</f>
        <v>1.4888274904156584E-4</v>
      </c>
      <c r="AE89" s="301">
        <f t="shared" si="40"/>
        <v>0.5</v>
      </c>
      <c r="AF89" s="173">
        <f t="shared" si="41"/>
        <v>0.50303375652159854</v>
      </c>
      <c r="AG89" s="801">
        <f t="shared" si="49"/>
        <v>2</v>
      </c>
      <c r="AH89" s="172">
        <f t="shared" si="42"/>
        <v>8</v>
      </c>
      <c r="AI89" s="221">
        <f t="shared" si="43"/>
        <v>2.5030337565215985</v>
      </c>
      <c r="AJ89" s="261" t="b">
        <f t="shared" si="44"/>
        <v>0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46463</v>
      </c>
      <c r="B90" s="406">
        <f>'2026'!Wh/'2026'!Env_an*'2027'!Env_an</f>
        <v>49.032053523988843</v>
      </c>
      <c r="C90" s="831"/>
      <c r="D90" s="388">
        <f t="shared" si="25"/>
        <v>50.419934696627294</v>
      </c>
      <c r="E90" s="380">
        <f t="shared" si="47"/>
        <v>51.945735801411217</v>
      </c>
      <c r="F90" s="380">
        <f t="shared" si="26"/>
        <v>51.945735801411217</v>
      </c>
      <c r="G90" s="110">
        <f t="shared" si="48"/>
        <v>0.26155312644691608</v>
      </c>
      <c r="H90" s="409" t="b">
        <f>Wh_hp&gt;='2026'!Maxi_hp</f>
        <v>0</v>
      </c>
      <c r="I90" s="385">
        <f>IF(H90,Wh_hp,'2026'!Maxi_hp)</f>
        <v>51.95333809562544</v>
      </c>
      <c r="J90" s="85">
        <f>IF(H90,An,'2026'!An_max)</f>
        <v>2022</v>
      </c>
      <c r="K90" s="193">
        <f t="shared" si="27"/>
        <v>46463</v>
      </c>
      <c r="L90" s="143">
        <f>IF(t&lt;Tvie,1-EXP((T0-t)*PertePVj)+'2026'!Pspv,1-EXP((T0-t)*PertePVj)+Pspv)</f>
        <v>2.7526437330576137E-2</v>
      </c>
      <c r="M90" s="835"/>
      <c r="N90" s="835"/>
      <c r="O90" s="48">
        <f>IF(t&lt;Tnet,'2026'!Resal+('2026'!Salim-'2026'!Resal)*(1-EXP(('2026'!Tnet-t)/('2026'!Tau_j))),Resal+(Salim-Resal)*(1-EXP((Tnet-t)/(Tau_j))))*Salcycl</f>
        <v>2.937298088561233E-2</v>
      </c>
      <c r="P90" s="165">
        <f>(INDEX(Models!$BJ90:$BT90,,T90)*(1-R90)+INDEX(Models!$BJ90:$BT90,,T90+1)*R90-ERP_i)*Q90*Ramure*Pc/MaxiM</f>
        <v>1.469062445963517E-4</v>
      </c>
      <c r="Q90" s="301">
        <f t="shared" si="28"/>
        <v>0.5</v>
      </c>
      <c r="R90" s="173">
        <f t="shared" si="29"/>
        <v>0.50361194224736305</v>
      </c>
      <c r="S90" s="801">
        <f t="shared" si="30"/>
        <v>2</v>
      </c>
      <c r="T90" s="172">
        <f t="shared" si="31"/>
        <v>8</v>
      </c>
      <c r="U90" s="247">
        <f t="shared" si="32"/>
        <v>2.5036119422473631</v>
      </c>
      <c r="V90" s="378">
        <f t="shared" si="33"/>
        <v>187.43744750874049</v>
      </c>
      <c r="W90" s="397">
        <f t="shared" si="34"/>
        <v>49.032053523988843</v>
      </c>
      <c r="X90" s="153">
        <f t="shared" si="35"/>
        <v>46463</v>
      </c>
      <c r="Y90" s="380">
        <f t="shared" si="36"/>
        <v>47.58620952747367</v>
      </c>
      <c r="Z90" s="380">
        <f t="shared" si="37"/>
        <v>48.933165233664873</v>
      </c>
      <c r="AA90" s="381">
        <f t="shared" si="38"/>
        <v>51.945735801411217</v>
      </c>
      <c r="AB90" s="193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5.7994569164703247E-2</v>
      </c>
      <c r="AD90" s="227">
        <f>(INDEX(Models!$BJ90:$BT90,,AH90)*(1-AF90)+INDEX(Models!$BJ90:$BT90,,AH90+1)*AF90-ERP_i)*AE90*Ramure*Pc/MaxiM</f>
        <v>1.469062445963517E-4</v>
      </c>
      <c r="AE90" s="301">
        <f t="shared" si="40"/>
        <v>0.5</v>
      </c>
      <c r="AF90" s="173">
        <f t="shared" si="41"/>
        <v>0.50361194224736305</v>
      </c>
      <c r="AG90" s="801">
        <f t="shared" si="49"/>
        <v>2</v>
      </c>
      <c r="AH90" s="172">
        <f t="shared" si="42"/>
        <v>8</v>
      </c>
      <c r="AI90" s="221">
        <f t="shared" si="43"/>
        <v>2.5036119422473631</v>
      </c>
      <c r="AJ90" s="261" t="b">
        <f t="shared" si="44"/>
        <v>0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46464</v>
      </c>
      <c r="B91" s="406">
        <f>'2026'!Wh/'2026'!Env_an*'2027'!Env_an</f>
        <v>51.765719554230671</v>
      </c>
      <c r="C91" s="831"/>
      <c r="D91" s="388">
        <f t="shared" si="25"/>
        <v>53.231707452347784</v>
      </c>
      <c r="E91" s="380">
        <f t="shared" si="47"/>
        <v>54.845801714404793</v>
      </c>
      <c r="F91" s="380">
        <f t="shared" si="26"/>
        <v>54.845801714404793</v>
      </c>
      <c r="G91" s="110">
        <f t="shared" si="48"/>
        <v>0.27431639368953331</v>
      </c>
      <c r="H91" s="409" t="b">
        <f>Wh_hp&gt;='2026'!Maxi_hp</f>
        <v>0</v>
      </c>
      <c r="I91" s="385">
        <f>IF(H91,Wh_hp,'2026'!Maxi_hp)</f>
        <v>54.853768261754404</v>
      </c>
      <c r="J91" s="85">
        <f>IF(H91,An,'2026'!An_max)</f>
        <v>2022</v>
      </c>
      <c r="K91" s="193">
        <f t="shared" si="27"/>
        <v>46464</v>
      </c>
      <c r="L91" s="143">
        <f>IF(t&lt;Tvie,1-EXP((T0-t)*PertePVj)+'2026'!Pspv,1-EXP((T0-t)*PertePVj)+Pspv)</f>
        <v>2.7539749677003011E-2</v>
      </c>
      <c r="M91" s="835"/>
      <c r="N91" s="835"/>
      <c r="O91" s="48">
        <f>IF(t&lt;Tnet,'2026'!Resal+('2026'!Salim-'2026'!Resal)*(1-EXP(('2026'!Tnet-t)/('2026'!Tau_j))),Resal+(Salim-Resal)*(1-EXP((Tnet-t)/(Tau_j))))*Salcycl</f>
        <v>2.9429677597967833E-2</v>
      </c>
      <c r="P91" s="165">
        <f>(INDEX(Models!$BJ91:$BT91,,T91)*(1-R91)+INDEX(Models!$BJ91:$BT91,,T91+1)*R91-ERP_i)*Q91*Ramure*Pc/MaxiM</f>
        <v>1.4583957836191702E-4</v>
      </c>
      <c r="Q91" s="301">
        <f t="shared" si="28"/>
        <v>0.5</v>
      </c>
      <c r="R91" s="173">
        <f t="shared" si="29"/>
        <v>0.50421292432598808</v>
      </c>
      <c r="S91" s="801">
        <f t="shared" si="30"/>
        <v>2</v>
      </c>
      <c r="T91" s="172">
        <f t="shared" si="31"/>
        <v>8</v>
      </c>
      <c r="U91" s="247">
        <f t="shared" si="32"/>
        <v>2.5042129243259881</v>
      </c>
      <c r="V91" s="378">
        <f t="shared" si="33"/>
        <v>188.6805573935049</v>
      </c>
      <c r="W91" s="397">
        <f t="shared" si="34"/>
        <v>51.765719554230671</v>
      </c>
      <c r="X91" s="153">
        <f t="shared" si="35"/>
        <v>46464</v>
      </c>
      <c r="Y91" s="380">
        <f t="shared" si="36"/>
        <v>50.240787386168549</v>
      </c>
      <c r="Z91" s="380">
        <f t="shared" si="37"/>
        <v>51.663589714316203</v>
      </c>
      <c r="AA91" s="381">
        <f t="shared" si="38"/>
        <v>54.845801714404793</v>
      </c>
      <c r="AB91" s="193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5.8021068169613645E-2</v>
      </c>
      <c r="AD91" s="227">
        <f>(INDEX(Models!$BJ91:$BT91,,AH91)*(1-AF91)+INDEX(Models!$BJ91:$BT91,,AH91+1)*AF91-ERP_i)*AE91*Ramure*Pc/MaxiM</f>
        <v>1.4583957836191702E-4</v>
      </c>
      <c r="AE91" s="301">
        <f t="shared" si="40"/>
        <v>0.5</v>
      </c>
      <c r="AF91" s="173">
        <f t="shared" si="41"/>
        <v>0.50421292432598808</v>
      </c>
      <c r="AG91" s="801">
        <f t="shared" si="49"/>
        <v>2</v>
      </c>
      <c r="AH91" s="172">
        <f t="shared" si="42"/>
        <v>8</v>
      </c>
      <c r="AI91" s="221">
        <f t="shared" si="43"/>
        <v>2.5042129243259881</v>
      </c>
      <c r="AJ91" s="261" t="b">
        <f t="shared" si="44"/>
        <v>0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46465</v>
      </c>
      <c r="B92" s="406">
        <f>'2026'!Wh/'2026'!Env_an*'2027'!Env_an</f>
        <v>117.63980497558849</v>
      </c>
      <c r="C92" s="831"/>
      <c r="D92" s="388">
        <f t="shared" si="25"/>
        <v>120.9729810022574</v>
      </c>
      <c r="E92" s="380">
        <f t="shared" si="47"/>
        <v>124.64841971727101</v>
      </c>
      <c r="F92" s="380">
        <f t="shared" si="26"/>
        <v>124.65670578744771</v>
      </c>
      <c r="G92" s="110">
        <f t="shared" si="48"/>
        <v>0.61937680971164366</v>
      </c>
      <c r="H92" s="409" t="b">
        <f>Wh_hp&gt;='2026'!Maxi_hp</f>
        <v>0</v>
      </c>
      <c r="I92" s="385">
        <f>IF(H92,Wh_hp,'2026'!Maxi_hp)</f>
        <v>124.66653595524753</v>
      </c>
      <c r="J92" s="85">
        <f>IF(H92,An,'2026'!An_max)</f>
        <v>2022</v>
      </c>
      <c r="K92" s="193">
        <f t="shared" si="27"/>
        <v>46465</v>
      </c>
      <c r="L92" s="143">
        <f>IF(t&lt;Tvie,1-EXP((T0-t)*PertePVj)+'2026'!Pspv,1-EXP((T0-t)*PertePVj)+Pspv)</f>
        <v>2.7553061841194992E-2</v>
      </c>
      <c r="M92" s="835"/>
      <c r="N92" s="835"/>
      <c r="O92" s="48">
        <f>IF(t&lt;Tnet,'2026'!Resal+('2026'!Salim-'2026'!Resal)*(1-EXP(('2026'!Tnet-t)/('2026'!Tau_j))),Resal+(Salim-Resal)*(1-EXP((Tnet-t)/(Tau_j))))*Salcycl</f>
        <v>2.9486444540173819E-2</v>
      </c>
      <c r="P92" s="165">
        <f>(INDEX(Models!$BJ92:$BT92,,T92)*(1-R92)+INDEX(Models!$BJ92:$BT92,,T92+1)*R92-ERP_i)*Q92*Ramure*Pc/MaxiM</f>
        <v>1.456669129021319E-4</v>
      </c>
      <c r="Q92" s="301">
        <f t="shared" si="28"/>
        <v>0.5</v>
      </c>
      <c r="R92" s="173">
        <f t="shared" si="29"/>
        <v>0.50483753994019498</v>
      </c>
      <c r="S92" s="801">
        <f t="shared" si="30"/>
        <v>2</v>
      </c>
      <c r="T92" s="172">
        <f t="shared" si="31"/>
        <v>8</v>
      </c>
      <c r="U92" s="247">
        <f t="shared" si="32"/>
        <v>2.504837539940195</v>
      </c>
      <c r="V92" s="378">
        <f t="shared" si="33"/>
        <v>189.91748792267722</v>
      </c>
      <c r="W92" s="397">
        <f t="shared" si="34"/>
        <v>117.63980497558849</v>
      </c>
      <c r="X92" s="153">
        <f t="shared" si="35"/>
        <v>46465</v>
      </c>
      <c r="Y92" s="380">
        <f t="shared" si="36"/>
        <v>114.17777056692731</v>
      </c>
      <c r="Z92" s="380">
        <f t="shared" si="37"/>
        <v>117.41285419964123</v>
      </c>
      <c r="AA92" s="381">
        <f t="shared" si="38"/>
        <v>124.64841971727101</v>
      </c>
      <c r="AB92" s="193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5.8047791813498992E-2</v>
      </c>
      <c r="AD92" s="227">
        <f>(INDEX(Models!$BJ92:$BT92,,AH92)*(1-AF92)+INDEX(Models!$BJ92:$BT92,,AH92+1)*AF92-ERP_i)*AE92*Ramure*Pc/MaxiM</f>
        <v>1.456669129021319E-4</v>
      </c>
      <c r="AE92" s="301">
        <f t="shared" si="40"/>
        <v>0.5</v>
      </c>
      <c r="AF92" s="173">
        <f t="shared" si="41"/>
        <v>0.50483753994019498</v>
      </c>
      <c r="AG92" s="801">
        <f t="shared" si="49"/>
        <v>2</v>
      </c>
      <c r="AH92" s="172">
        <f t="shared" si="42"/>
        <v>8</v>
      </c>
      <c r="AI92" s="221">
        <f t="shared" si="43"/>
        <v>2.504837539940195</v>
      </c>
      <c r="AJ92" s="261" t="b">
        <f t="shared" si="44"/>
        <v>0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46466</v>
      </c>
      <c r="B93" s="406">
        <f>'2026'!Wh/'2026'!Env_an*'2027'!Env_an</f>
        <v>125.64751731261009</v>
      </c>
      <c r="C93" s="831"/>
      <c r="D93" s="388">
        <f t="shared" si="25"/>
        <v>129.20935057192276</v>
      </c>
      <c r="E93" s="380">
        <f t="shared" si="47"/>
        <v>133.14282820770865</v>
      </c>
      <c r="F93" s="380">
        <f t="shared" si="26"/>
        <v>133.15277637865842</v>
      </c>
      <c r="G93" s="110">
        <f t="shared" si="48"/>
        <v>0.65726089984677283</v>
      </c>
      <c r="H93" s="409" t="b">
        <f>Wh_hp&gt;='2026'!Maxi_hp</f>
        <v>0</v>
      </c>
      <c r="I93" s="385">
        <f>IF(H93,Wh_hp,'2026'!Maxi_hp)</f>
        <v>133.16227442268254</v>
      </c>
      <c r="J93" s="85">
        <f>IF(H93,An,'2026'!An_max)</f>
        <v>2022</v>
      </c>
      <c r="K93" s="193">
        <f t="shared" si="27"/>
        <v>46466</v>
      </c>
      <c r="L93" s="143">
        <f>IF(t&lt;Tvie,1-EXP((T0-t)*PertePVj)+'2026'!Pspv,1-EXP((T0-t)*PertePVj)+Pspv)</f>
        <v>2.7566373823154633E-2</v>
      </c>
      <c r="M93" s="835"/>
      <c r="N93" s="835"/>
      <c r="O93" s="48">
        <f>IF(t&lt;Tnet,'2026'!Resal+('2026'!Salim-'2026'!Resal)*(1-EXP(('2026'!Tnet-t)/('2026'!Tau_j))),Resal+(Salim-Resal)*(1-EXP((Tnet-t)/(Tau_j))))*Salcycl</f>
        <v>2.9543293384526045E-2</v>
      </c>
      <c r="P93" s="165">
        <f>(INDEX(Models!$BJ93:$BT93,,T93)*(1-R93)+INDEX(Models!$BJ93:$BT93,,T93+1)*R93-ERP_i)*Q93*Ramure*Pc/MaxiM</f>
        <v>1.4636873142799683E-4</v>
      </c>
      <c r="Q93" s="301">
        <f t="shared" si="28"/>
        <v>0.5</v>
      </c>
      <c r="R93" s="173">
        <f t="shared" si="29"/>
        <v>0.5054866519228165</v>
      </c>
      <c r="S93" s="801">
        <f t="shared" si="30"/>
        <v>2</v>
      </c>
      <c r="T93" s="172">
        <f t="shared" si="31"/>
        <v>8</v>
      </c>
      <c r="U93" s="247">
        <f t="shared" si="32"/>
        <v>2.5054866519228165</v>
      </c>
      <c r="V93" s="378">
        <f t="shared" si="33"/>
        <v>191.15470467827473</v>
      </c>
      <c r="W93" s="397">
        <f t="shared" si="34"/>
        <v>125.64751731261009</v>
      </c>
      <c r="X93" s="153">
        <f t="shared" si="35"/>
        <v>46466</v>
      </c>
      <c r="Y93" s="380">
        <f t="shared" si="36"/>
        <v>121.9534749564345</v>
      </c>
      <c r="Z93" s="380">
        <f t="shared" si="37"/>
        <v>125.41059016634233</v>
      </c>
      <c r="AA93" s="381">
        <f t="shared" si="38"/>
        <v>133.14282820770865</v>
      </c>
      <c r="AB93" s="193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5.8074761858773798E-2</v>
      </c>
      <c r="AD93" s="227">
        <f>(INDEX(Models!$BJ93:$BT93,,AH93)*(1-AF93)+INDEX(Models!$BJ93:$BT93,,AH93+1)*AF93-ERP_i)*AE93*Ramure*Pc/MaxiM</f>
        <v>1.4636873142799683E-4</v>
      </c>
      <c r="AE93" s="301">
        <f t="shared" si="40"/>
        <v>0.5</v>
      </c>
      <c r="AF93" s="173">
        <f t="shared" si="41"/>
        <v>0.5054866519228165</v>
      </c>
      <c r="AG93" s="801">
        <f t="shared" si="49"/>
        <v>2</v>
      </c>
      <c r="AH93" s="172">
        <f t="shared" si="42"/>
        <v>8</v>
      </c>
      <c r="AI93" s="221">
        <f t="shared" si="43"/>
        <v>2.5054866519228165</v>
      </c>
      <c r="AJ93" s="261" t="b">
        <f t="shared" si="44"/>
        <v>0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46467</v>
      </c>
      <c r="B94" s="406">
        <f>'2026'!Wh/'2026'!Env_an*'2027'!Env_an</f>
        <v>181.07669889497444</v>
      </c>
      <c r="C94" s="831"/>
      <c r="D94" s="388">
        <f t="shared" si="25"/>
        <v>186.21237773191035</v>
      </c>
      <c r="E94" s="380">
        <f t="shared" si="47"/>
        <v>191.89243922887994</v>
      </c>
      <c r="F94" s="380">
        <f t="shared" si="26"/>
        <v>191.9184177781687</v>
      </c>
      <c r="G94" s="110">
        <f t="shared" si="48"/>
        <v>0.9411539433556696</v>
      </c>
      <c r="H94" s="409" t="b">
        <f>Wh_hp&gt;='2026'!Maxi_hp</f>
        <v>0</v>
      </c>
      <c r="I94" s="385">
        <f>IF(H94,Wh_hp,'2026'!Maxi_hp)</f>
        <v>191.92079017384989</v>
      </c>
      <c r="J94" s="85">
        <f>IF(H94,An,'2026'!An_max)</f>
        <v>2022</v>
      </c>
      <c r="K94" s="193">
        <f t="shared" si="27"/>
        <v>46467</v>
      </c>
      <c r="L94" s="143">
        <f>IF(t&lt;Tvie,1-EXP((T0-t)*PertePVj)+'2026'!Pspv,1-EXP((T0-t)*PertePVj)+Pspv)</f>
        <v>2.7579685622884487E-2</v>
      </c>
      <c r="M94" s="835"/>
      <c r="N94" s="835"/>
      <c r="O94" s="48">
        <f>IF(t&lt;Tnet,'2026'!Resal+('2026'!Salim-'2026'!Resal)*(1-EXP(('2026'!Tnet-t)/('2026'!Tau_j))),Resal+(Salim-Resal)*(1-EXP((Tnet-t)/(Tau_j))))*Salcycl</f>
        <v>2.9600236047834624E-2</v>
      </c>
      <c r="P94" s="165">
        <f>(INDEX(Models!$BJ94:$BT94,,T94)*(1-R94)+INDEX(Models!$BJ94:$BT94,,T94+1)*R94-ERP_i)*Q94*Ramure*Pc/MaxiM</f>
        <v>1.4778353252489253E-4</v>
      </c>
      <c r="Q94" s="301">
        <f t="shared" si="28"/>
        <v>0.5</v>
      </c>
      <c r="R94" s="173">
        <f t="shared" si="29"/>
        <v>0.50616114911251664</v>
      </c>
      <c r="S94" s="801">
        <f t="shared" si="30"/>
        <v>2</v>
      </c>
      <c r="T94" s="172">
        <f t="shared" si="31"/>
        <v>8</v>
      </c>
      <c r="U94" s="247">
        <f t="shared" si="32"/>
        <v>2.5061611491125166</v>
      </c>
      <c r="V94" s="378">
        <f t="shared" si="33"/>
        <v>192.39620755153405</v>
      </c>
      <c r="W94" s="397">
        <f t="shared" si="34"/>
        <v>181.07669889497444</v>
      </c>
      <c r="X94" s="153">
        <f t="shared" si="35"/>
        <v>46467</v>
      </c>
      <c r="Y94" s="380">
        <f t="shared" si="36"/>
        <v>175.75826663858393</v>
      </c>
      <c r="Z94" s="380">
        <f t="shared" si="37"/>
        <v>180.74310464314601</v>
      </c>
      <c r="AA94" s="381">
        <f t="shared" si="38"/>
        <v>191.89243922887994</v>
      </c>
      <c r="AB94" s="193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5.8102000425537988E-2</v>
      </c>
      <c r="AD94" s="227">
        <f>(INDEX(Models!$BJ94:$BT94,,AH94)*(1-AF94)+INDEX(Models!$BJ94:$BT94,,AH94+1)*AF94-ERP_i)*AE94*Ramure*Pc/MaxiM</f>
        <v>1.4778353252489253E-4</v>
      </c>
      <c r="AE94" s="301">
        <f t="shared" si="40"/>
        <v>0.5</v>
      </c>
      <c r="AF94" s="173">
        <f t="shared" si="41"/>
        <v>0.50616114911251664</v>
      </c>
      <c r="AG94" s="801">
        <f t="shared" si="49"/>
        <v>2</v>
      </c>
      <c r="AH94" s="172">
        <f t="shared" si="42"/>
        <v>8</v>
      </c>
      <c r="AI94" s="221">
        <f t="shared" si="43"/>
        <v>2.5061611491125166</v>
      </c>
      <c r="AJ94" s="261" t="b">
        <f t="shared" si="44"/>
        <v>0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46468</v>
      </c>
      <c r="B95" s="406">
        <f>'2026'!Wh/'2026'!Env_an*'2027'!Env_an</f>
        <v>161.22058776983835</v>
      </c>
      <c r="C95" s="831"/>
      <c r="D95" s="388">
        <f t="shared" si="25"/>
        <v>165.79537921087285</v>
      </c>
      <c r="E95" s="380">
        <f t="shared" si="47"/>
        <v>170.86270303188581</v>
      </c>
      <c r="F95" s="380">
        <f t="shared" si="26"/>
        <v>170.88211277886566</v>
      </c>
      <c r="G95" s="110">
        <f t="shared" si="48"/>
        <v>0.83255429890460897</v>
      </c>
      <c r="H95" s="409" t="b">
        <f>Wh_hp&gt;='2026'!Maxi_hp</f>
        <v>0</v>
      </c>
      <c r="I95" s="385">
        <f>IF(H95,Wh_hp,'2026'!Maxi_hp)</f>
        <v>170.88818318875792</v>
      </c>
      <c r="J95" s="85">
        <f>IF(H95,An,'2026'!An_max)</f>
        <v>2022</v>
      </c>
      <c r="K95" s="193">
        <f t="shared" si="27"/>
        <v>46468</v>
      </c>
      <c r="L95" s="143">
        <f>IF(t&lt;Tvie,1-EXP((T0-t)*PertePVj)+'2026'!Pspv,1-EXP((T0-t)*PertePVj)+Pspv)</f>
        <v>2.7592997240386885E-2</v>
      </c>
      <c r="M95" s="835"/>
      <c r="N95" s="835"/>
      <c r="O95" s="48">
        <f>IF(t&lt;Tnet,'2026'!Resal+('2026'!Salim-'2026'!Resal)*(1-EXP(('2026'!Tnet-t)/('2026'!Tau_j))),Resal+(Salim-Resal)*(1-EXP((Tnet-t)/(Tau_j))))*Salcycl</f>
        <v>2.9657284656601245E-2</v>
      </c>
      <c r="P95" s="165">
        <f>(INDEX(Models!$BJ95:$BT95,,T95)*(1-R95)+INDEX(Models!$BJ95:$BT95,,T95+1)*R95-ERP_i)*Q95*Ramure*Pc/MaxiM</f>
        <v>1.4929084273478869E-4</v>
      </c>
      <c r="Q95" s="301">
        <f t="shared" si="28"/>
        <v>0.5</v>
      </c>
      <c r="R95" s="173">
        <f t="shared" si="29"/>
        <v>0.50686194667369122</v>
      </c>
      <c r="S95" s="801">
        <f t="shared" si="30"/>
        <v>2</v>
      </c>
      <c r="T95" s="172">
        <f t="shared" si="31"/>
        <v>8</v>
      </c>
      <c r="U95" s="247">
        <f t="shared" si="32"/>
        <v>2.5068619466736912</v>
      </c>
      <c r="V95" s="378">
        <f t="shared" si="33"/>
        <v>193.63881840199116</v>
      </c>
      <c r="W95" s="397">
        <f t="shared" si="34"/>
        <v>161.22058776983835</v>
      </c>
      <c r="X95" s="153">
        <f t="shared" si="35"/>
        <v>46468</v>
      </c>
      <c r="Y95" s="380">
        <f t="shared" si="36"/>
        <v>156.48997863131348</v>
      </c>
      <c r="Z95" s="380">
        <f t="shared" si="37"/>
        <v>160.93053442355665</v>
      </c>
      <c r="AA95" s="381">
        <f t="shared" si="38"/>
        <v>170.86270303188581</v>
      </c>
      <c r="AB95" s="193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5.8129529921317397E-2</v>
      </c>
      <c r="AD95" s="227">
        <f>(INDEX(Models!$BJ95:$BT95,,AH95)*(1-AF95)+INDEX(Models!$BJ95:$BT95,,AH95+1)*AF95-ERP_i)*AE95*Ramure*Pc/MaxiM</f>
        <v>1.4929084273478869E-4</v>
      </c>
      <c r="AE95" s="301">
        <f t="shared" si="40"/>
        <v>0.5</v>
      </c>
      <c r="AF95" s="173">
        <f t="shared" si="41"/>
        <v>0.50686194667369122</v>
      </c>
      <c r="AG95" s="801">
        <f t="shared" si="49"/>
        <v>2</v>
      </c>
      <c r="AH95" s="172">
        <f t="shared" si="42"/>
        <v>8</v>
      </c>
      <c r="AI95" s="221">
        <f t="shared" si="43"/>
        <v>2.5068619466736912</v>
      </c>
      <c r="AJ95" s="261" t="b">
        <f t="shared" si="44"/>
        <v>0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46469</v>
      </c>
      <c r="B96" s="406">
        <f>'2026'!Wh/'2026'!Env_an*'2027'!Env_an</f>
        <v>192.98373650475997</v>
      </c>
      <c r="C96" s="831"/>
      <c r="D96" s="388">
        <f t="shared" si="25"/>
        <v>198.46255506031613</v>
      </c>
      <c r="E96" s="380">
        <f t="shared" si="47"/>
        <v>204.54035965972105</v>
      </c>
      <c r="F96" s="380">
        <f t="shared" si="26"/>
        <v>204.5707990645484</v>
      </c>
      <c r="G96" s="110">
        <f t="shared" si="48"/>
        <v>0.99027136091131251</v>
      </c>
      <c r="H96" s="409" t="b">
        <f>Wh_hp&gt;='2026'!Maxi_hp</f>
        <v>0</v>
      </c>
      <c r="I96" s="385">
        <f>IF(H96,Wh_hp,'2026'!Maxi_hp)</f>
        <v>204.57122568175365</v>
      </c>
      <c r="J96" s="85">
        <f>IF(H96,An,'2026'!An_max)</f>
        <v>2022</v>
      </c>
      <c r="K96" s="193">
        <f t="shared" si="27"/>
        <v>46469</v>
      </c>
      <c r="L96" s="143">
        <f>IF(t&lt;Tvie,1-EXP((T0-t)*PertePVj)+'2026'!Pspv,1-EXP((T0-t)*PertePVj)+Pspv)</f>
        <v>2.7606308675664493E-2</v>
      </c>
      <c r="M96" s="835"/>
      <c r="N96" s="835"/>
      <c r="O96" s="48">
        <f>IF(t&lt;Tnet,'2026'!Resal+('2026'!Salim-'2026'!Resal)*(1-EXP(('2026'!Tnet-t)/('2026'!Tau_j))),Resal+(Salim-Resal)*(1-EXP((Tnet-t)/(Tau_j))))*Salcycl</f>
        <v>2.9714451512240062E-2</v>
      </c>
      <c r="P96" s="165">
        <f>(INDEX(Models!$BJ96:$BT96,,T96)*(1-R96)+INDEX(Models!$BJ96:$BT96,,T96+1)*R96-ERP_i)*Q96*Ramure*Pc/MaxiM</f>
        <v>1.5089310435180089E-4</v>
      </c>
      <c r="Q96" s="301">
        <f t="shared" si="28"/>
        <v>0.5</v>
      </c>
      <c r="R96" s="173">
        <f t="shared" si="29"/>
        <v>0.50758998637598607</v>
      </c>
      <c r="S96" s="801">
        <f t="shared" si="30"/>
        <v>2</v>
      </c>
      <c r="T96" s="172">
        <f t="shared" si="31"/>
        <v>8</v>
      </c>
      <c r="U96" s="247">
        <f t="shared" si="32"/>
        <v>2.5075899863759861</v>
      </c>
      <c r="V96" s="378">
        <f t="shared" si="33"/>
        <v>194.87924162840412</v>
      </c>
      <c r="W96" s="397">
        <f t="shared" si="34"/>
        <v>192.98373650475997</v>
      </c>
      <c r="X96" s="153">
        <f t="shared" si="35"/>
        <v>46469</v>
      </c>
      <c r="Y96" s="380">
        <f t="shared" si="36"/>
        <v>187.32661704247744</v>
      </c>
      <c r="Z96" s="380">
        <f t="shared" si="37"/>
        <v>192.64482967526357</v>
      </c>
      <c r="AA96" s="381">
        <f t="shared" si="38"/>
        <v>204.54035965972105</v>
      </c>
      <c r="AB96" s="193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5.8157372971511363E-2</v>
      </c>
      <c r="AD96" s="227">
        <f>(INDEX(Models!$BJ96:$BT96,,AH96)*(1-AF96)+INDEX(Models!$BJ96:$BT96,,AH96+1)*AF96-ERP_i)*AE96*Ramure*Pc/MaxiM</f>
        <v>1.5089310435180089E-4</v>
      </c>
      <c r="AE96" s="301">
        <f t="shared" si="40"/>
        <v>0.5</v>
      </c>
      <c r="AF96" s="173">
        <f t="shared" si="41"/>
        <v>0.50758998637598607</v>
      </c>
      <c r="AG96" s="801">
        <f t="shared" si="49"/>
        <v>2</v>
      </c>
      <c r="AH96" s="172">
        <f t="shared" si="42"/>
        <v>8</v>
      </c>
      <c r="AI96" s="221">
        <f t="shared" si="43"/>
        <v>2.5075899863759861</v>
      </c>
      <c r="AJ96" s="261" t="b">
        <f t="shared" si="44"/>
        <v>0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46470</v>
      </c>
      <c r="B97" s="406">
        <f>'2026'!Wh/'2026'!Env_an*'2027'!Env_an</f>
        <v>191.37477159224835</v>
      </c>
      <c r="C97" s="831"/>
      <c r="D97" s="388">
        <f t="shared" si="25"/>
        <v>196.81060572018083</v>
      </c>
      <c r="E97" s="380">
        <f t="shared" si="47"/>
        <v>202.84979903316841</v>
      </c>
      <c r="F97" s="380">
        <f t="shared" si="26"/>
        <v>202.87968825199252</v>
      </c>
      <c r="G97" s="110">
        <f t="shared" si="48"/>
        <v>0.97582826925717792</v>
      </c>
      <c r="H97" s="409" t="b">
        <f>Wh_hp&gt;='2026'!Maxi_hp</f>
        <v>0</v>
      </c>
      <c r="I97" s="385">
        <f>IF(H97,Wh_hp,'2026'!Maxi_hp)</f>
        <v>202.880750987478</v>
      </c>
      <c r="J97" s="85">
        <f>IF(H97,An,'2026'!An_max)</f>
        <v>2022</v>
      </c>
      <c r="K97" s="193">
        <f t="shared" si="27"/>
        <v>46470</v>
      </c>
      <c r="L97" s="143">
        <f>IF(t&lt;Tvie,1-EXP((T0-t)*PertePVj)+'2026'!Pspv,1-EXP((T0-t)*PertePVj)+Pspv)</f>
        <v>2.7619619928719641E-2</v>
      </c>
      <c r="M97" s="835"/>
      <c r="N97" s="835"/>
      <c r="O97" s="48">
        <f>IF(t&lt;Tnet,'2026'!Resal+('2026'!Salim-'2026'!Resal)*(1-EXP(('2026'!Tnet-t)/('2026'!Tau_j))),Resal+(Salim-Resal)*(1-EXP((Tnet-t)/(Tau_j))))*Salcycl</f>
        <v>2.9771749056552405E-2</v>
      </c>
      <c r="P97" s="165">
        <f>(INDEX(Models!$BJ97:$BT97,,T97)*(1-R97)+INDEX(Models!$BJ97:$BT97,,T97+1)*R97-ERP_i)*Q97*Ramure*Pc/MaxiM</f>
        <v>1.5259291793131031E-4</v>
      </c>
      <c r="Q97" s="301">
        <f t="shared" si="28"/>
        <v>0.5</v>
      </c>
      <c r="R97" s="173">
        <f t="shared" si="29"/>
        <v>0.50834623682854563</v>
      </c>
      <c r="S97" s="801">
        <f t="shared" si="30"/>
        <v>2</v>
      </c>
      <c r="T97" s="172">
        <f t="shared" si="31"/>
        <v>8</v>
      </c>
      <c r="U97" s="247">
        <f t="shared" si="32"/>
        <v>2.5083462368285456</v>
      </c>
      <c r="V97" s="378">
        <f t="shared" si="33"/>
        <v>196.11418248142013</v>
      </c>
      <c r="W97" s="397">
        <f t="shared" si="34"/>
        <v>191.37477159224835</v>
      </c>
      <c r="X97" s="153">
        <f t="shared" si="35"/>
        <v>46470</v>
      </c>
      <c r="Y97" s="380">
        <f t="shared" si="36"/>
        <v>185.77022945461817</v>
      </c>
      <c r="Z97" s="380">
        <f t="shared" si="37"/>
        <v>191.046871432145</v>
      </c>
      <c r="AA97" s="381">
        <f t="shared" si="38"/>
        <v>202.84979903316841</v>
      </c>
      <c r="AB97" s="193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5.8185552350946537E-2</v>
      </c>
      <c r="AD97" s="227">
        <f>(INDEX(Models!$BJ97:$BT97,,AH97)*(1-AF97)+INDEX(Models!$BJ97:$BT97,,AH97+1)*AF97-ERP_i)*AE97*Ramure*Pc/MaxiM</f>
        <v>1.5259291793131031E-4</v>
      </c>
      <c r="AE97" s="301">
        <f t="shared" si="40"/>
        <v>0.5</v>
      </c>
      <c r="AF97" s="173">
        <f t="shared" si="41"/>
        <v>0.50834623682854563</v>
      </c>
      <c r="AG97" s="801">
        <f t="shared" si="49"/>
        <v>2</v>
      </c>
      <c r="AH97" s="172">
        <f t="shared" si="42"/>
        <v>8</v>
      </c>
      <c r="AI97" s="221">
        <f t="shared" si="43"/>
        <v>2.5083462368285456</v>
      </c>
      <c r="AJ97" s="261" t="b">
        <f t="shared" si="44"/>
        <v>0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46471</v>
      </c>
      <c r="B98" s="406">
        <f>'2026'!Wh/'2026'!Env_an*'2027'!Env_an</f>
        <v>163.04536078854545</v>
      </c>
      <c r="C98" s="831"/>
      <c r="D98" s="388">
        <f t="shared" si="25"/>
        <v>167.67881799632482</v>
      </c>
      <c r="E98" s="380">
        <f t="shared" si="47"/>
        <v>172.83432591448923</v>
      </c>
      <c r="F98" s="380">
        <f t="shared" si="26"/>
        <v>172.85438783698066</v>
      </c>
      <c r="G98" s="110">
        <f t="shared" si="48"/>
        <v>0.82618234379612088</v>
      </c>
      <c r="H98" s="409" t="b">
        <f>Wh_hp&gt;='2026'!Maxi_hp</f>
        <v>0</v>
      </c>
      <c r="I98" s="385">
        <f>IF(H98,Wh_hp,'2026'!Maxi_hp)</f>
        <v>172.86097391722259</v>
      </c>
      <c r="J98" s="85">
        <f>IF(H98,An,'2026'!An_max)</f>
        <v>2022</v>
      </c>
      <c r="K98" s="193">
        <f t="shared" si="27"/>
        <v>46471</v>
      </c>
      <c r="L98" s="143">
        <f>IF(t&lt;Tvie,1-EXP((T0-t)*PertePVj)+'2026'!Pspv,1-EXP((T0-t)*PertePVj)+Pspv)</f>
        <v>2.7632930999554994E-2</v>
      </c>
      <c r="M98" s="835"/>
      <c r="N98" s="835"/>
      <c r="O98" s="48">
        <f>IF(t&lt;Tnet,'2026'!Resal+('2026'!Salim-'2026'!Resal)*(1-EXP(('2026'!Tnet-t)/('2026'!Tau_j))),Resal+(Salim-Resal)*(1-EXP((Tnet-t)/(Tau_j))))*Salcycl</f>
        <v>2.9829189837643211E-2</v>
      </c>
      <c r="P98" s="165">
        <f>(INDEX(Models!$BJ98:$BT98,,T98)*(1-R98)+INDEX(Models!$BJ98:$BT98,,T98+1)*R98-ERP_i)*Q98*Ramure*Pc/MaxiM</f>
        <v>1.5439305746459153E-4</v>
      </c>
      <c r="Q98" s="301">
        <f t="shared" si="28"/>
        <v>0.5</v>
      </c>
      <c r="R98" s="173">
        <f t="shared" si="29"/>
        <v>0.50913169366379307</v>
      </c>
      <c r="S98" s="801">
        <f t="shared" si="30"/>
        <v>2</v>
      </c>
      <c r="T98" s="172">
        <f t="shared" si="31"/>
        <v>8</v>
      </c>
      <c r="U98" s="247">
        <f t="shared" si="32"/>
        <v>2.5091316936637931</v>
      </c>
      <c r="V98" s="378">
        <f t="shared" si="33"/>
        <v>197.34034705213676</v>
      </c>
      <c r="W98" s="397">
        <f t="shared" si="34"/>
        <v>163.04536078854545</v>
      </c>
      <c r="X98" s="153">
        <f t="shared" si="35"/>
        <v>46471</v>
      </c>
      <c r="Y98" s="380">
        <f t="shared" si="36"/>
        <v>158.27503953280885</v>
      </c>
      <c r="Z98" s="380">
        <f t="shared" si="37"/>
        <v>162.77293275214404</v>
      </c>
      <c r="AA98" s="381">
        <f t="shared" si="38"/>
        <v>172.83432591448923</v>
      </c>
      <c r="AB98" s="193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5.8214090916888374E-2</v>
      </c>
      <c r="AD98" s="227">
        <f>(INDEX(Models!$BJ98:$BT98,,AH98)*(1-AF98)+INDEX(Models!$BJ98:$BT98,,AH98+1)*AF98-ERP_i)*AE98*Ramure*Pc/MaxiM</f>
        <v>1.5439305746459153E-4</v>
      </c>
      <c r="AE98" s="301">
        <f t="shared" si="40"/>
        <v>0.5</v>
      </c>
      <c r="AF98" s="173">
        <f t="shared" si="41"/>
        <v>0.50913169366379307</v>
      </c>
      <c r="AG98" s="801">
        <f t="shared" si="49"/>
        <v>2</v>
      </c>
      <c r="AH98" s="172">
        <f t="shared" si="42"/>
        <v>8</v>
      </c>
      <c r="AI98" s="221">
        <f t="shared" si="43"/>
        <v>2.5091316936637931</v>
      </c>
      <c r="AJ98" s="261" t="b">
        <f t="shared" si="44"/>
        <v>0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46472</v>
      </c>
      <c r="B99" s="406">
        <f>'2026'!Wh/'2026'!Env_an*'2027'!Env_an</f>
        <v>179.76806227794444</v>
      </c>
      <c r="C99" s="831"/>
      <c r="D99" s="388">
        <f t="shared" si="25"/>
        <v>184.87927956079329</v>
      </c>
      <c r="E99" s="380">
        <f t="shared" si="47"/>
        <v>190.57495247311559</v>
      </c>
      <c r="F99" s="380">
        <f t="shared" si="26"/>
        <v>190.60071608867739</v>
      </c>
      <c r="G99" s="110">
        <f t="shared" si="48"/>
        <v>0.90536510750656785</v>
      </c>
      <c r="H99" s="409" t="b">
        <f>Wh_hp&gt;='2026'!Maxi_hp</f>
        <v>0</v>
      </c>
      <c r="I99" s="385">
        <f>IF(H99,Wh_hp,'2026'!Maxi_hp)</f>
        <v>190.60471742459274</v>
      </c>
      <c r="J99" s="85">
        <f>IF(H99,An,'2026'!An_max)</f>
        <v>2022</v>
      </c>
      <c r="K99" s="193">
        <f t="shared" si="27"/>
        <v>46472</v>
      </c>
      <c r="L99" s="143">
        <f>IF(t&lt;Tvie,1-EXP((T0-t)*PertePVj)+'2026'!Pspv,1-EXP((T0-t)*PertePVj)+Pspv)</f>
        <v>2.7646241888172995E-2</v>
      </c>
      <c r="M99" s="835"/>
      <c r="N99" s="835"/>
      <c r="O99" s="48">
        <f>IF(t&lt;Tnet,'2026'!Resal+('2026'!Salim-'2026'!Resal)*(1-EXP(('2026'!Tnet-t)/('2026'!Tau_j))),Resal+(Salim-Resal)*(1-EXP((Tnet-t)/(Tau_j))))*Salcycl</f>
        <v>2.9886786476443029E-2</v>
      </c>
      <c r="P99" s="165">
        <f>(INDEX(Models!$BJ99:$BT99,,T99)*(1-R99)+INDEX(Models!$BJ99:$BT99,,T99+1)*R99-ERP_i)*Q99*Ramure*Pc/MaxiM</f>
        <v>1.5629648583464952E-4</v>
      </c>
      <c r="Q99" s="301">
        <f t="shared" si="28"/>
        <v>0.5</v>
      </c>
      <c r="R99" s="173">
        <f t="shared" si="29"/>
        <v>0.50994737966519654</v>
      </c>
      <c r="S99" s="801">
        <f t="shared" si="30"/>
        <v>2</v>
      </c>
      <c r="T99" s="172">
        <f t="shared" si="31"/>
        <v>8</v>
      </c>
      <c r="U99" s="247">
        <f t="shared" si="32"/>
        <v>2.5099473796651965</v>
      </c>
      <c r="V99" s="378">
        <f t="shared" si="33"/>
        <v>198.55444230927159</v>
      </c>
      <c r="W99" s="397">
        <f t="shared" si="34"/>
        <v>179.76806227794444</v>
      </c>
      <c r="X99" s="153">
        <f t="shared" si="35"/>
        <v>46472</v>
      </c>
      <c r="Y99" s="380">
        <f t="shared" si="36"/>
        <v>174.51347594429043</v>
      </c>
      <c r="Z99" s="380">
        <f t="shared" si="37"/>
        <v>179.47529331626262</v>
      </c>
      <c r="AA99" s="381">
        <f t="shared" si="38"/>
        <v>190.57495247311559</v>
      </c>
      <c r="AB99" s="193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5.8243011543811347E-2</v>
      </c>
      <c r="AD99" s="227">
        <f>(INDEX(Models!$BJ99:$BT99,,AH99)*(1-AF99)+INDEX(Models!$BJ99:$BT99,,AH99+1)*AF99-ERP_i)*AE99*Ramure*Pc/MaxiM</f>
        <v>1.5629648583464952E-4</v>
      </c>
      <c r="AE99" s="301">
        <f t="shared" si="40"/>
        <v>0.5</v>
      </c>
      <c r="AF99" s="173">
        <f t="shared" si="41"/>
        <v>0.50994737966519654</v>
      </c>
      <c r="AG99" s="801">
        <f t="shared" si="49"/>
        <v>2</v>
      </c>
      <c r="AH99" s="172">
        <f t="shared" si="42"/>
        <v>8</v>
      </c>
      <c r="AI99" s="221">
        <f t="shared" si="43"/>
        <v>2.5099473796651965</v>
      </c>
      <c r="AJ99" s="261" t="b">
        <f t="shared" si="44"/>
        <v>0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46473</v>
      </c>
      <c r="B100" s="406">
        <f>'2026'!Wh/'2026'!Env_an*'2027'!Env_an</f>
        <v>181.72296509825151</v>
      </c>
      <c r="C100" s="831"/>
      <c r="D100" s="388">
        <f t="shared" si="25"/>
        <v>186.8923231396553</v>
      </c>
      <c r="E100" s="380">
        <f t="shared" si="47"/>
        <v>192.66148492280442</v>
      </c>
      <c r="F100" s="380">
        <f t="shared" si="26"/>
        <v>192.68806481381333</v>
      </c>
      <c r="G100" s="110">
        <f t="shared" si="48"/>
        <v>0.90971902216672695</v>
      </c>
      <c r="H100" s="409" t="b">
        <f>Wh_hp&gt;='2026'!Maxi_hp</f>
        <v>0</v>
      </c>
      <c r="I100" s="385">
        <f>IF(H100,Wh_hp,'2026'!Maxi_hp)</f>
        <v>192.69197360418002</v>
      </c>
      <c r="J100" s="85">
        <f>IF(H100,An,'2026'!An_max)</f>
        <v>2022</v>
      </c>
      <c r="K100" s="193">
        <f t="shared" si="27"/>
        <v>46473</v>
      </c>
      <c r="L100" s="143">
        <f>IF(t&lt;Tvie,1-EXP((T0-t)*PertePVj)+'2026'!Pspv,1-EXP((T0-t)*PertePVj)+Pspv)</f>
        <v>2.7659552594575976E-2</v>
      </c>
      <c r="M100" s="835"/>
      <c r="N100" s="835"/>
      <c r="O100" s="48">
        <f>IF(t&lt;Tnet,'2026'!Resal+('2026'!Salim-'2026'!Resal)*(1-EXP(('2026'!Tnet-t)/('2026'!Tau_j))),Resal+(Salim-Resal)*(1-EXP((Tnet-t)/(Tau_j))))*Salcycl</f>
        <v>2.9944551633974477E-2</v>
      </c>
      <c r="P100" s="165">
        <f>(INDEX(Models!$BJ100:$BT100,,T100)*(1-R100)+INDEX(Models!$BJ100:$BT100,,T100+1)*R100-ERP_i)*Q100*Ramure*Pc/MaxiM</f>
        <v>1.5836289864247611E-4</v>
      </c>
      <c r="Q100" s="301">
        <f t="shared" si="28"/>
        <v>0.5</v>
      </c>
      <c r="R100" s="173">
        <f t="shared" si="29"/>
        <v>0.51079434483316133</v>
      </c>
      <c r="S100" s="801">
        <f t="shared" si="30"/>
        <v>2</v>
      </c>
      <c r="T100" s="172">
        <f t="shared" si="31"/>
        <v>8</v>
      </c>
      <c r="U100" s="247">
        <f t="shared" si="32"/>
        <v>2.5107943448331613</v>
      </c>
      <c r="V100" s="378">
        <f t="shared" si="33"/>
        <v>199.75316479007222</v>
      </c>
      <c r="W100" s="397">
        <f t="shared" si="34"/>
        <v>181.72296509825151</v>
      </c>
      <c r="X100" s="153">
        <f t="shared" si="35"/>
        <v>46473</v>
      </c>
      <c r="Y100" s="380">
        <f t="shared" si="36"/>
        <v>176.41624869251669</v>
      </c>
      <c r="Z100" s="380">
        <f t="shared" si="37"/>
        <v>181.43464993486867</v>
      </c>
      <c r="AA100" s="381">
        <f t="shared" si="38"/>
        <v>192.66148492280442</v>
      </c>
      <c r="AB100" s="193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5.8272337060176337E-2</v>
      </c>
      <c r="AD100" s="227">
        <f>(INDEX(Models!$BJ100:$BT100,,AH100)*(1-AF100)+INDEX(Models!$BJ100:$BT100,,AH100+1)*AF100-ERP_i)*AE100*Ramure*Pc/MaxiM</f>
        <v>1.5836289864247611E-4</v>
      </c>
      <c r="AE100" s="301">
        <f t="shared" si="40"/>
        <v>0.5</v>
      </c>
      <c r="AF100" s="173">
        <f t="shared" si="41"/>
        <v>0.51079434483316133</v>
      </c>
      <c r="AG100" s="801">
        <f t="shared" si="49"/>
        <v>2</v>
      </c>
      <c r="AH100" s="172">
        <f t="shared" si="42"/>
        <v>8</v>
      </c>
      <c r="AI100" s="221">
        <f t="shared" si="43"/>
        <v>2.5107943448331613</v>
      </c>
      <c r="AJ100" s="261" t="b">
        <f t="shared" si="44"/>
        <v>0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46474</v>
      </c>
      <c r="B101" s="406">
        <f>'2026'!Wh/'2026'!Env_an*'2027'!Env_an</f>
        <v>143.28322989479238</v>
      </c>
      <c r="C101" s="831"/>
      <c r="D101" s="388">
        <f t="shared" si="25"/>
        <v>147.36113439595792</v>
      </c>
      <c r="E101" s="380">
        <f t="shared" si="47"/>
        <v>151.91908648115233</v>
      </c>
      <c r="F101" s="380">
        <f t="shared" si="26"/>
        <v>151.93346452228437</v>
      </c>
      <c r="G101" s="110">
        <f t="shared" si="48"/>
        <v>0.71304175393218794</v>
      </c>
      <c r="H101" s="409" t="b">
        <f>Wh_hp&gt;='2026'!Maxi_hp</f>
        <v>0</v>
      </c>
      <c r="I101" s="385">
        <f>IF(H101,Wh_hp,'2026'!Maxi_hp)</f>
        <v>151.9433815966527</v>
      </c>
      <c r="J101" s="85">
        <f>IF(H101,An,'2026'!An_max)</f>
        <v>2022</v>
      </c>
      <c r="K101" s="193">
        <f t="shared" si="27"/>
        <v>46474</v>
      </c>
      <c r="L101" s="143">
        <f>IF(t&lt;Tvie,1-EXP((T0-t)*PertePVj)+'2026'!Pspv,1-EXP((T0-t)*PertePVj)+Pspv)</f>
        <v>2.7672863118766711E-2</v>
      </c>
      <c r="M101" s="835"/>
      <c r="N101" s="835"/>
      <c r="O101" s="48">
        <f>IF(t&lt;Tnet,'2026'!Resal+('2026'!Salim-'2026'!Resal)*(1-EXP(('2026'!Tnet-t)/('2026'!Tau_j))),Resal+(Salim-Resal)*(1-EXP((Tnet-t)/(Tau_j))))*Salcycl</f>
        <v>3.0002497979474733E-2</v>
      </c>
      <c r="P101" s="165">
        <f>(INDEX(Models!$BJ101:$BT101,,T101)*(1-R101)+INDEX(Models!$BJ101:$BT101,,T101+1)*R101-ERP_i)*Q101*Ramure*Pc/MaxiM</f>
        <v>1.6036185852878255E-4</v>
      </c>
      <c r="Q101" s="301">
        <f t="shared" si="28"/>
        <v>0.5</v>
      </c>
      <c r="R101" s="173">
        <f t="shared" si="29"/>
        <v>0.51167366638282541</v>
      </c>
      <c r="S101" s="801">
        <f t="shared" si="30"/>
        <v>2</v>
      </c>
      <c r="T101" s="172">
        <f t="shared" si="31"/>
        <v>8</v>
      </c>
      <c r="U101" s="247">
        <f t="shared" si="32"/>
        <v>2.5116736663828254</v>
      </c>
      <c r="V101" s="378">
        <f t="shared" si="33"/>
        <v>200.93327001522636</v>
      </c>
      <c r="W101" s="397">
        <f t="shared" si="34"/>
        <v>143.28322989479238</v>
      </c>
      <c r="X101" s="153">
        <f t="shared" si="35"/>
        <v>46474</v>
      </c>
      <c r="Y101" s="380">
        <f t="shared" si="36"/>
        <v>139.10295420561596</v>
      </c>
      <c r="Z101" s="380">
        <f t="shared" si="37"/>
        <v>143.06188619993947</v>
      </c>
      <c r="AA101" s="381">
        <f t="shared" si="38"/>
        <v>151.91908648115233</v>
      </c>
      <c r="AB101" s="193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5.8302090187408492E-2</v>
      </c>
      <c r="AD101" s="227">
        <f>(INDEX(Models!$BJ101:$BT101,,AH101)*(1-AF101)+INDEX(Models!$BJ101:$BT101,,AH101+1)*AF101-ERP_i)*AE101*Ramure*Pc/MaxiM</f>
        <v>1.6036185852878255E-4</v>
      </c>
      <c r="AE101" s="301">
        <f t="shared" si="40"/>
        <v>0.5</v>
      </c>
      <c r="AF101" s="173">
        <f t="shared" si="41"/>
        <v>0.51167366638282541</v>
      </c>
      <c r="AG101" s="801">
        <f t="shared" si="49"/>
        <v>2</v>
      </c>
      <c r="AH101" s="172">
        <f t="shared" si="42"/>
        <v>8</v>
      </c>
      <c r="AI101" s="221">
        <f t="shared" si="43"/>
        <v>2.5116736663828254</v>
      </c>
      <c r="AJ101" s="261" t="b">
        <f t="shared" si="44"/>
        <v>0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46475</v>
      </c>
      <c r="B102" s="406">
        <f>'2026'!Wh/'2026'!Env_an*'2027'!Env_an</f>
        <v>112.66564921036968</v>
      </c>
      <c r="C102" s="831"/>
      <c r="D102" s="388">
        <f t="shared" si="25"/>
        <v>115.87374995106205</v>
      </c>
      <c r="E102" s="380">
        <f t="shared" si="47"/>
        <v>119.46494235596531</v>
      </c>
      <c r="F102" s="380">
        <f t="shared" si="26"/>
        <v>119.47207513621275</v>
      </c>
      <c r="G102" s="110">
        <f t="shared" si="48"/>
        <v>0.55744109646680051</v>
      </c>
      <c r="H102" s="409" t="b">
        <f>Wh_hp&gt;='2026'!Maxi_hp</f>
        <v>0</v>
      </c>
      <c r="I102" s="385">
        <f>IF(H102,Wh_hp,'2026'!Maxi_hp)</f>
        <v>119.48424336256193</v>
      </c>
      <c r="J102" s="85">
        <f>IF(H102,An,'2026'!An_max)</f>
        <v>2022</v>
      </c>
      <c r="K102" s="193">
        <f t="shared" si="27"/>
        <v>46475</v>
      </c>
      <c r="L102" s="143">
        <f>IF(t&lt;Tvie,1-EXP((T0-t)*PertePVj)+'2026'!Pspv,1-EXP((T0-t)*PertePVj)+Pspv)</f>
        <v>2.7686173460747421E-2</v>
      </c>
      <c r="M102" s="835"/>
      <c r="N102" s="835"/>
      <c r="O102" s="48">
        <f>IF(t&lt;Tnet,'2026'!Resal+('2026'!Salim-'2026'!Resal)*(1-EXP(('2026'!Tnet-t)/('2026'!Tau_j))),Resal+(Salim-Resal)*(1-EXP((Tnet-t)/(Tau_j))))*Salcycl</f>
        <v>3.0060638159458621E-2</v>
      </c>
      <c r="P102" s="165">
        <f>(INDEX(Models!$BJ102:$BT102,,T102)*(1-R102)+INDEX(Models!$BJ102:$BT102,,T102+1)*R102-ERP_i)*Q102*Ramure*Pc/MaxiM</f>
        <v>1.6229910143372302E-4</v>
      </c>
      <c r="Q102" s="301">
        <f t="shared" si="28"/>
        <v>0.5</v>
      </c>
      <c r="R102" s="173">
        <f t="shared" si="29"/>
        <v>0.51258644866721159</v>
      </c>
      <c r="S102" s="801">
        <f t="shared" si="30"/>
        <v>2</v>
      </c>
      <c r="T102" s="172">
        <f t="shared" si="31"/>
        <v>8</v>
      </c>
      <c r="U102" s="247">
        <f t="shared" si="32"/>
        <v>2.5125864486672116</v>
      </c>
      <c r="V102" s="378">
        <f t="shared" si="33"/>
        <v>202.09146781659894</v>
      </c>
      <c r="W102" s="397">
        <f t="shared" si="34"/>
        <v>112.66564921036968</v>
      </c>
      <c r="X102" s="153">
        <f t="shared" si="35"/>
        <v>46475</v>
      </c>
      <c r="Y102" s="380">
        <f t="shared" si="36"/>
        <v>109.38168680365474</v>
      </c>
      <c r="Z102" s="380">
        <f t="shared" si="37"/>
        <v>112.49627827774079</v>
      </c>
      <c r="AA102" s="381">
        <f t="shared" si="38"/>
        <v>119.46494235596531</v>
      </c>
      <c r="AB102" s="193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5.8332293481214256E-2</v>
      </c>
      <c r="AD102" s="227">
        <f>(INDEX(Models!$BJ102:$BT102,,AH102)*(1-AF102)+INDEX(Models!$BJ102:$BT102,,AH102+1)*AF102-ERP_i)*AE102*Ramure*Pc/MaxiM</f>
        <v>1.6229910143372302E-4</v>
      </c>
      <c r="AE102" s="301">
        <f t="shared" si="40"/>
        <v>0.5</v>
      </c>
      <c r="AF102" s="173">
        <f t="shared" si="41"/>
        <v>0.51258644866721159</v>
      </c>
      <c r="AG102" s="801">
        <f t="shared" si="49"/>
        <v>2</v>
      </c>
      <c r="AH102" s="172">
        <f t="shared" si="42"/>
        <v>8</v>
      </c>
      <c r="AI102" s="221">
        <f t="shared" si="43"/>
        <v>2.5125864486672116</v>
      </c>
      <c r="AJ102" s="261" t="b">
        <f t="shared" si="44"/>
        <v>0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46476</v>
      </c>
      <c r="B103" s="406">
        <f>'2026'!Wh/'2026'!Env_an*'2027'!Env_an</f>
        <v>29.597015652018552</v>
      </c>
      <c r="C103" s="831"/>
      <c r="D103" s="388">
        <f t="shared" si="25"/>
        <v>30.440193287388045</v>
      </c>
      <c r="E103" s="380">
        <f t="shared" si="47"/>
        <v>31.38549245661817</v>
      </c>
      <c r="F103" s="380">
        <f t="shared" si="26"/>
        <v>31.38549245661817</v>
      </c>
      <c r="G103" s="110">
        <f t="shared" si="48"/>
        <v>0.14561315651557699</v>
      </c>
      <c r="H103" s="409" t="b">
        <f>Wh_hp&gt;='2026'!Maxi_hp</f>
        <v>0</v>
      </c>
      <c r="I103" s="385">
        <f>IF(H103,Wh_hp,'2026'!Maxi_hp)</f>
        <v>31.39060598359443</v>
      </c>
      <c r="J103" s="85">
        <f>IF(H103,An,'2026'!An_max)</f>
        <v>2022</v>
      </c>
      <c r="K103" s="193">
        <f t="shared" si="27"/>
        <v>46476</v>
      </c>
      <c r="L103" s="143">
        <f>IF(t&lt;Tvie,1-EXP((T0-t)*PertePVj)+'2026'!Pspv,1-EXP((T0-t)*PertePVj)+Pspv)</f>
        <v>2.7699483620520771E-2</v>
      </c>
      <c r="M103" s="835"/>
      <c r="N103" s="835"/>
      <c r="O103" s="48">
        <f>IF(t&lt;Tnet,'2026'!Resal+('2026'!Salim-'2026'!Resal)*(1-EXP(('2026'!Tnet-t)/('2026'!Tau_j))),Resal+(Salim-Resal)*(1-EXP((Tnet-t)/(Tau_j))))*Salcycl</f>
        <v>3.0118984767778929E-2</v>
      </c>
      <c r="P103" s="165">
        <f>(INDEX(Models!$BJ103:$BT103,,T103)*(1-R103)+INDEX(Models!$BJ103:$BT103,,T103+1)*R103-ERP_i)*Q103*Ramure*Pc/MaxiM</f>
        <v>1.6418030794626101E-4</v>
      </c>
      <c r="Q103" s="301">
        <f t="shared" si="28"/>
        <v>0.5</v>
      </c>
      <c r="R103" s="173">
        <f t="shared" si="29"/>
        <v>0.51353382301883022</v>
      </c>
      <c r="S103" s="801">
        <f t="shared" si="30"/>
        <v>2</v>
      </c>
      <c r="T103" s="172">
        <f t="shared" si="31"/>
        <v>8</v>
      </c>
      <c r="U103" s="247">
        <f t="shared" si="32"/>
        <v>2.5135338230188302</v>
      </c>
      <c r="V103" s="378">
        <f t="shared" si="33"/>
        <v>203.2244689490602</v>
      </c>
      <c r="W103" s="397">
        <f t="shared" si="34"/>
        <v>29.597015652018552</v>
      </c>
      <c r="X103" s="153">
        <f t="shared" si="35"/>
        <v>46476</v>
      </c>
      <c r="Y103" s="380">
        <f t="shared" si="36"/>
        <v>28.735118534313937</v>
      </c>
      <c r="Z103" s="380">
        <f t="shared" si="37"/>
        <v>29.553741924681756</v>
      </c>
      <c r="AA103" s="381">
        <f t="shared" si="38"/>
        <v>31.38549245661817</v>
      </c>
      <c r="AB103" s="193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5.836296927532067E-2</v>
      </c>
      <c r="AD103" s="227">
        <f>(INDEX(Models!$BJ103:$BT103,,AH103)*(1-AF103)+INDEX(Models!$BJ103:$BT103,,AH103+1)*AF103-ERP_i)*AE103*Ramure*Pc/MaxiM</f>
        <v>1.6418030794626101E-4</v>
      </c>
      <c r="AE103" s="301">
        <f t="shared" si="40"/>
        <v>0.5</v>
      </c>
      <c r="AF103" s="173">
        <f t="shared" si="41"/>
        <v>0.51353382301883022</v>
      </c>
      <c r="AG103" s="801">
        <f t="shared" si="49"/>
        <v>2</v>
      </c>
      <c r="AH103" s="172">
        <f t="shared" si="42"/>
        <v>8</v>
      </c>
      <c r="AI103" s="221">
        <f t="shared" si="43"/>
        <v>2.5135338230188302</v>
      </c>
      <c r="AJ103" s="261" t="b">
        <f t="shared" si="44"/>
        <v>0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46477</v>
      </c>
      <c r="B104" s="406">
        <f>'2026'!Wh/'2026'!Env_an*'2027'!Env_an</f>
        <v>85.633189747482007</v>
      </c>
      <c r="C104" s="831"/>
      <c r="D104" s="388">
        <f t="shared" si="25"/>
        <v>88.073965371178744</v>
      </c>
      <c r="E104" s="380">
        <f t="shared" si="47"/>
        <v>90.814525277220454</v>
      </c>
      <c r="F104" s="380">
        <f t="shared" si="26"/>
        <v>90.817090345936947</v>
      </c>
      <c r="G104" s="110">
        <f t="shared" si="48"/>
        <v>0.41903693664194364</v>
      </c>
      <c r="H104" s="409" t="b">
        <f>Wh_hp&gt;='2026'!Maxi_hp</f>
        <v>0</v>
      </c>
      <c r="I104" s="385">
        <f>IF(H104,Wh_hp,'2026'!Maxi_hp)</f>
        <v>90.829501711386541</v>
      </c>
      <c r="J104" s="85">
        <f>IF(H104,An,'2026'!An_max)</f>
        <v>2022</v>
      </c>
      <c r="K104" s="193">
        <f t="shared" si="27"/>
        <v>46477</v>
      </c>
      <c r="L104" s="143">
        <f>IF(t&lt;Tvie,1-EXP((T0-t)*PertePVj)+'2026'!Pspv,1-EXP((T0-t)*PertePVj)+Pspv)</f>
        <v>2.7712793598089314E-2</v>
      </c>
      <c r="M104" s="835"/>
      <c r="N104" s="835"/>
      <c r="O104" s="48">
        <f>IF(t&lt;Tnet,'2026'!Resal+('2026'!Salim-'2026'!Resal)*(1-EXP(('2026'!Tnet-t)/('2026'!Tau_j))),Resal+(Salim-Resal)*(1-EXP((Tnet-t)/(Tau_j))))*Salcycl</f>
        <v>3.0177550316712834E-2</v>
      </c>
      <c r="P104" s="165">
        <f>(INDEX(Models!$BJ104:$BT104,,T104)*(1-R104)+INDEX(Models!$BJ104:$BT104,,T104+1)*R104-ERP_i)*Q104*Ramure*Pc/MaxiM</f>
        <v>1.660110952239508E-4</v>
      </c>
      <c r="Q104" s="301">
        <f t="shared" si="28"/>
        <v>0.5</v>
      </c>
      <c r="R104" s="173">
        <f t="shared" si="29"/>
        <v>0.51451694750249422</v>
      </c>
      <c r="S104" s="801">
        <f t="shared" si="30"/>
        <v>2</v>
      </c>
      <c r="T104" s="172">
        <f t="shared" si="31"/>
        <v>8</v>
      </c>
      <c r="U104" s="247">
        <f t="shared" si="32"/>
        <v>2.5145169475024942</v>
      </c>
      <c r="V104" s="378">
        <f t="shared" si="33"/>
        <v>204.32898515740001</v>
      </c>
      <c r="W104" s="397">
        <f t="shared" si="34"/>
        <v>85.633189747482007</v>
      </c>
      <c r="X104" s="153">
        <f t="shared" si="35"/>
        <v>46477</v>
      </c>
      <c r="Y104" s="380">
        <f t="shared" si="36"/>
        <v>83.141726957276774</v>
      </c>
      <c r="Z104" s="380">
        <f t="shared" si="37"/>
        <v>85.511489207962271</v>
      </c>
      <c r="AA104" s="381">
        <f t="shared" si="38"/>
        <v>90.814525277220454</v>
      </c>
      <c r="AB104" s="193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5.8394139627665688E-2</v>
      </c>
      <c r="AD104" s="227">
        <f>(INDEX(Models!$BJ104:$BT104,,AH104)*(1-AF104)+INDEX(Models!$BJ104:$BT104,,AH104+1)*AF104-ERP_i)*AE104*Ramure*Pc/MaxiM</f>
        <v>1.660110952239508E-4</v>
      </c>
      <c r="AE104" s="301">
        <f t="shared" si="40"/>
        <v>0.5</v>
      </c>
      <c r="AF104" s="173">
        <f t="shared" si="41"/>
        <v>0.51451694750249422</v>
      </c>
      <c r="AG104" s="801">
        <f t="shared" si="49"/>
        <v>2</v>
      </c>
      <c r="AH104" s="172">
        <f t="shared" si="42"/>
        <v>8</v>
      </c>
      <c r="AI104" s="221">
        <f t="shared" si="43"/>
        <v>2.5145169475024942</v>
      </c>
      <c r="AJ104" s="261" t="b">
        <f t="shared" si="44"/>
        <v>0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46478</v>
      </c>
      <c r="B105" s="406">
        <f>'2026'!Wh/'2026'!Env_an*'2027'!Env_an</f>
        <v>145.35531752770305</v>
      </c>
      <c r="C105" s="831"/>
      <c r="D105" s="388">
        <f t="shared" si="25"/>
        <v>149.50038053579954</v>
      </c>
      <c r="E105" s="380">
        <f t="shared" si="47"/>
        <v>154.16166620139461</v>
      </c>
      <c r="F105" s="380">
        <f t="shared" si="26"/>
        <v>154.17673251153801</v>
      </c>
      <c r="G105" s="110">
        <f t="shared" si="48"/>
        <v>0.70761395835030105</v>
      </c>
      <c r="H105" s="409" t="b">
        <f>Wh_hp&gt;='2026'!Maxi_hp</f>
        <v>0</v>
      </c>
      <c r="I105" s="385">
        <f>IF(H105,Wh_hp,'2026'!Maxi_hp)</f>
        <v>154.18744589130031</v>
      </c>
      <c r="J105" s="85">
        <f>IF(H105,An,'2026'!An_max)</f>
        <v>2022</v>
      </c>
      <c r="K105" s="193">
        <f t="shared" si="27"/>
        <v>46478</v>
      </c>
      <c r="L105" s="143">
        <f>IF(t&lt;Tvie,1-EXP((T0-t)*PertePVj)+'2026'!Pspv,1-EXP((T0-t)*PertePVj)+Pspv)</f>
        <v>2.772610339345527E-2</v>
      </c>
      <c r="M105" s="835"/>
      <c r="N105" s="835"/>
      <c r="O105" s="48">
        <f>IF(t&lt;Tnet,'2026'!Resal+('2026'!Salim-'2026'!Resal)*(1-EXP(('2026'!Tnet-t)/('2026'!Tau_j))),Resal+(Salim-Resal)*(1-EXP((Tnet-t)/(Tau_j))))*Salcycl</f>
        <v>3.0236347209076191E-2</v>
      </c>
      <c r="P105" s="165">
        <f>(INDEX(Models!$BJ105:$BT105,,T105)*(1-R105)+INDEX(Models!$BJ105:$BT105,,T105+1)*R105-ERP_i)*Q105*Ramure*Pc/MaxiM</f>
        <v>1.6779701092055417E-4</v>
      </c>
      <c r="Q105" s="301">
        <f t="shared" si="28"/>
        <v>0.5</v>
      </c>
      <c r="R105" s="173">
        <f t="shared" si="29"/>
        <v>0.5155370065717797</v>
      </c>
      <c r="S105" s="801">
        <f t="shared" si="30"/>
        <v>2</v>
      </c>
      <c r="T105" s="172">
        <f t="shared" si="31"/>
        <v>8</v>
      </c>
      <c r="U105" s="247">
        <f t="shared" si="32"/>
        <v>2.5155370065717797</v>
      </c>
      <c r="V105" s="378">
        <f t="shared" si="33"/>
        <v>205.4017291513039</v>
      </c>
      <c r="W105" s="397">
        <f t="shared" si="34"/>
        <v>145.35531752770305</v>
      </c>
      <c r="X105" s="153">
        <f t="shared" si="35"/>
        <v>46478</v>
      </c>
      <c r="Y105" s="380">
        <f t="shared" si="36"/>
        <v>141.13007082155386</v>
      </c>
      <c r="Z105" s="380">
        <f t="shared" si="37"/>
        <v>145.15464347456992</v>
      </c>
      <c r="AA105" s="381">
        <f t="shared" si="38"/>
        <v>154.16166620139461</v>
      </c>
      <c r="AB105" s="193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5.8425826269015678E-2</v>
      </c>
      <c r="AD105" s="227">
        <f>(INDEX(Models!$BJ105:$BT105,,AH105)*(1-AF105)+INDEX(Models!$BJ105:$BT105,,AH105+1)*AF105-ERP_i)*AE105*Ramure*Pc/MaxiM</f>
        <v>1.6779701092055417E-4</v>
      </c>
      <c r="AE105" s="301">
        <f t="shared" si="40"/>
        <v>0.5</v>
      </c>
      <c r="AF105" s="173">
        <f t="shared" si="41"/>
        <v>0.5155370065717797</v>
      </c>
      <c r="AG105" s="801">
        <f t="shared" si="49"/>
        <v>2</v>
      </c>
      <c r="AH105" s="172">
        <f t="shared" si="42"/>
        <v>8</v>
      </c>
      <c r="AI105" s="221">
        <f t="shared" si="43"/>
        <v>2.5155370065717797</v>
      </c>
      <c r="AJ105" s="261" t="b">
        <f t="shared" si="44"/>
        <v>0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46479</v>
      </c>
      <c r="B106" s="406">
        <f>'2026'!Wh/'2026'!Env_an*'2027'!Env_an</f>
        <v>71.104482120624581</v>
      </c>
      <c r="C106" s="831"/>
      <c r="D106" s="388">
        <f t="shared" si="25"/>
        <v>73.13315285206437</v>
      </c>
      <c r="E106" s="380">
        <f t="shared" si="47"/>
        <v>75.417969477796291</v>
      </c>
      <c r="F106" s="380">
        <f t="shared" si="26"/>
        <v>75.418781121188047</v>
      </c>
      <c r="G106" s="110">
        <f t="shared" si="48"/>
        <v>0.34437799599184649</v>
      </c>
      <c r="H106" s="409" t="b">
        <f>Wh_hp&gt;='2026'!Maxi_hp</f>
        <v>0</v>
      </c>
      <c r="I106" s="385">
        <f>IF(H106,Wh_hp,'2026'!Maxi_hp)</f>
        <v>75.430650895015674</v>
      </c>
      <c r="J106" s="85">
        <f>IF(H106,An,'2026'!An_max)</f>
        <v>2022</v>
      </c>
      <c r="K106" s="193">
        <f t="shared" si="27"/>
        <v>46479</v>
      </c>
      <c r="L106" s="143">
        <f>IF(t&lt;Tvie,1-EXP((T0-t)*PertePVj)+'2026'!Pspv,1-EXP((T0-t)*PertePVj)+Pspv)</f>
        <v>2.7739413006621416E-2</v>
      </c>
      <c r="M106" s="835"/>
      <c r="N106" s="835"/>
      <c r="O106" s="48">
        <f>IF(t&lt;Tnet,'2026'!Resal+('2026'!Salim-'2026'!Resal)*(1-EXP(('2026'!Tnet-t)/('2026'!Tau_j))),Resal+(Salim-Resal)*(1-EXP((Tnet-t)/(Tau_j))))*Salcycl</f>
        <v>3.0295387711340958E-2</v>
      </c>
      <c r="P106" s="165">
        <f>(INDEX(Models!$BJ106:$BT106,,T106)*(1-R106)+INDEX(Models!$BJ106:$BT106,,T106+1)*R106-ERP_i)*Q106*Ramure*Pc/MaxiM</f>
        <v>1.6954352889455535E-4</v>
      </c>
      <c r="Q106" s="301">
        <f t="shared" si="28"/>
        <v>0.5</v>
      </c>
      <c r="R106" s="173">
        <f t="shared" si="29"/>
        <v>0.51659521062121883</v>
      </c>
      <c r="S106" s="801">
        <f t="shared" si="30"/>
        <v>2</v>
      </c>
      <c r="T106" s="172">
        <f t="shared" si="31"/>
        <v>8</v>
      </c>
      <c r="U106" s="247">
        <f t="shared" si="32"/>
        <v>2.5165952106212188</v>
      </c>
      <c r="V106" s="378">
        <f t="shared" si="33"/>
        <v>206.4394146415369</v>
      </c>
      <c r="W106" s="397">
        <f t="shared" si="34"/>
        <v>71.104482120624581</v>
      </c>
      <c r="X106" s="153">
        <f t="shared" si="35"/>
        <v>46479</v>
      </c>
      <c r="Y106" s="380">
        <f t="shared" si="36"/>
        <v>69.03942897847827</v>
      </c>
      <c r="Z106" s="380">
        <f t="shared" si="37"/>
        <v>71.009182005388084</v>
      </c>
      <c r="AA106" s="381">
        <f t="shared" si="38"/>
        <v>75.417969477796291</v>
      </c>
      <c r="AB106" s="193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5.8458050553935929E-2</v>
      </c>
      <c r="AD106" s="227">
        <f>(INDEX(Models!$BJ106:$BT106,,AH106)*(1-AF106)+INDEX(Models!$BJ106:$BT106,,AH106+1)*AF106-ERP_i)*AE106*Ramure*Pc/MaxiM</f>
        <v>1.6954352889455535E-4</v>
      </c>
      <c r="AE106" s="301">
        <f t="shared" si="40"/>
        <v>0.5</v>
      </c>
      <c r="AF106" s="173">
        <f t="shared" si="41"/>
        <v>0.51659521062121883</v>
      </c>
      <c r="AG106" s="801">
        <f t="shared" si="49"/>
        <v>2</v>
      </c>
      <c r="AH106" s="172">
        <f t="shared" si="42"/>
        <v>8</v>
      </c>
      <c r="AI106" s="221">
        <f t="shared" si="43"/>
        <v>2.5165952106212188</v>
      </c>
      <c r="AJ106" s="261" t="b">
        <f t="shared" si="44"/>
        <v>0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46480</v>
      </c>
      <c r="B107" s="406">
        <f>'2026'!Wh/'2026'!Env_an*'2027'!Env_an</f>
        <v>114.14333793047183</v>
      </c>
      <c r="C107" s="831"/>
      <c r="D107" s="388">
        <f t="shared" si="25"/>
        <v>117.40155057738879</v>
      </c>
      <c r="E107" s="380">
        <f t="shared" si="47"/>
        <v>121.07679852767494</v>
      </c>
      <c r="F107" s="380">
        <f t="shared" si="26"/>
        <v>121.08421106354237</v>
      </c>
      <c r="G107" s="110">
        <f t="shared" si="48"/>
        <v>0.5501727961181907</v>
      </c>
      <c r="H107" s="409" t="b">
        <f>Wh_hp&gt;='2026'!Maxi_hp</f>
        <v>0</v>
      </c>
      <c r="I107" s="385">
        <f>IF(H107,Wh_hp,'2026'!Maxi_hp)</f>
        <v>121.09741152575187</v>
      </c>
      <c r="J107" s="85">
        <f>IF(H107,An,'2026'!An_max)</f>
        <v>2022</v>
      </c>
      <c r="K107" s="193">
        <f t="shared" si="27"/>
        <v>46480</v>
      </c>
      <c r="L107" s="143">
        <f>IF(t&lt;Tvie,1-EXP((T0-t)*PertePVj)+'2026'!Pspv,1-EXP((T0-t)*PertePVj)+Pspv)</f>
        <v>2.7752722437590083E-2</v>
      </c>
      <c r="M107" s="835"/>
      <c r="N107" s="835"/>
      <c r="O107" s="48">
        <f>IF(t&lt;Tnet,'2026'!Resal+('2026'!Salim-'2026'!Resal)*(1-EXP(('2026'!Tnet-t)/('2026'!Tau_j))),Resal+(Salim-Resal)*(1-EXP((Tnet-t)/(Tau_j))))*Salcycl</f>
        <v>3.0354683927706384E-2</v>
      </c>
      <c r="P107" s="165">
        <f>(INDEX(Models!$BJ107:$BT107,,T107)*(1-R107)+INDEX(Models!$BJ107:$BT107,,T107+1)*R107-ERP_i)*Q107*Ramure*Pc/MaxiM</f>
        <v>1.7125062009440086E-4</v>
      </c>
      <c r="Q107" s="301">
        <f t="shared" si="28"/>
        <v>0.5</v>
      </c>
      <c r="R107" s="173">
        <f t="shared" si="29"/>
        <v>0.51769279542603241</v>
      </c>
      <c r="S107" s="801">
        <f t="shared" si="30"/>
        <v>2</v>
      </c>
      <c r="T107" s="172">
        <f t="shared" si="31"/>
        <v>8</v>
      </c>
      <c r="U107" s="247">
        <f t="shared" si="32"/>
        <v>2.5176927954260324</v>
      </c>
      <c r="V107" s="378">
        <f t="shared" si="33"/>
        <v>207.44533077383264</v>
      </c>
      <c r="W107" s="397">
        <f t="shared" si="34"/>
        <v>114.14333793047183</v>
      </c>
      <c r="X107" s="153">
        <f t="shared" si="35"/>
        <v>46480</v>
      </c>
      <c r="Y107" s="380">
        <f t="shared" si="36"/>
        <v>110.83124642067691</v>
      </c>
      <c r="Z107" s="380">
        <f t="shared" si="37"/>
        <v>113.99491567469315</v>
      </c>
      <c r="AA107" s="381">
        <f t="shared" si="38"/>
        <v>121.07679852767494</v>
      </c>
      <c r="AB107" s="193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5.8490833413992784E-2</v>
      </c>
      <c r="AD107" s="227">
        <f>(INDEX(Models!$BJ107:$BT107,,AH107)*(1-AF107)+INDEX(Models!$BJ107:$BT107,,AH107+1)*AF107-ERP_i)*AE107*Ramure*Pc/MaxiM</f>
        <v>1.7125062009440086E-4</v>
      </c>
      <c r="AE107" s="301">
        <f t="shared" si="40"/>
        <v>0.5</v>
      </c>
      <c r="AF107" s="173">
        <f t="shared" si="41"/>
        <v>0.51769279542603241</v>
      </c>
      <c r="AG107" s="801">
        <f t="shared" si="49"/>
        <v>2</v>
      </c>
      <c r="AH107" s="172">
        <f t="shared" si="42"/>
        <v>8</v>
      </c>
      <c r="AI107" s="221">
        <f t="shared" si="43"/>
        <v>2.5176927954260324</v>
      </c>
      <c r="AJ107" s="261" t="b">
        <f t="shared" si="44"/>
        <v>0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46481</v>
      </c>
      <c r="B108" s="406">
        <f>'2026'!Wh/'2026'!Env_an*'2027'!Env_an</f>
        <v>174.14382012153624</v>
      </c>
      <c r="C108" s="831"/>
      <c r="D108" s="388">
        <f t="shared" si="25"/>
        <v>179.11719380016416</v>
      </c>
      <c r="E108" s="380">
        <f t="shared" si="47"/>
        <v>184.73579401217106</v>
      </c>
      <c r="F108" s="380">
        <f t="shared" si="26"/>
        <v>184.76025941239396</v>
      </c>
      <c r="G108" s="110">
        <f t="shared" si="48"/>
        <v>0.83548699662150938</v>
      </c>
      <c r="H108" s="409" t="b">
        <f>Wh_hp&gt;='2026'!Maxi_hp</f>
        <v>0</v>
      </c>
      <c r="I108" s="385">
        <f>IF(H108,Wh_hp,'2026'!Maxi_hp)</f>
        <v>184.76770122417531</v>
      </c>
      <c r="J108" s="85">
        <f>IF(H108,An,'2026'!An_max)</f>
        <v>2022</v>
      </c>
      <c r="K108" s="193">
        <f t="shared" si="27"/>
        <v>46481</v>
      </c>
      <c r="L108" s="143">
        <f>IF(t&lt;Tvie,1-EXP((T0-t)*PertePVj)+'2026'!Pspv,1-EXP((T0-t)*PertePVj)+Pspv)</f>
        <v>2.7766031686363823E-2</v>
      </c>
      <c r="M108" s="835"/>
      <c r="N108" s="835"/>
      <c r="O108" s="48">
        <f>IF(t&lt;Tnet,'2026'!Resal+('2026'!Salim-'2026'!Resal)*(1-EXP(('2026'!Tnet-t)/('2026'!Tau_j))),Resal+(Salim-Resal)*(1-EXP((Tnet-t)/(Tau_j))))*Salcycl</f>
        <v>3.0414247775050772E-2</v>
      </c>
      <c r="P108" s="165">
        <f>(INDEX(Models!$BJ108:$BT108,,T108)*(1-R108)+INDEX(Models!$BJ108:$BT108,,T108+1)*R108-ERP_i)*Q108*Ramure*Pc/MaxiM</f>
        <v>1.7308734245019531E-4</v>
      </c>
      <c r="Q108" s="301">
        <f t="shared" si="28"/>
        <v>0.5</v>
      </c>
      <c r="R108" s="173">
        <f t="shared" si="29"/>
        <v>0.51883102146088511</v>
      </c>
      <c r="S108" s="801">
        <f t="shared" si="30"/>
        <v>2</v>
      </c>
      <c r="T108" s="172">
        <f t="shared" si="31"/>
        <v>8</v>
      </c>
      <c r="U108" s="247">
        <f t="shared" si="32"/>
        <v>2.5188310214608851</v>
      </c>
      <c r="V108" s="378">
        <f t="shared" si="33"/>
        <v>208.42543019799376</v>
      </c>
      <c r="W108" s="397">
        <f t="shared" si="34"/>
        <v>174.14382012153624</v>
      </c>
      <c r="X108" s="153">
        <f t="shared" si="35"/>
        <v>46481</v>
      </c>
      <c r="Y108" s="380">
        <f t="shared" si="36"/>
        <v>169.09509324364507</v>
      </c>
      <c r="Z108" s="380">
        <f t="shared" si="37"/>
        <v>173.92428032209642</v>
      </c>
      <c r="AA108" s="381">
        <f t="shared" si="38"/>
        <v>184.73579401217106</v>
      </c>
      <c r="AB108" s="193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5.8524195313022748E-2</v>
      </c>
      <c r="AD108" s="227">
        <f>(INDEX(Models!$BJ108:$BT108,,AH108)*(1-AF108)+INDEX(Models!$BJ108:$BT108,,AH108+1)*AF108-ERP_i)*AE108*Ramure*Pc/MaxiM</f>
        <v>1.7308734245019531E-4</v>
      </c>
      <c r="AE108" s="301">
        <f t="shared" si="40"/>
        <v>0.5</v>
      </c>
      <c r="AF108" s="173">
        <f t="shared" si="41"/>
        <v>0.51883102146088511</v>
      </c>
      <c r="AG108" s="801">
        <f t="shared" si="49"/>
        <v>2</v>
      </c>
      <c r="AH108" s="172">
        <f t="shared" si="42"/>
        <v>8</v>
      </c>
      <c r="AI108" s="221">
        <f t="shared" si="43"/>
        <v>2.5188310214608851</v>
      </c>
      <c r="AJ108" s="261" t="b">
        <f t="shared" si="44"/>
        <v>0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46482</v>
      </c>
      <c r="B109" s="406">
        <f>'2026'!Wh/'2026'!Env_an*'2027'!Env_an</f>
        <v>213.36885196946224</v>
      </c>
      <c r="C109" s="831"/>
      <c r="D109" s="388">
        <f t="shared" si="25"/>
        <v>219.46545770248053</v>
      </c>
      <c r="E109" s="380">
        <f t="shared" si="47"/>
        <v>226.36368523610534</v>
      </c>
      <c r="F109" s="380">
        <f t="shared" si="26"/>
        <v>226.40334911043371</v>
      </c>
      <c r="G109" s="110">
        <f t="shared" si="48"/>
        <v>1.0190486017817744</v>
      </c>
      <c r="H109" s="409" t="b">
        <f>Wh_hp&gt;='2026'!Maxi_hp</f>
        <v>1</v>
      </c>
      <c r="I109" s="385">
        <f>IF(H109,Wh_hp,'2026'!Maxi_hp)</f>
        <v>226.40334911043371</v>
      </c>
      <c r="J109" s="85">
        <f>IF(H109,An,'2026'!An_max)</f>
        <v>2027</v>
      </c>
      <c r="K109" s="193">
        <f t="shared" si="27"/>
        <v>46482</v>
      </c>
      <c r="L109" s="143">
        <f>IF(t&lt;Tvie,1-EXP((T0-t)*PertePVj)+'2026'!Pspv,1-EXP((T0-t)*PertePVj)+Pspv)</f>
        <v>2.7779340752945192E-2</v>
      </c>
      <c r="M109" s="835"/>
      <c r="N109" s="835"/>
      <c r="O109" s="48">
        <f>IF(t&lt;Tnet,'2026'!Resal+('2026'!Salim-'2026'!Resal)*(1-EXP(('2026'!Tnet-t)/('2026'!Tau_j))),Resal+(Salim-Resal)*(1-EXP((Tnet-t)/(Tau_j))))*Salcycl</f>
        <v>3.047409095866992E-2</v>
      </c>
      <c r="P109" s="165">
        <f>(INDEX(Models!$BJ109:$BT109,,T109)*(1-R109)+INDEX(Models!$BJ109:$BT109,,T109+1)*R109-ERP_i)*Q109*Ramure*Pc/MaxiM</f>
        <v>1.7519119961878271E-4</v>
      </c>
      <c r="Q109" s="301">
        <f t="shared" si="28"/>
        <v>0.5</v>
      </c>
      <c r="R109" s="173">
        <f t="shared" si="29"/>
        <v>0.52001117308890388</v>
      </c>
      <c r="S109" s="801">
        <f t="shared" si="30"/>
        <v>2</v>
      </c>
      <c r="T109" s="172">
        <f t="shared" si="31"/>
        <v>8</v>
      </c>
      <c r="U109" s="247">
        <f t="shared" si="32"/>
        <v>2.5200111730889039</v>
      </c>
      <c r="V109" s="378">
        <f t="shared" si="33"/>
        <v>209.38044720967534</v>
      </c>
      <c r="W109" s="397">
        <f t="shared" si="34"/>
        <v>213.36885196946224</v>
      </c>
      <c r="X109" s="153">
        <f t="shared" si="35"/>
        <v>46482</v>
      </c>
      <c r="Y109" s="380">
        <f t="shared" si="36"/>
        <v>207.18823863648453</v>
      </c>
      <c r="Z109" s="380">
        <f t="shared" si="37"/>
        <v>213.10824519707631</v>
      </c>
      <c r="AA109" s="381">
        <f t="shared" si="38"/>
        <v>226.36368523610534</v>
      </c>
      <c r="AB109" s="193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5.8558156204265369E-2</v>
      </c>
      <c r="AD109" s="227">
        <f>(INDEX(Models!$BJ109:$BT109,,AH109)*(1-AF109)+INDEX(Models!$BJ109:$BT109,,AH109+1)*AF109-ERP_i)*AE109*Ramure*Pc/MaxiM</f>
        <v>1.7519119961878271E-4</v>
      </c>
      <c r="AE109" s="301">
        <f t="shared" si="40"/>
        <v>0.5</v>
      </c>
      <c r="AF109" s="173">
        <f t="shared" si="41"/>
        <v>0.52001117308890388</v>
      </c>
      <c r="AG109" s="801">
        <f t="shared" si="49"/>
        <v>2</v>
      </c>
      <c r="AH109" s="172">
        <f t="shared" si="42"/>
        <v>8</v>
      </c>
      <c r="AI109" s="221">
        <f t="shared" si="43"/>
        <v>2.5200111730889039</v>
      </c>
      <c r="AJ109" s="261" t="b">
        <f t="shared" si="44"/>
        <v>0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46483</v>
      </c>
      <c r="B110" s="406">
        <f>'2026'!Wh/'2026'!Env_an*'2027'!Env_an</f>
        <v>52.974177399083032</v>
      </c>
      <c r="C110" s="831"/>
      <c r="D110" s="388">
        <f t="shared" si="25"/>
        <v>54.488558823713916</v>
      </c>
      <c r="E110" s="380">
        <f t="shared" si="47"/>
        <v>56.204726588548212</v>
      </c>
      <c r="F110" s="380">
        <f t="shared" si="26"/>
        <v>56.204726588548212</v>
      </c>
      <c r="G110" s="110">
        <f t="shared" si="48"/>
        <v>0.25184005987850194</v>
      </c>
      <c r="H110" s="409" t="b">
        <f>Wh_hp&gt;='2026'!Maxi_hp</f>
        <v>0</v>
      </c>
      <c r="I110" s="385">
        <f>IF(H110,Wh_hp,'2026'!Maxi_hp)</f>
        <v>56.214601212449267</v>
      </c>
      <c r="J110" s="85">
        <f>IF(H110,An,'2026'!An_max)</f>
        <v>2022</v>
      </c>
      <c r="K110" s="193">
        <f t="shared" si="27"/>
        <v>46483</v>
      </c>
      <c r="L110" s="143">
        <f>IF(t&lt;Tvie,1-EXP((T0-t)*PertePVj)+'2026'!Pspv,1-EXP((T0-t)*PertePVj)+Pspv)</f>
        <v>2.7792649637336519E-2</v>
      </c>
      <c r="M110" s="835"/>
      <c r="N110" s="835"/>
      <c r="O110" s="48">
        <f>IF(t&lt;Tnet,'2026'!Resal+('2026'!Salim-'2026'!Resal)*(1-EXP(('2026'!Tnet-t)/('2026'!Tau_j))),Resal+(Salim-Resal)*(1-EXP((Tnet-t)/(Tau_j))))*Salcycl</f>
        <v>3.0534224948689088E-2</v>
      </c>
      <c r="P110" s="165">
        <f>(INDEX(Models!$BJ110:$BT110,,T110)*(1-R110)+INDEX(Models!$BJ110:$BT110,,T110+1)*R110-ERP_i)*Q110*Ramure*Pc/MaxiM</f>
        <v>1.7756233147590855E-4</v>
      </c>
      <c r="Q110" s="301">
        <f t="shared" si="28"/>
        <v>0.5</v>
      </c>
      <c r="R110" s="173">
        <f t="shared" si="29"/>
        <v>0.52123455761194393</v>
      </c>
      <c r="S110" s="801">
        <f t="shared" si="30"/>
        <v>2</v>
      </c>
      <c r="T110" s="172">
        <f t="shared" si="31"/>
        <v>8</v>
      </c>
      <c r="U110" s="247">
        <f t="shared" si="32"/>
        <v>2.5212345576119439</v>
      </c>
      <c r="V110" s="378">
        <f t="shared" si="33"/>
        <v>210.31114432782627</v>
      </c>
      <c r="W110" s="397">
        <f t="shared" si="34"/>
        <v>52.974177399083032</v>
      </c>
      <c r="X110" s="153">
        <f t="shared" si="35"/>
        <v>46483</v>
      </c>
      <c r="Y110" s="380">
        <f t="shared" si="36"/>
        <v>51.440986075393155</v>
      </c>
      <c r="Z110" s="380">
        <f t="shared" si="37"/>
        <v>52.911537910306969</v>
      </c>
      <c r="AA110" s="381">
        <f t="shared" si="38"/>
        <v>56.204726588548212</v>
      </c>
      <c r="AB110" s="193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5.8592735489122277E-2</v>
      </c>
      <c r="AD110" s="227">
        <f>(INDEX(Models!$BJ110:$BT110,,AH110)*(1-AF110)+INDEX(Models!$BJ110:$BT110,,AH110+1)*AF110-ERP_i)*AE110*Ramure*Pc/MaxiM</f>
        <v>1.7756233147590855E-4</v>
      </c>
      <c r="AE110" s="301">
        <f t="shared" si="40"/>
        <v>0.5</v>
      </c>
      <c r="AF110" s="173">
        <f t="shared" si="41"/>
        <v>0.52123455761194393</v>
      </c>
      <c r="AG110" s="801">
        <f t="shared" si="49"/>
        <v>2</v>
      </c>
      <c r="AH110" s="172">
        <f t="shared" si="42"/>
        <v>8</v>
      </c>
      <c r="AI110" s="221">
        <f t="shared" si="43"/>
        <v>2.5212345576119439</v>
      </c>
      <c r="AJ110" s="261" t="b">
        <f t="shared" si="44"/>
        <v>0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46484</v>
      </c>
      <c r="B111" s="406">
        <f>'2026'!Wh/'2026'!Env_an*'2027'!Env_an</f>
        <v>162.80022336891722</v>
      </c>
      <c r="C111" s="831"/>
      <c r="D111" s="388">
        <f t="shared" si="25"/>
        <v>167.45651217000102</v>
      </c>
      <c r="E111" s="380">
        <f t="shared" si="47"/>
        <v>172.74147915805577</v>
      </c>
      <c r="F111" s="380">
        <f t="shared" si="26"/>
        <v>172.76241621748633</v>
      </c>
      <c r="G111" s="110">
        <f t="shared" si="48"/>
        <v>0.77072217513848473</v>
      </c>
      <c r="H111" s="409" t="b">
        <f>Wh_hp&gt;='2026'!Maxi_hp</f>
        <v>0</v>
      </c>
      <c r="I111" s="385">
        <f>IF(H111,Wh_hp,'2026'!Maxi_hp)</f>
        <v>172.77249888027328</v>
      </c>
      <c r="J111" s="85">
        <f>IF(H111,An,'2026'!An_max)</f>
        <v>2022</v>
      </c>
      <c r="K111" s="193">
        <f t="shared" si="27"/>
        <v>46484</v>
      </c>
      <c r="L111" s="143">
        <f>IF(t&lt;Tvie,1-EXP((T0-t)*PertePVj)+'2026'!Pspv,1-EXP((T0-t)*PertePVj)+Pspv)</f>
        <v>2.7805958339540471E-2</v>
      </c>
      <c r="M111" s="835"/>
      <c r="N111" s="835"/>
      <c r="O111" s="48">
        <f>IF(t&lt;Tnet,'2026'!Resal+('2026'!Salim-'2026'!Resal)*(1-EXP(('2026'!Tnet-t)/('2026'!Tau_j))),Resal+(Salim-Resal)*(1-EXP((Tnet-t)/(Tau_j))))*Salcycl</f>
        <v>3.0594660957019397E-2</v>
      </c>
      <c r="P111" s="165">
        <f>(INDEX(Models!$BJ111:$BT111,,T111)*(1-R111)+INDEX(Models!$BJ111:$BT111,,T111+1)*R111-ERP_i)*Q111*Ramure*Pc/MaxiM</f>
        <v>1.8020126333092074E-4</v>
      </c>
      <c r="Q111" s="301">
        <f t="shared" si="28"/>
        <v>0.5</v>
      </c>
      <c r="R111" s="173">
        <f t="shared" si="29"/>
        <v>0.52250250417289301</v>
      </c>
      <c r="S111" s="801">
        <f t="shared" si="30"/>
        <v>2</v>
      </c>
      <c r="T111" s="172">
        <f t="shared" si="31"/>
        <v>8</v>
      </c>
      <c r="U111" s="247">
        <f t="shared" si="32"/>
        <v>2.522502504172893</v>
      </c>
      <c r="V111" s="378">
        <f t="shared" si="33"/>
        <v>211.21828382793069</v>
      </c>
      <c r="W111" s="397">
        <f t="shared" si="34"/>
        <v>162.80022336891722</v>
      </c>
      <c r="X111" s="153">
        <f t="shared" si="35"/>
        <v>46484</v>
      </c>
      <c r="Y111" s="380">
        <f t="shared" si="36"/>
        <v>158.09236190369217</v>
      </c>
      <c r="Z111" s="380">
        <f t="shared" si="37"/>
        <v>162.61400001349341</v>
      </c>
      <c r="AA111" s="381">
        <f t="shared" si="38"/>
        <v>172.74147915805577</v>
      </c>
      <c r="AB111" s="193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5.8627951977277465E-2</v>
      </c>
      <c r="AD111" s="227">
        <f>(INDEX(Models!$BJ111:$BT111,,AH111)*(1-AF111)+INDEX(Models!$BJ111:$BT111,,AH111+1)*AF111-ERP_i)*AE111*Ramure*Pc/MaxiM</f>
        <v>1.8020126333092074E-4</v>
      </c>
      <c r="AE111" s="301">
        <f t="shared" si="40"/>
        <v>0.5</v>
      </c>
      <c r="AF111" s="173">
        <f t="shared" si="41"/>
        <v>0.52250250417289301</v>
      </c>
      <c r="AG111" s="801">
        <f t="shared" si="49"/>
        <v>2</v>
      </c>
      <c r="AH111" s="172">
        <f t="shared" si="42"/>
        <v>8</v>
      </c>
      <c r="AI111" s="221">
        <f t="shared" si="43"/>
        <v>2.522502504172893</v>
      </c>
      <c r="AJ111" s="261" t="b">
        <f t="shared" si="44"/>
        <v>0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46485</v>
      </c>
      <c r="B112" s="406">
        <f>'2026'!Wh/'2026'!Env_an*'2027'!Env_an</f>
        <v>129.5766502639903</v>
      </c>
      <c r="C112" s="831"/>
      <c r="D112" s="388">
        <f t="shared" si="25"/>
        <v>133.28452812001137</v>
      </c>
      <c r="E112" s="380">
        <f t="shared" si="47"/>
        <v>137.49963581917228</v>
      </c>
      <c r="F112" s="380">
        <f t="shared" si="26"/>
        <v>137.51081962899735</v>
      </c>
      <c r="G112" s="110">
        <f t="shared" si="48"/>
        <v>0.61085269159552202</v>
      </c>
      <c r="H112" s="409" t="b">
        <f>Wh_hp&gt;='2026'!Maxi_hp</f>
        <v>0</v>
      </c>
      <c r="I112" s="385">
        <f>IF(H112,Wh_hp,'2026'!Maxi_hp)</f>
        <v>137.5246543062388</v>
      </c>
      <c r="J112" s="85">
        <f>IF(H112,An,'2026'!An_max)</f>
        <v>2022</v>
      </c>
      <c r="K112" s="193">
        <f t="shared" si="27"/>
        <v>46485</v>
      </c>
      <c r="L112" s="143">
        <f>IF(t&lt;Tvie,1-EXP((T0-t)*PertePVj)+'2026'!Pspv,1-EXP((T0-t)*PertePVj)+Pspv)</f>
        <v>2.7819266859559488E-2</v>
      </c>
      <c r="M112" s="835"/>
      <c r="N112" s="835"/>
      <c r="O112" s="48">
        <f>IF(t&lt;Tnet,'2026'!Resal+('2026'!Salim-'2026'!Resal)*(1-EXP(('2026'!Tnet-t)/('2026'!Tau_j))),Resal+(Salim-Resal)*(1-EXP((Tnet-t)/(Tau_j))))*Salcycl</f>
        <v>3.0655409914716145E-2</v>
      </c>
      <c r="P112" s="165">
        <f>(INDEX(Models!$BJ112:$BT112,,T112)*(1-R112)+INDEX(Models!$BJ112:$BT112,,T112+1)*R112-ERP_i)*Q112*Ramure*Pc/MaxiM</f>
        <v>1.8310889549125639E-4</v>
      </c>
      <c r="Q112" s="301">
        <f t="shared" si="28"/>
        <v>0.5</v>
      </c>
      <c r="R112" s="173">
        <f t="shared" si="29"/>
        <v>0.52381636250063668</v>
      </c>
      <c r="S112" s="801">
        <f t="shared" si="30"/>
        <v>2</v>
      </c>
      <c r="T112" s="172">
        <f t="shared" si="31"/>
        <v>8</v>
      </c>
      <c r="U112" s="247">
        <f t="shared" si="32"/>
        <v>2.5238163625006367</v>
      </c>
      <c r="V112" s="378">
        <f t="shared" si="33"/>
        <v>212.10262778125374</v>
      </c>
      <c r="W112" s="397">
        <f t="shared" si="34"/>
        <v>129.5766502639903</v>
      </c>
      <c r="X112" s="153">
        <f t="shared" si="35"/>
        <v>46485</v>
      </c>
      <c r="Y112" s="380">
        <f t="shared" si="36"/>
        <v>125.83263962650514</v>
      </c>
      <c r="Z112" s="380">
        <f t="shared" si="37"/>
        <v>129.43338140432726</v>
      </c>
      <c r="AA112" s="381">
        <f t="shared" si="38"/>
        <v>137.49963581917228</v>
      </c>
      <c r="AB112" s="193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5.8663823847890456E-2</v>
      </c>
      <c r="AD112" s="227">
        <f>(INDEX(Models!$BJ112:$BT112,,AH112)*(1-AF112)+INDEX(Models!$BJ112:$BT112,,AH112+1)*AF112-ERP_i)*AE112*Ramure*Pc/MaxiM</f>
        <v>1.8310889549125639E-4</v>
      </c>
      <c r="AE112" s="301">
        <f t="shared" si="40"/>
        <v>0.5</v>
      </c>
      <c r="AF112" s="173">
        <f t="shared" si="41"/>
        <v>0.52381636250063668</v>
      </c>
      <c r="AG112" s="801">
        <f t="shared" si="49"/>
        <v>2</v>
      </c>
      <c r="AH112" s="172">
        <f t="shared" si="42"/>
        <v>8</v>
      </c>
      <c r="AI112" s="221">
        <f t="shared" si="43"/>
        <v>2.5238163625006367</v>
      </c>
      <c r="AJ112" s="261" t="b">
        <f t="shared" si="44"/>
        <v>0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46486</v>
      </c>
      <c r="B113" s="406">
        <f>'2026'!Wh/'2026'!Env_an*'2027'!Env_an</f>
        <v>139.86884306234327</v>
      </c>
      <c r="C113" s="831"/>
      <c r="D113" s="388">
        <f t="shared" si="25"/>
        <v>143.87320485537072</v>
      </c>
      <c r="E113" s="380">
        <f t="shared" si="47"/>
        <v>148.43253005990348</v>
      </c>
      <c r="F113" s="380">
        <f t="shared" si="26"/>
        <v>148.44662428442331</v>
      </c>
      <c r="G113" s="110">
        <f t="shared" si="48"/>
        <v>0.65670934973718109</v>
      </c>
      <c r="H113" s="409" t="b">
        <f>Wh_hp&gt;='2026'!Maxi_hp</f>
        <v>0</v>
      </c>
      <c r="I113" s="385">
        <f>IF(H113,Wh_hp,'2026'!Maxi_hp)</f>
        <v>148.46002089262618</v>
      </c>
      <c r="J113" s="85">
        <f>IF(H113,An,'2026'!An_max)</f>
        <v>2022</v>
      </c>
      <c r="K113" s="193">
        <f t="shared" si="27"/>
        <v>46486</v>
      </c>
      <c r="L113" s="143">
        <f>IF(t&lt;Tvie,1-EXP((T0-t)*PertePVj)+'2026'!Pspv,1-EXP((T0-t)*PertePVj)+Pspv)</f>
        <v>2.7832575197395903E-2</v>
      </c>
      <c r="M113" s="835"/>
      <c r="N113" s="835"/>
      <c r="O113" s="48">
        <f>IF(t&lt;Tnet,'2026'!Resal+('2026'!Salim-'2026'!Resal)*(1-EXP(('2026'!Tnet-t)/('2026'!Tau_j))),Resal+(Salim-Resal)*(1-EXP((Tnet-t)/(Tau_j))))*Salcycl</f>
        <v>3.0716482449586725E-2</v>
      </c>
      <c r="P113" s="165">
        <f>(INDEX(Models!$BJ113:$BT113,,T113)*(1-R113)+INDEX(Models!$BJ113:$BT113,,T113+1)*R113-ERP_i)*Q113*Ramure*Pc/MaxiM</f>
        <v>1.8628649319821821E-4</v>
      </c>
      <c r="Q113" s="301">
        <f t="shared" si="28"/>
        <v>0.5</v>
      </c>
      <c r="R113" s="173">
        <f t="shared" si="29"/>
        <v>0.52517750148820275</v>
      </c>
      <c r="S113" s="801">
        <f t="shared" si="30"/>
        <v>2</v>
      </c>
      <c r="T113" s="172">
        <f t="shared" si="31"/>
        <v>8</v>
      </c>
      <c r="U113" s="247">
        <f t="shared" si="32"/>
        <v>2.5251775014882027</v>
      </c>
      <c r="V113" s="378">
        <f t="shared" si="33"/>
        <v>212.96493804804547</v>
      </c>
      <c r="W113" s="397">
        <f t="shared" si="34"/>
        <v>139.86884306234327</v>
      </c>
      <c r="X113" s="153">
        <f t="shared" si="35"/>
        <v>46486</v>
      </c>
      <c r="Y113" s="380">
        <f t="shared" si="36"/>
        <v>135.8307327354957</v>
      </c>
      <c r="Z113" s="380">
        <f t="shared" si="37"/>
        <v>139.71948583144078</v>
      </c>
      <c r="AA113" s="381">
        <f t="shared" si="38"/>
        <v>148.43253005990348</v>
      </c>
      <c r="AB113" s="193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5.8700368611559417E-2</v>
      </c>
      <c r="AD113" s="227">
        <f>(INDEX(Models!$BJ113:$BT113,,AH113)*(1-AF113)+INDEX(Models!$BJ113:$BT113,,AH113+1)*AF113-ERP_i)*AE113*Ramure*Pc/MaxiM</f>
        <v>1.8628649319821821E-4</v>
      </c>
      <c r="AE113" s="301">
        <f t="shared" si="40"/>
        <v>0.5</v>
      </c>
      <c r="AF113" s="173">
        <f t="shared" si="41"/>
        <v>0.52517750148820275</v>
      </c>
      <c r="AG113" s="801">
        <f t="shared" si="49"/>
        <v>2</v>
      </c>
      <c r="AH113" s="172">
        <f t="shared" si="42"/>
        <v>8</v>
      </c>
      <c r="AI113" s="221">
        <f t="shared" si="43"/>
        <v>2.5251775014882027</v>
      </c>
      <c r="AJ113" s="261" t="b">
        <f t="shared" si="44"/>
        <v>0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46487</v>
      </c>
      <c r="B114" s="406">
        <f>'2026'!Wh/'2026'!Env_an*'2027'!Env_an</f>
        <v>218.3592590599219</v>
      </c>
      <c r="C114" s="831"/>
      <c r="D114" s="388">
        <f t="shared" si="25"/>
        <v>224.61382955725566</v>
      </c>
      <c r="E114" s="380">
        <f t="shared" si="47"/>
        <v>231.7464975019667</v>
      </c>
      <c r="F114" s="380">
        <f t="shared" si="26"/>
        <v>231.79044704559422</v>
      </c>
      <c r="G114" s="110">
        <f t="shared" si="48"/>
        <v>1.0212962014267877</v>
      </c>
      <c r="H114" s="409" t="b">
        <f>Wh_hp&gt;='2026'!Maxi_hp</f>
        <v>1</v>
      </c>
      <c r="I114" s="385">
        <f>IF(H114,Wh_hp,'2026'!Maxi_hp)</f>
        <v>231.79044704559422</v>
      </c>
      <c r="J114" s="85">
        <f>IF(H114,An,'2026'!An_max)</f>
        <v>2027</v>
      </c>
      <c r="K114" s="193">
        <f t="shared" si="27"/>
        <v>46487</v>
      </c>
      <c r="L114" s="143">
        <f>IF(t&lt;Tvie,1-EXP((T0-t)*PertePVj)+'2026'!Pspv,1-EXP((T0-t)*PertePVj)+Pspv)</f>
        <v>2.7845883353052492E-2</v>
      </c>
      <c r="M114" s="835"/>
      <c r="N114" s="835"/>
      <c r="O114" s="48">
        <f>IF(t&lt;Tnet,'2026'!Resal+('2026'!Salim-'2026'!Resal)*(1-EXP(('2026'!Tnet-t)/('2026'!Tau_j))),Resal+(Salim-Resal)*(1-EXP((Tnet-t)/(Tau_j))))*Salcycl</f>
        <v>3.0777888863888908E-2</v>
      </c>
      <c r="P114" s="165">
        <f>(INDEX(Models!$BJ114:$BT114,,T114)*(1-R114)+INDEX(Models!$BJ114:$BT114,,T114+1)*R114-ERP_i)*Q114*Ramure*Pc/MaxiM</f>
        <v>1.896089514805958E-4</v>
      </c>
      <c r="Q114" s="301">
        <f t="shared" si="28"/>
        <v>0.5</v>
      </c>
      <c r="R114" s="173">
        <f t="shared" si="29"/>
        <v>0.52658730759454508</v>
      </c>
      <c r="S114" s="801">
        <f t="shared" si="30"/>
        <v>2</v>
      </c>
      <c r="T114" s="172">
        <f t="shared" si="31"/>
        <v>8</v>
      </c>
      <c r="U114" s="247">
        <f t="shared" si="32"/>
        <v>2.5265873075945451</v>
      </c>
      <c r="V114" s="378">
        <f t="shared" si="33"/>
        <v>213.8060033464005</v>
      </c>
      <c r="W114" s="397">
        <f t="shared" si="34"/>
        <v>218.3592590599219</v>
      </c>
      <c r="X114" s="153">
        <f t="shared" si="35"/>
        <v>46487</v>
      </c>
      <c r="Y114" s="380">
        <f t="shared" si="36"/>
        <v>212.06012245539739</v>
      </c>
      <c r="Z114" s="380">
        <f t="shared" si="37"/>
        <v>218.13426371819833</v>
      </c>
      <c r="AA114" s="381">
        <f t="shared" si="38"/>
        <v>231.7464975019667</v>
      </c>
      <c r="AB114" s="193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5.8737603072740598E-2</v>
      </c>
      <c r="AD114" s="227">
        <f>(INDEX(Models!$BJ114:$BT114,,AH114)*(1-AF114)+INDEX(Models!$BJ114:$BT114,,AH114+1)*AF114-ERP_i)*AE114*Ramure*Pc/MaxiM</f>
        <v>1.896089514805958E-4</v>
      </c>
      <c r="AE114" s="301">
        <f t="shared" si="40"/>
        <v>0.5</v>
      </c>
      <c r="AF114" s="173">
        <f t="shared" si="41"/>
        <v>0.52658730759454508</v>
      </c>
      <c r="AG114" s="801">
        <f t="shared" si="49"/>
        <v>2</v>
      </c>
      <c r="AH114" s="172">
        <f t="shared" si="42"/>
        <v>8</v>
      </c>
      <c r="AI114" s="221">
        <f t="shared" si="43"/>
        <v>2.5265873075945451</v>
      </c>
      <c r="AJ114" s="261" t="b">
        <f t="shared" si="44"/>
        <v>0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46488</v>
      </c>
      <c r="B115" s="406">
        <f>'2026'!Wh/'2026'!Env_an*'2027'!Env_an</f>
        <v>175.61798205369377</v>
      </c>
      <c r="C115" s="831"/>
      <c r="D115" s="388">
        <f t="shared" si="25"/>
        <v>180.65076631576932</v>
      </c>
      <c r="E115" s="380">
        <f t="shared" si="47"/>
        <v>186.39925197749398</v>
      </c>
      <c r="F115" s="380">
        <f t="shared" si="26"/>
        <v>186.42589344520565</v>
      </c>
      <c r="G115" s="110">
        <f t="shared" si="48"/>
        <v>0.81820790922093556</v>
      </c>
      <c r="H115" s="409" t="b">
        <f>Wh_hp&gt;='2026'!Maxi_hp</f>
        <v>0</v>
      </c>
      <c r="I115" s="385">
        <f>IF(H115,Wh_hp,'2026'!Maxi_hp)</f>
        <v>186.43511486158815</v>
      </c>
      <c r="J115" s="85">
        <f>IF(H115,An,'2026'!An_max)</f>
        <v>2022</v>
      </c>
      <c r="K115" s="193">
        <f t="shared" si="27"/>
        <v>46488</v>
      </c>
      <c r="L115" s="143">
        <f>IF(t&lt;Tvie,1-EXP((T0-t)*PertePVj)+'2026'!Pspv,1-EXP((T0-t)*PertePVj)+Pspv)</f>
        <v>2.7859191326531474E-2</v>
      </c>
      <c r="M115" s="835"/>
      <c r="N115" s="835"/>
      <c r="O115" s="48">
        <f>IF(t&lt;Tnet,'2026'!Resal+('2026'!Salim-'2026'!Resal)*(1-EXP(('2026'!Tnet-t)/('2026'!Tau_j))),Resal+(Salim-Resal)*(1-EXP((Tnet-t)/(Tau_j))))*Salcycl</f>
        <v>3.0839639111957074E-2</v>
      </c>
      <c r="P115" s="165">
        <f>(INDEX(Models!$BJ115:$BT115,,T115)*(1-R115)+INDEX(Models!$BJ115:$BT115,,T115+1)*R115-ERP_i)*Q115*Ramure*Pc/MaxiM</f>
        <v>1.9302410391583343E-4</v>
      </c>
      <c r="Q115" s="301">
        <f t="shared" si="28"/>
        <v>0.5</v>
      </c>
      <c r="R115" s="173">
        <f t="shared" si="29"/>
        <v>0.52804718306044229</v>
      </c>
      <c r="S115" s="801">
        <f t="shared" si="30"/>
        <v>2</v>
      </c>
      <c r="T115" s="172">
        <f t="shared" si="31"/>
        <v>8</v>
      </c>
      <c r="U115" s="247">
        <f t="shared" si="32"/>
        <v>2.5280471830604423</v>
      </c>
      <c r="V115" s="378">
        <f t="shared" si="33"/>
        <v>214.62659705461991</v>
      </c>
      <c r="W115" s="397">
        <f t="shared" si="34"/>
        <v>175.61798205369377</v>
      </c>
      <c r="X115" s="153">
        <f t="shared" si="35"/>
        <v>46488</v>
      </c>
      <c r="Y115" s="380">
        <f t="shared" si="36"/>
        <v>170.55581967377216</v>
      </c>
      <c r="Z115" s="380">
        <f t="shared" si="37"/>
        <v>175.44353467323683</v>
      </c>
      <c r="AA115" s="381">
        <f t="shared" si="38"/>
        <v>186.39925197749398</v>
      </c>
      <c r="AB115" s="193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5.877554329230876E-2</v>
      </c>
      <c r="AD115" s="227">
        <f>(INDEX(Models!$BJ115:$BT115,,AH115)*(1-AF115)+INDEX(Models!$BJ115:$BT115,,AH115+1)*AF115-ERP_i)*AE115*Ramure*Pc/MaxiM</f>
        <v>1.9302410391583343E-4</v>
      </c>
      <c r="AE115" s="301">
        <f t="shared" si="40"/>
        <v>0.5</v>
      </c>
      <c r="AF115" s="173">
        <f t="shared" si="41"/>
        <v>0.52804718306044229</v>
      </c>
      <c r="AG115" s="801">
        <f t="shared" si="49"/>
        <v>2</v>
      </c>
      <c r="AH115" s="172">
        <f t="shared" si="42"/>
        <v>8</v>
      </c>
      <c r="AI115" s="221">
        <f t="shared" si="43"/>
        <v>2.5280471830604423</v>
      </c>
      <c r="AJ115" s="261" t="b">
        <f t="shared" si="44"/>
        <v>0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46489</v>
      </c>
      <c r="B116" s="406">
        <f>'2026'!Wh/'2026'!Env_an*'2027'!Env_an</f>
        <v>147.03958149939487</v>
      </c>
      <c r="C116" s="831"/>
      <c r="D116" s="388">
        <f t="shared" si="25"/>
        <v>151.25544886443672</v>
      </c>
      <c r="E116" s="380">
        <f t="shared" si="47"/>
        <v>156.07854800808295</v>
      </c>
      <c r="F116" s="380">
        <f t="shared" si="26"/>
        <v>156.09531350004281</v>
      </c>
      <c r="G116" s="110">
        <f t="shared" si="48"/>
        <v>0.68248709063531221</v>
      </c>
      <c r="H116" s="409" t="b">
        <f>Wh_hp&gt;='2026'!Maxi_hp</f>
        <v>0</v>
      </c>
      <c r="I116" s="385">
        <f>IF(H116,Wh_hp,'2026'!Maxi_hp)</f>
        <v>156.10903736270134</v>
      </c>
      <c r="J116" s="85">
        <f>IF(H116,An,'2026'!An_max)</f>
        <v>2022</v>
      </c>
      <c r="K116" s="193">
        <f t="shared" si="27"/>
        <v>46489</v>
      </c>
      <c r="L116" s="143">
        <f>IF(t&lt;Tvie,1-EXP((T0-t)*PertePVj)+'2026'!Pspv,1-EXP((T0-t)*PertePVj)+Pspv)</f>
        <v>2.7872499117835625E-2</v>
      </c>
      <c r="M116" s="835"/>
      <c r="N116" s="835"/>
      <c r="O116" s="48">
        <f>IF(t&lt;Tnet,'2026'!Resal+('2026'!Salim-'2026'!Resal)*(1-EXP(('2026'!Tnet-t)/('2026'!Tau_j))),Resal+(Salim-Resal)*(1-EXP((Tnet-t)/(Tau_j))))*Salcycl</f>
        <v>3.0901742777594624E-2</v>
      </c>
      <c r="P116" s="165">
        <f>(INDEX(Models!$BJ116:$BT116,,T116)*(1-R116)+INDEX(Models!$BJ116:$BT116,,T116+1)*R116-ERP_i)*Q116*Ramure*Pc/MaxiM</f>
        <v>1.9653441887449398E-4</v>
      </c>
      <c r="Q116" s="301">
        <f t="shared" si="28"/>
        <v>0.5</v>
      </c>
      <c r="R116" s="173">
        <f t="shared" si="29"/>
        <v>0.52955854392907087</v>
      </c>
      <c r="S116" s="801">
        <f t="shared" si="30"/>
        <v>2</v>
      </c>
      <c r="T116" s="172">
        <f t="shared" si="31"/>
        <v>8</v>
      </c>
      <c r="U116" s="247">
        <f t="shared" si="32"/>
        <v>2.5295585439290709</v>
      </c>
      <c r="V116" s="378">
        <f t="shared" si="33"/>
        <v>215.42748079352234</v>
      </c>
      <c r="W116" s="397">
        <f t="shared" si="34"/>
        <v>147.03958149939487</v>
      </c>
      <c r="X116" s="153">
        <f t="shared" si="35"/>
        <v>46489</v>
      </c>
      <c r="Y116" s="380">
        <f t="shared" si="36"/>
        <v>142.80447255452074</v>
      </c>
      <c r="Z116" s="380">
        <f t="shared" si="37"/>
        <v>146.89891235967684</v>
      </c>
      <c r="AA116" s="381">
        <f t="shared" si="38"/>
        <v>156.07854800808295</v>
      </c>
      <c r="AB116" s="193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5.8814204549947034E-2</v>
      </c>
      <c r="AD116" s="227">
        <f>(INDEX(Models!$BJ116:$BT116,,AH116)*(1-AF116)+INDEX(Models!$BJ116:$BT116,,AH116+1)*AF116-ERP_i)*AE116*Ramure*Pc/MaxiM</f>
        <v>1.9653441887449398E-4</v>
      </c>
      <c r="AE116" s="301">
        <f t="shared" si="40"/>
        <v>0.5</v>
      </c>
      <c r="AF116" s="173">
        <f t="shared" si="41"/>
        <v>0.52955854392907087</v>
      </c>
      <c r="AG116" s="801">
        <f t="shared" si="49"/>
        <v>2</v>
      </c>
      <c r="AH116" s="172">
        <f t="shared" si="42"/>
        <v>8</v>
      </c>
      <c r="AI116" s="221">
        <f t="shared" si="43"/>
        <v>2.5295585439290709</v>
      </c>
      <c r="AJ116" s="261" t="b">
        <f t="shared" si="44"/>
        <v>0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46490</v>
      </c>
      <c r="B117" s="406">
        <f>'2026'!Wh/'2026'!Env_an*'2027'!Env_an</f>
        <v>24.393533319596472</v>
      </c>
      <c r="C117" s="831"/>
      <c r="D117" s="388">
        <f t="shared" si="25"/>
        <v>25.093279666522864</v>
      </c>
      <c r="E117" s="380">
        <f t="shared" si="47"/>
        <v>25.895100986879278</v>
      </c>
      <c r="F117" s="380">
        <f t="shared" si="26"/>
        <v>25.895100986879278</v>
      </c>
      <c r="G117" s="110">
        <f t="shared" si="48"/>
        <v>0.11280105920220614</v>
      </c>
      <c r="H117" s="409" t="b">
        <f>Wh_hp&gt;='2026'!Maxi_hp</f>
        <v>0</v>
      </c>
      <c r="I117" s="385">
        <f>IF(H117,Wh_hp,'2026'!Maxi_hp)</f>
        <v>25.900210588432266</v>
      </c>
      <c r="J117" s="85">
        <f>IF(H117,An,'2026'!An_max)</f>
        <v>2022</v>
      </c>
      <c r="K117" s="193">
        <f t="shared" si="27"/>
        <v>46490</v>
      </c>
      <c r="L117" s="143">
        <f>IF(t&lt;Tvie,1-EXP((T0-t)*PertePVj)+'2026'!Pspv,1-EXP((T0-t)*PertePVj)+Pspv)</f>
        <v>2.7885806726967166E-2</v>
      </c>
      <c r="M117" s="835"/>
      <c r="N117" s="835"/>
      <c r="O117" s="48">
        <f>IF(t&lt;Tnet,'2026'!Resal+('2026'!Salim-'2026'!Resal)*(1-EXP(('2026'!Tnet-t)/('2026'!Tau_j))),Resal+(Salim-Resal)*(1-EXP((Tnet-t)/(Tau_j))))*Salcycl</f>
        <v>3.0964209051074412E-2</v>
      </c>
      <c r="P117" s="165">
        <f>(INDEX(Models!$BJ117:$BT117,,T117)*(1-R117)+INDEX(Models!$BJ117:$BT117,,T117+1)*R117-ERP_i)*Q117*Ramure*Pc/MaxiM</f>
        <v>2.0014241916195118E-4</v>
      </c>
      <c r="Q117" s="301">
        <f t="shared" si="28"/>
        <v>0.5</v>
      </c>
      <c r="R117" s="173">
        <f t="shared" si="29"/>
        <v>0.53112281786199222</v>
      </c>
      <c r="S117" s="801">
        <f t="shared" si="30"/>
        <v>2</v>
      </c>
      <c r="T117" s="172">
        <f t="shared" si="31"/>
        <v>8</v>
      </c>
      <c r="U117" s="247">
        <f t="shared" si="32"/>
        <v>2.5311228178619922</v>
      </c>
      <c r="V117" s="378">
        <f t="shared" si="33"/>
        <v>216.20941604020854</v>
      </c>
      <c r="W117" s="397">
        <f t="shared" si="34"/>
        <v>24.393533319596472</v>
      </c>
      <c r="X117" s="153">
        <f t="shared" si="35"/>
        <v>46490</v>
      </c>
      <c r="Y117" s="380">
        <f t="shared" si="36"/>
        <v>23.691473782074929</v>
      </c>
      <c r="Z117" s="380">
        <f t="shared" si="37"/>
        <v>24.371081037617177</v>
      </c>
      <c r="AA117" s="381">
        <f t="shared" si="38"/>
        <v>25.895100986879278</v>
      </c>
      <c r="AB117" s="193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5.8853601306065706E-2</v>
      </c>
      <c r="AD117" s="227">
        <f>(INDEX(Models!$BJ117:$BT117,,AH117)*(1-AF117)+INDEX(Models!$BJ117:$BT117,,AH117+1)*AF117-ERP_i)*AE117*Ramure*Pc/MaxiM</f>
        <v>2.0014241916195118E-4</v>
      </c>
      <c r="AE117" s="301">
        <f t="shared" si="40"/>
        <v>0.5</v>
      </c>
      <c r="AF117" s="173">
        <f t="shared" si="41"/>
        <v>0.53112281786199222</v>
      </c>
      <c r="AG117" s="801">
        <f t="shared" si="49"/>
        <v>2</v>
      </c>
      <c r="AH117" s="172">
        <f t="shared" si="42"/>
        <v>8</v>
      </c>
      <c r="AI117" s="221">
        <f t="shared" si="43"/>
        <v>2.5311228178619922</v>
      </c>
      <c r="AJ117" s="261" t="b">
        <f t="shared" si="44"/>
        <v>0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46491</v>
      </c>
      <c r="B118" s="406">
        <f>'2026'!Wh/'2026'!Env_an*'2027'!Env_an</f>
        <v>175.12061885153148</v>
      </c>
      <c r="C118" s="831"/>
      <c r="D118" s="388">
        <f t="shared" si="25"/>
        <v>180.14654795743206</v>
      </c>
      <c r="E118" s="380">
        <f t="shared" si="47"/>
        <v>185.91493946756026</v>
      </c>
      <c r="F118" s="380">
        <f t="shared" si="26"/>
        <v>185.94239895273893</v>
      </c>
      <c r="G118" s="110">
        <f t="shared" si="48"/>
        <v>0.80706192872701177</v>
      </c>
      <c r="H118" s="409" t="b">
        <f>Wh_hp&gt;='2026'!Maxi_hp</f>
        <v>0</v>
      </c>
      <c r="I118" s="385">
        <f>IF(H118,Wh_hp,'2026'!Maxi_hp)</f>
        <v>185.95269093155864</v>
      </c>
      <c r="J118" s="85">
        <f>IF(H118,An,'2026'!An_max)</f>
        <v>2022</v>
      </c>
      <c r="K118" s="193">
        <f t="shared" si="27"/>
        <v>46491</v>
      </c>
      <c r="L118" s="143">
        <f>IF(t&lt;Tvie,1-EXP((T0-t)*PertePVj)+'2026'!Pspv,1-EXP((T0-t)*PertePVj)+Pspv)</f>
        <v>2.7899114153928761E-2</v>
      </c>
      <c r="M118" s="835"/>
      <c r="N118" s="835"/>
      <c r="O118" s="48">
        <f>IF(t&lt;Tnet,'2026'!Resal+('2026'!Salim-'2026'!Resal)*(1-EXP(('2026'!Tnet-t)/('2026'!Tau_j))),Resal+(Salim-Resal)*(1-EXP((Tnet-t)/(Tau_j))))*Salcycl</f>
        <v>3.1027046705596837E-2</v>
      </c>
      <c r="P118" s="165">
        <f>(INDEX(Models!$BJ118:$BT118,,T118)*(1-R118)+INDEX(Models!$BJ118:$BT118,,T118+1)*R118-ERP_i)*Q118*Ramure*Pc/MaxiM</f>
        <v>2.0385067852328139E-4</v>
      </c>
      <c r="Q118" s="301">
        <f t="shared" si="28"/>
        <v>0.5</v>
      </c>
      <c r="R118" s="173">
        <f t="shared" si="29"/>
        <v>0.53274144174155591</v>
      </c>
      <c r="S118" s="801">
        <f t="shared" si="30"/>
        <v>2</v>
      </c>
      <c r="T118" s="172">
        <f t="shared" si="31"/>
        <v>8</v>
      </c>
      <c r="U118" s="247">
        <f t="shared" si="32"/>
        <v>2.5327414417415559</v>
      </c>
      <c r="V118" s="378">
        <f t="shared" si="33"/>
        <v>216.97316409279688</v>
      </c>
      <c r="W118" s="397">
        <f t="shared" si="34"/>
        <v>175.12061885153148</v>
      </c>
      <c r="X118" s="153">
        <f t="shared" si="35"/>
        <v>46491</v>
      </c>
      <c r="Y118" s="380">
        <f t="shared" si="36"/>
        <v>170.08432365582621</v>
      </c>
      <c r="Z118" s="380">
        <f t="shared" si="37"/>
        <v>174.96571202873943</v>
      </c>
      <c r="AA118" s="381">
        <f t="shared" si="38"/>
        <v>185.91493946756026</v>
      </c>
      <c r="AB118" s="193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5.8893747162967088E-2</v>
      </c>
      <c r="AD118" s="227">
        <f>(INDEX(Models!$BJ118:$BT118,,AH118)*(1-AF118)+INDEX(Models!$BJ118:$BT118,,AH118+1)*AF118-ERP_i)*AE118*Ramure*Pc/MaxiM</f>
        <v>2.0385067852328139E-4</v>
      </c>
      <c r="AE118" s="301">
        <f t="shared" si="40"/>
        <v>0.5</v>
      </c>
      <c r="AF118" s="173">
        <f t="shared" si="41"/>
        <v>0.53274144174155591</v>
      </c>
      <c r="AG118" s="801">
        <f t="shared" si="49"/>
        <v>2</v>
      </c>
      <c r="AH118" s="172">
        <f t="shared" si="42"/>
        <v>8</v>
      </c>
      <c r="AI118" s="221">
        <f t="shared" si="43"/>
        <v>2.5327414417415559</v>
      </c>
      <c r="AJ118" s="261" t="b">
        <f t="shared" si="44"/>
        <v>0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46492</v>
      </c>
      <c r="B119" s="406">
        <f>'2026'!Wh/'2026'!Env_an*'2027'!Env_an</f>
        <v>184.88987514848966</v>
      </c>
      <c r="C119" s="831"/>
      <c r="D119" s="388">
        <f t="shared" si="25"/>
        <v>190.19878375004549</v>
      </c>
      <c r="E119" s="380">
        <f t="shared" si="47"/>
        <v>196.30186042881149</v>
      </c>
      <c r="F119" s="380">
        <f t="shared" si="26"/>
        <v>196.33384889046744</v>
      </c>
      <c r="G119" s="110">
        <f t="shared" si="48"/>
        <v>0.849173431494192</v>
      </c>
      <c r="H119" s="409" t="b">
        <f>Wh_hp&gt;='2026'!Maxi_hp</f>
        <v>0</v>
      </c>
      <c r="I119" s="385">
        <f>IF(H119,Wh_hp,'2026'!Maxi_hp)</f>
        <v>196.34249793514525</v>
      </c>
      <c r="J119" s="85">
        <f>IF(H119,An,'2026'!An_max)</f>
        <v>2022</v>
      </c>
      <c r="K119" s="193">
        <f t="shared" si="27"/>
        <v>46492</v>
      </c>
      <c r="L119" s="143">
        <f>IF(t&lt;Tvie,1-EXP((T0-t)*PertePVj)+'2026'!Pspv,1-EXP((T0-t)*PertePVj)+Pspv)</f>
        <v>2.7912421398722853E-2</v>
      </c>
      <c r="M119" s="835"/>
      <c r="N119" s="835"/>
      <c r="O119" s="48">
        <f>IF(t&lt;Tnet,'2026'!Resal+('2026'!Salim-'2026'!Resal)*(1-EXP(('2026'!Tnet-t)/('2026'!Tau_j))),Resal+(Salim-Resal)*(1-EXP((Tnet-t)/(Tau_j))))*Salcycl</f>
        <v>3.1090264073066604E-2</v>
      </c>
      <c r="P119" s="165">
        <f>(INDEX(Models!$BJ119:$BT119,,T119)*(1-R119)+INDEX(Models!$BJ119:$BT119,,T119+1)*R119-ERP_i)*Q119*Ramure*Pc/MaxiM</f>
        <v>2.0766181774411289E-4</v>
      </c>
      <c r="Q119" s="301">
        <f t="shared" si="28"/>
        <v>0.5</v>
      </c>
      <c r="R119" s="173">
        <f t="shared" si="29"/>
        <v>0.53441585905108724</v>
      </c>
      <c r="S119" s="801">
        <f t="shared" si="30"/>
        <v>2</v>
      </c>
      <c r="T119" s="172">
        <f t="shared" si="31"/>
        <v>8</v>
      </c>
      <c r="U119" s="247">
        <f t="shared" si="32"/>
        <v>2.5344158590510872</v>
      </c>
      <c r="V119" s="378">
        <f t="shared" si="33"/>
        <v>217.71948613048471</v>
      </c>
      <c r="W119" s="397">
        <f t="shared" si="34"/>
        <v>184.88987514848966</v>
      </c>
      <c r="X119" s="153">
        <f t="shared" si="35"/>
        <v>46492</v>
      </c>
      <c r="Y119" s="380">
        <f t="shared" si="36"/>
        <v>179.57653610480128</v>
      </c>
      <c r="Z119" s="380">
        <f t="shared" si="37"/>
        <v>184.73287804293454</v>
      </c>
      <c r="AA119" s="381">
        <f t="shared" si="38"/>
        <v>196.30186042881149</v>
      </c>
      <c r="AB119" s="193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5.893465482499799E-2</v>
      </c>
      <c r="AD119" s="227">
        <f>(INDEX(Models!$BJ119:$BT119,,AH119)*(1-AF119)+INDEX(Models!$BJ119:$BT119,,AH119+1)*AF119-ERP_i)*AE119*Ramure*Pc/MaxiM</f>
        <v>2.0766181774411289E-4</v>
      </c>
      <c r="AE119" s="301">
        <f t="shared" si="40"/>
        <v>0.5</v>
      </c>
      <c r="AF119" s="173">
        <f t="shared" si="41"/>
        <v>0.53441585905108724</v>
      </c>
      <c r="AG119" s="801">
        <f t="shared" si="49"/>
        <v>2</v>
      </c>
      <c r="AH119" s="172">
        <f t="shared" si="42"/>
        <v>8</v>
      </c>
      <c r="AI119" s="221">
        <f t="shared" si="43"/>
        <v>2.5344158590510872</v>
      </c>
      <c r="AJ119" s="261" t="b">
        <f t="shared" si="44"/>
        <v>0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46493</v>
      </c>
      <c r="B120" s="406">
        <f>'2026'!Wh/'2026'!Env_an*'2027'!Env_an</f>
        <v>186.00370225595836</v>
      </c>
      <c r="C120" s="831"/>
      <c r="D120" s="388">
        <f t="shared" si="25"/>
        <v>191.34721255562329</v>
      </c>
      <c r="E120" s="380">
        <f t="shared" si="47"/>
        <v>197.50010495669545</v>
      </c>
      <c r="F120" s="380">
        <f t="shared" si="26"/>
        <v>197.53303088553577</v>
      </c>
      <c r="G120" s="110">
        <f t="shared" si="48"/>
        <v>0.85143547795489549</v>
      </c>
      <c r="H120" s="409" t="b">
        <f>Wh_hp&gt;='2026'!Maxi_hp</f>
        <v>0</v>
      </c>
      <c r="I120" s="385">
        <f>IF(H120,Wh_hp,'2026'!Maxi_hp)</f>
        <v>197.54175886779768</v>
      </c>
      <c r="J120" s="85">
        <f>IF(H120,An,'2026'!An_max)</f>
        <v>2022</v>
      </c>
      <c r="K120" s="193">
        <f t="shared" si="27"/>
        <v>46493</v>
      </c>
      <c r="L120" s="143">
        <f>IF(t&lt;Tvie,1-EXP((T0-t)*PertePVj)+'2026'!Pspv,1-EXP((T0-t)*PertePVj)+Pspv)</f>
        <v>2.7925728461351995E-2</v>
      </c>
      <c r="M120" s="835"/>
      <c r="N120" s="835"/>
      <c r="O120" s="48">
        <f>IF(t&lt;Tnet,'2026'!Resal+('2026'!Salim-'2026'!Resal)*(1-EXP(('2026'!Tnet-t)/('2026'!Tau_j))),Resal+(Salim-Resal)*(1-EXP((Tnet-t)/(Tau_j))))*Salcycl</f>
        <v>3.1153869019063363E-2</v>
      </c>
      <c r="P120" s="165">
        <f>(INDEX(Models!$BJ120:$BT120,,T120)*(1-R120)+INDEX(Models!$BJ120:$BT120,,T120+1)*R120-ERP_i)*Q120*Ramure*Pc/MaxiM</f>
        <v>2.1157850047503736E-4</v>
      </c>
      <c r="Q120" s="301">
        <f t="shared" si="28"/>
        <v>0.5</v>
      </c>
      <c r="R120" s="173">
        <f t="shared" si="29"/>
        <v>0.53614751702472985</v>
      </c>
      <c r="S120" s="801">
        <f t="shared" si="30"/>
        <v>2</v>
      </c>
      <c r="T120" s="172">
        <f t="shared" si="31"/>
        <v>8</v>
      </c>
      <c r="U120" s="247">
        <f t="shared" si="32"/>
        <v>2.5361475170247298</v>
      </c>
      <c r="V120" s="378">
        <f t="shared" si="33"/>
        <v>218.44914318227811</v>
      </c>
      <c r="W120" s="397">
        <f t="shared" si="34"/>
        <v>186.00370225595836</v>
      </c>
      <c r="X120" s="153">
        <f t="shared" si="35"/>
        <v>46493</v>
      </c>
      <c r="Y120" s="380">
        <f t="shared" si="36"/>
        <v>180.66221230254672</v>
      </c>
      <c r="Z120" s="380">
        <f t="shared" si="37"/>
        <v>185.85227239538548</v>
      </c>
      <c r="AA120" s="381">
        <f t="shared" si="38"/>
        <v>197.50010495669545</v>
      </c>
      <c r="AB120" s="193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5.8976336057461436E-2</v>
      </c>
      <c r="AD120" s="227">
        <f>(INDEX(Models!$BJ120:$BT120,,AH120)*(1-AF120)+INDEX(Models!$BJ120:$BT120,,AH120+1)*AF120-ERP_i)*AE120*Ramure*Pc/MaxiM</f>
        <v>2.1157850047503736E-4</v>
      </c>
      <c r="AE120" s="301">
        <f t="shared" si="40"/>
        <v>0.5</v>
      </c>
      <c r="AF120" s="173">
        <f t="shared" si="41"/>
        <v>0.53614751702472985</v>
      </c>
      <c r="AG120" s="801">
        <f t="shared" si="49"/>
        <v>2</v>
      </c>
      <c r="AH120" s="172">
        <f t="shared" si="42"/>
        <v>8</v>
      </c>
      <c r="AI120" s="221">
        <f t="shared" si="43"/>
        <v>2.5361475170247298</v>
      </c>
      <c r="AJ120" s="261" t="b">
        <f t="shared" si="44"/>
        <v>0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46494</v>
      </c>
      <c r="B121" s="406">
        <f>'2026'!Wh/'2026'!Env_an*'2027'!Env_an</f>
        <v>223.13057584131803</v>
      </c>
      <c r="C121" s="831"/>
      <c r="D121" s="388">
        <f t="shared" si="25"/>
        <v>229.54380841718128</v>
      </c>
      <c r="E121" s="380">
        <f t="shared" si="47"/>
        <v>236.94058865490311</v>
      </c>
      <c r="F121" s="380">
        <f t="shared" si="26"/>
        <v>236.9916858379805</v>
      </c>
      <c r="G121" s="110">
        <f t="shared" si="48"/>
        <v>1.0181229862172458</v>
      </c>
      <c r="H121" s="409" t="b">
        <f>Wh_hp&gt;='2026'!Maxi_hp</f>
        <v>1</v>
      </c>
      <c r="I121" s="385">
        <f>IF(H121,Wh_hp,'2026'!Maxi_hp)</f>
        <v>236.9916858379805</v>
      </c>
      <c r="J121" s="85">
        <f>IF(H121,An,'2026'!An_max)</f>
        <v>2027</v>
      </c>
      <c r="K121" s="193">
        <f t="shared" si="27"/>
        <v>46494</v>
      </c>
      <c r="L121" s="143">
        <f>IF(t&lt;Tvie,1-EXP((T0-t)*PertePVj)+'2026'!Pspv,1-EXP((T0-t)*PertePVj)+Pspv)</f>
        <v>2.7939035341818519E-2</v>
      </c>
      <c r="M121" s="835"/>
      <c r="N121" s="835"/>
      <c r="O121" s="48">
        <f>IF(t&lt;Tnet,'2026'!Resal+('2026'!Salim-'2026'!Resal)*(1-EXP(('2026'!Tnet-t)/('2026'!Tau_j))),Resal+(Salim-Resal)*(1-EXP((Tnet-t)/(Tau_j))))*Salcycl</f>
        <v>3.1217868916899733E-2</v>
      </c>
      <c r="P121" s="165">
        <f>(INDEX(Models!$BJ121:$BT121,,T121)*(1-R121)+INDEX(Models!$BJ121:$BT121,,T121+1)*R121-ERP_i)*Q121*Ramure*Pc/MaxiM</f>
        <v>2.1560749229126123E-4</v>
      </c>
      <c r="Q121" s="301">
        <f t="shared" si="28"/>
        <v>0.5</v>
      </c>
      <c r="R121" s="173">
        <f t="shared" si="29"/>
        <v>0.53793786355940654</v>
      </c>
      <c r="S121" s="801">
        <f t="shared" si="30"/>
        <v>2</v>
      </c>
      <c r="T121" s="172">
        <f t="shared" si="31"/>
        <v>8</v>
      </c>
      <c r="U121" s="247">
        <f t="shared" si="32"/>
        <v>2.5379378635594065</v>
      </c>
      <c r="V121" s="378">
        <f t="shared" si="33"/>
        <v>219.15876457159837</v>
      </c>
      <c r="W121" s="397">
        <f t="shared" si="34"/>
        <v>223.13057584131803</v>
      </c>
      <c r="X121" s="153">
        <f t="shared" si="35"/>
        <v>46494</v>
      </c>
      <c r="Y121" s="380">
        <f t="shared" si="36"/>
        <v>216.72744563348712</v>
      </c>
      <c r="Z121" s="380">
        <f t="shared" si="37"/>
        <v>222.95663905164409</v>
      </c>
      <c r="AA121" s="381">
        <f t="shared" si="38"/>
        <v>236.94058865490311</v>
      </c>
      <c r="AB121" s="193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5.9018801644095814E-2</v>
      </c>
      <c r="AD121" s="227">
        <f>(INDEX(Models!$BJ121:$BT121,,AH121)*(1-AF121)+INDEX(Models!$BJ121:$BT121,,AH121+1)*AF121-ERP_i)*AE121*Ramure*Pc/MaxiM</f>
        <v>2.1560749229126123E-4</v>
      </c>
      <c r="AE121" s="301">
        <f t="shared" si="40"/>
        <v>0.5</v>
      </c>
      <c r="AF121" s="173">
        <f t="shared" si="41"/>
        <v>0.53793786355940654</v>
      </c>
      <c r="AG121" s="801">
        <f t="shared" si="49"/>
        <v>2</v>
      </c>
      <c r="AH121" s="172">
        <f t="shared" si="42"/>
        <v>8</v>
      </c>
      <c r="AI121" s="221">
        <f t="shared" si="43"/>
        <v>2.5379378635594065</v>
      </c>
      <c r="AJ121" s="261" t="b">
        <f t="shared" si="44"/>
        <v>0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46495</v>
      </c>
      <c r="B122" s="406">
        <f>'2026'!Wh/'2026'!Env_an*'2027'!Env_an</f>
        <v>164.67253587313476</v>
      </c>
      <c r="C122" s="831"/>
      <c r="D122" s="388">
        <f t="shared" si="25"/>
        <v>169.40788296198156</v>
      </c>
      <c r="E122" s="380">
        <f t="shared" si="47"/>
        <v>174.87847886352333</v>
      </c>
      <c r="F122" s="380">
        <f t="shared" si="26"/>
        <v>174.90310526659715</v>
      </c>
      <c r="G122" s="110">
        <f t="shared" si="48"/>
        <v>0.74897956384771802</v>
      </c>
      <c r="H122" s="409" t="b">
        <f>Wh_hp&gt;='2026'!Maxi_hp</f>
        <v>0</v>
      </c>
      <c r="I122" s="385">
        <f>IF(H122,Wh_hp,'2026'!Maxi_hp)</f>
        <v>174.91663566375686</v>
      </c>
      <c r="J122" s="85">
        <f>IF(H122,An,'2026'!An_max)</f>
        <v>2022</v>
      </c>
      <c r="K122" s="193">
        <f t="shared" si="27"/>
        <v>46495</v>
      </c>
      <c r="L122" s="143">
        <f>IF(t&lt;Tvie,1-EXP((T0-t)*PertePVj)+'2026'!Pspv,1-EXP((T0-t)*PertePVj)+Pspv)</f>
        <v>2.7952342040125089E-2</v>
      </c>
      <c r="M122" s="835"/>
      <c r="N122" s="835"/>
      <c r="O122" s="48">
        <f>IF(t&lt;Tnet,'2026'!Resal+('2026'!Salim-'2026'!Resal)*(1-EXP(('2026'!Tnet-t)/('2026'!Tau_j))),Resal+(Salim-Resal)*(1-EXP((Tnet-t)/(Tau_j))))*Salcycl</f>
        <v>3.1282270620681014E-2</v>
      </c>
      <c r="P122" s="165">
        <f>(INDEX(Models!$BJ122:$BT122,,T122)*(1-R122)+INDEX(Models!$BJ122:$BT122,,T122+1)*R122-ERP_i)*Q122*Ramure*Pc/MaxiM</f>
        <v>2.1949160310276891E-4</v>
      </c>
      <c r="Q122" s="301">
        <f t="shared" si="28"/>
        <v>0.5</v>
      </c>
      <c r="R122" s="173">
        <f t="shared" si="29"/>
        <v>0.5397883438821296</v>
      </c>
      <c r="S122" s="801">
        <f t="shared" si="30"/>
        <v>2</v>
      </c>
      <c r="T122" s="172">
        <f t="shared" si="31"/>
        <v>8</v>
      </c>
      <c r="U122" s="247">
        <f t="shared" si="32"/>
        <v>2.5397883438821296</v>
      </c>
      <c r="V122" s="378">
        <f t="shared" si="33"/>
        <v>219.8452183391739</v>
      </c>
      <c r="W122" s="397">
        <f t="shared" si="34"/>
        <v>164.67253587313476</v>
      </c>
      <c r="X122" s="153">
        <f t="shared" si="35"/>
        <v>46495</v>
      </c>
      <c r="Y122" s="380">
        <f t="shared" si="36"/>
        <v>159.95024325318292</v>
      </c>
      <c r="Z122" s="380">
        <f t="shared" si="37"/>
        <v>164.54979541732047</v>
      </c>
      <c r="AA122" s="381">
        <f t="shared" si="38"/>
        <v>174.87847886352333</v>
      </c>
      <c r="AB122" s="193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5.906206134297097E-2</v>
      </c>
      <c r="AD122" s="227">
        <f>(INDEX(Models!$BJ122:$BT122,,AH122)*(1-AF122)+INDEX(Models!$BJ122:$BT122,,AH122+1)*AF122-ERP_i)*AE122*Ramure*Pc/MaxiM</f>
        <v>2.1949160310276891E-4</v>
      </c>
      <c r="AE122" s="301">
        <f t="shared" si="40"/>
        <v>0.5</v>
      </c>
      <c r="AF122" s="173">
        <f t="shared" si="41"/>
        <v>0.5397883438821296</v>
      </c>
      <c r="AG122" s="801">
        <f t="shared" si="49"/>
        <v>2</v>
      </c>
      <c r="AH122" s="172">
        <f t="shared" si="42"/>
        <v>8</v>
      </c>
      <c r="AI122" s="221">
        <f t="shared" si="43"/>
        <v>2.5397883438821296</v>
      </c>
      <c r="AJ122" s="261" t="b">
        <f t="shared" si="44"/>
        <v>0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46496</v>
      </c>
      <c r="B123" s="406">
        <f>'2026'!Wh/'2026'!Env_an*'2027'!Env_an</f>
        <v>37.193665716185805</v>
      </c>
      <c r="C123" s="831"/>
      <c r="D123" s="388">
        <f t="shared" si="25"/>
        <v>38.263735907011373</v>
      </c>
      <c r="E123" s="380">
        <f t="shared" si="47"/>
        <v>39.502008546348875</v>
      </c>
      <c r="F123" s="380">
        <f t="shared" si="26"/>
        <v>39.502008546348875</v>
      </c>
      <c r="G123" s="110">
        <f t="shared" si="48"/>
        <v>0.16863380773427492</v>
      </c>
      <c r="H123" s="409" t="b">
        <f>Wh_hp&gt;='2026'!Maxi_hp</f>
        <v>0</v>
      </c>
      <c r="I123" s="385">
        <f>IF(H123,Wh_hp,'2026'!Maxi_hp)</f>
        <v>39.510665427940808</v>
      </c>
      <c r="J123" s="85">
        <f>IF(H123,An,'2026'!An_max)</f>
        <v>2022</v>
      </c>
      <c r="K123" s="193">
        <f t="shared" si="27"/>
        <v>46496</v>
      </c>
      <c r="L123" s="143">
        <f>IF(t&lt;Tvie,1-EXP((T0-t)*PertePVj)+'2026'!Pspv,1-EXP((T0-t)*PertePVj)+Pspv)</f>
        <v>2.7965648556274147E-2</v>
      </c>
      <c r="M123" s="835"/>
      <c r="N123" s="835"/>
      <c r="O123" s="48">
        <f>IF(t&lt;Tnet,'2026'!Resal+('2026'!Salim-'2026'!Resal)*(1-EXP(('2026'!Tnet-t)/('2026'!Tau_j))),Resal+(Salim-Resal)*(1-EXP((Tnet-t)/(Tau_j))))*Salcycl</f>
        <v>3.1347080437304879E-2</v>
      </c>
      <c r="P123" s="165">
        <f>(INDEX(Models!$BJ123:$BT123,,T123)*(1-R123)+INDEX(Models!$BJ123:$BT123,,T123+1)*R123-ERP_i)*Q123*Ramure*Pc/MaxiM</f>
        <v>2.2306040829809544E-4</v>
      </c>
      <c r="Q123" s="301">
        <f t="shared" si="28"/>
        <v>0.5</v>
      </c>
      <c r="R123" s="173">
        <f t="shared" si="29"/>
        <v>0.5417003969667662</v>
      </c>
      <c r="S123" s="801">
        <f t="shared" si="30"/>
        <v>2</v>
      </c>
      <c r="T123" s="172">
        <f t="shared" si="31"/>
        <v>8</v>
      </c>
      <c r="U123" s="247">
        <f t="shared" si="32"/>
        <v>2.5417003969667662</v>
      </c>
      <c r="V123" s="378">
        <f t="shared" si="33"/>
        <v>220.50957504630375</v>
      </c>
      <c r="W123" s="397">
        <f t="shared" si="34"/>
        <v>37.193665716185805</v>
      </c>
      <c r="X123" s="153">
        <f t="shared" si="35"/>
        <v>46496</v>
      </c>
      <c r="Y123" s="380">
        <f t="shared" si="36"/>
        <v>36.127793141917415</v>
      </c>
      <c r="Z123" s="380">
        <f t="shared" si="37"/>
        <v>37.167197937252084</v>
      </c>
      <c r="AA123" s="381">
        <f t="shared" si="38"/>
        <v>39.502008546348875</v>
      </c>
      <c r="AB123" s="193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5.9106123840697591E-2</v>
      </c>
      <c r="AD123" s="227">
        <f>(INDEX(Models!$BJ123:$BT123,,AH123)*(1-AF123)+INDEX(Models!$BJ123:$BT123,,AH123+1)*AF123-ERP_i)*AE123*Ramure*Pc/MaxiM</f>
        <v>2.2306040829809544E-4</v>
      </c>
      <c r="AE123" s="301">
        <f t="shared" si="40"/>
        <v>0.5</v>
      </c>
      <c r="AF123" s="173">
        <f t="shared" si="41"/>
        <v>0.5417003969667662</v>
      </c>
      <c r="AG123" s="801">
        <f t="shared" si="49"/>
        <v>2</v>
      </c>
      <c r="AH123" s="172">
        <f t="shared" si="42"/>
        <v>8</v>
      </c>
      <c r="AI123" s="221">
        <f t="shared" si="43"/>
        <v>2.5417003969667662</v>
      </c>
      <c r="AJ123" s="261" t="b">
        <f t="shared" si="44"/>
        <v>0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46497</v>
      </c>
      <c r="B124" s="406">
        <f>'2026'!Wh/'2026'!Env_an*'2027'!Env_an</f>
        <v>42.182064002445614</v>
      </c>
      <c r="C124" s="831"/>
      <c r="D124" s="388">
        <f t="shared" si="25"/>
        <v>43.39624560050926</v>
      </c>
      <c r="E124" s="380">
        <f t="shared" si="47"/>
        <v>44.803630878325336</v>
      </c>
      <c r="F124" s="380">
        <f t="shared" si="26"/>
        <v>44.803630878325336</v>
      </c>
      <c r="G124" s="110">
        <f t="shared" si="48"/>
        <v>0.19069396673168348</v>
      </c>
      <c r="H124" s="409" t="b">
        <f>Wh_hp&gt;='2026'!Maxi_hp</f>
        <v>0</v>
      </c>
      <c r="I124" s="385">
        <f>IF(H124,Wh_hp,'2026'!Maxi_hp)</f>
        <v>44.813586575905077</v>
      </c>
      <c r="J124" s="85">
        <f>IF(H124,An,'2026'!An_max)</f>
        <v>2022</v>
      </c>
      <c r="K124" s="193">
        <f t="shared" si="27"/>
        <v>46497</v>
      </c>
      <c r="L124" s="143">
        <f>IF(t&lt;Tvie,1-EXP((T0-t)*PertePVj)+'2026'!Pspv,1-EXP((T0-t)*PertePVj)+Pspv)</f>
        <v>2.7978954890268137E-2</v>
      </c>
      <c r="M124" s="835"/>
      <c r="N124" s="835"/>
      <c r="O124" s="48">
        <f>IF(t&lt;Tnet,'2026'!Resal+('2026'!Salim-'2026'!Resal)*(1-EXP(('2026'!Tnet-t)/('2026'!Tau_j))),Resal+(Salim-Resal)*(1-EXP((Tnet-t)/(Tau_j))))*Salcycl</f>
        <v>3.1412304097365576E-2</v>
      </c>
      <c r="P124" s="165">
        <f>(INDEX(Models!$BJ124:$BT124,,T124)*(1-R124)+INDEX(Models!$BJ124:$BT124,,T124+1)*R124-ERP_i)*Q124*Ramure*Pc/MaxiM</f>
        <v>2.2631354817478469E-4</v>
      </c>
      <c r="Q124" s="301">
        <f t="shared" si="28"/>
        <v>0.5</v>
      </c>
      <c r="R124" s="173">
        <f t="shared" si="29"/>
        <v>0.54367545169543563</v>
      </c>
      <c r="S124" s="801">
        <f t="shared" si="30"/>
        <v>2</v>
      </c>
      <c r="T124" s="172">
        <f t="shared" si="31"/>
        <v>8</v>
      </c>
      <c r="U124" s="247">
        <f t="shared" si="32"/>
        <v>2.5436754516954356</v>
      </c>
      <c r="V124" s="378">
        <f t="shared" si="33"/>
        <v>221.15286787867205</v>
      </c>
      <c r="W124" s="397">
        <f t="shared" si="34"/>
        <v>42.182064002445614</v>
      </c>
      <c r="X124" s="153">
        <f t="shared" si="35"/>
        <v>46497</v>
      </c>
      <c r="Y124" s="380">
        <f t="shared" si="36"/>
        <v>40.974041939121093</v>
      </c>
      <c r="Z124" s="380">
        <f t="shared" si="37"/>
        <v>42.153451455874105</v>
      </c>
      <c r="AA124" s="381">
        <f t="shared" si="38"/>
        <v>44.803630878325336</v>
      </c>
      <c r="AB124" s="193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5.9150996704896666E-2</v>
      </c>
      <c r="AD124" s="227">
        <f>(INDEX(Models!$BJ124:$BT124,,AH124)*(1-AF124)+INDEX(Models!$BJ124:$BT124,,AH124+1)*AF124-ERP_i)*AE124*Ramure*Pc/MaxiM</f>
        <v>2.2631354817478469E-4</v>
      </c>
      <c r="AE124" s="301">
        <f t="shared" si="40"/>
        <v>0.5</v>
      </c>
      <c r="AF124" s="173">
        <f t="shared" si="41"/>
        <v>0.54367545169543563</v>
      </c>
      <c r="AG124" s="801">
        <f t="shared" si="49"/>
        <v>2</v>
      </c>
      <c r="AH124" s="172">
        <f t="shared" si="42"/>
        <v>8</v>
      </c>
      <c r="AI124" s="221">
        <f t="shared" si="43"/>
        <v>2.5436754516954356</v>
      </c>
      <c r="AJ124" s="261" t="b">
        <f t="shared" si="44"/>
        <v>0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46498</v>
      </c>
      <c r="B125" s="406">
        <f>'2026'!Wh/'2026'!Env_an*'2027'!Env_an</f>
        <v>37.588868429247306</v>
      </c>
      <c r="C125" s="831"/>
      <c r="D125" s="388">
        <f t="shared" si="25"/>
        <v>38.671367441525838</v>
      </c>
      <c r="E125" s="380">
        <f t="shared" si="47"/>
        <v>39.928226012778069</v>
      </c>
      <c r="F125" s="380">
        <f t="shared" si="26"/>
        <v>39.928226012778069</v>
      </c>
      <c r="G125" s="110">
        <f t="shared" si="48"/>
        <v>0.16945128941268428</v>
      </c>
      <c r="H125" s="409" t="b">
        <f>Wh_hp&gt;='2026'!Maxi_hp</f>
        <v>0</v>
      </c>
      <c r="I125" s="385">
        <f>IF(H125,Wh_hp,'2026'!Maxi_hp)</f>
        <v>39.937207740527782</v>
      </c>
      <c r="J125" s="85">
        <f>IF(H125,An,'2026'!An_max)</f>
        <v>2022</v>
      </c>
      <c r="K125" s="193">
        <f t="shared" si="27"/>
        <v>46498</v>
      </c>
      <c r="L125" s="143">
        <f>IF(t&lt;Tvie,1-EXP((T0-t)*PertePVj)+'2026'!Pspv,1-EXP((T0-t)*PertePVj)+Pspv)</f>
        <v>2.7992261042109612E-2</v>
      </c>
      <c r="M125" s="835"/>
      <c r="N125" s="835"/>
      <c r="O125" s="48">
        <f>IF(t&lt;Tnet,'2026'!Resal+('2026'!Salim-'2026'!Resal)*(1-EXP(('2026'!Tnet-t)/('2026'!Tau_j))),Resal+(Salim-Resal)*(1-EXP((Tnet-t)/(Tau_j))))*Salcycl</f>
        <v>3.1477946724955935E-2</v>
      </c>
      <c r="P125" s="165">
        <f>(INDEX(Models!$BJ125:$BT125,,T125)*(1-R125)+INDEX(Models!$BJ125:$BT125,,T125+1)*R125-ERP_i)*Q125*Ramure*Pc/MaxiM</f>
        <v>2.2925050446906051E-4</v>
      </c>
      <c r="Q125" s="301">
        <f t="shared" si="28"/>
        <v>0.5</v>
      </c>
      <c r="R125" s="173">
        <f t="shared" si="29"/>
        <v>0.54571492276090838</v>
      </c>
      <c r="S125" s="801">
        <f t="shared" si="30"/>
        <v>2</v>
      </c>
      <c r="T125" s="172">
        <f t="shared" si="31"/>
        <v>8</v>
      </c>
      <c r="U125" s="247">
        <f t="shared" si="32"/>
        <v>2.5457149227609084</v>
      </c>
      <c r="V125" s="378">
        <f t="shared" si="33"/>
        <v>221.77612983914193</v>
      </c>
      <c r="W125" s="397">
        <f t="shared" si="34"/>
        <v>37.588868429247306</v>
      </c>
      <c r="X125" s="153">
        <f t="shared" si="35"/>
        <v>46498</v>
      </c>
      <c r="Y125" s="380">
        <f t="shared" si="36"/>
        <v>36.513089046939335</v>
      </c>
      <c r="Z125" s="380">
        <f t="shared" si="37"/>
        <v>37.564607341589451</v>
      </c>
      <c r="AA125" s="381">
        <f t="shared" si="38"/>
        <v>39.928226012778069</v>
      </c>
      <c r="AB125" s="193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5.9196686334930082E-2</v>
      </c>
      <c r="AD125" s="227">
        <f>(INDEX(Models!$BJ125:$BT125,,AH125)*(1-AF125)+INDEX(Models!$BJ125:$BT125,,AH125+1)*AF125-ERP_i)*AE125*Ramure*Pc/MaxiM</f>
        <v>2.2925050446906051E-4</v>
      </c>
      <c r="AE125" s="301">
        <f t="shared" si="40"/>
        <v>0.5</v>
      </c>
      <c r="AF125" s="173">
        <f t="shared" si="41"/>
        <v>0.54571492276090838</v>
      </c>
      <c r="AG125" s="801">
        <f t="shared" si="49"/>
        <v>2</v>
      </c>
      <c r="AH125" s="172">
        <f t="shared" si="42"/>
        <v>8</v>
      </c>
      <c r="AI125" s="221">
        <f t="shared" si="43"/>
        <v>2.5457149227609084</v>
      </c>
      <c r="AJ125" s="261" t="b">
        <f t="shared" si="44"/>
        <v>0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46499</v>
      </c>
      <c r="B126" s="406">
        <f>'2026'!Wh/'2026'!Env_an*'2027'!Env_an</f>
        <v>114.3799742401594</v>
      </c>
      <c r="C126" s="831"/>
      <c r="D126" s="388">
        <f t="shared" si="25"/>
        <v>117.67554458981978</v>
      </c>
      <c r="E126" s="380">
        <f t="shared" si="47"/>
        <v>121.50840734726613</v>
      </c>
      <c r="F126" s="380">
        <f t="shared" si="26"/>
        <v>121.51703504217085</v>
      </c>
      <c r="G126" s="110">
        <f t="shared" si="48"/>
        <v>0.51426103984871241</v>
      </c>
      <c r="H126" s="409" t="b">
        <f>Wh_hp&gt;='2026'!Maxi_hp</f>
        <v>0</v>
      </c>
      <c r="I126" s="385">
        <f>IF(H126,Wh_hp,'2026'!Maxi_hp)</f>
        <v>121.53620399370809</v>
      </c>
      <c r="J126" s="85">
        <f>IF(H126,An,'2026'!An_max)</f>
        <v>2022</v>
      </c>
      <c r="K126" s="193">
        <f t="shared" si="27"/>
        <v>46499</v>
      </c>
      <c r="L126" s="143">
        <f>IF(t&lt;Tvie,1-EXP((T0-t)*PertePVj)+'2026'!Pspv,1-EXP((T0-t)*PertePVj)+Pspv)</f>
        <v>2.8005567011801014E-2</v>
      </c>
      <c r="M126" s="835"/>
      <c r="N126" s="835"/>
      <c r="O126" s="48">
        <f>IF(t&lt;Tnet,'2026'!Resal+('2026'!Salim-'2026'!Resal)*(1-EXP(('2026'!Tnet-t)/('2026'!Tau_j))),Resal+(Salim-Resal)*(1-EXP((Tnet-t)/(Tau_j))))*Salcycl</f>
        <v>3.1544012806391131E-2</v>
      </c>
      <c r="P126" s="165">
        <f>(INDEX(Models!$BJ126:$BT126,,T126)*(1-R126)+INDEX(Models!$BJ126:$BT126,,T126+1)*R126-ERP_i)*Q126*Ramure*Pc/MaxiM</f>
        <v>2.3187010167968018E-4</v>
      </c>
      <c r="Q126" s="301">
        <f t="shared" si="28"/>
        <v>0.5</v>
      </c>
      <c r="R126" s="173">
        <f t="shared" si="29"/>
        <v>0.54782020630779105</v>
      </c>
      <c r="S126" s="801">
        <f t="shared" si="30"/>
        <v>2</v>
      </c>
      <c r="T126" s="172">
        <f t="shared" si="31"/>
        <v>8</v>
      </c>
      <c r="U126" s="247">
        <f t="shared" si="32"/>
        <v>2.547820206307791</v>
      </c>
      <c r="V126" s="378">
        <f t="shared" si="33"/>
        <v>222.38039388610071</v>
      </c>
      <c r="W126" s="397">
        <f t="shared" si="34"/>
        <v>114.3799742401594</v>
      </c>
      <c r="X126" s="153">
        <f t="shared" si="35"/>
        <v>46499</v>
      </c>
      <c r="Y126" s="380">
        <f t="shared" si="36"/>
        <v>111.10854825836142</v>
      </c>
      <c r="Z126" s="380">
        <f t="shared" si="37"/>
        <v>114.30986072294758</v>
      </c>
      <c r="AA126" s="381">
        <f t="shared" si="38"/>
        <v>121.50840734726613</v>
      </c>
      <c r="AB126" s="193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5.9243197910951069E-2</v>
      </c>
      <c r="AD126" s="227">
        <f>(INDEX(Models!$BJ126:$BT126,,AH126)*(1-AF126)+INDEX(Models!$BJ126:$BT126,,AH126+1)*AF126-ERP_i)*AE126*Ramure*Pc/MaxiM</f>
        <v>2.3187010167968018E-4</v>
      </c>
      <c r="AE126" s="301">
        <f t="shared" si="40"/>
        <v>0.5</v>
      </c>
      <c r="AF126" s="173">
        <f t="shared" si="41"/>
        <v>0.54782020630779105</v>
      </c>
      <c r="AG126" s="801">
        <f t="shared" si="49"/>
        <v>2</v>
      </c>
      <c r="AH126" s="172">
        <f t="shared" si="42"/>
        <v>8</v>
      </c>
      <c r="AI126" s="221">
        <f t="shared" si="43"/>
        <v>2.547820206307791</v>
      </c>
      <c r="AJ126" s="261" t="b">
        <f t="shared" si="44"/>
        <v>0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46500</v>
      </c>
      <c r="B127" s="406">
        <f>'2026'!Wh/'2026'!Env_an*'2027'!Env_an</f>
        <v>41.669775791672308</v>
      </c>
      <c r="C127" s="831"/>
      <c r="D127" s="388">
        <f t="shared" si="25"/>
        <v>42.870972105891546</v>
      </c>
      <c r="E127" s="380">
        <f t="shared" si="47"/>
        <v>44.270381265497569</v>
      </c>
      <c r="F127" s="380">
        <f t="shared" si="26"/>
        <v>44.270381265497569</v>
      </c>
      <c r="G127" s="110">
        <f t="shared" si="48"/>
        <v>0.18684413090159882</v>
      </c>
      <c r="H127" s="409" t="b">
        <f>Wh_hp&gt;='2026'!Maxi_hp</f>
        <v>0</v>
      </c>
      <c r="I127" s="385">
        <f>IF(H127,Wh_hp,'2026'!Maxi_hp)</f>
        <v>44.280539977910685</v>
      </c>
      <c r="J127" s="85">
        <f>IF(H127,An,'2026'!An_max)</f>
        <v>2022</v>
      </c>
      <c r="K127" s="193">
        <f t="shared" si="27"/>
        <v>46500</v>
      </c>
      <c r="L127" s="143">
        <f>IF(t&lt;Tvie,1-EXP((T0-t)*PertePVj)+'2026'!Pspv,1-EXP((T0-t)*PertePVj)+Pspv)</f>
        <v>2.8018872799344896E-2</v>
      </c>
      <c r="M127" s="835"/>
      <c r="N127" s="835"/>
      <c r="O127" s="48">
        <f>IF(t&lt;Tnet,'2026'!Resal+('2026'!Salim-'2026'!Resal)*(1-EXP(('2026'!Tnet-t)/('2026'!Tau_j))),Resal+(Salim-Resal)*(1-EXP((Tnet-t)/(Tau_j))))*Salcycl</f>
        <v>3.1610506157909668E-2</v>
      </c>
      <c r="P127" s="165">
        <f>(INDEX(Models!$BJ127:$BT127,,T127)*(1-R127)+INDEX(Models!$BJ127:$BT127,,T127+1)*R127-ERP_i)*Q127*Ramure*Pc/MaxiM</f>
        <v>2.3416994406709059E-4</v>
      </c>
      <c r="Q127" s="301">
        <f t="shared" si="28"/>
        <v>0.5</v>
      </c>
      <c r="R127" s="173">
        <f t="shared" si="29"/>
        <v>0.54999267531182428</v>
      </c>
      <c r="S127" s="801">
        <f t="shared" si="30"/>
        <v>2</v>
      </c>
      <c r="T127" s="172">
        <f t="shared" si="31"/>
        <v>8</v>
      </c>
      <c r="U127" s="247">
        <f t="shared" si="32"/>
        <v>2.5499926753118243</v>
      </c>
      <c r="V127" s="378">
        <f t="shared" si="33"/>
        <v>222.96669304826102</v>
      </c>
      <c r="W127" s="397">
        <f t="shared" si="34"/>
        <v>41.669775791672308</v>
      </c>
      <c r="X127" s="153">
        <f t="shared" si="35"/>
        <v>46500</v>
      </c>
      <c r="Y127" s="380">
        <f t="shared" si="36"/>
        <v>40.478704825581545</v>
      </c>
      <c r="Z127" s="380">
        <f t="shared" si="37"/>
        <v>41.645566660498694</v>
      </c>
      <c r="AA127" s="381">
        <f t="shared" si="38"/>
        <v>44.270381265497569</v>
      </c>
      <c r="AB127" s="193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5.9290535341391871E-2</v>
      </c>
      <c r="AD127" s="227">
        <f>(INDEX(Models!$BJ127:$BT127,,AH127)*(1-AF127)+INDEX(Models!$BJ127:$BT127,,AH127+1)*AF127-ERP_i)*AE127*Ramure*Pc/MaxiM</f>
        <v>2.3416994406709059E-4</v>
      </c>
      <c r="AE127" s="301">
        <f t="shared" si="40"/>
        <v>0.5</v>
      </c>
      <c r="AF127" s="173">
        <f t="shared" si="41"/>
        <v>0.54999267531182428</v>
      </c>
      <c r="AG127" s="801">
        <f t="shared" si="49"/>
        <v>2</v>
      </c>
      <c r="AH127" s="172">
        <f t="shared" si="42"/>
        <v>8</v>
      </c>
      <c r="AI127" s="221">
        <f t="shared" si="43"/>
        <v>2.5499926753118243</v>
      </c>
      <c r="AJ127" s="261" t="b">
        <f t="shared" si="44"/>
        <v>0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46501</v>
      </c>
      <c r="B128" s="406">
        <f>'2026'!Wh/'2026'!Env_an*'2027'!Env_an</f>
        <v>112.5510190661312</v>
      </c>
      <c r="C128" s="831"/>
      <c r="D128" s="388">
        <f t="shared" si="25"/>
        <v>115.79706299474525</v>
      </c>
      <c r="E128" s="380">
        <f t="shared" si="47"/>
        <v>119.58521526755565</v>
      </c>
      <c r="F128" s="380">
        <f t="shared" si="26"/>
        <v>119.59342477644763</v>
      </c>
      <c r="G128" s="110">
        <f t="shared" si="48"/>
        <v>0.50341839744736872</v>
      </c>
      <c r="H128" s="409" t="b">
        <f>Wh_hp&gt;='2026'!Maxi_hp</f>
        <v>0</v>
      </c>
      <c r="I128" s="385">
        <f>IF(H128,Wh_hp,'2026'!Maxi_hp)</f>
        <v>119.61303848340329</v>
      </c>
      <c r="J128" s="85">
        <f>IF(H128,An,'2026'!An_max)</f>
        <v>2022</v>
      </c>
      <c r="K128" s="193">
        <f t="shared" si="27"/>
        <v>46501</v>
      </c>
      <c r="L128" s="143">
        <f>IF(t&lt;Tvie,1-EXP((T0-t)*PertePVj)+'2026'!Pspv,1-EXP((T0-t)*PertePVj)+Pspv)</f>
        <v>2.8032178404743702E-2</v>
      </c>
      <c r="M128" s="835"/>
      <c r="N128" s="835"/>
      <c r="O128" s="48">
        <f>IF(t&lt;Tnet,'2026'!Resal+('2026'!Salim-'2026'!Resal)*(1-EXP(('2026'!Tnet-t)/('2026'!Tau_j))),Resal+(Salim-Resal)*(1-EXP((Tnet-t)/(Tau_j))))*Salcycl</f>
        <v>3.1677429892440601E-2</v>
      </c>
      <c r="P128" s="165">
        <f>(INDEX(Models!$BJ128:$BT128,,T128)*(1-R128)+INDEX(Models!$BJ128:$BT128,,T128+1)*R128-ERP_i)*Q128*Ramure*Pc/MaxiM</f>
        <v>2.3612266594775569E-4</v>
      </c>
      <c r="Q128" s="301">
        <f t="shared" si="28"/>
        <v>0.5</v>
      </c>
      <c r="R128" s="173">
        <f t="shared" si="29"/>
        <v>0.55223367469840579</v>
      </c>
      <c r="S128" s="801">
        <f t="shared" si="30"/>
        <v>2</v>
      </c>
      <c r="T128" s="172">
        <f t="shared" si="31"/>
        <v>8</v>
      </c>
      <c r="U128" s="247">
        <f t="shared" si="32"/>
        <v>2.5522336746984058</v>
      </c>
      <c r="V128" s="378">
        <f t="shared" si="33"/>
        <v>223.5360657812725</v>
      </c>
      <c r="W128" s="397">
        <f t="shared" si="34"/>
        <v>112.5510190661312</v>
      </c>
      <c r="X128" s="153">
        <f t="shared" si="35"/>
        <v>46501</v>
      </c>
      <c r="Y128" s="380">
        <f t="shared" si="36"/>
        <v>109.33586703780948</v>
      </c>
      <c r="Z128" s="380">
        <f t="shared" si="37"/>
        <v>112.48918390977224</v>
      </c>
      <c r="AA128" s="381">
        <f t="shared" si="38"/>
        <v>119.58521526755565</v>
      </c>
      <c r="AB128" s="193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5.9338701209066813E-2</v>
      </c>
      <c r="AD128" s="227">
        <f>(INDEX(Models!$BJ128:$BT128,,AH128)*(1-AF128)+INDEX(Models!$BJ128:$BT128,,AH128+1)*AF128-ERP_i)*AE128*Ramure*Pc/MaxiM</f>
        <v>2.3612266594775569E-4</v>
      </c>
      <c r="AE128" s="301">
        <f t="shared" si="40"/>
        <v>0.5</v>
      </c>
      <c r="AF128" s="173">
        <f t="shared" si="41"/>
        <v>0.55223367469840579</v>
      </c>
      <c r="AG128" s="801">
        <f t="shared" si="49"/>
        <v>2</v>
      </c>
      <c r="AH128" s="172">
        <f t="shared" si="42"/>
        <v>8</v>
      </c>
      <c r="AI128" s="221">
        <f t="shared" si="43"/>
        <v>2.5522336746984058</v>
      </c>
      <c r="AJ128" s="261" t="b">
        <f t="shared" si="44"/>
        <v>0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46502</v>
      </c>
      <c r="B129" s="406">
        <f>'2026'!Wh/'2026'!Env_an*'2027'!Env_an</f>
        <v>190.27015355854553</v>
      </c>
      <c r="C129" s="831"/>
      <c r="D129" s="388">
        <f t="shared" si="25"/>
        <v>195.76034721039841</v>
      </c>
      <c r="E129" s="380">
        <f t="shared" si="47"/>
        <v>202.17845920977422</v>
      </c>
      <c r="F129" s="380">
        <f t="shared" si="26"/>
        <v>202.21618706333123</v>
      </c>
      <c r="G129" s="110">
        <f t="shared" si="48"/>
        <v>0.84903746326202256</v>
      </c>
      <c r="H129" s="409" t="b">
        <f>Wh_hp&gt;='2026'!Maxi_hp</f>
        <v>0</v>
      </c>
      <c r="I129" s="385">
        <f>IF(H129,Wh_hp,'2026'!Maxi_hp)</f>
        <v>202.22633446721255</v>
      </c>
      <c r="J129" s="85">
        <f>IF(H129,An,'2026'!An_max)</f>
        <v>2022</v>
      </c>
      <c r="K129" s="193">
        <f t="shared" si="27"/>
        <v>46502</v>
      </c>
      <c r="L129" s="143">
        <f>IF(t&lt;Tvie,1-EXP((T0-t)*PertePVj)+'2026'!Pspv,1-EXP((T0-t)*PertePVj)+Pspv)</f>
        <v>2.8045483827999873E-2</v>
      </c>
      <c r="M129" s="835"/>
      <c r="N129" s="835"/>
      <c r="O129" s="48">
        <f>IF(t&lt;Tnet,'2026'!Resal+('2026'!Salim-'2026'!Resal)*(1-EXP(('2026'!Tnet-t)/('2026'!Tau_j))),Resal+(Salim-Resal)*(1-EXP((Tnet-t)/(Tau_j))))*Salcycl</f>
        <v>3.1744786385559325E-2</v>
      </c>
      <c r="P129" s="165">
        <f>(INDEX(Models!$BJ129:$BT129,,T129)*(1-R129)+INDEX(Models!$BJ129:$BT129,,T129+1)*R129-ERP_i)*Q129*Ramure*Pc/MaxiM</f>
        <v>2.3785254046192574E-4</v>
      </c>
      <c r="Q129" s="301">
        <f t="shared" si="28"/>
        <v>0.5</v>
      </c>
      <c r="R129" s="173">
        <f t="shared" si="29"/>
        <v>0.55454451620337153</v>
      </c>
      <c r="S129" s="801">
        <f t="shared" si="30"/>
        <v>2</v>
      </c>
      <c r="T129" s="172">
        <f t="shared" si="31"/>
        <v>8</v>
      </c>
      <c r="U129" s="247">
        <f t="shared" si="32"/>
        <v>2.5545445162033715</v>
      </c>
      <c r="V129" s="378">
        <f t="shared" si="33"/>
        <v>224.08951641199926</v>
      </c>
      <c r="W129" s="397">
        <f t="shared" si="34"/>
        <v>190.27015355854553</v>
      </c>
      <c r="X129" s="153">
        <f t="shared" si="35"/>
        <v>46502</v>
      </c>
      <c r="Y129" s="380">
        <f t="shared" si="36"/>
        <v>184.8380931684249</v>
      </c>
      <c r="Z129" s="380">
        <f t="shared" si="37"/>
        <v>190.17154619168966</v>
      </c>
      <c r="AA129" s="381">
        <f t="shared" si="38"/>
        <v>202.17845920977422</v>
      </c>
      <c r="AB129" s="193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5.9387696716130166E-2</v>
      </c>
      <c r="AD129" s="227">
        <f>(INDEX(Models!$BJ129:$BT129,,AH129)*(1-AF129)+INDEX(Models!$BJ129:$BT129,,AH129+1)*AF129-ERP_i)*AE129*Ramure*Pc/MaxiM</f>
        <v>2.3785254046192574E-4</v>
      </c>
      <c r="AE129" s="301">
        <f t="shared" si="40"/>
        <v>0.5</v>
      </c>
      <c r="AF129" s="173">
        <f t="shared" si="41"/>
        <v>0.55454451620337153</v>
      </c>
      <c r="AG129" s="801">
        <f t="shared" si="49"/>
        <v>2</v>
      </c>
      <c r="AH129" s="172">
        <f t="shared" si="42"/>
        <v>8</v>
      </c>
      <c r="AI129" s="221">
        <f t="shared" si="43"/>
        <v>2.5545445162033715</v>
      </c>
      <c r="AJ129" s="261" t="b">
        <f t="shared" si="44"/>
        <v>0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46503</v>
      </c>
      <c r="B130" s="406">
        <f>'2026'!Wh/'2026'!Env_an*'2027'!Env_an</f>
        <v>223.586111611636</v>
      </c>
      <c r="C130" s="831"/>
      <c r="D130" s="388">
        <f t="shared" si="25"/>
        <v>230.04077725801415</v>
      </c>
      <c r="E130" s="380">
        <f t="shared" si="47"/>
        <v>237.59942739436437</v>
      </c>
      <c r="F130" s="380">
        <f t="shared" si="26"/>
        <v>237.6559347551017</v>
      </c>
      <c r="G130" s="110">
        <f t="shared" si="48"/>
        <v>0.99535979316185563</v>
      </c>
      <c r="H130" s="409" t="b">
        <f>Wh_hp&gt;='2026'!Maxi_hp</f>
        <v>0</v>
      </c>
      <c r="I130" s="385">
        <f>IF(H130,Wh_hp,'2026'!Maxi_hp)</f>
        <v>237.65630334663595</v>
      </c>
      <c r="J130" s="85">
        <f>IF(H130,An,'2026'!An_max)</f>
        <v>2022</v>
      </c>
      <c r="K130" s="193">
        <f t="shared" si="27"/>
        <v>46503</v>
      </c>
      <c r="L130" s="143">
        <f>IF(t&lt;Tvie,1-EXP((T0-t)*PertePVj)+'2026'!Pspv,1-EXP((T0-t)*PertePVj)+Pspv)</f>
        <v>2.8058789069116075E-2</v>
      </c>
      <c r="M130" s="835"/>
      <c r="N130" s="835"/>
      <c r="O130" s="48">
        <f>IF(t&lt;Tnet,'2026'!Resal+('2026'!Salim-'2026'!Resal)*(1-EXP(('2026'!Tnet-t)/('2026'!Tau_j))),Resal+(Salim-Resal)*(1-EXP((Tnet-t)/(Tau_j))))*Salcycl</f>
        <v>3.1812577240788051E-2</v>
      </c>
      <c r="P130" s="165">
        <f>(INDEX(Models!$BJ130:$BT130,,T130)*(1-R130)+INDEX(Models!$BJ130:$BT130,,T130+1)*R130-ERP_i)*Q130*Ramure*Pc/MaxiM</f>
        <v>2.3935573499047626E-4</v>
      </c>
      <c r="Q130" s="301">
        <f t="shared" si="28"/>
        <v>0.5</v>
      </c>
      <c r="R130" s="173">
        <f t="shared" si="29"/>
        <v>0.55692647298123088</v>
      </c>
      <c r="S130" s="801">
        <f t="shared" si="30"/>
        <v>2</v>
      </c>
      <c r="T130" s="172">
        <f t="shared" si="31"/>
        <v>8</v>
      </c>
      <c r="U130" s="247">
        <f t="shared" si="32"/>
        <v>2.5569264729812309</v>
      </c>
      <c r="V130" s="378">
        <f t="shared" si="33"/>
        <v>224.62807763536739</v>
      </c>
      <c r="W130" s="397">
        <f t="shared" si="34"/>
        <v>223.586111611636</v>
      </c>
      <c r="X130" s="153">
        <f t="shared" si="35"/>
        <v>46503</v>
      </c>
      <c r="Y130" s="380">
        <f t="shared" si="36"/>
        <v>217.20660930260567</v>
      </c>
      <c r="Z130" s="380">
        <f t="shared" si="37"/>
        <v>223.47710628976668</v>
      </c>
      <c r="AA130" s="381">
        <f t="shared" si="38"/>
        <v>237.59942739436437</v>
      </c>
      <c r="AB130" s="193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5.9437521628188245E-2</v>
      </c>
      <c r="AD130" s="227">
        <f>(INDEX(Models!$BJ130:$BT130,,AH130)*(1-AF130)+INDEX(Models!$BJ130:$BT130,,AH130+1)*AF130-ERP_i)*AE130*Ramure*Pc/MaxiM</f>
        <v>2.3935573499047626E-4</v>
      </c>
      <c r="AE130" s="301">
        <f t="shared" si="40"/>
        <v>0.5</v>
      </c>
      <c r="AF130" s="173">
        <f t="shared" si="41"/>
        <v>0.55692647298123088</v>
      </c>
      <c r="AG130" s="801">
        <f t="shared" si="49"/>
        <v>2</v>
      </c>
      <c r="AH130" s="172">
        <f t="shared" si="42"/>
        <v>8</v>
      </c>
      <c r="AI130" s="221">
        <f t="shared" si="43"/>
        <v>2.5569264729812309</v>
      </c>
      <c r="AJ130" s="261" t="b">
        <f t="shared" si="44"/>
        <v>0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46504</v>
      </c>
      <c r="B131" s="406">
        <f>'2026'!Wh/'2026'!Env_an*'2027'!Env_an</f>
        <v>159.27523214838291</v>
      </c>
      <c r="C131" s="831"/>
      <c r="D131" s="388">
        <f t="shared" si="25"/>
        <v>163.87556236025441</v>
      </c>
      <c r="E131" s="380">
        <f t="shared" si="47"/>
        <v>169.27209264224771</v>
      </c>
      <c r="F131" s="380">
        <f t="shared" si="26"/>
        <v>169.29580230226395</v>
      </c>
      <c r="G131" s="110">
        <f t="shared" si="48"/>
        <v>0.70733840652789703</v>
      </c>
      <c r="H131" s="409" t="b">
        <f>Wh_hp&gt;='2026'!Maxi_hp</f>
        <v>0</v>
      </c>
      <c r="I131" s="385">
        <f>IF(H131,Wh_hp,'2026'!Maxi_hp)</f>
        <v>169.3124393699353</v>
      </c>
      <c r="J131" s="85">
        <f>IF(H131,An,'2026'!An_max)</f>
        <v>2022</v>
      </c>
      <c r="K131" s="193">
        <f t="shared" si="27"/>
        <v>46504</v>
      </c>
      <c r="L131" s="143">
        <f>IF(t&lt;Tvie,1-EXP((T0-t)*PertePVj)+'2026'!Pspv,1-EXP((T0-t)*PertePVj)+Pspv)</f>
        <v>2.8072094128094638E-2</v>
      </c>
      <c r="M131" s="835"/>
      <c r="N131" s="835"/>
      <c r="O131" s="48">
        <f>IF(t&lt;Tnet,'2026'!Resal+('2026'!Salim-'2026'!Resal)*(1-EXP(('2026'!Tnet-t)/('2026'!Tau_j))),Resal+(Salim-Resal)*(1-EXP((Tnet-t)/(Tau_j))))*Salcycl</f>
        <v>3.1880803254430982E-2</v>
      </c>
      <c r="P131" s="165">
        <f>(INDEX(Models!$BJ131:$BT131,,T131)*(1-R131)+INDEX(Models!$BJ131:$BT131,,T131+1)*R131-ERP_i)*Q131*Ramure*Pc/MaxiM</f>
        <v>2.4062788471028177E-4</v>
      </c>
      <c r="Q131" s="301">
        <f t="shared" si="28"/>
        <v>0.5</v>
      </c>
      <c r="R131" s="173">
        <f t="shared" si="29"/>
        <v>0.55938077396836583</v>
      </c>
      <c r="S131" s="801">
        <f t="shared" si="30"/>
        <v>2</v>
      </c>
      <c r="T131" s="172">
        <f t="shared" si="31"/>
        <v>8</v>
      </c>
      <c r="U131" s="247">
        <f t="shared" si="32"/>
        <v>2.5593807739683658</v>
      </c>
      <c r="V131" s="378">
        <f t="shared" si="33"/>
        <v>225.15278212601444</v>
      </c>
      <c r="W131" s="397">
        <f t="shared" si="34"/>
        <v>159.27523214838291</v>
      </c>
      <c r="X131" s="153">
        <f t="shared" si="35"/>
        <v>46504</v>
      </c>
      <c r="Y131" s="380">
        <f t="shared" si="36"/>
        <v>154.73326000900317</v>
      </c>
      <c r="Z131" s="380">
        <f t="shared" si="37"/>
        <v>159.20240490491292</v>
      </c>
      <c r="AA131" s="381">
        <f t="shared" si="38"/>
        <v>169.27209264224771</v>
      </c>
      <c r="AB131" s="193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5.9488174217925106E-2</v>
      </c>
      <c r="AD131" s="227">
        <f>(INDEX(Models!$BJ131:$BT131,,AH131)*(1-AF131)+INDEX(Models!$BJ131:$BT131,,AH131+1)*AF131-ERP_i)*AE131*Ramure*Pc/MaxiM</f>
        <v>2.4062788471028177E-4</v>
      </c>
      <c r="AE131" s="301">
        <f t="shared" si="40"/>
        <v>0.5</v>
      </c>
      <c r="AF131" s="173">
        <f t="shared" si="41"/>
        <v>0.55938077396836583</v>
      </c>
      <c r="AG131" s="801">
        <f t="shared" si="49"/>
        <v>2</v>
      </c>
      <c r="AH131" s="172">
        <f t="shared" si="42"/>
        <v>8</v>
      </c>
      <c r="AI131" s="221">
        <f t="shared" si="43"/>
        <v>2.5593807739683658</v>
      </c>
      <c r="AJ131" s="261" t="b">
        <f t="shared" si="44"/>
        <v>0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46505</v>
      </c>
      <c r="B132" s="406">
        <f>'2026'!Wh/'2026'!Env_an*'2027'!Env_an</f>
        <v>92.763513990477563</v>
      </c>
      <c r="C132" s="831"/>
      <c r="D132" s="388">
        <f t="shared" si="25"/>
        <v>95.444099610711461</v>
      </c>
      <c r="E132" s="380">
        <f t="shared" si="47"/>
        <v>98.594129230659931</v>
      </c>
      <c r="F132" s="380">
        <f t="shared" si="26"/>
        <v>98.597909916818423</v>
      </c>
      <c r="G132" s="110">
        <f t="shared" si="48"/>
        <v>0.41098438534414811</v>
      </c>
      <c r="H132" s="409" t="b">
        <f>Wh_hp&gt;='2026'!Maxi_hp</f>
        <v>0</v>
      </c>
      <c r="I132" s="385">
        <f>IF(H132,Wh_hp,'2026'!Maxi_hp)</f>
        <v>98.617481089900508</v>
      </c>
      <c r="J132" s="85">
        <f>IF(H132,An,'2026'!An_max)</f>
        <v>2022</v>
      </c>
      <c r="K132" s="193">
        <f t="shared" si="27"/>
        <v>46505</v>
      </c>
      <c r="L132" s="143">
        <f>IF(t&lt;Tvie,1-EXP((T0-t)*PertePVj)+'2026'!Pspv,1-EXP((T0-t)*PertePVj)+Pspv)</f>
        <v>2.8085399004938227E-2</v>
      </c>
      <c r="M132" s="835"/>
      <c r="N132" s="835"/>
      <c r="O132" s="48">
        <f>IF(t&lt;Tnet,'2026'!Resal+('2026'!Salim-'2026'!Resal)*(1-EXP(('2026'!Tnet-t)/('2026'!Tau_j))),Resal+(Salim-Resal)*(1-EXP((Tnet-t)/(Tau_j))))*Salcycl</f>
        <v>3.1949464380166062E-2</v>
      </c>
      <c r="P132" s="165">
        <f>(INDEX(Models!$BJ132:$BT132,,T132)*(1-R132)+INDEX(Models!$BJ132:$BT132,,T132+1)*R132-ERP_i)*Q132*Ramure*Pc/MaxiM</f>
        <v>2.4166409868739565E-4</v>
      </c>
      <c r="Q132" s="301">
        <f t="shared" si="28"/>
        <v>0.5</v>
      </c>
      <c r="R132" s="173">
        <f t="shared" si="29"/>
        <v>0.56190859801124304</v>
      </c>
      <c r="S132" s="801">
        <f t="shared" si="30"/>
        <v>2</v>
      </c>
      <c r="T132" s="172">
        <f t="shared" si="31"/>
        <v>8</v>
      </c>
      <c r="U132" s="247">
        <f t="shared" si="32"/>
        <v>2.561908598011243</v>
      </c>
      <c r="V132" s="378">
        <f t="shared" si="33"/>
        <v>225.66466253415737</v>
      </c>
      <c r="W132" s="397">
        <f t="shared" si="34"/>
        <v>92.763513990477563</v>
      </c>
      <c r="X132" s="153">
        <f t="shared" si="35"/>
        <v>46505</v>
      </c>
      <c r="Y132" s="380">
        <f t="shared" si="36"/>
        <v>90.119682302263115</v>
      </c>
      <c r="Z132" s="380">
        <f t="shared" si="37"/>
        <v>92.723869165045102</v>
      </c>
      <c r="AA132" s="381">
        <f t="shared" si="38"/>
        <v>98.594129230659931</v>
      </c>
      <c r="AB132" s="193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5.9539651208657805E-2</v>
      </c>
      <c r="AD132" s="227">
        <f>(INDEX(Models!$BJ132:$BT132,,AH132)*(1-AF132)+INDEX(Models!$BJ132:$BT132,,AH132+1)*AF132-ERP_i)*AE132*Ramure*Pc/MaxiM</f>
        <v>2.4166409868739565E-4</v>
      </c>
      <c r="AE132" s="301">
        <f t="shared" si="40"/>
        <v>0.5</v>
      </c>
      <c r="AF132" s="173">
        <f t="shared" si="41"/>
        <v>0.56190859801124304</v>
      </c>
      <c r="AG132" s="801">
        <f t="shared" si="49"/>
        <v>2</v>
      </c>
      <c r="AH132" s="172">
        <f t="shared" si="42"/>
        <v>8</v>
      </c>
      <c r="AI132" s="221">
        <f t="shared" si="43"/>
        <v>2.561908598011243</v>
      </c>
      <c r="AJ132" s="261" t="b">
        <f t="shared" si="44"/>
        <v>0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46506</v>
      </c>
      <c r="B133" s="406">
        <f>'2026'!Wh/'2026'!Env_an*'2027'!Env_an</f>
        <v>171.42515229756881</v>
      </c>
      <c r="C133" s="831"/>
      <c r="D133" s="388">
        <f t="shared" si="25"/>
        <v>176.38123639727357</v>
      </c>
      <c r="E133" s="380">
        <f t="shared" si="47"/>
        <v>182.21551473285624</v>
      </c>
      <c r="F133" s="380">
        <f t="shared" si="26"/>
        <v>182.2444233640264</v>
      </c>
      <c r="G133" s="110">
        <f t="shared" si="48"/>
        <v>0.7579022713276482</v>
      </c>
      <c r="H133" s="409" t="b">
        <f>Wh_hp&gt;='2026'!Maxi_hp</f>
        <v>0</v>
      </c>
      <c r="I133" s="385">
        <f>IF(H133,Wh_hp,'2026'!Maxi_hp)</f>
        <v>182.25932645810221</v>
      </c>
      <c r="J133" s="85">
        <f>IF(H133,An,'2026'!An_max)</f>
        <v>2022</v>
      </c>
      <c r="K133" s="193">
        <f t="shared" si="27"/>
        <v>46506</v>
      </c>
      <c r="L133" s="143">
        <f>IF(t&lt;Tvie,1-EXP((T0-t)*PertePVj)+'2026'!Pspv,1-EXP((T0-t)*PertePVj)+Pspv)</f>
        <v>2.8098703699649064E-2</v>
      </c>
      <c r="M133" s="835"/>
      <c r="N133" s="835"/>
      <c r="O133" s="48">
        <f>IF(t&lt;Tnet,'2026'!Resal+('2026'!Salim-'2026'!Resal)*(1-EXP(('2026'!Tnet-t)/('2026'!Tau_j))),Resal+(Salim-Resal)*(1-EXP((Tnet-t)/(Tau_j))))*Salcycl</f>
        <v>3.2018559693647489E-2</v>
      </c>
      <c r="P133" s="165">
        <f>(INDEX(Models!$BJ133:$BT133,,T133)*(1-R133)+INDEX(Models!$BJ133:$BT133,,T133+1)*R133-ERP_i)*Q133*Ramure*Pc/MaxiM</f>
        <v>2.4245896695108734E-4</v>
      </c>
      <c r="Q133" s="301">
        <f t="shared" si="28"/>
        <v>0.5</v>
      </c>
      <c r="R133" s="173">
        <f t="shared" si="29"/>
        <v>0.56451106777237525</v>
      </c>
      <c r="S133" s="801">
        <f t="shared" si="30"/>
        <v>2</v>
      </c>
      <c r="T133" s="172">
        <f t="shared" si="31"/>
        <v>8</v>
      </c>
      <c r="U133" s="247">
        <f t="shared" si="32"/>
        <v>2.5645110677723753</v>
      </c>
      <c r="V133" s="378">
        <f t="shared" si="33"/>
        <v>226.16475151838279</v>
      </c>
      <c r="W133" s="397">
        <f t="shared" si="34"/>
        <v>171.42515229756881</v>
      </c>
      <c r="X133" s="153">
        <f t="shared" si="35"/>
        <v>46506</v>
      </c>
      <c r="Y133" s="380">
        <f t="shared" si="36"/>
        <v>166.54202949720951</v>
      </c>
      <c r="Z133" s="380">
        <f t="shared" si="37"/>
        <v>171.35693730543426</v>
      </c>
      <c r="AA133" s="381">
        <f t="shared" si="38"/>
        <v>182.21551473285624</v>
      </c>
      <c r="AB133" s="193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5.9591947718291703E-2</v>
      </c>
      <c r="AD133" s="227">
        <f>(INDEX(Models!$BJ133:$BT133,,AH133)*(1-AF133)+INDEX(Models!$BJ133:$BT133,,AH133+1)*AF133-ERP_i)*AE133*Ramure*Pc/MaxiM</f>
        <v>2.4245896695108734E-4</v>
      </c>
      <c r="AE133" s="301">
        <f t="shared" si="40"/>
        <v>0.5</v>
      </c>
      <c r="AF133" s="173">
        <f t="shared" si="41"/>
        <v>0.56451106777237525</v>
      </c>
      <c r="AG133" s="801">
        <f t="shared" si="49"/>
        <v>2</v>
      </c>
      <c r="AH133" s="172">
        <f t="shared" si="42"/>
        <v>8</v>
      </c>
      <c r="AI133" s="221">
        <f t="shared" si="43"/>
        <v>2.5645110677723753</v>
      </c>
      <c r="AJ133" s="261" t="b">
        <f t="shared" si="44"/>
        <v>0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46507</v>
      </c>
      <c r="B134" s="406">
        <f>'2026'!Wh/'2026'!Env_an*'2027'!Env_an</f>
        <v>160.51168822548968</v>
      </c>
      <c r="C134" s="831"/>
      <c r="D134" s="388">
        <f t="shared" si="25"/>
        <v>165.15451325849946</v>
      </c>
      <c r="E134" s="380">
        <f t="shared" si="47"/>
        <v>170.62969377822182</v>
      </c>
      <c r="F134" s="380">
        <f t="shared" si="26"/>
        <v>170.65387548296115</v>
      </c>
      <c r="G134" s="110">
        <f t="shared" si="48"/>
        <v>0.70810736714045985</v>
      </c>
      <c r="H134" s="409" t="b">
        <f>Wh_hp&gt;='2026'!Maxi_hp</f>
        <v>0</v>
      </c>
      <c r="I134" s="385">
        <f>IF(H134,Wh_hp,'2026'!Maxi_hp)</f>
        <v>170.67072459569192</v>
      </c>
      <c r="J134" s="85">
        <f>IF(H134,An,'2026'!An_max)</f>
        <v>2022</v>
      </c>
      <c r="K134" s="193">
        <f t="shared" si="27"/>
        <v>46507</v>
      </c>
      <c r="L134" s="143">
        <f>IF(t&lt;Tvie,1-EXP((T0-t)*PertePVj)+'2026'!Pspv,1-EXP((T0-t)*PertePVj)+Pspv)</f>
        <v>2.8112008212229922E-2</v>
      </c>
      <c r="M134" s="835"/>
      <c r="N134" s="835"/>
      <c r="O134" s="48">
        <f>IF(t&lt;Tnet,'2026'!Resal+('2026'!Salim-'2026'!Resal)*(1-EXP(('2026'!Tnet-t)/('2026'!Tau_j))),Resal+(Salim-Resal)*(1-EXP((Tnet-t)/(Tau_j))))*Salcycl</f>
        <v>3.2088087357402179E-2</v>
      </c>
      <c r="P134" s="165">
        <f>(INDEX(Models!$BJ134:$BT134,,T134)*(1-R134)+INDEX(Models!$BJ134:$BT134,,T134+1)*R134-ERP_i)*Q134*Ramure*Pc/MaxiM</f>
        <v>2.4300656881925676E-4</v>
      </c>
      <c r="Q134" s="301">
        <f t="shared" si="28"/>
        <v>0.5</v>
      </c>
      <c r="R134" s="173">
        <f t="shared" si="29"/>
        <v>0.56718924342965416</v>
      </c>
      <c r="S134" s="801">
        <f t="shared" si="30"/>
        <v>2</v>
      </c>
      <c r="T134" s="172">
        <f t="shared" si="31"/>
        <v>8</v>
      </c>
      <c r="U134" s="247">
        <f t="shared" si="32"/>
        <v>2.5671892434296542</v>
      </c>
      <c r="V134" s="378">
        <f t="shared" si="33"/>
        <v>226.65408175078204</v>
      </c>
      <c r="W134" s="397">
        <f t="shared" si="34"/>
        <v>160.51168822548968</v>
      </c>
      <c r="X134" s="153">
        <f t="shared" si="35"/>
        <v>46507</v>
      </c>
      <c r="Y134" s="380">
        <f t="shared" si="36"/>
        <v>155.94183461100982</v>
      </c>
      <c r="Z134" s="380">
        <f t="shared" si="37"/>
        <v>160.45247593208524</v>
      </c>
      <c r="AA134" s="381">
        <f t="shared" si="38"/>
        <v>170.62969377822182</v>
      </c>
      <c r="AB134" s="193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5.964505720419664E-2</v>
      </c>
      <c r="AD134" s="227">
        <f>(INDEX(Models!$BJ134:$BT134,,AH134)*(1-AF134)+INDEX(Models!$BJ134:$BT134,,AH134+1)*AF134-ERP_i)*AE134*Ramure*Pc/MaxiM</f>
        <v>2.4300656881925676E-4</v>
      </c>
      <c r="AE134" s="301">
        <f t="shared" si="40"/>
        <v>0.5</v>
      </c>
      <c r="AF134" s="173">
        <f t="shared" si="41"/>
        <v>0.56718924342965416</v>
      </c>
      <c r="AG134" s="801">
        <f t="shared" si="49"/>
        <v>2</v>
      </c>
      <c r="AH134" s="172">
        <f t="shared" si="42"/>
        <v>8</v>
      </c>
      <c r="AI134" s="221">
        <f t="shared" si="43"/>
        <v>2.5671892434296542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46508</v>
      </c>
      <c r="B135" s="406">
        <f>'2026'!Wh/'2026'!Env_an*'2027'!Env_an</f>
        <v>191.06700747864244</v>
      </c>
      <c r="C135" s="831"/>
      <c r="D135" s="388">
        <f t="shared" si="25"/>
        <v>196.59634101442094</v>
      </c>
      <c r="E135" s="380">
        <f t="shared" si="47"/>
        <v>203.12855824729468</v>
      </c>
      <c r="F135" s="380">
        <f t="shared" si="26"/>
        <v>203.16677739566663</v>
      </c>
      <c r="G135" s="110">
        <f t="shared" si="48"/>
        <v>0.8411766842169548</v>
      </c>
      <c r="H135" s="409" t="b">
        <f>Wh_hp&gt;='2026'!Maxi_hp</f>
        <v>0</v>
      </c>
      <c r="I135" s="385">
        <f>IF(H135,Wh_hp,'2026'!Maxi_hp)</f>
        <v>203.17769484479672</v>
      </c>
      <c r="J135" s="85">
        <f>IF(H135,An,'2026'!An_max)</f>
        <v>2022</v>
      </c>
      <c r="K135" s="193">
        <f t="shared" si="27"/>
        <v>46508</v>
      </c>
      <c r="L135" s="143">
        <f>IF(t&lt;Tvie,1-EXP((T0-t)*PertePVj)+'2026'!Pspv,1-EXP((T0-t)*PertePVj)+Pspv)</f>
        <v>2.8125312542683134E-2</v>
      </c>
      <c r="M135" s="835"/>
      <c r="N135" s="835"/>
      <c r="O135" s="48">
        <f>IF(t&lt;Tnet,'2026'!Resal+('2026'!Salim-'2026'!Resal)*(1-EXP(('2026'!Tnet-t)/('2026'!Tau_j))),Resal+(Salim-Resal)*(1-EXP((Tnet-t)/(Tau_j))))*Salcycl</f>
        <v>3.2158044586331418E-2</v>
      </c>
      <c r="P135" s="165">
        <f>(INDEX(Models!$BJ135:$BT135,,T135)*(1-R135)+INDEX(Models!$BJ135:$BT135,,T135+1)*R135-ERP_i)*Q135*Ramure*Pc/MaxiM</f>
        <v>2.4330442909241022E-4</v>
      </c>
      <c r="Q135" s="301">
        <f t="shared" si="28"/>
        <v>0.5</v>
      </c>
      <c r="R135" s="173">
        <f t="shared" si="29"/>
        <v>0.56994411618771412</v>
      </c>
      <c r="S135" s="801">
        <f t="shared" si="30"/>
        <v>2</v>
      </c>
      <c r="T135" s="172">
        <f t="shared" si="31"/>
        <v>8</v>
      </c>
      <c r="U135" s="247">
        <f t="shared" si="32"/>
        <v>2.5699441161877141</v>
      </c>
      <c r="V135" s="378">
        <f t="shared" si="33"/>
        <v>227.13000087240366</v>
      </c>
      <c r="W135" s="397">
        <f t="shared" si="34"/>
        <v>191.06700747864244</v>
      </c>
      <c r="X135" s="153">
        <f t="shared" si="35"/>
        <v>46508</v>
      </c>
      <c r="Y135" s="380">
        <f t="shared" si="36"/>
        <v>185.63000152754637</v>
      </c>
      <c r="Z135" s="380">
        <f t="shared" si="37"/>
        <v>191.00199225602213</v>
      </c>
      <c r="AA135" s="381">
        <f t="shared" si="38"/>
        <v>203.12855824729468</v>
      </c>
      <c r="AB135" s="193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5.9698971409570561E-2</v>
      </c>
      <c r="AD135" s="227">
        <f>(INDEX(Models!$BJ135:$BT135,,AH135)*(1-AF135)+INDEX(Models!$BJ135:$BT135,,AH135+1)*AF135-ERP_i)*AE135*Ramure*Pc/MaxiM</f>
        <v>2.4330442909241022E-4</v>
      </c>
      <c r="AE135" s="301">
        <f t="shared" si="40"/>
        <v>0.5</v>
      </c>
      <c r="AF135" s="173">
        <f t="shared" si="41"/>
        <v>0.56994411618771412</v>
      </c>
      <c r="AG135" s="801">
        <f t="shared" si="49"/>
        <v>2</v>
      </c>
      <c r="AH135" s="172">
        <f t="shared" si="42"/>
        <v>8</v>
      </c>
      <c r="AI135" s="221">
        <f t="shared" si="43"/>
        <v>2.5699441161877141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46509</v>
      </c>
      <c r="B136" s="406">
        <f>'2026'!Wh/'2026'!Env_an*'2027'!Env_an</f>
        <v>113.37097056062056</v>
      </c>
      <c r="C136" s="831"/>
      <c r="D136" s="388">
        <f t="shared" si="25"/>
        <v>116.65343690744831</v>
      </c>
      <c r="E136" s="380">
        <f t="shared" si="47"/>
        <v>120.53819334645534</v>
      </c>
      <c r="F136" s="380">
        <f t="shared" si="26"/>
        <v>120.54649524644283</v>
      </c>
      <c r="G136" s="110">
        <f t="shared" si="48"/>
        <v>0.49805101115784378</v>
      </c>
      <c r="H136" s="409" t="b">
        <f>Wh_hp&gt;='2026'!Maxi_hp</f>
        <v>0</v>
      </c>
      <c r="I136" s="385">
        <f>IF(H136,Wh_hp,'2026'!Maxi_hp)</f>
        <v>120.56695071205655</v>
      </c>
      <c r="J136" s="85">
        <f>IF(H136,An,'2026'!An_max)</f>
        <v>2022</v>
      </c>
      <c r="K136" s="193">
        <f t="shared" si="27"/>
        <v>46509</v>
      </c>
      <c r="L136" s="143">
        <f>IF(t&lt;Tvie,1-EXP((T0-t)*PertePVj)+'2026'!Pspv,1-EXP((T0-t)*PertePVj)+Pspv)</f>
        <v>2.8138616691011253E-2</v>
      </c>
      <c r="M136" s="835"/>
      <c r="N136" s="835"/>
      <c r="O136" s="48">
        <f>IF(t&lt;Tnet,'2026'!Resal+('2026'!Salim-'2026'!Resal)*(1-EXP(('2026'!Tnet-t)/('2026'!Tau_j))),Resal+(Salim-Resal)*(1-EXP((Tnet-t)/(Tau_j))))*Salcycl</f>
        <v>3.22284276141531E-2</v>
      </c>
      <c r="P136" s="165">
        <f>(INDEX(Models!$BJ136:$BT136,,T136)*(1-R136)+INDEX(Models!$BJ136:$BT136,,T136+1)*R136-ERP_i)*Q136*Ramure*Pc/MaxiM</f>
        <v>2.4330630815556806E-4</v>
      </c>
      <c r="Q136" s="301">
        <f t="shared" si="28"/>
        <v>0.5</v>
      </c>
      <c r="R136" s="173">
        <f t="shared" si="29"/>
        <v>0.57277660162314925</v>
      </c>
      <c r="S136" s="801">
        <f t="shared" si="30"/>
        <v>2</v>
      </c>
      <c r="T136" s="172">
        <f t="shared" si="31"/>
        <v>8</v>
      </c>
      <c r="U136" s="247">
        <f t="shared" si="32"/>
        <v>2.5727766016231493</v>
      </c>
      <c r="V136" s="378">
        <f t="shared" si="33"/>
        <v>227.58952500170557</v>
      </c>
      <c r="W136" s="397">
        <f t="shared" si="34"/>
        <v>113.37097056062056</v>
      </c>
      <c r="X136" s="153">
        <f t="shared" si="35"/>
        <v>46509</v>
      </c>
      <c r="Y136" s="380">
        <f t="shared" si="36"/>
        <v>110.14648587610304</v>
      </c>
      <c r="Z136" s="380">
        <f t="shared" si="37"/>
        <v>113.33559267585758</v>
      </c>
      <c r="AA136" s="381">
        <f t="shared" si="38"/>
        <v>120.53819334645534</v>
      </c>
      <c r="AB136" s="193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5.9753680311897331E-2</v>
      </c>
      <c r="AD136" s="227">
        <f>(INDEX(Models!$BJ136:$BT136,,AH136)*(1-AF136)+INDEX(Models!$BJ136:$BT136,,AH136+1)*AF136-ERP_i)*AE136*Ramure*Pc/MaxiM</f>
        <v>2.4330630815556806E-4</v>
      </c>
      <c r="AE136" s="301">
        <f t="shared" si="40"/>
        <v>0.5</v>
      </c>
      <c r="AF136" s="173">
        <f t="shared" si="41"/>
        <v>0.57277660162314925</v>
      </c>
      <c r="AG136" s="801">
        <f t="shared" si="49"/>
        <v>2</v>
      </c>
      <c r="AH136" s="172">
        <f t="shared" si="42"/>
        <v>8</v>
      </c>
      <c r="AI136" s="221">
        <f t="shared" si="43"/>
        <v>2.5727766016231493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46510</v>
      </c>
      <c r="B137" s="406">
        <f>'2026'!Wh/'2026'!Env_an*'2027'!Env_an</f>
        <v>129.09189437336866</v>
      </c>
      <c r="C137" s="831"/>
      <c r="D137" s="388">
        <f t="shared" si="25"/>
        <v>132.83135205727592</v>
      </c>
      <c r="E137" s="380">
        <f t="shared" si="47"/>
        <v>137.2649029568226</v>
      </c>
      <c r="F137" s="380">
        <f t="shared" si="26"/>
        <v>137.27759928127213</v>
      </c>
      <c r="G137" s="110">
        <f t="shared" si="48"/>
        <v>0.5660249300049216</v>
      </c>
      <c r="H137" s="409" t="b">
        <f>Wh_hp&gt;='2026'!Maxi_hp</f>
        <v>0</v>
      </c>
      <c r="I137" s="385">
        <f>IF(H137,Wh_hp,'2026'!Maxi_hp)</f>
        <v>137.29771718168283</v>
      </c>
      <c r="J137" s="85">
        <f>IF(H137,An,'2026'!An_max)</f>
        <v>2022</v>
      </c>
      <c r="K137" s="193">
        <f t="shared" si="27"/>
        <v>46510</v>
      </c>
      <c r="L137" s="143">
        <f>IF(t&lt;Tvie,1-EXP((T0-t)*PertePVj)+'2026'!Pspv,1-EXP((T0-t)*PertePVj)+Pspv)</f>
        <v>2.8151920657216722E-2</v>
      </c>
      <c r="M137" s="835"/>
      <c r="N137" s="835"/>
      <c r="O137" s="48">
        <f>IF(t&lt;Tnet,'2026'!Resal+('2026'!Salim-'2026'!Resal)*(1-EXP(('2026'!Tnet-t)/('2026'!Tau_j))),Resal+(Salim-Resal)*(1-EXP((Tnet-t)/(Tau_j))))*Salcycl</f>
        <v>3.229923166114259E-2</v>
      </c>
      <c r="P137" s="165">
        <f>(INDEX(Models!$BJ137:$BT137,,T137)*(1-R137)+INDEX(Models!$BJ137:$BT137,,T137+1)*R137-ERP_i)*Q137*Ramure*Pc/MaxiM</f>
        <v>2.4328463523056861E-4</v>
      </c>
      <c r="Q137" s="301">
        <f t="shared" si="28"/>
        <v>0.5</v>
      </c>
      <c r="R137" s="173">
        <f t="shared" si="29"/>
        <v>0.57568753288871299</v>
      </c>
      <c r="S137" s="801">
        <f t="shared" si="30"/>
        <v>2</v>
      </c>
      <c r="T137" s="172">
        <f t="shared" si="31"/>
        <v>8</v>
      </c>
      <c r="U137" s="247">
        <f t="shared" si="32"/>
        <v>2.575687532888713</v>
      </c>
      <c r="V137" s="378">
        <f t="shared" si="33"/>
        <v>228.03311111136912</v>
      </c>
      <c r="W137" s="397">
        <f t="shared" si="34"/>
        <v>129.09189437336866</v>
      </c>
      <c r="X137" s="153">
        <f t="shared" si="35"/>
        <v>46510</v>
      </c>
      <c r="Y137" s="380">
        <f t="shared" si="36"/>
        <v>125.42205092774601</v>
      </c>
      <c r="Z137" s="380">
        <f t="shared" si="37"/>
        <v>129.05520275613782</v>
      </c>
      <c r="AA137" s="381">
        <f t="shared" si="38"/>
        <v>137.2649029568226</v>
      </c>
      <c r="AB137" s="193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5.980917207414034E-2</v>
      </c>
      <c r="AD137" s="227">
        <f>(INDEX(Models!$BJ137:$BT137,,AH137)*(1-AF137)+INDEX(Models!$BJ137:$BT137,,AH137+1)*AF137-ERP_i)*AE137*Ramure*Pc/MaxiM</f>
        <v>2.4328463523056861E-4</v>
      </c>
      <c r="AE137" s="301">
        <f t="shared" si="40"/>
        <v>0.5</v>
      </c>
      <c r="AF137" s="173">
        <f t="shared" si="41"/>
        <v>0.57568753288871299</v>
      </c>
      <c r="AG137" s="801">
        <f t="shared" si="49"/>
        <v>2</v>
      </c>
      <c r="AH137" s="172">
        <f t="shared" si="42"/>
        <v>8</v>
      </c>
      <c r="AI137" s="221">
        <f t="shared" si="43"/>
        <v>2.575687532888713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46511</v>
      </c>
      <c r="B138" s="406">
        <f>'2026'!Wh/'2026'!Env_an*'2027'!Env_an</f>
        <v>75.769770688880939</v>
      </c>
      <c r="C138" s="831"/>
      <c r="D138" s="388">
        <f t="shared" si="25"/>
        <v>77.965691899964852</v>
      </c>
      <c r="E138" s="380">
        <f t="shared" si="47"/>
        <v>80.573905553801282</v>
      </c>
      <c r="F138" s="380">
        <f t="shared" si="26"/>
        <v>80.574791767206705</v>
      </c>
      <c r="G138" s="110">
        <f t="shared" si="48"/>
        <v>0.33157554889834567</v>
      </c>
      <c r="H138" s="409" t="b">
        <f>Wh_hp&gt;='2026'!Maxi_hp</f>
        <v>0</v>
      </c>
      <c r="I138" s="385">
        <f>IF(H138,Wh_hp,'2026'!Maxi_hp)</f>
        <v>80.592958342597413</v>
      </c>
      <c r="J138" s="85">
        <f>IF(H138,An,'2026'!An_max)</f>
        <v>2022</v>
      </c>
      <c r="K138" s="193">
        <f t="shared" si="27"/>
        <v>46511</v>
      </c>
      <c r="L138" s="143">
        <f>IF(t&lt;Tvie,1-EXP((T0-t)*PertePVj)+'2026'!Pspv,1-EXP((T0-t)*PertePVj)+Pspv)</f>
        <v>2.8165224441302095E-2</v>
      </c>
      <c r="M138" s="835"/>
      <c r="N138" s="835"/>
      <c r="O138" s="48">
        <f>IF(t&lt;Tnet,'2026'!Resal+('2026'!Salim-'2026'!Resal)*(1-EXP(('2026'!Tnet-t)/('2026'!Tau_j))),Resal+(Salim-Resal)*(1-EXP((Tnet-t)/(Tau_j))))*Salcycl</f>
        <v>3.2370450903547995E-2</v>
      </c>
      <c r="P138" s="165">
        <f>(INDEX(Models!$BJ138:$BT138,,T138)*(1-R138)+INDEX(Models!$BJ138:$BT138,,T138+1)*R138-ERP_i)*Q138*Ramure*Pc/MaxiM</f>
        <v>2.432361715279668E-4</v>
      </c>
      <c r="Q138" s="301">
        <f t="shared" si="28"/>
        <v>0.5</v>
      </c>
      <c r="R138" s="173">
        <f t="shared" si="29"/>
        <v>0.57867765380500336</v>
      </c>
      <c r="S138" s="801">
        <f t="shared" si="30"/>
        <v>2</v>
      </c>
      <c r="T138" s="172">
        <f t="shared" si="31"/>
        <v>8</v>
      </c>
      <c r="U138" s="247">
        <f t="shared" si="32"/>
        <v>2.5786776538050034</v>
      </c>
      <c r="V138" s="378">
        <f t="shared" si="33"/>
        <v>228.46127877274881</v>
      </c>
      <c r="W138" s="397">
        <f t="shared" si="34"/>
        <v>75.769770688880939</v>
      </c>
      <c r="X138" s="153">
        <f t="shared" si="35"/>
        <v>46511</v>
      </c>
      <c r="Y138" s="380">
        <f t="shared" si="36"/>
        <v>73.61678921943485</v>
      </c>
      <c r="Z138" s="380">
        <f t="shared" si="37"/>
        <v>75.750313809374958</v>
      </c>
      <c r="AA138" s="381">
        <f t="shared" si="38"/>
        <v>80.573905553801282</v>
      </c>
      <c r="AB138" s="193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5.986543299934096E-2</v>
      </c>
      <c r="AD138" s="227">
        <f>(INDEX(Models!$BJ138:$BT138,,AH138)*(1-AF138)+INDEX(Models!$BJ138:$BT138,,AH138+1)*AF138-ERP_i)*AE138*Ramure*Pc/MaxiM</f>
        <v>2.432361715279668E-4</v>
      </c>
      <c r="AE138" s="301">
        <f t="shared" si="40"/>
        <v>0.5</v>
      </c>
      <c r="AF138" s="173">
        <f t="shared" si="41"/>
        <v>0.57867765380500336</v>
      </c>
      <c r="AG138" s="801">
        <f t="shared" si="49"/>
        <v>2</v>
      </c>
      <c r="AH138" s="172">
        <f t="shared" si="42"/>
        <v>8</v>
      </c>
      <c r="AI138" s="221">
        <f t="shared" si="43"/>
        <v>2.5786776538050034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46512</v>
      </c>
      <c r="B139" s="406">
        <f>'2026'!Wh/'2026'!Env_an*'2027'!Env_an</f>
        <v>159.62605654002766</v>
      </c>
      <c r="C139" s="831"/>
      <c r="D139" s="388">
        <f t="shared" si="25"/>
        <v>164.25450676514268</v>
      </c>
      <c r="E139" s="380">
        <f t="shared" si="47"/>
        <v>169.76193683699563</v>
      </c>
      <c r="F139" s="380">
        <f t="shared" si="26"/>
        <v>169.78537699448424</v>
      </c>
      <c r="G139" s="110">
        <f t="shared" si="48"/>
        <v>0.6973657801129054</v>
      </c>
      <c r="H139" s="409" t="b">
        <f>Wh_hp&gt;='2026'!Maxi_hp</f>
        <v>0</v>
      </c>
      <c r="I139" s="385">
        <f>IF(H139,Wh_hp,'2026'!Maxi_hp)</f>
        <v>169.80268251285483</v>
      </c>
      <c r="J139" s="85">
        <f>IF(H139,An,'2026'!An_max)</f>
        <v>2022</v>
      </c>
      <c r="K139" s="193">
        <f t="shared" si="27"/>
        <v>46512</v>
      </c>
      <c r="L139" s="143">
        <f>IF(t&lt;Tvie,1-EXP((T0-t)*PertePVj)+'2026'!Pspv,1-EXP((T0-t)*PertePVj)+Pspv)</f>
        <v>2.8178528043269813E-2</v>
      </c>
      <c r="M139" s="835"/>
      <c r="N139" s="835"/>
      <c r="O139" s="48">
        <f>IF(t&lt;Tnet,'2026'!Resal+('2026'!Salim-'2026'!Resal)*(1-EXP(('2026'!Tnet-t)/('2026'!Tau_j))),Resal+(Salim-Resal)*(1-EXP((Tnet-t)/(Tau_j))))*Salcycl</f>
        <v>3.2442078445070674E-2</v>
      </c>
      <c r="P139" s="165">
        <f>(INDEX(Models!$BJ139:$BT139,,T139)*(1-R139)+INDEX(Models!$BJ139:$BT139,,T139+1)*R139-ERP_i)*Q139*Ramure*Pc/MaxiM</f>
        <v>2.4315751763716846E-4</v>
      </c>
      <c r="Q139" s="301">
        <f t="shared" si="28"/>
        <v>0.5</v>
      </c>
      <c r="R139" s="173">
        <f t="shared" si="29"/>
        <v>0.58174761187157964</v>
      </c>
      <c r="S139" s="801">
        <f t="shared" si="30"/>
        <v>2</v>
      </c>
      <c r="T139" s="172">
        <f t="shared" si="31"/>
        <v>8</v>
      </c>
      <c r="U139" s="247">
        <f t="shared" si="32"/>
        <v>2.5817476118715796</v>
      </c>
      <c r="V139" s="378">
        <f t="shared" si="33"/>
        <v>228.87454774221638</v>
      </c>
      <c r="W139" s="397">
        <f t="shared" si="34"/>
        <v>159.62605654002766</v>
      </c>
      <c r="X139" s="153">
        <f t="shared" si="35"/>
        <v>46512</v>
      </c>
      <c r="Y139" s="380">
        <f t="shared" si="36"/>
        <v>155.09239209981797</v>
      </c>
      <c r="Z139" s="380">
        <f t="shared" si="37"/>
        <v>159.58938609119699</v>
      </c>
      <c r="AA139" s="381">
        <f t="shared" si="38"/>
        <v>169.76193683699563</v>
      </c>
      <c r="AB139" s="193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5.9922447489311192E-2</v>
      </c>
      <c r="AD139" s="227">
        <f>(INDEX(Models!$BJ139:$BT139,,AH139)*(1-AF139)+INDEX(Models!$BJ139:$BT139,,AH139+1)*AF139-ERP_i)*AE139*Ramure*Pc/MaxiM</f>
        <v>2.4315751763716846E-4</v>
      </c>
      <c r="AE139" s="301">
        <f t="shared" si="40"/>
        <v>0.5</v>
      </c>
      <c r="AF139" s="173">
        <f t="shared" si="41"/>
        <v>0.58174761187157964</v>
      </c>
      <c r="AG139" s="801">
        <f t="shared" si="49"/>
        <v>2</v>
      </c>
      <c r="AH139" s="172">
        <f t="shared" si="42"/>
        <v>8</v>
      </c>
      <c r="AI139" s="221">
        <f t="shared" si="43"/>
        <v>2.5817476118715796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46513</v>
      </c>
      <c r="B140" s="406">
        <f>'2026'!Wh/'2026'!Env_an*'2027'!Env_an</f>
        <v>148.49876084560415</v>
      </c>
      <c r="C140" s="831"/>
      <c r="D140" s="388">
        <f t="shared" si="25"/>
        <v>152.8066604638434</v>
      </c>
      <c r="E140" s="380">
        <f t="shared" si="47"/>
        <v>157.94200355522167</v>
      </c>
      <c r="F140" s="380">
        <f t="shared" si="26"/>
        <v>157.96107285115735</v>
      </c>
      <c r="G140" s="110">
        <f t="shared" si="48"/>
        <v>0.64761358786261014</v>
      </c>
      <c r="H140" s="409" t="b">
        <f>Wh_hp&gt;='2026'!Maxi_hp</f>
        <v>0</v>
      </c>
      <c r="I140" s="385">
        <f>IF(H140,Wh_hp,'2026'!Maxi_hp)</f>
        <v>157.97979101946427</v>
      </c>
      <c r="J140" s="85">
        <f>IF(H140,An,'2026'!An_max)</f>
        <v>2022</v>
      </c>
      <c r="K140" s="193">
        <f t="shared" si="27"/>
        <v>46513</v>
      </c>
      <c r="L140" s="143">
        <f>IF(t&lt;Tvie,1-EXP((T0-t)*PertePVj)+'2026'!Pspv,1-EXP((T0-t)*PertePVj)+Pspv)</f>
        <v>2.819183146312243E-2</v>
      </c>
      <c r="M140" s="835"/>
      <c r="N140" s="835"/>
      <c r="O140" s="48">
        <f>IF(t&lt;Tnet,'2026'!Resal+('2026'!Salim-'2026'!Resal)*(1-EXP(('2026'!Tnet-t)/('2026'!Tau_j))),Resal+(Salim-Resal)*(1-EXP((Tnet-t)/(Tau_j))))*Salcycl</f>
        <v>3.2514106290811882E-2</v>
      </c>
      <c r="P140" s="165">
        <f>(INDEX(Models!$BJ140:$BT140,,T140)*(1-R140)+INDEX(Models!$BJ140:$BT140,,T140+1)*R140-ERP_i)*Q140*Ramure*Pc/MaxiM</f>
        <v>2.4304511385544596E-4</v>
      </c>
      <c r="Q140" s="301">
        <f t="shared" si="28"/>
        <v>0.5</v>
      </c>
      <c r="R140" s="173">
        <f t="shared" si="29"/>
        <v>0.5848979512329211</v>
      </c>
      <c r="S140" s="801">
        <f t="shared" si="30"/>
        <v>2</v>
      </c>
      <c r="T140" s="172">
        <f t="shared" si="31"/>
        <v>8</v>
      </c>
      <c r="U140" s="247">
        <f t="shared" si="32"/>
        <v>2.5848979512329211</v>
      </c>
      <c r="V140" s="378">
        <f t="shared" si="33"/>
        <v>229.27343793973563</v>
      </c>
      <c r="W140" s="397">
        <f t="shared" si="34"/>
        <v>148.49876084560415</v>
      </c>
      <c r="X140" s="153">
        <f t="shared" si="35"/>
        <v>46513</v>
      </c>
      <c r="Y140" s="380">
        <f t="shared" si="36"/>
        <v>144.28300885189253</v>
      </c>
      <c r="Z140" s="380">
        <f t="shared" si="37"/>
        <v>148.46861090817984</v>
      </c>
      <c r="AA140" s="381">
        <f t="shared" si="38"/>
        <v>157.94200355522167</v>
      </c>
      <c r="AB140" s="193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5.9980198008122841E-2</v>
      </c>
      <c r="AD140" s="227">
        <f>(INDEX(Models!$BJ140:$BT140,,AH140)*(1-AF140)+INDEX(Models!$BJ140:$BT140,,AH140+1)*AF140-ERP_i)*AE140*Ramure*Pc/MaxiM</f>
        <v>2.4304511385544596E-4</v>
      </c>
      <c r="AE140" s="301">
        <f t="shared" si="40"/>
        <v>0.5</v>
      </c>
      <c r="AF140" s="173">
        <f t="shared" si="41"/>
        <v>0.5848979512329211</v>
      </c>
      <c r="AG140" s="801">
        <f t="shared" si="49"/>
        <v>2</v>
      </c>
      <c r="AH140" s="172">
        <f t="shared" si="42"/>
        <v>8</v>
      </c>
      <c r="AI140" s="221">
        <f t="shared" si="43"/>
        <v>2.5848979512329211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46514</v>
      </c>
      <c r="B141" s="406">
        <f>'2026'!Wh/'2026'!Env_an*'2027'!Env_an</f>
        <v>188.32979511659863</v>
      </c>
      <c r="C141" s="831"/>
      <c r="D141" s="388">
        <f t="shared" si="25"/>
        <v>193.79583268185618</v>
      </c>
      <c r="E141" s="380">
        <f t="shared" si="47"/>
        <v>200.32368553350958</v>
      </c>
      <c r="F141" s="380">
        <f t="shared" si="26"/>
        <v>200.35984073677614</v>
      </c>
      <c r="G141" s="110">
        <f t="shared" si="48"/>
        <v>0.81999167458958133</v>
      </c>
      <c r="H141" s="409" t="b">
        <f>Wh_hp&gt;='2026'!Maxi_hp</f>
        <v>0</v>
      </c>
      <c r="I141" s="385">
        <f>IF(H141,Wh_hp,'2026'!Maxi_hp)</f>
        <v>200.37194692994947</v>
      </c>
      <c r="J141" s="85">
        <f>IF(H141,An,'2026'!An_max)</f>
        <v>2022</v>
      </c>
      <c r="K141" s="193">
        <f t="shared" si="27"/>
        <v>46514</v>
      </c>
      <c r="L141" s="143">
        <f>IF(t&lt;Tvie,1-EXP((T0-t)*PertePVj)+'2026'!Pspv,1-EXP((T0-t)*PertePVj)+Pspv)</f>
        <v>2.8205134700862389E-2</v>
      </c>
      <c r="M141" s="835"/>
      <c r="N141" s="835"/>
      <c r="O141" s="48">
        <f>IF(t&lt;Tnet,'2026'!Resal+('2026'!Salim-'2026'!Resal)*(1-EXP(('2026'!Tnet-t)/('2026'!Tau_j))),Resal+(Salim-Resal)*(1-EXP((Tnet-t)/(Tau_j))))*Salcycl</f>
        <v>3.2586525324093264E-2</v>
      </c>
      <c r="P141" s="165">
        <f>(INDEX(Models!$BJ141:$BT141,,T141)*(1-R141)+INDEX(Models!$BJ141:$BT141,,T141+1)*R141-ERP_i)*Q141*Ramure*Pc/MaxiM</f>
        <v>2.4289524119902573E-4</v>
      </c>
      <c r="Q141" s="301">
        <f t="shared" si="28"/>
        <v>0.5</v>
      </c>
      <c r="R141" s="173">
        <f t="shared" si="29"/>
        <v>0.58812910563807375</v>
      </c>
      <c r="S141" s="801">
        <f t="shared" si="30"/>
        <v>2</v>
      </c>
      <c r="T141" s="172">
        <f t="shared" si="31"/>
        <v>8</v>
      </c>
      <c r="U141" s="247">
        <f t="shared" si="32"/>
        <v>2.5881291056380737</v>
      </c>
      <c r="V141" s="378">
        <f t="shared" si="33"/>
        <v>229.65846945052036</v>
      </c>
      <c r="W141" s="397">
        <f t="shared" si="34"/>
        <v>188.32979511659863</v>
      </c>
      <c r="X141" s="153">
        <f t="shared" si="35"/>
        <v>46514</v>
      </c>
      <c r="Y141" s="380">
        <f t="shared" si="36"/>
        <v>182.98559019736129</v>
      </c>
      <c r="Z141" s="380">
        <f t="shared" si="37"/>
        <v>188.29651887596125</v>
      </c>
      <c r="AA141" s="381">
        <f t="shared" si="38"/>
        <v>200.32368553350958</v>
      </c>
      <c r="AB141" s="193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6.0038665051100212E-2</v>
      </c>
      <c r="AD141" s="227">
        <f>(INDEX(Models!$BJ141:$BT141,,AH141)*(1-AF141)+INDEX(Models!$BJ141:$BT141,,AH141+1)*AF141-ERP_i)*AE141*Ramure*Pc/MaxiM</f>
        <v>2.4289524119902573E-4</v>
      </c>
      <c r="AE141" s="301">
        <f t="shared" si="40"/>
        <v>0.5</v>
      </c>
      <c r="AF141" s="173">
        <f t="shared" si="41"/>
        <v>0.58812910563807375</v>
      </c>
      <c r="AG141" s="801">
        <f t="shared" si="49"/>
        <v>2</v>
      </c>
      <c r="AH141" s="172">
        <f t="shared" si="42"/>
        <v>8</v>
      </c>
      <c r="AI141" s="221">
        <f t="shared" si="43"/>
        <v>2.5881291056380737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46515</v>
      </c>
      <c r="B142" s="406">
        <f>'2026'!Wh/'2026'!Env_an*'2027'!Env_an</f>
        <v>205.75010737722585</v>
      </c>
      <c r="C142" s="831"/>
      <c r="D142" s="388">
        <f t="shared" si="25"/>
        <v>211.72464612543166</v>
      </c>
      <c r="E142" s="380">
        <f t="shared" si="47"/>
        <v>218.87288693629247</v>
      </c>
      <c r="F142" s="380">
        <f t="shared" si="26"/>
        <v>218.91798022173003</v>
      </c>
      <c r="G142" s="110">
        <f t="shared" si="48"/>
        <v>0.89441553269970653</v>
      </c>
      <c r="H142" s="409" t="b">
        <f>Wh_hp&gt;='2026'!Maxi_hp</f>
        <v>0</v>
      </c>
      <c r="I142" s="385">
        <f>IF(H142,Wh_hp,'2026'!Maxi_hp)</f>
        <v>218.92571868618484</v>
      </c>
      <c r="J142" s="85">
        <f>IF(H142,An,'2026'!An_max)</f>
        <v>2022</v>
      </c>
      <c r="K142" s="193">
        <f t="shared" si="27"/>
        <v>46515</v>
      </c>
      <c r="L142" s="143">
        <f>IF(t&lt;Tvie,1-EXP((T0-t)*PertePVj)+'2026'!Pspv,1-EXP((T0-t)*PertePVj)+Pspv)</f>
        <v>2.8218437756492132E-2</v>
      </c>
      <c r="M142" s="835"/>
      <c r="N142" s="835"/>
      <c r="O142" s="48">
        <f>IF(t&lt;Tnet,'2026'!Resal+('2026'!Salim-'2026'!Resal)*(1-EXP(('2026'!Tnet-t)/('2026'!Tau_j))),Resal+(Salim-Resal)*(1-EXP((Tnet-t)/(Tau_j))))*Salcycl</f>
        <v>3.2659325286559841E-2</v>
      </c>
      <c r="P142" s="165">
        <f>(INDEX(Models!$BJ142:$BT142,,T142)*(1-R142)+INDEX(Models!$BJ142:$BT142,,T142+1)*R142-ERP_i)*Q142*Ramure*Pc/MaxiM</f>
        <v>2.4255734509757561E-4</v>
      </c>
      <c r="Q142" s="301">
        <f t="shared" si="28"/>
        <v>0.5</v>
      </c>
      <c r="R142" s="173">
        <f t="shared" si="29"/>
        <v>0.59144139143620666</v>
      </c>
      <c r="S142" s="801">
        <f t="shared" si="30"/>
        <v>2</v>
      </c>
      <c r="T142" s="172">
        <f t="shared" si="31"/>
        <v>8</v>
      </c>
      <c r="U142" s="247">
        <f t="shared" si="32"/>
        <v>2.5914413914362067</v>
      </c>
      <c r="V142" s="378">
        <f t="shared" si="33"/>
        <v>230.03019629962461</v>
      </c>
      <c r="W142" s="397">
        <f t="shared" si="34"/>
        <v>205.75010737722585</v>
      </c>
      <c r="X142" s="153">
        <f t="shared" si="35"/>
        <v>46515</v>
      </c>
      <c r="Y142" s="380">
        <f t="shared" si="36"/>
        <v>199.91403034037751</v>
      </c>
      <c r="Z142" s="380">
        <f t="shared" si="37"/>
        <v>205.71910201593565</v>
      </c>
      <c r="AA142" s="381">
        <f t="shared" si="38"/>
        <v>218.87288693629247</v>
      </c>
      <c r="AB142" s="193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6.0097827120019286E-2</v>
      </c>
      <c r="AD142" s="227">
        <f>(INDEX(Models!$BJ142:$BT142,,AH142)*(1-AF142)+INDEX(Models!$BJ142:$BT142,,AH142+1)*AF142-ERP_i)*AE142*Ramure*Pc/MaxiM</f>
        <v>2.4255734509757561E-4</v>
      </c>
      <c r="AE142" s="301">
        <f t="shared" si="40"/>
        <v>0.5</v>
      </c>
      <c r="AF142" s="173">
        <f t="shared" si="41"/>
        <v>0.59144139143620666</v>
      </c>
      <c r="AG142" s="801">
        <f t="shared" si="49"/>
        <v>2</v>
      </c>
      <c r="AH142" s="172">
        <f t="shared" si="42"/>
        <v>8</v>
      </c>
      <c r="AI142" s="221">
        <f t="shared" si="43"/>
        <v>2.5914413914362067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46516</v>
      </c>
      <c r="B143" s="406">
        <f>'2026'!Wh/'2026'!Env_an*'2027'!Env_an</f>
        <v>221.85697490334988</v>
      </c>
      <c r="C143" s="831"/>
      <c r="D143" s="388">
        <f t="shared" ref="D143:D206" si="50">Wh/(1-Ppv)</f>
        <v>228.30234756502915</v>
      </c>
      <c r="E143" s="380">
        <f t="shared" si="47"/>
        <v>236.02813733399185</v>
      </c>
      <c r="F143" s="380">
        <f t="shared" ref="F143:F206" si="51">Wh_sa/(1-Pvg*MEDIAN((-Sdif+Wh/Env_an)/Csdif,0,1))</f>
        <v>236.08225832314497</v>
      </c>
      <c r="G143" s="110">
        <f t="shared" si="48"/>
        <v>0.96295398104731533</v>
      </c>
      <c r="H143" s="409" t="b">
        <f>Wh_hp&gt;='2026'!Maxi_hp</f>
        <v>0</v>
      </c>
      <c r="I143" s="385">
        <f>IF(H143,Wh_hp,'2026'!Maxi_hp)</f>
        <v>236.08517663735407</v>
      </c>
      <c r="J143" s="85">
        <f>IF(H143,An,'2026'!An_max)</f>
        <v>2022</v>
      </c>
      <c r="K143" s="193">
        <f t="shared" ref="K143:K206" si="52">t</f>
        <v>46516</v>
      </c>
      <c r="L143" s="143">
        <f>IF(t&lt;Tvie,1-EXP((T0-t)*PertePVj)+'2026'!Pspv,1-EXP((T0-t)*PertePVj)+Pspv)</f>
        <v>2.8231740630014213E-2</v>
      </c>
      <c r="M143" s="835"/>
      <c r="N143" s="835"/>
      <c r="O143" s="48">
        <f>IF(t&lt;Tnet,'2026'!Resal+('2026'!Salim-'2026'!Resal)*(1-EXP(('2026'!Tnet-t)/('2026'!Tau_j))),Resal+(Salim-Resal)*(1-EXP((Tnet-t)/(Tau_j))))*Salcycl</f>
        <v>3.2732494761971181E-2</v>
      </c>
      <c r="P143" s="165">
        <f>(INDEX(Models!$BJ143:$BT143,,T143)*(1-R143)+INDEX(Models!$BJ143:$BT143,,T143+1)*R143-ERP_i)*Q143*Ramure*Pc/MaxiM</f>
        <v>2.4205215392678468E-4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0.59483500065355166</v>
      </c>
      <c r="S143" s="801">
        <f t="shared" ref="S143:S206" si="55">INDEX(Echel_vg,T143)</f>
        <v>2</v>
      </c>
      <c r="T143" s="172">
        <f t="shared" ref="T143:T206" si="56">MIN(MATCH(Hp_vg,Echel_vg),10)</f>
        <v>8</v>
      </c>
      <c r="U143" s="247">
        <f t="shared" ref="U143:U206" si="57">IF(OR(t&lt;Ttai,Notai),Hdd+PousH*Croivg,Hdtf+PousH*(Croivg-Croi_tai))</f>
        <v>2.5948350006535517</v>
      </c>
      <c r="V143" s="378">
        <f t="shared" ref="V143:V206" si="58">MaxiM*(1-Ppv)*(1-Pvg)*(1-Psa)</f>
        <v>230.38913339060434</v>
      </c>
      <c r="W143" s="397">
        <f t="shared" ref="W143:W206" si="59">Wh*(A143&gt;Tmaj)</f>
        <v>221.85697490334988</v>
      </c>
      <c r="X143" s="153">
        <f t="shared" ref="X143:X206" si="60">t</f>
        <v>46516</v>
      </c>
      <c r="Y143" s="380">
        <f t="shared" ref="Y143:Y206" si="61">Wh_pvt_s*(1-Ppv)</f>
        <v>215.5666112558182</v>
      </c>
      <c r="Z143" s="380">
        <f t="shared" ref="Z143:Z206" si="62">Wh_sa_s*(1-Psa_s)</f>
        <v>221.82923673137233</v>
      </c>
      <c r="AA143" s="381">
        <f t="shared" ref="AA143:AA206" si="63">Wh_hp*(1-Pvg_s*MEDIAN((-Sdif+Wh/Env_an)/Csdif,0,1))</f>
        <v>236.02813733399185</v>
      </c>
      <c r="AB143" s="193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6.0157660705203744E-2</v>
      </c>
      <c r="AD143" s="227">
        <f>(INDEX(Models!$BJ143:$BT143,,AH143)*(1-AF143)+INDEX(Models!$BJ143:$BT143,,AH143+1)*AF143-ERP_i)*AE143*Ramure*Pc/MaxiM</f>
        <v>2.4205215392678468E-4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0.59483500065355166</v>
      </c>
      <c r="AG143" s="801">
        <f t="shared" si="49"/>
        <v>2</v>
      </c>
      <c r="AH143" s="172">
        <f t="shared" ref="AH143:AH206" si="67">MIN(MATCH(Hp_vg_s,Echel_vg),10)</f>
        <v>8</v>
      </c>
      <c r="AI143" s="221">
        <f t="shared" ref="AI143:AI206" si="68">IF(OR(t&lt;Ttai,Notai),Hdd_s+PousH*Croivg,Hdtai_s+PousH*(Croivg-Croi_tai))</f>
        <v>2.5948350006535517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46517</v>
      </c>
      <c r="B144" s="406">
        <f>'2026'!Wh/'2026'!Env_an*'2027'!Env_an</f>
        <v>212.3231725214842</v>
      </c>
      <c r="C144" s="831"/>
      <c r="D144" s="388">
        <f t="shared" si="50"/>
        <v>218.49456085842758</v>
      </c>
      <c r="E144" s="380">
        <f t="shared" ref="E144:E169" si="72">Wh_pvt/(1-Psa)</f>
        <v>225.90562559270631</v>
      </c>
      <c r="F144" s="380">
        <f t="shared" si="51"/>
        <v>225.95394741860957</v>
      </c>
      <c r="G144" s="110">
        <f t="shared" ref="G144:G169" si="73">+Wh_hp/MaxiM</f>
        <v>0.92017505345997652</v>
      </c>
      <c r="H144" s="409" t="b">
        <f>Wh_hp&gt;='2026'!Maxi_hp</f>
        <v>0</v>
      </c>
      <c r="I144" s="385">
        <f>IF(H144,Wh_hp,'2026'!Maxi_hp)</f>
        <v>225.95994154835185</v>
      </c>
      <c r="J144" s="85">
        <f>IF(H144,An,'2026'!An_max)</f>
        <v>2022</v>
      </c>
      <c r="K144" s="193">
        <f t="shared" si="52"/>
        <v>46517</v>
      </c>
      <c r="L144" s="143">
        <f>IF(t&lt;Tvie,1-EXP((T0-t)*PertePVj)+'2026'!Pspv,1-EXP((T0-t)*PertePVj)+Pspv)</f>
        <v>2.8245043321431185E-2</v>
      </c>
      <c r="M144" s="835"/>
      <c r="N144" s="835"/>
      <c r="O144" s="48">
        <f>IF(t&lt;Tnet,'2026'!Resal+('2026'!Salim-'2026'!Resal)*(1-EXP(('2026'!Tnet-t)/('2026'!Tau_j))),Resal+(Salim-Resal)*(1-EXP((Tnet-t)/(Tau_j))))*Salcycl</f>
        <v>3.280602116407863E-2</v>
      </c>
      <c r="P144" s="165">
        <f>(INDEX(Models!$BJ144:$BT144,,T144)*(1-R144)+INDEX(Models!$BJ144:$BT144,,T144+1)*R144-ERP_i)*Q144*Ramure*Pc/MaxiM</f>
        <v>2.413734043508262E-4</v>
      </c>
      <c r="Q144" s="301">
        <f t="shared" si="53"/>
        <v>0.5</v>
      </c>
      <c r="R144" s="173">
        <f t="shared" si="54"/>
        <v>0.59830999420027009</v>
      </c>
      <c r="S144" s="801">
        <f t="shared" si="55"/>
        <v>2</v>
      </c>
      <c r="T144" s="172">
        <f t="shared" si="56"/>
        <v>8</v>
      </c>
      <c r="U144" s="247">
        <f t="shared" si="57"/>
        <v>2.5983099942002701</v>
      </c>
      <c r="V144" s="378">
        <f t="shared" si="58"/>
        <v>230.73580195006767</v>
      </c>
      <c r="W144" s="397">
        <f t="shared" si="59"/>
        <v>212.3231725214842</v>
      </c>
      <c r="X144" s="153">
        <f t="shared" si="60"/>
        <v>46517</v>
      </c>
      <c r="Y144" s="380">
        <f t="shared" si="61"/>
        <v>206.30552950202238</v>
      </c>
      <c r="Z144" s="380">
        <f t="shared" si="62"/>
        <v>212.3020089418107</v>
      </c>
      <c r="AA144" s="381">
        <f t="shared" si="63"/>
        <v>225.90562559270631</v>
      </c>
      <c r="AB144" s="193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6.0218140275187633E-2</v>
      </c>
      <c r="AD144" s="227">
        <f>(INDEX(Models!$BJ144:$BT144,,AH144)*(1-AF144)+INDEX(Models!$BJ144:$BT144,,AH144+1)*AF144-ERP_i)*AE144*Ramure*Pc/MaxiM</f>
        <v>2.413734043508262E-4</v>
      </c>
      <c r="AE144" s="301">
        <f t="shared" si="65"/>
        <v>0.5</v>
      </c>
      <c r="AF144" s="173">
        <f t="shared" si="66"/>
        <v>0.59830999420027009</v>
      </c>
      <c r="AG144" s="801">
        <f t="shared" ref="AG144:AG207" si="74">INDEX(Echel_vg,AH144)</f>
        <v>2</v>
      </c>
      <c r="AH144" s="172">
        <f t="shared" si="67"/>
        <v>8</v>
      </c>
      <c r="AI144" s="221">
        <f t="shared" si="68"/>
        <v>2.5983099942002701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46518</v>
      </c>
      <c r="B145" s="406">
        <f>'2026'!Wh/'2026'!Env_an*'2027'!Env_an</f>
        <v>228.69290360376064</v>
      </c>
      <c r="C145" s="831"/>
      <c r="D145" s="388">
        <f t="shared" si="50"/>
        <v>235.34331642834746</v>
      </c>
      <c r="E145" s="380">
        <f t="shared" si="72"/>
        <v>243.34445553586824</v>
      </c>
      <c r="F145" s="380">
        <f t="shared" si="51"/>
        <v>243.40213669742204</v>
      </c>
      <c r="G145" s="110">
        <f t="shared" si="73"/>
        <v>0.98970605812224932</v>
      </c>
      <c r="H145" s="409" t="b">
        <f>Wh_hp&gt;='2026'!Maxi_hp</f>
        <v>0</v>
      </c>
      <c r="I145" s="385">
        <f>IF(H145,Wh_hp,'2026'!Maxi_hp)</f>
        <v>243.40296531394188</v>
      </c>
      <c r="J145" s="85">
        <f>IF(H145,An,'2026'!An_max)</f>
        <v>2022</v>
      </c>
      <c r="K145" s="193">
        <f t="shared" si="52"/>
        <v>46518</v>
      </c>
      <c r="L145" s="143">
        <f>IF(t&lt;Tvie,1-EXP((T0-t)*PertePVj)+'2026'!Pspv,1-EXP((T0-t)*PertePVj)+Pspv)</f>
        <v>2.825834583074549E-2</v>
      </c>
      <c r="M145" s="835"/>
      <c r="N145" s="835"/>
      <c r="O145" s="48">
        <f>IF(t&lt;Tnet,'2026'!Resal+('2026'!Salim-'2026'!Resal)*(1-EXP(('2026'!Tnet-t)/('2026'!Tau_j))),Resal+(Salim-Resal)*(1-EXP((Tnet-t)/(Tau_j))))*Salcycl</f>
        <v>3.2879890728973009E-2</v>
      </c>
      <c r="P145" s="165">
        <f>(INDEX(Models!$BJ145:$BT145,,T145)*(1-R145)+INDEX(Models!$BJ145:$BT145,,T145+1)*R145-ERP_i)*Q145*Ramure*Pc/MaxiM</f>
        <v>2.405145788637924E-4</v>
      </c>
      <c r="Q145" s="301">
        <f t="shared" si="53"/>
        <v>0.5</v>
      </c>
      <c r="R145" s="173">
        <f t="shared" si="54"/>
        <v>0.60186629525863422</v>
      </c>
      <c r="S145" s="801">
        <f t="shared" si="55"/>
        <v>2</v>
      </c>
      <c r="T145" s="172">
        <f t="shared" si="56"/>
        <v>8</v>
      </c>
      <c r="U145" s="247">
        <f t="shared" si="57"/>
        <v>2.6018662952586342</v>
      </c>
      <c r="V145" s="378">
        <f t="shared" si="58"/>
        <v>231.07072341540717</v>
      </c>
      <c r="W145" s="397">
        <f t="shared" si="59"/>
        <v>228.69290360376064</v>
      </c>
      <c r="X145" s="153">
        <f t="shared" si="60"/>
        <v>46518</v>
      </c>
      <c r="Y145" s="380">
        <f t="shared" si="61"/>
        <v>222.21383622941221</v>
      </c>
      <c r="Z145" s="380">
        <f t="shared" si="62"/>
        <v>228.67583711782288</v>
      </c>
      <c r="AA145" s="381">
        <f t="shared" si="63"/>
        <v>243.34445553586824</v>
      </c>
      <c r="AB145" s="193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6.0279238274583313E-2</v>
      </c>
      <c r="AD145" s="227">
        <f>(INDEX(Models!$BJ145:$BT145,,AH145)*(1-AF145)+INDEX(Models!$BJ145:$BT145,,AH145+1)*AF145-ERP_i)*AE145*Ramure*Pc/MaxiM</f>
        <v>2.405145788637924E-4</v>
      </c>
      <c r="AE145" s="301">
        <f t="shared" si="65"/>
        <v>0.5</v>
      </c>
      <c r="AF145" s="173">
        <f t="shared" si="66"/>
        <v>0.60186629525863422</v>
      </c>
      <c r="AG145" s="801">
        <f t="shared" si="74"/>
        <v>2</v>
      </c>
      <c r="AH145" s="172">
        <f t="shared" si="67"/>
        <v>8</v>
      </c>
      <c r="AI145" s="221">
        <f t="shared" si="68"/>
        <v>2.6018662952586342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46519</v>
      </c>
      <c r="B146" s="406">
        <f>'2026'!Wh/'2026'!Env_an*'2027'!Env_an</f>
        <v>171.7713566380603</v>
      </c>
      <c r="C146" s="831"/>
      <c r="D146" s="388">
        <f t="shared" si="50"/>
        <v>176.76890492332021</v>
      </c>
      <c r="E146" s="380">
        <f t="shared" si="72"/>
        <v>182.79267077544847</v>
      </c>
      <c r="F146" s="380">
        <f t="shared" si="51"/>
        <v>182.82033531490168</v>
      </c>
      <c r="G146" s="110">
        <f t="shared" si="73"/>
        <v>0.7422660126318944</v>
      </c>
      <c r="H146" s="409" t="b">
        <f>Wh_hp&gt;='2026'!Maxi_hp</f>
        <v>0</v>
      </c>
      <c r="I146" s="385">
        <f>IF(H146,Wh_hp,'2026'!Maxi_hp)</f>
        <v>182.83583092034419</v>
      </c>
      <c r="J146" s="85">
        <f>IF(H146,An,'2026'!An_max)</f>
        <v>2022</v>
      </c>
      <c r="K146" s="193">
        <f t="shared" si="52"/>
        <v>46519</v>
      </c>
      <c r="L146" s="143">
        <f>IF(t&lt;Tvie,1-EXP((T0-t)*PertePVj)+'2026'!Pspv,1-EXP((T0-t)*PertePVj)+Pspv)</f>
        <v>2.8271648157959572E-2</v>
      </c>
      <c r="M146" s="835"/>
      <c r="N146" s="835"/>
      <c r="O146" s="48">
        <f>IF(t&lt;Tnet,'2026'!Resal+('2026'!Salim-'2026'!Resal)*(1-EXP(('2026'!Tnet-t)/('2026'!Tau_j))),Resal+(Salim-Resal)*(1-EXP((Tnet-t)/(Tau_j))))*Salcycl</f>
        <v>3.2954088512269504E-2</v>
      </c>
      <c r="P146" s="165">
        <f>(INDEX(Models!$BJ146:$BT146,,T146)*(1-R146)+INDEX(Models!$BJ146:$BT146,,T146+1)*R146-ERP_i)*Q146*Ramure*Pc/MaxiM</f>
        <v>2.3946892083344384E-4</v>
      </c>
      <c r="Q146" s="301">
        <f t="shared" si="53"/>
        <v>0.5</v>
      </c>
      <c r="R146" s="173">
        <f t="shared" si="54"/>
        <v>0.60550368290646306</v>
      </c>
      <c r="S146" s="801">
        <f t="shared" si="55"/>
        <v>2</v>
      </c>
      <c r="T146" s="172">
        <f t="shared" si="56"/>
        <v>8</v>
      </c>
      <c r="U146" s="247">
        <f t="shared" si="57"/>
        <v>2.6055036829064631</v>
      </c>
      <c r="V146" s="378">
        <f t="shared" si="58"/>
        <v>231.39441941313774</v>
      </c>
      <c r="W146" s="397">
        <f t="shared" si="59"/>
        <v>171.7713566380603</v>
      </c>
      <c r="X146" s="153">
        <f t="shared" si="60"/>
        <v>46519</v>
      </c>
      <c r="Y146" s="380">
        <f t="shared" si="61"/>
        <v>166.90677469412228</v>
      </c>
      <c r="Z146" s="380">
        <f t="shared" si="62"/>
        <v>171.76279191373627</v>
      </c>
      <c r="AA146" s="381">
        <f t="shared" si="63"/>
        <v>182.79267077544847</v>
      </c>
      <c r="AB146" s="193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6.0340925130755743E-2</v>
      </c>
      <c r="AD146" s="227">
        <f>(INDEX(Models!$BJ146:$BT146,,AH146)*(1-AF146)+INDEX(Models!$BJ146:$BT146,,AH146+1)*AF146-ERP_i)*AE146*Ramure*Pc/MaxiM</f>
        <v>2.3946892083344384E-4</v>
      </c>
      <c r="AE146" s="301">
        <f t="shared" si="65"/>
        <v>0.5</v>
      </c>
      <c r="AF146" s="173">
        <f t="shared" si="66"/>
        <v>0.60550368290646306</v>
      </c>
      <c r="AG146" s="801">
        <f t="shared" si="74"/>
        <v>2</v>
      </c>
      <c r="AH146" s="172">
        <f t="shared" si="67"/>
        <v>8</v>
      </c>
      <c r="AI146" s="221">
        <f t="shared" si="68"/>
        <v>2.6055036829064631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46520</v>
      </c>
      <c r="B147" s="406">
        <f>'2026'!Wh/'2026'!Env_an*'2027'!Env_an</f>
        <v>163.22000643433802</v>
      </c>
      <c r="C147" s="831"/>
      <c r="D147" s="388">
        <f t="shared" si="50"/>
        <v>167.9710595047859</v>
      </c>
      <c r="E147" s="380">
        <f t="shared" si="72"/>
        <v>173.70840463882519</v>
      </c>
      <c r="F147" s="380">
        <f t="shared" si="51"/>
        <v>173.73231652074682</v>
      </c>
      <c r="G147" s="110">
        <f t="shared" si="73"/>
        <v>0.70435202796651231</v>
      </c>
      <c r="H147" s="409" t="b">
        <f>Wh_hp&gt;='2026'!Maxi_hp</f>
        <v>0</v>
      </c>
      <c r="I147" s="385">
        <f>IF(H147,Wh_hp,'2026'!Maxi_hp)</f>
        <v>173.74909777889465</v>
      </c>
      <c r="J147" s="85">
        <f>IF(H147,An,'2026'!An_max)</f>
        <v>2022</v>
      </c>
      <c r="K147" s="193">
        <f t="shared" si="52"/>
        <v>46520</v>
      </c>
      <c r="L147" s="143">
        <f>IF(t&lt;Tvie,1-EXP((T0-t)*PertePVj)+'2026'!Pspv,1-EXP((T0-t)*PertePVj)+Pspv)</f>
        <v>2.8284950303075984E-2</v>
      </c>
      <c r="M147" s="835"/>
      <c r="N147" s="835"/>
      <c r="O147" s="48">
        <f>IF(t&lt;Tnet,'2026'!Resal+('2026'!Salim-'2026'!Resal)*(1-EXP(('2026'!Tnet-t)/('2026'!Tau_j))),Resal+(Salim-Resal)*(1-EXP((Tnet-t)/(Tau_j))))*Salcycl</f>
        <v>3.3028598391473339E-2</v>
      </c>
      <c r="P147" s="165">
        <f>(INDEX(Models!$BJ147:$BT147,,T147)*(1-R147)+INDEX(Models!$BJ147:$BT147,,T147+1)*R147-ERP_i)*Q147*Ramure*Pc/MaxiM</f>
        <v>2.3822945119479879E-4</v>
      </c>
      <c r="Q147" s="301">
        <f t="shared" si="53"/>
        <v>0.5</v>
      </c>
      <c r="R147" s="173">
        <f t="shared" si="54"/>
        <v>0.60922178603191535</v>
      </c>
      <c r="S147" s="801">
        <f t="shared" si="55"/>
        <v>2</v>
      </c>
      <c r="T147" s="172">
        <f t="shared" si="56"/>
        <v>8</v>
      </c>
      <c r="U147" s="247">
        <f t="shared" si="57"/>
        <v>2.6092217860319153</v>
      </c>
      <c r="V147" s="378">
        <f t="shared" si="58"/>
        <v>231.70741175935984</v>
      </c>
      <c r="W147" s="397">
        <f t="shared" si="59"/>
        <v>163.22000643433802</v>
      </c>
      <c r="X147" s="153">
        <f t="shared" si="60"/>
        <v>46520</v>
      </c>
      <c r="Y147" s="380">
        <f t="shared" si="61"/>
        <v>158.59931379805698</v>
      </c>
      <c r="Z147" s="380">
        <f t="shared" si="62"/>
        <v>163.21586646982959</v>
      </c>
      <c r="AA147" s="381">
        <f t="shared" si="63"/>
        <v>173.70840463882519</v>
      </c>
      <c r="AB147" s="193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6.0403169269856047E-2</v>
      </c>
      <c r="AD147" s="227">
        <f>(INDEX(Models!$BJ147:$BT147,,AH147)*(1-AF147)+INDEX(Models!$BJ147:$BT147,,AH147+1)*AF147-ERP_i)*AE147*Ramure*Pc/MaxiM</f>
        <v>2.3822945119479879E-4</v>
      </c>
      <c r="AE147" s="301">
        <f t="shared" si="65"/>
        <v>0.5</v>
      </c>
      <c r="AF147" s="173">
        <f t="shared" si="66"/>
        <v>0.60922178603191535</v>
      </c>
      <c r="AG147" s="801">
        <f t="shared" si="74"/>
        <v>2</v>
      </c>
      <c r="AH147" s="172">
        <f t="shared" si="67"/>
        <v>8</v>
      </c>
      <c r="AI147" s="221">
        <f t="shared" si="68"/>
        <v>2.6092217860319153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46521</v>
      </c>
      <c r="B148" s="406">
        <f>'2026'!Wh/'2026'!Env_an*'2027'!Env_an</f>
        <v>201.38030634367573</v>
      </c>
      <c r="C148" s="831"/>
      <c r="D148" s="388">
        <f t="shared" si="50"/>
        <v>207.24497698322867</v>
      </c>
      <c r="E148" s="380">
        <f t="shared" si="72"/>
        <v>214.34037273693713</v>
      </c>
      <c r="F148" s="380">
        <f t="shared" si="51"/>
        <v>214.3815620145902</v>
      </c>
      <c r="G148" s="110">
        <f t="shared" si="73"/>
        <v>0.86794154661777412</v>
      </c>
      <c r="H148" s="409" t="b">
        <f>Wh_hp&gt;='2026'!Maxi_hp</f>
        <v>0</v>
      </c>
      <c r="I148" s="385">
        <f>IF(H148,Wh_hp,'2026'!Maxi_hp)</f>
        <v>214.39074224471946</v>
      </c>
      <c r="J148" s="85">
        <f>IF(H148,An,'2026'!An_max)</f>
        <v>2022</v>
      </c>
      <c r="K148" s="193">
        <f t="shared" si="52"/>
        <v>46521</v>
      </c>
      <c r="L148" s="143">
        <f>IF(t&lt;Tvie,1-EXP((T0-t)*PertePVj)+'2026'!Pspv,1-EXP((T0-t)*PertePVj)+Pspv)</f>
        <v>2.8298252266097279E-2</v>
      </c>
      <c r="M148" s="835"/>
      <c r="N148" s="835"/>
      <c r="O148" s="48">
        <f>IF(t&lt;Tnet,'2026'!Resal+('2026'!Salim-'2026'!Resal)*(1-EXP(('2026'!Tnet-t)/('2026'!Tau_j))),Resal+(Salim-Resal)*(1-EXP((Tnet-t)/(Tau_j))))*Salcycl</f>
        <v>3.3103403073842456E-2</v>
      </c>
      <c r="P148" s="165">
        <f>(INDEX(Models!$BJ148:$BT148,,T148)*(1-R148)+INDEX(Models!$BJ148:$BT148,,T148+1)*R148-ERP_i)*Q148*Ramure*Pc/MaxiM</f>
        <v>2.3678898685416082E-4</v>
      </c>
      <c r="Q148" s="301">
        <f t="shared" si="53"/>
        <v>0.5</v>
      </c>
      <c r="R148" s="173">
        <f t="shared" si="54"/>
        <v>0.61302007759751742</v>
      </c>
      <c r="S148" s="801">
        <f t="shared" si="55"/>
        <v>2</v>
      </c>
      <c r="T148" s="172">
        <f t="shared" si="56"/>
        <v>8</v>
      </c>
      <c r="U148" s="247">
        <f t="shared" si="57"/>
        <v>2.6130200775975174</v>
      </c>
      <c r="V148" s="378">
        <f t="shared" si="58"/>
        <v>232.01022246125999</v>
      </c>
      <c r="W148" s="397">
        <f t="shared" si="59"/>
        <v>201.38030634367573</v>
      </c>
      <c r="X148" s="153">
        <f t="shared" si="60"/>
        <v>46521</v>
      </c>
      <c r="Y148" s="380">
        <f t="shared" si="61"/>
        <v>195.68137689181307</v>
      </c>
      <c r="Z148" s="380">
        <f t="shared" si="62"/>
        <v>201.38008123187998</v>
      </c>
      <c r="AA148" s="381">
        <f t="shared" si="63"/>
        <v>214.34037273693713</v>
      </c>
      <c r="AB148" s="193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6.0465937142712194E-2</v>
      </c>
      <c r="AD148" s="227">
        <f>(INDEX(Models!$BJ148:$BT148,,AH148)*(1-AF148)+INDEX(Models!$BJ148:$BT148,,AH148+1)*AF148-ERP_i)*AE148*Ramure*Pc/MaxiM</f>
        <v>2.3678898685416082E-4</v>
      </c>
      <c r="AE148" s="301">
        <f t="shared" si="65"/>
        <v>0.5</v>
      </c>
      <c r="AF148" s="173">
        <f t="shared" si="66"/>
        <v>0.61302007759751742</v>
      </c>
      <c r="AG148" s="801">
        <f t="shared" si="74"/>
        <v>2</v>
      </c>
      <c r="AH148" s="172">
        <f t="shared" si="67"/>
        <v>8</v>
      </c>
      <c r="AI148" s="221">
        <f t="shared" si="68"/>
        <v>2.6130200775975174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46522</v>
      </c>
      <c r="B149" s="406">
        <f>'2026'!Wh/'2026'!Env_an*'2027'!Env_an</f>
        <v>211.88632312710862</v>
      </c>
      <c r="C149" s="831"/>
      <c r="D149" s="388">
        <f t="shared" si="50"/>
        <v>218.05993887197366</v>
      </c>
      <c r="E149" s="380">
        <f t="shared" si="72"/>
        <v>225.54311761592021</v>
      </c>
      <c r="F149" s="380">
        <f t="shared" si="51"/>
        <v>225.58950379219547</v>
      </c>
      <c r="G149" s="110">
        <f t="shared" si="73"/>
        <v>0.91209287819622542</v>
      </c>
      <c r="H149" s="409" t="b">
        <f>Wh_hp&gt;='2026'!Maxi_hp</f>
        <v>0</v>
      </c>
      <c r="I149" s="385">
        <f>IF(H149,Wh_hp,'2026'!Maxi_hp)</f>
        <v>225.59588021543425</v>
      </c>
      <c r="J149" s="85">
        <f>IF(H149,An,'2026'!An_max)</f>
        <v>2022</v>
      </c>
      <c r="K149" s="193">
        <f t="shared" si="52"/>
        <v>46522</v>
      </c>
      <c r="L149" s="143">
        <f>IF(t&lt;Tvie,1-EXP((T0-t)*PertePVj)+'2026'!Pspv,1-EXP((T0-t)*PertePVj)+Pspv)</f>
        <v>2.8311554047025789E-2</v>
      </c>
      <c r="M149" s="835"/>
      <c r="N149" s="835"/>
      <c r="O149" s="48">
        <f>IF(t&lt;Tnet,'2026'!Resal+('2026'!Salim-'2026'!Resal)*(1-EXP(('2026'!Tnet-t)/('2026'!Tau_j))),Resal+(Salim-Resal)*(1-EXP((Tnet-t)/(Tau_j))))*Salcycl</f>
        <v>3.3178484110030569E-2</v>
      </c>
      <c r="P149" s="165">
        <f>(INDEX(Models!$BJ149:$BT149,,T149)*(1-R149)+INDEX(Models!$BJ149:$BT149,,T149+1)*R149-ERP_i)*Q149*Ramure*Pc/MaxiM</f>
        <v>2.3514258613192452E-4</v>
      </c>
      <c r="Q149" s="301">
        <f t="shared" si="53"/>
        <v>0.5</v>
      </c>
      <c r="R149" s="173">
        <f t="shared" si="54"/>
        <v>0.6168978693125573</v>
      </c>
      <c r="S149" s="801">
        <f t="shared" si="55"/>
        <v>2</v>
      </c>
      <c r="T149" s="172">
        <f t="shared" si="56"/>
        <v>8</v>
      </c>
      <c r="U149" s="247">
        <f t="shared" si="57"/>
        <v>2.6168978693125573</v>
      </c>
      <c r="V149" s="378">
        <f t="shared" si="58"/>
        <v>232.30097713500808</v>
      </c>
      <c r="W149" s="397">
        <f t="shared" si="59"/>
        <v>211.88632312710862</v>
      </c>
      <c r="X149" s="153">
        <f t="shared" si="60"/>
        <v>46522</v>
      </c>
      <c r="Y149" s="380">
        <f t="shared" si="61"/>
        <v>205.89220621755089</v>
      </c>
      <c r="Z149" s="380">
        <f t="shared" si="62"/>
        <v>211.89117466105515</v>
      </c>
      <c r="AA149" s="381">
        <f t="shared" si="63"/>
        <v>225.54311761592021</v>
      </c>
      <c r="AB149" s="193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6.0529193261011346E-2</v>
      </c>
      <c r="AD149" s="227">
        <f>(INDEX(Models!$BJ149:$BT149,,AH149)*(1-AF149)+INDEX(Models!$BJ149:$BT149,,AH149+1)*AF149-ERP_i)*AE149*Ramure*Pc/MaxiM</f>
        <v>2.3514258613192452E-4</v>
      </c>
      <c r="AE149" s="301">
        <f t="shared" si="65"/>
        <v>0.5</v>
      </c>
      <c r="AF149" s="173">
        <f t="shared" si="66"/>
        <v>0.6168978693125573</v>
      </c>
      <c r="AG149" s="801">
        <f t="shared" si="74"/>
        <v>2</v>
      </c>
      <c r="AH149" s="172">
        <f t="shared" si="67"/>
        <v>8</v>
      </c>
      <c r="AI149" s="221">
        <f t="shared" si="68"/>
        <v>2.6168978693125573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46523</v>
      </c>
      <c r="B150" s="406">
        <f>'2026'!Wh/'2026'!Env_an*'2027'!Env_an</f>
        <v>204.90637903528153</v>
      </c>
      <c r="C150" s="831"/>
      <c r="D150" s="388">
        <f t="shared" si="50"/>
        <v>210.87951073553603</v>
      </c>
      <c r="E150" s="380">
        <f t="shared" si="72"/>
        <v>218.13327584391413</v>
      </c>
      <c r="F150" s="380">
        <f t="shared" si="51"/>
        <v>218.17556277804283</v>
      </c>
      <c r="G150" s="110">
        <f t="shared" si="73"/>
        <v>0.88098816310767691</v>
      </c>
      <c r="H150" s="409" t="b">
        <f>Wh_hp&gt;='2026'!Maxi_hp</f>
        <v>0</v>
      </c>
      <c r="I150" s="385">
        <f>IF(H150,Wh_hp,'2026'!Maxi_hp)</f>
        <v>218.18384203188552</v>
      </c>
      <c r="J150" s="85">
        <f>IF(H150,An,'2026'!An_max)</f>
        <v>2022</v>
      </c>
      <c r="K150" s="193">
        <f t="shared" si="52"/>
        <v>46523</v>
      </c>
      <c r="L150" s="143">
        <f>IF(t&lt;Tvie,1-EXP((T0-t)*PertePVj)+'2026'!Pspv,1-EXP((T0-t)*PertePVj)+Pspv)</f>
        <v>2.8324855645864067E-2</v>
      </c>
      <c r="M150" s="835"/>
      <c r="N150" s="835"/>
      <c r="O150" s="48">
        <f>IF(t&lt;Tnet,'2026'!Resal+('2026'!Salim-'2026'!Resal)*(1-EXP(('2026'!Tnet-t)/('2026'!Tau_j))),Resal+(Salim-Resal)*(1-EXP((Tnet-t)/(Tau_j))))*Salcycl</f>
        <v>3.3253821913757642E-2</v>
      </c>
      <c r="P150" s="165">
        <f>(INDEX(Models!$BJ150:$BT150,,T150)*(1-R150)+INDEX(Models!$BJ150:$BT150,,T150+1)*R150-ERP_i)*Q150*Ramure*Pc/MaxiM</f>
        <v>2.3350958270007658E-4</v>
      </c>
      <c r="Q150" s="301">
        <f t="shared" si="53"/>
        <v>0.5</v>
      </c>
      <c r="R150" s="173">
        <f t="shared" si="54"/>
        <v>0.62085430677368336</v>
      </c>
      <c r="S150" s="801">
        <f t="shared" si="55"/>
        <v>2</v>
      </c>
      <c r="T150" s="172">
        <f t="shared" si="56"/>
        <v>8</v>
      </c>
      <c r="U150" s="247">
        <f t="shared" si="57"/>
        <v>2.6208543067736834</v>
      </c>
      <c r="V150" s="378">
        <f t="shared" si="58"/>
        <v>232.57775022187835</v>
      </c>
      <c r="W150" s="397">
        <f t="shared" si="59"/>
        <v>204.90637903528153</v>
      </c>
      <c r="X150" s="153">
        <f t="shared" si="60"/>
        <v>46523</v>
      </c>
      <c r="Y150" s="380">
        <f t="shared" si="61"/>
        <v>199.11173337355302</v>
      </c>
      <c r="Z150" s="380">
        <f t="shared" si="62"/>
        <v>204.91594802077691</v>
      </c>
      <c r="AA150" s="381">
        <f t="shared" si="63"/>
        <v>218.13327584391413</v>
      </c>
      <c r="AB150" s="193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6.0592900244137576E-2</v>
      </c>
      <c r="AD150" s="227">
        <f>(INDEX(Models!$BJ150:$BT150,,AH150)*(1-AF150)+INDEX(Models!$BJ150:$BT150,,AH150+1)*AF150-ERP_i)*AE150*Ramure*Pc/MaxiM</f>
        <v>2.3350958270007658E-4</v>
      </c>
      <c r="AE150" s="301">
        <f t="shared" si="65"/>
        <v>0.5</v>
      </c>
      <c r="AF150" s="173">
        <f t="shared" si="66"/>
        <v>0.62085430677368336</v>
      </c>
      <c r="AG150" s="801">
        <f t="shared" si="74"/>
        <v>2</v>
      </c>
      <c r="AH150" s="172">
        <f t="shared" si="67"/>
        <v>8</v>
      </c>
      <c r="AI150" s="221">
        <f t="shared" si="68"/>
        <v>2.6208543067736834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46524</v>
      </c>
      <c r="B151" s="406">
        <f>'2026'!Wh/'2026'!Env_an*'2027'!Env_an</f>
        <v>223.3808877152984</v>
      </c>
      <c r="C151" s="831"/>
      <c r="D151" s="388">
        <f t="shared" si="50"/>
        <v>229.89570840819079</v>
      </c>
      <c r="E151" s="380">
        <f t="shared" si="72"/>
        <v>237.82217790260265</v>
      </c>
      <c r="F151" s="380">
        <f t="shared" si="51"/>
        <v>237.87414700666946</v>
      </c>
      <c r="G151" s="110">
        <f t="shared" si="73"/>
        <v>0.95935779797824394</v>
      </c>
      <c r="H151" s="409" t="b">
        <f>Wh_hp&gt;='2026'!Maxi_hp</f>
        <v>0</v>
      </c>
      <c r="I151" s="385">
        <f>IF(H151,Wh_hp,'2026'!Maxi_hp)</f>
        <v>237.87720454038168</v>
      </c>
      <c r="J151" s="85">
        <f>IF(H151,An,'2026'!An_max)</f>
        <v>2022</v>
      </c>
      <c r="K151" s="193">
        <f t="shared" si="52"/>
        <v>46524</v>
      </c>
      <c r="L151" s="143">
        <f>IF(t&lt;Tvie,1-EXP((T0-t)*PertePVj)+'2026'!Pspv,1-EXP((T0-t)*PertePVj)+Pspv)</f>
        <v>2.8338157062614666E-2</v>
      </c>
      <c r="M151" s="835"/>
      <c r="N151" s="835"/>
      <c r="O151" s="48">
        <f>IF(t&lt;Tnet,'2026'!Resal+('2026'!Salim-'2026'!Resal)*(1-EXP(('2026'!Tnet-t)/('2026'!Tau_j))),Resal+(Salim-Resal)*(1-EXP((Tnet-t)/(Tau_j))))*Salcycl</f>
        <v>3.3329395787713559E-2</v>
      </c>
      <c r="P151" s="165">
        <f>(INDEX(Models!$BJ151:$BT151,,T151)*(1-R151)+INDEX(Models!$BJ151:$BT151,,T151+1)*R151-ERP_i)*Q151*Ramure*Pc/MaxiM</f>
        <v>2.3193504278989054E-4</v>
      </c>
      <c r="Q151" s="301">
        <f t="shared" si="53"/>
        <v>0.5</v>
      </c>
      <c r="R151" s="173">
        <f t="shared" si="54"/>
        <v>0.62488836513365698</v>
      </c>
      <c r="S151" s="801">
        <f t="shared" si="55"/>
        <v>2</v>
      </c>
      <c r="T151" s="172">
        <f t="shared" si="56"/>
        <v>8</v>
      </c>
      <c r="U151" s="247">
        <f t="shared" si="57"/>
        <v>2.624888365133657</v>
      </c>
      <c r="V151" s="378">
        <f t="shared" si="58"/>
        <v>232.84105303552647</v>
      </c>
      <c r="W151" s="397">
        <f t="shared" si="59"/>
        <v>223.3808877152984</v>
      </c>
      <c r="X151" s="153">
        <f t="shared" si="60"/>
        <v>46524</v>
      </c>
      <c r="Y151" s="380">
        <f t="shared" si="61"/>
        <v>217.06594581241782</v>
      </c>
      <c r="Z151" s="380">
        <f t="shared" si="62"/>
        <v>223.39659356820675</v>
      </c>
      <c r="AA151" s="381">
        <f t="shared" si="63"/>
        <v>237.82217790260265</v>
      </c>
      <c r="AB151" s="193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6.065701887695147E-2</v>
      </c>
      <c r="AD151" s="227">
        <f>(INDEX(Models!$BJ151:$BT151,,AH151)*(1-AF151)+INDEX(Models!$BJ151:$BT151,,AH151+1)*AF151-ERP_i)*AE151*Ramure*Pc/MaxiM</f>
        <v>2.3193504278989054E-4</v>
      </c>
      <c r="AE151" s="301">
        <f t="shared" si="65"/>
        <v>0.5</v>
      </c>
      <c r="AF151" s="173">
        <f t="shared" si="66"/>
        <v>0.62488836513365698</v>
      </c>
      <c r="AG151" s="801">
        <f t="shared" si="74"/>
        <v>2</v>
      </c>
      <c r="AH151" s="172">
        <f t="shared" si="67"/>
        <v>8</v>
      </c>
      <c r="AI151" s="221">
        <f t="shared" si="68"/>
        <v>2.624888365133657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46525</v>
      </c>
      <c r="B152" s="406">
        <f>'2026'!Wh/'2026'!Env_an*'2027'!Env_an</f>
        <v>214.54336381446026</v>
      </c>
      <c r="C152" s="831"/>
      <c r="D152" s="388">
        <f t="shared" si="50"/>
        <v>220.80346401641668</v>
      </c>
      <c r="E152" s="380">
        <f t="shared" si="72"/>
        <v>228.4343556900813</v>
      </c>
      <c r="F152" s="380">
        <f t="shared" si="51"/>
        <v>228.48101711303465</v>
      </c>
      <c r="G152" s="110">
        <f t="shared" si="73"/>
        <v>0.92040176484088732</v>
      </c>
      <c r="H152" s="409" t="b">
        <f>Wh_hp&gt;='2026'!Maxi_hp</f>
        <v>0</v>
      </c>
      <c r="I152" s="385">
        <f>IF(H152,Wh_hp,'2026'!Maxi_hp)</f>
        <v>228.48672372776667</v>
      </c>
      <c r="J152" s="85">
        <f>IF(H152,An,'2026'!An_max)</f>
        <v>2022</v>
      </c>
      <c r="K152" s="193">
        <f t="shared" si="52"/>
        <v>46525</v>
      </c>
      <c r="L152" s="143">
        <f>IF(t&lt;Tvie,1-EXP((T0-t)*PertePVj)+'2026'!Pspv,1-EXP((T0-t)*PertePVj)+Pspv)</f>
        <v>2.835145829728003E-2</v>
      </c>
      <c r="M152" s="835"/>
      <c r="N152" s="835"/>
      <c r="O152" s="48">
        <f>IF(t&lt;Tnet,'2026'!Resal+('2026'!Salim-'2026'!Resal)*(1-EXP(('2026'!Tnet-t)/('2026'!Tau_j))),Resal+(Salim-Resal)*(1-EXP((Tnet-t)/(Tau_j))))*Salcycl</f>
        <v>3.3405183955856135E-2</v>
      </c>
      <c r="P152" s="165">
        <f>(INDEX(Models!$BJ152:$BT152,,T152)*(1-R152)+INDEX(Models!$BJ152:$BT152,,T152+1)*R152-ERP_i)*Q152*Ramure*Pc/MaxiM</f>
        <v>2.3041778142379729E-4</v>
      </c>
      <c r="Q152" s="301">
        <f t="shared" si="53"/>
        <v>0.5</v>
      </c>
      <c r="R152" s="173">
        <f t="shared" si="54"/>
        <v>0.6289988453576143</v>
      </c>
      <c r="S152" s="801">
        <f t="shared" si="55"/>
        <v>2</v>
      </c>
      <c r="T152" s="172">
        <f t="shared" si="56"/>
        <v>8</v>
      </c>
      <c r="U152" s="247">
        <f t="shared" si="57"/>
        <v>2.6289988453576143</v>
      </c>
      <c r="V152" s="378">
        <f t="shared" si="58"/>
        <v>233.09140776184083</v>
      </c>
      <c r="W152" s="397">
        <f t="shared" si="59"/>
        <v>214.54336381446026</v>
      </c>
      <c r="X152" s="153">
        <f t="shared" si="60"/>
        <v>46525</v>
      </c>
      <c r="Y152" s="380">
        <f t="shared" si="61"/>
        <v>208.48028961983226</v>
      </c>
      <c r="Z152" s="380">
        <f t="shared" si="62"/>
        <v>214.56347709274667</v>
      </c>
      <c r="AA152" s="381">
        <f t="shared" si="63"/>
        <v>228.4343556900813</v>
      </c>
      <c r="AB152" s="193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6.0721508178714419E-2</v>
      </c>
      <c r="AD152" s="227">
        <f>(INDEX(Models!$BJ152:$BT152,,AH152)*(1-AF152)+INDEX(Models!$BJ152:$BT152,,AH152+1)*AF152-ERP_i)*AE152*Ramure*Pc/MaxiM</f>
        <v>2.3041778142379729E-4</v>
      </c>
      <c r="AE152" s="301">
        <f t="shared" si="65"/>
        <v>0.5</v>
      </c>
      <c r="AF152" s="173">
        <f t="shared" si="66"/>
        <v>0.6289988453576143</v>
      </c>
      <c r="AG152" s="801">
        <f t="shared" si="74"/>
        <v>2</v>
      </c>
      <c r="AH152" s="172">
        <f t="shared" si="67"/>
        <v>8</v>
      </c>
      <c r="AI152" s="221">
        <f t="shared" si="68"/>
        <v>2.6289988453576143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46526</v>
      </c>
      <c r="B153" s="406">
        <f>'2026'!Wh/'2026'!Env_an*'2027'!Env_an</f>
        <v>219.00223443129514</v>
      </c>
      <c r="C153" s="831"/>
      <c r="D153" s="388">
        <f t="shared" si="50"/>
        <v>225.39552423474996</v>
      </c>
      <c r="E153" s="380">
        <f t="shared" si="72"/>
        <v>233.20344699623161</v>
      </c>
      <c r="F153" s="380">
        <f t="shared" si="51"/>
        <v>233.25216707900387</v>
      </c>
      <c r="G153" s="110">
        <f t="shared" si="73"/>
        <v>0.93857822709447492</v>
      </c>
      <c r="H153" s="409" t="b">
        <f>Wh_hp&gt;='2026'!Maxi_hp</f>
        <v>0</v>
      </c>
      <c r="I153" s="385">
        <f>IF(H153,Wh_hp,'2026'!Maxi_hp)</f>
        <v>233.25662834485334</v>
      </c>
      <c r="J153" s="85">
        <f>IF(H153,An,'2026'!An_max)</f>
        <v>2022</v>
      </c>
      <c r="K153" s="193">
        <f t="shared" si="52"/>
        <v>46526</v>
      </c>
      <c r="L153" s="143">
        <f>IF(t&lt;Tvie,1-EXP((T0-t)*PertePVj)+'2026'!Pspv,1-EXP((T0-t)*PertePVj)+Pspv)</f>
        <v>2.8364759349862712E-2</v>
      </c>
      <c r="M153" s="835"/>
      <c r="N153" s="835"/>
      <c r="O153" s="48">
        <f>IF(t&lt;Tnet,'2026'!Resal+('2026'!Salim-'2026'!Resal)*(1-EXP(('2026'!Tnet-t)/('2026'!Tau_j))),Resal+(Salim-Resal)*(1-EXP((Tnet-t)/(Tau_j))))*Salcycl</f>
        <v>3.3481163602216493E-2</v>
      </c>
      <c r="P153" s="165">
        <f>(INDEX(Models!$BJ153:$BT153,,T153)*(1-R153)+INDEX(Models!$BJ153:$BT153,,T153+1)*R153-ERP_i)*Q153*Ramure*Pc/MaxiM</f>
        <v>2.2895674417836582E-4</v>
      </c>
      <c r="Q153" s="301">
        <f t="shared" si="53"/>
        <v>0.5</v>
      </c>
      <c r="R153" s="173">
        <f t="shared" si="54"/>
        <v>0.63318437112491077</v>
      </c>
      <c r="S153" s="801">
        <f t="shared" si="55"/>
        <v>2</v>
      </c>
      <c r="T153" s="172">
        <f t="shared" si="56"/>
        <v>8</v>
      </c>
      <c r="U153" s="247">
        <f t="shared" si="57"/>
        <v>2.6331843711249108</v>
      </c>
      <c r="V153" s="378">
        <f t="shared" si="58"/>
        <v>233.32933665869862</v>
      </c>
      <c r="W153" s="397">
        <f t="shared" si="59"/>
        <v>219.00223443129514</v>
      </c>
      <c r="X153" s="153">
        <f t="shared" si="60"/>
        <v>46526</v>
      </c>
      <c r="Y153" s="380">
        <f t="shared" si="61"/>
        <v>212.81519364298893</v>
      </c>
      <c r="Z153" s="380">
        <f t="shared" si="62"/>
        <v>219.02786636329776</v>
      </c>
      <c r="AA153" s="381">
        <f t="shared" si="63"/>
        <v>233.20344699623161</v>
      </c>
      <c r="AB153" s="193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6.0786325483271814E-2</v>
      </c>
      <c r="AD153" s="227">
        <f>(INDEX(Models!$BJ153:$BT153,,AH153)*(1-AF153)+INDEX(Models!$BJ153:$BT153,,AH153+1)*AF153-ERP_i)*AE153*Ramure*Pc/MaxiM</f>
        <v>2.2895674417836582E-4</v>
      </c>
      <c r="AE153" s="301">
        <f t="shared" si="65"/>
        <v>0.5</v>
      </c>
      <c r="AF153" s="173">
        <f t="shared" si="66"/>
        <v>0.63318437112491077</v>
      </c>
      <c r="AG153" s="801">
        <f t="shared" si="74"/>
        <v>2</v>
      </c>
      <c r="AH153" s="172">
        <f t="shared" si="67"/>
        <v>8</v>
      </c>
      <c r="AI153" s="221">
        <f t="shared" si="68"/>
        <v>2.6331843711249108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46527</v>
      </c>
      <c r="B154" s="406">
        <f>'2026'!Wh/'2026'!Env_an*'2027'!Env_an</f>
        <v>196.42883451077174</v>
      </c>
      <c r="C154" s="831"/>
      <c r="D154" s="388">
        <f t="shared" si="50"/>
        <v>202.16591090493699</v>
      </c>
      <c r="E154" s="380">
        <f t="shared" si="72"/>
        <v>209.18561771790957</v>
      </c>
      <c r="F154" s="380">
        <f t="shared" si="51"/>
        <v>209.22241505229545</v>
      </c>
      <c r="G154" s="110">
        <f t="shared" si="73"/>
        <v>0.84099410373870387</v>
      </c>
      <c r="H154" s="409" t="b">
        <f>Wh_hp&gt;='2026'!Maxi_hp</f>
        <v>0</v>
      </c>
      <c r="I154" s="385">
        <f>IF(H154,Wh_hp,'2026'!Maxi_hp)</f>
        <v>209.23269880862148</v>
      </c>
      <c r="J154" s="85">
        <f>IF(H154,An,'2026'!An_max)</f>
        <v>2022</v>
      </c>
      <c r="K154" s="193">
        <f t="shared" si="52"/>
        <v>46527</v>
      </c>
      <c r="L154" s="143">
        <f>IF(t&lt;Tvie,1-EXP((T0-t)*PertePVj)+'2026'!Pspv,1-EXP((T0-t)*PertePVj)+Pspv)</f>
        <v>2.8378060220365042E-2</v>
      </c>
      <c r="M154" s="835"/>
      <c r="N154" s="835"/>
      <c r="O154" s="48">
        <f>IF(t&lt;Tnet,'2026'!Resal+('2026'!Salim-'2026'!Resal)*(1-EXP(('2026'!Tnet-t)/('2026'!Tau_j))),Resal+(Salim-Resal)*(1-EXP((Tnet-t)/(Tau_j))))*Salcycl</f>
        <v>3.3557310916273203E-2</v>
      </c>
      <c r="P154" s="165">
        <f>(INDEX(Models!$BJ154:$BT154,,T154)*(1-R154)+INDEX(Models!$BJ154:$BT154,,T154+1)*R154-ERP_i)*Q154*Ramure*Pc/MaxiM</f>
        <v>2.275510079001107E-4</v>
      </c>
      <c r="Q154" s="301">
        <f t="shared" si="53"/>
        <v>0.5</v>
      </c>
      <c r="R154" s="173">
        <f t="shared" si="54"/>
        <v>0.63744338643257148</v>
      </c>
      <c r="S154" s="801">
        <f t="shared" si="55"/>
        <v>2</v>
      </c>
      <c r="T154" s="172">
        <f t="shared" si="56"/>
        <v>8</v>
      </c>
      <c r="U154" s="247">
        <f t="shared" si="57"/>
        <v>2.6374433864325715</v>
      </c>
      <c r="V154" s="378">
        <f t="shared" si="58"/>
        <v>233.55536205934109</v>
      </c>
      <c r="W154" s="397">
        <f t="shared" si="59"/>
        <v>196.42883451077174</v>
      </c>
      <c r="X154" s="153">
        <f t="shared" si="60"/>
        <v>46527</v>
      </c>
      <c r="Y154" s="380">
        <f t="shared" si="61"/>
        <v>190.88132364472031</v>
      </c>
      <c r="Z154" s="380">
        <f t="shared" si="62"/>
        <v>196.45637447010762</v>
      </c>
      <c r="AA154" s="381">
        <f t="shared" si="63"/>
        <v>209.18561771790957</v>
      </c>
      <c r="AB154" s="193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6.0851426530515729E-2</v>
      </c>
      <c r="AD154" s="227">
        <f>(INDEX(Models!$BJ154:$BT154,,AH154)*(1-AF154)+INDEX(Models!$BJ154:$BT154,,AH154+1)*AF154-ERP_i)*AE154*Ramure*Pc/MaxiM</f>
        <v>2.275510079001107E-4</v>
      </c>
      <c r="AE154" s="301">
        <f t="shared" si="65"/>
        <v>0.5</v>
      </c>
      <c r="AF154" s="173">
        <f t="shared" si="66"/>
        <v>0.63744338643257148</v>
      </c>
      <c r="AG154" s="801">
        <f t="shared" si="74"/>
        <v>2</v>
      </c>
      <c r="AH154" s="172">
        <f t="shared" si="67"/>
        <v>8</v>
      </c>
      <c r="AI154" s="221">
        <f t="shared" si="68"/>
        <v>2.6374433864325715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46528</v>
      </c>
      <c r="B155" s="406">
        <f>'2026'!Wh/'2026'!Env_an*'2027'!Env_an</f>
        <v>203.52370805666314</v>
      </c>
      <c r="C155" s="831"/>
      <c r="D155" s="388">
        <f t="shared" si="50"/>
        <v>209.47087115963492</v>
      </c>
      <c r="E155" s="380">
        <f t="shared" si="72"/>
        <v>216.76133546013779</v>
      </c>
      <c r="F155" s="380">
        <f t="shared" si="51"/>
        <v>216.80131146046836</v>
      </c>
      <c r="G155" s="110">
        <f t="shared" si="73"/>
        <v>0.87057873845858957</v>
      </c>
      <c r="H155" s="409" t="b">
        <f>Wh_hp&gt;='2026'!Maxi_hp</f>
        <v>0</v>
      </c>
      <c r="I155" s="385">
        <f>IF(H155,Wh_hp,'2026'!Maxi_hp)</f>
        <v>216.80992389695143</v>
      </c>
      <c r="J155" s="85">
        <f>IF(H155,An,'2026'!An_max)</f>
        <v>2022</v>
      </c>
      <c r="K155" s="193">
        <f t="shared" si="52"/>
        <v>46528</v>
      </c>
      <c r="L155" s="143">
        <f>IF(t&lt;Tvie,1-EXP((T0-t)*PertePVj)+'2026'!Pspv,1-EXP((T0-t)*PertePVj)+Pspv)</f>
        <v>2.8391360908789687E-2</v>
      </c>
      <c r="M155" s="835"/>
      <c r="N155" s="835"/>
      <c r="O155" s="48">
        <f>IF(t&lt;Tnet,'2026'!Resal+('2026'!Salim-'2026'!Resal)*(1-EXP(('2026'!Tnet-t)/('2026'!Tau_j))),Resal+(Salim-Resal)*(1-EXP((Tnet-t)/(Tau_j))))*Salcycl</f>
        <v>3.3633601144903338E-2</v>
      </c>
      <c r="P155" s="165">
        <f>(INDEX(Models!$BJ155:$BT155,,T155)*(1-R155)+INDEX(Models!$BJ155:$BT155,,T155+1)*R155-ERP_i)*Q155*Ramure*Pc/MaxiM</f>
        <v>2.2619978117797941E-4</v>
      </c>
      <c r="Q155" s="301">
        <f t="shared" si="53"/>
        <v>0.5</v>
      </c>
      <c r="R155" s="173">
        <f t="shared" si="54"/>
        <v>0.64177415395351423</v>
      </c>
      <c r="S155" s="801">
        <f t="shared" si="55"/>
        <v>2</v>
      </c>
      <c r="T155" s="172">
        <f t="shared" si="56"/>
        <v>8</v>
      </c>
      <c r="U155" s="247">
        <f t="shared" si="57"/>
        <v>2.6417741539535142</v>
      </c>
      <c r="V155" s="378">
        <f t="shared" si="58"/>
        <v>233.77000634324818</v>
      </c>
      <c r="W155" s="397">
        <f t="shared" si="59"/>
        <v>203.52370805666314</v>
      </c>
      <c r="X155" s="153">
        <f t="shared" si="60"/>
        <v>46528</v>
      </c>
      <c r="Y155" s="380">
        <f t="shared" si="61"/>
        <v>197.77767756791599</v>
      </c>
      <c r="Z155" s="380">
        <f t="shared" si="62"/>
        <v>203.55693600347814</v>
      </c>
      <c r="AA155" s="381">
        <f t="shared" si="63"/>
        <v>216.76133546013779</v>
      </c>
      <c r="AB155" s="193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6.0916765569051026E-2</v>
      </c>
      <c r="AD155" s="227">
        <f>(INDEX(Models!$BJ155:$BT155,,AH155)*(1-AF155)+INDEX(Models!$BJ155:$BT155,,AH155+1)*AF155-ERP_i)*AE155*Ramure*Pc/MaxiM</f>
        <v>2.2619978117797941E-4</v>
      </c>
      <c r="AE155" s="301">
        <f t="shared" si="65"/>
        <v>0.5</v>
      </c>
      <c r="AF155" s="173">
        <f t="shared" si="66"/>
        <v>0.64177415395351423</v>
      </c>
      <c r="AG155" s="801">
        <f t="shared" si="74"/>
        <v>2</v>
      </c>
      <c r="AH155" s="172">
        <f t="shared" si="67"/>
        <v>8</v>
      </c>
      <c r="AI155" s="221">
        <f t="shared" si="68"/>
        <v>2.6417741539535142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46529</v>
      </c>
      <c r="B156" s="406">
        <f>'2026'!Wh/'2026'!Env_an*'2027'!Env_an</f>
        <v>151.56872754055399</v>
      </c>
      <c r="C156" s="831"/>
      <c r="D156" s="388">
        <f t="shared" si="50"/>
        <v>155.99985047408265</v>
      </c>
      <c r="E156" s="380">
        <f t="shared" si="72"/>
        <v>161.44206384283774</v>
      </c>
      <c r="F156" s="380">
        <f t="shared" si="51"/>
        <v>161.46011447963807</v>
      </c>
      <c r="G156" s="110">
        <f t="shared" si="73"/>
        <v>0.64772888031419096</v>
      </c>
      <c r="H156" s="409" t="b">
        <f>Wh_hp&gt;='2026'!Maxi_hp</f>
        <v>0</v>
      </c>
      <c r="I156" s="385">
        <f>IF(H156,Wh_hp,'2026'!Maxi_hp)</f>
        <v>161.47746440788973</v>
      </c>
      <c r="J156" s="85">
        <f>IF(H156,An,'2026'!An_max)</f>
        <v>2022</v>
      </c>
      <c r="K156" s="193">
        <f t="shared" si="52"/>
        <v>46529</v>
      </c>
      <c r="L156" s="143">
        <f>IF(t&lt;Tvie,1-EXP((T0-t)*PertePVj)+'2026'!Pspv,1-EXP((T0-t)*PertePVj)+Pspv)</f>
        <v>2.8404661415139087E-2</v>
      </c>
      <c r="M156" s="835"/>
      <c r="N156" s="835"/>
      <c r="O156" s="48">
        <f>IF(t&lt;Tnet,'2026'!Resal+('2026'!Salim-'2026'!Resal)*(1-EXP(('2026'!Tnet-t)/('2026'!Tau_j))),Resal+(Salim-Resal)*(1-EXP((Tnet-t)/(Tau_j))))*Salcycl</f>
        <v>3.3710008650862176E-2</v>
      </c>
      <c r="P156" s="165">
        <f>(INDEX(Models!$BJ156:$BT156,,T156)*(1-R156)+INDEX(Models!$BJ156:$BT156,,T156+1)*R156-ERP_i)*Q156*Ramure*Pc/MaxiM</f>
        <v>2.2500540718623386E-4</v>
      </c>
      <c r="Q156" s="301">
        <f t="shared" si="53"/>
        <v>0.5</v>
      </c>
      <c r="R156" s="173">
        <f t="shared" si="54"/>
        <v>0.64617475419906967</v>
      </c>
      <c r="S156" s="801">
        <f t="shared" si="55"/>
        <v>2</v>
      </c>
      <c r="T156" s="172">
        <f t="shared" si="56"/>
        <v>8</v>
      </c>
      <c r="U156" s="247">
        <f t="shared" si="57"/>
        <v>2.6461747541990697</v>
      </c>
      <c r="V156" s="378">
        <f t="shared" si="58"/>
        <v>233.97376782397686</v>
      </c>
      <c r="W156" s="397">
        <f t="shared" si="59"/>
        <v>151.56872754055399</v>
      </c>
      <c r="X156" s="153">
        <f t="shared" si="60"/>
        <v>46529</v>
      </c>
      <c r="Y156" s="380">
        <f t="shared" si="61"/>
        <v>147.2908959917562</v>
      </c>
      <c r="Z156" s="380">
        <f t="shared" si="62"/>
        <v>151.59695620430514</v>
      </c>
      <c r="AA156" s="381">
        <f t="shared" si="63"/>
        <v>161.44206384283774</v>
      </c>
      <c r="AB156" s="193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6.0982295469888891E-2</v>
      </c>
      <c r="AD156" s="227">
        <f>(INDEX(Models!$BJ156:$BT156,,AH156)*(1-AF156)+INDEX(Models!$BJ156:$BT156,,AH156+1)*AF156-ERP_i)*AE156*Ramure*Pc/MaxiM</f>
        <v>2.2500540718623386E-4</v>
      </c>
      <c r="AE156" s="301">
        <f t="shared" si="65"/>
        <v>0.5</v>
      </c>
      <c r="AF156" s="173">
        <f t="shared" si="66"/>
        <v>0.64617475419906967</v>
      </c>
      <c r="AG156" s="801">
        <f t="shared" si="74"/>
        <v>2</v>
      </c>
      <c r="AH156" s="172">
        <f t="shared" si="67"/>
        <v>8</v>
      </c>
      <c r="AI156" s="221">
        <f t="shared" si="68"/>
        <v>2.6461747541990697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46530</v>
      </c>
      <c r="B157" s="406">
        <f>'2026'!Wh/'2026'!Env_an*'2027'!Env_an</f>
        <v>71.64948293142595</v>
      </c>
      <c r="C157" s="831"/>
      <c r="D157" s="388">
        <f t="shared" si="50"/>
        <v>73.745170361217731</v>
      </c>
      <c r="E157" s="380">
        <f t="shared" si="72"/>
        <v>76.323887933445235</v>
      </c>
      <c r="F157" s="380">
        <f t="shared" si="51"/>
        <v>76.324033971245754</v>
      </c>
      <c r="G157" s="110">
        <f t="shared" si="73"/>
        <v>0.30590784008745064</v>
      </c>
      <c r="H157" s="409" t="b">
        <f>Wh_hp&gt;='2026'!Maxi_hp</f>
        <v>0</v>
      </c>
      <c r="I157" s="385">
        <f>IF(H157,Wh_hp,'2026'!Maxi_hp)</f>
        <v>76.340118544005392</v>
      </c>
      <c r="J157" s="85">
        <f>IF(H157,An,'2026'!An_max)</f>
        <v>2022</v>
      </c>
      <c r="K157" s="193">
        <f t="shared" si="52"/>
        <v>46530</v>
      </c>
      <c r="L157" s="143">
        <f>IF(t&lt;Tvie,1-EXP((T0-t)*PertePVj)+'2026'!Pspv,1-EXP((T0-t)*PertePVj)+Pspv)</f>
        <v>2.8417961739415687E-2</v>
      </c>
      <c r="M157" s="835"/>
      <c r="N157" s="835"/>
      <c r="O157" s="48">
        <f>IF(t&lt;Tnet,'2026'!Resal+('2026'!Salim-'2026'!Resal)*(1-EXP(('2026'!Tnet-t)/('2026'!Tau_j))),Resal+(Salim-Resal)*(1-EXP((Tnet-t)/(Tau_j))))*Salcycl</f>
        <v>3.3786506977686433E-2</v>
      </c>
      <c r="P157" s="165">
        <f>(INDEX(Models!$BJ157:$BT157,,T157)*(1-R157)+INDEX(Models!$BJ157:$BT157,,T157+1)*R157-ERP_i)*Q157*Ramure*Pc/MaxiM</f>
        <v>2.2413181359624487E-4</v>
      </c>
      <c r="Q157" s="301">
        <f t="shared" si="53"/>
        <v>0.5</v>
      </c>
      <c r="R157" s="173">
        <f t="shared" si="54"/>
        <v>0.65064308553084205</v>
      </c>
      <c r="S157" s="801">
        <f t="shared" si="55"/>
        <v>2</v>
      </c>
      <c r="T157" s="172">
        <f t="shared" si="56"/>
        <v>8</v>
      </c>
      <c r="U157" s="247">
        <f t="shared" si="57"/>
        <v>2.650643085530842</v>
      </c>
      <c r="V157" s="378">
        <f t="shared" si="58"/>
        <v>234.16713035364549</v>
      </c>
      <c r="W157" s="397">
        <f t="shared" si="59"/>
        <v>71.64948293142595</v>
      </c>
      <c r="X157" s="153">
        <f t="shared" si="60"/>
        <v>46530</v>
      </c>
      <c r="Y157" s="380">
        <f t="shared" si="61"/>
        <v>69.62791151928333</v>
      </c>
      <c r="Z157" s="380">
        <f t="shared" si="62"/>
        <v>71.664469676629295</v>
      </c>
      <c r="AA157" s="381">
        <f t="shared" si="63"/>
        <v>76.323887933445235</v>
      </c>
      <c r="AB157" s="193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6.1047967850890603E-2</v>
      </c>
      <c r="AD157" s="227">
        <f>(INDEX(Models!$BJ157:$BT157,,AH157)*(1-AF157)+INDEX(Models!$BJ157:$BT157,,AH157+1)*AF157-ERP_i)*AE157*Ramure*Pc/MaxiM</f>
        <v>2.2413181359624487E-4</v>
      </c>
      <c r="AE157" s="301">
        <f t="shared" si="65"/>
        <v>0.5</v>
      </c>
      <c r="AF157" s="173">
        <f t="shared" si="66"/>
        <v>0.65064308553084205</v>
      </c>
      <c r="AG157" s="801">
        <f t="shared" si="74"/>
        <v>2</v>
      </c>
      <c r="AH157" s="172">
        <f t="shared" si="67"/>
        <v>8</v>
      </c>
      <c r="AI157" s="221">
        <f t="shared" si="68"/>
        <v>2.650643085530842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46531</v>
      </c>
      <c r="B158" s="406">
        <f>'2026'!Wh/'2026'!Env_an*'2027'!Env_an</f>
        <v>66.916591690421015</v>
      </c>
      <c r="C158" s="831"/>
      <c r="D158" s="388">
        <f t="shared" si="50"/>
        <v>68.874788849235031</v>
      </c>
      <c r="E158" s="380">
        <f t="shared" si="72"/>
        <v>71.288848023130811</v>
      </c>
      <c r="F158" s="380">
        <f t="shared" si="51"/>
        <v>71.288848023130811</v>
      </c>
      <c r="G158" s="110">
        <f t="shared" si="73"/>
        <v>0.28547665737112971</v>
      </c>
      <c r="H158" s="409" t="b">
        <f>Wh_hp&gt;='2026'!Maxi_hp</f>
        <v>0</v>
      </c>
      <c r="I158" s="385">
        <f>IF(H158,Wh_hp,'2026'!Maxi_hp)</f>
        <v>71.303952619231396</v>
      </c>
      <c r="J158" s="85">
        <f>IF(H158,An,'2026'!An_max)</f>
        <v>2022</v>
      </c>
      <c r="K158" s="193">
        <f t="shared" si="52"/>
        <v>46531</v>
      </c>
      <c r="L158" s="143">
        <f>IF(t&lt;Tvie,1-EXP((T0-t)*PertePVj)+'2026'!Pspv,1-EXP((T0-t)*PertePVj)+Pspv)</f>
        <v>2.8431261881622039E-2</v>
      </c>
      <c r="M158" s="835"/>
      <c r="N158" s="835"/>
      <c r="O158" s="48">
        <f>IF(t&lt;Tnet,'2026'!Resal+('2026'!Salim-'2026'!Resal)*(1-EXP(('2026'!Tnet-t)/('2026'!Tau_j))),Resal+(Salim-Resal)*(1-EXP((Tnet-t)/(Tau_j))))*Salcycl</f>
        <v>3.3863068920857019E-2</v>
      </c>
      <c r="P158" s="165">
        <f>(INDEX(Models!$BJ158:$BT158,,T158)*(1-R158)+INDEX(Models!$BJ158:$BT158,,T158+1)*R158-ERP_i)*Q158*Ramure*Pc/MaxiM</f>
        <v>2.2358391749365464E-4</v>
      </c>
      <c r="Q158" s="301">
        <f t="shared" si="53"/>
        <v>0.5</v>
      </c>
      <c r="R158" s="173">
        <f t="shared" si="54"/>
        <v>0.65517686506167161</v>
      </c>
      <c r="S158" s="801">
        <f t="shared" si="55"/>
        <v>2</v>
      </c>
      <c r="T158" s="172">
        <f t="shared" si="56"/>
        <v>8</v>
      </c>
      <c r="U158" s="247">
        <f t="shared" si="57"/>
        <v>2.6551768650616716</v>
      </c>
      <c r="V158" s="378">
        <f t="shared" si="58"/>
        <v>234.35061497771102</v>
      </c>
      <c r="W158" s="397">
        <f t="shared" si="59"/>
        <v>66.916591690421015</v>
      </c>
      <c r="X158" s="153">
        <f t="shared" si="60"/>
        <v>46531</v>
      </c>
      <c r="Y158" s="380">
        <f t="shared" si="61"/>
        <v>65.029155741151996</v>
      </c>
      <c r="Z158" s="380">
        <f t="shared" si="62"/>
        <v>66.932120384084143</v>
      </c>
      <c r="AA158" s="381">
        <f t="shared" si="63"/>
        <v>71.288848023130811</v>
      </c>
      <c r="AB158" s="193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6.1113733211582401E-2</v>
      </c>
      <c r="AD158" s="227">
        <f>(INDEX(Models!$BJ158:$BT158,,AH158)*(1-AF158)+INDEX(Models!$BJ158:$BT158,,AH158+1)*AF158-ERP_i)*AE158*Ramure*Pc/MaxiM</f>
        <v>2.2358391749365464E-4</v>
      </c>
      <c r="AE158" s="301">
        <f t="shared" si="65"/>
        <v>0.5</v>
      </c>
      <c r="AF158" s="173">
        <f t="shared" si="66"/>
        <v>0.65517686506167161</v>
      </c>
      <c r="AG158" s="801">
        <f t="shared" si="74"/>
        <v>2</v>
      </c>
      <c r="AH158" s="172">
        <f t="shared" si="67"/>
        <v>8</v>
      </c>
      <c r="AI158" s="221">
        <f t="shared" si="68"/>
        <v>2.6551768650616716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46532</v>
      </c>
      <c r="B159" s="406">
        <f>'2026'!Wh/'2026'!Env_an*'2027'!Env_an</f>
        <v>166.04632280127836</v>
      </c>
      <c r="C159" s="831"/>
      <c r="D159" s="388">
        <f t="shared" si="50"/>
        <v>170.90771795385086</v>
      </c>
      <c r="E159" s="380">
        <f t="shared" si="72"/>
        <v>176.91205408800329</v>
      </c>
      <c r="F159" s="380">
        <f t="shared" si="51"/>
        <v>176.93509023081117</v>
      </c>
      <c r="G159" s="110">
        <f t="shared" si="73"/>
        <v>0.70794598518367269</v>
      </c>
      <c r="H159" s="409" t="b">
        <f>Wh_hp&gt;='2026'!Maxi_hp</f>
        <v>0</v>
      </c>
      <c r="I159" s="385">
        <f>IF(H159,Wh_hp,'2026'!Maxi_hp)</f>
        <v>176.95070353905541</v>
      </c>
      <c r="J159" s="85">
        <f>IF(H159,An,'2026'!An_max)</f>
        <v>2022</v>
      </c>
      <c r="K159" s="193">
        <f t="shared" si="52"/>
        <v>46532</v>
      </c>
      <c r="L159" s="143">
        <f>IF(t&lt;Tvie,1-EXP((T0-t)*PertePVj)+'2026'!Pspv,1-EXP((T0-t)*PertePVj)+Pspv)</f>
        <v>2.8444561841760696E-2</v>
      </c>
      <c r="M159" s="835"/>
      <c r="N159" s="835"/>
      <c r="O159" s="48">
        <f>IF(t&lt;Tnet,'2026'!Resal+('2026'!Salim-'2026'!Resal)*(1-EXP(('2026'!Tnet-t)/('2026'!Tau_j))),Resal+(Salim-Resal)*(1-EXP((Tnet-t)/(Tau_j))))*Salcycl</f>
        <v>3.3939666604999204E-2</v>
      </c>
      <c r="P159" s="165">
        <f>(INDEX(Models!$BJ159:$BT159,,T159)*(1-R159)+INDEX(Models!$BJ159:$BT159,,T159+1)*R159-ERP_i)*Q159*Ramure*Pc/MaxiM</f>
        <v>2.2336798965954627E-4</v>
      </c>
      <c r="Q159" s="301">
        <f t="shared" si="53"/>
        <v>0.5</v>
      </c>
      <c r="R159" s="173">
        <f t="shared" si="54"/>
        <v>0.65977363047938864</v>
      </c>
      <c r="S159" s="801">
        <f t="shared" si="55"/>
        <v>2</v>
      </c>
      <c r="T159" s="172">
        <f t="shared" si="56"/>
        <v>8</v>
      </c>
      <c r="U159" s="247">
        <f t="shared" si="57"/>
        <v>2.6597736304793886</v>
      </c>
      <c r="V159" s="378">
        <f t="shared" si="58"/>
        <v>234.52474242828632</v>
      </c>
      <c r="W159" s="397">
        <f t="shared" si="59"/>
        <v>166.04632280127836</v>
      </c>
      <c r="X159" s="153">
        <f t="shared" si="60"/>
        <v>46532</v>
      </c>
      <c r="Y159" s="380">
        <f t="shared" si="61"/>
        <v>161.36433676641894</v>
      </c>
      <c r="Z159" s="380">
        <f t="shared" si="62"/>
        <v>166.08865580775762</v>
      </c>
      <c r="AA159" s="381">
        <f t="shared" si="63"/>
        <v>176.91205408800329</v>
      </c>
      <c r="AB159" s="193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6.1179541077860521E-2</v>
      </c>
      <c r="AD159" s="227">
        <f>(INDEX(Models!$BJ159:$BT159,,AH159)*(1-AF159)+INDEX(Models!$BJ159:$BT159,,AH159+1)*AF159-ERP_i)*AE159*Ramure*Pc/MaxiM</f>
        <v>2.2336798965954627E-4</v>
      </c>
      <c r="AE159" s="301">
        <f t="shared" si="65"/>
        <v>0.5</v>
      </c>
      <c r="AF159" s="173">
        <f t="shared" si="66"/>
        <v>0.65977363047938864</v>
      </c>
      <c r="AG159" s="801">
        <f t="shared" si="74"/>
        <v>2</v>
      </c>
      <c r="AH159" s="172">
        <f t="shared" si="67"/>
        <v>8</v>
      </c>
      <c r="AI159" s="221">
        <f t="shared" si="68"/>
        <v>2.6597736304793886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46533</v>
      </c>
      <c r="B160" s="406">
        <f>'2026'!Wh/'2026'!Env_an*'2027'!Env_an</f>
        <v>106.78289029867184</v>
      </c>
      <c r="C160" s="831"/>
      <c r="D160" s="388">
        <f t="shared" si="50"/>
        <v>109.91071419373426</v>
      </c>
      <c r="E160" s="380">
        <f t="shared" si="72"/>
        <v>113.78112380009857</v>
      </c>
      <c r="F160" s="380">
        <f t="shared" si="51"/>
        <v>113.78675461917405</v>
      </c>
      <c r="G160" s="110">
        <f t="shared" si="73"/>
        <v>0.45491624464143715</v>
      </c>
      <c r="H160" s="409" t="b">
        <f>Wh_hp&gt;='2026'!Maxi_hp</f>
        <v>0</v>
      </c>
      <c r="I160" s="385">
        <f>IF(H160,Wh_hp,'2026'!Maxi_hp)</f>
        <v>113.80549834136734</v>
      </c>
      <c r="J160" s="85">
        <f>IF(H160,An,'2026'!An_max)</f>
        <v>2022</v>
      </c>
      <c r="K160" s="193">
        <f t="shared" si="52"/>
        <v>46533</v>
      </c>
      <c r="L160" s="143">
        <f>IF(t&lt;Tvie,1-EXP((T0-t)*PertePVj)+'2026'!Pspv,1-EXP((T0-t)*PertePVj)+Pspv)</f>
        <v>2.8457861619833991E-2</v>
      </c>
      <c r="M160" s="835"/>
      <c r="N160" s="835"/>
      <c r="O160" s="48">
        <f>IF(t&lt;Tnet,'2026'!Resal+('2026'!Salim-'2026'!Resal)*(1-EXP(('2026'!Tnet-t)/('2026'!Tau_j))),Resal+(Salim-Resal)*(1-EXP((Tnet-t)/(Tau_j))))*Salcycl</f>
        <v>3.4016271566839132E-2</v>
      </c>
      <c r="P160" s="165">
        <f>(INDEX(Models!$BJ160:$BT160,,T160)*(1-R160)+INDEX(Models!$BJ160:$BT160,,T160+1)*R160-ERP_i)*Q160*Ramure*Pc/MaxiM</f>
        <v>2.2349048464777438E-4</v>
      </c>
      <c r="Q160" s="301">
        <f t="shared" si="53"/>
        <v>0.5</v>
      </c>
      <c r="R160" s="173">
        <f t="shared" si="54"/>
        <v>0.66443074282022119</v>
      </c>
      <c r="S160" s="801">
        <f t="shared" si="55"/>
        <v>2</v>
      </c>
      <c r="T160" s="172">
        <f t="shared" si="56"/>
        <v>8</v>
      </c>
      <c r="U160" s="247">
        <f t="shared" si="57"/>
        <v>2.6644307428202212</v>
      </c>
      <c r="V160" s="378">
        <f t="shared" si="58"/>
        <v>234.69003339553925</v>
      </c>
      <c r="W160" s="397">
        <f t="shared" si="59"/>
        <v>106.78289029867184</v>
      </c>
      <c r="X160" s="153">
        <f t="shared" si="60"/>
        <v>46533</v>
      </c>
      <c r="Y160" s="380">
        <f t="shared" si="61"/>
        <v>103.77290311306146</v>
      </c>
      <c r="Z160" s="380">
        <f t="shared" si="62"/>
        <v>106.81256016962895</v>
      </c>
      <c r="AA160" s="381">
        <f t="shared" si="63"/>
        <v>113.78112380009857</v>
      </c>
      <c r="AB160" s="193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6.1245340156005613E-2</v>
      </c>
      <c r="AD160" s="227">
        <f>(INDEX(Models!$BJ160:$BT160,,AH160)*(1-AF160)+INDEX(Models!$BJ160:$BT160,,AH160+1)*AF160-ERP_i)*AE160*Ramure*Pc/MaxiM</f>
        <v>2.2349048464777438E-4</v>
      </c>
      <c r="AE160" s="301">
        <f t="shared" si="65"/>
        <v>0.5</v>
      </c>
      <c r="AF160" s="173">
        <f t="shared" si="66"/>
        <v>0.66443074282022119</v>
      </c>
      <c r="AG160" s="801">
        <f t="shared" si="74"/>
        <v>2</v>
      </c>
      <c r="AH160" s="172">
        <f t="shared" si="67"/>
        <v>8</v>
      </c>
      <c r="AI160" s="221">
        <f t="shared" si="68"/>
        <v>2.6644307428202212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46534</v>
      </c>
      <c r="B161" s="406">
        <f>'2026'!Wh/'2026'!Env_an*'2027'!Env_an</f>
        <v>179.7812234596737</v>
      </c>
      <c r="C161" s="831"/>
      <c r="D161" s="388">
        <f t="shared" si="50"/>
        <v>185.04980632861654</v>
      </c>
      <c r="E161" s="380">
        <f t="shared" si="72"/>
        <v>191.58136189027675</v>
      </c>
      <c r="F161" s="380">
        <f t="shared" si="51"/>
        <v>191.60990027493096</v>
      </c>
      <c r="G161" s="110">
        <f t="shared" si="73"/>
        <v>0.76546742400558221</v>
      </c>
      <c r="H161" s="409" t="b">
        <f>Wh_hp&gt;='2026'!Maxi_hp</f>
        <v>0</v>
      </c>
      <c r="I161" s="385">
        <f>IF(H161,Wh_hp,'2026'!Maxi_hp)</f>
        <v>191.62350448293552</v>
      </c>
      <c r="J161" s="85">
        <f>IF(H161,An,'2026'!An_max)</f>
        <v>2022</v>
      </c>
      <c r="K161" s="193">
        <f t="shared" si="52"/>
        <v>46534</v>
      </c>
      <c r="L161" s="143">
        <f>IF(t&lt;Tvie,1-EXP((T0-t)*PertePVj)+'2026'!Pspv,1-EXP((T0-t)*PertePVj)+Pspv)</f>
        <v>2.8471161215844476E-2</v>
      </c>
      <c r="M161" s="835"/>
      <c r="N161" s="835"/>
      <c r="O161" s="48">
        <f>IF(t&lt;Tnet,'2026'!Resal+('2026'!Salim-'2026'!Resal)*(1-EXP(('2026'!Tnet-t)/('2026'!Tau_j))),Resal+(Salim-Resal)*(1-EXP((Tnet-t)/(Tau_j))))*Salcycl</f>
        <v>3.4092854843578185E-2</v>
      </c>
      <c r="P161" s="165">
        <f>(INDEX(Models!$BJ161:$BT161,,T161)*(1-R161)+INDEX(Models!$BJ161:$BT161,,T161+1)*R161-ERP_i)*Q161*Ramure*Pc/MaxiM</f>
        <v>2.2395801194619592E-4</v>
      </c>
      <c r="Q161" s="301">
        <f t="shared" si="53"/>
        <v>0.5</v>
      </c>
      <c r="R161" s="173">
        <f t="shared" si="54"/>
        <v>0.66914539021119701</v>
      </c>
      <c r="S161" s="801">
        <f t="shared" si="55"/>
        <v>2</v>
      </c>
      <c r="T161" s="172">
        <f t="shared" si="56"/>
        <v>8</v>
      </c>
      <c r="U161" s="247">
        <f t="shared" si="57"/>
        <v>2.669145390211197</v>
      </c>
      <c r="V161" s="378">
        <f t="shared" si="58"/>
        <v>234.84700849280884</v>
      </c>
      <c r="W161" s="397">
        <f t="shared" si="59"/>
        <v>179.7812234596737</v>
      </c>
      <c r="X161" s="153">
        <f t="shared" si="60"/>
        <v>46534</v>
      </c>
      <c r="Y161" s="380">
        <f t="shared" si="61"/>
        <v>174.7151820984017</v>
      </c>
      <c r="Z161" s="380">
        <f t="shared" si="62"/>
        <v>179.83530197318018</v>
      </c>
      <c r="AA161" s="381">
        <f t="shared" si="63"/>
        <v>191.58136189027675</v>
      </c>
      <c r="AB161" s="193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6.1311078495327784E-2</v>
      </c>
      <c r="AD161" s="227">
        <f>(INDEX(Models!$BJ161:$BT161,,AH161)*(1-AF161)+INDEX(Models!$BJ161:$BT161,,AH161+1)*AF161-ERP_i)*AE161*Ramure*Pc/MaxiM</f>
        <v>2.2395801194619592E-4</v>
      </c>
      <c r="AE161" s="301">
        <f t="shared" si="65"/>
        <v>0.5</v>
      </c>
      <c r="AF161" s="173">
        <f t="shared" si="66"/>
        <v>0.66914539021119701</v>
      </c>
      <c r="AG161" s="801">
        <f t="shared" si="74"/>
        <v>2</v>
      </c>
      <c r="AH161" s="172">
        <f t="shared" si="67"/>
        <v>8</v>
      </c>
      <c r="AI161" s="221">
        <f t="shared" si="68"/>
        <v>2.669145390211197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46535</v>
      </c>
      <c r="B162" s="406">
        <f>'2026'!Wh/'2026'!Env_an*'2027'!Env_an</f>
        <v>221.18807490011756</v>
      </c>
      <c r="C162" s="831"/>
      <c r="D162" s="388">
        <f t="shared" si="50"/>
        <v>227.67322388224991</v>
      </c>
      <c r="E162" s="380">
        <f t="shared" si="72"/>
        <v>235.72790180122041</v>
      </c>
      <c r="F162" s="380">
        <f t="shared" si="51"/>
        <v>235.77645034512867</v>
      </c>
      <c r="G162" s="110">
        <f t="shared" si="73"/>
        <v>0.94122335468237017</v>
      </c>
      <c r="H162" s="409" t="b">
        <f>Wh_hp&gt;='2026'!Maxi_hp</f>
        <v>0</v>
      </c>
      <c r="I162" s="385">
        <f>IF(H162,Wh_hp,'2026'!Maxi_hp)</f>
        <v>235.7806603297476</v>
      </c>
      <c r="J162" s="85">
        <f>IF(H162,An,'2026'!An_max)</f>
        <v>2022</v>
      </c>
      <c r="K162" s="193">
        <f t="shared" si="52"/>
        <v>46535</v>
      </c>
      <c r="L162" s="143">
        <f>IF(t&lt;Tvie,1-EXP((T0-t)*PertePVj)+'2026'!Pspv,1-EXP((T0-t)*PertePVj)+Pspv)</f>
        <v>2.8484460629794595E-2</v>
      </c>
      <c r="M162" s="835"/>
      <c r="N162" s="835"/>
      <c r="O162" s="48">
        <f>IF(t&lt;Tnet,'2026'!Resal+('2026'!Salim-'2026'!Resal)*(1-EXP(('2026'!Tnet-t)/('2026'!Tau_j))),Resal+(Salim-Resal)*(1-EXP((Tnet-t)/(Tau_j))))*Salcycl</f>
        <v>3.4169387066290767E-2</v>
      </c>
      <c r="P162" s="165">
        <f>(INDEX(Models!$BJ162:$BT162,,T162)*(1-R162)+INDEX(Models!$BJ162:$BT162,,T162+1)*R162-ERP_i)*Q162*Ramure*Pc/MaxiM</f>
        <v>2.2477730577604821E-4</v>
      </c>
      <c r="Q162" s="301">
        <f t="shared" si="53"/>
        <v>0.5</v>
      </c>
      <c r="R162" s="173">
        <f t="shared" si="54"/>
        <v>0.67391459259273923</v>
      </c>
      <c r="S162" s="801">
        <f t="shared" si="55"/>
        <v>2</v>
      </c>
      <c r="T162" s="172">
        <f t="shared" si="56"/>
        <v>8</v>
      </c>
      <c r="U162" s="247">
        <f t="shared" si="57"/>
        <v>2.6739145925927392</v>
      </c>
      <c r="V162" s="378">
        <f t="shared" si="58"/>
        <v>234.99618825189654</v>
      </c>
      <c r="W162" s="397">
        <f t="shared" si="59"/>
        <v>221.18807490011756</v>
      </c>
      <c r="X162" s="153">
        <f t="shared" si="60"/>
        <v>46535</v>
      </c>
      <c r="Y162" s="380">
        <f t="shared" si="61"/>
        <v>214.95723700817405</v>
      </c>
      <c r="Z162" s="380">
        <f t="shared" si="62"/>
        <v>221.25970022828685</v>
      </c>
      <c r="AA162" s="381">
        <f t="shared" si="63"/>
        <v>235.72790180122041</v>
      </c>
      <c r="AB162" s="193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6.1376703658670026E-2</v>
      </c>
      <c r="AD162" s="227">
        <f>(INDEX(Models!$BJ162:$BT162,,AH162)*(1-AF162)+INDEX(Models!$BJ162:$BT162,,AH162+1)*AF162-ERP_i)*AE162*Ramure*Pc/MaxiM</f>
        <v>2.2477730577604821E-4</v>
      </c>
      <c r="AE162" s="301">
        <f t="shared" si="65"/>
        <v>0.5</v>
      </c>
      <c r="AF162" s="173">
        <f t="shared" si="66"/>
        <v>0.67391459259273923</v>
      </c>
      <c r="AG162" s="801">
        <f t="shared" si="74"/>
        <v>2</v>
      </c>
      <c r="AH162" s="172">
        <f t="shared" si="67"/>
        <v>8</v>
      </c>
      <c r="AI162" s="221">
        <f t="shared" si="68"/>
        <v>2.6739145925927392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46536</v>
      </c>
      <c r="B163" s="406">
        <f>'2026'!Wh/'2026'!Env_an*'2027'!Env_an</f>
        <v>240.94477853167052</v>
      </c>
      <c r="C163" s="831"/>
      <c r="D163" s="388">
        <f t="shared" si="50"/>
        <v>248.01258152257802</v>
      </c>
      <c r="E163" s="380">
        <f t="shared" si="72"/>
        <v>256.80715799581486</v>
      </c>
      <c r="F163" s="380">
        <f t="shared" si="51"/>
        <v>256.86519806358928</v>
      </c>
      <c r="G163" s="110">
        <f t="shared" si="73"/>
        <v>1.024695533351327</v>
      </c>
      <c r="H163" s="409" t="b">
        <f>Wh_hp&gt;='2026'!Maxi_hp</f>
        <v>1</v>
      </c>
      <c r="I163" s="385">
        <f>IF(H163,Wh_hp,'2026'!Maxi_hp)</f>
        <v>256.86519806358928</v>
      </c>
      <c r="J163" s="85">
        <f>IF(H163,An,'2026'!An_max)</f>
        <v>2027</v>
      </c>
      <c r="K163" s="193">
        <f t="shared" si="52"/>
        <v>46536</v>
      </c>
      <c r="L163" s="143">
        <f>IF(t&lt;Tvie,1-EXP((T0-t)*PertePVj)+'2026'!Pspv,1-EXP((T0-t)*PertePVj)+Pspv)</f>
        <v>2.8497759861687011E-2</v>
      </c>
      <c r="M163" s="835"/>
      <c r="N163" s="835"/>
      <c r="O163" s="48">
        <f>IF(t&lt;Tnet,'2026'!Resal+('2026'!Salim-'2026'!Resal)*(1-EXP(('2026'!Tnet-t)/('2026'!Tau_j))),Resal+(Salim-Resal)*(1-EXP((Tnet-t)/(Tau_j))))*Salcycl</f>
        <v>3.4245838557896306E-2</v>
      </c>
      <c r="P163" s="165">
        <f>(INDEX(Models!$BJ163:$BT163,,T163)*(1-R163)+INDEX(Models!$BJ163:$BT163,,T163+1)*R163-ERP_i)*Q163*Ramure*Pc/MaxiM</f>
        <v>2.2595535795415152E-4</v>
      </c>
      <c r="Q163" s="301">
        <f t="shared" si="53"/>
        <v>0.5</v>
      </c>
      <c r="R163" s="173">
        <f t="shared" si="54"/>
        <v>0.67873520742396121</v>
      </c>
      <c r="S163" s="801">
        <f t="shared" si="55"/>
        <v>2</v>
      </c>
      <c r="T163" s="172">
        <f t="shared" si="56"/>
        <v>8</v>
      </c>
      <c r="U163" s="247">
        <f t="shared" si="57"/>
        <v>2.6787352074239612</v>
      </c>
      <c r="V163" s="378">
        <f t="shared" si="58"/>
        <v>235.13792213346187</v>
      </c>
      <c r="W163" s="397">
        <f t="shared" si="59"/>
        <v>240.94477853167052</v>
      </c>
      <c r="X163" s="153">
        <f t="shared" si="60"/>
        <v>46536</v>
      </c>
      <c r="Y163" s="380">
        <f t="shared" si="61"/>
        <v>234.15960213059088</v>
      </c>
      <c r="Z163" s="380">
        <f t="shared" si="62"/>
        <v>241.02837076037369</v>
      </c>
      <c r="AA163" s="381">
        <f t="shared" si="63"/>
        <v>256.80715799581486</v>
      </c>
      <c r="AB163" s="193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6.1442162899907692E-2</v>
      </c>
      <c r="AD163" s="227">
        <f>(INDEX(Models!$BJ163:$BT163,,AH163)*(1-AF163)+INDEX(Models!$BJ163:$BT163,,AH163+1)*AF163-ERP_i)*AE163*Ramure*Pc/MaxiM</f>
        <v>2.2595535795415152E-4</v>
      </c>
      <c r="AE163" s="301">
        <f t="shared" si="65"/>
        <v>0.5</v>
      </c>
      <c r="AF163" s="173">
        <f t="shared" si="66"/>
        <v>0.67873520742396121</v>
      </c>
      <c r="AG163" s="801">
        <f t="shared" si="74"/>
        <v>2</v>
      </c>
      <c r="AH163" s="172">
        <f t="shared" si="67"/>
        <v>8</v>
      </c>
      <c r="AI163" s="221">
        <f t="shared" si="68"/>
        <v>2.6787352074239612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46537</v>
      </c>
      <c r="B164" s="406">
        <f>'2026'!Wh/'2026'!Env_an*'2027'!Env_an</f>
        <v>203.1032436533859</v>
      </c>
      <c r="C164" s="831"/>
      <c r="D164" s="388">
        <f t="shared" si="50"/>
        <v>209.06387614235206</v>
      </c>
      <c r="E164" s="380">
        <f t="shared" si="72"/>
        <v>216.49443705777279</v>
      </c>
      <c r="F164" s="380">
        <f t="shared" si="51"/>
        <v>216.53399949200377</v>
      </c>
      <c r="G164" s="110">
        <f t="shared" si="73"/>
        <v>0.86323171401265231</v>
      </c>
      <c r="H164" s="409" t="b">
        <f>Wh_hp&gt;='2026'!Maxi_hp</f>
        <v>0</v>
      </c>
      <c r="I164" s="385">
        <f>IF(H164,Wh_hp,'2026'!Maxi_hp)</f>
        <v>216.54308989818958</v>
      </c>
      <c r="J164" s="85">
        <f>IF(H164,An,'2026'!An_max)</f>
        <v>2022</v>
      </c>
      <c r="K164" s="193">
        <f t="shared" si="52"/>
        <v>46537</v>
      </c>
      <c r="L164" s="143">
        <f>IF(t&lt;Tvie,1-EXP((T0-t)*PertePVj)+'2026'!Pspv,1-EXP((T0-t)*PertePVj)+Pspv)</f>
        <v>2.8511058911524056E-2</v>
      </c>
      <c r="M164" s="835"/>
      <c r="N164" s="835"/>
      <c r="O164" s="48">
        <f>IF(t&lt;Tnet,'2026'!Resal+('2026'!Salim-'2026'!Resal)*(1-EXP(('2026'!Tnet-t)/('2026'!Tau_j))),Resal+(Salim-Resal)*(1-EXP((Tnet-t)/(Tau_j))))*Salcycl</f>
        <v>3.4322179435205713E-2</v>
      </c>
      <c r="P164" s="165">
        <f>(INDEX(Models!$BJ164:$BT164,,T164)*(1-R164)+INDEX(Models!$BJ164:$BT164,,T164+1)*R164-ERP_i)*Q164*Ramure*Pc/MaxiM</f>
        <v>2.270587907093255E-4</v>
      </c>
      <c r="Q164" s="301">
        <f t="shared" si="53"/>
        <v>0.5</v>
      </c>
      <c r="R164" s="173">
        <f t="shared" si="54"/>
        <v>0.6836039363640487</v>
      </c>
      <c r="S164" s="801">
        <f t="shared" si="55"/>
        <v>2</v>
      </c>
      <c r="T164" s="172">
        <f t="shared" si="56"/>
        <v>8</v>
      </c>
      <c r="U164" s="247">
        <f t="shared" si="57"/>
        <v>2.6836039363640487</v>
      </c>
      <c r="V164" s="378">
        <f t="shared" si="58"/>
        <v>235.27197954500954</v>
      </c>
      <c r="W164" s="397">
        <f t="shared" si="59"/>
        <v>203.1032436533859</v>
      </c>
      <c r="X164" s="153">
        <f t="shared" si="60"/>
        <v>46537</v>
      </c>
      <c r="Y164" s="380">
        <f t="shared" si="61"/>
        <v>197.38559431066724</v>
      </c>
      <c r="Z164" s="380">
        <f t="shared" si="62"/>
        <v>203.1784263951707</v>
      </c>
      <c r="AA164" s="381">
        <f t="shared" si="63"/>
        <v>216.49443705777279</v>
      </c>
      <c r="AB164" s="193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6.1507403347498643E-2</v>
      </c>
      <c r="AD164" s="227">
        <f>(INDEX(Models!$BJ164:$BT164,,AH164)*(1-AF164)+INDEX(Models!$BJ164:$BT164,,AH164+1)*AF164-ERP_i)*AE164*Ramure*Pc/MaxiM</f>
        <v>2.270587907093255E-4</v>
      </c>
      <c r="AE164" s="301">
        <f t="shared" si="65"/>
        <v>0.5</v>
      </c>
      <c r="AF164" s="173">
        <f t="shared" si="66"/>
        <v>0.6836039363640487</v>
      </c>
      <c r="AG164" s="801">
        <f t="shared" si="74"/>
        <v>2</v>
      </c>
      <c r="AH164" s="172">
        <f t="shared" si="67"/>
        <v>8</v>
      </c>
      <c r="AI164" s="221">
        <f t="shared" si="68"/>
        <v>2.6836039363640487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46538</v>
      </c>
      <c r="B165" s="406">
        <f>'2026'!Wh/'2026'!Env_an*'2027'!Env_an</f>
        <v>222.5796167427776</v>
      </c>
      <c r="C165" s="831"/>
      <c r="D165" s="388">
        <f t="shared" si="50"/>
        <v>229.11497424061389</v>
      </c>
      <c r="E165" s="380">
        <f t="shared" si="72"/>
        <v>237.27691568378873</v>
      </c>
      <c r="F165" s="380">
        <f t="shared" si="51"/>
        <v>237.32677933818334</v>
      </c>
      <c r="G165" s="110">
        <f t="shared" si="73"/>
        <v>0.94552947899316453</v>
      </c>
      <c r="H165" s="409" t="b">
        <f>Wh_hp&gt;='2026'!Maxi_hp</f>
        <v>0</v>
      </c>
      <c r="I165" s="385">
        <f>IF(H165,Wh_hp,'2026'!Maxi_hp)</f>
        <v>237.33076111913962</v>
      </c>
      <c r="J165" s="85">
        <f>IF(H165,An,'2026'!An_max)</f>
        <v>2022</v>
      </c>
      <c r="K165" s="193">
        <f t="shared" si="52"/>
        <v>46538</v>
      </c>
      <c r="L165" s="143">
        <f>IF(t&lt;Tvie,1-EXP((T0-t)*PertePVj)+'2026'!Pspv,1-EXP((T0-t)*PertePVj)+Pspv)</f>
        <v>2.8524357779308396E-2</v>
      </c>
      <c r="M165" s="835"/>
      <c r="N165" s="835"/>
      <c r="O165" s="48">
        <f>IF(t&lt;Tnet,'2026'!Resal+('2026'!Salim-'2026'!Resal)*(1-EXP(('2026'!Tnet-t)/('2026'!Tau_j))),Resal+(Salim-Resal)*(1-EXP((Tnet-t)/(Tau_j))))*Salcycl</f>
        <v>3.4398379714493554E-2</v>
      </c>
      <c r="P165" s="165">
        <f>(INDEX(Models!$BJ165:$BT165,,T165)*(1-R165)+INDEX(Models!$BJ165:$BT165,,T165+1)*R165-ERP_i)*Q165*Ramure*Pc/MaxiM</f>
        <v>2.2782849534822461E-4</v>
      </c>
      <c r="Q165" s="301">
        <f t="shared" si="53"/>
        <v>0.5</v>
      </c>
      <c r="R165" s="173">
        <f t="shared" si="54"/>
        <v>0.68851733291367534</v>
      </c>
      <c r="S165" s="801">
        <f t="shared" si="55"/>
        <v>2</v>
      </c>
      <c r="T165" s="172">
        <f t="shared" si="56"/>
        <v>8</v>
      </c>
      <c r="U165" s="247">
        <f t="shared" si="57"/>
        <v>2.6885173329136753</v>
      </c>
      <c r="V165" s="378">
        <f t="shared" si="58"/>
        <v>235.39791838799766</v>
      </c>
      <c r="W165" s="397">
        <f t="shared" si="59"/>
        <v>222.5796167427776</v>
      </c>
      <c r="X165" s="153">
        <f t="shared" si="60"/>
        <v>46538</v>
      </c>
      <c r="Y165" s="380">
        <f t="shared" si="61"/>
        <v>216.31577386577175</v>
      </c>
      <c r="Z165" s="380">
        <f t="shared" si="62"/>
        <v>222.66721311848491</v>
      </c>
      <c r="AA165" s="381">
        <f t="shared" si="63"/>
        <v>237.27691568378873</v>
      </c>
      <c r="AB165" s="193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6.1572372193061088E-2</v>
      </c>
      <c r="AD165" s="227">
        <f>(INDEX(Models!$BJ165:$BT165,,AH165)*(1-AF165)+INDEX(Models!$BJ165:$BT165,,AH165+1)*AF165-ERP_i)*AE165*Ramure*Pc/MaxiM</f>
        <v>2.2782849534822461E-4</v>
      </c>
      <c r="AE165" s="301">
        <f t="shared" si="65"/>
        <v>0.5</v>
      </c>
      <c r="AF165" s="173">
        <f t="shared" si="66"/>
        <v>0.68851733291367534</v>
      </c>
      <c r="AG165" s="801">
        <f t="shared" si="74"/>
        <v>2</v>
      </c>
      <c r="AH165" s="172">
        <f t="shared" si="67"/>
        <v>8</v>
      </c>
      <c r="AI165" s="221">
        <f t="shared" si="68"/>
        <v>2.6885173329136753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46539</v>
      </c>
      <c r="B166" s="406">
        <f>'2026'!Wh/'2026'!Env_an*'2027'!Env_an</f>
        <v>232.36589768499155</v>
      </c>
      <c r="C166" s="831"/>
      <c r="D166" s="388">
        <f t="shared" si="50"/>
        <v>239.19187319135642</v>
      </c>
      <c r="E166" s="380">
        <f t="shared" si="72"/>
        <v>247.73229785413815</v>
      </c>
      <c r="F166" s="380">
        <f t="shared" si="51"/>
        <v>247.787776109101</v>
      </c>
      <c r="G166" s="110">
        <f t="shared" si="73"/>
        <v>0.98662356656276295</v>
      </c>
      <c r="H166" s="409" t="b">
        <f>Wh_hp&gt;='2026'!Maxi_hp</f>
        <v>0</v>
      </c>
      <c r="I166" s="385">
        <f>IF(H166,Wh_hp,'2026'!Maxi_hp)</f>
        <v>247.7887989555031</v>
      </c>
      <c r="J166" s="85">
        <f>IF(H166,An,'2026'!An_max)</f>
        <v>2022</v>
      </c>
      <c r="K166" s="193">
        <f t="shared" si="52"/>
        <v>46539</v>
      </c>
      <c r="L166" s="143">
        <f>IF(t&lt;Tvie,1-EXP((T0-t)*PertePVj)+'2026'!Pspv,1-EXP((T0-t)*PertePVj)+Pspv)</f>
        <v>2.8537656465042249E-2</v>
      </c>
      <c r="M166" s="835"/>
      <c r="N166" s="835"/>
      <c r="O166" s="48">
        <f>IF(t&lt;Tnet,'2026'!Resal+('2026'!Salim-'2026'!Resal)*(1-EXP(('2026'!Tnet-t)/('2026'!Tau_j))),Resal+(Salim-Resal)*(1-EXP((Tnet-t)/(Tau_j))))*Salcycl</f>
        <v>3.4474409420003162E-2</v>
      </c>
      <c r="P166" s="165">
        <f>(INDEX(Models!$BJ166:$BT166,,T166)*(1-R166)+INDEX(Models!$BJ166:$BT166,,T166+1)*R166-ERP_i)*Q166*Ramure*Pc/MaxiM</f>
        <v>2.2825459399774804E-4</v>
      </c>
      <c r="Q166" s="301">
        <f t="shared" si="53"/>
        <v>0.5</v>
      </c>
      <c r="R166" s="173">
        <f t="shared" si="54"/>
        <v>0.69347181099075783</v>
      </c>
      <c r="S166" s="801">
        <f t="shared" si="55"/>
        <v>2</v>
      </c>
      <c r="T166" s="172">
        <f t="shared" si="56"/>
        <v>8</v>
      </c>
      <c r="U166" s="247">
        <f t="shared" si="57"/>
        <v>2.6934718109907578</v>
      </c>
      <c r="V166" s="378">
        <f t="shared" si="58"/>
        <v>235.51523816651249</v>
      </c>
      <c r="W166" s="397">
        <f t="shared" si="59"/>
        <v>232.36589768499155</v>
      </c>
      <c r="X166" s="153">
        <f t="shared" si="60"/>
        <v>46539</v>
      </c>
      <c r="Y166" s="380">
        <f t="shared" si="61"/>
        <v>225.82887398682223</v>
      </c>
      <c r="Z166" s="380">
        <f t="shared" si="62"/>
        <v>232.46281802861859</v>
      </c>
      <c r="AA166" s="381">
        <f t="shared" si="63"/>
        <v>247.73229785413815</v>
      </c>
      <c r="AB166" s="193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6.1637016883886661E-2</v>
      </c>
      <c r="AD166" s="227">
        <f>(INDEX(Models!$BJ166:$BT166,,AH166)*(1-AF166)+INDEX(Models!$BJ166:$BT166,,AH166+1)*AF166-ERP_i)*AE166*Ramure*Pc/MaxiM</f>
        <v>2.2825459399774804E-4</v>
      </c>
      <c r="AE166" s="301">
        <f t="shared" si="65"/>
        <v>0.5</v>
      </c>
      <c r="AF166" s="173">
        <f t="shared" si="66"/>
        <v>0.69347181099075783</v>
      </c>
      <c r="AG166" s="801">
        <f t="shared" si="74"/>
        <v>2</v>
      </c>
      <c r="AH166" s="172">
        <f t="shared" si="67"/>
        <v>8</v>
      </c>
      <c r="AI166" s="221">
        <f t="shared" si="68"/>
        <v>2.6934718109907578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46540</v>
      </c>
      <c r="B167" s="406">
        <f>'2026'!Wh/'2026'!Env_an*'2027'!Env_an</f>
        <v>163.43929004897709</v>
      </c>
      <c r="C167" s="831"/>
      <c r="D167" s="388">
        <f t="shared" si="50"/>
        <v>168.24278214583643</v>
      </c>
      <c r="E167" s="380">
        <f t="shared" si="72"/>
        <v>174.26363223538334</v>
      </c>
      <c r="F167" s="380">
        <f t="shared" si="51"/>
        <v>174.28601058806404</v>
      </c>
      <c r="G167" s="110">
        <f t="shared" si="73"/>
        <v>0.69357682307395419</v>
      </c>
      <c r="H167" s="409" t="b">
        <f>Wh_hp&gt;='2026'!Maxi_hp</f>
        <v>0</v>
      </c>
      <c r="I167" s="385">
        <f>IF(H167,Wh_hp,'2026'!Maxi_hp)</f>
        <v>174.30249761857024</v>
      </c>
      <c r="J167" s="85">
        <f>IF(H167,An,'2026'!An_max)</f>
        <v>2022</v>
      </c>
      <c r="K167" s="193">
        <f t="shared" si="52"/>
        <v>46540</v>
      </c>
      <c r="L167" s="143">
        <f>IF(t&lt;Tvie,1-EXP((T0-t)*PertePVj)+'2026'!Pspv,1-EXP((T0-t)*PertePVj)+Pspv)</f>
        <v>2.8550954968728393E-2</v>
      </c>
      <c r="M167" s="835"/>
      <c r="N167" s="835"/>
      <c r="O167" s="48">
        <f>IF(t&lt;Tnet,'2026'!Resal+('2026'!Salim-'2026'!Resal)*(1-EXP(('2026'!Tnet-t)/('2026'!Tau_j))),Resal+(Salim-Resal)*(1-EXP((Tnet-t)/(Tau_j))))*Salcycl</f>
        <v>3.4550238694751711E-2</v>
      </c>
      <c r="P167" s="165">
        <f>(INDEX(Models!$BJ167:$BT167,,T167)*(1-R167)+INDEX(Models!$BJ167:$BT167,,T167+1)*R167-ERP_i)*Q167*Ramure*Pc/MaxiM</f>
        <v>2.2832718440078938E-4</v>
      </c>
      <c r="Q167" s="301">
        <f t="shared" si="53"/>
        <v>0.5</v>
      </c>
      <c r="R167" s="173">
        <f t="shared" si="54"/>
        <v>0.69846365440517033</v>
      </c>
      <c r="S167" s="801">
        <f t="shared" si="55"/>
        <v>2</v>
      </c>
      <c r="T167" s="172">
        <f t="shared" si="56"/>
        <v>8</v>
      </c>
      <c r="U167" s="247">
        <f t="shared" si="57"/>
        <v>2.6984636544051703</v>
      </c>
      <c r="V167" s="378">
        <f t="shared" si="58"/>
        <v>235.62343854921031</v>
      </c>
      <c r="W167" s="397">
        <f t="shared" si="59"/>
        <v>163.43929004897709</v>
      </c>
      <c r="X167" s="153">
        <f t="shared" si="60"/>
        <v>46540</v>
      </c>
      <c r="Y167" s="380">
        <f t="shared" si="61"/>
        <v>158.84293717585666</v>
      </c>
      <c r="Z167" s="380">
        <f t="shared" si="62"/>
        <v>163.51134214223597</v>
      </c>
      <c r="AA167" s="381">
        <f t="shared" si="63"/>
        <v>174.26363223538334</v>
      </c>
      <c r="AB167" s="193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6.1701285318235002E-2</v>
      </c>
      <c r="AD167" s="227">
        <f>(INDEX(Models!$BJ167:$BT167,,AH167)*(1-AF167)+INDEX(Models!$BJ167:$BT167,,AH167+1)*AF167-ERP_i)*AE167*Ramure*Pc/MaxiM</f>
        <v>2.2832718440078938E-4</v>
      </c>
      <c r="AE167" s="301">
        <f t="shared" si="65"/>
        <v>0.5</v>
      </c>
      <c r="AF167" s="173">
        <f t="shared" si="66"/>
        <v>0.69846365440517033</v>
      </c>
      <c r="AG167" s="801">
        <f t="shared" si="74"/>
        <v>2</v>
      </c>
      <c r="AH167" s="172">
        <f t="shared" si="67"/>
        <v>8</v>
      </c>
      <c r="AI167" s="221">
        <f t="shared" si="68"/>
        <v>2.6984636544051703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46541</v>
      </c>
      <c r="B168" s="406">
        <f>'2026'!Wh/'2026'!Env_an*'2027'!Env_an</f>
        <v>224.54302954880322</v>
      </c>
      <c r="C168" s="831"/>
      <c r="D168" s="388">
        <f t="shared" si="50"/>
        <v>231.14552898568672</v>
      </c>
      <c r="E168" s="380">
        <f t="shared" si="72"/>
        <v>239.43620832566666</v>
      </c>
      <c r="F168" s="380">
        <f t="shared" si="51"/>
        <v>239.48712019313837</v>
      </c>
      <c r="G168" s="110">
        <f t="shared" si="73"/>
        <v>0.95256081900742406</v>
      </c>
      <c r="H168" s="409" t="b">
        <f>Wh_hp&gt;='2026'!Maxi_hp</f>
        <v>0</v>
      </c>
      <c r="I168" s="385">
        <f>IF(H168,Wh_hp,'2026'!Maxi_hp)</f>
        <v>239.49062250139852</v>
      </c>
      <c r="J168" s="85">
        <f>IF(H168,An,'2026'!An_max)</f>
        <v>2022</v>
      </c>
      <c r="K168" s="193">
        <f t="shared" si="52"/>
        <v>46541</v>
      </c>
      <c r="L168" s="143">
        <f>IF(t&lt;Tvie,1-EXP((T0-t)*PertePVj)+'2026'!Pspv,1-EXP((T0-t)*PertePVj)+Pspv)</f>
        <v>2.8564253290369046E-2</v>
      </c>
      <c r="M168" s="835"/>
      <c r="N168" s="835"/>
      <c r="O168" s="48">
        <f>IF(t&lt;Tnet,'2026'!Resal+('2026'!Salim-'2026'!Resal)*(1-EXP(('2026'!Tnet-t)/('2026'!Tau_j))),Resal+(Salim-Resal)*(1-EXP((Tnet-t)/(Tau_j))))*Salcycl</f>
        <v>3.4625837912967056E-2</v>
      </c>
      <c r="P168" s="165">
        <f>(INDEX(Models!$BJ168:$BT168,,T168)*(1-R168)+INDEX(Models!$BJ168:$BT168,,T168+1)*R168-ERP_i)*Q168*Ramure*Pc/MaxiM</f>
        <v>2.2803636797343092E-4</v>
      </c>
      <c r="Q168" s="301">
        <f t="shared" si="53"/>
        <v>0.5</v>
      </c>
      <c r="R168" s="173">
        <f t="shared" si="54"/>
        <v>0.70348902718744233</v>
      </c>
      <c r="S168" s="801">
        <f t="shared" si="55"/>
        <v>2</v>
      </c>
      <c r="T168" s="172">
        <f t="shared" si="56"/>
        <v>8</v>
      </c>
      <c r="U168" s="247">
        <f t="shared" si="57"/>
        <v>2.7034890271874423</v>
      </c>
      <c r="V168" s="378">
        <f t="shared" si="58"/>
        <v>235.7220193195858</v>
      </c>
      <c r="W168" s="397">
        <f t="shared" si="59"/>
        <v>224.54302954880322</v>
      </c>
      <c r="X168" s="153">
        <f t="shared" si="60"/>
        <v>46541</v>
      </c>
      <c r="Y168" s="380">
        <f t="shared" si="61"/>
        <v>218.23051548362224</v>
      </c>
      <c r="Z168" s="380">
        <f t="shared" si="62"/>
        <v>224.64740073936449</v>
      </c>
      <c r="AA168" s="381">
        <f t="shared" si="63"/>
        <v>239.43620832566666</v>
      </c>
      <c r="AB168" s="193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6.1765126042203813E-2</v>
      </c>
      <c r="AD168" s="227">
        <f>(INDEX(Models!$BJ168:$BT168,,AH168)*(1-AF168)+INDEX(Models!$BJ168:$BT168,,AH168+1)*AF168-ERP_i)*AE168*Ramure*Pc/MaxiM</f>
        <v>2.2803636797343092E-4</v>
      </c>
      <c r="AE168" s="301">
        <f t="shared" si="65"/>
        <v>0.5</v>
      </c>
      <c r="AF168" s="173">
        <f t="shared" si="66"/>
        <v>0.70348902718744233</v>
      </c>
      <c r="AG168" s="801">
        <f t="shared" si="74"/>
        <v>2</v>
      </c>
      <c r="AH168" s="172">
        <f t="shared" si="67"/>
        <v>8</v>
      </c>
      <c r="AI168" s="221">
        <f t="shared" si="68"/>
        <v>2.7034890271874423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46542</v>
      </c>
      <c r="B169" s="406">
        <f>'2026'!Wh/'2026'!Env_an*'2027'!Env_an</f>
        <v>97.83131994067503</v>
      </c>
      <c r="C169" s="831"/>
      <c r="D169" s="388">
        <f t="shared" si="50"/>
        <v>100.70934646886745</v>
      </c>
      <c r="E169" s="380">
        <f t="shared" si="72"/>
        <v>104.32971029495256</v>
      </c>
      <c r="F169" s="380">
        <f t="shared" si="51"/>
        <v>104.33360325848589</v>
      </c>
      <c r="G169" s="110">
        <f t="shared" si="73"/>
        <v>0.41479380100525876</v>
      </c>
      <c r="H169" s="409" t="b">
        <f>Wh_hp&gt;='2026'!Maxi_hp</f>
        <v>0</v>
      </c>
      <c r="I169" s="385">
        <f>IF(H169,Wh_hp,'2026'!Maxi_hp)</f>
        <v>104.35237094994316</v>
      </c>
      <c r="J169" s="85">
        <f>IF(H169,An,'2026'!An_max)</f>
        <v>2022</v>
      </c>
      <c r="K169" s="193">
        <f t="shared" si="52"/>
        <v>46542</v>
      </c>
      <c r="L169" s="143">
        <f>IF(t&lt;Tvie,1-EXP((T0-t)*PertePVj)+'2026'!Pspv,1-EXP((T0-t)*PertePVj)+Pspv)</f>
        <v>2.8577551429966985E-2</v>
      </c>
      <c r="M169" s="835"/>
      <c r="N169" s="835"/>
      <c r="O169" s="48">
        <f>IF(t&lt;Tnet,'2026'!Resal+('2026'!Salim-'2026'!Resal)*(1-EXP(('2026'!Tnet-t)/('2026'!Tau_j))),Resal+(Salim-Resal)*(1-EXP((Tnet-t)/(Tau_j))))*Salcycl</f>
        <v>3.4701177793457924E-2</v>
      </c>
      <c r="P169" s="165">
        <f>(INDEX(Models!$BJ169:$BT169,,T169)*(1-R169)+INDEX(Models!$BJ169:$BT169,,T169+1)*R169-ERP_i)*Q169*Ramure*Pc/MaxiM</f>
        <v>2.2737227765504351E-4</v>
      </c>
      <c r="Q169" s="301">
        <f t="shared" si="53"/>
        <v>0.5</v>
      </c>
      <c r="R169" s="173">
        <f t="shared" si="54"/>
        <v>0.70854398471710223</v>
      </c>
      <c r="S169" s="801">
        <f t="shared" si="55"/>
        <v>2</v>
      </c>
      <c r="T169" s="172">
        <f t="shared" si="56"/>
        <v>8</v>
      </c>
      <c r="U169" s="247">
        <f t="shared" si="57"/>
        <v>2.7085439847171022</v>
      </c>
      <c r="V169" s="378">
        <f t="shared" si="58"/>
        <v>235.81048035401335</v>
      </c>
      <c r="W169" s="397">
        <f t="shared" si="59"/>
        <v>97.83131994067503</v>
      </c>
      <c r="X169" s="153">
        <f t="shared" si="60"/>
        <v>46542</v>
      </c>
      <c r="Y169" s="380">
        <f t="shared" si="61"/>
        <v>95.082015221123953</v>
      </c>
      <c r="Z169" s="380">
        <f t="shared" si="62"/>
        <v>97.87916200730993</v>
      </c>
      <c r="AA169" s="381">
        <f t="shared" si="63"/>
        <v>104.32971029495256</v>
      </c>
      <c r="AB169" s="193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6.1828488446926254E-2</v>
      </c>
      <c r="AD169" s="227">
        <f>(INDEX(Models!$BJ169:$BT169,,AH169)*(1-AF169)+INDEX(Models!$BJ169:$BT169,,AH169+1)*AF169-ERP_i)*AE169*Ramure*Pc/MaxiM</f>
        <v>2.2737227765504351E-4</v>
      </c>
      <c r="AE169" s="301">
        <f t="shared" si="65"/>
        <v>0.5</v>
      </c>
      <c r="AF169" s="173">
        <f t="shared" si="66"/>
        <v>0.70854398471710223</v>
      </c>
      <c r="AG169" s="801">
        <f t="shared" si="74"/>
        <v>2</v>
      </c>
      <c r="AH169" s="172">
        <f t="shared" si="67"/>
        <v>8</v>
      </c>
      <c r="AI169" s="221">
        <f t="shared" si="68"/>
        <v>2.7085439847171022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46543</v>
      </c>
      <c r="B170" s="406">
        <f>'2026'!Wh/'2026'!Env_an*'2027'!Env_an</f>
        <v>126.75304555908322</v>
      </c>
      <c r="C170" s="831"/>
      <c r="D170" s="388">
        <f t="shared" si="50"/>
        <v>130.48368494281235</v>
      </c>
      <c r="E170" s="380">
        <f t="shared" ref="E170:E232" si="75">Wh_pvt/(1-Psa)</f>
        <v>135.18490626997678</v>
      </c>
      <c r="F170" s="380">
        <f t="shared" si="51"/>
        <v>135.19528307417045</v>
      </c>
      <c r="G170" s="110">
        <f t="shared" ref="G170:G232" si="76">+Wh_hp/MaxiM</f>
        <v>0.53726307728205802</v>
      </c>
      <c r="H170" s="409" t="b">
        <f>Wh_hp&gt;='2026'!Maxi_hp</f>
        <v>0</v>
      </c>
      <c r="I170" s="385">
        <f>IF(H170,Wh_hp,'2026'!Maxi_hp)</f>
        <v>135.21442308270213</v>
      </c>
      <c r="J170" s="85">
        <f>IF(H170,An,'2026'!An_max)</f>
        <v>2022</v>
      </c>
      <c r="K170" s="193">
        <f t="shared" si="52"/>
        <v>46543</v>
      </c>
      <c r="L170" s="143">
        <f>IF(t&lt;Tvie,1-EXP((T0-t)*PertePVj)+'2026'!Pspv,1-EXP((T0-t)*PertePVj)+Pspv)</f>
        <v>2.8590849387524431E-2</v>
      </c>
      <c r="M170" s="835"/>
      <c r="N170" s="835"/>
      <c r="O170" s="48">
        <f>IF(t&lt;Tnet,'2026'!Resal+('2026'!Salim-'2026'!Resal)*(1-EXP(('2026'!Tnet-t)/('2026'!Tau_j))),Resal+(Salim-Resal)*(1-EXP((Tnet-t)/(Tau_j))))*Salcycl</f>
        <v>3.4776229513194715E-2</v>
      </c>
      <c r="P170" s="165">
        <f>(INDEX(Models!$BJ170:$BT170,,T170)*(1-R170)+INDEX(Models!$BJ170:$BT170,,T170+1)*R170-ERP_i)*Q170*Ramure*Pc/MaxiM</f>
        <v>2.2637205700569416E-4</v>
      </c>
      <c r="Q170" s="301">
        <f t="shared" si="53"/>
        <v>0.5</v>
      </c>
      <c r="R170" s="173">
        <f t="shared" si="54"/>
        <v>0.71362448558737412</v>
      </c>
      <c r="S170" s="801">
        <f t="shared" si="55"/>
        <v>2</v>
      </c>
      <c r="T170" s="172">
        <f t="shared" si="56"/>
        <v>8</v>
      </c>
      <c r="U170" s="247">
        <f t="shared" si="57"/>
        <v>2.7136244855873741</v>
      </c>
      <c r="V170" s="378">
        <f t="shared" si="58"/>
        <v>235.88831047900771</v>
      </c>
      <c r="W170" s="397">
        <f t="shared" si="59"/>
        <v>126.75304555908322</v>
      </c>
      <c r="X170" s="153">
        <f t="shared" si="60"/>
        <v>46543</v>
      </c>
      <c r="Y170" s="380">
        <f t="shared" si="61"/>
        <v>123.19229541937349</v>
      </c>
      <c r="Z170" s="380">
        <f t="shared" si="62"/>
        <v>126.81813357605338</v>
      </c>
      <c r="AA170" s="381">
        <f t="shared" si="63"/>
        <v>135.18490626997678</v>
      </c>
      <c r="AB170" s="193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6.1891322964815178E-2</v>
      </c>
      <c r="AD170" s="227">
        <f>(INDEX(Models!$BJ170:$BT170,,AH170)*(1-AF170)+INDEX(Models!$BJ170:$BT170,,AH170+1)*AF170-ERP_i)*AE170*Ramure*Pc/MaxiM</f>
        <v>2.2637205700569416E-4</v>
      </c>
      <c r="AE170" s="301">
        <f t="shared" si="65"/>
        <v>0.5</v>
      </c>
      <c r="AF170" s="173">
        <f t="shared" si="66"/>
        <v>0.71362448558737412</v>
      </c>
      <c r="AG170" s="801">
        <f t="shared" si="74"/>
        <v>2</v>
      </c>
      <c r="AH170" s="172">
        <f t="shared" si="67"/>
        <v>8</v>
      </c>
      <c r="AI170" s="221">
        <f t="shared" si="68"/>
        <v>2.7136244855873741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46544</v>
      </c>
      <c r="B171" s="406">
        <f>'2026'!Wh/'2026'!Env_an*'2027'!Env_an</f>
        <v>186.2476016701026</v>
      </c>
      <c r="C171" s="831"/>
      <c r="D171" s="388">
        <f t="shared" si="50"/>
        <v>191.73193001202091</v>
      </c>
      <c r="E171" s="380">
        <f t="shared" si="75"/>
        <v>198.65525739901346</v>
      </c>
      <c r="F171" s="380">
        <f t="shared" si="51"/>
        <v>198.68649587041995</v>
      </c>
      <c r="G171" s="110">
        <f t="shared" si="76"/>
        <v>0.78928170341321524</v>
      </c>
      <c r="H171" s="409" t="b">
        <f>Wh_hp&gt;='2026'!Maxi_hp</f>
        <v>0</v>
      </c>
      <c r="I171" s="385">
        <f>IF(H171,Wh_hp,'2026'!Maxi_hp)</f>
        <v>198.6992170848427</v>
      </c>
      <c r="J171" s="85">
        <f>IF(H171,An,'2026'!An_max)</f>
        <v>2022</v>
      </c>
      <c r="K171" s="193">
        <f t="shared" si="52"/>
        <v>46544</v>
      </c>
      <c r="L171" s="143">
        <f>IF(t&lt;Tvie,1-EXP((T0-t)*PertePVj)+'2026'!Pspv,1-EXP((T0-t)*PertePVj)+Pspv)</f>
        <v>2.8604147163044047E-2</v>
      </c>
      <c r="M171" s="835"/>
      <c r="N171" s="835"/>
      <c r="O171" s="48">
        <f>IF(t&lt;Tnet,'2026'!Resal+('2026'!Salim-'2026'!Resal)*(1-EXP(('2026'!Tnet-t)/('2026'!Tau_j))),Resal+(Salim-Resal)*(1-EXP((Tnet-t)/(Tau_j))))*Salcycl</f>
        <v>3.4850964820359868E-2</v>
      </c>
      <c r="P171" s="165">
        <f>(INDEX(Models!$BJ171:$BT171,,T171)*(1-R171)+INDEX(Models!$BJ171:$BT171,,T171+1)*R171-ERP_i)*Q171*Ramure*Pc/MaxiM</f>
        <v>2.2491222391954137E-4</v>
      </c>
      <c r="Q171" s="301">
        <f t="shared" si="53"/>
        <v>0.5</v>
      </c>
      <c r="R171" s="173">
        <f t="shared" si="54"/>
        <v>0.71872640413451405</v>
      </c>
      <c r="S171" s="801">
        <f t="shared" si="55"/>
        <v>2</v>
      </c>
      <c r="T171" s="172">
        <f t="shared" si="56"/>
        <v>8</v>
      </c>
      <c r="U171" s="247">
        <f t="shared" si="57"/>
        <v>2.7187264041345141</v>
      </c>
      <c r="V171" s="378">
        <f t="shared" si="58"/>
        <v>235.95503644280245</v>
      </c>
      <c r="W171" s="397">
        <f t="shared" si="59"/>
        <v>186.2476016701026</v>
      </c>
      <c r="X171" s="153">
        <f t="shared" si="60"/>
        <v>46544</v>
      </c>
      <c r="Y171" s="380">
        <f t="shared" si="61"/>
        <v>181.01753136226679</v>
      </c>
      <c r="Z171" s="380">
        <f t="shared" si="62"/>
        <v>186.34785276631163</v>
      </c>
      <c r="AA171" s="381">
        <f t="shared" si="63"/>
        <v>198.65525739901346</v>
      </c>
      <c r="AB171" s="193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6.1953581263553055E-2</v>
      </c>
      <c r="AD171" s="227">
        <f>(INDEX(Models!$BJ171:$BT171,,AH171)*(1-AF171)+INDEX(Models!$BJ171:$BT171,,AH171+1)*AF171-ERP_i)*AE171*Ramure*Pc/MaxiM</f>
        <v>2.2491222391954137E-4</v>
      </c>
      <c r="AE171" s="301">
        <f t="shared" si="65"/>
        <v>0.5</v>
      </c>
      <c r="AF171" s="173">
        <f t="shared" si="66"/>
        <v>0.71872640413451405</v>
      </c>
      <c r="AG171" s="801">
        <f t="shared" si="74"/>
        <v>2</v>
      </c>
      <c r="AH171" s="172">
        <f t="shared" si="67"/>
        <v>8</v>
      </c>
      <c r="AI171" s="221">
        <f t="shared" si="68"/>
        <v>2.7187264041345141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46545</v>
      </c>
      <c r="B172" s="406">
        <f>'2026'!Wh/'2026'!Env_an*'2027'!Env_an</f>
        <v>116.05553578127474</v>
      </c>
      <c r="C172" s="831"/>
      <c r="D172" s="388">
        <f t="shared" si="50"/>
        <v>119.47459335646198</v>
      </c>
      <c r="E172" s="380">
        <f t="shared" si="75"/>
        <v>123.79829282360743</v>
      </c>
      <c r="F172" s="380">
        <f t="shared" si="51"/>
        <v>123.80585461627996</v>
      </c>
      <c r="G172" s="110">
        <f t="shared" si="76"/>
        <v>0.49165995882594327</v>
      </c>
      <c r="H172" s="409" t="b">
        <f>Wh_hp&gt;='2026'!Maxi_hp</f>
        <v>0</v>
      </c>
      <c r="I172" s="385">
        <f>IF(H172,Wh_hp,'2026'!Maxi_hp)</f>
        <v>123.82480660988531</v>
      </c>
      <c r="J172" s="85">
        <f>IF(H172,An,'2026'!An_max)</f>
        <v>2022</v>
      </c>
      <c r="K172" s="193">
        <f t="shared" si="52"/>
        <v>46545</v>
      </c>
      <c r="L172" s="143">
        <f>IF(t&lt;Tvie,1-EXP((T0-t)*PertePVj)+'2026'!Pspv,1-EXP((T0-t)*PertePVj)+Pspv)</f>
        <v>2.8617444756528387E-2</v>
      </c>
      <c r="M172" s="835"/>
      <c r="N172" s="835"/>
      <c r="O172" s="48">
        <f>IF(t&lt;Tnet,'2026'!Resal+('2026'!Salim-'2026'!Resal)*(1-EXP(('2026'!Tnet-t)/('2026'!Tau_j))),Resal+(Salim-Resal)*(1-EXP((Tnet-t)/(Tau_j))))*Salcycl</f>
        <v>3.492535614611441E-2</v>
      </c>
      <c r="P172" s="165">
        <f>(INDEX(Models!$BJ172:$BT172,,T172)*(1-R172)+INDEX(Models!$BJ172:$BT172,,T172+1)*R172-ERP_i)*Q172*Ramure*Pc/MaxiM</f>
        <v>2.2298202509641631E-4</v>
      </c>
      <c r="Q172" s="301">
        <f t="shared" si="53"/>
        <v>0.5</v>
      </c>
      <c r="R172" s="173">
        <f t="shared" si="54"/>
        <v>0.72384554355233988</v>
      </c>
      <c r="S172" s="801">
        <f t="shared" si="55"/>
        <v>2</v>
      </c>
      <c r="T172" s="172">
        <f t="shared" si="56"/>
        <v>8</v>
      </c>
      <c r="U172" s="247">
        <f t="shared" si="57"/>
        <v>2.7238455435523399</v>
      </c>
      <c r="V172" s="378">
        <f t="shared" si="58"/>
        <v>236.01015838729262</v>
      </c>
      <c r="W172" s="397">
        <f t="shared" si="59"/>
        <v>116.05553578127474</v>
      </c>
      <c r="X172" s="153">
        <f t="shared" si="60"/>
        <v>46545</v>
      </c>
      <c r="Y172" s="380">
        <f t="shared" si="61"/>
        <v>112.79783103246106</v>
      </c>
      <c r="Z172" s="380">
        <f t="shared" si="62"/>
        <v>116.12091489968019</v>
      </c>
      <c r="AA172" s="381">
        <f t="shared" si="63"/>
        <v>123.79829282360743</v>
      </c>
      <c r="AB172" s="193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6.2015216436516259E-2</v>
      </c>
      <c r="AD172" s="227">
        <f>(INDEX(Models!$BJ172:$BT172,,AH172)*(1-AF172)+INDEX(Models!$BJ172:$BT172,,AH172+1)*AF172-ERP_i)*AE172*Ramure*Pc/MaxiM</f>
        <v>2.2298202509641631E-4</v>
      </c>
      <c r="AE172" s="301">
        <f t="shared" si="65"/>
        <v>0.5</v>
      </c>
      <c r="AF172" s="173">
        <f t="shared" si="66"/>
        <v>0.72384554355233988</v>
      </c>
      <c r="AG172" s="801">
        <f t="shared" si="74"/>
        <v>2</v>
      </c>
      <c r="AH172" s="172">
        <f t="shared" si="67"/>
        <v>8</v>
      </c>
      <c r="AI172" s="221">
        <f t="shared" si="68"/>
        <v>2.7238455435523399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46546</v>
      </c>
      <c r="B173" s="406">
        <f>'2026'!Wh/'2026'!Env_an*'2027'!Env_an</f>
        <v>88.421395942262194</v>
      </c>
      <c r="C173" s="831"/>
      <c r="D173" s="388">
        <f t="shared" si="50"/>
        <v>91.027583207243083</v>
      </c>
      <c r="E173" s="380">
        <f t="shared" si="75"/>
        <v>94.329040842800921</v>
      </c>
      <c r="F173" s="380">
        <f t="shared" si="51"/>
        <v>94.331257726119418</v>
      </c>
      <c r="G173" s="110">
        <f t="shared" si="76"/>
        <v>0.37450870903594269</v>
      </c>
      <c r="H173" s="409" t="b">
        <f>Wh_hp&gt;='2026'!Maxi_hp</f>
        <v>0</v>
      </c>
      <c r="I173" s="385">
        <f>IF(H173,Wh_hp,'2026'!Maxi_hp)</f>
        <v>94.348824057543851</v>
      </c>
      <c r="J173" s="85">
        <f>IF(H173,An,'2026'!An_max)</f>
        <v>2022</v>
      </c>
      <c r="K173" s="193">
        <f t="shared" si="52"/>
        <v>46546</v>
      </c>
      <c r="L173" s="143">
        <f>IF(t&lt;Tvie,1-EXP((T0-t)*PertePVj)+'2026'!Pspv,1-EXP((T0-t)*PertePVj)+Pspv)</f>
        <v>2.8630742167979673E-2</v>
      </c>
      <c r="M173" s="835"/>
      <c r="N173" s="835"/>
      <c r="O173" s="48">
        <f>IF(t&lt;Tnet,'2026'!Resal+('2026'!Salim-'2026'!Resal)*(1-EXP(('2026'!Tnet-t)/('2026'!Tau_j))),Resal+(Salim-Resal)*(1-EXP((Tnet-t)/(Tau_j))))*Salcycl</f>
        <v>3.4999376714321857E-2</v>
      </c>
      <c r="P173" s="165">
        <f>(INDEX(Models!$BJ173:$BT173,,T173)*(1-R173)+INDEX(Models!$BJ173:$BT173,,T173+1)*R173-ERP_i)*Q173*Ramure*Pc/MaxiM</f>
        <v>2.2057086222340325E-4</v>
      </c>
      <c r="Q173" s="301">
        <f t="shared" si="53"/>
        <v>0.5</v>
      </c>
      <c r="R173" s="173">
        <f t="shared" si="54"/>
        <v>0.72897764950560662</v>
      </c>
      <c r="S173" s="801">
        <f t="shared" si="55"/>
        <v>2</v>
      </c>
      <c r="T173" s="172">
        <f t="shared" si="56"/>
        <v>8</v>
      </c>
      <c r="U173" s="247">
        <f t="shared" si="57"/>
        <v>2.7289776495056066</v>
      </c>
      <c r="V173" s="378">
        <f t="shared" si="58"/>
        <v>236.05317636577357</v>
      </c>
      <c r="W173" s="397">
        <f t="shared" si="59"/>
        <v>88.421395942262194</v>
      </c>
      <c r="X173" s="153">
        <f t="shared" si="60"/>
        <v>46546</v>
      </c>
      <c r="Y173" s="380">
        <f t="shared" si="61"/>
        <v>85.940393372607872</v>
      </c>
      <c r="Z173" s="380">
        <f t="shared" si="62"/>
        <v>88.473454023464285</v>
      </c>
      <c r="AA173" s="381">
        <f t="shared" si="63"/>
        <v>94.329040842800921</v>
      </c>
      <c r="AB173" s="193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6.2076183188324301E-2</v>
      </c>
      <c r="AD173" s="227">
        <f>(INDEX(Models!$BJ173:$BT173,,AH173)*(1-AF173)+INDEX(Models!$BJ173:$BT173,,AH173+1)*AF173-ERP_i)*AE173*Ramure*Pc/MaxiM</f>
        <v>2.2057086222340325E-4</v>
      </c>
      <c r="AE173" s="301">
        <f t="shared" si="65"/>
        <v>0.5</v>
      </c>
      <c r="AF173" s="173">
        <f t="shared" si="66"/>
        <v>0.72897764950560662</v>
      </c>
      <c r="AG173" s="801">
        <f t="shared" si="74"/>
        <v>2</v>
      </c>
      <c r="AH173" s="172">
        <f t="shared" si="67"/>
        <v>8</v>
      </c>
      <c r="AI173" s="221">
        <f t="shared" si="68"/>
        <v>2.7289776495056066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46547</v>
      </c>
      <c r="B174" s="406">
        <f>'2026'!Wh/'2026'!Env_an*'2027'!Env_an</f>
        <v>187.58199541544758</v>
      </c>
      <c r="C174" s="831"/>
      <c r="D174" s="388">
        <f t="shared" si="50"/>
        <v>193.11354747756681</v>
      </c>
      <c r="E174" s="380">
        <f t="shared" si="75"/>
        <v>200.13280549445423</v>
      </c>
      <c r="F174" s="380">
        <f t="shared" si="51"/>
        <v>200.1635876534541</v>
      </c>
      <c r="G174" s="110">
        <f t="shared" si="76"/>
        <v>0.79450676763897254</v>
      </c>
      <c r="H174" s="409" t="b">
        <f>Wh_hp&gt;='2026'!Maxi_hp</f>
        <v>0</v>
      </c>
      <c r="I174" s="385">
        <f>IF(H174,Wh_hp,'2026'!Maxi_hp)</f>
        <v>200.17566222023561</v>
      </c>
      <c r="J174" s="85">
        <f>IF(H174,An,'2026'!An_max)</f>
        <v>2022</v>
      </c>
      <c r="K174" s="193">
        <f t="shared" si="52"/>
        <v>46547</v>
      </c>
      <c r="L174" s="143">
        <f>IF(t&lt;Tvie,1-EXP((T0-t)*PertePVj)+'2026'!Pspv,1-EXP((T0-t)*PertePVj)+Pspv)</f>
        <v>2.8644039397400678E-2</v>
      </c>
      <c r="M174" s="835"/>
      <c r="N174" s="835"/>
      <c r="O174" s="48">
        <f>IF(t&lt;Tnet,'2026'!Resal+('2026'!Salim-'2026'!Resal)*(1-EXP(('2026'!Tnet-t)/('2026'!Tau_j))),Resal+(Salim-Resal)*(1-EXP((Tnet-t)/(Tau_j))))*Salcycl</f>
        <v>3.5073000648471547E-2</v>
      </c>
      <c r="P174" s="165">
        <f>(INDEX(Models!$BJ174:$BT174,,T174)*(1-R174)+INDEX(Models!$BJ174:$BT174,,T174+1)*R174-ERP_i)*Q174*Ramure*Pc/MaxiM</f>
        <v>2.1766831634201879E-4</v>
      </c>
      <c r="Q174" s="301">
        <f t="shared" si="53"/>
        <v>0.5</v>
      </c>
      <c r="R174" s="173">
        <f t="shared" si="54"/>
        <v>0.73411842414991257</v>
      </c>
      <c r="S174" s="801">
        <f t="shared" si="55"/>
        <v>2</v>
      </c>
      <c r="T174" s="172">
        <f t="shared" si="56"/>
        <v>8</v>
      </c>
      <c r="U174" s="247">
        <f t="shared" si="57"/>
        <v>2.7341184241499126</v>
      </c>
      <c r="V174" s="378">
        <f t="shared" si="58"/>
        <v>236.08359029000766</v>
      </c>
      <c r="W174" s="397">
        <f t="shared" si="59"/>
        <v>187.58199541544758</v>
      </c>
      <c r="X174" s="153">
        <f t="shared" si="60"/>
        <v>46547</v>
      </c>
      <c r="Y174" s="380">
        <f t="shared" si="61"/>
        <v>182.3208579539822</v>
      </c>
      <c r="Z174" s="380">
        <f t="shared" si="62"/>
        <v>187.69726583123654</v>
      </c>
      <c r="AA174" s="381">
        <f t="shared" si="63"/>
        <v>200.13280549445423</v>
      </c>
      <c r="AB174" s="193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6.2136438014217955E-2</v>
      </c>
      <c r="AD174" s="227">
        <f>(INDEX(Models!$BJ174:$BT174,,AH174)*(1-AF174)+INDEX(Models!$BJ174:$BT174,,AH174+1)*AF174-ERP_i)*AE174*Ramure*Pc/MaxiM</f>
        <v>2.1766831634201879E-4</v>
      </c>
      <c r="AE174" s="301">
        <f t="shared" si="65"/>
        <v>0.5</v>
      </c>
      <c r="AF174" s="173">
        <f t="shared" si="66"/>
        <v>0.73411842414991257</v>
      </c>
      <c r="AG174" s="801">
        <f t="shared" si="74"/>
        <v>2</v>
      </c>
      <c r="AH174" s="172">
        <f t="shared" si="67"/>
        <v>8</v>
      </c>
      <c r="AI174" s="221">
        <f t="shared" si="68"/>
        <v>2.7341184241499126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46548</v>
      </c>
      <c r="B175" s="406">
        <f>'2026'!Wh/'2026'!Env_an*'2027'!Env_an</f>
        <v>237.13993100734311</v>
      </c>
      <c r="C175" s="831"/>
      <c r="D175" s="388">
        <f t="shared" si="50"/>
        <v>244.13622494392294</v>
      </c>
      <c r="E175" s="380">
        <f t="shared" si="75"/>
        <v>253.02924206962842</v>
      </c>
      <c r="F175" s="380">
        <f t="shared" si="51"/>
        <v>253.083468788971</v>
      </c>
      <c r="G175" s="110">
        <f t="shared" si="76"/>
        <v>1.0044007926630023</v>
      </c>
      <c r="H175" s="409" t="b">
        <f>Wh_hp&gt;='2026'!Maxi_hp</f>
        <v>1</v>
      </c>
      <c r="I175" s="385">
        <f>IF(H175,Wh_hp,'2026'!Maxi_hp)</f>
        <v>253.083468788971</v>
      </c>
      <c r="J175" s="85">
        <f>IF(H175,An,'2026'!An_max)</f>
        <v>2027</v>
      </c>
      <c r="K175" s="193">
        <f t="shared" si="52"/>
        <v>46548</v>
      </c>
      <c r="L175" s="143">
        <f>IF(t&lt;Tvie,1-EXP((T0-t)*PertePVj)+'2026'!Pspv,1-EXP((T0-t)*PertePVj)+Pspv)</f>
        <v>2.8657336444793735E-2</v>
      </c>
      <c r="M175" s="835"/>
      <c r="N175" s="835"/>
      <c r="O175" s="48">
        <f>IF(t&lt;Tnet,'2026'!Resal+('2026'!Salim-'2026'!Resal)*(1-EXP(('2026'!Tnet-t)/('2026'!Tau_j))),Resal+(Salim-Resal)*(1-EXP((Tnet-t)/(Tau_j))))*Salcycl</f>
        <v>3.5146203075051327E-2</v>
      </c>
      <c r="P175" s="165">
        <f>(INDEX(Models!$BJ175:$BT175,,T175)*(1-R175)+INDEX(Models!$BJ175:$BT175,,T175+1)*R175-ERP_i)*Q175*Ramure*Pc/MaxiM</f>
        <v>2.1426416984903713E-4</v>
      </c>
      <c r="Q175" s="301">
        <f t="shared" si="53"/>
        <v>0.5</v>
      </c>
      <c r="R175" s="173">
        <f t="shared" si="54"/>
        <v>0.7392635404609238</v>
      </c>
      <c r="S175" s="801">
        <f t="shared" si="55"/>
        <v>2</v>
      </c>
      <c r="T175" s="172">
        <f t="shared" si="56"/>
        <v>8</v>
      </c>
      <c r="U175" s="247">
        <f t="shared" si="57"/>
        <v>2.7392635404609238</v>
      </c>
      <c r="V175" s="378">
        <f t="shared" si="58"/>
        <v>236.1008998993378</v>
      </c>
      <c r="W175" s="397">
        <f t="shared" si="59"/>
        <v>237.13993100734311</v>
      </c>
      <c r="X175" s="153">
        <f t="shared" si="60"/>
        <v>46548</v>
      </c>
      <c r="Y175" s="380">
        <f t="shared" si="61"/>
        <v>230.49169827025088</v>
      </c>
      <c r="Z175" s="380">
        <f t="shared" si="62"/>
        <v>237.29185067052384</v>
      </c>
      <c r="AA175" s="381">
        <f t="shared" si="63"/>
        <v>253.02924206962842</v>
      </c>
      <c r="AB175" s="193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6.2195939371995475E-2</v>
      </c>
      <c r="AD175" s="227">
        <f>(INDEX(Models!$BJ175:$BT175,,AH175)*(1-AF175)+INDEX(Models!$BJ175:$BT175,,AH175+1)*AF175-ERP_i)*AE175*Ramure*Pc/MaxiM</f>
        <v>2.1426416984903713E-4</v>
      </c>
      <c r="AE175" s="301">
        <f t="shared" si="65"/>
        <v>0.5</v>
      </c>
      <c r="AF175" s="173">
        <f t="shared" si="66"/>
        <v>0.7392635404609238</v>
      </c>
      <c r="AG175" s="801">
        <f t="shared" si="74"/>
        <v>2</v>
      </c>
      <c r="AH175" s="172">
        <f t="shared" si="67"/>
        <v>8</v>
      </c>
      <c r="AI175" s="221">
        <f t="shared" si="68"/>
        <v>2.7392635404609238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46549</v>
      </c>
      <c r="B176" s="406">
        <f>'2026'!Wh/'2026'!Env_an*'2027'!Env_an</f>
        <v>225.23487816615793</v>
      </c>
      <c r="C176" s="831"/>
      <c r="D176" s="388">
        <f t="shared" si="50"/>
        <v>231.88311389547343</v>
      </c>
      <c r="E176" s="380">
        <f t="shared" si="75"/>
        <v>240.34791764666431</v>
      </c>
      <c r="F176" s="380">
        <f t="shared" si="51"/>
        <v>240.39515870492389</v>
      </c>
      <c r="G176" s="110">
        <f t="shared" si="76"/>
        <v>0.95394904248549761</v>
      </c>
      <c r="H176" s="409" t="b">
        <f>Wh_hp&gt;='2026'!Maxi_hp</f>
        <v>0</v>
      </c>
      <c r="I176" s="385">
        <f>IF(H176,Wh_hp,'2026'!Maxi_hp)</f>
        <v>240.39829308903109</v>
      </c>
      <c r="J176" s="85">
        <f>IF(H176,An,'2026'!An_max)</f>
        <v>2022</v>
      </c>
      <c r="K176" s="193">
        <f t="shared" si="52"/>
        <v>46549</v>
      </c>
      <c r="L176" s="143">
        <f>IF(t&lt;Tvie,1-EXP((T0-t)*PertePVj)+'2026'!Pspv,1-EXP((T0-t)*PertePVj)+Pspv)</f>
        <v>2.8670633310161397E-2</v>
      </c>
      <c r="M176" s="835"/>
      <c r="N176" s="835"/>
      <c r="O176" s="48">
        <f>IF(t&lt;Tnet,'2026'!Resal+('2026'!Salim-'2026'!Resal)*(1-EXP(('2026'!Tnet-t)/('2026'!Tau_j))),Resal+(Salim-Resal)*(1-EXP((Tnet-t)/(Tau_j))))*Salcycl</f>
        <v>3.5218960222634363E-2</v>
      </c>
      <c r="P176" s="165">
        <f>(INDEX(Models!$BJ176:$BT176,,T176)*(1-R176)+INDEX(Models!$BJ176:$BT176,,T176+1)*R176-ERP_i)*Q176*Ramure*Pc/MaxiM</f>
        <v>2.1034842582678395E-4</v>
      </c>
      <c r="Q176" s="301">
        <f t="shared" si="53"/>
        <v>0.5</v>
      </c>
      <c r="R176" s="173">
        <f t="shared" si="54"/>
        <v>0.74440865677193546</v>
      </c>
      <c r="S176" s="801">
        <f t="shared" si="55"/>
        <v>2</v>
      </c>
      <c r="T176" s="172">
        <f t="shared" si="56"/>
        <v>8</v>
      </c>
      <c r="U176" s="247">
        <f t="shared" si="57"/>
        <v>2.7444086567719355</v>
      </c>
      <c r="V176" s="378">
        <f t="shared" si="58"/>
        <v>236.10460472072992</v>
      </c>
      <c r="W176" s="397">
        <f t="shared" si="59"/>
        <v>225.23487816615793</v>
      </c>
      <c r="X176" s="153">
        <f t="shared" si="60"/>
        <v>46549</v>
      </c>
      <c r="Y176" s="380">
        <f t="shared" si="61"/>
        <v>218.92320789408407</v>
      </c>
      <c r="Z176" s="380">
        <f t="shared" si="62"/>
        <v>225.38514267322657</v>
      </c>
      <c r="AA176" s="381">
        <f t="shared" si="63"/>
        <v>240.34791764666431</v>
      </c>
      <c r="AB176" s="193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6.2254647845272945E-2</v>
      </c>
      <c r="AD176" s="227">
        <f>(INDEX(Models!$BJ176:$BT176,,AH176)*(1-AF176)+INDEX(Models!$BJ176:$BT176,,AH176+1)*AF176-ERP_i)*AE176*Ramure*Pc/MaxiM</f>
        <v>2.1034842582678395E-4</v>
      </c>
      <c r="AE176" s="301">
        <f t="shared" si="65"/>
        <v>0.5</v>
      </c>
      <c r="AF176" s="173">
        <f t="shared" si="66"/>
        <v>0.74440865677193546</v>
      </c>
      <c r="AG176" s="801">
        <f t="shared" si="74"/>
        <v>2</v>
      </c>
      <c r="AH176" s="172">
        <f t="shared" si="67"/>
        <v>8</v>
      </c>
      <c r="AI176" s="221">
        <f t="shared" si="68"/>
        <v>2.7444086567719355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46550</v>
      </c>
      <c r="B177" s="406">
        <f>'2026'!Wh/'2026'!Env_an*'2027'!Env_an</f>
        <v>177.81803851278545</v>
      </c>
      <c r="C177" s="831"/>
      <c r="D177" s="388">
        <f t="shared" si="50"/>
        <v>183.06918211658603</v>
      </c>
      <c r="E177" s="380">
        <f t="shared" si="75"/>
        <v>189.76627093382604</v>
      </c>
      <c r="F177" s="380">
        <f t="shared" si="51"/>
        <v>189.79157062580433</v>
      </c>
      <c r="G177" s="110">
        <f t="shared" si="76"/>
        <v>0.75311038575902467</v>
      </c>
      <c r="H177" s="409" t="b">
        <f>Wh_hp&gt;='2026'!Maxi_hp</f>
        <v>0</v>
      </c>
      <c r="I177" s="385">
        <f>IF(H177,Wh_hp,'2026'!Maxi_hp)</f>
        <v>189.8045422952159</v>
      </c>
      <c r="J177" s="85">
        <f>IF(H177,An,'2026'!An_max)</f>
        <v>2022</v>
      </c>
      <c r="K177" s="193">
        <f t="shared" si="52"/>
        <v>46550</v>
      </c>
      <c r="L177" s="143">
        <f>IF(t&lt;Tvie,1-EXP((T0-t)*PertePVj)+'2026'!Pspv,1-EXP((T0-t)*PertePVj)+Pspv)</f>
        <v>2.8683929993506108E-2</v>
      </c>
      <c r="M177" s="835"/>
      <c r="N177" s="835"/>
      <c r="O177" s="48">
        <f>IF(t&lt;Tnet,'2026'!Resal+('2026'!Salim-'2026'!Resal)*(1-EXP(('2026'!Tnet-t)/('2026'!Tau_j))),Resal+(Salim-Resal)*(1-EXP((Tnet-t)/(Tau_j))))*Salcycl</f>
        <v>3.5291249515965656E-2</v>
      </c>
      <c r="P177" s="165">
        <f>(INDEX(Models!$BJ177:$BT177,,T177)*(1-R177)+INDEX(Models!$BJ177:$BT177,,T177+1)*R177-ERP_i)*Q177*Ramure*Pc/MaxiM</f>
        <v>2.0591117549676347E-4</v>
      </c>
      <c r="Q177" s="301">
        <f t="shared" si="53"/>
        <v>0.5</v>
      </c>
      <c r="R177" s="173">
        <f t="shared" si="54"/>
        <v>0.74954943141624142</v>
      </c>
      <c r="S177" s="801">
        <f t="shared" si="55"/>
        <v>2</v>
      </c>
      <c r="T177" s="172">
        <f t="shared" si="56"/>
        <v>8</v>
      </c>
      <c r="U177" s="247">
        <f t="shared" si="57"/>
        <v>2.7495494314162414</v>
      </c>
      <c r="V177" s="378">
        <f t="shared" si="58"/>
        <v>236.09437477226649</v>
      </c>
      <c r="W177" s="397">
        <f t="shared" si="59"/>
        <v>177.81803851278545</v>
      </c>
      <c r="X177" s="153">
        <f t="shared" si="60"/>
        <v>46550</v>
      </c>
      <c r="Y177" s="380">
        <f t="shared" si="61"/>
        <v>172.83739494250273</v>
      </c>
      <c r="Z177" s="380">
        <f t="shared" si="62"/>
        <v>177.94145518600058</v>
      </c>
      <c r="AA177" s="381">
        <f t="shared" si="63"/>
        <v>189.76627093382604</v>
      </c>
      <c r="AB177" s="193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6.2312526296883025E-2</v>
      </c>
      <c r="AD177" s="227">
        <f>(INDEX(Models!$BJ177:$BT177,,AH177)*(1-AF177)+INDEX(Models!$BJ177:$BT177,,AH177+1)*AF177-ERP_i)*AE177*Ramure*Pc/MaxiM</f>
        <v>2.0591117549676347E-4</v>
      </c>
      <c r="AE177" s="301">
        <f t="shared" si="65"/>
        <v>0.5</v>
      </c>
      <c r="AF177" s="173">
        <f t="shared" si="66"/>
        <v>0.74954943141624142</v>
      </c>
      <c r="AG177" s="801">
        <f t="shared" si="74"/>
        <v>2</v>
      </c>
      <c r="AH177" s="172">
        <f t="shared" si="67"/>
        <v>8</v>
      </c>
      <c r="AI177" s="221">
        <f t="shared" si="68"/>
        <v>2.7495494314162414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46551</v>
      </c>
      <c r="B178" s="406">
        <f>'2026'!Wh/'2026'!Env_an*'2027'!Env_an</f>
        <v>218.69744749599454</v>
      </c>
      <c r="C178" s="831"/>
      <c r="D178" s="388">
        <f t="shared" si="50"/>
        <v>225.15888295755036</v>
      </c>
      <c r="E178" s="380">
        <f t="shared" si="75"/>
        <v>233.4130813454826</v>
      </c>
      <c r="F178" s="380">
        <f t="shared" si="51"/>
        <v>233.45514563053942</v>
      </c>
      <c r="G178" s="110">
        <f t="shared" si="76"/>
        <v>0.92638787283710611</v>
      </c>
      <c r="H178" s="409" t="b">
        <f>Wh_hp&gt;='2026'!Maxi_hp</f>
        <v>0</v>
      </c>
      <c r="I178" s="385">
        <f>IF(H178,Wh_hp,'2026'!Maxi_hp)</f>
        <v>233.45979077270493</v>
      </c>
      <c r="J178" s="85">
        <f>IF(H178,An,'2026'!An_max)</f>
        <v>2022</v>
      </c>
      <c r="K178" s="193">
        <f t="shared" si="52"/>
        <v>46551</v>
      </c>
      <c r="L178" s="143">
        <f>IF(t&lt;Tvie,1-EXP((T0-t)*PertePVj)+'2026'!Pspv,1-EXP((T0-t)*PertePVj)+Pspv)</f>
        <v>2.8697226494830419E-2</v>
      </c>
      <c r="M178" s="835"/>
      <c r="N178" s="835"/>
      <c r="O178" s="48">
        <f>IF(t&lt;Tnet,'2026'!Resal+('2026'!Salim-'2026'!Resal)*(1-EXP(('2026'!Tnet-t)/('2026'!Tau_j))),Resal+(Salim-Resal)*(1-EXP((Tnet-t)/(Tau_j))))*Salcycl</f>
        <v>3.5363049664362683E-2</v>
      </c>
      <c r="P178" s="165">
        <f>(INDEX(Models!$BJ178:$BT178,,T178)*(1-R178)+INDEX(Models!$BJ178:$BT178,,T178+1)*R178-ERP_i)*Q178*Ramure*Pc/MaxiM</f>
        <v>2.0134978087927251E-4</v>
      </c>
      <c r="Q178" s="301">
        <f t="shared" si="53"/>
        <v>0.5</v>
      </c>
      <c r="R178" s="173">
        <f t="shared" si="54"/>
        <v>0.75468153736950772</v>
      </c>
      <c r="S178" s="801">
        <f t="shared" si="55"/>
        <v>2</v>
      </c>
      <c r="T178" s="172">
        <f t="shared" si="56"/>
        <v>8</v>
      </c>
      <c r="U178" s="247">
        <f t="shared" si="57"/>
        <v>2.7546815373695077</v>
      </c>
      <c r="V178" s="378">
        <f t="shared" si="58"/>
        <v>236.07046639170804</v>
      </c>
      <c r="W178" s="397">
        <f t="shared" si="59"/>
        <v>218.69744749599454</v>
      </c>
      <c r="X178" s="153">
        <f t="shared" si="60"/>
        <v>46551</v>
      </c>
      <c r="Y178" s="380">
        <f t="shared" si="61"/>
        <v>212.57467715981539</v>
      </c>
      <c r="Z178" s="380">
        <f t="shared" si="62"/>
        <v>218.85521482934797</v>
      </c>
      <c r="AA178" s="381">
        <f t="shared" si="63"/>
        <v>233.4130813454826</v>
      </c>
      <c r="AB178" s="193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6.2369540011285966E-2</v>
      </c>
      <c r="AD178" s="227">
        <f>(INDEX(Models!$BJ178:$BT178,,AH178)*(1-AF178)+INDEX(Models!$BJ178:$BT178,,AH178+1)*AF178-ERP_i)*AE178*Ramure*Pc/MaxiM</f>
        <v>2.0134978087927251E-4</v>
      </c>
      <c r="AE178" s="301">
        <f t="shared" si="65"/>
        <v>0.5</v>
      </c>
      <c r="AF178" s="173">
        <f t="shared" si="66"/>
        <v>0.75468153736950772</v>
      </c>
      <c r="AG178" s="801">
        <f t="shared" si="74"/>
        <v>2</v>
      </c>
      <c r="AH178" s="172">
        <f t="shared" si="67"/>
        <v>8</v>
      </c>
      <c r="AI178" s="221">
        <f t="shared" si="68"/>
        <v>2.7546815373695077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46552</v>
      </c>
      <c r="B179" s="406">
        <f>'2026'!Wh/'2026'!Env_an*'2027'!Env_an</f>
        <v>197.45631604775576</v>
      </c>
      <c r="C179" s="831"/>
      <c r="D179" s="388">
        <f t="shared" si="50"/>
        <v>203.29296330878617</v>
      </c>
      <c r="E179" s="380">
        <f t="shared" si="75"/>
        <v>210.7611455559653</v>
      </c>
      <c r="F179" s="380">
        <f t="shared" si="51"/>
        <v>210.79300169866454</v>
      </c>
      <c r="G179" s="110">
        <f t="shared" si="76"/>
        <v>0.83652280891708664</v>
      </c>
      <c r="H179" s="409" t="b">
        <f>Wh_hp&gt;='2026'!Maxi_hp</f>
        <v>0</v>
      </c>
      <c r="I179" s="385">
        <f>IF(H179,Wh_hp,'2026'!Maxi_hp)</f>
        <v>210.80210938162338</v>
      </c>
      <c r="J179" s="85">
        <f>IF(H179,An,'2026'!An_max)</f>
        <v>2022</v>
      </c>
      <c r="K179" s="193">
        <f t="shared" si="52"/>
        <v>46552</v>
      </c>
      <c r="L179" s="143">
        <f>IF(t&lt;Tvie,1-EXP((T0-t)*PertePVj)+'2026'!Pspv,1-EXP((T0-t)*PertePVj)+Pspv)</f>
        <v>2.8710522814136885E-2</v>
      </c>
      <c r="M179" s="835"/>
      <c r="N179" s="835"/>
      <c r="O179" s="48">
        <f>IF(t&lt;Tnet,'2026'!Resal+('2026'!Salim-'2026'!Resal)*(1-EXP(('2026'!Tnet-t)/('2026'!Tau_j))),Resal+(Salim-Resal)*(1-EXP((Tnet-t)/(Tau_j))))*Salcycl</f>
        <v>3.5434340743778242E-2</v>
      </c>
      <c r="P179" s="165">
        <f>(INDEX(Models!$BJ179:$BT179,,T179)*(1-R179)+INDEX(Models!$BJ179:$BT179,,T179+1)*R179-ERP_i)*Q179*Ramure*Pc/MaxiM</f>
        <v>1.9715857680006237E-4</v>
      </c>
      <c r="Q179" s="301">
        <f t="shared" si="53"/>
        <v>0.5</v>
      </c>
      <c r="R179" s="173">
        <f t="shared" si="54"/>
        <v>0.75980067678733398</v>
      </c>
      <c r="S179" s="801">
        <f t="shared" si="55"/>
        <v>2</v>
      </c>
      <c r="T179" s="172">
        <f t="shared" si="56"/>
        <v>8</v>
      </c>
      <c r="U179" s="247">
        <f t="shared" si="57"/>
        <v>2.759800676787334</v>
      </c>
      <c r="V179" s="378">
        <f t="shared" si="58"/>
        <v>236.03328324798741</v>
      </c>
      <c r="W179" s="397">
        <f t="shared" si="59"/>
        <v>197.45631604775576</v>
      </c>
      <c r="X179" s="153">
        <f t="shared" si="60"/>
        <v>46552</v>
      </c>
      <c r="Y179" s="380">
        <f t="shared" si="61"/>
        <v>191.93092149579149</v>
      </c>
      <c r="Z179" s="380">
        <f t="shared" si="62"/>
        <v>197.60424261145801</v>
      </c>
      <c r="AA179" s="381">
        <f t="shared" si="63"/>
        <v>210.7611455559653</v>
      </c>
      <c r="AB179" s="193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6.2425656824937024E-2</v>
      </c>
      <c r="AD179" s="227">
        <f>(INDEX(Models!$BJ179:$BT179,,AH179)*(1-AF179)+INDEX(Models!$BJ179:$BT179,,AH179+1)*AF179-ERP_i)*AE179*Ramure*Pc/MaxiM</f>
        <v>1.9715857680006237E-4</v>
      </c>
      <c r="AE179" s="301">
        <f t="shared" si="65"/>
        <v>0.5</v>
      </c>
      <c r="AF179" s="173">
        <f t="shared" si="66"/>
        <v>0.75980067678733398</v>
      </c>
      <c r="AG179" s="801">
        <f t="shared" si="74"/>
        <v>2</v>
      </c>
      <c r="AH179" s="172">
        <f t="shared" si="67"/>
        <v>8</v>
      </c>
      <c r="AI179" s="221">
        <f t="shared" si="68"/>
        <v>2.759800676787334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46553</v>
      </c>
      <c r="B180" s="406">
        <f>'2026'!Wh/'2026'!Env_an*'2027'!Env_an</f>
        <v>221.65375307240583</v>
      </c>
      <c r="C180" s="831"/>
      <c r="D180" s="388">
        <f t="shared" si="50"/>
        <v>228.20878077449859</v>
      </c>
      <c r="E180" s="380">
        <f t="shared" si="75"/>
        <v>236.60963037261766</v>
      </c>
      <c r="F180" s="380">
        <f t="shared" si="51"/>
        <v>236.6514168959994</v>
      </c>
      <c r="G180" s="110">
        <f t="shared" si="76"/>
        <v>0.93926135576308734</v>
      </c>
      <c r="H180" s="409" t="b">
        <f>Wh_hp&gt;='2026'!Maxi_hp</f>
        <v>0</v>
      </c>
      <c r="I180" s="385">
        <f>IF(H180,Wh_hp,'2026'!Maxi_hp)</f>
        <v>236.65513691987971</v>
      </c>
      <c r="J180" s="85">
        <f>IF(H180,An,'2026'!An_max)</f>
        <v>2022</v>
      </c>
      <c r="K180" s="193">
        <f t="shared" si="52"/>
        <v>46553</v>
      </c>
      <c r="L180" s="143">
        <f>IF(t&lt;Tvie,1-EXP((T0-t)*PertePVj)+'2026'!Pspv,1-EXP((T0-t)*PertePVj)+Pspv)</f>
        <v>2.8723818951427726E-2</v>
      </c>
      <c r="M180" s="835"/>
      <c r="N180" s="835"/>
      <c r="O180" s="48">
        <f>IF(t&lt;Tnet,'2026'!Resal+('2026'!Salim-'2026'!Resal)*(1-EXP(('2026'!Tnet-t)/('2026'!Tau_j))),Resal+(Salim-Resal)*(1-EXP((Tnet-t)/(Tau_j))))*Salcycl</f>
        <v>3.5505104271914965E-2</v>
      </c>
      <c r="P180" s="165">
        <f>(INDEX(Models!$BJ180:$BT180,,T180)*(1-R180)+INDEX(Models!$BJ180:$BT180,,T180+1)*R180-ERP_i)*Q180*Ramure*Pc/MaxiM</f>
        <v>1.9334636636828085E-4</v>
      </c>
      <c r="Q180" s="301">
        <f t="shared" si="53"/>
        <v>0.5</v>
      </c>
      <c r="R180" s="173">
        <f t="shared" si="54"/>
        <v>0.76490259533447391</v>
      </c>
      <c r="S180" s="801">
        <f t="shared" si="55"/>
        <v>2</v>
      </c>
      <c r="T180" s="172">
        <f t="shared" si="56"/>
        <v>8</v>
      </c>
      <c r="U180" s="247">
        <f t="shared" si="57"/>
        <v>2.7649025953344739</v>
      </c>
      <c r="V180" s="378">
        <f t="shared" si="58"/>
        <v>235.98334311500713</v>
      </c>
      <c r="W180" s="397">
        <f t="shared" si="59"/>
        <v>221.65375307240583</v>
      </c>
      <c r="X180" s="153">
        <f t="shared" si="60"/>
        <v>46553</v>
      </c>
      <c r="Y180" s="380">
        <f t="shared" si="61"/>
        <v>215.45436860901316</v>
      </c>
      <c r="Z180" s="380">
        <f t="shared" si="62"/>
        <v>221.82606020093328</v>
      </c>
      <c r="AA180" s="381">
        <f t="shared" si="63"/>
        <v>236.60963037261766</v>
      </c>
      <c r="AB180" s="193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6.2480847243634549E-2</v>
      </c>
      <c r="AD180" s="227">
        <f>(INDEX(Models!$BJ180:$BT180,,AH180)*(1-AF180)+INDEX(Models!$BJ180:$BT180,,AH180+1)*AF180-ERP_i)*AE180*Ramure*Pc/MaxiM</f>
        <v>1.9334636636828085E-4</v>
      </c>
      <c r="AE180" s="301">
        <f t="shared" si="65"/>
        <v>0.5</v>
      </c>
      <c r="AF180" s="173">
        <f t="shared" si="66"/>
        <v>0.76490259533447391</v>
      </c>
      <c r="AG180" s="801">
        <f t="shared" si="74"/>
        <v>2</v>
      </c>
      <c r="AH180" s="172">
        <f t="shared" si="67"/>
        <v>8</v>
      </c>
      <c r="AI180" s="221">
        <f t="shared" si="68"/>
        <v>2.7649025953344739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46554</v>
      </c>
      <c r="B181" s="406">
        <f>'2026'!Wh/'2026'!Env_an*'2027'!Env_an</f>
        <v>209.25361441149346</v>
      </c>
      <c r="C181" s="831"/>
      <c r="D181" s="388">
        <f t="shared" si="50"/>
        <v>215.44487864518129</v>
      </c>
      <c r="E181" s="380">
        <f t="shared" si="75"/>
        <v>223.3921257354958</v>
      </c>
      <c r="F181" s="380">
        <f t="shared" si="51"/>
        <v>223.4277073607401</v>
      </c>
      <c r="G181" s="110">
        <f t="shared" si="76"/>
        <v>0.88693694549568003</v>
      </c>
      <c r="H181" s="409" t="b">
        <f>Wh_hp&gt;='2026'!Maxi_hp</f>
        <v>0</v>
      </c>
      <c r="I181" s="385">
        <f>IF(H181,Wh_hp,'2026'!Maxi_hp)</f>
        <v>223.43412002799909</v>
      </c>
      <c r="J181" s="85">
        <f>IF(H181,An,'2026'!An_max)</f>
        <v>2022</v>
      </c>
      <c r="K181" s="193">
        <f t="shared" si="52"/>
        <v>46554</v>
      </c>
      <c r="L181" s="143">
        <f>IF(t&lt;Tvie,1-EXP((T0-t)*PertePVj)+'2026'!Pspv,1-EXP((T0-t)*PertePVj)+Pspv)</f>
        <v>2.8737114906705719E-2</v>
      </c>
      <c r="M181" s="835"/>
      <c r="N181" s="835"/>
      <c r="O181" s="48">
        <f>IF(t&lt;Tnet,'2026'!Resal+('2026'!Salim-'2026'!Resal)*(1-EXP(('2026'!Tnet-t)/('2026'!Tau_j))),Resal+(Salim-Resal)*(1-EXP((Tnet-t)/(Tau_j))))*Salcycl</f>
        <v>3.557532327582727E-2</v>
      </c>
      <c r="P181" s="165">
        <f>(INDEX(Models!$BJ181:$BT181,,T181)*(1-R181)+INDEX(Models!$BJ181:$BT181,,T181+1)*R181-ERP_i)*Q181*Ramure*Pc/MaxiM</f>
        <v>1.8992197338242589E-4</v>
      </c>
      <c r="Q181" s="301">
        <f t="shared" si="53"/>
        <v>0.5</v>
      </c>
      <c r="R181" s="173">
        <f t="shared" si="54"/>
        <v>0.76998309620474581</v>
      </c>
      <c r="S181" s="801">
        <f t="shared" si="55"/>
        <v>2</v>
      </c>
      <c r="T181" s="172">
        <f t="shared" si="56"/>
        <v>8</v>
      </c>
      <c r="U181" s="247">
        <f t="shared" si="57"/>
        <v>2.7699830962047458</v>
      </c>
      <c r="V181" s="378">
        <f t="shared" si="58"/>
        <v>235.9211632181368</v>
      </c>
      <c r="W181" s="397">
        <f t="shared" si="59"/>
        <v>209.25361441149346</v>
      </c>
      <c r="X181" s="153">
        <f t="shared" si="60"/>
        <v>46554</v>
      </c>
      <c r="Y181" s="380">
        <f t="shared" si="61"/>
        <v>203.40408813370365</v>
      </c>
      <c r="Z181" s="380">
        <f t="shared" si="62"/>
        <v>209.42228026572408</v>
      </c>
      <c r="AA181" s="381">
        <f t="shared" si="63"/>
        <v>223.3921257354958</v>
      </c>
      <c r="AB181" s="193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6.2535084545963376E-2</v>
      </c>
      <c r="AD181" s="227">
        <f>(INDEX(Models!$BJ181:$BT181,,AH181)*(1-AF181)+INDEX(Models!$BJ181:$BT181,,AH181+1)*AF181-ERP_i)*AE181*Ramure*Pc/MaxiM</f>
        <v>1.8992197338242589E-4</v>
      </c>
      <c r="AE181" s="301">
        <f t="shared" si="65"/>
        <v>0.5</v>
      </c>
      <c r="AF181" s="173">
        <f t="shared" si="66"/>
        <v>0.76998309620474581</v>
      </c>
      <c r="AG181" s="801">
        <f t="shared" si="74"/>
        <v>2</v>
      </c>
      <c r="AH181" s="172">
        <f t="shared" si="67"/>
        <v>8</v>
      </c>
      <c r="AI181" s="221">
        <f t="shared" si="68"/>
        <v>2.7699830962047458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46555</v>
      </c>
      <c r="B182" s="406">
        <f>'2026'!Wh/'2026'!Env_an*'2027'!Env_an</f>
        <v>215.78235631729726</v>
      </c>
      <c r="C182" s="831"/>
      <c r="D182" s="388">
        <f t="shared" si="50"/>
        <v>222.16983017554404</v>
      </c>
      <c r="E182" s="380">
        <f t="shared" si="75"/>
        <v>230.38178482991307</v>
      </c>
      <c r="F182" s="380">
        <f t="shared" si="51"/>
        <v>230.41961504481651</v>
      </c>
      <c r="G182" s="110">
        <f t="shared" si="76"/>
        <v>0.91490337397583366</v>
      </c>
      <c r="H182" s="409" t="b">
        <f>Wh_hp&gt;='2026'!Maxi_hp</f>
        <v>0</v>
      </c>
      <c r="I182" s="385">
        <f>IF(H182,Wh_hp,'2026'!Maxi_hp)</f>
        <v>230.42450598250218</v>
      </c>
      <c r="J182" s="85">
        <f>IF(H182,An,'2026'!An_max)</f>
        <v>2022</v>
      </c>
      <c r="K182" s="193">
        <f t="shared" si="52"/>
        <v>46555</v>
      </c>
      <c r="L182" s="143">
        <f>IF(t&lt;Tvie,1-EXP((T0-t)*PertePVj)+'2026'!Pspv,1-EXP((T0-t)*PertePVj)+Pspv)</f>
        <v>2.8750410679973193E-2</v>
      </c>
      <c r="M182" s="835"/>
      <c r="N182" s="835"/>
      <c r="O182" s="48">
        <f>IF(t&lt;Tnet,'2026'!Resal+('2026'!Salim-'2026'!Resal)*(1-EXP(('2026'!Tnet-t)/('2026'!Tau_j))),Resal+(Salim-Resal)*(1-EXP((Tnet-t)/(Tau_j))))*Salcycl</f>
        <v>3.5644982351498683E-2</v>
      </c>
      <c r="P182" s="165">
        <f>(INDEX(Models!$BJ182:$BT182,,T182)*(1-R182)+INDEX(Models!$BJ182:$BT182,,T182+1)*R182-ERP_i)*Q182*Ramure*Pc/MaxiM</f>
        <v>1.8689420931913939E-4</v>
      </c>
      <c r="Q182" s="301">
        <f t="shared" si="53"/>
        <v>0.5</v>
      </c>
      <c r="R182" s="173">
        <f t="shared" si="54"/>
        <v>0.77503805373440571</v>
      </c>
      <c r="S182" s="801">
        <f t="shared" si="55"/>
        <v>2</v>
      </c>
      <c r="T182" s="172">
        <f t="shared" si="56"/>
        <v>8</v>
      </c>
      <c r="U182" s="247">
        <f t="shared" si="57"/>
        <v>2.7750380537344057</v>
      </c>
      <c r="V182" s="378">
        <f t="shared" si="58"/>
        <v>235.84726021567189</v>
      </c>
      <c r="W182" s="397">
        <f t="shared" si="59"/>
        <v>215.78235631729726</v>
      </c>
      <c r="X182" s="153">
        <f t="shared" si="60"/>
        <v>46555</v>
      </c>
      <c r="Y182" s="380">
        <f t="shared" si="61"/>
        <v>209.75355764316211</v>
      </c>
      <c r="Z182" s="380">
        <f t="shared" si="62"/>
        <v>215.96257022874096</v>
      </c>
      <c r="AA182" s="381">
        <f t="shared" si="63"/>
        <v>230.38178482991307</v>
      </c>
      <c r="AB182" s="193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6.2588344872046175E-2</v>
      </c>
      <c r="AD182" s="227">
        <f>(INDEX(Models!$BJ182:$BT182,,AH182)*(1-AF182)+INDEX(Models!$BJ182:$BT182,,AH182+1)*AF182-ERP_i)*AE182*Ramure*Pc/MaxiM</f>
        <v>1.8689420931913939E-4</v>
      </c>
      <c r="AE182" s="301">
        <f t="shared" si="65"/>
        <v>0.5</v>
      </c>
      <c r="AF182" s="173">
        <f t="shared" si="66"/>
        <v>0.77503805373440571</v>
      </c>
      <c r="AG182" s="801">
        <f t="shared" si="74"/>
        <v>2</v>
      </c>
      <c r="AH182" s="172">
        <f t="shared" si="67"/>
        <v>8</v>
      </c>
      <c r="AI182" s="221">
        <f t="shared" si="68"/>
        <v>2.7750380537344057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46556</v>
      </c>
      <c r="B183" s="406">
        <f>'2026'!Wh/'2026'!Env_an*'2027'!Env_an</f>
        <v>222.46272242201061</v>
      </c>
      <c r="C183" s="831"/>
      <c r="D183" s="388">
        <f t="shared" si="50"/>
        <v>229.0510804203295</v>
      </c>
      <c r="E183" s="380">
        <f t="shared" si="75"/>
        <v>237.53440006902224</v>
      </c>
      <c r="F183" s="380">
        <f t="shared" si="51"/>
        <v>237.57465045784923</v>
      </c>
      <c r="G183" s="110">
        <f t="shared" si="76"/>
        <v>0.94357562549691931</v>
      </c>
      <c r="H183" s="409" t="b">
        <f>Wh_hp&gt;='2026'!Maxi_hp</f>
        <v>0</v>
      </c>
      <c r="I183" s="385">
        <f>IF(H183,Wh_hp,'2026'!Maxi_hp)</f>
        <v>237.57794236873499</v>
      </c>
      <c r="J183" s="85">
        <f>IF(H183,An,'2026'!An_max)</f>
        <v>2022</v>
      </c>
      <c r="K183" s="193">
        <f t="shared" si="52"/>
        <v>46556</v>
      </c>
      <c r="L183" s="143">
        <f>IF(t&lt;Tvie,1-EXP((T0-t)*PertePVj)+'2026'!Pspv,1-EXP((T0-t)*PertePVj)+Pspv)</f>
        <v>2.8763706271232814E-2</v>
      </c>
      <c r="M183" s="835"/>
      <c r="N183" s="835"/>
      <c r="O183" s="48">
        <f>IF(t&lt;Tnet,'2026'!Resal+('2026'!Salim-'2026'!Resal)*(1-EXP(('2026'!Tnet-t)/('2026'!Tau_j))),Resal+(Salim-Resal)*(1-EXP((Tnet-t)/(Tau_j))))*Salcycl</f>
        <v>3.5714067714940151E-2</v>
      </c>
      <c r="P183" s="165">
        <f>(INDEX(Models!$BJ183:$BT183,,T183)*(1-R183)+INDEX(Models!$BJ183:$BT183,,T183+1)*R183-ERP_i)*Q183*Ramure*Pc/MaxiM</f>
        <v>1.8427184179036263E-4</v>
      </c>
      <c r="Q183" s="301">
        <f t="shared" si="53"/>
        <v>0.5</v>
      </c>
      <c r="R183" s="173">
        <f t="shared" si="54"/>
        <v>0.78006342651667726</v>
      </c>
      <c r="S183" s="801">
        <f t="shared" si="55"/>
        <v>2</v>
      </c>
      <c r="T183" s="172">
        <f t="shared" si="56"/>
        <v>8</v>
      </c>
      <c r="U183" s="247">
        <f t="shared" si="57"/>
        <v>2.7800634265166773</v>
      </c>
      <c r="V183" s="378">
        <f t="shared" si="58"/>
        <v>235.76215019775819</v>
      </c>
      <c r="W183" s="397">
        <f t="shared" si="59"/>
        <v>222.46272242201061</v>
      </c>
      <c r="X183" s="153">
        <f t="shared" si="60"/>
        <v>46556</v>
      </c>
      <c r="Y183" s="380">
        <f t="shared" si="61"/>
        <v>216.25071506998268</v>
      </c>
      <c r="Z183" s="380">
        <f t="shared" si="62"/>
        <v>222.65510099478846</v>
      </c>
      <c r="AA183" s="381">
        <f t="shared" si="63"/>
        <v>237.53440006902224</v>
      </c>
      <c r="AB183" s="193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6.2640607296922904E-2</v>
      </c>
      <c r="AD183" s="227">
        <f>(INDEX(Models!$BJ183:$BT183,,AH183)*(1-AF183)+INDEX(Models!$BJ183:$BT183,,AH183+1)*AF183-ERP_i)*AE183*Ramure*Pc/MaxiM</f>
        <v>1.8427184179036263E-4</v>
      </c>
      <c r="AE183" s="301">
        <f t="shared" si="65"/>
        <v>0.5</v>
      </c>
      <c r="AF183" s="173">
        <f t="shared" si="66"/>
        <v>0.78006342651667726</v>
      </c>
      <c r="AG183" s="801">
        <f t="shared" si="74"/>
        <v>2</v>
      </c>
      <c r="AH183" s="172">
        <f t="shared" si="67"/>
        <v>8</v>
      </c>
      <c r="AI183" s="221">
        <f t="shared" si="68"/>
        <v>2.7800634265166773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46557</v>
      </c>
      <c r="B184" s="406">
        <f>'2026'!Wh/'2026'!Env_an*'2027'!Env_an</f>
        <v>226.68866930072758</v>
      </c>
      <c r="C184" s="831"/>
      <c r="D184" s="388">
        <f t="shared" si="50"/>
        <v>233.4053762039843</v>
      </c>
      <c r="E184" s="380">
        <f t="shared" si="75"/>
        <v>242.06716065789018</v>
      </c>
      <c r="F184" s="380">
        <f t="shared" si="51"/>
        <v>242.10893789589724</v>
      </c>
      <c r="G184" s="110">
        <f t="shared" si="76"/>
        <v>0.9618959806664773</v>
      </c>
      <c r="H184" s="409" t="b">
        <f>Wh_hp&gt;='2026'!Maxi_hp</f>
        <v>0</v>
      </c>
      <c r="I184" s="385">
        <f>IF(H184,Wh_hp,'2026'!Maxi_hp)</f>
        <v>242.11117824883087</v>
      </c>
      <c r="J184" s="85">
        <f>IF(H184,An,'2026'!An_max)</f>
        <v>2022</v>
      </c>
      <c r="K184" s="193">
        <f t="shared" si="52"/>
        <v>46557</v>
      </c>
      <c r="L184" s="143">
        <f>IF(t&lt;Tvie,1-EXP((T0-t)*PertePVj)+'2026'!Pspv,1-EXP((T0-t)*PertePVj)+Pspv)</f>
        <v>2.8777001680486802E-2</v>
      </c>
      <c r="M184" s="835"/>
      <c r="N184" s="835"/>
      <c r="O184" s="48">
        <f>IF(t&lt;Tnet,'2026'!Resal+('2026'!Salim-'2026'!Resal)*(1-EXP(('2026'!Tnet-t)/('2026'!Tau_j))),Resal+(Salim-Resal)*(1-EXP((Tnet-t)/(Tau_j))))*Salcycl</f>
        <v>3.5782567244416322E-2</v>
      </c>
      <c r="P184" s="165">
        <f>(INDEX(Models!$BJ184:$BT184,,T184)*(1-R184)+INDEX(Models!$BJ184:$BT184,,T184+1)*R184-ERP_i)*Q184*Ramure*Pc/MaxiM</f>
        <v>1.824865787190517E-4</v>
      </c>
      <c r="Q184" s="301">
        <f t="shared" si="53"/>
        <v>0.5</v>
      </c>
      <c r="R184" s="173">
        <f t="shared" si="54"/>
        <v>0.78505526993108976</v>
      </c>
      <c r="S184" s="801">
        <f t="shared" si="55"/>
        <v>2</v>
      </c>
      <c r="T184" s="172">
        <f t="shared" si="56"/>
        <v>8</v>
      </c>
      <c r="U184" s="247">
        <f t="shared" si="57"/>
        <v>2.7850552699310898</v>
      </c>
      <c r="V184" s="378">
        <f t="shared" si="58"/>
        <v>235.66624896456898</v>
      </c>
      <c r="W184" s="397">
        <f t="shared" si="59"/>
        <v>226.68866930072758</v>
      </c>
      <c r="X184" s="153">
        <f t="shared" si="60"/>
        <v>46557</v>
      </c>
      <c r="Y184" s="380">
        <f t="shared" si="61"/>
        <v>220.36226389273685</v>
      </c>
      <c r="Z184" s="380">
        <f t="shared" si="62"/>
        <v>226.8915215908448</v>
      </c>
      <c r="AA184" s="381">
        <f t="shared" si="63"/>
        <v>242.06716065789018</v>
      </c>
      <c r="AB184" s="193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6.2691853887991325E-2</v>
      </c>
      <c r="AD184" s="227">
        <f>(INDEX(Models!$BJ184:$BT184,,AH184)*(1-AF184)+INDEX(Models!$BJ184:$BT184,,AH184+1)*AF184-ERP_i)*AE184*Ramure*Pc/MaxiM</f>
        <v>1.824865787190517E-4</v>
      </c>
      <c r="AE184" s="301">
        <f t="shared" si="65"/>
        <v>0.5</v>
      </c>
      <c r="AF184" s="173">
        <f t="shared" si="66"/>
        <v>0.78505526993108976</v>
      </c>
      <c r="AG184" s="801">
        <f t="shared" si="74"/>
        <v>2</v>
      </c>
      <c r="AH184" s="172">
        <f t="shared" si="67"/>
        <v>8</v>
      </c>
      <c r="AI184" s="221">
        <f t="shared" si="68"/>
        <v>2.7850552699310898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46558</v>
      </c>
      <c r="B185" s="406">
        <f>'2026'!Wh/'2026'!Env_an*'2027'!Env_an</f>
        <v>122.0791296472952</v>
      </c>
      <c r="C185" s="831"/>
      <c r="D185" s="388">
        <f t="shared" si="50"/>
        <v>125.69801275523093</v>
      </c>
      <c r="E185" s="380">
        <f t="shared" si="75"/>
        <v>130.3719069615409</v>
      </c>
      <c r="F185" s="380">
        <f t="shared" si="51"/>
        <v>130.37928508178447</v>
      </c>
      <c r="G185" s="110">
        <f t="shared" si="76"/>
        <v>0.5181857573323897</v>
      </c>
      <c r="H185" s="409" t="b">
        <f>Wh_hp&gt;='2026'!Maxi_hp</f>
        <v>0</v>
      </c>
      <c r="I185" s="385">
        <f>IF(H185,Wh_hp,'2026'!Maxi_hp)</f>
        <v>130.39443966361594</v>
      </c>
      <c r="J185" s="85">
        <f>IF(H185,An,'2026'!An_max)</f>
        <v>2022</v>
      </c>
      <c r="K185" s="193">
        <f t="shared" si="52"/>
        <v>46558</v>
      </c>
      <c r="L185" s="143">
        <f>IF(t&lt;Tvie,1-EXP((T0-t)*PertePVj)+'2026'!Pspv,1-EXP((T0-t)*PertePVj)+Pspv)</f>
        <v>2.8790296907737933E-2</v>
      </c>
      <c r="M185" s="835"/>
      <c r="N185" s="835"/>
      <c r="O185" s="48">
        <f>IF(t&lt;Tnet,'2026'!Resal+('2026'!Salim-'2026'!Resal)*(1-EXP(('2026'!Tnet-t)/('2026'!Tau_j))),Resal+(Salim-Resal)*(1-EXP((Tnet-t)/(Tau_j))))*Salcycl</f>
        <v>3.5850470513472975E-2</v>
      </c>
      <c r="P185" s="165">
        <f>(INDEX(Models!$BJ185:$BT185,,T185)*(1-R185)+INDEX(Models!$BJ185:$BT185,,T185+1)*R185-ERP_i)*Q185*Ramure*Pc/MaxiM</f>
        <v>1.8150138066296906E-4</v>
      </c>
      <c r="Q185" s="301">
        <f t="shared" si="53"/>
        <v>0.5</v>
      </c>
      <c r="R185" s="173">
        <f t="shared" si="54"/>
        <v>0.79000974800817225</v>
      </c>
      <c r="S185" s="801">
        <f t="shared" si="55"/>
        <v>2</v>
      </c>
      <c r="T185" s="172">
        <f t="shared" si="56"/>
        <v>8</v>
      </c>
      <c r="U185" s="247">
        <f t="shared" si="57"/>
        <v>2.7900097480081723</v>
      </c>
      <c r="V185" s="378">
        <f t="shared" si="58"/>
        <v>235.56008235217092</v>
      </c>
      <c r="W185" s="397">
        <f t="shared" si="59"/>
        <v>122.0791296472952</v>
      </c>
      <c r="X185" s="153">
        <f t="shared" si="60"/>
        <v>46558</v>
      </c>
      <c r="Y185" s="380">
        <f t="shared" si="61"/>
        <v>118.67415673724605</v>
      </c>
      <c r="Z185" s="380">
        <f t="shared" si="62"/>
        <v>122.19210368203288</v>
      </c>
      <c r="AA185" s="381">
        <f t="shared" si="63"/>
        <v>130.3719069615409</v>
      </c>
      <c r="AB185" s="193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6.2742069746061294E-2</v>
      </c>
      <c r="AD185" s="227">
        <f>(INDEX(Models!$BJ185:$BT185,,AH185)*(1-AF185)+INDEX(Models!$BJ185:$BT185,,AH185+1)*AF185-ERP_i)*AE185*Ramure*Pc/MaxiM</f>
        <v>1.8150138066296906E-4</v>
      </c>
      <c r="AE185" s="301">
        <f t="shared" si="65"/>
        <v>0.5</v>
      </c>
      <c r="AF185" s="173">
        <f t="shared" si="66"/>
        <v>0.79000974800817225</v>
      </c>
      <c r="AG185" s="801">
        <f t="shared" si="74"/>
        <v>2</v>
      </c>
      <c r="AH185" s="172">
        <f t="shared" si="67"/>
        <v>8</v>
      </c>
      <c r="AI185" s="221">
        <f t="shared" si="68"/>
        <v>2.7900097480081723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46559</v>
      </c>
      <c r="B186" s="406">
        <f>'2026'!Wh/'2026'!Env_an*'2027'!Env_an</f>
        <v>87.071967647588124</v>
      </c>
      <c r="C186" s="831"/>
      <c r="D186" s="388">
        <f t="shared" si="50"/>
        <v>89.654334515797899</v>
      </c>
      <c r="E186" s="380">
        <f t="shared" si="75"/>
        <v>92.994489075432639</v>
      </c>
      <c r="F186" s="380">
        <f t="shared" si="51"/>
        <v>92.996171046043642</v>
      </c>
      <c r="G186" s="110">
        <f t="shared" si="76"/>
        <v>0.36975965813819406</v>
      </c>
      <c r="H186" s="409" t="b">
        <f>Wh_hp&gt;='2026'!Maxi_hp</f>
        <v>0</v>
      </c>
      <c r="I186" s="385">
        <f>IF(H186,Wh_hp,'2026'!Maxi_hp)</f>
        <v>93.010280369136851</v>
      </c>
      <c r="J186" s="85">
        <f>IF(H186,An,'2026'!An_max)</f>
        <v>2022</v>
      </c>
      <c r="K186" s="193">
        <f t="shared" si="52"/>
        <v>46559</v>
      </c>
      <c r="L186" s="143">
        <f>IF(t&lt;Tvie,1-EXP((T0-t)*PertePVj)+'2026'!Pspv,1-EXP((T0-t)*PertePVj)+Pspv)</f>
        <v>2.8803591952988539E-2</v>
      </c>
      <c r="M186" s="835"/>
      <c r="N186" s="835"/>
      <c r="O186" s="48">
        <f>IF(t&lt;Tnet,'2026'!Resal+('2026'!Salim-'2026'!Resal)*(1-EXP(('2026'!Tnet-t)/('2026'!Tau_j))),Resal+(Salim-Resal)*(1-EXP((Tnet-t)/(Tau_j))))*Salcycl</f>
        <v>3.5917768814508665E-2</v>
      </c>
      <c r="P186" s="165">
        <f>(INDEX(Models!$BJ186:$BT186,,T186)*(1-R186)+INDEX(Models!$BJ186:$BT186,,T186+1)*R186-ERP_i)*Q186*Ramure*Pc/MaxiM</f>
        <v>1.8133070207192908E-4</v>
      </c>
      <c r="Q186" s="301">
        <f t="shared" si="53"/>
        <v>0.5</v>
      </c>
      <c r="R186" s="173">
        <f t="shared" si="54"/>
        <v>0.79492314455779889</v>
      </c>
      <c r="S186" s="801">
        <f t="shared" si="55"/>
        <v>2</v>
      </c>
      <c r="T186" s="172">
        <f t="shared" si="56"/>
        <v>8</v>
      </c>
      <c r="U186" s="247">
        <f t="shared" si="57"/>
        <v>2.7949231445577989</v>
      </c>
      <c r="V186" s="378">
        <f t="shared" si="58"/>
        <v>235.44416346183172</v>
      </c>
      <c r="W186" s="397">
        <f t="shared" si="59"/>
        <v>87.071967647588124</v>
      </c>
      <c r="X186" s="153">
        <f t="shared" si="60"/>
        <v>46559</v>
      </c>
      <c r="Y186" s="380">
        <f t="shared" si="61"/>
        <v>84.644865267984912</v>
      </c>
      <c r="Z186" s="380">
        <f t="shared" si="62"/>
        <v>87.155249511474324</v>
      </c>
      <c r="AA186" s="381">
        <f t="shared" si="63"/>
        <v>92.994489075432639</v>
      </c>
      <c r="AB186" s="193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6.2791243029700419E-2</v>
      </c>
      <c r="AD186" s="227">
        <f>(INDEX(Models!$BJ186:$BT186,,AH186)*(1-AF186)+INDEX(Models!$BJ186:$BT186,,AH186+1)*AF186-ERP_i)*AE186*Ramure*Pc/MaxiM</f>
        <v>1.8133070207192908E-4</v>
      </c>
      <c r="AE186" s="301">
        <f t="shared" si="65"/>
        <v>0.5</v>
      </c>
      <c r="AF186" s="173">
        <f t="shared" si="66"/>
        <v>0.79492314455779889</v>
      </c>
      <c r="AG186" s="801">
        <f t="shared" si="74"/>
        <v>2</v>
      </c>
      <c r="AH186" s="172">
        <f t="shared" si="67"/>
        <v>8</v>
      </c>
      <c r="AI186" s="221">
        <f t="shared" si="68"/>
        <v>2.7949231445577989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46560</v>
      </c>
      <c r="B187" s="406">
        <f>'2026'!Wh/'2026'!Env_an*'2027'!Env_an</f>
        <v>172.11348163071304</v>
      </c>
      <c r="C187" s="831"/>
      <c r="D187" s="388">
        <f t="shared" si="50"/>
        <v>177.22042248704875</v>
      </c>
      <c r="E187" s="380">
        <f t="shared" si="75"/>
        <v>183.83564812619082</v>
      </c>
      <c r="F187" s="380">
        <f t="shared" si="51"/>
        <v>183.85626912784693</v>
      </c>
      <c r="G187" s="110">
        <f t="shared" si="76"/>
        <v>0.73135385561470256</v>
      </c>
      <c r="H187" s="409" t="b">
        <f>Wh_hp&gt;='2026'!Maxi_hp</f>
        <v>0</v>
      </c>
      <c r="I187" s="385">
        <f>IF(H187,Wh_hp,'2026'!Maxi_hp)</f>
        <v>183.86818847597502</v>
      </c>
      <c r="J187" s="85">
        <f>IF(H187,An,'2026'!An_max)</f>
        <v>2022</v>
      </c>
      <c r="K187" s="193">
        <f t="shared" si="52"/>
        <v>46560</v>
      </c>
      <c r="L187" s="143">
        <f>IF(t&lt;Tvie,1-EXP((T0-t)*PertePVj)+'2026'!Pspv,1-EXP((T0-t)*PertePVj)+Pspv)</f>
        <v>2.8816886816241061E-2</v>
      </c>
      <c r="M187" s="835"/>
      <c r="N187" s="835"/>
      <c r="O187" s="48">
        <f>IF(t&lt;Tnet,'2026'!Resal+('2026'!Salim-'2026'!Resal)*(1-EXP(('2026'!Tnet-t)/('2026'!Tau_j))),Resal+(Salim-Resal)*(1-EXP((Tnet-t)/(Tau_j))))*Salcycl</f>
        <v>3.5984455172705015E-2</v>
      </c>
      <c r="P187" s="165">
        <f>(INDEX(Models!$BJ187:$BT187,,T187)*(1-R187)+INDEX(Models!$BJ187:$BT187,,T187+1)*R187-ERP_i)*Q187*Ramure*Pc/MaxiM</f>
        <v>1.8198862538614113E-4</v>
      </c>
      <c r="Q187" s="301">
        <f t="shared" si="53"/>
        <v>0.5</v>
      </c>
      <c r="R187" s="173">
        <f t="shared" si="54"/>
        <v>0.79979187349788639</v>
      </c>
      <c r="S187" s="801">
        <f t="shared" si="55"/>
        <v>2</v>
      </c>
      <c r="T187" s="172">
        <f t="shared" si="56"/>
        <v>8</v>
      </c>
      <c r="U187" s="247">
        <f t="shared" si="57"/>
        <v>2.7997918734978864</v>
      </c>
      <c r="V187" s="378">
        <f t="shared" si="58"/>
        <v>235.31900490613373</v>
      </c>
      <c r="W187" s="397">
        <f t="shared" si="59"/>
        <v>172.11348163071304</v>
      </c>
      <c r="X187" s="153">
        <f t="shared" si="60"/>
        <v>46560</v>
      </c>
      <c r="Y187" s="380">
        <f t="shared" si="61"/>
        <v>167.31885767715565</v>
      </c>
      <c r="Z187" s="380">
        <f t="shared" si="62"/>
        <v>172.28353274043903</v>
      </c>
      <c r="AA187" s="381">
        <f t="shared" si="63"/>
        <v>183.83564812619082</v>
      </c>
      <c r="AB187" s="193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6.2839364962676073E-2</v>
      </c>
      <c r="AD187" s="227">
        <f>(INDEX(Models!$BJ187:$BT187,,AH187)*(1-AF187)+INDEX(Models!$BJ187:$BT187,,AH187+1)*AF187-ERP_i)*AE187*Ramure*Pc/MaxiM</f>
        <v>1.8198862538614113E-4</v>
      </c>
      <c r="AE187" s="301">
        <f t="shared" si="65"/>
        <v>0.5</v>
      </c>
      <c r="AF187" s="173">
        <f t="shared" si="66"/>
        <v>0.79979187349788639</v>
      </c>
      <c r="AG187" s="801">
        <f t="shared" si="74"/>
        <v>2</v>
      </c>
      <c r="AH187" s="172">
        <f t="shared" si="67"/>
        <v>8</v>
      </c>
      <c r="AI187" s="221">
        <f t="shared" si="68"/>
        <v>2.7997918734978864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46561</v>
      </c>
      <c r="B188" s="406">
        <f>'2026'!Wh/'2026'!Env_an*'2027'!Env_an</f>
        <v>168.40133576570483</v>
      </c>
      <c r="C188" s="831"/>
      <c r="D188" s="388">
        <f t="shared" si="50"/>
        <v>173.40050376088888</v>
      </c>
      <c r="E188" s="380">
        <f t="shared" si="75"/>
        <v>179.88546925034666</v>
      </c>
      <c r="F188" s="380">
        <f t="shared" si="51"/>
        <v>179.90508855779979</v>
      </c>
      <c r="G188" s="110">
        <f t="shared" si="76"/>
        <v>0.71598407360149752</v>
      </c>
      <c r="H188" s="409" t="b">
        <f>Wh_hp&gt;='2026'!Maxi_hp</f>
        <v>0</v>
      </c>
      <c r="I188" s="385">
        <f>IF(H188,Wh_hp,'2026'!Maxi_hp)</f>
        <v>179.91750851894366</v>
      </c>
      <c r="J188" s="85">
        <f>IF(H188,An,'2026'!An_max)</f>
        <v>2022</v>
      </c>
      <c r="K188" s="193">
        <f t="shared" si="52"/>
        <v>46561</v>
      </c>
      <c r="L188" s="143">
        <f>IF(t&lt;Tvie,1-EXP((T0-t)*PertePVj)+'2026'!Pspv,1-EXP((T0-t)*PertePVj)+Pspv)</f>
        <v>2.8830181497498164E-2</v>
      </c>
      <c r="M188" s="835"/>
      <c r="N188" s="835"/>
      <c r="O188" s="48">
        <f>IF(t&lt;Tnet,'2026'!Resal+('2026'!Salim-'2026'!Resal)*(1-EXP(('2026'!Tnet-t)/('2026'!Tau_j))),Resal+(Salim-Resal)*(1-EXP((Tnet-t)/(Tau_j))))*Salcycl</f>
        <v>3.6050524350205497E-2</v>
      </c>
      <c r="P188" s="165">
        <f>(INDEX(Models!$BJ188:$BT188,,T188)*(1-R188)+INDEX(Models!$BJ188:$BT188,,T188+1)*R188-ERP_i)*Q188*Ramure*Pc/MaxiM</f>
        <v>1.8348726041221612E-4</v>
      </c>
      <c r="Q188" s="301">
        <f t="shared" si="53"/>
        <v>0.5</v>
      </c>
      <c r="R188" s="173">
        <f t="shared" si="54"/>
        <v>0.80461248832910837</v>
      </c>
      <c r="S188" s="801">
        <f t="shared" si="55"/>
        <v>2</v>
      </c>
      <c r="T188" s="172">
        <f t="shared" si="56"/>
        <v>8</v>
      </c>
      <c r="U188" s="247">
        <f t="shared" si="57"/>
        <v>2.8046124883291084</v>
      </c>
      <c r="V188" s="378">
        <f t="shared" si="58"/>
        <v>235.18511917869378</v>
      </c>
      <c r="W188" s="397">
        <f t="shared" si="59"/>
        <v>168.40133576570483</v>
      </c>
      <c r="X188" s="153">
        <f t="shared" si="60"/>
        <v>46561</v>
      </c>
      <c r="Y188" s="380">
        <f t="shared" si="61"/>
        <v>163.71312083068949</v>
      </c>
      <c r="Z188" s="380">
        <f t="shared" si="62"/>
        <v>168.57311431190007</v>
      </c>
      <c r="AA188" s="381">
        <f t="shared" si="63"/>
        <v>179.88546925034666</v>
      </c>
      <c r="AB188" s="193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6.288642982442999E-2</v>
      </c>
      <c r="AD188" s="227">
        <f>(INDEX(Models!$BJ188:$BT188,,AH188)*(1-AF188)+INDEX(Models!$BJ188:$BT188,,AH188+1)*AF188-ERP_i)*AE188*Ramure*Pc/MaxiM</f>
        <v>1.8348726041221612E-4</v>
      </c>
      <c r="AE188" s="301">
        <f t="shared" si="65"/>
        <v>0.5</v>
      </c>
      <c r="AF188" s="173">
        <f t="shared" si="66"/>
        <v>0.80461248832910837</v>
      </c>
      <c r="AG188" s="801">
        <f t="shared" si="74"/>
        <v>2</v>
      </c>
      <c r="AH188" s="172">
        <f t="shared" si="67"/>
        <v>8</v>
      </c>
      <c r="AI188" s="221">
        <f t="shared" si="68"/>
        <v>2.8046124883291084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46562</v>
      </c>
      <c r="B189" s="406">
        <f>'2026'!Wh/'2026'!Env_an*'2027'!Env_an</f>
        <v>168.2683006315649</v>
      </c>
      <c r="C189" s="831"/>
      <c r="D189" s="388">
        <f t="shared" si="50"/>
        <v>173.26589120561155</v>
      </c>
      <c r="E189" s="380">
        <f t="shared" si="75"/>
        <v>179.75802723509764</v>
      </c>
      <c r="F189" s="380">
        <f t="shared" si="51"/>
        <v>179.77787750417437</v>
      </c>
      <c r="G189" s="110">
        <f t="shared" si="76"/>
        <v>0.71585026940899266</v>
      </c>
      <c r="H189" s="409" t="b">
        <f>Wh_hp&gt;='2026'!Maxi_hp</f>
        <v>0</v>
      </c>
      <c r="I189" s="385">
        <f>IF(H189,Wh_hp,'2026'!Maxi_hp)</f>
        <v>179.79044298559464</v>
      </c>
      <c r="J189" s="85">
        <f>IF(H189,An,'2026'!An_max)</f>
        <v>2022</v>
      </c>
      <c r="K189" s="193">
        <f t="shared" si="52"/>
        <v>46562</v>
      </c>
      <c r="L189" s="143">
        <f>IF(t&lt;Tvie,1-EXP((T0-t)*PertePVj)+'2026'!Pspv,1-EXP((T0-t)*PertePVj)+Pspv)</f>
        <v>2.884347599676218E-2</v>
      </c>
      <c r="M189" s="835"/>
      <c r="N189" s="835"/>
      <c r="O189" s="48">
        <f>IF(t&lt;Tnet,'2026'!Resal+('2026'!Salim-'2026'!Resal)*(1-EXP(('2026'!Tnet-t)/('2026'!Tau_j))),Resal+(Salim-Resal)*(1-EXP((Tnet-t)/(Tau_j))))*Salcycl</f>
        <v>3.6115972840508069E-2</v>
      </c>
      <c r="P189" s="165">
        <f>(INDEX(Models!$BJ189:$BT189,,T189)*(1-R189)+INDEX(Models!$BJ189:$BT189,,T189+1)*R189-ERP_i)*Q189*Ramure*Pc/MaxiM</f>
        <v>1.8583812260956906E-4</v>
      </c>
      <c r="Q189" s="301">
        <f t="shared" si="53"/>
        <v>0.5</v>
      </c>
      <c r="R189" s="173">
        <f t="shared" si="54"/>
        <v>0.80938169071065103</v>
      </c>
      <c r="S189" s="801">
        <f t="shared" si="55"/>
        <v>2</v>
      </c>
      <c r="T189" s="172">
        <f t="shared" si="56"/>
        <v>8</v>
      </c>
      <c r="U189" s="247">
        <f t="shared" si="57"/>
        <v>2.809381690710651</v>
      </c>
      <c r="V189" s="378">
        <f t="shared" si="58"/>
        <v>235.04301833539944</v>
      </c>
      <c r="W189" s="397">
        <f t="shared" si="59"/>
        <v>168.2683006315649</v>
      </c>
      <c r="X189" s="153">
        <f t="shared" si="60"/>
        <v>46562</v>
      </c>
      <c r="Y189" s="380">
        <f t="shared" si="61"/>
        <v>163.58686554545878</v>
      </c>
      <c r="Z189" s="380">
        <f t="shared" si="62"/>
        <v>168.4454168841205</v>
      </c>
      <c r="AA189" s="381">
        <f t="shared" si="63"/>
        <v>179.75802723509764</v>
      </c>
      <c r="AB189" s="193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6.2932434923653607E-2</v>
      </c>
      <c r="AD189" s="227">
        <f>(INDEX(Models!$BJ189:$BT189,,AH189)*(1-AF189)+INDEX(Models!$BJ189:$BT189,,AH189+1)*AF189-ERP_i)*AE189*Ramure*Pc/MaxiM</f>
        <v>1.8583812260956906E-4</v>
      </c>
      <c r="AE189" s="301">
        <f t="shared" si="65"/>
        <v>0.5</v>
      </c>
      <c r="AF189" s="173">
        <f t="shared" si="66"/>
        <v>0.80938169071065103</v>
      </c>
      <c r="AG189" s="801">
        <f t="shared" si="74"/>
        <v>2</v>
      </c>
      <c r="AH189" s="172">
        <f t="shared" si="67"/>
        <v>8</v>
      </c>
      <c r="AI189" s="221">
        <f t="shared" si="68"/>
        <v>2.809381690710651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46563</v>
      </c>
      <c r="B190" s="406">
        <f>'2026'!Wh/'2026'!Env_an*'2027'!Env_an</f>
        <v>143.52927909586666</v>
      </c>
      <c r="C190" s="831"/>
      <c r="D190" s="388">
        <f t="shared" si="50"/>
        <v>147.79414066685024</v>
      </c>
      <c r="E190" s="380">
        <f t="shared" si="75"/>
        <v>153.34218335864671</v>
      </c>
      <c r="F190" s="380">
        <f t="shared" si="51"/>
        <v>153.35506592117099</v>
      </c>
      <c r="G190" s="110">
        <f t="shared" si="76"/>
        <v>0.61097635824805008</v>
      </c>
      <c r="H190" s="409" t="b">
        <f>Wh_hp&gt;='2026'!Maxi_hp</f>
        <v>0</v>
      </c>
      <c r="I190" s="385">
        <f>IF(H190,Wh_hp,'2026'!Maxi_hp)</f>
        <v>153.36998421899938</v>
      </c>
      <c r="J190" s="85">
        <f>IF(H190,An,'2026'!An_max)</f>
        <v>2022</v>
      </c>
      <c r="K190" s="193">
        <f t="shared" si="52"/>
        <v>46563</v>
      </c>
      <c r="L190" s="143">
        <f>IF(t&lt;Tvie,1-EXP((T0-t)*PertePVj)+'2026'!Pspv,1-EXP((T0-t)*PertePVj)+Pspv)</f>
        <v>2.8856770314035662E-2</v>
      </c>
      <c r="M190" s="835"/>
      <c r="N190" s="835"/>
      <c r="O190" s="48">
        <f>IF(t&lt;Tnet,'2026'!Resal+('2026'!Salim-'2026'!Resal)*(1-EXP(('2026'!Tnet-t)/('2026'!Tau_j))),Resal+(Salim-Resal)*(1-EXP((Tnet-t)/(Tau_j))))*Salcycl</f>
        <v>3.618079885311367E-2</v>
      </c>
      <c r="P190" s="165">
        <f>(INDEX(Models!$BJ190:$BT190,,T190)*(1-R190)+INDEX(Models!$BJ190:$BT190,,T190+1)*R190-ERP_i)*Q190*Ramure*Pc/MaxiM</f>
        <v>1.8905368931862983E-4</v>
      </c>
      <c r="Q190" s="301">
        <f t="shared" si="53"/>
        <v>0.5</v>
      </c>
      <c r="R190" s="173">
        <f t="shared" si="54"/>
        <v>0.81409633810162685</v>
      </c>
      <c r="S190" s="801">
        <f t="shared" si="55"/>
        <v>2</v>
      </c>
      <c r="T190" s="172">
        <f t="shared" si="56"/>
        <v>8</v>
      </c>
      <c r="U190" s="247">
        <f t="shared" si="57"/>
        <v>2.8140963381016268</v>
      </c>
      <c r="V190" s="378">
        <f t="shared" si="58"/>
        <v>234.89321362640555</v>
      </c>
      <c r="W190" s="397">
        <f t="shared" si="59"/>
        <v>143.52927909586666</v>
      </c>
      <c r="X190" s="153">
        <f t="shared" si="60"/>
        <v>46563</v>
      </c>
      <c r="Y190" s="380">
        <f t="shared" si="61"/>
        <v>139.53880655770578</v>
      </c>
      <c r="Z190" s="380">
        <f t="shared" si="62"/>
        <v>143.68509432210945</v>
      </c>
      <c r="AA190" s="381">
        <f t="shared" si="63"/>
        <v>153.34218335864671</v>
      </c>
      <c r="AB190" s="193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6.2977380555164081E-2</v>
      </c>
      <c r="AD190" s="227">
        <f>(INDEX(Models!$BJ190:$BT190,,AH190)*(1-AF190)+INDEX(Models!$BJ190:$BT190,,AH190+1)*AF190-ERP_i)*AE190*Ramure*Pc/MaxiM</f>
        <v>1.8905368931862983E-4</v>
      </c>
      <c r="AE190" s="301">
        <f t="shared" si="65"/>
        <v>0.5</v>
      </c>
      <c r="AF190" s="173">
        <f t="shared" si="66"/>
        <v>0.81409633810162685</v>
      </c>
      <c r="AG190" s="801">
        <f t="shared" si="74"/>
        <v>2</v>
      </c>
      <c r="AH190" s="172">
        <f t="shared" si="67"/>
        <v>8</v>
      </c>
      <c r="AI190" s="221">
        <f t="shared" si="68"/>
        <v>2.8140963381016268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46564</v>
      </c>
      <c r="B191" s="406">
        <f>'2026'!Wh/'2026'!Env_an*'2027'!Env_an</f>
        <v>47.732497758288957</v>
      </c>
      <c r="C191" s="831"/>
      <c r="D191" s="388">
        <f t="shared" si="50"/>
        <v>49.15150487171654</v>
      </c>
      <c r="E191" s="380">
        <f t="shared" si="75"/>
        <v>50.999999987997548</v>
      </c>
      <c r="F191" s="380">
        <f t="shared" si="51"/>
        <v>50.999999987997548</v>
      </c>
      <c r="G191" s="110">
        <f t="shared" si="76"/>
        <v>0.20330517635941764</v>
      </c>
      <c r="H191" s="409" t="b">
        <f>Wh_hp&gt;='2026'!Maxi_hp</f>
        <v>0</v>
      </c>
      <c r="I191" s="385">
        <f>IF(H191,Wh_hp,'2026'!Maxi_hp)</f>
        <v>51.009116400553765</v>
      </c>
      <c r="J191" s="85">
        <f>IF(H191,An,'2026'!An_max)</f>
        <v>2022</v>
      </c>
      <c r="K191" s="193">
        <f t="shared" si="52"/>
        <v>46564</v>
      </c>
      <c r="L191" s="143">
        <f>IF(t&lt;Tvie,1-EXP((T0-t)*PertePVj)+'2026'!Pspv,1-EXP((T0-t)*PertePVj)+Pspv)</f>
        <v>2.8870064449321164E-2</v>
      </c>
      <c r="M191" s="835"/>
      <c r="N191" s="835"/>
      <c r="O191" s="48">
        <f>IF(t&lt;Tnet,'2026'!Resal+('2026'!Salim-'2026'!Resal)*(1-EXP(('2026'!Tnet-t)/('2026'!Tau_j))),Resal+(Salim-Resal)*(1-EXP((Tnet-t)/(Tau_j))))*Salcycl</f>
        <v>3.6245002288549794E-2</v>
      </c>
      <c r="P191" s="165">
        <f>(INDEX(Models!$BJ191:$BT191,,T191)*(1-R191)+INDEX(Models!$BJ191:$BT191,,T191+1)*R191-ERP_i)*Q191*Ramure*Pc/MaxiM</f>
        <v>1.9314509341123053E-4</v>
      </c>
      <c r="Q191" s="301">
        <f t="shared" si="53"/>
        <v>0.5</v>
      </c>
      <c r="R191" s="173">
        <f t="shared" si="54"/>
        <v>0.81875345044245895</v>
      </c>
      <c r="S191" s="801">
        <f t="shared" si="55"/>
        <v>2</v>
      </c>
      <c r="T191" s="172">
        <f t="shared" si="56"/>
        <v>8</v>
      </c>
      <c r="U191" s="247">
        <f t="shared" si="57"/>
        <v>2.818753450442459</v>
      </c>
      <c r="V191" s="378">
        <f t="shared" si="58"/>
        <v>234.73715384492721</v>
      </c>
      <c r="W191" s="397">
        <f t="shared" si="59"/>
        <v>47.732497758288957</v>
      </c>
      <c r="X191" s="153">
        <f t="shared" si="60"/>
        <v>46564</v>
      </c>
      <c r="Y191" s="380">
        <f t="shared" si="61"/>
        <v>46.406332769569971</v>
      </c>
      <c r="Z191" s="380">
        <f t="shared" si="62"/>
        <v>47.785915221792933</v>
      </c>
      <c r="AA191" s="381">
        <f t="shared" si="63"/>
        <v>50.999999987997548</v>
      </c>
      <c r="AB191" s="193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6.3021269940412267E-2</v>
      </c>
      <c r="AD191" s="227">
        <f>(INDEX(Models!$BJ191:$BT191,,AH191)*(1-AF191)+INDEX(Models!$BJ191:$BT191,,AH191+1)*AF191-ERP_i)*AE191*Ramure*Pc/MaxiM</f>
        <v>1.9314509341123053E-4</v>
      </c>
      <c r="AE191" s="301">
        <f t="shared" si="65"/>
        <v>0.5</v>
      </c>
      <c r="AF191" s="173">
        <f t="shared" si="66"/>
        <v>0.81875345044245895</v>
      </c>
      <c r="AG191" s="801">
        <f t="shared" si="74"/>
        <v>2</v>
      </c>
      <c r="AH191" s="172">
        <f t="shared" si="67"/>
        <v>8</v>
      </c>
      <c r="AI191" s="221">
        <f t="shared" si="68"/>
        <v>2.818753450442459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46565</v>
      </c>
      <c r="B192" s="406">
        <f>'2026'!Wh/'2026'!Env_an*'2027'!Env_an</f>
        <v>55.765852562414864</v>
      </c>
      <c r="C192" s="831"/>
      <c r="D192" s="388">
        <f t="shared" si="50"/>
        <v>57.424463935337606</v>
      </c>
      <c r="E192" s="380">
        <f t="shared" si="75"/>
        <v>59.588020629713114</v>
      </c>
      <c r="F192" s="380">
        <f t="shared" si="51"/>
        <v>59.588020629713114</v>
      </c>
      <c r="G192" s="110">
        <f t="shared" si="76"/>
        <v>0.2376840724725782</v>
      </c>
      <c r="H192" s="409" t="b">
        <f>Wh_hp&gt;='2026'!Maxi_hp</f>
        <v>0</v>
      </c>
      <c r="I192" s="385">
        <f>IF(H192,Wh_hp,'2026'!Maxi_hp)</f>
        <v>59.59894424699322</v>
      </c>
      <c r="J192" s="85">
        <f>IF(H192,An,'2026'!An_max)</f>
        <v>2022</v>
      </c>
      <c r="K192" s="193">
        <f t="shared" si="52"/>
        <v>46565</v>
      </c>
      <c r="L192" s="143">
        <f>IF(t&lt;Tvie,1-EXP((T0-t)*PertePVj)+'2026'!Pspv,1-EXP((T0-t)*PertePVj)+Pspv)</f>
        <v>2.8883358402621018E-2</v>
      </c>
      <c r="M192" s="835"/>
      <c r="N192" s="835"/>
      <c r="O192" s="48">
        <f>IF(t&lt;Tnet,'2026'!Resal+('2026'!Salim-'2026'!Resal)*(1-EXP(('2026'!Tnet-t)/('2026'!Tau_j))),Resal+(Salim-Resal)*(1-EXP((Tnet-t)/(Tau_j))))*Salcycl</f>
        <v>3.630858470396426E-2</v>
      </c>
      <c r="P192" s="165">
        <f>(INDEX(Models!$BJ192:$BT192,,T192)*(1-R192)+INDEX(Models!$BJ192:$BT192,,T192+1)*R192-ERP_i)*Q192*Ramure*Pc/MaxiM</f>
        <v>1.9817913541487572E-4</v>
      </c>
      <c r="Q192" s="301">
        <f t="shared" si="53"/>
        <v>0.5</v>
      </c>
      <c r="R192" s="173">
        <f t="shared" si="54"/>
        <v>0.82335021586017643</v>
      </c>
      <c r="S192" s="801">
        <f t="shared" si="55"/>
        <v>2</v>
      </c>
      <c r="T192" s="172">
        <f t="shared" si="56"/>
        <v>8</v>
      </c>
      <c r="U192" s="247">
        <f t="shared" si="57"/>
        <v>2.8233502158601764</v>
      </c>
      <c r="V192" s="378">
        <f t="shared" si="58"/>
        <v>234.57525089486526</v>
      </c>
      <c r="W192" s="397">
        <f t="shared" si="59"/>
        <v>55.765852562414864</v>
      </c>
      <c r="X192" s="153">
        <f t="shared" si="60"/>
        <v>46565</v>
      </c>
      <c r="Y192" s="380">
        <f t="shared" si="61"/>
        <v>54.217592810463579</v>
      </c>
      <c r="Z192" s="380">
        <f t="shared" si="62"/>
        <v>55.830155192564369</v>
      </c>
      <c r="AA192" s="381">
        <f t="shared" si="63"/>
        <v>59.588020629713114</v>
      </c>
      <c r="AB192" s="193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6.3064109152081993E-2</v>
      </c>
      <c r="AD192" s="227">
        <f>(INDEX(Models!$BJ192:$BT192,,AH192)*(1-AF192)+INDEX(Models!$BJ192:$BT192,,AH192+1)*AF192-ERP_i)*AE192*Ramure*Pc/MaxiM</f>
        <v>1.9817913541487572E-4</v>
      </c>
      <c r="AE192" s="301">
        <f t="shared" si="65"/>
        <v>0.5</v>
      </c>
      <c r="AF192" s="173">
        <f t="shared" si="66"/>
        <v>0.82335021586017643</v>
      </c>
      <c r="AG192" s="801">
        <f t="shared" si="74"/>
        <v>2</v>
      </c>
      <c r="AH192" s="172">
        <f t="shared" si="67"/>
        <v>8</v>
      </c>
      <c r="AI192" s="221">
        <f t="shared" si="68"/>
        <v>2.8233502158601764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46566</v>
      </c>
      <c r="B193" s="406">
        <f>'2026'!Wh/'2026'!Env_an*'2027'!Env_an</f>
        <v>243.82661413642046</v>
      </c>
      <c r="C193" s="831"/>
      <c r="D193" s="388">
        <f t="shared" si="50"/>
        <v>251.08204464772697</v>
      </c>
      <c r="E193" s="380">
        <f t="shared" si="75"/>
        <v>260.55897836702923</v>
      </c>
      <c r="F193" s="380">
        <f t="shared" si="51"/>
        <v>260.61207165828807</v>
      </c>
      <c r="G193" s="110">
        <f t="shared" si="76"/>
        <v>1.0401867145003136</v>
      </c>
      <c r="H193" s="409" t="b">
        <f>Wh_hp&gt;='2026'!Maxi_hp</f>
        <v>1</v>
      </c>
      <c r="I193" s="385">
        <f>IF(H193,Wh_hp,'2026'!Maxi_hp)</f>
        <v>260.61207165828807</v>
      </c>
      <c r="J193" s="85">
        <f>IF(H193,An,'2026'!An_max)</f>
        <v>2027</v>
      </c>
      <c r="K193" s="193">
        <f t="shared" si="52"/>
        <v>46566</v>
      </c>
      <c r="L193" s="143">
        <f>IF(t&lt;Tvie,1-EXP((T0-t)*PertePVj)+'2026'!Pspv,1-EXP((T0-t)*PertePVj)+Pspv)</f>
        <v>2.8896652173937887E-2</v>
      </c>
      <c r="M193" s="835"/>
      <c r="N193" s="835"/>
      <c r="O193" s="48">
        <f>IF(t&lt;Tnet,'2026'!Resal+('2026'!Salim-'2026'!Resal)*(1-EXP(('2026'!Tnet-t)/('2026'!Tau_j))),Resal+(Salim-Resal)*(1-EXP((Tnet-t)/(Tau_j))))*Salcycl</f>
        <v>3.6371549269558649E-2</v>
      </c>
      <c r="P193" s="165">
        <f>(INDEX(Models!$BJ193:$BT193,,T193)*(1-R193)+INDEX(Models!$BJ193:$BT193,,T193+1)*R193-ERP_i)*Q193*Ramure*Pc/MaxiM</f>
        <v>2.0372537204816377E-4</v>
      </c>
      <c r="Q193" s="301">
        <f t="shared" si="53"/>
        <v>0.5</v>
      </c>
      <c r="R193" s="173">
        <f t="shared" si="54"/>
        <v>0.82788399539100554</v>
      </c>
      <c r="S193" s="801">
        <f t="shared" si="55"/>
        <v>2</v>
      </c>
      <c r="T193" s="172">
        <f t="shared" si="56"/>
        <v>8</v>
      </c>
      <c r="U193" s="247">
        <f t="shared" si="57"/>
        <v>2.8278839953910055</v>
      </c>
      <c r="V193" s="378">
        <f t="shared" si="58"/>
        <v>234.40658368103675</v>
      </c>
      <c r="W193" s="397">
        <f t="shared" si="59"/>
        <v>243.82661413642046</v>
      </c>
      <c r="X193" s="153">
        <f t="shared" si="60"/>
        <v>46566</v>
      </c>
      <c r="Y193" s="380">
        <f t="shared" si="61"/>
        <v>237.06202771591649</v>
      </c>
      <c r="Z193" s="380">
        <f t="shared" si="62"/>
        <v>244.11616770409645</v>
      </c>
      <c r="AA193" s="381">
        <f t="shared" si="63"/>
        <v>260.55897836702923</v>
      </c>
      <c r="AB193" s="193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6.3105907023365201E-2</v>
      </c>
      <c r="AD193" s="227">
        <f>(INDEX(Models!$BJ193:$BT193,,AH193)*(1-AF193)+INDEX(Models!$BJ193:$BT193,,AH193+1)*AF193-ERP_i)*AE193*Ramure*Pc/MaxiM</f>
        <v>2.0372537204816377E-4</v>
      </c>
      <c r="AE193" s="301">
        <f t="shared" si="65"/>
        <v>0.5</v>
      </c>
      <c r="AF193" s="173">
        <f t="shared" si="66"/>
        <v>0.82788399539100554</v>
      </c>
      <c r="AG193" s="801">
        <f t="shared" si="74"/>
        <v>2</v>
      </c>
      <c r="AH193" s="172">
        <f t="shared" si="67"/>
        <v>8</v>
      </c>
      <c r="AI193" s="221">
        <f t="shared" si="68"/>
        <v>2.8278839953910055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46567</v>
      </c>
      <c r="B194" s="406">
        <f>'2026'!Wh/'2026'!Env_an*'2027'!Env_an</f>
        <v>231.49281392054422</v>
      </c>
      <c r="C194" s="831"/>
      <c r="D194" s="388">
        <f t="shared" si="50"/>
        <v>238.38449679365419</v>
      </c>
      <c r="E194" s="380">
        <f t="shared" si="75"/>
        <v>247.39817742741451</v>
      </c>
      <c r="F194" s="380">
        <f t="shared" si="51"/>
        <v>247.44922318753564</v>
      </c>
      <c r="G194" s="110">
        <f t="shared" si="76"/>
        <v>0.98831010553552034</v>
      </c>
      <c r="H194" s="409" t="b">
        <f>Wh_hp&gt;='2026'!Maxi_hp</f>
        <v>0</v>
      </c>
      <c r="I194" s="385">
        <f>IF(H194,Wh_hp,'2026'!Maxi_hp)</f>
        <v>247.45002413127429</v>
      </c>
      <c r="J194" s="85">
        <f>IF(H194,An,'2026'!An_max)</f>
        <v>2022</v>
      </c>
      <c r="K194" s="193">
        <f t="shared" si="52"/>
        <v>46567</v>
      </c>
      <c r="L194" s="143">
        <f>IF(t&lt;Tvie,1-EXP((T0-t)*PertePVj)+'2026'!Pspv,1-EXP((T0-t)*PertePVj)+Pspv)</f>
        <v>2.8909945763274214E-2</v>
      </c>
      <c r="M194" s="835"/>
      <c r="N194" s="835"/>
      <c r="O194" s="48">
        <f>IF(t&lt;Tnet,'2026'!Resal+('2026'!Salim-'2026'!Resal)*(1-EXP(('2026'!Tnet-t)/('2026'!Tau_j))),Resal+(Salim-Resal)*(1-EXP((Tnet-t)/(Tau_j))))*Salcycl</f>
        <v>3.6433900716204379E-2</v>
      </c>
      <c r="P194" s="165">
        <f>(INDEX(Models!$BJ194:$BT194,,T194)*(1-R194)+INDEX(Models!$BJ194:$BT194,,T194+1)*R194-ERP_i)*Q194*Ramure*Pc/MaxiM</f>
        <v>2.0979024504513762E-4</v>
      </c>
      <c r="Q194" s="301">
        <f t="shared" si="53"/>
        <v>0.5</v>
      </c>
      <c r="R194" s="173">
        <f t="shared" si="54"/>
        <v>0.83235232672277792</v>
      </c>
      <c r="S194" s="801">
        <f t="shared" si="55"/>
        <v>2</v>
      </c>
      <c r="T194" s="172">
        <f t="shared" si="56"/>
        <v>8</v>
      </c>
      <c r="U194" s="247">
        <f t="shared" si="57"/>
        <v>2.8323523267227779</v>
      </c>
      <c r="V194" s="378">
        <f t="shared" si="58"/>
        <v>234.23012844834128</v>
      </c>
      <c r="W194" s="397">
        <f t="shared" si="59"/>
        <v>231.49281392054422</v>
      </c>
      <c r="X194" s="153">
        <f t="shared" si="60"/>
        <v>46567</v>
      </c>
      <c r="Y194" s="380">
        <f t="shared" si="61"/>
        <v>225.07517915626386</v>
      </c>
      <c r="Z194" s="380">
        <f t="shared" si="62"/>
        <v>231.77580511126988</v>
      </c>
      <c r="AA194" s="381">
        <f t="shared" si="63"/>
        <v>247.39817742741451</v>
      </c>
      <c r="AB194" s="193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6.3146675042616965E-2</v>
      </c>
      <c r="AD194" s="227">
        <f>(INDEX(Models!$BJ194:$BT194,,AH194)*(1-AF194)+INDEX(Models!$BJ194:$BT194,,AH194+1)*AF194-ERP_i)*AE194*Ramure*Pc/MaxiM</f>
        <v>2.0979024504513762E-4</v>
      </c>
      <c r="AE194" s="301">
        <f t="shared" si="65"/>
        <v>0.5</v>
      </c>
      <c r="AF194" s="173">
        <f t="shared" si="66"/>
        <v>0.83235232672277792</v>
      </c>
      <c r="AG194" s="801">
        <f t="shared" si="74"/>
        <v>2</v>
      </c>
      <c r="AH194" s="172">
        <f t="shared" si="67"/>
        <v>8</v>
      </c>
      <c r="AI194" s="221">
        <f t="shared" si="68"/>
        <v>2.8323523267227779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46568</v>
      </c>
      <c r="B195" s="406">
        <f>'2026'!Wh/'2026'!Env_an*'2027'!Env_an</f>
        <v>54.052654831310626</v>
      </c>
      <c r="C195" s="831"/>
      <c r="D195" s="388">
        <f t="shared" si="50"/>
        <v>55.66259745022203</v>
      </c>
      <c r="E195" s="380">
        <f t="shared" si="75"/>
        <v>57.770986895112692</v>
      </c>
      <c r="F195" s="380">
        <f t="shared" si="51"/>
        <v>57.770986895112692</v>
      </c>
      <c r="G195" s="110">
        <f t="shared" si="76"/>
        <v>0.23090000173390737</v>
      </c>
      <c r="H195" s="409" t="b">
        <f>Wh_hp&gt;='2026'!Maxi_hp</f>
        <v>0</v>
      </c>
      <c r="I195" s="385">
        <f>IF(H195,Wh_hp,'2026'!Maxi_hp)</f>
        <v>57.782534053656292</v>
      </c>
      <c r="J195" s="85">
        <f>IF(H195,An,'2026'!An_max)</f>
        <v>2022</v>
      </c>
      <c r="K195" s="193">
        <f t="shared" si="52"/>
        <v>46568</v>
      </c>
      <c r="L195" s="143">
        <f>IF(t&lt;Tvie,1-EXP((T0-t)*PertePVj)+'2026'!Pspv,1-EXP((T0-t)*PertePVj)+Pspv)</f>
        <v>2.8923239170632442E-2</v>
      </c>
      <c r="M195" s="835"/>
      <c r="N195" s="835"/>
      <c r="O195" s="48">
        <f>IF(t&lt;Tnet,'2026'!Resal+('2026'!Salim-'2026'!Resal)*(1-EXP(('2026'!Tnet-t)/('2026'!Tau_j))),Resal+(Salim-Resal)*(1-EXP((Tnet-t)/(Tau_j))))*Salcycl</f>
        <v>3.6495645274652946E-2</v>
      </c>
      <c r="P195" s="165">
        <f>(INDEX(Models!$BJ195:$BT195,,T195)*(1-R195)+INDEX(Models!$BJ195:$BT195,,T195+1)*R195-ERP_i)*Q195*Ramure*Pc/MaxiM</f>
        <v>2.1638005177000336E-4</v>
      </c>
      <c r="Q195" s="301">
        <f t="shared" si="53"/>
        <v>0.5</v>
      </c>
      <c r="R195" s="173">
        <f t="shared" si="54"/>
        <v>0.83675292696833381</v>
      </c>
      <c r="S195" s="801">
        <f t="shared" si="55"/>
        <v>2</v>
      </c>
      <c r="T195" s="172">
        <f t="shared" si="56"/>
        <v>8</v>
      </c>
      <c r="U195" s="247">
        <f t="shared" si="57"/>
        <v>2.8367529269683338</v>
      </c>
      <c r="V195" s="378">
        <f t="shared" si="58"/>
        <v>234.04486145191774</v>
      </c>
      <c r="W195" s="397">
        <f t="shared" si="59"/>
        <v>54.052654831310626</v>
      </c>
      <c r="X195" s="153">
        <f t="shared" si="60"/>
        <v>46568</v>
      </c>
      <c r="Y195" s="380">
        <f t="shared" si="61"/>
        <v>52.555300286557276</v>
      </c>
      <c r="Z195" s="380">
        <f t="shared" si="62"/>
        <v>54.120644635416227</v>
      </c>
      <c r="AA195" s="381">
        <f t="shared" si="63"/>
        <v>57.770986895112692</v>
      </c>
      <c r="AB195" s="193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6.3186427234208767E-2</v>
      </c>
      <c r="AD195" s="227">
        <f>(INDEX(Models!$BJ195:$BT195,,AH195)*(1-AF195)+INDEX(Models!$BJ195:$BT195,,AH195+1)*AF195-ERP_i)*AE195*Ramure*Pc/MaxiM</f>
        <v>2.1638005177000336E-4</v>
      </c>
      <c r="AE195" s="301">
        <f t="shared" si="65"/>
        <v>0.5</v>
      </c>
      <c r="AF195" s="173">
        <f t="shared" si="66"/>
        <v>0.83675292696833381</v>
      </c>
      <c r="AG195" s="801">
        <f t="shared" si="74"/>
        <v>2</v>
      </c>
      <c r="AH195" s="172">
        <f t="shared" si="67"/>
        <v>8</v>
      </c>
      <c r="AI195" s="221">
        <f t="shared" si="68"/>
        <v>2.8367529269683338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46569</v>
      </c>
      <c r="B196" s="406">
        <f>'2026'!Wh/'2026'!Env_an*'2027'!Env_an</f>
        <v>207.27946672915672</v>
      </c>
      <c r="C196" s="831"/>
      <c r="D196" s="388">
        <f t="shared" si="50"/>
        <v>213.45614745512037</v>
      </c>
      <c r="E196" s="380">
        <f t="shared" si="75"/>
        <v>221.55550568420577</v>
      </c>
      <c r="F196" s="380">
        <f t="shared" si="51"/>
        <v>221.59699378114382</v>
      </c>
      <c r="G196" s="110">
        <f t="shared" si="76"/>
        <v>0.88634662951382504</v>
      </c>
      <c r="H196" s="409" t="b">
        <f>Wh_hp&gt;='2026'!Maxi_hp</f>
        <v>0</v>
      </c>
      <c r="I196" s="385">
        <f>IF(H196,Wh_hp,'2026'!Maxi_hp)</f>
        <v>221.60441669383138</v>
      </c>
      <c r="J196" s="85">
        <f>IF(H196,An,'2026'!An_max)</f>
        <v>2022</v>
      </c>
      <c r="K196" s="193">
        <f t="shared" si="52"/>
        <v>46569</v>
      </c>
      <c r="L196" s="143">
        <f>IF(t&lt;Tvie,1-EXP((T0-t)*PertePVj)+'2026'!Pspv,1-EXP((T0-t)*PertePVj)+Pspv)</f>
        <v>2.8936532396015013E-2</v>
      </c>
      <c r="M196" s="835"/>
      <c r="N196" s="835"/>
      <c r="O196" s="48">
        <f>IF(t&lt;Tnet,'2026'!Resal+('2026'!Salim-'2026'!Resal)*(1-EXP(('2026'!Tnet-t)/('2026'!Tau_j))),Resal+(Salim-Resal)*(1-EXP((Tnet-t)/(Tau_j))))*Salcycl</f>
        <v>3.6556790606818976E-2</v>
      </c>
      <c r="P196" s="165">
        <f>(INDEX(Models!$BJ196:$BT196,,T196)*(1-R196)+INDEX(Models!$BJ196:$BT196,,T196+1)*R196-ERP_i)*Q196*Ramure*Pc/MaxiM</f>
        <v>2.2350098206898623E-4</v>
      </c>
      <c r="Q196" s="301">
        <f t="shared" si="53"/>
        <v>0.5</v>
      </c>
      <c r="R196" s="173">
        <f t="shared" si="54"/>
        <v>0.84108369448927656</v>
      </c>
      <c r="S196" s="801">
        <f t="shared" si="55"/>
        <v>2</v>
      </c>
      <c r="T196" s="172">
        <f t="shared" si="56"/>
        <v>8</v>
      </c>
      <c r="U196" s="247">
        <f t="shared" si="57"/>
        <v>2.8410836944892766</v>
      </c>
      <c r="V196" s="378">
        <f t="shared" si="58"/>
        <v>233.84975897539269</v>
      </c>
      <c r="W196" s="397">
        <f t="shared" si="59"/>
        <v>207.27946672915672</v>
      </c>
      <c r="X196" s="153">
        <f t="shared" si="60"/>
        <v>46569</v>
      </c>
      <c r="Y196" s="380">
        <f t="shared" si="61"/>
        <v>201.54191055195383</v>
      </c>
      <c r="Z196" s="380">
        <f t="shared" si="62"/>
        <v>207.5476189514585</v>
      </c>
      <c r="AA196" s="381">
        <f t="shared" si="63"/>
        <v>221.55550568420577</v>
      </c>
      <c r="AB196" s="193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6.3225180026505012E-2</v>
      </c>
      <c r="AD196" s="227">
        <f>(INDEX(Models!$BJ196:$BT196,,AH196)*(1-AF196)+INDEX(Models!$BJ196:$BT196,,AH196+1)*AF196-ERP_i)*AE196*Ramure*Pc/MaxiM</f>
        <v>2.2350098206898623E-4</v>
      </c>
      <c r="AE196" s="301">
        <f t="shared" si="65"/>
        <v>0.5</v>
      </c>
      <c r="AF196" s="173">
        <f t="shared" si="66"/>
        <v>0.84108369448927656</v>
      </c>
      <c r="AG196" s="801">
        <f t="shared" si="74"/>
        <v>2</v>
      </c>
      <c r="AH196" s="172">
        <f t="shared" si="67"/>
        <v>8</v>
      </c>
      <c r="AI196" s="221">
        <f t="shared" si="68"/>
        <v>2.8410836944892766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46570</v>
      </c>
      <c r="B197" s="406">
        <f>'2026'!Wh/'2026'!Env_an*'2027'!Env_an</f>
        <v>229.07000933050142</v>
      </c>
      <c r="C197" s="831"/>
      <c r="D197" s="388">
        <f t="shared" si="50"/>
        <v>235.89925148220209</v>
      </c>
      <c r="E197" s="380">
        <f t="shared" si="75"/>
        <v>244.86557904748113</v>
      </c>
      <c r="F197" s="380">
        <f t="shared" si="51"/>
        <v>244.92061140086622</v>
      </c>
      <c r="G197" s="110">
        <f t="shared" si="76"/>
        <v>0.98041775892558092</v>
      </c>
      <c r="H197" s="409" t="b">
        <f>Wh_hp&gt;='2026'!Maxi_hp</f>
        <v>0</v>
      </c>
      <c r="I197" s="385">
        <f>IF(H197,Wh_hp,'2026'!Maxi_hp)</f>
        <v>244.92207274501186</v>
      </c>
      <c r="J197" s="85">
        <f>IF(H197,An,'2026'!An_max)</f>
        <v>2022</v>
      </c>
      <c r="K197" s="193">
        <f t="shared" si="52"/>
        <v>46570</v>
      </c>
      <c r="L197" s="143">
        <f>IF(t&lt;Tvie,1-EXP((T0-t)*PertePVj)+'2026'!Pspv,1-EXP((T0-t)*PertePVj)+Pspv)</f>
        <v>2.8949825439424592E-2</v>
      </c>
      <c r="M197" s="835"/>
      <c r="N197" s="835"/>
      <c r="O197" s="48">
        <f>IF(t&lt;Tnet,'2026'!Resal+('2026'!Salim-'2026'!Resal)*(1-EXP(('2026'!Tnet-t)/('2026'!Tau_j))),Resal+(Salim-Resal)*(1-EXP((Tnet-t)/(Tau_j))))*Salcycl</f>
        <v>3.6617345729676405E-2</v>
      </c>
      <c r="P197" s="165">
        <f>(INDEX(Models!$BJ197:$BT197,,T197)*(1-R197)+INDEX(Models!$BJ197:$BT197,,T197+1)*R197-ERP_i)*Q197*Ramure*Pc/MaxiM</f>
        <v>2.3115915801361558E-4</v>
      </c>
      <c r="Q197" s="301">
        <f t="shared" si="53"/>
        <v>0.5</v>
      </c>
      <c r="R197" s="173">
        <f t="shared" si="54"/>
        <v>0.84534270979693726</v>
      </c>
      <c r="S197" s="801">
        <f t="shared" si="55"/>
        <v>2</v>
      </c>
      <c r="T197" s="172">
        <f t="shared" si="56"/>
        <v>8</v>
      </c>
      <c r="U197" s="247">
        <f t="shared" si="57"/>
        <v>2.8453427097969373</v>
      </c>
      <c r="V197" s="378">
        <f t="shared" si="58"/>
        <v>233.64379734001548</v>
      </c>
      <c r="W197" s="397">
        <f t="shared" si="59"/>
        <v>229.07000933050142</v>
      </c>
      <c r="X197" s="153">
        <f t="shared" si="60"/>
        <v>46570</v>
      </c>
      <c r="Y197" s="380">
        <f t="shared" si="61"/>
        <v>222.73430329028906</v>
      </c>
      <c r="Z197" s="380">
        <f t="shared" si="62"/>
        <v>229.374659647306</v>
      </c>
      <c r="AA197" s="381">
        <f t="shared" si="63"/>
        <v>244.86557904748113</v>
      </c>
      <c r="AB197" s="193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6.3262952107986228E-2</v>
      </c>
      <c r="AD197" s="227">
        <f>(INDEX(Models!$BJ197:$BT197,,AH197)*(1-AF197)+INDEX(Models!$BJ197:$BT197,,AH197+1)*AF197-ERP_i)*AE197*Ramure*Pc/MaxiM</f>
        <v>2.3115915801361558E-4</v>
      </c>
      <c r="AE197" s="301">
        <f t="shared" si="65"/>
        <v>0.5</v>
      </c>
      <c r="AF197" s="173">
        <f t="shared" si="66"/>
        <v>0.84534270979693726</v>
      </c>
      <c r="AG197" s="801">
        <f t="shared" si="74"/>
        <v>2</v>
      </c>
      <c r="AH197" s="172">
        <f t="shared" si="67"/>
        <v>8</v>
      </c>
      <c r="AI197" s="221">
        <f t="shared" si="68"/>
        <v>2.8453427097969373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46571</v>
      </c>
      <c r="B198" s="406">
        <f>'2026'!Wh/'2026'!Env_an*'2027'!Env_an</f>
        <v>189.72266194922292</v>
      </c>
      <c r="C198" s="831"/>
      <c r="D198" s="388">
        <f t="shared" si="50"/>
        <v>195.38152002758437</v>
      </c>
      <c r="E198" s="380">
        <f t="shared" si="75"/>
        <v>202.82043003148959</v>
      </c>
      <c r="F198" s="380">
        <f t="shared" si="51"/>
        <v>202.85591625620978</v>
      </c>
      <c r="G198" s="110">
        <f t="shared" si="76"/>
        <v>0.81272212487272844</v>
      </c>
      <c r="H198" s="409" t="b">
        <f>Wh_hp&gt;='2026'!Maxi_hp</f>
        <v>0</v>
      </c>
      <c r="I198" s="385">
        <f>IF(H198,Wh_hp,'2026'!Maxi_hp)</f>
        <v>202.86786743464688</v>
      </c>
      <c r="J198" s="85">
        <f>IF(H198,An,'2026'!An_max)</f>
        <v>2022</v>
      </c>
      <c r="K198" s="193">
        <f t="shared" si="52"/>
        <v>46571</v>
      </c>
      <c r="L198" s="143">
        <f>IF(t&lt;Tvie,1-EXP((T0-t)*PertePVj)+'2026'!Pspv,1-EXP((T0-t)*PertePVj)+Pspv)</f>
        <v>2.8963118300863511E-2</v>
      </c>
      <c r="M198" s="835"/>
      <c r="N198" s="835"/>
      <c r="O198" s="48">
        <f>IF(t&lt;Tnet,'2026'!Resal+('2026'!Salim-'2026'!Resal)*(1-EXP(('2026'!Tnet-t)/('2026'!Tau_j))),Resal+(Salim-Resal)*(1-EXP((Tnet-t)/(Tau_j))))*Salcycl</f>
        <v>3.6677320932365025E-2</v>
      </c>
      <c r="P198" s="165">
        <f>(INDEX(Models!$BJ198:$BT198,,T198)*(1-R198)+INDEX(Models!$BJ198:$BT198,,T198+1)*R198-ERP_i)*Q198*Ramure*Pc/MaxiM</f>
        <v>2.3880538918211297E-4</v>
      </c>
      <c r="Q198" s="301">
        <f t="shared" si="53"/>
        <v>0.5</v>
      </c>
      <c r="R198" s="173">
        <f t="shared" si="54"/>
        <v>0.84952823556423374</v>
      </c>
      <c r="S198" s="801">
        <f t="shared" si="55"/>
        <v>2</v>
      </c>
      <c r="T198" s="172">
        <f t="shared" si="56"/>
        <v>8</v>
      </c>
      <c r="U198" s="247">
        <f t="shared" si="57"/>
        <v>2.8495282355642337</v>
      </c>
      <c r="V198" s="378">
        <f t="shared" si="58"/>
        <v>233.426082558969</v>
      </c>
      <c r="W198" s="397">
        <f t="shared" si="59"/>
        <v>189.72266194922292</v>
      </c>
      <c r="X198" s="153">
        <f t="shared" si="60"/>
        <v>46571</v>
      </c>
      <c r="Y198" s="380">
        <f t="shared" si="61"/>
        <v>184.47947508374148</v>
      </c>
      <c r="Z198" s="380">
        <f t="shared" si="62"/>
        <v>189.98194462082245</v>
      </c>
      <c r="AA198" s="381">
        <f t="shared" si="63"/>
        <v>202.82043003148959</v>
      </c>
      <c r="AB198" s="193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6.3299764272632106E-2</v>
      </c>
      <c r="AD198" s="227">
        <f>(INDEX(Models!$BJ198:$BT198,,AH198)*(1-AF198)+INDEX(Models!$BJ198:$BT198,,AH198+1)*AF198-ERP_i)*AE198*Ramure*Pc/MaxiM</f>
        <v>2.3880538918211297E-4</v>
      </c>
      <c r="AE198" s="301">
        <f t="shared" si="65"/>
        <v>0.5</v>
      </c>
      <c r="AF198" s="173">
        <f t="shared" si="66"/>
        <v>0.84952823556423374</v>
      </c>
      <c r="AG198" s="801">
        <f t="shared" si="74"/>
        <v>2</v>
      </c>
      <c r="AH198" s="172">
        <f t="shared" si="67"/>
        <v>8</v>
      </c>
      <c r="AI198" s="221">
        <f t="shared" si="68"/>
        <v>2.8495282355642337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46572</v>
      </c>
      <c r="B199" s="406">
        <f>'2026'!Wh/'2026'!Env_an*'2027'!Env_an</f>
        <v>185.08023414433583</v>
      </c>
      <c r="C199" s="831"/>
      <c r="D199" s="388">
        <f t="shared" si="50"/>
        <v>190.60323172085936</v>
      </c>
      <c r="E199" s="380">
        <f t="shared" si="75"/>
        <v>197.87241681416086</v>
      </c>
      <c r="F199" s="380">
        <f t="shared" si="51"/>
        <v>197.90674925457185</v>
      </c>
      <c r="G199" s="110">
        <f t="shared" si="76"/>
        <v>0.79361160446734857</v>
      </c>
      <c r="H199" s="409" t="b">
        <f>Wh_hp&gt;='2026'!Maxi_hp</f>
        <v>0</v>
      </c>
      <c r="I199" s="385">
        <f>IF(H199,Wh_hp,'2026'!Maxi_hp)</f>
        <v>197.91997286853493</v>
      </c>
      <c r="J199" s="85">
        <f>IF(H199,An,'2026'!An_max)</f>
        <v>2022</v>
      </c>
      <c r="K199" s="193">
        <f t="shared" si="52"/>
        <v>46572</v>
      </c>
      <c r="L199" s="143">
        <f>IF(t&lt;Tvie,1-EXP((T0-t)*PertePVj)+'2026'!Pspv,1-EXP((T0-t)*PertePVj)+Pspv)</f>
        <v>2.8976410980334322E-2</v>
      </c>
      <c r="M199" s="835"/>
      <c r="N199" s="835"/>
      <c r="O199" s="48">
        <f>IF(t&lt;Tnet,'2026'!Resal+('2026'!Salim-'2026'!Resal)*(1-EXP(('2026'!Tnet-t)/('2026'!Tau_j))),Resal+(Salim-Resal)*(1-EXP((Tnet-t)/(Tau_j))))*Salcycl</f>
        <v>3.6736727687157272E-2</v>
      </c>
      <c r="P199" s="165">
        <f>(INDEX(Models!$BJ199:$BT199,,T199)*(1-R199)+INDEX(Models!$BJ199:$BT199,,T199+1)*R199-ERP_i)*Q199*Ramure*Pc/MaxiM</f>
        <v>2.4598357691108636E-4</v>
      </c>
      <c r="Q199" s="301">
        <f t="shared" si="53"/>
        <v>0.5</v>
      </c>
      <c r="R199" s="173">
        <f t="shared" si="54"/>
        <v>0.85363871578819062</v>
      </c>
      <c r="S199" s="801">
        <f t="shared" si="55"/>
        <v>2</v>
      </c>
      <c r="T199" s="172">
        <f t="shared" si="56"/>
        <v>8</v>
      </c>
      <c r="U199" s="247">
        <f t="shared" si="57"/>
        <v>2.8536387157881906</v>
      </c>
      <c r="V199" s="378">
        <f t="shared" si="58"/>
        <v>233.1956985005508</v>
      </c>
      <c r="W199" s="397">
        <f t="shared" si="59"/>
        <v>185.08023414433583</v>
      </c>
      <c r="X199" s="153">
        <f t="shared" si="60"/>
        <v>46572</v>
      </c>
      <c r="Y199" s="380">
        <f t="shared" si="61"/>
        <v>179.96955161070127</v>
      </c>
      <c r="Z199" s="380">
        <f t="shared" si="62"/>
        <v>185.34004080415437</v>
      </c>
      <c r="AA199" s="381">
        <f t="shared" si="63"/>
        <v>197.87241681416086</v>
      </c>
      <c r="AB199" s="193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6.3335639255757067E-2</v>
      </c>
      <c r="AD199" s="227">
        <f>(INDEX(Models!$BJ199:$BT199,,AH199)*(1-AF199)+INDEX(Models!$BJ199:$BT199,,AH199+1)*AF199-ERP_i)*AE199*Ramure*Pc/MaxiM</f>
        <v>2.4598357691108636E-4</v>
      </c>
      <c r="AE199" s="301">
        <f t="shared" si="65"/>
        <v>0.5</v>
      </c>
      <c r="AF199" s="173">
        <f t="shared" si="66"/>
        <v>0.85363871578819062</v>
      </c>
      <c r="AG199" s="801">
        <f t="shared" si="74"/>
        <v>2</v>
      </c>
      <c r="AH199" s="172">
        <f t="shared" si="67"/>
        <v>8</v>
      </c>
      <c r="AI199" s="221">
        <f t="shared" si="68"/>
        <v>2.8536387157881906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46573</v>
      </c>
      <c r="B200" s="406">
        <f>'2026'!Wh/'2026'!Env_an*'2027'!Env_an</f>
        <v>222.63411513520813</v>
      </c>
      <c r="C200" s="831"/>
      <c r="D200" s="388">
        <f t="shared" si="50"/>
        <v>229.2809004524569</v>
      </c>
      <c r="E200" s="380">
        <f t="shared" si="75"/>
        <v>238.03970927426269</v>
      </c>
      <c r="F200" s="380">
        <f t="shared" si="51"/>
        <v>238.09606647359391</v>
      </c>
      <c r="G200" s="110">
        <f t="shared" si="76"/>
        <v>0.9556943676794093</v>
      </c>
      <c r="H200" s="409" t="b">
        <f>Wh_hp&gt;='2026'!Maxi_hp</f>
        <v>0</v>
      </c>
      <c r="I200" s="385">
        <f>IF(H200,Wh_hp,'2026'!Maxi_hp)</f>
        <v>238.09957047491525</v>
      </c>
      <c r="J200" s="85">
        <f>IF(H200,An,'2026'!An_max)</f>
        <v>2022</v>
      </c>
      <c r="K200" s="193">
        <f t="shared" si="52"/>
        <v>46573</v>
      </c>
      <c r="L200" s="143">
        <f>IF(t&lt;Tvie,1-EXP((T0-t)*PertePVj)+'2026'!Pspv,1-EXP((T0-t)*PertePVj)+Pspv)</f>
        <v>2.8989703477839579E-2</v>
      </c>
      <c r="M200" s="835"/>
      <c r="N200" s="835"/>
      <c r="O200" s="48">
        <f>IF(t&lt;Tnet,'2026'!Resal+('2026'!Salim-'2026'!Resal)*(1-EXP(('2026'!Tnet-t)/('2026'!Tau_j))),Resal+(Salim-Resal)*(1-EXP((Tnet-t)/(Tau_j))))*Salcycl</f>
        <v>3.6795578554980196E-2</v>
      </c>
      <c r="P200" s="165">
        <f>(INDEX(Models!$BJ200:$BT200,,T200)*(1-R200)+INDEX(Models!$BJ200:$BT200,,T200+1)*R200-ERP_i)*Q200*Ramure*Pc/MaxiM</f>
        <v>2.5268743454421976E-4</v>
      </c>
      <c r="Q200" s="301">
        <f t="shared" si="53"/>
        <v>0.5</v>
      </c>
      <c r="R200" s="173">
        <f t="shared" si="54"/>
        <v>0.85767277414816467</v>
      </c>
      <c r="S200" s="801">
        <f t="shared" si="55"/>
        <v>2</v>
      </c>
      <c r="T200" s="172">
        <f t="shared" si="56"/>
        <v>8</v>
      </c>
      <c r="U200" s="247">
        <f t="shared" si="57"/>
        <v>2.8576727741481647</v>
      </c>
      <c r="V200" s="378">
        <f t="shared" si="58"/>
        <v>232.95162380645519</v>
      </c>
      <c r="W200" s="397">
        <f t="shared" si="59"/>
        <v>222.63411513520813</v>
      </c>
      <c r="X200" s="153">
        <f t="shared" si="60"/>
        <v>46573</v>
      </c>
      <c r="Y200" s="380">
        <f t="shared" si="61"/>
        <v>216.49159066164785</v>
      </c>
      <c r="Z200" s="380">
        <f t="shared" si="62"/>
        <v>222.95498970201402</v>
      </c>
      <c r="AA200" s="381">
        <f t="shared" si="63"/>
        <v>238.03970927426269</v>
      </c>
      <c r="AB200" s="193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6.3370601561559103E-2</v>
      </c>
      <c r="AD200" s="227">
        <f>(INDEX(Models!$BJ200:$BT200,,AH200)*(1-AF200)+INDEX(Models!$BJ200:$BT200,,AH200+1)*AF200-ERP_i)*AE200*Ramure*Pc/MaxiM</f>
        <v>2.5268743454421976E-4</v>
      </c>
      <c r="AE200" s="301">
        <f t="shared" si="65"/>
        <v>0.5</v>
      </c>
      <c r="AF200" s="173">
        <f t="shared" si="66"/>
        <v>0.85767277414816467</v>
      </c>
      <c r="AG200" s="801">
        <f t="shared" si="74"/>
        <v>2</v>
      </c>
      <c r="AH200" s="172">
        <f t="shared" si="67"/>
        <v>8</v>
      </c>
      <c r="AI200" s="221">
        <f t="shared" si="68"/>
        <v>2.8576727741481647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46574</v>
      </c>
      <c r="B201" s="406">
        <f>'2026'!Wh/'2026'!Env_an*'2027'!Env_an</f>
        <v>176.7336032206309</v>
      </c>
      <c r="C201" s="831"/>
      <c r="D201" s="388">
        <f t="shared" si="50"/>
        <v>182.0125113208112</v>
      </c>
      <c r="E201" s="380">
        <f t="shared" si="75"/>
        <v>188.97705019041729</v>
      </c>
      <c r="F201" s="380">
        <f t="shared" si="51"/>
        <v>189.00917458865877</v>
      </c>
      <c r="G201" s="110">
        <f t="shared" si="76"/>
        <v>0.75944701398543013</v>
      </c>
      <c r="H201" s="409" t="b">
        <f>Wh_hp&gt;='2026'!Maxi_hp</f>
        <v>0</v>
      </c>
      <c r="I201" s="385">
        <f>IF(H201,Wh_hp,'2026'!Maxi_hp)</f>
        <v>189.02462826970424</v>
      </c>
      <c r="J201" s="85">
        <f>IF(H201,An,'2026'!An_max)</f>
        <v>2022</v>
      </c>
      <c r="K201" s="193">
        <f t="shared" si="52"/>
        <v>46574</v>
      </c>
      <c r="L201" s="143">
        <f>IF(t&lt;Tvie,1-EXP((T0-t)*PertePVj)+'2026'!Pspv,1-EXP((T0-t)*PertePVj)+Pspv)</f>
        <v>2.9002995793381614E-2</v>
      </c>
      <c r="M201" s="835"/>
      <c r="N201" s="835"/>
      <c r="O201" s="48">
        <f>IF(t&lt;Tnet,'2026'!Resal+('2026'!Salim-'2026'!Resal)*(1-EXP(('2026'!Tnet-t)/('2026'!Tau_j))),Resal+(Salim-Resal)*(1-EXP((Tnet-t)/(Tau_j))))*Salcycl</f>
        <v>3.6853887086228027E-2</v>
      </c>
      <c r="P201" s="165">
        <f>(INDEX(Models!$BJ201:$BT201,,T201)*(1-R201)+INDEX(Models!$BJ201:$BT201,,T201+1)*R201-ERP_i)*Q201*Ramure*Pc/MaxiM</f>
        <v>2.5891121127544182E-4</v>
      </c>
      <c r="Q201" s="301">
        <f t="shared" si="53"/>
        <v>0.5</v>
      </c>
      <c r="R201" s="173">
        <f t="shared" si="54"/>
        <v>0.86162921160929073</v>
      </c>
      <c r="S201" s="801">
        <f t="shared" si="55"/>
        <v>2</v>
      </c>
      <c r="T201" s="172">
        <f t="shared" si="56"/>
        <v>8</v>
      </c>
      <c r="U201" s="247">
        <f t="shared" si="57"/>
        <v>2.8616292116092907</v>
      </c>
      <c r="V201" s="378">
        <f t="shared" si="58"/>
        <v>232.69283702345578</v>
      </c>
      <c r="W201" s="397">
        <f t="shared" si="59"/>
        <v>176.7336032206309</v>
      </c>
      <c r="X201" s="153">
        <f t="shared" si="60"/>
        <v>46574</v>
      </c>
      <c r="Y201" s="380">
        <f t="shared" si="61"/>
        <v>171.86163545059173</v>
      </c>
      <c r="Z201" s="380">
        <f t="shared" si="62"/>
        <v>176.99502130906814</v>
      </c>
      <c r="AA201" s="381">
        <f t="shared" si="63"/>
        <v>188.97705019041729</v>
      </c>
      <c r="AB201" s="193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6.3404677283700972E-2</v>
      </c>
      <c r="AD201" s="227">
        <f>(INDEX(Models!$BJ201:$BT201,,AH201)*(1-AF201)+INDEX(Models!$BJ201:$BT201,,AH201+1)*AF201-ERP_i)*AE201*Ramure*Pc/MaxiM</f>
        <v>2.5891121127544182E-4</v>
      </c>
      <c r="AE201" s="301">
        <f t="shared" si="65"/>
        <v>0.5</v>
      </c>
      <c r="AF201" s="173">
        <f t="shared" si="66"/>
        <v>0.86162921160929073</v>
      </c>
      <c r="AG201" s="801">
        <f t="shared" si="74"/>
        <v>2</v>
      </c>
      <c r="AH201" s="172">
        <f t="shared" si="67"/>
        <v>8</v>
      </c>
      <c r="AI201" s="221">
        <f t="shared" si="68"/>
        <v>2.8616292116092907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46575</v>
      </c>
      <c r="B202" s="406">
        <f>'2026'!Wh/'2026'!Env_an*'2027'!Env_an</f>
        <v>219.63531949981228</v>
      </c>
      <c r="C202" s="831"/>
      <c r="D202" s="388">
        <f t="shared" si="50"/>
        <v>226.19876808323991</v>
      </c>
      <c r="E202" s="380">
        <f t="shared" si="75"/>
        <v>234.8681429326266</v>
      </c>
      <c r="F202" s="380">
        <f t="shared" si="51"/>
        <v>234.92543085522513</v>
      </c>
      <c r="G202" s="110">
        <f t="shared" si="76"/>
        <v>0.9449803893851596</v>
      </c>
      <c r="H202" s="409" t="b">
        <f>Wh_hp&gt;='2026'!Maxi_hp</f>
        <v>0</v>
      </c>
      <c r="I202" s="385">
        <f>IF(H202,Wh_hp,'2026'!Maxi_hp)</f>
        <v>234.92991381410164</v>
      </c>
      <c r="J202" s="85">
        <f>IF(H202,An,'2026'!An_max)</f>
        <v>2022</v>
      </c>
      <c r="K202" s="193">
        <f t="shared" si="52"/>
        <v>46575</v>
      </c>
      <c r="L202" s="143">
        <f>IF(t&lt;Tvie,1-EXP((T0-t)*PertePVj)+'2026'!Pspv,1-EXP((T0-t)*PertePVj)+Pspv)</f>
        <v>2.9016287926963091E-2</v>
      </c>
      <c r="M202" s="835"/>
      <c r="N202" s="835"/>
      <c r="O202" s="48">
        <f>IF(t&lt;Tnet,'2026'!Resal+('2026'!Salim-'2026'!Resal)*(1-EXP(('2026'!Tnet-t)/('2026'!Tau_j))),Resal+(Salim-Resal)*(1-EXP((Tnet-t)/(Tau_j))))*Salcycl</f>
        <v>3.6911667717633163E-2</v>
      </c>
      <c r="P202" s="165">
        <f>(INDEX(Models!$BJ202:$BT202,,T202)*(1-R202)+INDEX(Models!$BJ202:$BT202,,T202+1)*R202-ERP_i)*Q202*Ramure*Pc/MaxiM</f>
        <v>2.6464965818316069E-4</v>
      </c>
      <c r="Q202" s="301">
        <f t="shared" si="53"/>
        <v>0.5</v>
      </c>
      <c r="R202" s="173">
        <f t="shared" si="54"/>
        <v>0.86550700332433017</v>
      </c>
      <c r="S202" s="801">
        <f t="shared" si="55"/>
        <v>2</v>
      </c>
      <c r="T202" s="172">
        <f t="shared" si="56"/>
        <v>8</v>
      </c>
      <c r="U202" s="247">
        <f t="shared" si="57"/>
        <v>2.8655070033243302</v>
      </c>
      <c r="V202" s="378">
        <f t="shared" si="58"/>
        <v>232.41831659297631</v>
      </c>
      <c r="W202" s="397">
        <f t="shared" si="59"/>
        <v>219.63531949981228</v>
      </c>
      <c r="X202" s="153">
        <f t="shared" si="60"/>
        <v>46575</v>
      </c>
      <c r="Y202" s="380">
        <f t="shared" si="61"/>
        <v>213.58593028819425</v>
      </c>
      <c r="Z202" s="380">
        <f t="shared" si="62"/>
        <v>219.96860259601186</v>
      </c>
      <c r="AA202" s="381">
        <f t="shared" si="63"/>
        <v>234.8681429326266</v>
      </c>
      <c r="AB202" s="193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6.3437893920286828E-2</v>
      </c>
      <c r="AD202" s="227">
        <f>(INDEX(Models!$BJ202:$BT202,,AH202)*(1-AF202)+INDEX(Models!$BJ202:$BT202,,AH202+1)*AF202-ERP_i)*AE202*Ramure*Pc/MaxiM</f>
        <v>2.6464965818316069E-4</v>
      </c>
      <c r="AE202" s="301">
        <f t="shared" si="65"/>
        <v>0.5</v>
      </c>
      <c r="AF202" s="173">
        <f t="shared" si="66"/>
        <v>0.86550700332433017</v>
      </c>
      <c r="AG202" s="801">
        <f t="shared" si="74"/>
        <v>2</v>
      </c>
      <c r="AH202" s="172">
        <f t="shared" si="67"/>
        <v>8</v>
      </c>
      <c r="AI202" s="221">
        <f t="shared" si="68"/>
        <v>2.8655070033243302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46576</v>
      </c>
      <c r="B203" s="406">
        <f>'2026'!Wh/'2026'!Env_an*'2027'!Env_an</f>
        <v>232.92460892708561</v>
      </c>
      <c r="C203" s="831"/>
      <c r="D203" s="388">
        <f t="shared" si="50"/>
        <v>239.88847044172559</v>
      </c>
      <c r="E203" s="380">
        <f t="shared" si="75"/>
        <v>249.09733374761052</v>
      </c>
      <c r="F203" s="380">
        <f t="shared" si="51"/>
        <v>249.16458276776115</v>
      </c>
      <c r="G203" s="110">
        <f t="shared" si="76"/>
        <v>1.0034359116923779</v>
      </c>
      <c r="H203" s="409" t="b">
        <f>Wh_hp&gt;='2026'!Maxi_hp</f>
        <v>1</v>
      </c>
      <c r="I203" s="385">
        <f>IF(H203,Wh_hp,'2026'!Maxi_hp)</f>
        <v>249.16458276776115</v>
      </c>
      <c r="J203" s="85">
        <f>IF(H203,An,'2026'!An_max)</f>
        <v>2027</v>
      </c>
      <c r="K203" s="193">
        <f t="shared" si="52"/>
        <v>46576</v>
      </c>
      <c r="L203" s="143">
        <f>IF(t&lt;Tvie,1-EXP((T0-t)*PertePVj)+'2026'!Pspv,1-EXP((T0-t)*PertePVj)+Pspv)</f>
        <v>2.9029579878586342E-2</v>
      </c>
      <c r="M203" s="835"/>
      <c r="N203" s="835"/>
      <c r="O203" s="48">
        <f>IF(t&lt;Tnet,'2026'!Resal+('2026'!Salim-'2026'!Resal)*(1-EXP(('2026'!Tnet-t)/('2026'!Tau_j))),Resal+(Salim-Resal)*(1-EXP((Tnet-t)/(Tau_j))))*Salcycl</f>
        <v>3.6968935665989515E-2</v>
      </c>
      <c r="P203" s="165">
        <f>(INDEX(Models!$BJ203:$BT203,,T203)*(1-R203)+INDEX(Models!$BJ203:$BT203,,T203+1)*R203-ERP_i)*Q203*Ramure*Pc/MaxiM</f>
        <v>2.6989799033077069E-4</v>
      </c>
      <c r="Q203" s="301">
        <f t="shared" si="53"/>
        <v>0.5</v>
      </c>
      <c r="R203" s="173">
        <f t="shared" si="54"/>
        <v>0.86930529488993269</v>
      </c>
      <c r="S203" s="801">
        <f t="shared" si="55"/>
        <v>2</v>
      </c>
      <c r="T203" s="172">
        <f t="shared" si="56"/>
        <v>8</v>
      </c>
      <c r="U203" s="247">
        <f t="shared" si="57"/>
        <v>2.8693052948899327</v>
      </c>
      <c r="V203" s="378">
        <f t="shared" si="58"/>
        <v>232.12704091309527</v>
      </c>
      <c r="W203" s="397">
        <f t="shared" si="59"/>
        <v>232.92460892708561</v>
      </c>
      <c r="X203" s="153">
        <f t="shared" si="60"/>
        <v>46576</v>
      </c>
      <c r="Y203" s="380">
        <f t="shared" si="61"/>
        <v>226.51483094934676</v>
      </c>
      <c r="Z203" s="380">
        <f t="shared" si="62"/>
        <v>233.28705618140512</v>
      </c>
      <c r="AA203" s="381">
        <f t="shared" si="63"/>
        <v>249.09733374761052</v>
      </c>
      <c r="AB203" s="193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6.3470280184631106E-2</v>
      </c>
      <c r="AD203" s="227">
        <f>(INDEX(Models!$BJ203:$BT203,,AH203)*(1-AF203)+INDEX(Models!$BJ203:$BT203,,AH203+1)*AF203-ERP_i)*AE203*Ramure*Pc/MaxiM</f>
        <v>2.6989799033077069E-4</v>
      </c>
      <c r="AE203" s="301">
        <f t="shared" si="65"/>
        <v>0.5</v>
      </c>
      <c r="AF203" s="173">
        <f t="shared" si="66"/>
        <v>0.86930529488993269</v>
      </c>
      <c r="AG203" s="801">
        <f t="shared" si="74"/>
        <v>2</v>
      </c>
      <c r="AH203" s="172">
        <f t="shared" si="67"/>
        <v>8</v>
      </c>
      <c r="AI203" s="221">
        <f t="shared" si="68"/>
        <v>2.8693052948899327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46577</v>
      </c>
      <c r="B204" s="406">
        <f>'2026'!Wh/'2026'!Env_an*'2027'!Env_an</f>
        <v>230.49033071730801</v>
      </c>
      <c r="C204" s="831"/>
      <c r="D204" s="388">
        <f t="shared" si="50"/>
        <v>237.38466301656206</v>
      </c>
      <c r="E204" s="380">
        <f t="shared" si="75"/>
        <v>246.51194190505421</v>
      </c>
      <c r="F204" s="380">
        <f t="shared" si="51"/>
        <v>246.57911122372161</v>
      </c>
      <c r="G204" s="110">
        <f t="shared" si="76"/>
        <v>0.99427060977307102</v>
      </c>
      <c r="H204" s="409" t="b">
        <f>Wh_hp&gt;='2026'!Maxi_hp</f>
        <v>0</v>
      </c>
      <c r="I204" s="385">
        <f>IF(H204,Wh_hp,'2026'!Maxi_hp)</f>
        <v>246.57961768675807</v>
      </c>
      <c r="J204" s="85">
        <f>IF(H204,An,'2026'!An_max)</f>
        <v>2022</v>
      </c>
      <c r="K204" s="193">
        <f t="shared" si="52"/>
        <v>46577</v>
      </c>
      <c r="L204" s="143">
        <f>IF(t&lt;Tvie,1-EXP((T0-t)*PertePVj)+'2026'!Pspv,1-EXP((T0-t)*PertePVj)+Pspv)</f>
        <v>2.9042871648254032E-2</v>
      </c>
      <c r="M204" s="835"/>
      <c r="N204" s="835"/>
      <c r="O204" s="48">
        <f>IF(t&lt;Tnet,'2026'!Resal+('2026'!Salim-'2026'!Resal)*(1-EXP(('2026'!Tnet-t)/('2026'!Tau_j))),Resal+(Salim-Resal)*(1-EXP((Tnet-t)/(Tau_j))))*Salcycl</f>
        <v>3.702570681954058E-2</v>
      </c>
      <c r="P204" s="165">
        <f>(INDEX(Models!$BJ204:$BT204,,T204)*(1-R204)+INDEX(Models!$BJ204:$BT204,,T204+1)*R204-ERP_i)*Q204*Ramure*Pc/MaxiM</f>
        <v>2.7465184535990642E-4</v>
      </c>
      <c r="Q204" s="301">
        <f t="shared" si="53"/>
        <v>0.5</v>
      </c>
      <c r="R204" s="173">
        <f t="shared" si="54"/>
        <v>0.87302339801538498</v>
      </c>
      <c r="S204" s="801">
        <f t="shared" si="55"/>
        <v>2</v>
      </c>
      <c r="T204" s="172">
        <f t="shared" si="56"/>
        <v>8</v>
      </c>
      <c r="U204" s="247">
        <f t="shared" si="57"/>
        <v>2.873023398015385</v>
      </c>
      <c r="V204" s="378">
        <f t="shared" si="58"/>
        <v>231.81798835702892</v>
      </c>
      <c r="W204" s="397">
        <f t="shared" si="59"/>
        <v>230.49033071730801</v>
      </c>
      <c r="X204" s="153">
        <f t="shared" si="60"/>
        <v>46577</v>
      </c>
      <c r="Y204" s="380">
        <f t="shared" si="61"/>
        <v>224.15319515118006</v>
      </c>
      <c r="Z204" s="380">
        <f t="shared" si="62"/>
        <v>230.85797364883931</v>
      </c>
      <c r="AA204" s="381">
        <f t="shared" si="63"/>
        <v>246.51194190505421</v>
      </c>
      <c r="AB204" s="193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6.3501865813235733E-2</v>
      </c>
      <c r="AD204" s="227">
        <f>(INDEX(Models!$BJ204:$BT204,,AH204)*(1-AF204)+INDEX(Models!$BJ204:$BT204,,AH204+1)*AF204-ERP_i)*AE204*Ramure*Pc/MaxiM</f>
        <v>2.7465184535990642E-4</v>
      </c>
      <c r="AE204" s="301">
        <f t="shared" si="65"/>
        <v>0.5</v>
      </c>
      <c r="AF204" s="173">
        <f t="shared" si="66"/>
        <v>0.87302339801538498</v>
      </c>
      <c r="AG204" s="801">
        <f t="shared" si="74"/>
        <v>2</v>
      </c>
      <c r="AH204" s="172">
        <f t="shared" si="67"/>
        <v>8</v>
      </c>
      <c r="AI204" s="221">
        <f t="shared" si="68"/>
        <v>2.873023398015385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46578</v>
      </c>
      <c r="B205" s="406">
        <f>'2026'!Wh/'2026'!Env_an*'2027'!Env_an</f>
        <v>228.63879878163235</v>
      </c>
      <c r="C205" s="831"/>
      <c r="D205" s="388">
        <f t="shared" si="50"/>
        <v>235.48097235329425</v>
      </c>
      <c r="E205" s="380">
        <f t="shared" si="75"/>
        <v>244.54935079953634</v>
      </c>
      <c r="F205" s="380">
        <f t="shared" si="51"/>
        <v>244.61637533320322</v>
      </c>
      <c r="G205" s="110">
        <f t="shared" si="76"/>
        <v>0.9876763754061163</v>
      </c>
      <c r="H205" s="409" t="b">
        <f>Wh_hp&gt;='2026'!Maxi_hp</f>
        <v>0</v>
      </c>
      <c r="I205" s="385">
        <f>IF(H205,Wh_hp,'2026'!Maxi_hp)</f>
        <v>244.61747019264928</v>
      </c>
      <c r="J205" s="85">
        <f>IF(H205,An,'2026'!An_max)</f>
        <v>2022</v>
      </c>
      <c r="K205" s="193">
        <f t="shared" si="52"/>
        <v>46578</v>
      </c>
      <c r="L205" s="143">
        <f>IF(t&lt;Tvie,1-EXP((T0-t)*PertePVj)+'2026'!Pspv,1-EXP((T0-t)*PertePVj)+Pspv)</f>
        <v>2.9056163235968491E-2</v>
      </c>
      <c r="M205" s="835"/>
      <c r="N205" s="835"/>
      <c r="O205" s="48">
        <f>IF(t&lt;Tnet,'2026'!Resal+('2026'!Salim-'2026'!Resal)*(1-EXP(('2026'!Tnet-t)/('2026'!Tau_j))),Resal+(Salim-Resal)*(1-EXP((Tnet-t)/(Tau_j))))*Salcycl</f>
        <v>3.7081997627855849E-2</v>
      </c>
      <c r="P205" s="165">
        <f>(INDEX(Models!$BJ205:$BT205,,T205)*(1-R205)+INDEX(Models!$BJ205:$BT205,,T205+1)*R205-ERP_i)*Q205*Ramure*Pc/MaxiM</f>
        <v>2.78906828487424E-4</v>
      </c>
      <c r="Q205" s="301">
        <f t="shared" si="53"/>
        <v>0.5</v>
      </c>
      <c r="R205" s="173">
        <f t="shared" si="54"/>
        <v>0.87666078566321337</v>
      </c>
      <c r="S205" s="801">
        <f t="shared" si="55"/>
        <v>2</v>
      </c>
      <c r="T205" s="172">
        <f t="shared" si="56"/>
        <v>8</v>
      </c>
      <c r="U205" s="247">
        <f t="shared" si="57"/>
        <v>2.8766607856632134</v>
      </c>
      <c r="V205" s="378">
        <f t="shared" si="58"/>
        <v>231.49047800052077</v>
      </c>
      <c r="W205" s="397">
        <f t="shared" si="59"/>
        <v>228.63879878163235</v>
      </c>
      <c r="X205" s="153">
        <f t="shared" si="60"/>
        <v>46578</v>
      </c>
      <c r="Y205" s="380">
        <f t="shared" si="61"/>
        <v>222.35825096405395</v>
      </c>
      <c r="Z205" s="380">
        <f t="shared" si="62"/>
        <v>229.01247481536225</v>
      </c>
      <c r="AA205" s="381">
        <f t="shared" si="63"/>
        <v>244.54935079953634</v>
      </c>
      <c r="AB205" s="193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6.3532681372399452E-2</v>
      </c>
      <c r="AD205" s="227">
        <f>(INDEX(Models!$BJ205:$BT205,,AH205)*(1-AF205)+INDEX(Models!$BJ205:$BT205,,AH205+1)*AF205-ERP_i)*AE205*Ramure*Pc/MaxiM</f>
        <v>2.78906828487424E-4</v>
      </c>
      <c r="AE205" s="301">
        <f t="shared" si="65"/>
        <v>0.5</v>
      </c>
      <c r="AF205" s="173">
        <f t="shared" si="66"/>
        <v>0.87666078566321337</v>
      </c>
      <c r="AG205" s="801">
        <f t="shared" si="74"/>
        <v>2</v>
      </c>
      <c r="AH205" s="172">
        <f t="shared" si="67"/>
        <v>8</v>
      </c>
      <c r="AI205" s="221">
        <f t="shared" si="68"/>
        <v>2.8766607856632134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46579</v>
      </c>
      <c r="B206" s="406">
        <f>'2026'!Wh/'2026'!Env_an*'2027'!Env_an</f>
        <v>222.44835051749476</v>
      </c>
      <c r="C206" s="831"/>
      <c r="D206" s="388">
        <f t="shared" si="50"/>
        <v>229.10840696170766</v>
      </c>
      <c r="E206" s="380">
        <f t="shared" si="75"/>
        <v>237.94517315998155</v>
      </c>
      <c r="F206" s="380">
        <f t="shared" si="51"/>
        <v>238.00886294237228</v>
      </c>
      <c r="G206" s="110">
        <f t="shared" si="76"/>
        <v>0.9623604855534984</v>
      </c>
      <c r="H206" s="409" t="b">
        <f>Wh_hp&gt;='2026'!Maxi_hp</f>
        <v>0</v>
      </c>
      <c r="I206" s="385">
        <f>IF(H206,Wh_hp,'2026'!Maxi_hp)</f>
        <v>238.01215341902494</v>
      </c>
      <c r="J206" s="85">
        <f>IF(H206,An,'2026'!An_max)</f>
        <v>2022</v>
      </c>
      <c r="K206" s="193">
        <f t="shared" si="52"/>
        <v>46579</v>
      </c>
      <c r="L206" s="143">
        <f>IF(t&lt;Tvie,1-EXP((T0-t)*PertePVj)+'2026'!Pspv,1-EXP((T0-t)*PertePVj)+Pspv)</f>
        <v>2.9069454641732273E-2</v>
      </c>
      <c r="M206" s="835"/>
      <c r="N206" s="835"/>
      <c r="O206" s="48">
        <f>IF(t&lt;Tnet,'2026'!Resal+('2026'!Salim-'2026'!Resal)*(1-EXP(('2026'!Tnet-t)/('2026'!Tau_j))),Resal+(Salim-Resal)*(1-EXP((Tnet-t)/(Tau_j))))*Salcycl</f>
        <v>3.713782499102225E-2</v>
      </c>
      <c r="P206" s="165">
        <f>(INDEX(Models!$BJ206:$BT206,,T206)*(1-R206)+INDEX(Models!$BJ206:$BT206,,T206+1)*R206-ERP_i)*Q206*Ramure*Pc/MaxiM</f>
        <v>2.8279430925295203E-4</v>
      </c>
      <c r="Q206" s="301">
        <f t="shared" si="53"/>
        <v>0.5</v>
      </c>
      <c r="R206" s="173">
        <f t="shared" si="54"/>
        <v>0.88021708672157795</v>
      </c>
      <c r="S206" s="801">
        <f t="shared" si="55"/>
        <v>2</v>
      </c>
      <c r="T206" s="172">
        <f t="shared" si="56"/>
        <v>8</v>
      </c>
      <c r="U206" s="247">
        <f t="shared" si="57"/>
        <v>2.8802170867215779</v>
      </c>
      <c r="V206" s="378">
        <f t="shared" si="58"/>
        <v>231.14515995217778</v>
      </c>
      <c r="W206" s="397">
        <f t="shared" si="59"/>
        <v>222.44835051749476</v>
      </c>
      <c r="X206" s="153">
        <f t="shared" si="60"/>
        <v>46579</v>
      </c>
      <c r="Y206" s="380">
        <f t="shared" si="61"/>
        <v>216.34344482342775</v>
      </c>
      <c r="Z206" s="380">
        <f t="shared" si="62"/>
        <v>222.82072168570849</v>
      </c>
      <c r="AA206" s="381">
        <f t="shared" si="63"/>
        <v>237.94517315998155</v>
      </c>
      <c r="AB206" s="193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6.356275806487649E-2</v>
      </c>
      <c r="AD206" s="227">
        <f>(INDEX(Models!$BJ206:$BT206,,AH206)*(1-AF206)+INDEX(Models!$BJ206:$BT206,,AH206+1)*AF206-ERP_i)*AE206*Ramure*Pc/MaxiM</f>
        <v>2.8279430925295203E-4</v>
      </c>
      <c r="AE206" s="301">
        <f t="shared" si="65"/>
        <v>0.5</v>
      </c>
      <c r="AF206" s="173">
        <f t="shared" si="66"/>
        <v>0.88021708672157795</v>
      </c>
      <c r="AG206" s="801">
        <f t="shared" si="74"/>
        <v>2</v>
      </c>
      <c r="AH206" s="172">
        <f t="shared" si="67"/>
        <v>8</v>
      </c>
      <c r="AI206" s="221">
        <f t="shared" si="68"/>
        <v>2.8802170867215779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46580</v>
      </c>
      <c r="B207" s="406">
        <f>'2026'!Wh/'2026'!Env_an*'2027'!Env_an</f>
        <v>219.84177346989136</v>
      </c>
      <c r="C207" s="831"/>
      <c r="D207" s="388">
        <f t="shared" ref="D207:D270" si="77">Wh/(1-Ppv)</f>
        <v>226.4268891439927</v>
      </c>
      <c r="E207" s="380">
        <f t="shared" si="75"/>
        <v>235.1737550981878</v>
      </c>
      <c r="F207" s="380">
        <f t="shared" ref="F207:F270" si="78">Wh_sa/(1-Pvg*MEDIAN((-Sdif+Wh/Env_an)/Csdif,0,1))</f>
        <v>235.23653097494736</v>
      </c>
      <c r="G207" s="110">
        <f t="shared" si="76"/>
        <v>0.95257208569340523</v>
      </c>
      <c r="H207" s="409" t="b">
        <f>Wh_hp&gt;='2026'!Maxi_hp</f>
        <v>0</v>
      </c>
      <c r="I207" s="385">
        <f>IF(H207,Wh_hp,'2026'!Maxi_hp)</f>
        <v>235.24066730819968</v>
      </c>
      <c r="J207" s="85">
        <f>IF(H207,An,'2026'!An_max)</f>
        <v>2022</v>
      </c>
      <c r="K207" s="193">
        <f t="shared" ref="K207:K270" si="79">t</f>
        <v>46580</v>
      </c>
      <c r="L207" s="143">
        <f>IF(t&lt;Tvie,1-EXP((T0-t)*PertePVj)+'2026'!Pspv,1-EXP((T0-t)*PertePVj)+Pspv)</f>
        <v>2.9082745865547932E-2</v>
      </c>
      <c r="M207" s="835"/>
      <c r="N207" s="835"/>
      <c r="O207" s="48">
        <f>IF(t&lt;Tnet,'2026'!Resal+('2026'!Salim-'2026'!Resal)*(1-EXP(('2026'!Tnet-t)/('2026'!Tau_j))),Resal+(Salim-Resal)*(1-EXP((Tnet-t)/(Tau_j))))*Salcycl</f>
        <v>3.719320614897343E-2</v>
      </c>
      <c r="P207" s="165">
        <f>(INDEX(Models!$BJ207:$BT207,,T207)*(1-R207)+INDEX(Models!$BJ207:$BT207,,T207+1)*R207-ERP_i)*Q207*Ramure*Pc/MaxiM</f>
        <v>2.8624985442425523E-4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0.88369208026829593</v>
      </c>
      <c r="S207" s="801">
        <f t="shared" ref="S207:S270" si="82">INDEX(Echel_vg,T207)</f>
        <v>2</v>
      </c>
      <c r="T207" s="172">
        <f t="shared" ref="T207:T270" si="83">MIN(MATCH(Hp_vg,Echel_vg),10)</f>
        <v>8</v>
      </c>
      <c r="U207" s="247">
        <f t="shared" ref="U207:U270" si="84">IF(OR(t&lt;Ttai,Notai),Hdd+PousH*Croivg,Hdtf+PousH*(Croivg-Croi_tai))</f>
        <v>2.8836920802682959</v>
      </c>
      <c r="V207" s="378">
        <f t="shared" ref="V207:V270" si="85">MaxiM*(1-Ppv)*(1-Pvg)*(1-Psa)</f>
        <v>230.78306990840585</v>
      </c>
      <c r="W207" s="397">
        <f t="shared" ref="W207:W270" si="86">Wh*(A207&gt;Tmaj)</f>
        <v>219.84177346989136</v>
      </c>
      <c r="X207" s="153">
        <f t="shared" ref="X207:X270" si="87">t</f>
        <v>46580</v>
      </c>
      <c r="Y207" s="380">
        <f t="shared" ref="Y207:Y270" si="88">Wh_pvt_s*(1-Ppv)</f>
        <v>213.81399538095724</v>
      </c>
      <c r="Z207" s="380">
        <f t="shared" ref="Z207:Z270" si="89">Wh_sa_s*(1-Psa_s)</f>
        <v>220.21855567039742</v>
      </c>
      <c r="AA207" s="381">
        <f t="shared" ref="AA207:AA270" si="90">Wh_hp*(1-Pvg_s*MEDIAN((-Sdif+Wh/Env_an)/Csdif,0,1))</f>
        <v>235.1737550981878</v>
      </c>
      <c r="AB207" s="193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6.3592127537983184E-2</v>
      </c>
      <c r="AD207" s="227">
        <f>(INDEX(Models!$BJ207:$BT207,,AH207)*(1-AF207)+INDEX(Models!$BJ207:$BT207,,AH207+1)*AF207-ERP_i)*AE207*Ramure*Pc/MaxiM</f>
        <v>2.8624985442425523E-4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0.88369208026829593</v>
      </c>
      <c r="AG207" s="801">
        <f t="shared" si="74"/>
        <v>2</v>
      </c>
      <c r="AH207" s="172">
        <f t="shared" ref="AH207:AH270" si="94">MIN(MATCH(Hp_vg_s,Echel_vg),10)</f>
        <v>8</v>
      </c>
      <c r="AI207" s="221">
        <f t="shared" ref="AI207:AI270" si="95">IF(OR(t&lt;Ttai,Notai),Hdd_s+PousH*Croivg,Hdtai_s+PousH*(Croivg-Croi_tai))</f>
        <v>2.8836920802682959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46581</v>
      </c>
      <c r="B208" s="406">
        <f>'2026'!Wh/'2026'!Env_an*'2027'!Env_an</f>
        <v>219.97160197246336</v>
      </c>
      <c r="C208" s="831"/>
      <c r="D208" s="388">
        <f t="shared" si="77"/>
        <v>226.56370798178276</v>
      </c>
      <c r="E208" s="380">
        <f t="shared" si="75"/>
        <v>235.32929071906821</v>
      </c>
      <c r="F208" s="380">
        <f t="shared" si="78"/>
        <v>235.39297748456482</v>
      </c>
      <c r="G208" s="110">
        <f t="shared" si="76"/>
        <v>0.95469831595167998</v>
      </c>
      <c r="H208" s="409" t="b">
        <f>Wh_hp&gt;='2026'!Maxi_hp</f>
        <v>0</v>
      </c>
      <c r="I208" s="385">
        <f>IF(H208,Wh_hp,'2026'!Maxi_hp)</f>
        <v>235.39696058537044</v>
      </c>
      <c r="J208" s="85">
        <f>IF(H208,An,'2026'!An_max)</f>
        <v>2022</v>
      </c>
      <c r="K208" s="193">
        <f t="shared" si="79"/>
        <v>46581</v>
      </c>
      <c r="L208" s="143">
        <f>IF(t&lt;Tvie,1-EXP((T0-t)*PertePVj)+'2026'!Pspv,1-EXP((T0-t)*PertePVj)+Pspv)</f>
        <v>2.909603690741791E-2</v>
      </c>
      <c r="M208" s="835"/>
      <c r="N208" s="835"/>
      <c r="O208" s="48">
        <f>IF(t&lt;Tnet,'2026'!Resal+('2026'!Salim-'2026'!Resal)*(1-EXP(('2026'!Tnet-t)/('2026'!Tau_j))),Resal+(Salim-Resal)*(1-EXP((Tnet-t)/(Tau_j))))*Salcycl</f>
        <v>3.7248158571767699E-2</v>
      </c>
      <c r="P208" s="165">
        <f>(INDEX(Models!$BJ208:$BT208,,T208)*(1-R208)+INDEX(Models!$BJ208:$BT208,,T208+1)*R208-ERP_i)*Q208*Ramure*Pc/MaxiM</f>
        <v>2.8926817275282395E-4</v>
      </c>
      <c r="Q208" s="301">
        <f t="shared" si="80"/>
        <v>0.5</v>
      </c>
      <c r="R208" s="173">
        <f t="shared" si="81"/>
        <v>0.88708568948564137</v>
      </c>
      <c r="S208" s="801">
        <f t="shared" si="82"/>
        <v>2</v>
      </c>
      <c r="T208" s="172">
        <f t="shared" si="83"/>
        <v>8</v>
      </c>
      <c r="U208" s="247">
        <f t="shared" si="84"/>
        <v>2.8870856894856414</v>
      </c>
      <c r="V208" s="378">
        <f t="shared" si="85"/>
        <v>230.40522941518472</v>
      </c>
      <c r="W208" s="397">
        <f t="shared" si="86"/>
        <v>219.97160197246336</v>
      </c>
      <c r="X208" s="153">
        <f t="shared" si="87"/>
        <v>46581</v>
      </c>
      <c r="Y208" s="380">
        <f t="shared" si="88"/>
        <v>213.94591943854499</v>
      </c>
      <c r="Z208" s="380">
        <f t="shared" si="89"/>
        <v>220.35744787473263</v>
      </c>
      <c r="AA208" s="381">
        <f t="shared" si="90"/>
        <v>235.32929071906821</v>
      </c>
      <c r="AB208" s="193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6.3620821694519519E-2</v>
      </c>
      <c r="AD208" s="227">
        <f>(INDEX(Models!$BJ208:$BT208,,AH208)*(1-AF208)+INDEX(Models!$BJ208:$BT208,,AH208+1)*AF208-ERP_i)*AE208*Ramure*Pc/MaxiM</f>
        <v>2.8926817275282395E-4</v>
      </c>
      <c r="AE208" s="301">
        <f t="shared" si="92"/>
        <v>0.5</v>
      </c>
      <c r="AF208" s="173">
        <f t="shared" si="93"/>
        <v>0.88708568948564137</v>
      </c>
      <c r="AG208" s="801">
        <f t="shared" ref="AG208:AG271" si="99">INDEX(Echel_vg,AH208)</f>
        <v>2</v>
      </c>
      <c r="AH208" s="172">
        <f t="shared" si="94"/>
        <v>8</v>
      </c>
      <c r="AI208" s="221">
        <f t="shared" si="95"/>
        <v>2.8870856894856414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46582</v>
      </c>
      <c r="B209" s="406">
        <f>'2026'!Wh/'2026'!Env_an*'2027'!Env_an</f>
        <v>217.5966004813543</v>
      </c>
      <c r="C209" s="831"/>
      <c r="D209" s="388">
        <f t="shared" si="77"/>
        <v>224.12060050074459</v>
      </c>
      <c r="E209" s="380">
        <f t="shared" si="75"/>
        <v>232.80484994213421</v>
      </c>
      <c r="F209" s="380">
        <f t="shared" si="78"/>
        <v>232.86757021243602</v>
      </c>
      <c r="G209" s="110">
        <f t="shared" si="76"/>
        <v>0.94599880920821544</v>
      </c>
      <c r="H209" s="409" t="b">
        <f>Wh_hp&gt;='2026'!Maxi_hp</f>
        <v>0</v>
      </c>
      <c r="I209" s="385">
        <f>IF(H209,Wh_hp,'2026'!Maxi_hp)</f>
        <v>232.87229363523201</v>
      </c>
      <c r="J209" s="85">
        <f>IF(H209,An,'2026'!An_max)</f>
        <v>2022</v>
      </c>
      <c r="K209" s="193">
        <f t="shared" si="79"/>
        <v>46582</v>
      </c>
      <c r="L209" s="143">
        <f>IF(t&lt;Tvie,1-EXP((T0-t)*PertePVj)+'2026'!Pspv,1-EXP((T0-t)*PertePVj)+Pspv)</f>
        <v>2.910932776734465E-2</v>
      </c>
      <c r="M209" s="835"/>
      <c r="N209" s="835"/>
      <c r="O209" s="48">
        <f>IF(t&lt;Tnet,'2026'!Resal+('2026'!Salim-'2026'!Resal)*(1-EXP(('2026'!Tnet-t)/('2026'!Tau_j))),Resal+(Salim-Resal)*(1-EXP((Tnet-t)/(Tau_j))))*Salcycl</f>
        <v>3.7302699851606093E-2</v>
      </c>
      <c r="P209" s="165">
        <f>(INDEX(Models!$BJ209:$BT209,,T209)*(1-R209)+INDEX(Models!$BJ209:$BT209,,T209+1)*R209-ERP_i)*Q209*Ramure*Pc/MaxiM</f>
        <v>2.9184409828044707E-4</v>
      </c>
      <c r="Q209" s="301">
        <f t="shared" si="80"/>
        <v>0.5</v>
      </c>
      <c r="R209" s="173">
        <f t="shared" si="81"/>
        <v>0.89039797528377429</v>
      </c>
      <c r="S209" s="801">
        <f t="shared" si="82"/>
        <v>2</v>
      </c>
      <c r="T209" s="172">
        <f t="shared" si="83"/>
        <v>8</v>
      </c>
      <c r="U209" s="247">
        <f t="shared" si="84"/>
        <v>2.8903979752837743</v>
      </c>
      <c r="V209" s="378">
        <f t="shared" si="85"/>
        <v>230.01265959968356</v>
      </c>
      <c r="W209" s="397">
        <f t="shared" si="86"/>
        <v>217.5966004813543</v>
      </c>
      <c r="X209" s="153">
        <f t="shared" si="87"/>
        <v>46582</v>
      </c>
      <c r="Y209" s="380">
        <f t="shared" si="88"/>
        <v>211.64162625964914</v>
      </c>
      <c r="Z209" s="380">
        <f t="shared" si="89"/>
        <v>217.98708372896314</v>
      </c>
      <c r="AA209" s="381">
        <f t="shared" si="90"/>
        <v>232.80484994213421</v>
      </c>
      <c r="AB209" s="193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6.3648872507828594E-2</v>
      </c>
      <c r="AD209" s="227">
        <f>(INDEX(Models!$BJ209:$BT209,,AH209)*(1-AF209)+INDEX(Models!$BJ209:$BT209,,AH209+1)*AF209-ERP_i)*AE209*Ramure*Pc/MaxiM</f>
        <v>2.9184409828044707E-4</v>
      </c>
      <c r="AE209" s="301">
        <f t="shared" si="92"/>
        <v>0.5</v>
      </c>
      <c r="AF209" s="173">
        <f t="shared" si="93"/>
        <v>0.89039797528377429</v>
      </c>
      <c r="AG209" s="801">
        <f t="shared" si="99"/>
        <v>2</v>
      </c>
      <c r="AH209" s="172">
        <f t="shared" si="94"/>
        <v>8</v>
      </c>
      <c r="AI209" s="221">
        <f t="shared" si="95"/>
        <v>2.8903979752837743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46583</v>
      </c>
      <c r="B210" s="406">
        <f>'2026'!Wh/'2026'!Env_an*'2027'!Env_an</f>
        <v>208.72702126232727</v>
      </c>
      <c r="C210" s="831"/>
      <c r="D210" s="388">
        <f t="shared" si="77"/>
        <v>214.98803579921901</v>
      </c>
      <c r="E210" s="380">
        <f t="shared" si="75"/>
        <v>223.33097707352309</v>
      </c>
      <c r="F210" s="380">
        <f t="shared" si="78"/>
        <v>223.38811601232229</v>
      </c>
      <c r="G210" s="110">
        <f t="shared" si="76"/>
        <v>0.90902982314443259</v>
      </c>
      <c r="H210" s="409" t="b">
        <f>Wh_hp&gt;='2026'!Maxi_hp</f>
        <v>0</v>
      </c>
      <c r="I210" s="385">
        <f>IF(H210,Wh_hp,'2026'!Maxi_hp)</f>
        <v>223.39577791236005</v>
      </c>
      <c r="J210" s="85">
        <f>IF(H210,An,'2026'!An_max)</f>
        <v>2022</v>
      </c>
      <c r="K210" s="193">
        <f t="shared" si="79"/>
        <v>46583</v>
      </c>
      <c r="L210" s="143">
        <f>IF(t&lt;Tvie,1-EXP((T0-t)*PertePVj)+'2026'!Pspv,1-EXP((T0-t)*PertePVj)+Pspv)</f>
        <v>2.9122618445330595E-2</v>
      </c>
      <c r="M210" s="835"/>
      <c r="N210" s="835"/>
      <c r="O210" s="48">
        <f>IF(t&lt;Tnet,'2026'!Resal+('2026'!Salim-'2026'!Resal)*(1-EXP(('2026'!Tnet-t)/('2026'!Tau_j))),Resal+(Salim-Resal)*(1-EXP((Tnet-t)/(Tau_j))))*Salcycl</f>
        <v>3.7356847597355428E-2</v>
      </c>
      <c r="P210" s="165">
        <f>(INDEX(Models!$BJ210:$BT210,,T210)*(1-R210)+INDEX(Models!$BJ210:$BT210,,T210+1)*R210-ERP_i)*Q210*Ramure*Pc/MaxiM</f>
        <v>2.9397257958991657E-4</v>
      </c>
      <c r="Q210" s="301">
        <f t="shared" si="80"/>
        <v>0.5</v>
      </c>
      <c r="R210" s="173">
        <f t="shared" si="81"/>
        <v>0.89362912968892694</v>
      </c>
      <c r="S210" s="801">
        <f t="shared" si="82"/>
        <v>2</v>
      </c>
      <c r="T210" s="172">
        <f t="shared" si="83"/>
        <v>8</v>
      </c>
      <c r="U210" s="247">
        <f t="shared" si="84"/>
        <v>2.8936291296889269</v>
      </c>
      <c r="V210" s="378">
        <f t="shared" si="85"/>
        <v>229.60638118161219</v>
      </c>
      <c r="W210" s="397">
        <f t="shared" si="86"/>
        <v>208.72702126232727</v>
      </c>
      <c r="X210" s="153">
        <f t="shared" si="87"/>
        <v>46583</v>
      </c>
      <c r="Y210" s="380">
        <f t="shared" si="88"/>
        <v>203.02025094006603</v>
      </c>
      <c r="Z210" s="380">
        <f t="shared" si="89"/>
        <v>209.11008413335264</v>
      </c>
      <c r="AA210" s="381">
        <f t="shared" si="90"/>
        <v>223.33097707352309</v>
      </c>
      <c r="AB210" s="193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6.3676311842260802E-2</v>
      </c>
      <c r="AD210" s="227">
        <f>(INDEX(Models!$BJ210:$BT210,,AH210)*(1-AF210)+INDEX(Models!$BJ210:$BT210,,AH210+1)*AF210-ERP_i)*AE210*Ramure*Pc/MaxiM</f>
        <v>2.9397257958991657E-4</v>
      </c>
      <c r="AE210" s="301">
        <f t="shared" si="92"/>
        <v>0.5</v>
      </c>
      <c r="AF210" s="173">
        <f t="shared" si="93"/>
        <v>0.89362912968892694</v>
      </c>
      <c r="AG210" s="801">
        <f t="shared" si="99"/>
        <v>2</v>
      </c>
      <c r="AH210" s="172">
        <f t="shared" si="94"/>
        <v>8</v>
      </c>
      <c r="AI210" s="221">
        <f t="shared" si="95"/>
        <v>2.8936291296889269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46584</v>
      </c>
      <c r="B211" s="406">
        <f>'2026'!Wh/'2026'!Env_an*'2027'!Env_an</f>
        <v>214.22999889027497</v>
      </c>
      <c r="C211" s="831"/>
      <c r="D211" s="388">
        <f t="shared" si="77"/>
        <v>220.65910240503433</v>
      </c>
      <c r="E211" s="380">
        <f t="shared" si="75"/>
        <v>229.23492284111418</v>
      </c>
      <c r="F211" s="380">
        <f t="shared" si="78"/>
        <v>229.29639366782888</v>
      </c>
      <c r="G211" s="110">
        <f t="shared" si="76"/>
        <v>0.93471141368061261</v>
      </c>
      <c r="H211" s="409" t="b">
        <f>Wh_hp&gt;='2026'!Maxi_hp</f>
        <v>0</v>
      </c>
      <c r="I211" s="385">
        <f>IF(H211,Wh_hp,'2026'!Maxi_hp)</f>
        <v>229.30204866300306</v>
      </c>
      <c r="J211" s="85">
        <f>IF(H211,An,'2026'!An_max)</f>
        <v>2022</v>
      </c>
      <c r="K211" s="193">
        <f t="shared" si="79"/>
        <v>46584</v>
      </c>
      <c r="L211" s="143">
        <f>IF(t&lt;Tvie,1-EXP((T0-t)*PertePVj)+'2026'!Pspv,1-EXP((T0-t)*PertePVj)+Pspv)</f>
        <v>2.9135908941378408E-2</v>
      </c>
      <c r="M211" s="835"/>
      <c r="N211" s="835"/>
      <c r="O211" s="48">
        <f>IF(t&lt;Tnet,'2026'!Resal+('2026'!Salim-'2026'!Resal)*(1-EXP(('2026'!Tnet-t)/('2026'!Tau_j))),Resal+(Salim-Resal)*(1-EXP((Tnet-t)/(Tau_j))))*Salcycl</f>
        <v>3.7410619332307694E-2</v>
      </c>
      <c r="P211" s="165">
        <f>(INDEX(Models!$BJ211:$BT211,,T211)*(1-R211)+INDEX(Models!$BJ211:$BT211,,T211+1)*R211-ERP_i)*Q211*Ramure*Pc/MaxiM</f>
        <v>2.956486686761543E-4</v>
      </c>
      <c r="Q211" s="301">
        <f t="shared" si="80"/>
        <v>0.5</v>
      </c>
      <c r="R211" s="173">
        <f t="shared" si="81"/>
        <v>0.89677946905026795</v>
      </c>
      <c r="S211" s="801">
        <f t="shared" si="82"/>
        <v>2</v>
      </c>
      <c r="T211" s="172">
        <f t="shared" si="83"/>
        <v>8</v>
      </c>
      <c r="U211" s="247">
        <f t="shared" si="84"/>
        <v>2.896779469050268</v>
      </c>
      <c r="V211" s="378">
        <f t="shared" si="85"/>
        <v>229.18741454961682</v>
      </c>
      <c r="W211" s="397">
        <f t="shared" si="86"/>
        <v>214.22999889027497</v>
      </c>
      <c r="X211" s="153">
        <f t="shared" si="87"/>
        <v>46584</v>
      </c>
      <c r="Y211" s="380">
        <f t="shared" si="88"/>
        <v>208.37843488203552</v>
      </c>
      <c r="Z211" s="380">
        <f t="shared" si="89"/>
        <v>214.63193128795353</v>
      </c>
      <c r="AA211" s="381">
        <f t="shared" si="90"/>
        <v>229.23492284111418</v>
      </c>
      <c r="AB211" s="193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6.3703171280242402E-2</v>
      </c>
      <c r="AD211" s="227">
        <f>(INDEX(Models!$BJ211:$BT211,,AH211)*(1-AF211)+INDEX(Models!$BJ211:$BT211,,AH211+1)*AF211-ERP_i)*AE211*Ramure*Pc/MaxiM</f>
        <v>2.956486686761543E-4</v>
      </c>
      <c r="AE211" s="301">
        <f t="shared" si="92"/>
        <v>0.5</v>
      </c>
      <c r="AF211" s="173">
        <f t="shared" si="93"/>
        <v>0.89677946905026795</v>
      </c>
      <c r="AG211" s="801">
        <f t="shared" si="99"/>
        <v>2</v>
      </c>
      <c r="AH211" s="172">
        <f t="shared" si="94"/>
        <v>8</v>
      </c>
      <c r="AI211" s="221">
        <f t="shared" si="95"/>
        <v>2.896779469050268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46585</v>
      </c>
      <c r="B212" s="406">
        <f>'2026'!Wh/'2026'!Env_an*'2027'!Env_an</f>
        <v>213.5291308333606</v>
      </c>
      <c r="C212" s="831"/>
      <c r="D212" s="388">
        <f t="shared" si="77"/>
        <v>219.94021189415821</v>
      </c>
      <c r="E212" s="380">
        <f t="shared" si="75"/>
        <v>228.50077222736479</v>
      </c>
      <c r="F212" s="380">
        <f t="shared" si="78"/>
        <v>228.562243222398</v>
      </c>
      <c r="G212" s="110">
        <f t="shared" si="76"/>
        <v>0.93340694636450239</v>
      </c>
      <c r="H212" s="409" t="b">
        <f>Wh_hp&gt;='2026'!Maxi_hp</f>
        <v>0</v>
      </c>
      <c r="I212" s="385">
        <f>IF(H212,Wh_hp,'2026'!Maxi_hp)</f>
        <v>228.56800088470703</v>
      </c>
      <c r="J212" s="85">
        <f>IF(H212,An,'2026'!An_max)</f>
        <v>2022</v>
      </c>
      <c r="K212" s="193">
        <f t="shared" si="79"/>
        <v>46585</v>
      </c>
      <c r="L212" s="143">
        <f>IF(t&lt;Tvie,1-EXP((T0-t)*PertePVj)+'2026'!Pspv,1-EXP((T0-t)*PertePVj)+Pspv)</f>
        <v>2.9149199255490532E-2</v>
      </c>
      <c r="M212" s="835"/>
      <c r="N212" s="835"/>
      <c r="O212" s="48">
        <f>IF(t&lt;Tnet,'2026'!Resal+('2026'!Salim-'2026'!Resal)*(1-EXP(('2026'!Tnet-t)/('2026'!Tau_j))),Resal+(Salim-Resal)*(1-EXP((Tnet-t)/(Tau_j))))*Salcycl</f>
        <v>3.7464032395866806E-2</v>
      </c>
      <c r="P212" s="165">
        <f>(INDEX(Models!$BJ212:$BT212,,T212)*(1-R212)+INDEX(Models!$BJ212:$BT212,,T212+1)*R212-ERP_i)*Q212*Ramure*Pc/MaxiM</f>
        <v>2.9720963090764199E-4</v>
      </c>
      <c r="Q212" s="301">
        <f t="shared" si="80"/>
        <v>0.5</v>
      </c>
      <c r="R212" s="173">
        <f t="shared" si="81"/>
        <v>0.89984942711684468</v>
      </c>
      <c r="S212" s="801">
        <f t="shared" si="82"/>
        <v>2</v>
      </c>
      <c r="T212" s="172">
        <f t="shared" si="83"/>
        <v>8</v>
      </c>
      <c r="U212" s="247">
        <f t="shared" si="84"/>
        <v>2.8998494271168447</v>
      </c>
      <c r="V212" s="378">
        <f t="shared" si="85"/>
        <v>228.75670148022397</v>
      </c>
      <c r="W212" s="397">
        <f t="shared" si="86"/>
        <v>213.5291308333606</v>
      </c>
      <c r="X212" s="153">
        <f t="shared" si="87"/>
        <v>46585</v>
      </c>
      <c r="Y212" s="380">
        <f t="shared" si="88"/>
        <v>207.7023993609655</v>
      </c>
      <c r="Z212" s="380">
        <f t="shared" si="89"/>
        <v>213.93853638652431</v>
      </c>
      <c r="AA212" s="381">
        <f t="shared" si="90"/>
        <v>228.50077222736479</v>
      </c>
      <c r="AB212" s="193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6.3729481957070441E-2</v>
      </c>
      <c r="AD212" s="227">
        <f>(INDEX(Models!$BJ212:$BT212,,AH212)*(1-AF212)+INDEX(Models!$BJ212:$BT212,,AH212+1)*AF212-ERP_i)*AE212*Ramure*Pc/MaxiM</f>
        <v>2.9720963090764199E-4</v>
      </c>
      <c r="AE212" s="301">
        <f t="shared" si="92"/>
        <v>0.5</v>
      </c>
      <c r="AF212" s="173">
        <f t="shared" si="93"/>
        <v>0.89984942711684468</v>
      </c>
      <c r="AG212" s="801">
        <f t="shared" si="99"/>
        <v>2</v>
      </c>
      <c r="AH212" s="172">
        <f t="shared" si="94"/>
        <v>8</v>
      </c>
      <c r="AI212" s="221">
        <f t="shared" si="95"/>
        <v>2.8998494271168447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46586</v>
      </c>
      <c r="B213" s="406">
        <f>'2026'!Wh/'2026'!Env_an*'2027'!Env_an</f>
        <v>217.04061882805752</v>
      </c>
      <c r="C213" s="831"/>
      <c r="D213" s="388">
        <f t="shared" si="77"/>
        <v>223.5601905113501</v>
      </c>
      <c r="E213" s="380">
        <f t="shared" si="75"/>
        <v>232.27445537532344</v>
      </c>
      <c r="F213" s="380">
        <f t="shared" si="78"/>
        <v>232.33907676982912</v>
      </c>
      <c r="G213" s="110">
        <f t="shared" si="76"/>
        <v>0.95059858254385776</v>
      </c>
      <c r="H213" s="409" t="b">
        <f>Wh_hp&gt;='2026'!Maxi_hp</f>
        <v>0</v>
      </c>
      <c r="I213" s="385">
        <f>IF(H213,Wh_hp,'2026'!Maxi_hp)</f>
        <v>232.34343250983852</v>
      </c>
      <c r="J213" s="85">
        <f>IF(H213,An,'2026'!An_max)</f>
        <v>2022</v>
      </c>
      <c r="K213" s="193">
        <f t="shared" si="79"/>
        <v>46586</v>
      </c>
      <c r="L213" s="143">
        <f>IF(t&lt;Tvie,1-EXP((T0-t)*PertePVj)+'2026'!Pspv,1-EXP((T0-t)*PertePVj)+Pspv)</f>
        <v>2.9162489387669299E-2</v>
      </c>
      <c r="M213" s="835"/>
      <c r="N213" s="835"/>
      <c r="O213" s="48">
        <f>IF(t&lt;Tnet,'2026'!Resal+('2026'!Salim-'2026'!Resal)*(1-EXP(('2026'!Tnet-t)/('2026'!Tau_j))),Resal+(Salim-Resal)*(1-EXP((Tnet-t)/(Tau_j))))*Salcycl</f>
        <v>3.7517103849806922E-2</v>
      </c>
      <c r="P213" s="165">
        <f>(INDEX(Models!$BJ213:$BT213,,T213)*(1-R213)+INDEX(Models!$BJ213:$BT213,,T213+1)*R213-ERP_i)*Q213*Ramure*Pc/MaxiM</f>
        <v>2.9924409855208218E-4</v>
      </c>
      <c r="Q213" s="301">
        <f t="shared" si="80"/>
        <v>0.5</v>
      </c>
      <c r="R213" s="173">
        <f t="shared" si="81"/>
        <v>0.90283954803313504</v>
      </c>
      <c r="S213" s="801">
        <f t="shared" si="82"/>
        <v>2</v>
      </c>
      <c r="T213" s="172">
        <f t="shared" si="83"/>
        <v>8</v>
      </c>
      <c r="U213" s="247">
        <f t="shared" si="84"/>
        <v>2.902839548033135</v>
      </c>
      <c r="V213" s="378">
        <f t="shared" si="85"/>
        <v>228.31512668742346</v>
      </c>
      <c r="W213" s="397">
        <f t="shared" si="86"/>
        <v>217.04061882805752</v>
      </c>
      <c r="X213" s="153">
        <f t="shared" si="87"/>
        <v>46586</v>
      </c>
      <c r="Y213" s="380">
        <f t="shared" si="88"/>
        <v>211.12389158347176</v>
      </c>
      <c r="Z213" s="380">
        <f t="shared" si="89"/>
        <v>217.46573373572144</v>
      </c>
      <c r="AA213" s="381">
        <f t="shared" si="90"/>
        <v>232.27445537532344</v>
      </c>
      <c r="AB213" s="193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6.3755274404467654E-2</v>
      </c>
      <c r="AD213" s="227">
        <f>(INDEX(Models!$BJ213:$BT213,,AH213)*(1-AF213)+INDEX(Models!$BJ213:$BT213,,AH213+1)*AF213-ERP_i)*AE213*Ramure*Pc/MaxiM</f>
        <v>2.9924409855208218E-4</v>
      </c>
      <c r="AE213" s="301">
        <f t="shared" si="92"/>
        <v>0.5</v>
      </c>
      <c r="AF213" s="173">
        <f t="shared" si="93"/>
        <v>0.90283954803313504</v>
      </c>
      <c r="AG213" s="801">
        <f t="shared" si="99"/>
        <v>2</v>
      </c>
      <c r="AH213" s="172">
        <f t="shared" si="94"/>
        <v>8</v>
      </c>
      <c r="AI213" s="221">
        <f t="shared" si="95"/>
        <v>2.902839548033135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46587</v>
      </c>
      <c r="B214" s="406">
        <f>'2026'!Wh/'2026'!Env_an*'2027'!Env_an</f>
        <v>153.61458516318302</v>
      </c>
      <c r="C214" s="831"/>
      <c r="D214" s="388">
        <f t="shared" si="77"/>
        <v>158.23110084585753</v>
      </c>
      <c r="E214" s="380">
        <f t="shared" si="75"/>
        <v>164.40788031206881</v>
      </c>
      <c r="F214" s="380">
        <f t="shared" si="78"/>
        <v>164.43440191502384</v>
      </c>
      <c r="G214" s="110">
        <f t="shared" si="76"/>
        <v>0.67405645548950921</v>
      </c>
      <c r="H214" s="409" t="b">
        <f>Wh_hp&gt;='2026'!Maxi_hp</f>
        <v>0</v>
      </c>
      <c r="I214" s="385">
        <f>IF(H214,Wh_hp,'2026'!Maxi_hp)</f>
        <v>164.45484514625312</v>
      </c>
      <c r="J214" s="85">
        <f>IF(H214,An,'2026'!An_max)</f>
        <v>2022</v>
      </c>
      <c r="K214" s="193">
        <f t="shared" si="79"/>
        <v>46587</v>
      </c>
      <c r="L214" s="143">
        <f>IF(t&lt;Tvie,1-EXP((T0-t)*PertePVj)+'2026'!Pspv,1-EXP((T0-t)*PertePVj)+Pspv)</f>
        <v>2.9175779337917374E-2</v>
      </c>
      <c r="M214" s="835"/>
      <c r="N214" s="835"/>
      <c r="O214" s="48">
        <f>IF(t&lt;Tnet,'2026'!Resal+('2026'!Salim-'2026'!Resal)*(1-EXP(('2026'!Tnet-t)/('2026'!Tau_j))),Resal+(Salim-Resal)*(1-EXP((Tnet-t)/(Tau_j))))*Salcycl</f>
        <v>3.7569850389694806E-2</v>
      </c>
      <c r="P214" s="165">
        <f>(INDEX(Models!$BJ214:$BT214,,T214)*(1-R214)+INDEX(Models!$BJ214:$BT214,,T214+1)*R214-ERP_i)*Q214*Ramure*Pc/MaxiM</f>
        <v>3.0175746437685765E-4</v>
      </c>
      <c r="Q214" s="301">
        <f t="shared" si="80"/>
        <v>0.5</v>
      </c>
      <c r="R214" s="173">
        <f t="shared" si="81"/>
        <v>0.90575047929869879</v>
      </c>
      <c r="S214" s="801">
        <f t="shared" si="82"/>
        <v>2</v>
      </c>
      <c r="T214" s="172">
        <f t="shared" si="83"/>
        <v>8</v>
      </c>
      <c r="U214" s="247">
        <f t="shared" si="84"/>
        <v>2.9057504792986988</v>
      </c>
      <c r="V214" s="378">
        <f t="shared" si="85"/>
        <v>227.86370868478514</v>
      </c>
      <c r="W214" s="397">
        <f t="shared" si="86"/>
        <v>153.61458516318302</v>
      </c>
      <c r="X214" s="153">
        <f t="shared" si="87"/>
        <v>46587</v>
      </c>
      <c r="Y214" s="380">
        <f t="shared" si="88"/>
        <v>149.43106066288823</v>
      </c>
      <c r="Z214" s="380">
        <f t="shared" si="89"/>
        <v>153.92185061161663</v>
      </c>
      <c r="AA214" s="381">
        <f t="shared" si="90"/>
        <v>164.40788031206881</v>
      </c>
      <c r="AB214" s="193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6.3780578403834706E-2</v>
      </c>
      <c r="AD214" s="227">
        <f>(INDEX(Models!$BJ214:$BT214,,AH214)*(1-AF214)+INDEX(Models!$BJ214:$BT214,,AH214+1)*AF214-ERP_i)*AE214*Ramure*Pc/MaxiM</f>
        <v>3.0175746437685765E-4</v>
      </c>
      <c r="AE214" s="301">
        <f t="shared" si="92"/>
        <v>0.5</v>
      </c>
      <c r="AF214" s="173">
        <f t="shared" si="93"/>
        <v>0.90575047929869879</v>
      </c>
      <c r="AG214" s="801">
        <f t="shared" si="99"/>
        <v>2</v>
      </c>
      <c r="AH214" s="172">
        <f t="shared" si="94"/>
        <v>8</v>
      </c>
      <c r="AI214" s="221">
        <f t="shared" si="95"/>
        <v>2.9057504792986988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46588</v>
      </c>
      <c r="B215" s="406">
        <f>'2026'!Wh/'2026'!Env_an*'2027'!Env_an</f>
        <v>157.50874824921448</v>
      </c>
      <c r="C215" s="831"/>
      <c r="D215" s="388">
        <f t="shared" si="77"/>
        <v>162.2445145979211</v>
      </c>
      <c r="E215" s="380">
        <f t="shared" si="75"/>
        <v>168.58714891154162</v>
      </c>
      <c r="F215" s="380">
        <f t="shared" si="78"/>
        <v>168.61597237048892</v>
      </c>
      <c r="G215" s="110">
        <f t="shared" si="76"/>
        <v>0.69254735074055207</v>
      </c>
      <c r="H215" s="409" t="b">
        <f>Wh_hp&gt;='2026'!Maxi_hp</f>
        <v>0</v>
      </c>
      <c r="I215" s="385">
        <f>IF(H215,Wh_hp,'2026'!Maxi_hp)</f>
        <v>168.63588062194077</v>
      </c>
      <c r="J215" s="85">
        <f>IF(H215,An,'2026'!An_max)</f>
        <v>2022</v>
      </c>
      <c r="K215" s="193">
        <f t="shared" si="79"/>
        <v>46588</v>
      </c>
      <c r="L215" s="143">
        <f>IF(t&lt;Tvie,1-EXP((T0-t)*PertePVj)+'2026'!Pspv,1-EXP((T0-t)*PertePVj)+Pspv)</f>
        <v>2.9189069106237198E-2</v>
      </c>
      <c r="M215" s="835"/>
      <c r="N215" s="835"/>
      <c r="O215" s="48">
        <f>IF(t&lt;Tnet,'2026'!Resal+('2026'!Salim-'2026'!Resal)*(1-EXP(('2026'!Tnet-t)/('2026'!Tau_j))),Resal+(Salim-Resal)*(1-EXP((Tnet-t)/(Tau_j))))*Salcycl</f>
        <v>3.76222882620105E-2</v>
      </c>
      <c r="P215" s="165">
        <f>(INDEX(Models!$BJ215:$BT215,,T215)*(1-R215)+INDEX(Models!$BJ215:$BT215,,T215+1)*R215-ERP_i)*Q215*Ramure*Pc/MaxiM</f>
        <v>3.0475499175933992E-4</v>
      </c>
      <c r="Q215" s="301">
        <f t="shared" si="80"/>
        <v>0.5</v>
      </c>
      <c r="R215" s="173">
        <f t="shared" si="81"/>
        <v>0.90858296473413391</v>
      </c>
      <c r="S215" s="801">
        <f t="shared" si="82"/>
        <v>2</v>
      </c>
      <c r="T215" s="172">
        <f t="shared" si="83"/>
        <v>8</v>
      </c>
      <c r="U215" s="247">
        <f t="shared" si="84"/>
        <v>2.9085829647341339</v>
      </c>
      <c r="V215" s="378">
        <f t="shared" si="85"/>
        <v>227.4034658770434</v>
      </c>
      <c r="W215" s="397">
        <f t="shared" si="86"/>
        <v>157.50874824921448</v>
      </c>
      <c r="X215" s="153">
        <f t="shared" si="87"/>
        <v>46588</v>
      </c>
      <c r="Y215" s="380">
        <f t="shared" si="88"/>
        <v>153.22345287724221</v>
      </c>
      <c r="Z215" s="380">
        <f t="shared" si="89"/>
        <v>157.83037458815929</v>
      </c>
      <c r="AA215" s="381">
        <f t="shared" si="90"/>
        <v>168.58714891154162</v>
      </c>
      <c r="AB215" s="193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6.3805422850032628E-2</v>
      </c>
      <c r="AD215" s="227">
        <f>(INDEX(Models!$BJ215:$BT215,,AH215)*(1-AF215)+INDEX(Models!$BJ215:$BT215,,AH215+1)*AF215-ERP_i)*AE215*Ramure*Pc/MaxiM</f>
        <v>3.0475499175933992E-4</v>
      </c>
      <c r="AE215" s="301">
        <f t="shared" si="92"/>
        <v>0.5</v>
      </c>
      <c r="AF215" s="173">
        <f t="shared" si="93"/>
        <v>0.90858296473413391</v>
      </c>
      <c r="AG215" s="801">
        <f t="shared" si="99"/>
        <v>2</v>
      </c>
      <c r="AH215" s="172">
        <f t="shared" si="94"/>
        <v>8</v>
      </c>
      <c r="AI215" s="221">
        <f t="shared" si="95"/>
        <v>2.9085829647341339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46589</v>
      </c>
      <c r="B216" s="406">
        <f>'2026'!Wh/'2026'!Env_an*'2027'!Env_an</f>
        <v>210.41485473012023</v>
      </c>
      <c r="C216" s="831"/>
      <c r="D216" s="388">
        <f t="shared" si="77"/>
        <v>216.74429950896408</v>
      </c>
      <c r="E216" s="380">
        <f t="shared" si="75"/>
        <v>225.22970082450374</v>
      </c>
      <c r="F216" s="380">
        <f t="shared" si="78"/>
        <v>225.29192314489023</v>
      </c>
      <c r="G216" s="110">
        <f t="shared" si="76"/>
        <v>0.92717175162229104</v>
      </c>
      <c r="H216" s="409" t="b">
        <f>Wh_hp&gt;='2026'!Maxi_hp</f>
        <v>0</v>
      </c>
      <c r="I216" s="385">
        <f>IF(H216,Wh_hp,'2026'!Maxi_hp)</f>
        <v>225.29827757588035</v>
      </c>
      <c r="J216" s="85">
        <f>IF(H216,An,'2026'!An_max)</f>
        <v>2022</v>
      </c>
      <c r="K216" s="193">
        <f t="shared" si="79"/>
        <v>46589</v>
      </c>
      <c r="L216" s="143">
        <f>IF(t&lt;Tvie,1-EXP((T0-t)*PertePVj)+'2026'!Pspv,1-EXP((T0-t)*PertePVj)+Pspv)</f>
        <v>2.9202358692631214E-2</v>
      </c>
      <c r="M216" s="835"/>
      <c r="N216" s="835"/>
      <c r="O216" s="48">
        <f>IF(t&lt;Tnet,'2026'!Resal+('2026'!Salim-'2026'!Resal)*(1-EXP(('2026'!Tnet-t)/('2026'!Tau_j))),Resal+(Salim-Resal)*(1-EXP((Tnet-t)/(Tau_j))))*Salcycl</f>
        <v>3.7674433187439113E-2</v>
      </c>
      <c r="P216" s="165">
        <f>(INDEX(Models!$BJ216:$BT216,,T216)*(1-R216)+INDEX(Models!$BJ216:$BT216,,T216+1)*R216-ERP_i)*Q216*Ramure*Pc/MaxiM</f>
        <v>3.0824180854331667E-4</v>
      </c>
      <c r="Q216" s="301">
        <f t="shared" si="80"/>
        <v>0.5</v>
      </c>
      <c r="R216" s="173">
        <f t="shared" si="81"/>
        <v>0.91133783749219388</v>
      </c>
      <c r="S216" s="801">
        <f t="shared" si="82"/>
        <v>2</v>
      </c>
      <c r="T216" s="172">
        <f t="shared" si="83"/>
        <v>8</v>
      </c>
      <c r="U216" s="247">
        <f t="shared" si="84"/>
        <v>2.9113378374921939</v>
      </c>
      <c r="V216" s="378">
        <f t="shared" si="85"/>
        <v>226.93541658894782</v>
      </c>
      <c r="W216" s="397">
        <f t="shared" si="86"/>
        <v>210.41485473012023</v>
      </c>
      <c r="X216" s="153">
        <f t="shared" si="87"/>
        <v>46589</v>
      </c>
      <c r="Y216" s="380">
        <f t="shared" si="88"/>
        <v>204.69591158405584</v>
      </c>
      <c r="Z216" s="380">
        <f t="shared" si="89"/>
        <v>210.85332604268876</v>
      </c>
      <c r="AA216" s="381">
        <f t="shared" si="90"/>
        <v>225.22970082450374</v>
      </c>
      <c r="AB216" s="193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6.3829835626416184E-2</v>
      </c>
      <c r="AD216" s="227">
        <f>(INDEX(Models!$BJ216:$BT216,,AH216)*(1-AF216)+INDEX(Models!$BJ216:$BT216,,AH216+1)*AF216-ERP_i)*AE216*Ramure*Pc/MaxiM</f>
        <v>3.0824180854331667E-4</v>
      </c>
      <c r="AE216" s="301">
        <f t="shared" si="92"/>
        <v>0.5</v>
      </c>
      <c r="AF216" s="173">
        <f t="shared" si="93"/>
        <v>0.91133783749219388</v>
      </c>
      <c r="AG216" s="801">
        <f t="shared" si="99"/>
        <v>2</v>
      </c>
      <c r="AH216" s="172">
        <f t="shared" si="94"/>
        <v>8</v>
      </c>
      <c r="AI216" s="221">
        <f t="shared" si="95"/>
        <v>2.9113378374921939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46590</v>
      </c>
      <c r="B217" s="406">
        <f>'2026'!Wh/'2026'!Env_an*'2027'!Env_an</f>
        <v>159.6217649031226</v>
      </c>
      <c r="C217" s="831"/>
      <c r="D217" s="388">
        <f t="shared" si="77"/>
        <v>164.42556432871783</v>
      </c>
      <c r="E217" s="380">
        <f t="shared" si="75"/>
        <v>170.87193007394578</v>
      </c>
      <c r="F217" s="380">
        <f t="shared" si="78"/>
        <v>170.90279142055664</v>
      </c>
      <c r="G217" s="110">
        <f t="shared" si="76"/>
        <v>0.70476172247579927</v>
      </c>
      <c r="H217" s="409" t="b">
        <f>Wh_hp&gt;='2026'!Maxi_hp</f>
        <v>0</v>
      </c>
      <c r="I217" s="385">
        <f>IF(H217,Wh_hp,'2026'!Maxi_hp)</f>
        <v>170.9225367239975</v>
      </c>
      <c r="J217" s="85">
        <f>IF(H217,An,'2026'!An_max)</f>
        <v>2022</v>
      </c>
      <c r="K217" s="193">
        <f t="shared" si="79"/>
        <v>46590</v>
      </c>
      <c r="L217" s="143">
        <f>IF(t&lt;Tvie,1-EXP((T0-t)*PertePVj)+'2026'!Pspv,1-EXP((T0-t)*PertePVj)+Pspv)</f>
        <v>2.9215648097101976E-2</v>
      </c>
      <c r="M217" s="835"/>
      <c r="N217" s="835"/>
      <c r="O217" s="48">
        <f>IF(t&lt;Tnet,'2026'!Resal+('2026'!Salim-'2026'!Resal)*(1-EXP(('2026'!Tnet-t)/('2026'!Tau_j))),Resal+(Salim-Resal)*(1-EXP((Tnet-t)/(Tau_j))))*Salcycl</f>
        <v>3.7726300290739721E-2</v>
      </c>
      <c r="P217" s="165">
        <f>(INDEX(Models!$BJ217:$BT217,,T217)*(1-R217)+INDEX(Models!$BJ217:$BT217,,T217+1)*R217-ERP_i)*Q217*Ramure*Pc/MaxiM</f>
        <v>3.1222290017864714E-4</v>
      </c>
      <c r="Q217" s="301">
        <f t="shared" si="80"/>
        <v>0.5</v>
      </c>
      <c r="R217" s="173">
        <f t="shared" si="81"/>
        <v>0.91401601314947278</v>
      </c>
      <c r="S217" s="801">
        <f t="shared" si="82"/>
        <v>2</v>
      </c>
      <c r="T217" s="172">
        <f t="shared" si="83"/>
        <v>8</v>
      </c>
      <c r="U217" s="247">
        <f t="shared" si="84"/>
        <v>2.9140160131494728</v>
      </c>
      <c r="V217" s="378">
        <f t="shared" si="85"/>
        <v>226.46057906512377</v>
      </c>
      <c r="W217" s="397">
        <f t="shared" si="86"/>
        <v>159.6217649031226</v>
      </c>
      <c r="X217" s="153">
        <f t="shared" si="87"/>
        <v>46590</v>
      </c>
      <c r="Y217" s="380">
        <f t="shared" si="88"/>
        <v>155.28773336969968</v>
      </c>
      <c r="Z217" s="380">
        <f t="shared" si="89"/>
        <v>159.96110059387547</v>
      </c>
      <c r="AA217" s="381">
        <f t="shared" si="90"/>
        <v>170.87193007394578</v>
      </c>
      <c r="AB217" s="193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6.3853843491722642E-2</v>
      </c>
      <c r="AD217" s="227">
        <f>(INDEX(Models!$BJ217:$BT217,,AH217)*(1-AF217)+INDEX(Models!$BJ217:$BT217,,AH217+1)*AF217-ERP_i)*AE217*Ramure*Pc/MaxiM</f>
        <v>3.1222290017864714E-4</v>
      </c>
      <c r="AE217" s="301">
        <f t="shared" si="92"/>
        <v>0.5</v>
      </c>
      <c r="AF217" s="173">
        <f t="shared" si="93"/>
        <v>0.91401601314947278</v>
      </c>
      <c r="AG217" s="801">
        <f t="shared" si="99"/>
        <v>2</v>
      </c>
      <c r="AH217" s="172">
        <f t="shared" si="94"/>
        <v>8</v>
      </c>
      <c r="AI217" s="221">
        <f t="shared" si="95"/>
        <v>2.9140160131494728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46591</v>
      </c>
      <c r="B218" s="406">
        <f>'2026'!Wh/'2026'!Env_an*'2027'!Env_an</f>
        <v>183.70377968280334</v>
      </c>
      <c r="C218" s="831"/>
      <c r="D218" s="388">
        <f t="shared" si="77"/>
        <v>189.23491515660544</v>
      </c>
      <c r="E218" s="380">
        <f t="shared" si="75"/>
        <v>196.66448728484195</v>
      </c>
      <c r="F218" s="380">
        <f t="shared" si="78"/>
        <v>196.7101362754828</v>
      </c>
      <c r="G218" s="110">
        <f t="shared" si="76"/>
        <v>0.81285180279125124</v>
      </c>
      <c r="H218" s="409" t="b">
        <f>Wh_hp&gt;='2026'!Maxi_hp</f>
        <v>0</v>
      </c>
      <c r="I218" s="385">
        <f>IF(H218,Wh_hp,'2026'!Maxi_hp)</f>
        <v>196.7247161303259</v>
      </c>
      <c r="J218" s="85">
        <f>IF(H218,An,'2026'!An_max)</f>
        <v>2022</v>
      </c>
      <c r="K218" s="193">
        <f t="shared" si="79"/>
        <v>46591</v>
      </c>
      <c r="L218" s="143">
        <f>IF(t&lt;Tvie,1-EXP((T0-t)*PertePVj)+'2026'!Pspv,1-EXP((T0-t)*PertePVj)+Pspv)</f>
        <v>2.9228937319652037E-2</v>
      </c>
      <c r="M218" s="835"/>
      <c r="N218" s="835"/>
      <c r="O218" s="48">
        <f>IF(t&lt;Tnet,'2026'!Resal+('2026'!Salim-'2026'!Resal)*(1-EXP(('2026'!Tnet-t)/('2026'!Tau_j))),Resal+(Salim-Resal)*(1-EXP((Tnet-t)/(Tau_j))))*Salcycl</f>
        <v>3.7777904037528516E-2</v>
      </c>
      <c r="P218" s="165">
        <f>(INDEX(Models!$BJ218:$BT218,,T218)*(1-R218)+INDEX(Models!$BJ218:$BT218,,T218+1)*R218-ERP_i)*Q218*Ramure*Pc/MaxiM</f>
        <v>3.1670310192433149E-4</v>
      </c>
      <c r="Q218" s="301">
        <f t="shared" si="80"/>
        <v>0.5</v>
      </c>
      <c r="R218" s="173">
        <f t="shared" si="81"/>
        <v>0.91661848291060499</v>
      </c>
      <c r="S218" s="801">
        <f t="shared" si="82"/>
        <v>2</v>
      </c>
      <c r="T218" s="172">
        <f t="shared" si="83"/>
        <v>8</v>
      </c>
      <c r="U218" s="247">
        <f t="shared" si="84"/>
        <v>2.916618482910605</v>
      </c>
      <c r="V218" s="378">
        <f t="shared" si="85"/>
        <v>225.9799714938342</v>
      </c>
      <c r="W218" s="397">
        <f t="shared" si="86"/>
        <v>183.70377968280334</v>
      </c>
      <c r="X218" s="153">
        <f t="shared" si="87"/>
        <v>46591</v>
      </c>
      <c r="Y218" s="380">
        <f t="shared" si="88"/>
        <v>178.72094952424692</v>
      </c>
      <c r="Z218" s="380">
        <f t="shared" si="89"/>
        <v>184.10205700898143</v>
      </c>
      <c r="AA218" s="381">
        <f t="shared" si="90"/>
        <v>196.66448728484195</v>
      </c>
      <c r="AB218" s="193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6.387747197929812E-2</v>
      </c>
      <c r="AD218" s="227">
        <f>(INDEX(Models!$BJ218:$BT218,,AH218)*(1-AF218)+INDEX(Models!$BJ218:$BT218,,AH218+1)*AF218-ERP_i)*AE218*Ramure*Pc/MaxiM</f>
        <v>3.1670310192433149E-4</v>
      </c>
      <c r="AE218" s="301">
        <f t="shared" si="92"/>
        <v>0.5</v>
      </c>
      <c r="AF218" s="173">
        <f t="shared" si="93"/>
        <v>0.91661848291060499</v>
      </c>
      <c r="AG218" s="801">
        <f t="shared" si="99"/>
        <v>2</v>
      </c>
      <c r="AH218" s="172">
        <f t="shared" si="94"/>
        <v>8</v>
      </c>
      <c r="AI218" s="221">
        <f t="shared" si="95"/>
        <v>2.916618482910605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46592</v>
      </c>
      <c r="B219" s="406">
        <f>'2026'!Wh/'2026'!Env_an*'2027'!Env_an</f>
        <v>213.19412404156793</v>
      </c>
      <c r="C219" s="831"/>
      <c r="D219" s="388">
        <f t="shared" si="77"/>
        <v>219.61619039343594</v>
      </c>
      <c r="E219" s="380">
        <f t="shared" si="75"/>
        <v>228.25074682443378</v>
      </c>
      <c r="F219" s="380">
        <f t="shared" si="78"/>
        <v>228.31847221282598</v>
      </c>
      <c r="G219" s="110">
        <f t="shared" si="76"/>
        <v>0.94543807815941272</v>
      </c>
      <c r="H219" s="409" t="b">
        <f>Wh_hp&gt;='2026'!Maxi_hp</f>
        <v>0</v>
      </c>
      <c r="I219" s="385">
        <f>IF(H219,Wh_hp,'2026'!Maxi_hp)</f>
        <v>228.32347365293612</v>
      </c>
      <c r="J219" s="85">
        <f>IF(H219,An,'2026'!An_max)</f>
        <v>2022</v>
      </c>
      <c r="K219" s="193">
        <f t="shared" si="79"/>
        <v>46592</v>
      </c>
      <c r="L219" s="143">
        <f>IF(t&lt;Tvie,1-EXP((T0-t)*PertePVj)+'2026'!Pspv,1-EXP((T0-t)*PertePVj)+Pspv)</f>
        <v>2.924222636028373E-2</v>
      </c>
      <c r="M219" s="835"/>
      <c r="N219" s="835"/>
      <c r="O219" s="48">
        <f>IF(t&lt;Tnet,'2026'!Resal+('2026'!Salim-'2026'!Resal)*(1-EXP(('2026'!Tnet-t)/('2026'!Tau_j))),Resal+(Salim-Resal)*(1-EXP((Tnet-t)/(Tau_j))))*Salcycl</f>
        <v>3.7829258178241003E-2</v>
      </c>
      <c r="P219" s="165">
        <f>(INDEX(Models!$BJ219:$BT219,,T219)*(1-R219)+INDEX(Models!$BJ219:$BT219,,T219+1)*R219-ERP_i)*Q219*Ramure*Pc/MaxiM</f>
        <v>3.2169029735534284E-4</v>
      </c>
      <c r="Q219" s="301">
        <f t="shared" si="80"/>
        <v>0.5</v>
      </c>
      <c r="R219" s="173">
        <f t="shared" si="81"/>
        <v>0.91914630695348221</v>
      </c>
      <c r="S219" s="801">
        <f t="shared" si="82"/>
        <v>2</v>
      </c>
      <c r="T219" s="172">
        <f t="shared" si="83"/>
        <v>8</v>
      </c>
      <c r="U219" s="247">
        <f t="shared" si="84"/>
        <v>2.9191463069534822</v>
      </c>
      <c r="V219" s="378">
        <f t="shared" si="85"/>
        <v>225.49205918454015</v>
      </c>
      <c r="W219" s="397">
        <f t="shared" si="86"/>
        <v>213.19412404156793</v>
      </c>
      <c r="X219" s="153">
        <f t="shared" si="87"/>
        <v>46592</v>
      </c>
      <c r="Y219" s="380">
        <f t="shared" si="88"/>
        <v>207.41730333843233</v>
      </c>
      <c r="Z219" s="380">
        <f t="shared" si="89"/>
        <v>213.66535398501222</v>
      </c>
      <c r="AA219" s="381">
        <f t="shared" si="90"/>
        <v>228.25074682443378</v>
      </c>
      <c r="AB219" s="193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6.3900745309019152E-2</v>
      </c>
      <c r="AD219" s="227">
        <f>(INDEX(Models!$BJ219:$BT219,,AH219)*(1-AF219)+INDEX(Models!$BJ219:$BT219,,AH219+1)*AF219-ERP_i)*AE219*Ramure*Pc/MaxiM</f>
        <v>3.2169029735534284E-4</v>
      </c>
      <c r="AE219" s="301">
        <f t="shared" si="92"/>
        <v>0.5</v>
      </c>
      <c r="AF219" s="173">
        <f t="shared" si="93"/>
        <v>0.91914630695348221</v>
      </c>
      <c r="AG219" s="801">
        <f t="shared" si="99"/>
        <v>2</v>
      </c>
      <c r="AH219" s="172">
        <f t="shared" si="94"/>
        <v>8</v>
      </c>
      <c r="AI219" s="221">
        <f t="shared" si="95"/>
        <v>2.9191463069534822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46593</v>
      </c>
      <c r="B220" s="406">
        <f>'2026'!Wh/'2026'!Env_an*'2027'!Env_an</f>
        <v>114.77828389297323</v>
      </c>
      <c r="C220" s="831"/>
      <c r="D220" s="388">
        <f t="shared" si="77"/>
        <v>118.23737934382102</v>
      </c>
      <c r="E220" s="380">
        <f t="shared" si="75"/>
        <v>122.89259709236262</v>
      </c>
      <c r="F220" s="380">
        <f t="shared" si="78"/>
        <v>122.90466073679171</v>
      </c>
      <c r="G220" s="110">
        <f t="shared" si="76"/>
        <v>0.51002103456258074</v>
      </c>
      <c r="H220" s="409" t="b">
        <f>Wh_hp&gt;='2026'!Maxi_hp</f>
        <v>0</v>
      </c>
      <c r="I220" s="385">
        <f>IF(H220,Wh_hp,'2026'!Maxi_hp)</f>
        <v>122.92919914878539</v>
      </c>
      <c r="J220" s="85">
        <f>IF(H220,An,'2026'!An_max)</f>
        <v>2022</v>
      </c>
      <c r="K220" s="193">
        <f t="shared" si="79"/>
        <v>46593</v>
      </c>
      <c r="L220" s="143">
        <f>IF(t&lt;Tvie,1-EXP((T0-t)*PertePVj)+'2026'!Pspv,1-EXP((T0-t)*PertePVj)+Pspv)</f>
        <v>2.9255515218999606E-2</v>
      </c>
      <c r="M220" s="835"/>
      <c r="N220" s="835"/>
      <c r="O220" s="48">
        <f>IF(t&lt;Tnet,'2026'!Resal+('2026'!Salim-'2026'!Resal)*(1-EXP(('2026'!Tnet-t)/('2026'!Tau_j))),Resal+(Salim-Resal)*(1-EXP((Tnet-t)/(Tau_j))))*Salcycl</f>
        <v>3.7880375699464452E-2</v>
      </c>
      <c r="P220" s="165">
        <f>(INDEX(Models!$BJ220:$BT220,,T220)*(1-R220)+INDEX(Models!$BJ220:$BT220,,T220+1)*R220-ERP_i)*Q220*Ramure*Pc/MaxiM</f>
        <v>3.2696712791388934E-4</v>
      </c>
      <c r="Q220" s="301">
        <f t="shared" si="80"/>
        <v>0.5</v>
      </c>
      <c r="R220" s="173">
        <f t="shared" si="81"/>
        <v>0.92160060794061716</v>
      </c>
      <c r="S220" s="801">
        <f t="shared" si="82"/>
        <v>2</v>
      </c>
      <c r="T220" s="172">
        <f t="shared" si="83"/>
        <v>8</v>
      </c>
      <c r="U220" s="247">
        <f t="shared" si="84"/>
        <v>2.9216006079406172</v>
      </c>
      <c r="V220" s="378">
        <f t="shared" si="85"/>
        <v>224.99467829115551</v>
      </c>
      <c r="W220" s="397">
        <f t="shared" si="86"/>
        <v>114.77828389297323</v>
      </c>
      <c r="X220" s="153">
        <f t="shared" si="87"/>
        <v>46593</v>
      </c>
      <c r="Y220" s="380">
        <f t="shared" si="88"/>
        <v>111.67138697130635</v>
      </c>
      <c r="Z220" s="380">
        <f t="shared" si="89"/>
        <v>115.03684926574614</v>
      </c>
      <c r="AA220" s="381">
        <f t="shared" si="90"/>
        <v>122.89259709236262</v>
      </c>
      <c r="AB220" s="193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6.3923686312140585E-2</v>
      </c>
      <c r="AD220" s="227">
        <f>(INDEX(Models!$BJ220:$BT220,,AH220)*(1-AF220)+INDEX(Models!$BJ220:$BT220,,AH220+1)*AF220-ERP_i)*AE220*Ramure*Pc/MaxiM</f>
        <v>3.2696712791388934E-4</v>
      </c>
      <c r="AE220" s="301">
        <f t="shared" si="92"/>
        <v>0.5</v>
      </c>
      <c r="AF220" s="173">
        <f t="shared" si="93"/>
        <v>0.92160060794061716</v>
      </c>
      <c r="AG220" s="801">
        <f t="shared" si="99"/>
        <v>2</v>
      </c>
      <c r="AH220" s="172">
        <f t="shared" si="94"/>
        <v>8</v>
      </c>
      <c r="AI220" s="221">
        <f t="shared" si="95"/>
        <v>2.9216006079406172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46594</v>
      </c>
      <c r="B221" s="406">
        <f>'2026'!Wh/'2026'!Env_an*'2027'!Env_an</f>
        <v>204.80196810530106</v>
      </c>
      <c r="C221" s="831"/>
      <c r="D221" s="388">
        <f t="shared" si="77"/>
        <v>210.97701292306846</v>
      </c>
      <c r="E221" s="380">
        <f t="shared" si="75"/>
        <v>219.2951564449381</v>
      </c>
      <c r="F221" s="380">
        <f t="shared" si="78"/>
        <v>219.35893580737201</v>
      </c>
      <c r="G221" s="110">
        <f t="shared" si="76"/>
        <v>0.91226954567944318</v>
      </c>
      <c r="H221" s="409" t="b">
        <f>Wh_hp&gt;='2026'!Maxi_hp</f>
        <v>0</v>
      </c>
      <c r="I221" s="385">
        <f>IF(H221,Wh_hp,'2026'!Maxi_hp)</f>
        <v>219.36689548137969</v>
      </c>
      <c r="J221" s="85">
        <f>IF(H221,An,'2026'!An_max)</f>
        <v>2022</v>
      </c>
      <c r="K221" s="193">
        <f t="shared" si="79"/>
        <v>46594</v>
      </c>
      <c r="L221" s="143">
        <f>IF(t&lt;Tvie,1-EXP((T0-t)*PertePVj)+'2026'!Pspv,1-EXP((T0-t)*PertePVj)+Pspv)</f>
        <v>2.9268803895802109E-2</v>
      </c>
      <c r="M221" s="835"/>
      <c r="N221" s="835"/>
      <c r="O221" s="48">
        <f>IF(t&lt;Tnet,'2026'!Resal+('2026'!Salim-'2026'!Resal)*(1-EXP(('2026'!Tnet-t)/('2026'!Tau_j))),Resal+(Salim-Resal)*(1-EXP((Tnet-t)/(Tau_j))))*Salcycl</f>
        <v>3.793126878275678E-2</v>
      </c>
      <c r="P221" s="165">
        <f>(INDEX(Models!$BJ221:$BT221,,T221)*(1-R221)+INDEX(Models!$BJ221:$BT221,,T221+1)*R221-ERP_i)*Q221*Ramure*Pc/MaxiM</f>
        <v>3.323940732553315E-4</v>
      </c>
      <c r="Q221" s="301">
        <f t="shared" si="80"/>
        <v>0.5</v>
      </c>
      <c r="R221" s="173">
        <f t="shared" si="81"/>
        <v>0.92398256471847606</v>
      </c>
      <c r="S221" s="801">
        <f t="shared" si="82"/>
        <v>2</v>
      </c>
      <c r="T221" s="172">
        <f t="shared" si="83"/>
        <v>8</v>
      </c>
      <c r="U221" s="247">
        <f t="shared" si="84"/>
        <v>2.9239825647184761</v>
      </c>
      <c r="V221" s="378">
        <f t="shared" si="85"/>
        <v>224.48785943662571</v>
      </c>
      <c r="W221" s="397">
        <f t="shared" si="86"/>
        <v>204.80196810530106</v>
      </c>
      <c r="X221" s="153">
        <f t="shared" si="87"/>
        <v>46594</v>
      </c>
      <c r="Y221" s="380">
        <f t="shared" si="88"/>
        <v>199.26397193811454</v>
      </c>
      <c r="Z221" s="380">
        <f t="shared" si="89"/>
        <v>205.27203899268281</v>
      </c>
      <c r="AA221" s="381">
        <f t="shared" si="90"/>
        <v>219.2951564449381</v>
      </c>
      <c r="AB221" s="193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6.3946316369172959E-2</v>
      </c>
      <c r="AD221" s="227">
        <f>(INDEX(Models!$BJ221:$BT221,,AH221)*(1-AF221)+INDEX(Models!$BJ221:$BT221,,AH221+1)*AF221-ERP_i)*AE221*Ramure*Pc/MaxiM</f>
        <v>3.323940732553315E-4</v>
      </c>
      <c r="AE221" s="301">
        <f t="shared" si="92"/>
        <v>0.5</v>
      </c>
      <c r="AF221" s="173">
        <f t="shared" si="93"/>
        <v>0.92398256471847606</v>
      </c>
      <c r="AG221" s="801">
        <f t="shared" si="99"/>
        <v>2</v>
      </c>
      <c r="AH221" s="172">
        <f t="shared" si="94"/>
        <v>8</v>
      </c>
      <c r="AI221" s="221">
        <f t="shared" si="95"/>
        <v>2.9239825647184761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46595</v>
      </c>
      <c r="B222" s="406">
        <f>'2026'!Wh/'2026'!Env_an*'2027'!Env_an</f>
        <v>224.75491027305225</v>
      </c>
      <c r="C222" s="831"/>
      <c r="D222" s="388">
        <f t="shared" si="77"/>
        <v>231.53473167769297</v>
      </c>
      <c r="E222" s="380">
        <f t="shared" si="75"/>
        <v>240.67607814832624</v>
      </c>
      <c r="F222" s="380">
        <f t="shared" si="78"/>
        <v>240.75744789111332</v>
      </c>
      <c r="G222" s="110">
        <f t="shared" si="76"/>
        <v>1.0034973585030091</v>
      </c>
      <c r="H222" s="409" t="b">
        <f>Wh_hp&gt;='2026'!Maxi_hp</f>
        <v>1</v>
      </c>
      <c r="I222" s="385">
        <f>IF(H222,Wh_hp,'2026'!Maxi_hp)</f>
        <v>240.75744789111332</v>
      </c>
      <c r="J222" s="85">
        <f>IF(H222,An,'2026'!An_max)</f>
        <v>2027</v>
      </c>
      <c r="K222" s="193">
        <f t="shared" si="79"/>
        <v>46595</v>
      </c>
      <c r="L222" s="143">
        <f>IF(t&lt;Tvie,1-EXP((T0-t)*PertePVj)+'2026'!Pspv,1-EXP((T0-t)*PertePVj)+Pspv)</f>
        <v>2.9282092390693903E-2</v>
      </c>
      <c r="M222" s="835"/>
      <c r="N222" s="835"/>
      <c r="O222" s="48">
        <f>IF(t&lt;Tnet,'2026'!Resal+('2026'!Salim-'2026'!Resal)*(1-EXP(('2026'!Tnet-t)/('2026'!Tau_j))),Resal+(Salim-Resal)*(1-EXP((Tnet-t)/(Tau_j))))*Salcycl</f>
        <v>3.7981948770993187E-2</v>
      </c>
      <c r="P222" s="165">
        <f>(INDEX(Models!$BJ222:$BT222,,T222)*(1-R222)+INDEX(Models!$BJ222:$BT222,,T222+1)*R222-ERP_i)*Q222*Ramure*Pc/MaxiM</f>
        <v>3.3797393808508393E-4</v>
      </c>
      <c r="Q222" s="301">
        <f t="shared" si="80"/>
        <v>0.5</v>
      </c>
      <c r="R222" s="173">
        <f t="shared" si="81"/>
        <v>0.92629340622344181</v>
      </c>
      <c r="S222" s="801">
        <f t="shared" si="82"/>
        <v>2</v>
      </c>
      <c r="T222" s="172">
        <f t="shared" si="83"/>
        <v>8</v>
      </c>
      <c r="U222" s="247">
        <f t="shared" si="84"/>
        <v>2.9262934062234418</v>
      </c>
      <c r="V222" s="378">
        <f t="shared" si="85"/>
        <v>223.9716012888521</v>
      </c>
      <c r="W222" s="397">
        <f t="shared" si="86"/>
        <v>224.75491027305225</v>
      </c>
      <c r="X222" s="153">
        <f t="shared" si="87"/>
        <v>46595</v>
      </c>
      <c r="Y222" s="380">
        <f t="shared" si="88"/>
        <v>218.68367293980768</v>
      </c>
      <c r="Z222" s="380">
        <f t="shared" si="89"/>
        <v>225.28035305167498</v>
      </c>
      <c r="AA222" s="381">
        <f t="shared" si="90"/>
        <v>240.67607814832624</v>
      </c>
      <c r="AB222" s="193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6.3968655360766791E-2</v>
      </c>
      <c r="AD222" s="227">
        <f>(INDEX(Models!$BJ222:$BT222,,AH222)*(1-AF222)+INDEX(Models!$BJ222:$BT222,,AH222+1)*AF222-ERP_i)*AE222*Ramure*Pc/MaxiM</f>
        <v>3.3797393808508393E-4</v>
      </c>
      <c r="AE222" s="301">
        <f t="shared" si="92"/>
        <v>0.5</v>
      </c>
      <c r="AF222" s="173">
        <f t="shared" si="93"/>
        <v>0.92629340622344181</v>
      </c>
      <c r="AG222" s="801">
        <f t="shared" si="99"/>
        <v>2</v>
      </c>
      <c r="AH222" s="172">
        <f t="shared" si="94"/>
        <v>8</v>
      </c>
      <c r="AI222" s="221">
        <f t="shared" si="95"/>
        <v>2.9262934062234418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46596</v>
      </c>
      <c r="B223" s="406">
        <f>'2026'!Wh/'2026'!Env_an*'2027'!Env_an</f>
        <v>181.55036199187251</v>
      </c>
      <c r="C223" s="831"/>
      <c r="D223" s="388">
        <f t="shared" si="77"/>
        <v>187.02946126235693</v>
      </c>
      <c r="E223" s="380">
        <f t="shared" si="75"/>
        <v>194.42387284668015</v>
      </c>
      <c r="F223" s="380">
        <f t="shared" si="78"/>
        <v>194.47281109464561</v>
      </c>
      <c r="G223" s="110">
        <f t="shared" si="76"/>
        <v>0.81242771222604548</v>
      </c>
      <c r="H223" s="409" t="b">
        <f>Wh_hp&gt;='2026'!Maxi_hp</f>
        <v>0</v>
      </c>
      <c r="I223" s="385">
        <f>IF(H223,Wh_hp,'2026'!Maxi_hp)</f>
        <v>194.48838294022485</v>
      </c>
      <c r="J223" s="85">
        <f>IF(H223,An,'2026'!An_max)</f>
        <v>2022</v>
      </c>
      <c r="K223" s="193">
        <f t="shared" si="79"/>
        <v>46596</v>
      </c>
      <c r="L223" s="143">
        <f>IF(t&lt;Tvie,1-EXP((T0-t)*PertePVj)+'2026'!Pspv,1-EXP((T0-t)*PertePVj)+Pspv)</f>
        <v>2.9295380703677321E-2</v>
      </c>
      <c r="M223" s="835"/>
      <c r="N223" s="835"/>
      <c r="O223" s="48">
        <f>IF(t&lt;Tnet,'2026'!Resal+('2026'!Salim-'2026'!Resal)*(1-EXP(('2026'!Tnet-t)/('2026'!Tau_j))),Resal+(Salim-Resal)*(1-EXP((Tnet-t)/(Tau_j))))*Salcycl</f>
        <v>3.8032426142207025E-2</v>
      </c>
      <c r="P223" s="165">
        <f>(INDEX(Models!$BJ223:$BT223,,T223)*(1-R223)+INDEX(Models!$BJ223:$BT223,,T223+1)*R223-ERP_i)*Q223*Ramure*Pc/MaxiM</f>
        <v>3.4370951018685911E-4</v>
      </c>
      <c r="Q223" s="301">
        <f t="shared" si="80"/>
        <v>0.5</v>
      </c>
      <c r="R223" s="173">
        <f t="shared" si="81"/>
        <v>0.92853440561002332</v>
      </c>
      <c r="S223" s="801">
        <f t="shared" si="82"/>
        <v>2</v>
      </c>
      <c r="T223" s="172">
        <f t="shared" si="83"/>
        <v>8</v>
      </c>
      <c r="U223" s="247">
        <f t="shared" si="84"/>
        <v>2.9285344056100233</v>
      </c>
      <c r="V223" s="378">
        <f t="shared" si="85"/>
        <v>223.44590273821098</v>
      </c>
      <c r="W223" s="397">
        <f t="shared" si="86"/>
        <v>181.55036199187251</v>
      </c>
      <c r="X223" s="153">
        <f t="shared" si="87"/>
        <v>46596</v>
      </c>
      <c r="Y223" s="380">
        <f t="shared" si="88"/>
        <v>176.65130086877718</v>
      </c>
      <c r="Z223" s="380">
        <f t="shared" si="89"/>
        <v>181.98254892083872</v>
      </c>
      <c r="AA223" s="381">
        <f t="shared" si="90"/>
        <v>194.42387284668015</v>
      </c>
      <c r="AB223" s="193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6.3990721631455569E-2</v>
      </c>
      <c r="AD223" s="227">
        <f>(INDEX(Models!$BJ223:$BT223,,AH223)*(1-AF223)+INDEX(Models!$BJ223:$BT223,,AH223+1)*AF223-ERP_i)*AE223*Ramure*Pc/MaxiM</f>
        <v>3.4370951018685911E-4</v>
      </c>
      <c r="AE223" s="301">
        <f t="shared" si="92"/>
        <v>0.5</v>
      </c>
      <c r="AF223" s="173">
        <f t="shared" si="93"/>
        <v>0.92853440561002332</v>
      </c>
      <c r="AG223" s="801">
        <f t="shared" si="99"/>
        <v>2</v>
      </c>
      <c r="AH223" s="172">
        <f t="shared" si="94"/>
        <v>8</v>
      </c>
      <c r="AI223" s="221">
        <f t="shared" si="95"/>
        <v>2.9285344056100233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46597</v>
      </c>
      <c r="B224" s="406">
        <f>'2026'!Wh/'2026'!Env_an*'2027'!Env_an</f>
        <v>110.27985566946045</v>
      </c>
      <c r="C224" s="831"/>
      <c r="D224" s="388">
        <f t="shared" si="77"/>
        <v>113.60960186702955</v>
      </c>
      <c r="E224" s="380">
        <f t="shared" si="75"/>
        <v>118.10745383836368</v>
      </c>
      <c r="F224" s="380">
        <f t="shared" si="78"/>
        <v>118.11894125439646</v>
      </c>
      <c r="G224" s="110">
        <f t="shared" si="76"/>
        <v>0.49460161693915078</v>
      </c>
      <c r="H224" s="409" t="b">
        <f>Wh_hp&gt;='2026'!Maxi_hp</f>
        <v>0</v>
      </c>
      <c r="I224" s="385">
        <f>IF(H224,Wh_hp,'2026'!Maxi_hp)</f>
        <v>118.14485084617337</v>
      </c>
      <c r="J224" s="85">
        <f>IF(H224,An,'2026'!An_max)</f>
        <v>2022</v>
      </c>
      <c r="K224" s="193">
        <f t="shared" si="79"/>
        <v>46597</v>
      </c>
      <c r="L224" s="143">
        <f>IF(t&lt;Tvie,1-EXP((T0-t)*PertePVj)+'2026'!Pspv,1-EXP((T0-t)*PertePVj)+Pspv)</f>
        <v>2.9308668834754803E-2</v>
      </c>
      <c r="M224" s="835"/>
      <c r="N224" s="835"/>
      <c r="O224" s="48">
        <f>IF(t&lt;Tnet,'2026'!Resal+('2026'!Salim-'2026'!Resal)*(1-EXP(('2026'!Tnet-t)/('2026'!Tau_j))),Resal+(Salim-Resal)*(1-EXP((Tnet-t)/(Tau_j))))*Salcycl</f>
        <v>3.8082710490818523E-2</v>
      </c>
      <c r="P224" s="165">
        <f>(INDEX(Models!$BJ224:$BT224,,T224)*(1-R224)+INDEX(Models!$BJ224:$BT224,,T224+1)*R224-ERP_i)*Q224*Ramure*Pc/MaxiM</f>
        <v>3.496035591280611E-4</v>
      </c>
      <c r="Q224" s="301">
        <f t="shared" si="80"/>
        <v>0.5</v>
      </c>
      <c r="R224" s="173">
        <f t="shared" si="81"/>
        <v>0.93070687461405699</v>
      </c>
      <c r="S224" s="801">
        <f t="shared" si="82"/>
        <v>2</v>
      </c>
      <c r="T224" s="172">
        <f t="shared" si="83"/>
        <v>8</v>
      </c>
      <c r="U224" s="247">
        <f t="shared" si="84"/>
        <v>2.930706874614057</v>
      </c>
      <c r="V224" s="378">
        <f t="shared" si="85"/>
        <v>222.91076292224574</v>
      </c>
      <c r="W224" s="397">
        <f t="shared" si="86"/>
        <v>110.27985566946045</v>
      </c>
      <c r="X224" s="153">
        <f t="shared" si="87"/>
        <v>46597</v>
      </c>
      <c r="Y224" s="380">
        <f t="shared" si="88"/>
        <v>107.30710842704866</v>
      </c>
      <c r="Z224" s="380">
        <f t="shared" si="89"/>
        <v>110.54709667411389</v>
      </c>
      <c r="AA224" s="381">
        <f t="shared" si="90"/>
        <v>118.10745383836368</v>
      </c>
      <c r="AB224" s="193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6.4012531965988828E-2</v>
      </c>
      <c r="AD224" s="227">
        <f>(INDEX(Models!$BJ224:$BT224,,AH224)*(1-AF224)+INDEX(Models!$BJ224:$BT224,,AH224+1)*AF224-ERP_i)*AE224*Ramure*Pc/MaxiM</f>
        <v>3.496035591280611E-4</v>
      </c>
      <c r="AE224" s="301">
        <f t="shared" si="92"/>
        <v>0.5</v>
      </c>
      <c r="AF224" s="173">
        <f t="shared" si="93"/>
        <v>0.93070687461405699</v>
      </c>
      <c r="AG224" s="801">
        <f t="shared" si="99"/>
        <v>2</v>
      </c>
      <c r="AH224" s="172">
        <f t="shared" si="94"/>
        <v>8</v>
      </c>
      <c r="AI224" s="221">
        <f t="shared" si="95"/>
        <v>2.930706874614057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46598</v>
      </c>
      <c r="B225" s="406">
        <f>'2026'!Wh/'2026'!Env_an*'2027'!Env_an</f>
        <v>190.88514680144917</v>
      </c>
      <c r="C225" s="831"/>
      <c r="D225" s="388">
        <f t="shared" si="77"/>
        <v>196.65134916311126</v>
      </c>
      <c r="E225" s="380">
        <f t="shared" si="75"/>
        <v>204.44750721627292</v>
      </c>
      <c r="F225" s="380">
        <f t="shared" si="78"/>
        <v>204.50553113739571</v>
      </c>
      <c r="G225" s="110">
        <f t="shared" si="76"/>
        <v>0.85836529333370903</v>
      </c>
      <c r="H225" s="409" t="b">
        <f>Wh_hp&gt;='2026'!Maxi_hp</f>
        <v>0</v>
      </c>
      <c r="I225" s="385">
        <f>IF(H225,Wh_hp,'2026'!Maxi_hp)</f>
        <v>204.51831402539628</v>
      </c>
      <c r="J225" s="85">
        <f>IF(H225,An,'2026'!An_max)</f>
        <v>2022</v>
      </c>
      <c r="K225" s="193">
        <f t="shared" si="79"/>
        <v>46598</v>
      </c>
      <c r="L225" s="143">
        <f>IF(t&lt;Tvie,1-EXP((T0-t)*PertePVj)+'2026'!Pspv,1-EXP((T0-t)*PertePVj)+Pspv)</f>
        <v>2.9321956783929015E-2</v>
      </c>
      <c r="M225" s="835"/>
      <c r="N225" s="835"/>
      <c r="O225" s="48">
        <f>IF(t&lt;Tnet,'2026'!Resal+('2026'!Salim-'2026'!Resal)*(1-EXP(('2026'!Tnet-t)/('2026'!Tau_j))),Resal+(Salim-Resal)*(1-EXP((Tnet-t)/(Tau_j))))*Salcycl</f>
        <v>3.8132810516073305E-2</v>
      </c>
      <c r="P225" s="165">
        <f>(INDEX(Models!$BJ225:$BT225,,T225)*(1-R225)+INDEX(Models!$BJ225:$BT225,,T225+1)*R225-ERP_i)*Q225*Ramure*Pc/MaxiM</f>
        <v>3.556588352008531E-4</v>
      </c>
      <c r="Q225" s="301">
        <f t="shared" si="80"/>
        <v>0.5</v>
      </c>
      <c r="R225" s="173">
        <f t="shared" si="81"/>
        <v>0.93281215816093921</v>
      </c>
      <c r="S225" s="801">
        <f t="shared" si="82"/>
        <v>2</v>
      </c>
      <c r="T225" s="172">
        <f t="shared" si="83"/>
        <v>8</v>
      </c>
      <c r="U225" s="247">
        <f t="shared" si="84"/>
        <v>2.9328121581609392</v>
      </c>
      <c r="V225" s="378">
        <f t="shared" si="85"/>
        <v>222.36618120084924</v>
      </c>
      <c r="W225" s="397">
        <f t="shared" si="86"/>
        <v>190.88514680144917</v>
      </c>
      <c r="X225" s="153">
        <f t="shared" si="87"/>
        <v>46598</v>
      </c>
      <c r="Y225" s="380">
        <f t="shared" si="88"/>
        <v>185.74496549499383</v>
      </c>
      <c r="Z225" s="380">
        <f t="shared" si="89"/>
        <v>191.35589477184391</v>
      </c>
      <c r="AA225" s="381">
        <f t="shared" si="90"/>
        <v>204.44750721627292</v>
      </c>
      <c r="AB225" s="193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6.4034101577869526E-2</v>
      </c>
      <c r="AD225" s="227">
        <f>(INDEX(Models!$BJ225:$BT225,,AH225)*(1-AF225)+INDEX(Models!$BJ225:$BT225,,AH225+1)*AF225-ERP_i)*AE225*Ramure*Pc/MaxiM</f>
        <v>3.556588352008531E-4</v>
      </c>
      <c r="AE225" s="301">
        <f t="shared" si="92"/>
        <v>0.5</v>
      </c>
      <c r="AF225" s="173">
        <f t="shared" si="93"/>
        <v>0.93281215816093921</v>
      </c>
      <c r="AG225" s="801">
        <f t="shared" si="99"/>
        <v>2</v>
      </c>
      <c r="AH225" s="172">
        <f t="shared" si="94"/>
        <v>8</v>
      </c>
      <c r="AI225" s="221">
        <f t="shared" si="95"/>
        <v>2.9328121581609392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46599</v>
      </c>
      <c r="B226" s="406">
        <f>'2026'!Wh/'2026'!Env_an*'2027'!Env_an</f>
        <v>218.44615987236085</v>
      </c>
      <c r="C226" s="831"/>
      <c r="D226" s="388">
        <f t="shared" si="77"/>
        <v>225.0479979273172</v>
      </c>
      <c r="E226" s="380">
        <f t="shared" si="75"/>
        <v>233.9820731928917</v>
      </c>
      <c r="F226" s="380">
        <f t="shared" si="78"/>
        <v>234.06492527420764</v>
      </c>
      <c r="G226" s="110">
        <f t="shared" si="76"/>
        <v>0.98481721950628009</v>
      </c>
      <c r="H226" s="409" t="b">
        <f>Wh_hp&gt;='2026'!Maxi_hp</f>
        <v>0</v>
      </c>
      <c r="I226" s="385">
        <f>IF(H226,Wh_hp,'2026'!Maxi_hp)</f>
        <v>234.06652052001985</v>
      </c>
      <c r="J226" s="85">
        <f>IF(H226,An,'2026'!An_max)</f>
        <v>2022</v>
      </c>
      <c r="K226" s="193">
        <f t="shared" si="79"/>
        <v>46599</v>
      </c>
      <c r="L226" s="143">
        <f>IF(t&lt;Tvie,1-EXP((T0-t)*PertePVj)+'2026'!Pspv,1-EXP((T0-t)*PertePVj)+Pspv)</f>
        <v>2.93352445512024E-2</v>
      </c>
      <c r="M226" s="835"/>
      <c r="N226" s="835"/>
      <c r="O226" s="48">
        <f>IF(t&lt;Tnet,'2026'!Resal+('2026'!Salim-'2026'!Resal)*(1-EXP(('2026'!Tnet-t)/('2026'!Tau_j))),Resal+(Salim-Resal)*(1-EXP((Tnet-t)/(Tau_j))))*Salcycl</f>
        <v>3.8182734017444896E-2</v>
      </c>
      <c r="P226" s="165">
        <f>(INDEX(Models!$BJ226:$BT226,,T226)*(1-R226)+INDEX(Models!$BJ226:$BT226,,T226+1)*R226-ERP_i)*Q226*Ramure*Pc/MaxiM</f>
        <v>3.6181415289429419E-4</v>
      </c>
      <c r="Q226" s="301">
        <f t="shared" si="80"/>
        <v>0.5</v>
      </c>
      <c r="R226" s="173">
        <f t="shared" si="81"/>
        <v>0.93485162922641241</v>
      </c>
      <c r="S226" s="801">
        <f t="shared" si="82"/>
        <v>2</v>
      </c>
      <c r="T226" s="172">
        <f t="shared" si="83"/>
        <v>8</v>
      </c>
      <c r="U226" s="247">
        <f t="shared" si="84"/>
        <v>2.9348516292264124</v>
      </c>
      <c r="V226" s="378">
        <f t="shared" si="85"/>
        <v>221.81217136090729</v>
      </c>
      <c r="W226" s="397">
        <f t="shared" si="86"/>
        <v>218.44615987236085</v>
      </c>
      <c r="X226" s="153">
        <f t="shared" si="87"/>
        <v>46599</v>
      </c>
      <c r="Y226" s="380">
        <f t="shared" si="88"/>
        <v>212.56999777274601</v>
      </c>
      <c r="Z226" s="380">
        <f t="shared" si="89"/>
        <v>218.9942475808364</v>
      </c>
      <c r="AA226" s="381">
        <f t="shared" si="90"/>
        <v>233.9820731928917</v>
      </c>
      <c r="AB226" s="193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6.4055444109598722E-2</v>
      </c>
      <c r="AD226" s="227">
        <f>(INDEX(Models!$BJ226:$BT226,,AH226)*(1-AF226)+INDEX(Models!$BJ226:$BT226,,AH226+1)*AF226-ERP_i)*AE226*Ramure*Pc/MaxiM</f>
        <v>3.6181415289429419E-4</v>
      </c>
      <c r="AE226" s="301">
        <f t="shared" si="92"/>
        <v>0.5</v>
      </c>
      <c r="AF226" s="173">
        <f t="shared" si="93"/>
        <v>0.93485162922641241</v>
      </c>
      <c r="AG226" s="801">
        <f t="shared" si="99"/>
        <v>2</v>
      </c>
      <c r="AH226" s="172">
        <f t="shared" si="94"/>
        <v>8</v>
      </c>
      <c r="AI226" s="221">
        <f t="shared" si="95"/>
        <v>2.9348516292264124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46600</v>
      </c>
      <c r="B227" s="406">
        <f>'2026'!Wh/'2026'!Env_an*'2027'!Env_an</f>
        <v>217.38751517370991</v>
      </c>
      <c r="C227" s="831"/>
      <c r="D227" s="388">
        <f t="shared" si="77"/>
        <v>223.96042490124566</v>
      </c>
      <c r="E227" s="380">
        <f t="shared" si="75"/>
        <v>232.86337091119023</v>
      </c>
      <c r="F227" s="380">
        <f t="shared" si="78"/>
        <v>232.94689250338999</v>
      </c>
      <c r="G227" s="110">
        <f t="shared" si="76"/>
        <v>0.98253870172393831</v>
      </c>
      <c r="H227" s="409" t="b">
        <f>Wh_hp&gt;='2026'!Maxi_hp</f>
        <v>0</v>
      </c>
      <c r="I227" s="385">
        <f>IF(H227,Wh_hp,'2026'!Maxi_hp)</f>
        <v>232.94874797360882</v>
      </c>
      <c r="J227" s="85">
        <f>IF(H227,An,'2026'!An_max)</f>
        <v>2022</v>
      </c>
      <c r="K227" s="193">
        <f t="shared" si="79"/>
        <v>46600</v>
      </c>
      <c r="L227" s="143">
        <f>IF(t&lt;Tvie,1-EXP((T0-t)*PertePVj)+'2026'!Pspv,1-EXP((T0-t)*PertePVj)+Pspv)</f>
        <v>2.9348532136577399E-2</v>
      </c>
      <c r="M227" s="835"/>
      <c r="N227" s="835"/>
      <c r="O227" s="48">
        <f>IF(t&lt;Tnet,'2026'!Resal+('2026'!Salim-'2026'!Resal)*(1-EXP(('2026'!Tnet-t)/('2026'!Tau_j))),Resal+(Salim-Resal)*(1-EXP((Tnet-t)/(Tau_j))))*Salcycl</f>
        <v>3.8232487896690232E-2</v>
      </c>
      <c r="P227" s="165">
        <f>(INDEX(Models!$BJ227:$BT227,,T227)*(1-R227)+INDEX(Models!$BJ227:$BT227,,T227+1)*R227-ERP_i)*Q227*Ramure*Pc/MaxiM</f>
        <v>3.6771120827509211E-4</v>
      </c>
      <c r="Q227" s="301">
        <f t="shared" si="80"/>
        <v>0.5</v>
      </c>
      <c r="R227" s="173">
        <f t="shared" si="81"/>
        <v>0.93682668395508184</v>
      </c>
      <c r="S227" s="801">
        <f t="shared" si="82"/>
        <v>2</v>
      </c>
      <c r="T227" s="172">
        <f t="shared" si="83"/>
        <v>8</v>
      </c>
      <c r="U227" s="247">
        <f t="shared" si="84"/>
        <v>2.9368266839550818</v>
      </c>
      <c r="V227" s="378">
        <f t="shared" si="85"/>
        <v>221.2488130292804</v>
      </c>
      <c r="W227" s="397">
        <f t="shared" si="86"/>
        <v>217.38751517370991</v>
      </c>
      <c r="X227" s="153">
        <f t="shared" si="87"/>
        <v>46600</v>
      </c>
      <c r="Y227" s="380">
        <f t="shared" si="88"/>
        <v>211.5459983028725</v>
      </c>
      <c r="Z227" s="380">
        <f t="shared" si="89"/>
        <v>217.9422844417297</v>
      </c>
      <c r="AA227" s="381">
        <f t="shared" si="90"/>
        <v>232.86337091119023</v>
      </c>
      <c r="AB227" s="193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6.407657164402708E-2</v>
      </c>
      <c r="AD227" s="227">
        <f>(INDEX(Models!$BJ227:$BT227,,AH227)*(1-AF227)+INDEX(Models!$BJ227:$BT227,,AH227+1)*AF227-ERP_i)*AE227*Ramure*Pc/MaxiM</f>
        <v>3.6771120827509211E-4</v>
      </c>
      <c r="AE227" s="301">
        <f t="shared" si="92"/>
        <v>0.5</v>
      </c>
      <c r="AF227" s="173">
        <f t="shared" si="93"/>
        <v>0.93682668395508184</v>
      </c>
      <c r="AG227" s="801">
        <f t="shared" si="99"/>
        <v>2</v>
      </c>
      <c r="AH227" s="172">
        <f t="shared" si="94"/>
        <v>8</v>
      </c>
      <c r="AI227" s="221">
        <f t="shared" si="95"/>
        <v>2.9368266839550818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46601</v>
      </c>
      <c r="B228" s="406">
        <f>'2026'!Wh/'2026'!Env_an*'2027'!Env_an</f>
        <v>217.44515596039716</v>
      </c>
      <c r="C228" s="831"/>
      <c r="D228" s="388">
        <f t="shared" si="77"/>
        <v>224.02287519470877</v>
      </c>
      <c r="E228" s="380">
        <f t="shared" si="75"/>
        <v>232.94031452334767</v>
      </c>
      <c r="F228" s="380">
        <f t="shared" si="78"/>
        <v>233.02549457671353</v>
      </c>
      <c r="G228" s="110">
        <f t="shared" si="76"/>
        <v>0.98535115932520112</v>
      </c>
      <c r="H228" s="409" t="b">
        <f>Wh_hp&gt;='2026'!Maxi_hp</f>
        <v>0</v>
      </c>
      <c r="I228" s="385">
        <f>IF(H228,Wh_hp,'2026'!Maxi_hp)</f>
        <v>233.02707544021914</v>
      </c>
      <c r="J228" s="85">
        <f>IF(H228,An,'2026'!An_max)</f>
        <v>2022</v>
      </c>
      <c r="K228" s="193">
        <f t="shared" si="79"/>
        <v>46601</v>
      </c>
      <c r="L228" s="143">
        <f>IF(t&lt;Tvie,1-EXP((T0-t)*PertePVj)+'2026'!Pspv,1-EXP((T0-t)*PertePVj)+Pspv)</f>
        <v>2.9361819540056455E-2</v>
      </c>
      <c r="M228" s="835"/>
      <c r="N228" s="835"/>
      <c r="O228" s="48">
        <f>IF(t&lt;Tnet,'2026'!Resal+('2026'!Salim-'2026'!Resal)*(1-EXP(('2026'!Tnet-t)/('2026'!Tau_j))),Resal+(Salim-Resal)*(1-EXP((Tnet-t)/(Tau_j))))*Salcycl</f>
        <v>3.828207816618668E-2</v>
      </c>
      <c r="P228" s="165">
        <f>(INDEX(Models!$BJ228:$BT228,,T228)*(1-R228)+INDEX(Models!$BJ228:$BT228,,T228+1)*R228-ERP_i)*Q228*Ramure*Pc/MaxiM</f>
        <v>3.7334855948774147E-4</v>
      </c>
      <c r="Q228" s="301">
        <f t="shared" si="80"/>
        <v>0.5</v>
      </c>
      <c r="R228" s="173">
        <f t="shared" si="81"/>
        <v>0.93873873703971844</v>
      </c>
      <c r="S228" s="801">
        <f t="shared" si="82"/>
        <v>2</v>
      </c>
      <c r="T228" s="172">
        <f t="shared" si="83"/>
        <v>8</v>
      </c>
      <c r="U228" s="247">
        <f t="shared" si="84"/>
        <v>2.9387387370397184</v>
      </c>
      <c r="V228" s="378">
        <f t="shared" si="85"/>
        <v>220.67610644998717</v>
      </c>
      <c r="W228" s="397">
        <f t="shared" si="86"/>
        <v>217.44515596039716</v>
      </c>
      <c r="X228" s="153">
        <f t="shared" si="87"/>
        <v>46601</v>
      </c>
      <c r="Y228" s="380">
        <f t="shared" si="88"/>
        <v>211.60827057788009</v>
      </c>
      <c r="Z228" s="380">
        <f t="shared" si="89"/>
        <v>218.00942394168757</v>
      </c>
      <c r="AA228" s="381">
        <f t="shared" si="90"/>
        <v>232.94031452334767</v>
      </c>
      <c r="AB228" s="193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6.4097494726116019E-2</v>
      </c>
      <c r="AD228" s="227">
        <f>(INDEX(Models!$BJ228:$BT228,,AH228)*(1-AF228)+INDEX(Models!$BJ228:$BT228,,AH228+1)*AF228-ERP_i)*AE228*Ramure*Pc/MaxiM</f>
        <v>3.7334855948774147E-4</v>
      </c>
      <c r="AE228" s="301">
        <f t="shared" si="92"/>
        <v>0.5</v>
      </c>
      <c r="AF228" s="173">
        <f t="shared" si="93"/>
        <v>0.93873873703971844</v>
      </c>
      <c r="AG228" s="801">
        <f t="shared" si="99"/>
        <v>2</v>
      </c>
      <c r="AH228" s="172">
        <f t="shared" si="94"/>
        <v>8</v>
      </c>
      <c r="AI228" s="221">
        <f t="shared" si="95"/>
        <v>2.9387387370397184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46602</v>
      </c>
      <c r="B229" s="406">
        <f>'2026'!Wh/'2026'!Env_an*'2027'!Env_an</f>
        <v>206.46056781157151</v>
      </c>
      <c r="C229" s="831"/>
      <c r="D229" s="388">
        <f t="shared" si="77"/>
        <v>212.70891489578833</v>
      </c>
      <c r="E229" s="380">
        <f t="shared" si="75"/>
        <v>221.18736040486445</v>
      </c>
      <c r="F229" s="380">
        <f t="shared" si="78"/>
        <v>221.26374305278691</v>
      </c>
      <c r="G229" s="110">
        <f t="shared" si="76"/>
        <v>0.93802464989099832</v>
      </c>
      <c r="H229" s="409" t="b">
        <f>Wh_hp&gt;='2026'!Maxi_hp</f>
        <v>0</v>
      </c>
      <c r="I229" s="385">
        <f>IF(H229,Wh_hp,'2026'!Maxi_hp)</f>
        <v>221.2701847087576</v>
      </c>
      <c r="J229" s="85">
        <f>IF(H229,An,'2026'!An_max)</f>
        <v>2022</v>
      </c>
      <c r="K229" s="193">
        <f t="shared" si="79"/>
        <v>46602</v>
      </c>
      <c r="L229" s="143">
        <f>IF(t&lt;Tvie,1-EXP((T0-t)*PertePVj)+'2026'!Pspv,1-EXP((T0-t)*PertePVj)+Pspv)</f>
        <v>2.9375106761642122E-2</v>
      </c>
      <c r="M229" s="835"/>
      <c r="N229" s="835"/>
      <c r="O229" s="48">
        <f>IF(t&lt;Tnet,'2026'!Resal+('2026'!Salim-'2026'!Resal)*(1-EXP(('2026'!Tnet-t)/('2026'!Tau_j))),Resal+(Salim-Resal)*(1-EXP((Tnet-t)/(Tau_j))))*Salcycl</f>
        <v>3.833150996312383E-2</v>
      </c>
      <c r="P229" s="165">
        <f>(INDEX(Models!$BJ229:$BT229,,T229)*(1-R229)+INDEX(Models!$BJ229:$BT229,,T229+1)*R229-ERP_i)*Q229*Ramure*Pc/MaxiM</f>
        <v>3.787247004829448E-4</v>
      </c>
      <c r="Q229" s="301">
        <f t="shared" si="80"/>
        <v>0.5</v>
      </c>
      <c r="R229" s="173">
        <f t="shared" si="81"/>
        <v>0.9405892173624415</v>
      </c>
      <c r="S229" s="801">
        <f t="shared" si="82"/>
        <v>2</v>
      </c>
      <c r="T229" s="172">
        <f t="shared" si="83"/>
        <v>8</v>
      </c>
      <c r="U229" s="247">
        <f t="shared" si="84"/>
        <v>2.9405892173624415</v>
      </c>
      <c r="V229" s="378">
        <f t="shared" si="85"/>
        <v>220.09405207040712</v>
      </c>
      <c r="W229" s="397">
        <f t="shared" si="86"/>
        <v>206.46056781157151</v>
      </c>
      <c r="X229" s="153">
        <f t="shared" si="87"/>
        <v>46602</v>
      </c>
      <c r="Y229" s="380">
        <f t="shared" si="88"/>
        <v>200.92441960073094</v>
      </c>
      <c r="Z229" s="380">
        <f t="shared" si="89"/>
        <v>207.00522003961174</v>
      </c>
      <c r="AA229" s="381">
        <f t="shared" si="90"/>
        <v>221.18736040486445</v>
      </c>
      <c r="AB229" s="193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6.4118222394324492E-2</v>
      </c>
      <c r="AD229" s="227">
        <f>(INDEX(Models!$BJ229:$BT229,,AH229)*(1-AF229)+INDEX(Models!$BJ229:$BT229,,AH229+1)*AF229-ERP_i)*AE229*Ramure*Pc/MaxiM</f>
        <v>3.787247004829448E-4</v>
      </c>
      <c r="AE229" s="301">
        <f t="shared" si="92"/>
        <v>0.5</v>
      </c>
      <c r="AF229" s="173">
        <f t="shared" si="93"/>
        <v>0.9405892173624415</v>
      </c>
      <c r="AG229" s="801">
        <f t="shared" si="99"/>
        <v>2</v>
      </c>
      <c r="AH229" s="172">
        <f t="shared" si="94"/>
        <v>8</v>
      </c>
      <c r="AI229" s="221">
        <f t="shared" si="95"/>
        <v>2.9405892173624415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46603</v>
      </c>
      <c r="B230" s="406">
        <f>'2026'!Wh/'2026'!Env_an*'2027'!Env_an</f>
        <v>195.93287823151425</v>
      </c>
      <c r="C230" s="831"/>
      <c r="D230" s="388">
        <f t="shared" si="77"/>
        <v>201.86537743853336</v>
      </c>
      <c r="E230" s="380">
        <f t="shared" si="75"/>
        <v>209.92236306118227</v>
      </c>
      <c r="F230" s="380">
        <f t="shared" si="78"/>
        <v>209.99060126050964</v>
      </c>
      <c r="G230" s="110">
        <f t="shared" si="76"/>
        <v>0.89256934955296663</v>
      </c>
      <c r="H230" s="409" t="b">
        <f>Wh_hp&gt;='2026'!Maxi_hp</f>
        <v>0</v>
      </c>
      <c r="I230" s="385">
        <f>IF(H230,Wh_hp,'2026'!Maxi_hp)</f>
        <v>210.00134100981151</v>
      </c>
      <c r="J230" s="85">
        <f>IF(H230,An,'2026'!An_max)</f>
        <v>2022</v>
      </c>
      <c r="K230" s="193">
        <f t="shared" si="79"/>
        <v>46603</v>
      </c>
      <c r="L230" s="143">
        <f>IF(t&lt;Tvie,1-EXP((T0-t)*PertePVj)+'2026'!Pspv,1-EXP((T0-t)*PertePVj)+Pspv)</f>
        <v>2.9388393801336843E-2</v>
      </c>
      <c r="M230" s="835"/>
      <c r="N230" s="835"/>
      <c r="O230" s="48">
        <f>IF(t&lt;Tnet,'2026'!Resal+('2026'!Salim-'2026'!Resal)*(1-EXP(('2026'!Tnet-t)/('2026'!Tau_j))),Resal+(Salim-Resal)*(1-EXP((Tnet-t)/(Tau_j))))*Salcycl</f>
        <v>3.8380787569072379E-2</v>
      </c>
      <c r="P230" s="165">
        <f>(INDEX(Models!$BJ230:$BT230,,T230)*(1-R230)+INDEX(Models!$BJ230:$BT230,,T230+1)*R230-ERP_i)*Q230*Ramure*Pc/MaxiM</f>
        <v>3.838380523809003E-4</v>
      </c>
      <c r="Q230" s="301">
        <f t="shared" si="80"/>
        <v>0.5</v>
      </c>
      <c r="R230" s="173">
        <f t="shared" si="81"/>
        <v>0.94237956389711819</v>
      </c>
      <c r="S230" s="801">
        <f t="shared" si="82"/>
        <v>2</v>
      </c>
      <c r="T230" s="172">
        <f t="shared" si="83"/>
        <v>8</v>
      </c>
      <c r="U230" s="247">
        <f t="shared" si="84"/>
        <v>2.9423795638971182</v>
      </c>
      <c r="V230" s="378">
        <f t="shared" si="85"/>
        <v>219.50265053355923</v>
      </c>
      <c r="W230" s="397">
        <f t="shared" si="86"/>
        <v>195.93287823151425</v>
      </c>
      <c r="X230" s="153">
        <f t="shared" si="87"/>
        <v>46603</v>
      </c>
      <c r="Y230" s="380">
        <f t="shared" si="88"/>
        <v>190.68461151046847</v>
      </c>
      <c r="Z230" s="380">
        <f t="shared" si="89"/>
        <v>196.45820253198113</v>
      </c>
      <c r="AA230" s="381">
        <f t="shared" si="90"/>
        <v>209.92236306118227</v>
      </c>
      <c r="AB230" s="193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6.4138762220759676E-2</v>
      </c>
      <c r="AD230" s="227">
        <f>(INDEX(Models!$BJ230:$BT230,,AH230)*(1-AF230)+INDEX(Models!$BJ230:$BT230,,AH230+1)*AF230-ERP_i)*AE230*Ramure*Pc/MaxiM</f>
        <v>3.838380523809003E-4</v>
      </c>
      <c r="AE230" s="301">
        <f t="shared" si="92"/>
        <v>0.5</v>
      </c>
      <c r="AF230" s="173">
        <f t="shared" si="93"/>
        <v>0.94237956389711819</v>
      </c>
      <c r="AG230" s="801">
        <f t="shared" si="99"/>
        <v>2</v>
      </c>
      <c r="AH230" s="172">
        <f t="shared" si="94"/>
        <v>8</v>
      </c>
      <c r="AI230" s="221">
        <f t="shared" si="95"/>
        <v>2.9423795638971182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46604</v>
      </c>
      <c r="B231" s="406">
        <f>'2026'!Wh/'2026'!Env_an*'2027'!Env_an</f>
        <v>182.30224245633238</v>
      </c>
      <c r="C231" s="831"/>
      <c r="D231" s="388">
        <f t="shared" si="77"/>
        <v>187.82460140682679</v>
      </c>
      <c r="E231" s="380">
        <f t="shared" si="75"/>
        <v>195.33116121884058</v>
      </c>
      <c r="F231" s="380">
        <f t="shared" si="78"/>
        <v>195.38896668747904</v>
      </c>
      <c r="G231" s="110">
        <f t="shared" si="76"/>
        <v>0.83272603167110693</v>
      </c>
      <c r="H231" s="409" t="b">
        <f>Wh_hp&gt;='2026'!Maxi_hp</f>
        <v>0</v>
      </c>
      <c r="I231" s="385">
        <f>IF(H231,Wh_hp,'2026'!Maxi_hp)</f>
        <v>195.40472194340191</v>
      </c>
      <c r="J231" s="85">
        <f>IF(H231,An,'2026'!An_max)</f>
        <v>2022</v>
      </c>
      <c r="K231" s="193">
        <f t="shared" si="79"/>
        <v>46604</v>
      </c>
      <c r="L231" s="143">
        <f>IF(t&lt;Tvie,1-EXP((T0-t)*PertePVj)+'2026'!Pspv,1-EXP((T0-t)*PertePVj)+Pspv)</f>
        <v>2.9401680659143281E-2</v>
      </c>
      <c r="M231" s="835"/>
      <c r="N231" s="835"/>
      <c r="O231" s="48">
        <f>IF(t&lt;Tnet,'2026'!Resal+('2026'!Salim-'2026'!Resal)*(1-EXP(('2026'!Tnet-t)/('2026'!Tau_j))),Resal+(Salim-Resal)*(1-EXP((Tnet-t)/(Tau_j))))*Salcycl</f>
        <v>3.842991443440897E-2</v>
      </c>
      <c r="P231" s="165">
        <f>(INDEX(Models!$BJ231:$BT231,,T231)*(1-R231)+INDEX(Models!$BJ231:$BT231,,T231+1)*R231-ERP_i)*Q231*Ramure*Pc/MaxiM</f>
        <v>3.8868695605940012E-4</v>
      </c>
      <c r="Q231" s="301">
        <f t="shared" si="80"/>
        <v>0.5</v>
      </c>
      <c r="R231" s="173">
        <f t="shared" si="81"/>
        <v>0.94411122187076035</v>
      </c>
      <c r="S231" s="801">
        <f t="shared" si="82"/>
        <v>2</v>
      </c>
      <c r="T231" s="172">
        <f t="shared" si="83"/>
        <v>8</v>
      </c>
      <c r="U231" s="247">
        <f t="shared" si="84"/>
        <v>2.9441112218707604</v>
      </c>
      <c r="V231" s="378">
        <f t="shared" si="85"/>
        <v>218.9019026622575</v>
      </c>
      <c r="W231" s="397">
        <f t="shared" si="86"/>
        <v>182.30224245633238</v>
      </c>
      <c r="X231" s="153">
        <f t="shared" si="87"/>
        <v>46604</v>
      </c>
      <c r="Y231" s="380">
        <f t="shared" si="88"/>
        <v>177.42429127303973</v>
      </c>
      <c r="Z231" s="380">
        <f t="shared" si="89"/>
        <v>182.79888573630581</v>
      </c>
      <c r="AA231" s="381">
        <f t="shared" si="90"/>
        <v>195.33116121884058</v>
      </c>
      <c r="AB231" s="193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6.4159120359163546E-2</v>
      </c>
      <c r="AD231" s="227">
        <f>(INDEX(Models!$BJ231:$BT231,,AH231)*(1-AF231)+INDEX(Models!$BJ231:$BT231,,AH231+1)*AF231-ERP_i)*AE231*Ramure*Pc/MaxiM</f>
        <v>3.8868695605940012E-4</v>
      </c>
      <c r="AE231" s="301">
        <f t="shared" si="92"/>
        <v>0.5</v>
      </c>
      <c r="AF231" s="173">
        <f t="shared" si="93"/>
        <v>0.94411122187076035</v>
      </c>
      <c r="AG231" s="801">
        <f t="shared" si="99"/>
        <v>2</v>
      </c>
      <c r="AH231" s="172">
        <f t="shared" si="94"/>
        <v>8</v>
      </c>
      <c r="AI231" s="221">
        <f t="shared" si="95"/>
        <v>2.9441112218707604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46605</v>
      </c>
      <c r="B232" s="406">
        <f>'2026'!Wh/'2026'!Env_an*'2027'!Env_an</f>
        <v>195.5388799442693</v>
      </c>
      <c r="C232" s="831"/>
      <c r="D232" s="388">
        <f t="shared" si="77"/>
        <v>201.46496531826583</v>
      </c>
      <c r="E232" s="380">
        <f t="shared" si="75"/>
        <v>209.52734567650614</v>
      </c>
      <c r="F232" s="380">
        <f t="shared" si="78"/>
        <v>209.59750023385661</v>
      </c>
      <c r="G232" s="110">
        <f t="shared" si="76"/>
        <v>0.89571581295379121</v>
      </c>
      <c r="H232" s="409" t="b">
        <f>Wh_hp&gt;='2026'!Maxi_hp</f>
        <v>0</v>
      </c>
      <c r="I232" s="385">
        <f>IF(H232,Wh_hp,'2026'!Maxi_hp)</f>
        <v>209.60816001041005</v>
      </c>
      <c r="J232" s="85">
        <f>IF(H232,An,'2026'!An_max)</f>
        <v>2022</v>
      </c>
      <c r="K232" s="193">
        <f t="shared" si="79"/>
        <v>46605</v>
      </c>
      <c r="L232" s="143">
        <f>IF(t&lt;Tvie,1-EXP((T0-t)*PertePVj)+'2026'!Pspv,1-EXP((T0-t)*PertePVj)+Pspv)</f>
        <v>2.9414967335063658E-2</v>
      </c>
      <c r="M232" s="835"/>
      <c r="N232" s="835"/>
      <c r="O232" s="48">
        <f>IF(t&lt;Tnet,'2026'!Resal+('2026'!Salim-'2026'!Resal)*(1-EXP(('2026'!Tnet-t)/('2026'!Tau_j))),Resal+(Salim-Resal)*(1-EXP((Tnet-t)/(Tau_j))))*Salcycl</f>
        <v>3.8478893207037554E-2</v>
      </c>
      <c r="P232" s="165">
        <f>(INDEX(Models!$BJ232:$BT232,,T232)*(1-R232)+INDEX(Models!$BJ232:$BT232,,T232+1)*R232-ERP_i)*Q232*Ramure*Pc/MaxiM</f>
        <v>3.9326966586624286E-4</v>
      </c>
      <c r="Q232" s="301">
        <f t="shared" si="80"/>
        <v>0.5</v>
      </c>
      <c r="R232" s="173">
        <f t="shared" si="81"/>
        <v>0.94578563918029213</v>
      </c>
      <c r="S232" s="801">
        <f t="shared" si="82"/>
        <v>2</v>
      </c>
      <c r="T232" s="172">
        <f t="shared" si="83"/>
        <v>8</v>
      </c>
      <c r="U232" s="247">
        <f t="shared" si="84"/>
        <v>2.9457856391802921</v>
      </c>
      <c r="V232" s="378">
        <f t="shared" si="85"/>
        <v>218.29180947494262</v>
      </c>
      <c r="W232" s="397">
        <f t="shared" si="86"/>
        <v>195.5388799442693</v>
      </c>
      <c r="X232" s="153">
        <f t="shared" si="87"/>
        <v>46605</v>
      </c>
      <c r="Y232" s="380">
        <f t="shared" si="88"/>
        <v>190.31233937670618</v>
      </c>
      <c r="Z232" s="380">
        <f t="shared" si="89"/>
        <v>196.08002696493824</v>
      </c>
      <c r="AA232" s="381">
        <f t="shared" si="90"/>
        <v>209.52734567650614</v>
      </c>
      <c r="AB232" s="193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6.4179301599751631E-2</v>
      </c>
      <c r="AD232" s="227">
        <f>(INDEX(Models!$BJ232:$BT232,,AH232)*(1-AF232)+INDEX(Models!$BJ232:$BT232,,AH232+1)*AF232-ERP_i)*AE232*Ramure*Pc/MaxiM</f>
        <v>3.9326966586624286E-4</v>
      </c>
      <c r="AE232" s="301">
        <f t="shared" si="92"/>
        <v>0.5</v>
      </c>
      <c r="AF232" s="173">
        <f t="shared" si="93"/>
        <v>0.94578563918029213</v>
      </c>
      <c r="AG232" s="801">
        <f t="shared" si="99"/>
        <v>2</v>
      </c>
      <c r="AH232" s="172">
        <f t="shared" si="94"/>
        <v>8</v>
      </c>
      <c r="AI232" s="221">
        <f t="shared" si="95"/>
        <v>2.9457856391802921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46606</v>
      </c>
      <c r="B233" s="406">
        <f>'2026'!Wh/'2026'!Env_an*'2027'!Env_an</f>
        <v>208.96660804551013</v>
      </c>
      <c r="C233" s="831"/>
      <c r="D233" s="388">
        <f t="shared" si="77"/>
        <v>215.30258723265479</v>
      </c>
      <c r="E233" s="380">
        <f t="shared" ref="E233:E296" si="100">Wh_pvt/(1-Psa)</f>
        <v>223.93010490491818</v>
      </c>
      <c r="F233" s="380">
        <f t="shared" si="78"/>
        <v>224.01407961098363</v>
      </c>
      <c r="G233" s="110">
        <f t="shared" ref="G233:G296" si="101">+Wh_hp/MaxiM</f>
        <v>0.95997850212102598</v>
      </c>
      <c r="H233" s="409" t="b">
        <f>Wh_hp&gt;='2026'!Maxi_hp</f>
        <v>0</v>
      </c>
      <c r="I233" s="385">
        <f>IF(H233,Wh_hp,'2026'!Maxi_hp)</f>
        <v>224.01849945723848</v>
      </c>
      <c r="J233" s="85">
        <f>IF(H233,An,'2026'!An_max)</f>
        <v>2022</v>
      </c>
      <c r="K233" s="193">
        <f t="shared" si="79"/>
        <v>46606</v>
      </c>
      <c r="L233" s="143">
        <f>IF(t&lt;Tvie,1-EXP((T0-t)*PertePVj)+'2026'!Pspv,1-EXP((T0-t)*PertePVj)+Pspv)</f>
        <v>2.9428253829100637E-2</v>
      </c>
      <c r="M233" s="835"/>
      <c r="N233" s="835"/>
      <c r="O233" s="48">
        <f>IF(t&lt;Tnet,'2026'!Resal+('2026'!Salim-'2026'!Resal)*(1-EXP(('2026'!Tnet-t)/('2026'!Tau_j))),Resal+(Salim-Resal)*(1-EXP((Tnet-t)/(Tau_j))))*Salcycl</f>
        <v>3.8527725764817042E-2</v>
      </c>
      <c r="P233" s="165">
        <f>(INDEX(Models!$BJ233:$BT233,,T233)*(1-R233)+INDEX(Models!$BJ233:$BT233,,T233+1)*R233-ERP_i)*Q233*Ramure*Pc/MaxiM</f>
        <v>3.9758232658303997E-4</v>
      </c>
      <c r="Q233" s="301">
        <f t="shared" si="80"/>
        <v>0.5</v>
      </c>
      <c r="R233" s="173">
        <f t="shared" si="81"/>
        <v>0.94740426305985581</v>
      </c>
      <c r="S233" s="801">
        <f t="shared" si="82"/>
        <v>2</v>
      </c>
      <c r="T233" s="172">
        <f t="shared" si="83"/>
        <v>8</v>
      </c>
      <c r="U233" s="247">
        <f t="shared" si="84"/>
        <v>2.9474042630598558</v>
      </c>
      <c r="V233" s="378">
        <f t="shared" si="85"/>
        <v>217.67347740727863</v>
      </c>
      <c r="W233" s="397">
        <f t="shared" si="86"/>
        <v>208.96660804551013</v>
      </c>
      <c r="X233" s="153">
        <f t="shared" si="87"/>
        <v>46606</v>
      </c>
      <c r="Y233" s="380">
        <f t="shared" si="88"/>
        <v>203.38714007186397</v>
      </c>
      <c r="Z233" s="380">
        <f t="shared" si="89"/>
        <v>209.5539468094627</v>
      </c>
      <c r="AA233" s="381">
        <f t="shared" si="90"/>
        <v>223.93010490491818</v>
      </c>
      <c r="AB233" s="193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6.4199309429876159E-2</v>
      </c>
      <c r="AD233" s="227">
        <f>(INDEX(Models!$BJ233:$BT233,,AH233)*(1-AF233)+INDEX(Models!$BJ233:$BT233,,AH233+1)*AF233-ERP_i)*AE233*Ramure*Pc/MaxiM</f>
        <v>3.9758232658303997E-4</v>
      </c>
      <c r="AE233" s="301">
        <f t="shared" si="92"/>
        <v>0.5</v>
      </c>
      <c r="AF233" s="173">
        <f t="shared" si="93"/>
        <v>0.94740426305985581</v>
      </c>
      <c r="AG233" s="801">
        <f t="shared" si="99"/>
        <v>2</v>
      </c>
      <c r="AH233" s="172">
        <f t="shared" si="94"/>
        <v>8</v>
      </c>
      <c r="AI233" s="221">
        <f t="shared" si="95"/>
        <v>2.9474042630598558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46607</v>
      </c>
      <c r="B234" s="406">
        <f>'2026'!Wh/'2026'!Env_an*'2027'!Env_an</f>
        <v>212.63341002248558</v>
      </c>
      <c r="C234" s="831"/>
      <c r="D234" s="388">
        <f t="shared" si="77"/>
        <v>219.08356767446301</v>
      </c>
      <c r="E234" s="380">
        <f t="shared" si="100"/>
        <v>227.87413445440876</v>
      </c>
      <c r="F234" s="380">
        <f t="shared" si="78"/>
        <v>227.96301604446657</v>
      </c>
      <c r="G234" s="110">
        <f t="shared" si="101"/>
        <v>0.97965075082945907</v>
      </c>
      <c r="H234" s="409" t="b">
        <f>Wh_hp&gt;='2026'!Maxi_hp</f>
        <v>0</v>
      </c>
      <c r="I234" s="385">
        <f>IF(H234,Wh_hp,'2026'!Maxi_hp)</f>
        <v>227.96532559207185</v>
      </c>
      <c r="J234" s="85">
        <f>IF(H234,An,'2026'!An_max)</f>
        <v>2022</v>
      </c>
      <c r="K234" s="193">
        <f t="shared" si="79"/>
        <v>46607</v>
      </c>
      <c r="L234" s="143">
        <f>IF(t&lt;Tvie,1-EXP((T0-t)*PertePVj)+'2026'!Pspv,1-EXP((T0-t)*PertePVj)+Pspv)</f>
        <v>2.9441540141256772E-2</v>
      </c>
      <c r="M234" s="835"/>
      <c r="N234" s="835"/>
      <c r="O234" s="48">
        <f>IF(t&lt;Tnet,'2026'!Resal+('2026'!Salim-'2026'!Resal)*(1-EXP(('2026'!Tnet-t)/('2026'!Tau_j))),Resal+(Salim-Resal)*(1-EXP((Tnet-t)/(Tau_j))))*Salcycl</f>
        <v>3.8576413251081458E-2</v>
      </c>
      <c r="P234" s="165">
        <f>(INDEX(Models!$BJ234:$BT234,,T234)*(1-R234)+INDEX(Models!$BJ234:$BT234,,T234+1)*R234-ERP_i)*Q234*Ramure*Pc/MaxiM</f>
        <v>4.0156176441625316E-4</v>
      </c>
      <c r="Q234" s="301">
        <f t="shared" si="80"/>
        <v>0.5</v>
      </c>
      <c r="R234" s="173">
        <f t="shared" si="81"/>
        <v>0.94896853699277717</v>
      </c>
      <c r="S234" s="801">
        <f t="shared" si="82"/>
        <v>2</v>
      </c>
      <c r="T234" s="172">
        <f t="shared" si="83"/>
        <v>8</v>
      </c>
      <c r="U234" s="247">
        <f t="shared" si="84"/>
        <v>2.9489685369927772</v>
      </c>
      <c r="V234" s="378">
        <f t="shared" si="85"/>
        <v>217.04768570249354</v>
      </c>
      <c r="W234" s="397">
        <f t="shared" si="86"/>
        <v>212.63341002248558</v>
      </c>
      <c r="X234" s="153">
        <f t="shared" si="87"/>
        <v>46607</v>
      </c>
      <c r="Y234" s="380">
        <f t="shared" si="88"/>
        <v>206.96213067902454</v>
      </c>
      <c r="Z234" s="380">
        <f t="shared" si="89"/>
        <v>213.24025212159418</v>
      </c>
      <c r="AA234" s="381">
        <f t="shared" si="90"/>
        <v>227.87413445440876</v>
      </c>
      <c r="AB234" s="193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6.4219146099455185E-2</v>
      </c>
      <c r="AD234" s="227">
        <f>(INDEX(Models!$BJ234:$BT234,,AH234)*(1-AF234)+INDEX(Models!$BJ234:$BT234,,AH234+1)*AF234-ERP_i)*AE234*Ramure*Pc/MaxiM</f>
        <v>4.0156176441625316E-4</v>
      </c>
      <c r="AE234" s="301">
        <f t="shared" si="92"/>
        <v>0.5</v>
      </c>
      <c r="AF234" s="173">
        <f t="shared" si="93"/>
        <v>0.94896853699277717</v>
      </c>
      <c r="AG234" s="801">
        <f t="shared" si="99"/>
        <v>2</v>
      </c>
      <c r="AH234" s="172">
        <f t="shared" si="94"/>
        <v>8</v>
      </c>
      <c r="AI234" s="221">
        <f t="shared" si="95"/>
        <v>2.9489685369927772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46608</v>
      </c>
      <c r="B235" s="406">
        <f>'2026'!Wh/'2026'!Env_an*'2027'!Env_an</f>
        <v>202.65011997576252</v>
      </c>
      <c r="C235" s="831"/>
      <c r="D235" s="388">
        <f t="shared" si="77"/>
        <v>208.80029643263052</v>
      </c>
      <c r="E235" s="380">
        <f t="shared" si="100"/>
        <v>217.18922054428822</v>
      </c>
      <c r="F235" s="380">
        <f t="shared" si="78"/>
        <v>217.26930724576252</v>
      </c>
      <c r="G235" s="110">
        <f t="shared" si="101"/>
        <v>0.93636626993894101</v>
      </c>
      <c r="H235" s="409" t="b">
        <f>Wh_hp&gt;='2026'!Maxi_hp</f>
        <v>0</v>
      </c>
      <c r="I235" s="385">
        <f>IF(H235,Wh_hp,'2026'!Maxi_hp)</f>
        <v>217.27625624973561</v>
      </c>
      <c r="J235" s="85">
        <f>IF(H235,An,'2026'!An_max)</f>
        <v>2022</v>
      </c>
      <c r="K235" s="193">
        <f t="shared" si="79"/>
        <v>46608</v>
      </c>
      <c r="L235" s="143">
        <f>IF(t&lt;Tvie,1-EXP((T0-t)*PertePVj)+'2026'!Pspv,1-EXP((T0-t)*PertePVj)+Pspv)</f>
        <v>2.9454826271534285E-2</v>
      </c>
      <c r="M235" s="835"/>
      <c r="N235" s="835"/>
      <c r="O235" s="48">
        <f>IF(t&lt;Tnet,'2026'!Resal+('2026'!Salim-'2026'!Resal)*(1-EXP(('2026'!Tnet-t)/('2026'!Tau_j))),Resal+(Salim-Resal)*(1-EXP((Tnet-t)/(Tau_j))))*Salcycl</f>
        <v>3.8624956112621928E-2</v>
      </c>
      <c r="P235" s="165">
        <f>(INDEX(Models!$BJ235:$BT235,,T235)*(1-R235)+INDEX(Models!$BJ235:$BT235,,T235+1)*R235-ERP_i)*Q235*Ramure*Pc/MaxiM</f>
        <v>4.0544258867171944E-4</v>
      </c>
      <c r="Q235" s="301">
        <f t="shared" si="80"/>
        <v>0.5</v>
      </c>
      <c r="R235" s="173">
        <f t="shared" si="81"/>
        <v>0.9504798978614053</v>
      </c>
      <c r="S235" s="801">
        <f t="shared" si="82"/>
        <v>2</v>
      </c>
      <c r="T235" s="172">
        <f t="shared" si="83"/>
        <v>8</v>
      </c>
      <c r="U235" s="247">
        <f t="shared" si="84"/>
        <v>2.9504798978614053</v>
      </c>
      <c r="V235" s="378">
        <f t="shared" si="85"/>
        <v>216.41387427704103</v>
      </c>
      <c r="W235" s="397">
        <f t="shared" si="86"/>
        <v>202.65011997576252</v>
      </c>
      <c r="X235" s="153">
        <f t="shared" si="87"/>
        <v>46608</v>
      </c>
      <c r="Y235" s="380">
        <f t="shared" si="88"/>
        <v>197.25092520628206</v>
      </c>
      <c r="Z235" s="380">
        <f t="shared" si="89"/>
        <v>203.23724288743713</v>
      </c>
      <c r="AA235" s="381">
        <f t="shared" si="90"/>
        <v>217.18922054428822</v>
      </c>
      <c r="AB235" s="193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6.4238812690089617E-2</v>
      </c>
      <c r="AD235" s="227">
        <f>(INDEX(Models!$BJ235:$BT235,,AH235)*(1-AF235)+INDEX(Models!$BJ235:$BT235,,AH235+1)*AF235-ERP_i)*AE235*Ramure*Pc/MaxiM</f>
        <v>4.0544258867171944E-4</v>
      </c>
      <c r="AE235" s="301">
        <f t="shared" si="92"/>
        <v>0.5</v>
      </c>
      <c r="AF235" s="173">
        <f t="shared" si="93"/>
        <v>0.9504798978614053</v>
      </c>
      <c r="AG235" s="801">
        <f t="shared" si="99"/>
        <v>2</v>
      </c>
      <c r="AH235" s="172">
        <f t="shared" si="94"/>
        <v>8</v>
      </c>
      <c r="AI235" s="221">
        <f t="shared" si="95"/>
        <v>2.9504798978614053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46609</v>
      </c>
      <c r="B236" s="406">
        <f>'2026'!Wh/'2026'!Env_an*'2027'!Env_an</f>
        <v>196.99835866734594</v>
      </c>
      <c r="C236" s="831"/>
      <c r="D236" s="388">
        <f t="shared" si="77"/>
        <v>202.97978989433111</v>
      </c>
      <c r="E236" s="380">
        <f t="shared" si="100"/>
        <v>211.14549437318328</v>
      </c>
      <c r="F236" s="380">
        <f t="shared" si="78"/>
        <v>211.22118788439818</v>
      </c>
      <c r="G236" s="110">
        <f t="shared" si="101"/>
        <v>0.91294866796966034</v>
      </c>
      <c r="H236" s="409" t="b">
        <f>Wh_hp&gt;='2026'!Maxi_hp</f>
        <v>0</v>
      </c>
      <c r="I236" s="385">
        <f>IF(H236,Wh_hp,'2026'!Maxi_hp)</f>
        <v>211.23051410692491</v>
      </c>
      <c r="J236" s="85">
        <f>IF(H236,An,'2026'!An_max)</f>
        <v>2022</v>
      </c>
      <c r="K236" s="193">
        <f t="shared" si="79"/>
        <v>46609</v>
      </c>
      <c r="L236" s="143">
        <f>IF(t&lt;Tvie,1-EXP((T0-t)*PertePVj)+'2026'!Pspv,1-EXP((T0-t)*PertePVj)+Pspv)</f>
        <v>2.9468112219935949E-2</v>
      </c>
      <c r="M236" s="835"/>
      <c r="N236" s="835"/>
      <c r="O236" s="48">
        <f>IF(t&lt;Tnet,'2026'!Resal+('2026'!Salim-'2026'!Resal)*(1-EXP(('2026'!Tnet-t)/('2026'!Tau_j))),Resal+(Salim-Resal)*(1-EXP((Tnet-t)/(Tau_j))))*Salcycl</f>
        <v>3.8673354139491647E-2</v>
      </c>
      <c r="P236" s="165">
        <f>(INDEX(Models!$BJ236:$BT236,,T236)*(1-R236)+INDEX(Models!$BJ236:$BT236,,T236+1)*R236-ERP_i)*Q236*Ramure*Pc/MaxiM</f>
        <v>4.0922503218006231E-4</v>
      </c>
      <c r="Q236" s="301">
        <f t="shared" si="80"/>
        <v>0.5</v>
      </c>
      <c r="R236" s="173">
        <f t="shared" si="81"/>
        <v>0.95193977332730251</v>
      </c>
      <c r="S236" s="801">
        <f t="shared" si="82"/>
        <v>2</v>
      </c>
      <c r="T236" s="172">
        <f t="shared" si="83"/>
        <v>8</v>
      </c>
      <c r="U236" s="247">
        <f t="shared" si="84"/>
        <v>2.9519397733273025</v>
      </c>
      <c r="V236" s="378">
        <f t="shared" si="85"/>
        <v>215.77153450756128</v>
      </c>
      <c r="W236" s="397">
        <f t="shared" si="86"/>
        <v>196.99835866734594</v>
      </c>
      <c r="X236" s="153">
        <f t="shared" si="87"/>
        <v>46609</v>
      </c>
      <c r="Y236" s="380">
        <f t="shared" si="88"/>
        <v>191.75540178833123</v>
      </c>
      <c r="Z236" s="380">
        <f t="shared" si="89"/>
        <v>197.57764191235481</v>
      </c>
      <c r="AA236" s="381">
        <f t="shared" si="90"/>
        <v>211.14549437318328</v>
      </c>
      <c r="AB236" s="193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6.4258309186784449E-2</v>
      </c>
      <c r="AD236" s="227">
        <f>(INDEX(Models!$BJ236:$BT236,,AH236)*(1-AF236)+INDEX(Models!$BJ236:$BT236,,AH236+1)*AF236-ERP_i)*AE236*Ramure*Pc/MaxiM</f>
        <v>4.0922503218006231E-4</v>
      </c>
      <c r="AE236" s="301">
        <f t="shared" si="92"/>
        <v>0.5</v>
      </c>
      <c r="AF236" s="173">
        <f t="shared" si="93"/>
        <v>0.95193977332730251</v>
      </c>
      <c r="AG236" s="801">
        <f t="shared" si="99"/>
        <v>2</v>
      </c>
      <c r="AH236" s="172">
        <f t="shared" si="94"/>
        <v>8</v>
      </c>
      <c r="AI236" s="221">
        <f t="shared" si="95"/>
        <v>2.9519397733273025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46610</v>
      </c>
      <c r="B237" s="406">
        <f>'2026'!Wh/'2026'!Env_an*'2027'!Env_an</f>
        <v>182.83130036848846</v>
      </c>
      <c r="C237" s="831"/>
      <c r="D237" s="388">
        <f t="shared" si="77"/>
        <v>188.38515819188646</v>
      </c>
      <c r="E237" s="380">
        <f t="shared" si="100"/>
        <v>195.97356964110415</v>
      </c>
      <c r="F237" s="380">
        <f t="shared" si="78"/>
        <v>196.03715853230057</v>
      </c>
      <c r="G237" s="110">
        <f t="shared" si="101"/>
        <v>0.84982787907991753</v>
      </c>
      <c r="H237" s="409" t="b">
        <f>Wh_hp&gt;='2026'!Maxi_hp</f>
        <v>0</v>
      </c>
      <c r="I237" s="385">
        <f>IF(H237,Wh_hp,'2026'!Maxi_hp)</f>
        <v>196.05222207585885</v>
      </c>
      <c r="J237" s="85">
        <f>IF(H237,An,'2026'!An_max)</f>
        <v>2022</v>
      </c>
      <c r="K237" s="193">
        <f t="shared" si="79"/>
        <v>46610</v>
      </c>
      <c r="L237" s="143">
        <f>IF(t&lt;Tvie,1-EXP((T0-t)*PertePVj)+'2026'!Pspv,1-EXP((T0-t)*PertePVj)+Pspv)</f>
        <v>2.9481397986464097E-2</v>
      </c>
      <c r="M237" s="835"/>
      <c r="N237" s="835"/>
      <c r="O237" s="48">
        <f>IF(t&lt;Tnet,'2026'!Resal+('2026'!Salim-'2026'!Resal)*(1-EXP(('2026'!Tnet-t)/('2026'!Tau_j))),Resal+(Salim-Resal)*(1-EXP((Tnet-t)/(Tau_j))))*Salcycl</f>
        <v>3.8721606505993218E-2</v>
      </c>
      <c r="P237" s="165">
        <f>(INDEX(Models!$BJ237:$BT237,,T237)*(1-R237)+INDEX(Models!$BJ237:$BT237,,T237+1)*R237-ERP_i)*Q237*Ramure*Pc/MaxiM</f>
        <v>4.1290931864239582E-4</v>
      </c>
      <c r="Q237" s="301">
        <f t="shared" si="80"/>
        <v>0.5</v>
      </c>
      <c r="R237" s="173">
        <f t="shared" si="81"/>
        <v>0.95334957943364529</v>
      </c>
      <c r="S237" s="801">
        <f t="shared" si="82"/>
        <v>2</v>
      </c>
      <c r="T237" s="172">
        <f t="shared" si="83"/>
        <v>8</v>
      </c>
      <c r="U237" s="247">
        <f t="shared" si="84"/>
        <v>2.9533495794336453</v>
      </c>
      <c r="V237" s="378">
        <f t="shared" si="85"/>
        <v>215.12015803936018</v>
      </c>
      <c r="W237" s="397">
        <f t="shared" si="86"/>
        <v>182.83130036848846</v>
      </c>
      <c r="X237" s="153">
        <f t="shared" si="87"/>
        <v>46610</v>
      </c>
      <c r="Y237" s="380">
        <f t="shared" si="88"/>
        <v>177.97064619028015</v>
      </c>
      <c r="Z237" s="380">
        <f t="shared" si="89"/>
        <v>183.37685215001986</v>
      </c>
      <c r="AA237" s="381">
        <f t="shared" si="90"/>
        <v>195.97356964110415</v>
      </c>
      <c r="AB237" s="193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6.4277634551196158E-2</v>
      </c>
      <c r="AD237" s="227">
        <f>(INDEX(Models!$BJ237:$BT237,,AH237)*(1-AF237)+INDEX(Models!$BJ237:$BT237,,AH237+1)*AF237-ERP_i)*AE237*Ramure*Pc/MaxiM</f>
        <v>4.1290931864239582E-4</v>
      </c>
      <c r="AE237" s="301">
        <f t="shared" si="92"/>
        <v>0.5</v>
      </c>
      <c r="AF237" s="173">
        <f t="shared" si="93"/>
        <v>0.95334957943364529</v>
      </c>
      <c r="AG237" s="801">
        <f t="shared" si="99"/>
        <v>2</v>
      </c>
      <c r="AH237" s="172">
        <f t="shared" si="94"/>
        <v>8</v>
      </c>
      <c r="AI237" s="221">
        <f t="shared" si="95"/>
        <v>2.9533495794336453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46611</v>
      </c>
      <c r="B238" s="406">
        <f>'2026'!Wh/'2026'!Env_an*'2027'!Env_an</f>
        <v>191.54672299204228</v>
      </c>
      <c r="C238" s="831"/>
      <c r="D238" s="388">
        <f t="shared" si="77"/>
        <v>197.36803060169464</v>
      </c>
      <c r="E238" s="380">
        <f t="shared" si="100"/>
        <v>205.32855968760003</v>
      </c>
      <c r="F238" s="380">
        <f t="shared" si="78"/>
        <v>205.40105134391268</v>
      </c>
      <c r="G238" s="110">
        <f t="shared" si="101"/>
        <v>0.89310465373818781</v>
      </c>
      <c r="H238" s="409" t="b">
        <f>Wh_hp&gt;='2026'!Maxi_hp</f>
        <v>0</v>
      </c>
      <c r="I238" s="385">
        <f>IF(H238,Wh_hp,'2026'!Maxi_hp)</f>
        <v>205.41238028032569</v>
      </c>
      <c r="J238" s="85">
        <f>IF(H238,An,'2026'!An_max)</f>
        <v>2022</v>
      </c>
      <c r="K238" s="193">
        <f t="shared" si="79"/>
        <v>46611</v>
      </c>
      <c r="L238" s="143">
        <f>IF(t&lt;Tvie,1-EXP((T0-t)*PertePVj)+'2026'!Pspv,1-EXP((T0-t)*PertePVj)+Pspv)</f>
        <v>2.9494683571121283E-2</v>
      </c>
      <c r="M238" s="835"/>
      <c r="N238" s="835"/>
      <c r="O238" s="48">
        <f>IF(t&lt;Tnet,'2026'!Resal+('2026'!Salim-'2026'!Resal)*(1-EXP(('2026'!Tnet-t)/('2026'!Tau_j))),Resal+(Salim-Resal)*(1-EXP((Tnet-t)/(Tau_j))))*Salcycl</f>
        <v>3.8769711812214759E-2</v>
      </c>
      <c r="P238" s="165">
        <f>(INDEX(Models!$BJ238:$BT238,,T238)*(1-R238)+INDEX(Models!$BJ238:$BT238,,T238+1)*R238-ERP_i)*Q238*Ramure*Pc/MaxiM</f>
        <v>4.1649566167729343E-4</v>
      </c>
      <c r="Q238" s="301">
        <f t="shared" si="80"/>
        <v>0.5</v>
      </c>
      <c r="R238" s="173">
        <f t="shared" si="81"/>
        <v>0.95471071842121136</v>
      </c>
      <c r="S238" s="801">
        <f t="shared" si="82"/>
        <v>2</v>
      </c>
      <c r="T238" s="172">
        <f t="shared" si="83"/>
        <v>8</v>
      </c>
      <c r="U238" s="247">
        <f t="shared" si="84"/>
        <v>2.9547107184212114</v>
      </c>
      <c r="V238" s="378">
        <f t="shared" si="85"/>
        <v>214.45923677226861</v>
      </c>
      <c r="W238" s="397">
        <f t="shared" si="86"/>
        <v>191.54672299204228</v>
      </c>
      <c r="X238" s="153">
        <f t="shared" si="87"/>
        <v>46611</v>
      </c>
      <c r="Y238" s="380">
        <f t="shared" si="88"/>
        <v>186.45987999439831</v>
      </c>
      <c r="Z238" s="380">
        <f t="shared" si="89"/>
        <v>192.12659306237052</v>
      </c>
      <c r="AA238" s="381">
        <f t="shared" si="90"/>
        <v>205.32855968760003</v>
      </c>
      <c r="AB238" s="193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6.4296786795348032E-2</v>
      </c>
      <c r="AD238" s="227">
        <f>(INDEX(Models!$BJ238:$BT238,,AH238)*(1-AF238)+INDEX(Models!$BJ238:$BT238,,AH238+1)*AF238-ERP_i)*AE238*Ramure*Pc/MaxiM</f>
        <v>4.1649566167729343E-4</v>
      </c>
      <c r="AE238" s="301">
        <f t="shared" si="92"/>
        <v>0.5</v>
      </c>
      <c r="AF238" s="173">
        <f t="shared" si="93"/>
        <v>0.95471071842121136</v>
      </c>
      <c r="AG238" s="801">
        <f t="shared" si="99"/>
        <v>2</v>
      </c>
      <c r="AH238" s="172">
        <f t="shared" si="94"/>
        <v>8</v>
      </c>
      <c r="AI238" s="221">
        <f t="shared" si="95"/>
        <v>2.9547107184212114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46612</v>
      </c>
      <c r="B239" s="406">
        <f>'2026'!Wh/'2026'!Env_an*'2027'!Env_an</f>
        <v>133.14918077073611</v>
      </c>
      <c r="C239" s="831"/>
      <c r="D239" s="388">
        <f t="shared" si="77"/>
        <v>137.1976033950109</v>
      </c>
      <c r="E239" s="380">
        <f t="shared" si="100"/>
        <v>142.73837423483124</v>
      </c>
      <c r="F239" s="380">
        <f t="shared" si="78"/>
        <v>142.76602486404832</v>
      </c>
      <c r="G239" s="110">
        <f t="shared" si="101"/>
        <v>0.62266768374265435</v>
      </c>
      <c r="H239" s="409" t="b">
        <f>Wh_hp&gt;='2026'!Maxi_hp</f>
        <v>0</v>
      </c>
      <c r="I239" s="385">
        <f>IF(H239,Wh_hp,'2026'!Maxi_hp)</f>
        <v>142.79404848596596</v>
      </c>
      <c r="J239" s="85">
        <f>IF(H239,An,'2026'!An_max)</f>
        <v>2022</v>
      </c>
      <c r="K239" s="193">
        <f t="shared" si="79"/>
        <v>46612</v>
      </c>
      <c r="L239" s="143">
        <f>IF(t&lt;Tvie,1-EXP((T0-t)*PertePVj)+'2026'!Pspv,1-EXP((T0-t)*PertePVj)+Pspv)</f>
        <v>2.9507968973909948E-2</v>
      </c>
      <c r="M239" s="835"/>
      <c r="N239" s="835"/>
      <c r="O239" s="48">
        <f>IF(t&lt;Tnet,'2026'!Resal+('2026'!Salim-'2026'!Resal)*(1-EXP(('2026'!Tnet-t)/('2026'!Tau_j))),Resal+(Salim-Resal)*(1-EXP((Tnet-t)/(Tau_j))))*Salcycl</f>
        <v>3.8817668125494594E-2</v>
      </c>
      <c r="P239" s="165">
        <f>(INDEX(Models!$BJ239:$BT239,,T239)*(1-R239)+INDEX(Models!$BJ239:$BT239,,T239+1)*R239-ERP_i)*Q239*Ramure*Pc/MaxiM</f>
        <v>4.1998426426359959E-4</v>
      </c>
      <c r="Q239" s="301">
        <f t="shared" si="80"/>
        <v>0.5</v>
      </c>
      <c r="R239" s="173">
        <f t="shared" si="81"/>
        <v>0.95602457674895458</v>
      </c>
      <c r="S239" s="801">
        <f t="shared" si="82"/>
        <v>2</v>
      </c>
      <c r="T239" s="172">
        <f t="shared" si="83"/>
        <v>8</v>
      </c>
      <c r="U239" s="247">
        <f t="shared" si="84"/>
        <v>2.9560245767489546</v>
      </c>
      <c r="V239" s="378">
        <f t="shared" si="85"/>
        <v>213.78826283618145</v>
      </c>
      <c r="W239" s="397">
        <f t="shared" si="86"/>
        <v>133.14918077073611</v>
      </c>
      <c r="X239" s="153">
        <f t="shared" si="87"/>
        <v>46612</v>
      </c>
      <c r="Y239" s="380">
        <f t="shared" si="88"/>
        <v>129.61702007815603</v>
      </c>
      <c r="Z239" s="380">
        <f t="shared" si="89"/>
        <v>133.55804677871848</v>
      </c>
      <c r="AA239" s="381">
        <f t="shared" si="90"/>
        <v>142.73837423483124</v>
      </c>
      <c r="AB239" s="193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6.4315763054785868E-2</v>
      </c>
      <c r="AD239" s="227">
        <f>(INDEX(Models!$BJ239:$BT239,,AH239)*(1-AF239)+INDEX(Models!$BJ239:$BT239,,AH239+1)*AF239-ERP_i)*AE239*Ramure*Pc/MaxiM</f>
        <v>4.1998426426359959E-4</v>
      </c>
      <c r="AE239" s="301">
        <f t="shared" si="92"/>
        <v>0.5</v>
      </c>
      <c r="AF239" s="173">
        <f t="shared" si="93"/>
        <v>0.95602457674895458</v>
      </c>
      <c r="AG239" s="801">
        <f t="shared" si="99"/>
        <v>2</v>
      </c>
      <c r="AH239" s="172">
        <f t="shared" si="94"/>
        <v>8</v>
      </c>
      <c r="AI239" s="221">
        <f t="shared" si="95"/>
        <v>2.9560245767489546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46613</v>
      </c>
      <c r="B240" s="406">
        <f>'2026'!Wh/'2026'!Env_an*'2027'!Env_an</f>
        <v>146.04744632360183</v>
      </c>
      <c r="C240" s="831"/>
      <c r="D240" s="388">
        <f t="shared" si="77"/>
        <v>150.49010290527497</v>
      </c>
      <c r="E240" s="380">
        <f t="shared" si="100"/>
        <v>156.57548312026972</v>
      </c>
      <c r="F240" s="380">
        <f t="shared" si="78"/>
        <v>156.61193981674609</v>
      </c>
      <c r="G240" s="110">
        <f t="shared" si="101"/>
        <v>0.68519471615144101</v>
      </c>
      <c r="H240" s="409" t="b">
        <f>Wh_hp&gt;='2026'!Maxi_hp</f>
        <v>0</v>
      </c>
      <c r="I240" s="385">
        <f>IF(H240,Wh_hp,'2026'!Maxi_hp)</f>
        <v>156.63775376535247</v>
      </c>
      <c r="J240" s="85">
        <f>IF(H240,An,'2026'!An_max)</f>
        <v>2022</v>
      </c>
      <c r="K240" s="193">
        <f t="shared" si="79"/>
        <v>46613</v>
      </c>
      <c r="L240" s="143">
        <f>IF(t&lt;Tvie,1-EXP((T0-t)*PertePVj)+'2026'!Pspv,1-EXP((T0-t)*PertePVj)+Pspv)</f>
        <v>2.9521254194832647E-2</v>
      </c>
      <c r="M240" s="835"/>
      <c r="N240" s="835"/>
      <c r="O240" s="48">
        <f>IF(t&lt;Tnet,'2026'!Resal+('2026'!Salim-'2026'!Resal)*(1-EXP(('2026'!Tnet-t)/('2026'!Tau_j))),Resal+(Salim-Resal)*(1-EXP((Tnet-t)/(Tau_j))))*Salcycl</f>
        <v>3.8865473021216394E-2</v>
      </c>
      <c r="P240" s="165">
        <f>(INDEX(Models!$BJ240:$BT240,,T240)*(1-R240)+INDEX(Models!$BJ240:$BT240,,T240+1)*R240-ERP_i)*Q240*Ramure*Pc/MaxiM</f>
        <v>4.228859580751199E-4</v>
      </c>
      <c r="Q240" s="301">
        <f t="shared" si="80"/>
        <v>0.5</v>
      </c>
      <c r="R240" s="173">
        <f t="shared" si="81"/>
        <v>0.95729252330990366</v>
      </c>
      <c r="S240" s="801">
        <f t="shared" si="82"/>
        <v>2</v>
      </c>
      <c r="T240" s="172">
        <f t="shared" si="83"/>
        <v>8</v>
      </c>
      <c r="U240" s="247">
        <f t="shared" si="84"/>
        <v>2.9572925233099037</v>
      </c>
      <c r="V240" s="378">
        <f t="shared" si="85"/>
        <v>213.10683293105757</v>
      </c>
      <c r="W240" s="397">
        <f t="shared" si="86"/>
        <v>146.04744632360183</v>
      </c>
      <c r="X240" s="153">
        <f t="shared" si="87"/>
        <v>46613</v>
      </c>
      <c r="Y240" s="380">
        <f t="shared" si="88"/>
        <v>142.17733765576625</v>
      </c>
      <c r="Z240" s="380">
        <f t="shared" si="89"/>
        <v>146.50226836014571</v>
      </c>
      <c r="AA240" s="381">
        <f t="shared" si="90"/>
        <v>156.57548312026972</v>
      </c>
      <c r="AB240" s="193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6.4334559660189694E-2</v>
      </c>
      <c r="AD240" s="227">
        <f>(INDEX(Models!$BJ240:$BT240,,AH240)*(1-AF240)+INDEX(Models!$BJ240:$BT240,,AH240+1)*AF240-ERP_i)*AE240*Ramure*Pc/MaxiM</f>
        <v>4.228859580751199E-4</v>
      </c>
      <c r="AE240" s="301">
        <f t="shared" si="92"/>
        <v>0.5</v>
      </c>
      <c r="AF240" s="173">
        <f t="shared" si="93"/>
        <v>0.95729252330990366</v>
      </c>
      <c r="AG240" s="801">
        <f t="shared" si="99"/>
        <v>2</v>
      </c>
      <c r="AH240" s="172">
        <f t="shared" si="94"/>
        <v>8</v>
      </c>
      <c r="AI240" s="221">
        <f t="shared" si="95"/>
        <v>2.9572925233099037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46614</v>
      </c>
      <c r="B241" s="406">
        <f>'2026'!Wh/'2026'!Env_an*'2027'!Env_an</f>
        <v>150.3402539621448</v>
      </c>
      <c r="C241" s="831"/>
      <c r="D241" s="388">
        <f t="shared" si="77"/>
        <v>154.91561527956148</v>
      </c>
      <c r="E241" s="380">
        <f t="shared" si="100"/>
        <v>161.18794157656484</v>
      </c>
      <c r="F241" s="380">
        <f t="shared" si="78"/>
        <v>161.22788203011777</v>
      </c>
      <c r="G241" s="110">
        <f t="shared" si="101"/>
        <v>0.70764288345512139</v>
      </c>
      <c r="H241" s="409" t="b">
        <f>Wh_hp&gt;='2026'!Maxi_hp</f>
        <v>0</v>
      </c>
      <c r="I241" s="385">
        <f>IF(H241,Wh_hp,'2026'!Maxi_hp)</f>
        <v>161.2526894058478</v>
      </c>
      <c r="J241" s="85">
        <f>IF(H241,An,'2026'!An_max)</f>
        <v>2022</v>
      </c>
      <c r="K241" s="193">
        <f t="shared" si="79"/>
        <v>46614</v>
      </c>
      <c r="L241" s="143">
        <f>IF(t&lt;Tvie,1-EXP((T0-t)*PertePVj)+'2026'!Pspv,1-EXP((T0-t)*PertePVj)+Pspv)</f>
        <v>2.953453923389171E-2</v>
      </c>
      <c r="M241" s="835"/>
      <c r="N241" s="835"/>
      <c r="O241" s="48">
        <f>IF(t&lt;Tnet,'2026'!Resal+('2026'!Salim-'2026'!Resal)*(1-EXP(('2026'!Tnet-t)/('2026'!Tau_j))),Resal+(Salim-Resal)*(1-EXP((Tnet-t)/(Tau_j))))*Salcycl</f>
        <v>3.8913123622364681E-2</v>
      </c>
      <c r="P241" s="165">
        <f>(INDEX(Models!$BJ241:$BT241,,T241)*(1-R241)+INDEX(Models!$BJ241:$BT241,,T241+1)*R241-ERP_i)*Q241*Ramure*Pc/MaxiM</f>
        <v>4.2526254746466657E-4</v>
      </c>
      <c r="Q241" s="301">
        <f t="shared" si="80"/>
        <v>0.5</v>
      </c>
      <c r="R241" s="173">
        <f t="shared" si="81"/>
        <v>0.95851590783294416</v>
      </c>
      <c r="S241" s="801">
        <f t="shared" si="82"/>
        <v>2</v>
      </c>
      <c r="T241" s="172">
        <f t="shared" si="83"/>
        <v>8</v>
      </c>
      <c r="U241" s="247">
        <f t="shared" si="84"/>
        <v>2.9585159078329442</v>
      </c>
      <c r="V241" s="378">
        <f t="shared" si="85"/>
        <v>212.41442552548827</v>
      </c>
      <c r="W241" s="397">
        <f t="shared" si="86"/>
        <v>150.3402539621448</v>
      </c>
      <c r="X241" s="153">
        <f t="shared" si="87"/>
        <v>46614</v>
      </c>
      <c r="Y241" s="380">
        <f t="shared" si="88"/>
        <v>146.3607350872588</v>
      </c>
      <c r="Z241" s="380">
        <f t="shared" si="89"/>
        <v>150.81498621467495</v>
      </c>
      <c r="AA241" s="381">
        <f t="shared" si="90"/>
        <v>161.18794157656484</v>
      </c>
      <c r="AB241" s="193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6.4353172206511988E-2</v>
      </c>
      <c r="AD241" s="227">
        <f>(INDEX(Models!$BJ241:$BT241,,AH241)*(1-AF241)+INDEX(Models!$BJ241:$BT241,,AH241+1)*AF241-ERP_i)*AE241*Ramure*Pc/MaxiM</f>
        <v>4.2526254746466657E-4</v>
      </c>
      <c r="AE241" s="301">
        <f t="shared" si="92"/>
        <v>0.5</v>
      </c>
      <c r="AF241" s="173">
        <f t="shared" si="93"/>
        <v>0.95851590783294416</v>
      </c>
      <c r="AG241" s="801">
        <f t="shared" si="99"/>
        <v>2</v>
      </c>
      <c r="AH241" s="172">
        <f t="shared" si="94"/>
        <v>8</v>
      </c>
      <c r="AI241" s="221">
        <f t="shared" si="95"/>
        <v>2.9585159078329442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46615</v>
      </c>
      <c r="B242" s="406">
        <f>'2026'!Wh/'2026'!Env_an*'2027'!Env_an</f>
        <v>135.24883970723019</v>
      </c>
      <c r="C242" s="831"/>
      <c r="D242" s="388">
        <f t="shared" si="77"/>
        <v>139.36682617106638</v>
      </c>
      <c r="E242" s="380">
        <f t="shared" si="100"/>
        <v>145.01676891057198</v>
      </c>
      <c r="F242" s="380">
        <f t="shared" si="78"/>
        <v>145.04675654640937</v>
      </c>
      <c r="G242" s="110">
        <f t="shared" si="101"/>
        <v>0.63869769361586903</v>
      </c>
      <c r="H242" s="409" t="b">
        <f>Wh_hp&gt;='2026'!Maxi_hp</f>
        <v>0</v>
      </c>
      <c r="I242" s="385">
        <f>IF(H242,Wh_hp,'2026'!Maxi_hp)</f>
        <v>145.07444437533258</v>
      </c>
      <c r="J242" s="85">
        <f>IF(H242,An,'2026'!An_max)</f>
        <v>2022</v>
      </c>
      <c r="K242" s="193">
        <f t="shared" si="79"/>
        <v>46615</v>
      </c>
      <c r="L242" s="143">
        <f>IF(t&lt;Tvie,1-EXP((T0-t)*PertePVj)+'2026'!Pspv,1-EXP((T0-t)*PertePVj)+Pspv)</f>
        <v>2.9547824091089914E-2</v>
      </c>
      <c r="M242" s="835"/>
      <c r="N242" s="835"/>
      <c r="O242" s="48">
        <f>IF(t&lt;Tnet,'2026'!Resal+('2026'!Salim-'2026'!Resal)*(1-EXP(('2026'!Tnet-t)/('2026'!Tau_j))),Resal+(Salim-Resal)*(1-EXP((Tnet-t)/(Tau_j))))*Salcycl</f>
        <v>3.8960616637306114E-2</v>
      </c>
      <c r="P242" s="165">
        <f>(INDEX(Models!$BJ242:$BT242,,T242)*(1-R242)+INDEX(Models!$BJ242:$BT242,,T242+1)*R242-ERP_i)*Q242*Ramure*Pc/MaxiM</f>
        <v>4.2710975964209294E-4</v>
      </c>
      <c r="Q242" s="301">
        <f t="shared" si="80"/>
        <v>0.5</v>
      </c>
      <c r="R242" s="173">
        <f t="shared" si="81"/>
        <v>0.95969605946096248</v>
      </c>
      <c r="S242" s="801">
        <f t="shared" si="82"/>
        <v>2</v>
      </c>
      <c r="T242" s="172">
        <f t="shared" si="83"/>
        <v>8</v>
      </c>
      <c r="U242" s="247">
        <f t="shared" si="84"/>
        <v>2.9596960594609625</v>
      </c>
      <c r="V242" s="378">
        <f t="shared" si="85"/>
        <v>211.71053342696231</v>
      </c>
      <c r="W242" s="397">
        <f t="shared" si="86"/>
        <v>135.24883970723019</v>
      </c>
      <c r="X242" s="153">
        <f t="shared" si="87"/>
        <v>46615</v>
      </c>
      <c r="Y242" s="380">
        <f t="shared" si="88"/>
        <v>131.67270590609147</v>
      </c>
      <c r="Z242" s="380">
        <f t="shared" si="89"/>
        <v>135.68180810431889</v>
      </c>
      <c r="AA242" s="381">
        <f t="shared" si="90"/>
        <v>145.01676891057198</v>
      </c>
      <c r="AB242" s="193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6.4371595618777797E-2</v>
      </c>
      <c r="AD242" s="227">
        <f>(INDEX(Models!$BJ242:$BT242,,AH242)*(1-AF242)+INDEX(Models!$BJ242:$BT242,,AH242+1)*AF242-ERP_i)*AE242*Ramure*Pc/MaxiM</f>
        <v>4.2710975964209294E-4</v>
      </c>
      <c r="AE242" s="301">
        <f t="shared" si="92"/>
        <v>0.5</v>
      </c>
      <c r="AF242" s="173">
        <f t="shared" si="93"/>
        <v>0.95969605946096248</v>
      </c>
      <c r="AG242" s="801">
        <f t="shared" si="99"/>
        <v>2</v>
      </c>
      <c r="AH242" s="172">
        <f t="shared" si="94"/>
        <v>8</v>
      </c>
      <c r="AI242" s="221">
        <f t="shared" si="95"/>
        <v>2.9596960594609625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46616</v>
      </c>
      <c r="B243" s="406">
        <f>'2026'!Wh/'2026'!Env_an*'2027'!Env_an</f>
        <v>104.16395679881238</v>
      </c>
      <c r="C243" s="831"/>
      <c r="D243" s="388">
        <f t="shared" si="77"/>
        <v>107.33695623678547</v>
      </c>
      <c r="E243" s="380">
        <f t="shared" si="100"/>
        <v>111.69390637263925</v>
      </c>
      <c r="F243" s="380">
        <f t="shared" si="78"/>
        <v>111.70714801736435</v>
      </c>
      <c r="G243" s="110">
        <f t="shared" si="101"/>
        <v>0.49352755811329047</v>
      </c>
      <c r="H243" s="409" t="b">
        <f>Wh_hp&gt;='2026'!Maxi_hp</f>
        <v>0</v>
      </c>
      <c r="I243" s="385">
        <f>IF(H243,Wh_hp,'2026'!Maxi_hp)</f>
        <v>111.73711703322597</v>
      </c>
      <c r="J243" s="85">
        <f>IF(H243,An,'2026'!An_max)</f>
        <v>2022</v>
      </c>
      <c r="K243" s="193">
        <f t="shared" si="79"/>
        <v>46616</v>
      </c>
      <c r="L243" s="143">
        <f>IF(t&lt;Tvie,1-EXP((T0-t)*PertePVj)+'2026'!Pspv,1-EXP((T0-t)*PertePVj)+Pspv)</f>
        <v>2.9561108766429478E-2</v>
      </c>
      <c r="M243" s="835"/>
      <c r="N243" s="835"/>
      <c r="O243" s="48">
        <f>IF(t&lt;Tnet,'2026'!Resal+('2026'!Salim-'2026'!Resal)*(1-EXP(('2026'!Tnet-t)/('2026'!Tau_j))),Resal+(Salim-Resal)*(1-EXP((Tnet-t)/(Tau_j))))*Salcycl</f>
        <v>3.9007948395303561E-2</v>
      </c>
      <c r="P243" s="165">
        <f>(INDEX(Models!$BJ243:$BT243,,T243)*(1-R243)+INDEX(Models!$BJ243:$BT243,,T243+1)*R243-ERP_i)*Q243*Ramure*Pc/MaxiM</f>
        <v>4.2842319450662981E-4</v>
      </c>
      <c r="Q243" s="301">
        <f t="shared" si="80"/>
        <v>0.5</v>
      </c>
      <c r="R243" s="173">
        <f t="shared" si="81"/>
        <v>0.96083428549581518</v>
      </c>
      <c r="S243" s="801">
        <f t="shared" si="82"/>
        <v>2</v>
      </c>
      <c r="T243" s="172">
        <f t="shared" si="83"/>
        <v>8</v>
      </c>
      <c r="U243" s="247">
        <f t="shared" si="84"/>
        <v>2.9608342854958152</v>
      </c>
      <c r="V243" s="378">
        <f t="shared" si="85"/>
        <v>210.99464961594279</v>
      </c>
      <c r="W243" s="397">
        <f t="shared" si="86"/>
        <v>104.16395679881238</v>
      </c>
      <c r="X243" s="153">
        <f t="shared" si="87"/>
        <v>46616</v>
      </c>
      <c r="Y243" s="380">
        <f t="shared" si="88"/>
        <v>101.41276170639577</v>
      </c>
      <c r="Z243" s="380">
        <f t="shared" si="89"/>
        <v>104.50195537555717</v>
      </c>
      <c r="AA243" s="381">
        <f t="shared" si="90"/>
        <v>111.69390637263925</v>
      </c>
      <c r="AB243" s="193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6.4389824213757066E-2</v>
      </c>
      <c r="AD243" s="227">
        <f>(INDEX(Models!$BJ243:$BT243,,AH243)*(1-AF243)+INDEX(Models!$BJ243:$BT243,,AH243+1)*AF243-ERP_i)*AE243*Ramure*Pc/MaxiM</f>
        <v>4.2842319450662981E-4</v>
      </c>
      <c r="AE243" s="301">
        <f t="shared" si="92"/>
        <v>0.5</v>
      </c>
      <c r="AF243" s="173">
        <f t="shared" si="93"/>
        <v>0.96083428549581518</v>
      </c>
      <c r="AG243" s="801">
        <f t="shared" si="99"/>
        <v>2</v>
      </c>
      <c r="AH243" s="172">
        <f t="shared" si="94"/>
        <v>8</v>
      </c>
      <c r="AI243" s="221">
        <f t="shared" si="95"/>
        <v>2.9608342854958152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46617</v>
      </c>
      <c r="B244" s="406">
        <f>'2026'!Wh/'2026'!Env_an*'2027'!Env_an</f>
        <v>127.90375788713548</v>
      </c>
      <c r="C244" s="831"/>
      <c r="D244" s="388">
        <f t="shared" si="77"/>
        <v>131.80171359739526</v>
      </c>
      <c r="E244" s="380">
        <f t="shared" si="100"/>
        <v>137.15845272524939</v>
      </c>
      <c r="F244" s="380">
        <f t="shared" si="78"/>
        <v>137.18438436893632</v>
      </c>
      <c r="G244" s="110">
        <f t="shared" si="101"/>
        <v>0.60814811158950821</v>
      </c>
      <c r="H244" s="409" t="b">
        <f>Wh_hp&gt;='2026'!Maxi_hp</f>
        <v>0</v>
      </c>
      <c r="I244" s="385">
        <f>IF(H244,Wh_hp,'2026'!Maxi_hp)</f>
        <v>137.21289143208358</v>
      </c>
      <c r="J244" s="85">
        <f>IF(H244,An,'2026'!An_max)</f>
        <v>2022</v>
      </c>
      <c r="K244" s="193">
        <f t="shared" si="79"/>
        <v>46617</v>
      </c>
      <c r="L244" s="143">
        <f>IF(t&lt;Tvie,1-EXP((T0-t)*PertePVj)+'2026'!Pspv,1-EXP((T0-t)*PertePVj)+Pspv)</f>
        <v>2.9574393259912957E-2</v>
      </c>
      <c r="M244" s="835"/>
      <c r="N244" s="835"/>
      <c r="O244" s="48">
        <f>IF(t&lt;Tnet,'2026'!Resal+('2026'!Salim-'2026'!Resal)*(1-EXP(('2026'!Tnet-t)/('2026'!Tau_j))),Resal+(Salim-Resal)*(1-EXP((Tnet-t)/(Tau_j))))*Salcycl</f>
        <v>3.9055114879317968E-2</v>
      </c>
      <c r="P244" s="165">
        <f>(INDEX(Models!$BJ244:$BT244,,T244)*(1-R244)+INDEX(Models!$BJ244:$BT244,,T244+1)*R244-ERP_i)*Q244*Ramure*Pc/MaxiM</f>
        <v>4.2919831195246705E-4</v>
      </c>
      <c r="Q244" s="301">
        <f t="shared" si="80"/>
        <v>0.5</v>
      </c>
      <c r="R244" s="173">
        <f t="shared" si="81"/>
        <v>0.96193187030062877</v>
      </c>
      <c r="S244" s="801">
        <f t="shared" si="82"/>
        <v>2</v>
      </c>
      <c r="T244" s="172">
        <f t="shared" si="83"/>
        <v>8</v>
      </c>
      <c r="U244" s="247">
        <f t="shared" si="84"/>
        <v>2.9619318703006288</v>
      </c>
      <c r="V244" s="378">
        <f t="shared" si="85"/>
        <v>210.26626723660323</v>
      </c>
      <c r="W244" s="397">
        <f t="shared" si="86"/>
        <v>127.90375788713548</v>
      </c>
      <c r="X244" s="153">
        <f t="shared" si="87"/>
        <v>46617</v>
      </c>
      <c r="Y244" s="380">
        <f t="shared" si="88"/>
        <v>124.52925600928113</v>
      </c>
      <c r="Z244" s="380">
        <f t="shared" si="89"/>
        <v>128.32437143492885</v>
      </c>
      <c r="AA244" s="381">
        <f t="shared" si="90"/>
        <v>137.15845272524939</v>
      </c>
      <c r="AB244" s="193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6.440785175680451E-2</v>
      </c>
      <c r="AD244" s="227">
        <f>(INDEX(Models!$BJ244:$BT244,,AH244)*(1-AF244)+INDEX(Models!$BJ244:$BT244,,AH244+1)*AF244-ERP_i)*AE244*Ramure*Pc/MaxiM</f>
        <v>4.2919831195246705E-4</v>
      </c>
      <c r="AE244" s="301">
        <f t="shared" si="92"/>
        <v>0.5</v>
      </c>
      <c r="AF244" s="173">
        <f t="shared" si="93"/>
        <v>0.96193187030062877</v>
      </c>
      <c r="AG244" s="801">
        <f t="shared" si="99"/>
        <v>2</v>
      </c>
      <c r="AH244" s="172">
        <f t="shared" si="94"/>
        <v>8</v>
      </c>
      <c r="AI244" s="221">
        <f t="shared" si="95"/>
        <v>2.9619318703006288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46618</v>
      </c>
      <c r="B245" s="406">
        <f>'2026'!Wh/'2026'!Env_an*'2027'!Env_an</f>
        <v>138.00284774237019</v>
      </c>
      <c r="C245" s="831"/>
      <c r="D245" s="388">
        <f t="shared" si="77"/>
        <v>142.21052696138278</v>
      </c>
      <c r="E245" s="380">
        <f t="shared" si="100"/>
        <v>147.99754344472836</v>
      </c>
      <c r="F245" s="380">
        <f t="shared" si="78"/>
        <v>148.03011297859177</v>
      </c>
      <c r="G245" s="110">
        <f t="shared" si="101"/>
        <v>0.6585086333311807</v>
      </c>
      <c r="H245" s="409" t="b">
        <f>Wh_hp&gt;='2026'!Maxi_hp</f>
        <v>0</v>
      </c>
      <c r="I245" s="385">
        <f>IF(H245,Wh_hp,'2026'!Maxi_hp)</f>
        <v>148.05691589601781</v>
      </c>
      <c r="J245" s="85">
        <f>IF(H245,An,'2026'!An_max)</f>
        <v>2022</v>
      </c>
      <c r="K245" s="193">
        <f t="shared" si="79"/>
        <v>46618</v>
      </c>
      <c r="L245" s="143">
        <f>IF(t&lt;Tvie,1-EXP((T0-t)*PertePVj)+'2026'!Pspv,1-EXP((T0-t)*PertePVj)+Pspv)</f>
        <v>2.9587677571542903E-2</v>
      </c>
      <c r="M245" s="835"/>
      <c r="N245" s="835"/>
      <c r="O245" s="48">
        <f>IF(t&lt;Tnet,'2026'!Resal+('2026'!Salim-'2026'!Resal)*(1-EXP(('2026'!Tnet-t)/('2026'!Tau_j))),Resal+(Salim-Resal)*(1-EXP((Tnet-t)/(Tau_j))))*Salcycl</f>
        <v>3.910211175570516E-2</v>
      </c>
      <c r="P245" s="165">
        <f>(INDEX(Models!$BJ245:$BT245,,T245)*(1-R245)+INDEX(Models!$BJ245:$BT245,,T245+1)*R245-ERP_i)*Q245*Ramure*Pc/MaxiM</f>
        <v>4.294304190475161E-4</v>
      </c>
      <c r="Q245" s="301">
        <f t="shared" si="80"/>
        <v>0.5</v>
      </c>
      <c r="R245" s="173">
        <f t="shared" si="81"/>
        <v>0.96299007435006834</v>
      </c>
      <c r="S245" s="801">
        <f t="shared" si="82"/>
        <v>2</v>
      </c>
      <c r="T245" s="172">
        <f t="shared" si="83"/>
        <v>8</v>
      </c>
      <c r="U245" s="247">
        <f t="shared" si="84"/>
        <v>2.9629900743500683</v>
      </c>
      <c r="V245" s="378">
        <f t="shared" si="85"/>
        <v>209.52487957875496</v>
      </c>
      <c r="W245" s="397">
        <f t="shared" si="86"/>
        <v>138.00284774237019</v>
      </c>
      <c r="X245" s="153">
        <f t="shared" si="87"/>
        <v>46618</v>
      </c>
      <c r="Y245" s="380">
        <f t="shared" si="88"/>
        <v>134.36591253388391</v>
      </c>
      <c r="Z245" s="380">
        <f t="shared" si="89"/>
        <v>138.46270232598982</v>
      </c>
      <c r="AA245" s="381">
        <f t="shared" si="90"/>
        <v>147.99754344472836</v>
      </c>
      <c r="AB245" s="193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6.4425671513253596E-2</v>
      </c>
      <c r="AD245" s="227">
        <f>(INDEX(Models!$BJ245:$BT245,,AH245)*(1-AF245)+INDEX(Models!$BJ245:$BT245,,AH245+1)*AF245-ERP_i)*AE245*Ramure*Pc/MaxiM</f>
        <v>4.294304190475161E-4</v>
      </c>
      <c r="AE245" s="301">
        <f t="shared" si="92"/>
        <v>0.5</v>
      </c>
      <c r="AF245" s="173">
        <f t="shared" si="93"/>
        <v>0.96299007435006834</v>
      </c>
      <c r="AG245" s="801">
        <f t="shared" si="99"/>
        <v>2</v>
      </c>
      <c r="AH245" s="172">
        <f t="shared" si="94"/>
        <v>8</v>
      </c>
      <c r="AI245" s="221">
        <f t="shared" si="95"/>
        <v>2.9629900743500683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46619</v>
      </c>
      <c r="B246" s="406">
        <f>'2026'!Wh/'2026'!Env_an*'2027'!Env_an</f>
        <v>201.58687970561911</v>
      </c>
      <c r="C246" s="831"/>
      <c r="D246" s="388">
        <f t="shared" si="77"/>
        <v>207.73606707097014</v>
      </c>
      <c r="E246" s="380">
        <f t="shared" si="100"/>
        <v>216.200069405504</v>
      </c>
      <c r="F246" s="380">
        <f t="shared" si="78"/>
        <v>216.28831992541271</v>
      </c>
      <c r="G246" s="110">
        <f t="shared" si="101"/>
        <v>0.96557285680345484</v>
      </c>
      <c r="H246" s="409" t="b">
        <f>Wh_hp&gt;='2026'!Maxi_hp</f>
        <v>0</v>
      </c>
      <c r="I246" s="385">
        <f>IF(H246,Wh_hp,'2026'!Maxi_hp)</f>
        <v>216.29226150112041</v>
      </c>
      <c r="J246" s="85">
        <f>IF(H246,An,'2026'!An_max)</f>
        <v>2022</v>
      </c>
      <c r="K246" s="193">
        <f t="shared" si="79"/>
        <v>46619</v>
      </c>
      <c r="L246" s="143">
        <f>IF(t&lt;Tvie,1-EXP((T0-t)*PertePVj)+'2026'!Pspv,1-EXP((T0-t)*PertePVj)+Pspv)</f>
        <v>2.9600961701321871E-2</v>
      </c>
      <c r="M246" s="835"/>
      <c r="N246" s="835"/>
      <c r="O246" s="48">
        <f>IF(t&lt;Tnet,'2026'!Resal+('2026'!Salim-'2026'!Resal)*(1-EXP(('2026'!Tnet-t)/('2026'!Tau_j))),Resal+(Salim-Resal)*(1-EXP((Tnet-t)/(Tau_j))))*Salcycl</f>
        <v>3.9148934400473401E-2</v>
      </c>
      <c r="P246" s="165">
        <f>(INDEX(Models!$BJ246:$BT246,,T246)*(1-R246)+INDEX(Models!$BJ246:$BT246,,T246+1)*R246-ERP_i)*Q246*Ramure*Pc/MaxiM</f>
        <v>4.2911465687348055E-4</v>
      </c>
      <c r="Q246" s="301">
        <f t="shared" si="80"/>
        <v>0.5</v>
      </c>
      <c r="R246" s="173">
        <f t="shared" si="81"/>
        <v>0.96401013341935338</v>
      </c>
      <c r="S246" s="801">
        <f t="shared" si="82"/>
        <v>2</v>
      </c>
      <c r="T246" s="172">
        <f t="shared" si="83"/>
        <v>8</v>
      </c>
      <c r="U246" s="247">
        <f t="shared" si="84"/>
        <v>2.9640101334193534</v>
      </c>
      <c r="V246" s="378">
        <f t="shared" si="85"/>
        <v>208.76998008509287</v>
      </c>
      <c r="W246" s="397">
        <f t="shared" si="86"/>
        <v>201.58687970561911</v>
      </c>
      <c r="X246" s="153">
        <f t="shared" si="87"/>
        <v>46619</v>
      </c>
      <c r="Y246" s="380">
        <f t="shared" si="88"/>
        <v>196.28011819069943</v>
      </c>
      <c r="Z246" s="380">
        <f t="shared" si="89"/>
        <v>202.26742859805532</v>
      </c>
      <c r="AA246" s="381">
        <f t="shared" si="90"/>
        <v>216.200069405504</v>
      </c>
      <c r="AB246" s="193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6.4443276293851132E-2</v>
      </c>
      <c r="AD246" s="227">
        <f>(INDEX(Models!$BJ246:$BT246,,AH246)*(1-AF246)+INDEX(Models!$BJ246:$BT246,,AH246+1)*AF246-ERP_i)*AE246*Ramure*Pc/MaxiM</f>
        <v>4.2911465687348055E-4</v>
      </c>
      <c r="AE246" s="301">
        <f t="shared" si="92"/>
        <v>0.5</v>
      </c>
      <c r="AF246" s="173">
        <f t="shared" si="93"/>
        <v>0.96401013341935338</v>
      </c>
      <c r="AG246" s="801">
        <f t="shared" si="99"/>
        <v>2</v>
      </c>
      <c r="AH246" s="172">
        <f t="shared" si="94"/>
        <v>8</v>
      </c>
      <c r="AI246" s="221">
        <f t="shared" si="95"/>
        <v>2.9640101334193534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46620</v>
      </c>
      <c r="B247" s="406">
        <f>'2026'!Wh/'2026'!Env_an*'2027'!Env_an</f>
        <v>128.60884865743427</v>
      </c>
      <c r="C247" s="831"/>
      <c r="D247" s="388">
        <f t="shared" si="77"/>
        <v>132.5337352499389</v>
      </c>
      <c r="E247" s="380">
        <f t="shared" si="100"/>
        <v>137.94038849579306</v>
      </c>
      <c r="F247" s="380">
        <f t="shared" si="78"/>
        <v>137.96725504268747</v>
      </c>
      <c r="G247" s="110">
        <f t="shared" si="101"/>
        <v>0.61816041715064773</v>
      </c>
      <c r="H247" s="409" t="b">
        <f>Wh_hp&gt;='2026'!Maxi_hp</f>
        <v>0</v>
      </c>
      <c r="I247" s="385">
        <f>IF(H247,Wh_hp,'2026'!Maxi_hp)</f>
        <v>137.99506704811625</v>
      </c>
      <c r="J247" s="85">
        <f>IF(H247,An,'2026'!An_max)</f>
        <v>2022</v>
      </c>
      <c r="K247" s="193">
        <f t="shared" si="79"/>
        <v>46620</v>
      </c>
      <c r="L247" s="143">
        <f>IF(t&lt;Tvie,1-EXP((T0-t)*PertePVj)+'2026'!Pspv,1-EXP((T0-t)*PertePVj)+Pspv)</f>
        <v>2.9614245649252191E-2</v>
      </c>
      <c r="M247" s="835"/>
      <c r="N247" s="835"/>
      <c r="O247" s="48">
        <f>IF(t&lt;Tnet,'2026'!Resal+('2026'!Salim-'2026'!Resal)*(1-EXP(('2026'!Tnet-t)/('2026'!Tau_j))),Resal+(Salim-Resal)*(1-EXP((Tnet-t)/(Tau_j))))*Salcycl</f>
        <v>3.9195577921828623E-2</v>
      </c>
      <c r="P247" s="165">
        <f>(INDEX(Models!$BJ247:$BT247,,T247)*(1-R247)+INDEX(Models!$BJ247:$BT247,,T247+1)*R247-ERP_i)*Q247*Ramure*Pc/MaxiM</f>
        <v>4.2824336481445504E-4</v>
      </c>
      <c r="Q247" s="301">
        <f t="shared" si="80"/>
        <v>0.5</v>
      </c>
      <c r="R247" s="173">
        <f t="shared" si="81"/>
        <v>0.96499325790301782</v>
      </c>
      <c r="S247" s="801">
        <f t="shared" si="82"/>
        <v>2</v>
      </c>
      <c r="T247" s="172">
        <f t="shared" si="83"/>
        <v>8</v>
      </c>
      <c r="U247" s="247">
        <f t="shared" si="84"/>
        <v>2.9649932579030178</v>
      </c>
      <c r="V247" s="378">
        <f t="shared" si="85"/>
        <v>208.00233649178293</v>
      </c>
      <c r="W247" s="397">
        <f t="shared" si="86"/>
        <v>128.60884865743427</v>
      </c>
      <c r="X247" s="153">
        <f t="shared" si="87"/>
        <v>46620</v>
      </c>
      <c r="Y247" s="380">
        <f t="shared" si="88"/>
        <v>125.22698149598472</v>
      </c>
      <c r="Z247" s="380">
        <f t="shared" si="89"/>
        <v>129.04866022046031</v>
      </c>
      <c r="AA247" s="381">
        <f t="shared" si="90"/>
        <v>137.94038849579306</v>
      </c>
      <c r="AB247" s="193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6.4460658493824097E-2</v>
      </c>
      <c r="AD247" s="227">
        <f>(INDEX(Models!$BJ247:$BT247,,AH247)*(1-AF247)+INDEX(Models!$BJ247:$BT247,,AH247+1)*AF247-ERP_i)*AE247*Ramure*Pc/MaxiM</f>
        <v>4.2824336481445504E-4</v>
      </c>
      <c r="AE247" s="301">
        <f t="shared" si="92"/>
        <v>0.5</v>
      </c>
      <c r="AF247" s="173">
        <f t="shared" si="93"/>
        <v>0.96499325790301782</v>
      </c>
      <c r="AG247" s="801">
        <f t="shared" si="99"/>
        <v>2</v>
      </c>
      <c r="AH247" s="172">
        <f t="shared" si="94"/>
        <v>8</v>
      </c>
      <c r="AI247" s="221">
        <f t="shared" si="95"/>
        <v>2.9649932579030178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46621</v>
      </c>
      <c r="B248" s="406">
        <f>'2026'!Wh/'2026'!Env_an*'2027'!Env_an</f>
        <v>101.42507063492717</v>
      </c>
      <c r="C248" s="831"/>
      <c r="D248" s="388">
        <f t="shared" si="77"/>
        <v>104.52179313559574</v>
      </c>
      <c r="E248" s="380">
        <f t="shared" si="100"/>
        <v>108.7909725241044</v>
      </c>
      <c r="F248" s="380">
        <f t="shared" si="78"/>
        <v>108.80353466970003</v>
      </c>
      <c r="G248" s="110">
        <f t="shared" si="101"/>
        <v>0.48929636552669287</v>
      </c>
      <c r="H248" s="409" t="b">
        <f>Wh_hp&gt;='2026'!Maxi_hp</f>
        <v>0</v>
      </c>
      <c r="I248" s="385">
        <f>IF(H248,Wh_hp,'2026'!Maxi_hp)</f>
        <v>108.83273565768181</v>
      </c>
      <c r="J248" s="85">
        <f>IF(H248,An,'2026'!An_max)</f>
        <v>2022</v>
      </c>
      <c r="K248" s="193">
        <f t="shared" si="79"/>
        <v>46621</v>
      </c>
      <c r="L248" s="143">
        <f>IF(t&lt;Tvie,1-EXP((T0-t)*PertePVj)+'2026'!Pspv,1-EXP((T0-t)*PertePVj)+Pspv)</f>
        <v>2.9627529415336418E-2</v>
      </c>
      <c r="M248" s="835"/>
      <c r="N248" s="835"/>
      <c r="O248" s="48">
        <f>IF(t&lt;Tnet,'2026'!Resal+('2026'!Salim-'2026'!Resal)*(1-EXP(('2026'!Tnet-t)/('2026'!Tau_j))),Resal+(Salim-Resal)*(1-EXP((Tnet-t)/(Tau_j))))*Salcycl</f>
        <v>3.9242037178799434E-2</v>
      </c>
      <c r="P248" s="165">
        <f>(INDEX(Models!$BJ248:$BT248,,T248)*(1-R248)+INDEX(Models!$BJ248:$BT248,,T248+1)*R248-ERP_i)*Q248*Ramure*Pc/MaxiM</f>
        <v>4.2660632171058607E-4</v>
      </c>
      <c r="Q248" s="301">
        <f t="shared" si="80"/>
        <v>0.5</v>
      </c>
      <c r="R248" s="173">
        <f t="shared" si="81"/>
        <v>0.965940632254636</v>
      </c>
      <c r="S248" s="801">
        <f t="shared" si="82"/>
        <v>2</v>
      </c>
      <c r="T248" s="172">
        <f t="shared" si="83"/>
        <v>8</v>
      </c>
      <c r="U248" s="247">
        <f t="shared" si="84"/>
        <v>2.965940632254636</v>
      </c>
      <c r="V248" s="378">
        <f t="shared" si="85"/>
        <v>207.22309791656045</v>
      </c>
      <c r="W248" s="397">
        <f t="shared" si="86"/>
        <v>101.42507063492717</v>
      </c>
      <c r="X248" s="153">
        <f t="shared" si="87"/>
        <v>46621</v>
      </c>
      <c r="Y248" s="380">
        <f t="shared" si="88"/>
        <v>98.760986492332293</v>
      </c>
      <c r="Z248" s="380">
        <f t="shared" si="89"/>
        <v>101.77636885435069</v>
      </c>
      <c r="AA248" s="381">
        <f t="shared" si="90"/>
        <v>108.7909725241044</v>
      </c>
      <c r="AB248" s="193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6.4477810125279547E-2</v>
      </c>
      <c r="AD248" s="227">
        <f>(INDEX(Models!$BJ248:$BT248,,AH248)*(1-AF248)+INDEX(Models!$BJ248:$BT248,,AH248+1)*AF248-ERP_i)*AE248*Ramure*Pc/MaxiM</f>
        <v>4.2660632171058607E-4</v>
      </c>
      <c r="AE248" s="301">
        <f t="shared" si="92"/>
        <v>0.5</v>
      </c>
      <c r="AF248" s="173">
        <f t="shared" si="93"/>
        <v>0.965940632254636</v>
      </c>
      <c r="AG248" s="801">
        <f t="shared" si="99"/>
        <v>2</v>
      </c>
      <c r="AH248" s="172">
        <f t="shared" si="94"/>
        <v>8</v>
      </c>
      <c r="AI248" s="221">
        <f t="shared" si="95"/>
        <v>2.965940632254636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46622</v>
      </c>
      <c r="B249" s="406">
        <f>'2026'!Wh/'2026'!Env_an*'2027'!Env_an</f>
        <v>176.03254689451578</v>
      </c>
      <c r="C249" s="831"/>
      <c r="D249" s="388">
        <f t="shared" si="77"/>
        <v>181.40967721310298</v>
      </c>
      <c r="E249" s="380">
        <f t="shared" si="100"/>
        <v>188.82842635969106</v>
      </c>
      <c r="F249" s="380">
        <f t="shared" si="78"/>
        <v>188.8917060723482</v>
      </c>
      <c r="G249" s="110">
        <f t="shared" si="101"/>
        <v>0.85266147455018793</v>
      </c>
      <c r="H249" s="409" t="b">
        <f>Wh_hp&gt;='2026'!Maxi_hp</f>
        <v>0</v>
      </c>
      <c r="I249" s="385">
        <f>IF(H249,Wh_hp,'2026'!Maxi_hp)</f>
        <v>188.9062372791623</v>
      </c>
      <c r="J249" s="85">
        <f>IF(H249,An,'2026'!An_max)</f>
        <v>2022</v>
      </c>
      <c r="K249" s="193">
        <f t="shared" si="79"/>
        <v>46622</v>
      </c>
      <c r="L249" s="143">
        <f>IF(t&lt;Tvie,1-EXP((T0-t)*PertePVj)+'2026'!Pspv,1-EXP((T0-t)*PertePVj)+Pspv)</f>
        <v>2.9640812999576993E-2</v>
      </c>
      <c r="M249" s="835"/>
      <c r="N249" s="835"/>
      <c r="O249" s="48">
        <f>IF(t&lt;Tnet,'2026'!Resal+('2026'!Salim-'2026'!Resal)*(1-EXP(('2026'!Tnet-t)/('2026'!Tau_j))),Resal+(Salim-Resal)*(1-EXP((Tnet-t)/(Tau_j))))*Salcycl</f>
        <v>3.9288306795802176E-2</v>
      </c>
      <c r="P249" s="165">
        <f>(INDEX(Models!$BJ249:$BT249,,T249)*(1-R249)+INDEX(Models!$BJ249:$BT249,,T249+1)*R249-ERP_i)*Q249*Ramure*Pc/MaxiM</f>
        <v>4.2425857912054715E-4</v>
      </c>
      <c r="Q249" s="301">
        <f t="shared" si="80"/>
        <v>0.5</v>
      </c>
      <c r="R249" s="173">
        <f t="shared" si="81"/>
        <v>0.96685341453902263</v>
      </c>
      <c r="S249" s="801">
        <f t="shared" si="82"/>
        <v>2</v>
      </c>
      <c r="T249" s="172">
        <f t="shared" si="83"/>
        <v>8</v>
      </c>
      <c r="U249" s="247">
        <f t="shared" si="84"/>
        <v>2.9668534145390226</v>
      </c>
      <c r="V249" s="378">
        <f t="shared" si="85"/>
        <v>206.43225405582106</v>
      </c>
      <c r="W249" s="397">
        <f t="shared" si="86"/>
        <v>176.03254689451578</v>
      </c>
      <c r="X249" s="153">
        <f t="shared" si="87"/>
        <v>46622</v>
      </c>
      <c r="Y249" s="380">
        <f t="shared" si="88"/>
        <v>171.41394003648074</v>
      </c>
      <c r="Z249" s="380">
        <f t="shared" si="89"/>
        <v>176.64998933678979</v>
      </c>
      <c r="AA249" s="381">
        <f t="shared" si="90"/>
        <v>188.82842635969106</v>
      </c>
      <c r="AB249" s="193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6.4494722842752081E-2</v>
      </c>
      <c r="AD249" s="227">
        <f>(INDEX(Models!$BJ249:$BT249,,AH249)*(1-AF249)+INDEX(Models!$BJ249:$BT249,,AH249+1)*AF249-ERP_i)*AE249*Ramure*Pc/MaxiM</f>
        <v>4.2425857912054715E-4</v>
      </c>
      <c r="AE249" s="301">
        <f t="shared" si="92"/>
        <v>0.5</v>
      </c>
      <c r="AF249" s="173">
        <f t="shared" si="93"/>
        <v>0.96685341453902263</v>
      </c>
      <c r="AG249" s="801">
        <f t="shared" si="99"/>
        <v>2</v>
      </c>
      <c r="AH249" s="172">
        <f t="shared" si="94"/>
        <v>8</v>
      </c>
      <c r="AI249" s="221">
        <f t="shared" si="95"/>
        <v>2.9668534145390226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46623</v>
      </c>
      <c r="B250" s="406">
        <f>'2026'!Wh/'2026'!Env_an*'2027'!Env_an</f>
        <v>187.49683046326857</v>
      </c>
      <c r="C250" s="831"/>
      <c r="D250" s="388">
        <f t="shared" si="77"/>
        <v>193.2267965145563</v>
      </c>
      <c r="E250" s="380">
        <f t="shared" si="100"/>
        <v>201.1384530972461</v>
      </c>
      <c r="F250" s="380">
        <f t="shared" si="78"/>
        <v>201.21252601166532</v>
      </c>
      <c r="G250" s="110">
        <f t="shared" si="101"/>
        <v>0.91176897161831938</v>
      </c>
      <c r="H250" s="409" t="b">
        <f>Wh_hp&gt;='2026'!Maxi_hp</f>
        <v>0</v>
      </c>
      <c r="I250" s="385">
        <f>IF(H250,Wh_hp,'2026'!Maxi_hp)</f>
        <v>201.22172147178324</v>
      </c>
      <c r="J250" s="85">
        <f>IF(H250,An,'2026'!An_max)</f>
        <v>2022</v>
      </c>
      <c r="K250" s="193">
        <f t="shared" si="79"/>
        <v>46623</v>
      </c>
      <c r="L250" s="143">
        <f>IF(t&lt;Tvie,1-EXP((T0-t)*PertePVj)+'2026'!Pspv,1-EXP((T0-t)*PertePVj)+Pspv)</f>
        <v>2.9654096401976471E-2</v>
      </c>
      <c r="M250" s="835"/>
      <c r="N250" s="835"/>
      <c r="O250" s="48">
        <f>IF(t&lt;Tnet,'2026'!Resal+('2026'!Salim-'2026'!Resal)*(1-EXP(('2026'!Tnet-t)/('2026'!Tau_j))),Resal+(Salim-Resal)*(1-EXP((Tnet-t)/(Tau_j))))*Salcycl</f>
        <v>3.9334381173075278E-2</v>
      </c>
      <c r="P250" s="165">
        <f>(INDEX(Models!$BJ250:$BT250,,T250)*(1-R250)+INDEX(Models!$BJ250:$BT250,,T250+1)*R250-ERP_i)*Q250*Ramure*Pc/MaxiM</f>
        <v>4.2119252613200122E-4</v>
      </c>
      <c r="Q250" s="301">
        <f t="shared" si="80"/>
        <v>0.5</v>
      </c>
      <c r="R250" s="173">
        <f t="shared" si="81"/>
        <v>0.96773273608868671</v>
      </c>
      <c r="S250" s="801">
        <f t="shared" si="82"/>
        <v>2</v>
      </c>
      <c r="T250" s="172">
        <f t="shared" si="83"/>
        <v>8</v>
      </c>
      <c r="U250" s="247">
        <f t="shared" si="84"/>
        <v>2.9677327360886867</v>
      </c>
      <c r="V250" s="378">
        <f t="shared" si="85"/>
        <v>205.6298076487634</v>
      </c>
      <c r="W250" s="397">
        <f t="shared" si="86"/>
        <v>187.49683046326857</v>
      </c>
      <c r="X250" s="153">
        <f t="shared" si="87"/>
        <v>46623</v>
      </c>
      <c r="Y250" s="380">
        <f t="shared" si="88"/>
        <v>182.58293651210616</v>
      </c>
      <c r="Z250" s="380">
        <f t="shared" si="89"/>
        <v>188.16273231544773</v>
      </c>
      <c r="AA250" s="381">
        <f t="shared" si="90"/>
        <v>201.1384530972461</v>
      </c>
      <c r="AB250" s="193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6.4511387961828037E-2</v>
      </c>
      <c r="AD250" s="227">
        <f>(INDEX(Models!$BJ250:$BT250,,AH250)*(1-AF250)+INDEX(Models!$BJ250:$BT250,,AH250+1)*AF250-ERP_i)*AE250*Ramure*Pc/MaxiM</f>
        <v>4.2119252613200122E-4</v>
      </c>
      <c r="AE250" s="301">
        <f t="shared" si="92"/>
        <v>0.5</v>
      </c>
      <c r="AF250" s="173">
        <f t="shared" si="93"/>
        <v>0.96773273608868671</v>
      </c>
      <c r="AG250" s="801">
        <f t="shared" si="99"/>
        <v>2</v>
      </c>
      <c r="AH250" s="172">
        <f t="shared" si="94"/>
        <v>8</v>
      </c>
      <c r="AI250" s="221">
        <f t="shared" si="95"/>
        <v>2.9677327360886867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46624</v>
      </c>
      <c r="B251" s="406">
        <f>'2026'!Wh/'2026'!Env_an*'2027'!Env_an</f>
        <v>131.33650248724169</v>
      </c>
      <c r="C251" s="831"/>
      <c r="D251" s="388">
        <f t="shared" si="77"/>
        <v>135.35204292745652</v>
      </c>
      <c r="E251" s="380">
        <f t="shared" si="100"/>
        <v>140.90075033385605</v>
      </c>
      <c r="F251" s="380">
        <f t="shared" si="78"/>
        <v>140.92942637710576</v>
      </c>
      <c r="G251" s="110">
        <f t="shared" si="101"/>
        <v>0.64110496214279888</v>
      </c>
      <c r="H251" s="409" t="b">
        <f>Wh_hp&gt;='2026'!Maxi_hp</f>
        <v>0</v>
      </c>
      <c r="I251" s="385">
        <f>IF(H251,Wh_hp,'2026'!Maxi_hp)</f>
        <v>140.95537461468533</v>
      </c>
      <c r="J251" s="85">
        <f>IF(H251,An,'2026'!An_max)</f>
        <v>2022</v>
      </c>
      <c r="K251" s="193">
        <f t="shared" si="79"/>
        <v>46624</v>
      </c>
      <c r="L251" s="143">
        <f>IF(t&lt;Tvie,1-EXP((T0-t)*PertePVj)+'2026'!Pspv,1-EXP((T0-t)*PertePVj)+Pspv)</f>
        <v>2.9667379622537404E-2</v>
      </c>
      <c r="M251" s="835"/>
      <c r="N251" s="835"/>
      <c r="O251" s="48">
        <f>IF(t&lt;Tnet,'2026'!Resal+('2026'!Salim-'2026'!Resal)*(1-EXP(('2026'!Tnet-t)/('2026'!Tau_j))),Resal+(Salim-Resal)*(1-EXP((Tnet-t)/(Tau_j))))*Salcycl</f>
        <v>3.9380254492983241E-2</v>
      </c>
      <c r="P251" s="165">
        <f>(INDEX(Models!$BJ251:$BT251,,T251)*(1-R251)+INDEX(Models!$BJ251:$BT251,,T251+1)*R251-ERP_i)*Q251*Ramure*Pc/MaxiM</f>
        <v>4.1740043028012876E-4</v>
      </c>
      <c r="Q251" s="301">
        <f t="shared" si="80"/>
        <v>0.5</v>
      </c>
      <c r="R251" s="173">
        <f t="shared" si="81"/>
        <v>0.96857970125665149</v>
      </c>
      <c r="S251" s="801">
        <f t="shared" si="82"/>
        <v>2</v>
      </c>
      <c r="T251" s="172">
        <f t="shared" si="83"/>
        <v>8</v>
      </c>
      <c r="U251" s="247">
        <f t="shared" si="84"/>
        <v>2.9685797012566515</v>
      </c>
      <c r="V251" s="378">
        <f t="shared" si="85"/>
        <v>204.81576138730904</v>
      </c>
      <c r="W251" s="397">
        <f t="shared" si="86"/>
        <v>131.33650248724169</v>
      </c>
      <c r="X251" s="153">
        <f t="shared" si="87"/>
        <v>46624</v>
      </c>
      <c r="Y251" s="380">
        <f t="shared" si="88"/>
        <v>127.89831560322504</v>
      </c>
      <c r="Z251" s="380">
        <f t="shared" si="89"/>
        <v>131.80873539371703</v>
      </c>
      <c r="AA251" s="381">
        <f t="shared" si="90"/>
        <v>140.90075033385605</v>
      </c>
      <c r="AB251" s="193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6.4527796470891977E-2</v>
      </c>
      <c r="AD251" s="227">
        <f>(INDEX(Models!$BJ251:$BT251,,AH251)*(1-AF251)+INDEX(Models!$BJ251:$BT251,,AH251+1)*AF251-ERP_i)*AE251*Ramure*Pc/MaxiM</f>
        <v>4.1740043028012876E-4</v>
      </c>
      <c r="AE251" s="301">
        <f t="shared" si="92"/>
        <v>0.5</v>
      </c>
      <c r="AF251" s="173">
        <f t="shared" si="93"/>
        <v>0.96857970125665149</v>
      </c>
      <c r="AG251" s="801">
        <f t="shared" si="99"/>
        <v>2</v>
      </c>
      <c r="AH251" s="172">
        <f t="shared" si="94"/>
        <v>8</v>
      </c>
      <c r="AI251" s="221">
        <f t="shared" si="95"/>
        <v>2.9685797012566515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46625</v>
      </c>
      <c r="B252" s="406">
        <f>'2026'!Wh/'2026'!Env_an*'2027'!Env_an</f>
        <v>177.33736689927082</v>
      </c>
      <c r="C252" s="831"/>
      <c r="D252" s="388">
        <f t="shared" si="77"/>
        <v>182.76186001368171</v>
      </c>
      <c r="E252" s="380">
        <f t="shared" si="100"/>
        <v>190.26316028754528</v>
      </c>
      <c r="F252" s="380">
        <f t="shared" si="78"/>
        <v>190.32707400750849</v>
      </c>
      <c r="G252" s="110">
        <f t="shared" si="101"/>
        <v>0.86927591241611191</v>
      </c>
      <c r="H252" s="409" t="b">
        <f>Wh_hp&gt;='2026'!Maxi_hp</f>
        <v>0</v>
      </c>
      <c r="I252" s="385">
        <f>IF(H252,Wh_hp,'2026'!Maxi_hp)</f>
        <v>190.33969049923974</v>
      </c>
      <c r="J252" s="85">
        <f>IF(H252,An,'2026'!An_max)</f>
        <v>2022</v>
      </c>
      <c r="K252" s="193">
        <f t="shared" si="79"/>
        <v>46625</v>
      </c>
      <c r="L252" s="143">
        <f>IF(t&lt;Tvie,1-EXP((T0-t)*PertePVj)+'2026'!Pspv,1-EXP((T0-t)*PertePVj)+Pspv)</f>
        <v>2.9680662661262125E-2</v>
      </c>
      <c r="M252" s="835"/>
      <c r="N252" s="835"/>
      <c r="O252" s="48">
        <f>IF(t&lt;Tnet,'2026'!Resal+('2026'!Salim-'2026'!Resal)*(1-EXP(('2026'!Tnet-t)/('2026'!Tau_j))),Resal+(Salim-Resal)*(1-EXP((Tnet-t)/(Tau_j))))*Salcycl</f>
        <v>3.9425920722260775E-2</v>
      </c>
      <c r="P252" s="165">
        <f>(INDEX(Models!$BJ252:$BT252,,T252)*(1-R252)+INDEX(Models!$BJ252:$BT252,,T252+1)*R252-ERP_i)*Q252*Ramure*Pc/MaxiM</f>
        <v>4.1287409272053359E-4</v>
      </c>
      <c r="Q252" s="301">
        <f t="shared" si="80"/>
        <v>0.5</v>
      </c>
      <c r="R252" s="173">
        <f t="shared" si="81"/>
        <v>0.96939538725805496</v>
      </c>
      <c r="S252" s="801">
        <f t="shared" si="82"/>
        <v>2</v>
      </c>
      <c r="T252" s="172">
        <f t="shared" si="83"/>
        <v>8</v>
      </c>
      <c r="U252" s="247">
        <f t="shared" si="84"/>
        <v>2.969395387258055</v>
      </c>
      <c r="V252" s="378">
        <f t="shared" si="85"/>
        <v>203.99011800353517</v>
      </c>
      <c r="W252" s="397">
        <f t="shared" si="86"/>
        <v>177.33736689927082</v>
      </c>
      <c r="X252" s="153">
        <f t="shared" si="87"/>
        <v>46625</v>
      </c>
      <c r="Y252" s="380">
        <f t="shared" si="88"/>
        <v>172.70017823719184</v>
      </c>
      <c r="Z252" s="380">
        <f t="shared" si="89"/>
        <v>177.98282646911974</v>
      </c>
      <c r="AA252" s="381">
        <f t="shared" si="90"/>
        <v>190.26316028754528</v>
      </c>
      <c r="AB252" s="193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6.4543939036155226E-2</v>
      </c>
      <c r="AD252" s="227">
        <f>(INDEX(Models!$BJ252:$BT252,,AH252)*(1-AF252)+INDEX(Models!$BJ252:$BT252,,AH252+1)*AF252-ERP_i)*AE252*Ramure*Pc/MaxiM</f>
        <v>4.1287409272053359E-4</v>
      </c>
      <c r="AE252" s="301">
        <f t="shared" si="92"/>
        <v>0.5</v>
      </c>
      <c r="AF252" s="173">
        <f t="shared" si="93"/>
        <v>0.96939538725805496</v>
      </c>
      <c r="AG252" s="801">
        <f t="shared" si="99"/>
        <v>2</v>
      </c>
      <c r="AH252" s="172">
        <f t="shared" si="94"/>
        <v>8</v>
      </c>
      <c r="AI252" s="221">
        <f t="shared" si="95"/>
        <v>2.969395387258055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46626</v>
      </c>
      <c r="B253" s="406">
        <f>'2026'!Wh/'2026'!Env_an*'2027'!Env_an</f>
        <v>193.9925221751532</v>
      </c>
      <c r="C253" s="831"/>
      <c r="D253" s="388">
        <f t="shared" si="77"/>
        <v>199.92920922125666</v>
      </c>
      <c r="E253" s="380">
        <f t="shared" si="100"/>
        <v>208.14497738888889</v>
      </c>
      <c r="F253" s="380">
        <f t="shared" si="78"/>
        <v>208.22438353413384</v>
      </c>
      <c r="G253" s="110">
        <f t="shared" si="101"/>
        <v>0.95488396003042175</v>
      </c>
      <c r="H253" s="409" t="b">
        <f>Wh_hp&gt;='2026'!Maxi_hp</f>
        <v>0</v>
      </c>
      <c r="I253" s="385">
        <f>IF(H253,Wh_hp,'2026'!Maxi_hp)</f>
        <v>208.22908354447418</v>
      </c>
      <c r="J253" s="85">
        <f>IF(H253,An,'2026'!An_max)</f>
        <v>2022</v>
      </c>
      <c r="K253" s="193">
        <f t="shared" si="79"/>
        <v>46626</v>
      </c>
      <c r="L253" s="143">
        <f>IF(t&lt;Tvie,1-EXP((T0-t)*PertePVj)+'2026'!Pspv,1-EXP((T0-t)*PertePVj)+Pspv)</f>
        <v>2.9693945518153297E-2</v>
      </c>
      <c r="M253" s="835"/>
      <c r="N253" s="835"/>
      <c r="O253" s="48">
        <f>IF(t&lt;Tnet,'2026'!Resal+('2026'!Salim-'2026'!Resal)*(1-EXP(('2026'!Tnet-t)/('2026'!Tau_j))),Resal+(Salim-Resal)*(1-EXP((Tnet-t)/(Tau_j))))*Salcycl</f>
        <v>3.9471373610338277E-2</v>
      </c>
      <c r="P253" s="165">
        <f>(INDEX(Models!$BJ253:$BT253,,T253)*(1-R253)+INDEX(Models!$BJ253:$BT253,,T253+1)*R253-ERP_i)*Q253*Ramure*Pc/MaxiM</f>
        <v>4.0760507472143055E-4</v>
      </c>
      <c r="Q253" s="301">
        <f t="shared" si="80"/>
        <v>0.5</v>
      </c>
      <c r="R253" s="173">
        <f t="shared" si="81"/>
        <v>0.97018084409330196</v>
      </c>
      <c r="S253" s="801">
        <f t="shared" si="82"/>
        <v>2</v>
      </c>
      <c r="T253" s="172">
        <f t="shared" si="83"/>
        <v>8</v>
      </c>
      <c r="U253" s="247">
        <f t="shared" si="84"/>
        <v>2.970180844093302</v>
      </c>
      <c r="V253" s="378">
        <f t="shared" si="85"/>
        <v>203.15288019868072</v>
      </c>
      <c r="W253" s="397">
        <f t="shared" si="86"/>
        <v>193.9925221751532</v>
      </c>
      <c r="X253" s="153">
        <f t="shared" si="87"/>
        <v>46626</v>
      </c>
      <c r="Y253" s="380">
        <f t="shared" si="88"/>
        <v>188.92555369235907</v>
      </c>
      <c r="Z253" s="380">
        <f t="shared" si="89"/>
        <v>194.70717802873779</v>
      </c>
      <c r="AA253" s="381">
        <f t="shared" si="90"/>
        <v>208.14497738888889</v>
      </c>
      <c r="AB253" s="193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6.4559806000240458E-2</v>
      </c>
      <c r="AD253" s="227">
        <f>(INDEX(Models!$BJ253:$BT253,,AH253)*(1-AF253)+INDEX(Models!$BJ253:$BT253,,AH253+1)*AF253-ERP_i)*AE253*Ramure*Pc/MaxiM</f>
        <v>4.0760507472143055E-4</v>
      </c>
      <c r="AE253" s="301">
        <f t="shared" si="92"/>
        <v>0.5</v>
      </c>
      <c r="AF253" s="173">
        <f t="shared" si="93"/>
        <v>0.97018084409330196</v>
      </c>
      <c r="AG253" s="801">
        <f t="shared" si="99"/>
        <v>2</v>
      </c>
      <c r="AH253" s="172">
        <f t="shared" si="94"/>
        <v>8</v>
      </c>
      <c r="AI253" s="221">
        <f t="shared" si="95"/>
        <v>2.970180844093302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46627</v>
      </c>
      <c r="B254" s="406">
        <f>'2026'!Wh/'2026'!Env_an*'2027'!Env_an</f>
        <v>191.04880544655779</v>
      </c>
      <c r="C254" s="831"/>
      <c r="D254" s="388">
        <f t="shared" si="77"/>
        <v>196.89810230246783</v>
      </c>
      <c r="E254" s="380">
        <f t="shared" si="100"/>
        <v>204.99896580479398</v>
      </c>
      <c r="F254" s="380">
        <f t="shared" si="78"/>
        <v>205.07483699053179</v>
      </c>
      <c r="G254" s="110">
        <f t="shared" si="101"/>
        <v>0.94433483812924013</v>
      </c>
      <c r="H254" s="409" t="b">
        <f>Wh_hp&gt;='2026'!Maxi_hp</f>
        <v>0</v>
      </c>
      <c r="I254" s="385">
        <f>IF(H254,Wh_hp,'2026'!Maxi_hp)</f>
        <v>205.08046560040967</v>
      </c>
      <c r="J254" s="85">
        <f>IF(H254,An,'2026'!An_max)</f>
        <v>2022</v>
      </c>
      <c r="K254" s="193">
        <f t="shared" si="79"/>
        <v>46627</v>
      </c>
      <c r="L254" s="143">
        <f>IF(t&lt;Tvie,1-EXP((T0-t)*PertePVj)+'2026'!Pspv,1-EXP((T0-t)*PertePVj)+Pspv)</f>
        <v>2.9707228193213142E-2</v>
      </c>
      <c r="M254" s="835"/>
      <c r="N254" s="835"/>
      <c r="O254" s="48">
        <f>IF(t&lt;Tnet,'2026'!Resal+('2026'!Salim-'2026'!Resal)*(1-EXP(('2026'!Tnet-t)/('2026'!Tau_j))),Resal+(Salim-Resal)*(1-EXP((Tnet-t)/(Tau_j))))*Salcycl</f>
        <v>3.9516606683957782E-2</v>
      </c>
      <c r="P254" s="165">
        <f>(INDEX(Models!$BJ254:$BT254,,T254)*(1-R254)+INDEX(Models!$BJ254:$BT254,,T254+1)*R254-ERP_i)*Q254*Ramure*Pc/MaxiM</f>
        <v>4.0191163902080781E-4</v>
      </c>
      <c r="Q254" s="301">
        <f t="shared" si="80"/>
        <v>0.5</v>
      </c>
      <c r="R254" s="173">
        <f t="shared" si="81"/>
        <v>0.97093709454586197</v>
      </c>
      <c r="S254" s="801">
        <f t="shared" si="82"/>
        <v>2</v>
      </c>
      <c r="T254" s="172">
        <f t="shared" si="83"/>
        <v>8</v>
      </c>
      <c r="U254" s="247">
        <f t="shared" si="84"/>
        <v>2.970937094545862</v>
      </c>
      <c r="V254" s="378">
        <f t="shared" si="85"/>
        <v>202.30398449212822</v>
      </c>
      <c r="W254" s="397">
        <f t="shared" si="86"/>
        <v>191.04880544655779</v>
      </c>
      <c r="X254" s="153">
        <f t="shared" si="87"/>
        <v>46627</v>
      </c>
      <c r="Y254" s="380">
        <f t="shared" si="88"/>
        <v>186.06438806856858</v>
      </c>
      <c r="Z254" s="380">
        <f t="shared" si="89"/>
        <v>191.76107817653551</v>
      </c>
      <c r="AA254" s="381">
        <f t="shared" si="90"/>
        <v>204.99896580479398</v>
      </c>
      <c r="AB254" s="193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6.4575387374705029E-2</v>
      </c>
      <c r="AD254" s="227">
        <f>(INDEX(Models!$BJ254:$BT254,,AH254)*(1-AF254)+INDEX(Models!$BJ254:$BT254,,AH254+1)*AF254-ERP_i)*AE254*Ramure*Pc/MaxiM</f>
        <v>4.0191163902080781E-4</v>
      </c>
      <c r="AE254" s="301">
        <f t="shared" si="92"/>
        <v>0.5</v>
      </c>
      <c r="AF254" s="173">
        <f t="shared" si="93"/>
        <v>0.97093709454586197</v>
      </c>
      <c r="AG254" s="801">
        <f t="shared" si="99"/>
        <v>2</v>
      </c>
      <c r="AH254" s="172">
        <f t="shared" si="94"/>
        <v>8</v>
      </c>
      <c r="AI254" s="221">
        <f t="shared" si="95"/>
        <v>2.970937094545862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46628</v>
      </c>
      <c r="B255" s="406">
        <f>'2026'!Wh/'2026'!Env_an*'2027'!Env_an</f>
        <v>128.60849963507243</v>
      </c>
      <c r="C255" s="831"/>
      <c r="D255" s="388">
        <f t="shared" si="77"/>
        <v>132.5478906351604</v>
      </c>
      <c r="E255" s="380">
        <f t="shared" si="100"/>
        <v>138.00769779941675</v>
      </c>
      <c r="F255" s="380">
        <f t="shared" si="78"/>
        <v>138.0341458389762</v>
      </c>
      <c r="G255" s="110">
        <f t="shared" si="101"/>
        <v>0.63830442393730225</v>
      </c>
      <c r="H255" s="409" t="b">
        <f>Wh_hp&gt;='2026'!Maxi_hp</f>
        <v>0</v>
      </c>
      <c r="I255" s="385">
        <f>IF(H255,Wh_hp,'2026'!Maxi_hp)</f>
        <v>138.05841280962883</v>
      </c>
      <c r="J255" s="85">
        <f>IF(H255,An,'2026'!An_max)</f>
        <v>2022</v>
      </c>
      <c r="K255" s="193">
        <f t="shared" si="79"/>
        <v>46628</v>
      </c>
      <c r="L255" s="143">
        <f>IF(t&lt;Tvie,1-EXP((T0-t)*PertePVj)+'2026'!Pspv,1-EXP((T0-t)*PertePVj)+Pspv)</f>
        <v>2.9720510686444435E-2</v>
      </c>
      <c r="M255" s="835"/>
      <c r="N255" s="835"/>
      <c r="O255" s="48">
        <f>IF(t&lt;Tnet,'2026'!Resal+('2026'!Salim-'2026'!Resal)*(1-EXP(('2026'!Tnet-t)/('2026'!Tau_j))),Resal+(Salim-Resal)*(1-EXP((Tnet-t)/(Tau_j))))*Salcycl</f>
        <v>3.956161323835538E-2</v>
      </c>
      <c r="P255" s="165">
        <f>(INDEX(Models!$BJ255:$BT255,,T255)*(1-R255)+INDEX(Models!$BJ255:$BT255,,T255+1)*R255-ERP_i)*Q255*Ramure*Pc/MaxiM</f>
        <v>3.9630499678904491E-4</v>
      </c>
      <c r="Q255" s="301">
        <f t="shared" si="80"/>
        <v>0.5</v>
      </c>
      <c r="R255" s="173">
        <f t="shared" si="81"/>
        <v>0.97166513424815681</v>
      </c>
      <c r="S255" s="801">
        <f t="shared" si="82"/>
        <v>2</v>
      </c>
      <c r="T255" s="172">
        <f t="shared" si="83"/>
        <v>8</v>
      </c>
      <c r="U255" s="247">
        <f t="shared" si="84"/>
        <v>2.9716651342481568</v>
      </c>
      <c r="V255" s="378">
        <f t="shared" si="85"/>
        <v>201.44332956967637</v>
      </c>
      <c r="W255" s="397">
        <f t="shared" si="86"/>
        <v>128.60849963507243</v>
      </c>
      <c r="X255" s="153">
        <f t="shared" si="87"/>
        <v>46628</v>
      </c>
      <c r="Y255" s="380">
        <f t="shared" si="88"/>
        <v>125.25695741712251</v>
      </c>
      <c r="Z255" s="380">
        <f t="shared" si="89"/>
        <v>129.09368774324824</v>
      </c>
      <c r="AA255" s="381">
        <f t="shared" si="90"/>
        <v>138.00769779941675</v>
      </c>
      <c r="AB255" s="193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6.4590672826992088E-2</v>
      </c>
      <c r="AD255" s="227">
        <f>(INDEX(Models!$BJ255:$BT255,,AH255)*(1-AF255)+INDEX(Models!$BJ255:$BT255,,AH255+1)*AF255-ERP_i)*AE255*Ramure*Pc/MaxiM</f>
        <v>3.9630499678904491E-4</v>
      </c>
      <c r="AE255" s="301">
        <f t="shared" si="92"/>
        <v>0.5</v>
      </c>
      <c r="AF255" s="173">
        <f t="shared" si="93"/>
        <v>0.97166513424815681</v>
      </c>
      <c r="AG255" s="801">
        <f t="shared" si="99"/>
        <v>2</v>
      </c>
      <c r="AH255" s="172">
        <f t="shared" si="94"/>
        <v>8</v>
      </c>
      <c r="AI255" s="221">
        <f t="shared" si="95"/>
        <v>2.9716651342481568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46629</v>
      </c>
      <c r="B256" s="406">
        <f>'2026'!Wh/'2026'!Env_an*'2027'!Env_an</f>
        <v>190.97158064821659</v>
      </c>
      <c r="C256" s="831"/>
      <c r="D256" s="388">
        <f t="shared" si="77"/>
        <v>196.82390180140877</v>
      </c>
      <c r="E256" s="380">
        <f t="shared" si="100"/>
        <v>204.94086903423121</v>
      </c>
      <c r="F256" s="380">
        <f t="shared" si="78"/>
        <v>205.01550845118049</v>
      </c>
      <c r="G256" s="110">
        <f t="shared" si="101"/>
        <v>0.95211448338277793</v>
      </c>
      <c r="H256" s="409" t="b">
        <f>Wh_hp&gt;='2026'!Maxi_hp</f>
        <v>0</v>
      </c>
      <c r="I256" s="385">
        <f>IF(H256,Wh_hp,'2026'!Maxi_hp)</f>
        <v>205.02021150821608</v>
      </c>
      <c r="J256" s="85">
        <f>IF(H256,An,'2026'!An_max)</f>
        <v>2022</v>
      </c>
      <c r="K256" s="193">
        <f t="shared" si="79"/>
        <v>46629</v>
      </c>
      <c r="L256" s="143">
        <f>IF(t&lt;Tvie,1-EXP((T0-t)*PertePVj)+'2026'!Pspv,1-EXP((T0-t)*PertePVj)+Pspv)</f>
        <v>2.9733792997849617E-2</v>
      </c>
      <c r="M256" s="835"/>
      <c r="N256" s="835"/>
      <c r="O256" s="48">
        <f>IF(t&lt;Tnet,'2026'!Resal+('2026'!Salim-'2026'!Resal)*(1-EXP(('2026'!Tnet-t)/('2026'!Tau_j))),Resal+(Salim-Resal)*(1-EXP((Tnet-t)/(Tau_j))))*Salcycl</f>
        <v>3.9606386325348672E-2</v>
      </c>
      <c r="P256" s="165">
        <f>(INDEX(Models!$BJ256:$BT256,,T256)*(1-R256)+INDEX(Models!$BJ256:$BT256,,T256+1)*R256-ERP_i)*Q256*Ramure*Pc/MaxiM</f>
        <v>3.9078579557056531E-4</v>
      </c>
      <c r="Q256" s="301">
        <f t="shared" si="80"/>
        <v>0.5</v>
      </c>
      <c r="R256" s="173">
        <f t="shared" si="81"/>
        <v>0.9723659318093314</v>
      </c>
      <c r="S256" s="801">
        <f t="shared" si="82"/>
        <v>2</v>
      </c>
      <c r="T256" s="172">
        <f t="shared" si="83"/>
        <v>8</v>
      </c>
      <c r="U256" s="247">
        <f t="shared" si="84"/>
        <v>2.9723659318093314</v>
      </c>
      <c r="V256" s="378">
        <f t="shared" si="85"/>
        <v>200.57091833553207</v>
      </c>
      <c r="W256" s="397">
        <f t="shared" si="86"/>
        <v>190.97158064821659</v>
      </c>
      <c r="X256" s="153">
        <f t="shared" si="87"/>
        <v>46629</v>
      </c>
      <c r="Y256" s="380">
        <f t="shared" si="88"/>
        <v>186.00054674244819</v>
      </c>
      <c r="Z256" s="380">
        <f t="shared" si="89"/>
        <v>191.70053063801691</v>
      </c>
      <c r="AA256" s="381">
        <f t="shared" si="90"/>
        <v>204.94086903423121</v>
      </c>
      <c r="AB256" s="193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6.4605651662396152E-2</v>
      </c>
      <c r="AD256" s="227">
        <f>(INDEX(Models!$BJ256:$BT256,,AH256)*(1-AF256)+INDEX(Models!$BJ256:$BT256,,AH256+1)*AF256-ERP_i)*AE256*Ramure*Pc/MaxiM</f>
        <v>3.9078579557056531E-4</v>
      </c>
      <c r="AE256" s="301">
        <f t="shared" si="92"/>
        <v>0.5</v>
      </c>
      <c r="AF256" s="173">
        <f t="shared" si="93"/>
        <v>0.9723659318093314</v>
      </c>
      <c r="AG256" s="801">
        <f t="shared" si="99"/>
        <v>2</v>
      </c>
      <c r="AH256" s="172">
        <f t="shared" si="94"/>
        <v>8</v>
      </c>
      <c r="AI256" s="221">
        <f t="shared" si="95"/>
        <v>2.9723659318093314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46630</v>
      </c>
      <c r="B257" s="406">
        <f>'2026'!Wh/'2026'!Env_an*'2027'!Env_an</f>
        <v>84.957325173828778</v>
      </c>
      <c r="C257" s="831"/>
      <c r="D257" s="388">
        <f t="shared" si="77"/>
        <v>87.562039748539689</v>
      </c>
      <c r="E257" s="380">
        <f t="shared" si="100"/>
        <v>91.177303604581226</v>
      </c>
      <c r="F257" s="380">
        <f t="shared" si="78"/>
        <v>91.183600990890824</v>
      </c>
      <c r="G257" s="110">
        <f t="shared" si="101"/>
        <v>0.4253184070643089</v>
      </c>
      <c r="H257" s="409" t="b">
        <f>Wh_hp&gt;='2026'!Maxi_hp</f>
        <v>0</v>
      </c>
      <c r="I257" s="385">
        <f>IF(H257,Wh_hp,'2026'!Maxi_hp)</f>
        <v>91.208356380608777</v>
      </c>
      <c r="J257" s="85">
        <f>IF(H257,An,'2026'!An_max)</f>
        <v>2022</v>
      </c>
      <c r="K257" s="193">
        <f t="shared" si="79"/>
        <v>46630</v>
      </c>
      <c r="L257" s="143">
        <f>IF(t&lt;Tvie,1-EXP((T0-t)*PertePVj)+'2026'!Pspv,1-EXP((T0-t)*PertePVj)+Pspv)</f>
        <v>2.9747075127431022E-2</v>
      </c>
      <c r="M257" s="835"/>
      <c r="N257" s="835"/>
      <c r="O257" s="48">
        <f>IF(t&lt;Tnet,'2026'!Resal+('2026'!Salim-'2026'!Resal)*(1-EXP(('2026'!Tnet-t)/('2026'!Tau_j))),Resal+(Salim-Resal)*(1-EXP((Tnet-t)/(Tau_j))))*Salcycl</f>
        <v>3.9650918738727461E-2</v>
      </c>
      <c r="P257" s="165">
        <f>(INDEX(Models!$BJ257:$BT257,,T257)*(1-R257)+INDEX(Models!$BJ257:$BT257,,T257+1)*R257-ERP_i)*Q257*Ramure*Pc/MaxiM</f>
        <v>3.853546834610972E-4</v>
      </c>
      <c r="Q257" s="301">
        <f t="shared" si="80"/>
        <v>0.5</v>
      </c>
      <c r="R257" s="173">
        <f t="shared" si="81"/>
        <v>0.97304042899903154</v>
      </c>
      <c r="S257" s="801">
        <f t="shared" si="82"/>
        <v>2</v>
      </c>
      <c r="T257" s="172">
        <f t="shared" si="83"/>
        <v>8</v>
      </c>
      <c r="U257" s="247">
        <f t="shared" si="84"/>
        <v>2.9730404289990315</v>
      </c>
      <c r="V257" s="378">
        <f t="shared" si="85"/>
        <v>199.68675370485559</v>
      </c>
      <c r="W257" s="397">
        <f t="shared" si="86"/>
        <v>84.957325173828778</v>
      </c>
      <c r="X257" s="153">
        <f t="shared" si="87"/>
        <v>46630</v>
      </c>
      <c r="Y257" s="380">
        <f t="shared" si="88"/>
        <v>82.748406591830062</v>
      </c>
      <c r="Z257" s="380">
        <f t="shared" si="89"/>
        <v>85.28539772523547</v>
      </c>
      <c r="AA257" s="381">
        <f t="shared" si="90"/>
        <v>91.177303604581226</v>
      </c>
      <c r="AB257" s="193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6.4620312801723478E-2</v>
      </c>
      <c r="AD257" s="227">
        <f>(INDEX(Models!$BJ257:$BT257,,AH257)*(1-AF257)+INDEX(Models!$BJ257:$BT257,,AH257+1)*AF257-ERP_i)*AE257*Ramure*Pc/MaxiM</f>
        <v>3.853546834610972E-4</v>
      </c>
      <c r="AE257" s="301">
        <f t="shared" si="92"/>
        <v>0.5</v>
      </c>
      <c r="AF257" s="173">
        <f t="shared" si="93"/>
        <v>0.97304042899903154</v>
      </c>
      <c r="AG257" s="801">
        <f t="shared" si="99"/>
        <v>2</v>
      </c>
      <c r="AH257" s="172">
        <f t="shared" si="94"/>
        <v>8</v>
      </c>
      <c r="AI257" s="221">
        <f t="shared" si="95"/>
        <v>2.9730404289990315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46631</v>
      </c>
      <c r="B258" s="406">
        <f>'2026'!Wh/'2026'!Env_an*'2027'!Env_an</f>
        <v>168.97390850664124</v>
      </c>
      <c r="C258" s="831"/>
      <c r="D258" s="388">
        <f t="shared" si="77"/>
        <v>174.15687942544346</v>
      </c>
      <c r="E258" s="380">
        <f t="shared" si="100"/>
        <v>181.35583615643648</v>
      </c>
      <c r="F258" s="380">
        <f t="shared" si="78"/>
        <v>181.41000259473279</v>
      </c>
      <c r="G258" s="110">
        <f t="shared" si="101"/>
        <v>0.84993929600466189</v>
      </c>
      <c r="H258" s="409" t="b">
        <f>Wh_hp&gt;='2026'!Maxi_hp</f>
        <v>0</v>
      </c>
      <c r="I258" s="385">
        <f>IF(H258,Wh_hp,'2026'!Maxi_hp)</f>
        <v>181.4226808178222</v>
      </c>
      <c r="J258" s="85">
        <f>IF(H258,An,'2026'!An_max)</f>
        <v>2022</v>
      </c>
      <c r="K258" s="193">
        <f t="shared" si="79"/>
        <v>46631</v>
      </c>
      <c r="L258" s="143">
        <f>IF(t&lt;Tvie,1-EXP((T0-t)*PertePVj)+'2026'!Pspv,1-EXP((T0-t)*PertePVj)+Pspv)</f>
        <v>2.9760357075191202E-2</v>
      </c>
      <c r="M258" s="835"/>
      <c r="N258" s="835"/>
      <c r="O258" s="48">
        <f>IF(t&lt;Tnet,'2026'!Resal+('2026'!Salim-'2026'!Resal)*(1-EXP(('2026'!Tnet-t)/('2026'!Tau_j))),Resal+(Salim-Resal)*(1-EXP((Tnet-t)/(Tau_j))))*Salcycl</f>
        <v>3.9695202997400411E-2</v>
      </c>
      <c r="P258" s="165">
        <f>(INDEX(Models!$BJ258:$BT258,,T258)*(1-R258)+INDEX(Models!$BJ258:$BT258,,T258+1)*R258-ERP_i)*Q258*Ramure*Pc/MaxiM</f>
        <v>3.8001230989762974E-4</v>
      </c>
      <c r="Q258" s="301">
        <f t="shared" si="80"/>
        <v>0.5</v>
      </c>
      <c r="R258" s="173">
        <f t="shared" si="81"/>
        <v>0.97368954098165306</v>
      </c>
      <c r="S258" s="801">
        <f t="shared" si="82"/>
        <v>2</v>
      </c>
      <c r="T258" s="172">
        <f t="shared" si="83"/>
        <v>8</v>
      </c>
      <c r="U258" s="247">
        <f t="shared" si="84"/>
        <v>2.9736895409816531</v>
      </c>
      <c r="V258" s="378">
        <f t="shared" si="85"/>
        <v>198.79083862127985</v>
      </c>
      <c r="W258" s="397">
        <f t="shared" si="86"/>
        <v>168.97390850664124</v>
      </c>
      <c r="X258" s="153">
        <f t="shared" si="87"/>
        <v>46631</v>
      </c>
      <c r="Y258" s="380">
        <f t="shared" si="88"/>
        <v>164.58559870856647</v>
      </c>
      <c r="Z258" s="380">
        <f t="shared" si="89"/>
        <v>169.63396611214478</v>
      </c>
      <c r="AA258" s="381">
        <f t="shared" si="90"/>
        <v>181.35583615643648</v>
      </c>
      <c r="AB258" s="193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6.4634644755410489E-2</v>
      </c>
      <c r="AD258" s="227">
        <f>(INDEX(Models!$BJ258:$BT258,,AH258)*(1-AF258)+INDEX(Models!$BJ258:$BT258,,AH258+1)*AF258-ERP_i)*AE258*Ramure*Pc/MaxiM</f>
        <v>3.8001230989762974E-4</v>
      </c>
      <c r="AE258" s="301">
        <f t="shared" si="92"/>
        <v>0.5</v>
      </c>
      <c r="AF258" s="173">
        <f t="shared" si="93"/>
        <v>0.97368954098165306</v>
      </c>
      <c r="AG258" s="801">
        <f t="shared" si="99"/>
        <v>2</v>
      </c>
      <c r="AH258" s="172">
        <f t="shared" si="94"/>
        <v>8</v>
      </c>
      <c r="AI258" s="221">
        <f t="shared" si="95"/>
        <v>2.9736895409816531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46632</v>
      </c>
      <c r="B259" s="406">
        <f>'2026'!Wh/'2026'!Env_an*'2027'!Env_an</f>
        <v>166.55576284328839</v>
      </c>
      <c r="C259" s="831"/>
      <c r="D259" s="388">
        <f t="shared" si="77"/>
        <v>171.66691146625743</v>
      </c>
      <c r="E259" s="380">
        <f t="shared" si="100"/>
        <v>178.77113911823233</v>
      </c>
      <c r="F259" s="380">
        <f t="shared" si="78"/>
        <v>178.82299839584587</v>
      </c>
      <c r="G259" s="110">
        <f t="shared" si="101"/>
        <v>0.84161597508228703</v>
      </c>
      <c r="H259" s="409" t="b">
        <f>Wh_hp&gt;='2026'!Maxi_hp</f>
        <v>0</v>
      </c>
      <c r="I259" s="385">
        <f>IF(H259,Wh_hp,'2026'!Maxi_hp)</f>
        <v>178.8360068834514</v>
      </c>
      <c r="J259" s="85">
        <f>IF(H259,An,'2026'!An_max)</f>
        <v>2022</v>
      </c>
      <c r="K259" s="193">
        <f t="shared" si="79"/>
        <v>46632</v>
      </c>
      <c r="L259" s="143">
        <f>IF(t&lt;Tvie,1-EXP((T0-t)*PertePVj)+'2026'!Pspv,1-EXP((T0-t)*PertePVj)+Pspv)</f>
        <v>2.977363884113271E-2</v>
      </c>
      <c r="M259" s="835"/>
      <c r="N259" s="835"/>
      <c r="O259" s="48">
        <f>IF(t&lt;Tnet,'2026'!Resal+('2026'!Salim-'2026'!Resal)*(1-EXP(('2026'!Tnet-t)/('2026'!Tau_j))),Resal+(Salim-Resal)*(1-EXP((Tnet-t)/(Tau_j))))*Salcycl</f>
        <v>3.9739231326799504E-2</v>
      </c>
      <c r="P259" s="165">
        <f>(INDEX(Models!$BJ259:$BT259,,T259)*(1-R259)+INDEX(Models!$BJ259:$BT259,,T259+1)*R259-ERP_i)*Q259*Ramure*Pc/MaxiM</f>
        <v>3.7475932638857291E-4</v>
      </c>
      <c r="Q259" s="301">
        <f t="shared" si="80"/>
        <v>0.5</v>
      </c>
      <c r="R259" s="173">
        <f t="shared" si="81"/>
        <v>0.97431415659585952</v>
      </c>
      <c r="S259" s="801">
        <f t="shared" si="82"/>
        <v>2</v>
      </c>
      <c r="T259" s="172">
        <f t="shared" si="83"/>
        <v>8</v>
      </c>
      <c r="U259" s="247">
        <f t="shared" si="84"/>
        <v>2.9743141565958595</v>
      </c>
      <c r="V259" s="378">
        <f t="shared" si="85"/>
        <v>197.88317604600959</v>
      </c>
      <c r="W259" s="397">
        <f t="shared" si="86"/>
        <v>166.55576284328839</v>
      </c>
      <c r="X259" s="153">
        <f t="shared" si="87"/>
        <v>46632</v>
      </c>
      <c r="Y259" s="380">
        <f t="shared" si="88"/>
        <v>162.23526473985746</v>
      </c>
      <c r="Z259" s="380">
        <f t="shared" si="89"/>
        <v>167.21382889048573</v>
      </c>
      <c r="AA259" s="381">
        <f t="shared" si="90"/>
        <v>178.77113911823233</v>
      </c>
      <c r="AB259" s="193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6.4648635594938136E-2</v>
      </c>
      <c r="AD259" s="227">
        <f>(INDEX(Models!$BJ259:$BT259,,AH259)*(1-AF259)+INDEX(Models!$BJ259:$BT259,,AH259+1)*AF259-ERP_i)*AE259*Ramure*Pc/MaxiM</f>
        <v>3.7475932638857291E-4</v>
      </c>
      <c r="AE259" s="301">
        <f t="shared" si="92"/>
        <v>0.5</v>
      </c>
      <c r="AF259" s="173">
        <f t="shared" si="93"/>
        <v>0.97431415659585952</v>
      </c>
      <c r="AG259" s="801">
        <f t="shared" si="99"/>
        <v>2</v>
      </c>
      <c r="AH259" s="172">
        <f t="shared" si="94"/>
        <v>8</v>
      </c>
      <c r="AI259" s="221">
        <f t="shared" si="95"/>
        <v>2.9743141565958595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46633</v>
      </c>
      <c r="B260" s="406">
        <f>'2026'!Wh/'2026'!Env_an*'2027'!Env_an</f>
        <v>130.10278784446103</v>
      </c>
      <c r="C260" s="831"/>
      <c r="D260" s="388">
        <f t="shared" si="77"/>
        <v>134.09712833544452</v>
      </c>
      <c r="E260" s="380">
        <f t="shared" si="100"/>
        <v>139.6529406649021</v>
      </c>
      <c r="F260" s="380">
        <f t="shared" si="78"/>
        <v>139.67953064286064</v>
      </c>
      <c r="G260" s="110">
        <f t="shared" si="101"/>
        <v>0.66042331274616051</v>
      </c>
      <c r="H260" s="409" t="b">
        <f>Wh_hp&gt;='2026'!Maxi_hp</f>
        <v>0</v>
      </c>
      <c r="I260" s="385">
        <f>IF(H260,Wh_hp,'2026'!Maxi_hp)</f>
        <v>139.70102045088095</v>
      </c>
      <c r="J260" s="85">
        <f>IF(H260,An,'2026'!An_max)</f>
        <v>2022</v>
      </c>
      <c r="K260" s="193">
        <f t="shared" si="79"/>
        <v>46633</v>
      </c>
      <c r="L260" s="143">
        <f>IF(t&lt;Tvie,1-EXP((T0-t)*PertePVj)+'2026'!Pspv,1-EXP((T0-t)*PertePVj)+Pspv)</f>
        <v>2.978692042525799E-2</v>
      </c>
      <c r="M260" s="835"/>
      <c r="N260" s="835"/>
      <c r="O260" s="48">
        <f>IF(t&lt;Tnet,'2026'!Resal+('2026'!Salim-'2026'!Resal)*(1-EXP(('2026'!Tnet-t)/('2026'!Tau_j))),Resal+(Salim-Resal)*(1-EXP((Tnet-t)/(Tau_j))))*Salcycl</f>
        <v>3.9782995639087708E-2</v>
      </c>
      <c r="P260" s="165">
        <f>(INDEX(Models!$BJ260:$BT260,,T260)*(1-R260)+INDEX(Models!$BJ260:$BT260,,T260+1)*R260-ERP_i)*Q260*Ramure*Pc/MaxiM</f>
        <v>3.6959638713221222E-4</v>
      </c>
      <c r="Q260" s="301">
        <f t="shared" si="80"/>
        <v>0.5</v>
      </c>
      <c r="R260" s="173">
        <f t="shared" si="81"/>
        <v>0.97491513867448498</v>
      </c>
      <c r="S260" s="801">
        <f t="shared" si="82"/>
        <v>2</v>
      </c>
      <c r="T260" s="172">
        <f t="shared" si="83"/>
        <v>8</v>
      </c>
      <c r="U260" s="247">
        <f t="shared" si="84"/>
        <v>2.974915138674485</v>
      </c>
      <c r="V260" s="378">
        <f t="shared" si="85"/>
        <v>196.96376896904516</v>
      </c>
      <c r="W260" s="397">
        <f t="shared" si="86"/>
        <v>130.10278784446103</v>
      </c>
      <c r="X260" s="153">
        <f t="shared" si="87"/>
        <v>46633</v>
      </c>
      <c r="Y260" s="380">
        <f t="shared" si="88"/>
        <v>126.7318171998884</v>
      </c>
      <c r="Z260" s="380">
        <f t="shared" si="89"/>
        <v>130.62266410120623</v>
      </c>
      <c r="AA260" s="381">
        <f t="shared" si="90"/>
        <v>139.6529406649021</v>
      </c>
      <c r="AB260" s="193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6.4662272922444752E-2</v>
      </c>
      <c r="AD260" s="227">
        <f>(INDEX(Models!$BJ260:$BT260,,AH260)*(1-AF260)+INDEX(Models!$BJ260:$BT260,,AH260+1)*AF260-ERP_i)*AE260*Ramure*Pc/MaxiM</f>
        <v>3.6959638713221222E-4</v>
      </c>
      <c r="AE260" s="301">
        <f t="shared" si="92"/>
        <v>0.5</v>
      </c>
      <c r="AF260" s="173">
        <f t="shared" si="93"/>
        <v>0.97491513867448498</v>
      </c>
      <c r="AG260" s="801">
        <f t="shared" si="99"/>
        <v>2</v>
      </c>
      <c r="AH260" s="172">
        <f t="shared" si="94"/>
        <v>8</v>
      </c>
      <c r="AI260" s="221">
        <f t="shared" si="95"/>
        <v>2.974915138674485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46634</v>
      </c>
      <c r="B261" s="406">
        <f>'2026'!Wh/'2026'!Env_an*'2027'!Env_an</f>
        <v>183.26989715589042</v>
      </c>
      <c r="C261" s="831"/>
      <c r="D261" s="388">
        <f t="shared" si="77"/>
        <v>188.89912933512943</v>
      </c>
      <c r="E261" s="380">
        <f t="shared" si="100"/>
        <v>196.73436819330942</v>
      </c>
      <c r="F261" s="380">
        <f t="shared" si="78"/>
        <v>196.79943416947739</v>
      </c>
      <c r="G261" s="110">
        <f t="shared" si="101"/>
        <v>0.93486319393738504</v>
      </c>
      <c r="H261" s="409" t="b">
        <f>Wh_hp&gt;='2026'!Maxi_hp</f>
        <v>0</v>
      </c>
      <c r="I261" s="385">
        <f>IF(H261,Wh_hp,'2026'!Maxi_hp)</f>
        <v>196.80516308145275</v>
      </c>
      <c r="J261" s="85">
        <f>IF(H261,An,'2026'!An_max)</f>
        <v>2022</v>
      </c>
      <c r="K261" s="193">
        <f t="shared" si="79"/>
        <v>46634</v>
      </c>
      <c r="L261" s="143">
        <f>IF(t&lt;Tvie,1-EXP((T0-t)*PertePVj)+'2026'!Pspv,1-EXP((T0-t)*PertePVj)+Pspv)</f>
        <v>2.9800201827569484E-2</v>
      </c>
      <c r="M261" s="835"/>
      <c r="N261" s="835"/>
      <c r="O261" s="48">
        <f>IF(t&lt;Tnet,'2026'!Resal+('2026'!Salim-'2026'!Resal)*(1-EXP(('2026'!Tnet-t)/('2026'!Tau_j))),Resal+(Salim-Resal)*(1-EXP((Tnet-t)/(Tau_j))))*Salcycl</f>
        <v>3.982648751275196E-2</v>
      </c>
      <c r="P261" s="165">
        <f>(INDEX(Models!$BJ261:$BT261,,T261)*(1-R261)+INDEX(Models!$BJ261:$BT261,,T261+1)*R261-ERP_i)*Q261*Ramure*Pc/MaxiM</f>
        <v>3.6452414964316285E-4</v>
      </c>
      <c r="Q261" s="301">
        <f t="shared" si="80"/>
        <v>0.5</v>
      </c>
      <c r="R261" s="173">
        <f t="shared" si="81"/>
        <v>0.9754933244002495</v>
      </c>
      <c r="S261" s="801">
        <f t="shared" si="82"/>
        <v>2</v>
      </c>
      <c r="T261" s="172">
        <f t="shared" si="83"/>
        <v>8</v>
      </c>
      <c r="U261" s="247">
        <f t="shared" si="84"/>
        <v>2.9754933244002495</v>
      </c>
      <c r="V261" s="378">
        <f t="shared" si="85"/>
        <v>196.03262040529589</v>
      </c>
      <c r="W261" s="397">
        <f t="shared" si="86"/>
        <v>183.26989715589042</v>
      </c>
      <c r="X261" s="153">
        <f t="shared" si="87"/>
        <v>46634</v>
      </c>
      <c r="Y261" s="380">
        <f t="shared" si="88"/>
        <v>178.52691691513598</v>
      </c>
      <c r="Z261" s="380">
        <f t="shared" si="89"/>
        <v>184.01046593848804</v>
      </c>
      <c r="AA261" s="381">
        <f t="shared" si="90"/>
        <v>196.73436819330942</v>
      </c>
      <c r="AB261" s="193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6.4675543839493116E-2</v>
      </c>
      <c r="AD261" s="227">
        <f>(INDEX(Models!$BJ261:$BT261,,AH261)*(1-AF261)+INDEX(Models!$BJ261:$BT261,,AH261+1)*AF261-ERP_i)*AE261*Ramure*Pc/MaxiM</f>
        <v>3.6452414964316285E-4</v>
      </c>
      <c r="AE261" s="301">
        <f t="shared" si="92"/>
        <v>0.5</v>
      </c>
      <c r="AF261" s="173">
        <f t="shared" si="93"/>
        <v>0.9754933244002495</v>
      </c>
      <c r="AG261" s="801">
        <f t="shared" si="99"/>
        <v>2</v>
      </c>
      <c r="AH261" s="172">
        <f t="shared" si="94"/>
        <v>8</v>
      </c>
      <c r="AI261" s="221">
        <f t="shared" si="95"/>
        <v>2.9754933244002495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46635</v>
      </c>
      <c r="B262" s="406">
        <f>'2026'!Wh/'2026'!Env_an*'2027'!Env_an</f>
        <v>161.86221401013918</v>
      </c>
      <c r="C262" s="831"/>
      <c r="D262" s="388">
        <f t="shared" si="77"/>
        <v>166.83618168459765</v>
      </c>
      <c r="E262" s="380">
        <f t="shared" si="100"/>
        <v>173.76410406690684</v>
      </c>
      <c r="F262" s="380">
        <f t="shared" si="78"/>
        <v>173.81140439369767</v>
      </c>
      <c r="G262" s="110">
        <f t="shared" si="101"/>
        <v>0.82960830073717418</v>
      </c>
      <c r="H262" s="409" t="b">
        <f>Wh_hp&gt;='2026'!Maxi_hp</f>
        <v>0</v>
      </c>
      <c r="I262" s="385">
        <f>IF(H262,Wh_hp,'2026'!Maxi_hp)</f>
        <v>173.8244682935279</v>
      </c>
      <c r="J262" s="85">
        <f>IF(H262,An,'2026'!An_max)</f>
        <v>2022</v>
      </c>
      <c r="K262" s="193">
        <f t="shared" si="79"/>
        <v>46635</v>
      </c>
      <c r="L262" s="143">
        <f>IF(t&lt;Tvie,1-EXP((T0-t)*PertePVj)+'2026'!Pspv,1-EXP((T0-t)*PertePVj)+Pspv)</f>
        <v>2.9813483048069855E-2</v>
      </c>
      <c r="M262" s="835"/>
      <c r="N262" s="835"/>
      <c r="O262" s="48">
        <f>IF(t&lt;Tnet,'2026'!Resal+('2026'!Salim-'2026'!Resal)*(1-EXP(('2026'!Tnet-t)/('2026'!Tau_j))),Resal+(Salim-Resal)*(1-EXP((Tnet-t)/(Tau_j))))*Salcycl</f>
        <v>3.9869698172193498E-2</v>
      </c>
      <c r="P262" s="165">
        <f>(INDEX(Models!$BJ262:$BT262,,T262)*(1-R262)+INDEX(Models!$BJ262:$BT262,,T262+1)*R262-ERP_i)*Q262*Ramure*Pc/MaxiM</f>
        <v>3.5964131890565146E-4</v>
      </c>
      <c r="Q262" s="301">
        <f t="shared" si="80"/>
        <v>0.5</v>
      </c>
      <c r="R262" s="173">
        <f t="shared" si="81"/>
        <v>0.97604952569302128</v>
      </c>
      <c r="S262" s="801">
        <f t="shared" si="82"/>
        <v>2</v>
      </c>
      <c r="T262" s="172">
        <f t="shared" si="83"/>
        <v>8</v>
      </c>
      <c r="U262" s="247">
        <f t="shared" si="84"/>
        <v>2.9760495256930213</v>
      </c>
      <c r="V262" s="378">
        <f t="shared" si="85"/>
        <v>195.08971425853898</v>
      </c>
      <c r="W262" s="397">
        <f t="shared" si="86"/>
        <v>161.86221401013918</v>
      </c>
      <c r="X262" s="153">
        <f t="shared" si="87"/>
        <v>46635</v>
      </c>
      <c r="Y262" s="380">
        <f t="shared" si="88"/>
        <v>157.67818224836907</v>
      </c>
      <c r="Z262" s="380">
        <f t="shared" si="89"/>
        <v>162.52357613023966</v>
      </c>
      <c r="AA262" s="381">
        <f t="shared" si="90"/>
        <v>173.76410406690684</v>
      </c>
      <c r="AB262" s="193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6.468843491598858E-2</v>
      </c>
      <c r="AD262" s="227">
        <f>(INDEX(Models!$BJ262:$BT262,,AH262)*(1-AF262)+INDEX(Models!$BJ262:$BT262,,AH262+1)*AF262-ERP_i)*AE262*Ramure*Pc/MaxiM</f>
        <v>3.5964131890565146E-4</v>
      </c>
      <c r="AE262" s="301">
        <f t="shared" si="92"/>
        <v>0.5</v>
      </c>
      <c r="AF262" s="173">
        <f t="shared" si="93"/>
        <v>0.97604952569302128</v>
      </c>
      <c r="AG262" s="801">
        <f t="shared" si="99"/>
        <v>2</v>
      </c>
      <c r="AH262" s="172">
        <f t="shared" si="94"/>
        <v>8</v>
      </c>
      <c r="AI262" s="221">
        <f t="shared" si="95"/>
        <v>2.9760495256930213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46636</v>
      </c>
      <c r="B263" s="406">
        <f>'2026'!Wh/'2026'!Env_an*'2027'!Env_an</f>
        <v>181.52097386969945</v>
      </c>
      <c r="C263" s="831"/>
      <c r="D263" s="388">
        <f t="shared" si="77"/>
        <v>187.10160943455733</v>
      </c>
      <c r="E263" s="380">
        <f t="shared" si="100"/>
        <v>194.87977139746562</v>
      </c>
      <c r="F263" s="380">
        <f t="shared" si="78"/>
        <v>194.94258103218436</v>
      </c>
      <c r="G263" s="110">
        <f t="shared" si="101"/>
        <v>0.93499356746219509</v>
      </c>
      <c r="H263" s="409" t="b">
        <f>Wh_hp&gt;='2026'!Maxi_hp</f>
        <v>0</v>
      </c>
      <c r="I263" s="385">
        <f>IF(H263,Wh_hp,'2026'!Maxi_hp)</f>
        <v>194.94810319538493</v>
      </c>
      <c r="J263" s="85">
        <f>IF(H263,An,'2026'!An_max)</f>
        <v>2022</v>
      </c>
      <c r="K263" s="193">
        <f t="shared" si="79"/>
        <v>46636</v>
      </c>
      <c r="L263" s="143">
        <f>IF(t&lt;Tvie,1-EXP((T0-t)*PertePVj)+'2026'!Pspv,1-EXP((T0-t)*PertePVj)+Pspv)</f>
        <v>2.9826764086761326E-2</v>
      </c>
      <c r="M263" s="835"/>
      <c r="N263" s="835"/>
      <c r="O263" s="48">
        <f>IF(t&lt;Tnet,'2026'!Resal+('2026'!Salim-'2026'!Resal)*(1-EXP(('2026'!Tnet-t)/('2026'!Tau_j))),Resal+(Salim-Resal)*(1-EXP((Tnet-t)/(Tau_j))))*Salcycl</f>
        <v>3.991261846794953E-2</v>
      </c>
      <c r="P263" s="165">
        <f>(INDEX(Models!$BJ263:$BT263,,T263)*(1-R263)+INDEX(Models!$BJ263:$BT263,,T263+1)*R263-ERP_i)*Q263*Ramure*Pc/MaxiM</f>
        <v>3.5516256307545807E-4</v>
      </c>
      <c r="Q263" s="301">
        <f t="shared" si="80"/>
        <v>0.5</v>
      </c>
      <c r="R263" s="173">
        <f t="shared" si="81"/>
        <v>0.97658452962465292</v>
      </c>
      <c r="S263" s="801">
        <f t="shared" si="82"/>
        <v>2</v>
      </c>
      <c r="T263" s="172">
        <f t="shared" si="83"/>
        <v>8</v>
      </c>
      <c r="U263" s="247">
        <f t="shared" si="84"/>
        <v>2.9765845296246529</v>
      </c>
      <c r="V263" s="378">
        <f t="shared" si="85"/>
        <v>194.13501232075618</v>
      </c>
      <c r="W263" s="397">
        <f t="shared" si="86"/>
        <v>181.52097386969945</v>
      </c>
      <c r="X263" s="153">
        <f t="shared" si="87"/>
        <v>46636</v>
      </c>
      <c r="Y263" s="380">
        <f t="shared" si="88"/>
        <v>176.83431833336869</v>
      </c>
      <c r="Z263" s="380">
        <f t="shared" si="89"/>
        <v>182.27086852886833</v>
      </c>
      <c r="AA263" s="381">
        <f t="shared" si="90"/>
        <v>194.87977139746562</v>
      </c>
      <c r="AB263" s="193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6.4700932160274879E-2</v>
      </c>
      <c r="AD263" s="227">
        <f>(INDEX(Models!$BJ263:$BT263,,AH263)*(1-AF263)+INDEX(Models!$BJ263:$BT263,,AH263+1)*AF263-ERP_i)*AE263*Ramure*Pc/MaxiM</f>
        <v>3.5516256307545807E-4</v>
      </c>
      <c r="AE263" s="301">
        <f t="shared" si="92"/>
        <v>0.5</v>
      </c>
      <c r="AF263" s="173">
        <f t="shared" si="93"/>
        <v>0.97658452962465292</v>
      </c>
      <c r="AG263" s="801">
        <f t="shared" si="99"/>
        <v>2</v>
      </c>
      <c r="AH263" s="172">
        <f t="shared" si="94"/>
        <v>8</v>
      </c>
      <c r="AI263" s="221">
        <f t="shared" si="95"/>
        <v>2.9765845296246529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46637</v>
      </c>
      <c r="B264" s="406">
        <f>'2026'!Wh/'2026'!Env_an*'2027'!Env_an</f>
        <v>137.96620246373209</v>
      </c>
      <c r="C264" s="831"/>
      <c r="D264" s="388">
        <f t="shared" si="77"/>
        <v>142.20974772734058</v>
      </c>
      <c r="E264" s="380">
        <f t="shared" si="100"/>
        <v>148.12824722693873</v>
      </c>
      <c r="F264" s="380">
        <f t="shared" si="78"/>
        <v>148.15902873748976</v>
      </c>
      <c r="G264" s="110">
        <f t="shared" si="101"/>
        <v>0.71412476964535498</v>
      </c>
      <c r="H264" s="409" t="b">
        <f>Wh_hp&gt;='2026'!Maxi_hp</f>
        <v>0</v>
      </c>
      <c r="I264" s="385">
        <f>IF(H264,Wh_hp,'2026'!Maxi_hp)</f>
        <v>148.17728238486964</v>
      </c>
      <c r="J264" s="85">
        <f>IF(H264,An,'2026'!An_max)</f>
        <v>2022</v>
      </c>
      <c r="K264" s="193">
        <f t="shared" si="79"/>
        <v>46637</v>
      </c>
      <c r="L264" s="143">
        <f>IF(t&lt;Tvie,1-EXP((T0-t)*PertePVj)+'2026'!Pspv,1-EXP((T0-t)*PertePVj)+Pspv)</f>
        <v>2.9840044943646671E-2</v>
      </c>
      <c r="M264" s="835"/>
      <c r="N264" s="835"/>
      <c r="O264" s="48">
        <f>IF(t&lt;Tnet,'2026'!Resal+('2026'!Salim-'2026'!Resal)*(1-EXP(('2026'!Tnet-t)/('2026'!Tau_j))),Resal+(Salim-Resal)*(1-EXP((Tnet-t)/(Tau_j))))*Salcycl</f>
        <v>3.9955238858195269E-2</v>
      </c>
      <c r="P264" s="165">
        <f>(INDEX(Models!$BJ264:$BT264,,T264)*(1-R264)+INDEX(Models!$BJ264:$BT264,,T264+1)*R264-ERP_i)*Q264*Ramure*Pc/MaxiM</f>
        <v>3.5109227333397032E-4</v>
      </c>
      <c r="Q264" s="301">
        <f t="shared" si="80"/>
        <v>0.5</v>
      </c>
      <c r="R264" s="173">
        <f t="shared" si="81"/>
        <v>0.97709909885769042</v>
      </c>
      <c r="S264" s="801">
        <f t="shared" si="82"/>
        <v>2</v>
      </c>
      <c r="T264" s="172">
        <f t="shared" si="83"/>
        <v>8</v>
      </c>
      <c r="U264" s="247">
        <f t="shared" si="84"/>
        <v>2.9770990988576904</v>
      </c>
      <c r="V264" s="378">
        <f t="shared" si="85"/>
        <v>193.16851788359509</v>
      </c>
      <c r="W264" s="397">
        <f t="shared" si="86"/>
        <v>137.96620246373209</v>
      </c>
      <c r="X264" s="153">
        <f t="shared" si="87"/>
        <v>46637</v>
      </c>
      <c r="Y264" s="380">
        <f t="shared" si="88"/>
        <v>134.40830878980887</v>
      </c>
      <c r="Z264" s="380">
        <f t="shared" si="89"/>
        <v>138.54242085471517</v>
      </c>
      <c r="AA264" s="381">
        <f t="shared" si="90"/>
        <v>148.12824722693873</v>
      </c>
      <c r="AB264" s="193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6.4713020991449849E-2</v>
      </c>
      <c r="AD264" s="227">
        <f>(INDEX(Models!$BJ264:$BT264,,AH264)*(1-AF264)+INDEX(Models!$BJ264:$BT264,,AH264+1)*AF264-ERP_i)*AE264*Ramure*Pc/MaxiM</f>
        <v>3.5109227333397032E-4</v>
      </c>
      <c r="AE264" s="301">
        <f t="shared" si="92"/>
        <v>0.5</v>
      </c>
      <c r="AF264" s="173">
        <f t="shared" si="93"/>
        <v>0.97709909885769042</v>
      </c>
      <c r="AG264" s="801">
        <f t="shared" si="99"/>
        <v>2</v>
      </c>
      <c r="AH264" s="172">
        <f t="shared" si="94"/>
        <v>8</v>
      </c>
      <c r="AI264" s="221">
        <f t="shared" si="95"/>
        <v>2.9770990988576904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46638</v>
      </c>
      <c r="B265" s="406">
        <f>'2026'!Wh/'2026'!Env_an*'2027'!Env_an</f>
        <v>160.38222942348693</v>
      </c>
      <c r="C265" s="831"/>
      <c r="D265" s="388">
        <f t="shared" si="77"/>
        <v>165.31750678398555</v>
      </c>
      <c r="E265" s="380">
        <f t="shared" si="100"/>
        <v>172.20529664201996</v>
      </c>
      <c r="F265" s="380">
        <f t="shared" si="78"/>
        <v>172.25099311731208</v>
      </c>
      <c r="G265" s="110">
        <f t="shared" si="101"/>
        <v>0.83442872081496666</v>
      </c>
      <c r="H265" s="409" t="b">
        <f>Wh_hp&gt;='2026'!Maxi_hp</f>
        <v>0</v>
      </c>
      <c r="I265" s="385">
        <f>IF(H265,Wh_hp,'2026'!Maxi_hp)</f>
        <v>172.26316013998238</v>
      </c>
      <c r="J265" s="85">
        <f>IF(H265,An,'2026'!An_max)</f>
        <v>2022</v>
      </c>
      <c r="K265" s="193">
        <f t="shared" si="79"/>
        <v>46638</v>
      </c>
      <c r="L265" s="143">
        <f>IF(t&lt;Tvie,1-EXP((T0-t)*PertePVj)+'2026'!Pspv,1-EXP((T0-t)*PertePVj)+Pspv)</f>
        <v>2.985332561872811E-2</v>
      </c>
      <c r="M265" s="835"/>
      <c r="N265" s="835"/>
      <c r="O265" s="48">
        <f>IF(t&lt;Tnet,'2026'!Resal+('2026'!Salim-'2026'!Resal)*(1-EXP(('2026'!Tnet-t)/('2026'!Tau_j))),Resal+(Salim-Resal)*(1-EXP((Tnet-t)/(Tau_j))))*Salcycl</f>
        <v>3.9997549392181246E-2</v>
      </c>
      <c r="P265" s="165">
        <f>(INDEX(Models!$BJ265:$BT265,,T265)*(1-R265)+INDEX(Models!$BJ265:$BT265,,T265+1)*R265-ERP_i)*Q265*Ramure*Pc/MaxiM</f>
        <v>3.4743494838000575E-4</v>
      </c>
      <c r="Q265" s="301">
        <f t="shared" si="80"/>
        <v>0.5</v>
      </c>
      <c r="R265" s="173">
        <f t="shared" si="81"/>
        <v>0.97759397210453614</v>
      </c>
      <c r="S265" s="801">
        <f t="shared" si="82"/>
        <v>2</v>
      </c>
      <c r="T265" s="172">
        <f t="shared" si="83"/>
        <v>8</v>
      </c>
      <c r="U265" s="247">
        <f t="shared" si="84"/>
        <v>2.9775939721045361</v>
      </c>
      <c r="V265" s="378">
        <f t="shared" si="85"/>
        <v>192.19023428337138</v>
      </c>
      <c r="W265" s="397">
        <f t="shared" si="86"/>
        <v>160.38222942348693</v>
      </c>
      <c r="X265" s="153">
        <f t="shared" si="87"/>
        <v>46638</v>
      </c>
      <c r="Y265" s="380">
        <f t="shared" si="88"/>
        <v>156.25120524913837</v>
      </c>
      <c r="Z265" s="380">
        <f t="shared" si="89"/>
        <v>161.05936285231337</v>
      </c>
      <c r="AA265" s="381">
        <f t="shared" si="90"/>
        <v>172.20529664201996</v>
      </c>
      <c r="AB265" s="193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6.4724686214946828E-2</v>
      </c>
      <c r="AD265" s="227">
        <f>(INDEX(Models!$BJ265:$BT265,,AH265)*(1-AF265)+INDEX(Models!$BJ265:$BT265,,AH265+1)*AF265-ERP_i)*AE265*Ramure*Pc/MaxiM</f>
        <v>3.4743494838000575E-4</v>
      </c>
      <c r="AE265" s="301">
        <f t="shared" si="92"/>
        <v>0.5</v>
      </c>
      <c r="AF265" s="173">
        <f t="shared" si="93"/>
        <v>0.97759397210453614</v>
      </c>
      <c r="AG265" s="801">
        <f t="shared" si="99"/>
        <v>2</v>
      </c>
      <c r="AH265" s="172">
        <f t="shared" si="94"/>
        <v>8</v>
      </c>
      <c r="AI265" s="221">
        <f t="shared" si="95"/>
        <v>2.9775939721045361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46639</v>
      </c>
      <c r="B266" s="406">
        <f>'2026'!Wh/'2026'!Env_an*'2027'!Env_an</f>
        <v>85.779792715496669</v>
      </c>
      <c r="C266" s="831"/>
      <c r="D266" s="388">
        <f t="shared" si="77"/>
        <v>88.420616438856982</v>
      </c>
      <c r="E266" s="380">
        <f t="shared" si="100"/>
        <v>92.10860248439802</v>
      </c>
      <c r="F266" s="380">
        <f t="shared" si="78"/>
        <v>92.115334894846995</v>
      </c>
      <c r="G266" s="110">
        <f t="shared" si="101"/>
        <v>0.44851705767307104</v>
      </c>
      <c r="H266" s="409" t="b">
        <f>Wh_hp&gt;='2026'!Maxi_hp</f>
        <v>0</v>
      </c>
      <c r="I266" s="385">
        <f>IF(H266,Wh_hp,'2026'!Maxi_hp)</f>
        <v>92.136816423786186</v>
      </c>
      <c r="J266" s="85">
        <f>IF(H266,An,'2026'!An_max)</f>
        <v>2022</v>
      </c>
      <c r="K266" s="193">
        <f t="shared" si="79"/>
        <v>46639</v>
      </c>
      <c r="L266" s="143">
        <f>IF(t&lt;Tvie,1-EXP((T0-t)*PertePVj)+'2026'!Pspv,1-EXP((T0-t)*PertePVj)+Pspv)</f>
        <v>2.986660611200842E-2</v>
      </c>
      <c r="M266" s="835"/>
      <c r="N266" s="835"/>
      <c r="O266" s="48">
        <f>IF(t&lt;Tnet,'2026'!Resal+('2026'!Salim-'2026'!Resal)*(1-EXP(('2026'!Tnet-t)/('2026'!Tau_j))),Resal+(Salim-Resal)*(1-EXP((Tnet-t)/(Tau_j))))*Salcycl</f>
        <v>4.003953969625941E-2</v>
      </c>
      <c r="P266" s="165">
        <f>(INDEX(Models!$BJ266:$BT266,,T266)*(1-R266)+INDEX(Models!$BJ266:$BT266,,T266+1)*R266-ERP_i)*Q266*Ramure*Pc/MaxiM</f>
        <v>3.4419519442069725E-4</v>
      </c>
      <c r="Q266" s="301">
        <f t="shared" si="80"/>
        <v>0.5</v>
      </c>
      <c r="R266" s="173">
        <f t="shared" si="81"/>
        <v>0.97806986460389167</v>
      </c>
      <c r="S266" s="801">
        <f t="shared" si="82"/>
        <v>2</v>
      </c>
      <c r="T266" s="172">
        <f t="shared" si="83"/>
        <v>8</v>
      </c>
      <c r="U266" s="247">
        <f t="shared" si="84"/>
        <v>2.9780698646038917</v>
      </c>
      <c r="V266" s="378">
        <f t="shared" si="85"/>
        <v>191.20016490439465</v>
      </c>
      <c r="W266" s="397">
        <f t="shared" si="86"/>
        <v>85.779792715496669</v>
      </c>
      <c r="X266" s="153">
        <f t="shared" si="87"/>
        <v>46639</v>
      </c>
      <c r="Y266" s="380">
        <f t="shared" si="88"/>
        <v>83.572983388603504</v>
      </c>
      <c r="Z266" s="380">
        <f t="shared" si="89"/>
        <v>86.145868099302405</v>
      </c>
      <c r="AA266" s="381">
        <f t="shared" si="90"/>
        <v>92.10860248439802</v>
      </c>
      <c r="AB266" s="193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6.473591200241724E-2</v>
      </c>
      <c r="AD266" s="227">
        <f>(INDEX(Models!$BJ266:$BT266,,AH266)*(1-AF266)+INDEX(Models!$BJ266:$BT266,,AH266+1)*AF266-ERP_i)*AE266*Ramure*Pc/MaxiM</f>
        <v>3.4419519442069725E-4</v>
      </c>
      <c r="AE266" s="301">
        <f t="shared" si="92"/>
        <v>0.5</v>
      </c>
      <c r="AF266" s="173">
        <f t="shared" si="93"/>
        <v>0.97806986460389167</v>
      </c>
      <c r="AG266" s="801">
        <f t="shared" si="99"/>
        <v>2</v>
      </c>
      <c r="AH266" s="172">
        <f t="shared" si="94"/>
        <v>8</v>
      </c>
      <c r="AI266" s="221">
        <f t="shared" si="95"/>
        <v>2.9780698646038917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46640</v>
      </c>
      <c r="B267" s="406">
        <f>'2026'!Wh/'2026'!Env_an*'2027'!Env_an</f>
        <v>178.44669830234736</v>
      </c>
      <c r="C267" s="831"/>
      <c r="D267" s="388">
        <f t="shared" si="77"/>
        <v>183.94289099364588</v>
      </c>
      <c r="E267" s="380">
        <f t="shared" si="100"/>
        <v>191.62338605615332</v>
      </c>
      <c r="F267" s="380">
        <f t="shared" si="78"/>
        <v>191.68304658401297</v>
      </c>
      <c r="G267" s="110">
        <f t="shared" si="101"/>
        <v>0.93818560580537158</v>
      </c>
      <c r="H267" s="409" t="b">
        <f>Wh_hp&gt;='2026'!Maxi_hp</f>
        <v>0</v>
      </c>
      <c r="I267" s="385">
        <f>IF(H267,Wh_hp,'2026'!Maxi_hp)</f>
        <v>191.68801678499003</v>
      </c>
      <c r="J267" s="85">
        <f>IF(H267,An,'2026'!An_max)</f>
        <v>2022</v>
      </c>
      <c r="K267" s="193">
        <f t="shared" si="79"/>
        <v>46640</v>
      </c>
      <c r="L267" s="143">
        <f>IF(t&lt;Tvie,1-EXP((T0-t)*PertePVj)+'2026'!Pspv,1-EXP((T0-t)*PertePVj)+Pspv)</f>
        <v>2.9879886423489821E-2</v>
      </c>
      <c r="M267" s="835"/>
      <c r="N267" s="835"/>
      <c r="O267" s="48">
        <f>IF(t&lt;Tnet,'2026'!Resal+('2026'!Salim-'2026'!Resal)*(1-EXP(('2026'!Tnet-t)/('2026'!Tau_j))),Resal+(Salim-Resal)*(1-EXP((Tnet-t)/(Tau_j))))*Salcycl</f>
        <v>4.008119896314092E-2</v>
      </c>
      <c r="P267" s="165">
        <f>(INDEX(Models!$BJ267:$BT267,,T267)*(1-R267)+INDEX(Models!$BJ267:$BT267,,T267+1)*R267-ERP_i)*Q267*Ramure*Pc/MaxiM</f>
        <v>3.4137772495186755E-4</v>
      </c>
      <c r="Q267" s="301">
        <f t="shared" si="80"/>
        <v>0.5</v>
      </c>
      <c r="R267" s="173">
        <f t="shared" si="81"/>
        <v>0.97852746861155637</v>
      </c>
      <c r="S267" s="801">
        <f t="shared" si="82"/>
        <v>2</v>
      </c>
      <c r="T267" s="172">
        <f t="shared" si="83"/>
        <v>8</v>
      </c>
      <c r="U267" s="247">
        <f t="shared" si="84"/>
        <v>2.9785274686115564</v>
      </c>
      <c r="V267" s="378">
        <f t="shared" si="85"/>
        <v>190.19831317738797</v>
      </c>
      <c r="W267" s="397">
        <f t="shared" si="86"/>
        <v>178.44669830234736</v>
      </c>
      <c r="X267" s="153">
        <f t="shared" si="87"/>
        <v>46640</v>
      </c>
      <c r="Y267" s="380">
        <f t="shared" si="88"/>
        <v>173.86144173351715</v>
      </c>
      <c r="Z267" s="380">
        <f t="shared" si="89"/>
        <v>179.2164076389962</v>
      </c>
      <c r="AA267" s="381">
        <f t="shared" si="90"/>
        <v>191.62338605615332</v>
      </c>
      <c r="AB267" s="193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6.4746681876925893E-2</v>
      </c>
      <c r="AD267" s="227">
        <f>(INDEX(Models!$BJ267:$BT267,,AH267)*(1-AF267)+INDEX(Models!$BJ267:$BT267,,AH267+1)*AF267-ERP_i)*AE267*Ramure*Pc/MaxiM</f>
        <v>3.4137772495186755E-4</v>
      </c>
      <c r="AE267" s="301">
        <f t="shared" si="92"/>
        <v>0.5</v>
      </c>
      <c r="AF267" s="173">
        <f t="shared" si="93"/>
        <v>0.97852746861155637</v>
      </c>
      <c r="AG267" s="801">
        <f t="shared" si="99"/>
        <v>2</v>
      </c>
      <c r="AH267" s="172">
        <f t="shared" si="94"/>
        <v>8</v>
      </c>
      <c r="AI267" s="221">
        <f t="shared" si="95"/>
        <v>2.9785274686115564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46641</v>
      </c>
      <c r="B268" s="406">
        <f>'2026'!Wh/'2026'!Env_an*'2027'!Env_an</f>
        <v>181.90080055240512</v>
      </c>
      <c r="C268" s="831"/>
      <c r="D268" s="388">
        <f t="shared" si="77"/>
        <v>187.50594705750592</v>
      </c>
      <c r="E268" s="380">
        <f t="shared" si="100"/>
        <v>195.34362475655695</v>
      </c>
      <c r="F268" s="380">
        <f t="shared" si="78"/>
        <v>195.40617300118788</v>
      </c>
      <c r="G268" s="110">
        <f t="shared" si="101"/>
        <v>0.96148039134062957</v>
      </c>
      <c r="H268" s="409" t="b">
        <f>Wh_hp&gt;='2026'!Maxi_hp</f>
        <v>0</v>
      </c>
      <c r="I268" s="385">
        <f>IF(H268,Wh_hp,'2026'!Maxi_hp)</f>
        <v>195.40930696041534</v>
      </c>
      <c r="J268" s="85">
        <f>IF(H268,An,'2026'!An_max)</f>
        <v>2022</v>
      </c>
      <c r="K268" s="193">
        <f t="shared" si="79"/>
        <v>46641</v>
      </c>
      <c r="L268" s="143">
        <f>IF(t&lt;Tvie,1-EXP((T0-t)*PertePVj)+'2026'!Pspv,1-EXP((T0-t)*PertePVj)+Pspv)</f>
        <v>2.9893166553174866E-2</v>
      </c>
      <c r="M268" s="835"/>
      <c r="N268" s="835"/>
      <c r="O268" s="48">
        <f>IF(t&lt;Tnet,'2026'!Resal+('2026'!Salim-'2026'!Resal)*(1-EXP(('2026'!Tnet-t)/('2026'!Tau_j))),Resal+(Salim-Resal)*(1-EXP((Tnet-t)/(Tau_j))))*Salcycl</f>
        <v>4.0122515945010186E-2</v>
      </c>
      <c r="P268" s="165">
        <f>(INDEX(Models!$BJ268:$BT268,,T268)*(1-R268)+INDEX(Models!$BJ268:$BT268,,T268+1)*R268-ERP_i)*Q268*Ramure*Pc/MaxiM</f>
        <v>3.3872413905109463E-4</v>
      </c>
      <c r="Q268" s="301">
        <f t="shared" si="80"/>
        <v>0.5</v>
      </c>
      <c r="R268" s="173">
        <f t="shared" si="81"/>
        <v>0.97896745390289297</v>
      </c>
      <c r="S268" s="801">
        <f t="shared" si="82"/>
        <v>2</v>
      </c>
      <c r="T268" s="172">
        <f t="shared" si="83"/>
        <v>8</v>
      </c>
      <c r="U268" s="247">
        <f t="shared" si="84"/>
        <v>2.978967453902893</v>
      </c>
      <c r="V268" s="378">
        <f t="shared" si="85"/>
        <v>189.18473239415258</v>
      </c>
      <c r="W268" s="397">
        <f t="shared" si="86"/>
        <v>181.90080055240512</v>
      </c>
      <c r="X268" s="153">
        <f t="shared" si="87"/>
        <v>46641</v>
      </c>
      <c r="Y268" s="380">
        <f t="shared" si="88"/>
        <v>177.23246675819252</v>
      </c>
      <c r="Z268" s="380">
        <f t="shared" si="89"/>
        <v>182.69376180814959</v>
      </c>
      <c r="AA268" s="381">
        <f t="shared" si="90"/>
        <v>195.34362475655695</v>
      </c>
      <c r="AB268" s="193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6.4756978704434309E-2</v>
      </c>
      <c r="AD268" s="227">
        <f>(INDEX(Models!$BJ268:$BT268,,AH268)*(1-AF268)+INDEX(Models!$BJ268:$BT268,,AH268+1)*AF268-ERP_i)*AE268*Ramure*Pc/MaxiM</f>
        <v>3.3872413905109463E-4</v>
      </c>
      <c r="AE268" s="301">
        <f t="shared" si="92"/>
        <v>0.5</v>
      </c>
      <c r="AF268" s="173">
        <f t="shared" si="93"/>
        <v>0.97896745390289297</v>
      </c>
      <c r="AG268" s="801">
        <f t="shared" si="99"/>
        <v>2</v>
      </c>
      <c r="AH268" s="172">
        <f t="shared" si="94"/>
        <v>8</v>
      </c>
      <c r="AI268" s="221">
        <f t="shared" si="95"/>
        <v>2.978967453902893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46642</v>
      </c>
      <c r="B269" s="406">
        <f>'2026'!Wh/'2026'!Env_an*'2027'!Env_an</f>
        <v>125.94648394463123</v>
      </c>
      <c r="C269" s="831"/>
      <c r="D269" s="388">
        <f t="shared" si="77"/>
        <v>129.82921439934054</v>
      </c>
      <c r="E269" s="380">
        <f t="shared" si="100"/>
        <v>135.26179880867991</v>
      </c>
      <c r="F269" s="380">
        <f t="shared" si="78"/>
        <v>135.2857760713641</v>
      </c>
      <c r="G269" s="110">
        <f t="shared" si="101"/>
        <v>0.66925403323000499</v>
      </c>
      <c r="H269" s="409" t="b">
        <f>Wh_hp&gt;='2026'!Maxi_hp</f>
        <v>0</v>
      </c>
      <c r="I269" s="385">
        <f>IF(H269,Wh_hp,'2026'!Maxi_hp)</f>
        <v>135.30425984199042</v>
      </c>
      <c r="J269" s="85">
        <f>IF(H269,An,'2026'!An_max)</f>
        <v>2022</v>
      </c>
      <c r="K269" s="193">
        <f t="shared" si="79"/>
        <v>46642</v>
      </c>
      <c r="L269" s="143">
        <f>IF(t&lt;Tvie,1-EXP((T0-t)*PertePVj)+'2026'!Pspv,1-EXP((T0-t)*PertePVj)+Pspv)</f>
        <v>2.9906446501066108E-2</v>
      </c>
      <c r="M269" s="835"/>
      <c r="N269" s="835"/>
      <c r="O269" s="48">
        <f>IF(t&lt;Tnet,'2026'!Resal+('2026'!Salim-'2026'!Resal)*(1-EXP(('2026'!Tnet-t)/('2026'!Tau_j))),Resal+(Salim-Resal)*(1-EXP((Tnet-t)/(Tau_j))))*Salcycl</f>
        <v>4.0163478951092874E-2</v>
      </c>
      <c r="P269" s="165">
        <f>(INDEX(Models!$BJ269:$BT269,,T269)*(1-R269)+INDEX(Models!$BJ269:$BT269,,T269+1)*R269-ERP_i)*Q269*Ramure*Pc/MaxiM</f>
        <v>3.3588866598099958E-4</v>
      </c>
      <c r="Q269" s="301">
        <f t="shared" si="80"/>
        <v>0.5</v>
      </c>
      <c r="R269" s="173">
        <f t="shared" si="81"/>
        <v>0.97939046828448006</v>
      </c>
      <c r="S269" s="801">
        <f t="shared" si="82"/>
        <v>2</v>
      </c>
      <c r="T269" s="172">
        <f t="shared" si="83"/>
        <v>8</v>
      </c>
      <c r="U269" s="247">
        <f t="shared" si="84"/>
        <v>2.9793904682844801</v>
      </c>
      <c r="V269" s="378">
        <f t="shared" si="85"/>
        <v>188.15949127604949</v>
      </c>
      <c r="W269" s="397">
        <f t="shared" si="86"/>
        <v>125.94648394463123</v>
      </c>
      <c r="X269" s="153">
        <f t="shared" si="87"/>
        <v>46642</v>
      </c>
      <c r="Y269" s="380">
        <f t="shared" si="88"/>
        <v>122.71812183963614</v>
      </c>
      <c r="Z269" s="380">
        <f t="shared" si="89"/>
        <v>126.5013270081183</v>
      </c>
      <c r="AA269" s="381">
        <f t="shared" si="90"/>
        <v>135.26179880867991</v>
      </c>
      <c r="AB269" s="193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6.4766784692496956E-2</v>
      </c>
      <c r="AD269" s="227">
        <f>(INDEX(Models!$BJ269:$BT269,,AH269)*(1-AF269)+INDEX(Models!$BJ269:$BT269,,AH269+1)*AF269-ERP_i)*AE269*Ramure*Pc/MaxiM</f>
        <v>3.3588866598099958E-4</v>
      </c>
      <c r="AE269" s="301">
        <f t="shared" si="92"/>
        <v>0.5</v>
      </c>
      <c r="AF269" s="173">
        <f t="shared" si="93"/>
        <v>0.97939046828448006</v>
      </c>
      <c r="AG269" s="801">
        <f t="shared" si="99"/>
        <v>2</v>
      </c>
      <c r="AH269" s="172">
        <f t="shared" si="94"/>
        <v>8</v>
      </c>
      <c r="AI269" s="221">
        <f t="shared" si="95"/>
        <v>2.9793904682844801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46643</v>
      </c>
      <c r="B270" s="406">
        <f>'2026'!Wh/'2026'!Env_an*'2027'!Env_an</f>
        <v>45.341244949515428</v>
      </c>
      <c r="C270" s="831"/>
      <c r="D270" s="388">
        <f t="shared" si="77"/>
        <v>46.739683485206797</v>
      </c>
      <c r="E270" s="380">
        <f t="shared" si="100"/>
        <v>48.697522368217378</v>
      </c>
      <c r="F270" s="380">
        <f t="shared" si="78"/>
        <v>48.697522368217378</v>
      </c>
      <c r="G270" s="110">
        <f t="shared" si="101"/>
        <v>0.24222704253998789</v>
      </c>
      <c r="H270" s="409" t="b">
        <f>Wh_hp&gt;='2026'!Maxi_hp</f>
        <v>0</v>
      </c>
      <c r="I270" s="385">
        <f>IF(H270,Wh_hp,'2026'!Maxi_hp)</f>
        <v>48.711486880695645</v>
      </c>
      <c r="J270" s="85">
        <f>IF(H270,An,'2026'!An_max)</f>
        <v>2022</v>
      </c>
      <c r="K270" s="193">
        <f t="shared" si="79"/>
        <v>46643</v>
      </c>
      <c r="L270" s="143">
        <f>IF(t&lt;Tvie,1-EXP((T0-t)*PertePVj)+'2026'!Pspv,1-EXP((T0-t)*PertePVj)+Pspv)</f>
        <v>2.9919726267166102E-2</v>
      </c>
      <c r="M270" s="835"/>
      <c r="N270" s="835"/>
      <c r="O270" s="48">
        <f>IF(t&lt;Tnet,'2026'!Resal+('2026'!Salim-'2026'!Resal)*(1-EXP(('2026'!Tnet-t)/('2026'!Tau_j))),Resal+(Salim-Resal)*(1-EXP((Tnet-t)/(Tau_j))))*Salcycl</f>
        <v>4.0204075850240266E-2</v>
      </c>
      <c r="P270" s="165">
        <f>(INDEX(Models!$BJ270:$BT270,,T270)*(1-R270)+INDEX(Models!$BJ270:$BT270,,T270+1)*R270-ERP_i)*Q270*Ramure*Pc/MaxiM</f>
        <v>3.3286843735570715E-4</v>
      </c>
      <c r="Q270" s="301">
        <f t="shared" si="80"/>
        <v>0.5</v>
      </c>
      <c r="R270" s="173">
        <f t="shared" si="81"/>
        <v>0.9797971381126902</v>
      </c>
      <c r="S270" s="801">
        <f t="shared" si="82"/>
        <v>2</v>
      </c>
      <c r="T270" s="172">
        <f t="shared" si="83"/>
        <v>8</v>
      </c>
      <c r="U270" s="247">
        <f t="shared" si="84"/>
        <v>2.9797971381126902</v>
      </c>
      <c r="V270" s="378">
        <f t="shared" si="85"/>
        <v>187.12259293955043</v>
      </c>
      <c r="W270" s="397">
        <f t="shared" si="86"/>
        <v>45.341244949515428</v>
      </c>
      <c r="X270" s="153">
        <f t="shared" si="87"/>
        <v>46643</v>
      </c>
      <c r="Y270" s="380">
        <f t="shared" si="88"/>
        <v>44.1804509782502</v>
      </c>
      <c r="Z270" s="380">
        <f t="shared" si="89"/>
        <v>45.543087695459903</v>
      </c>
      <c r="AA270" s="381">
        <f t="shared" si="90"/>
        <v>48.697522368217378</v>
      </c>
      <c r="AB270" s="193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6.4776081397032823E-2</v>
      </c>
      <c r="AD270" s="227">
        <f>(INDEX(Models!$BJ270:$BT270,,AH270)*(1-AF270)+INDEX(Models!$BJ270:$BT270,,AH270+1)*AF270-ERP_i)*AE270*Ramure*Pc/MaxiM</f>
        <v>3.3286843735570715E-4</v>
      </c>
      <c r="AE270" s="301">
        <f t="shared" si="92"/>
        <v>0.5</v>
      </c>
      <c r="AF270" s="173">
        <f t="shared" si="93"/>
        <v>0.9797971381126902</v>
      </c>
      <c r="AG270" s="801">
        <f t="shared" si="99"/>
        <v>2</v>
      </c>
      <c r="AH270" s="172">
        <f t="shared" si="94"/>
        <v>8</v>
      </c>
      <c r="AI270" s="221">
        <f t="shared" si="95"/>
        <v>2.9797971381126902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46644</v>
      </c>
      <c r="B271" s="406">
        <f>'2026'!Wh/'2026'!Env_an*'2027'!Env_an</f>
        <v>144.59775136335273</v>
      </c>
      <c r="C271" s="831"/>
      <c r="D271" s="388">
        <f t="shared" ref="D271:D334" si="102">Wh/(1-Ppv)</f>
        <v>149.05955179958838</v>
      </c>
      <c r="E271" s="380">
        <f t="shared" si="100"/>
        <v>155.30988863104054</v>
      </c>
      <c r="F271" s="380">
        <f t="shared" ref="F271:F334" si="103">Wh_sa/(1-Pvg*MEDIAN((-Sdif+Wh/Env_an)/Csdif,0,1))</f>
        <v>155.34479246444937</v>
      </c>
      <c r="G271" s="110">
        <f t="shared" si="101"/>
        <v>0.7770163345465223</v>
      </c>
      <c r="H271" s="409" t="b">
        <f>Wh_hp&gt;='2026'!Maxi_hp</f>
        <v>0</v>
      </c>
      <c r="I271" s="385">
        <f>IF(H271,Wh_hp,'2026'!Maxi_hp)</f>
        <v>155.35884692302292</v>
      </c>
      <c r="J271" s="85">
        <f>IF(H271,An,'2026'!An_max)</f>
        <v>2022</v>
      </c>
      <c r="K271" s="193">
        <f t="shared" ref="K271:K334" si="104">t</f>
        <v>46644</v>
      </c>
      <c r="L271" s="143">
        <f>IF(t&lt;Tvie,1-EXP((T0-t)*PertePVj)+'2026'!Pspv,1-EXP((T0-t)*PertePVj)+Pspv)</f>
        <v>2.9933005851477179E-2</v>
      </c>
      <c r="M271" s="835"/>
      <c r="N271" s="835"/>
      <c r="O271" s="48">
        <f>IF(t&lt;Tnet,'2026'!Resal+('2026'!Salim-'2026'!Resal)*(1-EXP(('2026'!Tnet-t)/('2026'!Tau_j))),Resal+(Salim-Resal)*(1-EXP((Tnet-t)/(Tau_j))))*Salcycl</f>
        <v>4.0244294079050336E-2</v>
      </c>
      <c r="P271" s="165">
        <f>(INDEX(Models!$BJ271:$BT271,,T271)*(1-R271)+INDEX(Models!$BJ271:$BT271,,T271+1)*R271-ERP_i)*Q271*Ramure*Pc/MaxiM</f>
        <v>3.2966051846138413E-4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0.98018806881712583</v>
      </c>
      <c r="S271" s="801">
        <f t="shared" ref="S271:S334" si="107">INDEX(Echel_vg,T271)</f>
        <v>2</v>
      </c>
      <c r="T271" s="172">
        <f t="shared" ref="T271:T334" si="108">MIN(MATCH(Hp_vg,Echel_vg),10)</f>
        <v>8</v>
      </c>
      <c r="U271" s="247">
        <f t="shared" ref="U271:U334" si="109">IF(OR(t&lt;Ttai,Notai),Hdd+PousH*Croivg,Hdtf+PousH*(Croivg-Croi_tai))</f>
        <v>2.9801880688171258</v>
      </c>
      <c r="V271" s="378">
        <f t="shared" ref="V271:V334" si="110">MaxiM*(1-Ppv)*(1-Pvg)*(1-Psa)</f>
        <v>186.07404050029973</v>
      </c>
      <c r="W271" s="397">
        <f t="shared" ref="W271:W334" si="111">Wh*(A271&gt;Tmaj)</f>
        <v>144.59775136335273</v>
      </c>
      <c r="X271" s="153">
        <f t="shared" ref="X271:X334" si="112">t</f>
        <v>46644</v>
      </c>
      <c r="Y271" s="380">
        <f t="shared" ref="Y271:Y334" si="113">Wh_pvt_s*(1-Ppv)</f>
        <v>140.90044678512086</v>
      </c>
      <c r="Z271" s="380">
        <f t="shared" ref="Z271:Z334" si="114">Wh_sa_s*(1-Psa_s)</f>
        <v>145.24816083325911</v>
      </c>
      <c r="AA271" s="381">
        <f t="shared" ref="AA271:AA334" si="115">Wh_hp*(1-Pvg_s*MEDIAN((-Sdif+Wh/Env_an)/Csdif,0,1))</f>
        <v>155.30988863104054</v>
      </c>
      <c r="AB271" s="193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6.4784849737961017E-2</v>
      </c>
      <c r="AD271" s="227">
        <f>(INDEX(Models!$BJ271:$BT271,,AH271)*(1-AF271)+INDEX(Models!$BJ271:$BT271,,AH271+1)*AF271-ERP_i)*AE271*Ramure*Pc/MaxiM</f>
        <v>3.2966051846138413E-4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0.98018806881712583</v>
      </c>
      <c r="AG271" s="801">
        <f t="shared" si="99"/>
        <v>2</v>
      </c>
      <c r="AH271" s="172">
        <f t="shared" ref="AH271:AH334" si="119">MIN(MATCH(Hp_vg_s,Echel_vg),10)</f>
        <v>8</v>
      </c>
      <c r="AI271" s="221">
        <f t="shared" ref="AI271:AI334" si="120">IF(OR(t&lt;Ttai,Notai),Hdd_s+PousH*Croivg,Hdtai_s+PousH*(Croivg-Croi_tai))</f>
        <v>2.9801880688171258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46645</v>
      </c>
      <c r="B272" s="406">
        <f>'2026'!Wh/'2026'!Env_an*'2027'!Env_an</f>
        <v>161.80513703620852</v>
      </c>
      <c r="C272" s="831"/>
      <c r="D272" s="388">
        <f t="shared" si="102"/>
        <v>166.80018289355871</v>
      </c>
      <c r="E272" s="380">
        <f t="shared" si="100"/>
        <v>173.80162867323989</v>
      </c>
      <c r="F272" s="380">
        <f t="shared" si="103"/>
        <v>173.84818423565639</v>
      </c>
      <c r="G272" s="110">
        <f t="shared" si="101"/>
        <v>0.87450580306491343</v>
      </c>
      <c r="H272" s="409" t="b">
        <f>Wh_hp&gt;='2026'!Maxi_hp</f>
        <v>0</v>
      </c>
      <c r="I272" s="385">
        <f>IF(H272,Wh_hp,'2026'!Maxi_hp)</f>
        <v>173.8569482012538</v>
      </c>
      <c r="J272" s="85">
        <f>IF(H272,An,'2026'!An_max)</f>
        <v>2022</v>
      </c>
      <c r="K272" s="193">
        <f t="shared" si="104"/>
        <v>46645</v>
      </c>
      <c r="L272" s="143">
        <f>IF(t&lt;Tvie,1-EXP((T0-t)*PertePVj)+'2026'!Pspv,1-EXP((T0-t)*PertePVj)+Pspv)</f>
        <v>2.9946285254001892E-2</v>
      </c>
      <c r="M272" s="835"/>
      <c r="N272" s="835"/>
      <c r="O272" s="48">
        <f>IF(t&lt;Tnet,'2026'!Resal+('2026'!Salim-'2026'!Resal)*(1-EXP(('2026'!Tnet-t)/('2026'!Tau_j))),Resal+(Salim-Resal)*(1-EXP((Tnet-t)/(Tau_j))))*Salcycl</f>
        <v>4.0284120655994682E-2</v>
      </c>
      <c r="P272" s="165">
        <f>(INDEX(Models!$BJ272:$BT272,,T272)*(1-R272)+INDEX(Models!$BJ272:$BT272,,T272+1)*R272-ERP_i)*Q272*Ramure*Pc/MaxiM</f>
        <v>3.2626191140170655E-4</v>
      </c>
      <c r="Q272" s="301">
        <f t="shared" si="105"/>
        <v>0.5</v>
      </c>
      <c r="R272" s="173">
        <f t="shared" si="106"/>
        <v>0.98056384542702357</v>
      </c>
      <c r="S272" s="801">
        <f t="shared" si="107"/>
        <v>2</v>
      </c>
      <c r="T272" s="172">
        <f t="shared" si="108"/>
        <v>8</v>
      </c>
      <c r="U272" s="247">
        <f t="shared" si="109"/>
        <v>2.9805638454270236</v>
      </c>
      <c r="V272" s="378">
        <f t="shared" si="110"/>
        <v>185.01383705416455</v>
      </c>
      <c r="W272" s="397">
        <f t="shared" si="111"/>
        <v>161.80513703620852</v>
      </c>
      <c r="X272" s="153">
        <f t="shared" si="112"/>
        <v>46645</v>
      </c>
      <c r="Y272" s="380">
        <f t="shared" si="113"/>
        <v>157.6730037699763</v>
      </c>
      <c r="Z272" s="380">
        <f t="shared" si="114"/>
        <v>162.54048757625952</v>
      </c>
      <c r="AA272" s="381">
        <f t="shared" si="115"/>
        <v>173.80162867323989</v>
      </c>
      <c r="AB272" s="193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6.4793070024402058E-2</v>
      </c>
      <c r="AD272" s="227">
        <f>(INDEX(Models!$BJ272:$BT272,,AH272)*(1-AF272)+INDEX(Models!$BJ272:$BT272,,AH272+1)*AF272-ERP_i)*AE272*Ramure*Pc/MaxiM</f>
        <v>3.2626191140170655E-4</v>
      </c>
      <c r="AE272" s="301">
        <f t="shared" si="117"/>
        <v>0.5</v>
      </c>
      <c r="AF272" s="173">
        <f t="shared" si="118"/>
        <v>0.98056384542702357</v>
      </c>
      <c r="AG272" s="801">
        <f t="shared" ref="AG272:AG335" si="124">INDEX(Echel_vg,AH272)</f>
        <v>2</v>
      </c>
      <c r="AH272" s="172">
        <f t="shared" si="119"/>
        <v>8</v>
      </c>
      <c r="AI272" s="221">
        <f t="shared" si="120"/>
        <v>2.9805638454270236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46646</v>
      </c>
      <c r="B273" s="406">
        <f>'2026'!Wh/'2026'!Env_an*'2027'!Env_an</f>
        <v>103.29738413601164</v>
      </c>
      <c r="C273" s="831"/>
      <c r="D273" s="388">
        <f t="shared" si="102"/>
        <v>106.48770953561147</v>
      </c>
      <c r="E273" s="380">
        <f t="shared" si="100"/>
        <v>110.96209422490787</v>
      </c>
      <c r="F273" s="380">
        <f t="shared" si="103"/>
        <v>110.97547510498073</v>
      </c>
      <c r="G273" s="110">
        <f t="shared" si="101"/>
        <v>0.56146238397572301</v>
      </c>
      <c r="H273" s="409" t="b">
        <f>Wh_hp&gt;='2026'!Maxi_hp</f>
        <v>0</v>
      </c>
      <c r="I273" s="385">
        <f>IF(H273,Wh_hp,'2026'!Maxi_hp)</f>
        <v>110.99482020790059</v>
      </c>
      <c r="J273" s="85">
        <f>IF(H273,An,'2026'!An_max)</f>
        <v>2022</v>
      </c>
      <c r="K273" s="193">
        <f t="shared" si="104"/>
        <v>46646</v>
      </c>
      <c r="L273" s="143">
        <f>IF(t&lt;Tvie,1-EXP((T0-t)*PertePVj)+'2026'!Pspv,1-EXP((T0-t)*PertePVj)+Pspv)</f>
        <v>2.9959564474742795E-2</v>
      </c>
      <c r="M273" s="835"/>
      <c r="N273" s="835"/>
      <c r="O273" s="48">
        <f>IF(t&lt;Tnet,'2026'!Resal+('2026'!Salim-'2026'!Resal)*(1-EXP(('2026'!Tnet-t)/('2026'!Tau_j))),Resal+(Salim-Resal)*(1-EXP((Tnet-t)/(Tau_j))))*Salcycl</f>
        <v>4.0323542201964248E-2</v>
      </c>
      <c r="P273" s="165">
        <f>(INDEX(Models!$BJ273:$BT273,,T273)*(1-R273)+INDEX(Models!$BJ273:$BT273,,T273+1)*R273-ERP_i)*Q273*Ramure*Pc/MaxiM</f>
        <v>3.2266955883104609E-4</v>
      </c>
      <c r="Q273" s="301">
        <f t="shared" si="105"/>
        <v>0.5</v>
      </c>
      <c r="R273" s="173">
        <f t="shared" si="106"/>
        <v>0.98092503309891921</v>
      </c>
      <c r="S273" s="801">
        <f t="shared" si="107"/>
        <v>2</v>
      </c>
      <c r="T273" s="172">
        <f t="shared" si="108"/>
        <v>8</v>
      </c>
      <c r="U273" s="247">
        <f t="shared" si="109"/>
        <v>2.9809250330989192</v>
      </c>
      <c r="V273" s="378">
        <f t="shared" si="110"/>
        <v>183.94198567559545</v>
      </c>
      <c r="W273" s="397">
        <f t="shared" si="111"/>
        <v>103.29738413601164</v>
      </c>
      <c r="X273" s="153">
        <f t="shared" si="112"/>
        <v>46646</v>
      </c>
      <c r="Y273" s="380">
        <f t="shared" si="113"/>
        <v>100.66271635543727</v>
      </c>
      <c r="Z273" s="380">
        <f t="shared" si="114"/>
        <v>103.77167040560578</v>
      </c>
      <c r="AA273" s="381">
        <f t="shared" si="115"/>
        <v>110.96209422490787</v>
      </c>
      <c r="AB273" s="193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6.4800721990050936E-2</v>
      </c>
      <c r="AD273" s="227">
        <f>(INDEX(Models!$BJ273:$BT273,,AH273)*(1-AF273)+INDEX(Models!$BJ273:$BT273,,AH273+1)*AF273-ERP_i)*AE273*Ramure*Pc/MaxiM</f>
        <v>3.2266955883104609E-4</v>
      </c>
      <c r="AE273" s="301">
        <f t="shared" si="117"/>
        <v>0.5</v>
      </c>
      <c r="AF273" s="173">
        <f t="shared" si="118"/>
        <v>0.98092503309891921</v>
      </c>
      <c r="AG273" s="801">
        <f t="shared" si="124"/>
        <v>2</v>
      </c>
      <c r="AH273" s="172">
        <f t="shared" si="119"/>
        <v>8</v>
      </c>
      <c r="AI273" s="221">
        <f t="shared" si="120"/>
        <v>2.9809250330989192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46647</v>
      </c>
      <c r="B274" s="406">
        <f>'2026'!Wh/'2026'!Env_an*'2027'!Env_an</f>
        <v>187.71750045584872</v>
      </c>
      <c r="C274" s="831"/>
      <c r="D274" s="388">
        <f t="shared" si="102"/>
        <v>193.51777854943009</v>
      </c>
      <c r="E274" s="380">
        <f t="shared" si="100"/>
        <v>201.6571753578468</v>
      </c>
      <c r="F274" s="380">
        <f t="shared" si="103"/>
        <v>201.72150038015278</v>
      </c>
      <c r="G274" s="110">
        <f t="shared" si="101"/>
        <v>1.0265725210341587</v>
      </c>
      <c r="H274" s="409" t="b">
        <f>Wh_hp&gt;='2026'!Maxi_hp</f>
        <v>1</v>
      </c>
      <c r="I274" s="385">
        <f>IF(H274,Wh_hp,'2026'!Maxi_hp)</f>
        <v>201.72150038015278</v>
      </c>
      <c r="J274" s="85">
        <f>IF(H274,An,'2026'!An_max)</f>
        <v>2027</v>
      </c>
      <c r="K274" s="193">
        <f t="shared" si="104"/>
        <v>46647</v>
      </c>
      <c r="L274" s="143">
        <f>IF(t&lt;Tvie,1-EXP((T0-t)*PertePVj)+'2026'!Pspv,1-EXP((T0-t)*PertePVj)+Pspv)</f>
        <v>2.997284351370233E-2</v>
      </c>
      <c r="M274" s="835"/>
      <c r="N274" s="835"/>
      <c r="O274" s="48">
        <f>IF(t&lt;Tnet,'2026'!Resal+('2026'!Salim-'2026'!Resal)*(1-EXP(('2026'!Tnet-t)/('2026'!Tau_j))),Resal+(Salim-Resal)*(1-EXP((Tnet-t)/(Tau_j))))*Salcycl</f>
        <v>4.0362544967582209E-2</v>
      </c>
      <c r="P274" s="165">
        <f>(INDEX(Models!$BJ274:$BT274,,T274)*(1-R274)+INDEX(Models!$BJ274:$BT274,,T274+1)*R274-ERP_i)*Q274*Ramure*Pc/MaxiM</f>
        <v>3.1888034832563294E-4</v>
      </c>
      <c r="Q274" s="301">
        <f t="shared" si="105"/>
        <v>0.5</v>
      </c>
      <c r="R274" s="173">
        <f t="shared" si="106"/>
        <v>0.98127217764401786</v>
      </c>
      <c r="S274" s="801">
        <f t="shared" si="107"/>
        <v>2</v>
      </c>
      <c r="T274" s="172">
        <f t="shared" si="108"/>
        <v>8</v>
      </c>
      <c r="U274" s="247">
        <f t="shared" si="109"/>
        <v>2.9812721776440179</v>
      </c>
      <c r="V274" s="378">
        <f t="shared" si="110"/>
        <v>182.85848939999292</v>
      </c>
      <c r="W274" s="397">
        <f t="shared" si="111"/>
        <v>187.71750045584872</v>
      </c>
      <c r="X274" s="153">
        <f t="shared" si="112"/>
        <v>46647</v>
      </c>
      <c r="Y274" s="380">
        <f t="shared" si="113"/>
        <v>182.93569530361776</v>
      </c>
      <c r="Z274" s="380">
        <f t="shared" si="114"/>
        <v>188.58822052597026</v>
      </c>
      <c r="AA274" s="381">
        <f t="shared" si="115"/>
        <v>201.6571753578468</v>
      </c>
      <c r="AB274" s="193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6.4807784839221672E-2</v>
      </c>
      <c r="AD274" s="227">
        <f>(INDEX(Models!$BJ274:$BT274,,AH274)*(1-AF274)+INDEX(Models!$BJ274:$BT274,,AH274+1)*AF274-ERP_i)*AE274*Ramure*Pc/MaxiM</f>
        <v>3.1888034832563294E-4</v>
      </c>
      <c r="AE274" s="301">
        <f t="shared" si="117"/>
        <v>0.5</v>
      </c>
      <c r="AF274" s="173">
        <f t="shared" si="118"/>
        <v>0.98127217764401786</v>
      </c>
      <c r="AG274" s="801">
        <f t="shared" si="124"/>
        <v>2</v>
      </c>
      <c r="AH274" s="172">
        <f t="shared" si="119"/>
        <v>8</v>
      </c>
      <c r="AI274" s="221">
        <f t="shared" si="120"/>
        <v>2.9812721776440179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46648</v>
      </c>
      <c r="B275" s="406">
        <f>'2026'!Wh/'2026'!Env_an*'2027'!Env_an</f>
        <v>181.28498324142132</v>
      </c>
      <c r="C275" s="831"/>
      <c r="D275" s="388">
        <f t="shared" si="102"/>
        <v>186.8890615096285</v>
      </c>
      <c r="E275" s="380">
        <f t="shared" si="100"/>
        <v>194.75748086538835</v>
      </c>
      <c r="F275" s="380">
        <f t="shared" si="103"/>
        <v>194.81859956677039</v>
      </c>
      <c r="G275" s="110">
        <f t="shared" si="101"/>
        <v>0.99738515805651395</v>
      </c>
      <c r="H275" s="409" t="b">
        <f>Wh_hp&gt;='2026'!Maxi_hp</f>
        <v>0</v>
      </c>
      <c r="I275" s="385">
        <f>IF(H275,Wh_hp,'2026'!Maxi_hp)</f>
        <v>194.81879732421061</v>
      </c>
      <c r="J275" s="85">
        <f>IF(H275,An,'2026'!An_max)</f>
        <v>2022</v>
      </c>
      <c r="K275" s="193">
        <f t="shared" si="104"/>
        <v>46648</v>
      </c>
      <c r="L275" s="143">
        <f>IF(t&lt;Tvie,1-EXP((T0-t)*PertePVj)+'2026'!Pspv,1-EXP((T0-t)*PertePVj)+Pspv)</f>
        <v>2.9986122370882939E-2</v>
      </c>
      <c r="M275" s="835"/>
      <c r="N275" s="835"/>
      <c r="O275" s="48">
        <f>IF(t&lt;Tnet,'2026'!Resal+('2026'!Salim-'2026'!Resal)*(1-EXP(('2026'!Tnet-t)/('2026'!Tau_j))),Resal+(Salim-Resal)*(1-EXP((Tnet-t)/(Tau_j))))*Salcycl</f>
        <v>4.0401114867563433E-2</v>
      </c>
      <c r="P275" s="165">
        <f>(INDEX(Models!$BJ275:$BT275,,T275)*(1-R275)+INDEX(Models!$BJ275:$BT275,,T275+1)*R275-ERP_i)*Q275*Ramure*Pc/MaxiM</f>
        <v>3.1489684543631303E-4</v>
      </c>
      <c r="Q275" s="301">
        <f t="shared" si="105"/>
        <v>0.5</v>
      </c>
      <c r="R275" s="173">
        <f t="shared" si="106"/>
        <v>0.98160580605387571</v>
      </c>
      <c r="S275" s="801">
        <f t="shared" si="107"/>
        <v>2</v>
      </c>
      <c r="T275" s="172">
        <f t="shared" si="108"/>
        <v>8</v>
      </c>
      <c r="U275" s="247">
        <f t="shared" si="109"/>
        <v>2.9816058060538757</v>
      </c>
      <c r="V275" s="378">
        <f t="shared" si="110"/>
        <v>181.76004381205058</v>
      </c>
      <c r="W275" s="397">
        <f t="shared" si="111"/>
        <v>181.28498324142132</v>
      </c>
      <c r="X275" s="153">
        <f t="shared" si="112"/>
        <v>46648</v>
      </c>
      <c r="Y275" s="380">
        <f t="shared" si="113"/>
        <v>176.67291817931985</v>
      </c>
      <c r="Z275" s="380">
        <f t="shared" si="114"/>
        <v>182.13442328385986</v>
      </c>
      <c r="AA275" s="381">
        <f t="shared" si="115"/>
        <v>194.75748086538835</v>
      </c>
      <c r="AB275" s="193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6.4814237303948516E-2</v>
      </c>
      <c r="AD275" s="227">
        <f>(INDEX(Models!$BJ275:$BT275,,AH275)*(1-AF275)+INDEX(Models!$BJ275:$BT275,,AH275+1)*AF275-ERP_i)*AE275*Ramure*Pc/MaxiM</f>
        <v>3.1489684543631303E-4</v>
      </c>
      <c r="AE275" s="301">
        <f t="shared" si="117"/>
        <v>0.5</v>
      </c>
      <c r="AF275" s="173">
        <f t="shared" si="118"/>
        <v>0.98160580605387571</v>
      </c>
      <c r="AG275" s="801">
        <f t="shared" si="124"/>
        <v>2</v>
      </c>
      <c r="AH275" s="172">
        <f t="shared" si="119"/>
        <v>8</v>
      </c>
      <c r="AI275" s="221">
        <f t="shared" si="120"/>
        <v>2.9816058060538757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46649</v>
      </c>
      <c r="B276" s="406">
        <f>'2026'!Wh/'2026'!Env_an*'2027'!Env_an</f>
        <v>178.88102391311133</v>
      </c>
      <c r="C276" s="831"/>
      <c r="D276" s="388">
        <f t="shared" si="102"/>
        <v>184.41331284337411</v>
      </c>
      <c r="E276" s="380">
        <f t="shared" si="100"/>
        <v>192.18513308860375</v>
      </c>
      <c r="F276" s="380">
        <f t="shared" si="103"/>
        <v>192.24412575354279</v>
      </c>
      <c r="G276" s="110">
        <f t="shared" si="101"/>
        <v>0.99023479702394468</v>
      </c>
      <c r="H276" s="409" t="b">
        <f>Wh_hp&gt;='2026'!Maxi_hp</f>
        <v>0</v>
      </c>
      <c r="I276" s="385">
        <f>IF(H276,Wh_hp,'2026'!Maxi_hp)</f>
        <v>192.2448463410021</v>
      </c>
      <c r="J276" s="85">
        <f>IF(H276,An,'2026'!An_max)</f>
        <v>2022</v>
      </c>
      <c r="K276" s="193">
        <f t="shared" si="104"/>
        <v>46649</v>
      </c>
      <c r="L276" s="143">
        <f>IF(t&lt;Tvie,1-EXP((T0-t)*PertePVj)+'2026'!Pspv,1-EXP((T0-t)*PertePVj)+Pspv)</f>
        <v>2.9999401046287066E-2</v>
      </c>
      <c r="M276" s="835"/>
      <c r="N276" s="835"/>
      <c r="O276" s="48">
        <f>IF(t&lt;Tnet,'2026'!Resal+('2026'!Salim-'2026'!Resal)*(1-EXP(('2026'!Tnet-t)/('2026'!Tau_j))),Resal+(Salim-Resal)*(1-EXP((Tnet-t)/(Tau_j))))*Salcycl</f>
        <v>4.0439237522324728E-2</v>
      </c>
      <c r="P276" s="165">
        <f>(INDEX(Models!$BJ276:$BT276,,T276)*(1-R276)+INDEX(Models!$BJ276:$BT276,,T276+1)*R276-ERP_i)*Q276*Ramure*Pc/MaxiM</f>
        <v>3.1120274773884844E-4</v>
      </c>
      <c r="Q276" s="301">
        <f t="shared" si="105"/>
        <v>0.5</v>
      </c>
      <c r="R276" s="173">
        <f t="shared" si="106"/>
        <v>0.98192642702313737</v>
      </c>
      <c r="S276" s="801">
        <f t="shared" si="107"/>
        <v>2</v>
      </c>
      <c r="T276" s="172">
        <f t="shared" si="108"/>
        <v>8</v>
      </c>
      <c r="U276" s="247">
        <f t="shared" si="109"/>
        <v>2.9819264270231374</v>
      </c>
      <c r="V276" s="378">
        <f t="shared" si="110"/>
        <v>180.6442754443953</v>
      </c>
      <c r="W276" s="397">
        <f t="shared" si="111"/>
        <v>178.88102391311133</v>
      </c>
      <c r="X276" s="153">
        <f t="shared" si="112"/>
        <v>46649</v>
      </c>
      <c r="Y276" s="380">
        <f t="shared" si="113"/>
        <v>174.33595886878612</v>
      </c>
      <c r="Z276" s="380">
        <f t="shared" si="114"/>
        <v>179.72768167033388</v>
      </c>
      <c r="AA276" s="381">
        <f t="shared" si="115"/>
        <v>192.18513308860375</v>
      </c>
      <c r="AB276" s="193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6.4820057712406787E-2</v>
      </c>
      <c r="AD276" s="227">
        <f>(INDEX(Models!$BJ276:$BT276,,AH276)*(1-AF276)+INDEX(Models!$BJ276:$BT276,,AH276+1)*AF276-ERP_i)*AE276*Ramure*Pc/MaxiM</f>
        <v>3.1120274773884844E-4</v>
      </c>
      <c r="AE276" s="301">
        <f t="shared" si="117"/>
        <v>0.5</v>
      </c>
      <c r="AF276" s="173">
        <f t="shared" si="118"/>
        <v>0.98192642702313737</v>
      </c>
      <c r="AG276" s="801">
        <f t="shared" si="124"/>
        <v>2</v>
      </c>
      <c r="AH276" s="172">
        <f t="shared" si="119"/>
        <v>8</v>
      </c>
      <c r="AI276" s="221">
        <f t="shared" si="120"/>
        <v>2.9819264270231374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46650</v>
      </c>
      <c r="B277" s="406">
        <f>'2026'!Wh/'2026'!Env_an*'2027'!Env_an</f>
        <v>182.95127649703377</v>
      </c>
      <c r="C277" s="831"/>
      <c r="D277" s="388">
        <f t="shared" si="102"/>
        <v>188.6120288770957</v>
      </c>
      <c r="E277" s="380">
        <f t="shared" si="100"/>
        <v>196.56851257077557</v>
      </c>
      <c r="F277" s="380">
        <f t="shared" si="103"/>
        <v>196.62901416079933</v>
      </c>
      <c r="G277" s="110">
        <f t="shared" si="101"/>
        <v>1.0191548690504901</v>
      </c>
      <c r="H277" s="409" t="b">
        <f>Wh_hp&gt;='2026'!Maxi_hp</f>
        <v>1</v>
      </c>
      <c r="I277" s="385">
        <f>IF(H277,Wh_hp,'2026'!Maxi_hp)</f>
        <v>196.62901416079933</v>
      </c>
      <c r="J277" s="85">
        <f>IF(H277,An,'2026'!An_max)</f>
        <v>2027</v>
      </c>
      <c r="K277" s="193">
        <f t="shared" si="104"/>
        <v>46650</v>
      </c>
      <c r="L277" s="143">
        <f>IF(t&lt;Tvie,1-EXP((T0-t)*PertePVj)+'2026'!Pspv,1-EXP((T0-t)*PertePVj)+Pspv)</f>
        <v>3.0012679539917375E-2</v>
      </c>
      <c r="M277" s="835"/>
      <c r="N277" s="835"/>
      <c r="O277" s="48">
        <f>IF(t&lt;Tnet,'2026'!Resal+('2026'!Salim-'2026'!Resal)*(1-EXP(('2026'!Tnet-t)/('2026'!Tau_j))),Resal+(Salim-Resal)*(1-EXP((Tnet-t)/(Tau_j))))*Salcycl</f>
        <v>4.0476898306971237E-2</v>
      </c>
      <c r="P277" s="165">
        <f>(INDEX(Models!$BJ277:$BT277,,T277)*(1-R277)+INDEX(Models!$BJ277:$BT277,,T277+1)*R277-ERP_i)*Q277*Ramure*Pc/MaxiM</f>
        <v>3.0769411260070742E-4</v>
      </c>
      <c r="Q277" s="301">
        <f t="shared" si="105"/>
        <v>0.5</v>
      </c>
      <c r="R277" s="173">
        <f t="shared" si="106"/>
        <v>0.98223453146819573</v>
      </c>
      <c r="S277" s="801">
        <f t="shared" si="107"/>
        <v>2</v>
      </c>
      <c r="T277" s="172">
        <f t="shared" si="108"/>
        <v>8</v>
      </c>
      <c r="U277" s="247">
        <f t="shared" si="109"/>
        <v>2.9822345314681957</v>
      </c>
      <c r="V277" s="378">
        <f t="shared" si="110"/>
        <v>179.51273359218004</v>
      </c>
      <c r="W277" s="397">
        <f t="shared" si="111"/>
        <v>182.95127649703377</v>
      </c>
      <c r="X277" s="153">
        <f t="shared" si="112"/>
        <v>46650</v>
      </c>
      <c r="Y277" s="380">
        <f t="shared" si="113"/>
        <v>178.30880642952812</v>
      </c>
      <c r="Z277" s="380">
        <f t="shared" si="114"/>
        <v>183.82591469850658</v>
      </c>
      <c r="AA277" s="381">
        <f t="shared" si="115"/>
        <v>196.56851257077557</v>
      </c>
      <c r="AB277" s="193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6.4825224068788434E-2</v>
      </c>
      <c r="AD277" s="227">
        <f>(INDEX(Models!$BJ277:$BT277,,AH277)*(1-AF277)+INDEX(Models!$BJ277:$BT277,,AH277+1)*AF277-ERP_i)*AE277*Ramure*Pc/MaxiM</f>
        <v>3.0769411260070742E-4</v>
      </c>
      <c r="AE277" s="301">
        <f t="shared" si="117"/>
        <v>0.5</v>
      </c>
      <c r="AF277" s="173">
        <f t="shared" si="118"/>
        <v>0.98223453146819573</v>
      </c>
      <c r="AG277" s="801">
        <f t="shared" si="124"/>
        <v>2</v>
      </c>
      <c r="AH277" s="172">
        <f t="shared" si="119"/>
        <v>8</v>
      </c>
      <c r="AI277" s="221">
        <f t="shared" si="120"/>
        <v>2.9822345314681957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46651</v>
      </c>
      <c r="B278" s="406">
        <f>'2026'!Wh/'2026'!Env_an*'2027'!Env_an</f>
        <v>178.00093046328007</v>
      </c>
      <c r="C278" s="831"/>
      <c r="D278" s="388">
        <f t="shared" si="102"/>
        <v>183.51102475800005</v>
      </c>
      <c r="E278" s="380">
        <f t="shared" si="100"/>
        <v>191.25973752537848</v>
      </c>
      <c r="F278" s="380">
        <f t="shared" si="103"/>
        <v>191.31779825617895</v>
      </c>
      <c r="G278" s="110">
        <f t="shared" si="101"/>
        <v>0.99794705966533814</v>
      </c>
      <c r="H278" s="409" t="b">
        <f>Wh_hp&gt;='2026'!Maxi_hp</f>
        <v>0</v>
      </c>
      <c r="I278" s="385">
        <f>IF(H278,Wh_hp,'2026'!Maxi_hp)</f>
        <v>191.3179458974538</v>
      </c>
      <c r="J278" s="85">
        <f>IF(H278,An,'2026'!An_max)</f>
        <v>2022</v>
      </c>
      <c r="K278" s="193">
        <f t="shared" si="104"/>
        <v>46651</v>
      </c>
      <c r="L278" s="143">
        <f>IF(t&lt;Tvie,1-EXP((T0-t)*PertePVj)+'2026'!Pspv,1-EXP((T0-t)*PertePVj)+Pspv)</f>
        <v>3.0025957851776197E-2</v>
      </c>
      <c r="M278" s="835"/>
      <c r="N278" s="835"/>
      <c r="O278" s="48">
        <f>IF(t&lt;Tnet,'2026'!Resal+('2026'!Salim-'2026'!Resal)*(1-EXP(('2026'!Tnet-t)/('2026'!Tau_j))),Resal+(Salim-Resal)*(1-EXP((Tnet-t)/(Tau_j))))*Salcycl</f>
        <v>4.0514082407700977E-2</v>
      </c>
      <c r="P278" s="165">
        <f>(INDEX(Models!$BJ278:$BT278,,T278)*(1-R278)+INDEX(Models!$BJ278:$BT278,,T278+1)*R278-ERP_i)*Q278*Ramure*Pc/MaxiM</f>
        <v>3.0437019846608334E-4</v>
      </c>
      <c r="Q278" s="301">
        <f t="shared" si="105"/>
        <v>0.5</v>
      </c>
      <c r="R278" s="173">
        <f t="shared" si="106"/>
        <v>0.98253059304078372</v>
      </c>
      <c r="S278" s="801">
        <f t="shared" si="107"/>
        <v>2</v>
      </c>
      <c r="T278" s="172">
        <f t="shared" si="108"/>
        <v>8</v>
      </c>
      <c r="U278" s="247">
        <f t="shared" si="109"/>
        <v>2.9825305930407837</v>
      </c>
      <c r="V278" s="378">
        <f t="shared" si="110"/>
        <v>178.36694829428791</v>
      </c>
      <c r="W278" s="397">
        <f t="shared" si="111"/>
        <v>178.00093046328007</v>
      </c>
      <c r="X278" s="153">
        <f t="shared" si="112"/>
        <v>46651</v>
      </c>
      <c r="Y278" s="380">
        <f t="shared" si="113"/>
        <v>173.48996787944398</v>
      </c>
      <c r="Z278" s="380">
        <f t="shared" si="114"/>
        <v>178.86042341423052</v>
      </c>
      <c r="AA278" s="381">
        <f t="shared" si="115"/>
        <v>191.25973752537848</v>
      </c>
      <c r="AB278" s="193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6.4829714144633718E-2</v>
      </c>
      <c r="AD278" s="227">
        <f>(INDEX(Models!$BJ278:$BT278,,AH278)*(1-AF278)+INDEX(Models!$BJ278:$BT278,,AH278+1)*AF278-ERP_i)*AE278*Ramure*Pc/MaxiM</f>
        <v>3.0437019846608334E-4</v>
      </c>
      <c r="AE278" s="301">
        <f t="shared" si="117"/>
        <v>0.5</v>
      </c>
      <c r="AF278" s="173">
        <f t="shared" si="118"/>
        <v>0.98253059304078372</v>
      </c>
      <c r="AG278" s="801">
        <f t="shared" si="124"/>
        <v>2</v>
      </c>
      <c r="AH278" s="172">
        <f t="shared" si="119"/>
        <v>8</v>
      </c>
      <c r="AI278" s="221">
        <f t="shared" si="120"/>
        <v>2.9825305930407837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46652</v>
      </c>
      <c r="B279" s="406">
        <f>'2026'!Wh/'2026'!Env_an*'2027'!Env_an</f>
        <v>172.90163876885225</v>
      </c>
      <c r="C279" s="831"/>
      <c r="D279" s="388">
        <f t="shared" si="102"/>
        <v>178.25632250586557</v>
      </c>
      <c r="E279" s="380">
        <f t="shared" si="100"/>
        <v>185.79026157909325</v>
      </c>
      <c r="F279" s="380">
        <f t="shared" si="103"/>
        <v>185.84429986708653</v>
      </c>
      <c r="G279" s="110">
        <f t="shared" si="101"/>
        <v>0.97568615223767385</v>
      </c>
      <c r="H279" s="409" t="b">
        <f>Wh_hp&gt;='2026'!Maxi_hp</f>
        <v>0</v>
      </c>
      <c r="I279" s="385">
        <f>IF(H279,Wh_hp,'2026'!Maxi_hp)</f>
        <v>185.84598226608634</v>
      </c>
      <c r="J279" s="85">
        <f>IF(H279,An,'2026'!An_max)</f>
        <v>2022</v>
      </c>
      <c r="K279" s="193">
        <f t="shared" si="104"/>
        <v>46652</v>
      </c>
      <c r="L279" s="143">
        <f>IF(t&lt;Tvie,1-EXP((T0-t)*PertePVj)+'2026'!Pspv,1-EXP((T0-t)*PertePVj)+Pspv)</f>
        <v>3.0039235981866086E-2</v>
      </c>
      <c r="M279" s="835"/>
      <c r="N279" s="835"/>
      <c r="O279" s="48">
        <f>IF(t&lt;Tnet,'2026'!Resal+('2026'!Salim-'2026'!Resal)*(1-EXP(('2026'!Tnet-t)/('2026'!Tau_j))),Resal+(Salim-Resal)*(1-EXP((Tnet-t)/(Tau_j))))*Salcycl</f>
        <v>4.0550774885584576E-2</v>
      </c>
      <c r="P279" s="165">
        <f>(INDEX(Models!$BJ279:$BT279,,T279)*(1-R279)+INDEX(Models!$BJ279:$BT279,,T279+1)*R279-ERP_i)*Q279*Ramure*Pc/MaxiM</f>
        <v>3.0123039916097726E-4</v>
      </c>
      <c r="Q279" s="301">
        <f t="shared" si="105"/>
        <v>0.5</v>
      </c>
      <c r="R279" s="173">
        <f t="shared" si="106"/>
        <v>0.98281506863559365</v>
      </c>
      <c r="S279" s="801">
        <f t="shared" si="107"/>
        <v>2</v>
      </c>
      <c r="T279" s="172">
        <f t="shared" si="108"/>
        <v>8</v>
      </c>
      <c r="U279" s="247">
        <f t="shared" si="109"/>
        <v>2.9828150686355936</v>
      </c>
      <c r="V279" s="378">
        <f t="shared" si="110"/>
        <v>177.2084491958631</v>
      </c>
      <c r="W279" s="397">
        <f t="shared" si="111"/>
        <v>172.90163876885225</v>
      </c>
      <c r="X279" s="153">
        <f t="shared" si="112"/>
        <v>46652</v>
      </c>
      <c r="Y279" s="380">
        <f t="shared" si="113"/>
        <v>168.52566574057326</v>
      </c>
      <c r="Z279" s="380">
        <f t="shared" si="114"/>
        <v>173.7448276180196</v>
      </c>
      <c r="AA279" s="381">
        <f t="shared" si="115"/>
        <v>185.79026157909325</v>
      </c>
      <c r="AB279" s="193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6.4833505581484874E-2</v>
      </c>
      <c r="AD279" s="227">
        <f>(INDEX(Models!$BJ279:$BT279,,AH279)*(1-AF279)+INDEX(Models!$BJ279:$BT279,,AH279+1)*AF279-ERP_i)*AE279*Ramure*Pc/MaxiM</f>
        <v>3.0123039916097726E-4</v>
      </c>
      <c r="AE279" s="301">
        <f t="shared" si="117"/>
        <v>0.5</v>
      </c>
      <c r="AF279" s="173">
        <f t="shared" si="118"/>
        <v>0.98281506863559365</v>
      </c>
      <c r="AG279" s="801">
        <f t="shared" si="124"/>
        <v>2</v>
      </c>
      <c r="AH279" s="172">
        <f t="shared" si="119"/>
        <v>8</v>
      </c>
      <c r="AI279" s="221">
        <f t="shared" si="120"/>
        <v>2.9828150686355936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46653</v>
      </c>
      <c r="B280" s="406">
        <f>'2026'!Wh/'2026'!Env_an*'2027'!Env_an</f>
        <v>110.8692416399246</v>
      </c>
      <c r="C280" s="831"/>
      <c r="D280" s="388">
        <f t="shared" si="102"/>
        <v>114.30437547620487</v>
      </c>
      <c r="E280" s="380">
        <f t="shared" si="100"/>
        <v>119.13990200224141</v>
      </c>
      <c r="F280" s="380">
        <f t="shared" si="103"/>
        <v>119.15664714093714</v>
      </c>
      <c r="G280" s="110">
        <f t="shared" si="101"/>
        <v>0.62970079299316428</v>
      </c>
      <c r="H280" s="409" t="b">
        <f>Wh_hp&gt;='2026'!Maxi_hp</f>
        <v>0</v>
      </c>
      <c r="I280" s="385">
        <f>IF(H280,Wh_hp,'2026'!Maxi_hp)</f>
        <v>119.17293135937119</v>
      </c>
      <c r="J280" s="85">
        <f>IF(H280,An,'2026'!An_max)</f>
        <v>2022</v>
      </c>
      <c r="K280" s="193">
        <f t="shared" si="104"/>
        <v>46653</v>
      </c>
      <c r="L280" s="143">
        <f>IF(t&lt;Tvie,1-EXP((T0-t)*PertePVj)+'2026'!Pspv,1-EXP((T0-t)*PertePVj)+Pspv)</f>
        <v>3.0052513930189595E-2</v>
      </c>
      <c r="M280" s="835"/>
      <c r="N280" s="835"/>
      <c r="O280" s="48">
        <f>IF(t&lt;Tnet,'2026'!Resal+('2026'!Salim-'2026'!Resal)*(1-EXP(('2026'!Tnet-t)/('2026'!Tau_j))),Resal+(Salim-Resal)*(1-EXP((Tnet-t)/(Tau_j))))*Salcycl</f>
        <v>4.0586960747588822E-2</v>
      </c>
      <c r="P280" s="165">
        <f>(INDEX(Models!$BJ280:$BT280,,T280)*(1-R280)+INDEX(Models!$BJ280:$BT280,,T280+1)*R280-ERP_i)*Q280*Ramure*Pc/MaxiM</f>
        <v>2.9827555290555166E-4</v>
      </c>
      <c r="Q280" s="301">
        <f t="shared" si="105"/>
        <v>0.5</v>
      </c>
      <c r="R280" s="173">
        <f t="shared" si="106"/>
        <v>0.98308839889115918</v>
      </c>
      <c r="S280" s="801">
        <f t="shared" si="107"/>
        <v>2</v>
      </c>
      <c r="T280" s="172">
        <f t="shared" si="108"/>
        <v>8</v>
      </c>
      <c r="U280" s="247">
        <f t="shared" si="109"/>
        <v>2.9830883988911592</v>
      </c>
      <c r="V280" s="378">
        <f t="shared" si="110"/>
        <v>176.0387652941294</v>
      </c>
      <c r="W280" s="397">
        <f t="shared" si="111"/>
        <v>110.8692416399246</v>
      </c>
      <c r="X280" s="153">
        <f t="shared" si="112"/>
        <v>46653</v>
      </c>
      <c r="Y280" s="380">
        <f t="shared" si="113"/>
        <v>108.06696947599988</v>
      </c>
      <c r="Z280" s="380">
        <f t="shared" si="114"/>
        <v>111.41527869089393</v>
      </c>
      <c r="AA280" s="381">
        <f t="shared" si="115"/>
        <v>119.13990200224141</v>
      </c>
      <c r="AB280" s="193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6.4836576004587879E-2</v>
      </c>
      <c r="AD280" s="227">
        <f>(INDEX(Models!$BJ280:$BT280,,AH280)*(1-AF280)+INDEX(Models!$BJ280:$BT280,,AH280+1)*AF280-ERP_i)*AE280*Ramure*Pc/MaxiM</f>
        <v>2.9827555290555166E-4</v>
      </c>
      <c r="AE280" s="301">
        <f t="shared" si="117"/>
        <v>0.5</v>
      </c>
      <c r="AF280" s="173">
        <f t="shared" si="118"/>
        <v>0.98308839889115918</v>
      </c>
      <c r="AG280" s="801">
        <f t="shared" si="124"/>
        <v>2</v>
      </c>
      <c r="AH280" s="172">
        <f t="shared" si="119"/>
        <v>8</v>
      </c>
      <c r="AI280" s="221">
        <f t="shared" si="120"/>
        <v>2.9830883988911592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46654</v>
      </c>
      <c r="B281" s="406">
        <f>'2026'!Wh/'2026'!Env_an*'2027'!Env_an</f>
        <v>74.586789536740923</v>
      </c>
      <c r="C281" s="831"/>
      <c r="D281" s="388">
        <f t="shared" si="102"/>
        <v>76.898813237259574</v>
      </c>
      <c r="E281" s="380">
        <f t="shared" si="100"/>
        <v>80.154916347942205</v>
      </c>
      <c r="F281" s="380">
        <f t="shared" si="103"/>
        <v>80.159198809505696</v>
      </c>
      <c r="G281" s="110">
        <f t="shared" si="101"/>
        <v>0.42644960297743406</v>
      </c>
      <c r="H281" s="409" t="b">
        <f>Wh_hp&gt;='2026'!Maxi_hp</f>
        <v>0</v>
      </c>
      <c r="I281" s="385">
        <f>IF(H281,Wh_hp,'2026'!Maxi_hp)</f>
        <v>80.176027230313849</v>
      </c>
      <c r="J281" s="85">
        <f>IF(H281,An,'2026'!An_max)</f>
        <v>2022</v>
      </c>
      <c r="K281" s="193">
        <f t="shared" si="104"/>
        <v>46654</v>
      </c>
      <c r="L281" s="143">
        <f>IF(t&lt;Tvie,1-EXP((T0-t)*PertePVj)+'2026'!Pspv,1-EXP((T0-t)*PertePVj)+Pspv)</f>
        <v>3.0065791696749056E-2</v>
      </c>
      <c r="M281" s="835"/>
      <c r="N281" s="835"/>
      <c r="O281" s="48">
        <f>IF(t&lt;Tnet,'2026'!Resal+('2026'!Salim-'2026'!Resal)*(1-EXP(('2026'!Tnet-t)/('2026'!Tau_j))),Resal+(Salim-Resal)*(1-EXP((Tnet-t)/(Tau_j))))*Salcycl</f>
        <v>4.0622625024624825E-2</v>
      </c>
      <c r="P281" s="165">
        <f>(INDEX(Models!$BJ281:$BT281,,T281)*(1-R281)+INDEX(Models!$BJ281:$BT281,,T281+1)*R281-ERP_i)*Q281*Ramure*Pc/MaxiM</f>
        <v>2.9550589613481051E-4</v>
      </c>
      <c r="Q281" s="301">
        <f t="shared" si="105"/>
        <v>0.5</v>
      </c>
      <c r="R281" s="173">
        <f t="shared" si="106"/>
        <v>0.98335100868329484</v>
      </c>
      <c r="S281" s="801">
        <f t="shared" si="107"/>
        <v>2</v>
      </c>
      <c r="T281" s="172">
        <f t="shared" si="108"/>
        <v>8</v>
      </c>
      <c r="U281" s="247">
        <f t="shared" si="109"/>
        <v>2.9833510086832948</v>
      </c>
      <c r="V281" s="378">
        <f t="shared" si="110"/>
        <v>174.85942529661256</v>
      </c>
      <c r="W281" s="397">
        <f t="shared" si="111"/>
        <v>74.586789536740923</v>
      </c>
      <c r="X281" s="153">
        <f t="shared" si="112"/>
        <v>46654</v>
      </c>
      <c r="Y281" s="380">
        <f t="shared" si="113"/>
        <v>72.704095107199763</v>
      </c>
      <c r="Z281" s="380">
        <f t="shared" si="114"/>
        <v>74.957759490083632</v>
      </c>
      <c r="AA281" s="381">
        <f t="shared" si="115"/>
        <v>80.154916347942205</v>
      </c>
      <c r="AB281" s="193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6.4838903147230398E-2</v>
      </c>
      <c r="AD281" s="227">
        <f>(INDEX(Models!$BJ281:$BT281,,AH281)*(1-AF281)+INDEX(Models!$BJ281:$BT281,,AH281+1)*AF281-ERP_i)*AE281*Ramure*Pc/MaxiM</f>
        <v>2.9550589613481051E-4</v>
      </c>
      <c r="AE281" s="301">
        <f t="shared" si="117"/>
        <v>0.5</v>
      </c>
      <c r="AF281" s="173">
        <f t="shared" si="118"/>
        <v>0.98335100868329484</v>
      </c>
      <c r="AG281" s="801">
        <f t="shared" si="124"/>
        <v>2</v>
      </c>
      <c r="AH281" s="172">
        <f t="shared" si="119"/>
        <v>8</v>
      </c>
      <c r="AI281" s="221">
        <f t="shared" si="120"/>
        <v>2.9833510086832948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46655</v>
      </c>
      <c r="B282" s="406">
        <f>'2026'!Wh/'2026'!Env_an*'2027'!Env_an</f>
        <v>129.5486311044686</v>
      </c>
      <c r="C282" s="831"/>
      <c r="D282" s="388">
        <f t="shared" si="102"/>
        <v>133.5661774084075</v>
      </c>
      <c r="E282" s="380">
        <f t="shared" si="100"/>
        <v>139.22682734559308</v>
      </c>
      <c r="F282" s="380">
        <f t="shared" si="103"/>
        <v>139.25292107829674</v>
      </c>
      <c r="G282" s="110">
        <f t="shared" si="101"/>
        <v>0.74585994253368815</v>
      </c>
      <c r="H282" s="409" t="b">
        <f>Wh_hp&gt;='2026'!Maxi_hp</f>
        <v>0</v>
      </c>
      <c r="I282" s="385">
        <f>IF(H282,Wh_hp,'2026'!Maxi_hp)</f>
        <v>139.26582651103067</v>
      </c>
      <c r="J282" s="85">
        <f>IF(H282,An,'2026'!An_max)</f>
        <v>2022</v>
      </c>
      <c r="K282" s="193">
        <f t="shared" si="104"/>
        <v>46655</v>
      </c>
      <c r="L282" s="143">
        <f>IF(t&lt;Tvie,1-EXP((T0-t)*PertePVj)+'2026'!Pspv,1-EXP((T0-t)*PertePVj)+Pspv)</f>
        <v>3.0079069281547133E-2</v>
      </c>
      <c r="M282" s="835"/>
      <c r="N282" s="835"/>
      <c r="O282" s="48">
        <f>IF(t&lt;Tnet,'2026'!Resal+('2026'!Salim-'2026'!Resal)*(1-EXP(('2026'!Tnet-t)/('2026'!Tau_j))),Resal+(Salim-Resal)*(1-EXP((Tnet-t)/(Tau_j))))*Salcycl</f>
        <v>4.0657752856312346E-2</v>
      </c>
      <c r="P282" s="165">
        <f>(INDEX(Models!$BJ282:$BT282,,T282)*(1-R282)+INDEX(Models!$BJ282:$BT282,,T282+1)*R282-ERP_i)*Q282*Ramure*Pc/MaxiM</f>
        <v>2.9413987530894415E-4</v>
      </c>
      <c r="Q282" s="301">
        <f t="shared" si="105"/>
        <v>0.5</v>
      </c>
      <c r="R282" s="173">
        <f t="shared" si="106"/>
        <v>0.98360330761051351</v>
      </c>
      <c r="S282" s="801">
        <f t="shared" si="107"/>
        <v>2</v>
      </c>
      <c r="T282" s="172">
        <f t="shared" si="108"/>
        <v>8</v>
      </c>
      <c r="U282" s="247">
        <f t="shared" si="109"/>
        <v>2.9836033076105135</v>
      </c>
      <c r="V282" s="378">
        <f t="shared" si="110"/>
        <v>173.67174587872529</v>
      </c>
      <c r="W282" s="397">
        <f t="shared" si="111"/>
        <v>129.5486311044686</v>
      </c>
      <c r="X282" s="153">
        <f t="shared" si="112"/>
        <v>46655</v>
      </c>
      <c r="Y282" s="380">
        <f t="shared" si="113"/>
        <v>126.28302150370941</v>
      </c>
      <c r="Z282" s="380">
        <f t="shared" si="114"/>
        <v>130.19929512209552</v>
      </c>
      <c r="AA282" s="381">
        <f t="shared" si="115"/>
        <v>139.22682734559308</v>
      </c>
      <c r="AB282" s="193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6.4840464985165117E-2</v>
      </c>
      <c r="AD282" s="227">
        <f>(INDEX(Models!$BJ282:$BT282,,AH282)*(1-AF282)+INDEX(Models!$BJ282:$BT282,,AH282+1)*AF282-ERP_i)*AE282*Ramure*Pc/MaxiM</f>
        <v>2.9413987530894415E-4</v>
      </c>
      <c r="AE282" s="301">
        <f t="shared" si="117"/>
        <v>0.5</v>
      </c>
      <c r="AF282" s="173">
        <f t="shared" si="118"/>
        <v>0.98360330761051351</v>
      </c>
      <c r="AG282" s="801">
        <f t="shared" si="124"/>
        <v>2</v>
      </c>
      <c r="AH282" s="172">
        <f t="shared" si="119"/>
        <v>8</v>
      </c>
      <c r="AI282" s="221">
        <f t="shared" si="120"/>
        <v>2.9836033076105135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46656</v>
      </c>
      <c r="B283" s="406">
        <f>'2026'!Wh/'2026'!Env_an*'2027'!Env_an</f>
        <v>131.12555933248893</v>
      </c>
      <c r="C283" s="831"/>
      <c r="D283" s="388">
        <f t="shared" si="102"/>
        <v>135.19385983218643</v>
      </c>
      <c r="E283" s="380">
        <f t="shared" si="100"/>
        <v>140.92857172015249</v>
      </c>
      <c r="F283" s="380">
        <f t="shared" si="103"/>
        <v>140.95586313964438</v>
      </c>
      <c r="G283" s="110">
        <f t="shared" si="101"/>
        <v>0.76017192763639474</v>
      </c>
      <c r="H283" s="409" t="b">
        <f>Wh_hp&gt;='2026'!Maxi_hp</f>
        <v>0</v>
      </c>
      <c r="I283" s="385">
        <f>IF(H283,Wh_hp,'2026'!Maxi_hp)</f>
        <v>140.96821646202747</v>
      </c>
      <c r="J283" s="85">
        <f>IF(H283,An,'2026'!An_max)</f>
        <v>2022</v>
      </c>
      <c r="K283" s="193">
        <f t="shared" si="104"/>
        <v>46656</v>
      </c>
      <c r="L283" s="143">
        <f>IF(t&lt;Tvie,1-EXP((T0-t)*PertePVj)+'2026'!Pspv,1-EXP((T0-t)*PertePVj)+Pspv)</f>
        <v>3.0092346684586158E-2</v>
      </c>
      <c r="M283" s="835"/>
      <c r="N283" s="835"/>
      <c r="O283" s="48">
        <f>IF(t&lt;Tnet,'2026'!Resal+('2026'!Salim-'2026'!Resal)*(1-EXP(('2026'!Tnet-t)/('2026'!Tau_j))),Resal+(Salim-Resal)*(1-EXP((Tnet-t)/(Tau_j))))*Salcycl</f>
        <v>4.0692329582064514E-2</v>
      </c>
      <c r="P283" s="165">
        <f>(INDEX(Models!$BJ283:$BT283,,T283)*(1-R283)+INDEX(Models!$BJ283:$BT283,,T283+1)*R283-ERP_i)*Q283*Ramure*Pc/MaxiM</f>
        <v>2.9447506396246118E-4</v>
      </c>
      <c r="Q283" s="301">
        <f t="shared" si="105"/>
        <v>0.5</v>
      </c>
      <c r="R283" s="173">
        <f t="shared" si="106"/>
        <v>0.98384569047089121</v>
      </c>
      <c r="S283" s="801">
        <f t="shared" si="107"/>
        <v>2</v>
      </c>
      <c r="T283" s="172">
        <f t="shared" si="108"/>
        <v>8</v>
      </c>
      <c r="U283" s="247">
        <f t="shared" si="109"/>
        <v>2.9838456904708912</v>
      </c>
      <c r="V283" s="378">
        <f t="shared" si="110"/>
        <v>172.47720799078979</v>
      </c>
      <c r="W283" s="397">
        <f t="shared" si="111"/>
        <v>131.12555933248893</v>
      </c>
      <c r="X283" s="153">
        <f t="shared" si="112"/>
        <v>46656</v>
      </c>
      <c r="Y283" s="380">
        <f t="shared" si="113"/>
        <v>127.82470031948426</v>
      </c>
      <c r="Z283" s="380">
        <f t="shared" si="114"/>
        <v>131.79058839523941</v>
      </c>
      <c r="AA283" s="381">
        <f t="shared" si="115"/>
        <v>140.92857172015249</v>
      </c>
      <c r="AB283" s="193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6.4841239880432167E-2</v>
      </c>
      <c r="AD283" s="227">
        <f>(INDEX(Models!$BJ283:$BT283,,AH283)*(1-AF283)+INDEX(Models!$BJ283:$BT283,,AH283+1)*AF283-ERP_i)*AE283*Ramure*Pc/MaxiM</f>
        <v>2.9447506396246118E-4</v>
      </c>
      <c r="AE283" s="301">
        <f t="shared" si="117"/>
        <v>0.5</v>
      </c>
      <c r="AF283" s="173">
        <f t="shared" si="118"/>
        <v>0.98384569047089121</v>
      </c>
      <c r="AG283" s="801">
        <f t="shared" si="124"/>
        <v>2</v>
      </c>
      <c r="AH283" s="172">
        <f t="shared" si="119"/>
        <v>8</v>
      </c>
      <c r="AI283" s="221">
        <f t="shared" si="120"/>
        <v>2.9838456904708912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46657</v>
      </c>
      <c r="B284" s="406">
        <f>'2026'!Wh/'2026'!Env_an*'2027'!Env_an</f>
        <v>60.219211023478017</v>
      </c>
      <c r="C284" s="831"/>
      <c r="D284" s="388">
        <f t="shared" si="102"/>
        <v>62.088421695965742</v>
      </c>
      <c r="E284" s="380">
        <f t="shared" si="100"/>
        <v>64.724410081483455</v>
      </c>
      <c r="F284" s="380">
        <f t="shared" si="103"/>
        <v>64.725824593831661</v>
      </c>
      <c r="G284" s="110">
        <f t="shared" si="101"/>
        <v>0.35149231873055603</v>
      </c>
      <c r="H284" s="409" t="b">
        <f>Wh_hp&gt;='2026'!Maxi_hp</f>
        <v>0</v>
      </c>
      <c r="I284" s="385">
        <f>IF(H284,Wh_hp,'2026'!Maxi_hp)</f>
        <v>64.741286379220085</v>
      </c>
      <c r="J284" s="85">
        <f>IF(H284,An,'2026'!An_max)</f>
        <v>2022</v>
      </c>
      <c r="K284" s="193">
        <f t="shared" si="104"/>
        <v>46657</v>
      </c>
      <c r="L284" s="143">
        <f>IF(t&lt;Tvie,1-EXP((T0-t)*PertePVj)+'2026'!Pspv,1-EXP((T0-t)*PertePVj)+Pspv)</f>
        <v>3.0105623905868684E-2</v>
      </c>
      <c r="M284" s="835"/>
      <c r="N284" s="835"/>
      <c r="O284" s="48">
        <f>IF(t&lt;Tnet,'2026'!Resal+('2026'!Salim-'2026'!Resal)*(1-EXP(('2026'!Tnet-t)/('2026'!Tau_j))),Resal+(Salim-Resal)*(1-EXP((Tnet-t)/(Tau_j))))*Salcycl</f>
        <v>4.0726340838011271E-2</v>
      </c>
      <c r="P284" s="165">
        <f>(INDEX(Models!$BJ284:$BT284,,T284)*(1-R284)+INDEX(Models!$BJ284:$BT284,,T284+1)*R284-ERP_i)*Q284*Ramure*Pc/MaxiM</f>
        <v>2.9653159250412329E-4</v>
      </c>
      <c r="Q284" s="301">
        <f t="shared" si="105"/>
        <v>0.5</v>
      </c>
      <c r="R284" s="173">
        <f t="shared" si="106"/>
        <v>0.98407853772996035</v>
      </c>
      <c r="S284" s="801">
        <f t="shared" si="107"/>
        <v>2</v>
      </c>
      <c r="T284" s="172">
        <f t="shared" si="108"/>
        <v>8</v>
      </c>
      <c r="U284" s="247">
        <f t="shared" si="109"/>
        <v>2.9840785377299603</v>
      </c>
      <c r="V284" s="378">
        <f t="shared" si="110"/>
        <v>171.27734115525158</v>
      </c>
      <c r="W284" s="397">
        <f t="shared" si="111"/>
        <v>60.219211023478017</v>
      </c>
      <c r="X284" s="153">
        <f t="shared" si="112"/>
        <v>46657</v>
      </c>
      <c r="Y284" s="380">
        <f t="shared" si="113"/>
        <v>58.70538002821462</v>
      </c>
      <c r="Z284" s="380">
        <f t="shared" si="114"/>
        <v>60.52760122666912</v>
      </c>
      <c r="AA284" s="381">
        <f t="shared" si="115"/>
        <v>64.724410081483455</v>
      </c>
      <c r="AB284" s="193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6.4841206733763188E-2</v>
      </c>
      <c r="AD284" s="227">
        <f>(INDEX(Models!$BJ284:$BT284,,AH284)*(1-AF284)+INDEX(Models!$BJ284:$BT284,,AH284+1)*AF284-ERP_i)*AE284*Ramure*Pc/MaxiM</f>
        <v>2.9653159250412329E-4</v>
      </c>
      <c r="AE284" s="301">
        <f t="shared" si="117"/>
        <v>0.5</v>
      </c>
      <c r="AF284" s="173">
        <f t="shared" si="118"/>
        <v>0.98407853772996035</v>
      </c>
      <c r="AG284" s="801">
        <f t="shared" si="124"/>
        <v>2</v>
      </c>
      <c r="AH284" s="172">
        <f t="shared" si="119"/>
        <v>8</v>
      </c>
      <c r="AI284" s="221">
        <f t="shared" si="120"/>
        <v>2.9840785377299603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46658</v>
      </c>
      <c r="B285" s="406">
        <f>'2026'!Wh/'2026'!Env_an*'2027'!Env_an</f>
        <v>60.402065781318491</v>
      </c>
      <c r="C285" s="831"/>
      <c r="D285" s="388">
        <f t="shared" si="102"/>
        <v>62.277804815658079</v>
      </c>
      <c r="E285" s="380">
        <f t="shared" si="100"/>
        <v>64.924096217590872</v>
      </c>
      <c r="F285" s="380">
        <f t="shared" si="103"/>
        <v>64.925632532017815</v>
      </c>
      <c r="G285" s="110">
        <f t="shared" si="101"/>
        <v>0.35505409221298478</v>
      </c>
      <c r="H285" s="409" t="b">
        <f>Wh_hp&gt;='2026'!Maxi_hp</f>
        <v>0</v>
      </c>
      <c r="I285" s="385">
        <f>IF(H285,Wh_hp,'2026'!Maxi_hp)</f>
        <v>64.941266554955206</v>
      </c>
      <c r="J285" s="85">
        <f>IF(H285,An,'2026'!An_max)</f>
        <v>2022</v>
      </c>
      <c r="K285" s="193">
        <f t="shared" si="104"/>
        <v>46658</v>
      </c>
      <c r="L285" s="143">
        <f>IF(t&lt;Tvie,1-EXP((T0-t)*PertePVj)+'2026'!Pspv,1-EXP((T0-t)*PertePVj)+Pspv)</f>
        <v>3.0118900945397264E-2</v>
      </c>
      <c r="M285" s="835"/>
      <c r="N285" s="835"/>
      <c r="O285" s="48">
        <f>IF(t&lt;Tnet,'2026'!Resal+('2026'!Salim-'2026'!Resal)*(1-EXP(('2026'!Tnet-t)/('2026'!Tau_j))),Resal+(Salim-Resal)*(1-EXP((Tnet-t)/(Tau_j))))*Salcycl</f>
        <v>4.0759772659196399E-2</v>
      </c>
      <c r="P285" s="165">
        <f>(INDEX(Models!$BJ285:$BT285,,T285)*(1-R285)+INDEX(Models!$BJ285:$BT285,,T285+1)*R285-ERP_i)*Q285*Ramure*Pc/MaxiM</f>
        <v>3.003294430124401E-4</v>
      </c>
      <c r="Q285" s="301">
        <f t="shared" si="105"/>
        <v>0.5</v>
      </c>
      <c r="R285" s="173">
        <f t="shared" si="106"/>
        <v>0.98430221597924739</v>
      </c>
      <c r="S285" s="801">
        <f t="shared" si="107"/>
        <v>2</v>
      </c>
      <c r="T285" s="172">
        <f t="shared" si="108"/>
        <v>8</v>
      </c>
      <c r="U285" s="247">
        <f t="shared" si="109"/>
        <v>2.9843022159792474</v>
      </c>
      <c r="V285" s="378">
        <f t="shared" si="110"/>
        <v>170.073674592652</v>
      </c>
      <c r="W285" s="397">
        <f t="shared" si="111"/>
        <v>60.402065781318491</v>
      </c>
      <c r="X285" s="153">
        <f t="shared" si="112"/>
        <v>46658</v>
      </c>
      <c r="Y285" s="380">
        <f t="shared" si="113"/>
        <v>58.885744549306906</v>
      </c>
      <c r="Z285" s="380">
        <f t="shared" si="114"/>
        <v>60.714395410639646</v>
      </c>
      <c r="AA285" s="381">
        <f t="shared" si="115"/>
        <v>64.924096217590872</v>
      </c>
      <c r="AB285" s="193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6.484034514462178E-2</v>
      </c>
      <c r="AD285" s="227">
        <f>(INDEX(Models!$BJ285:$BT285,,AH285)*(1-AF285)+INDEX(Models!$BJ285:$BT285,,AH285+1)*AF285-ERP_i)*AE285*Ramure*Pc/MaxiM</f>
        <v>3.003294430124401E-4</v>
      </c>
      <c r="AE285" s="301">
        <f t="shared" si="117"/>
        <v>0.5</v>
      </c>
      <c r="AF285" s="173">
        <f t="shared" si="118"/>
        <v>0.98430221597924739</v>
      </c>
      <c r="AG285" s="801">
        <f t="shared" si="124"/>
        <v>2</v>
      </c>
      <c r="AH285" s="172">
        <f t="shared" si="119"/>
        <v>8</v>
      </c>
      <c r="AI285" s="221">
        <f t="shared" si="120"/>
        <v>2.9843022159792474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46659</v>
      </c>
      <c r="B286" s="406">
        <f>'2026'!Wh/'2026'!Env_an*'2027'!Env_an</f>
        <v>89.888227064796837</v>
      </c>
      <c r="C286" s="831"/>
      <c r="D286" s="388">
        <f t="shared" si="102"/>
        <v>92.68090455995646</v>
      </c>
      <c r="E286" s="380">
        <f t="shared" si="100"/>
        <v>96.622383938512627</v>
      </c>
      <c r="F286" s="380">
        <f t="shared" si="103"/>
        <v>96.632193170633087</v>
      </c>
      <c r="G286" s="110">
        <f t="shared" si="101"/>
        <v>0.53219078769157346</v>
      </c>
      <c r="H286" s="409" t="b">
        <f>Wh_hp&gt;='2026'!Maxi_hp</f>
        <v>0</v>
      </c>
      <c r="I286" s="385">
        <f>IF(H286,Wh_hp,'2026'!Maxi_hp)</f>
        <v>96.649393993788266</v>
      </c>
      <c r="J286" s="85">
        <f>IF(H286,An,'2026'!An_max)</f>
        <v>2022</v>
      </c>
      <c r="K286" s="193">
        <f t="shared" si="104"/>
        <v>46659</v>
      </c>
      <c r="L286" s="143">
        <f>IF(t&lt;Tvie,1-EXP((T0-t)*PertePVj)+'2026'!Pspv,1-EXP((T0-t)*PertePVj)+Pspv)</f>
        <v>3.0132177803174232E-2</v>
      </c>
      <c r="M286" s="835"/>
      <c r="N286" s="835"/>
      <c r="O286" s="48">
        <f>IF(t&lt;Tnet,'2026'!Resal+('2026'!Salim-'2026'!Resal)*(1-EXP(('2026'!Tnet-t)/('2026'!Tau_j))),Resal+(Salim-Resal)*(1-EXP((Tnet-t)/(Tau_j))))*Salcycl</f>
        <v>4.0792611586404195E-2</v>
      </c>
      <c r="P286" s="165">
        <f>(INDEX(Models!$BJ286:$BT286,,T286)*(1-R286)+INDEX(Models!$BJ286:$BT286,,T286+1)*R286-ERP_i)*Q286*Ramure*Pc/MaxiM</f>
        <v>3.0588823558087982E-4</v>
      </c>
      <c r="Q286" s="301">
        <f t="shared" si="105"/>
        <v>0.5</v>
      </c>
      <c r="R286" s="173">
        <f t="shared" si="106"/>
        <v>0.98451707838515734</v>
      </c>
      <c r="S286" s="801">
        <f t="shared" si="107"/>
        <v>2</v>
      </c>
      <c r="T286" s="172">
        <f t="shared" si="108"/>
        <v>8</v>
      </c>
      <c r="U286" s="247">
        <f t="shared" si="109"/>
        <v>2.9845170783851573</v>
      </c>
      <c r="V286" s="378">
        <f t="shared" si="110"/>
        <v>168.86773723319894</v>
      </c>
      <c r="W286" s="397">
        <f t="shared" si="111"/>
        <v>89.888227064796837</v>
      </c>
      <c r="X286" s="153">
        <f t="shared" si="112"/>
        <v>46659</v>
      </c>
      <c r="Y286" s="380">
        <f t="shared" si="113"/>
        <v>87.634851527187095</v>
      </c>
      <c r="Z286" s="380">
        <f t="shared" si="114"/>
        <v>90.357520397663436</v>
      </c>
      <c r="AA286" s="381">
        <f t="shared" si="115"/>
        <v>96.622383938512627</v>
      </c>
      <c r="AB286" s="193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6.4838635577817577E-2</v>
      </c>
      <c r="AD286" s="227">
        <f>(INDEX(Models!$BJ286:$BT286,,AH286)*(1-AF286)+INDEX(Models!$BJ286:$BT286,,AH286+1)*AF286-ERP_i)*AE286*Ramure*Pc/MaxiM</f>
        <v>3.0588823558087982E-4</v>
      </c>
      <c r="AE286" s="301">
        <f t="shared" si="117"/>
        <v>0.5</v>
      </c>
      <c r="AF286" s="173">
        <f t="shared" si="118"/>
        <v>0.98451707838515734</v>
      </c>
      <c r="AG286" s="801">
        <f t="shared" si="124"/>
        <v>2</v>
      </c>
      <c r="AH286" s="172">
        <f t="shared" si="119"/>
        <v>8</v>
      </c>
      <c r="AI286" s="221">
        <f t="shared" si="120"/>
        <v>2.9845170783851573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46660</v>
      </c>
      <c r="B287" s="406">
        <f>'2026'!Wh/'2026'!Env_an*'2027'!Env_an</f>
        <v>128.89241072744903</v>
      </c>
      <c r="C287" s="831"/>
      <c r="D287" s="388">
        <f t="shared" si="102"/>
        <v>132.89870251444322</v>
      </c>
      <c r="E287" s="380">
        <f t="shared" si="100"/>
        <v>138.55519692180843</v>
      </c>
      <c r="F287" s="380">
        <f t="shared" si="103"/>
        <v>138.58426610251993</v>
      </c>
      <c r="G287" s="110">
        <f t="shared" si="101"/>
        <v>0.76868816967983844</v>
      </c>
      <c r="H287" s="409" t="b">
        <f>Wh_hp&gt;='2026'!Maxi_hp</f>
        <v>0</v>
      </c>
      <c r="I287" s="385">
        <f>IF(H287,Wh_hp,'2026'!Maxi_hp)</f>
        <v>138.5967620238211</v>
      </c>
      <c r="J287" s="85">
        <f>IF(H287,An,'2026'!An_max)</f>
        <v>2022</v>
      </c>
      <c r="K287" s="193">
        <f t="shared" si="104"/>
        <v>46660</v>
      </c>
      <c r="L287" s="143">
        <f>IF(t&lt;Tvie,1-EXP((T0-t)*PertePVj)+'2026'!Pspv,1-EXP((T0-t)*PertePVj)+Pspv)</f>
        <v>3.0145454479202249E-2</v>
      </c>
      <c r="M287" s="835"/>
      <c r="N287" s="835"/>
      <c r="O287" s="48">
        <f>IF(t&lt;Tnet,'2026'!Resal+('2026'!Salim-'2026'!Resal)*(1-EXP(('2026'!Tnet-t)/('2026'!Tau_j))),Resal+(Salim-Resal)*(1-EXP((Tnet-t)/(Tau_j))))*Salcycl</f>
        <v>4.082484477689699E-2</v>
      </c>
      <c r="P287" s="165">
        <f>(INDEX(Models!$BJ287:$BT287,,T287)*(1-R287)+INDEX(Models!$BJ287:$BT287,,T287+1)*R287-ERP_i)*Q287*Ramure*Pc/MaxiM</f>
        <v>3.1322700537705873E-4</v>
      </c>
      <c r="Q287" s="301">
        <f t="shared" si="105"/>
        <v>0.5</v>
      </c>
      <c r="R287" s="173">
        <f t="shared" si="106"/>
        <v>0.98472346512796616</v>
      </c>
      <c r="S287" s="801">
        <f t="shared" si="107"/>
        <v>2</v>
      </c>
      <c r="T287" s="172">
        <f t="shared" si="108"/>
        <v>8</v>
      </c>
      <c r="U287" s="247">
        <f t="shared" si="109"/>
        <v>2.9847234651279662</v>
      </c>
      <c r="V287" s="378">
        <f t="shared" si="110"/>
        <v>167.66105771377016</v>
      </c>
      <c r="W287" s="397">
        <f t="shared" si="111"/>
        <v>128.89241072744903</v>
      </c>
      <c r="X287" s="153">
        <f t="shared" si="112"/>
        <v>46660</v>
      </c>
      <c r="Y287" s="380">
        <f t="shared" si="113"/>
        <v>125.66582240530535</v>
      </c>
      <c r="Z287" s="380">
        <f t="shared" si="114"/>
        <v>129.5718239252306</v>
      </c>
      <c r="AA287" s="381">
        <f t="shared" si="115"/>
        <v>138.55519692180843</v>
      </c>
      <c r="AB287" s="193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6.4836059535518256E-2</v>
      </c>
      <c r="AD287" s="227">
        <f>(INDEX(Models!$BJ287:$BT287,,AH287)*(1-AF287)+INDEX(Models!$BJ287:$BT287,,AH287+1)*AF287-ERP_i)*AE287*Ramure*Pc/MaxiM</f>
        <v>3.1322700537705873E-4</v>
      </c>
      <c r="AE287" s="301">
        <f t="shared" si="117"/>
        <v>0.5</v>
      </c>
      <c r="AF287" s="173">
        <f t="shared" si="118"/>
        <v>0.98472346512796616</v>
      </c>
      <c r="AG287" s="801">
        <f t="shared" si="124"/>
        <v>2</v>
      </c>
      <c r="AH287" s="172">
        <f t="shared" si="119"/>
        <v>8</v>
      </c>
      <c r="AI287" s="221">
        <f t="shared" si="120"/>
        <v>2.9847234651279662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46661</v>
      </c>
      <c r="B288" s="406">
        <f>'2026'!Wh/'2026'!Env_an*'2027'!Env_an</f>
        <v>146.10217086265544</v>
      </c>
      <c r="C288" s="831"/>
      <c r="D288" s="388">
        <f t="shared" si="102"/>
        <v>150.64544635155227</v>
      </c>
      <c r="E288" s="380">
        <f t="shared" si="100"/>
        <v>157.06246259045739</v>
      </c>
      <c r="F288" s="380">
        <f t="shared" si="103"/>
        <v>157.10426092615589</v>
      </c>
      <c r="G288" s="110">
        <f t="shared" si="101"/>
        <v>0.87767743534165299</v>
      </c>
      <c r="H288" s="409" t="b">
        <f>Wh_hp&gt;='2026'!Maxi_hp</f>
        <v>0</v>
      </c>
      <c r="I288" s="385">
        <f>IF(H288,Wh_hp,'2026'!Maxi_hp)</f>
        <v>157.11197366226085</v>
      </c>
      <c r="J288" s="85">
        <f>IF(H288,An,'2026'!An_max)</f>
        <v>2022</v>
      </c>
      <c r="K288" s="193">
        <f t="shared" si="104"/>
        <v>46661</v>
      </c>
      <c r="L288" s="143">
        <f>IF(t&lt;Tvie,1-EXP((T0-t)*PertePVj)+'2026'!Pspv,1-EXP((T0-t)*PertePVj)+Pspv)</f>
        <v>3.015873097348365E-2</v>
      </c>
      <c r="M288" s="835"/>
      <c r="N288" s="835"/>
      <c r="O288" s="48">
        <f>IF(t&lt;Tnet,'2026'!Resal+('2026'!Salim-'2026'!Resal)*(1-EXP(('2026'!Tnet-t)/('2026'!Tau_j))),Resal+(Salim-Resal)*(1-EXP((Tnet-t)/(Tau_j))))*Salcycl</f>
        <v>4.0856460118275262E-2</v>
      </c>
      <c r="P288" s="165">
        <f>(INDEX(Models!$BJ288:$BT288,,T288)*(1-R288)+INDEX(Models!$BJ288:$BT288,,T288+1)*R288-ERP_i)*Q288*Ramure*Pc/MaxiM</f>
        <v>3.2236397084166909E-4</v>
      </c>
      <c r="Q288" s="301">
        <f t="shared" si="105"/>
        <v>0.5</v>
      </c>
      <c r="R288" s="173">
        <f t="shared" si="106"/>
        <v>0.98492170383071453</v>
      </c>
      <c r="S288" s="801">
        <f t="shared" si="107"/>
        <v>2</v>
      </c>
      <c r="T288" s="172">
        <f t="shared" si="108"/>
        <v>8</v>
      </c>
      <c r="U288" s="247">
        <f t="shared" si="109"/>
        <v>2.9849217038307145</v>
      </c>
      <c r="V288" s="378">
        <f t="shared" si="110"/>
        <v>166.45516438253699</v>
      </c>
      <c r="W288" s="397">
        <f t="shared" si="111"/>
        <v>146.10217086265544</v>
      </c>
      <c r="X288" s="153">
        <f t="shared" si="112"/>
        <v>46661</v>
      </c>
      <c r="Y288" s="380">
        <f t="shared" si="113"/>
        <v>142.44998961864133</v>
      </c>
      <c r="Z288" s="380">
        <f t="shared" si="114"/>
        <v>146.87969482019085</v>
      </c>
      <c r="AA288" s="381">
        <f t="shared" si="115"/>
        <v>157.06246259045739</v>
      </c>
      <c r="AB288" s="193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6.4832599733382762E-2</v>
      </c>
      <c r="AD288" s="227">
        <f>(INDEX(Models!$BJ288:$BT288,,AH288)*(1-AF288)+INDEX(Models!$BJ288:$BT288,,AH288+1)*AF288-ERP_i)*AE288*Ramure*Pc/MaxiM</f>
        <v>3.2236397084166909E-4</v>
      </c>
      <c r="AE288" s="301">
        <f t="shared" si="117"/>
        <v>0.5</v>
      </c>
      <c r="AF288" s="173">
        <f t="shared" si="118"/>
        <v>0.98492170383071453</v>
      </c>
      <c r="AG288" s="801">
        <f t="shared" si="124"/>
        <v>2</v>
      </c>
      <c r="AH288" s="172">
        <f t="shared" si="119"/>
        <v>8</v>
      </c>
      <c r="AI288" s="221">
        <f t="shared" si="120"/>
        <v>2.9849217038307145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46662</v>
      </c>
      <c r="B289" s="406">
        <f>'2026'!Wh/'2026'!Env_an*'2027'!Env_an</f>
        <v>151.2521582843822</v>
      </c>
      <c r="C289" s="831"/>
      <c r="D289" s="388">
        <f t="shared" si="102"/>
        <v>155.95771561626742</v>
      </c>
      <c r="E289" s="380">
        <f t="shared" si="100"/>
        <v>162.60627078842629</v>
      </c>
      <c r="F289" s="380">
        <f t="shared" si="103"/>
        <v>162.65392825197807</v>
      </c>
      <c r="G289" s="110">
        <f t="shared" si="101"/>
        <v>0.91527446166919102</v>
      </c>
      <c r="H289" s="409" t="b">
        <f>Wh_hp&gt;='2026'!Maxi_hp</f>
        <v>0</v>
      </c>
      <c r="I289" s="385">
        <f>IF(H289,Wh_hp,'2026'!Maxi_hp)</f>
        <v>162.65964891476867</v>
      </c>
      <c r="J289" s="85">
        <f>IF(H289,An,'2026'!An_max)</f>
        <v>2022</v>
      </c>
      <c r="K289" s="193">
        <f t="shared" si="104"/>
        <v>46662</v>
      </c>
      <c r="L289" s="143">
        <f>IF(t&lt;Tvie,1-EXP((T0-t)*PertePVj)+'2026'!Pspv,1-EXP((T0-t)*PertePVj)+Pspv)</f>
        <v>3.0172007286020985E-2</v>
      </c>
      <c r="M289" s="835"/>
      <c r="N289" s="835"/>
      <c r="O289" s="48">
        <f>IF(t&lt;Tnet,'2026'!Resal+('2026'!Salim-'2026'!Resal)*(1-EXP(('2026'!Tnet-t)/('2026'!Tau_j))),Resal+(Salim-Resal)*(1-EXP((Tnet-t)/(Tau_j))))*Salcycl</f>
        <v>4.0887446344609779E-2</v>
      </c>
      <c r="P289" s="165">
        <f>(INDEX(Models!$BJ289:$BT289,,T289)*(1-R289)+INDEX(Models!$BJ289:$BT289,,T289+1)*R289-ERP_i)*Q289*Ramure*Pc/MaxiM</f>
        <v>3.3332620491982579E-4</v>
      </c>
      <c r="Q289" s="301">
        <f t="shared" si="105"/>
        <v>0.5</v>
      </c>
      <c r="R289" s="173">
        <f t="shared" si="106"/>
        <v>0.98511210997787124</v>
      </c>
      <c r="S289" s="801">
        <f t="shared" si="107"/>
        <v>2</v>
      </c>
      <c r="T289" s="172">
        <f t="shared" si="108"/>
        <v>8</v>
      </c>
      <c r="U289" s="247">
        <f t="shared" si="109"/>
        <v>2.9851121099778712</v>
      </c>
      <c r="V289" s="378">
        <f t="shared" si="110"/>
        <v>165.24667001802271</v>
      </c>
      <c r="W289" s="397">
        <f t="shared" si="111"/>
        <v>151.2521582843822</v>
      </c>
      <c r="X289" s="153">
        <f t="shared" si="112"/>
        <v>46662</v>
      </c>
      <c r="Y289" s="380">
        <f t="shared" si="113"/>
        <v>147.47669237072571</v>
      </c>
      <c r="Z289" s="380">
        <f t="shared" si="114"/>
        <v>152.06479239480916</v>
      </c>
      <c r="AA289" s="381">
        <f t="shared" si="115"/>
        <v>162.60627078842629</v>
      </c>
      <c r="AB289" s="193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6.4828240279448321E-2</v>
      </c>
      <c r="AD289" s="227">
        <f>(INDEX(Models!$BJ289:$BT289,,AH289)*(1-AF289)+INDEX(Models!$BJ289:$BT289,,AH289+1)*AF289-ERP_i)*AE289*Ramure*Pc/MaxiM</f>
        <v>3.3332620491982579E-4</v>
      </c>
      <c r="AE289" s="301">
        <f t="shared" si="117"/>
        <v>0.5</v>
      </c>
      <c r="AF289" s="173">
        <f t="shared" si="118"/>
        <v>0.98511210997787124</v>
      </c>
      <c r="AG289" s="801">
        <f t="shared" si="124"/>
        <v>2</v>
      </c>
      <c r="AH289" s="172">
        <f t="shared" si="119"/>
        <v>8</v>
      </c>
      <c r="AI289" s="221">
        <f t="shared" si="120"/>
        <v>2.9851121099778712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46663</v>
      </c>
      <c r="B290" s="406">
        <f>'2026'!Wh/'2026'!Env_an*'2027'!Env_an</f>
        <v>142.06750715677515</v>
      </c>
      <c r="C290" s="831"/>
      <c r="D290" s="388">
        <f t="shared" si="102"/>
        <v>146.4893290723638</v>
      </c>
      <c r="E290" s="380">
        <f t="shared" si="100"/>
        <v>152.73907494759342</v>
      </c>
      <c r="F290" s="380">
        <f t="shared" si="103"/>
        <v>152.78182883551369</v>
      </c>
      <c r="G290" s="110">
        <f t="shared" si="101"/>
        <v>0.86604143597018202</v>
      </c>
      <c r="H290" s="409" t="b">
        <f>Wh_hp&gt;='2026'!Maxi_hp</f>
        <v>0</v>
      </c>
      <c r="I290" s="385">
        <f>IF(H290,Wh_hp,'2026'!Maxi_hp)</f>
        <v>152.79064899002728</v>
      </c>
      <c r="J290" s="85">
        <f>IF(H290,An,'2026'!An_max)</f>
        <v>2022</v>
      </c>
      <c r="K290" s="193">
        <f t="shared" si="104"/>
        <v>46663</v>
      </c>
      <c r="L290" s="143">
        <f>IF(t&lt;Tvie,1-EXP((T0-t)*PertePVj)+'2026'!Pspv,1-EXP((T0-t)*PertePVj)+Pspv)</f>
        <v>3.018528341681681E-2</v>
      </c>
      <c r="M290" s="835"/>
      <c r="N290" s="835"/>
      <c r="O290" s="48">
        <f>IF(t&lt;Tnet,'2026'!Resal+('2026'!Salim-'2026'!Resal)*(1-EXP(('2026'!Tnet-t)/('2026'!Tau_j))),Resal+(Salim-Resal)*(1-EXP((Tnet-t)/(Tau_j))))*Salcycl</f>
        <v>4.0917793153939112E-2</v>
      </c>
      <c r="P290" s="165">
        <f>(INDEX(Models!$BJ290:$BT290,,T290)*(1-R290)+INDEX(Models!$BJ290:$BT290,,T290+1)*R290-ERP_i)*Q290*Ramure*Pc/MaxiM</f>
        <v>3.4602679598664252E-4</v>
      </c>
      <c r="Q290" s="301">
        <f t="shared" si="105"/>
        <v>0.5</v>
      </c>
      <c r="R290" s="173">
        <f t="shared" si="106"/>
        <v>0.98529498732365894</v>
      </c>
      <c r="S290" s="801">
        <f t="shared" si="107"/>
        <v>2</v>
      </c>
      <c r="T290" s="172">
        <f t="shared" si="108"/>
        <v>8</v>
      </c>
      <c r="U290" s="247">
        <f t="shared" si="109"/>
        <v>2.9852949873236589</v>
      </c>
      <c r="V290" s="378">
        <f t="shared" si="110"/>
        <v>164.03152908484623</v>
      </c>
      <c r="W290" s="397">
        <f t="shared" si="111"/>
        <v>142.06750715677515</v>
      </c>
      <c r="X290" s="153">
        <f t="shared" si="112"/>
        <v>46663</v>
      </c>
      <c r="Y290" s="380">
        <f t="shared" si="113"/>
        <v>138.52646717967912</v>
      </c>
      <c r="Z290" s="380">
        <f t="shared" si="114"/>
        <v>142.83807495490547</v>
      </c>
      <c r="AA290" s="381">
        <f t="shared" si="115"/>
        <v>152.73907494759342</v>
      </c>
      <c r="AB290" s="193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6.4822966854323955E-2</v>
      </c>
      <c r="AD290" s="227">
        <f>(INDEX(Models!$BJ290:$BT290,,AH290)*(1-AF290)+INDEX(Models!$BJ290:$BT290,,AH290+1)*AF290-ERP_i)*AE290*Ramure*Pc/MaxiM</f>
        <v>3.4602679598664252E-4</v>
      </c>
      <c r="AE290" s="301">
        <f t="shared" si="117"/>
        <v>0.5</v>
      </c>
      <c r="AF290" s="173">
        <f t="shared" si="118"/>
        <v>0.98529498732365894</v>
      </c>
      <c r="AG290" s="801">
        <f t="shared" si="124"/>
        <v>2</v>
      </c>
      <c r="AH290" s="172">
        <f t="shared" si="119"/>
        <v>8</v>
      </c>
      <c r="AI290" s="221">
        <f t="shared" si="120"/>
        <v>2.9852949873236589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46664</v>
      </c>
      <c r="B291" s="406">
        <f>'2026'!Wh/'2026'!Env_an*'2027'!Env_an</f>
        <v>162.56471119212458</v>
      </c>
      <c r="C291" s="831"/>
      <c r="D291" s="388">
        <f t="shared" si="102"/>
        <v>167.62679903406618</v>
      </c>
      <c r="E291" s="380">
        <f t="shared" si="100"/>
        <v>174.78375533979943</v>
      </c>
      <c r="F291" s="380">
        <f t="shared" si="103"/>
        <v>174.84655877342888</v>
      </c>
      <c r="G291" s="110">
        <f t="shared" si="101"/>
        <v>0.99849055918605112</v>
      </c>
      <c r="H291" s="409" t="b">
        <f>Wh_hp&gt;='2026'!Maxi_hp</f>
        <v>0</v>
      </c>
      <c r="I291" s="385">
        <f>IF(H291,Wh_hp,'2026'!Maxi_hp)</f>
        <v>174.84667705924409</v>
      </c>
      <c r="J291" s="85">
        <f>IF(H291,An,'2026'!An_max)</f>
        <v>2022</v>
      </c>
      <c r="K291" s="193">
        <f t="shared" si="104"/>
        <v>46664</v>
      </c>
      <c r="L291" s="143">
        <f>IF(t&lt;Tvie,1-EXP((T0-t)*PertePVj)+'2026'!Pspv,1-EXP((T0-t)*PertePVj)+Pspv)</f>
        <v>3.0198559365873567E-2</v>
      </c>
      <c r="M291" s="835"/>
      <c r="N291" s="835"/>
      <c r="O291" s="48">
        <f>IF(t&lt;Tnet,'2026'!Resal+('2026'!Salim-'2026'!Resal)*(1-EXP(('2026'!Tnet-t)/('2026'!Tau_j))),Resal+(Salim-Resal)*(1-EXP((Tnet-t)/(Tau_j))))*Salcycl</f>
        <v>4.0947491326177948E-2</v>
      </c>
      <c r="P291" s="165">
        <f>(INDEX(Models!$BJ291:$BT291,,T291)*(1-R291)+INDEX(Models!$BJ291:$BT291,,T291+1)*R291-ERP_i)*Q291*Ramure*Pc/MaxiM</f>
        <v>3.5996752071641063E-4</v>
      </c>
      <c r="Q291" s="301">
        <f t="shared" si="105"/>
        <v>0.5</v>
      </c>
      <c r="R291" s="173">
        <f t="shared" si="106"/>
        <v>0.98547062828998966</v>
      </c>
      <c r="S291" s="801">
        <f t="shared" si="107"/>
        <v>2</v>
      </c>
      <c r="T291" s="172">
        <f t="shared" si="108"/>
        <v>8</v>
      </c>
      <c r="U291" s="247">
        <f t="shared" si="109"/>
        <v>2.9854706282899897</v>
      </c>
      <c r="V291" s="378">
        <f t="shared" si="110"/>
        <v>162.81033759511328</v>
      </c>
      <c r="W291" s="397">
        <f t="shared" si="111"/>
        <v>162.56471119212458</v>
      </c>
      <c r="X291" s="153">
        <f t="shared" si="112"/>
        <v>46664</v>
      </c>
      <c r="Y291" s="380">
        <f t="shared" si="113"/>
        <v>158.51873680230202</v>
      </c>
      <c r="Z291" s="380">
        <f t="shared" si="114"/>
        <v>163.45483741357506</v>
      </c>
      <c r="AA291" s="381">
        <f t="shared" si="115"/>
        <v>174.78375533979943</v>
      </c>
      <c r="AB291" s="193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6.4816766891177338E-2</v>
      </c>
      <c r="AD291" s="227">
        <f>(INDEX(Models!$BJ291:$BT291,,AH291)*(1-AF291)+INDEX(Models!$BJ291:$BT291,,AH291+1)*AF291-ERP_i)*AE291*Ramure*Pc/MaxiM</f>
        <v>3.5996752071641063E-4</v>
      </c>
      <c r="AE291" s="301">
        <f t="shared" si="117"/>
        <v>0.5</v>
      </c>
      <c r="AF291" s="173">
        <f t="shared" si="118"/>
        <v>0.98547062828998966</v>
      </c>
      <c r="AG291" s="801">
        <f t="shared" si="124"/>
        <v>2</v>
      </c>
      <c r="AH291" s="172">
        <f t="shared" si="119"/>
        <v>8</v>
      </c>
      <c r="AI291" s="221">
        <f t="shared" si="120"/>
        <v>2.9854706282899897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46665</v>
      </c>
      <c r="B292" s="406">
        <f>'2026'!Wh/'2026'!Env_an*'2027'!Env_an</f>
        <v>165.21668279959533</v>
      </c>
      <c r="C292" s="831"/>
      <c r="D292" s="388">
        <f t="shared" si="102"/>
        <v>170.36368228136368</v>
      </c>
      <c r="E292" s="380">
        <f t="shared" si="100"/>
        <v>177.64287122811294</v>
      </c>
      <c r="F292" s="380">
        <f t="shared" si="103"/>
        <v>177.70954073163571</v>
      </c>
      <c r="G292" s="110">
        <f t="shared" si="101"/>
        <v>1.0224841894661147</v>
      </c>
      <c r="H292" s="409" t="b">
        <f>Wh_hp&gt;='2026'!Maxi_hp</f>
        <v>1</v>
      </c>
      <c r="I292" s="385">
        <f>IF(H292,Wh_hp,'2026'!Maxi_hp)</f>
        <v>177.70954073163571</v>
      </c>
      <c r="J292" s="85">
        <f>IF(H292,An,'2026'!An_max)</f>
        <v>2027</v>
      </c>
      <c r="K292" s="193">
        <f t="shared" si="104"/>
        <v>46665</v>
      </c>
      <c r="L292" s="143">
        <f>IF(t&lt;Tvie,1-EXP((T0-t)*PertePVj)+'2026'!Pspv,1-EXP((T0-t)*PertePVj)+Pspv)</f>
        <v>3.0211835133193699E-2</v>
      </c>
      <c r="M292" s="835"/>
      <c r="N292" s="835"/>
      <c r="O292" s="48">
        <f>IF(t&lt;Tnet,'2026'!Resal+('2026'!Salim-'2026'!Resal)*(1-EXP(('2026'!Tnet-t)/('2026'!Tau_j))),Resal+(Salim-Resal)*(1-EXP((Tnet-t)/(Tau_j))))*Salcycl</f>
        <v>4.0976532840442489E-2</v>
      </c>
      <c r="P292" s="165">
        <f>(INDEX(Models!$BJ292:$BT292,,T292)*(1-R292)+INDEX(Models!$BJ292:$BT292,,T292+1)*R292-ERP_i)*Q292*Ramure*Pc/MaxiM</f>
        <v>3.7515995623140224E-4</v>
      </c>
      <c r="Q292" s="301">
        <f t="shared" si="105"/>
        <v>0.5</v>
      </c>
      <c r="R292" s="173">
        <f t="shared" si="106"/>
        <v>0.98563931435397123</v>
      </c>
      <c r="S292" s="801">
        <f t="shared" si="107"/>
        <v>2</v>
      </c>
      <c r="T292" s="172">
        <f t="shared" si="108"/>
        <v>8</v>
      </c>
      <c r="U292" s="247">
        <f t="shared" si="109"/>
        <v>2.9856393143539712</v>
      </c>
      <c r="V292" s="378">
        <f t="shared" si="110"/>
        <v>161.58360637914842</v>
      </c>
      <c r="W292" s="397">
        <f t="shared" si="111"/>
        <v>165.21668279959533</v>
      </c>
      <c r="X292" s="153">
        <f t="shared" si="112"/>
        <v>46665</v>
      </c>
      <c r="Y292" s="380">
        <f t="shared" si="113"/>
        <v>161.11081328990187</v>
      </c>
      <c r="Z292" s="380">
        <f t="shared" si="114"/>
        <v>166.1299025153904</v>
      </c>
      <c r="AA292" s="381">
        <f t="shared" si="115"/>
        <v>177.64287122811294</v>
      </c>
      <c r="AB292" s="193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6.4809629753949535E-2</v>
      </c>
      <c r="AD292" s="227">
        <f>(INDEX(Models!$BJ292:$BT292,,AH292)*(1-AF292)+INDEX(Models!$BJ292:$BT292,,AH292+1)*AF292-ERP_i)*AE292*Ramure*Pc/MaxiM</f>
        <v>3.7515995623140224E-4</v>
      </c>
      <c r="AE292" s="301">
        <f t="shared" si="117"/>
        <v>0.5</v>
      </c>
      <c r="AF292" s="173">
        <f t="shared" si="118"/>
        <v>0.98563931435397123</v>
      </c>
      <c r="AG292" s="801">
        <f t="shared" si="124"/>
        <v>2</v>
      </c>
      <c r="AH292" s="172">
        <f t="shared" si="119"/>
        <v>8</v>
      </c>
      <c r="AI292" s="221">
        <f t="shared" si="120"/>
        <v>2.9856393143539712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46666</v>
      </c>
      <c r="B293" s="406">
        <f>'2026'!Wh/'2026'!Env_an*'2027'!Env_an</f>
        <v>55.474773063961685</v>
      </c>
      <c r="C293" s="831"/>
      <c r="D293" s="388">
        <f t="shared" si="102"/>
        <v>57.203763138349132</v>
      </c>
      <c r="E293" s="380">
        <f t="shared" si="100"/>
        <v>59.649693511411144</v>
      </c>
      <c r="F293" s="380">
        <f t="shared" si="103"/>
        <v>59.651227169067496</v>
      </c>
      <c r="G293" s="110">
        <f t="shared" si="101"/>
        <v>0.34582996969993496</v>
      </c>
      <c r="H293" s="409" t="b">
        <f>Wh_hp&gt;='2026'!Maxi_hp</f>
        <v>0</v>
      </c>
      <c r="I293" s="385">
        <f>IF(H293,Wh_hp,'2026'!Maxi_hp)</f>
        <v>59.670237446224867</v>
      </c>
      <c r="J293" s="85">
        <f>IF(H293,An,'2026'!An_max)</f>
        <v>2022</v>
      </c>
      <c r="K293" s="193">
        <f t="shared" si="104"/>
        <v>46666</v>
      </c>
      <c r="L293" s="143">
        <f>IF(t&lt;Tvie,1-EXP((T0-t)*PertePVj)+'2026'!Pspv,1-EXP((T0-t)*PertePVj)+Pspv)</f>
        <v>3.0225110718779646E-2</v>
      </c>
      <c r="M293" s="835"/>
      <c r="N293" s="835"/>
      <c r="O293" s="48">
        <f>IF(t&lt;Tnet,'2026'!Resal+('2026'!Salim-'2026'!Resal)*(1-EXP(('2026'!Tnet-t)/('2026'!Tau_j))),Resal+(Salim-Resal)*(1-EXP((Tnet-t)/(Tau_j))))*Salcycl</f>
        <v>4.1004910990768119E-2</v>
      </c>
      <c r="P293" s="165">
        <f>(INDEX(Models!$BJ293:$BT293,,T293)*(1-R293)+INDEX(Models!$BJ293:$BT293,,T293+1)*R293-ERP_i)*Q293*Ramure*Pc/MaxiM</f>
        <v>3.9161522745068898E-4</v>
      </c>
      <c r="Q293" s="301">
        <f t="shared" si="105"/>
        <v>0.5</v>
      </c>
      <c r="R293" s="173">
        <f t="shared" si="106"/>
        <v>0.98580131642501057</v>
      </c>
      <c r="S293" s="801">
        <f t="shared" si="107"/>
        <v>2</v>
      </c>
      <c r="T293" s="172">
        <f t="shared" si="108"/>
        <v>8</v>
      </c>
      <c r="U293" s="247">
        <f t="shared" si="109"/>
        <v>2.9858013164250106</v>
      </c>
      <c r="V293" s="378">
        <f t="shared" si="110"/>
        <v>160.35184603465427</v>
      </c>
      <c r="W293" s="397">
        <f t="shared" si="111"/>
        <v>55.474773063961685</v>
      </c>
      <c r="X293" s="153">
        <f t="shared" si="112"/>
        <v>46666</v>
      </c>
      <c r="Y293" s="380">
        <f t="shared" si="113"/>
        <v>54.09821442194545</v>
      </c>
      <c r="Z293" s="380">
        <f t="shared" si="114"/>
        <v>55.784301099033478</v>
      </c>
      <c r="AA293" s="381">
        <f t="shared" si="115"/>
        <v>59.649693511411144</v>
      </c>
      <c r="AB293" s="193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6.480154691219342E-2</v>
      </c>
      <c r="AD293" s="227">
        <f>(INDEX(Models!$BJ293:$BT293,,AH293)*(1-AF293)+INDEX(Models!$BJ293:$BT293,,AH293+1)*AF293-ERP_i)*AE293*Ramure*Pc/MaxiM</f>
        <v>3.9161522745068898E-4</v>
      </c>
      <c r="AE293" s="301">
        <f t="shared" si="117"/>
        <v>0.5</v>
      </c>
      <c r="AF293" s="173">
        <f t="shared" si="118"/>
        <v>0.98580131642501057</v>
      </c>
      <c r="AG293" s="801">
        <f t="shared" si="124"/>
        <v>2</v>
      </c>
      <c r="AH293" s="172">
        <f t="shared" si="119"/>
        <v>8</v>
      </c>
      <c r="AI293" s="221">
        <f t="shared" si="120"/>
        <v>2.9858013164250106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46667</v>
      </c>
      <c r="B294" s="406">
        <f>'2026'!Wh/'2026'!Env_an*'2027'!Env_an</f>
        <v>113.99508939264355</v>
      </c>
      <c r="C294" s="831"/>
      <c r="D294" s="388">
        <f t="shared" si="102"/>
        <v>117.54959957309585</v>
      </c>
      <c r="E294" s="380">
        <f t="shared" si="100"/>
        <v>122.57935158783428</v>
      </c>
      <c r="F294" s="380">
        <f t="shared" si="103"/>
        <v>122.60920919133879</v>
      </c>
      <c r="G294" s="110">
        <f t="shared" si="101"/>
        <v>0.716310689783346</v>
      </c>
      <c r="H294" s="409" t="b">
        <f>Wh_hp&gt;='2026'!Maxi_hp</f>
        <v>0</v>
      </c>
      <c r="I294" s="385">
        <f>IF(H294,Wh_hp,'2026'!Maxi_hp)</f>
        <v>122.62690257230749</v>
      </c>
      <c r="J294" s="85">
        <f>IF(H294,An,'2026'!An_max)</f>
        <v>2022</v>
      </c>
      <c r="K294" s="193">
        <f t="shared" si="104"/>
        <v>46667</v>
      </c>
      <c r="L294" s="143">
        <f>IF(t&lt;Tvie,1-EXP((T0-t)*PertePVj)+'2026'!Pspv,1-EXP((T0-t)*PertePVj)+Pspv)</f>
        <v>3.0238386122634076E-2</v>
      </c>
      <c r="M294" s="835"/>
      <c r="N294" s="835"/>
      <c r="O294" s="48">
        <f>IF(t&lt;Tnet,'2026'!Resal+('2026'!Salim-'2026'!Resal)*(1-EXP(('2026'!Tnet-t)/('2026'!Tau_j))),Resal+(Salim-Resal)*(1-EXP((Tnet-t)/(Tau_j))))*Salcycl</f>
        <v>4.1032620499174076E-2</v>
      </c>
      <c r="P294" s="165">
        <f>(INDEX(Models!$BJ294:$BT294,,T294)*(1-R294)+INDEX(Models!$BJ294:$BT294,,T294+1)*R294-ERP_i)*Q294*Ramure*Pc/MaxiM</f>
        <v>4.0934395922454458E-4</v>
      </c>
      <c r="Q294" s="301">
        <f t="shared" si="105"/>
        <v>0.5</v>
      </c>
      <c r="R294" s="173">
        <f t="shared" si="106"/>
        <v>0.98595689521153318</v>
      </c>
      <c r="S294" s="801">
        <f t="shared" si="107"/>
        <v>2</v>
      </c>
      <c r="T294" s="172">
        <f t="shared" si="108"/>
        <v>8</v>
      </c>
      <c r="U294" s="247">
        <f t="shared" si="109"/>
        <v>2.9859568952115332</v>
      </c>
      <c r="V294" s="378">
        <f t="shared" si="110"/>
        <v>159.11556691684825</v>
      </c>
      <c r="W294" s="397">
        <f t="shared" si="111"/>
        <v>113.99508939264355</v>
      </c>
      <c r="X294" s="153">
        <f t="shared" si="112"/>
        <v>46667</v>
      </c>
      <c r="Y294" s="380">
        <f t="shared" si="113"/>
        <v>111.17068574123971</v>
      </c>
      <c r="Z294" s="380">
        <f t="shared" si="114"/>
        <v>114.63712746553209</v>
      </c>
      <c r="AA294" s="381">
        <f t="shared" si="115"/>
        <v>122.57935158783428</v>
      </c>
      <c r="AB294" s="193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6.4792512110909528E-2</v>
      </c>
      <c r="AD294" s="227">
        <f>(INDEX(Models!$BJ294:$BT294,,AH294)*(1-AF294)+INDEX(Models!$BJ294:$BT294,,AH294+1)*AF294-ERP_i)*AE294*Ramure*Pc/MaxiM</f>
        <v>4.0934395922454458E-4</v>
      </c>
      <c r="AE294" s="301">
        <f t="shared" si="117"/>
        <v>0.5</v>
      </c>
      <c r="AF294" s="173">
        <f t="shared" si="118"/>
        <v>0.98595689521153318</v>
      </c>
      <c r="AG294" s="801">
        <f t="shared" si="124"/>
        <v>2</v>
      </c>
      <c r="AH294" s="172">
        <f t="shared" si="119"/>
        <v>8</v>
      </c>
      <c r="AI294" s="221">
        <f t="shared" si="120"/>
        <v>2.9859568952115332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46668</v>
      </c>
      <c r="B295" s="406">
        <f>'2026'!Wh/'2026'!Env_an*'2027'!Env_an</f>
        <v>63.692059466007635</v>
      </c>
      <c r="C295" s="831"/>
      <c r="D295" s="388">
        <f t="shared" si="102"/>
        <v>65.678957031604739</v>
      </c>
      <c r="E295" s="380">
        <f t="shared" si="100"/>
        <v>68.491181494084842</v>
      </c>
      <c r="F295" s="380">
        <f t="shared" si="103"/>
        <v>68.495516875463878</v>
      </c>
      <c r="G295" s="110">
        <f t="shared" si="101"/>
        <v>0.40328547194429587</v>
      </c>
      <c r="H295" s="409" t="b">
        <f>Wh_hp&gt;='2026'!Maxi_hp</f>
        <v>0</v>
      </c>
      <c r="I295" s="385">
        <f>IF(H295,Wh_hp,'2026'!Maxi_hp)</f>
        <v>68.517254335797233</v>
      </c>
      <c r="J295" s="85">
        <f>IF(H295,An,'2026'!An_max)</f>
        <v>2022</v>
      </c>
      <c r="K295" s="193">
        <f t="shared" si="104"/>
        <v>46668</v>
      </c>
      <c r="L295" s="143">
        <f>IF(t&lt;Tvie,1-EXP((T0-t)*PertePVj)+'2026'!Pspv,1-EXP((T0-t)*PertePVj)+Pspv)</f>
        <v>3.0251661344759317E-2</v>
      </c>
      <c r="M295" s="835"/>
      <c r="N295" s="835"/>
      <c r="O295" s="48">
        <f>IF(t&lt;Tnet,'2026'!Resal+('2026'!Salim-'2026'!Resal)*(1-EXP(('2026'!Tnet-t)/('2026'!Tau_j))),Resal+(Salim-Resal)*(1-EXP((Tnet-t)/(Tau_j))))*Salcycl</f>
        <v>4.1059657625018127E-2</v>
      </c>
      <c r="P295" s="165">
        <f>(INDEX(Models!$BJ295:$BT295,,T295)*(1-R295)+INDEX(Models!$BJ295:$BT295,,T295+1)*R295-ERP_i)*Q295*Ramure*Pc/MaxiM</f>
        <v>4.2835623290080922E-4</v>
      </c>
      <c r="Q295" s="301">
        <f t="shared" si="105"/>
        <v>0.5</v>
      </c>
      <c r="R295" s="173">
        <f t="shared" si="106"/>
        <v>0.98610630157739454</v>
      </c>
      <c r="S295" s="801">
        <f t="shared" si="107"/>
        <v>2</v>
      </c>
      <c r="T295" s="172">
        <f t="shared" si="108"/>
        <v>8</v>
      </c>
      <c r="U295" s="247">
        <f t="shared" si="109"/>
        <v>2.9861063015773945</v>
      </c>
      <c r="V295" s="378">
        <f t="shared" si="110"/>
        <v>157.87527913197763</v>
      </c>
      <c r="W295" s="397">
        <f t="shared" si="111"/>
        <v>63.692059466007635</v>
      </c>
      <c r="X295" s="153">
        <f t="shared" si="112"/>
        <v>46668</v>
      </c>
      <c r="Y295" s="380">
        <f t="shared" si="113"/>
        <v>62.116405598910447</v>
      </c>
      <c r="Z295" s="380">
        <f t="shared" si="114"/>
        <v>64.05415005407265</v>
      </c>
      <c r="AA295" s="381">
        <f t="shared" si="115"/>
        <v>68.491181494084842</v>
      </c>
      <c r="AB295" s="193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6.4782521533744919E-2</v>
      </c>
      <c r="AD295" s="227">
        <f>(INDEX(Models!$BJ295:$BT295,,AH295)*(1-AF295)+INDEX(Models!$BJ295:$BT295,,AH295+1)*AF295-ERP_i)*AE295*Ramure*Pc/MaxiM</f>
        <v>4.2835623290080922E-4</v>
      </c>
      <c r="AE295" s="301">
        <f t="shared" si="117"/>
        <v>0.5</v>
      </c>
      <c r="AF295" s="173">
        <f t="shared" si="118"/>
        <v>0.98610630157739454</v>
      </c>
      <c r="AG295" s="801">
        <f t="shared" si="124"/>
        <v>2</v>
      </c>
      <c r="AH295" s="172">
        <f t="shared" si="119"/>
        <v>8</v>
      </c>
      <c r="AI295" s="221">
        <f t="shared" si="120"/>
        <v>2.9861063015773945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46669</v>
      </c>
      <c r="B296" s="406">
        <f>'2026'!Wh/'2026'!Env_an*'2027'!Env_an</f>
        <v>150.18886799349144</v>
      </c>
      <c r="C296" s="831"/>
      <c r="D296" s="388">
        <f t="shared" si="102"/>
        <v>154.87618590755963</v>
      </c>
      <c r="E296" s="380">
        <f t="shared" si="100"/>
        <v>161.51207426457651</v>
      </c>
      <c r="F296" s="380">
        <f t="shared" si="103"/>
        <v>161.58032468723295</v>
      </c>
      <c r="G296" s="110">
        <f t="shared" si="101"/>
        <v>0.95884243123268076</v>
      </c>
      <c r="H296" s="409" t="b">
        <f>Wh_hp&gt;='2026'!Maxi_hp</f>
        <v>0</v>
      </c>
      <c r="I296" s="385">
        <f>IF(H296,Wh_hp,'2026'!Maxi_hp)</f>
        <v>161.58402633756273</v>
      </c>
      <c r="J296" s="85">
        <f>IF(H296,An,'2026'!An_max)</f>
        <v>2022</v>
      </c>
      <c r="K296" s="193">
        <f t="shared" si="104"/>
        <v>46669</v>
      </c>
      <c r="L296" s="143">
        <f>IF(t&lt;Tvie,1-EXP((T0-t)*PertePVj)+'2026'!Pspv,1-EXP((T0-t)*PertePVj)+Pspv)</f>
        <v>3.0264936385157926E-2</v>
      </c>
      <c r="M296" s="835"/>
      <c r="N296" s="835"/>
      <c r="O296" s="48">
        <f>IF(t&lt;Tnet,'2026'!Resal+('2026'!Salim-'2026'!Resal)*(1-EXP(('2026'!Tnet-t)/('2026'!Tau_j))),Resal+(Salim-Resal)*(1-EXP((Tnet-t)/(Tau_j))))*Salcycl</f>
        <v>4.1086020269583537E-2</v>
      </c>
      <c r="P296" s="165">
        <f>(INDEX(Models!$BJ296:$BT296,,T296)*(1-R296)+INDEX(Models!$BJ296:$BT296,,T296+1)*R296-ERP_i)*Q296*Ramure*Pc/MaxiM</f>
        <v>4.4876261872075547E-4</v>
      </c>
      <c r="Q296" s="301">
        <f t="shared" si="105"/>
        <v>0.5</v>
      </c>
      <c r="R296" s="173">
        <f t="shared" si="106"/>
        <v>0.98624977688805693</v>
      </c>
      <c r="S296" s="801">
        <f t="shared" si="107"/>
        <v>2</v>
      </c>
      <c r="T296" s="172">
        <f t="shared" si="108"/>
        <v>8</v>
      </c>
      <c r="U296" s="247">
        <f t="shared" si="109"/>
        <v>2.9862497768880569</v>
      </c>
      <c r="V296" s="378">
        <f t="shared" si="110"/>
        <v>156.63147669269856</v>
      </c>
      <c r="W296" s="397">
        <f t="shared" si="111"/>
        <v>150.18886799349144</v>
      </c>
      <c r="X296" s="153">
        <f t="shared" si="112"/>
        <v>46669</v>
      </c>
      <c r="Y296" s="380">
        <f t="shared" si="113"/>
        <v>146.47914368928232</v>
      </c>
      <c r="Z296" s="380">
        <f t="shared" si="114"/>
        <v>151.05068300124981</v>
      </c>
      <c r="AA296" s="381">
        <f t="shared" si="115"/>
        <v>161.51207426457651</v>
      </c>
      <c r="AB296" s="193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6.4771573957930109E-2</v>
      </c>
      <c r="AD296" s="227">
        <f>(INDEX(Models!$BJ296:$BT296,,AH296)*(1-AF296)+INDEX(Models!$BJ296:$BT296,,AH296+1)*AF296-ERP_i)*AE296*Ramure*Pc/MaxiM</f>
        <v>4.4876261872075547E-4</v>
      </c>
      <c r="AE296" s="301">
        <f t="shared" si="117"/>
        <v>0.5</v>
      </c>
      <c r="AF296" s="173">
        <f t="shared" si="118"/>
        <v>0.98624977688805693</v>
      </c>
      <c r="AG296" s="801">
        <f t="shared" si="124"/>
        <v>2</v>
      </c>
      <c r="AH296" s="172">
        <f t="shared" si="119"/>
        <v>8</v>
      </c>
      <c r="AI296" s="221">
        <f t="shared" si="120"/>
        <v>2.9862497768880569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46670</v>
      </c>
      <c r="B297" s="406">
        <f>'2026'!Wh/'2026'!Env_an*'2027'!Env_an</f>
        <v>120.16108460166349</v>
      </c>
      <c r="C297" s="831"/>
      <c r="D297" s="388">
        <f t="shared" si="102"/>
        <v>123.91294698636239</v>
      </c>
      <c r="E297" s="380">
        <f t="shared" ref="E297:E360" si="125">Wh_pvt/(1-Psa)</f>
        <v>129.22563350688492</v>
      </c>
      <c r="F297" s="380">
        <f t="shared" si="103"/>
        <v>129.26665042030271</v>
      </c>
      <c r="G297" s="110">
        <f t="shared" ref="G297:G360" si="126">+Wh_hp/MaxiM</f>
        <v>0.77319507984916958</v>
      </c>
      <c r="H297" s="409" t="b">
        <f>Wh_hp&gt;='2026'!Maxi_hp</f>
        <v>0</v>
      </c>
      <c r="I297" s="385">
        <f>IF(H297,Wh_hp,'2026'!Maxi_hp)</f>
        <v>129.28371187059687</v>
      </c>
      <c r="J297" s="85">
        <f>IF(H297,An,'2026'!An_max)</f>
        <v>2022</v>
      </c>
      <c r="K297" s="193">
        <f t="shared" si="104"/>
        <v>46670</v>
      </c>
      <c r="L297" s="143">
        <f>IF(t&lt;Tvie,1-EXP((T0-t)*PertePVj)+'2026'!Pspv,1-EXP((T0-t)*PertePVj)+Pspv)</f>
        <v>3.0278211243832454E-2</v>
      </c>
      <c r="M297" s="835"/>
      <c r="N297" s="835"/>
      <c r="O297" s="48">
        <f>IF(t&lt;Tnet,'2026'!Resal+('2026'!Salim-'2026'!Resal)*(1-EXP(('2026'!Tnet-t)/('2026'!Tau_j))),Resal+(Salim-Resal)*(1-EXP((Tnet-t)/(Tau_j))))*Salcycl</f>
        <v>4.1111708074849297E-2</v>
      </c>
      <c r="P297" s="165">
        <f>(INDEX(Models!$BJ297:$BT297,,T297)*(1-R297)+INDEX(Models!$BJ297:$BT297,,T297+1)*R297-ERP_i)*Q297*Ramure*Pc/MaxiM</f>
        <v>4.692739220579926E-4</v>
      </c>
      <c r="Q297" s="301">
        <f t="shared" si="105"/>
        <v>0.5</v>
      </c>
      <c r="R297" s="173">
        <f t="shared" si="106"/>
        <v>0.98638755334664818</v>
      </c>
      <c r="S297" s="801">
        <f t="shared" si="107"/>
        <v>2</v>
      </c>
      <c r="T297" s="172">
        <f t="shared" si="108"/>
        <v>8</v>
      </c>
      <c r="U297" s="247">
        <f t="shared" si="109"/>
        <v>2.9863875533466482</v>
      </c>
      <c r="V297" s="378">
        <f t="shared" si="110"/>
        <v>155.38487135785704</v>
      </c>
      <c r="W297" s="397">
        <f t="shared" si="111"/>
        <v>120.16108460166349</v>
      </c>
      <c r="X297" s="153">
        <f t="shared" si="112"/>
        <v>46670</v>
      </c>
      <c r="Y297" s="380">
        <f t="shared" si="113"/>
        <v>117.19768950596662</v>
      </c>
      <c r="Z297" s="380">
        <f t="shared" si="114"/>
        <v>120.85702400921868</v>
      </c>
      <c r="AA297" s="381">
        <f t="shared" si="115"/>
        <v>129.22563350688492</v>
      </c>
      <c r="AB297" s="193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6.4759670899352723E-2</v>
      </c>
      <c r="AD297" s="227">
        <f>(INDEX(Models!$BJ297:$BT297,,AH297)*(1-AF297)+INDEX(Models!$BJ297:$BT297,,AH297+1)*AF297-ERP_i)*AE297*Ramure*Pc/MaxiM</f>
        <v>4.692739220579926E-4</v>
      </c>
      <c r="AE297" s="301">
        <f t="shared" si="117"/>
        <v>0.5</v>
      </c>
      <c r="AF297" s="173">
        <f t="shared" si="118"/>
        <v>0.98638755334664818</v>
      </c>
      <c r="AG297" s="801">
        <f t="shared" si="124"/>
        <v>2</v>
      </c>
      <c r="AH297" s="172">
        <f t="shared" si="119"/>
        <v>8</v>
      </c>
      <c r="AI297" s="221">
        <f t="shared" si="120"/>
        <v>2.9863875533466482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46671</v>
      </c>
      <c r="B298" s="406">
        <f>'2026'!Wh/'2026'!Env_an*'2027'!Env_an</f>
        <v>92.50724177221106</v>
      </c>
      <c r="C298" s="831"/>
      <c r="D298" s="388">
        <f t="shared" si="102"/>
        <v>95.39695736305994</v>
      </c>
      <c r="E298" s="380">
        <f t="shared" si="125"/>
        <v>99.489634865689723</v>
      </c>
      <c r="F298" s="380">
        <f t="shared" si="103"/>
        <v>99.510538767043045</v>
      </c>
      <c r="G298" s="110">
        <f t="shared" si="126"/>
        <v>0.5999985022413814</v>
      </c>
      <c r="H298" s="409" t="b">
        <f>Wh_hp&gt;='2026'!Maxi_hp</f>
        <v>0</v>
      </c>
      <c r="I298" s="385">
        <f>IF(H298,Wh_hp,'2026'!Maxi_hp)</f>
        <v>99.534723219686853</v>
      </c>
      <c r="J298" s="85">
        <f>IF(H298,An,'2026'!An_max)</f>
        <v>2022</v>
      </c>
      <c r="K298" s="193">
        <f t="shared" si="104"/>
        <v>46671</v>
      </c>
      <c r="L298" s="143">
        <f>IF(t&lt;Tvie,1-EXP((T0-t)*PertePVj)+'2026'!Pspv,1-EXP((T0-t)*PertePVj)+Pspv)</f>
        <v>3.0291485920785233E-2</v>
      </c>
      <c r="M298" s="835"/>
      <c r="N298" s="835"/>
      <c r="O298" s="48">
        <f>IF(t&lt;Tnet,'2026'!Resal+('2026'!Salim-'2026'!Resal)*(1-EXP(('2026'!Tnet-t)/('2026'!Tau_j))),Resal+(Salim-Resal)*(1-EXP((Tnet-t)/(Tau_j))))*Salcycl</f>
        <v>4.1136722515414503E-2</v>
      </c>
      <c r="P298" s="165">
        <f>(INDEX(Models!$BJ298:$BT298,,T298)*(1-R298)+INDEX(Models!$BJ298:$BT298,,T298+1)*R298-ERP_i)*Q298*Ramure*Pc/MaxiM</f>
        <v>4.898849809200211E-4</v>
      </c>
      <c r="Q298" s="301">
        <f t="shared" si="105"/>
        <v>0.5</v>
      </c>
      <c r="R298" s="173">
        <f t="shared" si="106"/>
        <v>0.98651985432001421</v>
      </c>
      <c r="S298" s="801">
        <f t="shared" si="107"/>
        <v>2</v>
      </c>
      <c r="T298" s="172">
        <f t="shared" si="108"/>
        <v>8</v>
      </c>
      <c r="U298" s="247">
        <f t="shared" si="109"/>
        <v>2.9865198543200142</v>
      </c>
      <c r="V298" s="378">
        <f t="shared" si="110"/>
        <v>154.13597003639202</v>
      </c>
      <c r="W298" s="397">
        <f t="shared" si="111"/>
        <v>92.50724177221106</v>
      </c>
      <c r="X298" s="153">
        <f t="shared" si="112"/>
        <v>46671</v>
      </c>
      <c r="Y298" s="380">
        <f t="shared" si="113"/>
        <v>90.229435596337538</v>
      </c>
      <c r="Z298" s="380">
        <f t="shared" si="114"/>
        <v>93.047997708893746</v>
      </c>
      <c r="AA298" s="381">
        <f t="shared" si="115"/>
        <v>99.489634865689723</v>
      </c>
      <c r="AB298" s="193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6.4746816746208177E-2</v>
      </c>
      <c r="AD298" s="227">
        <f>(INDEX(Models!$BJ298:$BT298,,AH298)*(1-AF298)+INDEX(Models!$BJ298:$BT298,,AH298+1)*AF298-ERP_i)*AE298*Ramure*Pc/MaxiM</f>
        <v>4.898849809200211E-4</v>
      </c>
      <c r="AE298" s="301">
        <f t="shared" si="117"/>
        <v>0.5</v>
      </c>
      <c r="AF298" s="173">
        <f t="shared" si="118"/>
        <v>0.98651985432001421</v>
      </c>
      <c r="AG298" s="801">
        <f t="shared" si="124"/>
        <v>2</v>
      </c>
      <c r="AH298" s="172">
        <f t="shared" si="119"/>
        <v>8</v>
      </c>
      <c r="AI298" s="221">
        <f t="shared" si="120"/>
        <v>2.9865198543200142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46672</v>
      </c>
      <c r="B299" s="406">
        <f>'2026'!Wh/'2026'!Env_an*'2027'!Env_an</f>
        <v>116.19330444925978</v>
      </c>
      <c r="C299" s="831"/>
      <c r="D299" s="388">
        <f t="shared" si="102"/>
        <v>119.82455900176335</v>
      </c>
      <c r="E299" s="380">
        <f t="shared" si="125"/>
        <v>124.96839132791665</v>
      </c>
      <c r="F299" s="380">
        <f t="shared" si="103"/>
        <v>125.01033644360629</v>
      </c>
      <c r="G299" s="110">
        <f t="shared" si="126"/>
        <v>0.75987013099224543</v>
      </c>
      <c r="H299" s="409" t="b">
        <f>Wh_hp&gt;='2026'!Maxi_hp</f>
        <v>0</v>
      </c>
      <c r="I299" s="385">
        <f>IF(H299,Wh_hp,'2026'!Maxi_hp)</f>
        <v>125.02935085466613</v>
      </c>
      <c r="J299" s="85">
        <f>IF(H299,An,'2026'!An_max)</f>
        <v>2022</v>
      </c>
      <c r="K299" s="193">
        <f t="shared" si="104"/>
        <v>46672</v>
      </c>
      <c r="L299" s="143">
        <f>IF(t&lt;Tvie,1-EXP((T0-t)*PertePVj)+'2026'!Pspv,1-EXP((T0-t)*PertePVj)+Pspv)</f>
        <v>3.0304760416018928E-2</v>
      </c>
      <c r="M299" s="835"/>
      <c r="N299" s="835"/>
      <c r="O299" s="48">
        <f>IF(t&lt;Tnet,'2026'!Resal+('2026'!Salim-'2026'!Resal)*(1-EXP(('2026'!Tnet-t)/('2026'!Tau_j))),Resal+(Salim-Resal)*(1-EXP((Tnet-t)/(Tau_j))))*Salcycl</f>
        <v>4.1161066982577321E-2</v>
      </c>
      <c r="P299" s="165">
        <f>(INDEX(Models!$BJ299:$BT299,,T299)*(1-R299)+INDEX(Models!$BJ299:$BT299,,T299+1)*R299-ERP_i)*Q299*Ramure*Pc/MaxiM</f>
        <v>5.1059039540343699E-4</v>
      </c>
      <c r="Q299" s="301">
        <f t="shared" si="105"/>
        <v>0.5</v>
      </c>
      <c r="R299" s="173">
        <f t="shared" si="106"/>
        <v>0.98664689465491584</v>
      </c>
      <c r="S299" s="801">
        <f t="shared" si="107"/>
        <v>2</v>
      </c>
      <c r="T299" s="172">
        <f t="shared" si="108"/>
        <v>8</v>
      </c>
      <c r="U299" s="247">
        <f t="shared" si="109"/>
        <v>2.9866468946549158</v>
      </c>
      <c r="V299" s="378">
        <f t="shared" si="110"/>
        <v>152.88527921739887</v>
      </c>
      <c r="W299" s="397">
        <f t="shared" si="111"/>
        <v>116.19330444925978</v>
      </c>
      <c r="X299" s="153">
        <f t="shared" si="112"/>
        <v>46672</v>
      </c>
      <c r="Y299" s="380">
        <f t="shared" si="113"/>
        <v>113.33682575514874</v>
      </c>
      <c r="Z299" s="380">
        <f t="shared" si="114"/>
        <v>116.87881009271793</v>
      </c>
      <c r="AA299" s="381">
        <f t="shared" si="115"/>
        <v>124.96839132791665</v>
      </c>
      <c r="AB299" s="193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6.4733018879723561E-2</v>
      </c>
      <c r="AD299" s="227">
        <f>(INDEX(Models!$BJ299:$BT299,,AH299)*(1-AF299)+INDEX(Models!$BJ299:$BT299,,AH299+1)*AF299-ERP_i)*AE299*Ramure*Pc/MaxiM</f>
        <v>5.1059039540343699E-4</v>
      </c>
      <c r="AE299" s="301">
        <f t="shared" si="117"/>
        <v>0.5</v>
      </c>
      <c r="AF299" s="173">
        <f t="shared" si="118"/>
        <v>0.98664689465491584</v>
      </c>
      <c r="AG299" s="801">
        <f t="shared" si="124"/>
        <v>2</v>
      </c>
      <c r="AH299" s="172">
        <f t="shared" si="119"/>
        <v>8</v>
      </c>
      <c r="AI299" s="221">
        <f t="shared" si="120"/>
        <v>2.9866468946549158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46673</v>
      </c>
      <c r="B300" s="406">
        <f>'2026'!Wh/'2026'!Env_an*'2027'!Env_an</f>
        <v>89.836023505412172</v>
      </c>
      <c r="C300" s="831"/>
      <c r="D300" s="388">
        <f t="shared" si="102"/>
        <v>92.644832762621363</v>
      </c>
      <c r="E300" s="380">
        <f t="shared" si="125"/>
        <v>96.624279243768157</v>
      </c>
      <c r="F300" s="380">
        <f t="shared" si="103"/>
        <v>96.64573549065048</v>
      </c>
      <c r="G300" s="110">
        <f t="shared" si="126"/>
        <v>0.59227241867585101</v>
      </c>
      <c r="H300" s="409" t="b">
        <f>Wh_hp&gt;='2026'!Maxi_hp</f>
        <v>0</v>
      </c>
      <c r="I300" s="385">
        <f>IF(H300,Wh_hp,'2026'!Maxi_hp)</f>
        <v>96.671730861785207</v>
      </c>
      <c r="J300" s="85">
        <f>IF(H300,An,'2026'!An_max)</f>
        <v>2022</v>
      </c>
      <c r="K300" s="193">
        <f t="shared" si="104"/>
        <v>46673</v>
      </c>
      <c r="L300" s="143">
        <f>IF(t&lt;Tvie,1-EXP((T0-t)*PertePVj)+'2026'!Pspv,1-EXP((T0-t)*PertePVj)+Pspv)</f>
        <v>3.031803472953587E-2</v>
      </c>
      <c r="M300" s="835"/>
      <c r="N300" s="835"/>
      <c r="O300" s="48">
        <f>IF(t&lt;Tnet,'2026'!Resal+('2026'!Salim-'2026'!Resal)*(1-EXP(('2026'!Tnet-t)/('2026'!Tau_j))),Resal+(Salim-Resal)*(1-EXP((Tnet-t)/(Tau_j))))*Salcycl</f>
        <v>4.1184746859609225E-2</v>
      </c>
      <c r="P300" s="165">
        <f>(INDEX(Models!$BJ300:$BT300,,T300)*(1-R300)+INDEX(Models!$BJ300:$BT300,,T300+1)*R300-ERP_i)*Q300*Ramure*Pc/MaxiM</f>
        <v>5.313845668013541E-4</v>
      </c>
      <c r="Q300" s="301">
        <f t="shared" si="105"/>
        <v>0.5</v>
      </c>
      <c r="R300" s="173">
        <f t="shared" si="106"/>
        <v>0.98676888098450988</v>
      </c>
      <c r="S300" s="801">
        <f t="shared" si="107"/>
        <v>2</v>
      </c>
      <c r="T300" s="172">
        <f t="shared" si="108"/>
        <v>8</v>
      </c>
      <c r="U300" s="247">
        <f t="shared" si="109"/>
        <v>2.9867688809845099</v>
      </c>
      <c r="V300" s="378">
        <f t="shared" si="110"/>
        <v>151.63330496790238</v>
      </c>
      <c r="W300" s="397">
        <f t="shared" si="111"/>
        <v>89.836023505412172</v>
      </c>
      <c r="X300" s="153">
        <f t="shared" si="112"/>
        <v>46673</v>
      </c>
      <c r="Y300" s="380">
        <f t="shared" si="113"/>
        <v>87.631052601567703</v>
      </c>
      <c r="Z300" s="380">
        <f t="shared" si="114"/>
        <v>90.370921333084311</v>
      </c>
      <c r="AA300" s="381">
        <f t="shared" si="115"/>
        <v>96.624279243768157</v>
      </c>
      <c r="AB300" s="193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6.4718287780523451E-2</v>
      </c>
      <c r="AD300" s="227">
        <f>(INDEX(Models!$BJ300:$BT300,,AH300)*(1-AF300)+INDEX(Models!$BJ300:$BT300,,AH300+1)*AF300-ERP_i)*AE300*Ramure*Pc/MaxiM</f>
        <v>5.313845668013541E-4</v>
      </c>
      <c r="AE300" s="301">
        <f t="shared" si="117"/>
        <v>0.5</v>
      </c>
      <c r="AF300" s="173">
        <f t="shared" si="118"/>
        <v>0.98676888098450988</v>
      </c>
      <c r="AG300" s="801">
        <f t="shared" si="124"/>
        <v>2</v>
      </c>
      <c r="AH300" s="172">
        <f t="shared" si="119"/>
        <v>8</v>
      </c>
      <c r="AI300" s="221">
        <f t="shared" si="120"/>
        <v>2.9867688809845099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46674</v>
      </c>
      <c r="B301" s="406">
        <f>'2026'!Wh/'2026'!Env_an*'2027'!Env_an</f>
        <v>80.063613094437116</v>
      </c>
      <c r="C301" s="831"/>
      <c r="D301" s="388">
        <f t="shared" si="102"/>
        <v>82.568008873649518</v>
      </c>
      <c r="E301" s="380">
        <f t="shared" si="125"/>
        <v>86.116685403375087</v>
      </c>
      <c r="F301" s="380">
        <f t="shared" si="103"/>
        <v>86.132478325494233</v>
      </c>
      <c r="G301" s="110">
        <f t="shared" si="126"/>
        <v>0.53221025064432992</v>
      </c>
      <c r="H301" s="409" t="b">
        <f>Wh_hp&gt;='2026'!Maxi_hp</f>
        <v>0</v>
      </c>
      <c r="I301" s="385">
        <f>IF(H301,Wh_hp,'2026'!Maxi_hp)</f>
        <v>86.160128113136821</v>
      </c>
      <c r="J301" s="85">
        <f>IF(H301,An,'2026'!An_max)</f>
        <v>2022</v>
      </c>
      <c r="K301" s="193">
        <f t="shared" si="104"/>
        <v>46674</v>
      </c>
      <c r="L301" s="143">
        <f>IF(t&lt;Tvie,1-EXP((T0-t)*PertePVj)+'2026'!Pspv,1-EXP((T0-t)*PertePVj)+Pspv)</f>
        <v>3.0331308861338502E-2</v>
      </c>
      <c r="M301" s="835"/>
      <c r="N301" s="835"/>
      <c r="O301" s="48">
        <f>IF(t&lt;Tnet,'2026'!Resal+('2026'!Salim-'2026'!Resal)*(1-EXP(('2026'!Tnet-t)/('2026'!Tau_j))),Resal+(Salim-Resal)*(1-EXP((Tnet-t)/(Tau_j))))*Salcycl</f>
        <v>4.1207769587314931E-2</v>
      </c>
      <c r="P301" s="165">
        <f>(INDEX(Models!$BJ301:$BT301,,T301)*(1-R301)+INDEX(Models!$BJ301:$BT301,,T301+1)*R301-ERP_i)*Q301*Ramure*Pc/MaxiM</f>
        <v>5.5226173947882774E-4</v>
      </c>
      <c r="Q301" s="301">
        <f t="shared" si="105"/>
        <v>0.5</v>
      </c>
      <c r="R301" s="173">
        <f t="shared" si="106"/>
        <v>0.98688601202529069</v>
      </c>
      <c r="S301" s="801">
        <f t="shared" si="107"/>
        <v>2</v>
      </c>
      <c r="T301" s="172">
        <f t="shared" si="108"/>
        <v>8</v>
      </c>
      <c r="U301" s="247">
        <f t="shared" si="109"/>
        <v>2.9868860120252907</v>
      </c>
      <c r="V301" s="378">
        <f t="shared" si="110"/>
        <v>150.38055292790753</v>
      </c>
      <c r="W301" s="397">
        <f t="shared" si="111"/>
        <v>80.063613094437116</v>
      </c>
      <c r="X301" s="153">
        <f t="shared" si="112"/>
        <v>46674</v>
      </c>
      <c r="Y301" s="380">
        <f t="shared" si="113"/>
        <v>78.101682319324667</v>
      </c>
      <c r="Z301" s="380">
        <f t="shared" si="114"/>
        <v>80.544708757804187</v>
      </c>
      <c r="AA301" s="381">
        <f t="shared" si="115"/>
        <v>86.116685403375087</v>
      </c>
      <c r="AB301" s="193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6.4702637119292986E-2</v>
      </c>
      <c r="AD301" s="227">
        <f>(INDEX(Models!$BJ301:$BT301,,AH301)*(1-AF301)+INDEX(Models!$BJ301:$BT301,,AH301+1)*AF301-ERP_i)*AE301*Ramure*Pc/MaxiM</f>
        <v>5.5226173947882774E-4</v>
      </c>
      <c r="AE301" s="301">
        <f t="shared" si="117"/>
        <v>0.5</v>
      </c>
      <c r="AF301" s="173">
        <f t="shared" si="118"/>
        <v>0.98688601202529069</v>
      </c>
      <c r="AG301" s="801">
        <f t="shared" si="124"/>
        <v>2</v>
      </c>
      <c r="AH301" s="172">
        <f t="shared" si="119"/>
        <v>8</v>
      </c>
      <c r="AI301" s="221">
        <f t="shared" si="120"/>
        <v>2.9868860120252907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46675</v>
      </c>
      <c r="B302" s="406">
        <f>'2026'!Wh/'2026'!Env_an*'2027'!Env_an</f>
        <v>146.25640150625074</v>
      </c>
      <c r="C302" s="831"/>
      <c r="D302" s="388">
        <f t="shared" si="102"/>
        <v>150.83337741804007</v>
      </c>
      <c r="E302" s="380">
        <f t="shared" si="125"/>
        <v>157.31969104706334</v>
      </c>
      <c r="F302" s="380">
        <f t="shared" si="103"/>
        <v>157.40743786853454</v>
      </c>
      <c r="G302" s="110">
        <f t="shared" si="126"/>
        <v>0.98073170011320376</v>
      </c>
      <c r="H302" s="409" t="b">
        <f>Wh_hp&gt;='2026'!Maxi_hp</f>
        <v>0</v>
      </c>
      <c r="I302" s="385">
        <f>IF(H302,Wh_hp,'2026'!Maxi_hp)</f>
        <v>157.4095998459747</v>
      </c>
      <c r="J302" s="85">
        <f>IF(H302,An,'2026'!An_max)</f>
        <v>2022</v>
      </c>
      <c r="K302" s="193">
        <f t="shared" si="104"/>
        <v>46675</v>
      </c>
      <c r="L302" s="143">
        <f>IF(t&lt;Tvie,1-EXP((T0-t)*PertePVj)+'2026'!Pspv,1-EXP((T0-t)*PertePVj)+Pspv)</f>
        <v>3.0344582811429599E-2</v>
      </c>
      <c r="M302" s="835"/>
      <c r="N302" s="835"/>
      <c r="O302" s="48">
        <f>IF(t&lt;Tnet,'2026'!Resal+('2026'!Salim-'2026'!Resal)*(1-EXP(('2026'!Tnet-t)/('2026'!Tau_j))),Resal+(Salim-Resal)*(1-EXP((Tnet-t)/(Tau_j))))*Salcycl</f>
        <v>4.1230144719028451E-2</v>
      </c>
      <c r="P302" s="165">
        <f>(INDEX(Models!$BJ302:$BT302,,T302)*(1-R302)+INDEX(Models!$BJ302:$BT302,,T302+1)*R302-ERP_i)*Q302*Ramure*Pc/MaxiM</f>
        <v>5.7321604524098965E-4</v>
      </c>
      <c r="Q302" s="301">
        <f t="shared" si="105"/>
        <v>0.5</v>
      </c>
      <c r="R302" s="173">
        <f t="shared" si="106"/>
        <v>0.98699847886465664</v>
      </c>
      <c r="S302" s="801">
        <f t="shared" si="107"/>
        <v>2</v>
      </c>
      <c r="T302" s="172">
        <f t="shared" si="108"/>
        <v>8</v>
      </c>
      <c r="U302" s="247">
        <f t="shared" si="109"/>
        <v>2.9869984788646566</v>
      </c>
      <c r="V302" s="378">
        <f t="shared" si="110"/>
        <v>149.12752831405709</v>
      </c>
      <c r="W302" s="397">
        <f t="shared" si="111"/>
        <v>146.25640150625074</v>
      </c>
      <c r="X302" s="153">
        <f t="shared" si="112"/>
        <v>46675</v>
      </c>
      <c r="Y302" s="380">
        <f t="shared" si="113"/>
        <v>142.67829438336082</v>
      </c>
      <c r="Z302" s="380">
        <f t="shared" si="114"/>
        <v>147.14329632380526</v>
      </c>
      <c r="AA302" s="381">
        <f t="shared" si="115"/>
        <v>157.31969104706334</v>
      </c>
      <c r="AB302" s="193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6.4686083830495997E-2</v>
      </c>
      <c r="AD302" s="227">
        <f>(INDEX(Models!$BJ302:$BT302,,AH302)*(1-AF302)+INDEX(Models!$BJ302:$BT302,,AH302+1)*AF302-ERP_i)*AE302*Ramure*Pc/MaxiM</f>
        <v>5.7321604524098965E-4</v>
      </c>
      <c r="AE302" s="301">
        <f t="shared" si="117"/>
        <v>0.5</v>
      </c>
      <c r="AF302" s="173">
        <f t="shared" si="118"/>
        <v>0.98699847886465664</v>
      </c>
      <c r="AG302" s="801">
        <f t="shared" si="124"/>
        <v>2</v>
      </c>
      <c r="AH302" s="172">
        <f t="shared" si="119"/>
        <v>8</v>
      </c>
      <c r="AI302" s="221">
        <f t="shared" si="120"/>
        <v>2.9869984788646566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46676</v>
      </c>
      <c r="B303" s="406">
        <f>'2026'!Wh/'2026'!Env_an*'2027'!Env_an</f>
        <v>131.12977404734195</v>
      </c>
      <c r="C303" s="831"/>
      <c r="D303" s="388">
        <f t="shared" si="102"/>
        <v>135.23522563160464</v>
      </c>
      <c r="E303" s="380">
        <f t="shared" si="125"/>
        <v>141.05396753297396</v>
      </c>
      <c r="F303" s="380">
        <f t="shared" si="103"/>
        <v>141.12426742360302</v>
      </c>
      <c r="G303" s="110">
        <f t="shared" si="126"/>
        <v>0.88669807410688228</v>
      </c>
      <c r="H303" s="409" t="b">
        <f>Wh_hp&gt;='2026'!Maxi_hp</f>
        <v>0</v>
      </c>
      <c r="I303" s="385">
        <f>IF(H303,Wh_hp,'2026'!Maxi_hp)</f>
        <v>141.13609952426535</v>
      </c>
      <c r="J303" s="85">
        <f>IF(H303,An,'2026'!An_max)</f>
        <v>2022</v>
      </c>
      <c r="K303" s="193">
        <f t="shared" si="104"/>
        <v>46676</v>
      </c>
      <c r="L303" s="143">
        <f>IF(t&lt;Tvie,1-EXP((T0-t)*PertePVj)+'2026'!Pspv,1-EXP((T0-t)*PertePVj)+Pspv)</f>
        <v>3.0357856579811382E-2</v>
      </c>
      <c r="M303" s="835"/>
      <c r="N303" s="835"/>
      <c r="O303" s="48">
        <f>IF(t&lt;Tnet,'2026'!Resal+('2026'!Salim-'2026'!Resal)*(1-EXP(('2026'!Tnet-t)/('2026'!Tau_j))),Resal+(Salim-Resal)*(1-EXP((Tnet-t)/(Tau_j))))*Salcycl</f>
        <v>4.1251883964264137E-2</v>
      </c>
      <c r="P303" s="165">
        <f>(INDEX(Models!$BJ303:$BT303,,T303)*(1-R303)+INDEX(Models!$BJ303:$BT303,,T303+1)*R303-ERP_i)*Q303*Ramure*Pc/MaxiM</f>
        <v>5.942554968463861E-4</v>
      </c>
      <c r="Q303" s="301">
        <f t="shared" si="105"/>
        <v>0.5</v>
      </c>
      <c r="R303" s="173">
        <f t="shared" si="106"/>
        <v>0.98710646523928958</v>
      </c>
      <c r="S303" s="801">
        <f t="shared" si="107"/>
        <v>2</v>
      </c>
      <c r="T303" s="172">
        <f t="shared" si="108"/>
        <v>8</v>
      </c>
      <c r="U303" s="247">
        <f t="shared" si="109"/>
        <v>2.9871064652392896</v>
      </c>
      <c r="V303" s="378">
        <f t="shared" si="110"/>
        <v>147.87126331036237</v>
      </c>
      <c r="W303" s="397">
        <f t="shared" si="111"/>
        <v>131.12977404734195</v>
      </c>
      <c r="X303" s="153">
        <f t="shared" si="112"/>
        <v>46676</v>
      </c>
      <c r="Y303" s="380">
        <f t="shared" si="113"/>
        <v>127.92701938467313</v>
      </c>
      <c r="Z303" s="380">
        <f t="shared" si="114"/>
        <v>131.93219813388075</v>
      </c>
      <c r="AA303" s="381">
        <f t="shared" si="115"/>
        <v>141.05396753297396</v>
      </c>
      <c r="AB303" s="193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6.4668648168020093E-2</v>
      </c>
      <c r="AD303" s="227">
        <f>(INDEX(Models!$BJ303:$BT303,,AH303)*(1-AF303)+INDEX(Models!$BJ303:$BT303,,AH303+1)*AF303-ERP_i)*AE303*Ramure*Pc/MaxiM</f>
        <v>5.942554968463861E-4</v>
      </c>
      <c r="AE303" s="301">
        <f t="shared" si="117"/>
        <v>0.5</v>
      </c>
      <c r="AF303" s="173">
        <f t="shared" si="118"/>
        <v>0.98710646523928958</v>
      </c>
      <c r="AG303" s="801">
        <f t="shared" si="124"/>
        <v>2</v>
      </c>
      <c r="AH303" s="172">
        <f t="shared" si="119"/>
        <v>8</v>
      </c>
      <c r="AI303" s="221">
        <f t="shared" si="120"/>
        <v>2.9871064652392896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46677</v>
      </c>
      <c r="B304" s="406">
        <f>'2026'!Wh/'2026'!Env_an*'2027'!Env_an</f>
        <v>84.03437256971533</v>
      </c>
      <c r="C304" s="831"/>
      <c r="D304" s="388">
        <f t="shared" si="102"/>
        <v>86.666533128437209</v>
      </c>
      <c r="E304" s="380">
        <f t="shared" si="125"/>
        <v>90.39750965473074</v>
      </c>
      <c r="F304" s="380">
        <f t="shared" si="103"/>
        <v>90.419427815909216</v>
      </c>
      <c r="G304" s="110">
        <f t="shared" si="126"/>
        <v>0.57297265261782893</v>
      </c>
      <c r="H304" s="409" t="b">
        <f>Wh_hp&gt;='2026'!Maxi_hp</f>
        <v>0</v>
      </c>
      <c r="I304" s="385">
        <f>IF(H304,Wh_hp,'2026'!Maxi_hp)</f>
        <v>90.44932204480186</v>
      </c>
      <c r="J304" s="85">
        <f>IF(H304,An,'2026'!An_max)</f>
        <v>2022</v>
      </c>
      <c r="K304" s="193">
        <f t="shared" si="104"/>
        <v>46677</v>
      </c>
      <c r="L304" s="143">
        <f>IF(t&lt;Tvie,1-EXP((T0-t)*PertePVj)+'2026'!Pspv,1-EXP((T0-t)*PertePVj)+Pspv)</f>
        <v>3.0371130166486404E-2</v>
      </c>
      <c r="M304" s="835"/>
      <c r="N304" s="835"/>
      <c r="O304" s="48">
        <f>IF(t&lt;Tnet,'2026'!Resal+('2026'!Salim-'2026'!Resal)*(1-EXP(('2026'!Tnet-t)/('2026'!Tau_j))),Resal+(Salim-Resal)*(1-EXP((Tnet-t)/(Tau_j))))*Salcycl</f>
        <v>4.1273001220319357E-2</v>
      </c>
      <c r="P304" s="165">
        <f>(INDEX(Models!$BJ304:$BT304,,T304)*(1-R304)+INDEX(Models!$BJ304:$BT304,,T304+1)*R304-ERP_i)*Q304*Ramure*Pc/MaxiM</f>
        <v>6.2112062676776103E-4</v>
      </c>
      <c r="Q304" s="301">
        <f t="shared" si="105"/>
        <v>0.5</v>
      </c>
      <c r="R304" s="173">
        <f t="shared" si="106"/>
        <v>0.98721014780453453</v>
      </c>
      <c r="S304" s="801">
        <f t="shared" si="107"/>
        <v>2</v>
      </c>
      <c r="T304" s="172">
        <f t="shared" si="108"/>
        <v>8</v>
      </c>
      <c r="U304" s="247">
        <f t="shared" si="109"/>
        <v>2.9872101478045345</v>
      </c>
      <c r="V304" s="378">
        <f t="shared" si="110"/>
        <v>146.60828815540441</v>
      </c>
      <c r="W304" s="397">
        <f t="shared" si="111"/>
        <v>84.03437256971533</v>
      </c>
      <c r="X304" s="153">
        <f t="shared" si="112"/>
        <v>46677</v>
      </c>
      <c r="Y304" s="380">
        <f t="shared" si="113"/>
        <v>81.985300045440979</v>
      </c>
      <c r="Z304" s="380">
        <f t="shared" si="114"/>
        <v>84.553278678179154</v>
      </c>
      <c r="AA304" s="381">
        <f t="shared" si="115"/>
        <v>90.39750965473074</v>
      </c>
      <c r="AB304" s="193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6.4650353741749753E-2</v>
      </c>
      <c r="AD304" s="227">
        <f>(INDEX(Models!$BJ304:$BT304,,AH304)*(1-AF304)+INDEX(Models!$BJ304:$BT304,,AH304+1)*AF304-ERP_i)*AE304*Ramure*Pc/MaxiM</f>
        <v>6.2112062676776103E-4</v>
      </c>
      <c r="AE304" s="301">
        <f t="shared" si="117"/>
        <v>0.5</v>
      </c>
      <c r="AF304" s="173">
        <f t="shared" si="118"/>
        <v>0.98721014780453453</v>
      </c>
      <c r="AG304" s="801">
        <f t="shared" si="124"/>
        <v>2</v>
      </c>
      <c r="AH304" s="172">
        <f t="shared" si="119"/>
        <v>8</v>
      </c>
      <c r="AI304" s="221">
        <f t="shared" si="120"/>
        <v>2.9872101478045345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46678</v>
      </c>
      <c r="B305" s="406">
        <f>'2026'!Wh/'2026'!Env_an*'2027'!Env_an</f>
        <v>134.15887166857257</v>
      </c>
      <c r="C305" s="831"/>
      <c r="D305" s="388">
        <f t="shared" si="102"/>
        <v>138.36294729863042</v>
      </c>
      <c r="E305" s="380">
        <f t="shared" si="125"/>
        <v>144.32253157334998</v>
      </c>
      <c r="F305" s="380">
        <f t="shared" si="103"/>
        <v>144.406592886353</v>
      </c>
      <c r="G305" s="110">
        <f t="shared" si="126"/>
        <v>0.92300524772685621</v>
      </c>
      <c r="H305" s="409" t="b">
        <f>Wh_hp&gt;='2026'!Maxi_hp</f>
        <v>0</v>
      </c>
      <c r="I305" s="385">
        <f>IF(H305,Wh_hp,'2026'!Maxi_hp)</f>
        <v>144.41565792808763</v>
      </c>
      <c r="J305" s="85">
        <f>IF(H305,An,'2026'!An_max)</f>
        <v>2022</v>
      </c>
      <c r="K305" s="193">
        <f t="shared" si="104"/>
        <v>46678</v>
      </c>
      <c r="L305" s="143">
        <f>IF(t&lt;Tvie,1-EXP((T0-t)*PertePVj)+'2026'!Pspv,1-EXP((T0-t)*PertePVj)+Pspv)</f>
        <v>3.0384403571457219E-2</v>
      </c>
      <c r="M305" s="835"/>
      <c r="N305" s="835"/>
      <c r="O305" s="48">
        <f>IF(t&lt;Tnet,'2026'!Resal+('2026'!Salim-'2026'!Resal)*(1-EXP(('2026'!Tnet-t)/('2026'!Tau_j))),Resal+(Salim-Resal)*(1-EXP((Tnet-t)/(Tau_j))))*Salcycl</f>
        <v>4.1293512591210987E-2</v>
      </c>
      <c r="P305" s="165">
        <f>(INDEX(Models!$BJ305:$BT305,,T305)*(1-R305)+INDEX(Models!$BJ305:$BT305,,T305+1)*R305-ERP_i)*Q305*Ramure*Pc/MaxiM</f>
        <v>6.5398714427330627E-4</v>
      </c>
      <c r="Q305" s="301">
        <f t="shared" si="105"/>
        <v>0.5</v>
      </c>
      <c r="R305" s="173">
        <f t="shared" si="106"/>
        <v>0.98730969639497523</v>
      </c>
      <c r="S305" s="801">
        <f t="shared" si="107"/>
        <v>2</v>
      </c>
      <c r="T305" s="172">
        <f t="shared" si="108"/>
        <v>8</v>
      </c>
      <c r="U305" s="247">
        <f t="shared" si="109"/>
        <v>2.9873096963949752</v>
      </c>
      <c r="V305" s="378">
        <f t="shared" si="110"/>
        <v>145.33961118995796</v>
      </c>
      <c r="W305" s="397">
        <f t="shared" si="111"/>
        <v>134.15887166857257</v>
      </c>
      <c r="X305" s="153">
        <f t="shared" si="112"/>
        <v>46678</v>
      </c>
      <c r="Y305" s="380">
        <f t="shared" si="113"/>
        <v>130.89305304191709</v>
      </c>
      <c r="Z305" s="380">
        <f t="shared" si="114"/>
        <v>134.9947891969201</v>
      </c>
      <c r="AA305" s="381">
        <f t="shared" si="115"/>
        <v>144.32253157334998</v>
      </c>
      <c r="AB305" s="193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6.463122753420654E-2</v>
      </c>
      <c r="AD305" s="227">
        <f>(INDEX(Models!$BJ305:$BT305,,AH305)*(1-AF305)+INDEX(Models!$BJ305:$BT305,,AH305+1)*AF305-ERP_i)*AE305*Ramure*Pc/MaxiM</f>
        <v>6.5398714427330627E-4</v>
      </c>
      <c r="AE305" s="301">
        <f t="shared" si="117"/>
        <v>0.5</v>
      </c>
      <c r="AF305" s="173">
        <f t="shared" si="118"/>
        <v>0.98730969639497523</v>
      </c>
      <c r="AG305" s="801">
        <f t="shared" si="124"/>
        <v>2</v>
      </c>
      <c r="AH305" s="172">
        <f t="shared" si="119"/>
        <v>8</v>
      </c>
      <c r="AI305" s="221">
        <f t="shared" si="120"/>
        <v>2.9873096963949752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46679</v>
      </c>
      <c r="B306" s="406">
        <f>'2026'!Wh/'2026'!Env_an*'2027'!Env_an</f>
        <v>59.216417964328514</v>
      </c>
      <c r="C306" s="831"/>
      <c r="D306" s="388">
        <f t="shared" si="102"/>
        <v>61.072891996146595</v>
      </c>
      <c r="E306" s="380">
        <f t="shared" si="125"/>
        <v>63.70475431134691</v>
      </c>
      <c r="F306" s="380">
        <f t="shared" si="103"/>
        <v>63.711756932807099</v>
      </c>
      <c r="G306" s="110">
        <f t="shared" si="126"/>
        <v>0.41079633490675616</v>
      </c>
      <c r="H306" s="409" t="b">
        <f>Wh_hp&gt;='2026'!Maxi_hp</f>
        <v>0</v>
      </c>
      <c r="I306" s="385">
        <f>IF(H306,Wh_hp,'2026'!Maxi_hp)</f>
        <v>63.744201053360378</v>
      </c>
      <c r="J306" s="85">
        <f>IF(H306,An,'2026'!An_max)</f>
        <v>2022</v>
      </c>
      <c r="K306" s="193">
        <f t="shared" si="104"/>
        <v>46679</v>
      </c>
      <c r="L306" s="143">
        <f>IF(t&lt;Tvie,1-EXP((T0-t)*PertePVj)+'2026'!Pspv,1-EXP((T0-t)*PertePVj)+Pspv)</f>
        <v>3.0397676794726158E-2</v>
      </c>
      <c r="M306" s="835"/>
      <c r="N306" s="835"/>
      <c r="O306" s="48">
        <f>IF(t&lt;Tnet,'2026'!Resal+('2026'!Salim-'2026'!Resal)*(1-EXP(('2026'!Tnet-t)/('2026'!Tau_j))),Resal+(Salim-Resal)*(1-EXP((Tnet-t)/(Tau_j))))*Salcycl</f>
        <v>4.131343639342052E-2</v>
      </c>
      <c r="P306" s="165">
        <f>(INDEX(Models!$BJ306:$BT306,,T306)*(1-R306)+INDEX(Models!$BJ306:$BT306,,T306+1)*R306-ERP_i)*Q306*Ramure*Pc/MaxiM</f>
        <v>6.9290759994748241E-4</v>
      </c>
      <c r="Q306" s="301">
        <f t="shared" si="105"/>
        <v>0.5</v>
      </c>
      <c r="R306" s="173">
        <f t="shared" si="106"/>
        <v>0.98740527427640501</v>
      </c>
      <c r="S306" s="801">
        <f t="shared" si="107"/>
        <v>2</v>
      </c>
      <c r="T306" s="172">
        <f t="shared" si="108"/>
        <v>8</v>
      </c>
      <c r="U306" s="247">
        <f t="shared" si="109"/>
        <v>2.987405274276405</v>
      </c>
      <c r="V306" s="378">
        <f t="shared" si="110"/>
        <v>144.06625904100036</v>
      </c>
      <c r="W306" s="397">
        <f t="shared" si="111"/>
        <v>59.216417964328514</v>
      </c>
      <c r="X306" s="153">
        <f t="shared" si="112"/>
        <v>46679</v>
      </c>
      <c r="Y306" s="380">
        <f t="shared" si="113"/>
        <v>57.777349059798439</v>
      </c>
      <c r="Z306" s="380">
        <f t="shared" si="114"/>
        <v>59.588707325700618</v>
      </c>
      <c r="AA306" s="381">
        <f t="shared" si="115"/>
        <v>63.70475431134691</v>
      </c>
      <c r="AB306" s="193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6.4611299896547209E-2</v>
      </c>
      <c r="AD306" s="227">
        <f>(INDEX(Models!$BJ306:$BT306,,AH306)*(1-AF306)+INDEX(Models!$BJ306:$BT306,,AH306+1)*AF306-ERP_i)*AE306*Ramure*Pc/MaxiM</f>
        <v>6.9290759994748241E-4</v>
      </c>
      <c r="AE306" s="301">
        <f t="shared" si="117"/>
        <v>0.5</v>
      </c>
      <c r="AF306" s="173">
        <f t="shared" si="118"/>
        <v>0.98740527427640501</v>
      </c>
      <c r="AG306" s="801">
        <f t="shared" si="124"/>
        <v>2</v>
      </c>
      <c r="AH306" s="172">
        <f t="shared" si="119"/>
        <v>8</v>
      </c>
      <c r="AI306" s="221">
        <f t="shared" si="120"/>
        <v>2.987405274276405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46680</v>
      </c>
      <c r="B307" s="406">
        <f>'2026'!Wh/'2026'!Env_an*'2027'!Env_an</f>
        <v>37.684093965006973</v>
      </c>
      <c r="C307" s="831"/>
      <c r="D307" s="388">
        <f t="shared" si="102"/>
        <v>38.866047382284734</v>
      </c>
      <c r="E307" s="380">
        <f t="shared" si="125"/>
        <v>40.541751198427939</v>
      </c>
      <c r="F307" s="380">
        <f t="shared" si="103"/>
        <v>40.541751198427939</v>
      </c>
      <c r="G307" s="110">
        <f t="shared" si="126"/>
        <v>0.26371931643799112</v>
      </c>
      <c r="H307" s="409" t="b">
        <f>Wh_hp&gt;='2026'!Maxi_hp</f>
        <v>0</v>
      </c>
      <c r="I307" s="385">
        <f>IF(H307,Wh_hp,'2026'!Maxi_hp)</f>
        <v>40.567878446480144</v>
      </c>
      <c r="J307" s="85">
        <f>IF(H307,An,'2026'!An_max)</f>
        <v>2022</v>
      </c>
      <c r="K307" s="193">
        <f t="shared" si="104"/>
        <v>46680</v>
      </c>
      <c r="L307" s="143">
        <f>IF(t&lt;Tvie,1-EXP((T0-t)*PertePVj)+'2026'!Pspv,1-EXP((T0-t)*PertePVj)+Pspv)</f>
        <v>3.0410949836295886E-2</v>
      </c>
      <c r="M307" s="835"/>
      <c r="N307" s="835"/>
      <c r="O307" s="48">
        <f>IF(t&lt;Tnet,'2026'!Resal+('2026'!Salim-'2026'!Resal)*(1-EXP(('2026'!Tnet-t)/('2026'!Tau_j))),Resal+(Salim-Resal)*(1-EXP((Tnet-t)/(Tau_j))))*Salcycl</f>
        <v>4.1332793148022212E-2</v>
      </c>
      <c r="P307" s="165">
        <f>(INDEX(Models!$BJ307:$BT307,,T307)*(1-R307)+INDEX(Models!$BJ307:$BT307,,T307+1)*R307-ERP_i)*Q307*Ramure*Pc/MaxiM</f>
        <v>7.3793282533035078E-4</v>
      </c>
      <c r="Q307" s="301">
        <f t="shared" si="105"/>
        <v>0.5</v>
      </c>
      <c r="R307" s="173">
        <f t="shared" si="106"/>
        <v>0.98749703838939862</v>
      </c>
      <c r="S307" s="801">
        <f t="shared" si="107"/>
        <v>2</v>
      </c>
      <c r="T307" s="172">
        <f t="shared" si="108"/>
        <v>8</v>
      </c>
      <c r="U307" s="247">
        <f t="shared" si="109"/>
        <v>2.9874970383893986</v>
      </c>
      <c r="V307" s="378">
        <f t="shared" si="110"/>
        <v>142.78925845741591</v>
      </c>
      <c r="W307" s="397">
        <f t="shared" si="111"/>
        <v>37.684093965006973</v>
      </c>
      <c r="X307" s="153">
        <f t="shared" si="112"/>
        <v>46680</v>
      </c>
      <c r="Y307" s="380">
        <f t="shared" si="113"/>
        <v>36.769856424571046</v>
      </c>
      <c r="Z307" s="380">
        <f t="shared" si="114"/>
        <v>37.923134980085507</v>
      </c>
      <c r="AA307" s="381">
        <f t="shared" si="115"/>
        <v>40.541751198427939</v>
      </c>
      <c r="AB307" s="193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6.4590604523367845E-2</v>
      </c>
      <c r="AD307" s="227">
        <f>(INDEX(Models!$BJ307:$BT307,,AH307)*(1-AF307)+INDEX(Models!$BJ307:$BT307,,AH307+1)*AF307-ERP_i)*AE307*Ramure*Pc/MaxiM</f>
        <v>7.3793282533035078E-4</v>
      </c>
      <c r="AE307" s="301">
        <f t="shared" si="117"/>
        <v>0.5</v>
      </c>
      <c r="AF307" s="173">
        <f t="shared" si="118"/>
        <v>0.98749703838939862</v>
      </c>
      <c r="AG307" s="801">
        <f t="shared" si="124"/>
        <v>2</v>
      </c>
      <c r="AH307" s="172">
        <f t="shared" si="119"/>
        <v>8</v>
      </c>
      <c r="AI307" s="221">
        <f t="shared" si="120"/>
        <v>2.9874970383893986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46681</v>
      </c>
      <c r="B308" s="406">
        <f>'2026'!Wh/'2026'!Env_an*'2027'!Env_an</f>
        <v>61.404196732482617</v>
      </c>
      <c r="C308" s="831"/>
      <c r="D308" s="388">
        <f t="shared" si="102"/>
        <v>63.330992966051262</v>
      </c>
      <c r="E308" s="380">
        <f t="shared" si="125"/>
        <v>66.062795633191499</v>
      </c>
      <c r="F308" s="380">
        <f t="shared" si="103"/>
        <v>66.072770707334953</v>
      </c>
      <c r="G308" s="110">
        <f t="shared" si="126"/>
        <v>0.43364542450274973</v>
      </c>
      <c r="H308" s="409" t="b">
        <f>Wh_hp&gt;='2026'!Maxi_hp</f>
        <v>0</v>
      </c>
      <c r="I308" s="385">
        <f>IF(H308,Wh_hp,'2026'!Maxi_hp)</f>
        <v>66.109579565729476</v>
      </c>
      <c r="J308" s="85">
        <f>IF(H308,An,'2026'!An_max)</f>
        <v>2022</v>
      </c>
      <c r="K308" s="193">
        <f t="shared" si="104"/>
        <v>46681</v>
      </c>
      <c r="L308" s="143">
        <f>IF(t&lt;Tvie,1-EXP((T0-t)*PertePVj)+'2026'!Pspv,1-EXP((T0-t)*PertePVj)+Pspv)</f>
        <v>3.0424222696168846E-2</v>
      </c>
      <c r="M308" s="835"/>
      <c r="N308" s="835"/>
      <c r="O308" s="48">
        <f>IF(t&lt;Tnet,'2026'!Resal+('2026'!Salim-'2026'!Resal)*(1-EXP(('2026'!Tnet-t)/('2026'!Tau_j))),Resal+(Salim-Resal)*(1-EXP((Tnet-t)/(Tau_j))))*Salcycl</f>
        <v>4.1351605558873954E-2</v>
      </c>
      <c r="P308" s="165">
        <f>(INDEX(Models!$BJ308:$BT308,,T308)*(1-R308)+INDEX(Models!$BJ308:$BT308,,T308+1)*R308-ERP_i)*Q308*Ramure*Pc/MaxiM</f>
        <v>7.8911178166087329E-4</v>
      </c>
      <c r="Q308" s="301">
        <f t="shared" si="105"/>
        <v>0.5</v>
      </c>
      <c r="R308" s="173">
        <f t="shared" si="106"/>
        <v>0.98758513958468397</v>
      </c>
      <c r="S308" s="801">
        <f t="shared" si="107"/>
        <v>2</v>
      </c>
      <c r="T308" s="172">
        <f t="shared" si="108"/>
        <v>8</v>
      </c>
      <c r="U308" s="247">
        <f t="shared" si="109"/>
        <v>2.987585139584684</v>
      </c>
      <c r="V308" s="378">
        <f t="shared" si="110"/>
        <v>141.50963627916056</v>
      </c>
      <c r="W308" s="397">
        <f t="shared" si="111"/>
        <v>61.404196732482617</v>
      </c>
      <c r="X308" s="153">
        <f t="shared" si="112"/>
        <v>46681</v>
      </c>
      <c r="Y308" s="380">
        <f t="shared" si="113"/>
        <v>59.917044175801472</v>
      </c>
      <c r="Z308" s="380">
        <f t="shared" si="114"/>
        <v>61.797175195957443</v>
      </c>
      <c r="AA308" s="381">
        <f t="shared" si="115"/>
        <v>66.062795633191499</v>
      </c>
      <c r="AB308" s="193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6.456917840593035E-2</v>
      </c>
      <c r="AD308" s="227">
        <f>(INDEX(Models!$BJ308:$BT308,,AH308)*(1-AF308)+INDEX(Models!$BJ308:$BT308,,AH308+1)*AF308-ERP_i)*AE308*Ramure*Pc/MaxiM</f>
        <v>7.8911178166087329E-4</v>
      </c>
      <c r="AE308" s="301">
        <f t="shared" si="117"/>
        <v>0.5</v>
      </c>
      <c r="AF308" s="173">
        <f t="shared" si="118"/>
        <v>0.98758513958468397</v>
      </c>
      <c r="AG308" s="801">
        <f t="shared" si="124"/>
        <v>2</v>
      </c>
      <c r="AH308" s="172">
        <f t="shared" si="119"/>
        <v>8</v>
      </c>
      <c r="AI308" s="221">
        <f t="shared" si="120"/>
        <v>2.987585139584684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46682</v>
      </c>
      <c r="B309" s="406">
        <f>'2026'!Wh/'2026'!Env_an*'2027'!Env_an</f>
        <v>128.69610689593208</v>
      </c>
      <c r="C309" s="831"/>
      <c r="D309" s="388">
        <f t="shared" si="102"/>
        <v>132.7362663901917</v>
      </c>
      <c r="E309" s="380">
        <f t="shared" si="125"/>
        <v>138.46452993627375</v>
      </c>
      <c r="F309" s="380">
        <f t="shared" si="103"/>
        <v>138.56804600487908</v>
      </c>
      <c r="G309" s="110">
        <f t="shared" si="126"/>
        <v>0.91766917884025878</v>
      </c>
      <c r="H309" s="409" t="b">
        <f>Wh_hp&gt;='2026'!Maxi_hp</f>
        <v>0</v>
      </c>
      <c r="I309" s="385">
        <f>IF(H309,Wh_hp,'2026'!Maxi_hp)</f>
        <v>138.58007051254708</v>
      </c>
      <c r="J309" s="85">
        <f>IF(H309,An,'2026'!An_max)</f>
        <v>2022</v>
      </c>
      <c r="K309" s="193">
        <f t="shared" si="104"/>
        <v>46682</v>
      </c>
      <c r="L309" s="143">
        <f>IF(t&lt;Tvie,1-EXP((T0-t)*PertePVj)+'2026'!Pspv,1-EXP((T0-t)*PertePVj)+Pspv)</f>
        <v>3.0437495374347479E-2</v>
      </c>
      <c r="M309" s="835"/>
      <c r="N309" s="835"/>
      <c r="O309" s="48">
        <f>IF(t&lt;Tnet,'2026'!Resal+('2026'!Salim-'2026'!Resal)*(1-EXP(('2026'!Tnet-t)/('2026'!Tau_j))),Resal+(Salim-Resal)*(1-EXP((Tnet-t)/(Tau_j))))*Salcycl</f>
        <v>4.1369898476659762E-2</v>
      </c>
      <c r="P309" s="165">
        <f>(INDEX(Models!$BJ309:$BT309,,T309)*(1-R309)+INDEX(Models!$BJ309:$BT309,,T309+1)*R309-ERP_i)*Q309*Ramure*Pc/MaxiM</f>
        <v>8.4649143500242958E-4</v>
      </c>
      <c r="Q309" s="301">
        <f t="shared" si="105"/>
        <v>0.5</v>
      </c>
      <c r="R309" s="173">
        <f t="shared" si="106"/>
        <v>0.98766972285053001</v>
      </c>
      <c r="S309" s="801">
        <f t="shared" si="107"/>
        <v>2</v>
      </c>
      <c r="T309" s="172">
        <f t="shared" si="108"/>
        <v>8</v>
      </c>
      <c r="U309" s="247">
        <f t="shared" si="109"/>
        <v>2.98766972285053</v>
      </c>
      <c r="V309" s="378">
        <f t="shared" si="110"/>
        <v>140.22841941715276</v>
      </c>
      <c r="W309" s="397">
        <f t="shared" si="111"/>
        <v>128.69610689593208</v>
      </c>
      <c r="X309" s="153">
        <f t="shared" si="112"/>
        <v>46682</v>
      </c>
      <c r="Y309" s="380">
        <f t="shared" si="113"/>
        <v>125.5845723434696</v>
      </c>
      <c r="Z309" s="380">
        <f t="shared" si="114"/>
        <v>129.52705137040931</v>
      </c>
      <c r="AA309" s="381">
        <f t="shared" si="115"/>
        <v>138.46452993627375</v>
      </c>
      <c r="AB309" s="193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6.4547061763599617E-2</v>
      </c>
      <c r="AD309" s="227">
        <f>(INDEX(Models!$BJ309:$BT309,,AH309)*(1-AF309)+INDEX(Models!$BJ309:$BT309,,AH309+1)*AF309-ERP_i)*AE309*Ramure*Pc/MaxiM</f>
        <v>8.4649143500242958E-4</v>
      </c>
      <c r="AE309" s="301">
        <f t="shared" si="117"/>
        <v>0.5</v>
      </c>
      <c r="AF309" s="173">
        <f t="shared" si="118"/>
        <v>0.98766972285053001</v>
      </c>
      <c r="AG309" s="801">
        <f t="shared" si="124"/>
        <v>2</v>
      </c>
      <c r="AH309" s="172">
        <f t="shared" si="119"/>
        <v>8</v>
      </c>
      <c r="AI309" s="221">
        <f t="shared" si="120"/>
        <v>2.98766972285053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46683</v>
      </c>
      <c r="B310" s="406">
        <f>'2026'!Wh/'2026'!Env_an*'2027'!Env_an</f>
        <v>78.160460192449221</v>
      </c>
      <c r="C310" s="831"/>
      <c r="D310" s="388">
        <f t="shared" si="102"/>
        <v>80.615256659845926</v>
      </c>
      <c r="E310" s="380">
        <f t="shared" si="125"/>
        <v>84.095787799744869</v>
      </c>
      <c r="F310" s="380">
        <f t="shared" si="103"/>
        <v>84.124680983700557</v>
      </c>
      <c r="G310" s="110">
        <f t="shared" si="126"/>
        <v>0.56220256558714377</v>
      </c>
      <c r="H310" s="409" t="b">
        <f>Wh_hp&gt;='2026'!Maxi_hp</f>
        <v>0</v>
      </c>
      <c r="I310" s="385">
        <f>IF(H310,Wh_hp,'2026'!Maxi_hp)</f>
        <v>84.166642562822275</v>
      </c>
      <c r="J310" s="85">
        <f>IF(H310,An,'2026'!An_max)</f>
        <v>2022</v>
      </c>
      <c r="K310" s="193">
        <f t="shared" si="104"/>
        <v>46683</v>
      </c>
      <c r="L310" s="143">
        <f>IF(t&lt;Tvie,1-EXP((T0-t)*PertePVj)+'2026'!Pspv,1-EXP((T0-t)*PertePVj)+Pspv)</f>
        <v>3.0450767870834339E-2</v>
      </c>
      <c r="M310" s="835"/>
      <c r="N310" s="835"/>
      <c r="O310" s="48">
        <f>IF(t&lt;Tnet,'2026'!Resal+('2026'!Salim-'2026'!Resal)*(1-EXP(('2026'!Tnet-t)/('2026'!Tau_j))),Resal+(Salim-Resal)*(1-EXP((Tnet-t)/(Tau_j))))*Salcycl</f>
        <v>4.1387698848687253E-2</v>
      </c>
      <c r="P310" s="165">
        <f>(INDEX(Models!$BJ310:$BT310,,T310)*(1-R310)+INDEX(Models!$BJ310:$BT310,,T310+1)*R310-ERP_i)*Q310*Ramure*Pc/MaxiM</f>
        <v>9.1579855296030981E-4</v>
      </c>
      <c r="Q310" s="301">
        <f t="shared" si="105"/>
        <v>0.5</v>
      </c>
      <c r="R310" s="173">
        <f t="shared" si="106"/>
        <v>0.9877509275323515</v>
      </c>
      <c r="S310" s="801">
        <f t="shared" si="107"/>
        <v>2</v>
      </c>
      <c r="T310" s="172">
        <f t="shared" si="108"/>
        <v>8</v>
      </c>
      <c r="U310" s="247">
        <f t="shared" si="109"/>
        <v>2.9877509275323515</v>
      </c>
      <c r="V310" s="378">
        <f t="shared" si="110"/>
        <v>138.94584461268553</v>
      </c>
      <c r="W310" s="397">
        <f t="shared" si="111"/>
        <v>78.160460192449221</v>
      </c>
      <c r="X310" s="153">
        <f t="shared" si="112"/>
        <v>46683</v>
      </c>
      <c r="Y310" s="380">
        <f t="shared" si="113"/>
        <v>76.274017434365277</v>
      </c>
      <c r="Z310" s="380">
        <f t="shared" si="114"/>
        <v>78.669566131123361</v>
      </c>
      <c r="AA310" s="381">
        <f t="shared" si="115"/>
        <v>84.095787799744869</v>
      </c>
      <c r="AB310" s="193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6.452429795345796E-2</v>
      </c>
      <c r="AD310" s="227">
        <f>(INDEX(Models!$BJ310:$BT310,,AH310)*(1-AF310)+INDEX(Models!$BJ310:$BT310,,AH310+1)*AF310-ERP_i)*AE310*Ramure*Pc/MaxiM</f>
        <v>9.1579855296030981E-4</v>
      </c>
      <c r="AE310" s="301">
        <f t="shared" si="117"/>
        <v>0.5</v>
      </c>
      <c r="AF310" s="173">
        <f t="shared" si="118"/>
        <v>0.9877509275323515</v>
      </c>
      <c r="AG310" s="801">
        <f t="shared" si="124"/>
        <v>2</v>
      </c>
      <c r="AH310" s="172">
        <f t="shared" si="119"/>
        <v>8</v>
      </c>
      <c r="AI310" s="221">
        <f t="shared" si="120"/>
        <v>2.9877509275323515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46684</v>
      </c>
      <c r="B311" s="406">
        <f>'2026'!Wh/'2026'!Env_an*'2027'!Env_an</f>
        <v>100.53421907796492</v>
      </c>
      <c r="C311" s="831"/>
      <c r="D311" s="388">
        <f t="shared" si="102"/>
        <v>103.6931307810529</v>
      </c>
      <c r="E311" s="380">
        <f t="shared" si="125"/>
        <v>108.17199613795911</v>
      </c>
      <c r="F311" s="380">
        <f t="shared" si="103"/>
        <v>108.23833293604933</v>
      </c>
      <c r="G311" s="110">
        <f t="shared" si="126"/>
        <v>0.73001168874277278</v>
      </c>
      <c r="H311" s="409" t="b">
        <f>Wh_hp&gt;='2026'!Maxi_hp</f>
        <v>0</v>
      </c>
      <c r="I311" s="385">
        <f>IF(H311,Wh_hp,'2026'!Maxi_hp)</f>
        <v>108.27450579494256</v>
      </c>
      <c r="J311" s="85">
        <f>IF(H311,An,'2026'!An_max)</f>
        <v>2022</v>
      </c>
      <c r="K311" s="193">
        <f t="shared" si="104"/>
        <v>46684</v>
      </c>
      <c r="L311" s="143">
        <f>IF(t&lt;Tvie,1-EXP((T0-t)*PertePVj)+'2026'!Pspv,1-EXP((T0-t)*PertePVj)+Pspv)</f>
        <v>3.0464040185631869E-2</v>
      </c>
      <c r="M311" s="835"/>
      <c r="N311" s="835"/>
      <c r="O311" s="48">
        <f>IF(t&lt;Tnet,'2026'!Resal+('2026'!Salim-'2026'!Resal)*(1-EXP(('2026'!Tnet-t)/('2026'!Tau_j))),Resal+(Salim-Resal)*(1-EXP((Tnet-t)/(Tau_j))))*Salcycl</f>
        <v>4.1405035654459077E-2</v>
      </c>
      <c r="P311" s="165">
        <f>(INDEX(Models!$BJ311:$BT311,,T311)*(1-R311)+INDEX(Models!$BJ311:$BT311,,T311+1)*R311-ERP_i)*Q311*Ramure*Pc/MaxiM</f>
        <v>9.9702895559638377E-4</v>
      </c>
      <c r="Q311" s="301">
        <f t="shared" si="105"/>
        <v>0.5</v>
      </c>
      <c r="R311" s="173">
        <f t="shared" si="106"/>
        <v>0.98782888754474429</v>
      </c>
      <c r="S311" s="801">
        <f t="shared" si="107"/>
        <v>2</v>
      </c>
      <c r="T311" s="172">
        <f t="shared" si="108"/>
        <v>8</v>
      </c>
      <c r="U311" s="247">
        <f t="shared" si="109"/>
        <v>2.9878288875447443</v>
      </c>
      <c r="V311" s="378">
        <f t="shared" si="110"/>
        <v>137.66296696216631</v>
      </c>
      <c r="W311" s="397">
        <f t="shared" si="111"/>
        <v>100.53421907796492</v>
      </c>
      <c r="X311" s="153">
        <f t="shared" si="112"/>
        <v>46684</v>
      </c>
      <c r="Y311" s="380">
        <f t="shared" si="113"/>
        <v>98.111998926683611</v>
      </c>
      <c r="Z311" s="380">
        <f t="shared" si="114"/>
        <v>101.1948014238364</v>
      </c>
      <c r="AA311" s="381">
        <f t="shared" si="115"/>
        <v>108.17199613795911</v>
      </c>
      <c r="AB311" s="193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6.4500933358243959E-2</v>
      </c>
      <c r="AD311" s="227">
        <f>(INDEX(Models!$BJ311:$BT311,,AH311)*(1-AF311)+INDEX(Models!$BJ311:$BT311,,AH311+1)*AF311-ERP_i)*AE311*Ramure*Pc/MaxiM</f>
        <v>9.9702895559638377E-4</v>
      </c>
      <c r="AE311" s="301">
        <f t="shared" si="117"/>
        <v>0.5</v>
      </c>
      <c r="AF311" s="173">
        <f t="shared" si="118"/>
        <v>0.98782888754474429</v>
      </c>
      <c r="AG311" s="801">
        <f t="shared" si="124"/>
        <v>2</v>
      </c>
      <c r="AH311" s="172">
        <f t="shared" si="119"/>
        <v>8</v>
      </c>
      <c r="AI311" s="221">
        <f t="shared" si="120"/>
        <v>2.9878288875447443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46685</v>
      </c>
      <c r="B312" s="406">
        <f>'2026'!Wh/'2026'!Env_an*'2027'!Env_an</f>
        <v>86.937411330831736</v>
      </c>
      <c r="C312" s="831"/>
      <c r="D312" s="388">
        <f t="shared" si="102"/>
        <v>89.670321731979399</v>
      </c>
      <c r="E312" s="380">
        <f t="shared" si="125"/>
        <v>93.545143017158821</v>
      </c>
      <c r="F312" s="380">
        <f t="shared" si="103"/>
        <v>93.594337143457253</v>
      </c>
      <c r="G312" s="110">
        <f t="shared" si="126"/>
        <v>0.6371005108301101</v>
      </c>
      <c r="H312" s="409" t="b">
        <f>Wh_hp&gt;='2026'!Maxi_hp</f>
        <v>0</v>
      </c>
      <c r="I312" s="385">
        <f>IF(H312,Wh_hp,'2026'!Maxi_hp)</f>
        <v>93.640209590302121</v>
      </c>
      <c r="J312" s="85">
        <f>IF(H312,An,'2026'!An_max)</f>
        <v>2022</v>
      </c>
      <c r="K312" s="193">
        <f t="shared" si="104"/>
        <v>46685</v>
      </c>
      <c r="L312" s="143">
        <f>IF(t&lt;Tvie,1-EXP((T0-t)*PertePVj)+'2026'!Pspv,1-EXP((T0-t)*PertePVj)+Pspv)</f>
        <v>3.0477312318742511E-2</v>
      </c>
      <c r="M312" s="835"/>
      <c r="N312" s="835"/>
      <c r="O312" s="48">
        <f>IF(t&lt;Tnet,'2026'!Resal+('2026'!Salim-'2026'!Resal)*(1-EXP(('2026'!Tnet-t)/('2026'!Tau_j))),Resal+(Salim-Resal)*(1-EXP((Tnet-t)/(Tau_j))))*Salcycl</f>
        <v>4.1421939827155703E-2</v>
      </c>
      <c r="P312" s="165">
        <f>(INDEX(Models!$BJ312:$BT312,,T312)*(1-R312)+INDEX(Models!$BJ312:$BT312,,T312+1)*R312-ERP_i)*Q312*Ramure*Pc/MaxiM</f>
        <v>1.0902813235956236E-3</v>
      </c>
      <c r="Q312" s="301">
        <f t="shared" si="105"/>
        <v>0.5</v>
      </c>
      <c r="R312" s="173">
        <f t="shared" si="106"/>
        <v>0.98790373157615274</v>
      </c>
      <c r="S312" s="801">
        <f t="shared" si="107"/>
        <v>2</v>
      </c>
      <c r="T312" s="172">
        <f t="shared" si="108"/>
        <v>8</v>
      </c>
      <c r="U312" s="247">
        <f t="shared" si="109"/>
        <v>2.9879037315761527</v>
      </c>
      <c r="V312" s="378">
        <f t="shared" si="110"/>
        <v>136.38082685641456</v>
      </c>
      <c r="W312" s="397">
        <f t="shared" si="111"/>
        <v>86.937411330831736</v>
      </c>
      <c r="X312" s="153">
        <f t="shared" si="112"/>
        <v>46685</v>
      </c>
      <c r="Y312" s="380">
        <f t="shared" si="113"/>
        <v>84.846450946167224</v>
      </c>
      <c r="Z312" s="380">
        <f t="shared" si="114"/>
        <v>87.513631216912316</v>
      </c>
      <c r="AA312" s="381">
        <f t="shared" si="115"/>
        <v>93.545143017158821</v>
      </c>
      <c r="AB312" s="193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6.4477017252944371E-2</v>
      </c>
      <c r="AD312" s="227">
        <f>(INDEX(Models!$BJ312:$BT312,,AH312)*(1-AF312)+INDEX(Models!$BJ312:$BT312,,AH312+1)*AF312-ERP_i)*AE312*Ramure*Pc/MaxiM</f>
        <v>1.0902813235956236E-3</v>
      </c>
      <c r="AE312" s="301">
        <f t="shared" si="117"/>
        <v>0.5</v>
      </c>
      <c r="AF312" s="173">
        <f t="shared" si="118"/>
        <v>0.98790373157615274</v>
      </c>
      <c r="AG312" s="801">
        <f t="shared" si="124"/>
        <v>2</v>
      </c>
      <c r="AH312" s="172">
        <f t="shared" si="119"/>
        <v>8</v>
      </c>
      <c r="AI312" s="221">
        <f t="shared" si="120"/>
        <v>2.9879037315761527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46686</v>
      </c>
      <c r="B313" s="406">
        <f>'2026'!Wh/'2026'!Env_an*'2027'!Env_an</f>
        <v>57.411095072804677</v>
      </c>
      <c r="C313" s="831"/>
      <c r="D313" s="388">
        <f t="shared" si="102"/>
        <v>59.216645182952163</v>
      </c>
      <c r="E313" s="380">
        <f t="shared" si="125"/>
        <v>61.776570134965674</v>
      </c>
      <c r="F313" s="380">
        <f t="shared" si="103"/>
        <v>61.789757593111439</v>
      </c>
      <c r="G313" s="110">
        <f t="shared" si="126"/>
        <v>0.42453364156550405</v>
      </c>
      <c r="H313" s="409" t="b">
        <f>Wh_hp&gt;='2026'!Maxi_hp</f>
        <v>0</v>
      </c>
      <c r="I313" s="385">
        <f>IF(H313,Wh_hp,'2026'!Maxi_hp)</f>
        <v>61.842299177452915</v>
      </c>
      <c r="J313" s="85">
        <f>IF(H313,An,'2026'!An_max)</f>
        <v>2022</v>
      </c>
      <c r="K313" s="193">
        <f t="shared" si="104"/>
        <v>46686</v>
      </c>
      <c r="L313" s="143">
        <f>IF(t&lt;Tvie,1-EXP((T0-t)*PertePVj)+'2026'!Pspv,1-EXP((T0-t)*PertePVj)+Pspv)</f>
        <v>3.0490584270168708E-2</v>
      </c>
      <c r="M313" s="835"/>
      <c r="N313" s="835"/>
      <c r="O313" s="48">
        <f>IF(t&lt;Tnet,'2026'!Resal+('2026'!Salim-'2026'!Resal)*(1-EXP(('2026'!Tnet-t)/('2026'!Tau_j))),Resal+(Salim-Resal)*(1-EXP((Tnet-t)/(Tau_j))))*Salcycl</f>
        <v>4.143844416128549E-2</v>
      </c>
      <c r="P313" s="165">
        <f>(INDEX(Models!$BJ313:$BT313,,T313)*(1-R313)+INDEX(Models!$BJ313:$BT313,,T313+1)*R313-ERP_i)*Q313*Ramure*Pc/MaxiM</f>
        <v>1.1956455912147056E-3</v>
      </c>
      <c r="Q313" s="301">
        <f t="shared" si="105"/>
        <v>0.5</v>
      </c>
      <c r="R313" s="173">
        <f t="shared" si="106"/>
        <v>0.98797558328638191</v>
      </c>
      <c r="S313" s="801">
        <f t="shared" si="107"/>
        <v>2</v>
      </c>
      <c r="T313" s="172">
        <f t="shared" si="108"/>
        <v>8</v>
      </c>
      <c r="U313" s="247">
        <f t="shared" si="109"/>
        <v>2.9879755832863819</v>
      </c>
      <c r="V313" s="378">
        <f t="shared" si="110"/>
        <v>135.10046564155243</v>
      </c>
      <c r="W313" s="397">
        <f t="shared" si="111"/>
        <v>57.411095072804677</v>
      </c>
      <c r="X313" s="153">
        <f t="shared" si="112"/>
        <v>46686</v>
      </c>
      <c r="Y313" s="380">
        <f t="shared" si="113"/>
        <v>56.032708911176698</v>
      </c>
      <c r="Z313" s="380">
        <f t="shared" si="114"/>
        <v>57.79490946871946</v>
      </c>
      <c r="AA313" s="381">
        <f t="shared" si="115"/>
        <v>61.776570134965674</v>
      </c>
      <c r="AB313" s="193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6.4452601650550126E-2</v>
      </c>
      <c r="AD313" s="227">
        <f>(INDEX(Models!$BJ313:$BT313,,AH313)*(1-AF313)+INDEX(Models!$BJ313:$BT313,,AH313+1)*AF313-ERP_i)*AE313*Ramure*Pc/MaxiM</f>
        <v>1.1956455912147056E-3</v>
      </c>
      <c r="AE313" s="301">
        <f t="shared" si="117"/>
        <v>0.5</v>
      </c>
      <c r="AF313" s="173">
        <f t="shared" si="118"/>
        <v>0.98797558328638191</v>
      </c>
      <c r="AG313" s="801">
        <f t="shared" si="124"/>
        <v>2</v>
      </c>
      <c r="AH313" s="172">
        <f t="shared" si="119"/>
        <v>8</v>
      </c>
      <c r="AI313" s="221">
        <f t="shared" si="120"/>
        <v>2.9879755832863819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46687</v>
      </c>
      <c r="B314" s="406">
        <f>'2026'!Wh/'2026'!Env_an*'2027'!Env_an</f>
        <v>51.522993503211126</v>
      </c>
      <c r="C314" s="831"/>
      <c r="D314" s="388">
        <f t="shared" si="102"/>
        <v>53.144093273807059</v>
      </c>
      <c r="E314" s="380">
        <f t="shared" si="125"/>
        <v>55.442436365304502</v>
      </c>
      <c r="F314" s="380">
        <f t="shared" si="103"/>
        <v>55.451279592865006</v>
      </c>
      <c r="G314" s="110">
        <f t="shared" si="126"/>
        <v>0.3845644567187389</v>
      </c>
      <c r="H314" s="409" t="b">
        <f>Wh_hp&gt;='2026'!Maxi_hp</f>
        <v>0</v>
      </c>
      <c r="I314" s="385">
        <f>IF(H314,Wh_hp,'2026'!Maxi_hp)</f>
        <v>55.506514695537248</v>
      </c>
      <c r="J314" s="85">
        <f>IF(H314,An,'2026'!An_max)</f>
        <v>2022</v>
      </c>
      <c r="K314" s="193">
        <f t="shared" si="104"/>
        <v>46687</v>
      </c>
      <c r="L314" s="143">
        <f>IF(t&lt;Tvie,1-EXP((T0-t)*PertePVj)+'2026'!Pspv,1-EXP((T0-t)*PertePVj)+Pspv)</f>
        <v>3.0503856039913235E-2</v>
      </c>
      <c r="M314" s="835"/>
      <c r="N314" s="835"/>
      <c r="O314" s="48">
        <f>IF(t&lt;Tnet,'2026'!Resal+('2026'!Salim-'2026'!Resal)*(1-EXP(('2026'!Tnet-t)/('2026'!Tau_j))),Resal+(Salim-Resal)*(1-EXP((Tnet-t)/(Tau_j))))*Salcycl</f>
        <v>4.1454583206876026E-2</v>
      </c>
      <c r="P314" s="165">
        <f>(INDEX(Models!$BJ314:$BT314,,T314)*(1-R314)+INDEX(Models!$BJ314:$BT314,,T314+1)*R314-ERP_i)*Q314*Ramure*Pc/MaxiM</f>
        <v>1.3132087567111037E-3</v>
      </c>
      <c r="Q314" s="301">
        <f t="shared" si="105"/>
        <v>0.5</v>
      </c>
      <c r="R314" s="173">
        <f t="shared" si="106"/>
        <v>0.98804456149715936</v>
      </c>
      <c r="S314" s="801">
        <f t="shared" si="107"/>
        <v>2</v>
      </c>
      <c r="T314" s="172">
        <f t="shared" si="108"/>
        <v>8</v>
      </c>
      <c r="U314" s="247">
        <f t="shared" si="109"/>
        <v>2.9880445614971594</v>
      </c>
      <c r="V314" s="378">
        <f t="shared" si="110"/>
        <v>133.82292469051873</v>
      </c>
      <c r="W314" s="397">
        <f t="shared" si="111"/>
        <v>51.522993503211126</v>
      </c>
      <c r="X314" s="153">
        <f t="shared" si="112"/>
        <v>46687</v>
      </c>
      <c r="Y314" s="380">
        <f t="shared" si="113"/>
        <v>50.288158047775845</v>
      </c>
      <c r="Z314" s="380">
        <f t="shared" si="114"/>
        <v>51.870405427673532</v>
      </c>
      <c r="AA314" s="381">
        <f t="shared" si="115"/>
        <v>55.442436365304502</v>
      </c>
      <c r="AB314" s="193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6.4427741127666693E-2</v>
      </c>
      <c r="AD314" s="227">
        <f>(INDEX(Models!$BJ314:$BT314,,AH314)*(1-AF314)+INDEX(Models!$BJ314:$BT314,,AH314+1)*AF314-ERP_i)*AE314*Ramure*Pc/MaxiM</f>
        <v>1.3132087567111037E-3</v>
      </c>
      <c r="AE314" s="301">
        <f t="shared" si="117"/>
        <v>0.5</v>
      </c>
      <c r="AF314" s="173">
        <f t="shared" si="118"/>
        <v>0.98804456149715936</v>
      </c>
      <c r="AG314" s="801">
        <f t="shared" si="124"/>
        <v>2</v>
      </c>
      <c r="AH314" s="172">
        <f t="shared" si="119"/>
        <v>8</v>
      </c>
      <c r="AI314" s="221">
        <f t="shared" si="120"/>
        <v>2.9880445614971594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46688</v>
      </c>
      <c r="B315" s="406">
        <f>'2026'!Wh/'2026'!Env_an*'2027'!Env_an</f>
        <v>67.986240840525667</v>
      </c>
      <c r="C315" s="831"/>
      <c r="D315" s="388">
        <f t="shared" si="102"/>
        <v>70.126293901597833</v>
      </c>
      <c r="E315" s="380">
        <f t="shared" si="125"/>
        <v>73.160279453551496</v>
      </c>
      <c r="F315" s="380">
        <f t="shared" si="103"/>
        <v>73.192405194539504</v>
      </c>
      <c r="G315" s="110">
        <f t="shared" si="126"/>
        <v>0.5123978147158208</v>
      </c>
      <c r="H315" s="409" t="b">
        <f>Wh_hp&gt;='2026'!Maxi_hp</f>
        <v>0</v>
      </c>
      <c r="I315" s="385">
        <f>IF(H315,Wh_hp,'2026'!Maxi_hp)</f>
        <v>73.255686968497727</v>
      </c>
      <c r="J315" s="85">
        <f>IF(H315,An,'2026'!An_max)</f>
        <v>2022</v>
      </c>
      <c r="K315" s="193">
        <f t="shared" si="104"/>
        <v>46688</v>
      </c>
      <c r="L315" s="143">
        <f>IF(t&lt;Tvie,1-EXP((T0-t)*PertePVj)+'2026'!Pspv,1-EXP((T0-t)*PertePVj)+Pspv)</f>
        <v>3.0517127627978202E-2</v>
      </c>
      <c r="M315" s="835"/>
      <c r="N315" s="835"/>
      <c r="O315" s="48">
        <f>IF(t&lt;Tnet,'2026'!Resal+('2026'!Salim-'2026'!Resal)*(1-EXP(('2026'!Tnet-t)/('2026'!Tau_j))),Resal+(Salim-Resal)*(1-EXP((Tnet-t)/(Tau_j))))*Salcycl</f>
        <v>4.1470393150697275E-2</v>
      </c>
      <c r="P315" s="165">
        <f>(INDEX(Models!$BJ315:$BT315,,T315)*(1-R315)+INDEX(Models!$BJ315:$BT315,,T315+1)*R315-ERP_i)*Q315*Ramure*Pc/MaxiM</f>
        <v>1.4430548697964246E-3</v>
      </c>
      <c r="Q315" s="301">
        <f t="shared" si="105"/>
        <v>0.5</v>
      </c>
      <c r="R315" s="173">
        <f t="shared" si="106"/>
        <v>0.98811078037594147</v>
      </c>
      <c r="S315" s="801">
        <f t="shared" si="107"/>
        <v>2</v>
      </c>
      <c r="T315" s="172">
        <f t="shared" si="108"/>
        <v>8</v>
      </c>
      <c r="U315" s="247">
        <f t="shared" si="109"/>
        <v>2.9881107803759415</v>
      </c>
      <c r="V315" s="378">
        <f t="shared" si="110"/>
        <v>132.54924529134263</v>
      </c>
      <c r="W315" s="397">
        <f t="shared" si="111"/>
        <v>67.986240840525667</v>
      </c>
      <c r="X315" s="153">
        <f t="shared" si="112"/>
        <v>46688</v>
      </c>
      <c r="Y315" s="380">
        <f t="shared" si="113"/>
        <v>66.359721193040912</v>
      </c>
      <c r="Z315" s="380">
        <f t="shared" si="114"/>
        <v>68.448575095173581</v>
      </c>
      <c r="AA315" s="381">
        <f t="shared" si="115"/>
        <v>73.160279453551496</v>
      </c>
      <c r="AB315" s="193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6.4402492630844951E-2</v>
      </c>
      <c r="AD315" s="227">
        <f>(INDEX(Models!$BJ315:$BT315,,AH315)*(1-AF315)+INDEX(Models!$BJ315:$BT315,,AH315+1)*AF315-ERP_i)*AE315*Ramure*Pc/MaxiM</f>
        <v>1.4430548697964246E-3</v>
      </c>
      <c r="AE315" s="301">
        <f t="shared" si="117"/>
        <v>0.5</v>
      </c>
      <c r="AF315" s="173">
        <f t="shared" si="118"/>
        <v>0.98811078037594147</v>
      </c>
      <c r="AG315" s="801">
        <f t="shared" si="124"/>
        <v>2</v>
      </c>
      <c r="AH315" s="172">
        <f t="shared" si="119"/>
        <v>8</v>
      </c>
      <c r="AI315" s="221">
        <f t="shared" si="120"/>
        <v>2.9881107803759415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46689</v>
      </c>
      <c r="B316" s="406">
        <f>'2026'!Wh/'2026'!Env_an*'2027'!Env_an</f>
        <v>98.69050764797737</v>
      </c>
      <c r="C316" s="831"/>
      <c r="D316" s="388">
        <f t="shared" si="102"/>
        <v>101.79845510336514</v>
      </c>
      <c r="E316" s="380">
        <f t="shared" si="125"/>
        <v>106.2044432568878</v>
      </c>
      <c r="F316" s="380">
        <f t="shared" si="103"/>
        <v>106.31320903631958</v>
      </c>
      <c r="G316" s="110">
        <f t="shared" si="126"/>
        <v>0.75133009919660476</v>
      </c>
      <c r="H316" s="409" t="b">
        <f>Wh_hp&gt;='2026'!Maxi_hp</f>
        <v>0</v>
      </c>
      <c r="I316" s="385">
        <f>IF(H316,Wh_hp,'2026'!Maxi_hp)</f>
        <v>106.36453669934818</v>
      </c>
      <c r="J316" s="85">
        <f>IF(H316,An,'2026'!An_max)</f>
        <v>2022</v>
      </c>
      <c r="K316" s="193">
        <f t="shared" si="104"/>
        <v>46689</v>
      </c>
      <c r="L316" s="143">
        <f>IF(t&lt;Tvie,1-EXP((T0-t)*PertePVj)+'2026'!Pspv,1-EXP((T0-t)*PertePVj)+Pspv)</f>
        <v>3.0530399034366384E-2</v>
      </c>
      <c r="M316" s="835"/>
      <c r="N316" s="835"/>
      <c r="O316" s="48">
        <f>IF(t&lt;Tnet,'2026'!Resal+('2026'!Salim-'2026'!Resal)*(1-EXP(('2026'!Tnet-t)/('2026'!Tau_j))),Resal+(Salim-Resal)*(1-EXP((Tnet-t)/(Tau_j))))*Salcycl</f>
        <v>4.1485911685120586E-2</v>
      </c>
      <c r="P316" s="165">
        <f>(INDEX(Models!$BJ316:$BT316,,T316)*(1-R316)+INDEX(Models!$BJ316:$BT316,,T316+1)*R316-ERP_i)*Q316*Ramure*Pc/MaxiM</f>
        <v>1.5852650524466794E-3</v>
      </c>
      <c r="Q316" s="301">
        <f t="shared" si="105"/>
        <v>0.5</v>
      </c>
      <c r="R316" s="173">
        <f t="shared" si="106"/>
        <v>0.98817434961317741</v>
      </c>
      <c r="S316" s="801">
        <f t="shared" si="107"/>
        <v>2</v>
      </c>
      <c r="T316" s="172">
        <f t="shared" si="108"/>
        <v>8</v>
      </c>
      <c r="U316" s="247">
        <f t="shared" si="109"/>
        <v>2.9881743496131774</v>
      </c>
      <c r="V316" s="378">
        <f t="shared" si="110"/>
        <v>131.28046852762759</v>
      </c>
      <c r="W316" s="397">
        <f t="shared" si="111"/>
        <v>98.69050764797737</v>
      </c>
      <c r="X316" s="153">
        <f t="shared" si="112"/>
        <v>46689</v>
      </c>
      <c r="Y316" s="380">
        <f t="shared" si="113"/>
        <v>96.333604612979784</v>
      </c>
      <c r="Z316" s="380">
        <f t="shared" si="114"/>
        <v>99.367328812607795</v>
      </c>
      <c r="AA316" s="381">
        <f t="shared" si="115"/>
        <v>106.2044432568878</v>
      </c>
      <c r="AB316" s="193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6.4376915264668891E-2</v>
      </c>
      <c r="AD316" s="227">
        <f>(INDEX(Models!$BJ316:$BT316,,AH316)*(1-AF316)+INDEX(Models!$BJ316:$BT316,,AH316+1)*AF316-ERP_i)*AE316*Ramure*Pc/MaxiM</f>
        <v>1.5852650524466794E-3</v>
      </c>
      <c r="AE316" s="301">
        <f t="shared" si="117"/>
        <v>0.5</v>
      </c>
      <c r="AF316" s="173">
        <f t="shared" si="118"/>
        <v>0.98817434961317741</v>
      </c>
      <c r="AG316" s="801">
        <f t="shared" si="124"/>
        <v>2</v>
      </c>
      <c r="AH316" s="172">
        <f t="shared" si="119"/>
        <v>8</v>
      </c>
      <c r="AI316" s="221">
        <f t="shared" si="120"/>
        <v>2.9881743496131774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46690</v>
      </c>
      <c r="B317" s="406">
        <f>'2026'!Wh/'2026'!Env_an*'2027'!Env_an</f>
        <v>82.501791702025074</v>
      </c>
      <c r="C317" s="831"/>
      <c r="D317" s="388">
        <f t="shared" si="102"/>
        <v>85.101091375692064</v>
      </c>
      <c r="E317" s="380">
        <f t="shared" si="125"/>
        <v>88.785806941487394</v>
      </c>
      <c r="F317" s="380">
        <f t="shared" si="103"/>
        <v>88.859708688571914</v>
      </c>
      <c r="G317" s="110">
        <f t="shared" si="126"/>
        <v>0.634000077072288</v>
      </c>
      <c r="H317" s="409" t="b">
        <f>Wh_hp&gt;='2026'!Maxi_hp</f>
        <v>0</v>
      </c>
      <c r="I317" s="385">
        <f>IF(H317,Wh_hp,'2026'!Maxi_hp)</f>
        <v>88.928840015230989</v>
      </c>
      <c r="J317" s="85">
        <f>IF(H317,An,'2026'!An_max)</f>
        <v>2022</v>
      </c>
      <c r="K317" s="193">
        <f t="shared" si="104"/>
        <v>46690</v>
      </c>
      <c r="L317" s="143">
        <f>IF(t&lt;Tvie,1-EXP((T0-t)*PertePVj)+'2026'!Pspv,1-EXP((T0-t)*PertePVj)+Pspv)</f>
        <v>3.0543670259080113E-2</v>
      </c>
      <c r="M317" s="835"/>
      <c r="N317" s="835"/>
      <c r="O317" s="48">
        <f>IF(t&lt;Tnet,'2026'!Resal+('2026'!Salim-'2026'!Resal)*(1-EXP(('2026'!Tnet-t)/('2026'!Tau_j))),Resal+(Salim-Resal)*(1-EXP((Tnet-t)/(Tau_j))))*Salcycl</f>
        <v>4.1501177865327921E-2</v>
      </c>
      <c r="P317" s="165">
        <f>(INDEX(Models!$BJ317:$BT317,,T317)*(1-R317)+INDEX(Models!$BJ317:$BT317,,T317+1)*R317-ERP_i)*Q317*Ramure*Pc/MaxiM</f>
        <v>1.7400102891583908E-3</v>
      </c>
      <c r="Q317" s="301">
        <f t="shared" si="105"/>
        <v>0.5</v>
      </c>
      <c r="R317" s="173">
        <f t="shared" si="106"/>
        <v>0.98823537459322042</v>
      </c>
      <c r="S317" s="801">
        <f t="shared" si="107"/>
        <v>2</v>
      </c>
      <c r="T317" s="172">
        <f t="shared" si="108"/>
        <v>8</v>
      </c>
      <c r="U317" s="247">
        <f t="shared" si="109"/>
        <v>2.9882353745932204</v>
      </c>
      <c r="V317" s="378">
        <f t="shared" si="110"/>
        <v>130.0106930780255</v>
      </c>
      <c r="W317" s="397">
        <f t="shared" si="111"/>
        <v>82.501791702025074</v>
      </c>
      <c r="X317" s="153">
        <f t="shared" si="112"/>
        <v>46690</v>
      </c>
      <c r="Y317" s="380">
        <f t="shared" si="113"/>
        <v>80.535010937191998</v>
      </c>
      <c r="Z317" s="380">
        <f t="shared" si="114"/>
        <v>83.072345258413435</v>
      </c>
      <c r="AA317" s="381">
        <f t="shared" si="115"/>
        <v>88.785806941487394</v>
      </c>
      <c r="AB317" s="193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6.4351070062800858E-2</v>
      </c>
      <c r="AD317" s="227">
        <f>(INDEX(Models!$BJ317:$BT317,,AH317)*(1-AF317)+INDEX(Models!$BJ317:$BT317,,AH317+1)*AF317-ERP_i)*AE317*Ramure*Pc/MaxiM</f>
        <v>1.7400102891583908E-3</v>
      </c>
      <c r="AE317" s="301">
        <f t="shared" si="117"/>
        <v>0.5</v>
      </c>
      <c r="AF317" s="173">
        <f t="shared" si="118"/>
        <v>0.98823537459322042</v>
      </c>
      <c r="AG317" s="801">
        <f t="shared" si="124"/>
        <v>2</v>
      </c>
      <c r="AH317" s="172">
        <f t="shared" si="119"/>
        <v>8</v>
      </c>
      <c r="AI317" s="221">
        <f t="shared" si="120"/>
        <v>2.9882353745932204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46691</v>
      </c>
      <c r="B318" s="406">
        <f>'2026'!Wh/'2026'!Env_an*'2027'!Env_an</f>
        <v>83.519322210399025</v>
      </c>
      <c r="C318" s="831"/>
      <c r="D318" s="388">
        <f t="shared" si="102"/>
        <v>86.151859524972252</v>
      </c>
      <c r="E318" s="380">
        <f t="shared" si="125"/>
        <v>89.883483056532611</v>
      </c>
      <c r="F318" s="380">
        <f t="shared" si="103"/>
        <v>89.968813609371196</v>
      </c>
      <c r="G318" s="110">
        <f t="shared" si="126"/>
        <v>0.64814809590323552</v>
      </c>
      <c r="H318" s="409" t="b">
        <f>Wh_hp&gt;='2026'!Maxi_hp</f>
        <v>0</v>
      </c>
      <c r="I318" s="385">
        <f>IF(H318,Wh_hp,'2026'!Maxi_hp)</f>
        <v>90.042264193669411</v>
      </c>
      <c r="J318" s="85">
        <f>IF(H318,An,'2026'!An_max)</f>
        <v>2022</v>
      </c>
      <c r="K318" s="193">
        <f t="shared" si="104"/>
        <v>46691</v>
      </c>
      <c r="L318" s="143">
        <f>IF(t&lt;Tvie,1-EXP((T0-t)*PertePVj)+'2026'!Pspv,1-EXP((T0-t)*PertePVj)+Pspv)</f>
        <v>3.0556941302121943E-2</v>
      </c>
      <c r="M318" s="835"/>
      <c r="N318" s="835"/>
      <c r="O318" s="48">
        <f>IF(t&lt;Tnet,'2026'!Resal+('2026'!Salim-'2026'!Resal)*(1-EXP(('2026'!Tnet-t)/('2026'!Tau_j))),Resal+(Salim-Resal)*(1-EXP((Tnet-t)/(Tau_j))))*Salcycl</f>
        <v>4.1516231955690173E-2</v>
      </c>
      <c r="P318" s="165">
        <f>(INDEX(Models!$BJ318:$BT318,,T318)*(1-R318)+INDEX(Models!$BJ318:$BT318,,T318+1)*R318-ERP_i)*Q318*Ramure*Pc/MaxiM</f>
        <v>1.903590535204278E-3</v>
      </c>
      <c r="Q318" s="301">
        <f t="shared" si="105"/>
        <v>0.5</v>
      </c>
      <c r="R318" s="173">
        <f t="shared" si="106"/>
        <v>0.98829395655908137</v>
      </c>
      <c r="S318" s="801">
        <f t="shared" si="107"/>
        <v>2</v>
      </c>
      <c r="T318" s="172">
        <f t="shared" si="108"/>
        <v>8</v>
      </c>
      <c r="U318" s="247">
        <f t="shared" si="109"/>
        <v>2.9882939565590814</v>
      </c>
      <c r="V318" s="378">
        <f t="shared" si="110"/>
        <v>128.73519797933409</v>
      </c>
      <c r="W318" s="397">
        <f t="shared" si="111"/>
        <v>83.519322210399025</v>
      </c>
      <c r="X318" s="153">
        <f t="shared" si="112"/>
        <v>46691</v>
      </c>
      <c r="Y318" s="380">
        <f t="shared" si="113"/>
        <v>81.531834722371883</v>
      </c>
      <c r="Z318" s="380">
        <f t="shared" si="114"/>
        <v>84.101726234321163</v>
      </c>
      <c r="AA318" s="381">
        <f t="shared" si="115"/>
        <v>89.883483056532611</v>
      </c>
      <c r="AB318" s="193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6.4325019743338027E-2</v>
      </c>
      <c r="AD318" s="227">
        <f>(INDEX(Models!$BJ318:$BT318,,AH318)*(1-AF318)+INDEX(Models!$BJ318:$BT318,,AH318+1)*AF318-ERP_i)*AE318*Ramure*Pc/MaxiM</f>
        <v>1.903590535204278E-3</v>
      </c>
      <c r="AE318" s="301">
        <f t="shared" si="117"/>
        <v>0.5</v>
      </c>
      <c r="AF318" s="173">
        <f t="shared" si="118"/>
        <v>0.98829395655908137</v>
      </c>
      <c r="AG318" s="801">
        <f t="shared" si="124"/>
        <v>2</v>
      </c>
      <c r="AH318" s="172">
        <f t="shared" si="119"/>
        <v>8</v>
      </c>
      <c r="AI318" s="221">
        <f t="shared" si="120"/>
        <v>2.9882939565590814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46692</v>
      </c>
      <c r="B319" s="406">
        <f>'2026'!Wh/'2026'!Env_an*'2027'!Env_an</f>
        <v>82.878798415994439</v>
      </c>
      <c r="C319" s="831"/>
      <c r="D319" s="388">
        <f t="shared" si="102"/>
        <v>85.492316675100923</v>
      </c>
      <c r="E319" s="380">
        <f t="shared" si="125"/>
        <v>89.196757491870031</v>
      </c>
      <c r="F319" s="380">
        <f t="shared" si="103"/>
        <v>89.289242301511379</v>
      </c>
      <c r="G319" s="110">
        <f t="shared" si="126"/>
        <v>0.64957687935945685</v>
      </c>
      <c r="H319" s="409" t="b">
        <f>Wh_hp&gt;='2026'!Maxi_hp</f>
        <v>0</v>
      </c>
      <c r="I319" s="385">
        <f>IF(H319,Wh_hp,'2026'!Maxi_hp)</f>
        <v>89.368067113464861</v>
      </c>
      <c r="J319" s="85">
        <f>IF(H319,An,'2026'!An_max)</f>
        <v>2022</v>
      </c>
      <c r="K319" s="193">
        <f t="shared" si="104"/>
        <v>46692</v>
      </c>
      <c r="L319" s="143">
        <f>IF(t&lt;Tvie,1-EXP((T0-t)*PertePVj)+'2026'!Pspv,1-EXP((T0-t)*PertePVj)+Pspv)</f>
        <v>3.0570212163494315E-2</v>
      </c>
      <c r="M319" s="835"/>
      <c r="N319" s="835"/>
      <c r="O319" s="48">
        <f>IF(t&lt;Tnet,'2026'!Resal+('2026'!Salim-'2026'!Resal)*(1-EXP(('2026'!Tnet-t)/('2026'!Tau_j))),Resal+(Salim-Resal)*(1-EXP((Tnet-t)/(Tau_j))))*Salcycl</f>
        <v>4.1531115266233237E-2</v>
      </c>
      <c r="P319" s="165">
        <f>(INDEX(Models!$BJ319:$BT319,,T319)*(1-R319)+INDEX(Models!$BJ319:$BT319,,T319+1)*R319-ERP_i)*Q319*Ramure*Pc/MaxiM</f>
        <v>2.0700984304382981E-3</v>
      </c>
      <c r="Q319" s="301">
        <f t="shared" si="105"/>
        <v>0.5</v>
      </c>
      <c r="R319" s="173">
        <f t="shared" si="106"/>
        <v>0.9883501927712226</v>
      </c>
      <c r="S319" s="801">
        <f t="shared" si="107"/>
        <v>2</v>
      </c>
      <c r="T319" s="172">
        <f t="shared" si="108"/>
        <v>8</v>
      </c>
      <c r="U319" s="247">
        <f t="shared" si="109"/>
        <v>2.9883501927712226</v>
      </c>
      <c r="V319" s="378">
        <f t="shared" si="110"/>
        <v>127.45679508725755</v>
      </c>
      <c r="W319" s="397">
        <f t="shared" si="111"/>
        <v>82.878798415994439</v>
      </c>
      <c r="X319" s="153">
        <f t="shared" si="112"/>
        <v>46692</v>
      </c>
      <c r="Y319" s="380">
        <f t="shared" si="113"/>
        <v>80.910074400636248</v>
      </c>
      <c r="Z319" s="380">
        <f t="shared" si="114"/>
        <v>83.461510483605778</v>
      </c>
      <c r="AA319" s="381">
        <f t="shared" si="115"/>
        <v>89.196757491870031</v>
      </c>
      <c r="AB319" s="193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6.4298828449980389E-2</v>
      </c>
      <c r="AD319" s="227">
        <f>(INDEX(Models!$BJ319:$BT319,,AH319)*(1-AF319)+INDEX(Models!$BJ319:$BT319,,AH319+1)*AF319-ERP_i)*AE319*Ramure*Pc/MaxiM</f>
        <v>2.0700984304382981E-3</v>
      </c>
      <c r="AE319" s="301">
        <f t="shared" si="117"/>
        <v>0.5</v>
      </c>
      <c r="AF319" s="173">
        <f t="shared" si="118"/>
        <v>0.9883501927712226</v>
      </c>
      <c r="AG319" s="801">
        <f t="shared" si="124"/>
        <v>2</v>
      </c>
      <c r="AH319" s="172">
        <f t="shared" si="119"/>
        <v>8</v>
      </c>
      <c r="AI319" s="221">
        <f t="shared" si="120"/>
        <v>2.9883501927712226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46693</v>
      </c>
      <c r="B320" s="406">
        <f>'2026'!Wh/'2026'!Env_an*'2027'!Env_an</f>
        <v>110.0716414108909</v>
      </c>
      <c r="C320" s="831"/>
      <c r="D320" s="388">
        <f t="shared" si="102"/>
        <v>113.54421908729159</v>
      </c>
      <c r="E320" s="380">
        <f t="shared" si="125"/>
        <v>118.46599177880969</v>
      </c>
      <c r="F320" s="380">
        <f t="shared" si="103"/>
        <v>118.6833228378532</v>
      </c>
      <c r="G320" s="110">
        <f t="shared" si="126"/>
        <v>0.87199853768687829</v>
      </c>
      <c r="H320" s="409" t="b">
        <f>Wh_hp&gt;='2026'!Maxi_hp</f>
        <v>0</v>
      </c>
      <c r="I320" s="385">
        <f>IF(H320,Wh_hp,'2026'!Maxi_hp)</f>
        <v>118.72465698577568</v>
      </c>
      <c r="J320" s="85">
        <f>IF(H320,An,'2026'!An_max)</f>
        <v>2022</v>
      </c>
      <c r="K320" s="193">
        <f t="shared" si="104"/>
        <v>46693</v>
      </c>
      <c r="L320" s="143">
        <f>IF(t&lt;Tvie,1-EXP((T0-t)*PertePVj)+'2026'!Pspv,1-EXP((T0-t)*PertePVj)+Pspv)</f>
        <v>3.0583482843199672E-2</v>
      </c>
      <c r="M320" s="835"/>
      <c r="N320" s="835"/>
      <c r="O320" s="48">
        <f>IF(t&lt;Tnet,'2026'!Resal+('2026'!Salim-'2026'!Resal)*(1-EXP(('2026'!Tnet-t)/('2026'!Tau_j))),Resal+(Salim-Resal)*(1-EXP((Tnet-t)/(Tau_j))))*Salcycl</f>
        <v>4.154586998020194E-2</v>
      </c>
      <c r="P320" s="165">
        <f>(INDEX(Models!$BJ320:$BT320,,T320)*(1-R320)+INDEX(Models!$BJ320:$BT320,,T320+1)*R320-ERP_i)*Q320*Ramure*Pc/MaxiM</f>
        <v>2.2395683377540009E-3</v>
      </c>
      <c r="Q320" s="301">
        <f t="shared" si="105"/>
        <v>0.5</v>
      </c>
      <c r="R320" s="173">
        <f t="shared" si="106"/>
        <v>0.98840417666057689</v>
      </c>
      <c r="S320" s="801">
        <f t="shared" si="107"/>
        <v>2</v>
      </c>
      <c r="T320" s="172">
        <f t="shared" si="108"/>
        <v>8</v>
      </c>
      <c r="U320" s="247">
        <f t="shared" si="109"/>
        <v>2.9884041766605769</v>
      </c>
      <c r="V320" s="378">
        <f t="shared" si="110"/>
        <v>126.17751373293936</v>
      </c>
      <c r="W320" s="397">
        <f t="shared" si="111"/>
        <v>110.0716414108909</v>
      </c>
      <c r="X320" s="153">
        <f t="shared" si="112"/>
        <v>46693</v>
      </c>
      <c r="Y320" s="380">
        <f t="shared" si="113"/>
        <v>107.46164249812007</v>
      </c>
      <c r="Z320" s="380">
        <f t="shared" si="114"/>
        <v>110.85187903884091</v>
      </c>
      <c r="AA320" s="381">
        <f t="shared" si="115"/>
        <v>118.46599177880969</v>
      </c>
      <c r="AB320" s="193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6.4272561480642046E-2</v>
      </c>
      <c r="AD320" s="227">
        <f>(INDEX(Models!$BJ320:$BT320,,AH320)*(1-AF320)+INDEX(Models!$BJ320:$BT320,,AH320+1)*AF320-ERP_i)*AE320*Ramure*Pc/MaxiM</f>
        <v>2.2395683377540009E-3</v>
      </c>
      <c r="AE320" s="301">
        <f t="shared" si="117"/>
        <v>0.5</v>
      </c>
      <c r="AF320" s="173">
        <f t="shared" si="118"/>
        <v>0.98840417666057689</v>
      </c>
      <c r="AG320" s="801">
        <f t="shared" si="124"/>
        <v>2</v>
      </c>
      <c r="AH320" s="172">
        <f t="shared" si="119"/>
        <v>8</v>
      </c>
      <c r="AI320" s="221">
        <f t="shared" si="120"/>
        <v>2.9884041766605769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46694</v>
      </c>
      <c r="B321" s="406">
        <f>'2026'!Wh/'2026'!Env_an*'2027'!Env_an</f>
        <v>42.027682826694821</v>
      </c>
      <c r="C321" s="831"/>
      <c r="D321" s="388">
        <f t="shared" si="102"/>
        <v>43.35417997778692</v>
      </c>
      <c r="E321" s="380">
        <f t="shared" si="125"/>
        <v>45.234135008765634</v>
      </c>
      <c r="F321" s="380">
        <f t="shared" si="103"/>
        <v>45.239823635010673</v>
      </c>
      <c r="G321" s="110">
        <f t="shared" si="126"/>
        <v>0.33572290411312661</v>
      </c>
      <c r="H321" s="409" t="b">
        <f>Wh_hp&gt;='2026'!Maxi_hp</f>
        <v>0</v>
      </c>
      <c r="I321" s="385">
        <f>IF(H321,Wh_hp,'2026'!Maxi_hp)</f>
        <v>45.327958657850239</v>
      </c>
      <c r="J321" s="85">
        <f>IF(H321,An,'2026'!An_max)</f>
        <v>2022</v>
      </c>
      <c r="K321" s="193">
        <f t="shared" si="104"/>
        <v>46694</v>
      </c>
      <c r="L321" s="143">
        <f>IF(t&lt;Tvie,1-EXP((T0-t)*PertePVj)+'2026'!Pspv,1-EXP((T0-t)*PertePVj)+Pspv)</f>
        <v>3.0596753341240679E-2</v>
      </c>
      <c r="M321" s="835"/>
      <c r="N321" s="835"/>
      <c r="O321" s="48">
        <f>IF(t&lt;Tnet,'2026'!Resal+('2026'!Salim-'2026'!Resal)*(1-EXP(('2026'!Tnet-t)/('2026'!Tau_j))),Resal+(Salim-Resal)*(1-EXP((Tnet-t)/(Tau_j))))*Salcycl</f>
        <v>4.1560538973817333E-2</v>
      </c>
      <c r="P321" s="165">
        <f>(INDEX(Models!$BJ321:$BT321,,T321)*(1-R321)+INDEX(Models!$BJ321:$BT321,,T321+1)*R321-ERP_i)*Q321*Ramure*Pc/MaxiM</f>
        <v>2.4120320335505431E-3</v>
      </c>
      <c r="Q321" s="301">
        <f t="shared" si="105"/>
        <v>0.5</v>
      </c>
      <c r="R321" s="173">
        <f t="shared" si="106"/>
        <v>0.98845599797597039</v>
      </c>
      <c r="S321" s="801">
        <f t="shared" si="107"/>
        <v>2</v>
      </c>
      <c r="T321" s="172">
        <f t="shared" si="108"/>
        <v>8</v>
      </c>
      <c r="U321" s="247">
        <f t="shared" si="109"/>
        <v>2.9884559979759704</v>
      </c>
      <c r="V321" s="378">
        <f t="shared" si="110"/>
        <v>124.89938229210264</v>
      </c>
      <c r="W321" s="397">
        <f t="shared" si="111"/>
        <v>42.027682826694821</v>
      </c>
      <c r="X321" s="153">
        <f t="shared" si="112"/>
        <v>46694</v>
      </c>
      <c r="Y321" s="380">
        <f t="shared" si="113"/>
        <v>41.032910201331973</v>
      </c>
      <c r="Z321" s="380">
        <f t="shared" si="114"/>
        <v>42.328009879026133</v>
      </c>
      <c r="AA321" s="381">
        <f t="shared" si="115"/>
        <v>45.234135008765634</v>
      </c>
      <c r="AB321" s="193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6.4246285005258585E-2</v>
      </c>
      <c r="AD321" s="227">
        <f>(INDEX(Models!$BJ321:$BT321,,AH321)*(1-AF321)+INDEX(Models!$BJ321:$BT321,,AH321+1)*AF321-ERP_i)*AE321*Ramure*Pc/MaxiM</f>
        <v>2.4120320335505431E-3</v>
      </c>
      <c r="AE321" s="301">
        <f t="shared" si="117"/>
        <v>0.5</v>
      </c>
      <c r="AF321" s="173">
        <f t="shared" si="118"/>
        <v>0.98845599797597039</v>
      </c>
      <c r="AG321" s="801">
        <f t="shared" si="124"/>
        <v>2</v>
      </c>
      <c r="AH321" s="172">
        <f t="shared" si="119"/>
        <v>8</v>
      </c>
      <c r="AI321" s="221">
        <f t="shared" si="120"/>
        <v>2.9884559979759704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46695</v>
      </c>
      <c r="B322" s="406">
        <f>'2026'!Wh/'2026'!Env_an*'2027'!Env_an</f>
        <v>49.804229924016255</v>
      </c>
      <c r="C322" s="831"/>
      <c r="D322" s="388">
        <f t="shared" si="102"/>
        <v>51.376877355317134</v>
      </c>
      <c r="E322" s="380">
        <f t="shared" si="125"/>
        <v>53.605536410224964</v>
      </c>
      <c r="F322" s="380">
        <f t="shared" si="103"/>
        <v>53.625927348788167</v>
      </c>
      <c r="G322" s="110">
        <f t="shared" si="126"/>
        <v>0.40197764501823857</v>
      </c>
      <c r="H322" s="409" t="b">
        <f>Wh_hp&gt;='2026'!Maxi_hp</f>
        <v>0</v>
      </c>
      <c r="I322" s="385">
        <f>IF(H322,Wh_hp,'2026'!Maxi_hp)</f>
        <v>53.726769074168885</v>
      </c>
      <c r="J322" s="85">
        <f>IF(H322,An,'2026'!An_max)</f>
        <v>2022</v>
      </c>
      <c r="K322" s="193">
        <f t="shared" si="104"/>
        <v>46695</v>
      </c>
      <c r="L322" s="143">
        <f>IF(t&lt;Tvie,1-EXP((T0-t)*PertePVj)+'2026'!Pspv,1-EXP((T0-t)*PertePVj)+Pspv)</f>
        <v>3.0610023657619667E-2</v>
      </c>
      <c r="M322" s="835"/>
      <c r="N322" s="835"/>
      <c r="O322" s="48">
        <f>IF(t&lt;Tnet,'2026'!Resal+('2026'!Salim-'2026'!Resal)*(1-EXP(('2026'!Tnet-t)/('2026'!Tau_j))),Resal+(Salim-Resal)*(1-EXP((Tnet-t)/(Tau_j))))*Salcycl</f>
        <v>4.1575165629398017E-2</v>
      </c>
      <c r="P322" s="165">
        <f>(INDEX(Models!$BJ322:$BT322,,T322)*(1-R322)+INDEX(Models!$BJ322:$BT322,,T322+1)*R322-ERP_i)*Q322*Ramure*Pc/MaxiM</f>
        <v>2.5875183015558276E-3</v>
      </c>
      <c r="Q322" s="301">
        <f t="shared" si="105"/>
        <v>0.5</v>
      </c>
      <c r="R322" s="173">
        <f t="shared" si="106"/>
        <v>0.98850574292614235</v>
      </c>
      <c r="S322" s="801">
        <f t="shared" si="107"/>
        <v>2</v>
      </c>
      <c r="T322" s="172">
        <f t="shared" si="108"/>
        <v>8</v>
      </c>
      <c r="U322" s="247">
        <f t="shared" si="109"/>
        <v>2.9885057429261424</v>
      </c>
      <c r="V322" s="378">
        <f t="shared" si="110"/>
        <v>123.62442819313947</v>
      </c>
      <c r="W322" s="397">
        <f t="shared" si="111"/>
        <v>49.804229924016255</v>
      </c>
      <c r="X322" s="153">
        <f t="shared" si="112"/>
        <v>46695</v>
      </c>
      <c r="Y322" s="380">
        <f t="shared" si="113"/>
        <v>48.627495168200873</v>
      </c>
      <c r="Z322" s="380">
        <f t="shared" si="114"/>
        <v>50.162985336074954</v>
      </c>
      <c r="AA322" s="381">
        <f t="shared" si="115"/>
        <v>53.605536410224964</v>
      </c>
      <c r="AB322" s="193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6.4220065774649324E-2</v>
      </c>
      <c r="AD322" s="227">
        <f>(INDEX(Models!$BJ322:$BT322,,AH322)*(1-AF322)+INDEX(Models!$BJ322:$BT322,,AH322+1)*AF322-ERP_i)*AE322*Ramure*Pc/MaxiM</f>
        <v>2.5875183015558276E-3</v>
      </c>
      <c r="AE322" s="301">
        <f t="shared" si="117"/>
        <v>0.5</v>
      </c>
      <c r="AF322" s="173">
        <f t="shared" si="118"/>
        <v>0.98850574292614235</v>
      </c>
      <c r="AG322" s="801">
        <f t="shared" si="124"/>
        <v>2</v>
      </c>
      <c r="AH322" s="172">
        <f t="shared" si="119"/>
        <v>8</v>
      </c>
      <c r="AI322" s="221">
        <f t="shared" si="120"/>
        <v>2.9885057429261424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46696</v>
      </c>
      <c r="B323" s="406">
        <f>'2026'!Wh/'2026'!Env_an*'2027'!Env_an</f>
        <v>117.10904046448114</v>
      </c>
      <c r="C323" s="831"/>
      <c r="D323" s="388">
        <f t="shared" si="102"/>
        <v>120.80859764273511</v>
      </c>
      <c r="E323" s="380">
        <f t="shared" si="125"/>
        <v>126.0510341411633</v>
      </c>
      <c r="F323" s="380">
        <f t="shared" si="103"/>
        <v>126.37919567431537</v>
      </c>
      <c r="G323" s="110">
        <f t="shared" si="126"/>
        <v>0.95696504060733834</v>
      </c>
      <c r="H323" s="409" t="b">
        <f>Wh_hp&gt;='2026'!Maxi_hp</f>
        <v>0</v>
      </c>
      <c r="I323" s="385">
        <f>IF(H323,Wh_hp,'2026'!Maxi_hp)</f>
        <v>126.39744220222137</v>
      </c>
      <c r="J323" s="85">
        <f>IF(H323,An,'2026'!An_max)</f>
        <v>2022</v>
      </c>
      <c r="K323" s="193">
        <f t="shared" si="104"/>
        <v>46696</v>
      </c>
      <c r="L323" s="143">
        <f>IF(t&lt;Tvie,1-EXP((T0-t)*PertePVj)+'2026'!Pspv,1-EXP((T0-t)*PertePVj)+Pspv)</f>
        <v>3.062329379233919E-2</v>
      </c>
      <c r="M323" s="835"/>
      <c r="N323" s="835"/>
      <c r="O323" s="48">
        <f>IF(t&lt;Tnet,'2026'!Resal+('2026'!Salim-'2026'!Resal)*(1-EXP(('2026'!Tnet-t)/('2026'!Tau_j))),Resal+(Salim-Resal)*(1-EXP((Tnet-t)/(Tau_j))))*Salcycl</f>
        <v>4.1589793643083024E-2</v>
      </c>
      <c r="P323" s="165">
        <f>(INDEX(Models!$BJ323:$BT323,,T323)*(1-R323)+INDEX(Models!$BJ323:$BT323,,T323+1)*R323-ERP_i)*Q323*Ramure*Pc/MaxiM</f>
        <v>2.7660524437139533E-3</v>
      </c>
      <c r="Q323" s="301">
        <f t="shared" si="105"/>
        <v>0.5</v>
      </c>
      <c r="R323" s="173">
        <f t="shared" si="106"/>
        <v>0.98855349431653217</v>
      </c>
      <c r="S323" s="801">
        <f t="shared" si="107"/>
        <v>2</v>
      </c>
      <c r="T323" s="172">
        <f t="shared" si="108"/>
        <v>8</v>
      </c>
      <c r="U323" s="247">
        <f t="shared" si="109"/>
        <v>2.9885534943165322</v>
      </c>
      <c r="V323" s="378">
        <f t="shared" si="110"/>
        <v>122.35467792095172</v>
      </c>
      <c r="W323" s="397">
        <f t="shared" si="111"/>
        <v>117.10904046448114</v>
      </c>
      <c r="X323" s="153">
        <f t="shared" si="112"/>
        <v>46696</v>
      </c>
      <c r="Y323" s="380">
        <f t="shared" si="113"/>
        <v>114.34701489088114</v>
      </c>
      <c r="Z323" s="380">
        <f t="shared" si="114"/>
        <v>117.95931773337415</v>
      </c>
      <c r="AA323" s="381">
        <f t="shared" si="115"/>
        <v>126.0510341411633</v>
      </c>
      <c r="AB323" s="193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6.4193970822383858E-2</v>
      </c>
      <c r="AD323" s="227">
        <f>(INDEX(Models!$BJ323:$BT323,,AH323)*(1-AF323)+INDEX(Models!$BJ323:$BT323,,AH323+1)*AF323-ERP_i)*AE323*Ramure*Pc/MaxiM</f>
        <v>2.7660524437139533E-3</v>
      </c>
      <c r="AE323" s="301">
        <f t="shared" si="117"/>
        <v>0.5</v>
      </c>
      <c r="AF323" s="173">
        <f t="shared" si="118"/>
        <v>0.98855349431653217</v>
      </c>
      <c r="AG323" s="801">
        <f t="shared" si="124"/>
        <v>2</v>
      </c>
      <c r="AH323" s="172">
        <f t="shared" si="119"/>
        <v>8</v>
      </c>
      <c r="AI323" s="221">
        <f t="shared" si="120"/>
        <v>2.9885534943165322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46697</v>
      </c>
      <c r="B324" s="406">
        <f>'2026'!Wh/'2026'!Env_an*'2027'!Env_an</f>
        <v>117.50635994081202</v>
      </c>
      <c r="C324" s="831"/>
      <c r="D324" s="388">
        <f t="shared" si="102"/>
        <v>121.22012812328686</v>
      </c>
      <c r="E324" s="380">
        <f t="shared" si="125"/>
        <v>126.4823592427875</v>
      </c>
      <c r="F324" s="380">
        <f t="shared" si="103"/>
        <v>126.83990706632362</v>
      </c>
      <c r="G324" s="110">
        <f t="shared" si="126"/>
        <v>0.97026256143642364</v>
      </c>
      <c r="H324" s="409" t="b">
        <f>Wh_hp&gt;='2026'!Maxi_hp</f>
        <v>0</v>
      </c>
      <c r="I324" s="385">
        <f>IF(H324,Wh_hp,'2026'!Maxi_hp)</f>
        <v>126.85337190072234</v>
      </c>
      <c r="J324" s="85">
        <f>IF(H324,An,'2026'!An_max)</f>
        <v>2022</v>
      </c>
      <c r="K324" s="193">
        <f t="shared" si="104"/>
        <v>46697</v>
      </c>
      <c r="L324" s="143">
        <f>IF(t&lt;Tvie,1-EXP((T0-t)*PertePVj)+'2026'!Pspv,1-EXP((T0-t)*PertePVj)+Pspv)</f>
        <v>3.063656374540169E-2</v>
      </c>
      <c r="M324" s="835"/>
      <c r="N324" s="835"/>
      <c r="O324" s="48">
        <f>IF(t&lt;Tnet,'2026'!Resal+('2026'!Salim-'2026'!Resal)*(1-EXP(('2026'!Tnet-t)/('2026'!Tau_j))),Resal+(Salim-Resal)*(1-EXP((Tnet-t)/(Tau_j))))*Salcycl</f>
        <v>4.1604466828449954E-2</v>
      </c>
      <c r="P324" s="165">
        <f>(INDEX(Models!$BJ324:$BT324,,T324)*(1-R324)+INDEX(Models!$BJ324:$BT324,,T324+1)*R324-ERP_i)*Q324*Ramure*Pc/MaxiM</f>
        <v>2.9434237270205142E-3</v>
      </c>
      <c r="Q324" s="301">
        <f t="shared" si="105"/>
        <v>0.5</v>
      </c>
      <c r="R324" s="173">
        <f t="shared" si="106"/>
        <v>0.98859933168100111</v>
      </c>
      <c r="S324" s="801">
        <f t="shared" si="107"/>
        <v>2</v>
      </c>
      <c r="T324" s="172">
        <f t="shared" si="108"/>
        <v>8</v>
      </c>
      <c r="U324" s="247">
        <f t="shared" si="109"/>
        <v>2.9885993316810011</v>
      </c>
      <c r="V324" s="378">
        <f t="shared" si="110"/>
        <v>121.09267100591659</v>
      </c>
      <c r="W324" s="397">
        <f t="shared" si="111"/>
        <v>117.50635994081202</v>
      </c>
      <c r="X324" s="153">
        <f t="shared" si="112"/>
        <v>46697</v>
      </c>
      <c r="Y324" s="380">
        <f t="shared" si="113"/>
        <v>114.73989614736867</v>
      </c>
      <c r="Z324" s="380">
        <f t="shared" si="114"/>
        <v>118.36623072012881</v>
      </c>
      <c r="AA324" s="381">
        <f t="shared" si="115"/>
        <v>126.4823592427875</v>
      </c>
      <c r="AB324" s="193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6.4168067161678083E-2</v>
      </c>
      <c r="AD324" s="227">
        <f>(INDEX(Models!$BJ324:$BT324,,AH324)*(1-AF324)+INDEX(Models!$BJ324:$BT324,,AH324+1)*AF324-ERP_i)*AE324*Ramure*Pc/MaxiM</f>
        <v>2.9434237270205142E-3</v>
      </c>
      <c r="AE324" s="301">
        <f t="shared" si="117"/>
        <v>0.5</v>
      </c>
      <c r="AF324" s="173">
        <f t="shared" si="118"/>
        <v>0.98859933168100111</v>
      </c>
      <c r="AG324" s="801">
        <f t="shared" si="124"/>
        <v>2</v>
      </c>
      <c r="AH324" s="172">
        <f t="shared" si="119"/>
        <v>8</v>
      </c>
      <c r="AI324" s="221">
        <f t="shared" si="120"/>
        <v>2.9885993316810011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46698</v>
      </c>
      <c r="B325" s="406">
        <f>'2026'!Wh/'2026'!Env_an*'2027'!Env_an</f>
        <v>113.44248756432648</v>
      </c>
      <c r="C325" s="831"/>
      <c r="D325" s="388">
        <f t="shared" si="102"/>
        <v>117.02941979769466</v>
      </c>
      <c r="E325" s="380">
        <f t="shared" si="125"/>
        <v>122.11161088456809</v>
      </c>
      <c r="F325" s="380">
        <f t="shared" si="103"/>
        <v>122.4638388610776</v>
      </c>
      <c r="G325" s="110">
        <f t="shared" si="126"/>
        <v>0.94638179290457181</v>
      </c>
      <c r="H325" s="409" t="b">
        <f>Wh_hp&gt;='2026'!Maxi_hp</f>
        <v>0</v>
      </c>
      <c r="I325" s="385">
        <f>IF(H325,Wh_hp,'2026'!Maxi_hp)</f>
        <v>122.48864217227751</v>
      </c>
      <c r="J325" s="85">
        <f>IF(H325,An,'2026'!An_max)</f>
        <v>2022</v>
      </c>
      <c r="K325" s="193">
        <f t="shared" si="104"/>
        <v>46698</v>
      </c>
      <c r="L325" s="143">
        <f>IF(t&lt;Tvie,1-EXP((T0-t)*PertePVj)+'2026'!Pspv,1-EXP((T0-t)*PertePVj)+Pspv)</f>
        <v>3.0649833516809721E-2</v>
      </c>
      <c r="M325" s="835"/>
      <c r="N325" s="835"/>
      <c r="O325" s="48">
        <f>IF(t&lt;Tnet,'2026'!Resal+('2026'!Salim-'2026'!Resal)*(1-EXP(('2026'!Tnet-t)/('2026'!Tau_j))),Resal+(Salim-Resal)*(1-EXP((Tnet-t)/(Tau_j))))*Salcycl</f>
        <v>4.1619228917368203E-2</v>
      </c>
      <c r="P325" s="165">
        <f>(INDEX(Models!$BJ325:$BT325,,T325)*(1-R325)+INDEX(Models!$BJ325:$BT325,,T325+1)*R325-ERP_i)*Q325*Ramure*Pc/MaxiM</f>
        <v>3.1136761775094474E-3</v>
      </c>
      <c r="Q325" s="301">
        <f t="shared" si="105"/>
        <v>0.5</v>
      </c>
      <c r="R325" s="173">
        <f t="shared" si="106"/>
        <v>0.98864333140867222</v>
      </c>
      <c r="S325" s="801">
        <f t="shared" si="107"/>
        <v>2</v>
      </c>
      <c r="T325" s="172">
        <f t="shared" si="108"/>
        <v>8</v>
      </c>
      <c r="U325" s="247">
        <f t="shared" si="109"/>
        <v>2.9886433314086722</v>
      </c>
      <c r="V325" s="378">
        <f t="shared" si="110"/>
        <v>119.84113439284039</v>
      </c>
      <c r="W325" s="397">
        <f t="shared" si="111"/>
        <v>113.44248756432648</v>
      </c>
      <c r="X325" s="153">
        <f t="shared" si="112"/>
        <v>46698</v>
      </c>
      <c r="Y325" s="380">
        <f t="shared" si="113"/>
        <v>110.77644180336962</v>
      </c>
      <c r="Z325" s="380">
        <f t="shared" si="114"/>
        <v>114.27907647168142</v>
      </c>
      <c r="AA325" s="381">
        <f t="shared" si="115"/>
        <v>122.11161088456809</v>
      </c>
      <c r="AB325" s="193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6.4142421479401759E-2</v>
      </c>
      <c r="AD325" s="227">
        <f>(INDEX(Models!$BJ325:$BT325,,AH325)*(1-AF325)+INDEX(Models!$BJ325:$BT325,,AH325+1)*AF325-ERP_i)*AE325*Ramure*Pc/MaxiM</f>
        <v>3.1136761775094474E-3</v>
      </c>
      <c r="AE325" s="301">
        <f t="shared" si="117"/>
        <v>0.5</v>
      </c>
      <c r="AF325" s="173">
        <f t="shared" si="118"/>
        <v>0.98864333140867222</v>
      </c>
      <c r="AG325" s="801">
        <f t="shared" si="124"/>
        <v>2</v>
      </c>
      <c r="AH325" s="172">
        <f t="shared" si="119"/>
        <v>8</v>
      </c>
      <c r="AI325" s="221">
        <f t="shared" si="120"/>
        <v>2.9886433314086722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46699</v>
      </c>
      <c r="B326" s="406">
        <f>'2026'!Wh/'2026'!Env_an*'2027'!Env_an</f>
        <v>75.927818726630321</v>
      </c>
      <c r="C326" s="831"/>
      <c r="D326" s="388">
        <f t="shared" si="102"/>
        <v>78.329648824847695</v>
      </c>
      <c r="E326" s="380">
        <f t="shared" si="125"/>
        <v>81.7325102386</v>
      </c>
      <c r="F326" s="380">
        <f t="shared" si="103"/>
        <v>81.862872039612327</v>
      </c>
      <c r="G326" s="110">
        <f t="shared" si="126"/>
        <v>0.63910969988920463</v>
      </c>
      <c r="H326" s="409" t="b">
        <f>Wh_hp&gt;='2026'!Maxi_hp</f>
        <v>0</v>
      </c>
      <c r="I326" s="385">
        <f>IF(H326,Wh_hp,'2026'!Maxi_hp)</f>
        <v>81.980504790373274</v>
      </c>
      <c r="J326" s="85">
        <f>IF(H326,An,'2026'!An_max)</f>
        <v>2022</v>
      </c>
      <c r="K326" s="193">
        <f t="shared" si="104"/>
        <v>46699</v>
      </c>
      <c r="L326" s="143">
        <f>IF(t&lt;Tvie,1-EXP((T0-t)*PertePVj)+'2026'!Pspv,1-EXP((T0-t)*PertePVj)+Pspv)</f>
        <v>3.0663103106565615E-2</v>
      </c>
      <c r="M326" s="835"/>
      <c r="N326" s="835"/>
      <c r="O326" s="48">
        <f>IF(t&lt;Tnet,'2026'!Resal+('2026'!Salim-'2026'!Resal)*(1-EXP(('2026'!Tnet-t)/('2026'!Tau_j))),Resal+(Salim-Resal)*(1-EXP((Tnet-t)/(Tau_j))))*Salcycl</f>
        <v>4.1634123359461213E-2</v>
      </c>
      <c r="P326" s="165">
        <f>(INDEX(Models!$BJ326:$BT326,,T326)*(1-R326)+INDEX(Models!$BJ326:$BT326,,T326+1)*R326-ERP_i)*Q326*Ramure*Pc/MaxiM</f>
        <v>3.2767271311734364E-3</v>
      </c>
      <c r="Q326" s="301">
        <f t="shared" si="105"/>
        <v>0.5</v>
      </c>
      <c r="R326" s="173">
        <f t="shared" si="106"/>
        <v>0.98868556686603837</v>
      </c>
      <c r="S326" s="801">
        <f t="shared" si="107"/>
        <v>2</v>
      </c>
      <c r="T326" s="172">
        <f t="shared" si="108"/>
        <v>8</v>
      </c>
      <c r="U326" s="247">
        <f t="shared" si="109"/>
        <v>2.9886855668660384</v>
      </c>
      <c r="V326" s="378">
        <f t="shared" si="110"/>
        <v>118.60206565724479</v>
      </c>
      <c r="W326" s="397">
        <f t="shared" si="111"/>
        <v>75.927818726630321</v>
      </c>
      <c r="X326" s="153">
        <f t="shared" si="112"/>
        <v>46699</v>
      </c>
      <c r="Y326" s="380">
        <f t="shared" si="113"/>
        <v>74.146574836955665</v>
      </c>
      <c r="Z326" s="380">
        <f t="shared" si="114"/>
        <v>76.492058720330633</v>
      </c>
      <c r="AA326" s="381">
        <f t="shared" si="115"/>
        <v>81.7325102386</v>
      </c>
      <c r="AB326" s="193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6.4117099829321594E-2</v>
      </c>
      <c r="AD326" s="227">
        <f>(INDEX(Models!$BJ326:$BT326,,AH326)*(1-AF326)+INDEX(Models!$BJ326:$BT326,,AH326+1)*AF326-ERP_i)*AE326*Ramure*Pc/MaxiM</f>
        <v>3.2767271311734364E-3</v>
      </c>
      <c r="AE326" s="301">
        <f t="shared" si="117"/>
        <v>0.5</v>
      </c>
      <c r="AF326" s="173">
        <f t="shared" si="118"/>
        <v>0.98868556686603837</v>
      </c>
      <c r="AG326" s="801">
        <f t="shared" si="124"/>
        <v>2</v>
      </c>
      <c r="AH326" s="172">
        <f t="shared" si="119"/>
        <v>8</v>
      </c>
      <c r="AI326" s="221">
        <f t="shared" si="120"/>
        <v>2.9886855668660384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46700</v>
      </c>
      <c r="B327" s="406">
        <f>'2026'!Wh/'2026'!Env_an*'2027'!Env_an</f>
        <v>42.83445407447563</v>
      </c>
      <c r="C327" s="831"/>
      <c r="D327" s="388">
        <f t="shared" si="102"/>
        <v>44.190044335965581</v>
      </c>
      <c r="E327" s="380">
        <f t="shared" si="125"/>
        <v>46.110509866322332</v>
      </c>
      <c r="F327" s="380">
        <f t="shared" si="103"/>
        <v>46.125195361070986</v>
      </c>
      <c r="G327" s="110">
        <f t="shared" si="126"/>
        <v>0.3637923324499287</v>
      </c>
      <c r="H327" s="409" t="b">
        <f>Wh_hp&gt;='2026'!Maxi_hp</f>
        <v>0</v>
      </c>
      <c r="I327" s="385">
        <f>IF(H327,Wh_hp,'2026'!Maxi_hp)</f>
        <v>46.247813119200636</v>
      </c>
      <c r="J327" s="85">
        <f>IF(H327,An,'2026'!An_max)</f>
        <v>2022</v>
      </c>
      <c r="K327" s="193">
        <f t="shared" si="104"/>
        <v>46700</v>
      </c>
      <c r="L327" s="143">
        <f>IF(t&lt;Tvie,1-EXP((T0-t)*PertePVj)+'2026'!Pspv,1-EXP((T0-t)*PertePVj)+Pspv)</f>
        <v>3.0676372514672035E-2</v>
      </c>
      <c r="M327" s="835"/>
      <c r="N327" s="835"/>
      <c r="O327" s="48">
        <f>IF(t&lt;Tnet,'2026'!Resal+('2026'!Salim-'2026'!Resal)*(1-EXP(('2026'!Tnet-t)/('2026'!Tau_j))),Resal+(Salim-Resal)*(1-EXP((Tnet-t)/(Tau_j))))*Salcycl</f>
        <v>4.164919312157514E-2</v>
      </c>
      <c r="P327" s="165">
        <f>(INDEX(Models!$BJ327:$BT327,,T327)*(1-R327)+INDEX(Models!$BJ327:$BT327,,T327+1)*R327-ERP_i)*Q327*Ramure*Pc/MaxiM</f>
        <v>3.4324868128226414E-3</v>
      </c>
      <c r="Q327" s="301">
        <f t="shared" si="105"/>
        <v>0.5</v>
      </c>
      <c r="R327" s="173">
        <f t="shared" si="106"/>
        <v>0.98872610851450782</v>
      </c>
      <c r="S327" s="801">
        <f t="shared" si="107"/>
        <v>2</v>
      </c>
      <c r="T327" s="172">
        <f t="shared" si="108"/>
        <v>8</v>
      </c>
      <c r="U327" s="247">
        <f t="shared" si="109"/>
        <v>2.9887261085145078</v>
      </c>
      <c r="V327" s="378">
        <f t="shared" si="110"/>
        <v>117.37746197855343</v>
      </c>
      <c r="W327" s="397">
        <f t="shared" si="111"/>
        <v>42.83445407447563</v>
      </c>
      <c r="X327" s="153">
        <f t="shared" si="112"/>
        <v>46700</v>
      </c>
      <c r="Y327" s="380">
        <f t="shared" si="113"/>
        <v>41.83134274928517</v>
      </c>
      <c r="Z327" s="380">
        <f t="shared" si="114"/>
        <v>43.155187352449367</v>
      </c>
      <c r="AA327" s="381">
        <f t="shared" si="115"/>
        <v>46.110509866322332</v>
      </c>
      <c r="AB327" s="193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6.4092167326725652E-2</v>
      </c>
      <c r="AD327" s="227">
        <f>(INDEX(Models!$BJ327:$BT327,,AH327)*(1-AF327)+INDEX(Models!$BJ327:$BT327,,AH327+1)*AF327-ERP_i)*AE327*Ramure*Pc/MaxiM</f>
        <v>3.4324868128226414E-3</v>
      </c>
      <c r="AE327" s="301">
        <f t="shared" si="117"/>
        <v>0.5</v>
      </c>
      <c r="AF327" s="173">
        <f t="shared" si="118"/>
        <v>0.98872610851450782</v>
      </c>
      <c r="AG327" s="801">
        <f t="shared" si="124"/>
        <v>2</v>
      </c>
      <c r="AH327" s="172">
        <f t="shared" si="119"/>
        <v>8</v>
      </c>
      <c r="AI327" s="221">
        <f t="shared" si="120"/>
        <v>2.9887261085145078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46701</v>
      </c>
      <c r="B328" s="406">
        <f>'2026'!Wh/'2026'!Env_an*'2027'!Env_an</f>
        <v>88.936001091290905</v>
      </c>
      <c r="C328" s="831"/>
      <c r="D328" s="388">
        <f t="shared" si="102"/>
        <v>91.751831942705024</v>
      </c>
      <c r="E328" s="380">
        <f t="shared" si="125"/>
        <v>95.740823620405891</v>
      </c>
      <c r="F328" s="380">
        <f t="shared" si="103"/>
        <v>95.969388149969561</v>
      </c>
      <c r="G328" s="110">
        <f t="shared" si="126"/>
        <v>0.76465191143455424</v>
      </c>
      <c r="H328" s="409" t="b">
        <f>Wh_hp&gt;='2026'!Maxi_hp</f>
        <v>0</v>
      </c>
      <c r="I328" s="385">
        <f>IF(H328,Wh_hp,'2026'!Maxi_hp)</f>
        <v>96.067755850477184</v>
      </c>
      <c r="J328" s="85">
        <f>IF(H328,An,'2026'!An_max)</f>
        <v>2022</v>
      </c>
      <c r="K328" s="193">
        <f t="shared" si="104"/>
        <v>46701</v>
      </c>
      <c r="L328" s="143">
        <f>IF(t&lt;Tvie,1-EXP((T0-t)*PertePVj)+'2026'!Pspv,1-EXP((T0-t)*PertePVj)+Pspv)</f>
        <v>3.0689641741131424E-2</v>
      </c>
      <c r="M328" s="835"/>
      <c r="N328" s="835"/>
      <c r="O328" s="48">
        <f>IF(t&lt;Tnet,'2026'!Resal+('2026'!Salim-'2026'!Resal)*(1-EXP(('2026'!Tnet-t)/('2026'!Tau_j))),Resal+(Salim-Resal)*(1-EXP((Tnet-t)/(Tau_j))))*Salcycl</f>
        <v>4.1664480488662323E-2</v>
      </c>
      <c r="P328" s="165">
        <f>(INDEX(Models!$BJ328:$BT328,,T328)*(1-R328)+INDEX(Models!$BJ328:$BT328,,T328+1)*R328-ERP_i)*Q328*Ramure*Pc/MaxiM</f>
        <v>3.5808581392047113E-3</v>
      </c>
      <c r="Q328" s="301">
        <f t="shared" si="105"/>
        <v>0.5</v>
      </c>
      <c r="R328" s="173">
        <f t="shared" si="106"/>
        <v>0.98876502402354305</v>
      </c>
      <c r="S328" s="801">
        <f t="shared" si="107"/>
        <v>2</v>
      </c>
      <c r="T328" s="172">
        <f t="shared" si="108"/>
        <v>8</v>
      </c>
      <c r="U328" s="247">
        <f t="shared" si="109"/>
        <v>2.988765024023543</v>
      </c>
      <c r="V328" s="378">
        <f t="shared" si="110"/>
        <v>116.16932028342309</v>
      </c>
      <c r="W328" s="397">
        <f t="shared" si="111"/>
        <v>88.936001091290905</v>
      </c>
      <c r="X328" s="153">
        <f t="shared" si="112"/>
        <v>46701</v>
      </c>
      <c r="Y328" s="380">
        <f t="shared" si="113"/>
        <v>86.856925826452468</v>
      </c>
      <c r="Z328" s="380">
        <f t="shared" si="114"/>
        <v>89.606930418519312</v>
      </c>
      <c r="AA328" s="381">
        <f t="shared" si="115"/>
        <v>95.740823620405891</v>
      </c>
      <c r="AB328" s="193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6.4067687846579444E-2</v>
      </c>
      <c r="AD328" s="227">
        <f>(INDEX(Models!$BJ328:$BT328,,AH328)*(1-AF328)+INDEX(Models!$BJ328:$BT328,,AH328+1)*AF328-ERP_i)*AE328*Ramure*Pc/MaxiM</f>
        <v>3.5808581392047113E-3</v>
      </c>
      <c r="AE328" s="301">
        <f t="shared" si="117"/>
        <v>0.5</v>
      </c>
      <c r="AF328" s="173">
        <f t="shared" si="118"/>
        <v>0.98876502402354305</v>
      </c>
      <c r="AG328" s="801">
        <f t="shared" si="124"/>
        <v>2</v>
      </c>
      <c r="AH328" s="172">
        <f t="shared" si="119"/>
        <v>8</v>
      </c>
      <c r="AI328" s="221">
        <f t="shared" si="120"/>
        <v>2.988765024023543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46702</v>
      </c>
      <c r="B329" s="406">
        <f>'2026'!Wh/'2026'!Env_an*'2027'!Env_an</f>
        <v>108.20678156629627</v>
      </c>
      <c r="C329" s="831"/>
      <c r="D329" s="388">
        <f t="shared" si="102"/>
        <v>111.63427887113002</v>
      </c>
      <c r="E329" s="380">
        <f t="shared" si="125"/>
        <v>116.48956716014693</v>
      </c>
      <c r="F329" s="380">
        <f t="shared" si="103"/>
        <v>116.88798609265488</v>
      </c>
      <c r="G329" s="110">
        <f t="shared" si="126"/>
        <v>0.94079942812934092</v>
      </c>
      <c r="H329" s="409" t="b">
        <f>Wh_hp&gt;='2026'!Maxi_hp</f>
        <v>0</v>
      </c>
      <c r="I329" s="385">
        <f>IF(H329,Wh_hp,'2026'!Maxi_hp)</f>
        <v>116.91931335378777</v>
      </c>
      <c r="J329" s="85">
        <f>IF(H329,An,'2026'!An_max)</f>
        <v>2022</v>
      </c>
      <c r="K329" s="193">
        <f t="shared" si="104"/>
        <v>46702</v>
      </c>
      <c r="L329" s="143">
        <f>IF(t&lt;Tvie,1-EXP((T0-t)*PertePVj)+'2026'!Pspv,1-EXP((T0-t)*PertePVj)+Pspv)</f>
        <v>3.0702910785946225E-2</v>
      </c>
      <c r="M329" s="835"/>
      <c r="N329" s="835"/>
      <c r="O329" s="48">
        <f>IF(t&lt;Tnet,'2026'!Resal+('2026'!Salim-'2026'!Resal)*(1-EXP(('2026'!Tnet-t)/('2026'!Tau_j))),Resal+(Salim-Resal)*(1-EXP((Tnet-t)/(Tau_j))))*Salcycl</f>
        <v>4.16800268674875E-2</v>
      </c>
      <c r="P329" s="165">
        <f>(INDEX(Models!$BJ329:$BT329,,T329)*(1-R329)+INDEX(Models!$BJ329:$BT329,,T329+1)*R329-ERP_i)*Q329*Ramure*Pc/MaxiM</f>
        <v>3.7217365332159139E-3</v>
      </c>
      <c r="Q329" s="301">
        <f t="shared" si="105"/>
        <v>0.5</v>
      </c>
      <c r="R329" s="173">
        <f t="shared" si="106"/>
        <v>0.98880237837953988</v>
      </c>
      <c r="S329" s="801">
        <f t="shared" si="107"/>
        <v>2</v>
      </c>
      <c r="T329" s="172">
        <f t="shared" si="108"/>
        <v>8</v>
      </c>
      <c r="U329" s="247">
        <f t="shared" si="109"/>
        <v>2.9888023783795399</v>
      </c>
      <c r="V329" s="378">
        <f t="shared" si="110"/>
        <v>114.97963739979276</v>
      </c>
      <c r="W329" s="397">
        <f t="shared" si="111"/>
        <v>108.20678156629627</v>
      </c>
      <c r="X329" s="153">
        <f t="shared" si="112"/>
        <v>46702</v>
      </c>
      <c r="Y329" s="380">
        <f t="shared" si="113"/>
        <v>105.68162949916362</v>
      </c>
      <c r="Z329" s="380">
        <f t="shared" si="114"/>
        <v>109.02914150382384</v>
      </c>
      <c r="AA329" s="381">
        <f t="shared" si="115"/>
        <v>116.48956716014693</v>
      </c>
      <c r="AB329" s="193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6.4043723727350621E-2</v>
      </c>
      <c r="AD329" s="227">
        <f>(INDEX(Models!$BJ329:$BT329,,AH329)*(1-AF329)+INDEX(Models!$BJ329:$BT329,,AH329+1)*AF329-ERP_i)*AE329*Ramure*Pc/MaxiM</f>
        <v>3.7217365332159139E-3</v>
      </c>
      <c r="AE329" s="301">
        <f t="shared" si="117"/>
        <v>0.5</v>
      </c>
      <c r="AF329" s="173">
        <f t="shared" si="118"/>
        <v>0.98880237837953988</v>
      </c>
      <c r="AG329" s="801">
        <f t="shared" si="124"/>
        <v>2</v>
      </c>
      <c r="AH329" s="172">
        <f t="shared" si="119"/>
        <v>8</v>
      </c>
      <c r="AI329" s="221">
        <f t="shared" si="120"/>
        <v>2.9888023783795399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46703</v>
      </c>
      <c r="B330" s="406">
        <f>'2026'!Wh/'2026'!Env_an*'2027'!Env_an</f>
        <v>106.69654442563242</v>
      </c>
      <c r="C330" s="831"/>
      <c r="D330" s="388">
        <f t="shared" si="102"/>
        <v>110.07771117752512</v>
      </c>
      <c r="E330" s="380">
        <f t="shared" si="125"/>
        <v>114.86719928417084</v>
      </c>
      <c r="F330" s="380">
        <f t="shared" si="103"/>
        <v>115.27189329528954</v>
      </c>
      <c r="G330" s="110">
        <f t="shared" si="126"/>
        <v>0.93716986421205306</v>
      </c>
      <c r="H330" s="409" t="b">
        <f>Wh_hp&gt;='2026'!Maxi_hp</f>
        <v>0</v>
      </c>
      <c r="I330" s="385">
        <f>IF(H330,Wh_hp,'2026'!Maxi_hp)</f>
        <v>115.3058916610667</v>
      </c>
      <c r="J330" s="85">
        <f>IF(H330,An,'2026'!An_max)</f>
        <v>2022</v>
      </c>
      <c r="K330" s="193">
        <f t="shared" si="104"/>
        <v>46703</v>
      </c>
      <c r="L330" s="143">
        <f>IF(t&lt;Tvie,1-EXP((T0-t)*PertePVj)+'2026'!Pspv,1-EXP((T0-t)*PertePVj)+Pspv)</f>
        <v>3.0716179649118991E-2</v>
      </c>
      <c r="M330" s="835"/>
      <c r="N330" s="835"/>
      <c r="O330" s="48">
        <f>IF(t&lt;Tnet,'2026'!Resal+('2026'!Salim-'2026'!Resal)*(1-EXP(('2026'!Tnet-t)/('2026'!Tau_j))),Resal+(Salim-Resal)*(1-EXP((Tnet-t)/(Tau_j))))*Salcycl</f>
        <v>4.1695872594551327E-2</v>
      </c>
      <c r="P330" s="165">
        <f>(INDEX(Models!$BJ330:$BT330,,T330)*(1-R330)+INDEX(Models!$BJ330:$BT330,,T330+1)*R330-ERP_i)*Q330*Ramure*Pc/MaxiM</f>
        <v>3.8550097674872256E-3</v>
      </c>
      <c r="Q330" s="301">
        <f t="shared" si="105"/>
        <v>0.5</v>
      </c>
      <c r="R330" s="173">
        <f t="shared" si="106"/>
        <v>0.98883823399060322</v>
      </c>
      <c r="S330" s="801">
        <f t="shared" si="107"/>
        <v>2</v>
      </c>
      <c r="T330" s="172">
        <f t="shared" si="108"/>
        <v>8</v>
      </c>
      <c r="U330" s="247">
        <f t="shared" si="109"/>
        <v>2.9888382339906032</v>
      </c>
      <c r="V330" s="378">
        <f t="shared" si="110"/>
        <v>113.81041019831542</v>
      </c>
      <c r="W330" s="397">
        <f t="shared" si="111"/>
        <v>106.69654442563242</v>
      </c>
      <c r="X330" s="153">
        <f t="shared" si="112"/>
        <v>46703</v>
      </c>
      <c r="Y330" s="380">
        <f t="shared" si="113"/>
        <v>104.21096288821099</v>
      </c>
      <c r="Z330" s="380">
        <f t="shared" si="114"/>
        <v>107.51336265005082</v>
      </c>
      <c r="AA330" s="381">
        <f t="shared" si="115"/>
        <v>114.86719928417084</v>
      </c>
      <c r="AB330" s="193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6.4020335482606314E-2</v>
      </c>
      <c r="AD330" s="227">
        <f>(INDEX(Models!$BJ330:$BT330,,AH330)*(1-AF330)+INDEX(Models!$BJ330:$BT330,,AH330+1)*AF330-ERP_i)*AE330*Ramure*Pc/MaxiM</f>
        <v>3.8550097674872256E-3</v>
      </c>
      <c r="AE330" s="301">
        <f t="shared" si="117"/>
        <v>0.5</v>
      </c>
      <c r="AF330" s="173">
        <f t="shared" si="118"/>
        <v>0.98883823399060322</v>
      </c>
      <c r="AG330" s="801">
        <f t="shared" si="124"/>
        <v>2</v>
      </c>
      <c r="AH330" s="172">
        <f t="shared" si="119"/>
        <v>8</v>
      </c>
      <c r="AI330" s="221">
        <f t="shared" si="120"/>
        <v>2.9888382339906032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46704</v>
      </c>
      <c r="B331" s="406">
        <f>'2026'!Wh/'2026'!Env_an*'2027'!Env_an</f>
        <v>105.36820756386557</v>
      </c>
      <c r="C331" s="831"/>
      <c r="D331" s="388">
        <f t="shared" si="102"/>
        <v>108.7087680342633</v>
      </c>
      <c r="E331" s="380">
        <f t="shared" si="125"/>
        <v>113.44060916130921</v>
      </c>
      <c r="F331" s="380">
        <f t="shared" si="103"/>
        <v>113.85200560851457</v>
      </c>
      <c r="G331" s="110">
        <f t="shared" si="126"/>
        <v>0.93501605965062717</v>
      </c>
      <c r="H331" s="409" t="b">
        <f>Wh_hp&gt;='2026'!Maxi_hp</f>
        <v>0</v>
      </c>
      <c r="I331" s="385">
        <f>IF(H331,Wh_hp,'2026'!Maxi_hp)</f>
        <v>113.88791436897183</v>
      </c>
      <c r="J331" s="85">
        <f>IF(H331,An,'2026'!An_max)</f>
        <v>2022</v>
      </c>
      <c r="K331" s="193">
        <f t="shared" si="104"/>
        <v>46704</v>
      </c>
      <c r="L331" s="143">
        <f>IF(t&lt;Tvie,1-EXP((T0-t)*PertePVj)+'2026'!Pspv,1-EXP((T0-t)*PertePVj)+Pspv)</f>
        <v>3.0729448330652054E-2</v>
      </c>
      <c r="M331" s="835"/>
      <c r="N331" s="835"/>
      <c r="O331" s="48">
        <f>IF(t&lt;Tnet,'2026'!Resal+('2026'!Salim-'2026'!Resal)*(1-EXP(('2026'!Tnet-t)/('2026'!Tau_j))),Resal+(Salim-Resal)*(1-EXP((Tnet-t)/(Tau_j))))*Salcycl</f>
        <v>4.1712056749601614E-2</v>
      </c>
      <c r="P331" s="165">
        <f>(INDEX(Models!$BJ331:$BT331,,T331)*(1-R331)+INDEX(Models!$BJ331:$BT331,,T331+1)*R331-ERP_i)*Q331*Ramure*Pc/MaxiM</f>
        <v>3.981046307705698E-3</v>
      </c>
      <c r="Q331" s="301">
        <f t="shared" si="105"/>
        <v>0.5</v>
      </c>
      <c r="R331" s="173">
        <f t="shared" si="106"/>
        <v>0.98887265078735398</v>
      </c>
      <c r="S331" s="801">
        <f t="shared" si="107"/>
        <v>2</v>
      </c>
      <c r="T331" s="172">
        <f t="shared" si="108"/>
        <v>8</v>
      </c>
      <c r="U331" s="247">
        <f t="shared" si="109"/>
        <v>2.988872650787354</v>
      </c>
      <c r="V331" s="378">
        <f t="shared" si="110"/>
        <v>112.6497573083529</v>
      </c>
      <c r="W331" s="397">
        <f t="shared" si="111"/>
        <v>105.36820756386557</v>
      </c>
      <c r="X331" s="153">
        <f t="shared" si="112"/>
        <v>46704</v>
      </c>
      <c r="Y331" s="380">
        <f t="shared" si="113"/>
        <v>102.91781066961994</v>
      </c>
      <c r="Z331" s="380">
        <f t="shared" si="114"/>
        <v>106.18068452855339</v>
      </c>
      <c r="AA331" s="381">
        <f t="shared" si="115"/>
        <v>113.44060916130921</v>
      </c>
      <c r="AB331" s="193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6.3997581522437161E-2</v>
      </c>
      <c r="AD331" s="227">
        <f>(INDEX(Models!$BJ331:$BT331,,AH331)*(1-AF331)+INDEX(Models!$BJ331:$BT331,,AH331+1)*AF331-ERP_i)*AE331*Ramure*Pc/MaxiM</f>
        <v>3.981046307705698E-3</v>
      </c>
      <c r="AE331" s="301">
        <f t="shared" si="117"/>
        <v>0.5</v>
      </c>
      <c r="AF331" s="173">
        <f t="shared" si="118"/>
        <v>0.98887265078735398</v>
      </c>
      <c r="AG331" s="801">
        <f t="shared" si="124"/>
        <v>2</v>
      </c>
      <c r="AH331" s="172">
        <f t="shared" si="119"/>
        <v>8</v>
      </c>
      <c r="AI331" s="221">
        <f t="shared" si="120"/>
        <v>2.988872650787354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46705</v>
      </c>
      <c r="B332" s="406">
        <f>'2026'!Wh/'2026'!Env_an*'2027'!Env_an</f>
        <v>40.204725963653942</v>
      </c>
      <c r="C332" s="831"/>
      <c r="D332" s="388">
        <f t="shared" si="102"/>
        <v>41.479931759898975</v>
      </c>
      <c r="E332" s="380">
        <f t="shared" si="125"/>
        <v>43.286205238649963</v>
      </c>
      <c r="F332" s="380">
        <f t="shared" si="103"/>
        <v>43.30156364155274</v>
      </c>
      <c r="G332" s="110">
        <f t="shared" si="126"/>
        <v>0.3592708440676301</v>
      </c>
      <c r="H332" s="409" t="b">
        <f>Wh_hp&gt;='2026'!Maxi_hp</f>
        <v>0</v>
      </c>
      <c r="I332" s="385">
        <f>IF(H332,Wh_hp,'2026'!Maxi_hp)</f>
        <v>43.440643377111911</v>
      </c>
      <c r="J332" s="85">
        <f>IF(H332,An,'2026'!An_max)</f>
        <v>2022</v>
      </c>
      <c r="K332" s="193">
        <f t="shared" si="104"/>
        <v>46705</v>
      </c>
      <c r="L332" s="143">
        <f>IF(t&lt;Tvie,1-EXP((T0-t)*PertePVj)+'2026'!Pspv,1-EXP((T0-t)*PertePVj)+Pspv)</f>
        <v>3.0742716830548078E-2</v>
      </c>
      <c r="M332" s="835"/>
      <c r="N332" s="835"/>
      <c r="O332" s="48">
        <f>IF(t&lt;Tnet,'2026'!Resal+('2026'!Salim-'2026'!Resal)*(1-EXP(('2026'!Tnet-t)/('2026'!Tau_j))),Resal+(Salim-Resal)*(1-EXP((Tnet-t)/(Tau_j))))*Salcycl</f>
        <v>4.172861697606562E-2</v>
      </c>
      <c r="P332" s="165">
        <f>(INDEX(Models!$BJ332:$BT332,,T332)*(1-R332)+INDEX(Models!$BJ332:$BT332,,T332+1)*R332-ERP_i)*Q332*Ramure*Pc/MaxiM</f>
        <v>4.0956403070541991E-3</v>
      </c>
      <c r="Q332" s="301">
        <f t="shared" si="105"/>
        <v>0.5</v>
      </c>
      <c r="R332" s="173">
        <f t="shared" si="106"/>
        <v>0.98890568631991549</v>
      </c>
      <c r="S332" s="801">
        <f t="shared" si="107"/>
        <v>2</v>
      </c>
      <c r="T332" s="172">
        <f t="shared" si="108"/>
        <v>8</v>
      </c>
      <c r="U332" s="247">
        <f t="shared" si="109"/>
        <v>2.9889056863199155</v>
      </c>
      <c r="V332" s="378">
        <f t="shared" si="110"/>
        <v>111.48766777430171</v>
      </c>
      <c r="W332" s="397">
        <f t="shared" si="111"/>
        <v>40.204725963653942</v>
      </c>
      <c r="X332" s="153">
        <f t="shared" si="112"/>
        <v>46705</v>
      </c>
      <c r="Y332" s="380">
        <f t="shared" si="113"/>
        <v>39.271346786838791</v>
      </c>
      <c r="Z332" s="380">
        <f t="shared" si="114"/>
        <v>40.516947841157588</v>
      </c>
      <c r="AA332" s="381">
        <f t="shared" si="115"/>
        <v>43.286205238649963</v>
      </c>
      <c r="AB332" s="193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6.3975517886694255E-2</v>
      </c>
      <c r="AD332" s="227">
        <f>(INDEX(Models!$BJ332:$BT332,,AH332)*(1-AF332)+INDEX(Models!$BJ332:$BT332,,AH332+1)*AF332-ERP_i)*AE332*Ramure*Pc/MaxiM</f>
        <v>4.0956403070541991E-3</v>
      </c>
      <c r="AE332" s="301">
        <f t="shared" si="117"/>
        <v>0.5</v>
      </c>
      <c r="AF332" s="173">
        <f t="shared" si="118"/>
        <v>0.98890568631991549</v>
      </c>
      <c r="AG332" s="801">
        <f t="shared" si="124"/>
        <v>2</v>
      </c>
      <c r="AH332" s="172">
        <f t="shared" si="119"/>
        <v>8</v>
      </c>
      <c r="AI332" s="221">
        <f t="shared" si="120"/>
        <v>2.9889056863199155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46706</v>
      </c>
      <c r="B333" s="406">
        <f>'2026'!Wh/'2026'!Env_an*'2027'!Env_an</f>
        <v>50.575108364367154</v>
      </c>
      <c r="C333" s="831"/>
      <c r="D333" s="388">
        <f t="shared" si="102"/>
        <v>52.179954262737468</v>
      </c>
      <c r="E333" s="380">
        <f t="shared" si="125"/>
        <v>54.45313236298891</v>
      </c>
      <c r="F333" s="380">
        <f t="shared" si="103"/>
        <v>54.504970038533145</v>
      </c>
      <c r="G333" s="110">
        <f t="shared" si="126"/>
        <v>0.45691602711561985</v>
      </c>
      <c r="H333" s="409" t="b">
        <f>Wh_hp&gt;='2026'!Maxi_hp</f>
        <v>0</v>
      </c>
      <c r="I333" s="385">
        <f>IF(H333,Wh_hp,'2026'!Maxi_hp)</f>
        <v>54.6572788100165</v>
      </c>
      <c r="J333" s="85">
        <f>IF(H333,An,'2026'!An_max)</f>
        <v>2022</v>
      </c>
      <c r="K333" s="193">
        <f t="shared" si="104"/>
        <v>46706</v>
      </c>
      <c r="L333" s="143">
        <f>IF(t&lt;Tvie,1-EXP((T0-t)*PertePVj)+'2026'!Pspv,1-EXP((T0-t)*PertePVj)+Pspv)</f>
        <v>3.0755985148809506E-2</v>
      </c>
      <c r="M333" s="835"/>
      <c r="N333" s="835"/>
      <c r="O333" s="48">
        <f>IF(t&lt;Tnet,'2026'!Resal+('2026'!Salim-'2026'!Resal)*(1-EXP(('2026'!Tnet-t)/('2026'!Tau_j))),Resal+(Salim-Resal)*(1-EXP((Tnet-t)/(Tau_j))))*Salcycl</f>
        <v>4.1745589309688511E-2</v>
      </c>
      <c r="P333" s="165">
        <f>(INDEX(Models!$BJ333:$BT333,,T333)*(1-R333)+INDEX(Models!$BJ333:$BT333,,T333+1)*R333-ERP_i)*Q333*Ramure*Pc/MaxiM</f>
        <v>4.2027180834413105E-3</v>
      </c>
      <c r="Q333" s="301">
        <f t="shared" si="105"/>
        <v>0.5</v>
      </c>
      <c r="R333" s="173">
        <f t="shared" si="106"/>
        <v>0.98893739585121088</v>
      </c>
      <c r="S333" s="801">
        <f t="shared" si="107"/>
        <v>2</v>
      </c>
      <c r="T333" s="172">
        <f t="shared" si="108"/>
        <v>8</v>
      </c>
      <c r="U333" s="247">
        <f t="shared" si="109"/>
        <v>2.9889373958512109</v>
      </c>
      <c r="V333" s="378">
        <f t="shared" si="110"/>
        <v>110.32771018037187</v>
      </c>
      <c r="W333" s="397">
        <f t="shared" si="111"/>
        <v>50.575108364367154</v>
      </c>
      <c r="X333" s="153">
        <f t="shared" si="112"/>
        <v>46706</v>
      </c>
      <c r="Y333" s="380">
        <f t="shared" si="113"/>
        <v>49.402974139680914</v>
      </c>
      <c r="Z333" s="380">
        <f t="shared" si="114"/>
        <v>50.970625954565044</v>
      </c>
      <c r="AA333" s="381">
        <f t="shared" si="115"/>
        <v>54.45313236298891</v>
      </c>
      <c r="AB333" s="193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6.3954197991939229E-2</v>
      </c>
      <c r="AD333" s="227">
        <f>(INDEX(Models!$BJ333:$BT333,,AH333)*(1-AF333)+INDEX(Models!$BJ333:$BT333,,AH333+1)*AF333-ERP_i)*AE333*Ramure*Pc/MaxiM</f>
        <v>4.2027180834413105E-3</v>
      </c>
      <c r="AE333" s="301">
        <f t="shared" si="117"/>
        <v>0.5</v>
      </c>
      <c r="AF333" s="173">
        <f t="shared" si="118"/>
        <v>0.98893739585121088</v>
      </c>
      <c r="AG333" s="801">
        <f t="shared" si="124"/>
        <v>2</v>
      </c>
      <c r="AH333" s="172">
        <f t="shared" si="119"/>
        <v>8</v>
      </c>
      <c r="AI333" s="221">
        <f t="shared" si="120"/>
        <v>2.9889373958512109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46707</v>
      </c>
      <c r="B334" s="406">
        <f>'2026'!Wh/'2026'!Env_an*'2027'!Env_an</f>
        <v>105.42914535553537</v>
      </c>
      <c r="C334" s="831"/>
      <c r="D334" s="388">
        <f t="shared" si="102"/>
        <v>108.77610487792778</v>
      </c>
      <c r="E334" s="380">
        <f t="shared" si="125"/>
        <v>113.51691260924797</v>
      </c>
      <c r="F334" s="380">
        <f t="shared" si="103"/>
        <v>113.98325557428802</v>
      </c>
      <c r="G334" s="110">
        <f t="shared" si="126"/>
        <v>0.96549462659626217</v>
      </c>
      <c r="H334" s="409" t="b">
        <f>Wh_hp&gt;='2026'!Maxi_hp</f>
        <v>0</v>
      </c>
      <c r="I334" s="385">
        <f>IF(H334,Wh_hp,'2026'!Maxi_hp)</f>
        <v>114.00392589977223</v>
      </c>
      <c r="J334" s="85">
        <f>IF(H334,An,'2026'!An_max)</f>
        <v>2022</v>
      </c>
      <c r="K334" s="193">
        <f t="shared" si="104"/>
        <v>46707</v>
      </c>
      <c r="L334" s="143">
        <f>IF(t&lt;Tvie,1-EXP((T0-t)*PertePVj)+'2026'!Pspv,1-EXP((T0-t)*PertePVj)+Pspv)</f>
        <v>3.076925328543878E-2</v>
      </c>
      <c r="M334" s="835"/>
      <c r="N334" s="835"/>
      <c r="O334" s="48">
        <f>IF(t&lt;Tnet,'2026'!Resal+('2026'!Salim-'2026'!Resal)*(1-EXP(('2026'!Tnet-t)/('2026'!Tau_j))),Resal+(Salim-Resal)*(1-EXP((Tnet-t)/(Tau_j))))*Salcycl</f>
        <v>4.1763008016604222E-2</v>
      </c>
      <c r="P334" s="165">
        <f>(INDEX(Models!$BJ334:$BT334,,T334)*(1-R334)+INDEX(Models!$BJ334:$BT334,,T334+1)*R334-ERP_i)*Q334*Ramure*Pc/MaxiM</f>
        <v>4.3021394169744194E-3</v>
      </c>
      <c r="Q334" s="301">
        <f t="shared" si="105"/>
        <v>0.5</v>
      </c>
      <c r="R334" s="173">
        <f t="shared" si="106"/>
        <v>0.98896783244670017</v>
      </c>
      <c r="S334" s="801">
        <f t="shared" si="107"/>
        <v>2</v>
      </c>
      <c r="T334" s="172">
        <f t="shared" si="108"/>
        <v>8</v>
      </c>
      <c r="U334" s="247">
        <f t="shared" si="109"/>
        <v>2.9889678324467002</v>
      </c>
      <c r="V334" s="378">
        <f t="shared" si="110"/>
        <v>109.17391516493151</v>
      </c>
      <c r="W334" s="397">
        <f t="shared" si="111"/>
        <v>105.42914535553537</v>
      </c>
      <c r="X334" s="153">
        <f t="shared" si="112"/>
        <v>46707</v>
      </c>
      <c r="Y334" s="380">
        <f t="shared" si="113"/>
        <v>102.98983836069128</v>
      </c>
      <c r="Z334" s="380">
        <f t="shared" si="114"/>
        <v>106.25935950732053</v>
      </c>
      <c r="AA334" s="381">
        <f t="shared" si="115"/>
        <v>113.51691260924797</v>
      </c>
      <c r="AB334" s="193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6.3933672393907112E-2</v>
      </c>
      <c r="AD334" s="227">
        <f>(INDEX(Models!$BJ334:$BT334,,AH334)*(1-AF334)+INDEX(Models!$BJ334:$BT334,,AH334+1)*AF334-ERP_i)*AE334*Ramure*Pc/MaxiM</f>
        <v>4.3021394169744194E-3</v>
      </c>
      <c r="AE334" s="301">
        <f t="shared" si="117"/>
        <v>0.5</v>
      </c>
      <c r="AF334" s="173">
        <f t="shared" si="118"/>
        <v>0.98896783244670017</v>
      </c>
      <c r="AG334" s="801">
        <f t="shared" si="124"/>
        <v>2</v>
      </c>
      <c r="AH334" s="172">
        <f t="shared" si="119"/>
        <v>8</v>
      </c>
      <c r="AI334" s="221">
        <f t="shared" si="120"/>
        <v>2.9889678324467002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46708</v>
      </c>
      <c r="B335" s="406">
        <f>'2026'!Wh/'2026'!Env_an*'2027'!Env_an</f>
        <v>62.608368218728984</v>
      </c>
      <c r="C335" s="831"/>
      <c r="D335" s="388">
        <f t="shared" ref="D335:D379" si="127">Wh/(1-Ppv)</f>
        <v>64.596821240633588</v>
      </c>
      <c r="E335" s="380">
        <f t="shared" si="125"/>
        <v>67.413414747730442</v>
      </c>
      <c r="F335" s="380">
        <f t="shared" ref="F335:F379" si="128">Wh_sa/(1-Pvg*MEDIAN((-Sdif+Wh/Env_an)/Csdif,0,1))</f>
        <v>67.531908656258096</v>
      </c>
      <c r="G335" s="110">
        <f t="shared" si="126"/>
        <v>0.57801227829617363</v>
      </c>
      <c r="H335" s="409" t="b">
        <f>Wh_hp&gt;='2026'!Maxi_hp</f>
        <v>0</v>
      </c>
      <c r="I335" s="385">
        <f>IF(H335,Wh_hp,'2026'!Maxi_hp)</f>
        <v>67.685207187062332</v>
      </c>
      <c r="J335" s="85">
        <f>IF(H335,An,'2026'!An_max)</f>
        <v>2022</v>
      </c>
      <c r="K335" s="193">
        <f t="shared" ref="K335:K379" si="129">t</f>
        <v>46708</v>
      </c>
      <c r="L335" s="143">
        <f>IF(t&lt;Tvie,1-EXP((T0-t)*PertePVj)+'2026'!Pspv,1-EXP((T0-t)*PertePVj)+Pspv)</f>
        <v>3.0782521240438343E-2</v>
      </c>
      <c r="M335" s="835"/>
      <c r="N335" s="835"/>
      <c r="O335" s="48">
        <f>IF(t&lt;Tnet,'2026'!Resal+('2026'!Salim-'2026'!Resal)*(1-EXP(('2026'!Tnet-t)/('2026'!Tau_j))),Resal+(Salim-Resal)*(1-EXP((Tnet-t)/(Tau_j))))*Salcycl</f>
        <v>4.1780905441994108E-2</v>
      </c>
      <c r="P335" s="165">
        <f>(INDEX(Models!$BJ335:$BT335,,T335)*(1-R335)+INDEX(Models!$BJ335:$BT335,,T335+1)*R335-ERP_i)*Q335*Ramure*Pc/MaxiM</f>
        <v>4.3937381991172968E-3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0.98899704706069436</v>
      </c>
      <c r="S335" s="801">
        <f t="shared" ref="S335:S379" si="132">INDEX(Echel_vg,T335)</f>
        <v>2</v>
      </c>
      <c r="T335" s="172">
        <f t="shared" ref="T335:T379" si="133">MIN(MATCH(Hp_vg,Echel_vg),10)</f>
        <v>8</v>
      </c>
      <c r="U335" s="247">
        <f t="shared" ref="U335:U379" si="134">IF(OR(t&lt;Ttai,Notai),Hdd+PousH*Croivg,Hdtf+PousH*(Croivg-Croi_tai))</f>
        <v>2.9889970470606944</v>
      </c>
      <c r="V335" s="378">
        <f t="shared" ref="V335:V379" si="135">MaxiM*(1-Ppv)*(1-Pvg)*(1-Psa)</f>
        <v>108.03031396461776</v>
      </c>
      <c r="W335" s="397">
        <f t="shared" ref="W335:W379" si="136">Wh*(A335&gt;Tmaj)</f>
        <v>62.608368218728984</v>
      </c>
      <c r="X335" s="153">
        <f t="shared" ref="X335:X379" si="137">t</f>
        <v>46708</v>
      </c>
      <c r="Y335" s="380">
        <f t="shared" ref="Y335:Y379" si="138">Wh_pvt_s*(1-Ppv)</f>
        <v>61.162231081631411</v>
      </c>
      <c r="Z335" s="380">
        <f t="shared" ref="Z335:Z379" si="139">Wh_sa_s*(1-Psa_s)</f>
        <v>63.104754528270547</v>
      </c>
      <c r="AA335" s="381">
        <f t="shared" ref="AA335:AA379" si="140">Wh_hp*(1-Pvg_s*MEDIAN((-Sdif+Wh/Env_an)/Csdif,0,1))</f>
        <v>67.413414747730442</v>
      </c>
      <c r="AB335" s="193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6.3913988567163446E-2</v>
      </c>
      <c r="AD335" s="227">
        <f>(INDEX(Models!$BJ335:$BT335,,AH335)*(1-AF335)+INDEX(Models!$BJ335:$BT335,,AH335+1)*AF335-ERP_i)*AE335*Ramure*Pc/MaxiM</f>
        <v>4.3937381991172968E-3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0.98899704706069436</v>
      </c>
      <c r="AG335" s="801">
        <f t="shared" si="124"/>
        <v>2</v>
      </c>
      <c r="AH335" s="172">
        <f t="shared" ref="AH335:AH379" si="144">MIN(MATCH(Hp_vg_s,Echel_vg),10)</f>
        <v>8</v>
      </c>
      <c r="AI335" s="221">
        <f t="shared" ref="AI335:AI379" si="145">IF(OR(t&lt;Ttai,Notai),Hdd_s+PousH*Croivg,Hdtai_s+PousH*(Croivg-Croi_tai))</f>
        <v>2.9889970470606944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46709</v>
      </c>
      <c r="B336" s="406">
        <f>'2026'!Wh/'2026'!Env_an*'2027'!Env_an</f>
        <v>49.68435523981114</v>
      </c>
      <c r="C336" s="831"/>
      <c r="D336" s="388">
        <f t="shared" si="127"/>
        <v>51.263041035754568</v>
      </c>
      <c r="E336" s="380">
        <f t="shared" si="125"/>
        <v>53.499273869047336</v>
      </c>
      <c r="F336" s="380">
        <f t="shared" si="128"/>
        <v>53.555716143066341</v>
      </c>
      <c r="G336" s="110">
        <f t="shared" si="126"/>
        <v>0.46317727273496434</v>
      </c>
      <c r="H336" s="409" t="b">
        <f>Wh_hp&gt;='2026'!Maxi_hp</f>
        <v>0</v>
      </c>
      <c r="I336" s="385">
        <f>IF(H336,Wh_hp,'2026'!Maxi_hp)</f>
        <v>53.713397448687658</v>
      </c>
      <c r="J336" s="85">
        <f>IF(H336,An,'2026'!An_max)</f>
        <v>2022</v>
      </c>
      <c r="K336" s="193">
        <f t="shared" si="129"/>
        <v>46709</v>
      </c>
      <c r="L336" s="143">
        <f>IF(t&lt;Tvie,1-EXP((T0-t)*PertePVj)+'2026'!Pspv,1-EXP((T0-t)*PertePVj)+Pspv)</f>
        <v>3.0795789013810859E-2</v>
      </c>
      <c r="M336" s="835"/>
      <c r="N336" s="835"/>
      <c r="O336" s="48">
        <f>IF(t&lt;Tnet,'2026'!Resal+('2026'!Salim-'2026'!Resal)*(1-EXP(('2026'!Tnet-t)/('2026'!Tau_j))),Resal+(Salim-Resal)*(1-EXP((Tnet-t)/(Tau_j))))*Salcycl</f>
        <v>4.1799311870409632E-2</v>
      </c>
      <c r="P336" s="165">
        <f>(INDEX(Models!$BJ336:$BT336,,T336)*(1-R336)+INDEX(Models!$BJ336:$BT336,,T336+1)*R336-ERP_i)*Q336*Ramure*Pc/MaxiM</f>
        <v>4.4773229449785118E-3</v>
      </c>
      <c r="Q336" s="301">
        <f t="shared" si="130"/>
        <v>0.5</v>
      </c>
      <c r="R336" s="173">
        <f t="shared" si="131"/>
        <v>0.98902508861935789</v>
      </c>
      <c r="S336" s="801">
        <f t="shared" si="132"/>
        <v>2</v>
      </c>
      <c r="T336" s="172">
        <f t="shared" si="133"/>
        <v>8</v>
      </c>
      <c r="U336" s="247">
        <f t="shared" si="134"/>
        <v>2.9890250886193579</v>
      </c>
      <c r="V336" s="378">
        <f t="shared" si="135"/>
        <v>106.90093848951781</v>
      </c>
      <c r="W336" s="397">
        <f t="shared" si="136"/>
        <v>49.68435523981114</v>
      </c>
      <c r="X336" s="153">
        <f t="shared" si="137"/>
        <v>46709</v>
      </c>
      <c r="Y336" s="380">
        <f t="shared" si="138"/>
        <v>48.538645883849057</v>
      </c>
      <c r="Z336" s="380">
        <f t="shared" si="139"/>
        <v>50.08092756268546</v>
      </c>
      <c r="AA336" s="381">
        <f t="shared" si="140"/>
        <v>53.499273869047336</v>
      </c>
      <c r="AB336" s="193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6.389519070350605E-2</v>
      </c>
      <c r="AD336" s="227">
        <f>(INDEX(Models!$BJ336:$BT336,,AH336)*(1-AF336)+INDEX(Models!$BJ336:$BT336,,AH336+1)*AF336-ERP_i)*AE336*Ramure*Pc/MaxiM</f>
        <v>4.4773229449785118E-3</v>
      </c>
      <c r="AE336" s="301">
        <f t="shared" si="142"/>
        <v>0.5</v>
      </c>
      <c r="AF336" s="173">
        <f t="shared" si="143"/>
        <v>0.98902508861935789</v>
      </c>
      <c r="AG336" s="801">
        <f t="shared" ref="AG336:AG379" si="149">INDEX(Echel_vg,AH336)</f>
        <v>2</v>
      </c>
      <c r="AH336" s="172">
        <f t="shared" si="144"/>
        <v>8</v>
      </c>
      <c r="AI336" s="221">
        <f t="shared" si="145"/>
        <v>2.9890250886193579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46710</v>
      </c>
      <c r="B337" s="406">
        <f>'2026'!Wh/'2026'!Env_an*'2027'!Env_an</f>
        <v>23.624991220761071</v>
      </c>
      <c r="C337" s="831"/>
      <c r="D337" s="388">
        <f t="shared" si="127"/>
        <v>24.375992555211248</v>
      </c>
      <c r="E337" s="380">
        <f t="shared" si="125"/>
        <v>25.439842381212614</v>
      </c>
      <c r="F337" s="380">
        <f t="shared" si="128"/>
        <v>25.439842381212614</v>
      </c>
      <c r="G337" s="110">
        <f t="shared" si="126"/>
        <v>0.22230337416100579</v>
      </c>
      <c r="H337" s="409" t="b">
        <f>Wh_hp&gt;='2026'!Maxi_hp</f>
        <v>0</v>
      </c>
      <c r="I337" s="385">
        <f>IF(H337,Wh_hp,'2026'!Maxi_hp)</f>
        <v>25.539405273460016</v>
      </c>
      <c r="J337" s="85">
        <f>IF(H337,An,'2026'!An_max)</f>
        <v>2022</v>
      </c>
      <c r="K337" s="193">
        <f t="shared" si="129"/>
        <v>46710</v>
      </c>
      <c r="L337" s="143">
        <f>IF(t&lt;Tvie,1-EXP((T0-t)*PertePVj)+'2026'!Pspv,1-EXP((T0-t)*PertePVj)+Pspv)</f>
        <v>3.0809056605558549E-2</v>
      </c>
      <c r="M337" s="835"/>
      <c r="N337" s="835"/>
      <c r="O337" s="48">
        <f>IF(t&lt;Tnet,'2026'!Resal+('2026'!Salim-'2026'!Resal)*(1-EXP(('2026'!Tnet-t)/('2026'!Tau_j))),Resal+(Salim-Resal)*(1-EXP((Tnet-t)/(Tau_j))))*Salcycl</f>
        <v>4.1818255398744938E-2</v>
      </c>
      <c r="P337" s="165">
        <f>(INDEX(Models!$BJ337:$BT337,,T337)*(1-R337)+INDEX(Models!$BJ337:$BT337,,T337+1)*R337-ERP_i)*Q337*Ramure*Pc/MaxiM</f>
        <v>4.5526775856722032E-3</v>
      </c>
      <c r="Q337" s="301">
        <f t="shared" si="130"/>
        <v>0.5</v>
      </c>
      <c r="R337" s="173">
        <f t="shared" si="131"/>
        <v>0.9890520041005284</v>
      </c>
      <c r="S337" s="801">
        <f t="shared" si="132"/>
        <v>2</v>
      </c>
      <c r="T337" s="172">
        <f t="shared" si="133"/>
        <v>8</v>
      </c>
      <c r="U337" s="247">
        <f t="shared" si="134"/>
        <v>2.9890520041005284</v>
      </c>
      <c r="V337" s="378">
        <f t="shared" si="135"/>
        <v>105.78982141645695</v>
      </c>
      <c r="W337" s="397">
        <f t="shared" si="136"/>
        <v>23.624991220761071</v>
      </c>
      <c r="X337" s="153">
        <f t="shared" si="137"/>
        <v>46710</v>
      </c>
      <c r="Y337" s="380">
        <f t="shared" si="138"/>
        <v>23.081101505278987</v>
      </c>
      <c r="Z337" s="380">
        <f t="shared" si="139"/>
        <v>23.814813440621926</v>
      </c>
      <c r="AA337" s="381">
        <f t="shared" si="140"/>
        <v>25.439842381212614</v>
      </c>
      <c r="AB337" s="193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6.3877319530516244E-2</v>
      </c>
      <c r="AD337" s="227">
        <f>(INDEX(Models!$BJ337:$BT337,,AH337)*(1-AF337)+INDEX(Models!$BJ337:$BT337,,AH337+1)*AF337-ERP_i)*AE337*Ramure*Pc/MaxiM</f>
        <v>4.5526775856722032E-3</v>
      </c>
      <c r="AE337" s="301">
        <f t="shared" si="142"/>
        <v>0.5</v>
      </c>
      <c r="AF337" s="173">
        <f t="shared" si="143"/>
        <v>0.9890520041005284</v>
      </c>
      <c r="AG337" s="801">
        <f t="shared" si="149"/>
        <v>2</v>
      </c>
      <c r="AH337" s="172">
        <f t="shared" si="144"/>
        <v>8</v>
      </c>
      <c r="AI337" s="221">
        <f t="shared" si="145"/>
        <v>2.9890520041005284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46711</v>
      </c>
      <c r="B338" s="406">
        <f>'2026'!Wh/'2026'!Env_an*'2027'!Env_an</f>
        <v>69.082109276908028</v>
      </c>
      <c r="C338" s="831"/>
      <c r="D338" s="388">
        <f t="shared" si="127"/>
        <v>71.279096690652608</v>
      </c>
      <c r="E338" s="380">
        <f t="shared" si="125"/>
        <v>74.391469263336347</v>
      </c>
      <c r="F338" s="380">
        <f t="shared" si="128"/>
        <v>74.568239048726795</v>
      </c>
      <c r="G338" s="110">
        <f t="shared" si="126"/>
        <v>0.65831632847282251</v>
      </c>
      <c r="H338" s="409" t="b">
        <f>Wh_hp&gt;='2026'!Maxi_hp</f>
        <v>0</v>
      </c>
      <c r="I338" s="385">
        <f>IF(H338,Wh_hp,'2026'!Maxi_hp)</f>
        <v>74.711901468469961</v>
      </c>
      <c r="J338" s="85">
        <f>IF(H338,An,'2026'!An_max)</f>
        <v>2022</v>
      </c>
      <c r="K338" s="193">
        <f t="shared" si="129"/>
        <v>46711</v>
      </c>
      <c r="L338" s="143">
        <f>IF(t&lt;Tvie,1-EXP((T0-t)*PertePVj)+'2026'!Pspv,1-EXP((T0-t)*PertePVj)+Pspv)</f>
        <v>3.0822324015684188E-2</v>
      </c>
      <c r="M338" s="835"/>
      <c r="N338" s="835"/>
      <c r="O338" s="48">
        <f>IF(t&lt;Tnet,'2026'!Resal+('2026'!Salim-'2026'!Resal)*(1-EXP(('2026'!Tnet-t)/('2026'!Tau_j))),Resal+(Salim-Resal)*(1-EXP((Tnet-t)/(Tau_j))))*Salcycl</f>
        <v>4.183776182274785E-2</v>
      </c>
      <c r="P338" s="165">
        <f>(INDEX(Models!$BJ338:$BT338,,T338)*(1-R338)+INDEX(Models!$BJ338:$BT338,,T338+1)*R338-ERP_i)*Q338*Ramure*Pc/MaxiM</f>
        <v>4.6120343524915655E-3</v>
      </c>
      <c r="Q338" s="301">
        <f t="shared" si="130"/>
        <v>0.5</v>
      </c>
      <c r="R338" s="173">
        <f t="shared" si="131"/>
        <v>0.98907783861046727</v>
      </c>
      <c r="S338" s="801">
        <f t="shared" si="132"/>
        <v>2</v>
      </c>
      <c r="T338" s="172">
        <f t="shared" si="133"/>
        <v>8</v>
      </c>
      <c r="U338" s="247">
        <f t="shared" si="134"/>
        <v>2.9890778386104673</v>
      </c>
      <c r="V338" s="378">
        <f t="shared" si="135"/>
        <v>104.70178815449034</v>
      </c>
      <c r="W338" s="397">
        <f t="shared" si="136"/>
        <v>69.082109276908028</v>
      </c>
      <c r="X338" s="153">
        <f t="shared" si="137"/>
        <v>46711</v>
      </c>
      <c r="Y338" s="380">
        <f t="shared" si="138"/>
        <v>67.494308092556764</v>
      </c>
      <c r="Z338" s="380">
        <f t="shared" si="139"/>
        <v>69.640799375623487</v>
      </c>
      <c r="AA338" s="381">
        <f t="shared" si="140"/>
        <v>74.391469263336347</v>
      </c>
      <c r="AB338" s="193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6.3860412151507367E-2</v>
      </c>
      <c r="AD338" s="227">
        <f>(INDEX(Models!$BJ338:$BT338,,AH338)*(1-AF338)+INDEX(Models!$BJ338:$BT338,,AH338+1)*AF338-ERP_i)*AE338*Ramure*Pc/MaxiM</f>
        <v>4.6120343524915655E-3</v>
      </c>
      <c r="AE338" s="301">
        <f t="shared" si="142"/>
        <v>0.5</v>
      </c>
      <c r="AF338" s="173">
        <f t="shared" si="143"/>
        <v>0.98907783861046727</v>
      </c>
      <c r="AG338" s="801">
        <f t="shared" si="149"/>
        <v>2</v>
      </c>
      <c r="AH338" s="172">
        <f t="shared" si="144"/>
        <v>8</v>
      </c>
      <c r="AI338" s="221">
        <f t="shared" si="145"/>
        <v>2.9890778386104673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46712</v>
      </c>
      <c r="B339" s="406">
        <f>'2026'!Wh/'2026'!Env_an*'2027'!Env_an</f>
        <v>13.684917294245038</v>
      </c>
      <c r="C339" s="831"/>
      <c r="D339" s="388">
        <f t="shared" si="127"/>
        <v>14.120325891675497</v>
      </c>
      <c r="E339" s="380">
        <f t="shared" si="125"/>
        <v>14.73719318010453</v>
      </c>
      <c r="F339" s="380">
        <f t="shared" si="128"/>
        <v>14.73719318010453</v>
      </c>
      <c r="G339" s="110">
        <f t="shared" si="126"/>
        <v>0.13142706090764764</v>
      </c>
      <c r="H339" s="409" t="b">
        <f>Wh_hp&gt;='2026'!Maxi_hp</f>
        <v>0</v>
      </c>
      <c r="I339" s="385">
        <f>IF(H339,Wh_hp,'2026'!Maxi_hp)</f>
        <v>14.796158423320728</v>
      </c>
      <c r="J339" s="85">
        <f>IF(H339,An,'2026'!An_max)</f>
        <v>2022</v>
      </c>
      <c r="K339" s="193">
        <f t="shared" si="129"/>
        <v>46712</v>
      </c>
      <c r="L339" s="143">
        <f>IF(t&lt;Tvie,1-EXP((T0-t)*PertePVj)+'2026'!Pspv,1-EXP((T0-t)*PertePVj)+Pspv)</f>
        <v>3.0835591244190108E-2</v>
      </c>
      <c r="M339" s="835"/>
      <c r="N339" s="835"/>
      <c r="O339" s="48">
        <f>IF(t&lt;Tnet,'2026'!Resal+('2026'!Salim-'2026'!Resal)*(1-EXP(('2026'!Tnet-t)/('2026'!Tau_j))),Resal+(Salim-Resal)*(1-EXP((Tnet-t)/(Tau_j))))*Salcycl</f>
        <v>4.1857854537851472E-2</v>
      </c>
      <c r="P339" s="165">
        <f>(INDEX(Models!$BJ339:$BT339,,T339)*(1-R339)+INDEX(Models!$BJ339:$BT339,,T339+1)*R339-ERP_i)*Q339*Ramure*Pc/MaxiM</f>
        <v>4.659497428297796E-3</v>
      </c>
      <c r="Q339" s="301">
        <f t="shared" si="130"/>
        <v>0.5</v>
      </c>
      <c r="R339" s="173">
        <f t="shared" si="131"/>
        <v>0.98910263545765265</v>
      </c>
      <c r="S339" s="801">
        <f t="shared" si="132"/>
        <v>2</v>
      </c>
      <c r="T339" s="172">
        <f t="shared" si="133"/>
        <v>8</v>
      </c>
      <c r="U339" s="247">
        <f t="shared" si="134"/>
        <v>2.9891026354576526</v>
      </c>
      <c r="V339" s="378">
        <f t="shared" si="135"/>
        <v>103.64039462829861</v>
      </c>
      <c r="W339" s="397">
        <f t="shared" si="136"/>
        <v>13.684917294245038</v>
      </c>
      <c r="X339" s="153">
        <f t="shared" si="137"/>
        <v>46712</v>
      </c>
      <c r="Y339" s="380">
        <f t="shared" si="138"/>
        <v>13.37088721816232</v>
      </c>
      <c r="Z339" s="380">
        <f t="shared" si="139"/>
        <v>13.79630442199951</v>
      </c>
      <c r="AA339" s="381">
        <f t="shared" si="140"/>
        <v>14.73719318010453</v>
      </c>
      <c r="AB339" s="193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6.3844501907950602E-2</v>
      </c>
      <c r="AD339" s="227">
        <f>(INDEX(Models!$BJ339:$BT339,,AH339)*(1-AF339)+INDEX(Models!$BJ339:$BT339,,AH339+1)*AF339-ERP_i)*AE339*Ramure*Pc/MaxiM</f>
        <v>4.659497428297796E-3</v>
      </c>
      <c r="AE339" s="301">
        <f t="shared" si="142"/>
        <v>0.5</v>
      </c>
      <c r="AF339" s="173">
        <f t="shared" si="143"/>
        <v>0.98910263545765265</v>
      </c>
      <c r="AG339" s="801">
        <f t="shared" si="149"/>
        <v>2</v>
      </c>
      <c r="AH339" s="172">
        <f t="shared" si="144"/>
        <v>8</v>
      </c>
      <c r="AI339" s="221">
        <f t="shared" si="145"/>
        <v>2.9891026354576526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46713</v>
      </c>
      <c r="B340" s="406">
        <f>'2026'!Wh/'2026'!Env_an*'2027'!Env_an</f>
        <v>33.224761423671232</v>
      </c>
      <c r="C340" s="831"/>
      <c r="D340" s="388">
        <f t="shared" si="127"/>
        <v>34.282332232602464</v>
      </c>
      <c r="E340" s="380">
        <f t="shared" si="125"/>
        <v>35.780779557754087</v>
      </c>
      <c r="F340" s="380">
        <f t="shared" si="128"/>
        <v>35.786491265799711</v>
      </c>
      <c r="G340" s="110">
        <f t="shared" si="126"/>
        <v>0.32232886057701599</v>
      </c>
      <c r="H340" s="409" t="b">
        <f>Wh_hp&gt;='2026'!Maxi_hp</f>
        <v>0</v>
      </c>
      <c r="I340" s="385">
        <f>IF(H340,Wh_hp,'2026'!Maxi_hp)</f>
        <v>35.925753134499537</v>
      </c>
      <c r="J340" s="85">
        <f>IF(H340,An,'2026'!An_max)</f>
        <v>2022</v>
      </c>
      <c r="K340" s="193">
        <f t="shared" si="129"/>
        <v>46713</v>
      </c>
      <c r="L340" s="143">
        <f>IF(t&lt;Tvie,1-EXP((T0-t)*PertePVj)+'2026'!Pspv,1-EXP((T0-t)*PertePVj)+Pspv)</f>
        <v>3.0848858291078751E-2</v>
      </c>
      <c r="M340" s="835"/>
      <c r="N340" s="835"/>
      <c r="O340" s="48">
        <f>IF(t&lt;Tnet,'2026'!Resal+('2026'!Salim-'2026'!Resal)*(1-EXP(('2026'!Tnet-t)/('2026'!Tau_j))),Resal+(Salim-Resal)*(1-EXP((Tnet-t)/(Tau_j))))*Salcycl</f>
        <v>4.1878554454996338E-2</v>
      </c>
      <c r="P340" s="165">
        <f>(INDEX(Models!$BJ340:$BT340,,T340)*(1-R340)+INDEX(Models!$BJ340:$BT340,,T340+1)*R340-ERP_i)*Q340*Ramure*Pc/MaxiM</f>
        <v>4.6947494879204478E-3</v>
      </c>
      <c r="Q340" s="301">
        <f t="shared" si="130"/>
        <v>0.5</v>
      </c>
      <c r="R340" s="173">
        <f t="shared" si="131"/>
        <v>0.98912643622372132</v>
      </c>
      <c r="S340" s="801">
        <f t="shared" si="132"/>
        <v>2</v>
      </c>
      <c r="T340" s="172">
        <f t="shared" si="133"/>
        <v>8</v>
      </c>
      <c r="U340" s="247">
        <f t="shared" si="134"/>
        <v>2.9891264362237213</v>
      </c>
      <c r="V340" s="378">
        <f t="shared" si="135"/>
        <v>102.6096708267943</v>
      </c>
      <c r="W340" s="397">
        <f t="shared" si="136"/>
        <v>33.224761423671232</v>
      </c>
      <c r="X340" s="153">
        <f t="shared" si="137"/>
        <v>46713</v>
      </c>
      <c r="Y340" s="380">
        <f t="shared" si="138"/>
        <v>32.463564749195776</v>
      </c>
      <c r="Z340" s="380">
        <f t="shared" si="139"/>
        <v>33.496906057348497</v>
      </c>
      <c r="AA340" s="381">
        <f t="shared" si="140"/>
        <v>35.780779557754087</v>
      </c>
      <c r="AB340" s="193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6.3829618265280372E-2</v>
      </c>
      <c r="AD340" s="227">
        <f>(INDEX(Models!$BJ340:$BT340,,AH340)*(1-AF340)+INDEX(Models!$BJ340:$BT340,,AH340+1)*AF340-ERP_i)*AE340*Ramure*Pc/MaxiM</f>
        <v>4.6947494879204478E-3</v>
      </c>
      <c r="AE340" s="301">
        <f t="shared" si="142"/>
        <v>0.5</v>
      </c>
      <c r="AF340" s="173">
        <f t="shared" si="143"/>
        <v>0.98912643622372132</v>
      </c>
      <c r="AG340" s="801">
        <f t="shared" si="149"/>
        <v>2</v>
      </c>
      <c r="AH340" s="172">
        <f t="shared" si="144"/>
        <v>8</v>
      </c>
      <c r="AI340" s="221">
        <f t="shared" si="145"/>
        <v>2.9891264362237213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46714</v>
      </c>
      <c r="B341" s="406">
        <f>'2026'!Wh/'2026'!Env_an*'2027'!Env_an</f>
        <v>54.795234610297712</v>
      </c>
      <c r="C341" s="831"/>
      <c r="D341" s="388">
        <f t="shared" si="127"/>
        <v>56.540184872186451</v>
      </c>
      <c r="E341" s="380">
        <f t="shared" si="125"/>
        <v>59.012814723552331</v>
      </c>
      <c r="F341" s="380">
        <f t="shared" si="128"/>
        <v>59.108118070456833</v>
      </c>
      <c r="G341" s="110">
        <f t="shared" si="126"/>
        <v>0.53757360397319309</v>
      </c>
      <c r="H341" s="409" t="b">
        <f>Wh_hp&gt;='2026'!Maxi_hp</f>
        <v>0</v>
      </c>
      <c r="I341" s="385">
        <f>IF(H341,Wh_hp,'2026'!Maxi_hp)</f>
        <v>59.26549414271846</v>
      </c>
      <c r="J341" s="85">
        <f>IF(H341,An,'2026'!An_max)</f>
        <v>2022</v>
      </c>
      <c r="K341" s="193">
        <f t="shared" si="129"/>
        <v>46714</v>
      </c>
      <c r="L341" s="143">
        <f>IF(t&lt;Tvie,1-EXP((T0-t)*PertePVj)+'2026'!Pspv,1-EXP((T0-t)*PertePVj)+Pspv)</f>
        <v>3.0862125156352671E-2</v>
      </c>
      <c r="M341" s="835"/>
      <c r="N341" s="835"/>
      <c r="O341" s="48">
        <f>IF(t&lt;Tnet,'2026'!Resal+('2026'!Salim-'2026'!Resal)*(1-EXP(('2026'!Tnet-t)/('2026'!Tau_j))),Resal+(Salim-Resal)*(1-EXP((Tnet-t)/(Tau_j))))*Salcycl</f>
        <v>4.1899879931994524E-2</v>
      </c>
      <c r="P341" s="165">
        <f>(INDEX(Models!$BJ341:$BT341,,T341)*(1-R341)+INDEX(Models!$BJ341:$BT341,,T341+1)*R341-ERP_i)*Q341*Ramure*Pc/MaxiM</f>
        <v>4.7174336555226718E-3</v>
      </c>
      <c r="Q341" s="301">
        <f t="shared" si="130"/>
        <v>0.5</v>
      </c>
      <c r="R341" s="173">
        <f t="shared" si="131"/>
        <v>0.98914928083167108</v>
      </c>
      <c r="S341" s="801">
        <f t="shared" si="132"/>
        <v>2</v>
      </c>
      <c r="T341" s="172">
        <f t="shared" si="133"/>
        <v>8</v>
      </c>
      <c r="U341" s="247">
        <f t="shared" si="134"/>
        <v>2.9891492808316711</v>
      </c>
      <c r="V341" s="378">
        <f t="shared" si="135"/>
        <v>101.61365065142409</v>
      </c>
      <c r="W341" s="397">
        <f t="shared" si="136"/>
        <v>54.795234610297712</v>
      </c>
      <c r="X341" s="153">
        <f t="shared" si="137"/>
        <v>46714</v>
      </c>
      <c r="Y341" s="380">
        <f t="shared" si="138"/>
        <v>53.54182984690592</v>
      </c>
      <c r="Z341" s="380">
        <f t="shared" si="139"/>
        <v>55.246865525242129</v>
      </c>
      <c r="AA341" s="381">
        <f t="shared" si="140"/>
        <v>59.012814723552331</v>
      </c>
      <c r="AB341" s="193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6.3815786722797863E-2</v>
      </c>
      <c r="AD341" s="227">
        <f>(INDEX(Models!$BJ341:$BT341,,AH341)*(1-AF341)+INDEX(Models!$BJ341:$BT341,,AH341+1)*AF341-ERP_i)*AE341*Ramure*Pc/MaxiM</f>
        <v>4.7174336555226718E-3</v>
      </c>
      <c r="AE341" s="301">
        <f t="shared" si="142"/>
        <v>0.5</v>
      </c>
      <c r="AF341" s="173">
        <f t="shared" si="143"/>
        <v>0.98914928083167108</v>
      </c>
      <c r="AG341" s="801">
        <f t="shared" si="149"/>
        <v>2</v>
      </c>
      <c r="AH341" s="172">
        <f t="shared" si="144"/>
        <v>8</v>
      </c>
      <c r="AI341" s="221">
        <f t="shared" si="145"/>
        <v>2.9891492808316711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46715</v>
      </c>
      <c r="B342" s="406">
        <f>'2026'!Wh/'2026'!Env_an*'2027'!Env_an</f>
        <v>53.920658777061369</v>
      </c>
      <c r="C342" s="831"/>
      <c r="D342" s="388">
        <f t="shared" si="127"/>
        <v>55.638519879746987</v>
      </c>
      <c r="E342" s="380">
        <f t="shared" si="125"/>
        <v>58.073049353351358</v>
      </c>
      <c r="F342" s="380">
        <f t="shared" si="128"/>
        <v>58.16562874502354</v>
      </c>
      <c r="G342" s="110">
        <f t="shared" si="126"/>
        <v>0.53400812779820672</v>
      </c>
      <c r="H342" s="409" t="b">
        <f>Wh_hp&gt;='2026'!Maxi_hp</f>
        <v>0</v>
      </c>
      <c r="I342" s="385">
        <f>IF(H342,Wh_hp,'2026'!Maxi_hp)</f>
        <v>58.321847918347885</v>
      </c>
      <c r="J342" s="85">
        <f>IF(H342,An,'2026'!An_max)</f>
        <v>2022</v>
      </c>
      <c r="K342" s="193">
        <f t="shared" si="129"/>
        <v>46715</v>
      </c>
      <c r="L342" s="143">
        <f>IF(t&lt;Tvie,1-EXP((T0-t)*PertePVj)+'2026'!Pspv,1-EXP((T0-t)*PertePVj)+Pspv)</f>
        <v>3.0875391840014421E-2</v>
      </c>
      <c r="M342" s="835"/>
      <c r="N342" s="835"/>
      <c r="O342" s="48">
        <f>IF(t&lt;Tnet,'2026'!Resal+('2026'!Salim-'2026'!Resal)*(1-EXP(('2026'!Tnet-t)/('2026'!Tau_j))),Resal+(Salim-Resal)*(1-EXP((Tnet-t)/(Tau_j))))*Salcycl</f>
        <v>4.1921846720864034E-2</v>
      </c>
      <c r="P342" s="165">
        <f>(INDEX(Models!$BJ342:$BT342,,T342)*(1-R342)+INDEX(Models!$BJ342:$BT342,,T342+1)*R342-ERP_i)*Q342*Ramure*Pc/MaxiM</f>
        <v>4.7271989335599778E-3</v>
      </c>
      <c r="Q342" s="301">
        <f t="shared" si="130"/>
        <v>0.5</v>
      </c>
      <c r="R342" s="173">
        <f t="shared" si="131"/>
        <v>0.98917120761141897</v>
      </c>
      <c r="S342" s="801">
        <f t="shared" si="132"/>
        <v>2</v>
      </c>
      <c r="T342" s="172">
        <f t="shared" si="133"/>
        <v>8</v>
      </c>
      <c r="U342" s="247">
        <f t="shared" si="134"/>
        <v>2.989171207611419</v>
      </c>
      <c r="V342" s="378">
        <f t="shared" si="135"/>
        <v>100.65636766146305</v>
      </c>
      <c r="W342" s="397">
        <f t="shared" si="136"/>
        <v>53.920658777061369</v>
      </c>
      <c r="X342" s="153">
        <f t="shared" si="137"/>
        <v>46715</v>
      </c>
      <c r="Y342" s="380">
        <f t="shared" si="138"/>
        <v>52.689185388698903</v>
      </c>
      <c r="Z342" s="380">
        <f t="shared" si="139"/>
        <v>54.367812915963881</v>
      </c>
      <c r="AA342" s="381">
        <f t="shared" si="140"/>
        <v>58.073049353351358</v>
      </c>
      <c r="AB342" s="193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6.3803028748199361E-2</v>
      </c>
      <c r="AD342" s="227">
        <f>(INDEX(Models!$BJ342:$BT342,,AH342)*(1-AF342)+INDEX(Models!$BJ342:$BT342,,AH342+1)*AF342-ERP_i)*AE342*Ramure*Pc/MaxiM</f>
        <v>4.7271989335599778E-3</v>
      </c>
      <c r="AE342" s="301">
        <f t="shared" si="142"/>
        <v>0.5</v>
      </c>
      <c r="AF342" s="173">
        <f t="shared" si="143"/>
        <v>0.98917120761141897</v>
      </c>
      <c r="AG342" s="801">
        <f t="shared" si="149"/>
        <v>2</v>
      </c>
      <c r="AH342" s="172">
        <f t="shared" si="144"/>
        <v>8</v>
      </c>
      <c r="AI342" s="221">
        <f t="shared" si="145"/>
        <v>2.989171207611419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46716</v>
      </c>
      <c r="B343" s="406">
        <f>'2026'!Wh/'2026'!Env_an*'2027'!Env_an</f>
        <v>17.461070240331004</v>
      </c>
      <c r="C343" s="831"/>
      <c r="D343" s="388">
        <f t="shared" si="127"/>
        <v>18.017610041028931</v>
      </c>
      <c r="E343" s="380">
        <f t="shared" si="125"/>
        <v>18.806435992417473</v>
      </c>
      <c r="F343" s="380">
        <f t="shared" si="128"/>
        <v>18.806435992417473</v>
      </c>
      <c r="G343" s="110">
        <f t="shared" si="126"/>
        <v>0.17423567328838102</v>
      </c>
      <c r="H343" s="409" t="b">
        <f>Wh_hp&gt;='2026'!Maxi_hp</f>
        <v>0</v>
      </c>
      <c r="I343" s="385">
        <f>IF(H343,Wh_hp,'2026'!Maxi_hp)</f>
        <v>18.882417047930645</v>
      </c>
      <c r="J343" s="85">
        <f>IF(H343,An,'2026'!An_max)</f>
        <v>2022</v>
      </c>
      <c r="K343" s="193">
        <f t="shared" si="129"/>
        <v>46716</v>
      </c>
      <c r="L343" s="143">
        <f>IF(t&lt;Tvie,1-EXP((T0-t)*PertePVj)+'2026'!Pspv,1-EXP((T0-t)*PertePVj)+Pspv)</f>
        <v>3.0888658342066333E-2</v>
      </c>
      <c r="M343" s="835"/>
      <c r="N343" s="835"/>
      <c r="O343" s="48">
        <f>IF(t&lt;Tnet,'2026'!Resal+('2026'!Salim-'2026'!Resal)*(1-EXP(('2026'!Tnet-t)/('2026'!Tau_j))),Resal+(Salim-Resal)*(1-EXP((Tnet-t)/(Tau_j))))*Salcycl</f>
        <v>4.1944467931435164E-2</v>
      </c>
      <c r="P343" s="165">
        <f>(INDEX(Models!$BJ343:$BT343,,T343)*(1-R343)+INDEX(Models!$BJ343:$BT343,,T343+1)*R343-ERP_i)*Q343*Ramure*Pc/MaxiM</f>
        <v>4.7237100619400537E-3</v>
      </c>
      <c r="Q343" s="301">
        <f t="shared" si="130"/>
        <v>0.5</v>
      </c>
      <c r="R343" s="173">
        <f t="shared" si="131"/>
        <v>0.98919225336281613</v>
      </c>
      <c r="S343" s="801">
        <f t="shared" si="132"/>
        <v>2</v>
      </c>
      <c r="T343" s="172">
        <f t="shared" si="133"/>
        <v>8</v>
      </c>
      <c r="U343" s="247">
        <f t="shared" si="134"/>
        <v>2.9891922533628161</v>
      </c>
      <c r="V343" s="378">
        <f t="shared" si="135"/>
        <v>99.741854691150706</v>
      </c>
      <c r="W343" s="397">
        <f t="shared" si="136"/>
        <v>17.461070240331004</v>
      </c>
      <c r="X343" s="153">
        <f t="shared" si="137"/>
        <v>46716</v>
      </c>
      <c r="Y343" s="380">
        <f t="shared" si="138"/>
        <v>17.062899012772341</v>
      </c>
      <c r="Z343" s="380">
        <f t="shared" si="139"/>
        <v>17.606747831040263</v>
      </c>
      <c r="AA343" s="381">
        <f t="shared" si="140"/>
        <v>18.806435992417473</v>
      </c>
      <c r="AB343" s="193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6.3791361737062194E-2</v>
      </c>
      <c r="AD343" s="227">
        <f>(INDEX(Models!$BJ343:$BT343,,AH343)*(1-AF343)+INDEX(Models!$BJ343:$BT343,,AH343+1)*AF343-ERP_i)*AE343*Ramure*Pc/MaxiM</f>
        <v>4.7237100619400537E-3</v>
      </c>
      <c r="AE343" s="301">
        <f t="shared" si="142"/>
        <v>0.5</v>
      </c>
      <c r="AF343" s="173">
        <f t="shared" si="143"/>
        <v>0.98919225336281613</v>
      </c>
      <c r="AG343" s="801">
        <f t="shared" si="149"/>
        <v>2</v>
      </c>
      <c r="AH343" s="172">
        <f t="shared" si="144"/>
        <v>8</v>
      </c>
      <c r="AI343" s="221">
        <f t="shared" si="145"/>
        <v>2.9891922533628161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46717</v>
      </c>
      <c r="B344" s="406">
        <f>'2026'!Wh/'2026'!Env_an*'2027'!Env_an</f>
        <v>52.562984898718355</v>
      </c>
      <c r="C344" s="831"/>
      <c r="D344" s="388">
        <f t="shared" si="127"/>
        <v>54.239076762600384</v>
      </c>
      <c r="E344" s="380">
        <f t="shared" si="125"/>
        <v>56.615084711090049</v>
      </c>
      <c r="F344" s="380">
        <f t="shared" si="128"/>
        <v>56.703390289659133</v>
      </c>
      <c r="G344" s="110">
        <f t="shared" si="126"/>
        <v>0.52993822697663984</v>
      </c>
      <c r="H344" s="409" t="b">
        <f>Wh_hp&gt;='2026'!Maxi_hp</f>
        <v>0</v>
      </c>
      <c r="I344" s="385">
        <f>IF(H344,Wh_hp,'2026'!Maxi_hp)</f>
        <v>56.855945185650661</v>
      </c>
      <c r="J344" s="85">
        <f>IF(H344,An,'2026'!An_max)</f>
        <v>2022</v>
      </c>
      <c r="K344" s="193">
        <f t="shared" si="129"/>
        <v>46717</v>
      </c>
      <c r="L344" s="143">
        <f>IF(t&lt;Tvie,1-EXP((T0-t)*PertePVj)+'2026'!Pspv,1-EXP((T0-t)*PertePVj)+Pspv)</f>
        <v>3.090192466251096E-2</v>
      </c>
      <c r="M344" s="835"/>
      <c r="N344" s="835"/>
      <c r="O344" s="48">
        <f>IF(t&lt;Tnet,'2026'!Resal+('2026'!Salim-'2026'!Resal)*(1-EXP(('2026'!Tnet-t)/('2026'!Tau_j))),Resal+(Salim-Resal)*(1-EXP((Tnet-t)/(Tau_j))))*Salcycl</f>
        <v>4.1967754011401182E-2</v>
      </c>
      <c r="P344" s="165">
        <f>(INDEX(Models!$BJ344:$BT344,,T344)*(1-R344)+INDEX(Models!$BJ344:$BT344,,T344+1)*R344-ERP_i)*Q344*Ramure*Pc/MaxiM</f>
        <v>4.7066332965980916E-3</v>
      </c>
      <c r="Q344" s="301">
        <f t="shared" si="130"/>
        <v>0.5</v>
      </c>
      <c r="R344" s="173">
        <f t="shared" si="131"/>
        <v>0.98921245341621455</v>
      </c>
      <c r="S344" s="801">
        <f t="shared" si="132"/>
        <v>2</v>
      </c>
      <c r="T344" s="172">
        <f t="shared" si="133"/>
        <v>8</v>
      </c>
      <c r="U344" s="247">
        <f t="shared" si="134"/>
        <v>2.9892124534162146</v>
      </c>
      <c r="V344" s="378">
        <f t="shared" si="135"/>
        <v>98.874146010500112</v>
      </c>
      <c r="W344" s="397">
        <f t="shared" si="136"/>
        <v>52.562984898718355</v>
      </c>
      <c r="X344" s="153">
        <f t="shared" si="137"/>
        <v>46717</v>
      </c>
      <c r="Y344" s="380">
        <f t="shared" si="138"/>
        <v>51.366199760226294</v>
      </c>
      <c r="Z344" s="380">
        <f t="shared" si="139"/>
        <v>53.004129372909944</v>
      </c>
      <c r="AA344" s="381">
        <f t="shared" si="140"/>
        <v>56.615084711090049</v>
      </c>
      <c r="AB344" s="193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6.3780798997422936E-2</v>
      </c>
      <c r="AD344" s="227">
        <f>(INDEX(Models!$BJ344:$BT344,,AH344)*(1-AF344)+INDEX(Models!$BJ344:$BT344,,AH344+1)*AF344-ERP_i)*AE344*Ramure*Pc/MaxiM</f>
        <v>4.7066332965980916E-3</v>
      </c>
      <c r="AE344" s="301">
        <f t="shared" si="142"/>
        <v>0.5</v>
      </c>
      <c r="AF344" s="173">
        <f t="shared" si="143"/>
        <v>0.98921245341621455</v>
      </c>
      <c r="AG344" s="801">
        <f t="shared" si="149"/>
        <v>2</v>
      </c>
      <c r="AH344" s="172">
        <f t="shared" si="144"/>
        <v>8</v>
      </c>
      <c r="AI344" s="221">
        <f t="shared" si="145"/>
        <v>2.9892124534162146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46718</v>
      </c>
      <c r="B345" s="406">
        <f>'2026'!Wh/'2026'!Env_an*'2027'!Env_an</f>
        <v>57.253087856032366</v>
      </c>
      <c r="C345" s="831"/>
      <c r="D345" s="388">
        <f t="shared" si="127"/>
        <v>59.079543206724921</v>
      </c>
      <c r="E345" s="380">
        <f t="shared" si="125"/>
        <v>61.669135844194457</v>
      </c>
      <c r="F345" s="380">
        <f t="shared" si="128"/>
        <v>61.786343457539068</v>
      </c>
      <c r="G345" s="110">
        <f t="shared" si="126"/>
        <v>0.58233351139990674</v>
      </c>
      <c r="H345" s="409" t="b">
        <f>Wh_hp&gt;='2026'!Maxi_hp</f>
        <v>0</v>
      </c>
      <c r="I345" s="385">
        <f>IF(H345,Wh_hp,'2026'!Maxi_hp)</f>
        <v>61.932817208554482</v>
      </c>
      <c r="J345" s="85">
        <f>IF(H345,An,'2026'!An_max)</f>
        <v>2022</v>
      </c>
      <c r="K345" s="193">
        <f t="shared" si="129"/>
        <v>46718</v>
      </c>
      <c r="L345" s="143">
        <f>IF(t&lt;Tvie,1-EXP((T0-t)*PertePVj)+'2026'!Pspv,1-EXP((T0-t)*PertePVj)+Pspv)</f>
        <v>3.0915190801350856E-2</v>
      </c>
      <c r="M345" s="835"/>
      <c r="N345" s="835"/>
      <c r="O345" s="48">
        <f>IF(t&lt;Tnet,'2026'!Resal+('2026'!Salim-'2026'!Resal)*(1-EXP(('2026'!Tnet-t)/('2026'!Tau_j))),Resal+(Salim-Resal)*(1-EXP((Tnet-t)/(Tau_j))))*Salcycl</f>
        <v>4.199171274285534E-2</v>
      </c>
      <c r="P345" s="165">
        <f>(INDEX(Models!$BJ345:$BT345,,T345)*(1-R345)+INDEX(Models!$BJ345:$BT345,,T345+1)*R345-ERP_i)*Q345*Ramure*Pc/MaxiM</f>
        <v>4.676326020756085E-3</v>
      </c>
      <c r="Q345" s="301">
        <f t="shared" si="130"/>
        <v>0.5</v>
      </c>
      <c r="R345" s="173">
        <f t="shared" si="131"/>
        <v>0.98923184169067513</v>
      </c>
      <c r="S345" s="801">
        <f t="shared" si="132"/>
        <v>2</v>
      </c>
      <c r="T345" s="172">
        <f t="shared" si="133"/>
        <v>8</v>
      </c>
      <c r="U345" s="247">
        <f t="shared" si="134"/>
        <v>2.9892318416906751</v>
      </c>
      <c r="V345" s="378">
        <f t="shared" si="135"/>
        <v>98.042888323648214</v>
      </c>
      <c r="W345" s="397">
        <f t="shared" si="136"/>
        <v>57.253087856032366</v>
      </c>
      <c r="X345" s="153">
        <f t="shared" si="137"/>
        <v>46718</v>
      </c>
      <c r="Y345" s="380">
        <f t="shared" si="138"/>
        <v>55.951479625533679</v>
      </c>
      <c r="Z345" s="380">
        <f t="shared" si="139"/>
        <v>57.736411812915321</v>
      </c>
      <c r="AA345" s="381">
        <f t="shared" si="140"/>
        <v>61.669135844194457</v>
      </c>
      <c r="AB345" s="193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6.3771349759384727E-2</v>
      </c>
      <c r="AD345" s="227">
        <f>(INDEX(Models!$BJ345:$BT345,,AH345)*(1-AF345)+INDEX(Models!$BJ345:$BT345,,AH345+1)*AF345-ERP_i)*AE345*Ramure*Pc/MaxiM</f>
        <v>4.676326020756085E-3</v>
      </c>
      <c r="AE345" s="301">
        <f t="shared" si="142"/>
        <v>0.5</v>
      </c>
      <c r="AF345" s="173">
        <f t="shared" si="143"/>
        <v>0.98923184169067513</v>
      </c>
      <c r="AG345" s="801">
        <f t="shared" si="149"/>
        <v>2</v>
      </c>
      <c r="AH345" s="172">
        <f t="shared" si="144"/>
        <v>8</v>
      </c>
      <c r="AI345" s="221">
        <f t="shared" si="145"/>
        <v>2.9892318416906751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46719</v>
      </c>
      <c r="B346" s="406">
        <f>'2026'!Wh/'2026'!Env_an*'2027'!Env_an</f>
        <v>37.218970111190728</v>
      </c>
      <c r="C346" s="831"/>
      <c r="D346" s="388">
        <f t="shared" si="127"/>
        <v>38.406834222681198</v>
      </c>
      <c r="E346" s="380">
        <f t="shared" si="125"/>
        <v>40.091325350722002</v>
      </c>
      <c r="F346" s="380">
        <f t="shared" si="128"/>
        <v>40.113309562156154</v>
      </c>
      <c r="G346" s="110">
        <f t="shared" si="126"/>
        <v>0.38120362030675653</v>
      </c>
      <c r="H346" s="409" t="b">
        <f>Wh_hp&gt;='2026'!Maxi_hp</f>
        <v>0</v>
      </c>
      <c r="I346" s="385">
        <f>IF(H346,Wh_hp,'2026'!Maxi_hp)</f>
        <v>40.252888141714507</v>
      </c>
      <c r="J346" s="85">
        <f>IF(H346,An,'2026'!An_max)</f>
        <v>2022</v>
      </c>
      <c r="K346" s="193">
        <f t="shared" si="129"/>
        <v>46719</v>
      </c>
      <c r="L346" s="143">
        <f>IF(t&lt;Tvie,1-EXP((T0-t)*PertePVj)+'2026'!Pspv,1-EXP((T0-t)*PertePVj)+Pspv)</f>
        <v>3.0928456758588463E-2</v>
      </c>
      <c r="M346" s="835"/>
      <c r="N346" s="835"/>
      <c r="O346" s="48">
        <f>IF(t&lt;Tnet,'2026'!Resal+('2026'!Salim-'2026'!Resal)*(1-EXP(('2026'!Tnet-t)/('2026'!Tau_j))),Resal+(Salim-Resal)*(1-EXP((Tnet-t)/(Tau_j))))*Salcycl</f>
        <v>4.2016349255225315E-2</v>
      </c>
      <c r="P346" s="165">
        <f>(INDEX(Models!$BJ346:$BT346,,T346)*(1-R346)+INDEX(Models!$BJ346:$BT346,,T346+1)*R346-ERP_i)*Q346*Ramure*Pc/MaxiM</f>
        <v>4.6350403359356075E-3</v>
      </c>
      <c r="Q346" s="301">
        <f t="shared" si="130"/>
        <v>0.5</v>
      </c>
      <c r="R346" s="173">
        <f t="shared" si="131"/>
        <v>0.98925045074991003</v>
      </c>
      <c r="S346" s="801">
        <f t="shared" si="132"/>
        <v>2</v>
      </c>
      <c r="T346" s="172">
        <f t="shared" si="133"/>
        <v>8</v>
      </c>
      <c r="U346" s="247">
        <f t="shared" si="134"/>
        <v>2.98925045074991</v>
      </c>
      <c r="V346" s="378">
        <f t="shared" si="135"/>
        <v>97.236152170638007</v>
      </c>
      <c r="W346" s="397">
        <f t="shared" si="136"/>
        <v>37.218970111190728</v>
      </c>
      <c r="X346" s="153">
        <f t="shared" si="137"/>
        <v>46719</v>
      </c>
      <c r="Y346" s="380">
        <f t="shared" si="138"/>
        <v>36.374082353015964</v>
      </c>
      <c r="Z346" s="380">
        <f t="shared" si="139"/>
        <v>37.534981402249869</v>
      </c>
      <c r="AA346" s="381">
        <f t="shared" si="140"/>
        <v>40.091325350722002</v>
      </c>
      <c r="AB346" s="193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6.3763019209493288E-2</v>
      </c>
      <c r="AD346" s="227">
        <f>(INDEX(Models!$BJ346:$BT346,,AH346)*(1-AF346)+INDEX(Models!$BJ346:$BT346,,AH346+1)*AF346-ERP_i)*AE346*Ramure*Pc/MaxiM</f>
        <v>4.6350403359356075E-3</v>
      </c>
      <c r="AE346" s="301">
        <f t="shared" si="142"/>
        <v>0.5</v>
      </c>
      <c r="AF346" s="173">
        <f t="shared" si="143"/>
        <v>0.98925045074991003</v>
      </c>
      <c r="AG346" s="801">
        <f t="shared" si="149"/>
        <v>2</v>
      </c>
      <c r="AH346" s="172">
        <f t="shared" si="144"/>
        <v>8</v>
      </c>
      <c r="AI346" s="221">
        <f t="shared" si="145"/>
        <v>2.98925045074991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46720</v>
      </c>
      <c r="B347" s="406">
        <f>'2026'!Wh/'2026'!Env_an*'2027'!Env_an</f>
        <v>53.028809495758097</v>
      </c>
      <c r="C347" s="831"/>
      <c r="D347" s="388">
        <f t="shared" si="127"/>
        <v>54.722002514065544</v>
      </c>
      <c r="E347" s="380">
        <f t="shared" si="125"/>
        <v>57.123572680534053</v>
      </c>
      <c r="F347" s="380">
        <f t="shared" si="128"/>
        <v>57.217231357993562</v>
      </c>
      <c r="G347" s="110">
        <f t="shared" si="126"/>
        <v>0.54815059506173114</v>
      </c>
      <c r="H347" s="409" t="b">
        <f>Wh_hp&gt;='2026'!Maxi_hp</f>
        <v>0</v>
      </c>
      <c r="I347" s="385">
        <f>IF(H347,Wh_hp,'2026'!Maxi_hp)</f>
        <v>57.360785760520933</v>
      </c>
      <c r="J347" s="85">
        <f>IF(H347,An,'2026'!An_max)</f>
        <v>2022</v>
      </c>
      <c r="K347" s="193">
        <f t="shared" si="129"/>
        <v>46720</v>
      </c>
      <c r="L347" s="143">
        <f>IF(t&lt;Tvie,1-EXP((T0-t)*PertePVj)+'2026'!Pspv,1-EXP((T0-t)*PertePVj)+Pspv)</f>
        <v>3.0941722534226224E-2</v>
      </c>
      <c r="M347" s="835"/>
      <c r="N347" s="835"/>
      <c r="O347" s="48">
        <f>IF(t&lt;Tnet,'2026'!Resal+('2026'!Salim-'2026'!Resal)*(1-EXP(('2026'!Tnet-t)/('2026'!Tau_j))),Resal+(Salim-Resal)*(1-EXP((Tnet-t)/(Tau_j))))*Salcycl</f>
        <v>4.2041666054386868E-2</v>
      </c>
      <c r="P347" s="165">
        <f>(INDEX(Models!$BJ347:$BT347,,T347)*(1-R347)+INDEX(Models!$BJ347:$BT347,,T347+1)*R347-ERP_i)*Q347*Ramure*Pc/MaxiM</f>
        <v>4.5874313955780463E-3</v>
      </c>
      <c r="Q347" s="301">
        <f t="shared" si="130"/>
        <v>0.5</v>
      </c>
      <c r="R347" s="173">
        <f t="shared" si="131"/>
        <v>0.98926831185603925</v>
      </c>
      <c r="S347" s="801">
        <f t="shared" si="132"/>
        <v>2</v>
      </c>
      <c r="T347" s="172">
        <f t="shared" si="133"/>
        <v>8</v>
      </c>
      <c r="U347" s="247">
        <f t="shared" si="134"/>
        <v>2.9892683118560393</v>
      </c>
      <c r="V347" s="378">
        <f t="shared" si="135"/>
        <v>96.455408563421884</v>
      </c>
      <c r="W347" s="397">
        <f t="shared" si="136"/>
        <v>53.028809495758097</v>
      </c>
      <c r="X347" s="153">
        <f t="shared" si="137"/>
        <v>46720</v>
      </c>
      <c r="Y347" s="380">
        <f t="shared" si="138"/>
        <v>51.826799883303885</v>
      </c>
      <c r="Z347" s="380">
        <f t="shared" si="139"/>
        <v>53.481613117054621</v>
      </c>
      <c r="AA347" s="381">
        <f t="shared" si="140"/>
        <v>57.123572680534053</v>
      </c>
      <c r="AB347" s="193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6.3755808549427459E-2</v>
      </c>
      <c r="AD347" s="227">
        <f>(INDEX(Models!$BJ347:$BT347,,AH347)*(1-AF347)+INDEX(Models!$BJ347:$BT347,,AH347+1)*AF347-ERP_i)*AE347*Ramure*Pc/MaxiM</f>
        <v>4.5874313955780463E-3</v>
      </c>
      <c r="AE347" s="301">
        <f t="shared" si="142"/>
        <v>0.5</v>
      </c>
      <c r="AF347" s="173">
        <f t="shared" si="143"/>
        <v>0.98926831185603925</v>
      </c>
      <c r="AG347" s="801">
        <f t="shared" si="149"/>
        <v>2</v>
      </c>
      <c r="AH347" s="172">
        <f t="shared" si="144"/>
        <v>8</v>
      </c>
      <c r="AI347" s="221">
        <f t="shared" si="145"/>
        <v>2.9892683118560393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46721</v>
      </c>
      <c r="B348" s="406">
        <f>'2026'!Wh/'2026'!Env_an*'2027'!Env_an</f>
        <v>21.035469579535047</v>
      </c>
      <c r="C348" s="831"/>
      <c r="D348" s="388">
        <f t="shared" si="127"/>
        <v>21.70742258804319</v>
      </c>
      <c r="E348" s="380">
        <f t="shared" si="125"/>
        <v>22.660705512413767</v>
      </c>
      <c r="F348" s="380">
        <f t="shared" si="128"/>
        <v>22.660705512413767</v>
      </c>
      <c r="G348" s="110">
        <f t="shared" si="126"/>
        <v>0.21880395124114851</v>
      </c>
      <c r="H348" s="409" t="b">
        <f>Wh_hp&gt;='2026'!Maxi_hp</f>
        <v>0</v>
      </c>
      <c r="I348" s="385">
        <f>IF(H348,Wh_hp,'2026'!Maxi_hp)</f>
        <v>22.747934672139031</v>
      </c>
      <c r="J348" s="85">
        <f>IF(H348,An,'2026'!An_max)</f>
        <v>2022</v>
      </c>
      <c r="K348" s="193">
        <f t="shared" si="129"/>
        <v>46721</v>
      </c>
      <c r="L348" s="143">
        <f>IF(t&lt;Tvie,1-EXP((T0-t)*PertePVj)+'2026'!Pspv,1-EXP((T0-t)*PertePVj)+Pspv)</f>
        <v>3.0954988128266581E-2</v>
      </c>
      <c r="M348" s="835"/>
      <c r="N348" s="835"/>
      <c r="O348" s="48">
        <f>IF(t&lt;Tnet,'2026'!Resal+('2026'!Salim-'2026'!Resal)*(1-EXP(('2026'!Tnet-t)/('2026'!Tau_j))),Resal+(Salim-Resal)*(1-EXP((Tnet-t)/(Tau_j))))*Salcycl</f>
        <v>4.2067663067610915E-2</v>
      </c>
      <c r="P348" s="165">
        <f>(INDEX(Models!$BJ348:$BT348,,T348)*(1-R348)+INDEX(Models!$BJ348:$BT348,,T348+1)*R348-ERP_i)*Q348*Ramure*Pc/MaxiM</f>
        <v>4.5333448199125588E-3</v>
      </c>
      <c r="Q348" s="301">
        <f t="shared" si="130"/>
        <v>0.5</v>
      </c>
      <c r="R348" s="173">
        <f t="shared" si="131"/>
        <v>0.98928545502124798</v>
      </c>
      <c r="S348" s="801">
        <f t="shared" si="132"/>
        <v>2</v>
      </c>
      <c r="T348" s="172">
        <f t="shared" si="133"/>
        <v>8</v>
      </c>
      <c r="U348" s="247">
        <f t="shared" si="134"/>
        <v>2.989285455021248</v>
      </c>
      <c r="V348" s="378">
        <f t="shared" si="135"/>
        <v>95.702606939687726</v>
      </c>
      <c r="W348" s="397">
        <f t="shared" si="136"/>
        <v>21.035469579535047</v>
      </c>
      <c r="X348" s="153">
        <f t="shared" si="137"/>
        <v>46721</v>
      </c>
      <c r="Y348" s="380">
        <f t="shared" si="138"/>
        <v>20.559348116766028</v>
      </c>
      <c r="Z348" s="380">
        <f t="shared" si="139"/>
        <v>21.216091992522781</v>
      </c>
      <c r="AA348" s="381">
        <f t="shared" si="140"/>
        <v>22.660705512413767</v>
      </c>
      <c r="AB348" s="193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6.374971507835947E-2</v>
      </c>
      <c r="AD348" s="227">
        <f>(INDEX(Models!$BJ348:$BT348,,AH348)*(1-AF348)+INDEX(Models!$BJ348:$BT348,,AH348+1)*AF348-ERP_i)*AE348*Ramure*Pc/MaxiM</f>
        <v>4.5333448199125588E-3</v>
      </c>
      <c r="AE348" s="301">
        <f t="shared" si="142"/>
        <v>0.5</v>
      </c>
      <c r="AF348" s="173">
        <f t="shared" si="143"/>
        <v>0.98928545502124798</v>
      </c>
      <c r="AG348" s="801">
        <f t="shared" si="149"/>
        <v>2</v>
      </c>
      <c r="AH348" s="172">
        <f t="shared" si="144"/>
        <v>8</v>
      </c>
      <c r="AI348" s="221">
        <f t="shared" si="145"/>
        <v>2.989285455021248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46722</v>
      </c>
      <c r="B349" s="406">
        <f>'2026'!Wh/'2026'!Env_an*'2027'!Env_an</f>
        <v>15.800143402969301</v>
      </c>
      <c r="C349" s="831"/>
      <c r="D349" s="388">
        <f t="shared" si="127"/>
        <v>16.30508335841515</v>
      </c>
      <c r="E349" s="380">
        <f t="shared" si="125"/>
        <v>17.021596176111352</v>
      </c>
      <c r="F349" s="380">
        <f t="shared" si="128"/>
        <v>17.021596176111352</v>
      </c>
      <c r="G349" s="110">
        <f t="shared" si="126"/>
        <v>0.16560881608732916</v>
      </c>
      <c r="H349" s="409" t="b">
        <f>Wh_hp&gt;='2026'!Maxi_hp</f>
        <v>0</v>
      </c>
      <c r="I349" s="385">
        <f>IF(H349,Wh_hp,'2026'!Maxi_hp)</f>
        <v>17.086180397127045</v>
      </c>
      <c r="J349" s="85">
        <f>IF(H349,An,'2026'!An_max)</f>
        <v>2022</v>
      </c>
      <c r="K349" s="193">
        <f t="shared" si="129"/>
        <v>46722</v>
      </c>
      <c r="L349" s="143">
        <f>IF(t&lt;Tvie,1-EXP((T0-t)*PertePVj)+'2026'!Pspv,1-EXP((T0-t)*PertePVj)+Pspv)</f>
        <v>3.0968253540712198E-2</v>
      </c>
      <c r="M349" s="835"/>
      <c r="N349" s="835"/>
      <c r="O349" s="48">
        <f>IF(t&lt;Tnet,'2026'!Resal+('2026'!Salim-'2026'!Resal)*(1-EXP(('2026'!Tnet-t)/('2026'!Tau_j))),Resal+(Salim-Resal)*(1-EXP((Tnet-t)/(Tau_j))))*Salcycl</f>
        <v>4.2094337703873899E-2</v>
      </c>
      <c r="P349" s="165">
        <f>(INDEX(Models!$BJ349:$BT349,,T349)*(1-R349)+INDEX(Models!$BJ349:$BT349,,T349+1)*R349-ERP_i)*Q349*Ramure*Pc/MaxiM</f>
        <v>4.4726251166333298E-3</v>
      </c>
      <c r="Q349" s="301">
        <f t="shared" si="130"/>
        <v>0.5</v>
      </c>
      <c r="R349" s="173">
        <f t="shared" si="131"/>
        <v>0.98930190905742377</v>
      </c>
      <c r="S349" s="801">
        <f t="shared" si="132"/>
        <v>2</v>
      </c>
      <c r="T349" s="172">
        <f t="shared" si="133"/>
        <v>8</v>
      </c>
      <c r="U349" s="247">
        <f t="shared" si="134"/>
        <v>2.9893019090574238</v>
      </c>
      <c r="V349" s="378">
        <f t="shared" si="135"/>
        <v>94.979697677714682</v>
      </c>
      <c r="W349" s="397">
        <f t="shared" si="136"/>
        <v>15.800143402969301</v>
      </c>
      <c r="X349" s="153">
        <f t="shared" si="137"/>
        <v>46722</v>
      </c>
      <c r="Y349" s="380">
        <f t="shared" si="138"/>
        <v>15.443031682280044</v>
      </c>
      <c r="Z349" s="380">
        <f t="shared" si="139"/>
        <v>15.936559084577789</v>
      </c>
      <c r="AA349" s="381">
        <f t="shared" si="140"/>
        <v>17.021596176111352</v>
      </c>
      <c r="AB349" s="193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6.3744732298157705E-2</v>
      </c>
      <c r="AD349" s="227">
        <f>(INDEX(Models!$BJ349:$BT349,,AH349)*(1-AF349)+INDEX(Models!$BJ349:$BT349,,AH349+1)*AF349-ERP_i)*AE349*Ramure*Pc/MaxiM</f>
        <v>4.4726251166333298E-3</v>
      </c>
      <c r="AE349" s="301">
        <f t="shared" si="142"/>
        <v>0.5</v>
      </c>
      <c r="AF349" s="173">
        <f t="shared" si="143"/>
        <v>0.98930190905742377</v>
      </c>
      <c r="AG349" s="801">
        <f t="shared" si="149"/>
        <v>2</v>
      </c>
      <c r="AH349" s="172">
        <f t="shared" si="144"/>
        <v>8</v>
      </c>
      <c r="AI349" s="221">
        <f t="shared" si="145"/>
        <v>2.9893019090574238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46723</v>
      </c>
      <c r="B350" s="406">
        <f>'2026'!Wh/'2026'!Env_an*'2027'!Env_an</f>
        <v>25.479492285404966</v>
      </c>
      <c r="C350" s="831"/>
      <c r="D350" s="388">
        <f t="shared" si="127"/>
        <v>26.294124187501929</v>
      </c>
      <c r="E350" s="380">
        <f t="shared" si="125"/>
        <v>27.450380464611904</v>
      </c>
      <c r="F350" s="380">
        <f t="shared" si="128"/>
        <v>27.450380464611904</v>
      </c>
      <c r="G350" s="110">
        <f t="shared" si="126"/>
        <v>0.26903828789254763</v>
      </c>
      <c r="H350" s="409" t="b">
        <f>Wh_hp&gt;='2026'!Maxi_hp</f>
        <v>0</v>
      </c>
      <c r="I350" s="385">
        <f>IF(H350,Wh_hp,'2026'!Maxi_hp)</f>
        <v>27.5528918378476</v>
      </c>
      <c r="J350" s="85">
        <f>IF(H350,An,'2026'!An_max)</f>
        <v>2022</v>
      </c>
      <c r="K350" s="193">
        <f t="shared" si="129"/>
        <v>46723</v>
      </c>
      <c r="L350" s="143">
        <f>IF(t&lt;Tvie,1-EXP((T0-t)*PertePVj)+'2026'!Pspv,1-EXP((T0-t)*PertePVj)+Pspv)</f>
        <v>3.0981518771565408E-2</v>
      </c>
      <c r="M350" s="835"/>
      <c r="N350" s="835"/>
      <c r="O350" s="48">
        <f>IF(t&lt;Tnet,'2026'!Resal+('2026'!Salim-'2026'!Resal)*(1-EXP(('2026'!Tnet-t)/('2026'!Tau_j))),Resal+(Salim-Resal)*(1-EXP((Tnet-t)/(Tau_j))))*Salcycl</f>
        <v>4.2121684928942256E-2</v>
      </c>
      <c r="P350" s="165">
        <f>(INDEX(Models!$BJ350:$BT350,,T350)*(1-R350)+INDEX(Models!$BJ350:$BT350,,T350+1)*R350-ERP_i)*Q350*Ramure*Pc/MaxiM</f>
        <v>4.4051178382949327E-3</v>
      </c>
      <c r="Q350" s="301">
        <f t="shared" si="130"/>
        <v>0.5</v>
      </c>
      <c r="R350" s="173">
        <f t="shared" si="131"/>
        <v>0.98931770162384547</v>
      </c>
      <c r="S350" s="801">
        <f t="shared" si="132"/>
        <v>2</v>
      </c>
      <c r="T350" s="172">
        <f t="shared" si="133"/>
        <v>8</v>
      </c>
      <c r="U350" s="247">
        <f t="shared" si="134"/>
        <v>2.9893177016238455</v>
      </c>
      <c r="V350" s="378">
        <f t="shared" si="135"/>
        <v>94.288631994117381</v>
      </c>
      <c r="W350" s="397">
        <f t="shared" si="136"/>
        <v>25.479492285404966</v>
      </c>
      <c r="X350" s="153">
        <f t="shared" si="137"/>
        <v>46723</v>
      </c>
      <c r="Y350" s="380">
        <f t="shared" si="138"/>
        <v>24.904424093539539</v>
      </c>
      <c r="Z350" s="380">
        <f t="shared" si="139"/>
        <v>25.700669879864364</v>
      </c>
      <c r="AA350" s="381">
        <f t="shared" si="140"/>
        <v>27.450380464611904</v>
      </c>
      <c r="AB350" s="193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6.3740850040428579E-2</v>
      </c>
      <c r="AD350" s="227">
        <f>(INDEX(Models!$BJ350:$BT350,,AH350)*(1-AF350)+INDEX(Models!$BJ350:$BT350,,AH350+1)*AF350-ERP_i)*AE350*Ramure*Pc/MaxiM</f>
        <v>4.4051178382949327E-3</v>
      </c>
      <c r="AE350" s="301">
        <f t="shared" si="142"/>
        <v>0.5</v>
      </c>
      <c r="AF350" s="173">
        <f t="shared" si="143"/>
        <v>0.98931770162384547</v>
      </c>
      <c r="AG350" s="801">
        <f t="shared" si="149"/>
        <v>2</v>
      </c>
      <c r="AH350" s="172">
        <f t="shared" si="144"/>
        <v>8</v>
      </c>
      <c r="AI350" s="221">
        <f t="shared" si="145"/>
        <v>2.9893177016238455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46724</v>
      </c>
      <c r="B351" s="406">
        <f>'2026'!Wh/'2026'!Env_an*'2027'!Env_an</f>
        <v>34.938139072913117</v>
      </c>
      <c r="C351" s="831"/>
      <c r="D351" s="388">
        <f t="shared" si="127"/>
        <v>36.055676986627262</v>
      </c>
      <c r="E351" s="380">
        <f t="shared" si="125"/>
        <v>37.642288035035968</v>
      </c>
      <c r="F351" s="380">
        <f t="shared" si="128"/>
        <v>37.659329957141757</v>
      </c>
      <c r="G351" s="110">
        <f t="shared" si="126"/>
        <v>0.37169792178808347</v>
      </c>
      <c r="H351" s="409" t="b">
        <f>Wh_hp&gt;='2026'!Maxi_hp</f>
        <v>0</v>
      </c>
      <c r="I351" s="385">
        <f>IF(H351,Wh_hp,'2026'!Maxi_hp)</f>
        <v>37.783098286209089</v>
      </c>
      <c r="J351" s="85">
        <f>IF(H351,An,'2026'!An_max)</f>
        <v>2022</v>
      </c>
      <c r="K351" s="193">
        <f t="shared" si="129"/>
        <v>46724</v>
      </c>
      <c r="L351" s="143">
        <f>IF(t&lt;Tvie,1-EXP((T0-t)*PertePVj)+'2026'!Pspv,1-EXP((T0-t)*PertePVj)+Pspv)</f>
        <v>3.0994783820828764E-2</v>
      </c>
      <c r="M351" s="835"/>
      <c r="N351" s="835"/>
      <c r="O351" s="48">
        <f>IF(t&lt;Tnet,'2026'!Resal+('2026'!Salim-'2026'!Resal)*(1-EXP(('2026'!Tnet-t)/('2026'!Tau_j))),Resal+(Salim-Resal)*(1-EXP((Tnet-t)/(Tau_j))))*Salcycl</f>
        <v>4.2149697354527248E-2</v>
      </c>
      <c r="P351" s="165">
        <f>(INDEX(Models!$BJ351:$BT351,,T351)*(1-R351)+INDEX(Models!$BJ351:$BT351,,T351+1)*R351-ERP_i)*Q351*Ramure*Pc/MaxiM</f>
        <v>4.3306719746763235E-3</v>
      </c>
      <c r="Q351" s="301">
        <f t="shared" si="130"/>
        <v>0.5</v>
      </c>
      <c r="R351" s="173">
        <f t="shared" si="131"/>
        <v>0.9893328592730084</v>
      </c>
      <c r="S351" s="801">
        <f t="shared" si="132"/>
        <v>2</v>
      </c>
      <c r="T351" s="172">
        <f t="shared" si="133"/>
        <v>8</v>
      </c>
      <c r="U351" s="247">
        <f t="shared" si="134"/>
        <v>2.9893328592730084</v>
      </c>
      <c r="V351" s="378">
        <f t="shared" si="135"/>
        <v>93.63136185461039</v>
      </c>
      <c r="W351" s="397">
        <f t="shared" si="136"/>
        <v>34.938139072913117</v>
      </c>
      <c r="X351" s="153">
        <f t="shared" si="137"/>
        <v>46724</v>
      </c>
      <c r="Y351" s="380">
        <f t="shared" si="138"/>
        <v>34.150691361916941</v>
      </c>
      <c r="Z351" s="380">
        <f t="shared" si="139"/>
        <v>35.24304182445433</v>
      </c>
      <c r="AA351" s="381">
        <f t="shared" si="140"/>
        <v>37.642288035035968</v>
      </c>
      <c r="AB351" s="193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6.3738054614228296E-2</v>
      </c>
      <c r="AD351" s="227">
        <f>(INDEX(Models!$BJ351:$BT351,,AH351)*(1-AF351)+INDEX(Models!$BJ351:$BT351,,AH351+1)*AF351-ERP_i)*AE351*Ramure*Pc/MaxiM</f>
        <v>4.3306719746763235E-3</v>
      </c>
      <c r="AE351" s="301">
        <f t="shared" si="142"/>
        <v>0.5</v>
      </c>
      <c r="AF351" s="173">
        <f t="shared" si="143"/>
        <v>0.9893328592730084</v>
      </c>
      <c r="AG351" s="801">
        <f t="shared" si="149"/>
        <v>2</v>
      </c>
      <c r="AH351" s="172">
        <f t="shared" si="144"/>
        <v>8</v>
      </c>
      <c r="AI351" s="221">
        <f t="shared" si="145"/>
        <v>2.9893328592730084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46725</v>
      </c>
      <c r="B352" s="406">
        <f>'2026'!Wh/'2026'!Env_an*'2027'!Env_an</f>
        <v>74.966189312617459</v>
      </c>
      <c r="C352" s="831"/>
      <c r="D352" s="388">
        <f t="shared" si="127"/>
        <v>77.365131063424684</v>
      </c>
      <c r="E352" s="380">
        <f t="shared" si="125"/>
        <v>80.771960314869702</v>
      </c>
      <c r="F352" s="380">
        <f t="shared" si="128"/>
        <v>81.021058918802453</v>
      </c>
      <c r="G352" s="110">
        <f t="shared" si="126"/>
        <v>0.80505308577540236</v>
      </c>
      <c r="H352" s="409" t="b">
        <f>Wh_hp&gt;='2026'!Maxi_hp</f>
        <v>0</v>
      </c>
      <c r="I352" s="385">
        <f>IF(H352,Wh_hp,'2026'!Maxi_hp)</f>
        <v>81.102007560946589</v>
      </c>
      <c r="J352" s="85">
        <f>IF(H352,An,'2026'!An_max)</f>
        <v>2022</v>
      </c>
      <c r="K352" s="193">
        <f t="shared" si="129"/>
        <v>46725</v>
      </c>
      <c r="L352" s="143">
        <f>IF(t&lt;Tvie,1-EXP((T0-t)*PertePVj)+'2026'!Pspv,1-EXP((T0-t)*PertePVj)+Pspv)</f>
        <v>3.1008048688504819E-2</v>
      </c>
      <c r="M352" s="835"/>
      <c r="N352" s="835"/>
      <c r="O352" s="48">
        <f>IF(t&lt;Tnet,'2026'!Resal+('2026'!Salim-'2026'!Resal)*(1-EXP(('2026'!Tnet-t)/('2026'!Tau_j))),Resal+(Salim-Resal)*(1-EXP((Tnet-t)/(Tau_j))))*Salcycl</f>
        <v>4.217836534069893E-2</v>
      </c>
      <c r="P352" s="165">
        <f>(INDEX(Models!$BJ352:$BT352,,T352)*(1-R352)+INDEX(Models!$BJ352:$BT352,,T352+1)*R352-ERP_i)*Q352*Ramure*Pc/MaxiM</f>
        <v>4.2531989701448236E-3</v>
      </c>
      <c r="Q352" s="301">
        <f t="shared" si="130"/>
        <v>0.5</v>
      </c>
      <c r="R352" s="173">
        <f t="shared" si="131"/>
        <v>0.98934740749464334</v>
      </c>
      <c r="S352" s="801">
        <f t="shared" si="132"/>
        <v>2</v>
      </c>
      <c r="T352" s="172">
        <f t="shared" si="133"/>
        <v>8</v>
      </c>
      <c r="U352" s="247">
        <f t="shared" si="134"/>
        <v>2.9893474074946433</v>
      </c>
      <c r="V352" s="378">
        <f t="shared" si="135"/>
        <v>93.009461067932293</v>
      </c>
      <c r="W352" s="397">
        <f t="shared" si="136"/>
        <v>74.966189312617459</v>
      </c>
      <c r="X352" s="153">
        <f t="shared" si="137"/>
        <v>46725</v>
      </c>
      <c r="Y352" s="380">
        <f t="shared" si="138"/>
        <v>73.278903993114895</v>
      </c>
      <c r="Z352" s="380">
        <f t="shared" si="139"/>
        <v>75.623852080437388</v>
      </c>
      <c r="AA352" s="381">
        <f t="shared" si="140"/>
        <v>80.771960314869702</v>
      </c>
      <c r="AB352" s="193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6.3736328973119871E-2</v>
      </c>
      <c r="AD352" s="227">
        <f>(INDEX(Models!$BJ352:$BT352,,AH352)*(1-AF352)+INDEX(Models!$BJ352:$BT352,,AH352+1)*AF352-ERP_i)*AE352*Ramure*Pc/MaxiM</f>
        <v>4.2531989701448236E-3</v>
      </c>
      <c r="AE352" s="301">
        <f t="shared" si="142"/>
        <v>0.5</v>
      </c>
      <c r="AF352" s="173">
        <f t="shared" si="143"/>
        <v>0.98934740749464334</v>
      </c>
      <c r="AG352" s="801">
        <f t="shared" si="149"/>
        <v>2</v>
      </c>
      <c r="AH352" s="172">
        <f t="shared" si="144"/>
        <v>8</v>
      </c>
      <c r="AI352" s="221">
        <f t="shared" si="145"/>
        <v>2.9893474074946433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46726</v>
      </c>
      <c r="B353" s="406">
        <f>'2026'!Wh/'2026'!Env_an*'2027'!Env_an</f>
        <v>94.085144707481803</v>
      </c>
      <c r="C353" s="831"/>
      <c r="D353" s="388">
        <f t="shared" si="127"/>
        <v>97.097228252920317</v>
      </c>
      <c r="E353" s="380">
        <f t="shared" si="125"/>
        <v>101.37607697669696</v>
      </c>
      <c r="F353" s="380">
        <f t="shared" si="128"/>
        <v>101.80165922756322</v>
      </c>
      <c r="G353" s="110">
        <f t="shared" si="126"/>
        <v>1.0179714021442381</v>
      </c>
      <c r="H353" s="409" t="b">
        <f>Wh_hp&gt;='2026'!Maxi_hp</f>
        <v>1</v>
      </c>
      <c r="I353" s="385">
        <f>IF(H353,Wh_hp,'2026'!Maxi_hp)</f>
        <v>101.80165922756322</v>
      </c>
      <c r="J353" s="85">
        <f>IF(H353,An,'2026'!An_max)</f>
        <v>2027</v>
      </c>
      <c r="K353" s="193">
        <f t="shared" si="129"/>
        <v>46726</v>
      </c>
      <c r="L353" s="143">
        <f>IF(t&lt;Tvie,1-EXP((T0-t)*PertePVj)+'2026'!Pspv,1-EXP((T0-t)*PertePVj)+Pspv)</f>
        <v>3.1021313374595905E-2</v>
      </c>
      <c r="M353" s="835"/>
      <c r="N353" s="835"/>
      <c r="O353" s="48">
        <f>IF(t&lt;Tnet,'2026'!Resal+('2026'!Salim-'2026'!Resal)*(1-EXP(('2026'!Tnet-t)/('2026'!Tau_j))),Resal+(Salim-Resal)*(1-EXP((Tnet-t)/(Tau_j))))*Salcycl</f>
        <v>4.2207677110648205E-2</v>
      </c>
      <c r="P353" s="165">
        <f>(INDEX(Models!$BJ353:$BT353,,T353)*(1-R353)+INDEX(Models!$BJ353:$BT353,,T353+1)*R353-ERP_i)*Q353*Ramure*Pc/MaxiM</f>
        <v>4.1805040713031594E-3</v>
      </c>
      <c r="Q353" s="301">
        <f t="shared" si="130"/>
        <v>0.5</v>
      </c>
      <c r="R353" s="173">
        <f t="shared" si="131"/>
        <v>0.989361370758012</v>
      </c>
      <c r="S353" s="801">
        <f t="shared" si="132"/>
        <v>2</v>
      </c>
      <c r="T353" s="172">
        <f t="shared" si="133"/>
        <v>8</v>
      </c>
      <c r="U353" s="247">
        <f t="shared" si="134"/>
        <v>2.989361370758012</v>
      </c>
      <c r="V353" s="378">
        <f t="shared" si="135"/>
        <v>92.424153084558583</v>
      </c>
      <c r="W353" s="397">
        <f t="shared" si="136"/>
        <v>94.085144707481803</v>
      </c>
      <c r="X353" s="153">
        <f t="shared" si="137"/>
        <v>46726</v>
      </c>
      <c r="Y353" s="380">
        <f t="shared" si="138"/>
        <v>91.970424565123253</v>
      </c>
      <c r="Z353" s="380">
        <f t="shared" si="139"/>
        <v>94.914806522135564</v>
      </c>
      <c r="AA353" s="381">
        <f t="shared" si="140"/>
        <v>101.37607697669696</v>
      </c>
      <c r="AB353" s="193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6.3735652900108089E-2</v>
      </c>
      <c r="AD353" s="227">
        <f>(INDEX(Models!$BJ353:$BT353,,AH353)*(1-AF353)+INDEX(Models!$BJ353:$BT353,,AH353+1)*AF353-ERP_i)*AE353*Ramure*Pc/MaxiM</f>
        <v>4.1805040713031594E-3</v>
      </c>
      <c r="AE353" s="301">
        <f t="shared" si="142"/>
        <v>0.5</v>
      </c>
      <c r="AF353" s="173">
        <f t="shared" si="143"/>
        <v>0.989361370758012</v>
      </c>
      <c r="AG353" s="801">
        <f t="shared" si="149"/>
        <v>2</v>
      </c>
      <c r="AH353" s="172">
        <f t="shared" si="144"/>
        <v>8</v>
      </c>
      <c r="AI353" s="221">
        <f t="shared" si="145"/>
        <v>2.989361370758012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46727</v>
      </c>
      <c r="B354" s="406">
        <f>'2026'!Wh/'2026'!Env_an*'2027'!Env_an</f>
        <v>48.896633161027495</v>
      </c>
      <c r="C354" s="831"/>
      <c r="D354" s="388">
        <f t="shared" si="127"/>
        <v>50.462722450922278</v>
      </c>
      <c r="E354" s="380">
        <f t="shared" si="125"/>
        <v>52.688144205186504</v>
      </c>
      <c r="F354" s="380">
        <f t="shared" si="128"/>
        <v>52.760117321599346</v>
      </c>
      <c r="G354" s="110">
        <f t="shared" si="126"/>
        <v>0.53072965430928276</v>
      </c>
      <c r="H354" s="409" t="b">
        <f>Wh_hp&gt;='2026'!Maxi_hp</f>
        <v>0</v>
      </c>
      <c r="I354" s="385">
        <f>IF(H354,Wh_hp,'2026'!Maxi_hp)</f>
        <v>52.883007862036244</v>
      </c>
      <c r="J354" s="85">
        <f>IF(H354,An,'2026'!An_max)</f>
        <v>2022</v>
      </c>
      <c r="K354" s="193">
        <f t="shared" si="129"/>
        <v>46727</v>
      </c>
      <c r="L354" s="143">
        <f>IF(t&lt;Tvie,1-EXP((T0-t)*PertePVj)+'2026'!Pspv,1-EXP((T0-t)*PertePVj)+Pspv)</f>
        <v>3.1034577879104575E-2</v>
      </c>
      <c r="M354" s="835"/>
      <c r="N354" s="835"/>
      <c r="O354" s="48">
        <f>IF(t&lt;Tnet,'2026'!Resal+('2026'!Salim-'2026'!Resal)*(1-EXP(('2026'!Tnet-t)/('2026'!Tau_j))),Resal+(Salim-Resal)*(1-EXP((Tnet-t)/(Tau_j))))*Salcycl</f>
        <v>4.2237618876793906E-2</v>
      </c>
      <c r="P354" s="165">
        <f>(INDEX(Models!$BJ354:$BT354,,T354)*(1-R354)+INDEX(Models!$BJ354:$BT354,,T354+1)*R354-ERP_i)*Q354*Ramure*Pc/MaxiM</f>
        <v>4.1125480446662695E-3</v>
      </c>
      <c r="Q354" s="301">
        <f t="shared" si="130"/>
        <v>0.5</v>
      </c>
      <c r="R354" s="173">
        <f t="shared" si="131"/>
        <v>0.98937477255253503</v>
      </c>
      <c r="S354" s="801">
        <f t="shared" si="132"/>
        <v>2</v>
      </c>
      <c r="T354" s="172">
        <f t="shared" si="133"/>
        <v>8</v>
      </c>
      <c r="U354" s="247">
        <f t="shared" si="134"/>
        <v>2.989374772552535</v>
      </c>
      <c r="V354" s="378">
        <f t="shared" si="135"/>
        <v>91.877403403986605</v>
      </c>
      <c r="W354" s="397">
        <f t="shared" si="136"/>
        <v>48.896633161027495</v>
      </c>
      <c r="X354" s="153">
        <f t="shared" si="137"/>
        <v>46727</v>
      </c>
      <c r="Y354" s="380">
        <f t="shared" si="138"/>
        <v>47.799076363059719</v>
      </c>
      <c r="Z354" s="380">
        <f t="shared" si="139"/>
        <v>49.330012477056115</v>
      </c>
      <c r="AA354" s="381">
        <f t="shared" si="140"/>
        <v>52.688144205186504</v>
      </c>
      <c r="AB354" s="193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6.3736003208855099E-2</v>
      </c>
      <c r="AD354" s="227">
        <f>(INDEX(Models!$BJ354:$BT354,,AH354)*(1-AF354)+INDEX(Models!$BJ354:$BT354,,AH354+1)*AF354-ERP_i)*AE354*Ramure*Pc/MaxiM</f>
        <v>4.1125480446662695E-3</v>
      </c>
      <c r="AE354" s="301">
        <f t="shared" si="142"/>
        <v>0.5</v>
      </c>
      <c r="AF354" s="173">
        <f t="shared" si="143"/>
        <v>0.98937477255253503</v>
      </c>
      <c r="AG354" s="801">
        <f t="shared" si="149"/>
        <v>2</v>
      </c>
      <c r="AH354" s="172">
        <f t="shared" si="144"/>
        <v>8</v>
      </c>
      <c r="AI354" s="221">
        <f t="shared" si="145"/>
        <v>2.989374772552535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46728</v>
      </c>
      <c r="B355" s="406">
        <f>'2026'!Wh/'2026'!Env_an*'2027'!Env_an</f>
        <v>75.639327608462395</v>
      </c>
      <c r="C355" s="831"/>
      <c r="D355" s="388">
        <f t="shared" si="127"/>
        <v>78.06301580499057</v>
      </c>
      <c r="E355" s="380">
        <f t="shared" si="125"/>
        <v>81.508219488402261</v>
      </c>
      <c r="F355" s="380">
        <f t="shared" si="128"/>
        <v>81.75785144390413</v>
      </c>
      <c r="G355" s="110">
        <f t="shared" si="126"/>
        <v>0.82699779398634599</v>
      </c>
      <c r="H355" s="409" t="b">
        <f>Wh_hp&gt;='2026'!Maxi_hp</f>
        <v>0</v>
      </c>
      <c r="I355" s="385">
        <f>IF(H355,Wh_hp,'2026'!Maxi_hp)</f>
        <v>81.826902027230147</v>
      </c>
      <c r="J355" s="85">
        <f>IF(H355,An,'2026'!An_max)</f>
        <v>2022</v>
      </c>
      <c r="K355" s="193">
        <f t="shared" si="129"/>
        <v>46728</v>
      </c>
      <c r="L355" s="143">
        <f>IF(t&lt;Tvie,1-EXP((T0-t)*PertePVj)+'2026'!Pspv,1-EXP((T0-t)*PertePVj)+Pspv)</f>
        <v>3.1047842202033271E-2</v>
      </c>
      <c r="M355" s="835"/>
      <c r="N355" s="835"/>
      <c r="O355" s="48">
        <f>IF(t&lt;Tnet,'2026'!Resal+('2026'!Salim-'2026'!Resal)*(1-EXP(('2026'!Tnet-t)/('2026'!Tau_j))),Resal+(Salim-Resal)*(1-EXP((Tnet-t)/(Tau_j))))*Salcycl</f>
        <v>4.2268174977149478E-2</v>
      </c>
      <c r="P355" s="165">
        <f>(INDEX(Models!$BJ355:$BT355,,T355)*(1-R355)+INDEX(Models!$BJ355:$BT355,,T355+1)*R355-ERP_i)*Q355*Ramure*Pc/MaxiM</f>
        <v>4.0492905742237333E-3</v>
      </c>
      <c r="Q355" s="301">
        <f t="shared" si="130"/>
        <v>0.5</v>
      </c>
      <c r="R355" s="173">
        <f t="shared" si="131"/>
        <v>0.98938763542682029</v>
      </c>
      <c r="S355" s="801">
        <f t="shared" si="132"/>
        <v>2</v>
      </c>
      <c r="T355" s="172">
        <f t="shared" si="133"/>
        <v>8</v>
      </c>
      <c r="U355" s="247">
        <f t="shared" si="134"/>
        <v>2.9893876354268203</v>
      </c>
      <c r="V355" s="378">
        <f t="shared" si="135"/>
        <v>91.371176596368755</v>
      </c>
      <c r="W355" s="397">
        <f t="shared" si="136"/>
        <v>75.639327608462395</v>
      </c>
      <c r="X355" s="153">
        <f t="shared" si="137"/>
        <v>46728</v>
      </c>
      <c r="Y355" s="380">
        <f t="shared" si="138"/>
        <v>73.943744126636105</v>
      </c>
      <c r="Z355" s="380">
        <f t="shared" si="139"/>
        <v>76.31310125226419</v>
      </c>
      <c r="AA355" s="381">
        <f t="shared" si="140"/>
        <v>81.508219488402261</v>
      </c>
      <c r="AB355" s="193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6.3737353959465184E-2</v>
      </c>
      <c r="AD355" s="227">
        <f>(INDEX(Models!$BJ355:$BT355,,AH355)*(1-AF355)+INDEX(Models!$BJ355:$BT355,,AH355+1)*AF355-ERP_i)*AE355*Ramure*Pc/MaxiM</f>
        <v>4.0492905742237333E-3</v>
      </c>
      <c r="AE355" s="301">
        <f t="shared" si="142"/>
        <v>0.5</v>
      </c>
      <c r="AF355" s="173">
        <f t="shared" si="143"/>
        <v>0.98938763542682029</v>
      </c>
      <c r="AG355" s="801">
        <f t="shared" si="149"/>
        <v>2</v>
      </c>
      <c r="AH355" s="172">
        <f t="shared" si="144"/>
        <v>8</v>
      </c>
      <c r="AI355" s="221">
        <f t="shared" si="145"/>
        <v>2.9893876354268203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46729</v>
      </c>
      <c r="B356" s="406">
        <f>'2026'!Wh/'2026'!Env_an*'2027'!Env_an</f>
        <v>14.313907470862455</v>
      </c>
      <c r="C356" s="831"/>
      <c r="D356" s="388">
        <f t="shared" si="127"/>
        <v>14.772765924220598</v>
      </c>
      <c r="E356" s="380">
        <f t="shared" si="125"/>
        <v>15.425243352592437</v>
      </c>
      <c r="F356" s="380">
        <f t="shared" si="128"/>
        <v>15.425243352592437</v>
      </c>
      <c r="G356" s="110">
        <f t="shared" si="126"/>
        <v>0.15682749063306103</v>
      </c>
      <c r="H356" s="409" t="b">
        <f>Wh_hp&gt;='2026'!Maxi_hp</f>
        <v>0</v>
      </c>
      <c r="I356" s="385">
        <f>IF(H356,Wh_hp,'2026'!Maxi_hp)</f>
        <v>15.477444404663771</v>
      </c>
      <c r="J356" s="85">
        <f>IF(H356,An,'2026'!An_max)</f>
        <v>2022</v>
      </c>
      <c r="K356" s="193">
        <f t="shared" si="129"/>
        <v>46729</v>
      </c>
      <c r="L356" s="143">
        <f>IF(t&lt;Tvie,1-EXP((T0-t)*PertePVj)+'2026'!Pspv,1-EXP((T0-t)*PertePVj)+Pspv)</f>
        <v>3.1061106343384548E-2</v>
      </c>
      <c r="M356" s="835"/>
      <c r="N356" s="835"/>
      <c r="O356" s="48">
        <f>IF(t&lt;Tnet,'2026'!Resal+('2026'!Salim-'2026'!Resal)*(1-EXP(('2026'!Tnet-t)/('2026'!Tau_j))),Resal+(Salim-Resal)*(1-EXP((Tnet-t)/(Tau_j))))*Salcycl</f>
        <v>4.2299328020791407E-2</v>
      </c>
      <c r="P356" s="165">
        <f>(INDEX(Models!$BJ356:$BT356,,T356)*(1-R356)+INDEX(Models!$BJ356:$BT356,,T356+1)*R356-ERP_i)*Q356*Ramure*Pc/MaxiM</f>
        <v>3.9906896100441935E-3</v>
      </c>
      <c r="Q356" s="301">
        <f t="shared" si="130"/>
        <v>0.5</v>
      </c>
      <c r="R356" s="173">
        <f t="shared" si="131"/>
        <v>0.98939998102615423</v>
      </c>
      <c r="S356" s="801">
        <f t="shared" si="132"/>
        <v>2</v>
      </c>
      <c r="T356" s="172">
        <f t="shared" si="133"/>
        <v>8</v>
      </c>
      <c r="U356" s="247">
        <f t="shared" si="134"/>
        <v>2.9893999810261542</v>
      </c>
      <c r="V356" s="378">
        <f t="shared" si="135"/>
        <v>90.907436263179335</v>
      </c>
      <c r="W356" s="397">
        <f t="shared" si="136"/>
        <v>14.313907470862455</v>
      </c>
      <c r="X356" s="153">
        <f t="shared" si="137"/>
        <v>46729</v>
      </c>
      <c r="Y356" s="380">
        <f t="shared" si="138"/>
        <v>13.993457484837812</v>
      </c>
      <c r="Z356" s="380">
        <f t="shared" si="139"/>
        <v>14.44204332847948</v>
      </c>
      <c r="AA356" s="381">
        <f t="shared" si="140"/>
        <v>15.425243352592437</v>
      </c>
      <c r="AB356" s="193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6.3739676687027153E-2</v>
      </c>
      <c r="AD356" s="227">
        <f>(INDEX(Models!$BJ356:$BT356,,AH356)*(1-AF356)+INDEX(Models!$BJ356:$BT356,,AH356+1)*AF356-ERP_i)*AE356*Ramure*Pc/MaxiM</f>
        <v>3.9906896100441935E-3</v>
      </c>
      <c r="AE356" s="301">
        <f t="shared" si="142"/>
        <v>0.5</v>
      </c>
      <c r="AF356" s="173">
        <f t="shared" si="143"/>
        <v>0.98939998102615423</v>
      </c>
      <c r="AG356" s="801">
        <f t="shared" si="149"/>
        <v>2</v>
      </c>
      <c r="AH356" s="172">
        <f t="shared" si="144"/>
        <v>8</v>
      </c>
      <c r="AI356" s="221">
        <f t="shared" si="145"/>
        <v>2.9893999810261542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46730</v>
      </c>
      <c r="B357" s="406">
        <f>'2026'!Wh/'2026'!Env_an*'2027'!Env_an</f>
        <v>27.515868345359234</v>
      </c>
      <c r="C357" s="831"/>
      <c r="D357" s="388">
        <f t="shared" si="127"/>
        <v>28.39832852183763</v>
      </c>
      <c r="E357" s="380">
        <f t="shared" si="125"/>
        <v>29.653596673403676</v>
      </c>
      <c r="F357" s="380">
        <f t="shared" si="128"/>
        <v>29.654277530704512</v>
      </c>
      <c r="G357" s="110">
        <f t="shared" si="126"/>
        <v>0.30289244940602544</v>
      </c>
      <c r="H357" s="409" t="b">
        <f>Wh_hp&gt;='2026'!Maxi_hp</f>
        <v>0</v>
      </c>
      <c r="I357" s="385">
        <f>IF(H357,Wh_hp,'2026'!Maxi_hp)</f>
        <v>29.752765723166412</v>
      </c>
      <c r="J357" s="85">
        <f>IF(H357,An,'2026'!An_max)</f>
        <v>2022</v>
      </c>
      <c r="K357" s="193">
        <f t="shared" si="129"/>
        <v>46730</v>
      </c>
      <c r="L357" s="143">
        <f>IF(t&lt;Tvie,1-EXP((T0-t)*PertePVj)+'2026'!Pspv,1-EXP((T0-t)*PertePVj)+Pspv)</f>
        <v>3.1074370303160848E-2</v>
      </c>
      <c r="M357" s="835"/>
      <c r="N357" s="835"/>
      <c r="O357" s="48">
        <f>IF(t&lt;Tnet,'2026'!Resal+('2026'!Salim-'2026'!Resal)*(1-EXP(('2026'!Tnet-t)/('2026'!Tau_j))),Resal+(Salim-Resal)*(1-EXP((Tnet-t)/(Tau_j))))*Salcycl</f>
        <v>4.233105904120886E-2</v>
      </c>
      <c r="P357" s="165">
        <f>(INDEX(Models!$BJ357:$BT357,,T357)*(1-R357)+INDEX(Models!$BJ357:$BT357,,T357+1)*R357-ERP_i)*Q357*Ramure*Pc/MaxiM</f>
        <v>3.9367006590313967E-3</v>
      </c>
      <c r="Q357" s="301">
        <f t="shared" si="130"/>
        <v>0.5</v>
      </c>
      <c r="R357" s="173">
        <f t="shared" si="131"/>
        <v>0.98941183012851441</v>
      </c>
      <c r="S357" s="801">
        <f t="shared" si="132"/>
        <v>2</v>
      </c>
      <c r="T357" s="172">
        <f t="shared" si="133"/>
        <v>8</v>
      </c>
      <c r="U357" s="247">
        <f t="shared" si="134"/>
        <v>2.9894118301285144</v>
      </c>
      <c r="V357" s="378">
        <f t="shared" si="135"/>
        <v>90.488145046986759</v>
      </c>
      <c r="W357" s="397">
        <f t="shared" si="136"/>
        <v>27.515868345359234</v>
      </c>
      <c r="X357" s="153">
        <f t="shared" si="137"/>
        <v>46730</v>
      </c>
      <c r="Y357" s="380">
        <f t="shared" si="138"/>
        <v>26.900659383338422</v>
      </c>
      <c r="Z357" s="380">
        <f t="shared" si="139"/>
        <v>27.763389220858151</v>
      </c>
      <c r="AA357" s="381">
        <f t="shared" si="140"/>
        <v>29.653596673403676</v>
      </c>
      <c r="AB357" s="193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6.3742940641020096E-2</v>
      </c>
      <c r="AD357" s="227">
        <f>(INDEX(Models!$BJ357:$BT357,,AH357)*(1-AF357)+INDEX(Models!$BJ357:$BT357,,AH357+1)*AF357-ERP_i)*AE357*Ramure*Pc/MaxiM</f>
        <v>3.9367006590313967E-3</v>
      </c>
      <c r="AE357" s="301">
        <f t="shared" si="142"/>
        <v>0.5</v>
      </c>
      <c r="AF357" s="173">
        <f t="shared" si="143"/>
        <v>0.98941183012851441</v>
      </c>
      <c r="AG357" s="801">
        <f t="shared" si="149"/>
        <v>2</v>
      </c>
      <c r="AH357" s="172">
        <f t="shared" si="144"/>
        <v>8</v>
      </c>
      <c r="AI357" s="221">
        <f t="shared" si="145"/>
        <v>2.9894118301285144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46731</v>
      </c>
      <c r="B358" s="406">
        <f>'2026'!Wh/'2026'!Env_an*'2027'!Env_an</f>
        <v>66.325429713498792</v>
      </c>
      <c r="C358" s="831"/>
      <c r="D358" s="388">
        <f t="shared" si="127"/>
        <v>68.453486658326426</v>
      </c>
      <c r="E358" s="380">
        <f t="shared" si="125"/>
        <v>71.481690358020629</v>
      </c>
      <c r="F358" s="380">
        <f t="shared" si="128"/>
        <v>71.655185785646324</v>
      </c>
      <c r="G358" s="110">
        <f t="shared" si="126"/>
        <v>0.73492498241688542</v>
      </c>
      <c r="H358" s="409" t="b">
        <f>Wh_hp&gt;='2026'!Maxi_hp</f>
        <v>0</v>
      </c>
      <c r="I358" s="385">
        <f>IF(H358,Wh_hp,'2026'!Maxi_hp)</f>
        <v>71.744443051435056</v>
      </c>
      <c r="J358" s="85">
        <f>IF(H358,An,'2026'!An_max)</f>
        <v>2022</v>
      </c>
      <c r="K358" s="193">
        <f t="shared" si="129"/>
        <v>46731</v>
      </c>
      <c r="L358" s="143">
        <f>IF(t&lt;Tvie,1-EXP((T0-t)*PertePVj)+'2026'!Pspv,1-EXP((T0-t)*PertePVj)+Pspv)</f>
        <v>3.1087634081364723E-2</v>
      </c>
      <c r="M358" s="835"/>
      <c r="N358" s="835"/>
      <c r="O358" s="48">
        <f>IF(t&lt;Tnet,'2026'!Resal+('2026'!Salim-'2026'!Resal)*(1-EXP(('2026'!Tnet-t)/('2026'!Tau_j))),Resal+(Salim-Resal)*(1-EXP((Tnet-t)/(Tau_j))))*Salcycl</f>
        <v>4.2363347656263498E-2</v>
      </c>
      <c r="P358" s="165">
        <f>(INDEX(Models!$BJ358:$BT358,,T358)*(1-R358)+INDEX(Models!$BJ358:$BT358,,T358+1)*R358-ERP_i)*Q358*Ramure*Pc/MaxiM</f>
        <v>3.887276035538117E-3</v>
      </c>
      <c r="Q358" s="301">
        <f t="shared" si="130"/>
        <v>0.5</v>
      </c>
      <c r="R358" s="173">
        <f t="shared" si="131"/>
        <v>0.98942320267915873</v>
      </c>
      <c r="S358" s="801">
        <f t="shared" si="132"/>
        <v>2</v>
      </c>
      <c r="T358" s="172">
        <f t="shared" si="133"/>
        <v>8</v>
      </c>
      <c r="U358" s="247">
        <f t="shared" si="134"/>
        <v>2.9894232026791587</v>
      </c>
      <c r="V358" s="378">
        <f t="shared" si="135"/>
        <v>90.115264518640842</v>
      </c>
      <c r="W358" s="397">
        <f t="shared" si="136"/>
        <v>66.325429713498792</v>
      </c>
      <c r="X358" s="153">
        <f t="shared" si="137"/>
        <v>46731</v>
      </c>
      <c r="Y358" s="380">
        <f t="shared" si="138"/>
        <v>64.844400949536137</v>
      </c>
      <c r="Z358" s="380">
        <f t="shared" si="139"/>
        <v>66.924938962933481</v>
      </c>
      <c r="AA358" s="381">
        <f t="shared" si="140"/>
        <v>71.481690358020629</v>
      </c>
      <c r="AB358" s="193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6.3747113033622516E-2</v>
      </c>
      <c r="AD358" s="227">
        <f>(INDEX(Models!$BJ358:$BT358,,AH358)*(1-AF358)+INDEX(Models!$BJ358:$BT358,,AH358+1)*AF358-ERP_i)*AE358*Ramure*Pc/MaxiM</f>
        <v>3.887276035538117E-3</v>
      </c>
      <c r="AE358" s="301">
        <f t="shared" si="142"/>
        <v>0.5</v>
      </c>
      <c r="AF358" s="173">
        <f t="shared" si="143"/>
        <v>0.98942320267915873</v>
      </c>
      <c r="AG358" s="801">
        <f t="shared" si="149"/>
        <v>2</v>
      </c>
      <c r="AH358" s="172">
        <f t="shared" si="144"/>
        <v>8</v>
      </c>
      <c r="AI358" s="221">
        <f t="shared" si="145"/>
        <v>2.9894232026791587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46732</v>
      </c>
      <c r="B359" s="406">
        <f>'2026'!Wh/'2026'!Env_an*'2027'!Env_an</f>
        <v>62.437582645284053</v>
      </c>
      <c r="C359" s="831"/>
      <c r="D359" s="388">
        <f t="shared" si="127"/>
        <v>64.441779846477459</v>
      </c>
      <c r="E359" s="380">
        <f t="shared" si="125"/>
        <v>67.294822741860756</v>
      </c>
      <c r="F359" s="380">
        <f t="shared" si="128"/>
        <v>67.441208021721934</v>
      </c>
      <c r="G359" s="110">
        <f t="shared" si="126"/>
        <v>0.69424331625930591</v>
      </c>
      <c r="H359" s="409" t="b">
        <f>Wh_hp&gt;='2026'!Maxi_hp</f>
        <v>0</v>
      </c>
      <c r="I359" s="385">
        <f>IF(H359,Wh_hp,'2026'!Maxi_hp)</f>
        <v>67.53712274687156</v>
      </c>
      <c r="J359" s="85">
        <f>IF(H359,An,'2026'!An_max)</f>
        <v>2022</v>
      </c>
      <c r="K359" s="193">
        <f t="shared" si="129"/>
        <v>46732</v>
      </c>
      <c r="L359" s="143">
        <f>IF(t&lt;Tvie,1-EXP((T0-t)*PertePVj)+'2026'!Pspv,1-EXP((T0-t)*PertePVj)+Pspv)</f>
        <v>3.1100897677998618E-2</v>
      </c>
      <c r="M359" s="835"/>
      <c r="N359" s="835"/>
      <c r="O359" s="48">
        <f>IF(t&lt;Tnet,'2026'!Resal+('2026'!Salim-'2026'!Resal)*(1-EXP(('2026'!Tnet-t)/('2026'!Tau_j))),Resal+(Salim-Resal)*(1-EXP((Tnet-t)/(Tau_j))))*Salcycl</f>
        <v>4.2396172233448229E-2</v>
      </c>
      <c r="P359" s="165">
        <f>(INDEX(Models!$BJ359:$BT359,,T359)*(1-R359)+INDEX(Models!$BJ359:$BT359,,T359+1)*R359-ERP_i)*Q359*Ramure*Pc/MaxiM</f>
        <v>3.8425896479277306E-3</v>
      </c>
      <c r="Q359" s="301">
        <f t="shared" si="130"/>
        <v>0.5</v>
      </c>
      <c r="R359" s="173">
        <f t="shared" si="131"/>
        <v>0.98943411782384993</v>
      </c>
      <c r="S359" s="801">
        <f t="shared" si="132"/>
        <v>2</v>
      </c>
      <c r="T359" s="172">
        <f t="shared" si="133"/>
        <v>8</v>
      </c>
      <c r="U359" s="247">
        <f t="shared" si="134"/>
        <v>2.9894341178238499</v>
      </c>
      <c r="V359" s="378">
        <f t="shared" si="135"/>
        <v>89.785463809029793</v>
      </c>
      <c r="W359" s="397">
        <f t="shared" si="136"/>
        <v>62.437582645284053</v>
      </c>
      <c r="X359" s="153">
        <f t="shared" si="137"/>
        <v>46732</v>
      </c>
      <c r="Y359" s="380">
        <f t="shared" si="138"/>
        <v>61.045131854614219</v>
      </c>
      <c r="Z359" s="380">
        <f t="shared" si="139"/>
        <v>63.004632482698533</v>
      </c>
      <c r="AA359" s="381">
        <f t="shared" si="140"/>
        <v>67.294822741860756</v>
      </c>
      <c r="AB359" s="193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6.3752159294915761E-2</v>
      </c>
      <c r="AD359" s="227">
        <f>(INDEX(Models!$BJ359:$BT359,,AH359)*(1-AF359)+INDEX(Models!$BJ359:$BT359,,AH359+1)*AF359-ERP_i)*AE359*Ramure*Pc/MaxiM</f>
        <v>3.8425896479277306E-3</v>
      </c>
      <c r="AE359" s="301">
        <f t="shared" si="142"/>
        <v>0.5</v>
      </c>
      <c r="AF359" s="173">
        <f t="shared" si="143"/>
        <v>0.98943411782384993</v>
      </c>
      <c r="AG359" s="801">
        <f t="shared" si="149"/>
        <v>2</v>
      </c>
      <c r="AH359" s="172">
        <f t="shared" si="144"/>
        <v>8</v>
      </c>
      <c r="AI359" s="221">
        <f t="shared" si="145"/>
        <v>2.9894341178238499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46733</v>
      </c>
      <c r="B360" s="406">
        <f>'2026'!Wh/'2026'!Env_an*'2027'!Env_an</f>
        <v>21.775152552144149</v>
      </c>
      <c r="C360" s="831"/>
      <c r="D360" s="388">
        <f t="shared" si="127"/>
        <v>22.474425445943311</v>
      </c>
      <c r="E360" s="380">
        <f t="shared" si="125"/>
        <v>23.470256949261817</v>
      </c>
      <c r="F360" s="380">
        <f t="shared" si="128"/>
        <v>23.470256949261817</v>
      </c>
      <c r="G360" s="110">
        <f t="shared" si="126"/>
        <v>0.24238818720130464</v>
      </c>
      <c r="H360" s="409" t="b">
        <f>Wh_hp&gt;='2026'!Maxi_hp</f>
        <v>0</v>
      </c>
      <c r="I360" s="385">
        <f>IF(H360,Wh_hp,'2026'!Maxi_hp)</f>
        <v>23.546248768046997</v>
      </c>
      <c r="J360" s="85">
        <f>IF(H360,An,'2026'!An_max)</f>
        <v>2022</v>
      </c>
      <c r="K360" s="193">
        <f t="shared" si="129"/>
        <v>46733</v>
      </c>
      <c r="L360" s="143">
        <f>IF(t&lt;Tvie,1-EXP((T0-t)*PertePVj)+'2026'!Pspv,1-EXP((T0-t)*PertePVj)+Pspv)</f>
        <v>3.1114161093065085E-2</v>
      </c>
      <c r="M360" s="835"/>
      <c r="N360" s="835"/>
      <c r="O360" s="48">
        <f>IF(t&lt;Tnet,'2026'!Resal+('2026'!Salim-'2026'!Resal)*(1-EXP(('2026'!Tnet-t)/('2026'!Tau_j))),Resal+(Salim-Resal)*(1-EXP((Tnet-t)/(Tau_j))))*Salcycl</f>
        <v>4.2429510059105988E-2</v>
      </c>
      <c r="P360" s="165">
        <f>(INDEX(Models!$BJ360:$BT360,,T360)*(1-R360)+INDEX(Models!$BJ360:$BT360,,T360+1)*R360-ERP_i)*Q360*Ramure*Pc/MaxiM</f>
        <v>3.8028539265153164E-3</v>
      </c>
      <c r="Q360" s="301">
        <f t="shared" si="130"/>
        <v>0.5</v>
      </c>
      <c r="R360" s="173">
        <f t="shared" si="131"/>
        <v>0.98944459394076478</v>
      </c>
      <c r="S360" s="801">
        <f t="shared" si="132"/>
        <v>2</v>
      </c>
      <c r="T360" s="172">
        <f t="shared" si="133"/>
        <v>8</v>
      </c>
      <c r="U360" s="247">
        <f t="shared" si="134"/>
        <v>2.9894445939407648</v>
      </c>
      <c r="V360" s="378">
        <f t="shared" si="135"/>
        <v>89.494232694372812</v>
      </c>
      <c r="W360" s="397">
        <f t="shared" si="136"/>
        <v>21.775152552144149</v>
      </c>
      <c r="X360" s="153">
        <f t="shared" si="137"/>
        <v>46733</v>
      </c>
      <c r="Y360" s="380">
        <f t="shared" si="138"/>
        <v>21.290141714164022</v>
      </c>
      <c r="Z360" s="380">
        <f t="shared" si="139"/>
        <v>21.973839289655487</v>
      </c>
      <c r="AA360" s="381">
        <f t="shared" si="140"/>
        <v>23.470256949261817</v>
      </c>
      <c r="AB360" s="193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6.3758043332942535E-2</v>
      </c>
      <c r="AD360" s="227">
        <f>(INDEX(Models!$BJ360:$BT360,,AH360)*(1-AF360)+INDEX(Models!$BJ360:$BT360,,AH360+1)*AF360-ERP_i)*AE360*Ramure*Pc/MaxiM</f>
        <v>3.8028539265153164E-3</v>
      </c>
      <c r="AE360" s="301">
        <f t="shared" si="142"/>
        <v>0.5</v>
      </c>
      <c r="AF360" s="173">
        <f t="shared" si="143"/>
        <v>0.98944459394076478</v>
      </c>
      <c r="AG360" s="801">
        <f t="shared" si="149"/>
        <v>2</v>
      </c>
      <c r="AH360" s="172">
        <f t="shared" si="144"/>
        <v>8</v>
      </c>
      <c r="AI360" s="221">
        <f t="shared" si="145"/>
        <v>2.9894445939407648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46734</v>
      </c>
      <c r="B361" s="406">
        <f>'2026'!Wh/'2026'!Env_an*'2027'!Env_an</f>
        <v>22.680589641623822</v>
      </c>
      <c r="C361" s="831"/>
      <c r="D361" s="388">
        <f t="shared" si="127"/>
        <v>23.409259598311202</v>
      </c>
      <c r="E361" s="380">
        <f t="shared" ref="E361:E379" si="150">Wh_pvt/(1-Psa)</f>
        <v>24.447376811080453</v>
      </c>
      <c r="F361" s="380">
        <f t="shared" si="128"/>
        <v>24.447376811080453</v>
      </c>
      <c r="G361" s="110">
        <f t="shared" ref="G361:G379" si="151">+Wh_hp/MaxiM</f>
        <v>0.25319006418826279</v>
      </c>
      <c r="H361" s="409" t="b">
        <f>Wh_hp&gt;='2026'!Maxi_hp</f>
        <v>0</v>
      </c>
      <c r="I361" s="385">
        <f>IF(H361,Wh_hp,'2026'!Maxi_hp)</f>
        <v>24.525889099355748</v>
      </c>
      <c r="J361" s="85">
        <f>IF(H361,An,'2026'!An_max)</f>
        <v>2022</v>
      </c>
      <c r="K361" s="193">
        <f t="shared" si="129"/>
        <v>46734</v>
      </c>
      <c r="L361" s="143">
        <f>IF(t&lt;Tvie,1-EXP((T0-t)*PertePVj)+'2026'!Pspv,1-EXP((T0-t)*PertePVj)+Pspv)</f>
        <v>3.1127424326566455E-2</v>
      </c>
      <c r="M361" s="835"/>
      <c r="N361" s="835"/>
      <c r="O361" s="48">
        <f>IF(t&lt;Tnet,'2026'!Resal+('2026'!Salim-'2026'!Resal)*(1-EXP(('2026'!Tnet-t)/('2026'!Tau_j))),Resal+(Salim-Resal)*(1-EXP((Tnet-t)/(Tau_j))))*Salcycl</f>
        <v>4.2463337510253288E-2</v>
      </c>
      <c r="P361" s="165">
        <f>(INDEX(Models!$BJ361:$BT361,,T361)*(1-R361)+INDEX(Models!$BJ361:$BT361,,T361+1)*R361-ERP_i)*Q361*Ramure*Pc/MaxiM</f>
        <v>3.7674078895551543E-3</v>
      </c>
      <c r="Q361" s="301">
        <f t="shared" si="130"/>
        <v>0.5</v>
      </c>
      <c r="R361" s="173">
        <f t="shared" si="131"/>
        <v>0.98945464867114064</v>
      </c>
      <c r="S361" s="801">
        <f t="shared" si="132"/>
        <v>2</v>
      </c>
      <c r="T361" s="172">
        <f t="shared" si="133"/>
        <v>8</v>
      </c>
      <c r="U361" s="247">
        <f t="shared" si="134"/>
        <v>2.9894546486711406</v>
      </c>
      <c r="V361" s="378">
        <f t="shared" si="135"/>
        <v>89.241821876814612</v>
      </c>
      <c r="W361" s="397">
        <f t="shared" si="136"/>
        <v>22.680589641623822</v>
      </c>
      <c r="X361" s="153">
        <f t="shared" si="137"/>
        <v>46734</v>
      </c>
      <c r="Y361" s="380">
        <f t="shared" si="138"/>
        <v>22.176036541146416</v>
      </c>
      <c r="Z361" s="380">
        <f t="shared" si="139"/>
        <v>22.888496483381765</v>
      </c>
      <c r="AA361" s="381">
        <f t="shared" si="140"/>
        <v>24.447376811080453</v>
      </c>
      <c r="AB361" s="193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6.3764727796568582E-2</v>
      </c>
      <c r="AD361" s="227">
        <f>(INDEX(Models!$BJ361:$BT361,,AH361)*(1-AF361)+INDEX(Models!$BJ361:$BT361,,AH361+1)*AF361-ERP_i)*AE361*Ramure*Pc/MaxiM</f>
        <v>3.7674078895551543E-3</v>
      </c>
      <c r="AE361" s="301">
        <f t="shared" si="142"/>
        <v>0.5</v>
      </c>
      <c r="AF361" s="173">
        <f t="shared" si="143"/>
        <v>0.98945464867114064</v>
      </c>
      <c r="AG361" s="801">
        <f t="shared" si="149"/>
        <v>2</v>
      </c>
      <c r="AH361" s="172">
        <f t="shared" si="144"/>
        <v>8</v>
      </c>
      <c r="AI361" s="221">
        <f t="shared" si="145"/>
        <v>2.9894546486711406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46735</v>
      </c>
      <c r="B362" s="406">
        <f>'2026'!Wh/'2026'!Env_an*'2027'!Env_an</f>
        <v>66.56410417595778</v>
      </c>
      <c r="C362" s="831"/>
      <c r="D362" s="388">
        <f t="shared" si="127"/>
        <v>68.703580910887567</v>
      </c>
      <c r="E362" s="380">
        <f t="shared" si="150"/>
        <v>71.752909527756145</v>
      </c>
      <c r="F362" s="380">
        <f t="shared" si="128"/>
        <v>71.924770203078964</v>
      </c>
      <c r="G362" s="110">
        <f t="shared" si="151"/>
        <v>0.7466631437980269</v>
      </c>
      <c r="H362" s="409" t="b">
        <f>Wh_hp&gt;='2026'!Maxi_hp</f>
        <v>0</v>
      </c>
      <c r="I362" s="385">
        <f>IF(H362,Wh_hp,'2026'!Maxi_hp)</f>
        <v>72.007464364847081</v>
      </c>
      <c r="J362" s="85">
        <f>IF(H362,An,'2026'!An_max)</f>
        <v>2022</v>
      </c>
      <c r="K362" s="193">
        <f t="shared" si="129"/>
        <v>46735</v>
      </c>
      <c r="L362" s="143">
        <f>IF(t&lt;Tvie,1-EXP((T0-t)*PertePVj)+'2026'!Pspv,1-EXP((T0-t)*PertePVj)+Pspv)</f>
        <v>3.1140687378505283E-2</v>
      </c>
      <c r="M362" s="835"/>
      <c r="N362" s="835"/>
      <c r="O362" s="48">
        <f>IF(t&lt;Tnet,'2026'!Resal+('2026'!Salim-'2026'!Resal)*(1-EXP(('2026'!Tnet-t)/('2026'!Tau_j))),Resal+(Salim-Resal)*(1-EXP((Tnet-t)/(Tau_j))))*Salcycl</f>
        <v>4.2497630227649644E-2</v>
      </c>
      <c r="P362" s="165">
        <f>(INDEX(Models!$BJ362:$BT362,,T362)*(1-R362)+INDEX(Models!$BJ362:$BT362,,T362+1)*R362-ERP_i)*Q362*Ramure*Pc/MaxiM</f>
        <v>3.7362474858179044E-3</v>
      </c>
      <c r="Q362" s="301">
        <f t="shared" si="130"/>
        <v>0.5</v>
      </c>
      <c r="R362" s="173">
        <f t="shared" si="131"/>
        <v>0.98946429894871013</v>
      </c>
      <c r="S362" s="801">
        <f t="shared" si="132"/>
        <v>2</v>
      </c>
      <c r="T362" s="172">
        <f t="shared" si="133"/>
        <v>8</v>
      </c>
      <c r="U362" s="247">
        <f t="shared" si="134"/>
        <v>2.9894642989487101</v>
      </c>
      <c r="V362" s="378">
        <f t="shared" si="135"/>
        <v>89.028421540981668</v>
      </c>
      <c r="W362" s="397">
        <f t="shared" si="136"/>
        <v>66.56410417595778</v>
      </c>
      <c r="X362" s="153">
        <f t="shared" si="137"/>
        <v>46735</v>
      </c>
      <c r="Y362" s="380">
        <f t="shared" si="138"/>
        <v>65.085130321441568</v>
      </c>
      <c r="Z362" s="380">
        <f t="shared" si="139"/>
        <v>67.177070472014393</v>
      </c>
      <c r="AA362" s="381">
        <f t="shared" si="140"/>
        <v>71.752909527756145</v>
      </c>
      <c r="AB362" s="193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6.3772174339100332E-2</v>
      </c>
      <c r="AD362" s="227">
        <f>(INDEX(Models!$BJ362:$BT362,,AH362)*(1-AF362)+INDEX(Models!$BJ362:$BT362,,AH362+1)*AF362-ERP_i)*AE362*Ramure*Pc/MaxiM</f>
        <v>3.7362474858179044E-3</v>
      </c>
      <c r="AE362" s="301">
        <f t="shared" si="142"/>
        <v>0.5</v>
      </c>
      <c r="AF362" s="173">
        <f t="shared" si="143"/>
        <v>0.98946429894871013</v>
      </c>
      <c r="AG362" s="801">
        <f t="shared" si="149"/>
        <v>2</v>
      </c>
      <c r="AH362" s="172">
        <f t="shared" si="144"/>
        <v>8</v>
      </c>
      <c r="AI362" s="221">
        <f t="shared" si="145"/>
        <v>2.9894642989487101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46736</v>
      </c>
      <c r="B363" s="406">
        <f>'2026'!Wh/'2026'!Env_an*'2027'!Env_an</f>
        <v>33.131532211628326</v>
      </c>
      <c r="C363" s="831"/>
      <c r="D363" s="388">
        <f t="shared" si="127"/>
        <v>34.19690075646114</v>
      </c>
      <c r="E363" s="380">
        <f t="shared" si="150"/>
        <v>35.715986050371882</v>
      </c>
      <c r="F363" s="380">
        <f t="shared" si="128"/>
        <v>35.72978389522963</v>
      </c>
      <c r="G363" s="110">
        <f t="shared" si="151"/>
        <v>0.37163554871586219</v>
      </c>
      <c r="H363" s="409" t="b">
        <f>Wh_hp&gt;='2026'!Maxi_hp</f>
        <v>0</v>
      </c>
      <c r="I363" s="385">
        <f>IF(H363,Wh_hp,'2026'!Maxi_hp)</f>
        <v>91.83152399747874</v>
      </c>
      <c r="J363" s="85">
        <f>IF(H363,An,'2026'!An_max)</f>
        <v>2021</v>
      </c>
      <c r="K363" s="193">
        <f t="shared" si="129"/>
        <v>46736</v>
      </c>
      <c r="L363" s="143">
        <f>IF(t&lt;Tvie,1-EXP((T0-t)*PertePVj)+'2026'!Pspv,1-EXP((T0-t)*PertePVj)+Pspv)</f>
        <v>3.115395024888401E-2</v>
      </c>
      <c r="M363" s="835"/>
      <c r="N363" s="835"/>
      <c r="O363" s="48">
        <f>IF(t&lt;Tnet,'2026'!Resal+('2026'!Salim-'2026'!Resal)*(1-EXP(('2026'!Tnet-t)/('2026'!Tau_j))),Resal+(Salim-Resal)*(1-EXP((Tnet-t)/(Tau_j))))*Salcycl</f>
        <v>4.2532363288761178E-2</v>
      </c>
      <c r="P363" s="165">
        <f>(INDEX(Models!$BJ363:$BT363,,T363)*(1-R363)+INDEX(Models!$BJ363:$BT363,,T363+1)*R363-ERP_i)*Q363*Ramure*Pc/MaxiM</f>
        <v>3.7093632892543603E-3</v>
      </c>
      <c r="Q363" s="301">
        <f t="shared" si="130"/>
        <v>0.5</v>
      </c>
      <c r="R363" s="173">
        <f t="shared" si="131"/>
        <v>0.98947356102796657</v>
      </c>
      <c r="S363" s="801">
        <f t="shared" si="132"/>
        <v>2</v>
      </c>
      <c r="T363" s="172">
        <f t="shared" si="133"/>
        <v>8</v>
      </c>
      <c r="U363" s="247">
        <f t="shared" si="134"/>
        <v>2.9894735610279666</v>
      </c>
      <c r="V363" s="378">
        <f t="shared" si="135"/>
        <v>88.854221223267288</v>
      </c>
      <c r="W363" s="397">
        <f t="shared" si="136"/>
        <v>33.131532211628326</v>
      </c>
      <c r="X363" s="153">
        <f t="shared" si="137"/>
        <v>46736</v>
      </c>
      <c r="Y363" s="380">
        <f t="shared" si="138"/>
        <v>32.396282134842657</v>
      </c>
      <c r="Z363" s="380">
        <f t="shared" si="139"/>
        <v>33.438008178043191</v>
      </c>
      <c r="AA363" s="381">
        <f t="shared" si="140"/>
        <v>35.715986050371882</v>
      </c>
      <c r="AB363" s="193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6.3780343880635401E-2</v>
      </c>
      <c r="AD363" s="227">
        <f>(INDEX(Models!$BJ363:$BT363,,AH363)*(1-AF363)+INDEX(Models!$BJ363:$BT363,,AH363+1)*AF363-ERP_i)*AE363*Ramure*Pc/MaxiM</f>
        <v>3.7093632892543603E-3</v>
      </c>
      <c r="AE363" s="301">
        <f t="shared" si="142"/>
        <v>0.5</v>
      </c>
      <c r="AF363" s="173">
        <f t="shared" si="143"/>
        <v>0.98947356102796657</v>
      </c>
      <c r="AG363" s="801">
        <f t="shared" si="149"/>
        <v>2</v>
      </c>
      <c r="AH363" s="172">
        <f t="shared" si="144"/>
        <v>8</v>
      </c>
      <c r="AI363" s="221">
        <f t="shared" si="145"/>
        <v>2.9894735610279666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46737</v>
      </c>
      <c r="B364" s="406">
        <f>'2026'!Wh/'2026'!Env_an*'2027'!Env_an</f>
        <v>20.19338107806427</v>
      </c>
      <c r="C364" s="831"/>
      <c r="D364" s="388">
        <f t="shared" si="127"/>
        <v>20.842999274719901</v>
      </c>
      <c r="E364" s="380">
        <f t="shared" si="150"/>
        <v>21.769680392553354</v>
      </c>
      <c r="F364" s="380">
        <f t="shared" si="128"/>
        <v>21.769680392553354</v>
      </c>
      <c r="G364" s="110">
        <f t="shared" si="151"/>
        <v>0.22677036928155481</v>
      </c>
      <c r="H364" s="409" t="b">
        <f>Wh_hp&gt;='2026'!Maxi_hp</f>
        <v>0</v>
      </c>
      <c r="I364" s="385">
        <f>IF(H364,Wh_hp,'2026'!Maxi_hp)</f>
        <v>96.573538746410236</v>
      </c>
      <c r="J364" s="85">
        <f>IF(H364,An,'2026'!An_max)</f>
        <v>2021</v>
      </c>
      <c r="K364" s="193">
        <f t="shared" si="129"/>
        <v>46737</v>
      </c>
      <c r="L364" s="143">
        <f>IF(t&lt;Tvie,1-EXP((T0-t)*PertePVj)+'2026'!Pspv,1-EXP((T0-t)*PertePVj)+Pspv)</f>
        <v>3.1167212937705302E-2</v>
      </c>
      <c r="M364" s="835"/>
      <c r="N364" s="835"/>
      <c r="O364" s="48">
        <f>IF(t&lt;Tnet,'2026'!Resal+('2026'!Salim-'2026'!Resal)*(1-EXP(('2026'!Tnet-t)/('2026'!Tau_j))),Resal+(Salim-Resal)*(1-EXP((Tnet-t)/(Tau_j))))*Salcycl</f>
        <v>4.2567511379286965E-2</v>
      </c>
      <c r="P364" s="165">
        <f>(INDEX(Models!$BJ364:$BT364,,T364)*(1-R364)+INDEX(Models!$BJ364:$BT364,,T364+1)*R364-ERP_i)*Q364*Ramure*Pc/MaxiM</f>
        <v>3.686740271309242E-3</v>
      </c>
      <c r="Q364" s="301">
        <f t="shared" si="130"/>
        <v>0.5</v>
      </c>
      <c r="R364" s="173">
        <f t="shared" si="131"/>
        <v>0.98948245051131156</v>
      </c>
      <c r="S364" s="801">
        <f t="shared" si="132"/>
        <v>2</v>
      </c>
      <c r="T364" s="172">
        <f t="shared" si="133"/>
        <v>8</v>
      </c>
      <c r="U364" s="247">
        <f t="shared" si="134"/>
        <v>2.9894824505113116</v>
      </c>
      <c r="V364" s="378">
        <f t="shared" si="135"/>
        <v>88.719409817825436</v>
      </c>
      <c r="W364" s="397">
        <f t="shared" si="136"/>
        <v>20.19338107806427</v>
      </c>
      <c r="X364" s="153">
        <f t="shared" si="137"/>
        <v>46737</v>
      </c>
      <c r="Y364" s="380">
        <f t="shared" si="138"/>
        <v>19.745790686816054</v>
      </c>
      <c r="Z364" s="380">
        <f t="shared" si="139"/>
        <v>20.381009964257562</v>
      </c>
      <c r="AA364" s="381">
        <f t="shared" si="140"/>
        <v>21.769680392553354</v>
      </c>
      <c r="AB364" s="193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6.3789196867162515E-2</v>
      </c>
      <c r="AD364" s="227">
        <f>(INDEX(Models!$BJ364:$BT364,,AH364)*(1-AF364)+INDEX(Models!$BJ364:$BT364,,AH364+1)*AF364-ERP_i)*AE364*Ramure*Pc/MaxiM</f>
        <v>3.686740271309242E-3</v>
      </c>
      <c r="AE364" s="301">
        <f t="shared" si="142"/>
        <v>0.5</v>
      </c>
      <c r="AF364" s="173">
        <f t="shared" si="143"/>
        <v>0.98948245051131156</v>
      </c>
      <c r="AG364" s="801">
        <f t="shared" si="149"/>
        <v>2</v>
      </c>
      <c r="AH364" s="172">
        <f t="shared" si="144"/>
        <v>8</v>
      </c>
      <c r="AI364" s="221">
        <f t="shared" si="145"/>
        <v>2.9894824505113116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46738</v>
      </c>
      <c r="B365" s="406">
        <f>'2026'!Wh/'2026'!Env_an*'2027'!Env_an</f>
        <v>12.528991718314028</v>
      </c>
      <c r="C365" s="831"/>
      <c r="D365" s="388">
        <f t="shared" si="127"/>
        <v>12.932224630865589</v>
      </c>
      <c r="E365" s="380">
        <f t="shared" si="150"/>
        <v>13.507693561008205</v>
      </c>
      <c r="F365" s="380">
        <f t="shared" si="128"/>
        <v>13.507693561008205</v>
      </c>
      <c r="G365" s="110">
        <f t="shared" si="151"/>
        <v>0.14085356294149887</v>
      </c>
      <c r="H365" s="409" t="b">
        <f>Wh_hp&gt;='2026'!Maxi_hp</f>
        <v>0</v>
      </c>
      <c r="I365" s="385">
        <f>IF(H365,Wh_hp,'2026'!Maxi_hp)</f>
        <v>97.364376896272645</v>
      </c>
      <c r="J365" s="85">
        <f>IF(H365,An,'2026'!An_max)</f>
        <v>2021</v>
      </c>
      <c r="K365" s="193">
        <f t="shared" si="129"/>
        <v>46738</v>
      </c>
      <c r="L365" s="143">
        <f>IF(t&lt;Tvie,1-EXP((T0-t)*PertePVj)+'2026'!Pspv,1-EXP((T0-t)*PertePVj)+Pspv)</f>
        <v>3.1180475444971489E-2</v>
      </c>
      <c r="M365" s="835"/>
      <c r="N365" s="835"/>
      <c r="O365" s="48">
        <f>IF(t&lt;Tnet,'2026'!Resal+('2026'!Salim-'2026'!Resal)*(1-EXP(('2026'!Tnet-t)/('2026'!Tau_j))),Resal+(Salim-Resal)*(1-EXP((Tnet-t)/(Tau_j))))*Salcycl</f>
        <v>4.2603048961947519E-2</v>
      </c>
      <c r="P365" s="165">
        <f>(INDEX(Models!$BJ365:$BT365,,T365)*(1-R365)+INDEX(Models!$BJ365:$BT365,,T365+1)*R365-ERP_i)*Q365*Ramure*Pc/MaxiM</f>
        <v>3.6683575852299627E-3</v>
      </c>
      <c r="Q365" s="301">
        <f t="shared" si="130"/>
        <v>0.5</v>
      </c>
      <c r="R365" s="173">
        <f t="shared" si="131"/>
        <v>0.98949098237512434</v>
      </c>
      <c r="S365" s="801">
        <f t="shared" si="132"/>
        <v>2</v>
      </c>
      <c r="T365" s="172">
        <f t="shared" si="133"/>
        <v>8</v>
      </c>
      <c r="U365" s="247">
        <f t="shared" si="134"/>
        <v>2.9894909823751243</v>
      </c>
      <c r="V365" s="378">
        <f t="shared" si="135"/>
        <v>88.624175603520101</v>
      </c>
      <c r="W365" s="397">
        <f t="shared" si="136"/>
        <v>12.528991718314028</v>
      </c>
      <c r="X365" s="153">
        <f t="shared" si="137"/>
        <v>46738</v>
      </c>
      <c r="Y365" s="380">
        <f t="shared" si="138"/>
        <v>12.25161455004497</v>
      </c>
      <c r="Z365" s="380">
        <f t="shared" si="139"/>
        <v>12.645920359286777</v>
      </c>
      <c r="AA365" s="381">
        <f t="shared" si="140"/>
        <v>13.507693561008205</v>
      </c>
      <c r="AB365" s="193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6.3798693524485459E-2</v>
      </c>
      <c r="AD365" s="227">
        <f>(INDEX(Models!$BJ365:$BT365,,AH365)*(1-AF365)+INDEX(Models!$BJ365:$BT365,,AH365+1)*AF365-ERP_i)*AE365*Ramure*Pc/MaxiM</f>
        <v>3.6683575852299627E-3</v>
      </c>
      <c r="AE365" s="301">
        <f t="shared" si="142"/>
        <v>0.5</v>
      </c>
      <c r="AF365" s="173">
        <f t="shared" si="143"/>
        <v>0.98949098237512434</v>
      </c>
      <c r="AG365" s="801">
        <f t="shared" si="149"/>
        <v>2</v>
      </c>
      <c r="AH365" s="172">
        <f t="shared" si="144"/>
        <v>8</v>
      </c>
      <c r="AI365" s="221">
        <f t="shared" si="145"/>
        <v>2.9894909823751243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46739</v>
      </c>
      <c r="B366" s="406">
        <f>'2026'!Wh/'2026'!Env_an*'2027'!Env_an</f>
        <v>68.244451648263507</v>
      </c>
      <c r="C366" s="831"/>
      <c r="D366" s="388">
        <f t="shared" si="127"/>
        <v>70.441794514443544</v>
      </c>
      <c r="E366" s="380">
        <f t="shared" si="150"/>
        <v>73.579131454023894</v>
      </c>
      <c r="F366" s="380">
        <f t="shared" si="128"/>
        <v>73.760367291893189</v>
      </c>
      <c r="G366" s="110">
        <f t="shared" si="151"/>
        <v>0.76960088933198889</v>
      </c>
      <c r="H366" s="409" t="b">
        <f>Wh_hp&gt;='2026'!Maxi_hp</f>
        <v>0</v>
      </c>
      <c r="I366" s="385">
        <f>IF(H366,Wh_hp,'2026'!Maxi_hp)</f>
        <v>98.158403846650032</v>
      </c>
      <c r="J366" s="85">
        <f>IF(H366,An,'2026'!An_max)</f>
        <v>2021</v>
      </c>
      <c r="K366" s="193">
        <f t="shared" si="129"/>
        <v>46739</v>
      </c>
      <c r="L366" s="143">
        <f>IF(t&lt;Tvie,1-EXP((T0-t)*PertePVj)+'2026'!Pspv,1-EXP((T0-t)*PertePVj)+Pspv)</f>
        <v>3.1193737770685015E-2</v>
      </c>
      <c r="M366" s="835"/>
      <c r="N366" s="835"/>
      <c r="O366" s="48">
        <f>IF(t&lt;Tnet,'2026'!Resal+('2026'!Salim-'2026'!Resal)*(1-EXP(('2026'!Tnet-t)/('2026'!Tau_j))),Resal+(Salim-Resal)*(1-EXP((Tnet-t)/(Tau_j))))*Salcycl</f>
        <v>4.2638950441277267E-2</v>
      </c>
      <c r="P366" s="165">
        <f>(INDEX(Models!$BJ366:$BT366,,T366)*(1-R366)+INDEX(Models!$BJ366:$BT366,,T366+1)*R366-ERP_i)*Q366*Ramure*Pc/MaxiM</f>
        <v>3.6554005017538165E-3</v>
      </c>
      <c r="Q366" s="301">
        <f t="shared" si="130"/>
        <v>0.5</v>
      </c>
      <c r="R366" s="173">
        <f t="shared" si="131"/>
        <v>0.98949917099479334</v>
      </c>
      <c r="S366" s="801">
        <f t="shared" si="132"/>
        <v>2</v>
      </c>
      <c r="T366" s="172">
        <f t="shared" si="133"/>
        <v>8</v>
      </c>
      <c r="U366" s="247">
        <f t="shared" si="134"/>
        <v>2.9894991709947933</v>
      </c>
      <c r="V366" s="378">
        <f t="shared" si="135"/>
        <v>88.568598474566642</v>
      </c>
      <c r="W366" s="397">
        <f t="shared" si="136"/>
        <v>68.244451648263507</v>
      </c>
      <c r="X366" s="153">
        <f t="shared" si="137"/>
        <v>46739</v>
      </c>
      <c r="Y366" s="380">
        <f t="shared" si="138"/>
        <v>66.735382135790388</v>
      </c>
      <c r="Z366" s="380">
        <f t="shared" si="139"/>
        <v>68.884135804640607</v>
      </c>
      <c r="AA366" s="381">
        <f t="shared" si="140"/>
        <v>73.579131454023894</v>
      </c>
      <c r="AB366" s="193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6.3808794105118999E-2</v>
      </c>
      <c r="AD366" s="227">
        <f>(INDEX(Models!$BJ366:$BT366,,AH366)*(1-AF366)+INDEX(Models!$BJ366:$BT366,,AH366+1)*AF366-ERP_i)*AE366*Ramure*Pc/MaxiM</f>
        <v>3.6554005017538165E-3</v>
      </c>
      <c r="AE366" s="301">
        <f t="shared" si="142"/>
        <v>0.5</v>
      </c>
      <c r="AF366" s="173">
        <f t="shared" si="143"/>
        <v>0.98949917099479334</v>
      </c>
      <c r="AG366" s="801">
        <f t="shared" si="149"/>
        <v>2</v>
      </c>
      <c r="AH366" s="172">
        <f t="shared" si="144"/>
        <v>8</v>
      </c>
      <c r="AI366" s="221">
        <f t="shared" si="145"/>
        <v>2.9894991709947933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46740</v>
      </c>
      <c r="B367" s="406">
        <f>'2026'!Wh/'2026'!Env_an*'2027'!Env_an</f>
        <v>65.597212793492162</v>
      </c>
      <c r="C367" s="831"/>
      <c r="D367" s="388">
        <f t="shared" si="127"/>
        <v>67.710246448649542</v>
      </c>
      <c r="E367" s="380">
        <f t="shared" si="150"/>
        <v>70.728603044885219</v>
      </c>
      <c r="F367" s="380">
        <f t="shared" si="128"/>
        <v>70.891250888217158</v>
      </c>
      <c r="G367" s="110">
        <f t="shared" si="151"/>
        <v>0.73976400351490934</v>
      </c>
      <c r="H367" s="409" t="b">
        <f>Wh_hp&gt;='2026'!Maxi_hp</f>
        <v>0</v>
      </c>
      <c r="I367" s="385">
        <f>IF(H367,Wh_hp,'2026'!Maxi_hp)</f>
        <v>96.560601713863988</v>
      </c>
      <c r="J367" s="85">
        <f>IF(H367,An,'2026'!An_max)</f>
        <v>2021</v>
      </c>
      <c r="K367" s="193">
        <f t="shared" si="129"/>
        <v>46740</v>
      </c>
      <c r="L367" s="143">
        <f>IF(t&lt;Tvie,1-EXP((T0-t)*PertePVj)+'2026'!Pspv,1-EXP((T0-t)*PertePVj)+Pspv)</f>
        <v>3.1206999914848543E-2</v>
      </c>
      <c r="M367" s="835"/>
      <c r="N367" s="835"/>
      <c r="O367" s="48">
        <f>IF(t&lt;Tnet,'2026'!Resal+('2026'!Salim-'2026'!Resal)*(1-EXP(('2026'!Tnet-t)/('2026'!Tau_j))),Resal+(Salim-Resal)*(1-EXP((Tnet-t)/(Tau_j))))*Salcycl</f>
        <v>4.2675190323215997E-2</v>
      </c>
      <c r="P367" s="165">
        <f>(INDEX(Models!$BJ367:$BT367,,T367)*(1-R367)+INDEX(Models!$BJ367:$BT367,,T367+1)*R367-ERP_i)*Q367*Ramure*Pc/MaxiM</f>
        <v>3.6437261697706406E-3</v>
      </c>
      <c r="Q367" s="301">
        <f t="shared" si="130"/>
        <v>0.5</v>
      </c>
      <c r="R367" s="173">
        <f t="shared" si="131"/>
        <v>0.98950703016875963</v>
      </c>
      <c r="S367" s="801">
        <f t="shared" si="132"/>
        <v>2</v>
      </c>
      <c r="T367" s="172">
        <f t="shared" si="133"/>
        <v>8</v>
      </c>
      <c r="U367" s="247">
        <f t="shared" si="134"/>
        <v>2.9895070301687596</v>
      </c>
      <c r="V367" s="378">
        <f t="shared" si="135"/>
        <v>88.553230796282151</v>
      </c>
      <c r="W367" s="397">
        <f t="shared" si="136"/>
        <v>65.597212793492162</v>
      </c>
      <c r="X367" s="153">
        <f t="shared" si="137"/>
        <v>46740</v>
      </c>
      <c r="Y367" s="380">
        <f t="shared" si="138"/>
        <v>64.148378410402088</v>
      </c>
      <c r="Z367" s="380">
        <f t="shared" si="139"/>
        <v>66.214741853795189</v>
      </c>
      <c r="AA367" s="381">
        <f t="shared" si="140"/>
        <v>70.728603044885219</v>
      </c>
      <c r="AB367" s="193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6.3819459126394584E-2</v>
      </c>
      <c r="AD367" s="227">
        <f>(INDEX(Models!$BJ367:$BT367,,AH367)*(1-AF367)+INDEX(Models!$BJ367:$BT367,,AH367+1)*AF367-ERP_i)*AE367*Ramure*Pc/MaxiM</f>
        <v>3.6437261697706406E-3</v>
      </c>
      <c r="AE367" s="301">
        <f t="shared" si="142"/>
        <v>0.5</v>
      </c>
      <c r="AF367" s="173">
        <f t="shared" si="143"/>
        <v>0.98950703016875963</v>
      </c>
      <c r="AG367" s="801">
        <f t="shared" si="149"/>
        <v>2</v>
      </c>
      <c r="AH367" s="172">
        <f t="shared" si="144"/>
        <v>8</v>
      </c>
      <c r="AI367" s="221">
        <f t="shared" si="145"/>
        <v>2.9895070301687596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46741</v>
      </c>
      <c r="B368" s="406">
        <f>'2026'!Wh/'2026'!Env_an*'2027'!Env_an</f>
        <v>17.149578582607937</v>
      </c>
      <c r="C368" s="831"/>
      <c r="D368" s="388">
        <f t="shared" si="127"/>
        <v>17.702247381683762</v>
      </c>
      <c r="E368" s="380">
        <f t="shared" si="150"/>
        <v>18.492076194449179</v>
      </c>
      <c r="F368" s="380">
        <f t="shared" si="128"/>
        <v>18.492076194449179</v>
      </c>
      <c r="G368" s="110">
        <f t="shared" si="151"/>
        <v>0.19290590353817796</v>
      </c>
      <c r="H368" s="409" t="b">
        <f>Wh_hp&gt;='2026'!Maxi_hp</f>
        <v>0</v>
      </c>
      <c r="I368" s="385">
        <f>IF(H368,Wh_hp,'2026'!Maxi_hp)</f>
        <v>98.669245392496961</v>
      </c>
      <c r="J368" s="85">
        <f>IF(H368,An,'2026'!An_max)</f>
        <v>2021</v>
      </c>
      <c r="K368" s="193">
        <f t="shared" si="129"/>
        <v>46741</v>
      </c>
      <c r="L368" s="143">
        <f>IF(t&lt;Tvie,1-EXP((T0-t)*PertePVj)+'2026'!Pspv,1-EXP((T0-t)*PertePVj)+Pspv)</f>
        <v>3.1220261877464406E-2</v>
      </c>
      <c r="M368" s="835"/>
      <c r="N368" s="835"/>
      <c r="O368" s="48">
        <f>IF(t&lt;Tnet,'2026'!Resal+('2026'!Salim-'2026'!Resal)*(1-EXP(('2026'!Tnet-t)/('2026'!Tau_j))),Resal+(Salim-Resal)*(1-EXP((Tnet-t)/(Tau_j))))*Salcycl</f>
        <v>4.2711743368357057E-2</v>
      </c>
      <c r="P368" s="165">
        <f>(INDEX(Models!$BJ368:$BT368,,T368)*(1-R368)+INDEX(Models!$BJ368:$BT368,,T368+1)*R368-ERP_i)*Q368*Ramure*Pc/MaxiM</f>
        <v>3.633307362333475E-3</v>
      </c>
      <c r="Q368" s="301">
        <f t="shared" si="130"/>
        <v>0.5</v>
      </c>
      <c r="R368" s="173">
        <f t="shared" si="131"/>
        <v>0.98951457314159796</v>
      </c>
      <c r="S368" s="801">
        <f t="shared" si="132"/>
        <v>2</v>
      </c>
      <c r="T368" s="172">
        <f t="shared" si="133"/>
        <v>8</v>
      </c>
      <c r="U368" s="247">
        <f t="shared" si="134"/>
        <v>2.989514573141598</v>
      </c>
      <c r="V368" s="378">
        <f t="shared" si="135"/>
        <v>88.578257995619566</v>
      </c>
      <c r="W368" s="397">
        <f t="shared" si="136"/>
        <v>17.149578582607937</v>
      </c>
      <c r="X368" s="153">
        <f t="shared" si="137"/>
        <v>46741</v>
      </c>
      <c r="Y368" s="380">
        <f t="shared" si="138"/>
        <v>16.771238683985999</v>
      </c>
      <c r="Z368" s="380">
        <f t="shared" si="139"/>
        <v>17.311714958539625</v>
      </c>
      <c r="AA368" s="381">
        <f t="shared" si="140"/>
        <v>18.492076194449179</v>
      </c>
      <c r="AB368" s="193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6.3830649598116379E-2</v>
      </c>
      <c r="AD368" s="227">
        <f>(INDEX(Models!$BJ368:$BT368,,AH368)*(1-AF368)+INDEX(Models!$BJ368:$BT368,,AH368+1)*AF368-ERP_i)*AE368*Ramure*Pc/MaxiM</f>
        <v>3.633307362333475E-3</v>
      </c>
      <c r="AE368" s="301">
        <f t="shared" si="142"/>
        <v>0.5</v>
      </c>
      <c r="AF368" s="173">
        <f t="shared" si="143"/>
        <v>0.98951457314159796</v>
      </c>
      <c r="AG368" s="801">
        <f t="shared" si="149"/>
        <v>2</v>
      </c>
      <c r="AH368" s="172">
        <f t="shared" si="144"/>
        <v>8</v>
      </c>
      <c r="AI368" s="221">
        <f t="shared" si="145"/>
        <v>2.989514573141598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46742</v>
      </c>
      <c r="B369" s="406">
        <f>'2026'!Wh/'2026'!Env_an*'2027'!Env_an</f>
        <v>81.035113397285926</v>
      </c>
      <c r="C369" s="831"/>
      <c r="D369" s="388">
        <f t="shared" si="127"/>
        <v>83.647726646481487</v>
      </c>
      <c r="E369" s="380">
        <f t="shared" si="150"/>
        <v>87.383236329369282</v>
      </c>
      <c r="F369" s="380">
        <f t="shared" si="128"/>
        <v>87.661977005539782</v>
      </c>
      <c r="G369" s="110">
        <f t="shared" si="151"/>
        <v>0.91375739191996075</v>
      </c>
      <c r="H369" s="409" t="b">
        <f>Wh_hp&gt;='2026'!Maxi_hp</f>
        <v>0</v>
      </c>
      <c r="I369" s="385">
        <f>IF(H369,Wh_hp,'2026'!Maxi_hp)</f>
        <v>87.695365898496206</v>
      </c>
      <c r="J369" s="85">
        <f>IF(H369,An,'2026'!An_max)</f>
        <v>2022</v>
      </c>
      <c r="K369" s="193">
        <f t="shared" si="129"/>
        <v>46742</v>
      </c>
      <c r="L369" s="143">
        <f>IF(t&lt;Tvie,1-EXP((T0-t)*PertePVj)+'2026'!Pspv,1-EXP((T0-t)*PertePVj)+Pspv)</f>
        <v>3.1233523658535156E-2</v>
      </c>
      <c r="M369" s="835"/>
      <c r="N369" s="835"/>
      <c r="O369" s="48">
        <f>IF(t&lt;Tnet,'2026'!Resal+('2026'!Salim-'2026'!Resal)*(1-EXP(('2026'!Tnet-t)/('2026'!Tau_j))),Resal+(Salim-Resal)*(1-EXP((Tnet-t)/(Tau_j))))*Salcycl</f>
        <v>4.2748584737783368E-2</v>
      </c>
      <c r="P369" s="165">
        <f>(INDEX(Models!$BJ369:$BT369,,T369)*(1-R369)+INDEX(Models!$BJ369:$BT369,,T369+1)*R369-ERP_i)*Q369*Ramure*Pc/MaxiM</f>
        <v>3.6241161587774328E-3</v>
      </c>
      <c r="Q369" s="301">
        <f t="shared" si="130"/>
        <v>0.5</v>
      </c>
      <c r="R369" s="173">
        <f t="shared" si="131"/>
        <v>0.98952181262618488</v>
      </c>
      <c r="S369" s="801">
        <f t="shared" si="132"/>
        <v>2</v>
      </c>
      <c r="T369" s="172">
        <f t="shared" si="133"/>
        <v>8</v>
      </c>
      <c r="U369" s="247">
        <f t="shared" si="134"/>
        <v>2.9895218126261849</v>
      </c>
      <c r="V369" s="378">
        <f t="shared" si="135"/>
        <v>88.64386507059568</v>
      </c>
      <c r="W369" s="397">
        <f t="shared" si="136"/>
        <v>81.035113397285926</v>
      </c>
      <c r="X369" s="153">
        <f t="shared" si="137"/>
        <v>46742</v>
      </c>
      <c r="Y369" s="380">
        <f t="shared" si="138"/>
        <v>79.249444775392746</v>
      </c>
      <c r="Z369" s="380">
        <f t="shared" si="139"/>
        <v>81.804487160494389</v>
      </c>
      <c r="AA369" s="381">
        <f t="shared" si="140"/>
        <v>87.383236329369282</v>
      </c>
      <c r="AB369" s="193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6.3842327238226679E-2</v>
      </c>
      <c r="AD369" s="227">
        <f>(INDEX(Models!$BJ369:$BT369,,AH369)*(1-AF369)+INDEX(Models!$BJ369:$BT369,,AH369+1)*AF369-ERP_i)*AE369*Ramure*Pc/MaxiM</f>
        <v>3.6241161587774328E-3</v>
      </c>
      <c r="AE369" s="301">
        <f t="shared" si="142"/>
        <v>0.5</v>
      </c>
      <c r="AF369" s="173">
        <f t="shared" si="143"/>
        <v>0.98952181262618488</v>
      </c>
      <c r="AG369" s="801">
        <f t="shared" si="149"/>
        <v>2</v>
      </c>
      <c r="AH369" s="172">
        <f t="shared" si="144"/>
        <v>8</v>
      </c>
      <c r="AI369" s="221">
        <f t="shared" si="145"/>
        <v>2.9895218126261849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46743</v>
      </c>
      <c r="B370" s="406">
        <f>'2026'!Wh/'2026'!Env_an*'2027'!Env_an</f>
        <v>67.501735092686317</v>
      </c>
      <c r="C370" s="831"/>
      <c r="D370" s="388">
        <f t="shared" si="127"/>
        <v>69.678979192515925</v>
      </c>
      <c r="E370" s="380">
        <f t="shared" si="150"/>
        <v>72.793499296950216</v>
      </c>
      <c r="F370" s="380">
        <f t="shared" si="128"/>
        <v>72.967110743241605</v>
      </c>
      <c r="G370" s="110">
        <f t="shared" si="151"/>
        <v>0.75963796212188062</v>
      </c>
      <c r="H370" s="409" t="b">
        <f>Wh_hp&gt;='2026'!Maxi_hp</f>
        <v>0</v>
      </c>
      <c r="I370" s="385">
        <f>IF(H370,Wh_hp,'2026'!Maxi_hp)</f>
        <v>94.664901862942699</v>
      </c>
      <c r="J370" s="85">
        <f>IF(H370,An,'2026'!An_max)</f>
        <v>2021</v>
      </c>
      <c r="K370" s="193">
        <f t="shared" si="129"/>
        <v>46743</v>
      </c>
      <c r="L370" s="143">
        <f>IF(t&lt;Tvie,1-EXP((T0-t)*PertePVj)+'2026'!Pspv,1-EXP((T0-t)*PertePVj)+Pspv)</f>
        <v>3.1246785258063237E-2</v>
      </c>
      <c r="M370" s="835"/>
      <c r="N370" s="835"/>
      <c r="O370" s="48">
        <f>IF(t&lt;Tnet,'2026'!Resal+('2026'!Salim-'2026'!Resal)*(1-EXP(('2026'!Tnet-t)/('2026'!Tau_j))),Resal+(Salim-Resal)*(1-EXP((Tnet-t)/(Tau_j))))*Salcycl</f>
        <v>4.2785690130502763E-2</v>
      </c>
      <c r="P370" s="165">
        <f>(INDEX(Models!$BJ370:$BT370,,T370)*(1-R370)+INDEX(Models!$BJ370:$BT370,,T370+1)*R370-ERP_i)*Q370*Ramure*Pc/MaxiM</f>
        <v>3.6161240388022679E-3</v>
      </c>
      <c r="Q370" s="301">
        <f t="shared" si="130"/>
        <v>0.5</v>
      </c>
      <c r="R370" s="173">
        <f t="shared" si="131"/>
        <v>0.98952876082498209</v>
      </c>
      <c r="S370" s="801">
        <f t="shared" si="132"/>
        <v>2</v>
      </c>
      <c r="T370" s="172">
        <f t="shared" si="133"/>
        <v>8</v>
      </c>
      <c r="U370" s="247">
        <f t="shared" si="134"/>
        <v>2.9895287608249821</v>
      </c>
      <c r="V370" s="378">
        <f t="shared" si="135"/>
        <v>88.750236705109273</v>
      </c>
      <c r="W370" s="397">
        <f t="shared" si="136"/>
        <v>67.501735092686317</v>
      </c>
      <c r="X370" s="153">
        <f t="shared" si="137"/>
        <v>46743</v>
      </c>
      <c r="Y370" s="380">
        <f t="shared" si="138"/>
        <v>66.015988224556793</v>
      </c>
      <c r="Z370" s="380">
        <f t="shared" si="139"/>
        <v>68.145310095453553</v>
      </c>
      <c r="AA370" s="381">
        <f t="shared" si="140"/>
        <v>72.793499296950216</v>
      </c>
      <c r="AB370" s="193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6.3854454675067437E-2</v>
      </c>
      <c r="AD370" s="227">
        <f>(INDEX(Models!$BJ370:$BT370,,AH370)*(1-AF370)+INDEX(Models!$BJ370:$BT370,,AH370+1)*AF370-ERP_i)*AE370*Ramure*Pc/MaxiM</f>
        <v>3.6161240388022679E-3</v>
      </c>
      <c r="AE370" s="301">
        <f t="shared" si="142"/>
        <v>0.5</v>
      </c>
      <c r="AF370" s="173">
        <f t="shared" si="143"/>
        <v>0.98952876082498209</v>
      </c>
      <c r="AG370" s="801">
        <f t="shared" si="149"/>
        <v>2</v>
      </c>
      <c r="AH370" s="172">
        <f t="shared" si="144"/>
        <v>8</v>
      </c>
      <c r="AI370" s="221">
        <f t="shared" si="145"/>
        <v>2.9895287608249821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46744</v>
      </c>
      <c r="B371" s="406">
        <f>'2026'!Wh/'2026'!Env_an*'2027'!Env_an</f>
        <v>69.238522746776823</v>
      </c>
      <c r="C371" s="831"/>
      <c r="D371" s="388">
        <f t="shared" si="127"/>
        <v>71.472764707602906</v>
      </c>
      <c r="E371" s="380">
        <f t="shared" si="150"/>
        <v>74.670376940873453</v>
      </c>
      <c r="F371" s="380">
        <f t="shared" si="128"/>
        <v>74.85519845547168</v>
      </c>
      <c r="G371" s="110">
        <f t="shared" si="151"/>
        <v>0.7779671397537018</v>
      </c>
      <c r="H371" s="409" t="b">
        <f>Wh_hp&gt;='2026'!Maxi_hp</f>
        <v>0</v>
      </c>
      <c r="I371" s="385">
        <f>IF(H371,Wh_hp,'2026'!Maxi_hp)</f>
        <v>74.928334057656301</v>
      </c>
      <c r="J371" s="85">
        <f>IF(H371,An,'2026'!An_max)</f>
        <v>2022</v>
      </c>
      <c r="K371" s="193">
        <f t="shared" si="129"/>
        <v>46744</v>
      </c>
      <c r="L371" s="143">
        <f>IF(t&lt;Tvie,1-EXP((T0-t)*PertePVj)+'2026'!Pspv,1-EXP((T0-t)*PertePVj)+Pspv)</f>
        <v>3.126004667605109E-2</v>
      </c>
      <c r="M371" s="835"/>
      <c r="N371" s="835"/>
      <c r="O371" s="48">
        <f>IF(t&lt;Tnet,'2026'!Resal+('2026'!Salim-'2026'!Resal)*(1-EXP(('2026'!Tnet-t)/('2026'!Tau_j))),Resal+(Salim-Resal)*(1-EXP((Tnet-t)/(Tau_j))))*Salcycl</f>
        <v>4.2823035911584116E-2</v>
      </c>
      <c r="P371" s="165">
        <f>(INDEX(Models!$BJ371:$BT371,,T371)*(1-R371)+INDEX(Models!$BJ371:$BT371,,T371+1)*R371-ERP_i)*Q371*Ramure*Pc/MaxiM</f>
        <v>3.6092949567336349E-3</v>
      </c>
      <c r="Q371" s="301">
        <f t="shared" si="130"/>
        <v>0.5</v>
      </c>
      <c r="R371" s="173">
        <f t="shared" si="131"/>
        <v>0.98952876082498209</v>
      </c>
      <c r="S371" s="801">
        <f t="shared" si="132"/>
        <v>2</v>
      </c>
      <c r="T371" s="172">
        <f t="shared" si="133"/>
        <v>8</v>
      </c>
      <c r="U371" s="247">
        <f t="shared" si="134"/>
        <v>2.9895287608249821</v>
      </c>
      <c r="V371" s="378">
        <f t="shared" si="135"/>
        <v>88.897557738461842</v>
      </c>
      <c r="W371" s="397">
        <f t="shared" si="136"/>
        <v>69.238522746776823</v>
      </c>
      <c r="X371" s="153">
        <f t="shared" si="137"/>
        <v>46744</v>
      </c>
      <c r="Y371" s="380">
        <f t="shared" si="138"/>
        <v>67.716283141504547</v>
      </c>
      <c r="Z371" s="380">
        <f t="shared" si="139"/>
        <v>69.901404302729389</v>
      </c>
      <c r="AA371" s="381">
        <f t="shared" si="140"/>
        <v>74.670376940873453</v>
      </c>
      <c r="AB371" s="193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6.3866995634966464E-2</v>
      </c>
      <c r="AD371" s="227">
        <f>(INDEX(Models!$BJ371:$BT371,,AH371)*(1-AF371)+INDEX(Models!$BJ371:$BT371,,AH371+1)*AF371-ERP_i)*AE371*Ramure*Pc/MaxiM</f>
        <v>3.6092949567336349E-3</v>
      </c>
      <c r="AE371" s="301">
        <f t="shared" si="142"/>
        <v>0.5</v>
      </c>
      <c r="AF371" s="173">
        <f t="shared" si="143"/>
        <v>0.98952876082498209</v>
      </c>
      <c r="AG371" s="801">
        <f t="shared" si="149"/>
        <v>2</v>
      </c>
      <c r="AH371" s="172">
        <f t="shared" si="144"/>
        <v>8</v>
      </c>
      <c r="AI371" s="221">
        <f t="shared" si="145"/>
        <v>2.9895287608249821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46745</v>
      </c>
      <c r="B372" s="406">
        <f>'2026'!Wh/'2026'!Env_an*'2027'!Env_an</f>
        <v>84.053844931921418</v>
      </c>
      <c r="C372" s="831"/>
      <c r="D372" s="388">
        <f t="shared" si="127"/>
        <v>86.76734688789746</v>
      </c>
      <c r="E372" s="380">
        <f t="shared" si="150"/>
        <v>90.652779331947016</v>
      </c>
      <c r="F372" s="380">
        <f t="shared" si="128"/>
        <v>90.954092873505374</v>
      </c>
      <c r="G372" s="110">
        <f t="shared" si="151"/>
        <v>0.94323811024608362</v>
      </c>
      <c r="H372" s="409" t="b">
        <f>Wh_hp&gt;='2026'!Maxi_hp</f>
        <v>0</v>
      </c>
      <c r="I372" s="385">
        <f>IF(H372,Wh_hp,'2026'!Maxi_hp)</f>
        <v>90.976752342658557</v>
      </c>
      <c r="J372" s="85">
        <f>IF(H372,An,'2026'!An_max)</f>
        <v>2022</v>
      </c>
      <c r="K372" s="193">
        <f t="shared" si="129"/>
        <v>46745</v>
      </c>
      <c r="L372" s="143">
        <f>IF(t&lt;Tvie,1-EXP((T0-t)*PertePVj)+'2026'!Pspv,1-EXP((T0-t)*PertePVj)+Pspv)</f>
        <v>3.127330791250138E-2</v>
      </c>
      <c r="M372" s="835"/>
      <c r="N372" s="835"/>
      <c r="O372" s="48">
        <f>IF(t&lt;Tnet,'2026'!Resal+('2026'!Salim-'2026'!Resal)*(1-EXP(('2026'!Tnet-t)/('2026'!Tau_j))),Resal+(Salim-Resal)*(1-EXP((Tnet-t)/(Tau_j))))*Salcycl</f>
        <v>4.2860599230191393E-2</v>
      </c>
      <c r="P372" s="165">
        <f>(INDEX(Models!$BJ372:$BT372,,T372)*(1-R372)+INDEX(Models!$BJ372:$BT372,,T372+1)*R372-ERP_i)*Q372*Ramure*Pc/MaxiM</f>
        <v>3.6036023015280534E-3</v>
      </c>
      <c r="Q372" s="301">
        <f t="shared" si="130"/>
        <v>0.5</v>
      </c>
      <c r="R372" s="173">
        <f t="shared" si="131"/>
        <v>0.98952876082498209</v>
      </c>
      <c r="S372" s="801">
        <f t="shared" si="132"/>
        <v>2</v>
      </c>
      <c r="T372" s="172">
        <f t="shared" si="133"/>
        <v>8</v>
      </c>
      <c r="U372" s="247">
        <f t="shared" si="134"/>
        <v>2.9895287608249821</v>
      </c>
      <c r="V372" s="378">
        <f t="shared" si="135"/>
        <v>89.086011778014239</v>
      </c>
      <c r="W372" s="397">
        <f t="shared" si="136"/>
        <v>84.053844931921418</v>
      </c>
      <c r="X372" s="153">
        <f t="shared" si="137"/>
        <v>46745</v>
      </c>
      <c r="Y372" s="380">
        <f t="shared" si="138"/>
        <v>82.207975546068212</v>
      </c>
      <c r="Z372" s="380">
        <f t="shared" si="139"/>
        <v>84.861887483371746</v>
      </c>
      <c r="AA372" s="381">
        <f t="shared" si="140"/>
        <v>90.652779331947016</v>
      </c>
      <c r="AB372" s="193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6.3879915114025548E-2</v>
      </c>
      <c r="AD372" s="227">
        <f>(INDEX(Models!$BJ372:$BT372,,AH372)*(1-AF372)+INDEX(Models!$BJ372:$BT372,,AH372+1)*AF372-ERP_i)*AE372*Ramure*Pc/MaxiM</f>
        <v>3.6036023015280534E-3</v>
      </c>
      <c r="AE372" s="301">
        <f t="shared" si="142"/>
        <v>0.5</v>
      </c>
      <c r="AF372" s="173">
        <f t="shared" si="143"/>
        <v>0.98952876082498209</v>
      </c>
      <c r="AG372" s="801">
        <f t="shared" si="149"/>
        <v>2</v>
      </c>
      <c r="AH372" s="172">
        <f t="shared" si="144"/>
        <v>8</v>
      </c>
      <c r="AI372" s="221">
        <f t="shared" si="145"/>
        <v>2.9895287608249821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46746</v>
      </c>
      <c r="B373" s="406">
        <f>'2026'!Wh/'2026'!Env_an*'2027'!Env_an</f>
        <v>47.356087285710387</v>
      </c>
      <c r="C373" s="831"/>
      <c r="D373" s="388">
        <f t="shared" si="127"/>
        <v>48.88554836617881</v>
      </c>
      <c r="E373" s="380">
        <f t="shared" si="150"/>
        <v>51.076652914838597</v>
      </c>
      <c r="F373" s="380">
        <f t="shared" si="128"/>
        <v>51.137171076733971</v>
      </c>
      <c r="G373" s="110">
        <f t="shared" si="151"/>
        <v>0.52890582480515036</v>
      </c>
      <c r="H373" s="409" t="b">
        <f>Wh_hp&gt;='2026'!Maxi_hp</f>
        <v>0</v>
      </c>
      <c r="I373" s="385">
        <f>IF(H373,Wh_hp,'2026'!Maxi_hp)</f>
        <v>51.242914990757299</v>
      </c>
      <c r="J373" s="85">
        <f>IF(H373,An,'2026'!An_max)</f>
        <v>2022</v>
      </c>
      <c r="K373" s="193">
        <f t="shared" si="129"/>
        <v>46746</v>
      </c>
      <c r="L373" s="143">
        <f>IF(t&lt;Tvie,1-EXP((T0-t)*PertePVj)+'2026'!Pspv,1-EXP((T0-t)*PertePVj)+Pspv)</f>
        <v>3.1286568967416439E-2</v>
      </c>
      <c r="M373" s="835"/>
      <c r="N373" s="835"/>
      <c r="O373" s="48">
        <f>IF(t&lt;Tnet,'2026'!Resal+('2026'!Salim-'2026'!Resal)*(1-EXP(('2026'!Tnet-t)/('2026'!Tau_j))),Resal+(Salim-Resal)*(1-EXP((Tnet-t)/(Tau_j))))*Salcycl</f>
        <v>4.289835812681516E-2</v>
      </c>
      <c r="P373" s="165">
        <f>(INDEX(Models!$BJ373:$BT373,,T373)*(1-R373)+INDEX(Models!$BJ373:$BT373,,T373+1)*R373-ERP_i)*Q373*Ramure*Pc/MaxiM</f>
        <v>3.5988559266383066E-3</v>
      </c>
      <c r="Q373" s="301">
        <f t="shared" si="130"/>
        <v>0.5</v>
      </c>
      <c r="R373" s="173">
        <f t="shared" si="131"/>
        <v>0.98952876082498209</v>
      </c>
      <c r="S373" s="801">
        <f t="shared" si="132"/>
        <v>2</v>
      </c>
      <c r="T373" s="172">
        <f t="shared" si="133"/>
        <v>8</v>
      </c>
      <c r="U373" s="247">
        <f t="shared" si="134"/>
        <v>2.9895287608249821</v>
      </c>
      <c r="V373" s="378">
        <f t="shared" si="135"/>
        <v>89.319431274776662</v>
      </c>
      <c r="W373" s="397">
        <f t="shared" si="136"/>
        <v>47.356087285710387</v>
      </c>
      <c r="X373" s="153">
        <f t="shared" si="137"/>
        <v>46746</v>
      </c>
      <c r="Y373" s="380">
        <f t="shared" si="138"/>
        <v>46.317292081973989</v>
      </c>
      <c r="Z373" s="380">
        <f t="shared" si="139"/>
        <v>47.81320316019864</v>
      </c>
      <c r="AA373" s="381">
        <f t="shared" si="140"/>
        <v>51.076652914838597</v>
      </c>
      <c r="AB373" s="193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6.38931795331458E-2</v>
      </c>
      <c r="AD373" s="227">
        <f>(INDEX(Models!$BJ373:$BT373,,AH373)*(1-AF373)+INDEX(Models!$BJ373:$BT373,,AH373+1)*AF373-ERP_i)*AE373*Ramure*Pc/MaxiM</f>
        <v>3.5988559266383066E-3</v>
      </c>
      <c r="AE373" s="301">
        <f t="shared" si="142"/>
        <v>0.5</v>
      </c>
      <c r="AF373" s="173">
        <f t="shared" si="143"/>
        <v>0.98952876082498209</v>
      </c>
      <c r="AG373" s="801">
        <f t="shared" si="149"/>
        <v>2</v>
      </c>
      <c r="AH373" s="172">
        <f t="shared" si="144"/>
        <v>8</v>
      </c>
      <c r="AI373" s="221">
        <f t="shared" si="145"/>
        <v>2.9895287608249821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46747</v>
      </c>
      <c r="B374" s="406">
        <f>'2026'!Wh/'2026'!Env_an*'2027'!Env_an</f>
        <v>80.914517482387666</v>
      </c>
      <c r="C374" s="831"/>
      <c r="D374" s="388">
        <f t="shared" si="127"/>
        <v>83.528959708027884</v>
      </c>
      <c r="E374" s="380">
        <f t="shared" si="150"/>
        <v>87.27627949680631</v>
      </c>
      <c r="F374" s="380">
        <f t="shared" si="128"/>
        <v>87.547420547945123</v>
      </c>
      <c r="G374" s="110">
        <f t="shared" si="151"/>
        <v>0.90260931992427806</v>
      </c>
      <c r="H374" s="409" t="b">
        <f>Wh_hp&gt;='2026'!Maxi_hp</f>
        <v>0</v>
      </c>
      <c r="I374" s="385">
        <f>IF(H374,Wh_hp,'2026'!Maxi_hp)</f>
        <v>87.584724087627364</v>
      </c>
      <c r="J374" s="85">
        <f>IF(H374,An,'2026'!An_max)</f>
        <v>2022</v>
      </c>
      <c r="K374" s="193">
        <f t="shared" si="129"/>
        <v>46747</v>
      </c>
      <c r="L374" s="143">
        <f>IF(t&lt;Tvie,1-EXP((T0-t)*PertePVj)+'2026'!Pspv,1-EXP((T0-t)*PertePVj)+Pspv)</f>
        <v>3.1299829840798821E-2</v>
      </c>
      <c r="M374" s="835"/>
      <c r="N374" s="835"/>
      <c r="O374" s="48">
        <f>IF(t&lt;Tnet,'2026'!Resal+('2026'!Salim-'2026'!Resal)*(1-EXP(('2026'!Tnet-t)/('2026'!Tau_j))),Resal+(Salim-Resal)*(1-EXP((Tnet-t)/(Tau_j))))*Salcycl</f>
        <v>4.293629162910808E-2</v>
      </c>
      <c r="P374" s="165">
        <f>(INDEX(Models!$BJ374:$BT374,,T374)*(1-R374)+INDEX(Models!$BJ374:$BT374,,T374+1)*R374-ERP_i)*Q374*Ramure*Pc/MaxiM</f>
        <v>3.5949199291293653E-3</v>
      </c>
      <c r="Q374" s="301">
        <f t="shared" si="130"/>
        <v>0.5</v>
      </c>
      <c r="R374" s="173">
        <f t="shared" si="131"/>
        <v>0.98952876082498209</v>
      </c>
      <c r="S374" s="801">
        <f t="shared" si="132"/>
        <v>2</v>
      </c>
      <c r="T374" s="172">
        <f t="shared" si="133"/>
        <v>8</v>
      </c>
      <c r="U374" s="247">
        <f t="shared" si="134"/>
        <v>2.9895287608249821</v>
      </c>
      <c r="V374" s="378">
        <f t="shared" si="135"/>
        <v>89.600348437383659</v>
      </c>
      <c r="W374" s="397">
        <f t="shared" si="136"/>
        <v>80.914517482387666</v>
      </c>
      <c r="X374" s="153">
        <f t="shared" si="137"/>
        <v>46747</v>
      </c>
      <c r="Y374" s="380">
        <f t="shared" si="138"/>
        <v>79.141579001959386</v>
      </c>
      <c r="Z374" s="380">
        <f t="shared" si="139"/>
        <v>81.698735522006615</v>
      </c>
      <c r="AA374" s="381">
        <f t="shared" si="140"/>
        <v>87.27627949680631</v>
      </c>
      <c r="AB374" s="193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6.3906756875489745E-2</v>
      </c>
      <c r="AD374" s="227">
        <f>(INDEX(Models!$BJ374:$BT374,,AH374)*(1-AF374)+INDEX(Models!$BJ374:$BT374,,AH374+1)*AF374-ERP_i)*AE374*Ramure*Pc/MaxiM</f>
        <v>3.5949199291293653E-3</v>
      </c>
      <c r="AE374" s="301">
        <f t="shared" si="142"/>
        <v>0.5</v>
      </c>
      <c r="AF374" s="173">
        <f t="shared" si="143"/>
        <v>0.98952876082498209</v>
      </c>
      <c r="AG374" s="801">
        <f t="shared" si="149"/>
        <v>2</v>
      </c>
      <c r="AH374" s="172">
        <f t="shared" si="144"/>
        <v>8</v>
      </c>
      <c r="AI374" s="221">
        <f t="shared" si="145"/>
        <v>2.9895287608249821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46748</v>
      </c>
      <c r="B375" s="406">
        <f>'2026'!Wh/'2026'!Env_an*'2027'!Env_an</f>
        <v>25.079466530257889</v>
      </c>
      <c r="C375" s="831"/>
      <c r="D375" s="388">
        <f t="shared" si="127"/>
        <v>25.890167695203303</v>
      </c>
      <c r="E375" s="380">
        <f t="shared" si="150"/>
        <v>27.05274252821193</v>
      </c>
      <c r="F375" s="380">
        <f t="shared" si="128"/>
        <v>27.05274252821193</v>
      </c>
      <c r="G375" s="110">
        <f t="shared" si="151"/>
        <v>0.27788523945302179</v>
      </c>
      <c r="H375" s="409" t="b">
        <f>Wh_hp&gt;='2026'!Maxi_hp</f>
        <v>0</v>
      </c>
      <c r="I375" s="385">
        <f>IF(H375,Wh_hp,'2026'!Maxi_hp)</f>
        <v>41.855930622746683</v>
      </c>
      <c r="J375" s="85">
        <f>IF(H375,An,'2026'!An_max)</f>
        <v>2021</v>
      </c>
      <c r="K375" s="193">
        <f t="shared" si="129"/>
        <v>46748</v>
      </c>
      <c r="L375" s="143">
        <f>IF(t&lt;Tvie,1-EXP((T0-t)*PertePVj)+'2026'!Pspv,1-EXP((T0-t)*PertePVj)+Pspv)</f>
        <v>3.1313090532650856E-2</v>
      </c>
      <c r="M375" s="835"/>
      <c r="N375" s="835"/>
      <c r="O375" s="48">
        <f>IF(t&lt;Tnet,'2026'!Resal+('2026'!Salim-'2026'!Resal)*(1-EXP(('2026'!Tnet-t)/('2026'!Tau_j))),Resal+(Salim-Resal)*(1-EXP((Tnet-t)/(Tau_j))))*Salcycl</f>
        <v>4.2974379835842375E-2</v>
      </c>
      <c r="P375" s="165">
        <f>(INDEX(Models!$BJ375:$BT375,,T375)*(1-R375)+INDEX(Models!$BJ375:$BT375,,T375+1)*R375-ERP_i)*Q375*Ramure*Pc/MaxiM</f>
        <v>3.5958461254397278E-3</v>
      </c>
      <c r="Q375" s="301">
        <f t="shared" si="130"/>
        <v>0.5</v>
      </c>
      <c r="R375" s="173">
        <f t="shared" si="131"/>
        <v>0.98952876082498209</v>
      </c>
      <c r="S375" s="801">
        <f t="shared" si="132"/>
        <v>2</v>
      </c>
      <c r="T375" s="172">
        <f t="shared" si="133"/>
        <v>8</v>
      </c>
      <c r="U375" s="247">
        <f t="shared" si="134"/>
        <v>2.9895287608249821</v>
      </c>
      <c r="V375" s="378">
        <f t="shared" si="135"/>
        <v>89.926635458921382</v>
      </c>
      <c r="W375" s="397">
        <f t="shared" si="136"/>
        <v>25.079466530257889</v>
      </c>
      <c r="X375" s="153">
        <f t="shared" si="137"/>
        <v>46748</v>
      </c>
      <c r="Y375" s="380">
        <f t="shared" si="138"/>
        <v>24.530557036140571</v>
      </c>
      <c r="Z375" s="380">
        <f t="shared" si="139"/>
        <v>25.323514539521508</v>
      </c>
      <c r="AA375" s="381">
        <f t="shared" si="140"/>
        <v>27.05274252821193</v>
      </c>
      <c r="AB375" s="193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6.3920616805748939E-2</v>
      </c>
      <c r="AD375" s="227">
        <f>(INDEX(Models!$BJ375:$BT375,,AH375)*(1-AF375)+INDEX(Models!$BJ375:$BT375,,AH375+1)*AF375-ERP_i)*AE375*Ramure*Pc/MaxiM</f>
        <v>3.5958461254397278E-3</v>
      </c>
      <c r="AE375" s="301">
        <f t="shared" si="142"/>
        <v>0.5</v>
      </c>
      <c r="AF375" s="173">
        <f t="shared" si="143"/>
        <v>0.98952876082498209</v>
      </c>
      <c r="AG375" s="801">
        <f t="shared" si="149"/>
        <v>2</v>
      </c>
      <c r="AH375" s="172">
        <f t="shared" si="144"/>
        <v>8</v>
      </c>
      <c r="AI375" s="221">
        <f t="shared" si="145"/>
        <v>2.9895287608249821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46749</v>
      </c>
      <c r="B376" s="406">
        <f>'2026'!Wh/'2026'!Env_an*'2027'!Env_an</f>
        <v>65.817747904059118</v>
      </c>
      <c r="C376" s="831"/>
      <c r="D376" s="388">
        <f t="shared" si="127"/>
        <v>67.946256177119494</v>
      </c>
      <c r="E376" s="380">
        <f t="shared" si="150"/>
        <v>71.000157849844427</v>
      </c>
      <c r="F376" s="380">
        <f t="shared" si="128"/>
        <v>71.15713542505776</v>
      </c>
      <c r="G376" s="110">
        <f t="shared" si="151"/>
        <v>0.72788727321011348</v>
      </c>
      <c r="H376" s="409" t="b">
        <f>Wh_hp&gt;='2026'!Maxi_hp</f>
        <v>0</v>
      </c>
      <c r="I376" s="385">
        <f>IF(H376,Wh_hp,'2026'!Maxi_hp)</f>
        <v>71.241906609353137</v>
      </c>
      <c r="J376" s="85">
        <f>IF(H376,An,'2026'!An_max)</f>
        <v>2022</v>
      </c>
      <c r="K376" s="193">
        <f t="shared" si="129"/>
        <v>46749</v>
      </c>
      <c r="L376" s="143">
        <f>IF(t&lt;Tvie,1-EXP((T0-t)*PertePVj)+'2026'!Pspv,1-EXP((T0-t)*PertePVj)+Pspv)</f>
        <v>3.132635104297532E-2</v>
      </c>
      <c r="M376" s="835"/>
      <c r="N376" s="835"/>
      <c r="O376" s="48">
        <f>IF(t&lt;Tnet,'2026'!Resal+('2026'!Salim-'2026'!Resal)*(1-EXP(('2026'!Tnet-t)/('2026'!Tau_j))),Resal+(Salim-Resal)*(1-EXP((Tnet-t)/(Tau_j))))*Salcycl</f>
        <v>4.3012603988620834E-2</v>
      </c>
      <c r="P376" s="165">
        <f>(INDEX(Models!$BJ376:$BT376,,T376)*(1-R376)+INDEX(Models!$BJ376:$BT376,,T376+1)*R376-ERP_i)*Q376*Ramure*Pc/MaxiM</f>
        <v>3.6004368403959428E-3</v>
      </c>
      <c r="Q376" s="301">
        <f t="shared" si="130"/>
        <v>0.5</v>
      </c>
      <c r="R376" s="173">
        <f t="shared" si="131"/>
        <v>0.98952876082498209</v>
      </c>
      <c r="S376" s="801">
        <f t="shared" si="132"/>
        <v>2</v>
      </c>
      <c r="T376" s="172">
        <f t="shared" si="133"/>
        <v>8</v>
      </c>
      <c r="U376" s="247">
        <f t="shared" si="134"/>
        <v>2.9895287608249821</v>
      </c>
      <c r="V376" s="378">
        <f t="shared" si="135"/>
        <v>90.296634227781041</v>
      </c>
      <c r="W376" s="397">
        <f t="shared" si="136"/>
        <v>65.817747904059118</v>
      </c>
      <c r="X376" s="153">
        <f t="shared" si="137"/>
        <v>46749</v>
      </c>
      <c r="Y376" s="380">
        <f t="shared" si="138"/>
        <v>64.378808089488089</v>
      </c>
      <c r="Z376" s="380">
        <f t="shared" si="139"/>
        <v>66.460781873033341</v>
      </c>
      <c r="AA376" s="381">
        <f t="shared" si="140"/>
        <v>71.000157849844427</v>
      </c>
      <c r="AB376" s="193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6.3934730770757467E-2</v>
      </c>
      <c r="AD376" s="227">
        <f>(INDEX(Models!$BJ376:$BT376,,AH376)*(1-AF376)+INDEX(Models!$BJ376:$BT376,,AH376+1)*AF376-ERP_i)*AE376*Ramure*Pc/MaxiM</f>
        <v>3.6004368403959428E-3</v>
      </c>
      <c r="AE376" s="301">
        <f t="shared" si="142"/>
        <v>0.5</v>
      </c>
      <c r="AF376" s="173">
        <f t="shared" si="143"/>
        <v>0.98952876082498209</v>
      </c>
      <c r="AG376" s="801">
        <f t="shared" si="149"/>
        <v>2</v>
      </c>
      <c r="AH376" s="172">
        <f t="shared" si="144"/>
        <v>8</v>
      </c>
      <c r="AI376" s="221">
        <f t="shared" si="145"/>
        <v>2.9895287608249821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46750</v>
      </c>
      <c r="B377" s="406">
        <f>'2026'!Wh/'2026'!Env_an*'2027'!Env_an</f>
        <v>40.703736095719933</v>
      </c>
      <c r="C377" s="831"/>
      <c r="D377" s="388">
        <f t="shared" si="127"/>
        <v>42.020646837187989</v>
      </c>
      <c r="E377" s="380">
        <f t="shared" si="150"/>
        <v>43.911059512378877</v>
      </c>
      <c r="F377" s="380">
        <f t="shared" si="128"/>
        <v>43.944753966654119</v>
      </c>
      <c r="G377" s="110">
        <f t="shared" si="151"/>
        <v>0.44745458641169067</v>
      </c>
      <c r="H377" s="409" t="b">
        <f>Wh_hp&gt;='2026'!Maxi_hp</f>
        <v>0</v>
      </c>
      <c r="I377" s="385">
        <f>IF(H377,Wh_hp,'2026'!Maxi_hp)</f>
        <v>44.051326696562526</v>
      </c>
      <c r="J377" s="85">
        <f>IF(H377,An,'2026'!An_max)</f>
        <v>2022</v>
      </c>
      <c r="K377" s="193">
        <f t="shared" si="129"/>
        <v>46750</v>
      </c>
      <c r="L377" s="143">
        <f>IF(t&lt;Tvie,1-EXP((T0-t)*PertePVj)+'2026'!Pspv,1-EXP((T0-t)*PertePVj)+Pspv)</f>
        <v>3.1339611371774434E-2</v>
      </c>
      <c r="M377" s="835"/>
      <c r="N377" s="835"/>
      <c r="O377" s="48">
        <f>IF(t&lt;Tnet,'2026'!Resal+('2026'!Salim-'2026'!Resal)*(1-EXP(('2026'!Tnet-t)/('2026'!Tau_j))),Resal+(Salim-Resal)*(1-EXP((Tnet-t)/(Tau_j))))*Salcycl</f>
        <v>4.3050946531088992E-2</v>
      </c>
      <c r="P377" s="165">
        <f>(INDEX(Models!$BJ377:$BT377,,T377)*(1-R377)+INDEX(Models!$BJ377:$BT377,,T377+1)*R377-ERP_i)*Q377*Ramure*Pc/MaxiM</f>
        <v>3.6086804911675497E-3</v>
      </c>
      <c r="Q377" s="301">
        <f t="shared" si="130"/>
        <v>0.5</v>
      </c>
      <c r="R377" s="173">
        <f t="shared" si="131"/>
        <v>0.98952876082498209</v>
      </c>
      <c r="S377" s="801">
        <f t="shared" si="132"/>
        <v>2</v>
      </c>
      <c r="T377" s="172">
        <f t="shared" si="133"/>
        <v>8</v>
      </c>
      <c r="U377" s="247">
        <f t="shared" si="134"/>
        <v>2.9895287608249821</v>
      </c>
      <c r="V377" s="378">
        <f t="shared" si="135"/>
        <v>90.708579606225555</v>
      </c>
      <c r="W377" s="397">
        <f t="shared" si="136"/>
        <v>40.703736095719933</v>
      </c>
      <c r="X377" s="153">
        <f t="shared" si="137"/>
        <v>46750</v>
      </c>
      <c r="Y377" s="380">
        <f t="shared" si="138"/>
        <v>39.814836332245527</v>
      </c>
      <c r="Z377" s="380">
        <f t="shared" si="139"/>
        <v>41.102988002461373</v>
      </c>
      <c r="AA377" s="381">
        <f t="shared" si="140"/>
        <v>43.911059512378877</v>
      </c>
      <c r="AB377" s="193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6.3949072081166389E-2</v>
      </c>
      <c r="AD377" s="227">
        <f>(INDEX(Models!$BJ377:$BT377,,AH377)*(1-AF377)+INDEX(Models!$BJ377:$BT377,,AH377+1)*AF377-ERP_i)*AE377*Ramure*Pc/MaxiM</f>
        <v>3.6086804911675497E-3</v>
      </c>
      <c r="AE377" s="301">
        <f t="shared" si="142"/>
        <v>0.5</v>
      </c>
      <c r="AF377" s="173">
        <f t="shared" si="143"/>
        <v>0.98952876082498209</v>
      </c>
      <c r="AG377" s="801">
        <f t="shared" si="149"/>
        <v>2</v>
      </c>
      <c r="AH377" s="172">
        <f t="shared" si="144"/>
        <v>8</v>
      </c>
      <c r="AI377" s="221">
        <f t="shared" si="145"/>
        <v>2.9895287608249821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46751</v>
      </c>
      <c r="B378" s="406">
        <f>'2026'!Wh/'2026'!Env_an*'2027'!Env_an</f>
        <v>58.290030254657793</v>
      </c>
      <c r="C378" s="831"/>
      <c r="D378" s="388">
        <f t="shared" si="127"/>
        <v>60.176743977003603</v>
      </c>
      <c r="E378" s="380">
        <f t="shared" si="150"/>
        <v>62.886484297284284</v>
      </c>
      <c r="F378" s="380">
        <f t="shared" si="128"/>
        <v>62.997079460342086</v>
      </c>
      <c r="G378" s="110">
        <f t="shared" si="151"/>
        <v>0.63822594734724791</v>
      </c>
      <c r="H378" s="409" t="b">
        <f>Wh_hp&gt;='2026'!Maxi_hp</f>
        <v>0</v>
      </c>
      <c r="I378" s="385">
        <f>IF(H378,Wh_hp,'2026'!Maxi_hp)</f>
        <v>76.342020804358668</v>
      </c>
      <c r="J378" s="85">
        <f>IF(H378,An,'2026'!An_max)</f>
        <v>2021</v>
      </c>
      <c r="K378" s="193">
        <f t="shared" si="129"/>
        <v>46751</v>
      </c>
      <c r="L378" s="143">
        <f>IF(t&lt;Tvie,1-EXP((T0-t)*PertePVj)+'2026'!Pspv,1-EXP((T0-t)*PertePVj)+Pspv)</f>
        <v>3.1352871519050862E-2</v>
      </c>
      <c r="M378" s="835"/>
      <c r="N378" s="835"/>
      <c r="O378" s="48">
        <f>IF(t&lt;Tnet,'2026'!Resal+('2026'!Salim-'2026'!Resal)*(1-EXP(('2026'!Tnet-t)/('2026'!Tau_j))),Resal+(Salim-Resal)*(1-EXP((Tnet-t)/(Tau_j))))*Salcycl</f>
        <v>4.3089391155512573E-2</v>
      </c>
      <c r="P378" s="165">
        <f>(INDEX(Models!$BJ378:$BT378,,T378)*(1-R378)+INDEX(Models!$BJ378:$BT378,,T378+1)*R378-ERP_i)*Q378*Ramure*Pc/MaxiM</f>
        <v>3.6205588215103687E-3</v>
      </c>
      <c r="Q378" s="301">
        <f t="shared" si="130"/>
        <v>0.5</v>
      </c>
      <c r="R378" s="173">
        <f t="shared" si="131"/>
        <v>0.98952876082498209</v>
      </c>
      <c r="S378" s="801">
        <f t="shared" si="132"/>
        <v>2</v>
      </c>
      <c r="T378" s="172">
        <f t="shared" si="133"/>
        <v>8</v>
      </c>
      <c r="U378" s="247">
        <f t="shared" si="134"/>
        <v>2.9895287608249821</v>
      </c>
      <c r="V378" s="378">
        <f t="shared" si="135"/>
        <v>91.160706461707903</v>
      </c>
      <c r="W378" s="397">
        <f t="shared" si="136"/>
        <v>58.290030254657793</v>
      </c>
      <c r="X378" s="153">
        <f t="shared" si="137"/>
        <v>46751</v>
      </c>
      <c r="Y378" s="380">
        <f t="shared" si="138"/>
        <v>57.018480765113111</v>
      </c>
      <c r="Z378" s="380">
        <f t="shared" si="139"/>
        <v>58.864037365733566</v>
      </c>
      <c r="AA378" s="381">
        <f t="shared" si="140"/>
        <v>62.886484297284284</v>
      </c>
      <c r="AB378" s="193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6.3963615974067495E-2</v>
      </c>
      <c r="AD378" s="227">
        <f>(INDEX(Models!$BJ378:$BT378,,AH378)*(1-AF378)+INDEX(Models!$BJ378:$BT378,,AH378+1)*AF378-ERP_i)*AE378*Ramure*Pc/MaxiM</f>
        <v>3.6205588215103687E-3</v>
      </c>
      <c r="AE378" s="301">
        <f t="shared" si="142"/>
        <v>0.5</v>
      </c>
      <c r="AF378" s="173">
        <f t="shared" si="143"/>
        <v>0.98952876082498209</v>
      </c>
      <c r="AG378" s="801">
        <f t="shared" si="149"/>
        <v>2</v>
      </c>
      <c r="AH378" s="172">
        <f t="shared" si="144"/>
        <v>8</v>
      </c>
      <c r="AI378" s="221">
        <f t="shared" si="145"/>
        <v>2.9895287608249821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46752</v>
      </c>
      <c r="B379" s="406">
        <f>'2026'!Wh/'2026'!Env_an*'2027'!Env_an</f>
        <v>46.657365802163184</v>
      </c>
      <c r="C379" s="831"/>
      <c r="D379" s="388">
        <f t="shared" si="127"/>
        <v>48.168216411515409</v>
      </c>
      <c r="E379" s="380">
        <f t="shared" si="150"/>
        <v>50.339243417273444</v>
      </c>
      <c r="F379" s="380">
        <f t="shared" si="128"/>
        <v>50.393971765307633</v>
      </c>
      <c r="G379" s="110">
        <f t="shared" si="151"/>
        <v>0.50777549186366377</v>
      </c>
      <c r="H379" s="409" t="b">
        <f>Wh_hp&gt;='2026'!Maxi_hp</f>
        <v>0</v>
      </c>
      <c r="I379" s="385">
        <f>IF(H379,Wh_hp,'2026'!Maxi_hp)</f>
        <v>98.426511979974805</v>
      </c>
      <c r="J379" s="85">
        <f>IF(H379,An,'2026'!An_max)</f>
        <v>2021</v>
      </c>
      <c r="K379" s="193">
        <f t="shared" si="129"/>
        <v>46752</v>
      </c>
      <c r="L379" s="143">
        <f>IF(t&lt;Tvie,1-EXP((T0-t)*PertePVj)+'2026'!Pspv,1-EXP((T0-t)*PertePVj)+Pspv)</f>
        <v>3.1366131484806936E-2</v>
      </c>
      <c r="M379" s="835"/>
      <c r="N379" s="835"/>
      <c r="O379" s="48">
        <f>IF(t&lt;Tnet,'2026'!Resal+('2026'!Salim-'2026'!Resal)*(1-EXP(('2026'!Tnet-t)/('2026'!Tau_j))),Resal+(Salim-Resal)*(1-EXP((Tnet-t)/(Tau_j))))*Salcycl</f>
        <v>4.3127922836700056E-2</v>
      </c>
      <c r="P379" s="165">
        <f>(INDEX(Models!$BJ379:$BT379,,T379)*(1-R379)+INDEX(Models!$BJ379:$BT379,,T379+1)*R379-ERP_i)*Q379*Ramure*Pc/MaxiM</f>
        <v>3.6360475405024227E-3</v>
      </c>
      <c r="Q379" s="302">
        <f t="shared" si="130"/>
        <v>0.5</v>
      </c>
      <c r="R379" s="173">
        <f t="shared" si="131"/>
        <v>0.98952876082498209</v>
      </c>
      <c r="S379" s="801">
        <f t="shared" si="132"/>
        <v>2</v>
      </c>
      <c r="T379" s="172">
        <f t="shared" si="133"/>
        <v>8</v>
      </c>
      <c r="U379" s="303">
        <f t="shared" si="134"/>
        <v>2.9895287608249821</v>
      </c>
      <c r="V379" s="378">
        <f t="shared" si="135"/>
        <v>91.65124972192416</v>
      </c>
      <c r="W379" s="397">
        <f t="shared" si="136"/>
        <v>46.657365802163184</v>
      </c>
      <c r="X379" s="153">
        <f t="shared" si="137"/>
        <v>46752</v>
      </c>
      <c r="Y379" s="380">
        <f t="shared" si="138"/>
        <v>45.64069330443612</v>
      </c>
      <c r="Z379" s="380">
        <f t="shared" si="139"/>
        <v>47.118622203865506</v>
      </c>
      <c r="AA379" s="381">
        <f t="shared" si="140"/>
        <v>50.339243417273444</v>
      </c>
      <c r="AB379" s="193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6.3978339656626804E-2</v>
      </c>
      <c r="AD379" s="227">
        <f>(INDEX(Models!$BJ379:$BT379,,AH379)*(1-AF379)+INDEX(Models!$BJ379:$BT379,,AH379+1)*AF379-ERP_i)*AE379*Ramure*Pc/MaxiM</f>
        <v>3.6360475405024227E-3</v>
      </c>
      <c r="AE379" s="302">
        <f t="shared" si="142"/>
        <v>0.5</v>
      </c>
      <c r="AF379" s="173">
        <f t="shared" si="143"/>
        <v>0.98952876082498209</v>
      </c>
      <c r="AG379" s="801">
        <f t="shared" si="149"/>
        <v>2</v>
      </c>
      <c r="AH379" s="172">
        <f t="shared" si="144"/>
        <v>8</v>
      </c>
      <c r="AI379" s="218">
        <f t="shared" si="145"/>
        <v>2.9895287608249821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7"/>
      <c r="C380" s="839"/>
      <c r="D380" s="396"/>
      <c r="E380" s="382"/>
      <c r="F380" s="382"/>
      <c r="G380" s="122"/>
      <c r="H380" s="409" t="b">
        <f>Wh_hp&gt;='2026'!Maxi_hp</f>
        <v>0</v>
      </c>
      <c r="I380" s="385">
        <f>IF(H380,Wh_hp,'2026'!Maxi_hp)</f>
        <v>63.199838713856806</v>
      </c>
      <c r="J380" s="85">
        <f>IF(H380,An,'2026'!An_max)</f>
        <v>2024</v>
      </c>
      <c r="K380" s="230"/>
      <c r="L380" s="210"/>
      <c r="M380" s="840"/>
      <c r="N380" s="840"/>
      <c r="O380" s="149"/>
      <c r="P380" s="318"/>
      <c r="Q380" s="225"/>
      <c r="R380" s="225"/>
      <c r="S380" s="225"/>
      <c r="T380" s="225"/>
      <c r="U380" s="319"/>
      <c r="V380" s="378">
        <f>(V379+V15)/2</f>
        <v>93.054995133248923</v>
      </c>
      <c r="W380" s="397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7.2392791212841496</v>
      </c>
      <c r="C381" s="370"/>
      <c r="D381" s="368">
        <f>MIN(D15:D380)</f>
        <v>7.4374684628372494</v>
      </c>
      <c r="E381" s="368">
        <f>MIN(E15:E380)</f>
        <v>7.6325631152748112</v>
      </c>
      <c r="F381" s="369">
        <f>MIN(F15:F380)</f>
        <v>7.6325631152748112</v>
      </c>
      <c r="G381" s="125">
        <f>+MIN(G15:G380)</f>
        <v>7.1626744130354997E-2</v>
      </c>
      <c r="H381" s="94"/>
      <c r="I381" s="369">
        <f>MIN(I15:I380)</f>
        <v>7.65787086076881</v>
      </c>
      <c r="J381" s="57">
        <f>MIN(J15:J380)</f>
        <v>2021</v>
      </c>
      <c r="K381" s="196" t="s">
        <v>7</v>
      </c>
      <c r="L381" s="142">
        <f t="shared" ref="L381:T381" si="152">MIN(L15:L380)</f>
        <v>2.652749179672742E-2</v>
      </c>
      <c r="M381" s="837"/>
      <c r="N381" s="837"/>
      <c r="O381" s="47">
        <f t="shared" si="152"/>
        <v>2.5028399344446509E-2</v>
      </c>
      <c r="P381" s="164">
        <f t="shared" si="152"/>
        <v>1.456669129021319E-4</v>
      </c>
      <c r="Q381" s="306">
        <f t="shared" si="152"/>
        <v>0.5</v>
      </c>
      <c r="R381" s="307">
        <f t="shared" si="152"/>
        <v>0.48953003386115324</v>
      </c>
      <c r="S381" s="801">
        <f t="shared" si="152"/>
        <v>2</v>
      </c>
      <c r="T381" s="172">
        <f t="shared" si="152"/>
        <v>8</v>
      </c>
      <c r="U381" s="248">
        <f>+MIN(U15:U380)</f>
        <v>2.4895300338611532</v>
      </c>
      <c r="V381" s="57">
        <f>MIN(V15:V380)</f>
        <v>88.553230796282151</v>
      </c>
      <c r="W381" s="58"/>
      <c r="X381" s="112" t="s">
        <v>7</v>
      </c>
      <c r="Y381" s="368">
        <f>MIN(Y15:Y380)</f>
        <v>7.0107891169429424</v>
      </c>
      <c r="Z381" s="368">
        <f>MIN(Z15:Z380)</f>
        <v>7.2027231003653265</v>
      </c>
      <c r="AA381" s="368">
        <f>MIN(AA15:AA380)</f>
        <v>7.6325631152748112</v>
      </c>
      <c r="AB381" s="196" t="s">
        <v>7</v>
      </c>
      <c r="AC381" s="47">
        <f t="shared" ref="AC381:AH381" si="153">MIN(AC15:AC380)</f>
        <v>5.6098176536347702E-2</v>
      </c>
      <c r="AD381" s="164">
        <f t="shared" si="153"/>
        <v>1.456669129021319E-4</v>
      </c>
      <c r="AE381" s="306">
        <f t="shared" si="153"/>
        <v>0.5</v>
      </c>
      <c r="AF381" s="307">
        <f t="shared" si="153"/>
        <v>0.48953003386115324</v>
      </c>
      <c r="AG381" s="801">
        <f t="shared" si="153"/>
        <v>2</v>
      </c>
      <c r="AH381" s="172">
        <f t="shared" si="153"/>
        <v>8</v>
      </c>
      <c r="AI381" s="222">
        <f>MIN(AI15:AI380)</f>
        <v>2.4895300338611532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123.11374722799671</v>
      </c>
      <c r="C382" s="370"/>
      <c r="D382" s="370">
        <f>AVERAGE(D15:D380)</f>
        <v>126.77463173696584</v>
      </c>
      <c r="E382" s="370">
        <f>AVERAGE(E15:E380)</f>
        <v>131.442890400463</v>
      </c>
      <c r="F382" s="371">
        <f>AVERAGE(F15:F380)</f>
        <v>131.50606922768773</v>
      </c>
      <c r="G382" s="126">
        <f>AVERAGE(G15:G380)</f>
        <v>0.68220403306490396</v>
      </c>
      <c r="H382" s="94"/>
      <c r="I382" s="371">
        <f>AVERAGE(I15:I380)</f>
        <v>132.55746231296132</v>
      </c>
      <c r="J382" s="59">
        <f>AVERAGE(J15:J380)</f>
        <v>2022.2650273224044</v>
      </c>
      <c r="K382" s="196" t="s">
        <v>8</v>
      </c>
      <c r="L382" s="143">
        <f t="shared" ref="L382:V382" si="154">AVERAGE(L15:L380)</f>
        <v>2.8948815320301597E-2</v>
      </c>
      <c r="M382" s="835"/>
      <c r="N382" s="835"/>
      <c r="O382" s="48">
        <f t="shared" si="154"/>
        <v>3.5461730050350998E-2</v>
      </c>
      <c r="P382" s="165">
        <f t="shared" si="154"/>
        <v>1.2037117211765292E-3</v>
      </c>
      <c r="Q382" s="308">
        <f t="shared" si="154"/>
        <v>0.5</v>
      </c>
      <c r="R382" s="173">
        <f t="shared" si="154"/>
        <v>0.76941363086029801</v>
      </c>
      <c r="S382" s="801">
        <f t="shared" si="154"/>
        <v>2</v>
      </c>
      <c r="T382" s="172">
        <f t="shared" si="154"/>
        <v>8</v>
      </c>
      <c r="U382" s="247">
        <f t="shared" si="154"/>
        <v>2.769413630860297</v>
      </c>
      <c r="V382" s="59">
        <f t="shared" si="154"/>
        <v>174.55723027603983</v>
      </c>
      <c r="X382" s="112" t="s">
        <v>8</v>
      </c>
      <c r="Y382" s="370">
        <f>AVERAGE(Y15:Y380)</f>
        <v>119.74657036503199</v>
      </c>
      <c r="Z382" s="370">
        <f>AVERAGE(Z15:Z380)</f>
        <v>123.30764431609056</v>
      </c>
      <c r="AA382" s="370">
        <f>AVERAGE(AA15:AA380)</f>
        <v>131.442890400463</v>
      </c>
      <c r="AB382" s="196" t="s">
        <v>8</v>
      </c>
      <c r="AC382" s="48">
        <f t="shared" ref="AC382:AH382" si="155">AVERAGE(AC15:AC380)</f>
        <v>6.1605657081784108E-2</v>
      </c>
      <c r="AD382" s="165">
        <f t="shared" si="155"/>
        <v>1.2037117211765292E-3</v>
      </c>
      <c r="AE382" s="308">
        <f t="shared" si="155"/>
        <v>0.5</v>
      </c>
      <c r="AF382" s="173">
        <f t="shared" si="155"/>
        <v>0.76941363086029801</v>
      </c>
      <c r="AG382" s="801">
        <f t="shared" si="155"/>
        <v>2</v>
      </c>
      <c r="AH382" s="172">
        <f t="shared" si="155"/>
        <v>8</v>
      </c>
      <c r="AI382" s="221">
        <f>AVERAGE(AI15:AI380)</f>
        <v>2.769413630860297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243.82661413642046</v>
      </c>
      <c r="C383" s="372"/>
      <c r="D383" s="372">
        <f>MAX(D15:D380)</f>
        <v>251.08204464772697</v>
      </c>
      <c r="E383" s="372">
        <f>MAX(E15:E380)</f>
        <v>260.55897836702923</v>
      </c>
      <c r="F383" s="373">
        <f>MAX(F15:F380)</f>
        <v>260.61207165828807</v>
      </c>
      <c r="G383" s="127">
        <f>+MAX(G15:G380)</f>
        <v>1.0401867145003136</v>
      </c>
      <c r="H383" s="94"/>
      <c r="I383" s="373">
        <f>MAX(I15:I380)</f>
        <v>260.61207165828807</v>
      </c>
      <c r="J383" s="60">
        <f>MAX(J15:J380)</f>
        <v>2027</v>
      </c>
      <c r="K383" s="196" t="s">
        <v>9</v>
      </c>
      <c r="L383" s="144">
        <f t="shared" ref="L383:T383" si="156">MAX(L15:L380)</f>
        <v>3.1366131484806936E-2</v>
      </c>
      <c r="M383" s="838"/>
      <c r="N383" s="838"/>
      <c r="O383" s="49">
        <f t="shared" si="156"/>
        <v>4.3127922836700056E-2</v>
      </c>
      <c r="P383" s="166">
        <f t="shared" si="156"/>
        <v>4.7271989335599778E-3</v>
      </c>
      <c r="Q383" s="309">
        <f t="shared" si="156"/>
        <v>0.5</v>
      </c>
      <c r="R383" s="310">
        <f t="shared" si="156"/>
        <v>0.98952876082498209</v>
      </c>
      <c r="S383" s="802">
        <f t="shared" si="156"/>
        <v>2</v>
      </c>
      <c r="T383" s="229">
        <f t="shared" si="156"/>
        <v>8</v>
      </c>
      <c r="U383" s="249">
        <f>+MAX(U15:U380)</f>
        <v>2.9895287608249821</v>
      </c>
      <c r="V383" s="60">
        <f>MAX(V15:V380)</f>
        <v>236.10460472072992</v>
      </c>
      <c r="X383" s="112" t="s">
        <v>9</v>
      </c>
      <c r="Y383" s="372">
        <f>MAX(Y15:Y380)</f>
        <v>237.06202771591649</v>
      </c>
      <c r="Z383" s="372">
        <f>MAX(Z15:Z380)</f>
        <v>244.11616770409645</v>
      </c>
      <c r="AA383" s="372">
        <f>MAX(AA15:AA380)</f>
        <v>260.55897836702923</v>
      </c>
      <c r="AB383" s="196" t="s">
        <v>9</v>
      </c>
      <c r="AC383" s="49">
        <f t="shared" ref="AC383:AH383" si="157">MAX(AC15:AC380)</f>
        <v>6.4841239880432167E-2</v>
      </c>
      <c r="AD383" s="166">
        <f t="shared" si="157"/>
        <v>4.7271989335599778E-3</v>
      </c>
      <c r="AE383" s="309">
        <f t="shared" si="157"/>
        <v>0.5</v>
      </c>
      <c r="AF383" s="310">
        <f t="shared" si="157"/>
        <v>0.98952876082498209</v>
      </c>
      <c r="AG383" s="802">
        <f t="shared" si="157"/>
        <v>2</v>
      </c>
      <c r="AH383" s="229">
        <f t="shared" si="157"/>
        <v>8</v>
      </c>
      <c r="AI383" s="223">
        <f>MAX(AI15:AI380)</f>
        <v>2.9895287608249821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380" sqref="B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'2027'!An+1</f>
        <v>2028</v>
      </c>
      <c r="K1" s="1270"/>
      <c r="L1" s="113" t="str">
        <f>"Calcul pertes et enveloppes en "&amp;TEXT(An,0)</f>
        <v>Calcul pertes et enveloppes en 2028</v>
      </c>
      <c r="M1" s="239"/>
      <c r="N1" s="239"/>
      <c r="V1" s="450"/>
      <c r="W1" s="448"/>
      <c r="X1" s="479" t="str">
        <f>"Prévision sans nettoyage ni taille végétation en "&amp;TEXT(An,0)</f>
        <v>Prévision sans nettoyage ni taille végétation en 2028</v>
      </c>
      <c r="Y1" s="480"/>
      <c r="Z1" s="481"/>
      <c r="AA1" s="482"/>
      <c r="AB1" s="483"/>
      <c r="AC1" s="484"/>
      <c r="AD1" s="484"/>
      <c r="AE1" s="484"/>
      <c r="AF1" s="484"/>
      <c r="AG1" s="484"/>
      <c r="AH1" s="484"/>
      <c r="AI1" s="484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71">
        <f>Tmaj</f>
        <v>44926</v>
      </c>
      <c r="F3" s="1271"/>
      <c r="G3" s="8"/>
      <c r="H3" s="26"/>
      <c r="I3" s="6"/>
      <c r="J3" s="34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 t="s">
        <v>96</v>
      </c>
      <c r="Y3" s="495"/>
      <c r="Z3" s="496"/>
      <c r="AA3" s="490"/>
      <c r="AB3" s="490"/>
      <c r="AC3" s="422"/>
      <c r="AD3" s="422"/>
      <c r="AE3" s="422"/>
      <c r="AF3" s="422"/>
      <c r="AG3" s="422"/>
      <c r="AH3" s="422"/>
      <c r="AI3" s="422"/>
      <c r="AJ3" s="823">
        <f>AL11-AJ11</f>
        <v>240.39555153590095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9" t="str">
        <f>Station</f>
        <v>Hangar Goussaud Espanès</v>
      </c>
      <c r="F4" s="1200"/>
      <c r="G4" s="1200"/>
      <c r="H4" s="1200"/>
      <c r="I4" s="1201"/>
      <c r="J4" s="154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22"/>
      <c r="AD4" s="422"/>
      <c r="AE4" s="422"/>
      <c r="AF4" s="422"/>
      <c r="AG4" s="422"/>
      <c r="AH4" s="422"/>
      <c r="AI4" s="422"/>
      <c r="AJ4" s="823">
        <f>AL12-AJ12</f>
        <v>1261.2205779221158</v>
      </c>
      <c r="AK4" s="824">
        <f>AM12-AK12</f>
        <v>-0.88978591607668989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72">
        <f>T0</f>
        <v>44424</v>
      </c>
      <c r="F5" s="1272"/>
      <c r="G5" s="34"/>
      <c r="H5" s="154"/>
      <c r="I5" s="154"/>
      <c r="K5" s="188"/>
      <c r="L5" s="498"/>
      <c r="M5" s="497"/>
      <c r="N5" s="497"/>
      <c r="O5" s="19"/>
      <c r="R5" s="39"/>
      <c r="S5" s="174"/>
      <c r="T5" s="174"/>
      <c r="U5" s="41"/>
      <c r="V5" s="499"/>
      <c r="W5" s="500"/>
      <c r="X5" s="501"/>
      <c r="Y5" s="502"/>
      <c r="Z5" s="232">
        <f>Wh_Psa_s-Wh_Psa</f>
        <v>1501.942487128169</v>
      </c>
      <c r="AA5" s="233">
        <f>Wh_Pvg_s-Wh_Pvg</f>
        <v>-0.88978591607668989</v>
      </c>
      <c r="AB5" s="506" t="s">
        <v>6</v>
      </c>
      <c r="AC5" s="500"/>
      <c r="AD5" s="500"/>
      <c r="AE5" s="500"/>
      <c r="AF5" s="500"/>
      <c r="AG5" s="500"/>
      <c r="AH5" s="500"/>
      <c r="AI5" s="500"/>
      <c r="AJ5" s="508">
        <f>SUMIF(AJ15:AJ380,"VRAI",Wh)</f>
        <v>11846.241582382036</v>
      </c>
      <c r="AK5" s="508">
        <f>SUMIF(AK15:AK380,"VRAI",Wh)</f>
        <v>0</v>
      </c>
      <c r="AL5" s="508">
        <f>SUMIF(AJ15:AJ380,"VRAI",Wh_s)</f>
        <v>11605.842112497692</v>
      </c>
      <c r="AM5" s="508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73">
        <f>Tservice</f>
        <v>44536</v>
      </c>
      <c r="F6" s="1273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2"/>
      <c r="W6" s="454"/>
      <c r="X6" s="489"/>
      <c r="Y6" s="490"/>
      <c r="Z6" s="454"/>
      <c r="AA6" s="454"/>
      <c r="AB6" s="508"/>
      <c r="AC6" s="454"/>
      <c r="AD6" s="454"/>
      <c r="AE6" s="454"/>
      <c r="AF6" s="454"/>
      <c r="AG6" s="454"/>
      <c r="AH6" s="454"/>
      <c r="AI6" s="454"/>
      <c r="AJ6" s="508">
        <f>SUMIF(AJ15:AJ380,"FAUX",Wh)</f>
        <v>33463.682520225106</v>
      </c>
      <c r="AK6" s="508">
        <f>SUMIF(AK15:AK380,"FAUX",Wh)</f>
        <v>45309.924102607147</v>
      </c>
      <c r="AL6" s="508">
        <f>SUMIF(AJ15:AJ380,"FAUX",Wh_s)</f>
        <v>32202.390104806793</v>
      </c>
      <c r="AM6" s="508">
        <f>SUMIF(AK15:AK380,"FAUX",Wh_s)</f>
        <v>43808.232217304467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AND(YEAR(Tnet)=An,Resal_2028="I")</f>
        <v>0</v>
      </c>
      <c r="F7" s="316" t="b">
        <f>YEAR(Tnet)=An</f>
        <v>1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2"/>
      <c r="W7" s="510"/>
      <c r="X7" s="511"/>
      <c r="Y7" s="244"/>
      <c r="Z7" s="510"/>
      <c r="AA7" s="510"/>
      <c r="AB7" s="510"/>
      <c r="AC7" s="510"/>
      <c r="AD7" s="244"/>
      <c r="AE7" s="244"/>
      <c r="AF7" s="485"/>
      <c r="AG7" s="485"/>
      <c r="AH7" s="485"/>
      <c r="AI7" s="510"/>
      <c r="AJ7" s="508">
        <f>SUMIF(AJ15:AJ380,"VRAI",Wh_pvt)</f>
        <v>12241.4895140965</v>
      </c>
      <c r="AK7" s="508">
        <f>SUMIF(AK15:AK380,"VRAI",Wh_sa)</f>
        <v>0</v>
      </c>
      <c r="AL7" s="508">
        <f>SUMIF(AJ15:AJ380,"VRAI",Wh_pvt_s)</f>
        <v>11993.072939706171</v>
      </c>
      <c r="AM7" s="508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AND(YEAR(Tnet)=An,Resal_2028&lt;&gt;"I")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0"/>
      <c r="W8" s="399"/>
      <c r="X8" s="1267" t="s">
        <v>102</v>
      </c>
      <c r="Y8" s="1268"/>
      <c r="Z8" s="490"/>
      <c r="AA8" s="490"/>
      <c r="AB8" s="454"/>
      <c r="AC8" s="512" t="s">
        <v>61</v>
      </c>
      <c r="AD8" s="454"/>
      <c r="AE8" s="454"/>
      <c r="AF8" s="454"/>
      <c r="AG8" s="454"/>
      <c r="AH8" s="454"/>
      <c r="AI8" s="454"/>
      <c r="AJ8" s="508">
        <f>SUMIF(AJ15:AJ380,"FAUX",Wh_pvt)</f>
        <v>34650.333512894351</v>
      </c>
      <c r="AK8" s="508">
        <f>SUMIF(AK15:AK380,"FAUX",Wh_sa)</f>
        <v>48031.617640698314</v>
      </c>
      <c r="AL8" s="508">
        <f>SUMIF(AJ15:AJ380,"FAUX",Wh_pvt_s)</f>
        <v>33344.385043459966</v>
      </c>
      <c r="AM8" s="508">
        <f>SUMIF(AK15:AK380,"FAUX",Wh_sa_s)</f>
        <v>48031.617640698314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46891.823026990845</v>
      </c>
      <c r="E9" s="180">
        <f>SUM(E$15:E$380)</f>
        <v>48031.617640698314</v>
      </c>
      <c r="F9" s="180">
        <f>SUM(F$15:F$380)</f>
        <v>48060.077444817493</v>
      </c>
      <c r="H9" s="1260">
        <f>+SUM(Wh)</f>
        <v>45309.924102607147</v>
      </c>
      <c r="I9" s="1261"/>
      <c r="J9" s="1262"/>
      <c r="K9" s="187"/>
      <c r="L9" s="228"/>
      <c r="M9" s="228"/>
      <c r="N9" s="228"/>
      <c r="O9" s="219">
        <f>Tnet_2028</f>
        <v>46873</v>
      </c>
      <c r="P9" s="240" t="s">
        <v>91</v>
      </c>
      <c r="Q9" s="241"/>
      <c r="R9" s="241"/>
      <c r="S9" s="241"/>
      <c r="T9" s="241"/>
      <c r="U9" s="242"/>
      <c r="V9" s="454"/>
      <c r="W9" s="513"/>
      <c r="X9" s="1265">
        <f>+SUM(Wh_s)</f>
        <v>43808.232217304467</v>
      </c>
      <c r="Y9" s="1266"/>
      <c r="Z9" s="508">
        <f>SUM(Z$15:Z$380)</f>
        <v>45337.457983166132</v>
      </c>
      <c r="AA9" s="508">
        <f>SUM(AA$15:AA$380)</f>
        <v>48031.617640698314</v>
      </c>
      <c r="AB9" s="508">
        <f>F9</f>
        <v>48060.077444817493</v>
      </c>
      <c r="AC9" s="321">
        <f>IF(An_Tnet,Tnet,'2027'!Tnet_s)</f>
        <v>46873</v>
      </c>
      <c r="AD9" s="312" t="s">
        <v>91</v>
      </c>
      <c r="AE9" s="312"/>
      <c r="AF9" s="312"/>
      <c r="AG9" s="312"/>
      <c r="AH9" s="312"/>
      <c r="AI9" s="313"/>
      <c r="AJ9" s="508">
        <f>SUMIF(AJ15:AJ380,"VRAI",Wh_sa)</f>
        <v>12830.282134845505</v>
      </c>
      <c r="AK9" s="508">
        <f>SUMIF(AK15:AK380,"VRAI",Wh_hp)</f>
        <v>0</v>
      </c>
      <c r="AL9" s="508">
        <f>SUMIF(AJ15:AJ380,"VRAI",Wh_sa_s)</f>
        <v>12830.282134845505</v>
      </c>
      <c r="AM9" s="508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IF(Inflex,'2027'!Resal+('2027'!Salim-'2027'!Resal)*(1-EXP(-(Tnet-'2027'!Tnet)/('2027'!Tau_j))),IF(An_Tnet,Resal_2028,'2027'!Resal))</f>
        <v>8.0000000000000002E-3</v>
      </c>
      <c r="P10" s="416" t="b">
        <f>NOT(Acti_tai)</f>
        <v>1</v>
      </c>
      <c r="Q10" s="253">
        <f>IF(Acti_tai,'2027'!PousD,Dens-Dd)</f>
        <v>0</v>
      </c>
      <c r="R10" s="270"/>
      <c r="S10" s="271"/>
      <c r="T10" s="272"/>
      <c r="U10" s="262">
        <f>IF(Acti_tai,'2027'!PousH,Hdtf-Hdd)</f>
        <v>0.5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IF(OR(Inflex,GainD),'2027'!Resal_s+('2027'!Salim-'2027'!Resal_s)*(1-EXP(('2027'!Tnet_s-Tnet)/('2027'!Tau_j))),IF(Acti_net,'2027'!Resal+('2027'!Salim-'2027'!Resal)*(1-EXP(('2027'!Tnet-Tnet)/'2027'!Tau_j)),'2027'!Resal_s))</f>
        <v>4.7683749065685364E-2</v>
      </c>
      <c r="AD10" s="422"/>
      <c r="AE10" s="422"/>
      <c r="AF10" s="256"/>
      <c r="AG10" s="257"/>
      <c r="AH10" s="258"/>
      <c r="AI10" s="465"/>
      <c r="AJ10" s="508">
        <f>SUMIF(AJ15:AJ380,"FAUX",Wh_sa)</f>
        <v>35201.335505852825</v>
      </c>
      <c r="AK10" s="508">
        <f>SUMIF(AK15:AK380,"FAUX",Wh_hp)</f>
        <v>48060.077444817493</v>
      </c>
      <c r="AL10" s="508">
        <f>SUMIF(AJ15:AJ380,"FAUX",Wh_sa_s)</f>
        <v>35201.335505852825</v>
      </c>
      <c r="AM10" s="508">
        <f>SUMIF(AK15:AK380,"FAUX",Wh_hp)</f>
        <v>48060.077444817493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1581.8989243836986</v>
      </c>
      <c r="E11" s="51">
        <f>(E$9-D$9)*Prod_an/D$9</f>
        <v>1101.3435628194629</v>
      </c>
      <c r="F11" s="182">
        <f>(F$9-E$9)*Prod_an/E$9</f>
        <v>26.847140028913124</v>
      </c>
      <c r="G11" s="181" t="s">
        <v>6</v>
      </c>
      <c r="K11" s="190"/>
      <c r="L11" s="207">
        <f>Tvie_2028</f>
        <v>44609</v>
      </c>
      <c r="M11" s="834"/>
      <c r="N11" s="834"/>
      <c r="O11" s="198">
        <f>IF(An_Tnet,Salim_2027,'2027'!Salim)</f>
        <v>0.08</v>
      </c>
      <c r="P11" s="252">
        <f>Ttai_2028</f>
        <v>44562</v>
      </c>
      <c r="Q11" s="268">
        <f>Dens_2028</f>
        <v>0.5</v>
      </c>
      <c r="R11" s="273"/>
      <c r="S11" s="226"/>
      <c r="T11" s="226"/>
      <c r="U11" s="262">
        <f>Htf_2028</f>
        <v>3.4895287608249821</v>
      </c>
      <c r="V11" s="422"/>
      <c r="W11" s="511"/>
      <c r="X11" s="518" t="s">
        <v>43</v>
      </c>
      <c r="Y11" s="50">
        <f>Z$9-Prod_an_s</f>
        <v>1529.2257658616654</v>
      </c>
      <c r="Z11" s="51">
        <f>(AA$9-Z$9)*Prod_an_s/Z$9</f>
        <v>2603.2860499476319</v>
      </c>
      <c r="AA11" s="182">
        <f>(AB$9-AA$9)*Prod_an_s/AA$9</f>
        <v>25.957354112836434</v>
      </c>
      <c r="AB11" s="519" t="s">
        <v>6</v>
      </c>
      <c r="AC11" s="321"/>
      <c r="AD11" s="422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569.78193865089975</v>
      </c>
      <c r="AK11" s="824">
        <f>IF($AK7=0,0,($AK9-$AK7)*$AK5/$AK7)</f>
        <v>0</v>
      </c>
      <c r="AL11" s="823">
        <f>IF($AL7=0,0,($AL9-$AL7)*$AL5/$AL7)</f>
        <v>810.1774901868007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Pspv_2028</f>
        <v>0</v>
      </c>
      <c r="M12" s="208"/>
      <c r="N12" s="208"/>
      <c r="O12" s="201">
        <f>IF(An_Tnet,Tau_2028*365,'2027'!Tau_j)</f>
        <v>912.5</v>
      </c>
      <c r="P12" s="277">
        <f>INDEX(Croivg,MIN(MAX(Ttai-$A$15,0)+1,366))</f>
        <v>2.3909964587625958E-6</v>
      </c>
      <c r="Q12" s="276">
        <f>'2027'!Df</f>
        <v>0.5</v>
      </c>
      <c r="R12" s="274"/>
      <c r="S12" s="275"/>
      <c r="T12" s="275"/>
      <c r="U12" s="263">
        <f>'2027'!Hdf</f>
        <v>2.9895287608249821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'2027'!Df_s</f>
        <v>0.5</v>
      </c>
      <c r="AF12" s="199"/>
      <c r="AG12" s="199"/>
      <c r="AH12" s="199"/>
      <c r="AI12" s="293">
        <f>'2027'!Hdf_s</f>
        <v>2.9895287608249821</v>
      </c>
      <c r="AJ12" s="823">
        <f>IF($AJ8=0,0,($AJ10-$AJ8)*$AJ6/$AJ8)</f>
        <v>532.13212950784998</v>
      </c>
      <c r="AK12" s="824">
        <f>IF($AK8=0,0,($AK10-$AK8)*$AK6/$AK8)</f>
        <v>26.847140028913124</v>
      </c>
      <c r="AL12" s="823">
        <f>IF($AL8=0,0,($AL10-$AL8)*$AL6/$AL8)</f>
        <v>1793.3527074299659</v>
      </c>
      <c r="AM12" s="824">
        <f>IF($AM8=0,0,($AM10-$AM8)*$AM6/$AM8)</f>
        <v>25.957354112836434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1101.9140681587496</v>
      </c>
      <c r="AK13" s="73">
        <f>+AK11+AK12</f>
        <v>26.847140028913124</v>
      </c>
      <c r="AL13" s="73">
        <f>+AL11+AL12</f>
        <v>2603.5301976167666</v>
      </c>
      <c r="AM13" s="73">
        <f>+AM11+AM12</f>
        <v>25.957354112836434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411" t="s">
        <v>188</v>
      </c>
      <c r="C14" s="411"/>
      <c r="D14" s="53" t="s">
        <v>30</v>
      </c>
      <c r="E14" s="158" t="s">
        <v>29</v>
      </c>
      <c r="F14" s="158" t="str">
        <f>"Hors pertes "&amp; TEXT(An,0)</f>
        <v>Hors pertes 2028</v>
      </c>
      <c r="G14" s="107" t="s">
        <v>42</v>
      </c>
      <c r="H14" s="408" t="s">
        <v>117</v>
      </c>
      <c r="I14" s="410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2028</v>
      </c>
      <c r="W14" s="828" t="s">
        <v>116</v>
      </c>
      <c r="X14" s="254" t="s">
        <v>2</v>
      </c>
      <c r="Y14" s="107" t="str">
        <f>"Wh / Jour "&amp; TEXT(An,0)</f>
        <v>Wh / Jour 2028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129">
        <f>DATE(An,1,1)</f>
        <v>46753</v>
      </c>
      <c r="B15" s="405">
        <f>'2027'!Wh/'2027'!Env_an*'2028'!Env_an</f>
        <v>92.287825166844499</v>
      </c>
      <c r="C15" s="831"/>
      <c r="D15" s="388">
        <f t="shared" ref="D15:D78" si="0">Wh/(1-Ppv)</f>
        <v>95.277577552016012</v>
      </c>
      <c r="E15" s="395">
        <f t="shared" ref="E15:E79" si="1">Wh_pvt/(1-Psa)</f>
        <v>99.575924469137632</v>
      </c>
      <c r="F15" s="395">
        <f t="shared" ref="F15:F78" si="2">Wh_sa/(1-Pvg*MEDIAN((-Sdif+Wh/Env_an)/Csdif,0,1))</f>
        <v>99.941221484103295</v>
      </c>
      <c r="G15" s="123">
        <f>+Wh_hp/MaxiM</f>
        <v>1.0011866221014729</v>
      </c>
      <c r="H15" s="409" t="b">
        <f>Wh_hp&gt;='2027'!Maxi_hp</f>
        <v>1</v>
      </c>
      <c r="I15" s="391">
        <f>IF(H15,Wh_hp,'2027'!Maxi_hp)</f>
        <v>99.941221484103295</v>
      </c>
      <c r="J15" s="84">
        <f>IF(H15,An,'2027'!An_max)</f>
        <v>2028</v>
      </c>
      <c r="K15" s="193">
        <f t="shared" ref="K15:K78" si="3">t</f>
        <v>46753</v>
      </c>
      <c r="L15" s="142">
        <f>IF(t&lt;Tvie,1-EXP((T0-t)*PertePVj)+'2027'!Pspv,1-EXP((T0-t)*PertePVj)+Pspv)</f>
        <v>3.1379391269045209E-2</v>
      </c>
      <c r="M15" s="835"/>
      <c r="N15" s="835"/>
      <c r="O15" s="48">
        <f>IF(t&lt;Tnet,'2027'!Resal+('2027'!Salim-'2027'!Resal)*(1-EXP(('2027'!Tnet-t)/('2027'!Tau_j))),Resal+(Salim-Resal)*(1-EXP((Tnet-t)/(Tau_j))))*Salcycl</f>
        <v>4.3166527853365222E-2</v>
      </c>
      <c r="P15" s="298">
        <f>(INDEX(Models!$BJ15:$BT15,,T15)*(1-R15)+INDEX(Models!$BJ15:$BT15,,T15+1)*R15-ERP_i)*Q15*Ramure*Pc/MaxiM</f>
        <v>3.6551185741086649E-3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0.98952995632321139</v>
      </c>
      <c r="S15" s="800">
        <f t="shared" ref="S15:S78" si="6">INDEX(Echel_vg,T15)</f>
        <v>2</v>
      </c>
      <c r="T15" s="245">
        <f t="shared" ref="T15:T78" si="7">MIN(MATCH(Hp_vg,Echel_vg),10)</f>
        <v>8</v>
      </c>
      <c r="U15" s="247">
        <f t="shared" ref="U15:U78" si="8">IF(OR(t&lt;Ttai,Notai),Hdd+PousH*Croivg,Hdtf+PousH*(Croivg-Croi_tai))</f>
        <v>2.9895299563232114</v>
      </c>
      <c r="V15" s="377">
        <f t="shared" ref="V15:V78" si="9">MaxiM*(1-Ppv)*(1-Pvg)*(1-Psa)</f>
        <v>92.178444187691994</v>
      </c>
      <c r="W15" s="397">
        <f t="shared" ref="W15:W78" si="10">Wh*(A15&gt;Tmaj)</f>
        <v>92.287825166844499</v>
      </c>
      <c r="X15" s="152">
        <f t="shared" ref="X15:X78" si="11">t</f>
        <v>46753</v>
      </c>
      <c r="Y15" s="380">
        <f t="shared" ref="Y15:Y78" si="12">Wh_pvt_s*(1-Ppv)</f>
        <v>90.279063564431866</v>
      </c>
      <c r="Z15" s="380">
        <f>Wh_sa_s*(1-Psa_s)</f>
        <v>93.203740195773477</v>
      </c>
      <c r="AA15" s="381">
        <f t="shared" ref="AA15:AA78" si="13">Wh_hp*(1-Pvg_s*MEDIAN((-Sdif+Wh/Env_an)/Csdif,0,1))</f>
        <v>99.575924469137632</v>
      </c>
      <c r="AB15" s="193">
        <f t="shared" ref="AB15:AB78" si="14">t</f>
        <v>46753</v>
      </c>
      <c r="AC15" s="119">
        <f>IF(OR(t&lt;Tnet,NoTnet),'2027'!Resal_s+('2027'!Salim-'2027'!Resal_s)*(1-EXP(('2027'!Tnet_s-t)/'2027'!Tau_j)),Resal_s+(Salim-Resal_s)*(1-EXP((Tnet_s-t)/Tau_j)))*Salcycl</f>
        <v>6.3993222330957472E-2</v>
      </c>
      <c r="AD15" s="227">
        <f>(INDEX(Models!$BJ15:$BT15,,AH15)*(1-AF15)+INDEX(Models!$BJ15:$BT15,,AH15+1)*AF15-ERP_i)*AE15*Ramure*Pc/MaxiM</f>
        <v>3.6551185741086649E-3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0.98952995632321139</v>
      </c>
      <c r="AG15" s="800">
        <f>INDEX(Echel_vg,AH15)</f>
        <v>2</v>
      </c>
      <c r="AH15" s="245">
        <f t="shared" ref="AH15:AH78" si="16">MIN(MATCH(Hp_vg_s,Echel_vg),10)</f>
        <v>8</v>
      </c>
      <c r="AI15" s="220">
        <f t="shared" ref="AI15:AI78" si="17">IF(OR(t&lt;Ttai,Notai),Hdd_s+PousH*Croivg,Hdtai_s+PousH*(Croivg-Croi_tai))</f>
        <v>2.9895299563232114</v>
      </c>
      <c r="AJ15" s="261" t="b">
        <f t="shared" ref="AJ15:AJ78" si="18">t&lt;Tnet</f>
        <v>1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46754</v>
      </c>
      <c r="B16" s="406">
        <f>'2027'!Wh/'2027'!Env_an*'2028'!Env_an</f>
        <v>67.484020713176506</v>
      </c>
      <c r="C16" s="831"/>
      <c r="D16" s="388">
        <f t="shared" si="0"/>
        <v>69.671183864043186</v>
      </c>
      <c r="E16" s="380">
        <f t="shared" si="1"/>
        <v>72.817268041556602</v>
      </c>
      <c r="F16" s="380">
        <f t="shared" si="2"/>
        <v>72.981280333822866</v>
      </c>
      <c r="G16" s="110">
        <f t="shared" ref="G16:G79" si="21">+Wh_hp/MaxiM</f>
        <v>0.72662164716096256</v>
      </c>
      <c r="H16" s="409" t="b">
        <f>Wh_hp&gt;='2027'!Maxi_hp</f>
        <v>0</v>
      </c>
      <c r="I16" s="385">
        <f>IF(H16,Wh_hp,'2027'!Maxi_hp)</f>
        <v>73.086107014148709</v>
      </c>
      <c r="J16" s="85">
        <f>IF(H16,An,'2027'!An_max)</f>
        <v>2022</v>
      </c>
      <c r="K16" s="193">
        <f t="shared" si="3"/>
        <v>46754</v>
      </c>
      <c r="L16" s="143">
        <f>IF(t&lt;Tvie,1-EXP((T0-t)*PertePVj)+'2027'!Pspv,1-EXP((T0-t)*PertePVj)+Pspv)</f>
        <v>3.1392650871768235E-2</v>
      </c>
      <c r="M16" s="835"/>
      <c r="N16" s="835"/>
      <c r="O16" s="48">
        <f>IF(t&lt;Tnet,'2027'!Resal+('2027'!Salim-'2027'!Resal)*(1-EXP(('2027'!Tnet-t)/('2027'!Tau_j))),Resal+(Salim-Resal)*(1-EXP((Tnet-t)/(Tau_j))))*Salcycl</f>
        <v>4.320519379713561E-2</v>
      </c>
      <c r="P16" s="165">
        <f>(INDEX(Models!$BJ16:$BT16,,T16)*(1-R16)+INDEX(Models!$BJ16:$BT16,,T16+1)*R16-ERP_i)*Q16*Ramure*Pc/MaxiM</f>
        <v>3.6783995965027094E-3</v>
      </c>
      <c r="Q16" s="301">
        <f t="shared" si="4"/>
        <v>0.5</v>
      </c>
      <c r="R16" s="173">
        <f t="shared" si="5"/>
        <v>0.98955917093720558</v>
      </c>
      <c r="S16" s="801">
        <f t="shared" si="6"/>
        <v>2</v>
      </c>
      <c r="T16" s="172">
        <f t="shared" si="7"/>
        <v>8</v>
      </c>
      <c r="U16" s="247">
        <f t="shared" si="8"/>
        <v>2.9895591709372056</v>
      </c>
      <c r="V16" s="378">
        <f t="shared" si="9"/>
        <v>92.74046327796249</v>
      </c>
      <c r="W16" s="397">
        <f t="shared" si="10"/>
        <v>67.484020713176506</v>
      </c>
      <c r="X16" s="153">
        <f t="shared" si="11"/>
        <v>46754</v>
      </c>
      <c r="Y16" s="380">
        <f t="shared" si="12"/>
        <v>66.01675360145191</v>
      </c>
      <c r="Z16" s="380">
        <f t="shared" ref="Z16:Z78" si="22">Wh_sa_s*(1-Psa_s)</f>
        <v>68.156362493912994</v>
      </c>
      <c r="AA16" s="381">
        <f t="shared" si="13"/>
        <v>72.817268041556602</v>
      </c>
      <c r="AB16" s="193">
        <f t="shared" si="14"/>
        <v>46754</v>
      </c>
      <c r="AC16" s="119">
        <f>IF(OR(t&lt;Tnet,NoTnet),'2027'!Resal_s+('2027'!Salim-'2027'!Resal_s)*(1-EXP(('2027'!Tnet_s-t)/'2027'!Tau_j)),Resal_s+(Salim-Resal_s)*(1-EXP((Tnet_s-t)/Tau_j)))*Salcycl</f>
        <v>6.4008245200625286E-2</v>
      </c>
      <c r="AD16" s="227">
        <f>(INDEX(Models!$BJ16:$BT16,,AH16)*(1-AF16)+INDEX(Models!$BJ16:$BT16,,AH16+1)*AF16-ERP_i)*AE16*Ramure*Pc/MaxiM</f>
        <v>3.6783995965027094E-3</v>
      </c>
      <c r="AE16" s="301">
        <f t="shared" si="15"/>
        <v>0.5</v>
      </c>
      <c r="AF16" s="173">
        <f t="shared" ref="AF16:AF78" si="23">(Hp_vg_s-AG16)/(INDEX(Echel_vg,AH16+1)-AG16)</f>
        <v>0.98955917093720558</v>
      </c>
      <c r="AG16" s="801">
        <f t="shared" ref="AG16:AG79" si="24">INDEX(Echel_vg,AH16)</f>
        <v>2</v>
      </c>
      <c r="AH16" s="172">
        <f t="shared" si="16"/>
        <v>8</v>
      </c>
      <c r="AI16" s="221">
        <f t="shared" si="17"/>
        <v>2.9895591709372056</v>
      </c>
      <c r="AJ16" s="261" t="b">
        <f t="shared" si="18"/>
        <v>1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46755</v>
      </c>
      <c r="B17" s="406">
        <f>'2027'!Wh/'2027'!Env_an*'2028'!Env_an</f>
        <v>70.278283914033693</v>
      </c>
      <c r="C17" s="831"/>
      <c r="D17" s="388">
        <f t="shared" si="0"/>
        <v>72.557002629751054</v>
      </c>
      <c r="E17" s="380">
        <f t="shared" si="1"/>
        <v>75.836467993744506</v>
      </c>
      <c r="F17" s="380">
        <f t="shared" si="2"/>
        <v>76.018760470759418</v>
      </c>
      <c r="G17" s="110">
        <f t="shared" si="21"/>
        <v>0.75197666572393129</v>
      </c>
      <c r="H17" s="409" t="b">
        <f>Wh_hp&gt;='2027'!Maxi_hp</f>
        <v>0</v>
      </c>
      <c r="I17" s="385">
        <f>IF(H17,Wh_hp,'2027'!Maxi_hp)</f>
        <v>76.118546681586153</v>
      </c>
      <c r="J17" s="85">
        <f>IF(H17,An,'2027'!An_max)</f>
        <v>2022</v>
      </c>
      <c r="K17" s="193">
        <f t="shared" si="3"/>
        <v>46755</v>
      </c>
      <c r="L17" s="143">
        <f>IF(t&lt;Tvie,1-EXP((T0-t)*PertePVj)+'2027'!Pspv,1-EXP((T0-t)*PertePVj)+Pspv)</f>
        <v>3.1405910292978345E-2</v>
      </c>
      <c r="M17" s="835"/>
      <c r="N17" s="835"/>
      <c r="O17" s="48">
        <f>IF(t&lt;Tnet,'2027'!Resal+('2027'!Salim-'2027'!Resal)*(1-EXP(('2027'!Tnet-t)/('2027'!Tau_j))),Resal+(Salim-Resal)*(1-EXP((Tnet-t)/(Tau_j))))*Salcycl</f>
        <v>4.3243909569522218E-2</v>
      </c>
      <c r="P17" s="165">
        <f>(INDEX(Models!$BJ17:$BT17,,T17)*(1-R17)+INDEX(Models!$BJ17:$BT17,,T17+1)*R17-ERP_i)*Q17*Ramure*Pc/MaxiM</f>
        <v>3.7058047881299975E-3</v>
      </c>
      <c r="Q17" s="301">
        <f t="shared" si="4"/>
        <v>0.5</v>
      </c>
      <c r="R17" s="173">
        <f t="shared" si="5"/>
        <v>0.98958960753269531</v>
      </c>
      <c r="S17" s="801">
        <f t="shared" si="6"/>
        <v>2</v>
      </c>
      <c r="T17" s="172">
        <f t="shared" si="7"/>
        <v>8</v>
      </c>
      <c r="U17" s="247">
        <f t="shared" si="8"/>
        <v>2.9895896075326953</v>
      </c>
      <c r="V17" s="378">
        <f t="shared" si="9"/>
        <v>93.335545414930493</v>
      </c>
      <c r="W17" s="397">
        <f t="shared" si="10"/>
        <v>70.278283914033693</v>
      </c>
      <c r="X17" s="153">
        <f t="shared" si="11"/>
        <v>46755</v>
      </c>
      <c r="Y17" s="380">
        <f t="shared" si="12"/>
        <v>68.751932169377511</v>
      </c>
      <c r="Z17" s="380">
        <f t="shared" si="22"/>
        <v>70.981160116487445</v>
      </c>
      <c r="AA17" s="381">
        <f t="shared" si="13"/>
        <v>75.836467993744506</v>
      </c>
      <c r="AB17" s="193">
        <f t="shared" si="14"/>
        <v>46755</v>
      </c>
      <c r="AC17" s="119">
        <f>IF(OR(t&lt;Tnet,NoTnet),'2027'!Resal_s+('2027'!Salim-'2027'!Resal_s)*(1-EXP(('2027'!Tnet_s-t)/'2027'!Tau_j)),Resal_s+(Salim-Resal_s)*(1-EXP((Tnet_s-t)/Tau_j)))*Salcycl</f>
        <v>6.4023391459337969E-2</v>
      </c>
      <c r="AD17" s="227">
        <f>(INDEX(Models!$BJ17:$BT17,,AH17)*(1-AF17)+INDEX(Models!$BJ17:$BT17,,AH17+1)*AF17-ERP_i)*AE17*Ramure*Pc/MaxiM</f>
        <v>3.7058047881299975E-3</v>
      </c>
      <c r="AE17" s="301">
        <f t="shared" si="15"/>
        <v>0.5</v>
      </c>
      <c r="AF17" s="173">
        <f>(Hp_vg_s-AG17)/(INDEX(Echel_vg,AH17+1)-AG17)</f>
        <v>0.98958960753269531</v>
      </c>
      <c r="AG17" s="801">
        <f>INDEX(Echel_vg,AH17)</f>
        <v>2</v>
      </c>
      <c r="AH17" s="172">
        <f t="shared" si="16"/>
        <v>8</v>
      </c>
      <c r="AI17" s="221">
        <f t="shared" si="17"/>
        <v>2.9895896075326953</v>
      </c>
      <c r="AJ17" s="261" t="b">
        <f t="shared" si="18"/>
        <v>1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46756</v>
      </c>
      <c r="B18" s="406">
        <f>'2027'!Wh/'2027'!Env_an*'2028'!Env_an</f>
        <v>75.474891600335241</v>
      </c>
      <c r="C18" s="831"/>
      <c r="D18" s="388">
        <f t="shared" si="0"/>
        <v>77.923172982806236</v>
      </c>
      <c r="E18" s="380">
        <f t="shared" si="1"/>
        <v>81.448480300317414</v>
      </c>
      <c r="F18" s="380">
        <f t="shared" si="2"/>
        <v>81.667908557838444</v>
      </c>
      <c r="G18" s="110">
        <f t="shared" si="21"/>
        <v>0.80240368821869379</v>
      </c>
      <c r="H18" s="409" t="b">
        <f>Wh_hp&gt;='2027'!Maxi_hp</f>
        <v>0</v>
      </c>
      <c r="I18" s="385">
        <f>IF(H18,Wh_hp,'2027'!Maxi_hp)</f>
        <v>81.754015578877613</v>
      </c>
      <c r="J18" s="85">
        <f>IF(H18,An,'2027'!An_max)</f>
        <v>2022</v>
      </c>
      <c r="K18" s="193">
        <f t="shared" si="3"/>
        <v>46756</v>
      </c>
      <c r="L18" s="143">
        <f>IF(t&lt;Tvie,1-EXP((T0-t)*PertePVj)+'2027'!Pspv,1-EXP((T0-t)*PertePVj)+Pspv)</f>
        <v>3.1419169532678204E-2</v>
      </c>
      <c r="M18" s="835"/>
      <c r="N18" s="835"/>
      <c r="O18" s="48">
        <f>IF(t&lt;Tnet,'2027'!Resal+('2027'!Salim-'2027'!Resal)*(1-EXP(('2027'!Tnet-t)/('2027'!Tau_j))),Resal+(Salim-Resal)*(1-EXP((Tnet-t)/(Tau_j))))*Salcycl</f>
        <v>4.3282665367268262E-2</v>
      </c>
      <c r="P18" s="165">
        <f>(INDEX(Models!$BJ18:$BT18,,T18)*(1-R18)+INDEX(Models!$BJ18:$BT18,,T18+1)*R18-ERP_i)*Q18*Ramure*Pc/MaxiM</f>
        <v>3.7372797679473217E-3</v>
      </c>
      <c r="Q18" s="301">
        <f t="shared" si="4"/>
        <v>0.5</v>
      </c>
      <c r="R18" s="173">
        <f t="shared" si="5"/>
        <v>0.98962131706399026</v>
      </c>
      <c r="S18" s="801">
        <f t="shared" si="6"/>
        <v>2</v>
      </c>
      <c r="T18" s="172">
        <f t="shared" si="7"/>
        <v>8</v>
      </c>
      <c r="U18" s="247">
        <f t="shared" si="8"/>
        <v>2.9896213170639903</v>
      </c>
      <c r="V18" s="378">
        <f t="shared" si="9"/>
        <v>93.961925858564499</v>
      </c>
      <c r="W18" s="397">
        <f t="shared" si="10"/>
        <v>75.474891600335241</v>
      </c>
      <c r="X18" s="153">
        <f t="shared" si="11"/>
        <v>46756</v>
      </c>
      <c r="Y18" s="380">
        <f t="shared" si="12"/>
        <v>73.837463959569163</v>
      </c>
      <c r="Z18" s="380">
        <f>Wh_sa_s*(1-Psa_s)</f>
        <v>76.232629881745638</v>
      </c>
      <c r="AA18" s="381">
        <f t="shared" si="13"/>
        <v>81.448480300317414</v>
      </c>
      <c r="AB18" s="193">
        <f>t</f>
        <v>46756</v>
      </c>
      <c r="AC18" s="119">
        <f>IF(OR(t&lt;Tnet,NoTnet),'2027'!Resal_s+('2027'!Salim-'2027'!Resal_s)*(1-EXP(('2027'!Tnet_s-t)/'2027'!Tau_j)),Resal_s+(Salim-Resal_s)*(1-EXP((Tnet_s-t)/Tau_j)))*Salcycl</f>
        <v>6.4038646262519094E-2</v>
      </c>
      <c r="AD18" s="227">
        <f>(INDEX(Models!$BJ18:$BT18,,AH18)*(1-AF18)+INDEX(Models!$BJ18:$BT18,,AH18+1)*AF18-ERP_i)*AE18*Ramure*Pc/MaxiM</f>
        <v>3.7372797679473217E-3</v>
      </c>
      <c r="AE18" s="301">
        <f t="shared" si="15"/>
        <v>0.5</v>
      </c>
      <c r="AF18" s="173">
        <f t="shared" si="23"/>
        <v>0.98962131706399026</v>
      </c>
      <c r="AG18" s="801">
        <f t="shared" si="24"/>
        <v>2</v>
      </c>
      <c r="AH18" s="172">
        <f t="shared" si="16"/>
        <v>8</v>
      </c>
      <c r="AI18" s="221">
        <f t="shared" si="17"/>
        <v>2.9896213170639903</v>
      </c>
      <c r="AJ18" s="261" t="b">
        <f t="shared" si="18"/>
        <v>1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46757</v>
      </c>
      <c r="B19" s="406">
        <f>'2027'!Wh/'2027'!Env_an*'2028'!Env_an</f>
        <v>56.750434166064778</v>
      </c>
      <c r="C19" s="831"/>
      <c r="D19" s="388">
        <f t="shared" si="0"/>
        <v>58.592127014433139</v>
      </c>
      <c r="E19" s="380">
        <f t="shared" si="1"/>
        <v>61.245365203533829</v>
      </c>
      <c r="F19" s="380">
        <f t="shared" si="2"/>
        <v>61.344482274687898</v>
      </c>
      <c r="G19" s="110">
        <f t="shared" si="21"/>
        <v>0.59848992687052582</v>
      </c>
      <c r="H19" s="409" t="b">
        <f>Wh_hp&gt;='2027'!Maxi_hp</f>
        <v>0</v>
      </c>
      <c r="I19" s="385">
        <f>IF(H19,Wh_hp,'2027'!Maxi_hp)</f>
        <v>61.477299806338095</v>
      </c>
      <c r="J19" s="85">
        <f>IF(H19,An,'2027'!An_max)</f>
        <v>2022</v>
      </c>
      <c r="K19" s="193">
        <f t="shared" si="3"/>
        <v>46757</v>
      </c>
      <c r="L19" s="143">
        <f>IF(t&lt;Tvie,1-EXP((T0-t)*PertePVj)+'2027'!Pspv,1-EXP((T0-t)*PertePVj)+Pspv)</f>
        <v>3.1432428590870143E-2</v>
      </c>
      <c r="M19" s="835"/>
      <c r="N19" s="835"/>
      <c r="O19" s="48">
        <f>IF(t&lt;Tnet,'2027'!Resal+('2027'!Salim-'2027'!Resal)*(1-EXP(('2027'!Tnet-t)/('2027'!Tau_j))),Resal+(Salim-Resal)*(1-EXP((Tnet-t)/(Tau_j))))*Salcycl</f>
        <v>4.3321452656593866E-2</v>
      </c>
      <c r="P19" s="165">
        <f>(INDEX(Models!$BJ19:$BT19,,T19)*(1-R19)+INDEX(Models!$BJ19:$BT19,,T19+1)*R19-ERP_i)*Q19*Ramure*Pc/MaxiM</f>
        <v>3.772766947439902E-3</v>
      </c>
      <c r="Q19" s="301">
        <f t="shared" si="4"/>
        <v>0.5</v>
      </c>
      <c r="R19" s="173">
        <f t="shared" si="5"/>
        <v>0.98965435259655221</v>
      </c>
      <c r="S19" s="801">
        <f t="shared" si="6"/>
        <v>2</v>
      </c>
      <c r="T19" s="172">
        <f t="shared" si="7"/>
        <v>8</v>
      </c>
      <c r="U19" s="247">
        <f t="shared" si="8"/>
        <v>2.9896543525965522</v>
      </c>
      <c r="V19" s="378">
        <f t="shared" si="9"/>
        <v>94.617840022671928</v>
      </c>
      <c r="W19" s="397">
        <f t="shared" si="10"/>
        <v>56.750434166064778</v>
      </c>
      <c r="X19" s="153">
        <f t="shared" si="11"/>
        <v>46757</v>
      </c>
      <c r="Y19" s="380">
        <f t="shared" si="12"/>
        <v>55.520573960554124</v>
      </c>
      <c r="Z19" s="380">
        <f t="shared" si="22"/>
        <v>57.322354783961515</v>
      </c>
      <c r="AA19" s="381">
        <f t="shared" si="13"/>
        <v>61.245365203533829</v>
      </c>
      <c r="AB19" s="193">
        <f t="shared" si="14"/>
        <v>46757</v>
      </c>
      <c r="AC19" s="119">
        <f>IF(OR(t&lt;Tnet,NoTnet),'2027'!Resal_s+('2027'!Salim-'2027'!Resal_s)*(1-EXP(('2027'!Tnet_s-t)/'2027'!Tau_j)),Resal_s+(Salim-Resal_s)*(1-EXP((Tnet_s-t)/Tau_j)))*Salcycl</f>
        <v>6.4053996682608708E-2</v>
      </c>
      <c r="AD19" s="227">
        <f>(INDEX(Models!$BJ19:$BT19,,AH19)*(1-AF19)+INDEX(Models!$BJ19:$BT19,,AH19+1)*AF19-ERP_i)*AE19*Ramure*Pc/MaxiM</f>
        <v>3.772766947439902E-3</v>
      </c>
      <c r="AE19" s="301">
        <f t="shared" si="15"/>
        <v>0.5</v>
      </c>
      <c r="AF19" s="173">
        <f t="shared" si="23"/>
        <v>0.98965435259655221</v>
      </c>
      <c r="AG19" s="801">
        <f t="shared" si="24"/>
        <v>2</v>
      </c>
      <c r="AH19" s="172">
        <f t="shared" si="16"/>
        <v>8</v>
      </c>
      <c r="AI19" s="221">
        <f t="shared" si="17"/>
        <v>2.9896543525965522</v>
      </c>
      <c r="AJ19" s="261" t="b">
        <f t="shared" si="18"/>
        <v>1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46758</v>
      </c>
      <c r="B20" s="406">
        <f>'2027'!Wh/'2027'!Env_an*'2028'!Env_an</f>
        <v>97.203898659006853</v>
      </c>
      <c r="C20" s="831"/>
      <c r="D20" s="388">
        <f t="shared" si="0"/>
        <v>100.35978096556238</v>
      </c>
      <c r="E20" s="380">
        <f t="shared" si="1"/>
        <v>104.90864763736835</v>
      </c>
      <c r="F20" s="380">
        <f t="shared" si="2"/>
        <v>105.31011151518359</v>
      </c>
      <c r="G20" s="110">
        <f t="shared" si="21"/>
        <v>1.0199616450883791</v>
      </c>
      <c r="H20" s="409" t="b">
        <f>Wh_hp&gt;='2027'!Maxi_hp</f>
        <v>1</v>
      </c>
      <c r="I20" s="385">
        <f>IF(H20,Wh_hp,'2027'!Maxi_hp)</f>
        <v>105.31011151518359</v>
      </c>
      <c r="J20" s="85">
        <f>IF(H20,An,'2027'!An_max)</f>
        <v>2028</v>
      </c>
      <c r="K20" s="193">
        <f t="shared" si="3"/>
        <v>46758</v>
      </c>
      <c r="L20" s="143">
        <f>IF(t&lt;Tvie,1-EXP((T0-t)*PertePVj)+'2027'!Pspv,1-EXP((T0-t)*PertePVj)+Pspv)</f>
        <v>3.1445687467556716E-2</v>
      </c>
      <c r="M20" s="835"/>
      <c r="N20" s="835"/>
      <c r="O20" s="48">
        <f>IF(t&lt;Tnet,'2027'!Resal+('2027'!Salim-'2027'!Resal)*(1-EXP(('2027'!Tnet-t)/('2027'!Tau_j))),Resal+(Salim-Resal)*(1-EXP((Tnet-t)/(Tau_j))))*Salcycl</f>
        <v>4.3360264136944868E-2</v>
      </c>
      <c r="P20" s="165">
        <f>(INDEX(Models!$BJ20:$BT20,,T20)*(1-R20)+INDEX(Models!$BJ20:$BT20,,T20+1)*R20-ERP_i)*Q20*Ramure*Pc/MaxiM</f>
        <v>3.8122063687812311E-3</v>
      </c>
      <c r="Q20" s="301">
        <f t="shared" si="4"/>
        <v>0.5</v>
      </c>
      <c r="R20" s="173">
        <f t="shared" si="5"/>
        <v>0.98968876939330297</v>
      </c>
      <c r="S20" s="801">
        <f t="shared" si="6"/>
        <v>2</v>
      </c>
      <c r="T20" s="172">
        <f t="shared" si="7"/>
        <v>8</v>
      </c>
      <c r="U20" s="247">
        <f t="shared" si="8"/>
        <v>2.989688769393303</v>
      </c>
      <c r="V20" s="378">
        <f t="shared" si="9"/>
        <v>95.301523471095052</v>
      </c>
      <c r="W20" s="397">
        <f t="shared" si="10"/>
        <v>97.203898659006853</v>
      </c>
      <c r="X20" s="153">
        <f t="shared" si="11"/>
        <v>46758</v>
      </c>
      <c r="Y20" s="380">
        <f t="shared" si="12"/>
        <v>95.099645882652922</v>
      </c>
      <c r="Z20" s="380">
        <f t="shared" si="22"/>
        <v>98.187210208170342</v>
      </c>
      <c r="AA20" s="381">
        <f t="shared" si="13"/>
        <v>104.90864763736835</v>
      </c>
      <c r="AB20" s="193">
        <f t="shared" si="14"/>
        <v>46758</v>
      </c>
      <c r="AC20" s="119">
        <f>IF(OR(t&lt;Tnet,NoTnet),'2027'!Resal_s+('2027'!Salim-'2027'!Resal_s)*(1-EXP(('2027'!Tnet_s-t)/'2027'!Tau_j)),Resal_s+(Salim-Resal_s)*(1-EXP((Tnet_s-t)/Tau_j)))*Salcycl</f>
        <v>6.4069431649062994E-2</v>
      </c>
      <c r="AD20" s="227">
        <f>(INDEX(Models!$BJ20:$BT20,,AH20)*(1-AF20)+INDEX(Models!$BJ20:$BT20,,AH20+1)*AF20-ERP_i)*AE20*Ramure*Pc/MaxiM</f>
        <v>3.8122063687812311E-3</v>
      </c>
      <c r="AE20" s="301">
        <f t="shared" si="15"/>
        <v>0.5</v>
      </c>
      <c r="AF20" s="173">
        <f t="shared" si="23"/>
        <v>0.98968876939330297</v>
      </c>
      <c r="AG20" s="801">
        <f t="shared" si="24"/>
        <v>2</v>
      </c>
      <c r="AH20" s="172">
        <f t="shared" si="16"/>
        <v>8</v>
      </c>
      <c r="AI20" s="221">
        <f t="shared" si="17"/>
        <v>2.989688769393303</v>
      </c>
      <c r="AJ20" s="261" t="b">
        <f t="shared" si="18"/>
        <v>1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46759</v>
      </c>
      <c r="B21" s="406">
        <f>'2027'!Wh/'2027'!Env_an*'2028'!Env_an</f>
        <v>36.769952771033793</v>
      </c>
      <c r="C21" s="831"/>
      <c r="D21" s="388">
        <f t="shared" si="0"/>
        <v>37.964268654751436</v>
      </c>
      <c r="E21" s="380">
        <f t="shared" si="1"/>
        <v>39.686632538736653</v>
      </c>
      <c r="F21" s="380">
        <f t="shared" si="2"/>
        <v>39.704778502045862</v>
      </c>
      <c r="G21" s="110">
        <f t="shared" si="21"/>
        <v>0.38167346993719187</v>
      </c>
      <c r="H21" s="409" t="b">
        <f>Wh_hp&gt;='2027'!Maxi_hp</f>
        <v>0</v>
      </c>
      <c r="I21" s="385">
        <f>IF(H21,Wh_hp,'2027'!Maxi_hp)</f>
        <v>39.840230222025987</v>
      </c>
      <c r="J21" s="85">
        <f>IF(H21,An,'2027'!An_max)</f>
        <v>2022</v>
      </c>
      <c r="K21" s="193">
        <f t="shared" si="3"/>
        <v>46759</v>
      </c>
      <c r="L21" s="143">
        <f>IF(t&lt;Tvie,1-EXP((T0-t)*PertePVj)+'2027'!Pspv,1-EXP((T0-t)*PertePVj)+Pspv)</f>
        <v>3.1458946162740475E-2</v>
      </c>
      <c r="M21" s="835"/>
      <c r="N21" s="835"/>
      <c r="O21" s="48">
        <f>IF(t&lt;Tnet,'2027'!Resal+('2027'!Salim-'2027'!Resal)*(1-EXP(('2027'!Tnet-t)/('2027'!Tau_j))),Resal+(Salim-Resal)*(1-EXP((Tnet-t)/(Tau_j))))*Salcycl</f>
        <v>4.3399093694938294E-2</v>
      </c>
      <c r="P21" s="165">
        <f>(INDEX(Models!$BJ21:$BT21,,T21)*(1-R21)+INDEX(Models!$BJ21:$BT21,,T21+1)*R21-ERP_i)*Q21*Ramure*Pc/MaxiM</f>
        <v>3.8555365133861176E-3</v>
      </c>
      <c r="Q21" s="301">
        <f t="shared" si="4"/>
        <v>0.5</v>
      </c>
      <c r="R21" s="173">
        <f t="shared" si="5"/>
        <v>0.98972462500436587</v>
      </c>
      <c r="S21" s="801">
        <f t="shared" si="6"/>
        <v>2</v>
      </c>
      <c r="T21" s="172">
        <f t="shared" si="7"/>
        <v>8</v>
      </c>
      <c r="U21" s="247">
        <f t="shared" si="8"/>
        <v>2.9897246250043659</v>
      </c>
      <c r="V21" s="378">
        <f t="shared" si="9"/>
        <v>96.011211959345815</v>
      </c>
      <c r="W21" s="397">
        <f t="shared" si="10"/>
        <v>36.769952771033793</v>
      </c>
      <c r="X21" s="153">
        <f t="shared" si="11"/>
        <v>46759</v>
      </c>
      <c r="Y21" s="380">
        <f t="shared" si="12"/>
        <v>35.974827389524251</v>
      </c>
      <c r="Z21" s="380">
        <f t="shared" si="22"/>
        <v>37.143316999311182</v>
      </c>
      <c r="AA21" s="381">
        <f t="shared" si="13"/>
        <v>39.686632538736653</v>
      </c>
      <c r="AB21" s="193">
        <f t="shared" si="14"/>
        <v>46759</v>
      </c>
      <c r="AC21" s="119">
        <f>IF(OR(t&lt;Tnet,NoTnet),'2027'!Resal_s+('2027'!Salim-'2027'!Resal_s)*(1-EXP(('2027'!Tnet_s-t)/'2027'!Tau_j)),Resal_s+(Salim-Resal_s)*(1-EXP((Tnet_s-t)/Tau_j)))*Salcycl</f>
        <v>6.4084941874144499E-2</v>
      </c>
      <c r="AD21" s="227">
        <f>(INDEX(Models!$BJ21:$BT21,,AH21)*(1-AF21)+INDEX(Models!$BJ21:$BT21,,AH21+1)*AF21-ERP_i)*AE21*Ramure*Pc/MaxiM</f>
        <v>3.8555365133861176E-3</v>
      </c>
      <c r="AE21" s="301">
        <f t="shared" si="15"/>
        <v>0.5</v>
      </c>
      <c r="AF21" s="173">
        <f t="shared" si="23"/>
        <v>0.98972462500436587</v>
      </c>
      <c r="AG21" s="801">
        <f t="shared" si="24"/>
        <v>2</v>
      </c>
      <c r="AH21" s="172">
        <f t="shared" si="16"/>
        <v>8</v>
      </c>
      <c r="AI21" s="221">
        <f t="shared" si="17"/>
        <v>2.9897246250043659</v>
      </c>
      <c r="AJ21" s="261" t="b">
        <f t="shared" si="18"/>
        <v>1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46760</v>
      </c>
      <c r="B22" s="406">
        <f>'2027'!Wh/'2027'!Env_an*'2028'!Env_an</f>
        <v>24.617828704736546</v>
      </c>
      <c r="C22" s="831"/>
      <c r="D22" s="388">
        <f t="shared" si="0"/>
        <v>25.417782353383007</v>
      </c>
      <c r="E22" s="380">
        <f t="shared" si="1"/>
        <v>26.572015888206835</v>
      </c>
      <c r="F22" s="380">
        <f t="shared" si="2"/>
        <v>26.572015888206835</v>
      </c>
      <c r="G22" s="110">
        <f t="shared" si="21"/>
        <v>0.25346753809710193</v>
      </c>
      <c r="H22" s="409" t="b">
        <f>Wh_hp&gt;='2027'!Maxi_hp</f>
        <v>0</v>
      </c>
      <c r="I22" s="385">
        <f>IF(H22,Wh_hp,'2027'!Maxi_hp)</f>
        <v>26.676117567913273</v>
      </c>
      <c r="J22" s="85">
        <f>IF(H22,An,'2027'!An_max)</f>
        <v>2022</v>
      </c>
      <c r="K22" s="193">
        <f t="shared" si="3"/>
        <v>46760</v>
      </c>
      <c r="L22" s="143">
        <f>IF(t&lt;Tvie,1-EXP((T0-t)*PertePVj)+'2027'!Pspv,1-EXP((T0-t)*PertePVj)+Pspv)</f>
        <v>3.1472204676423754E-2</v>
      </c>
      <c r="M22" s="835"/>
      <c r="N22" s="835"/>
      <c r="O22" s="48">
        <f>IF(t&lt;Tnet,'2027'!Resal+('2027'!Salim-'2027'!Resal)*(1-EXP(('2027'!Tnet-t)/('2027'!Tau_j))),Resal+(Salim-Resal)*(1-EXP((Tnet-t)/(Tau_j))))*Salcycl</f>
        <v>4.3437936349274113E-2</v>
      </c>
      <c r="P22" s="165">
        <f>(INDEX(Models!$BJ22:$BT22,,T22)*(1-R22)+INDEX(Models!$BJ22:$BT22,,T22+1)*R22-ERP_i)*Q22*Ramure*Pc/MaxiM</f>
        <v>3.9026950764819127E-3</v>
      </c>
      <c r="Q22" s="301">
        <f t="shared" si="4"/>
        <v>0.5</v>
      </c>
      <c r="R22" s="173">
        <f t="shared" si="5"/>
        <v>0.98976197936036314</v>
      </c>
      <c r="S22" s="801">
        <f t="shared" si="6"/>
        <v>2</v>
      </c>
      <c r="T22" s="172">
        <f t="shared" si="7"/>
        <v>8</v>
      </c>
      <c r="U22" s="247">
        <f t="shared" si="8"/>
        <v>2.9897619793603631</v>
      </c>
      <c r="V22" s="378">
        <f t="shared" si="9"/>
        <v>96.745141448696117</v>
      </c>
      <c r="W22" s="397">
        <f t="shared" si="10"/>
        <v>24.617828704736546</v>
      </c>
      <c r="X22" s="153">
        <f t="shared" si="11"/>
        <v>46760</v>
      </c>
      <c r="Y22" s="380">
        <f t="shared" si="12"/>
        <v>24.08606191356607</v>
      </c>
      <c r="Z22" s="380">
        <f t="shared" si="22"/>
        <v>24.868735858550284</v>
      </c>
      <c r="AA22" s="381">
        <f t="shared" si="13"/>
        <v>26.572015888206835</v>
      </c>
      <c r="AB22" s="193">
        <f t="shared" si="14"/>
        <v>46760</v>
      </c>
      <c r="AC22" s="119">
        <f>IF(OR(t&lt;Tnet,NoTnet),'2027'!Resal_s+('2027'!Salim-'2027'!Resal_s)*(1-EXP(('2027'!Tnet_s-t)/'2027'!Tau_j)),Resal_s+(Salim-Resal_s)*(1-EXP((Tnet_s-t)/Tau_j)))*Salcycl</f>
        <v>6.4100519765701983E-2</v>
      </c>
      <c r="AD22" s="227">
        <f>(INDEX(Models!$BJ22:$BT22,,AH22)*(1-AF22)+INDEX(Models!$BJ22:$BT22,,AH22+1)*AF22-ERP_i)*AE22*Ramure*Pc/MaxiM</f>
        <v>3.9026950764819127E-3</v>
      </c>
      <c r="AE22" s="301">
        <f t="shared" si="15"/>
        <v>0.5</v>
      </c>
      <c r="AF22" s="173">
        <f t="shared" si="23"/>
        <v>0.98976197936036314</v>
      </c>
      <c r="AG22" s="801">
        <f t="shared" si="24"/>
        <v>2</v>
      </c>
      <c r="AH22" s="172">
        <f t="shared" si="16"/>
        <v>8</v>
      </c>
      <c r="AI22" s="221">
        <f t="shared" si="17"/>
        <v>2.9897619793603631</v>
      </c>
      <c r="AJ22" s="261" t="b">
        <f t="shared" si="18"/>
        <v>1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46761</v>
      </c>
      <c r="B23" s="406">
        <f>'2027'!Wh/'2027'!Env_an*'2028'!Env_an</f>
        <v>7.6859033938278776</v>
      </c>
      <c r="C23" s="831"/>
      <c r="D23" s="388">
        <f t="shared" si="0"/>
        <v>7.9357646171254084</v>
      </c>
      <c r="E23" s="380">
        <f t="shared" si="1"/>
        <v>8.2964684172040606</v>
      </c>
      <c r="F23" s="380">
        <f t="shared" si="2"/>
        <v>8.2964684172040606</v>
      </c>
      <c r="G23" s="110">
        <f t="shared" si="21"/>
        <v>7.8509058436959892E-2</v>
      </c>
      <c r="H23" s="409" t="b">
        <f>Wh_hp&gt;='2027'!Maxi_hp</f>
        <v>0</v>
      </c>
      <c r="I23" s="385">
        <f>IF(H23,Wh_hp,'2027'!Maxi_hp)</f>
        <v>8.3293938096908722</v>
      </c>
      <c r="J23" s="85">
        <f>IF(H23,An,'2027'!An_max)</f>
        <v>2022</v>
      </c>
      <c r="K23" s="193">
        <f t="shared" si="3"/>
        <v>46761</v>
      </c>
      <c r="L23" s="143">
        <f>IF(t&lt;Tvie,1-EXP((T0-t)*PertePVj)+'2027'!Pspv,1-EXP((T0-t)*PertePVj)+Pspv)</f>
        <v>3.1485463008609105E-2</v>
      </c>
      <c r="M23" s="835"/>
      <c r="N23" s="835"/>
      <c r="O23" s="48">
        <f>IF(t&lt;Tnet,'2027'!Resal+('2027'!Salim-'2027'!Resal)*(1-EXP(('2027'!Tnet-t)/('2027'!Tau_j))),Resal+(Salim-Resal)*(1-EXP((Tnet-t)/(Tau_j))))*Salcycl</f>
        <v>4.3476788187450412E-2</v>
      </c>
      <c r="P23" s="165">
        <f>(INDEX(Models!$BJ23:$BT23,,T23)*(1-R23)+INDEX(Models!$BJ23:$BT23,,T23+1)*R23-ERP_i)*Q23*Ramure*Pc/MaxiM</f>
        <v>3.953226423208063E-3</v>
      </c>
      <c r="Q23" s="301">
        <f t="shared" si="4"/>
        <v>0.5</v>
      </c>
      <c r="R23" s="173">
        <f t="shared" si="5"/>
        <v>0.98980089486939837</v>
      </c>
      <c r="S23" s="801">
        <f t="shared" si="6"/>
        <v>2</v>
      </c>
      <c r="T23" s="172">
        <f t="shared" si="7"/>
        <v>8</v>
      </c>
      <c r="U23" s="247">
        <f t="shared" si="8"/>
        <v>2.9898008948693984</v>
      </c>
      <c r="V23" s="378">
        <f t="shared" si="9"/>
        <v>97.511286338917103</v>
      </c>
      <c r="W23" s="397">
        <f t="shared" si="10"/>
        <v>7.6859033938278776</v>
      </c>
      <c r="X23" s="153">
        <f t="shared" si="11"/>
        <v>46761</v>
      </c>
      <c r="Y23" s="380">
        <f t="shared" si="12"/>
        <v>7.5200608813426806</v>
      </c>
      <c r="Z23" s="380">
        <f t="shared" si="22"/>
        <v>7.7645307263049643</v>
      </c>
      <c r="AA23" s="381">
        <f t="shared" si="13"/>
        <v>8.2964684172040606</v>
      </c>
      <c r="AB23" s="193">
        <f t="shared" si="14"/>
        <v>46761</v>
      </c>
      <c r="AC23" s="119">
        <f>IF(OR(t&lt;Tnet,NoTnet),'2027'!Resal_s+('2027'!Salim-'2027'!Resal_s)*(1-EXP(('2027'!Tnet_s-t)/'2027'!Tau_j)),Resal_s+(Salim-Resal_s)*(1-EXP((Tnet_s-t)/Tau_j)))*Salcycl</f>
        <v>6.4116159328231559E-2</v>
      </c>
      <c r="AD23" s="227">
        <f>(INDEX(Models!$BJ23:$BT23,,AH23)*(1-AF23)+INDEX(Models!$BJ23:$BT23,,AH23+1)*AF23-ERP_i)*AE23*Ramure*Pc/MaxiM</f>
        <v>3.953226423208063E-3</v>
      </c>
      <c r="AE23" s="301">
        <f t="shared" si="15"/>
        <v>0.5</v>
      </c>
      <c r="AF23" s="173">
        <f t="shared" si="23"/>
        <v>0.98980089486939837</v>
      </c>
      <c r="AG23" s="801">
        <f t="shared" si="24"/>
        <v>2</v>
      </c>
      <c r="AH23" s="172">
        <f t="shared" si="16"/>
        <v>8</v>
      </c>
      <c r="AI23" s="221">
        <f t="shared" si="17"/>
        <v>2.9898008948693984</v>
      </c>
      <c r="AJ23" s="261" t="b">
        <f t="shared" si="18"/>
        <v>1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46762</v>
      </c>
      <c r="B24" s="406">
        <f>'2027'!Wh/'2027'!Env_an*'2028'!Env_an</f>
        <v>7.065547046842223</v>
      </c>
      <c r="C24" s="831"/>
      <c r="D24" s="388">
        <f t="shared" si="0"/>
        <v>7.2953409574220753</v>
      </c>
      <c r="E24" s="380">
        <f t="shared" si="1"/>
        <v>7.6272454736603787</v>
      </c>
      <c r="F24" s="380">
        <f t="shared" si="2"/>
        <v>7.6272454736603787</v>
      </c>
      <c r="G24" s="110">
        <f t="shared" si="21"/>
        <v>7.1576841450279982E-2</v>
      </c>
      <c r="H24" s="409" t="b">
        <f>Wh_hp&gt;='2027'!Maxi_hp</f>
        <v>0</v>
      </c>
      <c r="I24" s="385">
        <f>IF(H24,Wh_hp,'2027'!Maxi_hp)</f>
        <v>7.65787086076881</v>
      </c>
      <c r="J24" s="85">
        <f>IF(H24,An,'2027'!An_max)</f>
        <v>2022</v>
      </c>
      <c r="K24" s="193">
        <f t="shared" si="3"/>
        <v>46762</v>
      </c>
      <c r="L24" s="143">
        <f>IF(t&lt;Tvie,1-EXP((T0-t)*PertePVj)+'2027'!Pspv,1-EXP((T0-t)*PertePVj)+Pspv)</f>
        <v>3.1498721159299081E-2</v>
      </c>
      <c r="M24" s="835"/>
      <c r="N24" s="835"/>
      <c r="O24" s="48">
        <f>IF(t&lt;Tnet,'2027'!Resal+('2027'!Salim-'2027'!Resal)*(1-EXP(('2027'!Tnet-t)/('2027'!Tau_j))),Resal+(Salim-Resal)*(1-EXP((Tnet-t)/(Tau_j))))*Salcycl</f>
        <v>4.3515646295178158E-2</v>
      </c>
      <c r="P24" s="165">
        <f>(INDEX(Models!$BJ24:$BT24,,T24)*(1-R24)+INDEX(Models!$BJ24:$BT24,,T24+1)*R24-ERP_i)*Q24*Ramure*Pc/MaxiM</f>
        <v>3.9995611123865753E-3</v>
      </c>
      <c r="Q24" s="301">
        <f t="shared" si="4"/>
        <v>0.5</v>
      </c>
      <c r="R24" s="173">
        <f t="shared" si="5"/>
        <v>0.98984143651786782</v>
      </c>
      <c r="S24" s="801">
        <f t="shared" si="6"/>
        <v>2</v>
      </c>
      <c r="T24" s="172">
        <f t="shared" si="7"/>
        <v>8</v>
      </c>
      <c r="U24" s="247">
        <f t="shared" si="8"/>
        <v>2.9898414365178678</v>
      </c>
      <c r="V24" s="378">
        <f t="shared" si="9"/>
        <v>98.317944981189285</v>
      </c>
      <c r="W24" s="397">
        <f t="shared" si="10"/>
        <v>7.065547046842223</v>
      </c>
      <c r="X24" s="153">
        <f t="shared" si="11"/>
        <v>46762</v>
      </c>
      <c r="Y24" s="380">
        <f t="shared" si="12"/>
        <v>6.9132551673029274</v>
      </c>
      <c r="Z24" s="380">
        <f t="shared" si="22"/>
        <v>7.1380960648581855</v>
      </c>
      <c r="AA24" s="381">
        <f t="shared" si="13"/>
        <v>7.6272454736603787</v>
      </c>
      <c r="AB24" s="193">
        <f t="shared" si="14"/>
        <v>46762</v>
      </c>
      <c r="AC24" s="119">
        <f>IF(OR(t&lt;Tnet,NoTnet),'2027'!Resal_s+('2027'!Salim-'2027'!Resal_s)*(1-EXP(('2027'!Tnet_s-t)/'2027'!Tau_j)),Resal_s+(Salim-Resal_s)*(1-EXP((Tnet_s-t)/Tau_j)))*Salcycl</f>
        <v>6.4131856053591299E-2</v>
      </c>
      <c r="AD24" s="227">
        <f>(INDEX(Models!$BJ24:$BT24,,AH24)*(1-AF24)+INDEX(Models!$BJ24:$BT24,,AH24+1)*AF24-ERP_i)*AE24*Ramure*Pc/MaxiM</f>
        <v>3.9995611123865753E-3</v>
      </c>
      <c r="AE24" s="301">
        <f t="shared" si="15"/>
        <v>0.5</v>
      </c>
      <c r="AF24" s="173">
        <f t="shared" si="23"/>
        <v>0.98984143651786782</v>
      </c>
      <c r="AG24" s="801">
        <f t="shared" si="24"/>
        <v>2</v>
      </c>
      <c r="AH24" s="172">
        <f t="shared" si="16"/>
        <v>8</v>
      </c>
      <c r="AI24" s="221">
        <f t="shared" si="17"/>
        <v>2.9898414365178678</v>
      </c>
      <c r="AJ24" s="261" t="b">
        <f t="shared" si="18"/>
        <v>1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46763</v>
      </c>
      <c r="B25" s="406">
        <f>'2027'!Wh/'2027'!Env_an*'2028'!Env_an</f>
        <v>94.726941796966557</v>
      </c>
      <c r="C25" s="831"/>
      <c r="D25" s="388">
        <f t="shared" si="0"/>
        <v>97.809100118476991</v>
      </c>
      <c r="E25" s="380">
        <f t="shared" si="1"/>
        <v>102.263120069114</v>
      </c>
      <c r="F25" s="380">
        <f t="shared" si="2"/>
        <v>102.65115402321807</v>
      </c>
      <c r="G25" s="110">
        <f t="shared" si="21"/>
        <v>0.95501610444684726</v>
      </c>
      <c r="H25" s="409" t="b">
        <f>Wh_hp&gt;='2027'!Maxi_hp</f>
        <v>0</v>
      </c>
      <c r="I25" s="385">
        <f>IF(H25,Wh_hp,'2027'!Maxi_hp)</f>
        <v>102.67775078920764</v>
      </c>
      <c r="J25" s="85">
        <f>IF(H25,An,'2027'!An_max)</f>
        <v>2022</v>
      </c>
      <c r="K25" s="193">
        <f t="shared" si="3"/>
        <v>46763</v>
      </c>
      <c r="L25" s="143">
        <f>IF(t&lt;Tvie,1-EXP((T0-t)*PertePVj)+'2027'!Pspv,1-EXP((T0-t)*PertePVj)+Pspv)</f>
        <v>3.1511979128496126E-2</v>
      </c>
      <c r="M25" s="835"/>
      <c r="N25" s="835"/>
      <c r="O25" s="48">
        <f>IF(t&lt;Tnet,'2027'!Resal+('2027'!Salim-'2027'!Resal)*(1-EXP(('2027'!Tnet-t)/('2027'!Tau_j))),Resal+(Salim-Resal)*(1-EXP((Tnet-t)/(Tau_j))))*Salcycl</f>
        <v>4.3554508679441502E-2</v>
      </c>
      <c r="P25" s="165">
        <f>(INDEX(Models!$BJ25:$BT25,,T25)*(1-R25)+INDEX(Models!$BJ25:$BT25,,T25+1)*R25-ERP_i)*Q25*Ramure*Pc/MaxiM</f>
        <v>4.0382007756444493E-3</v>
      </c>
      <c r="Q25" s="301">
        <f t="shared" si="4"/>
        <v>0.5</v>
      </c>
      <c r="R25" s="173">
        <f t="shared" si="5"/>
        <v>0.98988367197523397</v>
      </c>
      <c r="S25" s="801">
        <f t="shared" si="6"/>
        <v>2</v>
      </c>
      <c r="T25" s="172">
        <f t="shared" si="7"/>
        <v>8</v>
      </c>
      <c r="U25" s="247">
        <f t="shared" si="8"/>
        <v>2.989883671975234</v>
      </c>
      <c r="V25" s="378">
        <f t="shared" si="9"/>
        <v>99.163146718562089</v>
      </c>
      <c r="W25" s="397">
        <f t="shared" si="10"/>
        <v>94.726941796966557</v>
      </c>
      <c r="X25" s="153">
        <f t="shared" si="11"/>
        <v>46763</v>
      </c>
      <c r="Y25" s="380">
        <f t="shared" si="12"/>
        <v>92.687388863680326</v>
      </c>
      <c r="Z25" s="380">
        <f t="shared" si="22"/>
        <v>95.703185652492252</v>
      </c>
      <c r="AA25" s="381">
        <f t="shared" si="13"/>
        <v>102.263120069114</v>
      </c>
      <c r="AB25" s="193">
        <f t="shared" si="14"/>
        <v>46763</v>
      </c>
      <c r="AC25" s="119">
        <f>IF(OR(t&lt;Tnet,NoTnet),'2027'!Resal_s+('2027'!Salim-'2027'!Resal_s)*(1-EXP(('2027'!Tnet_s-t)/'2027'!Tau_j)),Resal_s+(Salim-Resal_s)*(1-EXP((Tnet_s-t)/Tau_j)))*Salcycl</f>
        <v>6.4147606802806692E-2</v>
      </c>
      <c r="AD25" s="227">
        <f>(INDEX(Models!$BJ25:$BT25,,AH25)*(1-AF25)+INDEX(Models!$BJ25:$BT25,,AH25+1)*AF25-ERP_i)*AE25*Ramure*Pc/MaxiM</f>
        <v>4.0382007756444493E-3</v>
      </c>
      <c r="AE25" s="301">
        <f t="shared" si="15"/>
        <v>0.5</v>
      </c>
      <c r="AF25" s="173">
        <f t="shared" si="23"/>
        <v>0.98988367197523397</v>
      </c>
      <c r="AG25" s="801">
        <f t="shared" si="24"/>
        <v>2</v>
      </c>
      <c r="AH25" s="172">
        <f t="shared" si="16"/>
        <v>8</v>
      </c>
      <c r="AI25" s="221">
        <f t="shared" si="17"/>
        <v>2.989883671975234</v>
      </c>
      <c r="AJ25" s="261" t="b">
        <f t="shared" si="18"/>
        <v>1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46764</v>
      </c>
      <c r="B26" s="406">
        <f>'2027'!Wh/'2027'!Env_an*'2028'!Env_an</f>
        <v>81.215619924351003</v>
      </c>
      <c r="C26" s="831"/>
      <c r="D26" s="388">
        <f t="shared" si="0"/>
        <v>83.859304361990709</v>
      </c>
      <c r="E26" s="380">
        <f t="shared" si="1"/>
        <v>87.681643036124257</v>
      </c>
      <c r="F26" s="380">
        <f t="shared" si="2"/>
        <v>87.943297940834455</v>
      </c>
      <c r="G26" s="110">
        <f t="shared" si="21"/>
        <v>0.81090361844215209</v>
      </c>
      <c r="H26" s="409" t="b">
        <f>Wh_hp&gt;='2027'!Maxi_hp</f>
        <v>0</v>
      </c>
      <c r="I26" s="385">
        <f>IF(H26,Wh_hp,'2027'!Maxi_hp)</f>
        <v>88.039900443053</v>
      </c>
      <c r="J26" s="85">
        <f>IF(H26,An,'2027'!An_max)</f>
        <v>2022</v>
      </c>
      <c r="K26" s="193">
        <f t="shared" si="3"/>
        <v>46764</v>
      </c>
      <c r="L26" s="143">
        <f>IF(t&lt;Tvie,1-EXP((T0-t)*PertePVj)+'2027'!Pspv,1-EXP((T0-t)*PertePVj)+Pspv)</f>
        <v>3.1525236916202681E-2</v>
      </c>
      <c r="M26" s="835"/>
      <c r="N26" s="835"/>
      <c r="O26" s="48">
        <f>IF(t&lt;Tnet,'2027'!Resal+('2027'!Salim-'2027'!Resal)*(1-EXP(('2027'!Tnet-t)/('2027'!Tau_j))),Resal+(Salim-Resal)*(1-EXP((Tnet-t)/(Tau_j))))*Salcycl</f>
        <v>4.3593374186188208E-2</v>
      </c>
      <c r="P26" s="165">
        <f>(INDEX(Models!$BJ26:$BT26,,T26)*(1-R26)+INDEX(Models!$BJ26:$BT26,,T26+1)*R26-ERP_i)*Q26*Ramure*Pc/MaxiM</f>
        <v>4.0693831921684888E-3</v>
      </c>
      <c r="Q26" s="301">
        <f t="shared" si="4"/>
        <v>0.5</v>
      </c>
      <c r="R26" s="173">
        <f t="shared" si="5"/>
        <v>0.98992767170290508</v>
      </c>
      <c r="S26" s="801">
        <f t="shared" si="6"/>
        <v>2</v>
      </c>
      <c r="T26" s="172">
        <f t="shared" si="7"/>
        <v>8</v>
      </c>
      <c r="U26" s="247">
        <f t="shared" si="8"/>
        <v>2.9899276717029051</v>
      </c>
      <c r="V26" s="378">
        <f t="shared" si="9"/>
        <v>100.0445597841702</v>
      </c>
      <c r="W26" s="397">
        <f t="shared" si="10"/>
        <v>81.215619924351003</v>
      </c>
      <c r="X26" s="153">
        <f t="shared" si="11"/>
        <v>46764</v>
      </c>
      <c r="Y26" s="380">
        <f t="shared" si="12"/>
        <v>79.468864789618252</v>
      </c>
      <c r="Z26" s="380">
        <f t="shared" si="22"/>
        <v>82.055689852542088</v>
      </c>
      <c r="AA26" s="381">
        <f t="shared" si="13"/>
        <v>87.681643036124257</v>
      </c>
      <c r="AB26" s="193">
        <f t="shared" si="14"/>
        <v>46764</v>
      </c>
      <c r="AC26" s="119">
        <f>IF(OR(t&lt;Tnet,NoTnet),'2027'!Resal_s+('2027'!Salim-'2027'!Resal_s)*(1-EXP(('2027'!Tnet_s-t)/'2027'!Tau_j)),Resal_s+(Salim-Resal_s)*(1-EXP((Tnet_s-t)/Tau_j)))*Salcycl</f>
        <v>6.41634096804541E-2</v>
      </c>
      <c r="AD26" s="227">
        <f>(INDEX(Models!$BJ26:$BT26,,AH26)*(1-AF26)+INDEX(Models!$BJ26:$BT26,,AH26+1)*AF26-ERP_i)*AE26*Ramure*Pc/MaxiM</f>
        <v>4.0693831921684888E-3</v>
      </c>
      <c r="AE26" s="301">
        <f t="shared" si="15"/>
        <v>0.5</v>
      </c>
      <c r="AF26" s="173">
        <f t="shared" si="23"/>
        <v>0.98992767170290508</v>
      </c>
      <c r="AG26" s="801">
        <f t="shared" si="24"/>
        <v>2</v>
      </c>
      <c r="AH26" s="172">
        <f t="shared" si="16"/>
        <v>8</v>
      </c>
      <c r="AI26" s="221">
        <f t="shared" si="17"/>
        <v>2.9899276717029051</v>
      </c>
      <c r="AJ26" s="261" t="b">
        <f t="shared" si="18"/>
        <v>1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46765</v>
      </c>
      <c r="B27" s="406">
        <f>'2027'!Wh/'2027'!Env_an*'2028'!Env_an</f>
        <v>26.060275456719555</v>
      </c>
      <c r="C27" s="831"/>
      <c r="D27" s="388">
        <f t="shared" si="0"/>
        <v>26.90894300839393</v>
      </c>
      <c r="E27" s="380">
        <f t="shared" si="1"/>
        <v>28.136606232215804</v>
      </c>
      <c r="F27" s="380">
        <f t="shared" si="2"/>
        <v>28.136606232215804</v>
      </c>
      <c r="G27" s="110">
        <f t="shared" si="21"/>
        <v>0.25706853481598413</v>
      </c>
      <c r="H27" s="409" t="b">
        <f>Wh_hp&gt;='2027'!Maxi_hp</f>
        <v>0</v>
      </c>
      <c r="I27" s="385">
        <f>IF(H27,Wh_hp,'2027'!Maxi_hp)</f>
        <v>28.252238664990184</v>
      </c>
      <c r="J27" s="85">
        <f>IF(H27,An,'2027'!An_max)</f>
        <v>2022</v>
      </c>
      <c r="K27" s="193">
        <f t="shared" si="3"/>
        <v>46765</v>
      </c>
      <c r="L27" s="143">
        <f>IF(t&lt;Tvie,1-EXP((T0-t)*PertePVj)+'2027'!Pspv,1-EXP((T0-t)*PertePVj)+Pspv)</f>
        <v>3.153849452242119E-2</v>
      </c>
      <c r="M27" s="835"/>
      <c r="N27" s="835"/>
      <c r="O27" s="48">
        <f>IF(t&lt;Tnet,'2027'!Resal+('2027'!Salim-'2027'!Resal)*(1-EXP(('2027'!Tnet-t)/('2027'!Tau_j))),Resal+(Salim-Resal)*(1-EXP((Tnet-t)/(Tau_j))))*Salcycl</f>
        <v>4.3632242413664923E-2</v>
      </c>
      <c r="P27" s="165">
        <f>(INDEX(Models!$BJ27:$BT27,,T27)*(1-R27)+INDEX(Models!$BJ27:$BT27,,T27+1)*R27-ERP_i)*Q27*Ramure*Pc/MaxiM</f>
        <v>4.093357180600248E-3</v>
      </c>
      <c r="Q27" s="301">
        <f t="shared" si="4"/>
        <v>0.5</v>
      </c>
      <c r="R27" s="173">
        <f t="shared" si="5"/>
        <v>0.98997350906737402</v>
      </c>
      <c r="S27" s="801">
        <f t="shared" si="6"/>
        <v>2</v>
      </c>
      <c r="T27" s="172">
        <f t="shared" si="7"/>
        <v>8</v>
      </c>
      <c r="U27" s="247">
        <f t="shared" si="8"/>
        <v>2.989973509067374</v>
      </c>
      <c r="V27" s="378">
        <f t="shared" si="9"/>
        <v>100.95985282535096</v>
      </c>
      <c r="W27" s="397">
        <f t="shared" si="10"/>
        <v>26.060275456719555</v>
      </c>
      <c r="X27" s="153">
        <f t="shared" si="11"/>
        <v>46765</v>
      </c>
      <c r="Y27" s="380">
        <f t="shared" si="12"/>
        <v>25.500385147177557</v>
      </c>
      <c r="Z27" s="380">
        <f t="shared" si="22"/>
        <v>26.330819555499541</v>
      </c>
      <c r="AA27" s="381">
        <f t="shared" si="13"/>
        <v>28.136606232215804</v>
      </c>
      <c r="AB27" s="193">
        <f t="shared" si="14"/>
        <v>46765</v>
      </c>
      <c r="AC27" s="119">
        <f>IF(OR(t&lt;Tnet,NoTnet),'2027'!Resal_s+('2027'!Salim-'2027'!Resal_s)*(1-EXP(('2027'!Tnet_s-t)/'2027'!Tau_j)),Resal_s+(Salim-Resal_s)*(1-EXP((Tnet_s-t)/Tau_j)))*Salcycl</f>
        <v>6.4179263903145267E-2</v>
      </c>
      <c r="AD27" s="227">
        <f>(INDEX(Models!$BJ27:$BT27,,AH27)*(1-AF27)+INDEX(Models!$BJ27:$BT27,,AH27+1)*AF27-ERP_i)*AE27*Ramure*Pc/MaxiM</f>
        <v>4.093357180600248E-3</v>
      </c>
      <c r="AE27" s="301">
        <f t="shared" si="15"/>
        <v>0.5</v>
      </c>
      <c r="AF27" s="173">
        <f t="shared" si="23"/>
        <v>0.98997350906737402</v>
      </c>
      <c r="AG27" s="801">
        <f t="shared" si="24"/>
        <v>2</v>
      </c>
      <c r="AH27" s="172">
        <f t="shared" si="16"/>
        <v>8</v>
      </c>
      <c r="AI27" s="221">
        <f t="shared" si="17"/>
        <v>2.989973509067374</v>
      </c>
      <c r="AJ27" s="261" t="b">
        <f t="shared" si="18"/>
        <v>1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46766</v>
      </c>
      <c r="B28" s="406">
        <f>'2027'!Wh/'2027'!Env_an*'2028'!Env_an</f>
        <v>103.93217292393122</v>
      </c>
      <c r="C28" s="831"/>
      <c r="D28" s="388">
        <f t="shared" si="0"/>
        <v>107.31825178360994</v>
      </c>
      <c r="E28" s="380">
        <f t="shared" si="1"/>
        <v>112.21897959196379</v>
      </c>
      <c r="F28" s="380">
        <f t="shared" si="2"/>
        <v>112.68214599647807</v>
      </c>
      <c r="G28" s="110">
        <f t="shared" si="21"/>
        <v>1.0198758094816887</v>
      </c>
      <c r="H28" s="409" t="b">
        <f>Wh_hp&gt;='2027'!Maxi_hp</f>
        <v>1</v>
      </c>
      <c r="I28" s="385">
        <f>IF(H28,Wh_hp,'2027'!Maxi_hp)</f>
        <v>112.68214599647807</v>
      </c>
      <c r="J28" s="85">
        <f>IF(H28,An,'2027'!An_max)</f>
        <v>2028</v>
      </c>
      <c r="K28" s="193">
        <f t="shared" si="3"/>
        <v>46766</v>
      </c>
      <c r="L28" s="143">
        <f>IF(t&lt;Tvie,1-EXP((T0-t)*PertePVj)+'2027'!Pspv,1-EXP((T0-t)*PertePVj)+Pspv)</f>
        <v>3.1551751947154316E-2</v>
      </c>
      <c r="M28" s="835"/>
      <c r="N28" s="835"/>
      <c r="O28" s="48">
        <f>IF(t&lt;Tnet,'2027'!Resal+('2027'!Salim-'2027'!Resal)*(1-EXP(('2027'!Tnet-t)/('2027'!Tau_j))),Resal+(Salim-Resal)*(1-EXP((Tnet-t)/(Tau_j))))*Salcycl</f>
        <v>4.3671113622430341E-2</v>
      </c>
      <c r="P28" s="165">
        <f>(INDEX(Models!$BJ28:$BT28,,T28)*(1-R28)+INDEX(Models!$BJ28:$BT28,,T28+1)*R28-ERP_i)*Q28*Ramure*Pc/MaxiM</f>
        <v>4.1103796916395078E-3</v>
      </c>
      <c r="Q28" s="301">
        <f t="shared" si="4"/>
        <v>0.5</v>
      </c>
      <c r="R28" s="173">
        <f t="shared" si="5"/>
        <v>0.9900212604577634</v>
      </c>
      <c r="S28" s="801">
        <f t="shared" si="6"/>
        <v>2</v>
      </c>
      <c r="T28" s="172">
        <f t="shared" si="7"/>
        <v>8</v>
      </c>
      <c r="U28" s="247">
        <f t="shared" si="8"/>
        <v>2.9900212604577634</v>
      </c>
      <c r="V28" s="378">
        <f t="shared" si="9"/>
        <v>101.90669487175171</v>
      </c>
      <c r="W28" s="397">
        <f t="shared" si="10"/>
        <v>103.93217292393122</v>
      </c>
      <c r="X28" s="153">
        <f t="shared" si="11"/>
        <v>46766</v>
      </c>
      <c r="Y28" s="380">
        <f t="shared" si="12"/>
        <v>101.70165393411285</v>
      </c>
      <c r="Z28" s="380">
        <f t="shared" si="22"/>
        <v>105.01506315757541</v>
      </c>
      <c r="AA28" s="381">
        <f t="shared" si="13"/>
        <v>112.21897959196379</v>
      </c>
      <c r="AB28" s="193">
        <f t="shared" si="14"/>
        <v>46766</v>
      </c>
      <c r="AC28" s="119">
        <f>IF(OR(t&lt;Tnet,NoTnet),'2027'!Resal_s+('2027'!Salim-'2027'!Resal_s)*(1-EXP(('2027'!Tnet_s-t)/'2027'!Tau_j)),Resal_s+(Salim-Resal_s)*(1-EXP((Tnet_s-t)/Tau_j)))*Salcycl</f>
        <v>6.419516966365528E-2</v>
      </c>
      <c r="AD28" s="227">
        <f>(INDEX(Models!$BJ28:$BT28,,AH28)*(1-AF28)+INDEX(Models!$BJ28:$BT28,,AH28+1)*AF28-ERP_i)*AE28*Ramure*Pc/MaxiM</f>
        <v>4.1103796916395078E-3</v>
      </c>
      <c r="AE28" s="301">
        <f t="shared" si="15"/>
        <v>0.5</v>
      </c>
      <c r="AF28" s="173">
        <f t="shared" si="23"/>
        <v>0.9900212604577634</v>
      </c>
      <c r="AG28" s="801">
        <f t="shared" si="24"/>
        <v>2</v>
      </c>
      <c r="AH28" s="172">
        <f t="shared" si="16"/>
        <v>8</v>
      </c>
      <c r="AI28" s="221">
        <f t="shared" si="17"/>
        <v>2.9900212604577634</v>
      </c>
      <c r="AJ28" s="261" t="b">
        <f t="shared" si="18"/>
        <v>1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46767</v>
      </c>
      <c r="B29" s="406">
        <f>'2027'!Wh/'2027'!Env_an*'2028'!Env_an</f>
        <v>105.52506183944053</v>
      </c>
      <c r="C29" s="831"/>
      <c r="D29" s="388">
        <f t="shared" si="0"/>
        <v>108.96452817263791</v>
      </c>
      <c r="E29" s="380">
        <f t="shared" si="1"/>
        <v>113.94506570033553</v>
      </c>
      <c r="F29" s="380">
        <f t="shared" si="2"/>
        <v>114.4165434492556</v>
      </c>
      <c r="G29" s="110">
        <f t="shared" si="21"/>
        <v>1.025682695128749</v>
      </c>
      <c r="H29" s="409" t="b">
        <f>Wh_hp&gt;='2027'!Maxi_hp</f>
        <v>1</v>
      </c>
      <c r="I29" s="385">
        <f>IF(H29,Wh_hp,'2027'!Maxi_hp)</f>
        <v>114.4165434492556</v>
      </c>
      <c r="J29" s="85">
        <f>IF(H29,An,'2027'!An_max)</f>
        <v>2028</v>
      </c>
      <c r="K29" s="193">
        <f t="shared" si="3"/>
        <v>46767</v>
      </c>
      <c r="L29" s="143">
        <f>IF(t&lt;Tvie,1-EXP((T0-t)*PertePVj)+'2027'!Pspv,1-EXP((T0-t)*PertePVj)+Pspv)</f>
        <v>3.1565009190404281E-2</v>
      </c>
      <c r="M29" s="835"/>
      <c r="N29" s="835"/>
      <c r="O29" s="48">
        <f>IF(t&lt;Tnet,'2027'!Resal+('2027'!Salim-'2027'!Resal)*(1-EXP(('2027'!Tnet-t)/('2027'!Tau_j))),Resal+(Salim-Resal)*(1-EXP((Tnet-t)/(Tau_j))))*Salcycl</f>
        <v>4.3709988643088317E-2</v>
      </c>
      <c r="P29" s="165">
        <f>(INDEX(Models!$BJ29:$BT29,,T29)*(1-R29)+INDEX(Models!$BJ29:$BT29,,T29+1)*R29-ERP_i)*Q29*Ramure*Pc/MaxiM</f>
        <v>4.1207130953853305E-3</v>
      </c>
      <c r="Q29" s="301">
        <f t="shared" si="4"/>
        <v>0.5</v>
      </c>
      <c r="R29" s="173">
        <f t="shared" si="5"/>
        <v>0.9900710054079358</v>
      </c>
      <c r="S29" s="801">
        <f t="shared" si="6"/>
        <v>2</v>
      </c>
      <c r="T29" s="172">
        <f t="shared" si="7"/>
        <v>8</v>
      </c>
      <c r="U29" s="247">
        <f t="shared" si="8"/>
        <v>2.9900710054079358</v>
      </c>
      <c r="V29" s="378">
        <f t="shared" si="9"/>
        <v>102.88275539853431</v>
      </c>
      <c r="W29" s="397">
        <f t="shared" si="10"/>
        <v>105.52506183944053</v>
      </c>
      <c r="X29" s="153">
        <f t="shared" si="11"/>
        <v>46767</v>
      </c>
      <c r="Y29" s="380">
        <f t="shared" si="12"/>
        <v>103.26279414668419</v>
      </c>
      <c r="Z29" s="380">
        <f t="shared" si="22"/>
        <v>106.62852450256696</v>
      </c>
      <c r="AA29" s="381">
        <f t="shared" si="13"/>
        <v>113.94506570033553</v>
      </c>
      <c r="AB29" s="193">
        <f t="shared" si="14"/>
        <v>46767</v>
      </c>
      <c r="AC29" s="119">
        <f>IF(OR(t&lt;Tnet,NoTnet),'2027'!Resal_s+('2027'!Salim-'2027'!Resal_s)*(1-EXP(('2027'!Tnet_s-t)/'2027'!Tau_j)),Resal_s+(Salim-Resal_s)*(1-EXP((Tnet_s-t)/Tau_j)))*Salcycl</f>
        <v>6.4211127992241185E-2</v>
      </c>
      <c r="AD29" s="227">
        <f>(INDEX(Models!$BJ29:$BT29,,AH29)*(1-AF29)+INDEX(Models!$BJ29:$BT29,,AH29+1)*AF29-ERP_i)*AE29*Ramure*Pc/MaxiM</f>
        <v>4.1207130953853305E-3</v>
      </c>
      <c r="AE29" s="301">
        <f t="shared" si="15"/>
        <v>0.5</v>
      </c>
      <c r="AF29" s="173">
        <f t="shared" si="23"/>
        <v>0.9900710054079358</v>
      </c>
      <c r="AG29" s="801">
        <f t="shared" si="24"/>
        <v>2</v>
      </c>
      <c r="AH29" s="172">
        <f t="shared" si="16"/>
        <v>8</v>
      </c>
      <c r="AI29" s="221">
        <f t="shared" si="17"/>
        <v>2.9900710054079358</v>
      </c>
      <c r="AJ29" s="261" t="b">
        <f t="shared" si="18"/>
        <v>1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46768</v>
      </c>
      <c r="B30" s="406">
        <f>'2027'!Wh/'2027'!Env_an*'2028'!Env_an</f>
        <v>104.94514377464564</v>
      </c>
      <c r="C30" s="831"/>
      <c r="D30" s="388">
        <f t="shared" si="0"/>
        <v>108.36719181064251</v>
      </c>
      <c r="E30" s="380">
        <f t="shared" si="1"/>
        <v>113.32503384618346</v>
      </c>
      <c r="F30" s="380">
        <f t="shared" si="2"/>
        <v>113.79391184138983</v>
      </c>
      <c r="G30" s="110">
        <f t="shared" si="21"/>
        <v>1.0101938567944702</v>
      </c>
      <c r="H30" s="409" t="b">
        <f>Wh_hp&gt;='2027'!Maxi_hp</f>
        <v>1</v>
      </c>
      <c r="I30" s="385">
        <f>IF(H30,Wh_hp,'2027'!Maxi_hp)</f>
        <v>113.79391184138983</v>
      </c>
      <c r="J30" s="85">
        <f>IF(H30,An,'2027'!An_max)</f>
        <v>2028</v>
      </c>
      <c r="K30" s="193">
        <f t="shared" si="3"/>
        <v>46768</v>
      </c>
      <c r="L30" s="143">
        <f>IF(t&lt;Tvie,1-EXP((T0-t)*PertePVj)+'2027'!Pspv,1-EXP((T0-t)*PertePVj)+Pspv)</f>
        <v>3.1578266252173859E-2</v>
      </c>
      <c r="M30" s="835"/>
      <c r="N30" s="835"/>
      <c r="O30" s="48">
        <f>IF(t&lt;Tnet,'2027'!Resal+('2027'!Salim-'2027'!Resal)*(1-EXP(('2027'!Tnet-t)/('2027'!Tau_j))),Resal+(Salim-Resal)*(1-EXP((Tnet-t)/(Tau_j))))*Salcycl</f>
        <v>4.3748868782781475E-2</v>
      </c>
      <c r="P30" s="165">
        <f>(INDEX(Models!$BJ30:$BT30,,T30)*(1-R30)+INDEX(Models!$BJ30:$BT30,,T30+1)*R30-ERP_i)*Q30*Ramure*Pc/MaxiM</f>
        <v>4.1204137165081201E-3</v>
      </c>
      <c r="Q30" s="301">
        <f t="shared" si="4"/>
        <v>0.5</v>
      </c>
      <c r="R30" s="173">
        <f t="shared" si="5"/>
        <v>0.9901228267233293</v>
      </c>
      <c r="S30" s="801">
        <f t="shared" si="6"/>
        <v>2</v>
      </c>
      <c r="T30" s="172">
        <f t="shared" si="7"/>
        <v>8</v>
      </c>
      <c r="U30" s="247">
        <f t="shared" si="8"/>
        <v>2.9901228267233293</v>
      </c>
      <c r="V30" s="378">
        <f t="shared" si="9"/>
        <v>103.88614330684585</v>
      </c>
      <c r="W30" s="397">
        <f t="shared" si="10"/>
        <v>104.94514377464564</v>
      </c>
      <c r="X30" s="153">
        <f t="shared" si="11"/>
        <v>46768</v>
      </c>
      <c r="Y30" s="380">
        <f t="shared" si="12"/>
        <v>102.69772663524833</v>
      </c>
      <c r="Z30" s="380">
        <f t="shared" si="22"/>
        <v>106.04649096195365</v>
      </c>
      <c r="AA30" s="381">
        <f t="shared" si="13"/>
        <v>113.32503384618346</v>
      </c>
      <c r="AB30" s="193">
        <f t="shared" si="14"/>
        <v>46768</v>
      </c>
      <c r="AC30" s="119">
        <f>IF(OR(t&lt;Tnet,NoTnet),'2027'!Resal_s+('2027'!Salim-'2027'!Resal_s)*(1-EXP(('2027'!Tnet_s-t)/'2027'!Tau_j)),Resal_s+(Salim-Resal_s)*(1-EXP((Tnet_s-t)/Tau_j)))*Salcycl</f>
        <v>6.4227140616688522E-2</v>
      </c>
      <c r="AD30" s="227">
        <f>(INDEX(Models!$BJ30:$BT30,,AH30)*(1-AF30)+INDEX(Models!$BJ30:$BT30,,AH30+1)*AF30-ERP_i)*AE30*Ramure*Pc/MaxiM</f>
        <v>4.1204137165081201E-3</v>
      </c>
      <c r="AE30" s="301">
        <f t="shared" si="15"/>
        <v>0.5</v>
      </c>
      <c r="AF30" s="173">
        <f t="shared" si="23"/>
        <v>0.9901228267233293</v>
      </c>
      <c r="AG30" s="801">
        <f t="shared" si="24"/>
        <v>2</v>
      </c>
      <c r="AH30" s="172">
        <f t="shared" si="16"/>
        <v>8</v>
      </c>
      <c r="AI30" s="221">
        <f t="shared" si="17"/>
        <v>2.9901228267233293</v>
      </c>
      <c r="AJ30" s="261" t="b">
        <f t="shared" si="18"/>
        <v>1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46769</v>
      </c>
      <c r="B31" s="406">
        <f>'2027'!Wh/'2027'!Env_an*'2028'!Env_an</f>
        <v>82.412436479144688</v>
      </c>
      <c r="C31" s="831"/>
      <c r="D31" s="388">
        <f t="shared" si="0"/>
        <v>85.100903645247215</v>
      </c>
      <c r="E31" s="380">
        <f t="shared" si="1"/>
        <v>88.997922956264645</v>
      </c>
      <c r="F31" s="380">
        <f t="shared" si="2"/>
        <v>89.252248332368694</v>
      </c>
      <c r="G31" s="110">
        <f t="shared" si="21"/>
        <v>0.78452690294876659</v>
      </c>
      <c r="H31" s="409" t="b">
        <f>Wh_hp&gt;='2027'!Maxi_hp</f>
        <v>0</v>
      </c>
      <c r="I31" s="385">
        <f>IF(H31,Wh_hp,'2027'!Maxi_hp)</f>
        <v>89.36504341458523</v>
      </c>
      <c r="J31" s="85">
        <f>IF(H31,An,'2027'!An_max)</f>
        <v>2022</v>
      </c>
      <c r="K31" s="193">
        <f t="shared" si="3"/>
        <v>46769</v>
      </c>
      <c r="L31" s="143">
        <f>IF(t&lt;Tvie,1-EXP((T0-t)*PertePVj)+'2027'!Pspv,1-EXP((T0-t)*PertePVj)+Pspv)</f>
        <v>3.1591523132465271E-2</v>
      </c>
      <c r="M31" s="835"/>
      <c r="N31" s="835"/>
      <c r="O31" s="48">
        <f>IF(t&lt;Tnet,'2027'!Resal+('2027'!Salim-'2027'!Resal)*(1-EXP(('2027'!Tnet-t)/('2027'!Tau_j))),Resal+(Salim-Resal)*(1-EXP((Tnet-t)/(Tau_j))))*Salcycl</f>
        <v>4.378775573147365E-2</v>
      </c>
      <c r="P31" s="165">
        <f>(INDEX(Models!$BJ31:$BT31,,T31)*(1-R31)+INDEX(Models!$BJ31:$BT31,,T31+1)*R31-ERP_i)*Q31*Ramure*Pc/MaxiM</f>
        <v>4.1083057459952096E-3</v>
      </c>
      <c r="Q31" s="301">
        <f t="shared" si="4"/>
        <v>0.5</v>
      </c>
      <c r="R31" s="173">
        <f t="shared" si="5"/>
        <v>0.99017681061268314</v>
      </c>
      <c r="S31" s="801">
        <f t="shared" si="6"/>
        <v>2</v>
      </c>
      <c r="T31" s="172">
        <f t="shared" si="7"/>
        <v>8</v>
      </c>
      <c r="U31" s="247">
        <f t="shared" si="8"/>
        <v>2.9901768106126831</v>
      </c>
      <c r="V31" s="378">
        <f t="shared" si="9"/>
        <v>104.91469378292967</v>
      </c>
      <c r="W31" s="397">
        <f t="shared" si="10"/>
        <v>82.412436479144688</v>
      </c>
      <c r="X31" s="153">
        <f t="shared" si="11"/>
        <v>46769</v>
      </c>
      <c r="Y31" s="380">
        <f t="shared" si="12"/>
        <v>80.649455696330804</v>
      </c>
      <c r="Z31" s="380">
        <f t="shared" si="22"/>
        <v>83.280410718010032</v>
      </c>
      <c r="AA31" s="381">
        <f t="shared" si="13"/>
        <v>88.997922956264645</v>
      </c>
      <c r="AB31" s="193">
        <f t="shared" si="14"/>
        <v>46769</v>
      </c>
      <c r="AC31" s="119">
        <f>IF(OR(t&lt;Tnet,NoTnet),'2027'!Resal_s+('2027'!Salim-'2027'!Resal_s)*(1-EXP(('2027'!Tnet_s-t)/'2027'!Tau_j)),Resal_s+(Salim-Resal_s)*(1-EXP((Tnet_s-t)/Tau_j)))*Salcycl</f>
        <v>6.4243209822596792E-2</v>
      </c>
      <c r="AD31" s="227">
        <f>(INDEX(Models!$BJ31:$BT31,,AH31)*(1-AF31)+INDEX(Models!$BJ31:$BT31,,AH31+1)*AF31-ERP_i)*AE31*Ramure*Pc/MaxiM</f>
        <v>4.1083057459952096E-3</v>
      </c>
      <c r="AE31" s="301">
        <f t="shared" si="15"/>
        <v>0.5</v>
      </c>
      <c r="AF31" s="173">
        <f t="shared" si="23"/>
        <v>0.99017681061268314</v>
      </c>
      <c r="AG31" s="801">
        <f t="shared" si="24"/>
        <v>2</v>
      </c>
      <c r="AH31" s="172">
        <f t="shared" si="16"/>
        <v>8</v>
      </c>
      <c r="AI31" s="221">
        <f t="shared" si="17"/>
        <v>2.9901768106126831</v>
      </c>
      <c r="AJ31" s="261" t="b">
        <f t="shared" si="18"/>
        <v>1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46770</v>
      </c>
      <c r="B32" s="406">
        <f>'2027'!Wh/'2027'!Env_an*'2028'!Env_an</f>
        <v>21.585898975372508</v>
      </c>
      <c r="C32" s="831"/>
      <c r="D32" s="388">
        <f t="shared" si="0"/>
        <v>22.290381577484141</v>
      </c>
      <c r="E32" s="380">
        <f t="shared" si="1"/>
        <v>23.312071615183829</v>
      </c>
      <c r="F32" s="380">
        <f t="shared" si="2"/>
        <v>23.312071615183829</v>
      </c>
      <c r="G32" s="110">
        <f t="shared" si="21"/>
        <v>0.20287364481138043</v>
      </c>
      <c r="H32" s="409" t="b">
        <f>Wh_hp&gt;='2027'!Maxi_hp</f>
        <v>0</v>
      </c>
      <c r="I32" s="385">
        <f>IF(H32,Wh_hp,'2027'!Maxi_hp)</f>
        <v>23.40767107813555</v>
      </c>
      <c r="J32" s="85">
        <f>IF(H32,An,'2027'!An_max)</f>
        <v>2022</v>
      </c>
      <c r="K32" s="193">
        <f t="shared" si="3"/>
        <v>46770</v>
      </c>
      <c r="L32" s="143">
        <f>IF(t&lt;Tvie,1-EXP((T0-t)*PertePVj)+'2027'!Pspv,1-EXP((T0-t)*PertePVj)+Pspv)</f>
        <v>3.1604779831281182E-2</v>
      </c>
      <c r="M32" s="835"/>
      <c r="N32" s="835"/>
      <c r="O32" s="48">
        <f>IF(t&lt;Tnet,'2027'!Resal+('2027'!Salim-'2027'!Resal)*(1-EXP(('2027'!Tnet-t)/('2027'!Tau_j))),Resal+(Salim-Resal)*(1-EXP((Tnet-t)/(Tau_j))))*Salcycl</f>
        <v>4.3826651469028338E-2</v>
      </c>
      <c r="P32" s="165">
        <f>(INDEX(Models!$BJ32:$BT32,,T32)*(1-R32)+INDEX(Models!$BJ32:$BT32,,T32+1)*R32-ERP_i)*Q32*Ramure*Pc/MaxiM</f>
        <v>4.0848247252250371E-3</v>
      </c>
      <c r="Q32" s="301">
        <f t="shared" si="4"/>
        <v>0.5</v>
      </c>
      <c r="R32" s="173">
        <f t="shared" si="5"/>
        <v>0.99023304682482483</v>
      </c>
      <c r="S32" s="801">
        <f t="shared" si="6"/>
        <v>2</v>
      </c>
      <c r="T32" s="172">
        <f t="shared" si="7"/>
        <v>8</v>
      </c>
      <c r="U32" s="247">
        <f t="shared" si="8"/>
        <v>2.9902330468248248</v>
      </c>
      <c r="V32" s="378">
        <f t="shared" si="9"/>
        <v>105.96607746417219</v>
      </c>
      <c r="W32" s="397">
        <f t="shared" si="10"/>
        <v>21.585898975372508</v>
      </c>
      <c r="X32" s="153">
        <f t="shared" si="11"/>
        <v>46770</v>
      </c>
      <c r="Y32" s="380">
        <f t="shared" si="12"/>
        <v>21.124624966074581</v>
      </c>
      <c r="Z32" s="380">
        <f t="shared" si="22"/>
        <v>21.814053318431434</v>
      </c>
      <c r="AA32" s="381">
        <f t="shared" si="13"/>
        <v>23.312071615183829</v>
      </c>
      <c r="AB32" s="193">
        <f t="shared" si="14"/>
        <v>46770</v>
      </c>
      <c r="AC32" s="119">
        <f>IF(OR(t&lt;Tnet,NoTnet),'2027'!Resal_s+('2027'!Salim-'2027'!Resal_s)*(1-EXP(('2027'!Tnet_s-t)/'2027'!Tau_j)),Resal_s+(Salim-Resal_s)*(1-EXP((Tnet_s-t)/Tau_j)))*Salcycl</f>
        <v>6.4259338315376988E-2</v>
      </c>
      <c r="AD32" s="227">
        <f>(INDEX(Models!$BJ32:$BT32,,AH32)*(1-AF32)+INDEX(Models!$BJ32:$BT32,,AH32+1)*AF32-ERP_i)*AE32*Ramure*Pc/MaxiM</f>
        <v>4.0848247252250371E-3</v>
      </c>
      <c r="AE32" s="301">
        <f t="shared" si="15"/>
        <v>0.5</v>
      </c>
      <c r="AF32" s="173">
        <f t="shared" si="23"/>
        <v>0.99023304682482483</v>
      </c>
      <c r="AG32" s="801">
        <f t="shared" si="24"/>
        <v>2</v>
      </c>
      <c r="AH32" s="172">
        <f t="shared" si="16"/>
        <v>8</v>
      </c>
      <c r="AI32" s="221">
        <f t="shared" si="17"/>
        <v>2.9902330468248248</v>
      </c>
      <c r="AJ32" s="261" t="b">
        <f t="shared" si="18"/>
        <v>1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46771</v>
      </c>
      <c r="B33" s="406">
        <f>'2027'!Wh/'2027'!Env_an*'2028'!Env_an</f>
        <v>44.083481211451591</v>
      </c>
      <c r="C33" s="831"/>
      <c r="D33" s="388">
        <f t="shared" si="0"/>
        <v>45.522823499552437</v>
      </c>
      <c r="E33" s="380">
        <f t="shared" si="1"/>
        <v>47.611320655510525</v>
      </c>
      <c r="F33" s="380">
        <f t="shared" si="2"/>
        <v>47.64215421715268</v>
      </c>
      <c r="G33" s="110">
        <f t="shared" si="21"/>
        <v>0.41044650365206148</v>
      </c>
      <c r="H33" s="409" t="b">
        <f>Wh_hp&gt;='2027'!Maxi_hp</f>
        <v>0</v>
      </c>
      <c r="I33" s="385">
        <f>IF(H33,Wh_hp,'2027'!Maxi_hp)</f>
        <v>47.804919366126292</v>
      </c>
      <c r="J33" s="85">
        <f>IF(H33,An,'2027'!An_max)</f>
        <v>2022</v>
      </c>
      <c r="K33" s="193">
        <f t="shared" si="3"/>
        <v>46771</v>
      </c>
      <c r="L33" s="143">
        <f>IF(t&lt;Tvie,1-EXP((T0-t)*PertePVj)+'2027'!Pspv,1-EXP((T0-t)*PertePVj)+Pspv)</f>
        <v>3.1618036348624035E-2</v>
      </c>
      <c r="M33" s="835"/>
      <c r="N33" s="835"/>
      <c r="O33" s="48">
        <f>IF(t&lt;Tnet,'2027'!Resal+('2027'!Salim-'2027'!Resal)*(1-EXP(('2027'!Tnet-t)/('2027'!Tau_j))),Resal+(Salim-Resal)*(1-EXP((Tnet-t)/(Tau_j))))*Salcycl</f>
        <v>4.3865558174059315E-2</v>
      </c>
      <c r="P33" s="165">
        <f>(INDEX(Models!$BJ33:$BT33,,T33)*(1-R33)+INDEX(Models!$BJ33:$BT33,,T33+1)*R33-ERP_i)*Q33*Ramure*Pc/MaxiM</f>
        <v>4.0504022660276225E-3</v>
      </c>
      <c r="Q33" s="301">
        <f t="shared" si="4"/>
        <v>0.5</v>
      </c>
      <c r="R33" s="173">
        <f t="shared" si="5"/>
        <v>0.99029162879068577</v>
      </c>
      <c r="S33" s="801">
        <f t="shared" si="6"/>
        <v>2</v>
      </c>
      <c r="T33" s="172">
        <f t="shared" si="7"/>
        <v>8</v>
      </c>
      <c r="U33" s="247">
        <f t="shared" si="8"/>
        <v>2.9902916287906858</v>
      </c>
      <c r="V33" s="378">
        <f t="shared" si="9"/>
        <v>107.0379653664784</v>
      </c>
      <c r="W33" s="397">
        <f t="shared" si="10"/>
        <v>44.083481211451591</v>
      </c>
      <c r="X33" s="153">
        <f t="shared" si="11"/>
        <v>46771</v>
      </c>
      <c r="Y33" s="380">
        <f t="shared" si="12"/>
        <v>43.142460231726993</v>
      </c>
      <c r="Z33" s="380">
        <f t="shared" si="22"/>
        <v>44.551077829923905</v>
      </c>
      <c r="AA33" s="381">
        <f t="shared" si="13"/>
        <v>47.611320655510525</v>
      </c>
      <c r="AB33" s="193">
        <f t="shared" si="14"/>
        <v>46771</v>
      </c>
      <c r="AC33" s="119">
        <f>IF(OR(t&lt;Tnet,NoTnet),'2027'!Resal_s+('2027'!Salim-'2027'!Resal_s)*(1-EXP(('2027'!Tnet_s-t)/'2027'!Tau_j)),Resal_s+(Salim-Resal_s)*(1-EXP((Tnet_s-t)/Tau_j)))*Salcycl</f>
        <v>6.4275529085379923E-2</v>
      </c>
      <c r="AD33" s="227">
        <f>(INDEX(Models!$BJ33:$BT33,,AH33)*(1-AF33)+INDEX(Models!$BJ33:$BT33,,AH33+1)*AF33-ERP_i)*AE33*Ramure*Pc/MaxiM</f>
        <v>4.0504022660276225E-3</v>
      </c>
      <c r="AE33" s="301">
        <f t="shared" si="15"/>
        <v>0.5</v>
      </c>
      <c r="AF33" s="173">
        <f t="shared" si="23"/>
        <v>0.99029162879068577</v>
      </c>
      <c r="AG33" s="801">
        <f t="shared" si="24"/>
        <v>2</v>
      </c>
      <c r="AH33" s="172">
        <f t="shared" si="16"/>
        <v>8</v>
      </c>
      <c r="AI33" s="221">
        <f t="shared" si="17"/>
        <v>2.9902916287906858</v>
      </c>
      <c r="AJ33" s="261" t="b">
        <f t="shared" si="18"/>
        <v>1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46772</v>
      </c>
      <c r="B34" s="406">
        <f>'2027'!Wh/'2027'!Env_an*'2028'!Env_an</f>
        <v>22.720696771159652</v>
      </c>
      <c r="C34" s="831"/>
      <c r="D34" s="388">
        <f t="shared" si="0"/>
        <v>23.462857276899836</v>
      </c>
      <c r="E34" s="380">
        <f t="shared" si="1"/>
        <v>24.540285714490331</v>
      </c>
      <c r="F34" s="380">
        <f t="shared" si="2"/>
        <v>24.540285714490331</v>
      </c>
      <c r="G34" s="110">
        <f t="shared" si="21"/>
        <v>0.20928606657908749</v>
      </c>
      <c r="H34" s="409" t="b">
        <f>Wh_hp&gt;='2027'!Maxi_hp</f>
        <v>0</v>
      </c>
      <c r="I34" s="385">
        <f>IF(H34,Wh_hp,'2027'!Maxi_hp)</f>
        <v>24.638956934020555</v>
      </c>
      <c r="J34" s="85">
        <f>IF(H34,An,'2027'!An_max)</f>
        <v>2022</v>
      </c>
      <c r="K34" s="193">
        <f t="shared" si="3"/>
        <v>46772</v>
      </c>
      <c r="L34" s="143">
        <f>IF(t&lt;Tvie,1-EXP((T0-t)*PertePVj)+'2027'!Pspv,1-EXP((T0-t)*PertePVj)+Pspv)</f>
        <v>3.1631292684496382E-2</v>
      </c>
      <c r="M34" s="835"/>
      <c r="N34" s="835"/>
      <c r="O34" s="48">
        <f>IF(t&lt;Tnet,'2027'!Resal+('2027'!Salim-'2027'!Resal)*(1-EXP(('2027'!Tnet-t)/('2027'!Tau_j))),Resal+(Salim-Resal)*(1-EXP((Tnet-t)/(Tau_j))))*Salcycl</f>
        <v>4.3904478135489033E-2</v>
      </c>
      <c r="P34" s="165">
        <f>(INDEX(Models!$BJ34:$BT34,,T34)*(1-R34)+INDEX(Models!$BJ34:$BT34,,T34+1)*R34-ERP_i)*Q34*Ramure*Pc/MaxiM</f>
        <v>4.0054818596375824E-3</v>
      </c>
      <c r="Q34" s="301">
        <f t="shared" si="4"/>
        <v>0.5</v>
      </c>
      <c r="R34" s="173">
        <f t="shared" si="5"/>
        <v>0.99035265377072834</v>
      </c>
      <c r="S34" s="801">
        <f t="shared" si="6"/>
        <v>2</v>
      </c>
      <c r="T34" s="172">
        <f t="shared" si="7"/>
        <v>8</v>
      </c>
      <c r="U34" s="247">
        <f t="shared" si="8"/>
        <v>2.9903526537707283</v>
      </c>
      <c r="V34" s="378">
        <f t="shared" si="9"/>
        <v>108.12802687871661</v>
      </c>
      <c r="W34" s="397">
        <f t="shared" si="10"/>
        <v>22.720696771159652</v>
      </c>
      <c r="X34" s="153">
        <f t="shared" si="11"/>
        <v>46772</v>
      </c>
      <c r="Y34" s="380">
        <f t="shared" si="12"/>
        <v>22.23621189181306</v>
      </c>
      <c r="Z34" s="380">
        <f t="shared" si="22"/>
        <v>22.962546934685584</v>
      </c>
      <c r="AA34" s="381">
        <f t="shared" si="13"/>
        <v>24.540285714490331</v>
      </c>
      <c r="AB34" s="193">
        <f t="shared" si="14"/>
        <v>46772</v>
      </c>
      <c r="AC34" s="119">
        <f>IF(OR(t&lt;Tnet,NoTnet),'2027'!Resal_s+('2027'!Salim-'2027'!Resal_s)*(1-EXP(('2027'!Tnet_s-t)/'2027'!Tau_j)),Resal_s+(Salim-Resal_s)*(1-EXP((Tnet_s-t)/Tau_j)))*Salcycl</f>
        <v>6.4291785277509533E-2</v>
      </c>
      <c r="AD34" s="227">
        <f>(INDEX(Models!$BJ34:$BT34,,AH34)*(1-AF34)+INDEX(Models!$BJ34:$BT34,,AH34+1)*AF34-ERP_i)*AE34*Ramure*Pc/MaxiM</f>
        <v>4.0054818596375824E-3</v>
      </c>
      <c r="AE34" s="301">
        <f t="shared" si="15"/>
        <v>0.5</v>
      </c>
      <c r="AF34" s="173">
        <f t="shared" si="23"/>
        <v>0.99035265377072834</v>
      </c>
      <c r="AG34" s="801">
        <f t="shared" si="24"/>
        <v>2</v>
      </c>
      <c r="AH34" s="172">
        <f t="shared" si="16"/>
        <v>8</v>
      </c>
      <c r="AI34" s="221">
        <f t="shared" si="17"/>
        <v>2.9903526537707283</v>
      </c>
      <c r="AJ34" s="261" t="b">
        <f t="shared" si="18"/>
        <v>1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46773</v>
      </c>
      <c r="B35" s="406">
        <f>'2027'!Wh/'2027'!Env_an*'2028'!Env_an</f>
        <v>57.043206666090633</v>
      </c>
      <c r="C35" s="831"/>
      <c r="D35" s="388">
        <f t="shared" si="0"/>
        <v>58.907301650125881</v>
      </c>
      <c r="E35" s="380">
        <f t="shared" si="1"/>
        <v>61.614869341689158</v>
      </c>
      <c r="F35" s="380">
        <f t="shared" si="2"/>
        <v>61.692235574380071</v>
      </c>
      <c r="G35" s="110">
        <f t="shared" si="21"/>
        <v>0.52080154615844831</v>
      </c>
      <c r="H35" s="409" t="b">
        <f>Wh_hp&gt;='2027'!Maxi_hp</f>
        <v>0</v>
      </c>
      <c r="I35" s="385">
        <f>IF(H35,Wh_hp,'2027'!Maxi_hp)</f>
        <v>61.859209054823204</v>
      </c>
      <c r="J35" s="85">
        <f>IF(H35,An,'2027'!An_max)</f>
        <v>2022</v>
      </c>
      <c r="K35" s="193">
        <f t="shared" si="3"/>
        <v>46773</v>
      </c>
      <c r="L35" s="143">
        <f>IF(t&lt;Tvie,1-EXP((T0-t)*PertePVj)+'2027'!Pspv,1-EXP((T0-t)*PertePVj)+Pspv)</f>
        <v>3.1644548838900444E-2</v>
      </c>
      <c r="M35" s="835"/>
      <c r="N35" s="835"/>
      <c r="O35" s="48">
        <f>IF(t&lt;Tnet,'2027'!Resal+('2027'!Salim-'2027'!Resal)*(1-EXP(('2027'!Tnet-t)/('2027'!Tau_j))),Resal+(Salim-Resal)*(1-EXP((Tnet-t)/(Tau_j))))*Salcycl</f>
        <v>4.3943413667702387E-2</v>
      </c>
      <c r="P35" s="165">
        <f>(INDEX(Models!$BJ35:$BT35,,T35)*(1-R35)+INDEX(Models!$BJ35:$BT35,,T35+1)*R35-ERP_i)*Q35*Ramure*Pc/MaxiM</f>
        <v>3.9505048356996168E-3</v>
      </c>
      <c r="Q35" s="301">
        <f t="shared" si="4"/>
        <v>0.5</v>
      </c>
      <c r="R35" s="173">
        <f t="shared" si="5"/>
        <v>0.99041622300796472</v>
      </c>
      <c r="S35" s="801">
        <f t="shared" si="6"/>
        <v>2</v>
      </c>
      <c r="T35" s="172">
        <f t="shared" si="7"/>
        <v>8</v>
      </c>
      <c r="U35" s="247">
        <f t="shared" si="8"/>
        <v>2.9904162230079647</v>
      </c>
      <c r="V35" s="378">
        <f t="shared" si="9"/>
        <v>109.23393089662031</v>
      </c>
      <c r="W35" s="397">
        <f t="shared" si="10"/>
        <v>57.043206666090633</v>
      </c>
      <c r="X35" s="153">
        <f t="shared" si="11"/>
        <v>46773</v>
      </c>
      <c r="Y35" s="380">
        <f t="shared" si="12"/>
        <v>55.828145128958418</v>
      </c>
      <c r="Z35" s="380">
        <f t="shared" si="22"/>
        <v>57.652533542324861</v>
      </c>
      <c r="AA35" s="381">
        <f t="shared" si="13"/>
        <v>61.614869341689158</v>
      </c>
      <c r="AB35" s="193">
        <f t="shared" si="14"/>
        <v>46773</v>
      </c>
      <c r="AC35" s="119">
        <f>IF(OR(t&lt;Tnet,NoTnet),'2027'!Resal_s+('2027'!Salim-'2027'!Resal_s)*(1-EXP(('2027'!Tnet_s-t)/'2027'!Tau_j)),Resal_s+(Salim-Resal_s)*(1-EXP((Tnet_s-t)/Tau_j)))*Salcycl</f>
        <v>6.4308110066596369E-2</v>
      </c>
      <c r="AD35" s="227">
        <f>(INDEX(Models!$BJ35:$BT35,,AH35)*(1-AF35)+INDEX(Models!$BJ35:$BT35,,AH35+1)*AF35-ERP_i)*AE35*Ramure*Pc/MaxiM</f>
        <v>3.9505048356996168E-3</v>
      </c>
      <c r="AE35" s="301">
        <f t="shared" si="15"/>
        <v>0.5</v>
      </c>
      <c r="AF35" s="173">
        <f t="shared" si="23"/>
        <v>0.99041622300796472</v>
      </c>
      <c r="AG35" s="801">
        <f t="shared" si="24"/>
        <v>2</v>
      </c>
      <c r="AH35" s="172">
        <f t="shared" si="16"/>
        <v>8</v>
      </c>
      <c r="AI35" s="221">
        <f t="shared" si="17"/>
        <v>2.9904162230079647</v>
      </c>
      <c r="AJ35" s="261" t="b">
        <f t="shared" si="18"/>
        <v>1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46774</v>
      </c>
      <c r="B36" s="406">
        <f>'2027'!Wh/'2027'!Env_an*'2028'!Env_an</f>
        <v>109.55609985237965</v>
      </c>
      <c r="C36" s="831"/>
      <c r="D36" s="388">
        <f t="shared" si="0"/>
        <v>113.13779405336305</v>
      </c>
      <c r="E36" s="380">
        <f t="shared" si="1"/>
        <v>118.34279008212425</v>
      </c>
      <c r="F36" s="380">
        <f t="shared" si="2"/>
        <v>118.79966740780401</v>
      </c>
      <c r="G36" s="110">
        <f t="shared" si="21"/>
        <v>0.99273552391178399</v>
      </c>
      <c r="H36" s="409" t="b">
        <f>Wh_hp&gt;='2027'!Maxi_hp</f>
        <v>0</v>
      </c>
      <c r="I36" s="385">
        <f>IF(H36,Wh_hp,'2027'!Maxi_hp)</f>
        <v>118.80444939274724</v>
      </c>
      <c r="J36" s="85">
        <f>IF(H36,An,'2027'!An_max)</f>
        <v>2022</v>
      </c>
      <c r="K36" s="193">
        <f t="shared" si="3"/>
        <v>46774</v>
      </c>
      <c r="L36" s="143">
        <f>IF(t&lt;Tvie,1-EXP((T0-t)*PertePVj)+'2027'!Pspv,1-EXP((T0-t)*PertePVj)+Pspv)</f>
        <v>3.1657804811838997E-2</v>
      </c>
      <c r="M36" s="835"/>
      <c r="N36" s="835"/>
      <c r="O36" s="48">
        <f>IF(t&lt;Tnet,'2027'!Resal+('2027'!Salim-'2027'!Resal)*(1-EXP(('2027'!Tnet-t)/('2027'!Tau_j))),Resal+(Salim-Resal)*(1-EXP((Tnet-t)/(Tau_j))))*Salcycl</f>
        <v>4.3982367030126458E-2</v>
      </c>
      <c r="P36" s="165">
        <f>(INDEX(Models!$BJ36:$BT36,,T36)*(1-R36)+INDEX(Models!$BJ36:$BT36,,T36+1)*R36-ERP_i)*Q36*Ramure*Pc/MaxiM</f>
        <v>3.8858846451858215E-3</v>
      </c>
      <c r="Q36" s="301">
        <f t="shared" si="4"/>
        <v>0.5</v>
      </c>
      <c r="R36" s="173">
        <f t="shared" si="5"/>
        <v>0.99048244188674683</v>
      </c>
      <c r="S36" s="801">
        <f t="shared" si="6"/>
        <v>2</v>
      </c>
      <c r="T36" s="172">
        <f t="shared" si="7"/>
        <v>8</v>
      </c>
      <c r="U36" s="247">
        <f t="shared" si="8"/>
        <v>2.9904824418867468</v>
      </c>
      <c r="V36" s="378">
        <f t="shared" si="9"/>
        <v>110.35334838716713</v>
      </c>
      <c r="W36" s="397">
        <f t="shared" si="10"/>
        <v>109.55609985237965</v>
      </c>
      <c r="X36" s="153">
        <f t="shared" si="11"/>
        <v>46774</v>
      </c>
      <c r="Y36" s="380">
        <f t="shared" si="12"/>
        <v>107.22496558197847</v>
      </c>
      <c r="Z36" s="380">
        <f t="shared" si="22"/>
        <v>110.73044850755814</v>
      </c>
      <c r="AA36" s="381">
        <f t="shared" si="13"/>
        <v>118.34279008212425</v>
      </c>
      <c r="AB36" s="193">
        <f t="shared" si="14"/>
        <v>46774</v>
      </c>
      <c r="AC36" s="119">
        <f>IF(OR(t&lt;Tnet,NoTnet),'2027'!Resal_s+('2027'!Salim-'2027'!Resal_s)*(1-EXP(('2027'!Tnet_s-t)/'2027'!Tau_j)),Resal_s+(Salim-Resal_s)*(1-EXP((Tnet_s-t)/Tau_j)))*Salcycl</f>
        <v>6.4324506539718329E-2</v>
      </c>
      <c r="AD36" s="227">
        <f>(INDEX(Models!$BJ36:$BT36,,AH36)*(1-AF36)+INDEX(Models!$BJ36:$BT36,,AH36+1)*AF36-ERP_i)*AE36*Ramure*Pc/MaxiM</f>
        <v>3.8858846451858215E-3</v>
      </c>
      <c r="AE36" s="301">
        <f t="shared" si="15"/>
        <v>0.5</v>
      </c>
      <c r="AF36" s="173">
        <f t="shared" si="23"/>
        <v>0.99048244188674683</v>
      </c>
      <c r="AG36" s="801">
        <f t="shared" si="24"/>
        <v>2</v>
      </c>
      <c r="AH36" s="172">
        <f t="shared" si="16"/>
        <v>8</v>
      </c>
      <c r="AI36" s="221">
        <f t="shared" si="17"/>
        <v>2.9904824418867468</v>
      </c>
      <c r="AJ36" s="261" t="b">
        <f t="shared" si="18"/>
        <v>1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46775</v>
      </c>
      <c r="B37" s="406">
        <f>'2027'!Wh/'2027'!Env_an*'2028'!Env_an</f>
        <v>111.36404346924722</v>
      </c>
      <c r="C37" s="831"/>
      <c r="D37" s="388">
        <f t="shared" si="0"/>
        <v>115.00641872650449</v>
      </c>
      <c r="E37" s="380">
        <f t="shared" si="1"/>
        <v>120.30228663143099</v>
      </c>
      <c r="F37" s="380">
        <f t="shared" si="2"/>
        <v>120.76182424945857</v>
      </c>
      <c r="G37" s="110">
        <f t="shared" si="21"/>
        <v>0.9988271332050862</v>
      </c>
      <c r="H37" s="409" t="b">
        <f>Wh_hp&gt;='2027'!Maxi_hp</f>
        <v>0</v>
      </c>
      <c r="I37" s="385">
        <f>IF(H37,Wh_hp,'2027'!Maxi_hp)</f>
        <v>120.76259406342568</v>
      </c>
      <c r="J37" s="85">
        <f>IF(H37,An,'2027'!An_max)</f>
        <v>2022</v>
      </c>
      <c r="K37" s="193">
        <f t="shared" si="3"/>
        <v>46775</v>
      </c>
      <c r="L37" s="143">
        <f>IF(t&lt;Tvie,1-EXP((T0-t)*PertePVj)+'2027'!Pspv,1-EXP((T0-t)*PertePVj)+Pspv)</f>
        <v>3.1671060603314372E-2</v>
      </c>
      <c r="M37" s="835"/>
      <c r="N37" s="835"/>
      <c r="O37" s="48">
        <f>IF(t&lt;Tnet,'2027'!Resal+('2027'!Salim-'2027'!Resal)*(1-EXP(('2027'!Tnet-t)/('2027'!Tau_j))),Resal+(Salim-Resal)*(1-EXP((Tnet-t)/(Tau_j))))*Salcycl</f>
        <v>4.4021340352003446E-2</v>
      </c>
      <c r="P37" s="165">
        <f>(INDEX(Models!$BJ37:$BT37,,T37)*(1-R37)+INDEX(Models!$BJ37:$BT37,,T37+1)*R37-ERP_i)*Q37*Ramure*Pc/MaxiM</f>
        <v>3.8116738009756923E-3</v>
      </c>
      <c r="Q37" s="301">
        <f t="shared" si="4"/>
        <v>0.5</v>
      </c>
      <c r="R37" s="173">
        <f t="shared" si="5"/>
        <v>0.99055142009752384</v>
      </c>
      <c r="S37" s="801">
        <f t="shared" si="6"/>
        <v>2</v>
      </c>
      <c r="T37" s="172">
        <f t="shared" si="7"/>
        <v>8</v>
      </c>
      <c r="U37" s="247">
        <f t="shared" si="8"/>
        <v>2.9905514200975238</v>
      </c>
      <c r="V37" s="378">
        <f t="shared" si="9"/>
        <v>111.49410112610987</v>
      </c>
      <c r="W37" s="397">
        <f t="shared" si="10"/>
        <v>111.36404346924722</v>
      </c>
      <c r="X37" s="153">
        <f t="shared" si="11"/>
        <v>46775</v>
      </c>
      <c r="Y37" s="380">
        <f t="shared" si="12"/>
        <v>108.99696451677215</v>
      </c>
      <c r="Z37" s="380">
        <f t="shared" si="22"/>
        <v>112.56191990366659</v>
      </c>
      <c r="AA37" s="381">
        <f t="shared" si="13"/>
        <v>120.30228663143099</v>
      </c>
      <c r="AB37" s="193">
        <f t="shared" si="14"/>
        <v>46775</v>
      </c>
      <c r="AC37" s="119">
        <f>IF(OR(t&lt;Tnet,NoTnet),'2027'!Resal_s+('2027'!Salim-'2027'!Resal_s)*(1-EXP(('2027'!Tnet_s-t)/'2027'!Tau_j)),Resal_s+(Salim-Resal_s)*(1-EXP((Tnet_s-t)/Tau_j)))*Salcycl</f>
        <v>6.4340977586556505E-2</v>
      </c>
      <c r="AD37" s="227">
        <f>(INDEX(Models!$BJ37:$BT37,,AH37)*(1-AF37)+INDEX(Models!$BJ37:$BT37,,AH37+1)*AF37-ERP_i)*AE37*Ramure*Pc/MaxiM</f>
        <v>3.8116738009756923E-3</v>
      </c>
      <c r="AE37" s="301">
        <f t="shared" si="15"/>
        <v>0.5</v>
      </c>
      <c r="AF37" s="173">
        <f t="shared" si="23"/>
        <v>0.99055142009752384</v>
      </c>
      <c r="AG37" s="801">
        <f t="shared" si="24"/>
        <v>2</v>
      </c>
      <c r="AH37" s="172">
        <f t="shared" si="16"/>
        <v>8</v>
      </c>
      <c r="AI37" s="221">
        <f t="shared" si="17"/>
        <v>2.9905514200975238</v>
      </c>
      <c r="AJ37" s="261" t="b">
        <f t="shared" si="18"/>
        <v>1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46776</v>
      </c>
      <c r="B38" s="406">
        <f>'2027'!Wh/'2027'!Env_an*'2028'!Env_an</f>
        <v>112.74595530354631</v>
      </c>
      <c r="C38" s="831"/>
      <c r="D38" s="388">
        <f t="shared" si="0"/>
        <v>116.43512254458672</v>
      </c>
      <c r="E38" s="380">
        <f t="shared" si="1"/>
        <v>121.80174845361989</v>
      </c>
      <c r="F38" s="380">
        <f t="shared" si="2"/>
        <v>122.2570683053769</v>
      </c>
      <c r="G38" s="110">
        <f t="shared" si="21"/>
        <v>1.000721756393286</v>
      </c>
      <c r="H38" s="409" t="b">
        <f>Wh_hp&gt;='2027'!Maxi_hp</f>
        <v>1</v>
      </c>
      <c r="I38" s="385">
        <f>IF(H38,Wh_hp,'2027'!Maxi_hp)</f>
        <v>122.2570683053769</v>
      </c>
      <c r="J38" s="85">
        <f>IF(H38,An,'2027'!An_max)</f>
        <v>2028</v>
      </c>
      <c r="K38" s="193">
        <f t="shared" si="3"/>
        <v>46776</v>
      </c>
      <c r="L38" s="143">
        <f>IF(t&lt;Tvie,1-EXP((T0-t)*PertePVj)+'2027'!Pspv,1-EXP((T0-t)*PertePVj)+Pspv)</f>
        <v>3.1684316213329122E-2</v>
      </c>
      <c r="M38" s="835"/>
      <c r="N38" s="835"/>
      <c r="O38" s="48">
        <f>IF(t&lt;Tnet,'2027'!Resal+('2027'!Salim-'2027'!Resal)*(1-EXP(('2027'!Tnet-t)/('2027'!Tau_j))),Resal+(Salim-Resal)*(1-EXP((Tnet-t)/(Tau_j))))*Salcycl</f>
        <v>4.4060335563053887E-2</v>
      </c>
      <c r="P38" s="165">
        <f>(INDEX(Models!$BJ38:$BT38,,T38)*(1-R38)+INDEX(Models!$BJ38:$BT38,,T38+1)*R38-ERP_i)*Q38*Ramure*Pc/MaxiM</f>
        <v>3.7242824326500284E-3</v>
      </c>
      <c r="Q38" s="301">
        <f t="shared" si="4"/>
        <v>0.5</v>
      </c>
      <c r="R38" s="173">
        <f t="shared" si="5"/>
        <v>0.99062327180775345</v>
      </c>
      <c r="S38" s="801">
        <f t="shared" si="6"/>
        <v>2</v>
      </c>
      <c r="T38" s="172">
        <f t="shared" si="7"/>
        <v>8</v>
      </c>
      <c r="U38" s="247">
        <f t="shared" si="8"/>
        <v>2.9906232718077534</v>
      </c>
      <c r="V38" s="378">
        <f t="shared" si="9"/>
        <v>112.66463888013732</v>
      </c>
      <c r="W38" s="397">
        <f t="shared" si="10"/>
        <v>112.74595530354631</v>
      </c>
      <c r="X38" s="153">
        <f t="shared" si="11"/>
        <v>46776</v>
      </c>
      <c r="Y38" s="380">
        <f t="shared" si="12"/>
        <v>110.35205306448489</v>
      </c>
      <c r="Z38" s="380">
        <f t="shared" si="22"/>
        <v>113.96288928518119</v>
      </c>
      <c r="AA38" s="381">
        <f t="shared" si="13"/>
        <v>121.80174845361989</v>
      </c>
      <c r="AB38" s="193">
        <f t="shared" si="14"/>
        <v>46776</v>
      </c>
      <c r="AC38" s="119">
        <f>IF(OR(t&lt;Tnet,NoTnet),'2027'!Resal_s+('2027'!Salim-'2027'!Resal_s)*(1-EXP(('2027'!Tnet_s-t)/'2027'!Tau_j)),Resal_s+(Salim-Resal_s)*(1-EXP((Tnet_s-t)/Tau_j)))*Salcycl</f>
        <v>6.4357525798766371E-2</v>
      </c>
      <c r="AD38" s="227">
        <f>(INDEX(Models!$BJ38:$BT38,,AH38)*(1-AF38)+INDEX(Models!$BJ38:$BT38,,AH38+1)*AF38-ERP_i)*AE38*Ramure*Pc/MaxiM</f>
        <v>3.7242824326500284E-3</v>
      </c>
      <c r="AE38" s="301">
        <f t="shared" si="15"/>
        <v>0.5</v>
      </c>
      <c r="AF38" s="173">
        <f t="shared" si="23"/>
        <v>0.99062327180775345</v>
      </c>
      <c r="AG38" s="801">
        <f t="shared" si="24"/>
        <v>2</v>
      </c>
      <c r="AH38" s="172">
        <f t="shared" si="16"/>
        <v>8</v>
      </c>
      <c r="AI38" s="221">
        <f t="shared" si="17"/>
        <v>2.9906232718077534</v>
      </c>
      <c r="AJ38" s="261" t="b">
        <f t="shared" si="18"/>
        <v>1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46777</v>
      </c>
      <c r="B39" s="406">
        <f>'2027'!Wh/'2027'!Env_an*'2028'!Env_an</f>
        <v>111.71062211529262</v>
      </c>
      <c r="C39" s="831"/>
      <c r="D39" s="388">
        <f t="shared" si="0"/>
        <v>115.36749144036833</v>
      </c>
      <c r="E39" s="380">
        <f t="shared" si="1"/>
        <v>120.68983524912753</v>
      </c>
      <c r="F39" s="380">
        <f t="shared" si="2"/>
        <v>121.11767037731731</v>
      </c>
      <c r="G39" s="110">
        <f t="shared" si="21"/>
        <v>0.98100672902715136</v>
      </c>
      <c r="H39" s="409" t="b">
        <f>Wh_hp&gt;='2027'!Maxi_hp</f>
        <v>0</v>
      </c>
      <c r="I39" s="385">
        <f>IF(H39,Wh_hp,'2027'!Maxi_hp)</f>
        <v>121.12958041502201</v>
      </c>
      <c r="J39" s="85">
        <f>IF(H39,An,'2027'!An_max)</f>
        <v>2022</v>
      </c>
      <c r="K39" s="193">
        <f t="shared" si="3"/>
        <v>46777</v>
      </c>
      <c r="L39" s="143">
        <f>IF(t&lt;Tvie,1-EXP((T0-t)*PertePVj)+'2027'!Pspv,1-EXP((T0-t)*PertePVj)+Pspv)</f>
        <v>3.1697571641885691E-2</v>
      </c>
      <c r="M39" s="835"/>
      <c r="N39" s="835"/>
      <c r="O39" s="48">
        <f>IF(t&lt;Tnet,'2027'!Resal+('2027'!Salim-'2027'!Resal)*(1-EXP(('2027'!Tnet-t)/('2027'!Tau_j))),Resal+(Salim-Resal)*(1-EXP((Tnet-t)/(Tau_j))))*Salcycl</f>
        <v>4.4099354330651229E-2</v>
      </c>
      <c r="P39" s="165">
        <f>(INDEX(Models!$BJ39:$BT39,,T39)*(1-R39)+INDEX(Models!$BJ39:$BT39,,T39+1)*R39-ERP_i)*Q39*Ramure*Pc/MaxiM</f>
        <v>3.6303963066999195E-3</v>
      </c>
      <c r="Q39" s="301">
        <f t="shared" si="4"/>
        <v>0.5</v>
      </c>
      <c r="R39" s="173">
        <f t="shared" si="5"/>
        <v>0.9906981158391619</v>
      </c>
      <c r="S39" s="801">
        <f t="shared" si="6"/>
        <v>2</v>
      </c>
      <c r="T39" s="172">
        <f t="shared" si="7"/>
        <v>8</v>
      </c>
      <c r="U39" s="247">
        <f t="shared" si="8"/>
        <v>2.9906981158391619</v>
      </c>
      <c r="V39" s="378">
        <f t="shared" si="9"/>
        <v>113.86225182092124</v>
      </c>
      <c r="W39" s="397">
        <f t="shared" si="10"/>
        <v>111.71062211529262</v>
      </c>
      <c r="X39" s="153">
        <f t="shared" si="11"/>
        <v>46777</v>
      </c>
      <c r="Y39" s="380">
        <f t="shared" si="12"/>
        <v>109.34122271668333</v>
      </c>
      <c r="Z39" s="380">
        <f t="shared" si="22"/>
        <v>112.92052928348629</v>
      </c>
      <c r="AA39" s="381">
        <f t="shared" si="13"/>
        <v>120.68983524912753</v>
      </c>
      <c r="AB39" s="193">
        <f t="shared" si="14"/>
        <v>46777</v>
      </c>
      <c r="AC39" s="119">
        <f>IF(OR(t&lt;Tnet,NoTnet),'2027'!Resal_s+('2027'!Salim-'2027'!Resal_s)*(1-EXP(('2027'!Tnet_s-t)/'2027'!Tau_j)),Resal_s+(Salim-Resal_s)*(1-EXP((Tnet_s-t)/Tau_j)))*Salcycl</f>
        <v>6.437415337922929E-2</v>
      </c>
      <c r="AD39" s="227">
        <f>(INDEX(Models!$BJ39:$BT39,,AH39)*(1-AF39)+INDEX(Models!$BJ39:$BT39,,AH39+1)*AF39-ERP_i)*AE39*Ramure*Pc/MaxiM</f>
        <v>3.6303963066999195E-3</v>
      </c>
      <c r="AE39" s="301">
        <f t="shared" si="15"/>
        <v>0.5</v>
      </c>
      <c r="AF39" s="173">
        <f t="shared" si="23"/>
        <v>0.9906981158391619</v>
      </c>
      <c r="AG39" s="801">
        <f t="shared" si="24"/>
        <v>2</v>
      </c>
      <c r="AH39" s="172">
        <f t="shared" si="16"/>
        <v>8</v>
      </c>
      <c r="AI39" s="221">
        <f t="shared" si="17"/>
        <v>2.9906981158391619</v>
      </c>
      <c r="AJ39" s="261" t="b">
        <f t="shared" si="18"/>
        <v>1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46778</v>
      </c>
      <c r="B40" s="406">
        <f>'2027'!Wh/'2027'!Env_an*'2028'!Env_an</f>
        <v>113.68477922463065</v>
      </c>
      <c r="C40" s="831"/>
      <c r="D40" s="388">
        <f t="shared" si="0"/>
        <v>117.40788018869731</v>
      </c>
      <c r="E40" s="380">
        <f t="shared" si="1"/>
        <v>122.82937189184695</v>
      </c>
      <c r="F40" s="380">
        <f t="shared" si="2"/>
        <v>123.256948850889</v>
      </c>
      <c r="G40" s="110">
        <f t="shared" si="21"/>
        <v>0.9877729103239673</v>
      </c>
      <c r="H40" s="409" t="b">
        <f>Wh_hp&gt;='2027'!Maxi_hp</f>
        <v>0</v>
      </c>
      <c r="I40" s="385">
        <f>IF(H40,Wh_hp,'2027'!Maxi_hp)</f>
        <v>123.264536354387</v>
      </c>
      <c r="J40" s="85">
        <f>IF(H40,An,'2027'!An_max)</f>
        <v>2022</v>
      </c>
      <c r="K40" s="193">
        <f t="shared" si="3"/>
        <v>46778</v>
      </c>
      <c r="L40" s="143">
        <f>IF(t&lt;Tvie,1-EXP((T0-t)*PertePVj)+'2027'!Pspv,1-EXP((T0-t)*PertePVj)+Pspv)</f>
        <v>3.1710826888986632E-2</v>
      </c>
      <c r="M40" s="835"/>
      <c r="N40" s="835"/>
      <c r="O40" s="48">
        <f>IF(t&lt;Tnet,'2027'!Resal+('2027'!Salim-'2027'!Resal)*(1-EXP(('2027'!Tnet-t)/('2027'!Tau_j))),Resal+(Salim-Resal)*(1-EXP((Tnet-t)/(Tau_j))))*Salcycl</f>
        <v>4.4138398004048597E-2</v>
      </c>
      <c r="P40" s="165">
        <f>(INDEX(Models!$BJ40:$BT40,,T40)*(1-R40)+INDEX(Models!$BJ40:$BT40,,T40+1)*R40-ERP_i)*Q40*Ramure*Pc/MaxiM</f>
        <v>3.5303474521307171E-3</v>
      </c>
      <c r="Q40" s="301">
        <f t="shared" si="4"/>
        <v>0.5</v>
      </c>
      <c r="R40" s="173">
        <f t="shared" si="5"/>
        <v>0.99077607585155425</v>
      </c>
      <c r="S40" s="801">
        <f t="shared" si="6"/>
        <v>2</v>
      </c>
      <c r="T40" s="172">
        <f t="shared" si="7"/>
        <v>8</v>
      </c>
      <c r="U40" s="247">
        <f t="shared" si="8"/>
        <v>2.9907760758515542</v>
      </c>
      <c r="V40" s="378">
        <f t="shared" si="9"/>
        <v>115.08493318100355</v>
      </c>
      <c r="W40" s="397">
        <f t="shared" si="10"/>
        <v>113.68477922463065</v>
      </c>
      <c r="X40" s="153">
        <f t="shared" si="11"/>
        <v>46778</v>
      </c>
      <c r="Y40" s="380">
        <f t="shared" si="12"/>
        <v>111.27606555691234</v>
      </c>
      <c r="Z40" s="380">
        <f t="shared" si="22"/>
        <v>114.92028274920581</v>
      </c>
      <c r="AA40" s="381">
        <f t="shared" si="13"/>
        <v>122.82937189184695</v>
      </c>
      <c r="AB40" s="193">
        <f t="shared" si="14"/>
        <v>46778</v>
      </c>
      <c r="AC40" s="119">
        <f>IF(OR(t&lt;Tnet,NoTnet),'2027'!Resal_s+('2027'!Salim-'2027'!Resal_s)*(1-EXP(('2027'!Tnet_s-t)/'2027'!Tau_j)),Resal_s+(Salim-Resal_s)*(1-EXP((Tnet_s-t)/Tau_j)))*Salcycl</f>
        <v>6.4390862061927706E-2</v>
      </c>
      <c r="AD40" s="227">
        <f>(INDEX(Models!$BJ40:$BT40,,AH40)*(1-AF40)+INDEX(Models!$BJ40:$BT40,,AH40+1)*AF40-ERP_i)*AE40*Ramure*Pc/MaxiM</f>
        <v>3.5303474521307171E-3</v>
      </c>
      <c r="AE40" s="301">
        <f t="shared" si="15"/>
        <v>0.5</v>
      </c>
      <c r="AF40" s="173">
        <f t="shared" si="23"/>
        <v>0.99077607585155425</v>
      </c>
      <c r="AG40" s="801">
        <f t="shared" si="24"/>
        <v>2</v>
      </c>
      <c r="AH40" s="172">
        <f t="shared" si="16"/>
        <v>8</v>
      </c>
      <c r="AI40" s="221">
        <f t="shared" si="17"/>
        <v>2.9907760758515542</v>
      </c>
      <c r="AJ40" s="261" t="b">
        <f t="shared" si="18"/>
        <v>1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46779</v>
      </c>
      <c r="B41" s="406">
        <f>'2027'!Wh/'2027'!Env_an*'2028'!Env_an</f>
        <v>115.54576051615072</v>
      </c>
      <c r="C41" s="831"/>
      <c r="D41" s="388">
        <f t="shared" si="0"/>
        <v>119.33144092791241</v>
      </c>
      <c r="E41" s="380">
        <f t="shared" si="1"/>
        <v>124.8468589917517</v>
      </c>
      <c r="F41" s="380">
        <f t="shared" si="2"/>
        <v>125.27171123603279</v>
      </c>
      <c r="G41" s="110">
        <f t="shared" si="21"/>
        <v>0.99321981759806166</v>
      </c>
      <c r="H41" s="409" t="b">
        <f>Wh_hp&gt;='2027'!Maxi_hp</f>
        <v>0</v>
      </c>
      <c r="I41" s="385">
        <f>IF(H41,Wh_hp,'2027'!Maxi_hp)</f>
        <v>125.27585917077172</v>
      </c>
      <c r="J41" s="85">
        <f>IF(H41,An,'2027'!An_max)</f>
        <v>2022</v>
      </c>
      <c r="K41" s="193">
        <f t="shared" si="3"/>
        <v>46779</v>
      </c>
      <c r="L41" s="143">
        <f>IF(t&lt;Tvie,1-EXP((T0-t)*PertePVj)+'2027'!Pspv,1-EXP((T0-t)*PertePVj)+Pspv)</f>
        <v>3.1724081954634276E-2</v>
      </c>
      <c r="M41" s="835"/>
      <c r="N41" s="835"/>
      <c r="O41" s="48">
        <f>IF(t&lt;Tnet,'2027'!Resal+('2027'!Salim-'2027'!Resal)*(1-EXP(('2027'!Tnet-t)/('2027'!Tau_j))),Resal+(Salim-Resal)*(1-EXP((Tnet-t)/(Tau_j))))*Salcycl</f>
        <v>4.4177467566113737E-2</v>
      </c>
      <c r="P41" s="165">
        <f>(INDEX(Models!$BJ41:$BT41,,T41)*(1-R41)+INDEX(Models!$BJ41:$BT41,,T41+1)*R41-ERP_i)*Q41*Ramure*Pc/MaxiM</f>
        <v>3.4244542449528553E-3</v>
      </c>
      <c r="Q41" s="301">
        <f t="shared" si="4"/>
        <v>0.5</v>
      </c>
      <c r="R41" s="173">
        <f t="shared" si="5"/>
        <v>0.99085728053337618</v>
      </c>
      <c r="S41" s="801">
        <f t="shared" si="6"/>
        <v>2</v>
      </c>
      <c r="T41" s="172">
        <f t="shared" si="7"/>
        <v>8</v>
      </c>
      <c r="U41" s="247">
        <f t="shared" si="8"/>
        <v>2.9908572805333762</v>
      </c>
      <c r="V41" s="378">
        <f t="shared" si="9"/>
        <v>116.33067678231788</v>
      </c>
      <c r="W41" s="397">
        <f t="shared" si="10"/>
        <v>115.54576051615072</v>
      </c>
      <c r="X41" s="153">
        <f t="shared" si="11"/>
        <v>46779</v>
      </c>
      <c r="Y41" s="380">
        <f t="shared" si="12"/>
        <v>113.10021012682853</v>
      </c>
      <c r="Z41" s="380">
        <f t="shared" si="22"/>
        <v>116.80576581429504</v>
      </c>
      <c r="AA41" s="381">
        <f t="shared" si="13"/>
        <v>124.8468589917517</v>
      </c>
      <c r="AB41" s="193">
        <f t="shared" si="14"/>
        <v>46779</v>
      </c>
      <c r="AC41" s="119">
        <f>IF(OR(t&lt;Tnet,NoTnet),'2027'!Resal_s+('2027'!Salim-'2027'!Resal_s)*(1-EXP(('2027'!Tnet_s-t)/'2027'!Tau_j)),Resal_s+(Salim-Resal_s)*(1-EXP((Tnet_s-t)/Tau_j)))*Salcycl</f>
        <v>6.4407653043060675E-2</v>
      </c>
      <c r="AD41" s="227">
        <f>(INDEX(Models!$BJ41:$BT41,,AH41)*(1-AF41)+INDEX(Models!$BJ41:$BT41,,AH41+1)*AF41-ERP_i)*AE41*Ramure*Pc/MaxiM</f>
        <v>3.4244542449528553E-3</v>
      </c>
      <c r="AE41" s="301">
        <f t="shared" si="15"/>
        <v>0.5</v>
      </c>
      <c r="AF41" s="173">
        <f t="shared" si="23"/>
        <v>0.99085728053337618</v>
      </c>
      <c r="AG41" s="801">
        <f t="shared" si="24"/>
        <v>2</v>
      </c>
      <c r="AH41" s="172">
        <f t="shared" si="16"/>
        <v>8</v>
      </c>
      <c r="AI41" s="221">
        <f t="shared" si="17"/>
        <v>2.9908572805333762</v>
      </c>
      <c r="AJ41" s="261" t="b">
        <f t="shared" si="18"/>
        <v>1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46780</v>
      </c>
      <c r="B42" s="406">
        <f>'2027'!Wh/'2027'!Env_an*'2028'!Env_an</f>
        <v>17.903187271607116</v>
      </c>
      <c r="C42" s="831"/>
      <c r="D42" s="388">
        <f t="shared" si="0"/>
        <v>18.49001097817515</v>
      </c>
      <c r="E42" s="380">
        <f t="shared" si="1"/>
        <v>19.34539799903002</v>
      </c>
      <c r="F42" s="380">
        <f t="shared" si="2"/>
        <v>19.34539799903002</v>
      </c>
      <c r="G42" s="110">
        <f t="shared" si="21"/>
        <v>0.15173687474879599</v>
      </c>
      <c r="H42" s="409" t="b">
        <f>Wh_hp&gt;='2027'!Maxi_hp</f>
        <v>0</v>
      </c>
      <c r="I42" s="385">
        <f>IF(H42,Wh_hp,'2027'!Maxi_hp)</f>
        <v>19.409681636189191</v>
      </c>
      <c r="J42" s="85">
        <f>IF(H42,An,'2027'!An_max)</f>
        <v>2022</v>
      </c>
      <c r="K42" s="193">
        <f t="shared" si="3"/>
        <v>46780</v>
      </c>
      <c r="L42" s="143">
        <f>IF(t&lt;Tvie,1-EXP((T0-t)*PertePVj)+'2027'!Pspv,1-EXP((T0-t)*PertePVj)+Pspv)</f>
        <v>3.1737336838831287E-2</v>
      </c>
      <c r="M42" s="835"/>
      <c r="N42" s="835"/>
      <c r="O42" s="48">
        <f>IF(t&lt;Tnet,'2027'!Resal+('2027'!Salim-'2027'!Resal)*(1-EXP(('2027'!Tnet-t)/('2027'!Tau_j))),Resal+(Salim-Resal)*(1-EXP((Tnet-t)/(Tau_j))))*Salcycl</f>
        <v>4.421656359294119E-2</v>
      </c>
      <c r="P42" s="165">
        <f>(INDEX(Models!$BJ42:$BT42,,T42)*(1-R42)+INDEX(Models!$BJ42:$BT42,,T42+1)*R42-ERP_i)*Q42*Ramure*Pc/MaxiM</f>
        <v>3.3130203634646974E-3</v>
      </c>
      <c r="Q42" s="301">
        <f t="shared" si="4"/>
        <v>0.5</v>
      </c>
      <c r="R42" s="173">
        <f t="shared" si="5"/>
        <v>0.99094186379922222</v>
      </c>
      <c r="S42" s="801">
        <f t="shared" si="6"/>
        <v>2</v>
      </c>
      <c r="T42" s="172">
        <f t="shared" si="7"/>
        <v>8</v>
      </c>
      <c r="U42" s="247">
        <f t="shared" si="8"/>
        <v>2.9909418637992222</v>
      </c>
      <c r="V42" s="378">
        <f t="shared" si="9"/>
        <v>117.5974770611713</v>
      </c>
      <c r="W42" s="397">
        <f t="shared" si="10"/>
        <v>17.903187271607116</v>
      </c>
      <c r="X42" s="153">
        <f t="shared" si="11"/>
        <v>46780</v>
      </c>
      <c r="Y42" s="380">
        <f t="shared" si="12"/>
        <v>17.524663290011766</v>
      </c>
      <c r="Z42" s="380">
        <f t="shared" si="22"/>
        <v>18.099079884788203</v>
      </c>
      <c r="AA42" s="381">
        <f t="shared" si="13"/>
        <v>19.34539799903002</v>
      </c>
      <c r="AB42" s="193">
        <f t="shared" si="14"/>
        <v>46780</v>
      </c>
      <c r="AC42" s="119">
        <f>IF(OR(t&lt;Tnet,NoTnet),'2027'!Resal_s+('2027'!Salim-'2027'!Resal_s)*(1-EXP(('2027'!Tnet_s-t)/'2027'!Tau_j)),Resal_s+(Salim-Resal_s)*(1-EXP((Tnet_s-t)/Tau_j)))*Salcycl</f>
        <v>6.4424526923886782E-2</v>
      </c>
      <c r="AD42" s="227">
        <f>(INDEX(Models!$BJ42:$BT42,,AH42)*(1-AF42)+INDEX(Models!$BJ42:$BT42,,AH42+1)*AF42-ERP_i)*AE42*Ramure*Pc/MaxiM</f>
        <v>3.3130203634646974E-3</v>
      </c>
      <c r="AE42" s="301">
        <f t="shared" si="15"/>
        <v>0.5</v>
      </c>
      <c r="AF42" s="173">
        <f t="shared" si="23"/>
        <v>0.99094186379922222</v>
      </c>
      <c r="AG42" s="801">
        <f t="shared" si="24"/>
        <v>2</v>
      </c>
      <c r="AH42" s="172">
        <f t="shared" si="16"/>
        <v>8</v>
      </c>
      <c r="AI42" s="221">
        <f t="shared" si="17"/>
        <v>2.9909418637992222</v>
      </c>
      <c r="AJ42" s="261" t="b">
        <f t="shared" si="18"/>
        <v>1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46781</v>
      </c>
      <c r="B43" s="406">
        <f>'2027'!Wh/'2027'!Env_an*'2028'!Env_an</f>
        <v>28.063117834270702</v>
      </c>
      <c r="C43" s="831"/>
      <c r="D43" s="388">
        <f t="shared" si="0"/>
        <v>28.983356549580407</v>
      </c>
      <c r="E43" s="380">
        <f t="shared" si="1"/>
        <v>30.325429230124772</v>
      </c>
      <c r="F43" s="380">
        <f t="shared" si="2"/>
        <v>30.325429230124772</v>
      </c>
      <c r="G43" s="110">
        <f t="shared" si="21"/>
        <v>0.23530144184715679</v>
      </c>
      <c r="H43" s="409" t="b">
        <f>Wh_hp&gt;='2027'!Maxi_hp</f>
        <v>0</v>
      </c>
      <c r="I43" s="385">
        <f>IF(H43,Wh_hp,'2027'!Maxi_hp)</f>
        <v>30.422636176591364</v>
      </c>
      <c r="J43" s="85">
        <f>IF(H43,An,'2027'!An_max)</f>
        <v>2022</v>
      </c>
      <c r="K43" s="193">
        <f t="shared" si="3"/>
        <v>46781</v>
      </c>
      <c r="L43" s="143">
        <f>IF(t&lt;Tvie,1-EXP((T0-t)*PertePVj)+'2027'!Pspv,1-EXP((T0-t)*PertePVj)+Pspv)</f>
        <v>3.1750591541579998E-2</v>
      </c>
      <c r="M43" s="835"/>
      <c r="N43" s="835"/>
      <c r="O43" s="48">
        <f>IF(t&lt;Tnet,'2027'!Resal+('2027'!Salim-'2027'!Resal)*(1-EXP(('2027'!Tnet-t)/('2027'!Tau_j))),Resal+(Salim-Resal)*(1-EXP((Tnet-t)/(Tau_j))))*Salcycl</f>
        <v>4.4255686221620634E-2</v>
      </c>
      <c r="P43" s="165">
        <f>(INDEX(Models!$BJ43:$BT43,,T43)*(1-R43)+INDEX(Models!$BJ43:$BT43,,T43+1)*R43-ERP_i)*Q43*Ramure*Pc/MaxiM</f>
        <v>3.196333980654172E-3</v>
      </c>
      <c r="Q43" s="301">
        <f t="shared" si="4"/>
        <v>0.5</v>
      </c>
      <c r="R43" s="173">
        <f t="shared" si="5"/>
        <v>0.99102996499450757</v>
      </c>
      <c r="S43" s="801">
        <f t="shared" si="6"/>
        <v>2</v>
      </c>
      <c r="T43" s="172">
        <f t="shared" si="7"/>
        <v>8</v>
      </c>
      <c r="U43" s="247">
        <f t="shared" si="8"/>
        <v>2.9910299649945076</v>
      </c>
      <c r="V43" s="378">
        <f t="shared" si="9"/>
        <v>118.88332905033548</v>
      </c>
      <c r="W43" s="397">
        <f t="shared" si="10"/>
        <v>28.063117834270702</v>
      </c>
      <c r="X43" s="153">
        <f t="shared" si="11"/>
        <v>46781</v>
      </c>
      <c r="Y43" s="380">
        <f t="shared" si="12"/>
        <v>27.470410763892232</v>
      </c>
      <c r="Z43" s="380">
        <f t="shared" si="22"/>
        <v>28.371213577737919</v>
      </c>
      <c r="AA43" s="381">
        <f t="shared" si="13"/>
        <v>30.325429230124772</v>
      </c>
      <c r="AB43" s="193">
        <f t="shared" si="14"/>
        <v>46781</v>
      </c>
      <c r="AC43" s="119">
        <f>IF(OR(t&lt;Tnet,NoTnet),'2027'!Resal_s+('2027'!Salim-'2027'!Resal_s)*(1-EXP(('2027'!Tnet_s-t)/'2027'!Tau_j)),Resal_s+(Salim-Resal_s)*(1-EXP((Tnet_s-t)/Tau_j)))*Salcycl</f>
        <v>6.4441483665648044E-2</v>
      </c>
      <c r="AD43" s="227">
        <f>(INDEX(Models!$BJ43:$BT43,,AH43)*(1-AF43)+INDEX(Models!$BJ43:$BT43,,AH43+1)*AF43-ERP_i)*AE43*Ramure*Pc/MaxiM</f>
        <v>3.196333980654172E-3</v>
      </c>
      <c r="AE43" s="301">
        <f t="shared" si="15"/>
        <v>0.5</v>
      </c>
      <c r="AF43" s="173">
        <f t="shared" si="23"/>
        <v>0.99102996499450757</v>
      </c>
      <c r="AG43" s="801">
        <f t="shared" si="24"/>
        <v>2</v>
      </c>
      <c r="AH43" s="172">
        <f t="shared" si="16"/>
        <v>8</v>
      </c>
      <c r="AI43" s="221">
        <f t="shared" si="17"/>
        <v>2.9910299649945076</v>
      </c>
      <c r="AJ43" s="261" t="b">
        <f t="shared" si="18"/>
        <v>1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46782</v>
      </c>
      <c r="B44" s="406">
        <f>'2027'!Wh/'2027'!Env_an*'2028'!Env_an</f>
        <v>25.286254984556805</v>
      </c>
      <c r="C44" s="831"/>
      <c r="D44" s="388">
        <f t="shared" si="0"/>
        <v>26.115793013652581</v>
      </c>
      <c r="E44" s="380">
        <f t="shared" si="1"/>
        <v>27.326202654879712</v>
      </c>
      <c r="F44" s="380">
        <f t="shared" si="2"/>
        <v>27.326202654879712</v>
      </c>
      <c r="G44" s="110">
        <f t="shared" si="21"/>
        <v>0.20974539674913209</v>
      </c>
      <c r="H44" s="409" t="b">
        <f>Wh_hp&gt;='2027'!Maxi_hp</f>
        <v>0</v>
      </c>
      <c r="I44" s="385">
        <f>IF(H44,Wh_hp,'2027'!Maxi_hp)</f>
        <v>27.410360787722297</v>
      </c>
      <c r="J44" s="85">
        <f>IF(H44,An,'2027'!An_max)</f>
        <v>2022</v>
      </c>
      <c r="K44" s="193">
        <f t="shared" si="3"/>
        <v>46782</v>
      </c>
      <c r="L44" s="143">
        <f>IF(t&lt;Tvie,1-EXP((T0-t)*PertePVj)+'2027'!Pspv,1-EXP((T0-t)*PertePVj)+Pspv)</f>
        <v>3.1763846062882961E-2</v>
      </c>
      <c r="M44" s="835"/>
      <c r="N44" s="835"/>
      <c r="O44" s="48">
        <f>IF(t&lt;Tnet,'2027'!Resal+('2027'!Salim-'2027'!Resal)*(1-EXP(('2027'!Tnet-t)/('2027'!Tau_j))),Resal+(Salim-Resal)*(1-EXP((Tnet-t)/(Tau_j))))*Salcycl</f>
        <v>4.4294835126350254E-2</v>
      </c>
      <c r="P44" s="165">
        <f>(INDEX(Models!$BJ44:$BT44,,T44)*(1-R44)+INDEX(Models!$BJ44:$BT44,,T44+1)*R44-ERP_i)*Q44*Ramure*Pc/MaxiM</f>
        <v>3.0714495468198992E-3</v>
      </c>
      <c r="Q44" s="301">
        <f t="shared" si="4"/>
        <v>0.5</v>
      </c>
      <c r="R44" s="173">
        <f t="shared" si="5"/>
        <v>0.99112172910750074</v>
      </c>
      <c r="S44" s="801">
        <f t="shared" si="6"/>
        <v>2</v>
      </c>
      <c r="T44" s="172">
        <f t="shared" si="7"/>
        <v>8</v>
      </c>
      <c r="U44" s="247">
        <f t="shared" si="8"/>
        <v>2.9911217291075007</v>
      </c>
      <c r="V44" s="378">
        <f t="shared" si="9"/>
        <v>120.18661633987935</v>
      </c>
      <c r="W44" s="397">
        <f t="shared" si="10"/>
        <v>25.286254984556805</v>
      </c>
      <c r="X44" s="153">
        <f t="shared" si="11"/>
        <v>46782</v>
      </c>
      <c r="Y44" s="380">
        <f t="shared" si="12"/>
        <v>24.752759759737579</v>
      </c>
      <c r="Z44" s="380">
        <f t="shared" si="22"/>
        <v>25.564796004658557</v>
      </c>
      <c r="AA44" s="381">
        <f t="shared" si="13"/>
        <v>27.326202654879712</v>
      </c>
      <c r="AB44" s="193">
        <f t="shared" si="14"/>
        <v>46782</v>
      </c>
      <c r="AC44" s="119">
        <f>IF(OR(t&lt;Tnet,NoTnet),'2027'!Resal_s+('2027'!Salim-'2027'!Resal_s)*(1-EXP(('2027'!Tnet_s-t)/'2027'!Tau_j)),Resal_s+(Salim-Resal_s)*(1-EXP((Tnet_s-t)/Tau_j)))*Salcycl</f>
        <v>6.4458522556796349E-2</v>
      </c>
      <c r="AD44" s="227">
        <f>(INDEX(Models!$BJ44:$BT44,,AH44)*(1-AF44)+INDEX(Models!$BJ44:$BT44,,AH44+1)*AF44-ERP_i)*AE44*Ramure*Pc/MaxiM</f>
        <v>3.0714495468198992E-3</v>
      </c>
      <c r="AE44" s="301">
        <f t="shared" si="15"/>
        <v>0.5</v>
      </c>
      <c r="AF44" s="173">
        <f t="shared" si="23"/>
        <v>0.99112172910750074</v>
      </c>
      <c r="AG44" s="801">
        <f t="shared" si="24"/>
        <v>2</v>
      </c>
      <c r="AH44" s="172">
        <f t="shared" si="16"/>
        <v>8</v>
      </c>
      <c r="AI44" s="221">
        <f t="shared" si="17"/>
        <v>2.9911217291075007</v>
      </c>
      <c r="AJ44" s="261" t="b">
        <f t="shared" si="18"/>
        <v>1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46783</v>
      </c>
      <c r="B45" s="406">
        <f>'2027'!Wh/'2027'!Env_an*'2028'!Env_an</f>
        <v>25.133161533427511</v>
      </c>
      <c r="C45" s="831"/>
      <c r="D45" s="388">
        <f t="shared" si="0"/>
        <v>25.958032539699193</v>
      </c>
      <c r="E45" s="380">
        <f t="shared" si="1"/>
        <v>27.162243710482333</v>
      </c>
      <c r="F45" s="380">
        <f t="shared" si="2"/>
        <v>27.162243710482333</v>
      </c>
      <c r="G45" s="110">
        <f t="shared" si="21"/>
        <v>0.20624034331047619</v>
      </c>
      <c r="H45" s="409" t="b">
        <f>Wh_hp&gt;='2027'!Maxi_hp</f>
        <v>0</v>
      </c>
      <c r="I45" s="385">
        <f>IF(H45,Wh_hp,'2027'!Maxi_hp)</f>
        <v>27.242367789857944</v>
      </c>
      <c r="J45" s="85">
        <f>IF(H45,An,'2027'!An_max)</f>
        <v>2022</v>
      </c>
      <c r="K45" s="193">
        <f t="shared" si="3"/>
        <v>46783</v>
      </c>
      <c r="L45" s="143">
        <f>IF(t&lt;Tvie,1-EXP((T0-t)*PertePVj)+'2027'!Pspv,1-EXP((T0-t)*PertePVj)+Pspv)</f>
        <v>3.177710040274262E-2</v>
      </c>
      <c r="M45" s="835"/>
      <c r="N45" s="835"/>
      <c r="O45" s="48">
        <f>IF(t&lt;Tnet,'2027'!Resal+('2027'!Salim-'2027'!Resal)*(1-EXP(('2027'!Tnet-t)/('2027'!Tau_j))),Resal+(Salim-Resal)*(1-EXP((Tnet-t)/(Tau_j))))*Salcycl</f>
        <v>4.4334009502993162E-2</v>
      </c>
      <c r="P45" s="165">
        <f>(INDEX(Models!$BJ45:$BT45,,T45)*(1-R45)+INDEX(Models!$BJ45:$BT45,,T45+1)*R45-ERP_i)*Q45*Ramure*Pc/MaxiM</f>
        <v>2.9423274444391342E-3</v>
      </c>
      <c r="Q45" s="301">
        <f t="shared" si="4"/>
        <v>0.5</v>
      </c>
      <c r="R45" s="173">
        <f t="shared" si="5"/>
        <v>0.99121730698893096</v>
      </c>
      <c r="S45" s="801">
        <f t="shared" si="6"/>
        <v>2</v>
      </c>
      <c r="T45" s="172">
        <f t="shared" si="7"/>
        <v>8</v>
      </c>
      <c r="U45" s="247">
        <f t="shared" si="8"/>
        <v>2.991217306988931</v>
      </c>
      <c r="V45" s="378">
        <f t="shared" si="9"/>
        <v>121.50489637596175</v>
      </c>
      <c r="W45" s="397">
        <f t="shared" si="10"/>
        <v>25.133161533427511</v>
      </c>
      <c r="X45" s="153">
        <f t="shared" si="11"/>
        <v>46783</v>
      </c>
      <c r="Y45" s="380">
        <f t="shared" si="12"/>
        <v>24.603454592959903</v>
      </c>
      <c r="Z45" s="380">
        <f t="shared" si="22"/>
        <v>25.41094060385679</v>
      </c>
      <c r="AA45" s="381">
        <f t="shared" si="13"/>
        <v>27.162243710482333</v>
      </c>
      <c r="AB45" s="193">
        <f t="shared" si="14"/>
        <v>46783</v>
      </c>
      <c r="AC45" s="119">
        <f>IF(OR(t&lt;Tnet,NoTnet),'2027'!Resal_s+('2027'!Salim-'2027'!Resal_s)*(1-EXP(('2027'!Tnet_s-t)/'2027'!Tau_j)),Resal_s+(Salim-Resal_s)*(1-EXP((Tnet_s-t)/Tau_j)))*Salcycl</f>
        <v>6.4475642192610511E-2</v>
      </c>
      <c r="AD45" s="227">
        <f>(INDEX(Models!$BJ45:$BT45,,AH45)*(1-AF45)+INDEX(Models!$BJ45:$BT45,,AH45+1)*AF45-ERP_i)*AE45*Ramure*Pc/MaxiM</f>
        <v>2.9423274444391342E-3</v>
      </c>
      <c r="AE45" s="301">
        <f t="shared" si="15"/>
        <v>0.5</v>
      </c>
      <c r="AF45" s="173">
        <f t="shared" si="23"/>
        <v>0.99121730698893096</v>
      </c>
      <c r="AG45" s="801">
        <f t="shared" si="24"/>
        <v>2</v>
      </c>
      <c r="AH45" s="172">
        <f t="shared" si="16"/>
        <v>8</v>
      </c>
      <c r="AI45" s="221">
        <f t="shared" si="17"/>
        <v>2.991217306988931</v>
      </c>
      <c r="AJ45" s="261" t="b">
        <f t="shared" si="18"/>
        <v>1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46784</v>
      </c>
      <c r="B46" s="406">
        <f>'2027'!Wh/'2027'!Env_an*'2028'!Env_an</f>
        <v>54.791165624493381</v>
      </c>
      <c r="C46" s="831"/>
      <c r="D46" s="388">
        <f t="shared" si="0"/>
        <v>56.590187758003005</v>
      </c>
      <c r="E46" s="380">
        <f t="shared" si="1"/>
        <v>59.21787483923903</v>
      </c>
      <c r="F46" s="380">
        <f t="shared" si="2"/>
        <v>59.252604031408772</v>
      </c>
      <c r="G46" s="110">
        <f t="shared" si="21"/>
        <v>0.4450585790514302</v>
      </c>
      <c r="H46" s="409" t="b">
        <f>Wh_hp&gt;='2027'!Maxi_hp</f>
        <v>0</v>
      </c>
      <c r="I46" s="385">
        <f>IF(H46,Wh_hp,'2027'!Maxi_hp)</f>
        <v>59.384641801308028</v>
      </c>
      <c r="J46" s="85">
        <f>IF(H46,An,'2027'!An_max)</f>
        <v>2022</v>
      </c>
      <c r="K46" s="193">
        <f t="shared" si="3"/>
        <v>46784</v>
      </c>
      <c r="L46" s="143">
        <f>IF(t&lt;Tvie,1-EXP((T0-t)*PertePVj)+'2027'!Pspv,1-EXP((T0-t)*PertePVj)+Pspv)</f>
        <v>3.1790354561161638E-2</v>
      </c>
      <c r="M46" s="835"/>
      <c r="N46" s="835"/>
      <c r="O46" s="48">
        <f>IF(t&lt;Tnet,'2027'!Resal+('2027'!Salim-'2027'!Resal)*(1-EXP(('2027'!Tnet-t)/('2027'!Tau_j))),Resal+(Salim-Resal)*(1-EXP((Tnet-t)/(Tau_j))))*Salcycl</f>
        <v>4.4373208062084502E-2</v>
      </c>
      <c r="P46" s="165">
        <f>(INDEX(Models!$BJ46:$BT46,,T46)*(1-R46)+INDEX(Models!$BJ46:$BT46,,T46+1)*R46-ERP_i)*Q46*Ramure*Pc/MaxiM</f>
        <v>2.8091921693467292E-3</v>
      </c>
      <c r="Q46" s="301">
        <f t="shared" si="4"/>
        <v>0.5</v>
      </c>
      <c r="R46" s="173">
        <f t="shared" si="5"/>
        <v>0.99131685557937121</v>
      </c>
      <c r="S46" s="801">
        <f t="shared" si="6"/>
        <v>2</v>
      </c>
      <c r="T46" s="172">
        <f t="shared" si="7"/>
        <v>8</v>
      </c>
      <c r="U46" s="247">
        <f t="shared" si="8"/>
        <v>2.9913168555793712</v>
      </c>
      <c r="V46" s="378">
        <f t="shared" si="9"/>
        <v>122.83616606860824</v>
      </c>
      <c r="W46" s="397">
        <f t="shared" si="10"/>
        <v>54.791165624493381</v>
      </c>
      <c r="X46" s="153">
        <f t="shared" si="11"/>
        <v>46784</v>
      </c>
      <c r="Y46" s="380">
        <f t="shared" si="12"/>
        <v>53.637600110518029</v>
      </c>
      <c r="Z46" s="380">
        <f t="shared" si="22"/>
        <v>55.398745884427676</v>
      </c>
      <c r="AA46" s="381">
        <f t="shared" si="13"/>
        <v>59.21787483923903</v>
      </c>
      <c r="AB46" s="193">
        <f t="shared" si="14"/>
        <v>46784</v>
      </c>
      <c r="AC46" s="119">
        <f>IF(OR(t&lt;Tnet,NoTnet),'2027'!Resal_s+('2027'!Salim-'2027'!Resal_s)*(1-EXP(('2027'!Tnet_s-t)/'2027'!Tau_j)),Resal_s+(Salim-Resal_s)*(1-EXP((Tnet_s-t)/Tau_j)))*Salcycl</f>
        <v>6.4492840467161097E-2</v>
      </c>
      <c r="AD46" s="227">
        <f>(INDEX(Models!$BJ46:$BT46,,AH46)*(1-AF46)+INDEX(Models!$BJ46:$BT46,,AH46+1)*AF46-ERP_i)*AE46*Ramure*Pc/MaxiM</f>
        <v>2.8091921693467292E-3</v>
      </c>
      <c r="AE46" s="301">
        <f t="shared" si="15"/>
        <v>0.5</v>
      </c>
      <c r="AF46" s="173">
        <f t="shared" si="23"/>
        <v>0.99131685557937121</v>
      </c>
      <c r="AG46" s="801">
        <f t="shared" si="24"/>
        <v>2</v>
      </c>
      <c r="AH46" s="172">
        <f t="shared" si="16"/>
        <v>8</v>
      </c>
      <c r="AI46" s="221">
        <f t="shared" si="17"/>
        <v>2.9913168555793712</v>
      </c>
      <c r="AJ46" s="261" t="b">
        <f t="shared" si="18"/>
        <v>1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46785</v>
      </c>
      <c r="B47" s="406">
        <f>'2027'!Wh/'2027'!Env_an*'2028'!Env_an</f>
        <v>24.440320583657005</v>
      </c>
      <c r="C47" s="831"/>
      <c r="D47" s="388">
        <f t="shared" si="0"/>
        <v>25.243143642329755</v>
      </c>
      <c r="E47" s="380">
        <f t="shared" si="1"/>
        <v>26.416358279661814</v>
      </c>
      <c r="F47" s="380">
        <f t="shared" si="2"/>
        <v>26.416358279661814</v>
      </c>
      <c r="G47" s="110">
        <f t="shared" si="21"/>
        <v>0.19629021944705252</v>
      </c>
      <c r="H47" s="409" t="b">
        <f>Wh_hp&gt;='2027'!Maxi_hp</f>
        <v>0</v>
      </c>
      <c r="I47" s="385">
        <f>IF(H47,Wh_hp,'2027'!Maxi_hp)</f>
        <v>26.487106634612363</v>
      </c>
      <c r="J47" s="85">
        <f>IF(H47,An,'2027'!An_max)</f>
        <v>2022</v>
      </c>
      <c r="K47" s="193">
        <f t="shared" si="3"/>
        <v>46785</v>
      </c>
      <c r="L47" s="143">
        <f>IF(t&lt;Tvie,1-EXP((T0-t)*PertePVj)+'2027'!Pspv,1-EXP((T0-t)*PertePVj)+Pspv)</f>
        <v>3.1803608538142236E-2</v>
      </c>
      <c r="M47" s="835"/>
      <c r="N47" s="835"/>
      <c r="O47" s="48">
        <f>IF(t&lt;Tnet,'2027'!Resal+('2027'!Salim-'2027'!Resal)*(1-EXP(('2027'!Tnet-t)/('2027'!Tau_j))),Resal+(Salim-Resal)*(1-EXP((Tnet-t)/(Tau_j))))*Salcycl</f>
        <v>4.4412429030209116E-2</v>
      </c>
      <c r="P47" s="165">
        <f>(INDEX(Models!$BJ47:$BT47,,T47)*(1-R47)+INDEX(Models!$BJ47:$BT47,,T47+1)*R47-ERP_i)*Q47*Ramure*Pc/MaxiM</f>
        <v>2.6722516100554441E-3</v>
      </c>
      <c r="Q47" s="301">
        <f t="shared" si="4"/>
        <v>0.5</v>
      </c>
      <c r="R47" s="173">
        <f t="shared" si="5"/>
        <v>0.99142053814461617</v>
      </c>
      <c r="S47" s="801">
        <f t="shared" si="6"/>
        <v>2</v>
      </c>
      <c r="T47" s="172">
        <f t="shared" si="7"/>
        <v>8</v>
      </c>
      <c r="U47" s="247">
        <f t="shared" si="8"/>
        <v>2.9914205381446162</v>
      </c>
      <c r="V47" s="378">
        <f t="shared" si="9"/>
        <v>124.17842298149749</v>
      </c>
      <c r="W47" s="397">
        <f t="shared" si="10"/>
        <v>24.440320583657005</v>
      </c>
      <c r="X47" s="153">
        <f t="shared" si="11"/>
        <v>46785</v>
      </c>
      <c r="Y47" s="380">
        <f t="shared" si="12"/>
        <v>23.926297701101433</v>
      </c>
      <c r="Z47" s="380">
        <f t="shared" si="22"/>
        <v>24.712235980321779</v>
      </c>
      <c r="AA47" s="381">
        <f t="shared" si="13"/>
        <v>26.416358279661814</v>
      </c>
      <c r="AB47" s="193">
        <f t="shared" si="14"/>
        <v>46785</v>
      </c>
      <c r="AC47" s="119">
        <f>IF(OR(t&lt;Tnet,NoTnet),'2027'!Resal_s+('2027'!Salim-'2027'!Resal_s)*(1-EXP(('2027'!Tnet_s-t)/'2027'!Tau_j)),Resal_s+(Salim-Resal_s)*(1-EXP((Tnet_s-t)/Tau_j)))*Salcycl</f>
        <v>6.4510114577453065E-2</v>
      </c>
      <c r="AD47" s="227">
        <f>(INDEX(Models!$BJ47:$BT47,,AH47)*(1-AF47)+INDEX(Models!$BJ47:$BT47,,AH47+1)*AF47-ERP_i)*AE47*Ramure*Pc/MaxiM</f>
        <v>2.6722516100554441E-3</v>
      </c>
      <c r="AE47" s="301">
        <f t="shared" si="15"/>
        <v>0.5</v>
      </c>
      <c r="AF47" s="173">
        <f t="shared" si="23"/>
        <v>0.99142053814461617</v>
      </c>
      <c r="AG47" s="801">
        <f t="shared" si="24"/>
        <v>2</v>
      </c>
      <c r="AH47" s="172">
        <f t="shared" si="16"/>
        <v>8</v>
      </c>
      <c r="AI47" s="221">
        <f t="shared" si="17"/>
        <v>2.9914205381446162</v>
      </c>
      <c r="AJ47" s="261" t="b">
        <f t="shared" si="18"/>
        <v>1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46786</v>
      </c>
      <c r="B48" s="406">
        <f>'2027'!Wh/'2027'!Env_an*'2028'!Env_an</f>
        <v>54.864679836501494</v>
      </c>
      <c r="C48" s="831"/>
      <c r="D48" s="388">
        <f t="shared" si="0"/>
        <v>56.667667202659715</v>
      </c>
      <c r="E48" s="380">
        <f t="shared" si="1"/>
        <v>59.30382109727892</v>
      </c>
      <c r="F48" s="380">
        <f t="shared" si="2"/>
        <v>59.333234125330904</v>
      </c>
      <c r="G48" s="110">
        <f t="shared" si="21"/>
        <v>0.43617515751089464</v>
      </c>
      <c r="H48" s="409" t="b">
        <f>Wh_hp&gt;='2027'!Maxi_hp</f>
        <v>0</v>
      </c>
      <c r="I48" s="385">
        <f>IF(H48,Wh_hp,'2027'!Maxi_hp)</f>
        <v>59.454283525557202</v>
      </c>
      <c r="J48" s="85">
        <f>IF(H48,An,'2027'!An_max)</f>
        <v>2022</v>
      </c>
      <c r="K48" s="193">
        <f t="shared" si="3"/>
        <v>46786</v>
      </c>
      <c r="L48" s="143">
        <f>IF(t&lt;Tvie,1-EXP((T0-t)*PertePVj)+'2027'!Pspv,1-EXP((T0-t)*PertePVj)+Pspv)</f>
        <v>3.1816862333687079E-2</v>
      </c>
      <c r="M48" s="835"/>
      <c r="N48" s="835"/>
      <c r="O48" s="48">
        <f>IF(t&lt;Tnet,'2027'!Resal+('2027'!Salim-'2027'!Resal)*(1-EXP(('2027'!Tnet-t)/('2027'!Tau_j))),Resal+(Salim-Resal)*(1-EXP((Tnet-t)/(Tau_j))))*Salcycl</f>
        <v>4.4451670159583755E-2</v>
      </c>
      <c r="P48" s="165">
        <f>(INDEX(Models!$BJ48:$BT48,,T48)*(1-R48)+INDEX(Models!$BJ48:$BT48,,T48+1)*R48-ERP_i)*Q48*Ramure*Pc/MaxiM</f>
        <v>2.5316971617576423E-3</v>
      </c>
      <c r="Q48" s="301">
        <f t="shared" si="4"/>
        <v>0.5</v>
      </c>
      <c r="R48" s="173">
        <f t="shared" si="5"/>
        <v>0.99152852451924911</v>
      </c>
      <c r="S48" s="801">
        <f t="shared" si="6"/>
        <v>2</v>
      </c>
      <c r="T48" s="172">
        <f t="shared" si="7"/>
        <v>8</v>
      </c>
      <c r="U48" s="247">
        <f t="shared" si="8"/>
        <v>2.9915285245192491</v>
      </c>
      <c r="V48" s="378">
        <f t="shared" si="9"/>
        <v>125.52966529008805</v>
      </c>
      <c r="W48" s="397">
        <f t="shared" si="10"/>
        <v>54.864679836501494</v>
      </c>
      <c r="X48" s="153">
        <f t="shared" si="11"/>
        <v>46786</v>
      </c>
      <c r="Y48" s="380">
        <f t="shared" si="12"/>
        <v>53.711988962903803</v>
      </c>
      <c r="Z48" s="380">
        <f t="shared" si="22"/>
        <v>55.477096091933582</v>
      </c>
      <c r="AA48" s="381">
        <f t="shared" si="13"/>
        <v>59.30382109727892</v>
      </c>
      <c r="AB48" s="193">
        <f t="shared" si="14"/>
        <v>46786</v>
      </c>
      <c r="AC48" s="119">
        <f>IF(OR(t&lt;Tnet,NoTnet),'2027'!Resal_s+('2027'!Salim-'2027'!Resal_s)*(1-EXP(('2027'!Tnet_s-t)/'2027'!Tau_j)),Resal_s+(Salim-Resal_s)*(1-EXP((Tnet_s-t)/Tau_j)))*Salcycl</f>
        <v>6.4527461039452699E-2</v>
      </c>
      <c r="AD48" s="227">
        <f>(INDEX(Models!$BJ48:$BT48,,AH48)*(1-AF48)+INDEX(Models!$BJ48:$BT48,,AH48+1)*AF48-ERP_i)*AE48*Ramure*Pc/MaxiM</f>
        <v>2.5316971617576423E-3</v>
      </c>
      <c r="AE48" s="301">
        <f t="shared" si="15"/>
        <v>0.5</v>
      </c>
      <c r="AF48" s="173">
        <f t="shared" si="23"/>
        <v>0.99152852451924911</v>
      </c>
      <c r="AG48" s="801">
        <f t="shared" si="24"/>
        <v>2</v>
      </c>
      <c r="AH48" s="172">
        <f t="shared" si="16"/>
        <v>8</v>
      </c>
      <c r="AI48" s="221">
        <f t="shared" si="17"/>
        <v>2.9915285245192491</v>
      </c>
      <c r="AJ48" s="261" t="b">
        <f t="shared" si="18"/>
        <v>1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46787</v>
      </c>
      <c r="B49" s="406">
        <f>'2027'!Wh/'2027'!Env_an*'2028'!Env_an</f>
        <v>49.922278015762267</v>
      </c>
      <c r="C49" s="831"/>
      <c r="D49" s="388">
        <f t="shared" si="0"/>
        <v>51.563551849822431</v>
      </c>
      <c r="E49" s="380">
        <f t="shared" si="1"/>
        <v>53.964481762720602</v>
      </c>
      <c r="F49" s="380">
        <f t="shared" si="2"/>
        <v>53.981686324332912</v>
      </c>
      <c r="G49" s="110">
        <f t="shared" si="21"/>
        <v>0.39262182967995091</v>
      </c>
      <c r="H49" s="409" t="b">
        <f>Wh_hp&gt;='2027'!Maxi_hp</f>
        <v>0</v>
      </c>
      <c r="I49" s="385">
        <f>IF(H49,Wh_hp,'2027'!Maxi_hp)</f>
        <v>54.093584600989601</v>
      </c>
      <c r="J49" s="85">
        <f>IF(H49,An,'2027'!An_max)</f>
        <v>2022</v>
      </c>
      <c r="K49" s="193">
        <f t="shared" si="3"/>
        <v>46787</v>
      </c>
      <c r="L49" s="143">
        <f>IF(t&lt;Tvie,1-EXP((T0-t)*PertePVj)+'2027'!Pspv,1-EXP((T0-t)*PertePVj)+Pspv)</f>
        <v>3.1830115947798499E-2</v>
      </c>
      <c r="M49" s="835"/>
      <c r="N49" s="835"/>
      <c r="O49" s="48">
        <f>IF(t&lt;Tnet,'2027'!Resal+('2027'!Salim-'2027'!Resal)*(1-EXP(('2027'!Tnet-t)/('2027'!Tau_j))),Resal+(Salim-Resal)*(1-EXP((Tnet-t)/(Tau_j))))*Salcycl</f>
        <v>4.4490928745595099E-2</v>
      </c>
      <c r="P49" s="165">
        <f>(INDEX(Models!$BJ49:$BT49,,T49)*(1-R49)+INDEX(Models!$BJ49:$BT49,,T49+1)*R49-ERP_i)*Q49*Ramure*Pc/MaxiM</f>
        <v>2.3877039307486207E-3</v>
      </c>
      <c r="Q49" s="301">
        <f t="shared" si="4"/>
        <v>0.5</v>
      </c>
      <c r="R49" s="173">
        <f t="shared" si="5"/>
        <v>0.99164099135861505</v>
      </c>
      <c r="S49" s="801">
        <f t="shared" si="6"/>
        <v>2</v>
      </c>
      <c r="T49" s="172">
        <f t="shared" si="7"/>
        <v>8</v>
      </c>
      <c r="U49" s="247">
        <f t="shared" si="8"/>
        <v>2.9916409913586151</v>
      </c>
      <c r="V49" s="378">
        <f t="shared" si="9"/>
        <v>126.88789181776274</v>
      </c>
      <c r="W49" s="397">
        <f t="shared" si="10"/>
        <v>49.922278015762267</v>
      </c>
      <c r="X49" s="153">
        <f t="shared" si="11"/>
        <v>46787</v>
      </c>
      <c r="Y49" s="380">
        <f t="shared" si="12"/>
        <v>48.874523738939985</v>
      </c>
      <c r="Z49" s="380">
        <f t="shared" si="22"/>
        <v>50.481350994289741</v>
      </c>
      <c r="AA49" s="381">
        <f t="shared" si="13"/>
        <v>53.964481762720602</v>
      </c>
      <c r="AB49" s="193">
        <f t="shared" si="14"/>
        <v>46787</v>
      </c>
      <c r="AC49" s="119">
        <f>IF(OR(t&lt;Tnet,NoTnet),'2027'!Resal_s+('2027'!Salim-'2027'!Resal_s)*(1-EXP(('2027'!Tnet_s-t)/'2027'!Tau_j)),Resal_s+(Salim-Resal_s)*(1-EXP((Tnet_s-t)/Tau_j)))*Salcycl</f>
        <v>6.454487571558698E-2</v>
      </c>
      <c r="AD49" s="227">
        <f>(INDEX(Models!$BJ49:$BT49,,AH49)*(1-AF49)+INDEX(Models!$BJ49:$BT49,,AH49+1)*AF49-ERP_i)*AE49*Ramure*Pc/MaxiM</f>
        <v>2.3877039307486207E-3</v>
      </c>
      <c r="AE49" s="301">
        <f t="shared" si="15"/>
        <v>0.5</v>
      </c>
      <c r="AF49" s="173">
        <f t="shared" si="23"/>
        <v>0.99164099135861505</v>
      </c>
      <c r="AG49" s="801">
        <f t="shared" si="24"/>
        <v>2</v>
      </c>
      <c r="AH49" s="172">
        <f t="shared" si="16"/>
        <v>8</v>
      </c>
      <c r="AI49" s="221">
        <f t="shared" si="17"/>
        <v>2.9916409913586151</v>
      </c>
      <c r="AJ49" s="261" t="b">
        <f t="shared" si="18"/>
        <v>1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46788</v>
      </c>
      <c r="B50" s="406">
        <f>'2027'!Wh/'2027'!Env_an*'2028'!Env_an</f>
        <v>41.853085633949156</v>
      </c>
      <c r="C50" s="831"/>
      <c r="D50" s="388">
        <f t="shared" si="0"/>
        <v>43.229663786083329</v>
      </c>
      <c r="E50" s="380">
        <f t="shared" si="1"/>
        <v>45.244406323282654</v>
      </c>
      <c r="F50" s="380">
        <f t="shared" si="2"/>
        <v>45.248220511189409</v>
      </c>
      <c r="G50" s="110">
        <f t="shared" si="21"/>
        <v>0.32563335848159775</v>
      </c>
      <c r="H50" s="409" t="b">
        <f>Wh_hp&gt;='2027'!Maxi_hp</f>
        <v>0</v>
      </c>
      <c r="I50" s="385">
        <f>IF(H50,Wh_hp,'2027'!Maxi_hp)</f>
        <v>45.345948475362562</v>
      </c>
      <c r="J50" s="85">
        <f>IF(H50,An,'2027'!An_max)</f>
        <v>2022</v>
      </c>
      <c r="K50" s="193">
        <f t="shared" si="3"/>
        <v>46788</v>
      </c>
      <c r="L50" s="143">
        <f>IF(t&lt;Tvie,1-EXP((T0-t)*PertePVj)+'2027'!Pspv,1-EXP((T0-t)*PertePVj)+Pspv)</f>
        <v>3.1843369380479158E-2</v>
      </c>
      <c r="M50" s="835"/>
      <c r="N50" s="835"/>
      <c r="O50" s="48">
        <f>IF(t&lt;Tnet,'2027'!Resal+('2027'!Salim-'2027'!Resal)*(1-EXP(('2027'!Tnet-t)/('2027'!Tau_j))),Resal+(Salim-Resal)*(1-EXP((Tnet-t)/(Tau_j))))*Salcycl</f>
        <v>4.4530201651967423E-2</v>
      </c>
      <c r="P50" s="165">
        <f>(INDEX(Models!$BJ50:$BT50,,T50)*(1-R50)+INDEX(Models!$BJ50:$BT50,,T50+1)*R50-ERP_i)*Q50*Ramure*Pc/MaxiM</f>
        <v>2.2404310140215025E-3</v>
      </c>
      <c r="Q50" s="301">
        <f t="shared" si="4"/>
        <v>0.5</v>
      </c>
      <c r="R50" s="173">
        <f t="shared" si="5"/>
        <v>0.99175812239939587</v>
      </c>
      <c r="S50" s="801">
        <f t="shared" si="6"/>
        <v>2</v>
      </c>
      <c r="T50" s="172">
        <f t="shared" si="7"/>
        <v>8</v>
      </c>
      <c r="U50" s="247">
        <f t="shared" si="8"/>
        <v>2.9917581223993959</v>
      </c>
      <c r="V50" s="378">
        <f t="shared" si="9"/>
        <v>128.25110199380023</v>
      </c>
      <c r="W50" s="397">
        <f t="shared" si="10"/>
        <v>41.853085633949156</v>
      </c>
      <c r="X50" s="153">
        <f t="shared" si="11"/>
        <v>46788</v>
      </c>
      <c r="Y50" s="380">
        <f t="shared" si="12"/>
        <v>40.97560380986657</v>
      </c>
      <c r="Z50" s="380">
        <f t="shared" si="22"/>
        <v>42.323320952361179</v>
      </c>
      <c r="AA50" s="381">
        <f t="shared" si="13"/>
        <v>45.244406323282654</v>
      </c>
      <c r="AB50" s="193">
        <f t="shared" si="14"/>
        <v>46788</v>
      </c>
      <c r="AC50" s="119">
        <f>IF(OR(t&lt;Tnet,NoTnet),'2027'!Resal_s+('2027'!Salim-'2027'!Resal_s)*(1-EXP(('2027'!Tnet_s-t)/'2027'!Tau_j)),Resal_s+(Salim-Resal_s)*(1-EXP((Tnet_s-t)/Tau_j)))*Salcycl</f>
        <v>6.4562353853194157E-2</v>
      </c>
      <c r="AD50" s="227">
        <f>(INDEX(Models!$BJ50:$BT50,,AH50)*(1-AF50)+INDEX(Models!$BJ50:$BT50,,AH50+1)*AF50-ERP_i)*AE50*Ramure*Pc/MaxiM</f>
        <v>2.2404310140215025E-3</v>
      </c>
      <c r="AE50" s="301">
        <f t="shared" si="15"/>
        <v>0.5</v>
      </c>
      <c r="AF50" s="173">
        <f t="shared" si="23"/>
        <v>0.99175812239939587</v>
      </c>
      <c r="AG50" s="801">
        <f t="shared" si="24"/>
        <v>2</v>
      </c>
      <c r="AH50" s="172">
        <f t="shared" si="16"/>
        <v>8</v>
      </c>
      <c r="AI50" s="221">
        <f t="shared" si="17"/>
        <v>2.9917581223993959</v>
      </c>
      <c r="AJ50" s="261" t="b">
        <f t="shared" si="18"/>
        <v>1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46789</v>
      </c>
      <c r="B51" s="406">
        <f>'2027'!Wh/'2027'!Env_an*'2028'!Env_an</f>
        <v>88.802617956317278</v>
      </c>
      <c r="C51" s="831"/>
      <c r="D51" s="388">
        <f t="shared" si="0"/>
        <v>91.724655698944034</v>
      </c>
      <c r="E51" s="380">
        <f t="shared" si="1"/>
        <v>96.003481458710326</v>
      </c>
      <c r="F51" s="380">
        <f t="shared" si="2"/>
        <v>96.113971094944645</v>
      </c>
      <c r="G51" s="110">
        <f t="shared" si="21"/>
        <v>0.68440828842884172</v>
      </c>
      <c r="H51" s="409" t="b">
        <f>Wh_hp&gt;='2027'!Maxi_hp</f>
        <v>0</v>
      </c>
      <c r="I51" s="385">
        <f>IF(H51,Wh_hp,'2027'!Maxi_hp)</f>
        <v>96.204482022680693</v>
      </c>
      <c r="J51" s="85">
        <f>IF(H51,An,'2027'!An_max)</f>
        <v>2022</v>
      </c>
      <c r="K51" s="193">
        <f t="shared" si="3"/>
        <v>46789</v>
      </c>
      <c r="L51" s="143">
        <f>IF(t&lt;Tvie,1-EXP((T0-t)*PertePVj)+'2027'!Pspv,1-EXP((T0-t)*PertePVj)+Pspv)</f>
        <v>3.1856622631731391E-2</v>
      </c>
      <c r="M51" s="835"/>
      <c r="N51" s="835"/>
      <c r="O51" s="48">
        <f>IF(t&lt;Tnet,'2027'!Resal+('2027'!Salim-'2027'!Resal)*(1-EXP(('2027'!Tnet-t)/('2027'!Tau_j))),Resal+(Salim-Resal)*(1-EXP((Tnet-t)/(Tau_j))))*Salcycl</f>
        <v>4.456948534315977E-2</v>
      </c>
      <c r="P51" s="165">
        <f>(INDEX(Models!$BJ51:$BT51,,T51)*(1-R51)+INDEX(Models!$BJ51:$BT51,,T51+1)*R51-ERP_i)*Q51*Ramure*Pc/MaxiM</f>
        <v>2.0898367745947125E-3</v>
      </c>
      <c r="Q51" s="301">
        <f t="shared" si="4"/>
        <v>0.5</v>
      </c>
      <c r="R51" s="173">
        <f t="shared" si="5"/>
        <v>0.99188010872899035</v>
      </c>
      <c r="S51" s="801">
        <f t="shared" si="6"/>
        <v>2</v>
      </c>
      <c r="T51" s="172">
        <f t="shared" si="7"/>
        <v>8</v>
      </c>
      <c r="U51" s="247">
        <f t="shared" si="8"/>
        <v>2.9918801087289904</v>
      </c>
      <c r="V51" s="378">
        <f t="shared" si="9"/>
        <v>129.62879777152972</v>
      </c>
      <c r="W51" s="397">
        <f t="shared" si="10"/>
        <v>88.802617956317278</v>
      </c>
      <c r="X51" s="153">
        <f t="shared" si="11"/>
        <v>46789</v>
      </c>
      <c r="Y51" s="380">
        <f t="shared" si="12"/>
        <v>86.942748186124462</v>
      </c>
      <c r="Z51" s="380">
        <f t="shared" si="22"/>
        <v>89.803587173692577</v>
      </c>
      <c r="AA51" s="381">
        <f t="shared" si="13"/>
        <v>96.003481458710326</v>
      </c>
      <c r="AB51" s="193">
        <f t="shared" si="14"/>
        <v>46789</v>
      </c>
      <c r="AC51" s="119">
        <f>IF(OR(t&lt;Tnet,NoTnet),'2027'!Resal_s+('2027'!Salim-'2027'!Resal_s)*(1-EXP(('2027'!Tnet_s-t)/'2027'!Tau_j)),Resal_s+(Salim-Resal_s)*(1-EXP((Tnet_s-t)/Tau_j)))*Salcycl</f>
        <v>6.4579890133299386E-2</v>
      </c>
      <c r="AD51" s="227">
        <f>(INDEX(Models!$BJ51:$BT51,,AH51)*(1-AF51)+INDEX(Models!$BJ51:$BT51,,AH51+1)*AF51-ERP_i)*AE51*Ramure*Pc/MaxiM</f>
        <v>2.0898367745947125E-3</v>
      </c>
      <c r="AE51" s="301">
        <f t="shared" si="15"/>
        <v>0.5</v>
      </c>
      <c r="AF51" s="173">
        <f t="shared" si="23"/>
        <v>0.99188010872899035</v>
      </c>
      <c r="AG51" s="801">
        <f t="shared" si="24"/>
        <v>2</v>
      </c>
      <c r="AH51" s="172">
        <f t="shared" si="16"/>
        <v>8</v>
      </c>
      <c r="AI51" s="221">
        <f t="shared" si="17"/>
        <v>2.9918801087289904</v>
      </c>
      <c r="AJ51" s="261" t="b">
        <f t="shared" si="18"/>
        <v>1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46790</v>
      </c>
      <c r="B52" s="406">
        <f>'2027'!Wh/'2027'!Env_an*'2028'!Env_an</f>
        <v>40.12971673387878</v>
      </c>
      <c r="C52" s="831"/>
      <c r="D52" s="388">
        <f t="shared" si="0"/>
        <v>41.450746884835212</v>
      </c>
      <c r="E52" s="380">
        <f t="shared" si="1"/>
        <v>43.386149925025144</v>
      </c>
      <c r="F52" s="380">
        <f t="shared" si="2"/>
        <v>43.386903428563542</v>
      </c>
      <c r="G52" s="110">
        <f t="shared" si="21"/>
        <v>0.30567641849774407</v>
      </c>
      <c r="H52" s="409" t="b">
        <f>Wh_hp&gt;='2027'!Maxi_hp</f>
        <v>0</v>
      </c>
      <c r="I52" s="385">
        <f>IF(H52,Wh_hp,'2027'!Maxi_hp)</f>
        <v>43.470447620371786</v>
      </c>
      <c r="J52" s="85">
        <f>IF(H52,An,'2027'!An_max)</f>
        <v>2022</v>
      </c>
      <c r="K52" s="193">
        <f t="shared" si="3"/>
        <v>46790</v>
      </c>
      <c r="L52" s="143">
        <f>IF(t&lt;Tvie,1-EXP((T0-t)*PertePVj)+'2027'!Pspv,1-EXP((T0-t)*PertePVj)+Pspv)</f>
        <v>3.1869875701557859E-2</v>
      </c>
      <c r="M52" s="835"/>
      <c r="N52" s="835"/>
      <c r="O52" s="48">
        <f>IF(t&lt;Tnet,'2027'!Resal+('2027'!Salim-'2027'!Resal)*(1-EXP(('2027'!Tnet-t)/('2027'!Tau_j))),Resal+(Salim-Resal)*(1-EXP((Tnet-t)/(Tau_j))))*Salcycl</f>
        <v>4.4608775923525565E-2</v>
      </c>
      <c r="P52" s="165">
        <f>(INDEX(Models!$BJ52:$BT52,,T52)*(1-R52)+INDEX(Models!$BJ52:$BT52,,T52+1)*R52-ERP_i)*Q52*Ramure*Pc/MaxiM</f>
        <v>1.940340850268637E-3</v>
      </c>
      <c r="Q52" s="301">
        <f t="shared" si="4"/>
        <v>0.5</v>
      </c>
      <c r="R52" s="173">
        <f t="shared" si="5"/>
        <v>0.99200714906389154</v>
      </c>
      <c r="S52" s="801">
        <f t="shared" si="6"/>
        <v>2</v>
      </c>
      <c r="T52" s="172">
        <f t="shared" si="7"/>
        <v>8</v>
      </c>
      <c r="U52" s="247">
        <f t="shared" si="8"/>
        <v>2.9920071490638915</v>
      </c>
      <c r="V52" s="378">
        <f t="shared" si="9"/>
        <v>131.02923410826128</v>
      </c>
      <c r="W52" s="397">
        <f t="shared" si="10"/>
        <v>40.12971673387878</v>
      </c>
      <c r="X52" s="153">
        <f t="shared" si="11"/>
        <v>46790</v>
      </c>
      <c r="Y52" s="380">
        <f t="shared" si="12"/>
        <v>39.290122480502006</v>
      </c>
      <c r="Z52" s="380">
        <f t="shared" si="22"/>
        <v>40.583514028110315</v>
      </c>
      <c r="AA52" s="381">
        <f t="shared" si="13"/>
        <v>43.386149925025144</v>
      </c>
      <c r="AB52" s="193">
        <f t="shared" si="14"/>
        <v>46790</v>
      </c>
      <c r="AC52" s="119">
        <f>IF(OR(t&lt;Tnet,NoTnet),'2027'!Resal_s+('2027'!Salim-'2027'!Resal_s)*(1-EXP(('2027'!Tnet_s-t)/'2027'!Tau_j)),Resal_s+(Salim-Resal_s)*(1-EXP((Tnet_s-t)/Tau_j)))*Salcycl</f>
        <v>6.4597478728995641E-2</v>
      </c>
      <c r="AD52" s="227">
        <f>(INDEX(Models!$BJ52:$BT52,,AH52)*(1-AF52)+INDEX(Models!$BJ52:$BT52,,AH52+1)*AF52-ERP_i)*AE52*Ramure*Pc/MaxiM</f>
        <v>1.940340850268637E-3</v>
      </c>
      <c r="AE52" s="301">
        <f t="shared" si="15"/>
        <v>0.5</v>
      </c>
      <c r="AF52" s="173">
        <f t="shared" si="23"/>
        <v>0.99200714906389154</v>
      </c>
      <c r="AG52" s="801">
        <f t="shared" si="24"/>
        <v>2</v>
      </c>
      <c r="AH52" s="172">
        <f t="shared" si="16"/>
        <v>8</v>
      </c>
      <c r="AI52" s="221">
        <f t="shared" si="17"/>
        <v>2.9920071490638915</v>
      </c>
      <c r="AJ52" s="261" t="b">
        <f t="shared" si="18"/>
        <v>1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46791</v>
      </c>
      <c r="B53" s="406">
        <f>'2027'!Wh/'2027'!Env_an*'2028'!Env_an</f>
        <v>134.29335436071068</v>
      </c>
      <c r="C53" s="831"/>
      <c r="D53" s="388">
        <f t="shared" si="0"/>
        <v>138.71605621862122</v>
      </c>
      <c r="E53" s="380">
        <f t="shared" si="1"/>
        <v>145.19890706658325</v>
      </c>
      <c r="F53" s="380">
        <f t="shared" si="2"/>
        <v>145.46002837728113</v>
      </c>
      <c r="G53" s="110">
        <f t="shared" si="21"/>
        <v>1.0139250594819573</v>
      </c>
      <c r="H53" s="409" t="b">
        <f>Wh_hp&gt;='2027'!Maxi_hp</f>
        <v>1</v>
      </c>
      <c r="I53" s="385">
        <f>IF(H53,Wh_hp,'2027'!Maxi_hp)</f>
        <v>145.46002837728113</v>
      </c>
      <c r="J53" s="85">
        <f>IF(H53,An,'2027'!An_max)</f>
        <v>2028</v>
      </c>
      <c r="K53" s="193">
        <f t="shared" si="3"/>
        <v>46791</v>
      </c>
      <c r="L53" s="143">
        <f>IF(t&lt;Tvie,1-EXP((T0-t)*PertePVj)+'2027'!Pspv,1-EXP((T0-t)*PertePVj)+Pspv)</f>
        <v>3.1883128589960785E-2</v>
      </c>
      <c r="M53" s="835"/>
      <c r="N53" s="835"/>
      <c r="O53" s="48">
        <f>IF(t&lt;Tnet,'2027'!Resal+('2027'!Salim-'2027'!Resal)*(1-EXP(('2027'!Tnet-t)/('2027'!Tau_j))),Resal+(Salim-Resal)*(1-EXP((Tnet-t)/(Tau_j))))*Salcycl</f>
        <v>4.4648069182705516E-2</v>
      </c>
      <c r="P53" s="165">
        <f>(INDEX(Models!$BJ53:$BT53,,T53)*(1-R53)+INDEX(Models!$BJ53:$BT53,,T53+1)*R53-ERP_i)*Q53*Ramure*Pc/MaxiM</f>
        <v>1.7951413430267705E-3</v>
      </c>
      <c r="Q53" s="301">
        <f t="shared" si="4"/>
        <v>0.5</v>
      </c>
      <c r="R53" s="173">
        <f t="shared" si="5"/>
        <v>0.99213945003725801</v>
      </c>
      <c r="S53" s="801">
        <f t="shared" si="6"/>
        <v>2</v>
      </c>
      <c r="T53" s="172">
        <f t="shared" si="7"/>
        <v>8</v>
      </c>
      <c r="U53" s="247">
        <f t="shared" si="8"/>
        <v>2.992139450037258</v>
      </c>
      <c r="V53" s="378">
        <f t="shared" si="9"/>
        <v>132.44899423762629</v>
      </c>
      <c r="W53" s="397">
        <f t="shared" si="10"/>
        <v>134.29335436071068</v>
      </c>
      <c r="X53" s="153">
        <f t="shared" si="11"/>
        <v>46791</v>
      </c>
      <c r="Y53" s="380">
        <f t="shared" si="12"/>
        <v>131.48659671001028</v>
      </c>
      <c r="Z53" s="380">
        <f t="shared" si="22"/>
        <v>135.81686322489472</v>
      </c>
      <c r="AA53" s="381">
        <f t="shared" si="13"/>
        <v>145.19890706658325</v>
      </c>
      <c r="AB53" s="193">
        <f t="shared" si="14"/>
        <v>46791</v>
      </c>
      <c r="AC53" s="119">
        <f>IF(OR(t&lt;Tnet,NoTnet),'2027'!Resal_s+('2027'!Salim-'2027'!Resal_s)*(1-EXP(('2027'!Tnet_s-t)/'2027'!Tau_j)),Resal_s+(Salim-Resal_s)*(1-EXP((Tnet_s-t)/Tau_j)))*Salcycl</f>
        <v>6.4615113372625113E-2</v>
      </c>
      <c r="AD53" s="227">
        <f>(INDEX(Models!$BJ53:$BT53,,AH53)*(1-AF53)+INDEX(Models!$BJ53:$BT53,,AH53+1)*AF53-ERP_i)*AE53*Ramure*Pc/MaxiM</f>
        <v>1.7951413430267705E-3</v>
      </c>
      <c r="AE53" s="301">
        <f t="shared" si="15"/>
        <v>0.5</v>
      </c>
      <c r="AF53" s="173">
        <f t="shared" si="23"/>
        <v>0.99213945003725801</v>
      </c>
      <c r="AG53" s="801">
        <f t="shared" si="24"/>
        <v>2</v>
      </c>
      <c r="AH53" s="172">
        <f t="shared" si="16"/>
        <v>8</v>
      </c>
      <c r="AI53" s="221">
        <f t="shared" si="17"/>
        <v>2.992139450037258</v>
      </c>
      <c r="AJ53" s="261" t="b">
        <f t="shared" si="18"/>
        <v>1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46792</v>
      </c>
      <c r="B54" s="406">
        <f>'2027'!Wh/'2027'!Env_an*'2028'!Env_an</f>
        <v>133.66385760814038</v>
      </c>
      <c r="C54" s="831"/>
      <c r="D54" s="388">
        <f t="shared" si="0"/>
        <v>138.06771819240416</v>
      </c>
      <c r="E54" s="380">
        <f t="shared" si="1"/>
        <v>144.52621320478397</v>
      </c>
      <c r="F54" s="380">
        <f t="shared" si="2"/>
        <v>144.76511827613021</v>
      </c>
      <c r="G54" s="110">
        <f t="shared" si="21"/>
        <v>0.99834379342258339</v>
      </c>
      <c r="H54" s="409" t="b">
        <f>Wh_hp&gt;='2027'!Maxi_hp</f>
        <v>0</v>
      </c>
      <c r="I54" s="385">
        <f>IF(H54,Wh_hp,'2027'!Maxi_hp)</f>
        <v>144.76568409319361</v>
      </c>
      <c r="J54" s="85">
        <f>IF(H54,An,'2027'!An_max)</f>
        <v>2022</v>
      </c>
      <c r="K54" s="193">
        <f t="shared" si="3"/>
        <v>46792</v>
      </c>
      <c r="L54" s="143">
        <f>IF(t&lt;Tvie,1-EXP((T0-t)*PertePVj)+'2027'!Pspv,1-EXP((T0-t)*PertePVj)+Pspv)</f>
        <v>3.1896381296942944E-2</v>
      </c>
      <c r="M54" s="835"/>
      <c r="N54" s="835"/>
      <c r="O54" s="48">
        <f>IF(t&lt;Tnet,'2027'!Resal+('2027'!Salim-'2027'!Resal)*(1-EXP(('2027'!Tnet-t)/('2027'!Tau_j))),Resal+(Salim-Resal)*(1-EXP((Tnet-t)/(Tau_j))))*Salcycl</f>
        <v>4.4687360646670761E-2</v>
      </c>
      <c r="P54" s="165">
        <f>(INDEX(Models!$BJ54:$BT54,,T54)*(1-R54)+INDEX(Models!$BJ54:$BT54,,T54+1)*R54-ERP_i)*Q54*Ramure*Pc/MaxiM</f>
        <v>1.6541990740948926E-3</v>
      </c>
      <c r="Q54" s="301">
        <f t="shared" si="4"/>
        <v>0.5</v>
      </c>
      <c r="R54" s="173">
        <f t="shared" si="5"/>
        <v>0.99227722649584926</v>
      </c>
      <c r="S54" s="801">
        <f t="shared" si="6"/>
        <v>2</v>
      </c>
      <c r="T54" s="172">
        <f t="shared" si="7"/>
        <v>8</v>
      </c>
      <c r="U54" s="247">
        <f t="shared" si="8"/>
        <v>2.9922772264958493</v>
      </c>
      <c r="V54" s="378">
        <f t="shared" si="9"/>
        <v>133.88507618218193</v>
      </c>
      <c r="W54" s="397">
        <f t="shared" si="10"/>
        <v>133.66385760814038</v>
      </c>
      <c r="X54" s="153">
        <f t="shared" si="11"/>
        <v>46792</v>
      </c>
      <c r="Y54" s="380">
        <f t="shared" si="12"/>
        <v>130.87316629328154</v>
      </c>
      <c r="Z54" s="380">
        <f t="shared" si="22"/>
        <v>135.18508118852904</v>
      </c>
      <c r="AA54" s="381">
        <f t="shared" si="13"/>
        <v>144.52621320478397</v>
      </c>
      <c r="AB54" s="193">
        <f t="shared" si="14"/>
        <v>46792</v>
      </c>
      <c r="AC54" s="119">
        <f>IF(OR(t&lt;Tnet,NoTnet),'2027'!Resal_s+('2027'!Salim-'2027'!Resal_s)*(1-EXP(('2027'!Tnet_s-t)/'2027'!Tau_j)),Resal_s+(Salim-Resal_s)*(1-EXP((Tnet_s-t)/Tau_j)))*Salcycl</f>
        <v>6.4632787430880648E-2</v>
      </c>
      <c r="AD54" s="227">
        <f>(INDEX(Models!$BJ54:$BT54,,AH54)*(1-AF54)+INDEX(Models!$BJ54:$BT54,,AH54+1)*AF54-ERP_i)*AE54*Ramure*Pc/MaxiM</f>
        <v>1.6541990740948926E-3</v>
      </c>
      <c r="AE54" s="301">
        <f t="shared" si="15"/>
        <v>0.5</v>
      </c>
      <c r="AF54" s="173">
        <f t="shared" si="23"/>
        <v>0.99227722649584926</v>
      </c>
      <c r="AG54" s="801">
        <f t="shared" si="24"/>
        <v>2</v>
      </c>
      <c r="AH54" s="172">
        <f t="shared" si="16"/>
        <v>8</v>
      </c>
      <c r="AI54" s="221">
        <f t="shared" si="17"/>
        <v>2.9922772264958493</v>
      </c>
      <c r="AJ54" s="261" t="b">
        <f t="shared" si="18"/>
        <v>1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46793</v>
      </c>
      <c r="B55" s="406">
        <f>'2027'!Wh/'2027'!Env_an*'2028'!Env_an</f>
        <v>125.55333834662859</v>
      </c>
      <c r="C55" s="831"/>
      <c r="D55" s="388">
        <f t="shared" si="0"/>
        <v>129.69175475051588</v>
      </c>
      <c r="E55" s="380">
        <f t="shared" si="1"/>
        <v>135.7640241484188</v>
      </c>
      <c r="F55" s="380">
        <f t="shared" si="2"/>
        <v>135.94902161209885</v>
      </c>
      <c r="G55" s="110">
        <f t="shared" si="21"/>
        <v>0.9275806260836772</v>
      </c>
      <c r="H55" s="409" t="b">
        <f>Wh_hp&gt;='2027'!Maxi_hp</f>
        <v>0</v>
      </c>
      <c r="I55" s="385">
        <f>IF(H55,Wh_hp,'2027'!Maxi_hp)</f>
        <v>135.97033911419149</v>
      </c>
      <c r="J55" s="85">
        <f>IF(H55,An,'2027'!An_max)</f>
        <v>2022</v>
      </c>
      <c r="K55" s="193">
        <f t="shared" si="3"/>
        <v>46793</v>
      </c>
      <c r="L55" s="143">
        <f>IF(t&lt;Tvie,1-EXP((T0-t)*PertePVj)+'2027'!Pspv,1-EXP((T0-t)*PertePVj)+Pspv)</f>
        <v>3.1909633822506556E-2</v>
      </c>
      <c r="M55" s="835"/>
      <c r="N55" s="835"/>
      <c r="O55" s="48">
        <f>IF(t&lt;Tnet,'2027'!Resal+('2027'!Salim-'2027'!Resal)*(1-EXP(('2027'!Tnet-t)/('2027'!Tau_j))),Resal+(Salim-Resal)*(1-EXP((Tnet-t)/(Tau_j))))*Salcycl</f>
        <v>4.4726645633784715E-2</v>
      </c>
      <c r="P55" s="165">
        <f>(INDEX(Models!$BJ55:$BT55,,T55)*(1-R55)+INDEX(Models!$BJ55:$BT55,,T55+1)*R55-ERP_i)*Q55*Ramure*Pc/MaxiM</f>
        <v>1.5174608279237625E-3</v>
      </c>
      <c r="Q55" s="301">
        <f t="shared" si="4"/>
        <v>0.5</v>
      </c>
      <c r="R55" s="173">
        <f t="shared" si="5"/>
        <v>0.99242070180651165</v>
      </c>
      <c r="S55" s="801">
        <f t="shared" si="6"/>
        <v>2</v>
      </c>
      <c r="T55" s="172">
        <f t="shared" si="7"/>
        <v>8</v>
      </c>
      <c r="U55" s="247">
        <f t="shared" si="8"/>
        <v>2.9924207018065117</v>
      </c>
      <c r="V55" s="378">
        <f t="shared" si="9"/>
        <v>135.334478650553</v>
      </c>
      <c r="W55" s="397">
        <f t="shared" si="10"/>
        <v>125.55333834662859</v>
      </c>
      <c r="X55" s="153">
        <f t="shared" si="11"/>
        <v>46793</v>
      </c>
      <c r="Y55" s="380">
        <f t="shared" si="12"/>
        <v>122.93471022096172</v>
      </c>
      <c r="Z55" s="380">
        <f t="shared" si="22"/>
        <v>126.98681292157636</v>
      </c>
      <c r="AA55" s="381">
        <f t="shared" si="13"/>
        <v>135.7640241484188</v>
      </c>
      <c r="AB55" s="193">
        <f t="shared" si="14"/>
        <v>46793</v>
      </c>
      <c r="AC55" s="119">
        <f>IF(OR(t&lt;Tnet,NoTnet),'2027'!Resal_s+('2027'!Salim-'2027'!Resal_s)*(1-EXP(('2027'!Tnet_s-t)/'2027'!Tau_j)),Resal_s+(Salim-Resal_s)*(1-EXP((Tnet_s-t)/Tau_j)))*Salcycl</f>
        <v>6.4650493986883384E-2</v>
      </c>
      <c r="AD55" s="227">
        <f>(INDEX(Models!$BJ55:$BT55,,AH55)*(1-AF55)+INDEX(Models!$BJ55:$BT55,,AH55+1)*AF55-ERP_i)*AE55*Ramure*Pc/MaxiM</f>
        <v>1.5174608279237625E-3</v>
      </c>
      <c r="AE55" s="301">
        <f t="shared" si="15"/>
        <v>0.5</v>
      </c>
      <c r="AF55" s="173">
        <f t="shared" si="23"/>
        <v>0.99242070180651165</v>
      </c>
      <c r="AG55" s="801">
        <f t="shared" si="24"/>
        <v>2</v>
      </c>
      <c r="AH55" s="172">
        <f t="shared" si="16"/>
        <v>8</v>
      </c>
      <c r="AI55" s="221">
        <f t="shared" si="17"/>
        <v>2.9924207018065117</v>
      </c>
      <c r="AJ55" s="261" t="b">
        <f t="shared" si="18"/>
        <v>1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46794</v>
      </c>
      <c r="B56" s="406">
        <f>'2027'!Wh/'2027'!Env_an*'2028'!Env_an</f>
        <v>62.628215400621457</v>
      </c>
      <c r="C56" s="831"/>
      <c r="D56" s="388">
        <f t="shared" si="0"/>
        <v>64.693415953848174</v>
      </c>
      <c r="E56" s="380">
        <f t="shared" si="1"/>
        <v>67.725196642346404</v>
      </c>
      <c r="F56" s="380">
        <f t="shared" si="2"/>
        <v>67.746349942654788</v>
      </c>
      <c r="G56" s="110">
        <f t="shared" si="21"/>
        <v>0.45733677131612616</v>
      </c>
      <c r="H56" s="409" t="b">
        <f>Wh_hp&gt;='2027'!Maxi_hp</f>
        <v>0</v>
      </c>
      <c r="I56" s="385">
        <f>IF(H56,Wh_hp,'2027'!Maxi_hp)</f>
        <v>67.819064186061496</v>
      </c>
      <c r="J56" s="85">
        <f>IF(H56,An,'2027'!An_max)</f>
        <v>2022</v>
      </c>
      <c r="K56" s="193">
        <f t="shared" si="3"/>
        <v>46794</v>
      </c>
      <c r="L56" s="143">
        <f>IF(t&lt;Tvie,1-EXP((T0-t)*PertePVj)+'2027'!Pspv,1-EXP((T0-t)*PertePVj)+Pspv)</f>
        <v>3.1922886166654285E-2</v>
      </c>
      <c r="M56" s="835"/>
      <c r="N56" s="835"/>
      <c r="O56" s="48">
        <f>IF(t&lt;Tnet,'2027'!Resal+('2027'!Salim-'2027'!Resal)*(1-EXP(('2027'!Tnet-t)/('2027'!Tau_j))),Resal+(Salim-Resal)*(1-EXP((Tnet-t)/(Tau_j))))*Salcycl</f>
        <v>4.476591931521326E-2</v>
      </c>
      <c r="P56" s="165">
        <f>(INDEX(Models!$BJ56:$BT56,,T56)*(1-R56)+INDEX(Models!$BJ56:$BT56,,T56+1)*R56-ERP_i)*Q56*Ramure*Pc/MaxiM</f>
        <v>1.384861118724486E-3</v>
      </c>
      <c r="Q56" s="301">
        <f t="shared" si="4"/>
        <v>0.5</v>
      </c>
      <c r="R56" s="173">
        <f t="shared" si="5"/>
        <v>0.99257010817237301</v>
      </c>
      <c r="S56" s="801">
        <f t="shared" si="6"/>
        <v>2</v>
      </c>
      <c r="T56" s="172">
        <f t="shared" si="7"/>
        <v>8</v>
      </c>
      <c r="U56" s="247">
        <f t="shared" si="8"/>
        <v>2.992570108172373</v>
      </c>
      <c r="V56" s="378">
        <f t="shared" si="9"/>
        <v>136.79420104073267</v>
      </c>
      <c r="W56" s="397">
        <f t="shared" si="10"/>
        <v>62.628215400621457</v>
      </c>
      <c r="X56" s="153">
        <f t="shared" si="11"/>
        <v>46794</v>
      </c>
      <c r="Y56" s="380">
        <f t="shared" si="12"/>
        <v>61.323356234964123</v>
      </c>
      <c r="Z56" s="380">
        <f t="shared" si="22"/>
        <v>63.345528324844715</v>
      </c>
      <c r="AA56" s="381">
        <f t="shared" si="13"/>
        <v>67.725196642346404</v>
      </c>
      <c r="AB56" s="193">
        <f t="shared" si="14"/>
        <v>46794</v>
      </c>
      <c r="AC56" s="119">
        <f>IF(OR(t&lt;Tnet,NoTnet),'2027'!Resal_s+('2027'!Salim-'2027'!Resal_s)*(1-EXP(('2027'!Tnet_s-t)/'2027'!Tau_j)),Resal_s+(Salim-Resal_s)*(1-EXP((Tnet_s-t)/Tau_j)))*Salcycl</f>
        <v>6.4668225928239301E-2</v>
      </c>
      <c r="AD56" s="227">
        <f>(INDEX(Models!$BJ56:$BT56,,AH56)*(1-AF56)+INDEX(Models!$BJ56:$BT56,,AH56+1)*AF56-ERP_i)*AE56*Ramure*Pc/MaxiM</f>
        <v>1.384861118724486E-3</v>
      </c>
      <c r="AE56" s="301">
        <f t="shared" si="15"/>
        <v>0.5</v>
      </c>
      <c r="AF56" s="173">
        <f t="shared" si="23"/>
        <v>0.99257010817237301</v>
      </c>
      <c r="AG56" s="801">
        <f t="shared" si="24"/>
        <v>2</v>
      </c>
      <c r="AH56" s="172">
        <f t="shared" si="16"/>
        <v>8</v>
      </c>
      <c r="AI56" s="221">
        <f t="shared" si="17"/>
        <v>2.992570108172373</v>
      </c>
      <c r="AJ56" s="261" t="b">
        <f t="shared" si="18"/>
        <v>1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46795</v>
      </c>
      <c r="B57" s="406">
        <f>'2027'!Wh/'2027'!Env_an*'2028'!Env_an</f>
        <v>104.89751070636714</v>
      </c>
      <c r="C57" s="831"/>
      <c r="D57" s="388">
        <f t="shared" si="0"/>
        <v>108.35804832683553</v>
      </c>
      <c r="E57" s="380">
        <f t="shared" si="1"/>
        <v>113.44078264729332</v>
      </c>
      <c r="F57" s="380">
        <f t="shared" si="2"/>
        <v>113.53424792882485</v>
      </c>
      <c r="G57" s="110">
        <f t="shared" si="21"/>
        <v>0.75836178427334155</v>
      </c>
      <c r="H57" s="409" t="b">
        <f>Wh_hp&gt;='2027'!Maxi_hp</f>
        <v>0</v>
      </c>
      <c r="I57" s="385">
        <f>IF(H57,Wh_hp,'2027'!Maxi_hp)</f>
        <v>113.58344330581436</v>
      </c>
      <c r="J57" s="85">
        <f>IF(H57,An,'2027'!An_max)</f>
        <v>2022</v>
      </c>
      <c r="K57" s="193">
        <f t="shared" si="3"/>
        <v>46795</v>
      </c>
      <c r="L57" s="143">
        <f>IF(t&lt;Tvie,1-EXP((T0-t)*PertePVj)+'2027'!Pspv,1-EXP((T0-t)*PertePVj)+Pspv)</f>
        <v>3.1936138329388575E-2</v>
      </c>
      <c r="M57" s="835"/>
      <c r="N57" s="835"/>
      <c r="O57" s="48">
        <f>IF(t&lt;Tnet,'2027'!Resal+('2027'!Salim-'2027'!Resal)*(1-EXP(('2027'!Tnet-t)/('2027'!Tau_j))),Resal+(Salim-Resal)*(1-EXP((Tnet-t)/(Tau_j))))*Salcycl</f>
        <v>4.4805176778979668E-2</v>
      </c>
      <c r="P57" s="165">
        <f>(INDEX(Models!$BJ57:$BT57,,T57)*(1-R57)+INDEX(Models!$BJ57:$BT57,,T57+1)*R57-ERP_i)*Q57*Ramure*Pc/MaxiM</f>
        <v>1.2563238276864254E-3</v>
      </c>
      <c r="Q57" s="301">
        <f t="shared" si="4"/>
        <v>0.5</v>
      </c>
      <c r="R57" s="173">
        <f t="shared" si="5"/>
        <v>0.99272568695889563</v>
      </c>
      <c r="S57" s="801">
        <f t="shared" si="6"/>
        <v>2</v>
      </c>
      <c r="T57" s="172">
        <f t="shared" si="7"/>
        <v>8</v>
      </c>
      <c r="U57" s="247">
        <f t="shared" si="8"/>
        <v>2.9927256869588956</v>
      </c>
      <c r="V57" s="378">
        <f t="shared" si="9"/>
        <v>138.261243422154</v>
      </c>
      <c r="W57" s="397">
        <f t="shared" si="10"/>
        <v>104.89751070636714</v>
      </c>
      <c r="X57" s="153">
        <f t="shared" si="11"/>
        <v>46795</v>
      </c>
      <c r="Y57" s="380">
        <f t="shared" si="12"/>
        <v>102.71424264142364</v>
      </c>
      <c r="Z57" s="380">
        <f t="shared" si="22"/>
        <v>106.10275489900755</v>
      </c>
      <c r="AA57" s="381">
        <f t="shared" si="13"/>
        <v>113.44078264729332</v>
      </c>
      <c r="AB57" s="193">
        <f t="shared" si="14"/>
        <v>46795</v>
      </c>
      <c r="AC57" s="119">
        <f>IF(OR(t&lt;Tnet,NoTnet),'2027'!Resal_s+('2027'!Salim-'2027'!Resal_s)*(1-EXP(('2027'!Tnet_s-t)/'2027'!Tau_j)),Resal_s+(Salim-Resal_s)*(1-EXP((Tnet_s-t)/Tau_j)))*Salcycl</f>
        <v>6.4685976040036189E-2</v>
      </c>
      <c r="AD57" s="227">
        <f>(INDEX(Models!$BJ57:$BT57,,AH57)*(1-AF57)+INDEX(Models!$BJ57:$BT57,,AH57+1)*AF57-ERP_i)*AE57*Ramure*Pc/MaxiM</f>
        <v>1.2563238276864254E-3</v>
      </c>
      <c r="AE57" s="301">
        <f t="shared" si="15"/>
        <v>0.5</v>
      </c>
      <c r="AF57" s="173">
        <f t="shared" si="23"/>
        <v>0.99272568695889563</v>
      </c>
      <c r="AG57" s="801">
        <f t="shared" si="24"/>
        <v>2</v>
      </c>
      <c r="AH57" s="172">
        <f t="shared" si="16"/>
        <v>8</v>
      </c>
      <c r="AI57" s="221">
        <f t="shared" si="17"/>
        <v>2.9927256869588956</v>
      </c>
      <c r="AJ57" s="261" t="b">
        <f t="shared" si="18"/>
        <v>1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46796</v>
      </c>
      <c r="B58" s="406">
        <f>'2027'!Wh/'2027'!Env_an*'2028'!Env_an</f>
        <v>127.9932601006972</v>
      </c>
      <c r="C58" s="831"/>
      <c r="D58" s="388">
        <f t="shared" si="0"/>
        <v>132.21752955847913</v>
      </c>
      <c r="E58" s="380">
        <f t="shared" si="1"/>
        <v>138.42512295528007</v>
      </c>
      <c r="F58" s="380">
        <f t="shared" si="2"/>
        <v>138.56364281542818</v>
      </c>
      <c r="G58" s="110">
        <f t="shared" si="21"/>
        <v>0.91586596047913182</v>
      </c>
      <c r="H58" s="409" t="b">
        <f>Wh_hp&gt;='2027'!Maxi_hp</f>
        <v>0</v>
      </c>
      <c r="I58" s="385">
        <f>IF(H58,Wh_hp,'2027'!Maxi_hp)</f>
        <v>138.58254094560056</v>
      </c>
      <c r="J58" s="85">
        <f>IF(H58,An,'2027'!An_max)</f>
        <v>2022</v>
      </c>
      <c r="K58" s="193">
        <f t="shared" si="3"/>
        <v>46796</v>
      </c>
      <c r="L58" s="143">
        <f>IF(t&lt;Tvie,1-EXP((T0-t)*PertePVj)+'2027'!Pspv,1-EXP((T0-t)*PertePVj)+Pspv)</f>
        <v>3.1949390310711756E-2</v>
      </c>
      <c r="M58" s="835"/>
      <c r="N58" s="835"/>
      <c r="O58" s="48">
        <f>IF(t&lt;Tnet,'2027'!Resal+('2027'!Salim-'2027'!Resal)*(1-EXP(('2027'!Tnet-t)/('2027'!Tau_j))),Resal+(Salim-Resal)*(1-EXP((Tnet-t)/(Tau_j))))*Salcycl</f>
        <v>4.4844413096937444E-2</v>
      </c>
      <c r="P58" s="165">
        <f>(INDEX(Models!$BJ58:$BT58,,T58)*(1-R58)+INDEX(Models!$BJ58:$BT58,,T58+1)*R58-ERP_i)*Q58*Ramure*Pc/MaxiM</f>
        <v>1.1360212284038959E-3</v>
      </c>
      <c r="Q58" s="301">
        <f t="shared" si="4"/>
        <v>0.5</v>
      </c>
      <c r="R58" s="173">
        <f t="shared" si="5"/>
        <v>0.99288768902993496</v>
      </c>
      <c r="S58" s="801">
        <f t="shared" si="6"/>
        <v>2</v>
      </c>
      <c r="T58" s="172">
        <f t="shared" si="7"/>
        <v>8</v>
      </c>
      <c r="U58" s="247">
        <f t="shared" si="8"/>
        <v>2.992887689029935</v>
      </c>
      <c r="V58" s="378">
        <f t="shared" si="9"/>
        <v>139.7320109248364</v>
      </c>
      <c r="W58" s="397">
        <f t="shared" si="10"/>
        <v>127.9932601006972</v>
      </c>
      <c r="X58" s="153">
        <f t="shared" si="11"/>
        <v>46796</v>
      </c>
      <c r="Y58" s="380">
        <f t="shared" si="12"/>
        <v>125.33206054575477</v>
      </c>
      <c r="Z58" s="380">
        <f t="shared" si="22"/>
        <v>129.46850019130937</v>
      </c>
      <c r="AA58" s="381">
        <f t="shared" si="13"/>
        <v>138.42512295528007</v>
      </c>
      <c r="AB58" s="193">
        <f t="shared" si="14"/>
        <v>46796</v>
      </c>
      <c r="AC58" s="119">
        <f>IF(OR(t&lt;Tnet,NoTnet),'2027'!Resal_s+('2027'!Salim-'2027'!Resal_s)*(1-EXP(('2027'!Tnet_s-t)/'2027'!Tau_j)),Resal_s+(Salim-Resal_s)*(1-EXP((Tnet_s-t)/Tau_j)))*Salcycl</f>
        <v>6.4703737101712719E-2</v>
      </c>
      <c r="AD58" s="227">
        <f>(INDEX(Models!$BJ58:$BT58,,AH58)*(1-AF58)+INDEX(Models!$BJ58:$BT58,,AH58+1)*AF58-ERP_i)*AE58*Ramure*Pc/MaxiM</f>
        <v>1.1360212284038959E-3</v>
      </c>
      <c r="AE58" s="301">
        <f t="shared" si="15"/>
        <v>0.5</v>
      </c>
      <c r="AF58" s="173">
        <f t="shared" si="23"/>
        <v>0.99288768902993496</v>
      </c>
      <c r="AG58" s="801">
        <f t="shared" si="24"/>
        <v>2</v>
      </c>
      <c r="AH58" s="172">
        <f t="shared" si="16"/>
        <v>8</v>
      </c>
      <c r="AI58" s="221">
        <f t="shared" si="17"/>
        <v>2.992887689029935</v>
      </c>
      <c r="AJ58" s="261" t="b">
        <f t="shared" si="18"/>
        <v>1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46797</v>
      </c>
      <c r="B59" s="406">
        <f>'2027'!Wh/'2027'!Env_an*'2028'!Env_an</f>
        <v>72.985788514870237</v>
      </c>
      <c r="C59" s="831"/>
      <c r="D59" s="388">
        <f t="shared" si="0"/>
        <v>75.395632121060146</v>
      </c>
      <c r="E59" s="380">
        <f t="shared" si="1"/>
        <v>78.938686392302841</v>
      </c>
      <c r="F59" s="380">
        <f t="shared" si="2"/>
        <v>78.963799977749218</v>
      </c>
      <c r="G59" s="110">
        <f t="shared" si="21"/>
        <v>0.51651881355460472</v>
      </c>
      <c r="H59" s="409" t="b">
        <f>Wh_hp&gt;='2027'!Maxi_hp</f>
        <v>0</v>
      </c>
      <c r="I59" s="385">
        <f>IF(H59,Wh_hp,'2027'!Maxi_hp)</f>
        <v>79.019753092234637</v>
      </c>
      <c r="J59" s="85">
        <f>IF(H59,An,'2027'!An_max)</f>
        <v>2022</v>
      </c>
      <c r="K59" s="193">
        <f t="shared" si="3"/>
        <v>46797</v>
      </c>
      <c r="L59" s="143">
        <f>IF(t&lt;Tvie,1-EXP((T0-t)*PertePVj)+'2027'!Pspv,1-EXP((T0-t)*PertePVj)+Pspv)</f>
        <v>3.1962642110626605E-2</v>
      </c>
      <c r="M59" s="835"/>
      <c r="N59" s="835"/>
      <c r="O59" s="48">
        <f>IF(t&lt;Tnet,'2027'!Resal+('2027'!Salim-'2027'!Resal)*(1-EXP(('2027'!Tnet-t)/('2027'!Tau_j))),Resal+(Salim-Resal)*(1-EXP((Tnet-t)/(Tau_j))))*Salcycl</f>
        <v>4.4883623393917604E-2</v>
      </c>
      <c r="P59" s="165">
        <f>(INDEX(Models!$BJ59:$BT59,,T59)*(1-R59)+INDEX(Models!$BJ59:$BT59,,T59+1)*R59-ERP_i)*Q59*Ramure*Pc/MaxiM</f>
        <v>1.0264764331203546E-3</v>
      </c>
      <c r="Q59" s="301">
        <f t="shared" si="4"/>
        <v>0.5</v>
      </c>
      <c r="R59" s="173">
        <f t="shared" si="5"/>
        <v>0.99305637509391653</v>
      </c>
      <c r="S59" s="801">
        <f t="shared" si="6"/>
        <v>2</v>
      </c>
      <c r="T59" s="172">
        <f t="shared" si="7"/>
        <v>8</v>
      </c>
      <c r="U59" s="247">
        <f t="shared" si="8"/>
        <v>2.9930563750939165</v>
      </c>
      <c r="V59" s="378">
        <f t="shared" si="9"/>
        <v>141.20311652290613</v>
      </c>
      <c r="W59" s="397">
        <f t="shared" si="10"/>
        <v>72.985788514870237</v>
      </c>
      <c r="X59" s="153">
        <f t="shared" si="11"/>
        <v>46797</v>
      </c>
      <c r="Y59" s="380">
        <f t="shared" si="12"/>
        <v>71.469865170845495</v>
      </c>
      <c r="Z59" s="380">
        <f t="shared" si="22"/>
        <v>73.829656044134836</v>
      </c>
      <c r="AA59" s="381">
        <f t="shared" si="13"/>
        <v>78.938686392302841</v>
      </c>
      <c r="AB59" s="193">
        <f t="shared" si="14"/>
        <v>46797</v>
      </c>
      <c r="AC59" s="119">
        <f>IF(OR(t&lt;Tnet,NoTnet),'2027'!Resal_s+('2027'!Salim-'2027'!Resal_s)*(1-EXP(('2027'!Tnet_s-t)/'2027'!Tau_j)),Resal_s+(Salim-Resal_s)*(1-EXP((Tnet_s-t)/Tau_j)))*Salcycl</f>
        <v>6.4721501986713822E-2</v>
      </c>
      <c r="AD59" s="227">
        <f>(INDEX(Models!$BJ59:$BT59,,AH59)*(1-AF59)+INDEX(Models!$BJ59:$BT59,,AH59+1)*AF59-ERP_i)*AE59*Ramure*Pc/MaxiM</f>
        <v>1.0264764331203546E-3</v>
      </c>
      <c r="AE59" s="301">
        <f t="shared" si="15"/>
        <v>0.5</v>
      </c>
      <c r="AF59" s="173">
        <f t="shared" si="23"/>
        <v>0.99305637509391653</v>
      </c>
      <c r="AG59" s="801">
        <f t="shared" si="24"/>
        <v>2</v>
      </c>
      <c r="AH59" s="172">
        <f t="shared" si="16"/>
        <v>8</v>
      </c>
      <c r="AI59" s="221">
        <f t="shared" si="17"/>
        <v>2.9930563750939165</v>
      </c>
      <c r="AJ59" s="261" t="b">
        <f t="shared" si="18"/>
        <v>1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46798</v>
      </c>
      <c r="B60" s="406">
        <f>'2027'!Wh/'2027'!Env_an*'2028'!Env_an</f>
        <v>77.068572994606214</v>
      </c>
      <c r="C60" s="831"/>
      <c r="D60" s="388">
        <f t="shared" si="0"/>
        <v>79.614311766985594</v>
      </c>
      <c r="E60" s="380">
        <f t="shared" si="1"/>
        <v>83.359033186272498</v>
      </c>
      <c r="F60" s="380">
        <f t="shared" si="2"/>
        <v>83.38556652501407</v>
      </c>
      <c r="G60" s="110">
        <f t="shared" si="21"/>
        <v>0.53985256964473594</v>
      </c>
      <c r="H60" s="409" t="b">
        <f>Wh_hp&gt;='2027'!Maxi_hp</f>
        <v>0</v>
      </c>
      <c r="I60" s="385">
        <f>IF(H60,Wh_hp,'2027'!Maxi_hp)</f>
        <v>83.436368101478877</v>
      </c>
      <c r="J60" s="85">
        <f>IF(H60,An,'2027'!An_max)</f>
        <v>2022</v>
      </c>
      <c r="K60" s="193">
        <f t="shared" si="3"/>
        <v>46798</v>
      </c>
      <c r="L60" s="143">
        <f>IF(t&lt;Tvie,1-EXP((T0-t)*PertePVj)+'2027'!Pspv,1-EXP((T0-t)*PertePVj)+Pspv)</f>
        <v>3.1975893729135341E-2</v>
      </c>
      <c r="M60" s="835"/>
      <c r="N60" s="835"/>
      <c r="O60" s="48">
        <f>IF(t&lt;Tnet,'2027'!Resal+('2027'!Salim-'2027'!Resal)*(1-EXP(('2027'!Tnet-t)/('2027'!Tau_j))),Resal+(Salim-Resal)*(1-EXP((Tnet-t)/(Tau_j))))*Salcycl</f>
        <v>4.4922802918299483E-2</v>
      </c>
      <c r="P60" s="165">
        <f>(INDEX(Models!$BJ60:$BT60,,T60)*(1-R60)+INDEX(Models!$BJ60:$BT60,,T60+1)*R60-ERP_i)*Q60*Ramure*Pc/MaxiM</f>
        <v>9.2738285952275476E-4</v>
      </c>
      <c r="Q60" s="301">
        <f t="shared" si="4"/>
        <v>0.5</v>
      </c>
      <c r="R60" s="173">
        <f t="shared" si="5"/>
        <v>0.9932320160602468</v>
      </c>
      <c r="S60" s="801">
        <f t="shared" si="6"/>
        <v>2</v>
      </c>
      <c r="T60" s="172">
        <f t="shared" si="7"/>
        <v>8</v>
      </c>
      <c r="U60" s="247">
        <f t="shared" si="8"/>
        <v>2.9932320160602468</v>
      </c>
      <c r="V60" s="378">
        <f t="shared" si="9"/>
        <v>142.67156178453635</v>
      </c>
      <c r="W60" s="397">
        <f t="shared" si="10"/>
        <v>77.068572994606214</v>
      </c>
      <c r="X60" s="153">
        <f t="shared" si="11"/>
        <v>46798</v>
      </c>
      <c r="Y60" s="380">
        <f t="shared" si="12"/>
        <v>75.469512349209353</v>
      </c>
      <c r="Z60" s="380">
        <f t="shared" si="22"/>
        <v>77.962430749727716</v>
      </c>
      <c r="AA60" s="381">
        <f t="shared" si="13"/>
        <v>83.359033186272498</v>
      </c>
      <c r="AB60" s="193">
        <f t="shared" si="14"/>
        <v>46798</v>
      </c>
      <c r="AC60" s="119">
        <f>IF(OR(t&lt;Tnet,NoTnet),'2027'!Resal_s+('2027'!Salim-'2027'!Resal_s)*(1-EXP(('2027'!Tnet_s-t)/'2027'!Tau_j)),Resal_s+(Salim-Resal_s)*(1-EXP((Tnet_s-t)/Tau_j)))*Salcycl</f>
        <v>6.473926376384001E-2</v>
      </c>
      <c r="AD60" s="227">
        <f>(INDEX(Models!$BJ60:$BT60,,AH60)*(1-AF60)+INDEX(Models!$BJ60:$BT60,,AH60+1)*AF60-ERP_i)*AE60*Ramure*Pc/MaxiM</f>
        <v>9.2738285952275476E-4</v>
      </c>
      <c r="AE60" s="301">
        <f t="shared" si="15"/>
        <v>0.5</v>
      </c>
      <c r="AF60" s="173">
        <f t="shared" si="23"/>
        <v>0.9932320160602468</v>
      </c>
      <c r="AG60" s="801">
        <f t="shared" si="24"/>
        <v>2</v>
      </c>
      <c r="AH60" s="172">
        <f t="shared" si="16"/>
        <v>8</v>
      </c>
      <c r="AI60" s="221">
        <f t="shared" si="17"/>
        <v>2.9932320160602468</v>
      </c>
      <c r="AJ60" s="261" t="b">
        <f t="shared" si="18"/>
        <v>1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46799</v>
      </c>
      <c r="B61" s="406">
        <f>'2027'!Wh/'2027'!Env_an*'2028'!Env_an</f>
        <v>29.768983552508612</v>
      </c>
      <c r="C61" s="831"/>
      <c r="D61" s="388">
        <f t="shared" si="0"/>
        <v>30.752737331257475</v>
      </c>
      <c r="E61" s="380">
        <f t="shared" si="1"/>
        <v>32.200536133929646</v>
      </c>
      <c r="F61" s="380">
        <f t="shared" si="2"/>
        <v>32.200536133929646</v>
      </c>
      <c r="G61" s="110">
        <f t="shared" si="21"/>
        <v>0.20636319043258058</v>
      </c>
      <c r="H61" s="409" t="b">
        <f>Wh_hp&gt;='2027'!Maxi_hp</f>
        <v>0</v>
      </c>
      <c r="I61" s="385">
        <f>IF(H61,Wh_hp,'2027'!Maxi_hp)</f>
        <v>32.227533516382081</v>
      </c>
      <c r="J61" s="85">
        <f>IF(H61,An,'2027'!An_max)</f>
        <v>2022</v>
      </c>
      <c r="K61" s="193">
        <f t="shared" si="3"/>
        <v>46799</v>
      </c>
      <c r="L61" s="143">
        <f>IF(t&lt;Tvie,1-EXP((T0-t)*PertePVj)+'2027'!Pspv,1-EXP((T0-t)*PertePVj)+Pspv)</f>
        <v>3.1989145166240629E-2</v>
      </c>
      <c r="M61" s="835"/>
      <c r="N61" s="835"/>
      <c r="O61" s="48">
        <f>IF(t&lt;Tnet,'2027'!Resal+('2027'!Salim-'2027'!Resal)*(1-EXP(('2027'!Tnet-t)/('2027'!Tau_j))),Resal+(Salim-Resal)*(1-EXP((Tnet-t)/(Tau_j))))*Salcycl</f>
        <v>4.4961947113254089E-2</v>
      </c>
      <c r="P61" s="165">
        <f>(INDEX(Models!$BJ61:$BT61,,T61)*(1-R61)+INDEX(Models!$BJ61:$BT61,,T61+1)*R61-ERP_i)*Q61*Ramure*Pc/MaxiM</f>
        <v>8.3843886858931739E-4</v>
      </c>
      <c r="Q61" s="301">
        <f t="shared" si="4"/>
        <v>0.5</v>
      </c>
      <c r="R61" s="173">
        <f t="shared" si="5"/>
        <v>0.99341489340603495</v>
      </c>
      <c r="S61" s="801">
        <f t="shared" si="6"/>
        <v>2</v>
      </c>
      <c r="T61" s="172">
        <f t="shared" si="7"/>
        <v>8</v>
      </c>
      <c r="U61" s="247">
        <f t="shared" si="8"/>
        <v>2.9934148934060349</v>
      </c>
      <c r="V61" s="378">
        <f t="shared" si="9"/>
        <v>144.13434885005447</v>
      </c>
      <c r="W61" s="397">
        <f t="shared" si="10"/>
        <v>29.768983552508612</v>
      </c>
      <c r="X61" s="153">
        <f t="shared" si="11"/>
        <v>46799</v>
      </c>
      <c r="Y61" s="380">
        <f t="shared" si="12"/>
        <v>29.151961987397524</v>
      </c>
      <c r="Z61" s="380">
        <f t="shared" si="22"/>
        <v>30.11532550676192</v>
      </c>
      <c r="AA61" s="381">
        <f t="shared" si="13"/>
        <v>32.200536133929646</v>
      </c>
      <c r="AB61" s="193">
        <f t="shared" si="14"/>
        <v>46799</v>
      </c>
      <c r="AC61" s="119">
        <f>IF(OR(t&lt;Tnet,NoTnet),'2027'!Resal_s+('2027'!Salim-'2027'!Resal_s)*(1-EXP(('2027'!Tnet_s-t)/'2027'!Tau_j)),Resal_s+(Salim-Resal_s)*(1-EXP((Tnet_s-t)/Tau_j)))*Salcycl</f>
        <v>6.4757015799204135E-2</v>
      </c>
      <c r="AD61" s="227">
        <f>(INDEX(Models!$BJ61:$BT61,,AH61)*(1-AF61)+INDEX(Models!$BJ61:$BT61,,AH61+1)*AF61-ERP_i)*AE61*Ramure*Pc/MaxiM</f>
        <v>8.3843886858931739E-4</v>
      </c>
      <c r="AE61" s="301">
        <f t="shared" si="15"/>
        <v>0.5</v>
      </c>
      <c r="AF61" s="173">
        <f t="shared" si="23"/>
        <v>0.99341489340603495</v>
      </c>
      <c r="AG61" s="801">
        <f t="shared" si="24"/>
        <v>2</v>
      </c>
      <c r="AH61" s="172">
        <f t="shared" si="16"/>
        <v>8</v>
      </c>
      <c r="AI61" s="221">
        <f t="shared" si="17"/>
        <v>2.9934148934060349</v>
      </c>
      <c r="AJ61" s="261" t="b">
        <f t="shared" si="18"/>
        <v>1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46800</v>
      </c>
      <c r="B62" s="406">
        <f>'2027'!Wh/'2027'!Env_an*'2028'!Env_an</f>
        <v>43.859113940692538</v>
      </c>
      <c r="C62" s="831"/>
      <c r="D62" s="388">
        <f t="shared" si="0"/>
        <v>45.309114174016571</v>
      </c>
      <c r="E62" s="380">
        <f t="shared" si="1"/>
        <v>47.44415085911703</v>
      </c>
      <c r="F62" s="380">
        <f t="shared" si="2"/>
        <v>47.444215399112387</v>
      </c>
      <c r="G62" s="110">
        <f t="shared" si="21"/>
        <v>0.30102566518238172</v>
      </c>
      <c r="H62" s="409" t="b">
        <f>Wh_hp&gt;='2027'!Maxi_hp</f>
        <v>0</v>
      </c>
      <c r="I62" s="385">
        <f>IF(H62,Wh_hp,'2027'!Maxi_hp)</f>
        <v>47.480172549184005</v>
      </c>
      <c r="J62" s="85">
        <f>IF(H62,An,'2027'!An_max)</f>
        <v>2022</v>
      </c>
      <c r="K62" s="193">
        <f t="shared" si="3"/>
        <v>46800</v>
      </c>
      <c r="L62" s="143">
        <f>IF(t&lt;Tvie,1-EXP((T0-t)*PertePVj)+'2027'!Pspv,1-EXP((T0-t)*PertePVj)+Pspv)</f>
        <v>3.2002396421944801E-2</v>
      </c>
      <c r="M62" s="835"/>
      <c r="N62" s="835"/>
      <c r="O62" s="48">
        <f>IF(t&lt;Tnet,'2027'!Resal+('2027'!Salim-'2027'!Resal)*(1-EXP(('2027'!Tnet-t)/('2027'!Tau_j))),Resal+(Salim-Resal)*(1-EXP((Tnet-t)/(Tau_j))))*Salcycl</f>
        <v>4.5001051687916974E-2</v>
      </c>
      <c r="P62" s="165">
        <f>(INDEX(Models!$BJ62:$BT62,,T62)*(1-R62)+INDEX(Models!$BJ62:$BT62,,T62+1)*R62-ERP_i)*Q62*Ramure*Pc/MaxiM</f>
        <v>7.5934954466973736E-4</v>
      </c>
      <c r="Q62" s="301">
        <f t="shared" si="4"/>
        <v>0.5</v>
      </c>
      <c r="R62" s="173">
        <f t="shared" si="5"/>
        <v>0.99360529955319121</v>
      </c>
      <c r="S62" s="801">
        <f t="shared" si="6"/>
        <v>2</v>
      </c>
      <c r="T62" s="172">
        <f t="shared" si="7"/>
        <v>8</v>
      </c>
      <c r="U62" s="247">
        <f t="shared" si="8"/>
        <v>2.9936052995531912</v>
      </c>
      <c r="V62" s="378">
        <f t="shared" si="9"/>
        <v>145.58848041669171</v>
      </c>
      <c r="W62" s="397">
        <f t="shared" si="10"/>
        <v>43.859113940692538</v>
      </c>
      <c r="X62" s="153">
        <f t="shared" si="11"/>
        <v>46800</v>
      </c>
      <c r="Y62" s="380">
        <f t="shared" si="12"/>
        <v>42.950990460232617</v>
      </c>
      <c r="Z62" s="380">
        <f t="shared" si="22"/>
        <v>44.370967760117217</v>
      </c>
      <c r="AA62" s="381">
        <f t="shared" si="13"/>
        <v>47.44415085911703</v>
      </c>
      <c r="AB62" s="193">
        <f t="shared" si="14"/>
        <v>46800</v>
      </c>
      <c r="AC62" s="119">
        <f>IF(OR(t&lt;Tnet,NoTnet),'2027'!Resal_s+('2027'!Salim-'2027'!Resal_s)*(1-EXP(('2027'!Tnet_s-t)/'2027'!Tau_j)),Resal_s+(Salim-Resal_s)*(1-EXP((Tnet_s-t)/Tau_j)))*Salcycl</f>
        <v>6.4774751857725882E-2</v>
      </c>
      <c r="AD62" s="227">
        <f>(INDEX(Models!$BJ62:$BT62,,AH62)*(1-AF62)+INDEX(Models!$BJ62:$BT62,,AH62+1)*AF62-ERP_i)*AE62*Ramure*Pc/MaxiM</f>
        <v>7.5934954466973736E-4</v>
      </c>
      <c r="AE62" s="301">
        <f t="shared" si="15"/>
        <v>0.5</v>
      </c>
      <c r="AF62" s="173">
        <f t="shared" si="23"/>
        <v>0.99360529955319121</v>
      </c>
      <c r="AG62" s="801">
        <f t="shared" si="24"/>
        <v>2</v>
      </c>
      <c r="AH62" s="172">
        <f t="shared" si="16"/>
        <v>8</v>
      </c>
      <c r="AI62" s="221">
        <f t="shared" si="17"/>
        <v>2.9936052995531912</v>
      </c>
      <c r="AJ62" s="261" t="b">
        <f t="shared" si="18"/>
        <v>1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46801</v>
      </c>
      <c r="B63" s="406">
        <f>'2027'!Wh/'2027'!Env_an*'2028'!Env_an</f>
        <v>124.70476488417512</v>
      </c>
      <c r="C63" s="831"/>
      <c r="D63" s="388">
        <f t="shared" si="0"/>
        <v>128.8293189467565</v>
      </c>
      <c r="E63" s="380">
        <f t="shared" si="1"/>
        <v>134.90547682515813</v>
      </c>
      <c r="F63" s="380">
        <f t="shared" si="2"/>
        <v>134.9783905121148</v>
      </c>
      <c r="G63" s="110">
        <f t="shared" si="21"/>
        <v>0.84802611743948864</v>
      </c>
      <c r="H63" s="409" t="b">
        <f>Wh_hp&gt;='2027'!Maxi_hp</f>
        <v>0</v>
      </c>
      <c r="I63" s="385">
        <f>IF(H63,Wh_hp,'2027'!Maxi_hp)</f>
        <v>134.99858380946762</v>
      </c>
      <c r="J63" s="85">
        <f>IF(H63,An,'2027'!An_max)</f>
        <v>2022</v>
      </c>
      <c r="K63" s="193">
        <f t="shared" si="3"/>
        <v>46801</v>
      </c>
      <c r="L63" s="143">
        <f>IF(t&lt;Tvie,1-EXP((T0-t)*PertePVj)+'2027'!Pspv,1-EXP((T0-t)*PertePVj)+Pspv)</f>
        <v>3.201564749625041E-2</v>
      </c>
      <c r="M63" s="835"/>
      <c r="N63" s="835"/>
      <c r="O63" s="48">
        <f>IF(t&lt;Tnet,'2027'!Resal+('2027'!Salim-'2027'!Resal)*(1-EXP(('2027'!Tnet-t)/('2027'!Tau_j))),Resal+(Salim-Resal)*(1-EXP((Tnet-t)/(Tau_j))))*Salcycl</f>
        <v>4.5040112687763763E-2</v>
      </c>
      <c r="P63" s="165">
        <f>(INDEX(Models!$BJ63:$BT63,,T63)*(1-R63)+INDEX(Models!$BJ63:$BT63,,T63+1)*R63-ERP_i)*Q63*Ramure*Pc/MaxiM</f>
        <v>6.898282510079208E-4</v>
      </c>
      <c r="Q63" s="301">
        <f t="shared" si="4"/>
        <v>0.5</v>
      </c>
      <c r="R63" s="173">
        <f t="shared" si="5"/>
        <v>0.99380353825593959</v>
      </c>
      <c r="S63" s="801">
        <f t="shared" si="6"/>
        <v>2</v>
      </c>
      <c r="T63" s="172">
        <f t="shared" si="7"/>
        <v>8</v>
      </c>
      <c r="U63" s="247">
        <f t="shared" si="8"/>
        <v>2.9938035382559396</v>
      </c>
      <c r="V63" s="378">
        <f t="shared" si="9"/>
        <v>147.03095973525041</v>
      </c>
      <c r="W63" s="397">
        <f t="shared" si="10"/>
        <v>124.70476488417512</v>
      </c>
      <c r="X63" s="153">
        <f t="shared" si="11"/>
        <v>46801</v>
      </c>
      <c r="Y63" s="380">
        <f t="shared" si="12"/>
        <v>122.12537633208149</v>
      </c>
      <c r="Z63" s="380">
        <f t="shared" si="22"/>
        <v>126.16461827734805</v>
      </c>
      <c r="AA63" s="381">
        <f t="shared" si="13"/>
        <v>134.90547682515813</v>
      </c>
      <c r="AB63" s="193">
        <f t="shared" si="14"/>
        <v>46801</v>
      </c>
      <c r="AC63" s="119">
        <f>IF(OR(t&lt;Tnet,NoTnet),'2027'!Resal_s+('2027'!Salim-'2027'!Resal_s)*(1-EXP(('2027'!Tnet_s-t)/'2027'!Tau_j)),Resal_s+(Salim-Resal_s)*(1-EXP((Tnet_s-t)/Tau_j)))*Salcycl</f>
        <v>6.4792466203121749E-2</v>
      </c>
      <c r="AD63" s="227">
        <f>(INDEX(Models!$BJ63:$BT63,,AH63)*(1-AF63)+INDEX(Models!$BJ63:$BT63,,AH63+1)*AF63-ERP_i)*AE63*Ramure*Pc/MaxiM</f>
        <v>6.898282510079208E-4</v>
      </c>
      <c r="AE63" s="301">
        <f t="shared" si="15"/>
        <v>0.5</v>
      </c>
      <c r="AF63" s="173">
        <f t="shared" si="23"/>
        <v>0.99380353825593959</v>
      </c>
      <c r="AG63" s="801">
        <f t="shared" si="24"/>
        <v>2</v>
      </c>
      <c r="AH63" s="172">
        <f t="shared" si="16"/>
        <v>8</v>
      </c>
      <c r="AI63" s="221">
        <f t="shared" si="17"/>
        <v>2.9938035382559396</v>
      </c>
      <c r="AJ63" s="261" t="b">
        <f t="shared" si="18"/>
        <v>1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46802</v>
      </c>
      <c r="B64" s="406">
        <f>'2027'!Wh/'2027'!Env_an*'2028'!Env_an</f>
        <v>71.082817493213682</v>
      </c>
      <c r="C64" s="831"/>
      <c r="D64" s="388">
        <f t="shared" si="0"/>
        <v>73.434855002305213</v>
      </c>
      <c r="E64" s="380">
        <f t="shared" si="1"/>
        <v>76.901507805596438</v>
      </c>
      <c r="F64" s="380">
        <f t="shared" si="2"/>
        <v>76.913877237569366</v>
      </c>
      <c r="G64" s="110">
        <f t="shared" si="21"/>
        <v>0.47858055370547459</v>
      </c>
      <c r="H64" s="409" t="b">
        <f>Wh_hp&gt;='2027'!Maxi_hp</f>
        <v>0</v>
      </c>
      <c r="I64" s="385">
        <f>IF(H64,Wh_hp,'2027'!Maxi_hp)</f>
        <v>76.949920298124354</v>
      </c>
      <c r="J64" s="85">
        <f>IF(H64,An,'2027'!An_max)</f>
        <v>2022</v>
      </c>
      <c r="K64" s="193">
        <f t="shared" si="3"/>
        <v>46802</v>
      </c>
      <c r="L64" s="143">
        <f>IF(t&lt;Tvie,1-EXP((T0-t)*PertePVj)+'2027'!Pspv,1-EXP((T0-t)*PertePVj)+Pspv)</f>
        <v>3.2028898389159899E-2</v>
      </c>
      <c r="M64" s="835"/>
      <c r="N64" s="835"/>
      <c r="O64" s="48">
        <f>IF(t&lt;Tnet,'2027'!Resal+('2027'!Salim-'2027'!Resal)*(1-EXP(('2027'!Tnet-t)/('2027'!Tau_j))),Resal+(Salim-Resal)*(1-EXP((Tnet-t)/(Tau_j))))*Salcycl</f>
        <v>4.5079126563483923E-2</v>
      </c>
      <c r="P64" s="165">
        <f>(INDEX(Models!$BJ64:$BT64,,T64)*(1-R64)+INDEX(Models!$BJ64:$BT64,,T64+1)*R64-ERP_i)*Q64*Ramure*Pc/MaxiM</f>
        <v>6.2959798628820006E-4</v>
      </c>
      <c r="Q64" s="301">
        <f t="shared" si="4"/>
        <v>0.5</v>
      </c>
      <c r="R64" s="173">
        <f t="shared" si="5"/>
        <v>0.99400992499874841</v>
      </c>
      <c r="S64" s="801">
        <f t="shared" si="6"/>
        <v>2</v>
      </c>
      <c r="T64" s="172">
        <f t="shared" si="7"/>
        <v>8</v>
      </c>
      <c r="U64" s="247">
        <f t="shared" si="8"/>
        <v>2.9940099249987484</v>
      </c>
      <c r="V64" s="378">
        <f t="shared" si="9"/>
        <v>148.45879059388312</v>
      </c>
      <c r="W64" s="397">
        <f t="shared" si="10"/>
        <v>71.082817493213682</v>
      </c>
      <c r="X64" s="153">
        <f t="shared" si="11"/>
        <v>46802</v>
      </c>
      <c r="Y64" s="380">
        <f t="shared" si="12"/>
        <v>69.614070668648722</v>
      </c>
      <c r="Z64" s="380">
        <f t="shared" si="22"/>
        <v>71.917509265308766</v>
      </c>
      <c r="AA64" s="381">
        <f t="shared" si="13"/>
        <v>76.901507805596438</v>
      </c>
      <c r="AB64" s="193">
        <f t="shared" si="14"/>
        <v>46802</v>
      </c>
      <c r="AC64" s="119">
        <f>IF(OR(t&lt;Tnet,NoTnet),'2027'!Resal_s+('2027'!Salim-'2027'!Resal_s)*(1-EXP(('2027'!Tnet_s-t)/'2027'!Tau_j)),Resal_s+(Salim-Resal_s)*(1-EXP((Tnet_s-t)/Tau_j)))*Salcycl</f>
        <v>6.4810153695386521E-2</v>
      </c>
      <c r="AD64" s="227">
        <f>(INDEX(Models!$BJ64:$BT64,,AH64)*(1-AF64)+INDEX(Models!$BJ64:$BT64,,AH64+1)*AF64-ERP_i)*AE64*Ramure*Pc/MaxiM</f>
        <v>6.2959798628820006E-4</v>
      </c>
      <c r="AE64" s="301">
        <f t="shared" si="15"/>
        <v>0.5</v>
      </c>
      <c r="AF64" s="173">
        <f t="shared" si="23"/>
        <v>0.99400992499874841</v>
      </c>
      <c r="AG64" s="801">
        <f t="shared" si="24"/>
        <v>2</v>
      </c>
      <c r="AH64" s="172">
        <f t="shared" si="16"/>
        <v>8</v>
      </c>
      <c r="AI64" s="221">
        <f t="shared" si="17"/>
        <v>2.9940099249987484</v>
      </c>
      <c r="AJ64" s="261" t="b">
        <f t="shared" si="18"/>
        <v>1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46803</v>
      </c>
      <c r="B65" s="406">
        <f>'2027'!Wh/'2027'!Env_an*'2028'!Env_an</f>
        <v>89.435689711722745</v>
      </c>
      <c r="C65" s="831"/>
      <c r="D65" s="388">
        <f t="shared" si="0"/>
        <v>92.396264598327861</v>
      </c>
      <c r="E65" s="380">
        <f t="shared" si="1"/>
        <v>96.761980359776757</v>
      </c>
      <c r="F65" s="380">
        <f t="shared" si="2"/>
        <v>96.785707552157646</v>
      </c>
      <c r="G65" s="110">
        <f t="shared" si="21"/>
        <v>0.59651754071288599</v>
      </c>
      <c r="H65" s="409" t="b">
        <f>Wh_hp&gt;='2027'!Maxi_hp</f>
        <v>0</v>
      </c>
      <c r="I65" s="385">
        <f>IF(H65,Wh_hp,'2027'!Maxi_hp)</f>
        <v>96.817942431119334</v>
      </c>
      <c r="J65" s="85">
        <f>IF(H65,An,'2027'!An_max)</f>
        <v>2022</v>
      </c>
      <c r="K65" s="193">
        <f t="shared" si="3"/>
        <v>46803</v>
      </c>
      <c r="L65" s="143">
        <f>IF(t&lt;Tvie,1-EXP((T0-t)*PertePVj)+'2027'!Pspv,1-EXP((T0-t)*PertePVj)+Pspv)</f>
        <v>3.2042149100675821E-2</v>
      </c>
      <c r="M65" s="835"/>
      <c r="N65" s="835"/>
      <c r="O65" s="48">
        <f>IF(t&lt;Tnet,'2027'!Resal+('2027'!Salim-'2027'!Resal)*(1-EXP(('2027'!Tnet-t)/('2027'!Tau_j))),Resal+(Salim-Resal)*(1-EXP((Tnet-t)/(Tau_j))))*Salcycl</f>
        <v>4.5118090237678599E-2</v>
      </c>
      <c r="P65" s="165">
        <f>(INDEX(Models!$BJ65:$BT65,,T65)*(1-R65)+INDEX(Models!$BJ65:$BT65,,T65+1)*R65-ERP_i)*Q65*Ramure*Pc/MaxiM</f>
        <v>5.7835113098540401E-4</v>
      </c>
      <c r="Q65" s="301">
        <f t="shared" si="4"/>
        <v>0.5</v>
      </c>
      <c r="R65" s="173">
        <f t="shared" si="5"/>
        <v>0.99422478740465881</v>
      </c>
      <c r="S65" s="801">
        <f t="shared" si="6"/>
        <v>2</v>
      </c>
      <c r="T65" s="172">
        <f t="shared" si="7"/>
        <v>8</v>
      </c>
      <c r="U65" s="247">
        <f t="shared" si="8"/>
        <v>2.9942247874046588</v>
      </c>
      <c r="V65" s="378">
        <f t="shared" si="9"/>
        <v>149.87972086690888</v>
      </c>
      <c r="W65" s="397">
        <f t="shared" si="10"/>
        <v>89.435689711722745</v>
      </c>
      <c r="X65" s="153">
        <f t="shared" si="11"/>
        <v>46803</v>
      </c>
      <c r="Y65" s="380">
        <f t="shared" si="12"/>
        <v>87.589647439223697</v>
      </c>
      <c r="Z65" s="380">
        <f t="shared" si="22"/>
        <v>90.489113092935455</v>
      </c>
      <c r="AA65" s="381">
        <f t="shared" si="13"/>
        <v>96.761980359776757</v>
      </c>
      <c r="AB65" s="193">
        <f t="shared" si="14"/>
        <v>46803</v>
      </c>
      <c r="AC65" s="119">
        <f>IF(OR(t&lt;Tnet,NoTnet),'2027'!Resal_s+('2027'!Salim-'2027'!Resal_s)*(1-EXP(('2027'!Tnet_s-t)/'2027'!Tau_j)),Resal_s+(Salim-Resal_s)*(1-EXP((Tnet_s-t)/Tau_j)))*Salcycl</f>
        <v>6.4827809884809698E-2</v>
      </c>
      <c r="AD65" s="227">
        <f>(INDEX(Models!$BJ65:$BT65,,AH65)*(1-AF65)+INDEX(Models!$BJ65:$BT65,,AH65+1)*AF65-ERP_i)*AE65*Ramure*Pc/MaxiM</f>
        <v>5.7835113098540401E-4</v>
      </c>
      <c r="AE65" s="301">
        <f t="shared" si="15"/>
        <v>0.5</v>
      </c>
      <c r="AF65" s="173">
        <f t="shared" si="23"/>
        <v>0.99422478740465881</v>
      </c>
      <c r="AG65" s="801">
        <f t="shared" si="24"/>
        <v>2</v>
      </c>
      <c r="AH65" s="172">
        <f t="shared" si="16"/>
        <v>8</v>
      </c>
      <c r="AI65" s="221">
        <f t="shared" si="17"/>
        <v>2.9942247874046588</v>
      </c>
      <c r="AJ65" s="261" t="b">
        <f t="shared" si="18"/>
        <v>1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46804</v>
      </c>
      <c r="B66" s="406">
        <f>'2027'!Wh/'2027'!Env_an*'2028'!Env_an</f>
        <v>97.327476907920357</v>
      </c>
      <c r="C66" s="831"/>
      <c r="D66" s="388">
        <f t="shared" si="0"/>
        <v>100.55066877876804</v>
      </c>
      <c r="E66" s="380">
        <f t="shared" si="1"/>
        <v>105.30597061699549</v>
      </c>
      <c r="F66" s="380">
        <f t="shared" si="2"/>
        <v>105.3336504612102</v>
      </c>
      <c r="G66" s="110">
        <f t="shared" si="21"/>
        <v>0.64308851629966757</v>
      </c>
      <c r="H66" s="409" t="b">
        <f>Wh_hp&gt;='2027'!Maxi_hp</f>
        <v>0</v>
      </c>
      <c r="I66" s="385">
        <f>IF(H66,Wh_hp,'2027'!Maxi_hp)</f>
        <v>105.36240150019904</v>
      </c>
      <c r="J66" s="85">
        <f>IF(H66,An,'2027'!An_max)</f>
        <v>2022</v>
      </c>
      <c r="K66" s="193">
        <f t="shared" si="3"/>
        <v>46804</v>
      </c>
      <c r="L66" s="143">
        <f>IF(t&lt;Tvie,1-EXP((T0-t)*PertePVj)+'2027'!Pspv,1-EXP((T0-t)*PertePVj)+Pspv)</f>
        <v>3.2055399630800729E-2</v>
      </c>
      <c r="M66" s="835"/>
      <c r="N66" s="835"/>
      <c r="O66" s="48">
        <f>IF(t&lt;Tnet,'2027'!Resal+('2027'!Salim-'2027'!Resal)*(1-EXP(('2027'!Tnet-t)/('2027'!Tau_j))),Resal+(Salim-Resal)*(1-EXP((Tnet-t)/(Tau_j))))*Salcycl</f>
        <v>4.5157001168744701E-2</v>
      </c>
      <c r="P66" s="165">
        <f>(INDEX(Models!$BJ66:$BT66,,T66)*(1-R66)+INDEX(Models!$BJ66:$BT66,,T66+1)*R66-ERP_i)*Q66*Ramure*Pc/MaxiM</f>
        <v>5.3587807642618411E-4</v>
      </c>
      <c r="Q66" s="301">
        <f t="shared" si="4"/>
        <v>0.5</v>
      </c>
      <c r="R66" s="173">
        <f t="shared" si="5"/>
        <v>0.9944484656539454</v>
      </c>
      <c r="S66" s="801">
        <f t="shared" si="6"/>
        <v>2</v>
      </c>
      <c r="T66" s="172">
        <f t="shared" si="7"/>
        <v>8</v>
      </c>
      <c r="U66" s="247">
        <f t="shared" si="8"/>
        <v>2.9944484656539454</v>
      </c>
      <c r="V66" s="378">
        <f t="shared" si="9"/>
        <v>151.30248442587171</v>
      </c>
      <c r="W66" s="397">
        <f t="shared" si="10"/>
        <v>97.327476907920357</v>
      </c>
      <c r="X66" s="153">
        <f t="shared" si="11"/>
        <v>46804</v>
      </c>
      <c r="Y66" s="380">
        <f t="shared" si="12"/>
        <v>95.320628439647223</v>
      </c>
      <c r="Z66" s="380">
        <f t="shared" si="22"/>
        <v>98.477359554761151</v>
      </c>
      <c r="AA66" s="381">
        <f t="shared" si="13"/>
        <v>105.30597061699549</v>
      </c>
      <c r="AB66" s="193">
        <f t="shared" si="14"/>
        <v>46804</v>
      </c>
      <c r="AC66" s="119">
        <f>IF(OR(t&lt;Tnet,NoTnet),'2027'!Resal_s+('2027'!Salim-'2027'!Resal_s)*(1-EXP(('2027'!Tnet_s-t)/'2027'!Tau_j)),Resal_s+(Salim-Resal_s)*(1-EXP((Tnet_s-t)/Tau_j)))*Salcycl</f>
        <v>6.484543110162716E-2</v>
      </c>
      <c r="AD66" s="227">
        <f>(INDEX(Models!$BJ66:$BT66,,AH66)*(1-AF66)+INDEX(Models!$BJ66:$BT66,,AH66+1)*AF66-ERP_i)*AE66*Ramure*Pc/MaxiM</f>
        <v>5.3587807642618411E-4</v>
      </c>
      <c r="AE66" s="301">
        <f t="shared" si="15"/>
        <v>0.5</v>
      </c>
      <c r="AF66" s="173">
        <f t="shared" si="23"/>
        <v>0.9944484656539454</v>
      </c>
      <c r="AG66" s="801">
        <f t="shared" si="24"/>
        <v>2</v>
      </c>
      <c r="AH66" s="172">
        <f t="shared" si="16"/>
        <v>8</v>
      </c>
      <c r="AI66" s="221">
        <f t="shared" si="17"/>
        <v>2.9944484656539454</v>
      </c>
      <c r="AJ66" s="261" t="b">
        <f t="shared" si="18"/>
        <v>1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46805</v>
      </c>
      <c r="B67" s="406">
        <f>'2027'!Wh/'2027'!Env_an*'2028'!Env_an</f>
        <v>130.29770240499383</v>
      </c>
      <c r="C67" s="831"/>
      <c r="D67" s="388">
        <f t="shared" si="0"/>
        <v>134.61461125547717</v>
      </c>
      <c r="E67" s="380">
        <f t="shared" si="1"/>
        <v>140.98662254492535</v>
      </c>
      <c r="F67" s="380">
        <f t="shared" si="2"/>
        <v>141.04214297873406</v>
      </c>
      <c r="G67" s="110">
        <f t="shared" si="21"/>
        <v>0.85305673000629623</v>
      </c>
      <c r="H67" s="409" t="b">
        <f>Wh_hp&gt;='2027'!Maxi_hp</f>
        <v>0</v>
      </c>
      <c r="I67" s="385">
        <f>IF(H67,Wh_hp,'2027'!Maxi_hp)</f>
        <v>141.0568740138535</v>
      </c>
      <c r="J67" s="85">
        <f>IF(H67,An,'2027'!An_max)</f>
        <v>2022</v>
      </c>
      <c r="K67" s="193">
        <f t="shared" si="3"/>
        <v>46805</v>
      </c>
      <c r="L67" s="143">
        <f>IF(t&lt;Tvie,1-EXP((T0-t)*PertePVj)+'2027'!Pspv,1-EXP((T0-t)*PertePVj)+Pspv)</f>
        <v>3.2068649979536956E-2</v>
      </c>
      <c r="M67" s="835"/>
      <c r="N67" s="835"/>
      <c r="O67" s="48">
        <f>IF(t&lt;Tnet,'2027'!Resal+('2027'!Salim-'2027'!Resal)*(1-EXP(('2027'!Tnet-t)/('2027'!Tau_j))),Resal+(Salim-Resal)*(1-EXP((Tnet-t)/(Tau_j))))*Salcycl</f>
        <v>4.5195857411349474E-2</v>
      </c>
      <c r="P67" s="165">
        <f>(INDEX(Models!$BJ67:$BT67,,T67)*(1-R67)+INDEX(Models!$BJ67:$BT67,,T67+1)*R67-ERP_i)*Q67*Ramure*Pc/MaxiM</f>
        <v>4.9815245493914394E-4</v>
      </c>
      <c r="Q67" s="301">
        <f t="shared" si="4"/>
        <v>0.5</v>
      </c>
      <c r="R67" s="173">
        <f t="shared" si="5"/>
        <v>0.99468131291301498</v>
      </c>
      <c r="S67" s="801">
        <f t="shared" si="6"/>
        <v>2</v>
      </c>
      <c r="T67" s="172">
        <f t="shared" si="7"/>
        <v>8</v>
      </c>
      <c r="U67" s="247">
        <f t="shared" si="8"/>
        <v>2.994681312913015</v>
      </c>
      <c r="V67" s="378">
        <f t="shared" si="9"/>
        <v>152.72616144465852</v>
      </c>
      <c r="W67" s="397">
        <f t="shared" si="10"/>
        <v>130.29770240499383</v>
      </c>
      <c r="X67" s="153">
        <f t="shared" si="11"/>
        <v>46805</v>
      </c>
      <c r="Y67" s="380">
        <f t="shared" si="12"/>
        <v>127.61381649325577</v>
      </c>
      <c r="Z67" s="380">
        <f t="shared" si="22"/>
        <v>131.84180519678165</v>
      </c>
      <c r="AA67" s="381">
        <f t="shared" si="13"/>
        <v>140.98662254492535</v>
      </c>
      <c r="AB67" s="193">
        <f t="shared" si="14"/>
        <v>46805</v>
      </c>
      <c r="AC67" s="119">
        <f>IF(OR(t&lt;Tnet,NoTnet),'2027'!Resal_s+('2027'!Salim-'2027'!Resal_s)*(1-EXP(('2027'!Tnet_s-t)/'2027'!Tau_j)),Resal_s+(Salim-Resal_s)*(1-EXP((Tnet_s-t)/Tau_j)))*Salcycl</f>
        <v>6.4863014540473149E-2</v>
      </c>
      <c r="AD67" s="227">
        <f>(INDEX(Models!$BJ67:$BT67,,AH67)*(1-AF67)+INDEX(Models!$BJ67:$BT67,,AH67+1)*AF67-ERP_i)*AE67*Ramure*Pc/MaxiM</f>
        <v>4.9815245493914394E-4</v>
      </c>
      <c r="AE67" s="301">
        <f t="shared" si="15"/>
        <v>0.5</v>
      </c>
      <c r="AF67" s="173">
        <f t="shared" si="23"/>
        <v>0.99468131291301498</v>
      </c>
      <c r="AG67" s="801">
        <f t="shared" si="24"/>
        <v>2</v>
      </c>
      <c r="AH67" s="172">
        <f t="shared" si="16"/>
        <v>8</v>
      </c>
      <c r="AI67" s="221">
        <f t="shared" si="17"/>
        <v>2.994681312913015</v>
      </c>
      <c r="AJ67" s="261" t="b">
        <f t="shared" si="18"/>
        <v>1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46806</v>
      </c>
      <c r="B68" s="406">
        <f>'2027'!Wh/'2027'!Env_an*'2028'!Env_an</f>
        <v>134.64750168398203</v>
      </c>
      <c r="C68" s="831"/>
      <c r="D68" s="388">
        <f t="shared" si="0"/>
        <v>139.1104285625153</v>
      </c>
      <c r="E68" s="380">
        <f t="shared" si="1"/>
        <v>145.70117116260323</v>
      </c>
      <c r="F68" s="380">
        <f t="shared" si="2"/>
        <v>145.75670443928786</v>
      </c>
      <c r="G68" s="110">
        <f t="shared" si="21"/>
        <v>0.87341441836283862</v>
      </c>
      <c r="H68" s="409" t="b">
        <f>Wh_hp&gt;='2027'!Maxi_hp</f>
        <v>0</v>
      </c>
      <c r="I68" s="385">
        <f>IF(H68,Wh_hp,'2027'!Maxi_hp)</f>
        <v>145.76894661808049</v>
      </c>
      <c r="J68" s="85">
        <f>IF(H68,An,'2027'!An_max)</f>
        <v>2022</v>
      </c>
      <c r="K68" s="193">
        <f t="shared" si="3"/>
        <v>46806</v>
      </c>
      <c r="L68" s="143">
        <f>IF(t&lt;Tvie,1-EXP((T0-t)*PertePVj)+'2027'!Pspv,1-EXP((T0-t)*PertePVj)+Pspv)</f>
        <v>3.2081900146886944E-2</v>
      </c>
      <c r="M68" s="835"/>
      <c r="N68" s="835"/>
      <c r="O68" s="48">
        <f>IF(t&lt;Tnet,'2027'!Resal+('2027'!Salim-'2027'!Resal)*(1-EXP(('2027'!Tnet-t)/('2027'!Tau_j))),Resal+(Salim-Resal)*(1-EXP((Tnet-t)/(Tau_j))))*Salcycl</f>
        <v>4.5234657672947862E-2</v>
      </c>
      <c r="P68" s="165">
        <f>(INDEX(Models!$BJ68:$BT68,,T68)*(1-R68)+INDEX(Models!$BJ68:$BT68,,T68+1)*R68-ERP_i)*Q68*Ramure*Pc/MaxiM</f>
        <v>4.6504884329269243E-4</v>
      </c>
      <c r="Q68" s="301">
        <f t="shared" si="4"/>
        <v>0.5</v>
      </c>
      <c r="R68" s="173">
        <f t="shared" si="5"/>
        <v>0.99492369577339268</v>
      </c>
      <c r="S68" s="801">
        <f t="shared" si="6"/>
        <v>2</v>
      </c>
      <c r="T68" s="172">
        <f t="shared" si="7"/>
        <v>8</v>
      </c>
      <c r="U68" s="247">
        <f t="shared" si="8"/>
        <v>2.9949236957733927</v>
      </c>
      <c r="V68" s="378">
        <f t="shared" si="9"/>
        <v>154.14925326120684</v>
      </c>
      <c r="W68" s="397">
        <f t="shared" si="10"/>
        <v>134.64750168398203</v>
      </c>
      <c r="X68" s="153">
        <f t="shared" si="11"/>
        <v>46806</v>
      </c>
      <c r="Y68" s="380">
        <f t="shared" si="12"/>
        <v>131.87690316544897</v>
      </c>
      <c r="Z68" s="380">
        <f t="shared" si="22"/>
        <v>136.24799782694632</v>
      </c>
      <c r="AA68" s="381">
        <f t="shared" si="13"/>
        <v>145.70117116260323</v>
      </c>
      <c r="AB68" s="193">
        <f t="shared" si="14"/>
        <v>46806</v>
      </c>
      <c r="AC68" s="119">
        <f>IF(OR(t&lt;Tnet,NoTnet),'2027'!Resal_s+('2027'!Salim-'2027'!Resal_s)*(1-EXP(('2027'!Tnet_s-t)/'2027'!Tau_j)),Resal_s+(Salim-Resal_s)*(1-EXP((Tnet_s-t)/Tau_j)))*Salcycl</f>
        <v>6.4880558338869618E-2</v>
      </c>
      <c r="AD68" s="227">
        <f>(INDEX(Models!$BJ68:$BT68,,AH68)*(1-AF68)+INDEX(Models!$BJ68:$BT68,,AH68+1)*AF68-ERP_i)*AE68*Ramure*Pc/MaxiM</f>
        <v>4.6504884329269243E-4</v>
      </c>
      <c r="AE68" s="301">
        <f t="shared" si="15"/>
        <v>0.5</v>
      </c>
      <c r="AF68" s="173">
        <f t="shared" si="23"/>
        <v>0.99492369577339268</v>
      </c>
      <c r="AG68" s="801">
        <f t="shared" si="24"/>
        <v>2</v>
      </c>
      <c r="AH68" s="172">
        <f t="shared" si="16"/>
        <v>8</v>
      </c>
      <c r="AI68" s="221">
        <f t="shared" si="17"/>
        <v>2.9949236957733927</v>
      </c>
      <c r="AJ68" s="261" t="b">
        <f t="shared" si="18"/>
        <v>1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46807</v>
      </c>
      <c r="B69" s="406">
        <f>'2027'!Wh/'2027'!Env_an*'2028'!Env_an</f>
        <v>85.350659345131518</v>
      </c>
      <c r="C69" s="831"/>
      <c r="D69" s="388">
        <f t="shared" si="0"/>
        <v>88.180836532482132</v>
      </c>
      <c r="E69" s="380">
        <f t="shared" si="1"/>
        <v>92.362396374663689</v>
      </c>
      <c r="F69" s="380">
        <f t="shared" si="2"/>
        <v>92.376716662098133</v>
      </c>
      <c r="G69" s="110">
        <f t="shared" si="21"/>
        <v>0.54847652160487048</v>
      </c>
      <c r="H69" s="409" t="b">
        <f>Wh_hp&gt;='2027'!Maxi_hp</f>
        <v>0</v>
      </c>
      <c r="I69" s="385">
        <f>IF(H69,Wh_hp,'2027'!Maxi_hp)</f>
        <v>92.402693718208255</v>
      </c>
      <c r="J69" s="85">
        <f>IF(H69,An,'2027'!An_max)</f>
        <v>2022</v>
      </c>
      <c r="K69" s="193">
        <f t="shared" si="3"/>
        <v>46807</v>
      </c>
      <c r="L69" s="143">
        <f>IF(t&lt;Tvie,1-EXP((T0-t)*PertePVj)+'2027'!Pspv,1-EXP((T0-t)*PertePVj)+Pspv)</f>
        <v>3.2095150132853356E-2</v>
      </c>
      <c r="M69" s="835"/>
      <c r="N69" s="835"/>
      <c r="O69" s="48">
        <f>IF(t&lt;Tnet,'2027'!Resal+('2027'!Salim-'2027'!Resal)*(1-EXP(('2027'!Tnet-t)/('2027'!Tau_j))),Resal+(Salim-Resal)*(1-EXP((Tnet-t)/(Tau_j))))*Salcycl</f>
        <v>4.52734013658464E-2</v>
      </c>
      <c r="P69" s="165">
        <f>(INDEX(Models!$BJ69:$BT69,,T69)*(1-R69)+INDEX(Models!$BJ69:$BT69,,T69+1)*R69-ERP_i)*Q69*Ramure*Pc/MaxiM</f>
        <v>4.364475623453553E-4</v>
      </c>
      <c r="Q69" s="301">
        <f t="shared" si="4"/>
        <v>0.5</v>
      </c>
      <c r="R69" s="173">
        <f t="shared" si="5"/>
        <v>0.99517599470061091</v>
      </c>
      <c r="S69" s="801">
        <f t="shared" si="6"/>
        <v>2</v>
      </c>
      <c r="T69" s="172">
        <f t="shared" si="7"/>
        <v>8</v>
      </c>
      <c r="U69" s="247">
        <f t="shared" si="8"/>
        <v>2.9951759947006109</v>
      </c>
      <c r="V69" s="378">
        <f t="shared" si="9"/>
        <v>155.5702610357761</v>
      </c>
      <c r="W69" s="397">
        <f t="shared" si="10"/>
        <v>85.350659345131518</v>
      </c>
      <c r="X69" s="153">
        <f t="shared" si="11"/>
        <v>46807</v>
      </c>
      <c r="Y69" s="380">
        <f t="shared" si="12"/>
        <v>83.596253741481817</v>
      </c>
      <c r="Z69" s="380">
        <f t="shared" si="22"/>
        <v>86.368255880685098</v>
      </c>
      <c r="AA69" s="381">
        <f t="shared" si="13"/>
        <v>92.362396374663689</v>
      </c>
      <c r="AB69" s="193">
        <f t="shared" si="14"/>
        <v>46807</v>
      </c>
      <c r="AC69" s="119">
        <f>IF(OR(t&lt;Tnet,NoTnet),'2027'!Resal_s+('2027'!Salim-'2027'!Resal_s)*(1-EXP(('2027'!Tnet_s-t)/'2027'!Tau_j)),Resal_s+(Salim-Resal_s)*(1-EXP((Tnet_s-t)/Tau_j)))*Salcycl</f>
        <v>6.4898061649068209E-2</v>
      </c>
      <c r="AD69" s="227">
        <f>(INDEX(Models!$BJ69:$BT69,,AH69)*(1-AF69)+INDEX(Models!$BJ69:$BT69,,AH69+1)*AF69-ERP_i)*AE69*Ramure*Pc/MaxiM</f>
        <v>4.364475623453553E-4</v>
      </c>
      <c r="AE69" s="301">
        <f t="shared" si="15"/>
        <v>0.5</v>
      </c>
      <c r="AF69" s="173">
        <f t="shared" si="23"/>
        <v>0.99517599470061091</v>
      </c>
      <c r="AG69" s="801">
        <f t="shared" si="24"/>
        <v>2</v>
      </c>
      <c r="AH69" s="172">
        <f t="shared" si="16"/>
        <v>8</v>
      </c>
      <c r="AI69" s="221">
        <f t="shared" si="17"/>
        <v>2.9951759947006109</v>
      </c>
      <c r="AJ69" s="261" t="b">
        <f t="shared" si="18"/>
        <v>1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46808</v>
      </c>
      <c r="B70" s="406">
        <f>'2027'!Wh/'2027'!Env_an*'2028'!Env_an</f>
        <v>120.8928794748673</v>
      </c>
      <c r="C70" s="831"/>
      <c r="D70" s="388">
        <f t="shared" si="0"/>
        <v>124.90332540033735</v>
      </c>
      <c r="E70" s="380">
        <f t="shared" si="1"/>
        <v>130.83157743590473</v>
      </c>
      <c r="F70" s="380">
        <f t="shared" si="2"/>
        <v>130.86780570877059</v>
      </c>
      <c r="G70" s="110">
        <f t="shared" si="21"/>
        <v>0.76997444110337832</v>
      </c>
      <c r="H70" s="409" t="b">
        <f>Wh_hp&gt;='2027'!Maxi_hp</f>
        <v>0</v>
      </c>
      <c r="I70" s="385">
        <f>IF(H70,Wh_hp,'2027'!Maxi_hp)</f>
        <v>130.88551017631676</v>
      </c>
      <c r="J70" s="85">
        <f>IF(H70,An,'2027'!An_max)</f>
        <v>2022</v>
      </c>
      <c r="K70" s="193">
        <f t="shared" si="3"/>
        <v>46808</v>
      </c>
      <c r="L70" s="143">
        <f>IF(t&lt;Tvie,1-EXP((T0-t)*PertePVj)+'2027'!Pspv,1-EXP((T0-t)*PertePVj)+Pspv)</f>
        <v>3.2108399937438525E-2</v>
      </c>
      <c r="M70" s="835"/>
      <c r="N70" s="835"/>
      <c r="O70" s="48">
        <f>IF(t&lt;Tnet,'2027'!Resal+('2027'!Salim-'2027'!Resal)*(1-EXP(('2027'!Tnet-t)/('2027'!Tau_j))),Resal+(Salim-Resal)*(1-EXP((Tnet-t)/(Tau_j))))*Salcycl</f>
        <v>4.5312088654374673E-2</v>
      </c>
      <c r="P70" s="165">
        <f>(INDEX(Models!$BJ70:$BT70,,T70)*(1-R70)+INDEX(Models!$BJ70:$BT70,,T70+1)*R70-ERP_i)*Q70*Ramure*Pc/MaxiM</f>
        <v>4.1223251104770373E-4</v>
      </c>
      <c r="Q70" s="301">
        <f t="shared" si="4"/>
        <v>0.5</v>
      </c>
      <c r="R70" s="173">
        <f t="shared" si="5"/>
        <v>0.99543860449274701</v>
      </c>
      <c r="S70" s="801">
        <f t="shared" si="6"/>
        <v>2</v>
      </c>
      <c r="T70" s="172">
        <f t="shared" si="7"/>
        <v>8</v>
      </c>
      <c r="U70" s="247">
        <f t="shared" si="8"/>
        <v>2.995438604492747</v>
      </c>
      <c r="V70" s="378">
        <f t="shared" si="9"/>
        <v>156.98768610703021</v>
      </c>
      <c r="W70" s="397">
        <f t="shared" si="10"/>
        <v>120.8928794748673</v>
      </c>
      <c r="X70" s="153">
        <f t="shared" si="11"/>
        <v>46808</v>
      </c>
      <c r="Y70" s="380">
        <f t="shared" si="12"/>
        <v>118.41048098284453</v>
      </c>
      <c r="Z70" s="380">
        <f t="shared" si="22"/>
        <v>122.33857693897835</v>
      </c>
      <c r="AA70" s="381">
        <f t="shared" si="13"/>
        <v>130.83157743590473</v>
      </c>
      <c r="AB70" s="193">
        <f t="shared" si="14"/>
        <v>46808</v>
      </c>
      <c r="AC70" s="119">
        <f>IF(OR(t&lt;Tnet,NoTnet),'2027'!Resal_s+('2027'!Salim-'2027'!Resal_s)*(1-EXP(('2027'!Tnet_s-t)/'2027'!Tau_j)),Resal_s+(Salim-Resal_s)*(1-EXP((Tnet_s-t)/Tau_j)))*Salcycl</f>
        <v>6.4915524702644334E-2</v>
      </c>
      <c r="AD70" s="227">
        <f>(INDEX(Models!$BJ70:$BT70,,AH70)*(1-AF70)+INDEX(Models!$BJ70:$BT70,,AH70+1)*AF70-ERP_i)*AE70*Ramure*Pc/MaxiM</f>
        <v>4.1223251104770373E-4</v>
      </c>
      <c r="AE70" s="301">
        <f t="shared" si="15"/>
        <v>0.5</v>
      </c>
      <c r="AF70" s="173">
        <f t="shared" si="23"/>
        <v>0.99543860449274701</v>
      </c>
      <c r="AG70" s="801">
        <f t="shared" si="24"/>
        <v>2</v>
      </c>
      <c r="AH70" s="172">
        <f t="shared" si="16"/>
        <v>8</v>
      </c>
      <c r="AI70" s="221">
        <f t="shared" si="17"/>
        <v>2.995438604492747</v>
      </c>
      <c r="AJ70" s="261" t="b">
        <f t="shared" si="18"/>
        <v>1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46809</v>
      </c>
      <c r="B71" s="406">
        <f>'2027'!Wh/'2027'!Env_an*'2028'!Env_an</f>
        <v>160.42628396121702</v>
      </c>
      <c r="C71" s="831"/>
      <c r="D71" s="388">
        <f t="shared" si="0"/>
        <v>165.75046222326779</v>
      </c>
      <c r="E71" s="380">
        <f t="shared" si="1"/>
        <v>173.62445641767167</v>
      </c>
      <c r="F71" s="380">
        <f t="shared" si="2"/>
        <v>173.69259452617041</v>
      </c>
      <c r="G71" s="110">
        <f t="shared" si="21"/>
        <v>1.0127920050517858</v>
      </c>
      <c r="H71" s="409" t="b">
        <f>Wh_hp&gt;='2027'!Maxi_hp</f>
        <v>1</v>
      </c>
      <c r="I71" s="385">
        <f>IF(H71,Wh_hp,'2027'!Maxi_hp)</f>
        <v>173.69259452617041</v>
      </c>
      <c r="J71" s="85">
        <f>IF(H71,An,'2027'!An_max)</f>
        <v>2028</v>
      </c>
      <c r="K71" s="193">
        <f t="shared" si="3"/>
        <v>46809</v>
      </c>
      <c r="L71" s="143">
        <f>IF(t&lt;Tvie,1-EXP((T0-t)*PertePVj)+'2027'!Pspv,1-EXP((T0-t)*PertePVj)+Pspv)</f>
        <v>3.2121649560645116E-2</v>
      </c>
      <c r="M71" s="835"/>
      <c r="N71" s="835"/>
      <c r="O71" s="48">
        <f>IF(t&lt;Tnet,'2027'!Resal+('2027'!Salim-'2027'!Resal)*(1-EXP(('2027'!Tnet-t)/('2027'!Tau_j))),Resal+(Salim-Resal)*(1-EXP((Tnet-t)/(Tau_j))))*Salcycl</f>
        <v>4.5350720496783965E-2</v>
      </c>
      <c r="P71" s="165">
        <f>(INDEX(Models!$BJ71:$BT71,,T71)*(1-R71)+INDEX(Models!$BJ71:$BT71,,T71+1)*R71-ERP_i)*Q71*Ramure*Pc/MaxiM</f>
        <v>3.9229138516022242E-4</v>
      </c>
      <c r="Q71" s="301">
        <f t="shared" si="4"/>
        <v>0.5</v>
      </c>
      <c r="R71" s="173">
        <f t="shared" si="5"/>
        <v>0.9957119347483121</v>
      </c>
      <c r="S71" s="801">
        <f t="shared" si="6"/>
        <v>2</v>
      </c>
      <c r="T71" s="172">
        <f t="shared" si="7"/>
        <v>8</v>
      </c>
      <c r="U71" s="247">
        <f t="shared" si="8"/>
        <v>2.9957119347483121</v>
      </c>
      <c r="V71" s="378">
        <f t="shared" si="9"/>
        <v>158.40002997754129</v>
      </c>
      <c r="W71" s="397">
        <f t="shared" si="10"/>
        <v>160.42628396121702</v>
      </c>
      <c r="X71" s="153">
        <f t="shared" si="11"/>
        <v>46809</v>
      </c>
      <c r="Y71" s="380">
        <f t="shared" si="12"/>
        <v>157.13554232801602</v>
      </c>
      <c r="Z71" s="380">
        <f t="shared" si="22"/>
        <v>162.35050846698505</v>
      </c>
      <c r="AA71" s="381">
        <f t="shared" si="13"/>
        <v>173.62445641767167</v>
      </c>
      <c r="AB71" s="193">
        <f t="shared" si="14"/>
        <v>46809</v>
      </c>
      <c r="AC71" s="119">
        <f>IF(OR(t&lt;Tnet,NoTnet),'2027'!Resal_s+('2027'!Salim-'2027'!Resal_s)*(1-EXP(('2027'!Tnet_s-t)/'2027'!Tau_j)),Resal_s+(Salim-Resal_s)*(1-EXP((Tnet_s-t)/Tau_j)))*Salcycl</f>
        <v>6.4932948867329823E-2</v>
      </c>
      <c r="AD71" s="227">
        <f>(INDEX(Models!$BJ71:$BT71,,AH71)*(1-AF71)+INDEX(Models!$BJ71:$BT71,,AH71+1)*AF71-ERP_i)*AE71*Ramure*Pc/MaxiM</f>
        <v>3.9229138516022242E-4</v>
      </c>
      <c r="AE71" s="301">
        <f t="shared" si="15"/>
        <v>0.5</v>
      </c>
      <c r="AF71" s="173">
        <f t="shared" si="23"/>
        <v>0.9957119347483121</v>
      </c>
      <c r="AG71" s="801">
        <f t="shared" si="24"/>
        <v>2</v>
      </c>
      <c r="AH71" s="172">
        <f t="shared" si="16"/>
        <v>8</v>
      </c>
      <c r="AI71" s="221">
        <f t="shared" si="17"/>
        <v>2.9957119347483121</v>
      </c>
      <c r="AJ71" s="261" t="b">
        <f t="shared" si="18"/>
        <v>1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46810</v>
      </c>
      <c r="B72" s="406">
        <f>'2027'!Wh/'2027'!Env_an*'2028'!Env_an</f>
        <v>106.74157203227936</v>
      </c>
      <c r="C72" s="831"/>
      <c r="D72" s="388">
        <f t="shared" si="0"/>
        <v>110.28558827285617</v>
      </c>
      <c r="E72" s="380">
        <f t="shared" si="1"/>
        <v>115.52938608433476</v>
      </c>
      <c r="F72" s="380">
        <f t="shared" si="2"/>
        <v>115.55225020545663</v>
      </c>
      <c r="G72" s="110">
        <f t="shared" si="21"/>
        <v>0.66782621738578751</v>
      </c>
      <c r="H72" s="409" t="b">
        <f>Wh_hp&gt;='2027'!Maxi_hp</f>
        <v>0</v>
      </c>
      <c r="I72" s="385">
        <f>IF(H72,Wh_hp,'2027'!Maxi_hp)</f>
        <v>115.57286305662481</v>
      </c>
      <c r="J72" s="85">
        <f>IF(H72,An,'2027'!An_max)</f>
        <v>2022</v>
      </c>
      <c r="K72" s="193">
        <f t="shared" si="3"/>
        <v>46810</v>
      </c>
      <c r="L72" s="143">
        <f>IF(t&lt;Tvie,1-EXP((T0-t)*PertePVj)+'2027'!Pspv,1-EXP((T0-t)*PertePVj)+Pspv)</f>
        <v>3.2134899002475348E-2</v>
      </c>
      <c r="M72" s="835"/>
      <c r="N72" s="835"/>
      <c r="O72" s="48">
        <f>IF(t&lt;Tnet,'2027'!Resal+('2027'!Salim-'2027'!Resal)*(1-EXP(('2027'!Tnet-t)/('2027'!Tau_j))),Resal+(Salim-Resal)*(1-EXP((Tnet-t)/(Tau_j))))*Salcycl</f>
        <v>4.5389298681555321E-2</v>
      </c>
      <c r="P72" s="165">
        <f>(INDEX(Models!$BJ72:$BT72,,T72)*(1-R72)+INDEX(Models!$BJ72:$BT72,,T72+1)*R72-ERP_i)*Q72*Ramure*Pc/MaxiM</f>
        <v>3.7643555136253592E-4</v>
      </c>
      <c r="Q72" s="301">
        <f t="shared" si="4"/>
        <v>0.5</v>
      </c>
      <c r="R72" s="173">
        <f t="shared" si="5"/>
        <v>0.99599641034312247</v>
      </c>
      <c r="S72" s="801">
        <f t="shared" si="6"/>
        <v>2</v>
      </c>
      <c r="T72" s="172">
        <f t="shared" si="7"/>
        <v>8</v>
      </c>
      <c r="U72" s="247">
        <f t="shared" si="8"/>
        <v>2.9959964103431225</v>
      </c>
      <c r="V72" s="378">
        <f t="shared" si="9"/>
        <v>159.80580714992163</v>
      </c>
      <c r="W72" s="397">
        <f t="shared" si="10"/>
        <v>106.74157203227936</v>
      </c>
      <c r="X72" s="153">
        <f t="shared" si="11"/>
        <v>46810</v>
      </c>
      <c r="Y72" s="380">
        <f t="shared" si="12"/>
        <v>104.55431816499588</v>
      </c>
      <c r="Z72" s="380">
        <f t="shared" si="22"/>
        <v>108.02571355991405</v>
      </c>
      <c r="AA72" s="381">
        <f t="shared" si="13"/>
        <v>115.52938608433476</v>
      </c>
      <c r="AB72" s="193">
        <f t="shared" si="14"/>
        <v>46810</v>
      </c>
      <c r="AC72" s="119">
        <f>IF(OR(t&lt;Tnet,NoTnet),'2027'!Resal_s+('2027'!Salim-'2027'!Resal_s)*(1-EXP(('2027'!Tnet_s-t)/'2027'!Tau_j)),Resal_s+(Salim-Resal_s)*(1-EXP((Tnet_s-t)/Tau_j)))*Salcycl</f>
        <v>6.4950336695662345E-2</v>
      </c>
      <c r="AD72" s="227">
        <f>(INDEX(Models!$BJ72:$BT72,,AH72)*(1-AF72)+INDEX(Models!$BJ72:$BT72,,AH72+1)*AF72-ERP_i)*AE72*Ramure*Pc/MaxiM</f>
        <v>3.7643555136253592E-4</v>
      </c>
      <c r="AE72" s="301">
        <f t="shared" si="15"/>
        <v>0.5</v>
      </c>
      <c r="AF72" s="173">
        <f t="shared" si="23"/>
        <v>0.99599641034312247</v>
      </c>
      <c r="AG72" s="801">
        <f t="shared" si="24"/>
        <v>2</v>
      </c>
      <c r="AH72" s="172">
        <f t="shared" si="16"/>
        <v>8</v>
      </c>
      <c r="AI72" s="221">
        <f t="shared" si="17"/>
        <v>2.9959964103431225</v>
      </c>
      <c r="AJ72" s="261" t="b">
        <f t="shared" si="18"/>
        <v>1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46811</v>
      </c>
      <c r="B73" s="406">
        <f>'2027'!Wh/'2027'!Env_an*'2028'!Env_an</f>
        <v>144.81495000345453</v>
      </c>
      <c r="C73" s="831"/>
      <c r="D73" s="388">
        <f t="shared" si="0"/>
        <v>149.62512056317868</v>
      </c>
      <c r="E73" s="380">
        <f t="shared" si="1"/>
        <v>156.74573868408123</v>
      </c>
      <c r="F73" s="380">
        <f t="shared" si="2"/>
        <v>156.79410150901344</v>
      </c>
      <c r="G73" s="110">
        <f t="shared" si="21"/>
        <v>0.89828573048545846</v>
      </c>
      <c r="H73" s="409" t="b">
        <f>Wh_hp&gt;='2027'!Maxi_hp</f>
        <v>0</v>
      </c>
      <c r="I73" s="385">
        <f>IF(H73,Wh_hp,'2027'!Maxi_hp)</f>
        <v>156.80231017233547</v>
      </c>
      <c r="J73" s="85">
        <f>IF(H73,An,'2027'!An_max)</f>
        <v>2022</v>
      </c>
      <c r="K73" s="193">
        <f t="shared" si="3"/>
        <v>46811</v>
      </c>
      <c r="L73" s="143">
        <f>IF(t&lt;Tvie,1-EXP((T0-t)*PertePVj)+'2027'!Pspv,1-EXP((T0-t)*PertePVj)+Pspv)</f>
        <v>3.2148148262931997E-2</v>
      </c>
      <c r="M73" s="835"/>
      <c r="N73" s="835"/>
      <c r="O73" s="48">
        <f>IF(t&lt;Tnet,'2027'!Resal+('2027'!Salim-'2027'!Resal)*(1-EXP(('2027'!Tnet-t)/('2027'!Tau_j))),Resal+(Salim-Resal)*(1-EXP((Tnet-t)/(Tau_j))))*Salcycl</f>
        <v>4.5427825857863112E-2</v>
      </c>
      <c r="P73" s="165">
        <f>(INDEX(Models!$BJ73:$BT73,,T73)*(1-R73)+INDEX(Models!$BJ73:$BT73,,T73+1)*R73-ERP_i)*Q73*Ramure*Pc/MaxiM</f>
        <v>3.608586740264883E-4</v>
      </c>
      <c r="Q73" s="301">
        <f t="shared" si="4"/>
        <v>0.5</v>
      </c>
      <c r="R73" s="173">
        <f t="shared" si="5"/>
        <v>0.99629247191571002</v>
      </c>
      <c r="S73" s="801">
        <f t="shared" si="6"/>
        <v>2</v>
      </c>
      <c r="T73" s="172">
        <f t="shared" si="7"/>
        <v>8</v>
      </c>
      <c r="U73" s="247">
        <f t="shared" si="8"/>
        <v>2.99629247191571</v>
      </c>
      <c r="V73" s="378">
        <f t="shared" si="9"/>
        <v>161.20411679291718</v>
      </c>
      <c r="W73" s="397">
        <f t="shared" si="10"/>
        <v>144.81495000345453</v>
      </c>
      <c r="X73" s="153">
        <f t="shared" si="11"/>
        <v>46811</v>
      </c>
      <c r="Y73" s="380">
        <f t="shared" si="12"/>
        <v>141.85062230770964</v>
      </c>
      <c r="Z73" s="380">
        <f t="shared" si="22"/>
        <v>146.56232981640827</v>
      </c>
      <c r="AA73" s="381">
        <f t="shared" si="13"/>
        <v>156.74573868408123</v>
      </c>
      <c r="AB73" s="193">
        <f t="shared" si="14"/>
        <v>46811</v>
      </c>
      <c r="AC73" s="119">
        <f>IF(OR(t&lt;Tnet,NoTnet),'2027'!Resal_s+('2027'!Salim-'2027'!Resal_s)*(1-EXP(('2027'!Tnet_s-t)/'2027'!Tau_j)),Resal_s+(Salim-Resal_s)*(1-EXP((Tnet_s-t)/Tau_j)))*Salcycl</f>
        <v>6.496769196512249E-2</v>
      </c>
      <c r="AD73" s="227">
        <f>(INDEX(Models!$BJ73:$BT73,,AH73)*(1-AF73)+INDEX(Models!$BJ73:$BT73,,AH73+1)*AF73-ERP_i)*AE73*Ramure*Pc/MaxiM</f>
        <v>3.608586740264883E-4</v>
      </c>
      <c r="AE73" s="301">
        <f t="shared" si="15"/>
        <v>0.5</v>
      </c>
      <c r="AF73" s="173">
        <f t="shared" si="23"/>
        <v>0.99629247191571002</v>
      </c>
      <c r="AG73" s="801">
        <f t="shared" si="24"/>
        <v>2</v>
      </c>
      <c r="AH73" s="172">
        <f t="shared" si="16"/>
        <v>8</v>
      </c>
      <c r="AI73" s="221">
        <f t="shared" si="17"/>
        <v>2.99629247191571</v>
      </c>
      <c r="AJ73" s="261" t="b">
        <f t="shared" si="18"/>
        <v>1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46812</v>
      </c>
      <c r="B74" s="406">
        <f>'2027'!Wh/'2027'!Env_an*'2028'!Env_an</f>
        <v>162.70292521422894</v>
      </c>
      <c r="C74" s="831"/>
      <c r="D74" s="388">
        <f t="shared" si="0"/>
        <v>168.10956368902484</v>
      </c>
      <c r="E74" s="380">
        <f t="shared" si="1"/>
        <v>176.11695078784109</v>
      </c>
      <c r="F74" s="380">
        <f t="shared" si="2"/>
        <v>176.17782993937291</v>
      </c>
      <c r="G74" s="110">
        <f t="shared" si="21"/>
        <v>1.0006732370823299</v>
      </c>
      <c r="H74" s="409" t="b">
        <f>Wh_hp&gt;='2027'!Maxi_hp</f>
        <v>1</v>
      </c>
      <c r="I74" s="385">
        <f>IF(H74,Wh_hp,'2027'!Maxi_hp)</f>
        <v>176.17782993937291</v>
      </c>
      <c r="J74" s="85">
        <f>IF(H74,An,'2027'!An_max)</f>
        <v>2028</v>
      </c>
      <c r="K74" s="193">
        <f t="shared" si="3"/>
        <v>46812</v>
      </c>
      <c r="L74" s="143">
        <f>IF(t&lt;Tvie,1-EXP((T0-t)*PertePVj)+'2027'!Pspv,1-EXP((T0-t)*PertePVj)+Pspv)</f>
        <v>3.2161397342017284E-2</v>
      </c>
      <c r="M74" s="835"/>
      <c r="N74" s="835"/>
      <c r="O74" s="48">
        <f>IF(t&lt;Tnet,'2027'!Resal+('2027'!Salim-'2027'!Resal)*(1-EXP(('2027'!Tnet-t)/('2027'!Tau_j))),Resal+(Salim-Resal)*(1-EXP((Tnet-t)/(Tau_j))))*Salcycl</f>
        <v>4.5466305560004493E-2</v>
      </c>
      <c r="P74" s="165">
        <f>(INDEX(Models!$BJ74:$BT74,,T74)*(1-R74)+INDEX(Models!$BJ74:$BT74,,T74+1)*R74-ERP_i)*Q74*Ramure*Pc/MaxiM</f>
        <v>3.455551220762843E-4</v>
      </c>
      <c r="Q74" s="301">
        <f t="shared" si="4"/>
        <v>0.5</v>
      </c>
      <c r="R74" s="173">
        <f t="shared" si="5"/>
        <v>0.99660057636076882</v>
      </c>
      <c r="S74" s="801">
        <f t="shared" si="6"/>
        <v>2</v>
      </c>
      <c r="T74" s="172">
        <f t="shared" si="7"/>
        <v>8</v>
      </c>
      <c r="U74" s="247">
        <f t="shared" si="8"/>
        <v>2.9966005763607688</v>
      </c>
      <c r="V74" s="378">
        <f t="shared" si="9"/>
        <v>162.59346126675979</v>
      </c>
      <c r="W74" s="397">
        <f t="shared" si="10"/>
        <v>162.70292521422894</v>
      </c>
      <c r="X74" s="153">
        <f t="shared" si="11"/>
        <v>46812</v>
      </c>
      <c r="Y74" s="380">
        <f t="shared" si="12"/>
        <v>159.37590605603125</v>
      </c>
      <c r="Z74" s="380">
        <f t="shared" si="22"/>
        <v>164.67198726971208</v>
      </c>
      <c r="AA74" s="381">
        <f t="shared" si="13"/>
        <v>176.11695078784109</v>
      </c>
      <c r="AB74" s="193">
        <f t="shared" si="14"/>
        <v>46812</v>
      </c>
      <c r="AC74" s="119">
        <f>IF(OR(t&lt;Tnet,NoTnet),'2027'!Resal_s+('2027'!Salim-'2027'!Resal_s)*(1-EXP(('2027'!Tnet_s-t)/'2027'!Tau_j)),Resal_s+(Salim-Resal_s)*(1-EXP((Tnet_s-t)/Tau_j)))*Salcycl</f>
        <v>6.4985019709523362E-2</v>
      </c>
      <c r="AD74" s="227">
        <f>(INDEX(Models!$BJ74:$BT74,,AH74)*(1-AF74)+INDEX(Models!$BJ74:$BT74,,AH74+1)*AF74-ERP_i)*AE74*Ramure*Pc/MaxiM</f>
        <v>3.455551220762843E-4</v>
      </c>
      <c r="AE74" s="301">
        <f t="shared" si="15"/>
        <v>0.5</v>
      </c>
      <c r="AF74" s="173">
        <f t="shared" si="23"/>
        <v>0.99660057636076882</v>
      </c>
      <c r="AG74" s="801">
        <f t="shared" si="24"/>
        <v>2</v>
      </c>
      <c r="AH74" s="172">
        <f t="shared" si="16"/>
        <v>8</v>
      </c>
      <c r="AI74" s="221">
        <f t="shared" si="17"/>
        <v>2.9966005763607688</v>
      </c>
      <c r="AJ74" s="261" t="b">
        <f t="shared" si="18"/>
        <v>1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46813</v>
      </c>
      <c r="B75" s="406">
        <f>'2027'!Wh/'2027'!Env_an*'2028'!Env_an</f>
        <v>49.794812208857685</v>
      </c>
      <c r="C75" s="831"/>
      <c r="D75" s="388">
        <f t="shared" si="0"/>
        <v>51.450204332208514</v>
      </c>
      <c r="E75" s="380">
        <f t="shared" si="1"/>
        <v>53.903048666977114</v>
      </c>
      <c r="F75" s="380">
        <f t="shared" si="2"/>
        <v>53.903142280364008</v>
      </c>
      <c r="G75" s="110">
        <f t="shared" si="21"/>
        <v>0.30357827175631802</v>
      </c>
      <c r="H75" s="409" t="b">
        <f>Wh_hp&gt;='2027'!Maxi_hp</f>
        <v>0</v>
      </c>
      <c r="I75" s="385">
        <f>IF(H75,Wh_hp,'2027'!Maxi_hp)</f>
        <v>53.920842364129726</v>
      </c>
      <c r="J75" s="85">
        <f>IF(H75,An,'2027'!An_max)</f>
        <v>2022</v>
      </c>
      <c r="K75" s="193">
        <f t="shared" si="3"/>
        <v>46813</v>
      </c>
      <c r="L75" s="143">
        <f>IF(t&lt;Tvie,1-EXP((T0-t)*PertePVj)+'2027'!Pspv,1-EXP((T0-t)*PertePVj)+Pspv)</f>
        <v>3.2174646239733873E-2</v>
      </c>
      <c r="M75" s="835"/>
      <c r="N75" s="835"/>
      <c r="O75" s="48">
        <f>IF(t&lt;Tnet,'2027'!Resal+('2027'!Salim-'2027'!Resal)*(1-EXP(('2027'!Tnet-t)/('2027'!Tau_j))),Resal+(Salim-Resal)*(1-EXP((Tnet-t)/(Tau_j))))*Salcycl</f>
        <v>4.5504742225671156E-2</v>
      </c>
      <c r="P75" s="165">
        <f>(INDEX(Models!$BJ75:$BT75,,T75)*(1-R75)+INDEX(Models!$BJ75:$BT75,,T75+1)*R75-ERP_i)*Q75*Ramure*Pc/MaxiM</f>
        <v>3.3051905371639259E-4</v>
      </c>
      <c r="Q75" s="301">
        <f t="shared" si="4"/>
        <v>0.5</v>
      </c>
      <c r="R75" s="173">
        <f t="shared" si="5"/>
        <v>0.99692119733003048</v>
      </c>
      <c r="S75" s="801">
        <f t="shared" si="6"/>
        <v>2</v>
      </c>
      <c r="T75" s="172">
        <f t="shared" si="7"/>
        <v>8</v>
      </c>
      <c r="U75" s="247">
        <f t="shared" si="8"/>
        <v>2.9969211973300305</v>
      </c>
      <c r="V75" s="378">
        <f t="shared" si="9"/>
        <v>163.9723430688617</v>
      </c>
      <c r="W75" s="397">
        <f t="shared" si="10"/>
        <v>49.794812208857685</v>
      </c>
      <c r="X75" s="153">
        <f t="shared" si="11"/>
        <v>46813</v>
      </c>
      <c r="Y75" s="380">
        <f t="shared" si="12"/>
        <v>48.77764787337518</v>
      </c>
      <c r="Z75" s="380">
        <f t="shared" si="22"/>
        <v>50.399225112114166</v>
      </c>
      <c r="AA75" s="381">
        <f t="shared" si="13"/>
        <v>53.903048666977114</v>
      </c>
      <c r="AB75" s="193">
        <f t="shared" si="14"/>
        <v>46813</v>
      </c>
      <c r="AC75" s="119">
        <f>IF(OR(t&lt;Tnet,NoTnet),'2027'!Resal_s+('2027'!Salim-'2027'!Resal_s)*(1-EXP(('2027'!Tnet_s-t)/'2027'!Tau_j)),Resal_s+(Salim-Resal_s)*(1-EXP((Tnet_s-t)/Tau_j)))*Salcycl</f>
        <v>6.500232624151199E-2</v>
      </c>
      <c r="AD75" s="227">
        <f>(INDEX(Models!$BJ75:$BT75,,AH75)*(1-AF75)+INDEX(Models!$BJ75:$BT75,,AH75+1)*AF75-ERP_i)*AE75*Ramure*Pc/MaxiM</f>
        <v>3.3051905371639259E-4</v>
      </c>
      <c r="AE75" s="301">
        <f t="shared" si="15"/>
        <v>0.5</v>
      </c>
      <c r="AF75" s="173">
        <f t="shared" si="23"/>
        <v>0.99692119733003048</v>
      </c>
      <c r="AG75" s="801">
        <f t="shared" si="24"/>
        <v>2</v>
      </c>
      <c r="AH75" s="172">
        <f t="shared" si="16"/>
        <v>8</v>
      </c>
      <c r="AI75" s="221">
        <f t="shared" si="17"/>
        <v>2.9969211973300305</v>
      </c>
      <c r="AJ75" s="261" t="b">
        <f t="shared" si="18"/>
        <v>1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46814</v>
      </c>
      <c r="B76" s="406">
        <f>'2027'!Wh/'2027'!Env_an*'2028'!Env_an</f>
        <v>150.1331377410288</v>
      </c>
      <c r="C76" s="831"/>
      <c r="D76" s="388">
        <f t="shared" si="0"/>
        <v>155.12632768135947</v>
      </c>
      <c r="E76" s="380">
        <f t="shared" si="1"/>
        <v>162.5283806726417</v>
      </c>
      <c r="F76" s="380">
        <f t="shared" si="2"/>
        <v>162.5729680106912</v>
      </c>
      <c r="G76" s="110">
        <f t="shared" si="21"/>
        <v>0.90799307761436454</v>
      </c>
      <c r="H76" s="409" t="b">
        <f>Wh_hp&gt;='2027'!Maxi_hp</f>
        <v>0</v>
      </c>
      <c r="I76" s="385">
        <f>IF(H76,Wh_hp,'2027'!Maxi_hp)</f>
        <v>162.57970315575704</v>
      </c>
      <c r="J76" s="85">
        <f>IF(H76,An,'2027'!An_max)</f>
        <v>2022</v>
      </c>
      <c r="K76" s="193">
        <f t="shared" si="3"/>
        <v>46814</v>
      </c>
      <c r="L76" s="143">
        <f>IF(t&lt;Tvie,1-EXP((T0-t)*PertePVj)+'2027'!Pspv,1-EXP((T0-t)*PertePVj)+Pspv)</f>
        <v>3.2187894956084095E-2</v>
      </c>
      <c r="M76" s="835"/>
      <c r="N76" s="835"/>
      <c r="O76" s="48">
        <f>IF(t&lt;Tnet,'2027'!Resal+('2027'!Salim-'2027'!Resal)*(1-EXP(('2027'!Tnet-t)/('2027'!Tau_j))),Resal+(Salim-Resal)*(1-EXP((Tnet-t)/(Tau_j))))*Salcycl</f>
        <v>4.5543141208003325E-2</v>
      </c>
      <c r="P76" s="165">
        <f>(INDEX(Models!$BJ76:$BT76,,T76)*(1-R76)+INDEX(Models!$BJ76:$BT76,,T76+1)*R76-ERP_i)*Q76*Ramure*Pc/MaxiM</f>
        <v>3.1574443308404477E-4</v>
      </c>
      <c r="Q76" s="301">
        <f t="shared" si="4"/>
        <v>0.5</v>
      </c>
      <c r="R76" s="173">
        <f t="shared" si="5"/>
        <v>0.99725482573988833</v>
      </c>
      <c r="S76" s="801">
        <f t="shared" si="6"/>
        <v>2</v>
      </c>
      <c r="T76" s="172">
        <f t="shared" si="7"/>
        <v>8</v>
      </c>
      <c r="U76" s="247">
        <f t="shared" si="8"/>
        <v>2.9972548257398883</v>
      </c>
      <c r="V76" s="378">
        <f t="shared" si="9"/>
        <v>165.33926481995439</v>
      </c>
      <c r="W76" s="397">
        <f t="shared" si="10"/>
        <v>150.1331377410288</v>
      </c>
      <c r="X76" s="153">
        <f t="shared" si="11"/>
        <v>46814</v>
      </c>
      <c r="Y76" s="380">
        <f t="shared" si="12"/>
        <v>147.06954746865244</v>
      </c>
      <c r="Z76" s="380">
        <f t="shared" si="22"/>
        <v>151.96084725761821</v>
      </c>
      <c r="AA76" s="381">
        <f t="shared" si="13"/>
        <v>162.5283806726417</v>
      </c>
      <c r="AB76" s="193">
        <f t="shared" si="14"/>
        <v>46814</v>
      </c>
      <c r="AC76" s="119">
        <f>IF(OR(t&lt;Tnet,NoTnet),'2027'!Resal_s+('2027'!Salim-'2027'!Resal_s)*(1-EXP(('2027'!Tnet_s-t)/'2027'!Tau_j)),Resal_s+(Salim-Resal_s)*(1-EXP((Tnet_s-t)/Tau_j)))*Salcycl</f>
        <v>6.5019619166133219E-2</v>
      </c>
      <c r="AD76" s="227">
        <f>(INDEX(Models!$BJ76:$BT76,,AH76)*(1-AF76)+INDEX(Models!$BJ76:$BT76,,AH76+1)*AF76-ERP_i)*AE76*Ramure*Pc/MaxiM</f>
        <v>3.1574443308404477E-4</v>
      </c>
      <c r="AE76" s="301">
        <f t="shared" si="15"/>
        <v>0.5</v>
      </c>
      <c r="AF76" s="173">
        <f t="shared" si="23"/>
        <v>0.99725482573988833</v>
      </c>
      <c r="AG76" s="801">
        <f t="shared" si="24"/>
        <v>2</v>
      </c>
      <c r="AH76" s="172">
        <f t="shared" si="16"/>
        <v>8</v>
      </c>
      <c r="AI76" s="221">
        <f t="shared" si="17"/>
        <v>2.9972548257398883</v>
      </c>
      <c r="AJ76" s="261" t="b">
        <f t="shared" si="18"/>
        <v>1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46815</v>
      </c>
      <c r="B77" s="406">
        <f>'2027'!Wh/'2027'!Env_an*'2028'!Env_an</f>
        <v>19.170281012998856</v>
      </c>
      <c r="C77" s="831"/>
      <c r="D77" s="388">
        <f t="shared" si="0"/>
        <v>19.808125298009152</v>
      </c>
      <c r="E77" s="380">
        <f t="shared" si="1"/>
        <v>20.754129850018725</v>
      </c>
      <c r="F77" s="380">
        <f t="shared" si="2"/>
        <v>20.754129850018725</v>
      </c>
      <c r="G77" s="110">
        <f t="shared" si="21"/>
        <v>0.11496906031194577</v>
      </c>
      <c r="H77" s="409" t="b">
        <f>Wh_hp&gt;='2027'!Maxi_hp</f>
        <v>0</v>
      </c>
      <c r="I77" s="385">
        <f>IF(H77,Wh_hp,'2027'!Maxi_hp)</f>
        <v>20.760372655450283</v>
      </c>
      <c r="J77" s="85">
        <f>IF(H77,An,'2027'!An_max)</f>
        <v>2022</v>
      </c>
      <c r="K77" s="193">
        <f t="shared" si="3"/>
        <v>46815</v>
      </c>
      <c r="L77" s="143">
        <f>IF(t&lt;Tvie,1-EXP((T0-t)*PertePVj)+'2027'!Pspv,1-EXP((T0-t)*PertePVj)+Pspv)</f>
        <v>3.2201143491070505E-2</v>
      </c>
      <c r="M77" s="835"/>
      <c r="N77" s="835"/>
      <c r="O77" s="48">
        <f>IF(t&lt;Tnet,'2027'!Resal+('2027'!Salim-'2027'!Resal)*(1-EXP(('2027'!Tnet-t)/('2027'!Tau_j))),Resal+(Salim-Resal)*(1-EXP((Tnet-t)/(Tau_j))))*Salcycl</f>
        <v>4.5581508781430302E-2</v>
      </c>
      <c r="P77" s="165">
        <f>(INDEX(Models!$BJ77:$BT77,,T77)*(1-R77)+INDEX(Models!$BJ77:$BT77,,T77+1)*R77-ERP_i)*Q77*Ramure*Pc/MaxiM</f>
        <v>3.0122504413701725E-4</v>
      </c>
      <c r="Q77" s="301">
        <f t="shared" si="4"/>
        <v>0.5</v>
      </c>
      <c r="R77" s="173">
        <f t="shared" si="5"/>
        <v>0.99760197028498654</v>
      </c>
      <c r="S77" s="801">
        <f t="shared" si="6"/>
        <v>2</v>
      </c>
      <c r="T77" s="172">
        <f t="shared" si="7"/>
        <v>8</v>
      </c>
      <c r="U77" s="247">
        <f t="shared" si="8"/>
        <v>2.9976019702849865</v>
      </c>
      <c r="V77" s="378">
        <f t="shared" si="9"/>
        <v>166.69272926346881</v>
      </c>
      <c r="W77" s="397">
        <f t="shared" si="10"/>
        <v>19.170281012998856</v>
      </c>
      <c r="X77" s="153">
        <f t="shared" si="11"/>
        <v>46815</v>
      </c>
      <c r="Y77" s="380">
        <f t="shared" si="12"/>
        <v>18.779503317583806</v>
      </c>
      <c r="Z77" s="380">
        <f t="shared" si="22"/>
        <v>19.404345429096438</v>
      </c>
      <c r="AA77" s="381">
        <f t="shared" si="13"/>
        <v>20.754129850018725</v>
      </c>
      <c r="AB77" s="193">
        <f t="shared" si="14"/>
        <v>46815</v>
      </c>
      <c r="AC77" s="119">
        <f>IF(OR(t&lt;Tnet,NoTnet),'2027'!Resal_s+('2027'!Salim-'2027'!Resal_s)*(1-EXP(('2027'!Tnet_s-t)/'2027'!Tau_j)),Resal_s+(Salim-Resal_s)*(1-EXP((Tnet_s-t)/Tau_j)))*Salcycl</f>
        <v>6.5036907385498943E-2</v>
      </c>
      <c r="AD77" s="227">
        <f>(INDEX(Models!$BJ77:$BT77,,AH77)*(1-AF77)+INDEX(Models!$BJ77:$BT77,,AH77+1)*AF77-ERP_i)*AE77*Ramure*Pc/MaxiM</f>
        <v>3.0122504413701725E-4</v>
      </c>
      <c r="AE77" s="301">
        <f t="shared" si="15"/>
        <v>0.5</v>
      </c>
      <c r="AF77" s="173">
        <f t="shared" si="23"/>
        <v>0.99760197028498654</v>
      </c>
      <c r="AG77" s="801">
        <f t="shared" si="24"/>
        <v>2</v>
      </c>
      <c r="AH77" s="172">
        <f t="shared" si="16"/>
        <v>8</v>
      </c>
      <c r="AI77" s="221">
        <f t="shared" si="17"/>
        <v>2.9976019702849865</v>
      </c>
      <c r="AJ77" s="261" t="b">
        <f t="shared" si="18"/>
        <v>1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46816</v>
      </c>
      <c r="B78" s="406">
        <f>'2027'!Wh/'2027'!Env_an*'2028'!Env_an</f>
        <v>63.308218471327329</v>
      </c>
      <c r="C78" s="831"/>
      <c r="D78" s="388">
        <f t="shared" si="0"/>
        <v>65.41554031992591</v>
      </c>
      <c r="E78" s="380">
        <f t="shared" si="1"/>
        <v>68.542436121183059</v>
      </c>
      <c r="F78" s="380">
        <f t="shared" si="2"/>
        <v>68.544593115775598</v>
      </c>
      <c r="G78" s="110">
        <f t="shared" si="21"/>
        <v>0.3766683140421529</v>
      </c>
      <c r="H78" s="409" t="b">
        <f>Wh_hp&gt;='2027'!Maxi_hp</f>
        <v>0</v>
      </c>
      <c r="I78" s="385">
        <f>IF(H78,Wh_hp,'2027'!Maxi_hp)</f>
        <v>68.562079160993505</v>
      </c>
      <c r="J78" s="85">
        <f>IF(H78,An,'2027'!An_max)</f>
        <v>2022</v>
      </c>
      <c r="K78" s="193">
        <f t="shared" si="3"/>
        <v>46816</v>
      </c>
      <c r="L78" s="143">
        <f>IF(t&lt;Tvie,1-EXP((T0-t)*PertePVj)+'2027'!Pspv,1-EXP((T0-t)*PertePVj)+Pspv)</f>
        <v>3.2214391844695656E-2</v>
      </c>
      <c r="M78" s="835"/>
      <c r="N78" s="835"/>
      <c r="O78" s="48">
        <f>IF(t&lt;Tnet,'2027'!Resal+('2027'!Salim-'2027'!Resal)*(1-EXP(('2027'!Tnet-t)/('2027'!Tau_j))),Resal+(Salim-Resal)*(1-EXP((Tnet-t)/(Tau_j))))*Salcycl</f>
        <v>4.5619852141362459E-2</v>
      </c>
      <c r="P78" s="165">
        <f>(INDEX(Models!$BJ78:$BT78,,T78)*(1-R78)+INDEX(Models!$BJ78:$BT78,,T78+1)*R78-ERP_i)*Q78*Ramure*Pc/MaxiM</f>
        <v>2.8695450210634133E-4</v>
      </c>
      <c r="Q78" s="301">
        <f t="shared" si="4"/>
        <v>0.5</v>
      </c>
      <c r="R78" s="173">
        <f t="shared" si="5"/>
        <v>0.99796315795688217</v>
      </c>
      <c r="S78" s="801">
        <f t="shared" si="6"/>
        <v>2</v>
      </c>
      <c r="T78" s="172">
        <f t="shared" si="7"/>
        <v>8</v>
      </c>
      <c r="U78" s="247">
        <f t="shared" si="8"/>
        <v>2.9979631579568822</v>
      </c>
      <c r="V78" s="378">
        <f t="shared" si="9"/>
        <v>168.0312392582706</v>
      </c>
      <c r="W78" s="397">
        <f t="shared" si="10"/>
        <v>63.308218471327329</v>
      </c>
      <c r="X78" s="153">
        <f t="shared" si="11"/>
        <v>46816</v>
      </c>
      <c r="Y78" s="380">
        <f t="shared" si="12"/>
        <v>62.019052920109722</v>
      </c>
      <c r="Z78" s="380">
        <f t="shared" si="22"/>
        <v>64.083462698235621</v>
      </c>
      <c r="AA78" s="381">
        <f t="shared" si="13"/>
        <v>68.542436121183059</v>
      </c>
      <c r="AB78" s="193">
        <f t="shared" si="14"/>
        <v>46816</v>
      </c>
      <c r="AC78" s="119">
        <f>IF(OR(t&lt;Tnet,NoTnet),'2027'!Resal_s+('2027'!Salim-'2027'!Resal_s)*(1-EXP(('2027'!Tnet_s-t)/'2027'!Tau_j)),Resal_s+(Salim-Resal_s)*(1-EXP((Tnet_s-t)/Tau_j)))*Salcycl</f>
        <v>6.5054201094690761E-2</v>
      </c>
      <c r="AD78" s="227">
        <f>(INDEX(Models!$BJ78:$BT78,,AH78)*(1-AF78)+INDEX(Models!$BJ78:$BT78,,AH78+1)*AF78-ERP_i)*AE78*Ramure*Pc/MaxiM</f>
        <v>2.8695450210634133E-4</v>
      </c>
      <c r="AE78" s="301">
        <f t="shared" si="15"/>
        <v>0.5</v>
      </c>
      <c r="AF78" s="173">
        <f t="shared" si="23"/>
        <v>0.99796315795688217</v>
      </c>
      <c r="AG78" s="801">
        <f t="shared" si="24"/>
        <v>2</v>
      </c>
      <c r="AH78" s="172">
        <f t="shared" si="16"/>
        <v>8</v>
      </c>
      <c r="AI78" s="221">
        <f t="shared" si="17"/>
        <v>2.9979631579568822</v>
      </c>
      <c r="AJ78" s="261" t="b">
        <f t="shared" si="18"/>
        <v>1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46817</v>
      </c>
      <c r="B79" s="406">
        <f>'2027'!Wh/'2027'!Env_an*'2028'!Env_an</f>
        <v>89.381375558803143</v>
      </c>
      <c r="C79" s="831"/>
      <c r="D79" s="388">
        <f t="shared" ref="D79:D142" si="25">Wh/(1-Ppv)</f>
        <v>92.357851138019399</v>
      </c>
      <c r="E79" s="380">
        <f t="shared" si="1"/>
        <v>96.776489455053238</v>
      </c>
      <c r="F79" s="380">
        <f t="shared" ref="F79:F142" si="26">Wh_sa/(1-Pvg*MEDIAN((-Sdif+Wh/Env_an)/Csdif,0,1))</f>
        <v>96.785084507167838</v>
      </c>
      <c r="G79" s="110">
        <f t="shared" si="21"/>
        <v>0.52767463153510197</v>
      </c>
      <c r="H79" s="409" t="b">
        <f>Wh_hp&gt;='2027'!Maxi_hp</f>
        <v>0</v>
      </c>
      <c r="I79" s="385">
        <f>IF(H79,Wh_hp,'2027'!Maxi_hp)</f>
        <v>96.802876321766419</v>
      </c>
      <c r="J79" s="85">
        <f>IF(H79,An,'2027'!An_max)</f>
        <v>2022</v>
      </c>
      <c r="K79" s="193">
        <f t="shared" ref="K79:K142" si="27">t</f>
        <v>46817</v>
      </c>
      <c r="L79" s="143">
        <f>IF(t&lt;Tvie,1-EXP((T0-t)*PertePVj)+'2027'!Pspv,1-EXP((T0-t)*PertePVj)+Pspv)</f>
        <v>3.2227640016961989E-2</v>
      </c>
      <c r="M79" s="835"/>
      <c r="N79" s="835"/>
      <c r="O79" s="48">
        <f>IF(t&lt;Tnet,'2027'!Resal+('2027'!Salim-'2027'!Resal)*(1-EXP(('2027'!Tnet-t)/('2027'!Tau_j))),Resal+(Salim-Resal)*(1-EXP((Tnet-t)/(Tau_j))))*Salcycl</f>
        <v>4.5658179397859079E-2</v>
      </c>
      <c r="P79" s="165">
        <f>(INDEX(Models!$BJ79:$BT79,,T79)*(1-R79)+INDEX(Models!$BJ79:$BT79,,T79+1)*R79-ERP_i)*Q79*Ramure*Pc/MaxiM</f>
        <v>2.7292174845214886E-4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0.99833893456678036</v>
      </c>
      <c r="S79" s="801">
        <f t="shared" ref="S79:S142" si="30">INDEX(Echel_vg,T79)</f>
        <v>2</v>
      </c>
      <c r="T79" s="172">
        <f t="shared" ref="T79:T142" si="31">MIN(MATCH(Hp_vg,Echel_vg),10)</f>
        <v>8</v>
      </c>
      <c r="U79" s="247">
        <f t="shared" ref="U79:U142" si="32">IF(OR(t&lt;Ttai,Notai),Hdd+PousH*Croivg,Hdtf+PousH*(Croivg-Croi_tai))</f>
        <v>2.9983389345667804</v>
      </c>
      <c r="V79" s="378">
        <f t="shared" ref="V79:V142" si="33">MaxiM*(1-Ppv)*(1-Pvg)*(1-Psa)</f>
        <v>169.35609975729818</v>
      </c>
      <c r="W79" s="397">
        <f t="shared" ref="W79:W142" si="34">Wh*(A79&gt;Tmaj)</f>
        <v>89.381375558803143</v>
      </c>
      <c r="X79" s="153">
        <f t="shared" ref="X79:X142" si="35">t</f>
        <v>46817</v>
      </c>
      <c r="Y79" s="380">
        <f t="shared" ref="Y79:Y142" si="36">Wh_pvt_s*(1-Ppv)</f>
        <v>87.563169215893708</v>
      </c>
      <c r="Z79" s="380">
        <f t="shared" ref="Z79:Z142" si="37">Wh_sa_s*(1-Psa_s)</f>
        <v>90.479096982505695</v>
      </c>
      <c r="AA79" s="381">
        <f t="shared" ref="AA79:AA142" si="38">Wh_hp*(1-Pvg_s*MEDIAN((-Sdif+Wh/Env_an)/Csdif,0,1))</f>
        <v>96.776489455053238</v>
      </c>
      <c r="AB79" s="193">
        <f t="shared" ref="AB79:AB142" si="39">t</f>
        <v>46817</v>
      </c>
      <c r="AC79" s="119">
        <f>IF(OR(t&lt;Tnet,NoTnet),'2027'!Resal_s+('2027'!Salim-'2027'!Resal_s)*(1-EXP(('2027'!Tnet_s-t)/'2027'!Tau_j)),Resal_s+(Salim-Resal_s)*(1-EXP((Tnet_s-t)/Tau_j)))*Salcycl</f>
        <v>6.5071511769108817E-2</v>
      </c>
      <c r="AD79" s="227">
        <f>(INDEX(Models!$BJ79:$BT79,,AH79)*(1-AF79)+INDEX(Models!$BJ79:$BT79,,AH79+1)*AF79-ERP_i)*AE79*Ramure*Pc/MaxiM</f>
        <v>2.7292174845214886E-4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0.99833893456678036</v>
      </c>
      <c r="AG79" s="801">
        <f t="shared" si="24"/>
        <v>2</v>
      </c>
      <c r="AH79" s="172">
        <f t="shared" ref="AH79:AH142" si="42">MIN(MATCH(Hp_vg_s,Echel_vg),10)</f>
        <v>8</v>
      </c>
      <c r="AI79" s="221">
        <f t="shared" ref="AI79:AI142" si="43">IF(OR(t&lt;Ttai,Notai),Hdd_s+PousH*Croivg,Hdtai_s+PousH*(Croivg-Croi_tai))</f>
        <v>2.9983389345667804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46818</v>
      </c>
      <c r="B80" s="406">
        <f>'2027'!Wh/'2027'!Env_an*'2028'!Env_an</f>
        <v>132.79085347986327</v>
      </c>
      <c r="C80" s="831"/>
      <c r="D80" s="388">
        <f t="shared" si="25"/>
        <v>137.21477982936671</v>
      </c>
      <c r="E80" s="380">
        <f t="shared" ref="E80:E143" si="47">Wh_pvt/(1-Psa)</f>
        <v>143.78526303906193</v>
      </c>
      <c r="F80" s="380">
        <f t="shared" si="26"/>
        <v>143.81079176235534</v>
      </c>
      <c r="G80" s="110">
        <f t="shared" ref="G80:G143" si="48">+Wh_hp/MaxiM</f>
        <v>0.77799314905241179</v>
      </c>
      <c r="H80" s="409" t="b">
        <f>Wh_hp&gt;='2027'!Maxi_hp</f>
        <v>0</v>
      </c>
      <c r="I80" s="385">
        <f>IF(H80,Wh_hp,'2027'!Maxi_hp)</f>
        <v>143.82262435298446</v>
      </c>
      <c r="J80" s="85">
        <f>IF(H80,An,'2027'!An_max)</f>
        <v>2022</v>
      </c>
      <c r="K80" s="193">
        <f t="shared" si="27"/>
        <v>46818</v>
      </c>
      <c r="L80" s="143">
        <f>IF(t&lt;Tvie,1-EXP((T0-t)*PertePVj)+'2027'!Pspv,1-EXP((T0-t)*PertePVj)+Pspv)</f>
        <v>3.2240888007871948E-2</v>
      </c>
      <c r="M80" s="835"/>
      <c r="N80" s="835"/>
      <c r="O80" s="48">
        <f>IF(t&lt;Tnet,'2027'!Resal+('2027'!Salim-'2027'!Resal)*(1-EXP(('2027'!Tnet-t)/('2027'!Tau_j))),Resal+(Salim-Resal)*(1-EXP((Tnet-t)/(Tau_j))))*Salcycl</f>
        <v>4.5696499563451259E-2</v>
      </c>
      <c r="P80" s="165">
        <f>(INDEX(Models!$BJ80:$BT80,,T80)*(1-R80)+INDEX(Models!$BJ80:$BT80,,T80+1)*R80-ERP_i)*Q80*Ramure*Pc/MaxiM</f>
        <v>2.599295889058201E-4</v>
      </c>
      <c r="Q80" s="301">
        <f t="shared" si="28"/>
        <v>0.5</v>
      </c>
      <c r="R80" s="173">
        <f t="shared" si="29"/>
        <v>0.99872986527121599</v>
      </c>
      <c r="S80" s="801">
        <f t="shared" si="30"/>
        <v>2</v>
      </c>
      <c r="T80" s="172">
        <f t="shared" si="31"/>
        <v>8</v>
      </c>
      <c r="U80" s="247">
        <f t="shared" si="32"/>
        <v>2.998729865271216</v>
      </c>
      <c r="V80" s="378">
        <f t="shared" si="33"/>
        <v>170.66976480963004</v>
      </c>
      <c r="W80" s="397">
        <f t="shared" si="34"/>
        <v>132.79085347986327</v>
      </c>
      <c r="X80" s="153">
        <f t="shared" si="35"/>
        <v>46818</v>
      </c>
      <c r="Y80" s="380">
        <f t="shared" si="36"/>
        <v>130.09241734406731</v>
      </c>
      <c r="Z80" s="380">
        <f t="shared" si="37"/>
        <v>134.42644531269008</v>
      </c>
      <c r="AA80" s="381">
        <f t="shared" si="38"/>
        <v>143.78526303906193</v>
      </c>
      <c r="AB80" s="193">
        <f t="shared" si="39"/>
        <v>46818</v>
      </c>
      <c r="AC80" s="119">
        <f>IF(OR(t&lt;Tnet,NoTnet),'2027'!Resal_s+('2027'!Salim-'2027'!Resal_s)*(1-EXP(('2027'!Tnet_s-t)/'2027'!Tau_j)),Resal_s+(Salim-Resal_s)*(1-EXP((Tnet_s-t)/Tau_j)))*Salcycl</f>
        <v>6.5088852143556336E-2</v>
      </c>
      <c r="AD80" s="227">
        <f>(INDEX(Models!$BJ80:$BT80,,AH80)*(1-AF80)+INDEX(Models!$BJ80:$BT80,,AH80+1)*AF80-ERP_i)*AE80*Ramure*Pc/MaxiM</f>
        <v>2.599295889058201E-4</v>
      </c>
      <c r="AE80" s="301">
        <f t="shared" si="40"/>
        <v>0.5</v>
      </c>
      <c r="AF80" s="173">
        <f t="shared" si="41"/>
        <v>0.99872986527121599</v>
      </c>
      <c r="AG80" s="801">
        <f t="shared" ref="AG80:AG143" si="49">INDEX(Echel_vg,AH80)</f>
        <v>2</v>
      </c>
      <c r="AH80" s="172">
        <f t="shared" si="42"/>
        <v>8</v>
      </c>
      <c r="AI80" s="221">
        <f t="shared" si="43"/>
        <v>2.998729865271216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46819</v>
      </c>
      <c r="B81" s="406">
        <f>'2027'!Wh/'2027'!Env_an*'2028'!Env_an</f>
        <v>122.43870907483475</v>
      </c>
      <c r="C81" s="831"/>
      <c r="D81" s="388">
        <f t="shared" si="25"/>
        <v>126.51948575182527</v>
      </c>
      <c r="E81" s="380">
        <f t="shared" si="47"/>
        <v>132.58315271229969</v>
      </c>
      <c r="F81" s="380">
        <f t="shared" si="26"/>
        <v>132.6024974031497</v>
      </c>
      <c r="G81" s="110">
        <f t="shared" si="48"/>
        <v>0.71189341123961658</v>
      </c>
      <c r="H81" s="409" t="b">
        <f>Wh_hp&gt;='2027'!Maxi_hp</f>
        <v>0</v>
      </c>
      <c r="I81" s="385">
        <f>IF(H81,Wh_hp,'2027'!Maxi_hp)</f>
        <v>132.61599951897398</v>
      </c>
      <c r="J81" s="85">
        <f>IF(H81,An,'2027'!An_max)</f>
        <v>2022</v>
      </c>
      <c r="K81" s="193">
        <f t="shared" si="27"/>
        <v>46819</v>
      </c>
      <c r="L81" s="143">
        <f>IF(t&lt;Tvie,1-EXP((T0-t)*PertePVj)+'2027'!Pspv,1-EXP((T0-t)*PertePVj)+Pspv)</f>
        <v>3.2254135817428087E-2</v>
      </c>
      <c r="M81" s="835"/>
      <c r="N81" s="835"/>
      <c r="O81" s="48">
        <f>IF(t&lt;Tnet,'2027'!Resal+('2027'!Salim-'2027'!Resal)*(1-EXP(('2027'!Tnet-t)/('2027'!Tau_j))),Resal+(Salim-Resal)*(1-EXP((Tnet-t)/(Tau_j))))*Salcycl</f>
        <v>4.573482253535148E-2</v>
      </c>
      <c r="P81" s="165">
        <f>(INDEX(Models!$BJ81:$BT81,,T81)*(1-R81)+INDEX(Models!$BJ81:$BT81,,T81+1)*R81-ERP_i)*Q81*Ramure*Pc/MaxiM</f>
        <v>2.4788298202473751E-4</v>
      </c>
      <c r="Q81" s="301">
        <f t="shared" si="28"/>
        <v>0.5</v>
      </c>
      <c r="R81" s="173">
        <f t="shared" si="29"/>
        <v>0.99913653509942613</v>
      </c>
      <c r="S81" s="801">
        <f t="shared" si="30"/>
        <v>2</v>
      </c>
      <c r="T81" s="172">
        <f t="shared" si="31"/>
        <v>8</v>
      </c>
      <c r="U81" s="247">
        <f t="shared" si="32"/>
        <v>2.9991365350994261</v>
      </c>
      <c r="V81" s="378">
        <f t="shared" si="33"/>
        <v>171.97268129739868</v>
      </c>
      <c r="W81" s="397">
        <f t="shared" si="34"/>
        <v>122.43870907483475</v>
      </c>
      <c r="X81" s="153">
        <f t="shared" si="35"/>
        <v>46819</v>
      </c>
      <c r="Y81" s="380">
        <f t="shared" si="36"/>
        <v>119.95322502277496</v>
      </c>
      <c r="Z81" s="380">
        <f t="shared" si="37"/>
        <v>123.95116265787001</v>
      </c>
      <c r="AA81" s="381">
        <f t="shared" si="38"/>
        <v>132.58315271229969</v>
      </c>
      <c r="AB81" s="193">
        <f t="shared" si="39"/>
        <v>46819</v>
      </c>
      <c r="AC81" s="119">
        <f>IF(OR(t&lt;Tnet,NoTnet),'2027'!Resal_s+('2027'!Salim-'2027'!Resal_s)*(1-EXP(('2027'!Tnet_s-t)/'2027'!Tau_j)),Resal_s+(Salim-Resal_s)*(1-EXP((Tnet_s-t)/Tau_j)))*Salcycl</f>
        <v>6.5106236183421928E-2</v>
      </c>
      <c r="AD81" s="227">
        <f>(INDEX(Models!$BJ81:$BT81,,AH81)*(1-AF81)+INDEX(Models!$BJ81:$BT81,,AH81+1)*AF81-ERP_i)*AE81*Ramure*Pc/MaxiM</f>
        <v>2.4788298202473751E-4</v>
      </c>
      <c r="AE81" s="301">
        <f t="shared" si="40"/>
        <v>0.5</v>
      </c>
      <c r="AF81" s="173">
        <f t="shared" si="41"/>
        <v>0.99913653509942613</v>
      </c>
      <c r="AG81" s="801">
        <f t="shared" si="49"/>
        <v>2</v>
      </c>
      <c r="AH81" s="172">
        <f t="shared" si="42"/>
        <v>8</v>
      </c>
      <c r="AI81" s="221">
        <f t="shared" si="43"/>
        <v>2.9991365350994261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46820</v>
      </c>
      <c r="B82" s="406">
        <f>'2027'!Wh/'2027'!Env_an*'2028'!Env_an</f>
        <v>131.89574624068479</v>
      </c>
      <c r="C82" s="831"/>
      <c r="D82" s="388">
        <f t="shared" si="25"/>
        <v>136.29358356268122</v>
      </c>
      <c r="E82" s="380">
        <f t="shared" si="47"/>
        <v>142.83142929639305</v>
      </c>
      <c r="F82" s="380">
        <f t="shared" si="26"/>
        <v>142.85371479336945</v>
      </c>
      <c r="G82" s="110">
        <f t="shared" si="48"/>
        <v>0.76117436883900402</v>
      </c>
      <c r="H82" s="409" t="b">
        <f>Wh_hp&gt;='2027'!Maxi_hp</f>
        <v>0</v>
      </c>
      <c r="I82" s="385">
        <f>IF(H82,Wh_hp,'2027'!Maxi_hp)</f>
        <v>142.86523052784904</v>
      </c>
      <c r="J82" s="85">
        <f>IF(H82,An,'2027'!An_max)</f>
        <v>2022</v>
      </c>
      <c r="K82" s="193">
        <f t="shared" si="27"/>
        <v>46820</v>
      </c>
      <c r="L82" s="143">
        <f>IF(t&lt;Tvie,1-EXP((T0-t)*PertePVj)+'2027'!Pspv,1-EXP((T0-t)*PertePVj)+Pspv)</f>
        <v>3.2267383445632736E-2</v>
      </c>
      <c r="M82" s="835"/>
      <c r="N82" s="835"/>
      <c r="O82" s="48">
        <f>IF(t&lt;Tnet,'2027'!Resal+('2027'!Salim-'2027'!Resal)*(1-EXP(('2027'!Tnet-t)/('2027'!Tau_j))),Resal+(Salim-Resal)*(1-EXP((Tnet-t)/(Tau_j))))*Salcycl</f>
        <v>4.5773159072328477E-2</v>
      </c>
      <c r="P82" s="165">
        <f>(INDEX(Models!$BJ82:$BT82,,T82)*(1-R82)+INDEX(Models!$BJ82:$BT82,,T82+1)*R82-ERP_i)*Q82*Ramure*Pc/MaxiM</f>
        <v>2.3675860170862094E-4</v>
      </c>
      <c r="Q82" s="301">
        <f t="shared" si="28"/>
        <v>0.5</v>
      </c>
      <c r="R82" s="173">
        <f t="shared" si="29"/>
        <v>0.99955954948101278</v>
      </c>
      <c r="S82" s="801">
        <f t="shared" si="30"/>
        <v>2</v>
      </c>
      <c r="T82" s="172">
        <f t="shared" si="31"/>
        <v>8</v>
      </c>
      <c r="U82" s="247">
        <f t="shared" si="32"/>
        <v>2.9995595494810128</v>
      </c>
      <c r="V82" s="378">
        <f t="shared" si="33"/>
        <v>173.2652839546067</v>
      </c>
      <c r="W82" s="397">
        <f t="shared" si="34"/>
        <v>131.89574624068479</v>
      </c>
      <c r="X82" s="153">
        <f t="shared" si="35"/>
        <v>46820</v>
      </c>
      <c r="Y82" s="380">
        <f t="shared" si="36"/>
        <v>129.22106642356047</v>
      </c>
      <c r="Z82" s="380">
        <f t="shared" si="37"/>
        <v>133.52972113687235</v>
      </c>
      <c r="AA82" s="381">
        <f t="shared" si="38"/>
        <v>142.83142929639305</v>
      </c>
      <c r="AB82" s="193">
        <f t="shared" si="39"/>
        <v>46820</v>
      </c>
      <c r="AC82" s="119">
        <f>IF(OR(t&lt;Tnet,NoTnet),'2027'!Resal_s+('2027'!Salim-'2027'!Resal_s)*(1-EXP(('2027'!Tnet_s-t)/'2027'!Tau_j)),Resal_s+(Salim-Resal_s)*(1-EXP((Tnet_s-t)/Tau_j)))*Salcycl</f>
        <v>6.5123679048387201E-2</v>
      </c>
      <c r="AD82" s="227">
        <f>(INDEX(Models!$BJ82:$BT82,,AH82)*(1-AF82)+INDEX(Models!$BJ82:$BT82,,AH82+1)*AF82-ERP_i)*AE82*Ramure*Pc/MaxiM</f>
        <v>2.3675860170862094E-4</v>
      </c>
      <c r="AE82" s="301">
        <f t="shared" si="40"/>
        <v>0.5</v>
      </c>
      <c r="AF82" s="173">
        <f t="shared" si="41"/>
        <v>0.99955954948101278</v>
      </c>
      <c r="AG82" s="801">
        <f t="shared" si="49"/>
        <v>2</v>
      </c>
      <c r="AH82" s="172">
        <f t="shared" si="42"/>
        <v>8</v>
      </c>
      <c r="AI82" s="221">
        <f t="shared" si="43"/>
        <v>2.9995595494810128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46821</v>
      </c>
      <c r="B83" s="406">
        <f>'2027'!Wh/'2027'!Env_an*'2028'!Env_an</f>
        <v>94.810288987829594</v>
      </c>
      <c r="C83" s="831"/>
      <c r="D83" s="388">
        <f t="shared" si="25"/>
        <v>97.972916544255284</v>
      </c>
      <c r="E83" s="380">
        <f t="shared" si="47"/>
        <v>102.67669194975399</v>
      </c>
      <c r="F83" s="380">
        <f t="shared" si="26"/>
        <v>102.68477290385034</v>
      </c>
      <c r="G83" s="110">
        <f t="shared" si="48"/>
        <v>0.54309569546577463</v>
      </c>
      <c r="H83" s="409" t="b">
        <f>Wh_hp&gt;='2027'!Maxi_hp</f>
        <v>0</v>
      </c>
      <c r="I83" s="385">
        <f>IF(H83,Wh_hp,'2027'!Maxi_hp)</f>
        <v>102.6999251260078</v>
      </c>
      <c r="J83" s="85">
        <f>IF(H83,An,'2027'!An_max)</f>
        <v>2022</v>
      </c>
      <c r="K83" s="193">
        <f t="shared" si="27"/>
        <v>46821</v>
      </c>
      <c r="L83" s="143">
        <f>IF(t&lt;Tvie,1-EXP((T0-t)*PertePVj)+'2027'!Pspv,1-EXP((T0-t)*PertePVj)+Pspv)</f>
        <v>3.228063089248856E-2</v>
      </c>
      <c r="M83" s="835"/>
      <c r="N83" s="835"/>
      <c r="O83" s="48">
        <f>IF(t&lt;Tnet,'2027'!Resal+('2027'!Salim-'2027'!Resal)*(1-EXP(('2027'!Tnet-t)/('2027'!Tau_j))),Resal+(Salim-Resal)*(1-EXP((Tnet-t)/(Tau_j))))*Salcycl</f>
        <v>4.5811520766568366E-2</v>
      </c>
      <c r="P83" s="165">
        <f>(INDEX(Models!$BJ83:$BT83,,T83)*(1-R83)+INDEX(Models!$BJ83:$BT83,,T83+1)*R83-ERP_i)*Q83*Ramure*Pc/MaxiM</f>
        <v>2.265342724659433E-4</v>
      </c>
      <c r="Q83" s="301">
        <f t="shared" si="28"/>
        <v>0.5</v>
      </c>
      <c r="R83" s="173">
        <f t="shared" si="29"/>
        <v>0.99999953477234982</v>
      </c>
      <c r="S83" s="801">
        <f t="shared" si="30"/>
        <v>2</v>
      </c>
      <c r="T83" s="172">
        <f t="shared" si="31"/>
        <v>8</v>
      </c>
      <c r="U83" s="247">
        <f t="shared" si="32"/>
        <v>2.9999995347723498</v>
      </c>
      <c r="V83" s="378">
        <f t="shared" si="33"/>
        <v>174.54800720091603</v>
      </c>
      <c r="W83" s="397">
        <f t="shared" si="34"/>
        <v>94.810288987829594</v>
      </c>
      <c r="X83" s="153">
        <f t="shared" si="35"/>
        <v>46821</v>
      </c>
      <c r="Y83" s="380">
        <f t="shared" si="36"/>
        <v>92.889649371781587</v>
      </c>
      <c r="Z83" s="380">
        <f t="shared" si="37"/>
        <v>95.988209327100648</v>
      </c>
      <c r="AA83" s="381">
        <f t="shared" si="38"/>
        <v>102.67669194975399</v>
      </c>
      <c r="AB83" s="193">
        <f t="shared" si="39"/>
        <v>46821</v>
      </c>
      <c r="AC83" s="119">
        <f>IF(OR(t&lt;Tnet,NoTnet),'2027'!Resal_s+('2027'!Salim-'2027'!Resal_s)*(1-EXP(('2027'!Tnet_s-t)/'2027'!Tau_j)),Resal_s+(Salim-Resal_s)*(1-EXP((Tnet_s-t)/Tau_j)))*Salcycl</f>
        <v>6.5141197049145616E-2</v>
      </c>
      <c r="AD83" s="227">
        <f>(INDEX(Models!$BJ83:$BT83,,AH83)*(1-AF83)+INDEX(Models!$BJ83:$BT83,,AH83+1)*AF83-ERP_i)*AE83*Ramure*Pc/MaxiM</f>
        <v>2.265342724659433E-4</v>
      </c>
      <c r="AE83" s="301">
        <f t="shared" si="40"/>
        <v>0.5</v>
      </c>
      <c r="AF83" s="173">
        <f t="shared" si="41"/>
        <v>0.99999953477234982</v>
      </c>
      <c r="AG83" s="801">
        <f t="shared" si="49"/>
        <v>2</v>
      </c>
      <c r="AH83" s="172">
        <f t="shared" si="42"/>
        <v>8</v>
      </c>
      <c r="AI83" s="221">
        <f t="shared" si="43"/>
        <v>2.9999995347723498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46822</v>
      </c>
      <c r="B84" s="406">
        <f>'2027'!Wh/'2027'!Env_an*'2028'!Env_an</f>
        <v>64.894079359194379</v>
      </c>
      <c r="C84" s="831"/>
      <c r="D84" s="388">
        <f t="shared" si="25"/>
        <v>67.059697044873786</v>
      </c>
      <c r="E84" s="380">
        <f t="shared" si="47"/>
        <v>70.282126943424373</v>
      </c>
      <c r="F84" s="380">
        <f t="shared" si="26"/>
        <v>70.283633660086934</v>
      </c>
      <c r="G84" s="110">
        <f t="shared" si="48"/>
        <v>0.36901889287707401</v>
      </c>
      <c r="H84" s="409" t="b">
        <f>Wh_hp&gt;='2027'!Maxi_hp</f>
        <v>0</v>
      </c>
      <c r="I84" s="385">
        <f>IF(H84,Wh_hp,'2027'!Maxi_hp)</f>
        <v>70.297364846187307</v>
      </c>
      <c r="J84" s="85">
        <f>IF(H84,An,'2027'!An_max)</f>
        <v>2022</v>
      </c>
      <c r="K84" s="193">
        <f t="shared" si="27"/>
        <v>46822</v>
      </c>
      <c r="L84" s="143">
        <f>IF(t&lt;Tvie,1-EXP((T0-t)*PertePVj)+'2027'!Pspv,1-EXP((T0-t)*PertePVj)+Pspv)</f>
        <v>3.2293878157997891E-2</v>
      </c>
      <c r="M84" s="835"/>
      <c r="N84" s="835"/>
      <c r="O84" s="48">
        <f>IF(t&lt;Tnet,'2027'!Resal+('2027'!Salim-'2027'!Resal)*(1-EXP(('2027'!Tnet-t)/('2027'!Tau_j))),Resal+(Salim-Resal)*(1-EXP((Tnet-t)/(Tau_j))))*Salcycl</f>
        <v>4.5849920010880958E-2</v>
      </c>
      <c r="P84" s="165">
        <f>(INDEX(Models!$BJ84:$BT84,,T84)*(1-R84)+INDEX(Models!$BJ84:$BT84,,T84+1)*R84-ERP_i)*Q84*Ramure*Pc/MaxiM</f>
        <v>2.1719659880919416E-4</v>
      </c>
      <c r="Q84" s="301">
        <f t="shared" si="28"/>
        <v>0.5</v>
      </c>
      <c r="R84" s="173">
        <f t="shared" si="29"/>
        <v>4.5713878001452102E-4</v>
      </c>
      <c r="S84" s="801">
        <f t="shared" si="30"/>
        <v>3</v>
      </c>
      <c r="T84" s="172">
        <f t="shared" si="31"/>
        <v>9</v>
      </c>
      <c r="U84" s="247">
        <f t="shared" si="32"/>
        <v>3.0004571387800145</v>
      </c>
      <c r="V84" s="378">
        <f t="shared" si="33"/>
        <v>175.82128379636873</v>
      </c>
      <c r="W84" s="397">
        <f t="shared" si="34"/>
        <v>64.894079359194379</v>
      </c>
      <c r="X84" s="153">
        <f t="shared" si="35"/>
        <v>46822</v>
      </c>
      <c r="Y84" s="380">
        <f t="shared" si="36"/>
        <v>63.58083471385612</v>
      </c>
      <c r="Z84" s="380">
        <f t="shared" si="37"/>
        <v>65.702627356362839</v>
      </c>
      <c r="AA84" s="381">
        <f t="shared" si="38"/>
        <v>70.282126943424373</v>
      </c>
      <c r="AB84" s="193">
        <f t="shared" si="39"/>
        <v>46822</v>
      </c>
      <c r="AC84" s="119">
        <f>IF(OR(t&lt;Tnet,NoTnet),'2027'!Resal_s+('2027'!Salim-'2027'!Resal_s)*(1-EXP(('2027'!Tnet_s-t)/'2027'!Tau_j)),Resal_s+(Salim-Resal_s)*(1-EXP((Tnet_s-t)/Tau_j)))*Salcycl</f>
        <v>6.5158807597668886E-2</v>
      </c>
      <c r="AD84" s="227">
        <f>(INDEX(Models!$BJ84:$BT84,,AH84)*(1-AF84)+INDEX(Models!$BJ84:$BT84,,AH84+1)*AF84-ERP_i)*AE84*Ramure*Pc/MaxiM</f>
        <v>2.1719659880919416E-4</v>
      </c>
      <c r="AE84" s="301">
        <f t="shared" si="40"/>
        <v>0.5</v>
      </c>
      <c r="AF84" s="173">
        <f t="shared" si="41"/>
        <v>4.5713878001452102E-4</v>
      </c>
      <c r="AG84" s="801">
        <f t="shared" si="49"/>
        <v>3</v>
      </c>
      <c r="AH84" s="172">
        <f t="shared" si="42"/>
        <v>9</v>
      </c>
      <c r="AI84" s="221">
        <f t="shared" si="43"/>
        <v>3.0004571387800145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46823</v>
      </c>
      <c r="B85" s="406">
        <f>'2027'!Wh/'2027'!Env_an*'2028'!Env_an</f>
        <v>60.735580469147408</v>
      </c>
      <c r="C85" s="831"/>
      <c r="D85" s="388">
        <f t="shared" si="25"/>
        <v>62.763281670691619</v>
      </c>
      <c r="E85" s="380">
        <f t="shared" si="47"/>
        <v>65.781906115292088</v>
      </c>
      <c r="F85" s="380">
        <f t="shared" si="26"/>
        <v>65.782749003174203</v>
      </c>
      <c r="G85" s="110">
        <f t="shared" si="48"/>
        <v>0.34290591366353618</v>
      </c>
      <c r="H85" s="409" t="b">
        <f>Wh_hp&gt;='2027'!Maxi_hp</f>
        <v>0</v>
      </c>
      <c r="I85" s="385">
        <f>IF(H85,Wh_hp,'2027'!Maxi_hp)</f>
        <v>65.795608679472551</v>
      </c>
      <c r="J85" s="85">
        <f>IF(H85,An,'2027'!An_max)</f>
        <v>2022</v>
      </c>
      <c r="K85" s="193">
        <f t="shared" si="27"/>
        <v>46823</v>
      </c>
      <c r="L85" s="143">
        <f>IF(t&lt;Tvie,1-EXP((T0-t)*PertePVj)+'2027'!Pspv,1-EXP((T0-t)*PertePVj)+Pspv)</f>
        <v>3.2307125242163393E-2</v>
      </c>
      <c r="M85" s="835"/>
      <c r="N85" s="835"/>
      <c r="O85" s="48">
        <f>IF(t&lt;Tnet,'2027'!Resal+('2027'!Salim-'2027'!Resal)*(1-EXP(('2027'!Tnet-t)/('2027'!Tau_j))),Resal+(Salim-Resal)*(1-EXP((Tnet-t)/(Tau_j))))*Salcycl</f>
        <v>4.5888369961641091E-2</v>
      </c>
      <c r="P85" s="165">
        <f>(INDEX(Models!$BJ85:$BT85,,T85)*(1-R85)+INDEX(Models!$BJ85:$BT85,,T85+1)*R85-ERP_i)*Q85*Ramure*Pc/MaxiM</f>
        <v>2.0871761464351829E-4</v>
      </c>
      <c r="Q85" s="301">
        <f t="shared" si="28"/>
        <v>0.5</v>
      </c>
      <c r="R85" s="173">
        <f t="shared" si="29"/>
        <v>9.3303127936961161E-4</v>
      </c>
      <c r="S85" s="801">
        <f t="shared" si="30"/>
        <v>3</v>
      </c>
      <c r="T85" s="172">
        <f t="shared" si="31"/>
        <v>9</v>
      </c>
      <c r="U85" s="247">
        <f t="shared" si="32"/>
        <v>3.0009330312793696</v>
      </c>
      <c r="V85" s="378">
        <f t="shared" si="33"/>
        <v>177.08554891901639</v>
      </c>
      <c r="W85" s="397">
        <f t="shared" si="34"/>
        <v>60.735580469147408</v>
      </c>
      <c r="X85" s="153">
        <f t="shared" si="35"/>
        <v>46823</v>
      </c>
      <c r="Y85" s="380">
        <f t="shared" si="36"/>
        <v>59.507760256394761</v>
      </c>
      <c r="Z85" s="380">
        <f t="shared" si="37"/>
        <v>61.494469793720938</v>
      </c>
      <c r="AA85" s="381">
        <f t="shared" si="38"/>
        <v>65.781906115292088</v>
      </c>
      <c r="AB85" s="193">
        <f t="shared" si="39"/>
        <v>46823</v>
      </c>
      <c r="AC85" s="119">
        <f>IF(OR(t&lt;Tnet,NoTnet),'2027'!Resal_s+('2027'!Salim-'2027'!Resal_s)*(1-EXP(('2027'!Tnet_s-t)/'2027'!Tau_j)),Resal_s+(Salim-Resal_s)*(1-EXP((Tnet_s-t)/Tau_j)))*Salcycl</f>
        <v>6.5176529151599993E-2</v>
      </c>
      <c r="AD85" s="227">
        <f>(INDEX(Models!$BJ85:$BT85,,AH85)*(1-AF85)+INDEX(Models!$BJ85:$BT85,,AH85+1)*AF85-ERP_i)*AE85*Ramure*Pc/MaxiM</f>
        <v>2.0871761464351829E-4</v>
      </c>
      <c r="AE85" s="301">
        <f t="shared" si="40"/>
        <v>0.5</v>
      </c>
      <c r="AF85" s="173">
        <f t="shared" si="41"/>
        <v>9.3303127936961161E-4</v>
      </c>
      <c r="AG85" s="801">
        <f t="shared" si="49"/>
        <v>3</v>
      </c>
      <c r="AH85" s="172">
        <f t="shared" si="42"/>
        <v>9</v>
      </c>
      <c r="AI85" s="221">
        <f t="shared" si="43"/>
        <v>3.0009330312793696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46824</v>
      </c>
      <c r="B86" s="406">
        <f>'2027'!Wh/'2027'!Env_an*'2028'!Env_an</f>
        <v>53.639405220029353</v>
      </c>
      <c r="C86" s="831"/>
      <c r="D86" s="388">
        <f t="shared" si="25"/>
        <v>55.430954291068467</v>
      </c>
      <c r="E86" s="380">
        <f t="shared" si="47"/>
        <v>58.099272886329835</v>
      </c>
      <c r="F86" s="380">
        <f t="shared" si="26"/>
        <v>58.099285732022594</v>
      </c>
      <c r="G86" s="110">
        <f t="shared" si="48"/>
        <v>0.30070797165790192</v>
      </c>
      <c r="H86" s="409" t="b">
        <f>Wh_hp&gt;='2027'!Maxi_hp</f>
        <v>0</v>
      </c>
      <c r="I86" s="385">
        <f>IF(H86,Wh_hp,'2027'!Maxi_hp)</f>
        <v>58.110947281906434</v>
      </c>
      <c r="J86" s="85">
        <f>IF(H86,An,'2027'!An_max)</f>
        <v>2022</v>
      </c>
      <c r="K86" s="193">
        <f t="shared" si="27"/>
        <v>46824</v>
      </c>
      <c r="L86" s="143">
        <f>IF(t&lt;Tvie,1-EXP((T0-t)*PertePVj)+'2027'!Pspv,1-EXP((T0-t)*PertePVj)+Pspv)</f>
        <v>3.2320372144987286E-2</v>
      </c>
      <c r="M86" s="835"/>
      <c r="N86" s="835"/>
      <c r="O86" s="48">
        <f>IF(t&lt;Tnet,'2027'!Resal+('2027'!Salim-'2027'!Resal)*(1-EXP(('2027'!Tnet-t)/('2027'!Tau_j))),Resal+(Salim-Resal)*(1-EXP((Tnet-t)/(Tau_j))))*Salcycl</f>
        <v>4.5926884497881501E-2</v>
      </c>
      <c r="P86" s="165">
        <f>(INDEX(Models!$BJ86:$BT86,,T86)*(1-R86)+INDEX(Models!$BJ86:$BT86,,T86+1)*R86-ERP_i)*Q86*Ramure*Pc/MaxiM</f>
        <v>2.0139689372527069E-4</v>
      </c>
      <c r="Q86" s="301">
        <f t="shared" si="28"/>
        <v>0.5</v>
      </c>
      <c r="R86" s="173">
        <f t="shared" si="29"/>
        <v>1.427904526215773E-3</v>
      </c>
      <c r="S86" s="801">
        <f t="shared" si="30"/>
        <v>3</v>
      </c>
      <c r="T86" s="172">
        <f t="shared" si="31"/>
        <v>9</v>
      </c>
      <c r="U86" s="247">
        <f t="shared" si="32"/>
        <v>3.0014279045262158</v>
      </c>
      <c r="V86" s="378">
        <f t="shared" si="33"/>
        <v>178.34117922446967</v>
      </c>
      <c r="W86" s="397">
        <f t="shared" si="34"/>
        <v>53.639405220029353</v>
      </c>
      <c r="X86" s="153">
        <f t="shared" si="35"/>
        <v>46824</v>
      </c>
      <c r="Y86" s="380">
        <f t="shared" si="36"/>
        <v>52.556157988881615</v>
      </c>
      <c r="Z86" s="380">
        <f t="shared" si="37"/>
        <v>54.311526745043864</v>
      </c>
      <c r="AA86" s="381">
        <f t="shared" si="38"/>
        <v>58.099272886329835</v>
      </c>
      <c r="AB86" s="193">
        <f t="shared" si="39"/>
        <v>46824</v>
      </c>
      <c r="AC86" s="119">
        <f>IF(OR(t&lt;Tnet,NoTnet),'2027'!Resal_s+('2027'!Salim-'2027'!Resal_s)*(1-EXP(('2027'!Tnet_s-t)/'2027'!Tau_j)),Resal_s+(Salim-Resal_s)*(1-EXP((Tnet_s-t)/Tau_j)))*Salcycl</f>
        <v>6.5194381153386022E-2</v>
      </c>
      <c r="AD86" s="227">
        <f>(INDEX(Models!$BJ86:$BT86,,AH86)*(1-AF86)+INDEX(Models!$BJ86:$BT86,,AH86+1)*AF86-ERP_i)*AE86*Ramure*Pc/MaxiM</f>
        <v>2.0139689372527069E-4</v>
      </c>
      <c r="AE86" s="301">
        <f t="shared" si="40"/>
        <v>0.5</v>
      </c>
      <c r="AF86" s="173">
        <f t="shared" si="41"/>
        <v>1.427904526215773E-3</v>
      </c>
      <c r="AG86" s="801">
        <f t="shared" si="49"/>
        <v>3</v>
      </c>
      <c r="AH86" s="172">
        <f t="shared" si="42"/>
        <v>9</v>
      </c>
      <c r="AI86" s="221">
        <f t="shared" si="43"/>
        <v>3.0014279045262158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46825</v>
      </c>
      <c r="B87" s="406">
        <f>'2027'!Wh/'2027'!Env_an*'2028'!Env_an</f>
        <v>52.64013054607976</v>
      </c>
      <c r="C87" s="831"/>
      <c r="D87" s="388">
        <f t="shared" si="25"/>
        <v>54.399048651888613</v>
      </c>
      <c r="E87" s="380">
        <f t="shared" si="47"/>
        <v>57.02000022802072</v>
      </c>
      <c r="F87" s="380">
        <f t="shared" si="26"/>
        <v>57.02000022802072</v>
      </c>
      <c r="G87" s="110">
        <f t="shared" si="48"/>
        <v>0.29305786875172157</v>
      </c>
      <c r="H87" s="409" t="b">
        <f>Wh_hp&gt;='2027'!Maxi_hp</f>
        <v>0</v>
      </c>
      <c r="I87" s="385">
        <f>IF(H87,Wh_hp,'2027'!Maxi_hp)</f>
        <v>57.031108128817166</v>
      </c>
      <c r="J87" s="85">
        <f>IF(H87,An,'2027'!An_max)</f>
        <v>2022</v>
      </c>
      <c r="K87" s="193">
        <f t="shared" si="27"/>
        <v>46825</v>
      </c>
      <c r="L87" s="143">
        <f>IF(t&lt;Tvie,1-EXP((T0-t)*PertePVj)+'2027'!Pspv,1-EXP((T0-t)*PertePVj)+Pspv)</f>
        <v>3.2333618866472347E-2</v>
      </c>
      <c r="M87" s="835"/>
      <c r="N87" s="835"/>
      <c r="O87" s="48">
        <f>IF(t&lt;Tnet,'2027'!Resal+('2027'!Salim-'2027'!Resal)*(1-EXP(('2027'!Tnet-t)/('2027'!Tau_j))),Resal+(Salim-Resal)*(1-EXP((Tnet-t)/(Tau_j))))*Salcycl</f>
        <v>4.5965478176973378E-2</v>
      </c>
      <c r="P87" s="165">
        <f>(INDEX(Models!$BJ87:$BT87,,T87)*(1-R87)+INDEX(Models!$BJ87:$BT87,,T87+1)*R87-ERP_i)*Q87*Ramure*Pc/MaxiM</f>
        <v>1.9528220278593558E-4</v>
      </c>
      <c r="Q87" s="301">
        <f t="shared" si="28"/>
        <v>0.5</v>
      </c>
      <c r="R87" s="173">
        <f t="shared" si="29"/>
        <v>1.9424737592532715E-3</v>
      </c>
      <c r="S87" s="801">
        <f t="shared" si="30"/>
        <v>3</v>
      </c>
      <c r="T87" s="172">
        <f t="shared" si="31"/>
        <v>9</v>
      </c>
      <c r="U87" s="247">
        <f t="shared" si="32"/>
        <v>3.0019424737592533</v>
      </c>
      <c r="V87" s="378">
        <f t="shared" si="33"/>
        <v>179.58859487243373</v>
      </c>
      <c r="W87" s="397">
        <f t="shared" si="34"/>
        <v>52.64013054607976</v>
      </c>
      <c r="X87" s="153">
        <f t="shared" si="35"/>
        <v>46825</v>
      </c>
      <c r="Y87" s="380">
        <f t="shared" si="36"/>
        <v>51.578156780871872</v>
      </c>
      <c r="Z87" s="380">
        <f t="shared" si="37"/>
        <v>53.301590079478679</v>
      </c>
      <c r="AA87" s="381">
        <f t="shared" si="38"/>
        <v>57.02000022802072</v>
      </c>
      <c r="AB87" s="193">
        <f t="shared" si="39"/>
        <v>46825</v>
      </c>
      <c r="AC87" s="119">
        <f>IF(OR(t&lt;Tnet,NoTnet),'2027'!Resal_s+('2027'!Salim-'2027'!Resal_s)*(1-EXP(('2027'!Tnet_s-t)/'2027'!Tau_j)),Resal_s+(Salim-Resal_s)*(1-EXP((Tnet_s-t)/Tau_j)))*Salcycl</f>
        <v>6.5212383964789011E-2</v>
      </c>
      <c r="AD87" s="227">
        <f>(INDEX(Models!$BJ87:$BT87,,AH87)*(1-AF87)+INDEX(Models!$BJ87:$BT87,,AH87+1)*AF87-ERP_i)*AE87*Ramure*Pc/MaxiM</f>
        <v>1.9528220278593558E-4</v>
      </c>
      <c r="AE87" s="301">
        <f t="shared" si="40"/>
        <v>0.5</v>
      </c>
      <c r="AF87" s="173">
        <f t="shared" si="41"/>
        <v>1.9424737592532715E-3</v>
      </c>
      <c r="AG87" s="801">
        <f t="shared" si="49"/>
        <v>3</v>
      </c>
      <c r="AH87" s="172">
        <f t="shared" si="42"/>
        <v>9</v>
      </c>
      <c r="AI87" s="221">
        <f t="shared" si="43"/>
        <v>3.0019424737592533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46826</v>
      </c>
      <c r="B88" s="406">
        <f>'2027'!Wh/'2027'!Env_an*'2028'!Env_an</f>
        <v>56.162948767929926</v>
      </c>
      <c r="C88" s="831"/>
      <c r="D88" s="388">
        <f t="shared" si="25"/>
        <v>58.040372898218685</v>
      </c>
      <c r="E88" s="380">
        <f t="shared" si="47"/>
        <v>60.839230991460042</v>
      </c>
      <c r="F88" s="380">
        <f t="shared" si="26"/>
        <v>60.839406146398538</v>
      </c>
      <c r="G88" s="110">
        <f t="shared" si="48"/>
        <v>0.31052906002875608</v>
      </c>
      <c r="H88" s="409" t="b">
        <f>Wh_hp&gt;='2027'!Maxi_hp</f>
        <v>0</v>
      </c>
      <c r="I88" s="385">
        <f>IF(H88,Wh_hp,'2027'!Maxi_hp)</f>
        <v>60.850782095593019</v>
      </c>
      <c r="J88" s="85">
        <f>IF(H88,An,'2027'!An_max)</f>
        <v>2022</v>
      </c>
      <c r="K88" s="193">
        <f t="shared" si="27"/>
        <v>46826</v>
      </c>
      <c r="L88" s="143">
        <f>IF(t&lt;Tvie,1-EXP((T0-t)*PertePVj)+'2027'!Pspv,1-EXP((T0-t)*PertePVj)+Pspv)</f>
        <v>3.2346865406620795E-2</v>
      </c>
      <c r="M88" s="835"/>
      <c r="N88" s="835"/>
      <c r="O88" s="48">
        <f>IF(t&lt;Tnet,'2027'!Resal+('2027'!Salim-'2027'!Resal)*(1-EXP(('2027'!Tnet-t)/('2027'!Tau_j))),Resal+(Salim-Resal)*(1-EXP((Tnet-t)/(Tau_j))))*Salcycl</f>
        <v>4.6004166187344424E-2</v>
      </c>
      <c r="P88" s="165">
        <f>(INDEX(Models!$BJ88:$BT88,,T88)*(1-R88)+INDEX(Models!$BJ88:$BT88,,T88+1)*R88-ERP_i)*Q88*Ramure*Pc/MaxiM</f>
        <v>1.9034909402690129E-4</v>
      </c>
      <c r="Q88" s="301">
        <f t="shared" si="28"/>
        <v>0.5</v>
      </c>
      <c r="R88" s="173">
        <f t="shared" si="29"/>
        <v>2.4774776908849105E-3</v>
      </c>
      <c r="S88" s="801">
        <f t="shared" si="30"/>
        <v>3</v>
      </c>
      <c r="T88" s="172">
        <f t="shared" si="31"/>
        <v>9</v>
      </c>
      <c r="U88" s="247">
        <f t="shared" si="32"/>
        <v>3.0024774776908849</v>
      </c>
      <c r="V88" s="378">
        <f t="shared" si="33"/>
        <v>180.82822862875062</v>
      </c>
      <c r="W88" s="397">
        <f t="shared" si="34"/>
        <v>56.162948767929926</v>
      </c>
      <c r="X88" s="153">
        <f t="shared" si="35"/>
        <v>46826</v>
      </c>
      <c r="Y88" s="380">
        <f t="shared" si="36"/>
        <v>55.031066567944968</v>
      </c>
      <c r="Z88" s="380">
        <f t="shared" si="37"/>
        <v>56.870653957081181</v>
      </c>
      <c r="AA88" s="381">
        <f t="shared" si="38"/>
        <v>60.839230991460042</v>
      </c>
      <c r="AB88" s="193">
        <f t="shared" si="39"/>
        <v>46826</v>
      </c>
      <c r="AC88" s="119">
        <f>IF(OR(t&lt;Tnet,NoTnet),'2027'!Resal_s+('2027'!Salim-'2027'!Resal_s)*(1-EXP(('2027'!Tnet_s-t)/'2027'!Tau_j)),Resal_s+(Salim-Resal_s)*(1-EXP((Tnet_s-t)/Tau_j)))*Salcycl</f>
        <v>6.523055879743006E-2</v>
      </c>
      <c r="AD88" s="227">
        <f>(INDEX(Models!$BJ88:$BT88,,AH88)*(1-AF88)+INDEX(Models!$BJ88:$BT88,,AH88+1)*AF88-ERP_i)*AE88*Ramure*Pc/MaxiM</f>
        <v>1.9034909402690129E-4</v>
      </c>
      <c r="AE88" s="301">
        <f t="shared" si="40"/>
        <v>0.5</v>
      </c>
      <c r="AF88" s="173">
        <f t="shared" si="41"/>
        <v>2.4774776908849105E-3</v>
      </c>
      <c r="AG88" s="801">
        <f t="shared" si="49"/>
        <v>3</v>
      </c>
      <c r="AH88" s="172">
        <f t="shared" si="42"/>
        <v>9</v>
      </c>
      <c r="AI88" s="221">
        <f t="shared" si="43"/>
        <v>3.0024774776908849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46827</v>
      </c>
      <c r="B89" s="406">
        <f>'2027'!Wh/'2027'!Env_an*'2028'!Env_an</f>
        <v>37.328667524932115</v>
      </c>
      <c r="C89" s="831"/>
      <c r="D89" s="388">
        <f t="shared" si="25"/>
        <v>38.577024344291303</v>
      </c>
      <c r="E89" s="380">
        <f t="shared" si="47"/>
        <v>40.438953643159792</v>
      </c>
      <c r="F89" s="380">
        <f t="shared" si="26"/>
        <v>40.438953643159792</v>
      </c>
      <c r="G89" s="110">
        <f t="shared" si="48"/>
        <v>0.20499614304471159</v>
      </c>
      <c r="H89" s="409" t="b">
        <f>Wh_hp&gt;='2027'!Maxi_hp</f>
        <v>0</v>
      </c>
      <c r="I89" s="385">
        <f>IF(H89,Wh_hp,'2027'!Maxi_hp)</f>
        <v>40.446477610903443</v>
      </c>
      <c r="J89" s="85">
        <f>IF(H89,An,'2027'!An_max)</f>
        <v>2022</v>
      </c>
      <c r="K89" s="193">
        <f t="shared" si="27"/>
        <v>46827</v>
      </c>
      <c r="L89" s="143">
        <f>IF(t&lt;Tvie,1-EXP((T0-t)*PertePVj)+'2027'!Pspv,1-EXP((T0-t)*PertePVj)+Pspv)</f>
        <v>3.2360111765435295E-2</v>
      </c>
      <c r="M89" s="835"/>
      <c r="N89" s="835"/>
      <c r="O89" s="48">
        <f>IF(t&lt;Tnet,'2027'!Resal+('2027'!Salim-'2027'!Resal)*(1-EXP(('2027'!Tnet-t)/('2027'!Tau_j))),Resal+(Salim-Resal)*(1-EXP((Tnet-t)/(Tau_j))))*Salcycl</f>
        <v>4.6042964298692542E-2</v>
      </c>
      <c r="P89" s="165">
        <f>(INDEX(Models!$BJ89:$BT89,,T89)*(1-R89)+INDEX(Models!$BJ89:$BT89,,T89+1)*R89-ERP_i)*Q89*Ramure*Pc/MaxiM</f>
        <v>1.8657436506118276E-4</v>
      </c>
      <c r="Q89" s="301">
        <f t="shared" si="28"/>
        <v>0.5</v>
      </c>
      <c r="R89" s="173">
        <f t="shared" si="29"/>
        <v>3.0336789836566957E-3</v>
      </c>
      <c r="S89" s="801">
        <f t="shared" si="30"/>
        <v>3</v>
      </c>
      <c r="T89" s="172">
        <f t="shared" si="31"/>
        <v>9</v>
      </c>
      <c r="U89" s="247">
        <f t="shared" si="32"/>
        <v>3.0030336789836567</v>
      </c>
      <c r="V89" s="378">
        <f t="shared" si="33"/>
        <v>182.06051293535734</v>
      </c>
      <c r="W89" s="397">
        <f t="shared" si="34"/>
        <v>37.328667524932115</v>
      </c>
      <c r="X89" s="153">
        <f t="shared" si="35"/>
        <v>46827</v>
      </c>
      <c r="Y89" s="380">
        <f t="shared" si="36"/>
        <v>36.577131561325793</v>
      </c>
      <c r="Z89" s="380">
        <f t="shared" si="37"/>
        <v>37.800355283058735</v>
      </c>
      <c r="AA89" s="381">
        <f t="shared" si="38"/>
        <v>40.438953643159792</v>
      </c>
      <c r="AB89" s="193">
        <f t="shared" si="39"/>
        <v>46827</v>
      </c>
      <c r="AC89" s="119">
        <f>IF(OR(t&lt;Tnet,NoTnet),'2027'!Resal_s+('2027'!Salim-'2027'!Resal_s)*(1-EXP(('2027'!Tnet_s-t)/'2027'!Tau_j)),Resal_s+(Salim-Resal_s)*(1-EXP((Tnet_s-t)/Tau_j)))*Salcycl</f>
        <v>6.5248927640029875E-2</v>
      </c>
      <c r="AD89" s="227">
        <f>(INDEX(Models!$BJ89:$BT89,,AH89)*(1-AF89)+INDEX(Models!$BJ89:$BT89,,AH89+1)*AF89-ERP_i)*AE89*Ramure*Pc/MaxiM</f>
        <v>1.8657436506118276E-4</v>
      </c>
      <c r="AE89" s="301">
        <f t="shared" si="40"/>
        <v>0.5</v>
      </c>
      <c r="AF89" s="173">
        <f t="shared" si="41"/>
        <v>3.0336789836566957E-3</v>
      </c>
      <c r="AG89" s="801">
        <f t="shared" si="49"/>
        <v>3</v>
      </c>
      <c r="AH89" s="172">
        <f t="shared" si="42"/>
        <v>9</v>
      </c>
      <c r="AI89" s="221">
        <f t="shared" si="43"/>
        <v>3.0030336789836567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46828</v>
      </c>
      <c r="B90" s="406">
        <f>'2027'!Wh/'2027'!Env_an*'2028'!Env_an</f>
        <v>47.946038495937557</v>
      </c>
      <c r="C90" s="831"/>
      <c r="D90" s="388">
        <f t="shared" si="25"/>
        <v>49.550143011780726</v>
      </c>
      <c r="E90" s="380">
        <f t="shared" si="47"/>
        <v>51.943811979809887</v>
      </c>
      <c r="F90" s="380">
        <f t="shared" si="26"/>
        <v>51.943811979809887</v>
      </c>
      <c r="G90" s="110">
        <f t="shared" si="48"/>
        <v>0.26154343977010241</v>
      </c>
      <c r="H90" s="409" t="b">
        <f>Wh_hp&gt;='2027'!Maxi_hp</f>
        <v>0</v>
      </c>
      <c r="I90" s="385">
        <f>IF(H90,Wh_hp,'2027'!Maxi_hp)</f>
        <v>51.95333809562544</v>
      </c>
      <c r="J90" s="85">
        <f>IF(H90,An,'2027'!An_max)</f>
        <v>2022</v>
      </c>
      <c r="K90" s="193">
        <f t="shared" si="27"/>
        <v>46828</v>
      </c>
      <c r="L90" s="143">
        <f>IF(t&lt;Tvie,1-EXP((T0-t)*PertePVj)+'2027'!Pspv,1-EXP((T0-t)*PertePVj)+Pspv)</f>
        <v>3.237335794291829E-2</v>
      </c>
      <c r="M90" s="835"/>
      <c r="N90" s="835"/>
      <c r="O90" s="48">
        <f>IF(t&lt;Tnet,'2027'!Resal+('2027'!Salim-'2027'!Resal)*(1-EXP(('2027'!Tnet-t)/('2027'!Tau_j))),Resal+(Salim-Resal)*(1-EXP((Tnet-t)/(Tau_j))))*Salcycl</f>
        <v>4.6081888810154334E-2</v>
      </c>
      <c r="P90" s="165">
        <f>(INDEX(Models!$BJ90:$BT90,,T90)*(1-R90)+INDEX(Models!$BJ90:$BT90,,T90+1)*R90-ERP_i)*Q90*Ramure*Pc/MaxiM</f>
        <v>1.8393602096292304E-4</v>
      </c>
      <c r="Q90" s="301">
        <f t="shared" si="28"/>
        <v>0.5</v>
      </c>
      <c r="R90" s="173">
        <f t="shared" si="29"/>
        <v>3.6118647094212086E-3</v>
      </c>
      <c r="S90" s="801">
        <f t="shared" si="30"/>
        <v>3</v>
      </c>
      <c r="T90" s="172">
        <f t="shared" si="31"/>
        <v>9</v>
      </c>
      <c r="U90" s="247">
        <f t="shared" si="32"/>
        <v>3.0036118647094212</v>
      </c>
      <c r="V90" s="378">
        <f t="shared" si="33"/>
        <v>183.28587990787557</v>
      </c>
      <c r="W90" s="397">
        <f t="shared" si="34"/>
        <v>47.946038495937557</v>
      </c>
      <c r="X90" s="153">
        <f t="shared" si="35"/>
        <v>46828</v>
      </c>
      <c r="Y90" s="380">
        <f t="shared" si="36"/>
        <v>46.98172649267552</v>
      </c>
      <c r="Z90" s="380">
        <f t="shared" si="37"/>
        <v>48.553568546641976</v>
      </c>
      <c r="AA90" s="381">
        <f t="shared" si="38"/>
        <v>51.943811979809887</v>
      </c>
      <c r="AB90" s="193">
        <f t="shared" si="39"/>
        <v>46828</v>
      </c>
      <c r="AC90" s="119">
        <f>IF(OR(t&lt;Tnet,NoTnet),'2027'!Resal_s+('2027'!Salim-'2027'!Resal_s)*(1-EXP(('2027'!Tnet_s-t)/'2027'!Tau_j)),Resal_s+(Salim-Resal_s)*(1-EXP((Tnet_s-t)/Tau_j)))*Salcycl</f>
        <v>6.5267513183007664E-2</v>
      </c>
      <c r="AD90" s="227">
        <f>(INDEX(Models!$BJ90:$BT90,,AH90)*(1-AF90)+INDEX(Models!$BJ90:$BT90,,AH90+1)*AF90-ERP_i)*AE90*Ramure*Pc/MaxiM</f>
        <v>1.8393602096292304E-4</v>
      </c>
      <c r="AE90" s="301">
        <f t="shared" si="40"/>
        <v>0.5</v>
      </c>
      <c r="AF90" s="173">
        <f t="shared" si="41"/>
        <v>3.6118647094212086E-3</v>
      </c>
      <c r="AG90" s="801">
        <f t="shared" si="49"/>
        <v>3</v>
      </c>
      <c r="AH90" s="172">
        <f t="shared" si="42"/>
        <v>9</v>
      </c>
      <c r="AI90" s="221">
        <f t="shared" si="43"/>
        <v>3.0036118647094212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46829</v>
      </c>
      <c r="B91" s="406">
        <f>'2027'!Wh/'2027'!Env_an*'2028'!Env_an</f>
        <v>50.620063159873169</v>
      </c>
      <c r="C91" s="831"/>
      <c r="D91" s="388">
        <f t="shared" si="25"/>
        <v>52.314347203070113</v>
      </c>
      <c r="E91" s="380">
        <f t="shared" si="47"/>
        <v>54.843795509906499</v>
      </c>
      <c r="F91" s="380">
        <f t="shared" si="26"/>
        <v>54.843795509906499</v>
      </c>
      <c r="G91" s="110">
        <f t="shared" si="48"/>
        <v>0.27430635947058174</v>
      </c>
      <c r="H91" s="409" t="b">
        <f>Wh_hp&gt;='2027'!Maxi_hp</f>
        <v>0</v>
      </c>
      <c r="I91" s="385">
        <f>IF(H91,Wh_hp,'2027'!Maxi_hp)</f>
        <v>54.853768261754404</v>
      </c>
      <c r="J91" s="85">
        <f>IF(H91,An,'2027'!An_max)</f>
        <v>2022</v>
      </c>
      <c r="K91" s="193">
        <f t="shared" si="27"/>
        <v>46829</v>
      </c>
      <c r="L91" s="143">
        <f>IF(t&lt;Tvie,1-EXP((T0-t)*PertePVj)+'2027'!Pspv,1-EXP((T0-t)*PertePVj)+Pspv)</f>
        <v>3.2386603939072223E-2</v>
      </c>
      <c r="M91" s="835"/>
      <c r="N91" s="835"/>
      <c r="O91" s="48">
        <f>IF(t&lt;Tnet,'2027'!Resal+('2027'!Salim-'2027'!Resal)*(1-EXP(('2027'!Tnet-t)/('2027'!Tau_j))),Resal+(Salim-Resal)*(1-EXP((Tnet-t)/(Tau_j))))*Salcycl</f>
        <v>4.6120956496883712E-2</v>
      </c>
      <c r="P91" s="165">
        <f>(INDEX(Models!$BJ91:$BT91,,T91)*(1-R91)+INDEX(Models!$BJ91:$BT91,,T91+1)*R91-ERP_i)*Q91*Ramure*Pc/MaxiM</f>
        <v>1.8241324219007304E-4</v>
      </c>
      <c r="Q91" s="301">
        <f t="shared" si="28"/>
        <v>0.5</v>
      </c>
      <c r="R91" s="173">
        <f t="shared" si="29"/>
        <v>4.2128467880462317E-3</v>
      </c>
      <c r="S91" s="801">
        <f t="shared" si="30"/>
        <v>3</v>
      </c>
      <c r="T91" s="172">
        <f t="shared" si="31"/>
        <v>9</v>
      </c>
      <c r="U91" s="247">
        <f t="shared" si="32"/>
        <v>3.0042128467880462</v>
      </c>
      <c r="V91" s="378">
        <f t="shared" si="33"/>
        <v>184.50476134681131</v>
      </c>
      <c r="W91" s="397">
        <f t="shared" si="34"/>
        <v>50.620063159873169</v>
      </c>
      <c r="X91" s="153">
        <f t="shared" si="35"/>
        <v>46829</v>
      </c>
      <c r="Y91" s="380">
        <f t="shared" si="36"/>
        <v>49.603002489243416</v>
      </c>
      <c r="Z91" s="380">
        <f t="shared" si="37"/>
        <v>51.263244898399549</v>
      </c>
      <c r="AA91" s="381">
        <f t="shared" si="38"/>
        <v>54.843795509906499</v>
      </c>
      <c r="AB91" s="193">
        <f t="shared" si="39"/>
        <v>46829</v>
      </c>
      <c r="AC91" s="119">
        <f>IF(OR(t&lt;Tnet,NoTnet),'2027'!Resal_s+('2027'!Salim-'2027'!Resal_s)*(1-EXP(('2027'!Tnet_s-t)/'2027'!Tau_j)),Resal_s+(Salim-Resal_s)*(1-EXP((Tnet_s-t)/Tau_j)))*Salcycl</f>
        <v>6.528633874109227E-2</v>
      </c>
      <c r="AD91" s="227">
        <f>(INDEX(Models!$BJ91:$BT91,,AH91)*(1-AF91)+INDEX(Models!$BJ91:$BT91,,AH91+1)*AF91-ERP_i)*AE91*Ramure*Pc/MaxiM</f>
        <v>1.8241324219007304E-4</v>
      </c>
      <c r="AE91" s="301">
        <f t="shared" si="40"/>
        <v>0.5</v>
      </c>
      <c r="AF91" s="173">
        <f t="shared" si="41"/>
        <v>4.2128467880462317E-3</v>
      </c>
      <c r="AG91" s="801">
        <f t="shared" si="49"/>
        <v>3</v>
      </c>
      <c r="AH91" s="172">
        <f t="shared" si="42"/>
        <v>9</v>
      </c>
      <c r="AI91" s="221">
        <f t="shared" si="43"/>
        <v>3.0042128467880462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46830</v>
      </c>
      <c r="B92" s="406">
        <f>'2027'!Wh/'2027'!Env_an*'2028'!Env_an</f>
        <v>115.03827876377136</v>
      </c>
      <c r="C92" s="831"/>
      <c r="D92" s="388">
        <f t="shared" si="25"/>
        <v>118.89030684266885</v>
      </c>
      <c r="E92" s="380">
        <f t="shared" si="47"/>
        <v>124.64389189631683</v>
      </c>
      <c r="F92" s="380">
        <f t="shared" si="26"/>
        <v>124.65424374573988</v>
      </c>
      <c r="G92" s="110">
        <f t="shared" si="48"/>
        <v>0.61936457666305844</v>
      </c>
      <c r="H92" s="409" t="b">
        <f>Wh_hp&gt;='2027'!Maxi_hp</f>
        <v>0</v>
      </c>
      <c r="I92" s="385">
        <f>IF(H92,Wh_hp,'2027'!Maxi_hp)</f>
        <v>124.66653595524753</v>
      </c>
      <c r="J92" s="85">
        <f>IF(H92,An,'2027'!An_max)</f>
        <v>2022</v>
      </c>
      <c r="K92" s="193">
        <f t="shared" si="27"/>
        <v>46830</v>
      </c>
      <c r="L92" s="143">
        <f>IF(t&lt;Tvie,1-EXP((T0-t)*PertePVj)+'2027'!Pspv,1-EXP((T0-t)*PertePVj)+Pspv)</f>
        <v>3.2399849753899534E-2</v>
      </c>
      <c r="M92" s="835"/>
      <c r="N92" s="835"/>
      <c r="O92" s="48">
        <f>IF(t&lt;Tnet,'2027'!Resal+('2027'!Salim-'2027'!Resal)*(1-EXP(('2027'!Tnet-t)/('2027'!Tau_j))),Resal+(Salim-Resal)*(1-EXP((Tnet-t)/(Tau_j))))*Salcycl</f>
        <v>4.6160184555485678E-2</v>
      </c>
      <c r="P92" s="165">
        <f>(INDEX(Models!$BJ92:$BT92,,T92)*(1-R92)+INDEX(Models!$BJ92:$BT92,,T92+1)*R92-ERP_i)*Q92*Ramure*Pc/MaxiM</f>
        <v>1.8198635771127599E-4</v>
      </c>
      <c r="Q92" s="301">
        <f t="shared" si="28"/>
        <v>0.5</v>
      </c>
      <c r="R92" s="173">
        <f t="shared" si="29"/>
        <v>4.8374624022531343E-3</v>
      </c>
      <c r="S92" s="801">
        <f t="shared" si="30"/>
        <v>3</v>
      </c>
      <c r="T92" s="172">
        <f t="shared" si="31"/>
        <v>9</v>
      </c>
      <c r="U92" s="247">
        <f t="shared" si="32"/>
        <v>3.0048374624022531</v>
      </c>
      <c r="V92" s="378">
        <f t="shared" si="33"/>
        <v>185.71758872175766</v>
      </c>
      <c r="W92" s="397">
        <f t="shared" si="34"/>
        <v>115.03827876377136</v>
      </c>
      <c r="X92" s="153">
        <f t="shared" si="35"/>
        <v>46830</v>
      </c>
      <c r="Y92" s="380">
        <f t="shared" si="36"/>
        <v>112.72925806994826</v>
      </c>
      <c r="Z92" s="380">
        <f t="shared" si="37"/>
        <v>116.50396916668169</v>
      </c>
      <c r="AA92" s="381">
        <f t="shared" si="38"/>
        <v>124.64389189631683</v>
      </c>
      <c r="AB92" s="193">
        <f t="shared" si="39"/>
        <v>46830</v>
      </c>
      <c r="AC92" s="119">
        <f>IF(OR(t&lt;Tnet,NoTnet),'2027'!Resal_s+('2027'!Salim-'2027'!Resal_s)*(1-EXP(('2027'!Tnet_s-t)/'2027'!Tau_j)),Resal_s+(Salim-Resal_s)*(1-EXP((Tnet_s-t)/Tau_j)))*Salcycl</f>
        <v>6.530542817458089E-2</v>
      </c>
      <c r="AD92" s="227">
        <f>(INDEX(Models!$BJ92:$BT92,,AH92)*(1-AF92)+INDEX(Models!$BJ92:$BT92,,AH92+1)*AF92-ERP_i)*AE92*Ramure*Pc/MaxiM</f>
        <v>1.8198635771127599E-4</v>
      </c>
      <c r="AE92" s="301">
        <f t="shared" si="40"/>
        <v>0.5</v>
      </c>
      <c r="AF92" s="173">
        <f t="shared" si="41"/>
        <v>4.8374624022531343E-3</v>
      </c>
      <c r="AG92" s="801">
        <f t="shared" si="49"/>
        <v>3</v>
      </c>
      <c r="AH92" s="172">
        <f t="shared" si="42"/>
        <v>9</v>
      </c>
      <c r="AI92" s="221">
        <f t="shared" si="43"/>
        <v>3.0048374624022531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46831</v>
      </c>
      <c r="B93" s="406">
        <f>'2027'!Wh/'2027'!Env_an*'2028'!Env_an</f>
        <v>122.87103408573718</v>
      </c>
      <c r="C93" s="831"/>
      <c r="D93" s="388">
        <f t="shared" si="25"/>
        <v>126.98707836990863</v>
      </c>
      <c r="E93" s="380">
        <f t="shared" si="47"/>
        <v>133.13799943005489</v>
      </c>
      <c r="F93" s="380">
        <f t="shared" si="26"/>
        <v>133.15041200525135</v>
      </c>
      <c r="G93" s="110">
        <f t="shared" si="48"/>
        <v>0.65724922896588422</v>
      </c>
      <c r="H93" s="409" t="b">
        <f>Wh_hp&gt;='2027'!Maxi_hp</f>
        <v>0</v>
      </c>
      <c r="I93" s="385">
        <f>IF(H93,Wh_hp,'2027'!Maxi_hp)</f>
        <v>133.16227442268254</v>
      </c>
      <c r="J93" s="85">
        <f>IF(H93,An,'2027'!An_max)</f>
        <v>2022</v>
      </c>
      <c r="K93" s="193">
        <f t="shared" si="27"/>
        <v>46831</v>
      </c>
      <c r="L93" s="143">
        <f>IF(t&lt;Tvie,1-EXP((T0-t)*PertePVj)+'2027'!Pspv,1-EXP((T0-t)*PertePVj)+Pspv)</f>
        <v>3.241309538740289E-2</v>
      </c>
      <c r="M93" s="835"/>
      <c r="N93" s="835"/>
      <c r="O93" s="48">
        <f>IF(t&lt;Tnet,'2027'!Resal+('2027'!Salim-'2027'!Resal)*(1-EXP(('2027'!Tnet-t)/('2027'!Tau_j))),Resal+(Salim-Resal)*(1-EXP((Tnet-t)/(Tau_j))))*Salcycl</f>
        <v>4.6199590548735014E-2</v>
      </c>
      <c r="P93" s="165">
        <f>(INDEX(Models!$BJ93:$BT93,,T93)*(1-R93)+INDEX(Models!$BJ93:$BT93,,T93+1)*R93-ERP_i)*Q93*Ramure*Pc/MaxiM</f>
        <v>1.8263107418187307E-4</v>
      </c>
      <c r="Q93" s="301">
        <f t="shared" si="28"/>
        <v>0.5</v>
      </c>
      <c r="R93" s="173">
        <f t="shared" si="29"/>
        <v>5.486574384874654E-3</v>
      </c>
      <c r="S93" s="801">
        <f t="shared" si="30"/>
        <v>3</v>
      </c>
      <c r="T93" s="172">
        <f t="shared" si="31"/>
        <v>9</v>
      </c>
      <c r="U93" s="247">
        <f t="shared" si="32"/>
        <v>3.0054865743848747</v>
      </c>
      <c r="V93" s="378">
        <f t="shared" si="33"/>
        <v>186.93068304514844</v>
      </c>
      <c r="W93" s="397">
        <f t="shared" si="34"/>
        <v>122.87103408573718</v>
      </c>
      <c r="X93" s="153">
        <f t="shared" si="35"/>
        <v>46831</v>
      </c>
      <c r="Y93" s="380">
        <f t="shared" si="36"/>
        <v>120.40727442180672</v>
      </c>
      <c r="Z93" s="380">
        <f t="shared" si="37"/>
        <v>124.44078547137369</v>
      </c>
      <c r="AA93" s="381">
        <f t="shared" si="38"/>
        <v>133.13799943005489</v>
      </c>
      <c r="AB93" s="193">
        <f t="shared" si="39"/>
        <v>46831</v>
      </c>
      <c r="AC93" s="119">
        <f>IF(OR(t&lt;Tnet,NoTnet),'2027'!Resal_s+('2027'!Salim-'2027'!Resal_s)*(1-EXP(('2027'!Tnet_s-t)/'2027'!Tau_j)),Resal_s+(Salim-Resal_s)*(1-EXP((Tnet_s-t)/Tau_j)))*Salcycl</f>
        <v>6.5324805809857153E-2</v>
      </c>
      <c r="AD93" s="227">
        <f>(INDEX(Models!$BJ93:$BT93,,AH93)*(1-AF93)+INDEX(Models!$BJ93:$BT93,,AH93+1)*AF93-ERP_i)*AE93*Ramure*Pc/MaxiM</f>
        <v>1.8263107418187307E-4</v>
      </c>
      <c r="AE93" s="301">
        <f t="shared" si="40"/>
        <v>0.5</v>
      </c>
      <c r="AF93" s="173">
        <f t="shared" si="41"/>
        <v>5.486574384874654E-3</v>
      </c>
      <c r="AG93" s="801">
        <f t="shared" si="49"/>
        <v>3</v>
      </c>
      <c r="AH93" s="172">
        <f t="shared" si="42"/>
        <v>9</v>
      </c>
      <c r="AI93" s="221">
        <f t="shared" si="43"/>
        <v>3.0054865743848747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46832</v>
      </c>
      <c r="B94" s="406">
        <f>'2027'!Wh/'2027'!Env_an*'2028'!Env_an</f>
        <v>177.07839347627132</v>
      </c>
      <c r="C94" s="831"/>
      <c r="D94" s="388">
        <f t="shared" si="25"/>
        <v>183.01282987584227</v>
      </c>
      <c r="E94" s="380">
        <f t="shared" si="47"/>
        <v>191.88545850061811</v>
      </c>
      <c r="F94" s="380">
        <f t="shared" si="26"/>
        <v>191.91783087586418</v>
      </c>
      <c r="G94" s="110">
        <f t="shared" si="48"/>
        <v>0.94115106522951231</v>
      </c>
      <c r="H94" s="409" t="b">
        <f>Wh_hp&gt;='2027'!Maxi_hp</f>
        <v>0</v>
      </c>
      <c r="I94" s="385">
        <f>IF(H94,Wh_hp,'2027'!Maxi_hp)</f>
        <v>191.92079017384989</v>
      </c>
      <c r="J94" s="85">
        <f>IF(H94,An,'2027'!An_max)</f>
        <v>2022</v>
      </c>
      <c r="K94" s="193">
        <f t="shared" si="27"/>
        <v>46832</v>
      </c>
      <c r="L94" s="143">
        <f>IF(t&lt;Tvie,1-EXP((T0-t)*PertePVj)+'2027'!Pspv,1-EXP((T0-t)*PertePVj)+Pspv)</f>
        <v>3.2426340839584511E-2</v>
      </c>
      <c r="M94" s="835"/>
      <c r="N94" s="835"/>
      <c r="O94" s="48">
        <f>IF(t&lt;Tnet,'2027'!Resal+('2027'!Salim-'2027'!Resal)*(1-EXP(('2027'!Tnet-t)/('2027'!Tau_j))),Resal+(Salim-Resal)*(1-EXP((Tnet-t)/(Tau_j))))*Salcycl</f>
        <v>4.6239192349988627E-2</v>
      </c>
      <c r="P94" s="165">
        <f>(INDEX(Models!$BJ94:$BT94,,T94)*(1-R94)+INDEX(Models!$BJ94:$BT94,,T94+1)*R94-ERP_i)*Q94*Ramure*Pc/MaxiM</f>
        <v>1.8415649569714361E-4</v>
      </c>
      <c r="Q94" s="301">
        <f t="shared" si="28"/>
        <v>0.5</v>
      </c>
      <c r="R94" s="173">
        <f t="shared" si="29"/>
        <v>6.1610715745747946E-3</v>
      </c>
      <c r="S94" s="801">
        <f t="shared" si="30"/>
        <v>3</v>
      </c>
      <c r="T94" s="172">
        <f t="shared" si="31"/>
        <v>9</v>
      </c>
      <c r="U94" s="247">
        <f t="shared" si="32"/>
        <v>3.0061610715745748</v>
      </c>
      <c r="V94" s="378">
        <f t="shared" si="33"/>
        <v>188.14795913588668</v>
      </c>
      <c r="W94" s="397">
        <f t="shared" si="34"/>
        <v>177.07839347627132</v>
      </c>
      <c r="X94" s="153">
        <f t="shared" si="35"/>
        <v>46832</v>
      </c>
      <c r="Y94" s="380">
        <f t="shared" si="36"/>
        <v>173.53123939551216</v>
      </c>
      <c r="Z94" s="380">
        <f t="shared" si="37"/>
        <v>179.34679985613596</v>
      </c>
      <c r="AA94" s="381">
        <f t="shared" si="38"/>
        <v>191.88545850061811</v>
      </c>
      <c r="AB94" s="193">
        <f t="shared" si="39"/>
        <v>46832</v>
      </c>
      <c r="AC94" s="119">
        <f>IF(OR(t&lt;Tnet,NoTnet),'2027'!Resal_s+('2027'!Salim-'2027'!Resal_s)*(1-EXP(('2027'!Tnet_s-t)/'2027'!Tau_j)),Resal_s+(Salim-Resal_s)*(1-EXP((Tnet_s-t)/Tau_j)))*Salcycl</f>
        <v>6.5344496359747678E-2</v>
      </c>
      <c r="AD94" s="227">
        <f>(INDEX(Models!$BJ94:$BT94,,AH94)*(1-AF94)+INDEX(Models!$BJ94:$BT94,,AH94+1)*AF94-ERP_i)*AE94*Ramure*Pc/MaxiM</f>
        <v>1.8415649569714361E-4</v>
      </c>
      <c r="AE94" s="301">
        <f t="shared" si="40"/>
        <v>0.5</v>
      </c>
      <c r="AF94" s="173">
        <f t="shared" si="41"/>
        <v>6.1610715745747946E-3</v>
      </c>
      <c r="AG94" s="801">
        <f t="shared" si="49"/>
        <v>3</v>
      </c>
      <c r="AH94" s="172">
        <f t="shared" si="42"/>
        <v>9</v>
      </c>
      <c r="AI94" s="221">
        <f t="shared" si="43"/>
        <v>3.0061610715745748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46833</v>
      </c>
      <c r="B95" s="406">
        <f>'2027'!Wh/'2027'!Env_an*'2028'!Env_an</f>
        <v>157.66338342075792</v>
      </c>
      <c r="C95" s="831"/>
      <c r="D95" s="388">
        <f t="shared" si="25"/>
        <v>162.94939432976349</v>
      </c>
      <c r="E95" s="380">
        <f t="shared" si="47"/>
        <v>170.85646191244092</v>
      </c>
      <c r="F95" s="380">
        <f t="shared" si="26"/>
        <v>170.88061973670301</v>
      </c>
      <c r="G95" s="110">
        <f t="shared" si="48"/>
        <v>0.83254702465775687</v>
      </c>
      <c r="H95" s="409" t="b">
        <f>Wh_hp&gt;='2027'!Maxi_hp</f>
        <v>0</v>
      </c>
      <c r="I95" s="385">
        <f>IF(H95,Wh_hp,'2027'!Maxi_hp)</f>
        <v>170.88818318875792</v>
      </c>
      <c r="J95" s="85">
        <f>IF(H95,An,'2027'!An_max)</f>
        <v>2022</v>
      </c>
      <c r="K95" s="193">
        <f t="shared" si="27"/>
        <v>46833</v>
      </c>
      <c r="L95" s="143">
        <f>IF(t&lt;Tvie,1-EXP((T0-t)*PertePVj)+'2027'!Pspv,1-EXP((T0-t)*PertePVj)+Pspv)</f>
        <v>3.2439586110447061E-2</v>
      </c>
      <c r="M95" s="835"/>
      <c r="N95" s="835"/>
      <c r="O95" s="48">
        <f>IF(t&lt;Tnet,'2027'!Resal+('2027'!Salim-'2027'!Resal)*(1-EXP(('2027'!Tnet-t)/('2027'!Tau_j))),Resal+(Salim-Resal)*(1-EXP((Tnet-t)/(Tau_j))))*Salcycl</f>
        <v>4.6279008087675273E-2</v>
      </c>
      <c r="P95" s="165">
        <f>(INDEX(Models!$BJ95:$BT95,,T95)*(1-R95)+INDEX(Models!$BJ95:$BT95,,T95+1)*R95-ERP_i)*Q95*Ramure*Pc/MaxiM</f>
        <v>1.8581249194328587E-4</v>
      </c>
      <c r="Q95" s="301">
        <f t="shared" si="28"/>
        <v>0.5</v>
      </c>
      <c r="R95" s="173">
        <f t="shared" si="29"/>
        <v>6.8618691357493766E-3</v>
      </c>
      <c r="S95" s="801">
        <f t="shared" si="30"/>
        <v>3</v>
      </c>
      <c r="T95" s="172">
        <f t="shared" si="31"/>
        <v>9</v>
      </c>
      <c r="U95" s="247">
        <f t="shared" si="32"/>
        <v>3.0068618691357494</v>
      </c>
      <c r="V95" s="378">
        <f t="shared" si="33"/>
        <v>189.36633151617406</v>
      </c>
      <c r="W95" s="397">
        <f t="shared" si="34"/>
        <v>157.66338342075792</v>
      </c>
      <c r="X95" s="153">
        <f t="shared" si="35"/>
        <v>46833</v>
      </c>
      <c r="Y95" s="380">
        <f t="shared" si="36"/>
        <v>154.50828127695087</v>
      </c>
      <c r="Z95" s="380">
        <f t="shared" si="37"/>
        <v>159.68851046296319</v>
      </c>
      <c r="AA95" s="381">
        <f t="shared" si="38"/>
        <v>170.85646191244092</v>
      </c>
      <c r="AB95" s="193">
        <f t="shared" si="39"/>
        <v>46833</v>
      </c>
      <c r="AC95" s="119">
        <f>IF(OR(t&lt;Tnet,NoTnet),'2027'!Resal_s+('2027'!Salim-'2027'!Resal_s)*(1-EXP(('2027'!Tnet_s-t)/'2027'!Tau_j)),Resal_s+(Salim-Resal_s)*(1-EXP((Tnet_s-t)/Tau_j)))*Salcycl</f>
        <v>6.5364524844257824E-2</v>
      </c>
      <c r="AD95" s="227">
        <f>(INDEX(Models!$BJ95:$BT95,,AH95)*(1-AF95)+INDEX(Models!$BJ95:$BT95,,AH95+1)*AF95-ERP_i)*AE95*Ramure*Pc/MaxiM</f>
        <v>1.8581249194328587E-4</v>
      </c>
      <c r="AE95" s="301">
        <f t="shared" si="40"/>
        <v>0.5</v>
      </c>
      <c r="AF95" s="173">
        <f t="shared" si="41"/>
        <v>6.8618691357493766E-3</v>
      </c>
      <c r="AG95" s="801">
        <f t="shared" si="49"/>
        <v>3</v>
      </c>
      <c r="AH95" s="172">
        <f t="shared" si="42"/>
        <v>9</v>
      </c>
      <c r="AI95" s="221">
        <f t="shared" si="43"/>
        <v>3.0068618691357494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46834</v>
      </c>
      <c r="B96" s="406">
        <f>'2027'!Wh/'2027'!Env_an*'2028'!Env_an</f>
        <v>188.72886211272274</v>
      </c>
      <c r="C96" s="831"/>
      <c r="D96" s="388">
        <f t="shared" si="25"/>
        <v>195.05908156063572</v>
      </c>
      <c r="E96" s="380">
        <f t="shared" si="47"/>
        <v>204.53285011752095</v>
      </c>
      <c r="F96" s="380">
        <f t="shared" si="26"/>
        <v>204.57069468395056</v>
      </c>
      <c r="G96" s="110">
        <f t="shared" si="48"/>
        <v>0.99027085563334938</v>
      </c>
      <c r="H96" s="409" t="b">
        <f>Wh_hp&gt;='2027'!Maxi_hp</f>
        <v>0</v>
      </c>
      <c r="I96" s="385">
        <f>IF(H96,Wh_hp,'2027'!Maxi_hp)</f>
        <v>204.57122568175365</v>
      </c>
      <c r="J96" s="85">
        <f>IF(H96,An,'2027'!An_max)</f>
        <v>2022</v>
      </c>
      <c r="K96" s="193">
        <f t="shared" si="27"/>
        <v>46834</v>
      </c>
      <c r="L96" s="143">
        <f>IF(t&lt;Tvie,1-EXP((T0-t)*PertePVj)+'2027'!Pspv,1-EXP((T0-t)*PertePVj)+Pspv)</f>
        <v>3.2452831199992982E-2</v>
      </c>
      <c r="M96" s="835"/>
      <c r="N96" s="835"/>
      <c r="O96" s="48">
        <f>IF(t&lt;Tnet,'2027'!Resal+('2027'!Salim-'2027'!Resal)*(1-EXP(('2027'!Tnet-t)/('2027'!Tau_j))),Resal+(Salim-Resal)*(1-EXP((Tnet-t)/(Tau_j))))*Salcycl</f>
        <v>4.6319056090216297E-2</v>
      </c>
      <c r="P96" s="165">
        <f>(INDEX(Models!$BJ96:$BT96,,T96)*(1-R96)+INDEX(Models!$BJ96:$BT96,,T96+1)*R96-ERP_i)*Q96*Ramure*Pc/MaxiM</f>
        <v>1.8760179634029505E-4</v>
      </c>
      <c r="Q96" s="301">
        <f t="shared" si="28"/>
        <v>0.5</v>
      </c>
      <c r="R96" s="173">
        <f t="shared" si="29"/>
        <v>7.5899088380442237E-3</v>
      </c>
      <c r="S96" s="801">
        <f t="shared" si="30"/>
        <v>3</v>
      </c>
      <c r="T96" s="172">
        <f t="shared" si="31"/>
        <v>9</v>
      </c>
      <c r="U96" s="247">
        <f t="shared" si="32"/>
        <v>3.0075899088380442</v>
      </c>
      <c r="V96" s="378">
        <f t="shared" si="33"/>
        <v>190.58257544418458</v>
      </c>
      <c r="W96" s="397">
        <f t="shared" si="34"/>
        <v>188.72886211272274</v>
      </c>
      <c r="X96" s="153">
        <f t="shared" si="35"/>
        <v>46834</v>
      </c>
      <c r="Y96" s="380">
        <f t="shared" si="36"/>
        <v>184.95582023156064</v>
      </c>
      <c r="Z96" s="380">
        <f t="shared" si="37"/>
        <v>191.15948678858797</v>
      </c>
      <c r="AA96" s="381">
        <f t="shared" si="38"/>
        <v>204.53285011752095</v>
      </c>
      <c r="AB96" s="193">
        <f t="shared" si="39"/>
        <v>46834</v>
      </c>
      <c r="AC96" s="119">
        <f>IF(OR(t&lt;Tnet,NoTnet),'2027'!Resal_s+('2027'!Salim-'2027'!Resal_s)*(1-EXP(('2027'!Tnet_s-t)/'2027'!Tau_j)),Resal_s+(Salim-Resal_s)*(1-EXP((Tnet_s-t)/Tau_j)))*Salcycl</f>
        <v>6.5384916512183117E-2</v>
      </c>
      <c r="AD96" s="227">
        <f>(INDEX(Models!$BJ96:$BT96,,AH96)*(1-AF96)+INDEX(Models!$BJ96:$BT96,,AH96+1)*AF96-ERP_i)*AE96*Ramure*Pc/MaxiM</f>
        <v>1.8760179634029505E-4</v>
      </c>
      <c r="AE96" s="301">
        <f t="shared" si="40"/>
        <v>0.5</v>
      </c>
      <c r="AF96" s="173">
        <f t="shared" si="41"/>
        <v>7.5899088380442237E-3</v>
      </c>
      <c r="AG96" s="801">
        <f t="shared" si="49"/>
        <v>3</v>
      </c>
      <c r="AH96" s="172">
        <f t="shared" si="42"/>
        <v>9</v>
      </c>
      <c r="AI96" s="221">
        <f t="shared" si="43"/>
        <v>3.0075899088380442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46835</v>
      </c>
      <c r="B97" s="406">
        <f>'2027'!Wh/'2027'!Env_an*'2028'!Env_an</f>
        <v>187.15847282730419</v>
      </c>
      <c r="C97" s="831"/>
      <c r="D97" s="388">
        <f t="shared" si="25"/>
        <v>193.43866732288248</v>
      </c>
      <c r="E97" s="380">
        <f t="shared" si="47"/>
        <v>202.84230575002775</v>
      </c>
      <c r="F97" s="380">
        <f t="shared" si="26"/>
        <v>202.87942947067091</v>
      </c>
      <c r="G97" s="110">
        <f t="shared" si="48"/>
        <v>0.97582702454839831</v>
      </c>
      <c r="H97" s="409" t="b">
        <f>Wh_hp&gt;='2027'!Maxi_hp</f>
        <v>0</v>
      </c>
      <c r="I97" s="385">
        <f>IF(H97,Wh_hp,'2027'!Maxi_hp)</f>
        <v>202.880750987478</v>
      </c>
      <c r="J97" s="85">
        <f>IF(H97,An,'2027'!An_max)</f>
        <v>2022</v>
      </c>
      <c r="K97" s="193">
        <f t="shared" si="27"/>
        <v>46835</v>
      </c>
      <c r="L97" s="143">
        <f>IF(t&lt;Tvie,1-EXP((T0-t)*PertePVj)+'2027'!Pspv,1-EXP((T0-t)*PertePVj)+Pspv)</f>
        <v>3.2466076108224828E-2</v>
      </c>
      <c r="M97" s="835"/>
      <c r="N97" s="835"/>
      <c r="O97" s="48">
        <f>IF(t&lt;Tnet,'2027'!Resal+('2027'!Salim-'2027'!Resal)*(1-EXP(('2027'!Tnet-t)/('2027'!Tau_j))),Resal+(Salim-Resal)*(1-EXP((Tnet-t)/(Tau_j))))*Salcycl</f>
        <v>4.6359354831697716E-2</v>
      </c>
      <c r="P97" s="165">
        <f>(INDEX(Models!$BJ97:$BT97,,T97)*(1-R97)+INDEX(Models!$BJ97:$BT97,,T97+1)*R97-ERP_i)*Q97*Ramure*Pc/MaxiM</f>
        <v>1.8952733815015685E-4</v>
      </c>
      <c r="Q97" s="301">
        <f t="shared" si="28"/>
        <v>0.5</v>
      </c>
      <c r="R97" s="173">
        <f t="shared" si="29"/>
        <v>8.3461592906037829E-3</v>
      </c>
      <c r="S97" s="801">
        <f t="shared" si="30"/>
        <v>3</v>
      </c>
      <c r="T97" s="172">
        <f t="shared" si="31"/>
        <v>9</v>
      </c>
      <c r="U97" s="247">
        <f t="shared" si="32"/>
        <v>3.0083461592906038</v>
      </c>
      <c r="V97" s="378">
        <f t="shared" si="33"/>
        <v>191.79346675434286</v>
      </c>
      <c r="W97" s="397">
        <f t="shared" si="34"/>
        <v>187.15847282730419</v>
      </c>
      <c r="X97" s="153">
        <f t="shared" si="35"/>
        <v>46835</v>
      </c>
      <c r="Y97" s="380">
        <f t="shared" si="36"/>
        <v>183.42049847914143</v>
      </c>
      <c r="Z97" s="380">
        <f t="shared" si="37"/>
        <v>189.575263409222</v>
      </c>
      <c r="AA97" s="381">
        <f t="shared" si="38"/>
        <v>202.84230575002775</v>
      </c>
      <c r="AB97" s="193">
        <f t="shared" si="39"/>
        <v>46835</v>
      </c>
      <c r="AC97" s="119">
        <f>IF(OR(t&lt;Tnet,NoTnet),'2027'!Resal_s+('2027'!Salim-'2027'!Resal_s)*(1-EXP(('2027'!Tnet_s-t)/'2027'!Tau_j)),Resal_s+(Salim-Resal_s)*(1-EXP((Tnet_s-t)/Tau_j)))*Salcycl</f>
        <v>6.5405696764043592E-2</v>
      </c>
      <c r="AD97" s="227">
        <f>(INDEX(Models!$BJ97:$BT97,,AH97)*(1-AF97)+INDEX(Models!$BJ97:$BT97,,AH97+1)*AF97-ERP_i)*AE97*Ramure*Pc/MaxiM</f>
        <v>1.8952733815015685E-4</v>
      </c>
      <c r="AE97" s="301">
        <f t="shared" si="40"/>
        <v>0.5</v>
      </c>
      <c r="AF97" s="173">
        <f t="shared" si="41"/>
        <v>8.3461592906037829E-3</v>
      </c>
      <c r="AG97" s="801">
        <f t="shared" si="49"/>
        <v>3</v>
      </c>
      <c r="AH97" s="172">
        <f t="shared" si="42"/>
        <v>9</v>
      </c>
      <c r="AI97" s="221">
        <f t="shared" si="43"/>
        <v>3.0083461592906038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46836</v>
      </c>
      <c r="B98" s="406">
        <f>'2027'!Wh/'2027'!Env_an*'2028'!Env_an</f>
        <v>159.45582012554837</v>
      </c>
      <c r="C98" s="831"/>
      <c r="D98" s="388">
        <f t="shared" si="25"/>
        <v>164.80869459367784</v>
      </c>
      <c r="E98" s="380">
        <f t="shared" si="47"/>
        <v>172.82789562179596</v>
      </c>
      <c r="F98" s="380">
        <f t="shared" si="26"/>
        <v>172.85279100063229</v>
      </c>
      <c r="G98" s="110">
        <f t="shared" si="48"/>
        <v>0.82617471148771682</v>
      </c>
      <c r="H98" s="409" t="b">
        <f>Wh_hp&gt;='2027'!Maxi_hp</f>
        <v>0</v>
      </c>
      <c r="I98" s="385">
        <f>IF(H98,Wh_hp,'2027'!Maxi_hp)</f>
        <v>172.86097391722259</v>
      </c>
      <c r="J98" s="85">
        <f>IF(H98,An,'2027'!An_max)</f>
        <v>2022</v>
      </c>
      <c r="K98" s="193">
        <f t="shared" si="27"/>
        <v>46836</v>
      </c>
      <c r="L98" s="143">
        <f>IF(t&lt;Tvie,1-EXP((T0-t)*PertePVj)+'2027'!Pspv,1-EXP((T0-t)*PertePVj)+Pspv)</f>
        <v>3.2479320835144931E-2</v>
      </c>
      <c r="M98" s="835"/>
      <c r="N98" s="835"/>
      <c r="O98" s="48">
        <f>IF(t&lt;Tnet,'2027'!Resal+('2027'!Salim-'2027'!Resal)*(1-EXP(('2027'!Tnet-t)/('2027'!Tau_j))),Resal+(Salim-Resal)*(1-EXP((Tnet-t)/(Tau_j))))*Salcycl</f>
        <v>4.6399922878577179E-2</v>
      </c>
      <c r="P98" s="165">
        <f>(INDEX(Models!$BJ98:$BT98,,T98)*(1-R98)+INDEX(Models!$BJ98:$BT98,,T98+1)*R98-ERP_i)*Q98*Ramure*Pc/MaxiM</f>
        <v>1.9159226466321331E-4</v>
      </c>
      <c r="Q98" s="301">
        <f t="shared" si="28"/>
        <v>0.5</v>
      </c>
      <c r="R98" s="173">
        <f t="shared" si="29"/>
        <v>9.1316161258512274E-3</v>
      </c>
      <c r="S98" s="801">
        <f t="shared" si="30"/>
        <v>3</v>
      </c>
      <c r="T98" s="172">
        <f t="shared" si="31"/>
        <v>9</v>
      </c>
      <c r="U98" s="247">
        <f t="shared" si="32"/>
        <v>3.0091316161258512</v>
      </c>
      <c r="V98" s="378">
        <f t="shared" si="33"/>
        <v>192.99578185403658</v>
      </c>
      <c r="W98" s="397">
        <f t="shared" si="34"/>
        <v>159.45582012554837</v>
      </c>
      <c r="X98" s="153">
        <f t="shared" si="35"/>
        <v>46836</v>
      </c>
      <c r="Y98" s="380">
        <f t="shared" si="36"/>
        <v>156.274233954018</v>
      </c>
      <c r="Z98" s="380">
        <f t="shared" si="37"/>
        <v>161.5203037199276</v>
      </c>
      <c r="AA98" s="381">
        <f t="shared" si="38"/>
        <v>172.82789562179596</v>
      </c>
      <c r="AB98" s="193">
        <f t="shared" si="39"/>
        <v>46836</v>
      </c>
      <c r="AC98" s="119">
        <f>IF(OR(t&lt;Tnet,NoTnet),'2027'!Resal_s+('2027'!Salim-'2027'!Resal_s)*(1-EXP(('2027'!Tnet_s-t)/'2027'!Tau_j)),Resal_s+(Salim-Resal_s)*(1-EXP((Tnet_s-t)/Tau_j)))*Salcycl</f>
        <v>6.5426891076733856E-2</v>
      </c>
      <c r="AD98" s="227">
        <f>(INDEX(Models!$BJ98:$BT98,,AH98)*(1-AF98)+INDEX(Models!$BJ98:$BT98,,AH98+1)*AF98-ERP_i)*AE98*Ramure*Pc/MaxiM</f>
        <v>1.9159226466321331E-4</v>
      </c>
      <c r="AE98" s="301">
        <f t="shared" si="40"/>
        <v>0.5</v>
      </c>
      <c r="AF98" s="173">
        <f t="shared" si="41"/>
        <v>9.1316161258512274E-3</v>
      </c>
      <c r="AG98" s="801">
        <f t="shared" si="49"/>
        <v>3</v>
      </c>
      <c r="AH98" s="172">
        <f t="shared" si="42"/>
        <v>9</v>
      </c>
      <c r="AI98" s="221">
        <f t="shared" si="43"/>
        <v>3.0091316161258512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46837</v>
      </c>
      <c r="B99" s="406">
        <f>'2027'!Wh/'2027'!Env_an*'2028'!Env_an</f>
        <v>175.81321306506237</v>
      </c>
      <c r="C99" s="831"/>
      <c r="D99" s="388">
        <f t="shared" si="25"/>
        <v>181.71768688708053</v>
      </c>
      <c r="E99" s="380">
        <f t="shared" si="47"/>
        <v>190.5678041323724</v>
      </c>
      <c r="F99" s="380">
        <f t="shared" si="26"/>
        <v>190.59974958790545</v>
      </c>
      <c r="G99" s="110">
        <f t="shared" si="48"/>
        <v>0.90536051656854177</v>
      </c>
      <c r="H99" s="409" t="b">
        <f>Wh_hp&gt;='2027'!Maxi_hp</f>
        <v>0</v>
      </c>
      <c r="I99" s="385">
        <f>IF(H99,Wh_hp,'2027'!Maxi_hp)</f>
        <v>190.60471742459274</v>
      </c>
      <c r="J99" s="85">
        <f>IF(H99,An,'2027'!An_max)</f>
        <v>2022</v>
      </c>
      <c r="K99" s="193">
        <f t="shared" si="27"/>
        <v>46837</v>
      </c>
      <c r="L99" s="143">
        <f>IF(t&lt;Tvie,1-EXP((T0-t)*PertePVj)+'2027'!Pspv,1-EXP((T0-t)*PertePVj)+Pspv)</f>
        <v>3.2492565380755734E-2</v>
      </c>
      <c r="M99" s="835"/>
      <c r="N99" s="835"/>
      <c r="O99" s="48">
        <f>IF(t&lt;Tnet,'2027'!Resal+('2027'!Salim-'2027'!Resal)*(1-EXP(('2027'!Tnet-t)/('2027'!Tau_j))),Resal+(Salim-Resal)*(1-EXP((Tnet-t)/(Tau_j))))*Salcycl</f>
        <v>4.6440778837669741E-2</v>
      </c>
      <c r="P99" s="165">
        <f>(INDEX(Models!$BJ99:$BT99,,T99)*(1-R99)+INDEX(Models!$BJ99:$BT99,,T99+1)*R99-ERP_i)*Q99*Ramure*Pc/MaxiM</f>
        <v>1.9379996354706606E-4</v>
      </c>
      <c r="Q99" s="301">
        <f t="shared" si="28"/>
        <v>0.5</v>
      </c>
      <c r="R99" s="173">
        <f t="shared" si="29"/>
        <v>9.947302127254698E-3</v>
      </c>
      <c r="S99" s="801">
        <f t="shared" si="30"/>
        <v>3</v>
      </c>
      <c r="T99" s="172">
        <f t="shared" si="31"/>
        <v>9</v>
      </c>
      <c r="U99" s="247">
        <f t="shared" si="32"/>
        <v>3.0099473021272547</v>
      </c>
      <c r="V99" s="378">
        <f t="shared" si="33"/>
        <v>194.18629776829658</v>
      </c>
      <c r="W99" s="397">
        <f t="shared" si="34"/>
        <v>175.81321306506237</v>
      </c>
      <c r="X99" s="153">
        <f t="shared" si="35"/>
        <v>46837</v>
      </c>
      <c r="Y99" s="380">
        <f t="shared" si="36"/>
        <v>172.30864529465836</v>
      </c>
      <c r="Z99" s="380">
        <f t="shared" si="37"/>
        <v>178.09542245271658</v>
      </c>
      <c r="AA99" s="381">
        <f t="shared" si="38"/>
        <v>190.5678041323724</v>
      </c>
      <c r="AB99" s="193">
        <f t="shared" si="39"/>
        <v>46837</v>
      </c>
      <c r="AC99" s="119">
        <f>IF(OR(t&lt;Tnet,NoTnet),'2027'!Resal_s+('2027'!Salim-'2027'!Resal_s)*(1-EXP(('2027'!Tnet_s-t)/'2027'!Tau_j)),Resal_s+(Salim-Resal_s)*(1-EXP((Tnet_s-t)/Tau_j)))*Salcycl</f>
        <v>6.5448524930225016E-2</v>
      </c>
      <c r="AD99" s="227">
        <f>(INDEX(Models!$BJ99:$BT99,,AH99)*(1-AF99)+INDEX(Models!$BJ99:$BT99,,AH99+1)*AF99-ERP_i)*AE99*Ramure*Pc/MaxiM</f>
        <v>1.9379996354706606E-4</v>
      </c>
      <c r="AE99" s="301">
        <f t="shared" si="40"/>
        <v>0.5</v>
      </c>
      <c r="AF99" s="173">
        <f t="shared" si="41"/>
        <v>9.947302127254698E-3</v>
      </c>
      <c r="AG99" s="801">
        <f t="shared" si="49"/>
        <v>3</v>
      </c>
      <c r="AH99" s="172">
        <f t="shared" si="42"/>
        <v>9</v>
      </c>
      <c r="AI99" s="221">
        <f t="shared" si="43"/>
        <v>3.0099473021272547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46838</v>
      </c>
      <c r="B100" s="406">
        <f>'2027'!Wh/'2027'!Env_an*'2028'!Env_an</f>
        <v>177.72795705392775</v>
      </c>
      <c r="C100" s="831"/>
      <c r="D100" s="388">
        <f t="shared" si="25"/>
        <v>183.69924992220933</v>
      </c>
      <c r="E100" s="380">
        <f t="shared" si="47"/>
        <v>192.65419070692963</v>
      </c>
      <c r="F100" s="380">
        <f t="shared" si="26"/>
        <v>192.68712396122041</v>
      </c>
      <c r="G100" s="110">
        <f t="shared" si="48"/>
        <v>0.90971458021282781</v>
      </c>
      <c r="H100" s="409" t="b">
        <f>Wh_hp&gt;='2027'!Maxi_hp</f>
        <v>0</v>
      </c>
      <c r="I100" s="385">
        <f>IF(H100,Wh_hp,'2027'!Maxi_hp)</f>
        <v>192.69197360418002</v>
      </c>
      <c r="J100" s="85">
        <f>IF(H100,An,'2027'!An_max)</f>
        <v>2022</v>
      </c>
      <c r="K100" s="193">
        <f t="shared" si="27"/>
        <v>46838</v>
      </c>
      <c r="L100" s="143">
        <f>IF(t&lt;Tvie,1-EXP((T0-t)*PertePVj)+'2027'!Pspv,1-EXP((T0-t)*PertePVj)+Pspv)</f>
        <v>3.250580974506001E-2</v>
      </c>
      <c r="M100" s="835"/>
      <c r="N100" s="835"/>
      <c r="O100" s="48">
        <f>IF(t&lt;Tnet,'2027'!Resal+('2027'!Salim-'2027'!Resal)*(1-EXP(('2027'!Tnet-t)/('2027'!Tau_j))),Resal+(Salim-Resal)*(1-EXP((Tnet-t)/(Tau_j))))*Salcycl</f>
        <v>4.648194130561515E-2</v>
      </c>
      <c r="P100" s="165">
        <f>(INDEX(Models!$BJ100:$BT100,,T100)*(1-R100)+INDEX(Models!$BJ100:$BT100,,T100+1)*R100-ERP_i)*Q100*Ramure*Pc/MaxiM</f>
        <v>1.9621717317237054E-4</v>
      </c>
      <c r="Q100" s="301">
        <f t="shared" si="28"/>
        <v>0.5</v>
      </c>
      <c r="R100" s="173">
        <f t="shared" si="29"/>
        <v>1.0794267295219484E-2</v>
      </c>
      <c r="S100" s="801">
        <f t="shared" si="30"/>
        <v>3</v>
      </c>
      <c r="T100" s="172">
        <f t="shared" si="31"/>
        <v>9</v>
      </c>
      <c r="U100" s="247">
        <f t="shared" si="32"/>
        <v>3.0107942672952195</v>
      </c>
      <c r="V100" s="378">
        <f t="shared" si="33"/>
        <v>195.36177980587934</v>
      </c>
      <c r="W100" s="397">
        <f t="shared" si="34"/>
        <v>177.72795705392775</v>
      </c>
      <c r="X100" s="153">
        <f t="shared" si="35"/>
        <v>46838</v>
      </c>
      <c r="Y100" s="380">
        <f t="shared" si="36"/>
        <v>174.18862216159781</v>
      </c>
      <c r="Z100" s="380">
        <f t="shared" si="37"/>
        <v>180.04100067587811</v>
      </c>
      <c r="AA100" s="381">
        <f t="shared" si="38"/>
        <v>192.65419070692963</v>
      </c>
      <c r="AB100" s="193">
        <f t="shared" si="39"/>
        <v>46838</v>
      </c>
      <c r="AC100" s="119">
        <f>IF(OR(t&lt;Tnet,NoTnet),'2027'!Resal_s+('2027'!Salim-'2027'!Resal_s)*(1-EXP(('2027'!Tnet_s-t)/'2027'!Tau_j)),Resal_s+(Salim-Resal_s)*(1-EXP((Tnet_s-t)/Tau_j)))*Salcycl</f>
        <v>6.5470623736594485E-2</v>
      </c>
      <c r="AD100" s="227">
        <f>(INDEX(Models!$BJ100:$BT100,,AH100)*(1-AF100)+INDEX(Models!$BJ100:$BT100,,AH100+1)*AF100-ERP_i)*AE100*Ramure*Pc/MaxiM</f>
        <v>1.9621717317237054E-4</v>
      </c>
      <c r="AE100" s="301">
        <f t="shared" si="40"/>
        <v>0.5</v>
      </c>
      <c r="AF100" s="173">
        <f t="shared" si="41"/>
        <v>1.0794267295219484E-2</v>
      </c>
      <c r="AG100" s="801">
        <f t="shared" si="49"/>
        <v>3</v>
      </c>
      <c r="AH100" s="172">
        <f t="shared" si="42"/>
        <v>9</v>
      </c>
      <c r="AI100" s="221">
        <f t="shared" si="43"/>
        <v>3.0107942672952195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46839</v>
      </c>
      <c r="B101" s="406">
        <f>'2027'!Wh/'2027'!Env_an*'2028'!Env_an</f>
        <v>140.13550971176898</v>
      </c>
      <c r="C101" s="831"/>
      <c r="D101" s="388">
        <f t="shared" si="25"/>
        <v>144.84575668464768</v>
      </c>
      <c r="E101" s="380">
        <f t="shared" si="47"/>
        <v>151.91328351716905</v>
      </c>
      <c r="F101" s="380">
        <f t="shared" si="26"/>
        <v>151.9310855379197</v>
      </c>
      <c r="G101" s="110">
        <f t="shared" si="48"/>
        <v>0.71303058907664219</v>
      </c>
      <c r="H101" s="409" t="b">
        <f>Wh_hp&gt;='2027'!Maxi_hp</f>
        <v>0</v>
      </c>
      <c r="I101" s="385">
        <f>IF(H101,Wh_hp,'2027'!Maxi_hp)</f>
        <v>151.9433815966527</v>
      </c>
      <c r="J101" s="85">
        <f>IF(H101,An,'2027'!An_max)</f>
        <v>2022</v>
      </c>
      <c r="K101" s="193">
        <f t="shared" si="27"/>
        <v>46839</v>
      </c>
      <c r="L101" s="143">
        <f>IF(t&lt;Tvie,1-EXP((T0-t)*PertePVj)+'2027'!Pspv,1-EXP((T0-t)*PertePVj)+Pspv)</f>
        <v>3.2519053928059982E-2</v>
      </c>
      <c r="M101" s="835"/>
      <c r="N101" s="835"/>
      <c r="O101" s="48">
        <f>IF(t&lt;Tnet,'2027'!Resal+('2027'!Salim-'2027'!Resal)*(1-EXP(('2027'!Tnet-t)/('2027'!Tau_j))),Resal+(Salim-Resal)*(1-EXP((Tnet-t)/(Tau_j))))*Salcycl</f>
        <v>4.6523428819986098E-2</v>
      </c>
      <c r="P101" s="165">
        <f>(INDEX(Models!$BJ101:$BT101,,T101)*(1-R101)+INDEX(Models!$BJ101:$BT101,,T101+1)*R101-ERP_i)*Q101*Ramure*Pc/MaxiM</f>
        <v>1.9855346133228316E-4</v>
      </c>
      <c r="Q101" s="301">
        <f t="shared" si="28"/>
        <v>0.5</v>
      </c>
      <c r="R101" s="173">
        <f t="shared" si="29"/>
        <v>1.1673588844883565E-2</v>
      </c>
      <c r="S101" s="801">
        <f t="shared" si="30"/>
        <v>3</v>
      </c>
      <c r="T101" s="172">
        <f t="shared" si="31"/>
        <v>9</v>
      </c>
      <c r="U101" s="247">
        <f t="shared" si="32"/>
        <v>3.0116735888448836</v>
      </c>
      <c r="V101" s="378">
        <f t="shared" si="33"/>
        <v>196.51906390099913</v>
      </c>
      <c r="W101" s="397">
        <f t="shared" si="34"/>
        <v>140.13550971176898</v>
      </c>
      <c r="X101" s="153">
        <f t="shared" si="35"/>
        <v>46839</v>
      </c>
      <c r="Y101" s="380">
        <f t="shared" si="36"/>
        <v>137.34745972340758</v>
      </c>
      <c r="Z101" s="380">
        <f t="shared" si="37"/>
        <v>141.963994516947</v>
      </c>
      <c r="AA101" s="381">
        <f t="shared" si="38"/>
        <v>151.91328351716905</v>
      </c>
      <c r="AB101" s="193">
        <f t="shared" si="39"/>
        <v>46839</v>
      </c>
      <c r="AC101" s="119">
        <f>IF(OR(t&lt;Tnet,NoTnet),'2027'!Resal_s+('2027'!Salim-'2027'!Resal_s)*(1-EXP(('2027'!Tnet_s-t)/'2027'!Tau_j)),Resal_s+(Salim-Resal_s)*(1-EXP((Tnet_s-t)/Tau_j)))*Salcycl</f>
        <v>6.5493212771598072E-2</v>
      </c>
      <c r="AD101" s="227">
        <f>(INDEX(Models!$BJ101:$BT101,,AH101)*(1-AF101)+INDEX(Models!$BJ101:$BT101,,AH101+1)*AF101-ERP_i)*AE101*Ramure*Pc/MaxiM</f>
        <v>1.9855346133228316E-4</v>
      </c>
      <c r="AE101" s="301">
        <f t="shared" si="40"/>
        <v>0.5</v>
      </c>
      <c r="AF101" s="173">
        <f t="shared" si="41"/>
        <v>1.1673588844883565E-2</v>
      </c>
      <c r="AG101" s="801">
        <f t="shared" si="49"/>
        <v>3</v>
      </c>
      <c r="AH101" s="172">
        <f t="shared" si="42"/>
        <v>9</v>
      </c>
      <c r="AI101" s="221">
        <f t="shared" si="43"/>
        <v>3.0116735888448836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46840</v>
      </c>
      <c r="B102" s="406">
        <f>'2027'!Wh/'2027'!Env_an*'2028'!Env_an</f>
        <v>110.19228651699413</v>
      </c>
      <c r="C102" s="831"/>
      <c r="D102" s="388">
        <f t="shared" si="25"/>
        <v>113.89763842368947</v>
      </c>
      <c r="E102" s="380">
        <f t="shared" si="47"/>
        <v>119.46034020246553</v>
      </c>
      <c r="F102" s="380">
        <f t="shared" si="26"/>
        <v>119.46916551792087</v>
      </c>
      <c r="G102" s="110">
        <f t="shared" si="48"/>
        <v>0.55742752056792133</v>
      </c>
      <c r="H102" s="409" t="b">
        <f>Wh_hp&gt;='2027'!Maxi_hp</f>
        <v>0</v>
      </c>
      <c r="I102" s="385">
        <f>IF(H102,Wh_hp,'2027'!Maxi_hp)</f>
        <v>119.48424336256193</v>
      </c>
      <c r="J102" s="85">
        <f>IF(H102,An,'2027'!An_max)</f>
        <v>2022</v>
      </c>
      <c r="K102" s="193">
        <f t="shared" si="27"/>
        <v>46840</v>
      </c>
      <c r="L102" s="143">
        <f>IF(t&lt;Tvie,1-EXP((T0-t)*PertePVj)+'2027'!Pspv,1-EXP((T0-t)*PertePVj)+Pspv)</f>
        <v>3.2532297929758203E-2</v>
      </c>
      <c r="M102" s="835"/>
      <c r="N102" s="835"/>
      <c r="O102" s="48">
        <f>IF(t&lt;Tnet,'2027'!Resal+('2027'!Salim-'2027'!Resal)*(1-EXP(('2027'!Tnet-t)/('2027'!Tau_j))),Resal+(Salim-Resal)*(1-EXP((Tnet-t)/(Tau_j))))*Salcycl</f>
        <v>4.6565259812153537E-2</v>
      </c>
      <c r="P102" s="165">
        <f>(INDEX(Models!$BJ102:$BT102,,T102)*(1-R102)+INDEX(Models!$BJ102:$BT102,,T102+1)*R102-ERP_i)*Q102*Ramure*Pc/MaxiM</f>
        <v>2.0081589542919934E-4</v>
      </c>
      <c r="Q102" s="301">
        <f t="shared" si="28"/>
        <v>0.5</v>
      </c>
      <c r="R102" s="173">
        <f t="shared" si="29"/>
        <v>1.2586371129269747E-2</v>
      </c>
      <c r="S102" s="801">
        <f t="shared" si="30"/>
        <v>3</v>
      </c>
      <c r="T102" s="172">
        <f t="shared" si="31"/>
        <v>9</v>
      </c>
      <c r="U102" s="247">
        <f t="shared" si="32"/>
        <v>3.0125863711292697</v>
      </c>
      <c r="V102" s="378">
        <f t="shared" si="33"/>
        <v>197.65492925626305</v>
      </c>
      <c r="W102" s="397">
        <f t="shared" si="34"/>
        <v>110.19228651699413</v>
      </c>
      <c r="X102" s="153">
        <f t="shared" si="35"/>
        <v>46840</v>
      </c>
      <c r="Y102" s="380">
        <f t="shared" si="36"/>
        <v>108.00203662633497</v>
      </c>
      <c r="Z102" s="380">
        <f t="shared" si="37"/>
        <v>111.63373867181937</v>
      </c>
      <c r="AA102" s="381">
        <f t="shared" si="38"/>
        <v>119.46034020246553</v>
      </c>
      <c r="AB102" s="193">
        <f t="shared" si="39"/>
        <v>46840</v>
      </c>
      <c r="AC102" s="119">
        <f>IF(OR(t&lt;Tnet,NoTnet),'2027'!Resal_s+('2027'!Salim-'2027'!Resal_s)*(1-EXP(('2027'!Tnet_s-t)/'2027'!Tau_j)),Resal_s+(Salim-Resal_s)*(1-EXP((Tnet_s-t)/Tau_j)))*Salcycl</f>
        <v>6.5516317108936503E-2</v>
      </c>
      <c r="AD102" s="227">
        <f>(INDEX(Models!$BJ102:$BT102,,AH102)*(1-AF102)+INDEX(Models!$BJ102:$BT102,,AH102+1)*AF102-ERP_i)*AE102*Ramure*Pc/MaxiM</f>
        <v>2.0081589542919934E-4</v>
      </c>
      <c r="AE102" s="301">
        <f t="shared" si="40"/>
        <v>0.5</v>
      </c>
      <c r="AF102" s="173">
        <f t="shared" si="41"/>
        <v>1.2586371129269747E-2</v>
      </c>
      <c r="AG102" s="801">
        <f t="shared" si="49"/>
        <v>3</v>
      </c>
      <c r="AH102" s="172">
        <f t="shared" si="42"/>
        <v>9</v>
      </c>
      <c r="AI102" s="221">
        <f t="shared" si="43"/>
        <v>3.0125863711292697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46841</v>
      </c>
      <c r="B103" s="406">
        <f>'2027'!Wh/'2027'!Env_an*'2028'!Env_an</f>
        <v>28.94771999724059</v>
      </c>
      <c r="C103" s="831"/>
      <c r="D103" s="388">
        <f t="shared" si="25"/>
        <v>29.921532481857572</v>
      </c>
      <c r="E103" s="380">
        <f t="shared" si="47"/>
        <v>31.384273521188611</v>
      </c>
      <c r="F103" s="380">
        <f t="shared" si="26"/>
        <v>31.384273521188611</v>
      </c>
      <c r="G103" s="110">
        <f t="shared" si="48"/>
        <v>0.14560750125827196</v>
      </c>
      <c r="H103" s="409" t="b">
        <f>Wh_hp&gt;='2027'!Maxi_hp</f>
        <v>0</v>
      </c>
      <c r="I103" s="385">
        <f>IF(H103,Wh_hp,'2027'!Maxi_hp)</f>
        <v>31.39060598359443</v>
      </c>
      <c r="J103" s="85">
        <f>IF(H103,An,'2027'!An_max)</f>
        <v>2022</v>
      </c>
      <c r="K103" s="193">
        <f t="shared" si="27"/>
        <v>46841</v>
      </c>
      <c r="L103" s="143">
        <f>IF(t&lt;Tvie,1-EXP((T0-t)*PertePVj)+'2027'!Pspv,1-EXP((T0-t)*PertePVj)+Pspv)</f>
        <v>3.2545541750157225E-2</v>
      </c>
      <c r="M103" s="835"/>
      <c r="N103" s="835"/>
      <c r="O103" s="48">
        <f>IF(t&lt;Tnet,'2027'!Resal+('2027'!Salim-'2027'!Resal)*(1-EXP(('2027'!Tnet-t)/('2027'!Tau_j))),Resal+(Salim-Resal)*(1-EXP((Tnet-t)/(Tau_j))))*Salcycl</f>
        <v>4.6607452561981129E-2</v>
      </c>
      <c r="P103" s="165">
        <f>(INDEX(Models!$BJ103:$BT103,,T103)*(1-R103)+INDEX(Models!$BJ103:$BT103,,T103+1)*R103-ERP_i)*Q103*Ramure*Pc/MaxiM</f>
        <v>2.0301147511839074E-4</v>
      </c>
      <c r="Q103" s="301">
        <f t="shared" si="28"/>
        <v>0.5</v>
      </c>
      <c r="R103" s="173">
        <f t="shared" si="29"/>
        <v>1.3533745480888371E-2</v>
      </c>
      <c r="S103" s="801">
        <f t="shared" si="30"/>
        <v>3</v>
      </c>
      <c r="T103" s="172">
        <f t="shared" si="31"/>
        <v>9</v>
      </c>
      <c r="U103" s="247">
        <f t="shared" si="32"/>
        <v>3.0135337454808884</v>
      </c>
      <c r="V103" s="378">
        <f t="shared" si="33"/>
        <v>198.76615578044232</v>
      </c>
      <c r="W103" s="397">
        <f t="shared" si="34"/>
        <v>28.94771999724059</v>
      </c>
      <c r="X103" s="153">
        <f t="shared" si="35"/>
        <v>46841</v>
      </c>
      <c r="Y103" s="380">
        <f t="shared" si="36"/>
        <v>28.372874965448961</v>
      </c>
      <c r="Z103" s="380">
        <f t="shared" si="37"/>
        <v>29.327349441105923</v>
      </c>
      <c r="AA103" s="381">
        <f t="shared" si="38"/>
        <v>31.384273521188611</v>
      </c>
      <c r="AB103" s="193">
        <f t="shared" si="39"/>
        <v>46841</v>
      </c>
      <c r="AC103" s="119">
        <f>IF(OR(t&lt;Tnet,NoTnet),'2027'!Resal_s+('2027'!Salim-'2027'!Resal_s)*(1-EXP(('2027'!Tnet_s-t)/'2027'!Tau_j)),Resal_s+(Salim-Resal_s)*(1-EXP((Tnet_s-t)/Tau_j)))*Salcycl</f>
        <v>6.5539961557306389E-2</v>
      </c>
      <c r="AD103" s="227">
        <f>(INDEX(Models!$BJ103:$BT103,,AH103)*(1-AF103)+INDEX(Models!$BJ103:$BT103,,AH103+1)*AF103-ERP_i)*AE103*Ramure*Pc/MaxiM</f>
        <v>2.0301147511839074E-4</v>
      </c>
      <c r="AE103" s="301">
        <f t="shared" si="40"/>
        <v>0.5</v>
      </c>
      <c r="AF103" s="173">
        <f t="shared" si="41"/>
        <v>1.3533745480888371E-2</v>
      </c>
      <c r="AG103" s="801">
        <f t="shared" si="49"/>
        <v>3</v>
      </c>
      <c r="AH103" s="172">
        <f t="shared" si="42"/>
        <v>9</v>
      </c>
      <c r="AI103" s="221">
        <f t="shared" si="43"/>
        <v>3.0135337454808884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46842</v>
      </c>
      <c r="B104" s="406">
        <f>'2027'!Wh/'2027'!Env_an*'2028'!Env_an</f>
        <v>83.755871495864724</v>
      </c>
      <c r="C104" s="831"/>
      <c r="D104" s="388">
        <f t="shared" si="25"/>
        <v>86.574636506017285</v>
      </c>
      <c r="E104" s="380">
        <f t="shared" si="47"/>
        <v>90.810970567274069</v>
      </c>
      <c r="F104" s="380">
        <f t="shared" si="26"/>
        <v>90.814140231170668</v>
      </c>
      <c r="G104" s="110">
        <f t="shared" si="48"/>
        <v>0.41902332458886316</v>
      </c>
      <c r="H104" s="409" t="b">
        <f>Wh_hp&gt;='2027'!Maxi_hp</f>
        <v>0</v>
      </c>
      <c r="I104" s="385">
        <f>IF(H104,Wh_hp,'2027'!Maxi_hp)</f>
        <v>90.829501711386541</v>
      </c>
      <c r="J104" s="85">
        <f>IF(H104,An,'2027'!An_max)</f>
        <v>2022</v>
      </c>
      <c r="K104" s="193">
        <f t="shared" si="27"/>
        <v>46842</v>
      </c>
      <c r="L104" s="143">
        <f>IF(t&lt;Tvie,1-EXP((T0-t)*PertePVj)+'2027'!Pspv,1-EXP((T0-t)*PertePVj)+Pspv)</f>
        <v>3.2558785389259381E-2</v>
      </c>
      <c r="M104" s="835"/>
      <c r="N104" s="835"/>
      <c r="O104" s="48">
        <f>IF(t&lt;Tnet,'2027'!Resal+('2027'!Salim-'2027'!Resal)*(1-EXP(('2027'!Tnet-t)/('2027'!Tau_j))),Resal+(Salim-Resal)*(1-EXP((Tnet-t)/(Tau_j))))*Salcycl</f>
        <v>4.6650025154377654E-2</v>
      </c>
      <c r="P104" s="165">
        <f>(INDEX(Models!$BJ104:$BT104,,T104)*(1-R104)+INDEX(Models!$BJ104:$BT104,,T104+1)*R104-ERP_i)*Q104*Ramure*Pc/MaxiM</f>
        <v>2.0514712345559829E-4</v>
      </c>
      <c r="Q104" s="301">
        <f t="shared" si="28"/>
        <v>0.5</v>
      </c>
      <c r="R104" s="173">
        <f t="shared" si="29"/>
        <v>1.451686996455237E-2</v>
      </c>
      <c r="S104" s="801">
        <f t="shared" si="30"/>
        <v>3</v>
      </c>
      <c r="T104" s="172">
        <f t="shared" si="31"/>
        <v>9</v>
      </c>
      <c r="U104" s="247">
        <f t="shared" si="32"/>
        <v>3.0145168699645524</v>
      </c>
      <c r="V104" s="378">
        <f t="shared" si="33"/>
        <v>199.84952416451202</v>
      </c>
      <c r="W104" s="397">
        <f t="shared" si="34"/>
        <v>83.755871495864724</v>
      </c>
      <c r="X104" s="153">
        <f t="shared" si="35"/>
        <v>46842</v>
      </c>
      <c r="Y104" s="380">
        <f t="shared" si="36"/>
        <v>82.094182947882857</v>
      </c>
      <c r="Z104" s="380">
        <f t="shared" si="37"/>
        <v>84.857024600625735</v>
      </c>
      <c r="AA104" s="381">
        <f t="shared" si="38"/>
        <v>90.810970567274069</v>
      </c>
      <c r="AB104" s="193">
        <f t="shared" si="39"/>
        <v>46842</v>
      </c>
      <c r="AC104" s="119">
        <f>IF(OR(t&lt;Tnet,NoTnet),'2027'!Resal_s+('2027'!Salim-'2027'!Resal_s)*(1-EXP(('2027'!Tnet_s-t)/'2027'!Tau_j)),Resal_s+(Salim-Resal_s)*(1-EXP((Tnet_s-t)/Tau_j)))*Salcycl</f>
        <v>6.5564170600264302E-2</v>
      </c>
      <c r="AD104" s="227">
        <f>(INDEX(Models!$BJ104:$BT104,,AH104)*(1-AF104)+INDEX(Models!$BJ104:$BT104,,AH104+1)*AF104-ERP_i)*AE104*Ramure*Pc/MaxiM</f>
        <v>2.0514712345559829E-4</v>
      </c>
      <c r="AE104" s="301">
        <f t="shared" si="40"/>
        <v>0.5</v>
      </c>
      <c r="AF104" s="173">
        <f t="shared" si="41"/>
        <v>1.451686996455237E-2</v>
      </c>
      <c r="AG104" s="801">
        <f t="shared" si="49"/>
        <v>3</v>
      </c>
      <c r="AH104" s="172">
        <f t="shared" si="42"/>
        <v>9</v>
      </c>
      <c r="AI104" s="221">
        <f t="shared" si="43"/>
        <v>3.0145168699645524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46843</v>
      </c>
      <c r="B105" s="406">
        <f>'2027'!Wh/'2027'!Env_an*'2028'!Env_an</f>
        <v>142.17089290363191</v>
      </c>
      <c r="C105" s="831"/>
      <c r="D105" s="388">
        <f t="shared" si="25"/>
        <v>146.95760009316214</v>
      </c>
      <c r="E105" s="380">
        <f t="shared" si="47"/>
        <v>154.15558617513267</v>
      </c>
      <c r="F105" s="380">
        <f t="shared" si="26"/>
        <v>154.17419279505879</v>
      </c>
      <c r="G105" s="110">
        <f t="shared" si="48"/>
        <v>0.70760230199462615</v>
      </c>
      <c r="H105" s="409" t="b">
        <f>Wh_hp&gt;='2027'!Maxi_hp</f>
        <v>0</v>
      </c>
      <c r="I105" s="385">
        <f>IF(H105,Wh_hp,'2027'!Maxi_hp)</f>
        <v>154.18744589130031</v>
      </c>
      <c r="J105" s="85">
        <f>IF(H105,An,'2027'!An_max)</f>
        <v>2022</v>
      </c>
      <c r="K105" s="193">
        <f t="shared" si="27"/>
        <v>46843</v>
      </c>
      <c r="L105" s="143">
        <f>IF(t&lt;Tvie,1-EXP((T0-t)*PertePVj)+'2027'!Pspv,1-EXP((T0-t)*PertePVj)+Pspv)</f>
        <v>3.2572028847067225E-2</v>
      </c>
      <c r="M105" s="835"/>
      <c r="N105" s="835"/>
      <c r="O105" s="48">
        <f>IF(t&lt;Tnet,'2027'!Resal+('2027'!Salim-'2027'!Resal)*(1-EXP(('2027'!Tnet-t)/('2027'!Tau_j))),Resal+(Salim-Resal)*(1-EXP((Tnet-t)/(Tau_j))))*Salcycl</f>
        <v>4.6692995437694146E-2</v>
      </c>
      <c r="P105" s="165">
        <f>(INDEX(Models!$BJ105:$BT105,,T105)*(1-R105)+INDEX(Models!$BJ105:$BT105,,T105+1)*R105-ERP_i)*Q105*Ramure*Pc/MaxiM</f>
        <v>2.0722968054268131E-4</v>
      </c>
      <c r="Q105" s="301">
        <f t="shared" si="28"/>
        <v>0.5</v>
      </c>
      <c r="R105" s="173">
        <f t="shared" si="29"/>
        <v>1.5536929033837854E-2</v>
      </c>
      <c r="S105" s="801">
        <f t="shared" si="30"/>
        <v>3</v>
      </c>
      <c r="T105" s="172">
        <f t="shared" si="31"/>
        <v>9</v>
      </c>
      <c r="U105" s="247">
        <f t="shared" si="32"/>
        <v>3.0155369290338379</v>
      </c>
      <c r="V105" s="378">
        <f t="shared" si="33"/>
        <v>200.90181586803826</v>
      </c>
      <c r="W105" s="397">
        <f t="shared" si="34"/>
        <v>142.17089290363191</v>
      </c>
      <c r="X105" s="153">
        <f t="shared" si="35"/>
        <v>46843</v>
      </c>
      <c r="Y105" s="380">
        <f t="shared" si="36"/>
        <v>139.3528528317697</v>
      </c>
      <c r="Z105" s="380">
        <f t="shared" si="37"/>
        <v>144.04468031423141</v>
      </c>
      <c r="AA105" s="381">
        <f t="shared" si="38"/>
        <v>154.15558617513267</v>
      </c>
      <c r="AB105" s="193">
        <f t="shared" si="39"/>
        <v>46843</v>
      </c>
      <c r="AC105" s="119">
        <f>IF(OR(t&lt;Tnet,NoTnet),'2027'!Resal_s+('2027'!Salim-'2027'!Resal_s)*(1-EXP(('2027'!Tnet_s-t)/'2027'!Tau_j)),Resal_s+(Salim-Resal_s)*(1-EXP((Tnet_s-t)/Tau_j)))*Salcycl</f>
        <v>6.5588968338873468E-2</v>
      </c>
      <c r="AD105" s="227">
        <f>(INDEX(Models!$BJ105:$BT105,,AH105)*(1-AF105)+INDEX(Models!$BJ105:$BT105,,AH105+1)*AF105-ERP_i)*AE105*Ramure*Pc/MaxiM</f>
        <v>2.0722968054268131E-4</v>
      </c>
      <c r="AE105" s="301">
        <f t="shared" si="40"/>
        <v>0.5</v>
      </c>
      <c r="AF105" s="173">
        <f t="shared" si="41"/>
        <v>1.5536929033837854E-2</v>
      </c>
      <c r="AG105" s="801">
        <f t="shared" si="49"/>
        <v>3</v>
      </c>
      <c r="AH105" s="172">
        <f t="shared" si="42"/>
        <v>9</v>
      </c>
      <c r="AI105" s="221">
        <f t="shared" si="43"/>
        <v>3.0155369290338379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46844</v>
      </c>
      <c r="B106" s="406">
        <f>'2027'!Wh/'2027'!Env_an*'2028'!Env_an</f>
        <v>69.54778364378285</v>
      </c>
      <c r="C106" s="831"/>
      <c r="D106" s="388">
        <f t="shared" si="25"/>
        <v>71.890350270403673</v>
      </c>
      <c r="E106" s="380">
        <f t="shared" si="47"/>
        <v>75.414973189268878</v>
      </c>
      <c r="F106" s="380">
        <f t="shared" si="26"/>
        <v>75.415974955397957</v>
      </c>
      <c r="G106" s="110">
        <f t="shared" si="48"/>
        <v>0.34436518244942577</v>
      </c>
      <c r="H106" s="409" t="b">
        <f>Wh_hp&gt;='2027'!Maxi_hp</f>
        <v>0</v>
      </c>
      <c r="I106" s="385">
        <f>IF(H106,Wh_hp,'2027'!Maxi_hp)</f>
        <v>75.430650895015674</v>
      </c>
      <c r="J106" s="85">
        <f>IF(H106,An,'2027'!An_max)</f>
        <v>2022</v>
      </c>
      <c r="K106" s="193">
        <f t="shared" si="27"/>
        <v>46844</v>
      </c>
      <c r="L106" s="143">
        <f>IF(t&lt;Tvie,1-EXP((T0-t)*PertePVj)+'2027'!Pspv,1-EXP((T0-t)*PertePVj)+Pspv)</f>
        <v>3.2585272123583309E-2</v>
      </c>
      <c r="M106" s="835"/>
      <c r="N106" s="835"/>
      <c r="O106" s="48">
        <f>IF(t&lt;Tnet,'2027'!Resal+('2027'!Salim-'2027'!Resal)*(1-EXP(('2027'!Tnet-t)/('2027'!Tau_j))),Resal+(Salim-Resal)*(1-EXP((Tnet-t)/(Tau_j))))*Salcycl</f>
        <v>4.6736380983912272E-2</v>
      </c>
      <c r="P106" s="165">
        <f>(INDEX(Models!$BJ106:$BT106,,T106)*(1-R106)+INDEX(Models!$BJ106:$BT106,,T106+1)*R106-ERP_i)*Q106*Ramure*Pc/MaxiM</f>
        <v>2.0926589939621656E-4</v>
      </c>
      <c r="Q106" s="301">
        <f t="shared" si="28"/>
        <v>0.5</v>
      </c>
      <c r="R106" s="173">
        <f t="shared" si="29"/>
        <v>1.6595133083276981E-2</v>
      </c>
      <c r="S106" s="801">
        <f t="shared" si="30"/>
        <v>3</v>
      </c>
      <c r="T106" s="172">
        <f t="shared" si="31"/>
        <v>9</v>
      </c>
      <c r="U106" s="247">
        <f t="shared" si="32"/>
        <v>3.016595133083277</v>
      </c>
      <c r="V106" s="378">
        <f t="shared" si="33"/>
        <v>201.91981316567768</v>
      </c>
      <c r="W106" s="397">
        <f t="shared" si="34"/>
        <v>69.54778364378285</v>
      </c>
      <c r="X106" s="153">
        <f t="shared" si="35"/>
        <v>46844</v>
      </c>
      <c r="Y106" s="380">
        <f t="shared" si="36"/>
        <v>68.170491091850977</v>
      </c>
      <c r="Z106" s="380">
        <f t="shared" si="37"/>
        <v>70.466666598608455</v>
      </c>
      <c r="AA106" s="381">
        <f t="shared" si="38"/>
        <v>75.414973189268878</v>
      </c>
      <c r="AB106" s="193">
        <f t="shared" si="39"/>
        <v>46844</v>
      </c>
      <c r="AC106" s="119">
        <f>IF(OR(t&lt;Tnet,NoTnet),'2027'!Resal_s+('2027'!Salim-'2027'!Resal_s)*(1-EXP(('2027'!Tnet_s-t)/'2027'!Tau_j)),Resal_s+(Salim-Resal_s)*(1-EXP((Tnet_s-t)/Tau_j)))*Salcycl</f>
        <v>6.5614378437046733E-2</v>
      </c>
      <c r="AD106" s="227">
        <f>(INDEX(Models!$BJ106:$BT106,,AH106)*(1-AF106)+INDEX(Models!$BJ106:$BT106,,AH106+1)*AF106-ERP_i)*AE106*Ramure*Pc/MaxiM</f>
        <v>2.0926589939621656E-4</v>
      </c>
      <c r="AE106" s="301">
        <f t="shared" si="40"/>
        <v>0.5</v>
      </c>
      <c r="AF106" s="173">
        <f t="shared" si="41"/>
        <v>1.6595133083276981E-2</v>
      </c>
      <c r="AG106" s="801">
        <f t="shared" si="49"/>
        <v>3</v>
      </c>
      <c r="AH106" s="172">
        <f t="shared" si="42"/>
        <v>9</v>
      </c>
      <c r="AI106" s="221">
        <f t="shared" si="43"/>
        <v>3.016595133083277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46845</v>
      </c>
      <c r="B107" s="406">
        <f>'2027'!Wh/'2027'!Env_an*'2028'!Env_an</f>
        <v>111.64604845808238</v>
      </c>
      <c r="C107" s="831"/>
      <c r="D107" s="388">
        <f t="shared" si="25"/>
        <v>115.40818389723151</v>
      </c>
      <c r="E107" s="380">
        <f t="shared" si="47"/>
        <v>121.07195400502341</v>
      </c>
      <c r="F107" s="380">
        <f t="shared" si="26"/>
        <v>121.08109791679514</v>
      </c>
      <c r="G107" s="110">
        <f t="shared" si="48"/>
        <v>0.55015865084990501</v>
      </c>
      <c r="H107" s="409" t="b">
        <f>Wh_hp&gt;='2027'!Maxi_hp</f>
        <v>0</v>
      </c>
      <c r="I107" s="385">
        <f>IF(H107,Wh_hp,'2027'!Maxi_hp)</f>
        <v>121.09741152575187</v>
      </c>
      <c r="J107" s="85">
        <f>IF(H107,An,'2027'!An_max)</f>
        <v>2022</v>
      </c>
      <c r="K107" s="193">
        <f t="shared" si="27"/>
        <v>46845</v>
      </c>
      <c r="L107" s="143">
        <f>IF(t&lt;Tvie,1-EXP((T0-t)*PertePVj)+'2027'!Pspv,1-EXP((T0-t)*PertePVj)+Pspv)</f>
        <v>3.2598515218810076E-2</v>
      </c>
      <c r="M107" s="835"/>
      <c r="N107" s="835"/>
      <c r="O107" s="48">
        <f>IF(t&lt;Tnet,'2027'!Resal+('2027'!Salim-'2027'!Resal)*(1-EXP(('2027'!Tnet-t)/('2027'!Tau_j))),Resal+(Salim-Resal)*(1-EXP((Tnet-t)/(Tau_j))))*Salcycl</f>
        <v>4.6780199050532462E-2</v>
      </c>
      <c r="P107" s="165">
        <f>(INDEX(Models!$BJ107:$BT107,,T107)*(1-R107)+INDEX(Models!$BJ107:$BT107,,T107+1)*R107-ERP_i)*Q107*Ramure*Pc/MaxiM</f>
        <v>2.1125574975537284E-4</v>
      </c>
      <c r="Q107" s="301">
        <f t="shared" si="28"/>
        <v>0.5</v>
      </c>
      <c r="R107" s="173">
        <f t="shared" si="29"/>
        <v>1.769271788809057E-2</v>
      </c>
      <c r="S107" s="801">
        <f t="shared" si="30"/>
        <v>3</v>
      </c>
      <c r="T107" s="172">
        <f t="shared" si="31"/>
        <v>9</v>
      </c>
      <c r="U107" s="247">
        <f t="shared" si="32"/>
        <v>3.0176927178880906</v>
      </c>
      <c r="V107" s="378">
        <f t="shared" si="33"/>
        <v>202.90673001069916</v>
      </c>
      <c r="W107" s="397">
        <f t="shared" si="34"/>
        <v>111.64604845808238</v>
      </c>
      <c r="X107" s="153">
        <f t="shared" si="35"/>
        <v>46845</v>
      </c>
      <c r="Y107" s="380">
        <f t="shared" si="36"/>
        <v>109.43704105570306</v>
      </c>
      <c r="Z107" s="380">
        <f t="shared" si="37"/>
        <v>113.12473960121727</v>
      </c>
      <c r="AA107" s="381">
        <f t="shared" si="38"/>
        <v>121.07195400502341</v>
      </c>
      <c r="AB107" s="193">
        <f t="shared" si="39"/>
        <v>46845</v>
      </c>
      <c r="AC107" s="119">
        <f>IF(OR(t&lt;Tnet,NoTnet),'2027'!Resal_s+('2027'!Salim-'2027'!Resal_s)*(1-EXP(('2027'!Tnet_s-t)/'2027'!Tau_j)),Resal_s+(Salim-Resal_s)*(1-EXP((Tnet_s-t)/Tau_j)))*Salcycl</f>
        <v>6.5640424069445591E-2</v>
      </c>
      <c r="AD107" s="227">
        <f>(INDEX(Models!$BJ107:$BT107,,AH107)*(1-AF107)+INDEX(Models!$BJ107:$BT107,,AH107+1)*AF107-ERP_i)*AE107*Ramure*Pc/MaxiM</f>
        <v>2.1125574975537284E-4</v>
      </c>
      <c r="AE107" s="301">
        <f t="shared" si="40"/>
        <v>0.5</v>
      </c>
      <c r="AF107" s="173">
        <f t="shared" si="41"/>
        <v>1.769271788809057E-2</v>
      </c>
      <c r="AG107" s="801">
        <f t="shared" si="49"/>
        <v>3</v>
      </c>
      <c r="AH107" s="172">
        <f t="shared" si="42"/>
        <v>9</v>
      </c>
      <c r="AI107" s="221">
        <f t="shared" si="43"/>
        <v>3.0176927178880906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46846</v>
      </c>
      <c r="B108" s="406">
        <f>'2027'!Wh/'2027'!Env_an*'2028'!Env_an</f>
        <v>170.33630708780456</v>
      </c>
      <c r="C108" s="831"/>
      <c r="D108" s="388">
        <f t="shared" si="25"/>
        <v>176.07853777406049</v>
      </c>
      <c r="E108" s="380">
        <f t="shared" si="47"/>
        <v>184.72834393434945</v>
      </c>
      <c r="F108" s="380">
        <f t="shared" si="26"/>
        <v>184.75850834969893</v>
      </c>
      <c r="G108" s="110">
        <f t="shared" si="48"/>
        <v>0.83547907830554347</v>
      </c>
      <c r="H108" s="409" t="b">
        <f>Wh_hp&gt;='2027'!Maxi_hp</f>
        <v>0</v>
      </c>
      <c r="I108" s="385">
        <f>IF(H108,Wh_hp,'2027'!Maxi_hp)</f>
        <v>184.76770122417531</v>
      </c>
      <c r="J108" s="85">
        <f>IF(H108,An,'2027'!An_max)</f>
        <v>2022</v>
      </c>
      <c r="K108" s="193">
        <f t="shared" si="27"/>
        <v>46846</v>
      </c>
      <c r="L108" s="143">
        <f>IF(t&lt;Tvie,1-EXP((T0-t)*PertePVj)+'2027'!Pspv,1-EXP((T0-t)*PertePVj)+Pspv)</f>
        <v>3.2611758132749968E-2</v>
      </c>
      <c r="M108" s="835"/>
      <c r="N108" s="835"/>
      <c r="O108" s="48">
        <f>IF(t&lt;Tnet,'2027'!Resal+('2027'!Salim-'2027'!Resal)*(1-EXP(('2027'!Tnet-t)/('2027'!Tau_j))),Resal+(Salim-Resal)*(1-EXP((Tnet-t)/(Tau_j))))*Salcycl</f>
        <v>4.6824466544035125E-2</v>
      </c>
      <c r="P108" s="165">
        <f>(INDEX(Models!$BJ108:$BT108,,T108)*(1-R108)+INDEX(Models!$BJ108:$BT108,,T108+1)*R108-ERP_i)*Q108*Ramure*Pc/MaxiM</f>
        <v>2.1340864751850184E-4</v>
      </c>
      <c r="Q108" s="301">
        <f t="shared" si="28"/>
        <v>0.5</v>
      </c>
      <c r="R108" s="173">
        <f t="shared" si="29"/>
        <v>1.8830943922943266E-2</v>
      </c>
      <c r="S108" s="801">
        <f t="shared" si="30"/>
        <v>3</v>
      </c>
      <c r="T108" s="172">
        <f t="shared" si="31"/>
        <v>9</v>
      </c>
      <c r="U108" s="247">
        <f t="shared" si="32"/>
        <v>3.0188309439229433</v>
      </c>
      <c r="V108" s="378">
        <f t="shared" si="33"/>
        <v>203.8683776337044</v>
      </c>
      <c r="W108" s="397">
        <f t="shared" si="34"/>
        <v>170.33630708780456</v>
      </c>
      <c r="X108" s="153">
        <f t="shared" si="35"/>
        <v>46846</v>
      </c>
      <c r="Y108" s="380">
        <f t="shared" si="36"/>
        <v>166.96904761290841</v>
      </c>
      <c r="Z108" s="380">
        <f t="shared" si="37"/>
        <v>172.5977641516763</v>
      </c>
      <c r="AA108" s="381">
        <f t="shared" si="38"/>
        <v>184.72834393434945</v>
      </c>
      <c r="AB108" s="193">
        <f t="shared" si="39"/>
        <v>46846</v>
      </c>
      <c r="AC108" s="119">
        <f>IF(OR(t&lt;Tnet,NoTnet),'2027'!Resal_s+('2027'!Salim-'2027'!Resal_s)*(1-EXP(('2027'!Tnet_s-t)/'2027'!Tau_j)),Resal_s+(Salim-Resal_s)*(1-EXP((Tnet_s-t)/Tau_j)))*Salcycl</f>
        <v>6.5667127871747888E-2</v>
      </c>
      <c r="AD108" s="227">
        <f>(INDEX(Models!$BJ108:$BT108,,AH108)*(1-AF108)+INDEX(Models!$BJ108:$BT108,,AH108+1)*AF108-ERP_i)*AE108*Ramure*Pc/MaxiM</f>
        <v>2.1340864751850184E-4</v>
      </c>
      <c r="AE108" s="301">
        <f t="shared" si="40"/>
        <v>0.5</v>
      </c>
      <c r="AF108" s="173">
        <f t="shared" si="41"/>
        <v>1.8830943922943266E-2</v>
      </c>
      <c r="AG108" s="801">
        <f t="shared" si="49"/>
        <v>3</v>
      </c>
      <c r="AH108" s="172">
        <f t="shared" si="42"/>
        <v>9</v>
      </c>
      <c r="AI108" s="221">
        <f t="shared" si="43"/>
        <v>3.0188309439229433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46847</v>
      </c>
      <c r="B109" s="406">
        <f>'2027'!Wh/'2027'!Env_an*'2028'!Env_an</f>
        <v>208.70672442180751</v>
      </c>
      <c r="C109" s="831"/>
      <c r="D109" s="388">
        <f t="shared" si="25"/>
        <v>215.74541890013157</v>
      </c>
      <c r="E109" s="380">
        <f t="shared" si="47"/>
        <v>226.35447191160054</v>
      </c>
      <c r="F109" s="380">
        <f t="shared" si="26"/>
        <v>226.40334911043368</v>
      </c>
      <c r="G109" s="110">
        <f t="shared" si="48"/>
        <v>1.0190486017817741</v>
      </c>
      <c r="H109" s="409" t="b">
        <f>Wh_hp&gt;='2027'!Maxi_hp</f>
        <v>1</v>
      </c>
      <c r="I109" s="385">
        <f>IF(H109,Wh_hp,'2027'!Maxi_hp)</f>
        <v>226.40334911043368</v>
      </c>
      <c r="J109" s="85">
        <f>IF(H109,An,'2027'!An_max)</f>
        <v>2028</v>
      </c>
      <c r="K109" s="193">
        <f t="shared" si="27"/>
        <v>46847</v>
      </c>
      <c r="L109" s="143">
        <f>IF(t&lt;Tvie,1-EXP((T0-t)*PertePVj)+'2027'!Pspv,1-EXP((T0-t)*PertePVj)+Pspv)</f>
        <v>3.262500086540554E-2</v>
      </c>
      <c r="M109" s="835"/>
      <c r="N109" s="835"/>
      <c r="O109" s="48">
        <f>IF(t&lt;Tnet,'2027'!Resal+('2027'!Salim-'2027'!Resal)*(1-EXP(('2027'!Tnet-t)/('2027'!Tau_j))),Resal+(Salim-Resal)*(1-EXP((Tnet-t)/(Tau_j))))*Salcycl</f>
        <v>4.6869199984757449E-2</v>
      </c>
      <c r="P109" s="165">
        <f>(INDEX(Models!$BJ109:$BT109,,T109)*(1-R109)+INDEX(Models!$BJ109:$BT109,,T109+1)*R109-ERP_i)*Q109*Ramure*Pc/MaxiM</f>
        <v>2.1588549385494308E-4</v>
      </c>
      <c r="Q109" s="301">
        <f t="shared" si="28"/>
        <v>0.5</v>
      </c>
      <c r="R109" s="173">
        <f t="shared" si="29"/>
        <v>2.0011095550962033E-2</v>
      </c>
      <c r="S109" s="801">
        <f t="shared" si="30"/>
        <v>3</v>
      </c>
      <c r="T109" s="172">
        <f t="shared" si="31"/>
        <v>9</v>
      </c>
      <c r="U109" s="247">
        <f t="shared" si="32"/>
        <v>3.020011095550962</v>
      </c>
      <c r="V109" s="378">
        <f t="shared" si="33"/>
        <v>204.80546664495728</v>
      </c>
      <c r="W109" s="397">
        <f t="shared" si="34"/>
        <v>208.70672442180751</v>
      </c>
      <c r="X109" s="153">
        <f t="shared" si="35"/>
        <v>46847</v>
      </c>
      <c r="Y109" s="380">
        <f t="shared" si="36"/>
        <v>204.58455232901986</v>
      </c>
      <c r="Z109" s="380">
        <f t="shared" si="37"/>
        <v>211.4842253645582</v>
      </c>
      <c r="AA109" s="381">
        <f t="shared" si="38"/>
        <v>226.35447191160054</v>
      </c>
      <c r="AB109" s="193">
        <f t="shared" si="39"/>
        <v>46847</v>
      </c>
      <c r="AC109" s="119">
        <f>IF(OR(t&lt;Tnet,NoTnet),'2027'!Resal_s+('2027'!Salim-'2027'!Resal_s)*(1-EXP(('2027'!Tnet_s-t)/'2027'!Tau_j)),Resal_s+(Salim-Resal_s)*(1-EXP((Tnet_s-t)/Tau_j)))*Salcycl</f>
        <v>6.5694511893052865E-2</v>
      </c>
      <c r="AD109" s="227">
        <f>(INDEX(Models!$BJ109:$BT109,,AH109)*(1-AF109)+INDEX(Models!$BJ109:$BT109,,AH109+1)*AF109-ERP_i)*AE109*Ramure*Pc/MaxiM</f>
        <v>2.1588549385494308E-4</v>
      </c>
      <c r="AE109" s="301">
        <f t="shared" si="40"/>
        <v>0.5</v>
      </c>
      <c r="AF109" s="173">
        <f t="shared" si="41"/>
        <v>2.0011095550962033E-2</v>
      </c>
      <c r="AG109" s="801">
        <f t="shared" si="49"/>
        <v>3</v>
      </c>
      <c r="AH109" s="172">
        <f t="shared" si="42"/>
        <v>9</v>
      </c>
      <c r="AI109" s="221">
        <f t="shared" si="43"/>
        <v>3.020011095550962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46848</v>
      </c>
      <c r="B110" s="406">
        <f>'2027'!Wh/'2027'!Env_an*'2028'!Env_an</f>
        <v>51.817420651058278</v>
      </c>
      <c r="C110" s="831"/>
      <c r="D110" s="388">
        <f t="shared" si="25"/>
        <v>53.565711377799843</v>
      </c>
      <c r="E110" s="380">
        <f t="shared" si="47"/>
        <v>56.202414817115901</v>
      </c>
      <c r="F110" s="380">
        <f t="shared" si="26"/>
        <v>56.202414817115901</v>
      </c>
      <c r="G110" s="110">
        <f t="shared" si="48"/>
        <v>0.25182970137858074</v>
      </c>
      <c r="H110" s="409" t="b">
        <f>Wh_hp&gt;='2027'!Maxi_hp</f>
        <v>0</v>
      </c>
      <c r="I110" s="385">
        <f>IF(H110,Wh_hp,'2027'!Maxi_hp)</f>
        <v>56.214601212449267</v>
      </c>
      <c r="J110" s="85">
        <f>IF(H110,An,'2027'!An_max)</f>
        <v>2022</v>
      </c>
      <c r="K110" s="193">
        <f t="shared" si="27"/>
        <v>46848</v>
      </c>
      <c r="L110" s="143">
        <f>IF(t&lt;Tvie,1-EXP((T0-t)*PertePVj)+'2027'!Pspv,1-EXP((T0-t)*PertePVj)+Pspv)</f>
        <v>3.2638243416779122E-2</v>
      </c>
      <c r="M110" s="835"/>
      <c r="N110" s="835"/>
      <c r="O110" s="48">
        <f>IF(t&lt;Tnet,'2027'!Resal+('2027'!Salim-'2027'!Resal)*(1-EXP(('2027'!Tnet-t)/('2027'!Tau_j))),Resal+(Salim-Resal)*(1-EXP((Tnet-t)/(Tau_j))))*Salcycl</f>
        <v>4.6914415472999869E-2</v>
      </c>
      <c r="P110" s="165">
        <f>(INDEX(Models!$BJ110:$BT110,,T110)*(1-R110)+INDEX(Models!$BJ110:$BT110,,T110+1)*R110-ERP_i)*Q110*Ramure*Pc/MaxiM</f>
        <v>2.1868629184492973E-4</v>
      </c>
      <c r="Q110" s="301">
        <f t="shared" si="28"/>
        <v>0.5</v>
      </c>
      <c r="R110" s="173">
        <f t="shared" si="29"/>
        <v>2.1234480074002082E-2</v>
      </c>
      <c r="S110" s="801">
        <f t="shared" si="30"/>
        <v>3</v>
      </c>
      <c r="T110" s="172">
        <f t="shared" si="31"/>
        <v>9</v>
      </c>
      <c r="U110" s="247">
        <f t="shared" si="32"/>
        <v>3.0212344800740021</v>
      </c>
      <c r="V110" s="378">
        <f t="shared" si="33"/>
        <v>205.71874011636925</v>
      </c>
      <c r="W110" s="397">
        <f t="shared" si="34"/>
        <v>51.817420651058278</v>
      </c>
      <c r="X110" s="153">
        <f t="shared" si="35"/>
        <v>46848</v>
      </c>
      <c r="Y110" s="380">
        <f t="shared" si="36"/>
        <v>50.794856152973573</v>
      </c>
      <c r="Z110" s="380">
        <f t="shared" si="37"/>
        <v>52.508646126743749</v>
      </c>
      <c r="AA110" s="381">
        <f t="shared" si="38"/>
        <v>56.202414817115901</v>
      </c>
      <c r="AB110" s="193">
        <f t="shared" si="39"/>
        <v>46848</v>
      </c>
      <c r="AC110" s="119">
        <f>IF(OR(t&lt;Tnet,NoTnet),'2027'!Resal_s+('2027'!Salim-'2027'!Resal_s)*(1-EXP(('2027'!Tnet_s-t)/'2027'!Tau_j)),Resal_s+(Salim-Resal_s)*(1-EXP((Tnet_s-t)/Tau_j)))*Salcycl</f>
        <v>6.5722597550154513E-2</v>
      </c>
      <c r="AD110" s="227">
        <f>(INDEX(Models!$BJ110:$BT110,,AH110)*(1-AF110)+INDEX(Models!$BJ110:$BT110,,AH110+1)*AF110-ERP_i)*AE110*Ramure*Pc/MaxiM</f>
        <v>2.1868629184492973E-4</v>
      </c>
      <c r="AE110" s="301">
        <f t="shared" si="40"/>
        <v>0.5</v>
      </c>
      <c r="AF110" s="173">
        <f t="shared" si="41"/>
        <v>2.1234480074002082E-2</v>
      </c>
      <c r="AG110" s="801">
        <f t="shared" si="49"/>
        <v>3</v>
      </c>
      <c r="AH110" s="172">
        <f t="shared" si="42"/>
        <v>9</v>
      </c>
      <c r="AI110" s="221">
        <f t="shared" si="43"/>
        <v>3.0212344800740021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46849</v>
      </c>
      <c r="B111" s="406">
        <f>'2027'!Wh/'2027'!Env_an*'2028'!Env_an</f>
        <v>159.24749093898006</v>
      </c>
      <c r="C111" s="831"/>
      <c r="D111" s="388">
        <f t="shared" si="25"/>
        <v>164.62266556383483</v>
      </c>
      <c r="E111" s="380">
        <f t="shared" si="47"/>
        <v>172.73429004780931</v>
      </c>
      <c r="F111" s="380">
        <f t="shared" si="26"/>
        <v>172.76006132866598</v>
      </c>
      <c r="G111" s="110">
        <f t="shared" si="48"/>
        <v>0.7707116695836681</v>
      </c>
      <c r="H111" s="409" t="b">
        <f>Wh_hp&gt;='2027'!Maxi_hp</f>
        <v>0</v>
      </c>
      <c r="I111" s="385">
        <f>IF(H111,Wh_hp,'2027'!Maxi_hp)</f>
        <v>172.77249888027328</v>
      </c>
      <c r="J111" s="85">
        <f>IF(H111,An,'2027'!An_max)</f>
        <v>2022</v>
      </c>
      <c r="K111" s="193">
        <f t="shared" si="27"/>
        <v>46849</v>
      </c>
      <c r="L111" s="143">
        <f>IF(t&lt;Tvie,1-EXP((T0-t)*PertePVj)+'2027'!Pspv,1-EXP((T0-t)*PertePVj)+Pspv)</f>
        <v>3.265148578687338E-2</v>
      </c>
      <c r="M111" s="835"/>
      <c r="N111" s="835"/>
      <c r="O111" s="48">
        <f>IF(t&lt;Tnet,'2027'!Resal+('2027'!Salim-'2027'!Resal)*(1-EXP(('2027'!Tnet-t)/('2027'!Tau_j))),Resal+(Salim-Resal)*(1-EXP((Tnet-t)/(Tau_j))))*Salcycl</f>
        <v>4.6960128656153656E-2</v>
      </c>
      <c r="P111" s="165">
        <f>(INDEX(Models!$BJ111:$BT111,,T111)*(1-R111)+INDEX(Models!$BJ111:$BT111,,T111+1)*R111-ERP_i)*Q111*Ramure*Pc/MaxiM</f>
        <v>2.218115053801653E-4</v>
      </c>
      <c r="Q111" s="301">
        <f t="shared" si="28"/>
        <v>0.5</v>
      </c>
      <c r="R111" s="173">
        <f t="shared" si="29"/>
        <v>2.2502426634951167E-2</v>
      </c>
      <c r="S111" s="801">
        <f t="shared" si="30"/>
        <v>3</v>
      </c>
      <c r="T111" s="172">
        <f t="shared" si="31"/>
        <v>9</v>
      </c>
      <c r="U111" s="247">
        <f t="shared" si="32"/>
        <v>3.0225024266349512</v>
      </c>
      <c r="V111" s="378">
        <f t="shared" si="33"/>
        <v>206.60894097063809</v>
      </c>
      <c r="W111" s="397">
        <f t="shared" si="34"/>
        <v>159.24749093898006</v>
      </c>
      <c r="X111" s="153">
        <f t="shared" si="35"/>
        <v>46849</v>
      </c>
      <c r="Y111" s="380">
        <f t="shared" si="36"/>
        <v>156.10757644832884</v>
      </c>
      <c r="Z111" s="380">
        <f t="shared" si="37"/>
        <v>161.37676768471798</v>
      </c>
      <c r="AA111" s="381">
        <f t="shared" si="38"/>
        <v>172.73429004780931</v>
      </c>
      <c r="AB111" s="193">
        <f t="shared" si="39"/>
        <v>46849</v>
      </c>
      <c r="AC111" s="119">
        <f>IF(OR(t&lt;Tnet,NoTnet),'2027'!Resal_s+('2027'!Salim-'2027'!Resal_s)*(1-EXP(('2027'!Tnet_s-t)/'2027'!Tau_j)),Resal_s+(Salim-Resal_s)*(1-EXP((Tnet_s-t)/Tau_j)))*Salcycl</f>
        <v>6.5751405583383521E-2</v>
      </c>
      <c r="AD111" s="227">
        <f>(INDEX(Models!$BJ111:$BT111,,AH111)*(1-AF111)+INDEX(Models!$BJ111:$BT111,,AH111+1)*AF111-ERP_i)*AE111*Ramure*Pc/MaxiM</f>
        <v>2.218115053801653E-4</v>
      </c>
      <c r="AE111" s="301">
        <f t="shared" si="40"/>
        <v>0.5</v>
      </c>
      <c r="AF111" s="173">
        <f t="shared" si="41"/>
        <v>2.2502426634951167E-2</v>
      </c>
      <c r="AG111" s="801">
        <f t="shared" si="49"/>
        <v>3</v>
      </c>
      <c r="AH111" s="172">
        <f t="shared" si="42"/>
        <v>9</v>
      </c>
      <c r="AI111" s="221">
        <f t="shared" si="43"/>
        <v>3.0225024266349512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46850</v>
      </c>
      <c r="B112" s="406">
        <f>'2027'!Wh/'2027'!Env_an*'2028'!Env_an</f>
        <v>126.75067060934462</v>
      </c>
      <c r="C112" s="831"/>
      <c r="D112" s="388">
        <f t="shared" si="25"/>
        <v>131.03075456361458</v>
      </c>
      <c r="E112" s="380">
        <f t="shared" si="47"/>
        <v>137.49383871484477</v>
      </c>
      <c r="F112" s="380">
        <f t="shared" si="26"/>
        <v>137.50759680579318</v>
      </c>
      <c r="G112" s="110">
        <f t="shared" si="48"/>
        <v>0.61083837512039585</v>
      </c>
      <c r="H112" s="409" t="b">
        <f>Wh_hp&gt;='2027'!Maxi_hp</f>
        <v>0</v>
      </c>
      <c r="I112" s="385">
        <f>IF(H112,Wh_hp,'2027'!Maxi_hp)</f>
        <v>137.5246543062388</v>
      </c>
      <c r="J112" s="85">
        <f>IF(H112,An,'2027'!An_max)</f>
        <v>2022</v>
      </c>
      <c r="K112" s="193">
        <f t="shared" si="27"/>
        <v>46850</v>
      </c>
      <c r="L112" s="143">
        <f>IF(t&lt;Tvie,1-EXP((T0-t)*PertePVj)+'2027'!Pspv,1-EXP((T0-t)*PertePVj)+Pspv)</f>
        <v>3.2664727975690644E-2</v>
      </c>
      <c r="M112" s="835"/>
      <c r="N112" s="835"/>
      <c r="O112" s="48">
        <f>IF(t&lt;Tnet,'2027'!Resal+('2027'!Salim-'2027'!Resal)*(1-EXP(('2027'!Tnet-t)/('2027'!Tau_j))),Resal+(Salim-Resal)*(1-EXP((Tnet-t)/(Tau_j))))*Salcycl</f>
        <v>4.7006354696622343E-2</v>
      </c>
      <c r="P112" s="165">
        <f>(INDEX(Models!$BJ112:$BT112,,T112)*(1-R112)+INDEX(Models!$BJ112:$BT112,,T112+1)*R112-ERP_i)*Q112*Ramure*Pc/MaxiM</f>
        <v>2.252620458731139E-4</v>
      </c>
      <c r="Q112" s="301">
        <f t="shared" si="28"/>
        <v>0.5</v>
      </c>
      <c r="R112" s="173">
        <f t="shared" si="29"/>
        <v>2.3816284962694834E-2</v>
      </c>
      <c r="S112" s="801">
        <f t="shared" si="30"/>
        <v>3</v>
      </c>
      <c r="T112" s="172">
        <f t="shared" si="31"/>
        <v>9</v>
      </c>
      <c r="U112" s="247">
        <f t="shared" si="32"/>
        <v>3.0238162849626948</v>
      </c>
      <c r="V112" s="378">
        <f t="shared" si="33"/>
        <v>207.47681202212169</v>
      </c>
      <c r="W112" s="397">
        <f t="shared" si="34"/>
        <v>126.75067060934462</v>
      </c>
      <c r="X112" s="153">
        <f t="shared" si="35"/>
        <v>46850</v>
      </c>
      <c r="Y112" s="380">
        <f t="shared" si="36"/>
        <v>124.25359907157564</v>
      </c>
      <c r="Z112" s="380">
        <f t="shared" si="37"/>
        <v>128.44936255818976</v>
      </c>
      <c r="AA112" s="381">
        <f t="shared" si="38"/>
        <v>137.49383871484477</v>
      </c>
      <c r="AB112" s="193">
        <f t="shared" si="39"/>
        <v>46850</v>
      </c>
      <c r="AC112" s="119">
        <f>IF(OR(t&lt;Tnet,NoTnet),'2027'!Resal_s+('2027'!Salim-'2027'!Resal_s)*(1-EXP(('2027'!Tnet_s-t)/'2027'!Tau_j)),Resal_s+(Salim-Resal_s)*(1-EXP((Tnet_s-t)/Tau_j)))*Salcycl</f>
        <v>6.5780956013692979E-2</v>
      </c>
      <c r="AD112" s="227">
        <f>(INDEX(Models!$BJ112:$BT112,,AH112)*(1-AF112)+INDEX(Models!$BJ112:$BT112,,AH112+1)*AF112-ERP_i)*AE112*Ramure*Pc/MaxiM</f>
        <v>2.252620458731139E-4</v>
      </c>
      <c r="AE112" s="301">
        <f t="shared" si="40"/>
        <v>0.5</v>
      </c>
      <c r="AF112" s="173">
        <f t="shared" si="41"/>
        <v>2.3816284962694834E-2</v>
      </c>
      <c r="AG112" s="801">
        <f t="shared" si="49"/>
        <v>3</v>
      </c>
      <c r="AH112" s="172">
        <f t="shared" si="42"/>
        <v>9</v>
      </c>
      <c r="AI112" s="221">
        <f t="shared" si="43"/>
        <v>3.0238162849626948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46851</v>
      </c>
      <c r="B113" s="406">
        <f>'2027'!Wh/'2027'!Env_an*'2028'!Env_an</f>
        <v>136.82022347862687</v>
      </c>
      <c r="C113" s="831"/>
      <c r="D113" s="388">
        <f t="shared" si="25"/>
        <v>141.44226972299532</v>
      </c>
      <c r="E113" s="380">
        <f t="shared" si="47"/>
        <v>148.42618297627186</v>
      </c>
      <c r="F113" s="380">
        <f t="shared" si="26"/>
        <v>148.44351146315734</v>
      </c>
      <c r="G113" s="110">
        <f t="shared" si="48"/>
        <v>0.65669557900416997</v>
      </c>
      <c r="H113" s="409" t="b">
        <f>Wh_hp&gt;='2027'!Maxi_hp</f>
        <v>0</v>
      </c>
      <c r="I113" s="385">
        <f>IF(H113,Wh_hp,'2027'!Maxi_hp)</f>
        <v>148.46002089262618</v>
      </c>
      <c r="J113" s="85">
        <f>IF(H113,An,'2027'!An_max)</f>
        <v>2022</v>
      </c>
      <c r="K113" s="193">
        <f t="shared" si="27"/>
        <v>46851</v>
      </c>
      <c r="L113" s="143">
        <f>IF(t&lt;Tvie,1-EXP((T0-t)*PertePVj)+'2027'!Pspv,1-EXP((T0-t)*PertePVj)+Pspv)</f>
        <v>3.2677969983233468E-2</v>
      </c>
      <c r="M113" s="835"/>
      <c r="N113" s="835"/>
      <c r="O113" s="48">
        <f>IF(t&lt;Tnet,'2027'!Resal+('2027'!Salim-'2027'!Resal)*(1-EXP(('2027'!Tnet-t)/('2027'!Tau_j))),Resal+(Salim-Resal)*(1-EXP((Tnet-t)/(Tau_j))))*Salcycl</f>
        <v>4.7053108240296272E-2</v>
      </c>
      <c r="P113" s="165">
        <f>(INDEX(Models!$BJ113:$BT113,,T113)*(1-R113)+INDEX(Models!$BJ113:$BT113,,T113+1)*R113-ERP_i)*Q113*Ramure*Pc/MaxiM</f>
        <v>2.2903925940861091E-4</v>
      </c>
      <c r="Q113" s="301">
        <f t="shared" si="28"/>
        <v>0.5</v>
      </c>
      <c r="R113" s="173">
        <f t="shared" si="29"/>
        <v>2.5177423950260902E-2</v>
      </c>
      <c r="S113" s="801">
        <f t="shared" si="30"/>
        <v>3</v>
      </c>
      <c r="T113" s="172">
        <f t="shared" si="31"/>
        <v>9</v>
      </c>
      <c r="U113" s="247">
        <f t="shared" si="32"/>
        <v>3.0251774239502609</v>
      </c>
      <c r="V113" s="378">
        <f t="shared" si="33"/>
        <v>208.32309597254596</v>
      </c>
      <c r="W113" s="397">
        <f t="shared" si="34"/>
        <v>136.82022347862687</v>
      </c>
      <c r="X113" s="153">
        <f t="shared" si="35"/>
        <v>46851</v>
      </c>
      <c r="Y113" s="380">
        <f t="shared" si="36"/>
        <v>134.12700348249302</v>
      </c>
      <c r="Z113" s="380">
        <f t="shared" si="37"/>
        <v>138.65806765526492</v>
      </c>
      <c r="AA113" s="381">
        <f t="shared" si="38"/>
        <v>148.42618297627186</v>
      </c>
      <c r="AB113" s="193">
        <f t="shared" si="39"/>
        <v>46851</v>
      </c>
      <c r="AC113" s="119">
        <f>IF(OR(t&lt;Tnet,NoTnet),'2027'!Resal_s+('2027'!Salim-'2027'!Resal_s)*(1-EXP(('2027'!Tnet_s-t)/'2027'!Tau_j)),Resal_s+(Salim-Resal_s)*(1-EXP((Tnet_s-t)/Tau_j)))*Salcycl</f>
        <v>6.58112681006459E-2</v>
      </c>
      <c r="AD113" s="227">
        <f>(INDEX(Models!$BJ113:$BT113,,AH113)*(1-AF113)+INDEX(Models!$BJ113:$BT113,,AH113+1)*AF113-ERP_i)*AE113*Ramure*Pc/MaxiM</f>
        <v>2.2903925940861091E-4</v>
      </c>
      <c r="AE113" s="301">
        <f t="shared" si="40"/>
        <v>0.5</v>
      </c>
      <c r="AF113" s="173">
        <f t="shared" si="41"/>
        <v>2.5177423950260902E-2</v>
      </c>
      <c r="AG113" s="801">
        <f t="shared" si="49"/>
        <v>3</v>
      </c>
      <c r="AH113" s="172">
        <f t="shared" si="42"/>
        <v>9</v>
      </c>
      <c r="AI113" s="221">
        <f t="shared" si="43"/>
        <v>3.0251774239502609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46852</v>
      </c>
      <c r="B114" s="406">
        <f>'2027'!Wh/'2027'!Env_an*'2028'!Env_an</f>
        <v>213.60263235188305</v>
      </c>
      <c r="C114" s="831"/>
      <c r="D114" s="388">
        <f t="shared" si="25"/>
        <v>220.82155663183897</v>
      </c>
      <c r="E114" s="380">
        <f t="shared" si="47"/>
        <v>231.73643625870304</v>
      </c>
      <c r="F114" s="380">
        <f t="shared" si="26"/>
        <v>231.79044704559422</v>
      </c>
      <c r="G114" s="110">
        <f t="shared" si="48"/>
        <v>1.0212962014267877</v>
      </c>
      <c r="H114" s="409" t="b">
        <f>Wh_hp&gt;='2027'!Maxi_hp</f>
        <v>1</v>
      </c>
      <c r="I114" s="385">
        <f>IF(H114,Wh_hp,'2027'!Maxi_hp)</f>
        <v>231.79044704559422</v>
      </c>
      <c r="J114" s="85">
        <f>IF(H114,An,'2027'!An_max)</f>
        <v>2028</v>
      </c>
      <c r="K114" s="193">
        <f t="shared" si="27"/>
        <v>46852</v>
      </c>
      <c r="L114" s="143">
        <f>IF(t&lt;Tvie,1-EXP((T0-t)*PertePVj)+'2027'!Pspv,1-EXP((T0-t)*PertePVj)+Pspv)</f>
        <v>3.2691211809504406E-2</v>
      </c>
      <c r="M114" s="835"/>
      <c r="N114" s="835"/>
      <c r="O114" s="48">
        <f>IF(t&lt;Tnet,'2027'!Resal+('2027'!Salim-'2027'!Resal)*(1-EXP(('2027'!Tnet-t)/('2027'!Tau_j))),Resal+(Salim-Resal)*(1-EXP((Tnet-t)/(Tau_j))))*Salcycl</f>
        <v>4.710040338533146E-2</v>
      </c>
      <c r="P114" s="165">
        <f>(INDEX(Models!$BJ114:$BT114,,T114)*(1-R114)+INDEX(Models!$BJ114:$BT114,,T114+1)*R114-ERP_i)*Q114*Ramure*Pc/MaxiM</f>
        <v>2.3301558618827898E-4</v>
      </c>
      <c r="Q114" s="301">
        <f t="shared" si="28"/>
        <v>0.5</v>
      </c>
      <c r="R114" s="173">
        <f t="shared" si="29"/>
        <v>2.6587230056603239E-2</v>
      </c>
      <c r="S114" s="801">
        <f t="shared" si="30"/>
        <v>3</v>
      </c>
      <c r="T114" s="172">
        <f t="shared" si="31"/>
        <v>9</v>
      </c>
      <c r="U114" s="247">
        <f t="shared" si="32"/>
        <v>3.0265872300566032</v>
      </c>
      <c r="V114" s="378">
        <f t="shared" si="33"/>
        <v>209.14856243807864</v>
      </c>
      <c r="W114" s="397">
        <f t="shared" si="34"/>
        <v>213.60263235188305</v>
      </c>
      <c r="X114" s="153">
        <f t="shared" si="35"/>
        <v>46852</v>
      </c>
      <c r="Y114" s="380">
        <f t="shared" si="36"/>
        <v>209.4014223326694</v>
      </c>
      <c r="Z114" s="380">
        <f t="shared" si="37"/>
        <v>216.47836232769885</v>
      </c>
      <c r="AA114" s="381">
        <f t="shared" si="38"/>
        <v>231.73643625870304</v>
      </c>
      <c r="AB114" s="193">
        <f t="shared" si="39"/>
        <v>46852</v>
      </c>
      <c r="AC114" s="119">
        <f>IF(OR(t&lt;Tnet,NoTnet),'2027'!Resal_s+('2027'!Salim-'2027'!Resal_s)*(1-EXP(('2027'!Tnet_s-t)/'2027'!Tau_j)),Resal_s+(Salim-Resal_s)*(1-EXP((Tnet_s-t)/Tau_j)))*Salcycl</f>
        <v>6.5842360300952252E-2</v>
      </c>
      <c r="AD114" s="227">
        <f>(INDEX(Models!$BJ114:$BT114,,AH114)*(1-AF114)+INDEX(Models!$BJ114:$BT114,,AH114+1)*AF114-ERP_i)*AE114*Ramure*Pc/MaxiM</f>
        <v>2.3301558618827898E-4</v>
      </c>
      <c r="AE114" s="301">
        <f t="shared" si="40"/>
        <v>0.5</v>
      </c>
      <c r="AF114" s="173">
        <f t="shared" si="41"/>
        <v>2.6587230056603239E-2</v>
      </c>
      <c r="AG114" s="801">
        <f t="shared" si="49"/>
        <v>3</v>
      </c>
      <c r="AH114" s="172">
        <f t="shared" si="42"/>
        <v>9</v>
      </c>
      <c r="AI114" s="221">
        <f t="shared" si="43"/>
        <v>3.0265872300566032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46853</v>
      </c>
      <c r="B115" s="406">
        <f>'2027'!Wh/'2027'!Env_an*'2028'!Env_an</f>
        <v>171.79460744731719</v>
      </c>
      <c r="C115" s="831"/>
      <c r="D115" s="388">
        <f t="shared" si="25"/>
        <v>177.60301705186987</v>
      </c>
      <c r="E115" s="380">
        <f t="shared" si="47"/>
        <v>186.39102854392604</v>
      </c>
      <c r="F115" s="380">
        <f t="shared" si="26"/>
        <v>186.42375759662707</v>
      </c>
      <c r="G115" s="110">
        <f t="shared" si="48"/>
        <v>0.81819853515723884</v>
      </c>
      <c r="H115" s="409" t="b">
        <f>Wh_hp&gt;='2027'!Maxi_hp</f>
        <v>0</v>
      </c>
      <c r="I115" s="385">
        <f>IF(H115,Wh_hp,'2027'!Maxi_hp)</f>
        <v>186.43511486158815</v>
      </c>
      <c r="J115" s="85">
        <f>IF(H115,An,'2027'!An_max)</f>
        <v>2022</v>
      </c>
      <c r="K115" s="193">
        <f t="shared" si="27"/>
        <v>46853</v>
      </c>
      <c r="L115" s="143">
        <f>IF(t&lt;Tvie,1-EXP((T0-t)*PertePVj)+'2027'!Pspv,1-EXP((T0-t)*PertePVj)+Pspv)</f>
        <v>3.2704453454505789E-2</v>
      </c>
      <c r="M115" s="835"/>
      <c r="N115" s="835"/>
      <c r="O115" s="48">
        <f>IF(t&lt;Tnet,'2027'!Resal+('2027'!Salim-'2027'!Resal)*(1-EXP(('2027'!Tnet-t)/('2027'!Tau_j))),Resal+(Salim-Resal)*(1-EXP((Tnet-t)/(Tau_j))))*Salcycl</f>
        <v>4.7148253650980493E-2</v>
      </c>
      <c r="P115" s="165">
        <f>(INDEX(Models!$BJ115:$BT115,,T115)*(1-R115)+INDEX(Models!$BJ115:$BT115,,T115+1)*R115-ERP_i)*Q115*Ramure*Pc/MaxiM</f>
        <v>2.371328981294861E-4</v>
      </c>
      <c r="Q115" s="301">
        <f t="shared" si="28"/>
        <v>0.5</v>
      </c>
      <c r="R115" s="173">
        <f t="shared" si="29"/>
        <v>2.8047105522500448E-2</v>
      </c>
      <c r="S115" s="801">
        <f t="shared" si="30"/>
        <v>3</v>
      </c>
      <c r="T115" s="172">
        <f t="shared" si="31"/>
        <v>9</v>
      </c>
      <c r="U115" s="247">
        <f t="shared" si="32"/>
        <v>3.0280471055225004</v>
      </c>
      <c r="V115" s="378">
        <f t="shared" si="33"/>
        <v>209.95396688636777</v>
      </c>
      <c r="W115" s="397">
        <f t="shared" si="34"/>
        <v>171.79460744731719</v>
      </c>
      <c r="X115" s="153">
        <f t="shared" si="35"/>
        <v>46853</v>
      </c>
      <c r="Y115" s="380">
        <f t="shared" si="36"/>
        <v>168.41839992794382</v>
      </c>
      <c r="Z115" s="380">
        <f t="shared" si="37"/>
        <v>174.11265928951809</v>
      </c>
      <c r="AA115" s="381">
        <f t="shared" si="38"/>
        <v>186.39102854392604</v>
      </c>
      <c r="AB115" s="193">
        <f t="shared" si="39"/>
        <v>46853</v>
      </c>
      <c r="AC115" s="119">
        <f>IF(OR(t&lt;Tnet,NoTnet),'2027'!Resal_s+('2027'!Salim-'2027'!Resal_s)*(1-EXP(('2027'!Tnet_s-t)/'2027'!Tau_j)),Resal_s+(Salim-Resal_s)*(1-EXP((Tnet_s-t)/Tau_j)))*Salcycl</f>
        <v>6.5874250227201031E-2</v>
      </c>
      <c r="AD115" s="227">
        <f>(INDEX(Models!$BJ115:$BT115,,AH115)*(1-AF115)+INDEX(Models!$BJ115:$BT115,,AH115+1)*AF115-ERP_i)*AE115*Ramure*Pc/MaxiM</f>
        <v>2.371328981294861E-4</v>
      </c>
      <c r="AE115" s="301">
        <f t="shared" si="40"/>
        <v>0.5</v>
      </c>
      <c r="AF115" s="173">
        <f t="shared" si="41"/>
        <v>2.8047105522500448E-2</v>
      </c>
      <c r="AG115" s="801">
        <f t="shared" si="49"/>
        <v>3</v>
      </c>
      <c r="AH115" s="172">
        <f t="shared" si="42"/>
        <v>9</v>
      </c>
      <c r="AI115" s="221">
        <f t="shared" si="43"/>
        <v>3.0280471055225004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46854</v>
      </c>
      <c r="B116" s="406">
        <f>'2027'!Wh/'2027'!Env_an*'2028'!Env_an</f>
        <v>143.84018671401225</v>
      </c>
      <c r="C116" s="831"/>
      <c r="D116" s="388">
        <f t="shared" si="25"/>
        <v>148.70548748625575</v>
      </c>
      <c r="E116" s="380">
        <f t="shared" si="47"/>
        <v>156.07154499555156</v>
      </c>
      <c r="F116" s="380">
        <f t="shared" si="26"/>
        <v>156.09213685295907</v>
      </c>
      <c r="G116" s="110">
        <f t="shared" si="48"/>
        <v>0.68247320155320246</v>
      </c>
      <c r="H116" s="409" t="b">
        <f>Wh_hp&gt;='2027'!Maxi_hp</f>
        <v>0</v>
      </c>
      <c r="I116" s="385">
        <f>IF(H116,Wh_hp,'2027'!Maxi_hp)</f>
        <v>156.10903736270134</v>
      </c>
      <c r="J116" s="85">
        <f>IF(H116,An,'2027'!An_max)</f>
        <v>2022</v>
      </c>
      <c r="K116" s="193">
        <f t="shared" si="27"/>
        <v>46854</v>
      </c>
      <c r="L116" s="143">
        <f>IF(t&lt;Tvie,1-EXP((T0-t)*PertePVj)+'2027'!Pspv,1-EXP((T0-t)*PertePVj)+Pspv)</f>
        <v>3.271769491824017E-2</v>
      </c>
      <c r="M116" s="835"/>
      <c r="N116" s="835"/>
      <c r="O116" s="48">
        <f>IF(t&lt;Tnet,'2027'!Resal+('2027'!Salim-'2027'!Resal)*(1-EXP(('2027'!Tnet-t)/('2027'!Tau_j))),Resal+(Salim-Resal)*(1-EXP((Tnet-t)/(Tau_j))))*Salcycl</f>
        <v>4.7196671946226641E-2</v>
      </c>
      <c r="P116" s="165">
        <f>(INDEX(Models!$BJ116:$BT116,,T116)*(1-R116)+INDEX(Models!$BJ116:$BT116,,T116+1)*R116-ERP_i)*Q116*Ramure*Pc/MaxiM</f>
        <v>2.4139411476324426E-4</v>
      </c>
      <c r="Q116" s="301">
        <f t="shared" si="28"/>
        <v>0.5</v>
      </c>
      <c r="R116" s="173">
        <f t="shared" si="29"/>
        <v>2.9558466391129024E-2</v>
      </c>
      <c r="S116" s="801">
        <f t="shared" si="30"/>
        <v>3</v>
      </c>
      <c r="T116" s="172">
        <f t="shared" si="31"/>
        <v>9</v>
      </c>
      <c r="U116" s="247">
        <f t="shared" si="32"/>
        <v>3.029558466391129</v>
      </c>
      <c r="V116" s="378">
        <f t="shared" si="33"/>
        <v>210.74005206412443</v>
      </c>
      <c r="W116" s="397">
        <f t="shared" si="34"/>
        <v>143.84018671401225</v>
      </c>
      <c r="X116" s="153">
        <f t="shared" si="35"/>
        <v>46854</v>
      </c>
      <c r="Y116" s="380">
        <f t="shared" si="36"/>
        <v>141.01558433062843</v>
      </c>
      <c r="Z116" s="380">
        <f t="shared" si="37"/>
        <v>145.78534476417312</v>
      </c>
      <c r="AA116" s="381">
        <f t="shared" si="38"/>
        <v>156.07154499555156</v>
      </c>
      <c r="AB116" s="193">
        <f t="shared" si="39"/>
        <v>46854</v>
      </c>
      <c r="AC116" s="119">
        <f>IF(OR(t&lt;Tnet,NoTnet),'2027'!Resal_s+('2027'!Salim-'2027'!Resal_s)*(1-EXP(('2027'!Tnet_s-t)/'2027'!Tau_j)),Resal_s+(Salim-Resal_s)*(1-EXP((Tnet_s-t)/Tau_j)))*Salcycl</f>
        <v>6.5906954606437931E-2</v>
      </c>
      <c r="AD116" s="227">
        <f>(INDEX(Models!$BJ116:$BT116,,AH116)*(1-AF116)+INDEX(Models!$BJ116:$BT116,,AH116+1)*AF116-ERP_i)*AE116*Ramure*Pc/MaxiM</f>
        <v>2.4139411476324426E-4</v>
      </c>
      <c r="AE116" s="301">
        <f t="shared" si="40"/>
        <v>0.5</v>
      </c>
      <c r="AF116" s="173">
        <f t="shared" si="41"/>
        <v>2.9558466391129024E-2</v>
      </c>
      <c r="AG116" s="801">
        <f t="shared" si="49"/>
        <v>3</v>
      </c>
      <c r="AH116" s="172">
        <f t="shared" si="42"/>
        <v>9</v>
      </c>
      <c r="AI116" s="221">
        <f t="shared" si="43"/>
        <v>3.029558466391129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46855</v>
      </c>
      <c r="B117" s="406">
        <f>'2027'!Wh/'2027'!Env_an*'2028'!Env_an</f>
        <v>23.86305288296683</v>
      </c>
      <c r="C117" s="831"/>
      <c r="D117" s="388">
        <f t="shared" si="25"/>
        <v>24.670542846926466</v>
      </c>
      <c r="E117" s="380">
        <f t="shared" si="47"/>
        <v>25.893918383826051</v>
      </c>
      <c r="F117" s="380">
        <f t="shared" si="26"/>
        <v>25.893918383826051</v>
      </c>
      <c r="G117" s="110">
        <f t="shared" si="48"/>
        <v>0.11279590769200011</v>
      </c>
      <c r="H117" s="409" t="b">
        <f>Wh_hp&gt;='2027'!Maxi_hp</f>
        <v>0</v>
      </c>
      <c r="I117" s="385">
        <f>IF(H117,Wh_hp,'2027'!Maxi_hp)</f>
        <v>25.900210588432266</v>
      </c>
      <c r="J117" s="85">
        <f>IF(H117,An,'2027'!An_max)</f>
        <v>2022</v>
      </c>
      <c r="K117" s="193">
        <f t="shared" si="27"/>
        <v>46855</v>
      </c>
      <c r="L117" s="143">
        <f>IF(t&lt;Tvie,1-EXP((T0-t)*PertePVj)+'2027'!Pspv,1-EXP((T0-t)*PertePVj)+Pspv)</f>
        <v>3.2730936200710103E-2</v>
      </c>
      <c r="M117" s="835"/>
      <c r="N117" s="835"/>
      <c r="O117" s="48">
        <f>IF(t&lt;Tnet,'2027'!Resal+('2027'!Salim-'2027'!Resal)*(1-EXP(('2027'!Tnet-t)/('2027'!Tau_j))),Resal+(Salim-Resal)*(1-EXP((Tnet-t)/(Tau_j))))*Salcycl</f>
        <v>4.7245670537979914E-2</v>
      </c>
      <c r="P117" s="165">
        <f>(INDEX(Models!$BJ117:$BT117,,T117)*(1-R117)+INDEX(Models!$BJ117:$BT117,,T117+1)*R117-ERP_i)*Q117*Ramure*Pc/MaxiM</f>
        <v>2.458022667443299E-4</v>
      </c>
      <c r="Q117" s="301">
        <f t="shared" si="28"/>
        <v>0.5</v>
      </c>
      <c r="R117" s="173">
        <f t="shared" si="29"/>
        <v>3.112274032405038E-2</v>
      </c>
      <c r="S117" s="801">
        <f t="shared" si="30"/>
        <v>3</v>
      </c>
      <c r="T117" s="172">
        <f t="shared" si="31"/>
        <v>9</v>
      </c>
      <c r="U117" s="247">
        <f t="shared" si="32"/>
        <v>3.0311227403240504</v>
      </c>
      <c r="V117" s="378">
        <f t="shared" si="33"/>
        <v>211.50756067871771</v>
      </c>
      <c r="W117" s="397">
        <f t="shared" si="34"/>
        <v>23.86305288296683</v>
      </c>
      <c r="X117" s="153">
        <f t="shared" si="35"/>
        <v>46855</v>
      </c>
      <c r="Y117" s="380">
        <f t="shared" si="36"/>
        <v>23.394815233987618</v>
      </c>
      <c r="Z117" s="380">
        <f t="shared" si="37"/>
        <v>24.186460737301203</v>
      </c>
      <c r="AA117" s="381">
        <f t="shared" si="38"/>
        <v>25.893918383826051</v>
      </c>
      <c r="AB117" s="193">
        <f t="shared" si="39"/>
        <v>46855</v>
      </c>
      <c r="AC117" s="119">
        <f>IF(OR(t&lt;Tnet,NoTnet),'2027'!Resal_s+('2027'!Salim-'2027'!Resal_s)*(1-EXP(('2027'!Tnet_s-t)/'2027'!Tau_j)),Resal_s+(Salim-Resal_s)*(1-EXP((Tnet_s-t)/Tau_j)))*Salcycl</f>
        <v>6.5940489238251673E-2</v>
      </c>
      <c r="AD117" s="227">
        <f>(INDEX(Models!$BJ117:$BT117,,AH117)*(1-AF117)+INDEX(Models!$BJ117:$BT117,,AH117+1)*AF117-ERP_i)*AE117*Ramure*Pc/MaxiM</f>
        <v>2.458022667443299E-4</v>
      </c>
      <c r="AE117" s="301">
        <f t="shared" si="40"/>
        <v>0.5</v>
      </c>
      <c r="AF117" s="173">
        <f t="shared" si="41"/>
        <v>3.112274032405038E-2</v>
      </c>
      <c r="AG117" s="801">
        <f t="shared" si="49"/>
        <v>3</v>
      </c>
      <c r="AH117" s="172">
        <f t="shared" si="42"/>
        <v>9</v>
      </c>
      <c r="AI117" s="221">
        <f t="shared" si="43"/>
        <v>3.0311227403240504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46856</v>
      </c>
      <c r="B118" s="406">
        <f>'2027'!Wh/'2027'!Env_an*'2028'!Env_an</f>
        <v>171.31435847539635</v>
      </c>
      <c r="C118" s="831"/>
      <c r="D118" s="388">
        <f t="shared" si="25"/>
        <v>177.11380428553923</v>
      </c>
      <c r="E118" s="380">
        <f t="shared" si="47"/>
        <v>185.90629083561049</v>
      </c>
      <c r="F118" s="380">
        <f t="shared" si="26"/>
        <v>185.94001494234976</v>
      </c>
      <c r="G118" s="110">
        <f t="shared" si="48"/>
        <v>0.80705158119985487</v>
      </c>
      <c r="H118" s="409" t="b">
        <f>Wh_hp&gt;='2027'!Maxi_hp</f>
        <v>0</v>
      </c>
      <c r="I118" s="385">
        <f>IF(H118,Wh_hp,'2027'!Maxi_hp)</f>
        <v>185.95269093155864</v>
      </c>
      <c r="J118" s="85">
        <f>IF(H118,An,'2027'!An_max)</f>
        <v>2022</v>
      </c>
      <c r="K118" s="193">
        <f t="shared" si="27"/>
        <v>46856</v>
      </c>
      <c r="L118" s="143">
        <f>IF(t&lt;Tvie,1-EXP((T0-t)*PertePVj)+'2027'!Pspv,1-EXP((T0-t)*PertePVj)+Pspv)</f>
        <v>3.2744177301917921E-2</v>
      </c>
      <c r="M118" s="835"/>
      <c r="N118" s="835"/>
      <c r="O118" s="48">
        <f>IF(t&lt;Tnet,'2027'!Resal+('2027'!Salim-'2027'!Resal)*(1-EXP(('2027'!Tnet-t)/('2027'!Tau_j))),Resal+(Salim-Resal)*(1-EXP((Tnet-t)/(Tau_j))))*Salcycl</f>
        <v>4.7295261018607052E-2</v>
      </c>
      <c r="P118" s="165">
        <f>(INDEX(Models!$BJ118:$BT118,,T118)*(1-R118)+INDEX(Models!$BJ118:$BT118,,T118+1)*R118-ERP_i)*Q118*Ramure*Pc/MaxiM</f>
        <v>2.5036049072572197E-4</v>
      </c>
      <c r="Q118" s="301">
        <f t="shared" si="28"/>
        <v>0.5</v>
      </c>
      <c r="R118" s="173">
        <f t="shared" si="29"/>
        <v>3.2741364203614065E-2</v>
      </c>
      <c r="S118" s="801">
        <f t="shared" si="30"/>
        <v>3</v>
      </c>
      <c r="T118" s="172">
        <f t="shared" si="31"/>
        <v>9</v>
      </c>
      <c r="U118" s="247">
        <f t="shared" si="32"/>
        <v>3.0327413642036141</v>
      </c>
      <c r="V118" s="378">
        <f t="shared" si="33"/>
        <v>212.25723536557348</v>
      </c>
      <c r="W118" s="397">
        <f t="shared" si="34"/>
        <v>171.31435847539635</v>
      </c>
      <c r="X118" s="153">
        <f t="shared" si="35"/>
        <v>46856</v>
      </c>
      <c r="Y118" s="380">
        <f t="shared" si="36"/>
        <v>167.95541113446924</v>
      </c>
      <c r="Z118" s="380">
        <f t="shared" si="37"/>
        <v>173.64114766036886</v>
      </c>
      <c r="AA118" s="381">
        <f t="shared" si="38"/>
        <v>185.90629083561049</v>
      </c>
      <c r="AB118" s="193">
        <f t="shared" si="39"/>
        <v>46856</v>
      </c>
      <c r="AC118" s="119">
        <f>IF(OR(t&lt;Tnet,NoTnet),'2027'!Resal_s+('2027'!Salim-'2027'!Resal_s)*(1-EXP(('2027'!Tnet_s-t)/'2027'!Tau_j)),Resal_s+(Salim-Resal_s)*(1-EXP((Tnet_s-t)/Tau_j)))*Salcycl</f>
        <v>6.5974868952052845E-2</v>
      </c>
      <c r="AD118" s="227">
        <f>(INDEX(Models!$BJ118:$BT118,,AH118)*(1-AF118)+INDEX(Models!$BJ118:$BT118,,AH118+1)*AF118-ERP_i)*AE118*Ramure*Pc/MaxiM</f>
        <v>2.5036049072572197E-4</v>
      </c>
      <c r="AE118" s="301">
        <f t="shared" si="40"/>
        <v>0.5</v>
      </c>
      <c r="AF118" s="173">
        <f t="shared" si="41"/>
        <v>3.2741364203614065E-2</v>
      </c>
      <c r="AG118" s="801">
        <f t="shared" si="49"/>
        <v>3</v>
      </c>
      <c r="AH118" s="172">
        <f t="shared" si="42"/>
        <v>9</v>
      </c>
      <c r="AI118" s="221">
        <f t="shared" si="43"/>
        <v>3.0327413642036141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46857</v>
      </c>
      <c r="B119" s="406">
        <f>'2027'!Wh/'2027'!Env_an*'2028'!Env_an</f>
        <v>180.8733875697657</v>
      </c>
      <c r="C119" s="831"/>
      <c r="D119" s="388">
        <f t="shared" si="25"/>
        <v>186.9989917495738</v>
      </c>
      <c r="E119" s="380">
        <f t="shared" si="47"/>
        <v>196.29255178411822</v>
      </c>
      <c r="F119" s="380">
        <f t="shared" si="26"/>
        <v>196.33184296617856</v>
      </c>
      <c r="G119" s="110">
        <f t="shared" si="48"/>
        <v>0.8491647555698858</v>
      </c>
      <c r="H119" s="409" t="b">
        <f>Wh_hp&gt;='2027'!Maxi_hp</f>
        <v>0</v>
      </c>
      <c r="I119" s="385">
        <f>IF(H119,Wh_hp,'2027'!Maxi_hp)</f>
        <v>196.34249793514525</v>
      </c>
      <c r="J119" s="85">
        <f>IF(H119,An,'2027'!An_max)</f>
        <v>2022</v>
      </c>
      <c r="K119" s="193">
        <f t="shared" si="27"/>
        <v>46857</v>
      </c>
      <c r="L119" s="143">
        <f>IF(t&lt;Tvie,1-EXP((T0-t)*PertePVj)+'2027'!Pspv,1-EXP((T0-t)*PertePVj)+Pspv)</f>
        <v>3.2757418221866286E-2</v>
      </c>
      <c r="M119" s="835"/>
      <c r="N119" s="835"/>
      <c r="O119" s="48">
        <f>IF(t&lt;Tnet,'2027'!Resal+('2027'!Salim-'2027'!Resal)*(1-EXP(('2027'!Tnet-t)/('2027'!Tau_j))),Resal+(Salim-Resal)*(1-EXP((Tnet-t)/(Tau_j))))*Salcycl</f>
        <v>4.7345454272587142E-2</v>
      </c>
      <c r="P119" s="165">
        <f>(INDEX(Models!$BJ119:$BT119,,T119)*(1-R119)+INDEX(Models!$BJ119:$BT119,,T119+1)*R119-ERP_i)*Q119*Ramure*Pc/MaxiM</f>
        <v>2.550720237548431E-4</v>
      </c>
      <c r="Q119" s="301">
        <f t="shared" si="28"/>
        <v>0.5</v>
      </c>
      <c r="R119" s="173">
        <f t="shared" si="29"/>
        <v>3.4415781513145394E-2</v>
      </c>
      <c r="S119" s="801">
        <f t="shared" si="30"/>
        <v>3</v>
      </c>
      <c r="T119" s="172">
        <f t="shared" si="31"/>
        <v>9</v>
      </c>
      <c r="U119" s="247">
        <f t="shared" si="32"/>
        <v>3.0344157815131454</v>
      </c>
      <c r="V119" s="378">
        <f t="shared" si="33"/>
        <v>212.98981874882332</v>
      </c>
      <c r="W119" s="397">
        <f t="shared" si="34"/>
        <v>180.8733875697657</v>
      </c>
      <c r="X119" s="153">
        <f t="shared" si="35"/>
        <v>46857</v>
      </c>
      <c r="Y119" s="380">
        <f t="shared" si="36"/>
        <v>177.32966956239429</v>
      </c>
      <c r="Z119" s="380">
        <f t="shared" si="37"/>
        <v>183.33525932698257</v>
      </c>
      <c r="AA119" s="381">
        <f t="shared" si="38"/>
        <v>196.29255178411822</v>
      </c>
      <c r="AB119" s="193">
        <f t="shared" si="39"/>
        <v>46857</v>
      </c>
      <c r="AC119" s="119">
        <f>IF(OR(t&lt;Tnet,NoTnet),'2027'!Resal_s+('2027'!Salim-'2027'!Resal_s)*(1-EXP(('2027'!Tnet_s-t)/'2027'!Tau_j)),Resal_s+(Salim-Resal_s)*(1-EXP((Tnet_s-t)/Tau_j)))*Salcycl</f>
        <v>6.6010107563256121E-2</v>
      </c>
      <c r="AD119" s="227">
        <f>(INDEX(Models!$BJ119:$BT119,,AH119)*(1-AF119)+INDEX(Models!$BJ119:$BT119,,AH119+1)*AF119-ERP_i)*AE119*Ramure*Pc/MaxiM</f>
        <v>2.550720237548431E-4</v>
      </c>
      <c r="AE119" s="301">
        <f t="shared" si="40"/>
        <v>0.5</v>
      </c>
      <c r="AF119" s="173">
        <f t="shared" si="41"/>
        <v>3.4415781513145394E-2</v>
      </c>
      <c r="AG119" s="801">
        <f t="shared" si="49"/>
        <v>3</v>
      </c>
      <c r="AH119" s="172">
        <f t="shared" si="42"/>
        <v>9</v>
      </c>
      <c r="AI119" s="221">
        <f t="shared" si="43"/>
        <v>3.0344157815131454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46858</v>
      </c>
      <c r="B120" s="406">
        <f>'2027'!Wh/'2027'!Env_an*'2028'!Env_an</f>
        <v>181.96508601587277</v>
      </c>
      <c r="C120" s="831"/>
      <c r="D120" s="388">
        <f t="shared" si="25"/>
        <v>188.13023788166123</v>
      </c>
      <c r="E120" s="380">
        <f t="shared" si="47"/>
        <v>197.49055149518227</v>
      </c>
      <c r="F120" s="380">
        <f t="shared" si="26"/>
        <v>197.53100307490055</v>
      </c>
      <c r="G120" s="110">
        <f t="shared" si="48"/>
        <v>0.85142673739181274</v>
      </c>
      <c r="H120" s="409" t="b">
        <f>Wh_hp&gt;='2027'!Maxi_hp</f>
        <v>0</v>
      </c>
      <c r="I120" s="385">
        <f>IF(H120,Wh_hp,'2027'!Maxi_hp)</f>
        <v>197.54175886779768</v>
      </c>
      <c r="J120" s="85">
        <f>IF(H120,An,'2027'!An_max)</f>
        <v>2022</v>
      </c>
      <c r="K120" s="193">
        <f t="shared" si="27"/>
        <v>46858</v>
      </c>
      <c r="L120" s="143">
        <f>IF(t&lt;Tvie,1-EXP((T0-t)*PertePVj)+'2027'!Pspv,1-EXP((T0-t)*PertePVj)+Pspv)</f>
        <v>3.2770658960557419E-2</v>
      </c>
      <c r="M120" s="835"/>
      <c r="N120" s="835"/>
      <c r="O120" s="48">
        <f>IF(t&lt;Tnet,'2027'!Resal+('2027'!Salim-'2027'!Resal)*(1-EXP(('2027'!Tnet-t)/('2027'!Tau_j))),Resal+(Salim-Resal)*(1-EXP((Tnet-t)/(Tau_j))))*Salcycl</f>
        <v>4.7396260442107201E-2</v>
      </c>
      <c r="P120" s="165">
        <f>(INDEX(Models!$BJ120:$BT120,,T120)*(1-R120)+INDEX(Models!$BJ120:$BT120,,T120+1)*R120-ERP_i)*Q120*Ramure*Pc/MaxiM</f>
        <v>2.5994019733682999E-4</v>
      </c>
      <c r="Q120" s="301">
        <f t="shared" si="28"/>
        <v>0.5</v>
      </c>
      <c r="R120" s="173">
        <f t="shared" si="29"/>
        <v>3.6147439486788002E-2</v>
      </c>
      <c r="S120" s="801">
        <f t="shared" si="30"/>
        <v>3</v>
      </c>
      <c r="T120" s="172">
        <f t="shared" si="31"/>
        <v>9</v>
      </c>
      <c r="U120" s="247">
        <f t="shared" si="32"/>
        <v>3.036147439486788</v>
      </c>
      <c r="V120" s="378">
        <f t="shared" si="33"/>
        <v>213.70605341262021</v>
      </c>
      <c r="W120" s="397">
        <f t="shared" si="34"/>
        <v>181.96508601587277</v>
      </c>
      <c r="X120" s="153">
        <f t="shared" si="35"/>
        <v>46858</v>
      </c>
      <c r="Y120" s="380">
        <f t="shared" si="36"/>
        <v>178.40259622183564</v>
      </c>
      <c r="Z120" s="380">
        <f t="shared" si="37"/>
        <v>184.44704751213763</v>
      </c>
      <c r="AA120" s="381">
        <f t="shared" si="38"/>
        <v>197.49055149518227</v>
      </c>
      <c r="AB120" s="193">
        <f t="shared" si="39"/>
        <v>46858</v>
      </c>
      <c r="AC120" s="119">
        <f>IF(OR(t&lt;Tnet,NoTnet),'2027'!Resal_s+('2027'!Salim-'2027'!Resal_s)*(1-EXP(('2027'!Tnet_s-t)/'2027'!Tau_j)),Resal_s+(Salim-Resal_s)*(1-EXP((Tnet_s-t)/Tau_j)))*Salcycl</f>
        <v>6.6046217828111264E-2</v>
      </c>
      <c r="AD120" s="227">
        <f>(INDEX(Models!$BJ120:$BT120,,AH120)*(1-AF120)+INDEX(Models!$BJ120:$BT120,,AH120+1)*AF120-ERP_i)*AE120*Ramure*Pc/MaxiM</f>
        <v>2.5994019733682999E-4</v>
      </c>
      <c r="AE120" s="301">
        <f t="shared" si="40"/>
        <v>0.5</v>
      </c>
      <c r="AF120" s="173">
        <f t="shared" si="41"/>
        <v>3.6147439486788002E-2</v>
      </c>
      <c r="AG120" s="801">
        <f t="shared" si="49"/>
        <v>3</v>
      </c>
      <c r="AH120" s="172">
        <f t="shared" si="42"/>
        <v>9</v>
      </c>
      <c r="AI120" s="221">
        <f t="shared" si="43"/>
        <v>3.036147439486788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46859</v>
      </c>
      <c r="B121" s="406">
        <f>'2027'!Wh/'2027'!Env_an*'2028'!Env_an</f>
        <v>218.28825589622693</v>
      </c>
      <c r="C121" s="831"/>
      <c r="D121" s="388">
        <f t="shared" si="25"/>
        <v>225.68716110850966</v>
      </c>
      <c r="E121" s="380">
        <f t="shared" si="47"/>
        <v>236.92888933927435</v>
      </c>
      <c r="F121" s="380">
        <f t="shared" si="26"/>
        <v>236.99168583798047</v>
      </c>
      <c r="G121" s="110">
        <f t="shared" si="48"/>
        <v>1.0181229862172456</v>
      </c>
      <c r="H121" s="409" t="b">
        <f>Wh_hp&gt;='2027'!Maxi_hp</f>
        <v>1</v>
      </c>
      <c r="I121" s="385">
        <f>IF(H121,Wh_hp,'2027'!Maxi_hp)</f>
        <v>236.99168583798047</v>
      </c>
      <c r="J121" s="85">
        <f>IF(H121,An,'2027'!An_max)</f>
        <v>2028</v>
      </c>
      <c r="K121" s="193">
        <f t="shared" si="27"/>
        <v>46859</v>
      </c>
      <c r="L121" s="143">
        <f>IF(t&lt;Tvie,1-EXP((T0-t)*PertePVj)+'2027'!Pspv,1-EXP((T0-t)*PertePVj)+Pspv)</f>
        <v>3.2783899517994097E-2</v>
      </c>
      <c r="M121" s="835"/>
      <c r="N121" s="835"/>
      <c r="O121" s="48">
        <f>IF(t&lt;Tnet,'2027'!Resal+('2027'!Salim-'2027'!Resal)*(1-EXP(('2027'!Tnet-t)/('2027'!Tau_j))),Resal+(Salim-Resal)*(1-EXP((Tnet-t)/(Tau_j))))*Salcycl</f>
        <v>4.7447688891441686E-2</v>
      </c>
      <c r="P121" s="165">
        <f>(INDEX(Models!$BJ121:$BT121,,T121)*(1-R121)+INDEX(Models!$BJ121:$BT121,,T121+1)*R121-ERP_i)*Q121*Ramure*Pc/MaxiM</f>
        <v>2.6497342505531234E-4</v>
      </c>
      <c r="Q121" s="301">
        <f t="shared" si="28"/>
        <v>0.5</v>
      </c>
      <c r="R121" s="173">
        <f t="shared" si="29"/>
        <v>3.7937786021464692E-2</v>
      </c>
      <c r="S121" s="801">
        <f t="shared" si="30"/>
        <v>3</v>
      </c>
      <c r="T121" s="172">
        <f t="shared" si="31"/>
        <v>9</v>
      </c>
      <c r="U121" s="247">
        <f t="shared" si="32"/>
        <v>3.0379377860214647</v>
      </c>
      <c r="V121" s="378">
        <f t="shared" si="33"/>
        <v>214.40263981000905</v>
      </c>
      <c r="W121" s="397">
        <f t="shared" si="34"/>
        <v>218.28825589622693</v>
      </c>
      <c r="X121" s="153">
        <f t="shared" si="35"/>
        <v>46859</v>
      </c>
      <c r="Y121" s="380">
        <f t="shared" si="36"/>
        <v>214.01771279008256</v>
      </c>
      <c r="Z121" s="380">
        <f t="shared" si="37"/>
        <v>221.2718674590179</v>
      </c>
      <c r="AA121" s="381">
        <f t="shared" si="38"/>
        <v>236.92888933927435</v>
      </c>
      <c r="AB121" s="193">
        <f t="shared" si="39"/>
        <v>46859</v>
      </c>
      <c r="AC121" s="119">
        <f>IF(OR(t&lt;Tnet,NoTnet),'2027'!Resal_s+('2027'!Salim-'2027'!Resal_s)*(1-EXP(('2027'!Tnet_s-t)/'2027'!Tau_j)),Resal_s+(Salim-Resal_s)*(1-EXP((Tnet_s-t)/Tau_j)))*Salcycl</f>
        <v>6.6083211396969474E-2</v>
      </c>
      <c r="AD121" s="227">
        <f>(INDEX(Models!$BJ121:$BT121,,AH121)*(1-AF121)+INDEX(Models!$BJ121:$BT121,,AH121+1)*AF121-ERP_i)*AE121*Ramure*Pc/MaxiM</f>
        <v>2.6497342505531234E-4</v>
      </c>
      <c r="AE121" s="301">
        <f t="shared" si="40"/>
        <v>0.5</v>
      </c>
      <c r="AF121" s="173">
        <f t="shared" si="41"/>
        <v>3.7937786021464692E-2</v>
      </c>
      <c r="AG121" s="801">
        <f t="shared" si="49"/>
        <v>3</v>
      </c>
      <c r="AH121" s="172">
        <f t="shared" si="42"/>
        <v>9</v>
      </c>
      <c r="AI121" s="221">
        <f t="shared" si="43"/>
        <v>3.0379377860214647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46860</v>
      </c>
      <c r="B122" s="406">
        <f>'2027'!Wh/'2027'!Env_an*'2028'!Env_an</f>
        <v>161.10060253355948</v>
      </c>
      <c r="C122" s="831"/>
      <c r="D122" s="388">
        <f t="shared" si="25"/>
        <v>166.56340585669227</v>
      </c>
      <c r="E122" s="380">
        <f t="shared" si="47"/>
        <v>174.86967120132456</v>
      </c>
      <c r="F122" s="380">
        <f t="shared" si="26"/>
        <v>174.89994658375224</v>
      </c>
      <c r="G122" s="110">
        <f t="shared" si="48"/>
        <v>0.74896603756471747</v>
      </c>
      <c r="H122" s="409" t="b">
        <f>Wh_hp&gt;='2027'!Maxi_hp</f>
        <v>0</v>
      </c>
      <c r="I122" s="385">
        <f>IF(H122,Wh_hp,'2027'!Maxi_hp)</f>
        <v>174.91663566375686</v>
      </c>
      <c r="J122" s="85">
        <f>IF(H122,An,'2027'!An_max)</f>
        <v>2022</v>
      </c>
      <c r="K122" s="193">
        <f t="shared" si="27"/>
        <v>46860</v>
      </c>
      <c r="L122" s="143">
        <f>IF(t&lt;Tvie,1-EXP((T0-t)*PertePVj)+'2027'!Pspv,1-EXP((T0-t)*PertePVj)+Pspv)</f>
        <v>3.2797139894178651E-2</v>
      </c>
      <c r="M122" s="835"/>
      <c r="N122" s="835"/>
      <c r="O122" s="48">
        <f>IF(t&lt;Tnet,'2027'!Resal+('2027'!Salim-'2027'!Resal)*(1-EXP(('2027'!Tnet-t)/('2027'!Tau_j))),Resal+(Salim-Resal)*(1-EXP((Tnet-t)/(Tau_j))))*Salcycl</f>
        <v>4.7499748169992341E-2</v>
      </c>
      <c r="P122" s="165">
        <f>(INDEX(Models!$BJ122:$BT122,,T122)*(1-R122)+INDEX(Models!$BJ122:$BT122,,T122+1)*R122-ERP_i)*Q122*Ramure*Pc/MaxiM</f>
        <v>2.6984502021924658E-4</v>
      </c>
      <c r="Q122" s="301">
        <f t="shared" si="28"/>
        <v>0.5</v>
      </c>
      <c r="R122" s="173">
        <f t="shared" si="29"/>
        <v>3.978826634418775E-2</v>
      </c>
      <c r="S122" s="801">
        <f t="shared" si="30"/>
        <v>3</v>
      </c>
      <c r="T122" s="172">
        <f t="shared" si="31"/>
        <v>9</v>
      </c>
      <c r="U122" s="247">
        <f t="shared" si="32"/>
        <v>3.0397882663441878</v>
      </c>
      <c r="V122" s="378">
        <f t="shared" si="33"/>
        <v>215.07652718634628</v>
      </c>
      <c r="W122" s="397">
        <f t="shared" si="34"/>
        <v>161.10060253355948</v>
      </c>
      <c r="X122" s="153">
        <f t="shared" si="35"/>
        <v>46860</v>
      </c>
      <c r="Y122" s="380">
        <f t="shared" si="36"/>
        <v>157.95109071431054</v>
      </c>
      <c r="Z122" s="380">
        <f t="shared" si="37"/>
        <v>163.30709640067562</v>
      </c>
      <c r="AA122" s="381">
        <f t="shared" si="38"/>
        <v>174.86967120132456</v>
      </c>
      <c r="AB122" s="193">
        <f t="shared" si="39"/>
        <v>46860</v>
      </c>
      <c r="AC122" s="119">
        <f>IF(OR(t&lt;Tnet,NoTnet),'2027'!Resal_s+('2027'!Salim-'2027'!Resal_s)*(1-EXP(('2027'!Tnet_s-t)/'2027'!Tau_j)),Resal_s+(Salim-Resal_s)*(1-EXP((Tnet_s-t)/Tau_j)))*Salcycl</f>
        <v>6.6121098765818162E-2</v>
      </c>
      <c r="AD122" s="227">
        <f>(INDEX(Models!$BJ122:$BT122,,AH122)*(1-AF122)+INDEX(Models!$BJ122:$BT122,,AH122+1)*AF122-ERP_i)*AE122*Ramure*Pc/MaxiM</f>
        <v>2.6984502021924658E-4</v>
      </c>
      <c r="AE122" s="301">
        <f t="shared" si="40"/>
        <v>0.5</v>
      </c>
      <c r="AF122" s="173">
        <f t="shared" si="41"/>
        <v>3.978826634418775E-2</v>
      </c>
      <c r="AG122" s="801">
        <f t="shared" si="49"/>
        <v>3</v>
      </c>
      <c r="AH122" s="172">
        <f t="shared" si="42"/>
        <v>9</v>
      </c>
      <c r="AI122" s="221">
        <f t="shared" si="43"/>
        <v>3.0397882663441878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46861</v>
      </c>
      <c r="B123" s="406">
        <f>'2027'!Wh/'2027'!Env_an*'2028'!Env_an</f>
        <v>36.387280474957677</v>
      </c>
      <c r="C123" s="831"/>
      <c r="D123" s="388">
        <f t="shared" si="25"/>
        <v>37.621661487961667</v>
      </c>
      <c r="E123" s="380">
        <f t="shared" si="47"/>
        <v>39.499982260367901</v>
      </c>
      <c r="F123" s="380">
        <f t="shared" si="26"/>
        <v>39.499982260367901</v>
      </c>
      <c r="G123" s="110">
        <f t="shared" si="48"/>
        <v>0.16862515753310528</v>
      </c>
      <c r="H123" s="409" t="b">
        <f>Wh_hp&gt;='2027'!Maxi_hp</f>
        <v>0</v>
      </c>
      <c r="I123" s="385">
        <f>IF(H123,Wh_hp,'2027'!Maxi_hp)</f>
        <v>39.510665427940808</v>
      </c>
      <c r="J123" s="85">
        <f>IF(H123,An,'2027'!An_max)</f>
        <v>2022</v>
      </c>
      <c r="K123" s="193">
        <f t="shared" si="27"/>
        <v>46861</v>
      </c>
      <c r="L123" s="143">
        <f>IF(t&lt;Tvie,1-EXP((T0-t)*PertePVj)+'2027'!Pspv,1-EXP((T0-t)*PertePVj)+Pspv)</f>
        <v>3.2810380089113522E-2</v>
      </c>
      <c r="M123" s="835"/>
      <c r="N123" s="835"/>
      <c r="O123" s="48">
        <f>IF(t&lt;Tnet,'2027'!Resal+('2027'!Salim-'2027'!Resal)*(1-EXP(('2027'!Tnet-t)/('2027'!Tau_j))),Resal+(Salim-Resal)*(1-EXP((Tnet-t)/(Tau_j))))*Salcycl</f>
        <v>4.7552445973902062E-2</v>
      </c>
      <c r="P123" s="165">
        <f>(INDEX(Models!$BJ123:$BT123,,T123)*(1-R123)+INDEX(Models!$BJ123:$BT123,,T123+1)*R123-ERP_i)*Q123*Ramure*Pc/MaxiM</f>
        <v>2.7434473715496862E-4</v>
      </c>
      <c r="Q123" s="301">
        <f t="shared" si="28"/>
        <v>0.5</v>
      </c>
      <c r="R123" s="173">
        <f t="shared" si="29"/>
        <v>4.1700319428824351E-2</v>
      </c>
      <c r="S123" s="801">
        <f t="shared" si="30"/>
        <v>3</v>
      </c>
      <c r="T123" s="172">
        <f t="shared" si="31"/>
        <v>9</v>
      </c>
      <c r="U123" s="247">
        <f t="shared" si="32"/>
        <v>3.0417003194288244</v>
      </c>
      <c r="V123" s="378">
        <f t="shared" si="33"/>
        <v>215.72876994299162</v>
      </c>
      <c r="W123" s="397">
        <f t="shared" si="34"/>
        <v>36.387280474957677</v>
      </c>
      <c r="X123" s="153">
        <f t="shared" si="35"/>
        <v>46861</v>
      </c>
      <c r="Y123" s="380">
        <f t="shared" si="36"/>
        <v>35.676402218540538</v>
      </c>
      <c r="Z123" s="380">
        <f t="shared" si="37"/>
        <v>36.886667809594194</v>
      </c>
      <c r="AA123" s="381">
        <f t="shared" si="38"/>
        <v>39.499982260367901</v>
      </c>
      <c r="AB123" s="193">
        <f t="shared" si="39"/>
        <v>46861</v>
      </c>
      <c r="AC123" s="119">
        <f>IF(OR(t&lt;Tnet,NoTnet),'2027'!Resal_s+('2027'!Salim-'2027'!Resal_s)*(1-EXP(('2027'!Tnet_s-t)/'2027'!Tau_j)),Resal_s+(Salim-Resal_s)*(1-EXP((Tnet_s-t)/Tau_j)))*Salcycl</f>
        <v>6.6159889225969576E-2</v>
      </c>
      <c r="AD123" s="227">
        <f>(INDEX(Models!$BJ123:$BT123,,AH123)*(1-AF123)+INDEX(Models!$BJ123:$BT123,,AH123+1)*AF123-ERP_i)*AE123*Ramure*Pc/MaxiM</f>
        <v>2.7434473715496862E-4</v>
      </c>
      <c r="AE123" s="301">
        <f t="shared" si="40"/>
        <v>0.5</v>
      </c>
      <c r="AF123" s="173">
        <f t="shared" si="41"/>
        <v>4.1700319428824351E-2</v>
      </c>
      <c r="AG123" s="801">
        <f t="shared" si="49"/>
        <v>3</v>
      </c>
      <c r="AH123" s="172">
        <f t="shared" si="42"/>
        <v>9</v>
      </c>
      <c r="AI123" s="221">
        <f t="shared" si="43"/>
        <v>3.0417003194288244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46862</v>
      </c>
      <c r="B124" s="406">
        <f>'2027'!Wh/'2027'!Env_an*'2028'!Env_an</f>
        <v>41.267958122204426</v>
      </c>
      <c r="C124" s="831"/>
      <c r="D124" s="388">
        <f t="shared" si="25"/>
        <v>42.668492510736044</v>
      </c>
      <c r="E124" s="380">
        <f t="shared" si="47"/>
        <v>44.801293437821855</v>
      </c>
      <c r="F124" s="380">
        <f t="shared" si="26"/>
        <v>44.801293437821855</v>
      </c>
      <c r="G124" s="110">
        <f t="shared" si="48"/>
        <v>0.19068401807812863</v>
      </c>
      <c r="H124" s="409" t="b">
        <f>Wh_hp&gt;='2027'!Maxi_hp</f>
        <v>0</v>
      </c>
      <c r="I124" s="385">
        <f>IF(H124,Wh_hp,'2027'!Maxi_hp)</f>
        <v>44.813586575905077</v>
      </c>
      <c r="J124" s="85">
        <f>IF(H124,An,'2027'!An_max)</f>
        <v>2022</v>
      </c>
      <c r="K124" s="193">
        <f t="shared" si="27"/>
        <v>46862</v>
      </c>
      <c r="L124" s="143">
        <f>IF(t&lt;Tvie,1-EXP((T0-t)*PertePVj)+'2027'!Pspv,1-EXP((T0-t)*PertePVj)+Pspv)</f>
        <v>3.2823620102801265E-2</v>
      </c>
      <c r="M124" s="835"/>
      <c r="N124" s="835"/>
      <c r="O124" s="48">
        <f>IF(t&lt;Tnet,'2027'!Resal+('2027'!Salim-'2027'!Resal)*(1-EXP(('2027'!Tnet-t)/('2027'!Tau_j))),Resal+(Salim-Resal)*(1-EXP((Tnet-t)/(Tau_j))))*Salcycl</f>
        <v>4.7605789106197248E-2</v>
      </c>
      <c r="P124" s="165">
        <f>(INDEX(Models!$BJ124:$BT124,,T124)*(1-R124)+INDEX(Models!$BJ124:$BT124,,T124+1)*R124-ERP_i)*Q124*Ramure*Pc/MaxiM</f>
        <v>2.7847252420461227E-4</v>
      </c>
      <c r="Q124" s="301">
        <f t="shared" si="28"/>
        <v>0.5</v>
      </c>
      <c r="R124" s="173">
        <f t="shared" si="29"/>
        <v>4.3675374157493785E-2</v>
      </c>
      <c r="S124" s="801">
        <f t="shared" si="30"/>
        <v>3</v>
      </c>
      <c r="T124" s="172">
        <f t="shared" si="31"/>
        <v>9</v>
      </c>
      <c r="U124" s="247">
        <f t="shared" si="32"/>
        <v>3.0436753741574938</v>
      </c>
      <c r="V124" s="378">
        <f t="shared" si="33"/>
        <v>216.36037747449515</v>
      </c>
      <c r="W124" s="397">
        <f t="shared" si="34"/>
        <v>41.267958122204426</v>
      </c>
      <c r="X124" s="153">
        <f t="shared" si="35"/>
        <v>46862</v>
      </c>
      <c r="Y124" s="380">
        <f t="shared" si="36"/>
        <v>40.462274696849335</v>
      </c>
      <c r="Z124" s="380">
        <f t="shared" si="37"/>
        <v>41.835466144396612</v>
      </c>
      <c r="AA124" s="381">
        <f t="shared" si="38"/>
        <v>44.801293437821855</v>
      </c>
      <c r="AB124" s="193">
        <f t="shared" si="39"/>
        <v>46862</v>
      </c>
      <c r="AC124" s="119">
        <f>IF(OR(t&lt;Tnet,NoTnet),'2027'!Resal_s+('2027'!Salim-'2027'!Resal_s)*(1-EXP(('2027'!Tnet_s-t)/'2027'!Tau_j)),Resal_s+(Salim-Resal_s)*(1-EXP((Tnet_s-t)/Tau_j)))*Salcycl</f>
        <v>6.6199590811845926E-2</v>
      </c>
      <c r="AD124" s="227">
        <f>(INDEX(Models!$BJ124:$BT124,,AH124)*(1-AF124)+INDEX(Models!$BJ124:$BT124,,AH124+1)*AF124-ERP_i)*AE124*Ramure*Pc/MaxiM</f>
        <v>2.7847252420461227E-4</v>
      </c>
      <c r="AE124" s="301">
        <f t="shared" si="40"/>
        <v>0.5</v>
      </c>
      <c r="AF124" s="173">
        <f t="shared" si="41"/>
        <v>4.3675374157493785E-2</v>
      </c>
      <c r="AG124" s="801">
        <f t="shared" si="49"/>
        <v>3</v>
      </c>
      <c r="AH124" s="172">
        <f t="shared" si="42"/>
        <v>9</v>
      </c>
      <c r="AI124" s="221">
        <f t="shared" si="43"/>
        <v>3.0436753741574938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46863</v>
      </c>
      <c r="B125" s="406">
        <f>'2027'!Wh/'2027'!Env_an*'2028'!Env_an</f>
        <v>36.774676635465852</v>
      </c>
      <c r="C125" s="831"/>
      <c r="D125" s="388">
        <f t="shared" si="25"/>
        <v>38.023240456624137</v>
      </c>
      <c r="E125" s="380">
        <f t="shared" si="47"/>
        <v>39.926110223286102</v>
      </c>
      <c r="F125" s="380">
        <f t="shared" si="26"/>
        <v>39.926110223286102</v>
      </c>
      <c r="G125" s="110">
        <f t="shared" si="48"/>
        <v>0.16944231021943323</v>
      </c>
      <c r="H125" s="409" t="b">
        <f>Wh_hp&gt;='2027'!Maxi_hp</f>
        <v>0</v>
      </c>
      <c r="I125" s="385">
        <f>IF(H125,Wh_hp,'2027'!Maxi_hp)</f>
        <v>39.937207740527782</v>
      </c>
      <c r="J125" s="85">
        <f>IF(H125,An,'2027'!An_max)</f>
        <v>2022</v>
      </c>
      <c r="K125" s="193">
        <f t="shared" si="27"/>
        <v>46863</v>
      </c>
      <c r="L125" s="143">
        <f>IF(t&lt;Tvie,1-EXP((T0-t)*PertePVj)+'2027'!Pspv,1-EXP((T0-t)*PertePVj)+Pspv)</f>
        <v>3.2836859935244322E-2</v>
      </c>
      <c r="M125" s="835"/>
      <c r="N125" s="835"/>
      <c r="O125" s="48">
        <f>IF(t&lt;Tnet,'2027'!Resal+('2027'!Salim-'2027'!Resal)*(1-EXP(('2027'!Tnet-t)/('2027'!Tau_j))),Resal+(Salim-Resal)*(1-EXP((Tnet-t)/(Tau_j))))*Salcycl</f>
        <v>4.7659783435456064E-2</v>
      </c>
      <c r="P125" s="165">
        <f>(INDEX(Models!$BJ125:$BT125,,T125)*(1-R125)+INDEX(Models!$BJ125:$BT125,,T125+1)*R125-ERP_i)*Q125*Ramure*Pc/MaxiM</f>
        <v>2.8222817609110213E-4</v>
      </c>
      <c r="Q125" s="301">
        <f t="shared" si="28"/>
        <v>0.5</v>
      </c>
      <c r="R125" s="173">
        <f t="shared" si="29"/>
        <v>4.5714845222966538E-2</v>
      </c>
      <c r="S125" s="801">
        <f t="shared" si="30"/>
        <v>3</v>
      </c>
      <c r="T125" s="172">
        <f t="shared" si="31"/>
        <v>9</v>
      </c>
      <c r="U125" s="247">
        <f t="shared" si="32"/>
        <v>3.0457148452229665</v>
      </c>
      <c r="V125" s="378">
        <f t="shared" si="33"/>
        <v>216.97235913475058</v>
      </c>
      <c r="W125" s="397">
        <f t="shared" si="34"/>
        <v>36.774676635465852</v>
      </c>
      <c r="X125" s="153">
        <f t="shared" si="35"/>
        <v>46863</v>
      </c>
      <c r="Y125" s="380">
        <f t="shared" si="36"/>
        <v>36.057192299664784</v>
      </c>
      <c r="Z125" s="380">
        <f t="shared" si="37"/>
        <v>37.281396287756174</v>
      </c>
      <c r="AA125" s="381">
        <f t="shared" si="38"/>
        <v>39.926110223286102</v>
      </c>
      <c r="AB125" s="193">
        <f t="shared" si="39"/>
        <v>46863</v>
      </c>
      <c r="AC125" s="119">
        <f>IF(OR(t&lt;Tnet,NoTnet),'2027'!Resal_s+('2027'!Salim-'2027'!Resal_s)*(1-EXP(('2027'!Tnet_s-t)/'2027'!Tau_j)),Resal_s+(Salim-Resal_s)*(1-EXP((Tnet_s-t)/Tau_j)))*Salcycl</f>
        <v>6.6240210246863829E-2</v>
      </c>
      <c r="AD125" s="227">
        <f>(INDEX(Models!$BJ125:$BT125,,AH125)*(1-AF125)+INDEX(Models!$BJ125:$BT125,,AH125+1)*AF125-ERP_i)*AE125*Ramure*Pc/MaxiM</f>
        <v>2.8222817609110213E-4</v>
      </c>
      <c r="AE125" s="301">
        <f t="shared" si="40"/>
        <v>0.5</v>
      </c>
      <c r="AF125" s="173">
        <f t="shared" si="41"/>
        <v>4.5714845222966538E-2</v>
      </c>
      <c r="AG125" s="801">
        <f t="shared" si="49"/>
        <v>3</v>
      </c>
      <c r="AH125" s="172">
        <f t="shared" si="42"/>
        <v>9</v>
      </c>
      <c r="AI125" s="221">
        <f t="shared" si="43"/>
        <v>3.0457148452229665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46864</v>
      </c>
      <c r="B126" s="406">
        <f>'2027'!Wh/'2027'!Env_an*'2028'!Env_an</f>
        <v>111.90357889670894</v>
      </c>
      <c r="C126" s="831"/>
      <c r="D126" s="388">
        <f t="shared" si="25"/>
        <v>115.70448267518694</v>
      </c>
      <c r="E126" s="380">
        <f t="shared" si="47"/>
        <v>121.50187589563014</v>
      </c>
      <c r="F126" s="380">
        <f t="shared" si="26"/>
        <v>121.51250283824911</v>
      </c>
      <c r="G126" s="110">
        <f t="shared" si="48"/>
        <v>0.51424185952637502</v>
      </c>
      <c r="H126" s="409" t="b">
        <f>Wh_hp&gt;='2027'!Maxi_hp</f>
        <v>0</v>
      </c>
      <c r="I126" s="385">
        <f>IF(H126,Wh_hp,'2027'!Maxi_hp)</f>
        <v>121.53620399370809</v>
      </c>
      <c r="J126" s="85">
        <f>IF(H126,An,'2027'!An_max)</f>
        <v>2022</v>
      </c>
      <c r="K126" s="193">
        <f t="shared" si="27"/>
        <v>46864</v>
      </c>
      <c r="L126" s="143">
        <f>IF(t&lt;Tvie,1-EXP((T0-t)*PertePVj)+'2027'!Pspv,1-EXP((T0-t)*PertePVj)+Pspv)</f>
        <v>3.2850099586445136E-2</v>
      </c>
      <c r="M126" s="835"/>
      <c r="N126" s="835"/>
      <c r="O126" s="48">
        <f>IF(t&lt;Tnet,'2027'!Resal+('2027'!Salim-'2027'!Resal)*(1-EXP(('2027'!Tnet-t)/('2027'!Tau_j))),Resal+(Salim-Resal)*(1-EXP((Tnet-t)/(Tau_j))))*Salcycl</f>
        <v>4.7714433853047238E-2</v>
      </c>
      <c r="P126" s="165">
        <f>(INDEX(Models!$BJ126:$BT126,,T126)*(1-R126)+INDEX(Models!$BJ126:$BT126,,T126+1)*R126-ERP_i)*Q126*Ramure*Pc/MaxiM</f>
        <v>2.85610722021741E-4</v>
      </c>
      <c r="Q126" s="301">
        <f t="shared" si="28"/>
        <v>0.5</v>
      </c>
      <c r="R126" s="173">
        <f t="shared" si="29"/>
        <v>4.7820128769849202E-2</v>
      </c>
      <c r="S126" s="801">
        <f t="shared" si="30"/>
        <v>3</v>
      </c>
      <c r="T126" s="172">
        <f t="shared" si="31"/>
        <v>9</v>
      </c>
      <c r="U126" s="247">
        <f t="shared" si="32"/>
        <v>3.0478201287698492</v>
      </c>
      <c r="V126" s="378">
        <f t="shared" si="33"/>
        <v>217.56572439913325</v>
      </c>
      <c r="W126" s="397">
        <f t="shared" si="34"/>
        <v>111.90357889670894</v>
      </c>
      <c r="X126" s="153">
        <f t="shared" si="35"/>
        <v>46864</v>
      </c>
      <c r="Y126" s="380">
        <f t="shared" si="36"/>
        <v>109.72172344879175</v>
      </c>
      <c r="Z126" s="380">
        <f t="shared" si="37"/>
        <v>113.44851858215004</v>
      </c>
      <c r="AA126" s="381">
        <f t="shared" si="38"/>
        <v>121.50187589563014</v>
      </c>
      <c r="AB126" s="193">
        <f t="shared" si="39"/>
        <v>46864</v>
      </c>
      <c r="AC126" s="119">
        <f>IF(OR(t&lt;Tnet,NoTnet),'2027'!Resal_s+('2027'!Salim-'2027'!Resal_s)*(1-EXP(('2027'!Tnet_s-t)/'2027'!Tau_j)),Resal_s+(Salim-Resal_s)*(1-EXP((Tnet_s-t)/Tau_j)))*Salcycl</f>
        <v>6.6281752887485543E-2</v>
      </c>
      <c r="AD126" s="227">
        <f>(INDEX(Models!$BJ126:$BT126,,AH126)*(1-AF126)+INDEX(Models!$BJ126:$BT126,,AH126+1)*AF126-ERP_i)*AE126*Ramure*Pc/MaxiM</f>
        <v>2.85610722021741E-4</v>
      </c>
      <c r="AE126" s="301">
        <f t="shared" si="40"/>
        <v>0.5</v>
      </c>
      <c r="AF126" s="173">
        <f t="shared" si="41"/>
        <v>4.7820128769849202E-2</v>
      </c>
      <c r="AG126" s="801">
        <f t="shared" si="49"/>
        <v>3</v>
      </c>
      <c r="AH126" s="172">
        <f t="shared" si="42"/>
        <v>9</v>
      </c>
      <c r="AI126" s="221">
        <f t="shared" si="43"/>
        <v>3.0478201287698492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46865</v>
      </c>
      <c r="B127" s="406">
        <f>'2027'!Wh/'2027'!Env_an*'2028'!Env_an</f>
        <v>40.768002447003013</v>
      </c>
      <c r="C127" s="831"/>
      <c r="D127" s="388">
        <f t="shared" si="25"/>
        <v>42.153300658903184</v>
      </c>
      <c r="E127" s="380">
        <f t="shared" si="47"/>
        <v>44.267970276552433</v>
      </c>
      <c r="F127" s="380">
        <f t="shared" si="26"/>
        <v>44.267970276552433</v>
      </c>
      <c r="G127" s="110">
        <f t="shared" si="48"/>
        <v>0.18683395526901581</v>
      </c>
      <c r="H127" s="409" t="b">
        <f>Wh_hp&gt;='2027'!Maxi_hp</f>
        <v>0</v>
      </c>
      <c r="I127" s="385">
        <f>IF(H127,Wh_hp,'2027'!Maxi_hp)</f>
        <v>44.280539977910685</v>
      </c>
      <c r="J127" s="85">
        <f>IF(H127,An,'2027'!An_max)</f>
        <v>2022</v>
      </c>
      <c r="K127" s="193">
        <f t="shared" si="27"/>
        <v>46865</v>
      </c>
      <c r="L127" s="143">
        <f>IF(t&lt;Tvie,1-EXP((T0-t)*PertePVj)+'2027'!Pspv,1-EXP((T0-t)*PertePVj)+Pspv)</f>
        <v>3.2863339056406371E-2</v>
      </c>
      <c r="M127" s="835"/>
      <c r="N127" s="835"/>
      <c r="O127" s="48">
        <f>IF(t&lt;Tnet,'2027'!Resal+('2027'!Salim-'2027'!Resal)*(1-EXP(('2027'!Tnet-t)/('2027'!Tau_j))),Resal+(Salim-Resal)*(1-EXP((Tnet-t)/(Tau_j))))*Salcycl</f>
        <v>4.776974422903079E-2</v>
      </c>
      <c r="P127" s="165">
        <f>(INDEX(Models!$BJ127:$BT127,,T127)*(1-R127)+INDEX(Models!$BJ127:$BT127,,T127+1)*R127-ERP_i)*Q127*Ramure*Pc/MaxiM</f>
        <v>2.8861773274854421E-4</v>
      </c>
      <c r="Q127" s="301">
        <f t="shared" si="28"/>
        <v>0.5</v>
      </c>
      <c r="R127" s="173">
        <f t="shared" si="29"/>
        <v>4.999259777388243E-2</v>
      </c>
      <c r="S127" s="801">
        <f t="shared" si="30"/>
        <v>3</v>
      </c>
      <c r="T127" s="172">
        <f t="shared" si="31"/>
        <v>9</v>
      </c>
      <c r="U127" s="247">
        <f t="shared" si="32"/>
        <v>3.0499925977738824</v>
      </c>
      <c r="V127" s="378">
        <f t="shared" si="33"/>
        <v>218.14148300765009</v>
      </c>
      <c r="W127" s="397">
        <f t="shared" si="34"/>
        <v>40.768002447003013</v>
      </c>
      <c r="X127" s="153">
        <f t="shared" si="35"/>
        <v>46865</v>
      </c>
      <c r="Y127" s="380">
        <f t="shared" si="36"/>
        <v>39.973626278298653</v>
      </c>
      <c r="Z127" s="380">
        <f t="shared" si="37"/>
        <v>41.331931558977516</v>
      </c>
      <c r="AA127" s="381">
        <f t="shared" si="38"/>
        <v>44.267970276552433</v>
      </c>
      <c r="AB127" s="193">
        <f t="shared" si="39"/>
        <v>46865</v>
      </c>
      <c r="AC127" s="119">
        <f>IF(OR(t&lt;Tnet,NoTnet),'2027'!Resal_s+('2027'!Salim-'2027'!Resal_s)*(1-EXP(('2027'!Tnet_s-t)/'2027'!Tau_j)),Resal_s+(Salim-Resal_s)*(1-EXP((Tnet_s-t)/Tau_j)))*Salcycl</f>
        <v>6.6324222665570406E-2</v>
      </c>
      <c r="AD127" s="227">
        <f>(INDEX(Models!$BJ127:$BT127,,AH127)*(1-AF127)+INDEX(Models!$BJ127:$BT127,,AH127+1)*AF127-ERP_i)*AE127*Ramure*Pc/MaxiM</f>
        <v>2.8861773274854421E-4</v>
      </c>
      <c r="AE127" s="301">
        <f t="shared" si="40"/>
        <v>0.5</v>
      </c>
      <c r="AF127" s="173">
        <f t="shared" si="41"/>
        <v>4.999259777388243E-2</v>
      </c>
      <c r="AG127" s="801">
        <f t="shared" si="49"/>
        <v>3</v>
      </c>
      <c r="AH127" s="172">
        <f t="shared" si="42"/>
        <v>9</v>
      </c>
      <c r="AI127" s="221">
        <f t="shared" si="43"/>
        <v>3.0499925977738824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46866</v>
      </c>
      <c r="B128" s="406">
        <f>'2027'!Wh/'2027'!Env_an*'2028'!Env_an</f>
        <v>110.11637668326026</v>
      </c>
      <c r="C128" s="831"/>
      <c r="D128" s="388">
        <f t="shared" si="25"/>
        <v>113.85969382774051</v>
      </c>
      <c r="E128" s="380">
        <f t="shared" si="47"/>
        <v>119.57862746814948</v>
      </c>
      <c r="F128" s="380">
        <f t="shared" si="26"/>
        <v>119.58875145371795</v>
      </c>
      <c r="G128" s="110">
        <f t="shared" si="48"/>
        <v>0.50339872549095688</v>
      </c>
      <c r="H128" s="409" t="b">
        <f>Wh_hp&gt;='2027'!Maxi_hp</f>
        <v>0</v>
      </c>
      <c r="I128" s="385">
        <f>IF(H128,Wh_hp,'2027'!Maxi_hp)</f>
        <v>119.61303848340329</v>
      </c>
      <c r="J128" s="85">
        <f>IF(H128,An,'2027'!An_max)</f>
        <v>2022</v>
      </c>
      <c r="K128" s="193">
        <f t="shared" si="27"/>
        <v>46866</v>
      </c>
      <c r="L128" s="143">
        <f>IF(t&lt;Tvie,1-EXP((T0-t)*PertePVj)+'2027'!Pspv,1-EXP((T0-t)*PertePVj)+Pspv)</f>
        <v>3.2876578345130247E-2</v>
      </c>
      <c r="M128" s="835"/>
      <c r="N128" s="835"/>
      <c r="O128" s="48">
        <f>IF(t&lt;Tnet,'2027'!Resal+('2027'!Salim-'2027'!Resal)*(1-EXP(('2027'!Tnet-t)/('2027'!Tau_j))),Resal+(Salim-Resal)*(1-EXP((Tnet-t)/(Tau_j))))*Salcycl</f>
        <v>4.7825717366861725E-2</v>
      </c>
      <c r="P128" s="165">
        <f>(INDEX(Models!$BJ128:$BT128,,T128)*(1-R128)+INDEX(Models!$BJ128:$BT128,,T128+1)*R128-ERP_i)*Q128*Ramure*Pc/MaxiM</f>
        <v>2.9119840305040447E-4</v>
      </c>
      <c r="Q128" s="301">
        <f t="shared" si="28"/>
        <v>0.5</v>
      </c>
      <c r="R128" s="173">
        <f t="shared" si="29"/>
        <v>5.223359716046394E-2</v>
      </c>
      <c r="S128" s="801">
        <f t="shared" si="30"/>
        <v>3</v>
      </c>
      <c r="T128" s="172">
        <f t="shared" si="31"/>
        <v>9</v>
      </c>
      <c r="U128" s="247">
        <f t="shared" si="32"/>
        <v>3.0522335971604639</v>
      </c>
      <c r="V128" s="378">
        <f t="shared" si="33"/>
        <v>218.7006552770678</v>
      </c>
      <c r="W128" s="397">
        <f t="shared" si="34"/>
        <v>110.11637668326026</v>
      </c>
      <c r="X128" s="153">
        <f t="shared" si="35"/>
        <v>46866</v>
      </c>
      <c r="Y128" s="380">
        <f t="shared" si="36"/>
        <v>107.97205563251752</v>
      </c>
      <c r="Z128" s="380">
        <f t="shared" si="37"/>
        <v>111.64247831756961</v>
      </c>
      <c r="AA128" s="381">
        <f t="shared" si="38"/>
        <v>119.57862746814948</v>
      </c>
      <c r="AB128" s="193">
        <f t="shared" si="39"/>
        <v>46866</v>
      </c>
      <c r="AC128" s="119">
        <f>IF(OR(t&lt;Tnet,NoTnet),'2027'!Resal_s+('2027'!Salim-'2027'!Resal_s)*(1-EXP(('2027'!Tnet_s-t)/'2027'!Tau_j)),Resal_s+(Salim-Resal_s)*(1-EXP((Tnet_s-t)/Tau_j)))*Salcycl</f>
        <v>6.6367622029226914E-2</v>
      </c>
      <c r="AD128" s="227">
        <f>(INDEX(Models!$BJ128:$BT128,,AH128)*(1-AF128)+INDEX(Models!$BJ128:$BT128,,AH128+1)*AF128-ERP_i)*AE128*Ramure*Pc/MaxiM</f>
        <v>2.9119840305040447E-4</v>
      </c>
      <c r="AE128" s="301">
        <f t="shared" si="40"/>
        <v>0.5</v>
      </c>
      <c r="AF128" s="173">
        <f t="shared" si="41"/>
        <v>5.223359716046394E-2</v>
      </c>
      <c r="AG128" s="801">
        <f t="shared" si="49"/>
        <v>3</v>
      </c>
      <c r="AH128" s="172">
        <f t="shared" si="42"/>
        <v>9</v>
      </c>
      <c r="AI128" s="221">
        <f t="shared" si="43"/>
        <v>3.0522335971604639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46867</v>
      </c>
      <c r="B129" s="406">
        <f>'2027'!Wh/'2027'!Env_an*'2028'!Env_an</f>
        <v>186.15610694395008</v>
      </c>
      <c r="C129" s="831"/>
      <c r="D129" s="388">
        <f t="shared" si="25"/>
        <v>192.48696818971808</v>
      </c>
      <c r="E129" s="380">
        <f t="shared" si="47"/>
        <v>202.16721031469027</v>
      </c>
      <c r="F129" s="380">
        <f t="shared" si="26"/>
        <v>202.21376080672516</v>
      </c>
      <c r="G129" s="110">
        <f t="shared" si="48"/>
        <v>0.84902727623009422</v>
      </c>
      <c r="H129" s="409" t="b">
        <f>Wh_hp&gt;='2027'!Maxi_hp</f>
        <v>0</v>
      </c>
      <c r="I129" s="385">
        <f>IF(H129,Wh_hp,'2027'!Maxi_hp)</f>
        <v>202.22633446721255</v>
      </c>
      <c r="J129" s="85">
        <f>IF(H129,An,'2027'!An_max)</f>
        <v>2022</v>
      </c>
      <c r="K129" s="193">
        <f t="shared" si="27"/>
        <v>46867</v>
      </c>
      <c r="L129" s="143">
        <f>IF(t&lt;Tvie,1-EXP((T0-t)*PertePVj)+'2027'!Pspv,1-EXP((T0-t)*PertePVj)+Pspv)</f>
        <v>3.2889817452619541E-2</v>
      </c>
      <c r="M129" s="835"/>
      <c r="N129" s="835"/>
      <c r="O129" s="48">
        <f>IF(t&lt;Tnet,'2027'!Resal+('2027'!Salim-'2027'!Resal)*(1-EXP(('2027'!Tnet-t)/('2027'!Tau_j))),Resal+(Salim-Resal)*(1-EXP((Tnet-t)/(Tau_j))))*Salcycl</f>
        <v>4.7882354957087578E-2</v>
      </c>
      <c r="P129" s="165">
        <f>(INDEX(Models!$BJ129:$BT129,,T129)*(1-R129)+INDEX(Models!$BJ129:$BT129,,T129+1)*R129-ERP_i)*Q129*Ramure*Pc/MaxiM</f>
        <v>2.9347775172151419E-4</v>
      </c>
      <c r="Q129" s="301">
        <f t="shared" si="28"/>
        <v>0.5</v>
      </c>
      <c r="R129" s="173">
        <f t="shared" si="29"/>
        <v>5.4544438665430128E-2</v>
      </c>
      <c r="S129" s="801">
        <f t="shared" si="30"/>
        <v>3</v>
      </c>
      <c r="T129" s="172">
        <f t="shared" si="31"/>
        <v>9</v>
      </c>
      <c r="U129" s="247">
        <f t="shared" si="32"/>
        <v>3.0545444386654301</v>
      </c>
      <c r="V129" s="378">
        <f t="shared" si="33"/>
        <v>219.24422302720441</v>
      </c>
      <c r="W129" s="397">
        <f t="shared" si="34"/>
        <v>186.15610694395008</v>
      </c>
      <c r="X129" s="153">
        <f t="shared" si="35"/>
        <v>46867</v>
      </c>
      <c r="Y129" s="380">
        <f t="shared" si="36"/>
        <v>182.5332378113149</v>
      </c>
      <c r="Z129" s="380">
        <f t="shared" si="37"/>
        <v>188.74089127106495</v>
      </c>
      <c r="AA129" s="381">
        <f t="shared" si="38"/>
        <v>202.16721031469027</v>
      </c>
      <c r="AB129" s="193">
        <f t="shared" si="39"/>
        <v>46867</v>
      </c>
      <c r="AC129" s="119">
        <f>IF(OR(t&lt;Tnet,NoTnet),'2027'!Resal_s+('2027'!Salim-'2027'!Resal_s)*(1-EXP(('2027'!Tnet_s-t)/'2027'!Tau_j)),Resal_s+(Salim-Resal_s)*(1-EXP((Tnet_s-t)/Tau_j)))*Salcycl</f>
        <v>6.6411951882434872E-2</v>
      </c>
      <c r="AD129" s="227">
        <f>(INDEX(Models!$BJ129:$BT129,,AH129)*(1-AF129)+INDEX(Models!$BJ129:$BT129,,AH129+1)*AF129-ERP_i)*AE129*Ramure*Pc/MaxiM</f>
        <v>2.9347775172151419E-4</v>
      </c>
      <c r="AE129" s="301">
        <f t="shared" si="40"/>
        <v>0.5</v>
      </c>
      <c r="AF129" s="173">
        <f t="shared" si="41"/>
        <v>5.4544438665430128E-2</v>
      </c>
      <c r="AG129" s="801">
        <f t="shared" si="49"/>
        <v>3</v>
      </c>
      <c r="AH129" s="172">
        <f t="shared" si="42"/>
        <v>9</v>
      </c>
      <c r="AI129" s="221">
        <f t="shared" si="43"/>
        <v>3.0545444386654301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46868</v>
      </c>
      <c r="B130" s="406">
        <f>'2027'!Wh/'2027'!Env_an*'2028'!Env_an</f>
        <v>218.75375038162051</v>
      </c>
      <c r="C130" s="831"/>
      <c r="D130" s="388">
        <f t="shared" si="25"/>
        <v>226.19629999298289</v>
      </c>
      <c r="E130" s="380">
        <f t="shared" si="47"/>
        <v>237.58609607266237</v>
      </c>
      <c r="F130" s="380">
        <f t="shared" si="26"/>
        <v>237.65584636666733</v>
      </c>
      <c r="G130" s="110">
        <f t="shared" si="48"/>
        <v>0.99535942296999047</v>
      </c>
      <c r="H130" s="409" t="b">
        <f>Wh_hp&gt;='2027'!Maxi_hp</f>
        <v>0</v>
      </c>
      <c r="I130" s="385">
        <f>IF(H130,Wh_hp,'2027'!Maxi_hp)</f>
        <v>237.65630334663595</v>
      </c>
      <c r="J130" s="85">
        <f>IF(H130,An,'2027'!An_max)</f>
        <v>2022</v>
      </c>
      <c r="K130" s="193">
        <f t="shared" si="27"/>
        <v>46868</v>
      </c>
      <c r="L130" s="143">
        <f>IF(t&lt;Tvie,1-EXP((T0-t)*PertePVj)+'2027'!Pspv,1-EXP((T0-t)*PertePVj)+Pspv)</f>
        <v>3.2903056378876472E-2</v>
      </c>
      <c r="M130" s="835"/>
      <c r="N130" s="835"/>
      <c r="O130" s="48">
        <f>IF(t&lt;Tnet,'2027'!Resal+('2027'!Salim-'2027'!Resal)*(1-EXP(('2027'!Tnet-t)/('2027'!Tau_j))),Resal+(Salim-Resal)*(1-EXP((Tnet-t)/(Tau_j))))*Salcycl</f>
        <v>4.7939657530279386E-2</v>
      </c>
      <c r="P130" s="165">
        <f>(INDEX(Models!$BJ130:$BT130,,T130)*(1-R130)+INDEX(Models!$BJ130:$BT130,,T130+1)*R130-ERP_i)*Q130*Ramure*Pc/MaxiM</f>
        <v>2.9545069666544452E-4</v>
      </c>
      <c r="Q130" s="301">
        <f t="shared" si="28"/>
        <v>0.5</v>
      </c>
      <c r="R130" s="173">
        <f t="shared" si="29"/>
        <v>5.6926395443289035E-2</v>
      </c>
      <c r="S130" s="801">
        <f t="shared" si="30"/>
        <v>3</v>
      </c>
      <c r="T130" s="172">
        <f t="shared" si="31"/>
        <v>9</v>
      </c>
      <c r="U130" s="247">
        <f t="shared" si="32"/>
        <v>3.056926395443289</v>
      </c>
      <c r="V130" s="378">
        <f t="shared" si="33"/>
        <v>219.77319641884745</v>
      </c>
      <c r="W130" s="397">
        <f t="shared" si="34"/>
        <v>218.75375038162051</v>
      </c>
      <c r="X130" s="153">
        <f t="shared" si="35"/>
        <v>46868</v>
      </c>
      <c r="Y130" s="380">
        <f t="shared" si="36"/>
        <v>214.49899445568528</v>
      </c>
      <c r="Z130" s="380">
        <f t="shared" si="37"/>
        <v>221.79678663085389</v>
      </c>
      <c r="AA130" s="381">
        <f t="shared" si="38"/>
        <v>237.58609607266237</v>
      </c>
      <c r="AB130" s="193">
        <f t="shared" si="39"/>
        <v>46868</v>
      </c>
      <c r="AC130" s="119">
        <f>IF(OR(t&lt;Tnet,NoTnet),'2027'!Resal_s+('2027'!Salim-'2027'!Resal_s)*(1-EXP(('2027'!Tnet_s-t)/'2027'!Tau_j)),Resal_s+(Salim-Resal_s)*(1-EXP((Tnet_s-t)/Tau_j)))*Salcycl</f>
        <v>6.6457211523773457E-2</v>
      </c>
      <c r="AD130" s="227">
        <f>(INDEX(Models!$BJ130:$BT130,,AH130)*(1-AF130)+INDEX(Models!$BJ130:$BT130,,AH130+1)*AF130-ERP_i)*AE130*Ramure*Pc/MaxiM</f>
        <v>2.9545069666544452E-4</v>
      </c>
      <c r="AE130" s="301">
        <f t="shared" si="40"/>
        <v>0.5</v>
      </c>
      <c r="AF130" s="173">
        <f t="shared" si="41"/>
        <v>5.6926395443289035E-2</v>
      </c>
      <c r="AG130" s="801">
        <f t="shared" si="49"/>
        <v>3</v>
      </c>
      <c r="AH130" s="172">
        <f t="shared" si="42"/>
        <v>9</v>
      </c>
      <c r="AI130" s="221">
        <f t="shared" si="43"/>
        <v>3.056926395443289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46869</v>
      </c>
      <c r="B131" s="406">
        <f>'2027'!Wh/'2027'!Env_an*'2028'!Env_an</f>
        <v>155.83425312115872</v>
      </c>
      <c r="C131" s="831"/>
      <c r="D131" s="388">
        <f t="shared" si="25"/>
        <v>161.13832994541497</v>
      </c>
      <c r="E131" s="380">
        <f t="shared" si="47"/>
        <v>169.26252925100411</v>
      </c>
      <c r="F131" s="380">
        <f t="shared" si="26"/>
        <v>169.2918036840733</v>
      </c>
      <c r="G131" s="110">
        <f t="shared" si="48"/>
        <v>0.70732169981585324</v>
      </c>
      <c r="H131" s="409" t="b">
        <f>Wh_hp&gt;='2027'!Maxi_hp</f>
        <v>0</v>
      </c>
      <c r="I131" s="385">
        <f>IF(H131,Wh_hp,'2027'!Maxi_hp)</f>
        <v>169.3124393699353</v>
      </c>
      <c r="J131" s="85">
        <f>IF(H131,An,'2027'!An_max)</f>
        <v>2022</v>
      </c>
      <c r="K131" s="193">
        <f t="shared" si="27"/>
        <v>46869</v>
      </c>
      <c r="L131" s="143">
        <f>IF(t&lt;Tvie,1-EXP((T0-t)*PertePVj)+'2027'!Pspv,1-EXP((T0-t)*PertePVj)+Pspv)</f>
        <v>3.2916295123903594E-2</v>
      </c>
      <c r="M131" s="835"/>
      <c r="N131" s="835"/>
      <c r="O131" s="48">
        <f>IF(t&lt;Tnet,'2027'!Resal+('2027'!Salim-'2027'!Resal)*(1-EXP(('2027'!Tnet-t)/('2027'!Tau_j))),Resal+(Salim-Resal)*(1-EXP((Tnet-t)/(Tau_j))))*Salcycl</f>
        <v>4.7997624409484969E-2</v>
      </c>
      <c r="P131" s="165">
        <f>(INDEX(Models!$BJ131:$BT131,,T131)*(1-R131)+INDEX(Models!$BJ131:$BT131,,T131+1)*R131-ERP_i)*Q131*Ramure*Pc/MaxiM</f>
        <v>2.9711144248867376E-4</v>
      </c>
      <c r="Q131" s="301">
        <f t="shared" si="28"/>
        <v>0.5</v>
      </c>
      <c r="R131" s="173">
        <f t="shared" si="29"/>
        <v>5.9380696430423985E-2</v>
      </c>
      <c r="S131" s="801">
        <f t="shared" si="30"/>
        <v>3</v>
      </c>
      <c r="T131" s="172">
        <f t="shared" si="31"/>
        <v>9</v>
      </c>
      <c r="U131" s="247">
        <f t="shared" si="32"/>
        <v>3.059380696430424</v>
      </c>
      <c r="V131" s="378">
        <f t="shared" si="33"/>
        <v>220.28858578634103</v>
      </c>
      <c r="W131" s="397">
        <f t="shared" si="34"/>
        <v>155.83425312115872</v>
      </c>
      <c r="X131" s="153">
        <f t="shared" si="35"/>
        <v>46869</v>
      </c>
      <c r="Y131" s="380">
        <f t="shared" si="36"/>
        <v>152.80502381358687</v>
      </c>
      <c r="Z131" s="380">
        <f t="shared" si="37"/>
        <v>158.00599580277736</v>
      </c>
      <c r="AA131" s="381">
        <f t="shared" si="38"/>
        <v>169.26252925100411</v>
      </c>
      <c r="AB131" s="193">
        <f t="shared" si="39"/>
        <v>46869</v>
      </c>
      <c r="AC131" s="119">
        <f>IF(OR(t&lt;Tnet,NoTnet),'2027'!Resal_s+('2027'!Salim-'2027'!Resal_s)*(1-EXP(('2027'!Tnet_s-t)/'2027'!Tau_j)),Resal_s+(Salim-Resal_s)*(1-EXP((Tnet_s-t)/Tau_j)))*Salcycl</f>
        <v>6.6503398584657328E-2</v>
      </c>
      <c r="AD131" s="227">
        <f>(INDEX(Models!$BJ131:$BT131,,AH131)*(1-AF131)+INDEX(Models!$BJ131:$BT131,,AH131+1)*AF131-ERP_i)*AE131*Ramure*Pc/MaxiM</f>
        <v>2.9711144248867376E-4</v>
      </c>
      <c r="AE131" s="301">
        <f t="shared" si="40"/>
        <v>0.5</v>
      </c>
      <c r="AF131" s="173">
        <f t="shared" si="41"/>
        <v>5.9380696430423985E-2</v>
      </c>
      <c r="AG131" s="801">
        <f t="shared" si="49"/>
        <v>3</v>
      </c>
      <c r="AH131" s="172">
        <f t="shared" si="42"/>
        <v>9</v>
      </c>
      <c r="AI131" s="221">
        <f t="shared" si="43"/>
        <v>3.059380696430424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46870</v>
      </c>
      <c r="B132" s="406">
        <f>'2027'!Wh/'2027'!Env_an*'2028'!Env_an</f>
        <v>90.76027254159041</v>
      </c>
      <c r="C132" s="831"/>
      <c r="D132" s="388">
        <f t="shared" si="25"/>
        <v>93.850733429678698</v>
      </c>
      <c r="E132" s="380">
        <f t="shared" si="47"/>
        <v>98.58852877679287</v>
      </c>
      <c r="F132" s="380">
        <f t="shared" si="26"/>
        <v>98.593197674870623</v>
      </c>
      <c r="G132" s="110">
        <f t="shared" si="48"/>
        <v>0.41096474336733396</v>
      </c>
      <c r="H132" s="409" t="b">
        <f>Wh_hp&gt;='2027'!Maxi_hp</f>
        <v>0</v>
      </c>
      <c r="I132" s="385">
        <f>IF(H132,Wh_hp,'2027'!Maxi_hp)</f>
        <v>98.617481089900508</v>
      </c>
      <c r="J132" s="85">
        <f>IF(H132,An,'2027'!An_max)</f>
        <v>2022</v>
      </c>
      <c r="K132" s="193">
        <f t="shared" si="27"/>
        <v>46870</v>
      </c>
      <c r="L132" s="143">
        <f>IF(t&lt;Tvie,1-EXP((T0-t)*PertePVj)+'2027'!Pspv,1-EXP((T0-t)*PertePVj)+Pspv)</f>
        <v>3.2929533687703461E-2</v>
      </c>
      <c r="M132" s="835"/>
      <c r="N132" s="835"/>
      <c r="O132" s="48">
        <f>IF(t&lt;Tnet,'2027'!Resal+('2027'!Salim-'2027'!Resal)*(1-EXP(('2027'!Tnet-t)/('2027'!Tau_j))),Resal+(Salim-Resal)*(1-EXP((Tnet-t)/(Tau_j))))*Salcycl</f>
        <v>4.8056253662539961E-2</v>
      </c>
      <c r="P132" s="165">
        <f>(INDEX(Models!$BJ132:$BT132,,T132)*(1-R132)+INDEX(Models!$BJ132:$BT132,,T132+1)*R132-ERP_i)*Q132*Ramure*Pc/MaxiM</f>
        <v>2.9845348850285808E-4</v>
      </c>
      <c r="Q132" s="301">
        <f t="shared" si="28"/>
        <v>0.5</v>
      </c>
      <c r="R132" s="173">
        <f t="shared" si="29"/>
        <v>6.1908520473301198E-2</v>
      </c>
      <c r="S132" s="801">
        <f t="shared" si="30"/>
        <v>3</v>
      </c>
      <c r="T132" s="172">
        <f t="shared" si="31"/>
        <v>9</v>
      </c>
      <c r="U132" s="247">
        <f t="shared" si="32"/>
        <v>3.0619085204733012</v>
      </c>
      <c r="V132" s="378">
        <f t="shared" si="33"/>
        <v>220.79140163565413</v>
      </c>
      <c r="W132" s="397">
        <f t="shared" si="34"/>
        <v>90.76027254159041</v>
      </c>
      <c r="X132" s="153">
        <f t="shared" si="35"/>
        <v>46870</v>
      </c>
      <c r="Y132" s="380">
        <f t="shared" si="36"/>
        <v>88.99699224441504</v>
      </c>
      <c r="Z132" s="380">
        <f t="shared" si="37"/>
        <v>92.027412008335702</v>
      </c>
      <c r="AA132" s="381">
        <f t="shared" si="38"/>
        <v>98.58852877679287</v>
      </c>
      <c r="AB132" s="193">
        <f t="shared" si="39"/>
        <v>46870</v>
      </c>
      <c r="AC132" s="119">
        <f>IF(OR(t&lt;Tnet,NoTnet),'2027'!Resal_s+('2027'!Salim-'2027'!Resal_s)*(1-EXP(('2027'!Tnet_s-t)/'2027'!Tau_j)),Resal_s+(Salim-Resal_s)*(1-EXP((Tnet_s-t)/Tau_j)))*Salcycl</f>
        <v>6.655050896754644E-2</v>
      </c>
      <c r="AD132" s="227">
        <f>(INDEX(Models!$BJ132:$BT132,,AH132)*(1-AF132)+INDEX(Models!$BJ132:$BT132,,AH132+1)*AF132-ERP_i)*AE132*Ramure*Pc/MaxiM</f>
        <v>2.9845348850285808E-4</v>
      </c>
      <c r="AE132" s="301">
        <f t="shared" si="40"/>
        <v>0.5</v>
      </c>
      <c r="AF132" s="173">
        <f t="shared" si="41"/>
        <v>6.1908520473301198E-2</v>
      </c>
      <c r="AG132" s="801">
        <f t="shared" si="49"/>
        <v>3</v>
      </c>
      <c r="AH132" s="172">
        <f t="shared" si="42"/>
        <v>9</v>
      </c>
      <c r="AI132" s="221">
        <f t="shared" si="43"/>
        <v>3.0619085204733012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46871</v>
      </c>
      <c r="B133" s="406">
        <f>'2027'!Wh/'2027'!Env_an*'2028'!Env_an</f>
        <v>167.7246897422759</v>
      </c>
      <c r="C133" s="831"/>
      <c r="D133" s="388">
        <f t="shared" si="25"/>
        <v>173.43822567909586</v>
      </c>
      <c r="E133" s="380">
        <f t="shared" si="47"/>
        <v>182.20512398475077</v>
      </c>
      <c r="F133" s="380">
        <f t="shared" si="26"/>
        <v>182.24082935252059</v>
      </c>
      <c r="G133" s="110">
        <f t="shared" si="48"/>
        <v>0.75788732486490795</v>
      </c>
      <c r="H133" s="409" t="b">
        <f>Wh_hp&gt;='2027'!Maxi_hp</f>
        <v>0</v>
      </c>
      <c r="I133" s="385">
        <f>IF(H133,Wh_hp,'2027'!Maxi_hp)</f>
        <v>182.25932645810221</v>
      </c>
      <c r="J133" s="85">
        <f>IF(H133,An,'2027'!An_max)</f>
        <v>2022</v>
      </c>
      <c r="K133" s="193">
        <f t="shared" si="27"/>
        <v>46871</v>
      </c>
      <c r="L133" s="143">
        <f>IF(t&lt;Tvie,1-EXP((T0-t)*PertePVj)+'2027'!Pspv,1-EXP((T0-t)*PertePVj)+Pspv)</f>
        <v>3.2942772070278403E-2</v>
      </c>
      <c r="M133" s="835"/>
      <c r="N133" s="835"/>
      <c r="O133" s="48">
        <f>IF(t&lt;Tnet,'2027'!Resal+('2027'!Salim-'2027'!Resal)*(1-EXP(('2027'!Tnet-t)/('2027'!Tau_j))),Resal+(Salim-Resal)*(1-EXP((Tnet-t)/(Tau_j))))*Salcycl</f>
        <v>4.8115542054616683E-2</v>
      </c>
      <c r="P133" s="165">
        <f>(INDEX(Models!$BJ133:$BT133,,T133)*(1-R133)+INDEX(Models!$BJ133:$BT133,,T133+1)*R133-ERP_i)*Q133*Ramure*Pc/MaxiM</f>
        <v>2.9946963802701275E-4</v>
      </c>
      <c r="Q133" s="301">
        <f t="shared" si="28"/>
        <v>0.5</v>
      </c>
      <c r="R133" s="173">
        <f t="shared" si="29"/>
        <v>6.4510990234433407E-2</v>
      </c>
      <c r="S133" s="801">
        <f t="shared" si="30"/>
        <v>3</v>
      </c>
      <c r="T133" s="172">
        <f t="shared" si="31"/>
        <v>9</v>
      </c>
      <c r="U133" s="247">
        <f t="shared" si="32"/>
        <v>3.0645109902344334</v>
      </c>
      <c r="V133" s="378">
        <f t="shared" si="33"/>
        <v>221.28265467842701</v>
      </c>
      <c r="W133" s="397">
        <f t="shared" si="34"/>
        <v>167.7246897422759</v>
      </c>
      <c r="X133" s="153">
        <f t="shared" si="35"/>
        <v>46871</v>
      </c>
      <c r="Y133" s="380">
        <f t="shared" si="36"/>
        <v>164.46793464902103</v>
      </c>
      <c r="Z133" s="380">
        <f t="shared" si="37"/>
        <v>170.07052933269975</v>
      </c>
      <c r="AA133" s="381">
        <f t="shared" si="38"/>
        <v>182.20512398475077</v>
      </c>
      <c r="AB133" s="193">
        <f t="shared" si="39"/>
        <v>46871</v>
      </c>
      <c r="AC133" s="119">
        <f>IF(OR(t&lt;Tnet,NoTnet),'2027'!Resal_s+('2027'!Salim-'2027'!Resal_s)*(1-EXP(('2027'!Tnet_s-t)/'2027'!Tau_j)),Resal_s+(Salim-Resal_s)*(1-EXP((Tnet_s-t)/Tau_j)))*Salcycl</f>
        <v>6.6598536784654744E-2</v>
      </c>
      <c r="AD133" s="227">
        <f>(INDEX(Models!$BJ133:$BT133,,AH133)*(1-AF133)+INDEX(Models!$BJ133:$BT133,,AH133+1)*AF133-ERP_i)*AE133*Ramure*Pc/MaxiM</f>
        <v>2.9946963802701275E-4</v>
      </c>
      <c r="AE133" s="301">
        <f t="shared" si="40"/>
        <v>0.5</v>
      </c>
      <c r="AF133" s="173">
        <f t="shared" si="41"/>
        <v>6.4510990234433407E-2</v>
      </c>
      <c r="AG133" s="801">
        <f t="shared" si="49"/>
        <v>3</v>
      </c>
      <c r="AH133" s="172">
        <f t="shared" si="42"/>
        <v>9</v>
      </c>
      <c r="AI133" s="221">
        <f t="shared" si="43"/>
        <v>3.0645109902344334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46872</v>
      </c>
      <c r="B134" s="406">
        <f>'2027'!Wh/'2027'!Env_an*'2028'!Env_an</f>
        <v>157.04817825152432</v>
      </c>
      <c r="C134" s="831"/>
      <c r="D134" s="388">
        <f t="shared" si="25"/>
        <v>162.40024230504474</v>
      </c>
      <c r="E134" s="380">
        <f t="shared" si="47"/>
        <v>170.61994069914164</v>
      </c>
      <c r="F134" s="380">
        <f t="shared" si="26"/>
        <v>170.64980826328491</v>
      </c>
      <c r="G134" s="110">
        <f t="shared" si="48"/>
        <v>0.70809049071026819</v>
      </c>
      <c r="H134" s="409" t="b">
        <f>Wh_hp&gt;='2027'!Maxi_hp</f>
        <v>0</v>
      </c>
      <c r="I134" s="385">
        <f>IF(H134,Wh_hp,'2027'!Maxi_hp)</f>
        <v>170.67072459569192</v>
      </c>
      <c r="J134" s="85">
        <f>IF(H134,An,'2027'!An_max)</f>
        <v>2022</v>
      </c>
      <c r="K134" s="193">
        <f t="shared" si="27"/>
        <v>46872</v>
      </c>
      <c r="L134" s="143">
        <f>IF(t&lt;Tvie,1-EXP((T0-t)*PertePVj)+'2027'!Pspv,1-EXP((T0-t)*PertePVj)+Pspv)</f>
        <v>3.2956010271631087E-2</v>
      </c>
      <c r="M134" s="835"/>
      <c r="N134" s="835"/>
      <c r="O134" s="48">
        <f>IF(t&lt;Tnet,'2027'!Resal+('2027'!Salim-'2027'!Resal)*(1-EXP(('2027'!Tnet-t)/('2027'!Tau_j))),Resal+(Salim-Resal)*(1-EXP((Tnet-t)/(Tau_j))))*Salcycl</f>
        <v>4.8175485001433066E-2</v>
      </c>
      <c r="P134" s="165">
        <f>(INDEX(Models!$BJ134:$BT134,,T134)*(1-R134)+INDEX(Models!$BJ134:$BT134,,T134+1)*R134-ERP_i)*Q134*Ramure*Pc/MaxiM</f>
        <v>3.0015200934594788E-4</v>
      </c>
      <c r="Q134" s="301">
        <f t="shared" si="28"/>
        <v>0.5</v>
      </c>
      <c r="R134" s="173">
        <f t="shared" si="29"/>
        <v>6.718916589171231E-2</v>
      </c>
      <c r="S134" s="801">
        <f t="shared" si="30"/>
        <v>3</v>
      </c>
      <c r="T134" s="172">
        <f t="shared" si="31"/>
        <v>9</v>
      </c>
      <c r="U134" s="247">
        <f t="shared" si="32"/>
        <v>3.0671891658917123</v>
      </c>
      <c r="V134" s="378">
        <f t="shared" si="33"/>
        <v>221.76335583877875</v>
      </c>
      <c r="W134" s="397">
        <f t="shared" si="34"/>
        <v>157.04817825152432</v>
      </c>
      <c r="X134" s="153">
        <f t="shared" si="35"/>
        <v>46872</v>
      </c>
      <c r="Y134" s="380">
        <f t="shared" si="36"/>
        <v>154.00035565192371</v>
      </c>
      <c r="Z134" s="380">
        <f t="shared" si="37"/>
        <v>159.24855258671383</v>
      </c>
      <c r="AA134" s="381">
        <f t="shared" si="38"/>
        <v>170.61994069914164</v>
      </c>
      <c r="AB134" s="193">
        <f t="shared" si="39"/>
        <v>46872</v>
      </c>
      <c r="AC134" s="119">
        <f>IF(OR(t&lt;Tnet,NoTnet),'2027'!Resal_s+('2027'!Salim-'2027'!Resal_s)*(1-EXP(('2027'!Tnet_s-t)/'2027'!Tau_j)),Resal_s+(Salim-Resal_s)*(1-EXP((Tnet_s-t)/Tau_j)))*Salcycl</f>
        <v>6.6647474297739054E-2</v>
      </c>
      <c r="AD134" s="227">
        <f>(INDEX(Models!$BJ134:$BT134,,AH134)*(1-AF134)+INDEX(Models!$BJ134:$BT134,,AH134+1)*AF134-ERP_i)*AE134*Ramure*Pc/MaxiM</f>
        <v>3.0015200934594788E-4</v>
      </c>
      <c r="AE134" s="301">
        <f t="shared" si="40"/>
        <v>0.5</v>
      </c>
      <c r="AF134" s="173">
        <f t="shared" si="41"/>
        <v>6.718916589171231E-2</v>
      </c>
      <c r="AG134" s="801">
        <f t="shared" si="49"/>
        <v>3</v>
      </c>
      <c r="AH134" s="172">
        <f t="shared" si="42"/>
        <v>9</v>
      </c>
      <c r="AI134" s="221">
        <f t="shared" si="43"/>
        <v>3.0671891658917123</v>
      </c>
      <c r="AJ134" s="261" t="b">
        <f t="shared" si="44"/>
        <v>1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46873</v>
      </c>
      <c r="B135" s="406">
        <f>'2027'!Wh/'2027'!Env_an*'2028'!Env_an</f>
        <v>194.83076131826584</v>
      </c>
      <c r="C135" s="831"/>
      <c r="D135" s="388">
        <f t="shared" si="25"/>
        <v>201.47318063474412</v>
      </c>
      <c r="E135" s="380">
        <f t="shared" si="47"/>
        <v>203.11693799127013</v>
      </c>
      <c r="F135" s="380">
        <f t="shared" si="26"/>
        <v>203.16414053278493</v>
      </c>
      <c r="G135" s="110">
        <f t="shared" si="48"/>
        <v>0.84116576674509258</v>
      </c>
      <c r="H135" s="409" t="b">
        <f>Wh_hp&gt;='2027'!Maxi_hp</f>
        <v>0</v>
      </c>
      <c r="I135" s="385">
        <f>IF(H135,Wh_hp,'2027'!Maxi_hp)</f>
        <v>203.17769484479672</v>
      </c>
      <c r="J135" s="85">
        <f>IF(H135,An,'2027'!An_max)</f>
        <v>2022</v>
      </c>
      <c r="K135" s="193">
        <f t="shared" si="27"/>
        <v>46873</v>
      </c>
      <c r="L135" s="143">
        <f>IF(t&lt;Tvie,1-EXP((T0-t)*PertePVj)+'2027'!Pspv,1-EXP((T0-t)*PertePVj)+Pspv)</f>
        <v>3.2969248291763953E-2</v>
      </c>
      <c r="M135" s="835"/>
      <c r="N135" s="835"/>
      <c r="O135" s="48">
        <f>IF(t&lt;Tnet,'2027'!Resal+('2027'!Salim-'2027'!Resal)*(1-EXP(('2027'!Tnet-t)/('2027'!Tau_j))),Resal+(Salim-Resal)*(1-EXP((Tnet-t)/(Tau_j))))*Salcycl</f>
        <v>8.0926651060319096E-3</v>
      </c>
      <c r="P135" s="165">
        <f>(INDEX(Models!$BJ135:$BT135,,T135)*(1-R135)+INDEX(Models!$BJ135:$BT135,,T135+1)*R135-ERP_i)*Q135*Ramure*Pc/MaxiM</f>
        <v>3.0049692267882308E-4</v>
      </c>
      <c r="Q135" s="301">
        <f t="shared" si="28"/>
        <v>0.5</v>
      </c>
      <c r="R135" s="173">
        <f t="shared" si="29"/>
        <v>6.9944038649772278E-2</v>
      </c>
      <c r="S135" s="801">
        <f t="shared" si="30"/>
        <v>3</v>
      </c>
      <c r="T135" s="172">
        <f t="shared" si="31"/>
        <v>9</v>
      </c>
      <c r="U135" s="247">
        <f t="shared" si="32"/>
        <v>3.0699440386497723</v>
      </c>
      <c r="V135" s="378">
        <f t="shared" si="33"/>
        <v>231.60414543643955</v>
      </c>
      <c r="W135" s="397">
        <f t="shared" si="34"/>
        <v>194.83076131826584</v>
      </c>
      <c r="X135" s="153">
        <f t="shared" si="35"/>
        <v>46873</v>
      </c>
      <c r="Y135" s="380">
        <f t="shared" si="36"/>
        <v>186.94577939177407</v>
      </c>
      <c r="Z135" s="380">
        <f t="shared" si="37"/>
        <v>193.31937382708765</v>
      </c>
      <c r="AA135" s="381">
        <f t="shared" si="38"/>
        <v>203.11693799127013</v>
      </c>
      <c r="AB135" s="193">
        <f t="shared" si="39"/>
        <v>46873</v>
      </c>
      <c r="AC135" s="119">
        <f>IF(OR(t&lt;Tnet,NoTnet),'2027'!Resal_s+('2027'!Salim-'2027'!Resal_s)*(1-EXP(('2027'!Tnet_s-t)/'2027'!Tau_j)),Resal_s+(Salim-Resal_s)*(1-EXP((Tnet_s-t)/Tau_j)))*Salcycl</f>
        <v>4.8236076523581695E-2</v>
      </c>
      <c r="AD135" s="227">
        <f>(INDEX(Models!$BJ135:$BT135,,AH135)*(1-AF135)+INDEX(Models!$BJ135:$BT135,,AH135+1)*AF135-ERP_i)*AE135*Ramure*Pc/MaxiM</f>
        <v>3.0049692267882308E-4</v>
      </c>
      <c r="AE135" s="301">
        <f t="shared" si="40"/>
        <v>0.5</v>
      </c>
      <c r="AF135" s="173">
        <f t="shared" si="41"/>
        <v>6.9944038649772278E-2</v>
      </c>
      <c r="AG135" s="801">
        <f t="shared" si="49"/>
        <v>3</v>
      </c>
      <c r="AH135" s="172">
        <f t="shared" si="42"/>
        <v>9</v>
      </c>
      <c r="AI135" s="221">
        <f t="shared" si="43"/>
        <v>3.0699440386497723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46874</v>
      </c>
      <c r="B136" s="406">
        <f>'2027'!Wh/'2027'!Env_an*'2028'!Env_an</f>
        <v>115.60283326414533</v>
      </c>
      <c r="C136" s="831"/>
      <c r="D136" s="388">
        <f t="shared" si="25"/>
        <v>119.54574928181447</v>
      </c>
      <c r="E136" s="380">
        <f t="shared" si="47"/>
        <v>120.53130292011063</v>
      </c>
      <c r="F136" s="380">
        <f t="shared" si="26"/>
        <v>120.54155442349567</v>
      </c>
      <c r="G136" s="110">
        <f t="shared" si="48"/>
        <v>0.49803059760820256</v>
      </c>
      <c r="H136" s="409" t="b">
        <f>Wh_hp&gt;='2027'!Maxi_hp</f>
        <v>0</v>
      </c>
      <c r="I136" s="385">
        <f>IF(H136,Wh_hp,'2027'!Maxi_hp)</f>
        <v>120.56695071205655</v>
      </c>
      <c r="J136" s="85">
        <f>IF(H136,An,'2027'!An_max)</f>
        <v>2022</v>
      </c>
      <c r="K136" s="193">
        <f t="shared" si="27"/>
        <v>46874</v>
      </c>
      <c r="L136" s="143">
        <f>IF(t&lt;Tvie,1-EXP((T0-t)*PertePVj)+'2027'!Pspv,1-EXP((T0-t)*PertePVj)+Pspv)</f>
        <v>3.2982486130679445E-2</v>
      </c>
      <c r="M136" s="835"/>
      <c r="N136" s="835"/>
      <c r="O136" s="48">
        <f>IF(t&lt;Tnet,'2027'!Resal+('2027'!Salim-'2027'!Resal)*(1-EXP(('2027'!Tnet-t)/('2027'!Tau_j))),Resal+(Salim-Resal)*(1-EXP((Tnet-t)/(Tau_j))))*Salcycl</f>
        <v>8.1767442516523219E-3</v>
      </c>
      <c r="P136" s="165">
        <f>(INDEX(Models!$BJ136:$BT136,,T136)*(1-R136)+INDEX(Models!$BJ136:$BT136,,T136+1)*R136-ERP_i)*Q136*Ramure*Pc/MaxiM</f>
        <v>3.004562427055244E-4</v>
      </c>
      <c r="Q136" s="301">
        <f t="shared" si="28"/>
        <v>0.5</v>
      </c>
      <c r="R136" s="173">
        <f t="shared" si="29"/>
        <v>7.2776524085207406E-2</v>
      </c>
      <c r="S136" s="801">
        <f t="shared" si="30"/>
        <v>3</v>
      </c>
      <c r="T136" s="172">
        <f t="shared" si="31"/>
        <v>9</v>
      </c>
      <c r="U136" s="247">
        <f t="shared" si="32"/>
        <v>3.0727765240852074</v>
      </c>
      <c r="V136" s="378">
        <f t="shared" si="33"/>
        <v>232.06993625735959</v>
      </c>
      <c r="W136" s="397">
        <f t="shared" si="34"/>
        <v>115.60283326414533</v>
      </c>
      <c r="X136" s="153">
        <f t="shared" si="35"/>
        <v>46874</v>
      </c>
      <c r="Y136" s="380">
        <f t="shared" si="36"/>
        <v>110.92654547436815</v>
      </c>
      <c r="Z136" s="380">
        <f t="shared" si="37"/>
        <v>114.7099653144011</v>
      </c>
      <c r="AA136" s="381">
        <f t="shared" si="38"/>
        <v>120.53130292011063</v>
      </c>
      <c r="AB136" s="193">
        <f t="shared" si="39"/>
        <v>46874</v>
      </c>
      <c r="AC136" s="119">
        <f>IF(OR(t&lt;Tnet,NoTnet),'2027'!Resal_s+('2027'!Salim-'2027'!Resal_s)*(1-EXP(('2027'!Tnet_s-t)/'2027'!Tau_j)),Resal_s+(Salim-Resal_s)*(1-EXP((Tnet_s-t)/Tau_j)))*Salcycl</f>
        <v>4.8297309202473111E-2</v>
      </c>
      <c r="AD136" s="227">
        <f>(INDEX(Models!$BJ136:$BT136,,AH136)*(1-AF136)+INDEX(Models!$BJ136:$BT136,,AH136+1)*AF136-ERP_i)*AE136*Ramure*Pc/MaxiM</f>
        <v>3.004562427055244E-4</v>
      </c>
      <c r="AE136" s="301">
        <f t="shared" si="40"/>
        <v>0.5</v>
      </c>
      <c r="AF136" s="173">
        <f t="shared" si="41"/>
        <v>7.2776524085207406E-2</v>
      </c>
      <c r="AG136" s="801">
        <f t="shared" si="49"/>
        <v>3</v>
      </c>
      <c r="AH136" s="172">
        <f t="shared" si="42"/>
        <v>9</v>
      </c>
      <c r="AI136" s="221">
        <f t="shared" si="43"/>
        <v>3.0727765240852074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46875</v>
      </c>
      <c r="B137" s="406">
        <f>'2027'!Wh/'2027'!Env_an*'2028'!Env_an</f>
        <v>131.63171045519573</v>
      </c>
      <c r="C137" s="831"/>
      <c r="D137" s="388">
        <f t="shared" si="25"/>
        <v>136.1231937576141</v>
      </c>
      <c r="E137" s="380">
        <f t="shared" si="47"/>
        <v>137.25706451781596</v>
      </c>
      <c r="F137" s="380">
        <f t="shared" si="26"/>
        <v>137.27273967995873</v>
      </c>
      <c r="G137" s="110">
        <f t="shared" si="48"/>
        <v>0.56600489282837074</v>
      </c>
      <c r="H137" s="409" t="b">
        <f>Wh_hp&gt;='2027'!Maxi_hp</f>
        <v>0</v>
      </c>
      <c r="I137" s="385">
        <f>IF(H137,Wh_hp,'2027'!Maxi_hp)</f>
        <v>137.29771718168283</v>
      </c>
      <c r="J137" s="85">
        <f>IF(H137,An,'2027'!An_max)</f>
        <v>2022</v>
      </c>
      <c r="K137" s="193">
        <f t="shared" si="27"/>
        <v>46875</v>
      </c>
      <c r="L137" s="143">
        <f>IF(t&lt;Tvie,1-EXP((T0-t)*PertePVj)+'2027'!Pspv,1-EXP((T0-t)*PertePVj)+Pspv)</f>
        <v>3.2995723788380005E-2</v>
      </c>
      <c r="M137" s="835"/>
      <c r="N137" s="835"/>
      <c r="O137" s="48">
        <f>IF(t&lt;Tnet,'2027'!Resal+('2027'!Salim-'2027'!Resal)*(1-EXP(('2027'!Tnet-t)/('2027'!Tau_j))),Resal+(Salim-Resal)*(1-EXP((Tnet-t)/(Tau_j))))*Salcycl</f>
        <v>8.2609282384491795E-3</v>
      </c>
      <c r="P137" s="165">
        <f>(INDEX(Models!$BJ137:$BT137,,T137)*(1-R137)+INDEX(Models!$BJ137:$BT137,,T137+1)*R137-ERP_i)*Q137*Ramure*Pc/MaxiM</f>
        <v>3.0037520875708505E-4</v>
      </c>
      <c r="Q137" s="301">
        <f t="shared" si="28"/>
        <v>0.5</v>
      </c>
      <c r="R137" s="173">
        <f t="shared" si="29"/>
        <v>7.5687455350771149E-2</v>
      </c>
      <c r="S137" s="801">
        <f t="shared" si="30"/>
        <v>3</v>
      </c>
      <c r="T137" s="172">
        <f t="shared" si="31"/>
        <v>9</v>
      </c>
      <c r="U137" s="247">
        <f t="shared" si="32"/>
        <v>3.0756874553507711</v>
      </c>
      <c r="V137" s="378">
        <f t="shared" si="33"/>
        <v>232.51954432703346</v>
      </c>
      <c r="W137" s="397">
        <f t="shared" si="34"/>
        <v>131.63171045519573</v>
      </c>
      <c r="X137" s="153">
        <f t="shared" si="35"/>
        <v>46875</v>
      </c>
      <c r="Y137" s="380">
        <f t="shared" si="36"/>
        <v>126.30954372368795</v>
      </c>
      <c r="Z137" s="380">
        <f t="shared" si="37"/>
        <v>130.61942623307104</v>
      </c>
      <c r="AA137" s="381">
        <f t="shared" si="38"/>
        <v>137.25706451781596</v>
      </c>
      <c r="AB137" s="193">
        <f t="shared" si="39"/>
        <v>46875</v>
      </c>
      <c r="AC137" s="119">
        <f>IF(OR(t&lt;Tnet,NoTnet),'2027'!Resal_s+('2027'!Salim-'2027'!Resal_s)*(1-EXP(('2027'!Tnet_s-t)/'2027'!Tau_j)),Resal_s+(Salim-Resal_s)*(1-EXP((Tnet_s-t)/Tau_j)))*Salcycl</f>
        <v>4.8359174138416471E-2</v>
      </c>
      <c r="AD137" s="227">
        <f>(INDEX(Models!$BJ137:$BT137,,AH137)*(1-AF137)+INDEX(Models!$BJ137:$BT137,,AH137+1)*AF137-ERP_i)*AE137*Ramure*Pc/MaxiM</f>
        <v>3.0037520875708505E-4</v>
      </c>
      <c r="AE137" s="301">
        <f t="shared" si="40"/>
        <v>0.5</v>
      </c>
      <c r="AF137" s="173">
        <f t="shared" si="41"/>
        <v>7.5687455350771149E-2</v>
      </c>
      <c r="AG137" s="801">
        <f t="shared" si="49"/>
        <v>3</v>
      </c>
      <c r="AH137" s="172">
        <f t="shared" si="42"/>
        <v>9</v>
      </c>
      <c r="AI137" s="221">
        <f t="shared" si="43"/>
        <v>3.0756874553507711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46876</v>
      </c>
      <c r="B138" s="406">
        <f>'2027'!Wh/'2027'!Env_an*'2028'!Env_an</f>
        <v>77.259627115869435</v>
      </c>
      <c r="C138" s="831"/>
      <c r="D138" s="388">
        <f t="shared" si="25"/>
        <v>79.896942185657196</v>
      </c>
      <c r="E138" s="380">
        <f t="shared" si="47"/>
        <v>80.569310657054658</v>
      </c>
      <c r="F138" s="380">
        <f t="shared" si="26"/>
        <v>80.5704045344999</v>
      </c>
      <c r="G138" s="110">
        <f t="shared" si="48"/>
        <v>0.33155749487597719</v>
      </c>
      <c r="H138" s="409" t="b">
        <f>Wh_hp&gt;='2027'!Maxi_hp</f>
        <v>0</v>
      </c>
      <c r="I138" s="385">
        <f>IF(H138,Wh_hp,'2027'!Maxi_hp)</f>
        <v>80.592958342597413</v>
      </c>
      <c r="J138" s="85">
        <f>IF(H138,An,'2027'!An_max)</f>
        <v>2022</v>
      </c>
      <c r="K138" s="193">
        <f t="shared" si="27"/>
        <v>46876</v>
      </c>
      <c r="L138" s="143">
        <f>IF(t&lt;Tvie,1-EXP((T0-t)*PertePVj)+'2027'!Pspv,1-EXP((T0-t)*PertePVj)+Pspv)</f>
        <v>3.3008961264868075E-2</v>
      </c>
      <c r="M138" s="835"/>
      <c r="N138" s="835"/>
      <c r="O138" s="48">
        <f>IF(t&lt;Tnet,'2027'!Resal+('2027'!Salim-'2027'!Resal)*(1-EXP(('2027'!Tnet-t)/('2027'!Tau_j))),Resal+(Salim-Resal)*(1-EXP((Tnet-t)/(Tau_j))))*Salcycl</f>
        <v>8.3452181223123093E-3</v>
      </c>
      <c r="P138" s="165">
        <f>(INDEX(Models!$BJ138:$BT138,,T138)*(1-R138)+INDEX(Models!$BJ138:$BT138,,T138+1)*R138-ERP_i)*Q138*Ramure*Pc/MaxiM</f>
        <v>3.0024940763650316E-4</v>
      </c>
      <c r="Q138" s="301">
        <f t="shared" si="28"/>
        <v>0.5</v>
      </c>
      <c r="R138" s="173">
        <f t="shared" si="29"/>
        <v>7.8677576267061511E-2</v>
      </c>
      <c r="S138" s="801">
        <f t="shared" si="30"/>
        <v>3</v>
      </c>
      <c r="T138" s="172">
        <f t="shared" si="31"/>
        <v>9</v>
      </c>
      <c r="U138" s="247">
        <f t="shared" si="32"/>
        <v>3.0786775762670615</v>
      </c>
      <c r="V138" s="378">
        <f t="shared" si="33"/>
        <v>232.9534991055146</v>
      </c>
      <c r="W138" s="397">
        <f t="shared" si="34"/>
        <v>77.259627115869435</v>
      </c>
      <c r="X138" s="153">
        <f t="shared" si="35"/>
        <v>46876</v>
      </c>
      <c r="Y138" s="380">
        <f t="shared" si="36"/>
        <v>74.137279417256565</v>
      </c>
      <c r="Z138" s="380">
        <f t="shared" si="37"/>
        <v>76.668010816554713</v>
      </c>
      <c r="AA138" s="381">
        <f t="shared" si="38"/>
        <v>80.569310657054658</v>
      </c>
      <c r="AB138" s="193">
        <f t="shared" si="39"/>
        <v>46876</v>
      </c>
      <c r="AC138" s="119">
        <f>IF(OR(t&lt;Tnet,NoTnet),'2027'!Resal_s+('2027'!Salim-'2027'!Resal_s)*(1-EXP(('2027'!Tnet_s-t)/'2027'!Tau_j)),Resal_s+(Salim-Resal_s)*(1-EXP((Tnet_s-t)/Tau_j)))*Salcycl</f>
        <v>4.8421660911385042E-2</v>
      </c>
      <c r="AD138" s="227">
        <f>(INDEX(Models!$BJ138:$BT138,,AH138)*(1-AF138)+INDEX(Models!$BJ138:$BT138,,AH138+1)*AF138-ERP_i)*AE138*Ramure*Pc/MaxiM</f>
        <v>3.0024940763650316E-4</v>
      </c>
      <c r="AE138" s="301">
        <f t="shared" si="40"/>
        <v>0.5</v>
      </c>
      <c r="AF138" s="173">
        <f t="shared" si="41"/>
        <v>7.8677576267061511E-2</v>
      </c>
      <c r="AG138" s="801">
        <f t="shared" si="49"/>
        <v>3</v>
      </c>
      <c r="AH138" s="172">
        <f t="shared" si="42"/>
        <v>9</v>
      </c>
      <c r="AI138" s="221">
        <f t="shared" si="43"/>
        <v>3.0786775762670615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46877</v>
      </c>
      <c r="B139" s="406">
        <f>'2027'!Wh/'2027'!Env_an*'2028'!Env_an</f>
        <v>162.76298571857632</v>
      </c>
      <c r="C139" s="831"/>
      <c r="D139" s="388">
        <f t="shared" si="25"/>
        <v>168.32132596655086</v>
      </c>
      <c r="E139" s="380">
        <f t="shared" si="47"/>
        <v>169.75227220049013</v>
      </c>
      <c r="F139" s="380">
        <f t="shared" si="26"/>
        <v>169.78119836118375</v>
      </c>
      <c r="G139" s="110">
        <f t="shared" si="48"/>
        <v>0.69734861705727025</v>
      </c>
      <c r="H139" s="409" t="b">
        <f>Wh_hp&gt;='2027'!Maxi_hp</f>
        <v>0</v>
      </c>
      <c r="I139" s="385">
        <f>IF(H139,Wh_hp,'2027'!Maxi_hp)</f>
        <v>169.80268251285483</v>
      </c>
      <c r="J139" s="85">
        <f>IF(H139,An,'2027'!An_max)</f>
        <v>2022</v>
      </c>
      <c r="K139" s="193">
        <f t="shared" si="27"/>
        <v>46877</v>
      </c>
      <c r="L139" s="143">
        <f>IF(t&lt;Tvie,1-EXP((T0-t)*PertePVj)+'2027'!Pspv,1-EXP((T0-t)*PertePVj)+Pspv)</f>
        <v>3.3022198560146321E-2</v>
      </c>
      <c r="M139" s="835"/>
      <c r="N139" s="835"/>
      <c r="O139" s="48">
        <f>IF(t&lt;Tnet,'2027'!Resal+('2027'!Salim-'2027'!Resal)*(1-EXP(('2027'!Tnet-t)/('2027'!Tau_j))),Resal+(Salim-Resal)*(1-EXP((Tnet-t)/(Tau_j))))*Salcycl</f>
        <v>8.4296146106911159E-3</v>
      </c>
      <c r="P139" s="165">
        <f>(INDEX(Models!$BJ139:$BT139,,T139)*(1-R139)+INDEX(Models!$BJ139:$BT139,,T139+1)*R139-ERP_i)*Q139*Ramure*Pc/MaxiM</f>
        <v>3.0007420141493654E-4</v>
      </c>
      <c r="Q139" s="301">
        <f t="shared" si="28"/>
        <v>0.5</v>
      </c>
      <c r="R139" s="173">
        <f t="shared" si="29"/>
        <v>8.1747534333637795E-2</v>
      </c>
      <c r="S139" s="801">
        <f t="shared" si="30"/>
        <v>3</v>
      </c>
      <c r="T139" s="172">
        <f t="shared" si="31"/>
        <v>9</v>
      </c>
      <c r="U139" s="247">
        <f t="shared" si="32"/>
        <v>3.0817475343336378</v>
      </c>
      <c r="V139" s="378">
        <f t="shared" si="33"/>
        <v>233.37233001286748</v>
      </c>
      <c r="W139" s="397">
        <f t="shared" si="34"/>
        <v>162.76298571857632</v>
      </c>
      <c r="X139" s="153">
        <f t="shared" si="35"/>
        <v>46877</v>
      </c>
      <c r="Y139" s="380">
        <f t="shared" si="36"/>
        <v>156.18806703056219</v>
      </c>
      <c r="Z139" s="380">
        <f t="shared" si="37"/>
        <v>161.52187444013123</v>
      </c>
      <c r="AA139" s="381">
        <f t="shared" si="38"/>
        <v>169.75227220049013</v>
      </c>
      <c r="AB139" s="193">
        <f t="shared" si="39"/>
        <v>46877</v>
      </c>
      <c r="AC139" s="119">
        <f>IF(OR(t&lt;Tnet,NoTnet),'2027'!Resal_s+('2027'!Salim-'2027'!Resal_s)*(1-EXP(('2027'!Tnet_s-t)/'2027'!Tau_j)),Resal_s+(Salim-Resal_s)*(1-EXP((Tnet_s-t)/Tau_j)))*Salcycl</f>
        <v>4.8484757545031273E-2</v>
      </c>
      <c r="AD139" s="227">
        <f>(INDEX(Models!$BJ139:$BT139,,AH139)*(1-AF139)+INDEX(Models!$BJ139:$BT139,,AH139+1)*AF139-ERP_i)*AE139*Ramure*Pc/MaxiM</f>
        <v>3.0007420141493654E-4</v>
      </c>
      <c r="AE139" s="301">
        <f t="shared" si="40"/>
        <v>0.5</v>
      </c>
      <c r="AF139" s="173">
        <f t="shared" si="41"/>
        <v>8.1747534333637795E-2</v>
      </c>
      <c r="AG139" s="801">
        <f t="shared" si="49"/>
        <v>3</v>
      </c>
      <c r="AH139" s="172">
        <f t="shared" si="42"/>
        <v>9</v>
      </c>
      <c r="AI139" s="221">
        <f t="shared" si="43"/>
        <v>3.0817475343336378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46878</v>
      </c>
      <c r="B140" s="406">
        <f>'2027'!Wh/'2027'!Env_an*'2028'!Env_an</f>
        <v>151.41540484590502</v>
      </c>
      <c r="C140" s="831"/>
      <c r="D140" s="388">
        <f t="shared" si="25"/>
        <v>156.58836986594184</v>
      </c>
      <c r="E140" s="380">
        <f t="shared" si="47"/>
        <v>157.93303032947884</v>
      </c>
      <c r="F140" s="380">
        <f t="shared" si="26"/>
        <v>157.95655544479897</v>
      </c>
      <c r="G140" s="110">
        <f t="shared" si="48"/>
        <v>0.64759506726328286</v>
      </c>
      <c r="H140" s="409" t="b">
        <f>Wh_hp&gt;='2027'!Maxi_hp</f>
        <v>0</v>
      </c>
      <c r="I140" s="385">
        <f>IF(H140,Wh_hp,'2027'!Maxi_hp)</f>
        <v>157.97979101946427</v>
      </c>
      <c r="J140" s="85">
        <f>IF(H140,An,'2027'!An_max)</f>
        <v>2022</v>
      </c>
      <c r="K140" s="193">
        <f t="shared" si="27"/>
        <v>46878</v>
      </c>
      <c r="L140" s="143">
        <f>IF(t&lt;Tvie,1-EXP((T0-t)*PertePVj)+'2027'!Pspv,1-EXP((T0-t)*PertePVj)+Pspv)</f>
        <v>3.3035435674217073E-2</v>
      </c>
      <c r="M140" s="835"/>
      <c r="N140" s="835"/>
      <c r="O140" s="48">
        <f>IF(t&lt;Tnet,'2027'!Resal+('2027'!Salim-'2027'!Resal)*(1-EXP(('2027'!Tnet-t)/('2027'!Tau_j))),Resal+(Salim-Resal)*(1-EXP((Tnet-t)/(Tau_j))))*Salcycl</f>
        <v>8.5141180456791647E-3</v>
      </c>
      <c r="P140" s="165">
        <f>(INDEX(Models!$BJ140:$BT140,,T140)*(1-R140)+INDEX(Models!$BJ140:$BT140,,T140+1)*R140-ERP_i)*Q140*Ramure*Pc/MaxiM</f>
        <v>2.998447279049367E-4</v>
      </c>
      <c r="Q140" s="301">
        <f t="shared" si="28"/>
        <v>0.5</v>
      </c>
      <c r="R140" s="173">
        <f t="shared" si="29"/>
        <v>8.4897873694979253E-2</v>
      </c>
      <c r="S140" s="801">
        <f t="shared" si="30"/>
        <v>3</v>
      </c>
      <c r="T140" s="172">
        <f t="shared" si="31"/>
        <v>9</v>
      </c>
      <c r="U140" s="247">
        <f t="shared" si="32"/>
        <v>3.0848978736949793</v>
      </c>
      <c r="V140" s="378">
        <f t="shared" si="33"/>
        <v>233.77656640617818</v>
      </c>
      <c r="W140" s="397">
        <f t="shared" si="34"/>
        <v>151.41540484590502</v>
      </c>
      <c r="X140" s="153">
        <f t="shared" si="35"/>
        <v>46878</v>
      </c>
      <c r="Y140" s="380">
        <f t="shared" si="36"/>
        <v>145.30153599232</v>
      </c>
      <c r="Z140" s="380">
        <f t="shared" si="37"/>
        <v>150.26562642823592</v>
      </c>
      <c r="AA140" s="381">
        <f t="shared" si="38"/>
        <v>157.93303032947884</v>
      </c>
      <c r="AB140" s="193">
        <f t="shared" si="39"/>
        <v>46878</v>
      </c>
      <c r="AC140" s="119">
        <f>IF(OR(t&lt;Tnet,NoTnet),'2027'!Resal_s+('2027'!Salim-'2027'!Resal_s)*(1-EXP(('2027'!Tnet_s-t)/'2027'!Tau_j)),Resal_s+(Salim-Resal_s)*(1-EXP((Tnet_s-t)/Tau_j)))*Salcycl</f>
        <v>4.8548450474528548E-2</v>
      </c>
      <c r="AD140" s="227">
        <f>(INDEX(Models!$BJ140:$BT140,,AH140)*(1-AF140)+INDEX(Models!$BJ140:$BT140,,AH140+1)*AF140-ERP_i)*AE140*Ramure*Pc/MaxiM</f>
        <v>2.998447279049367E-4</v>
      </c>
      <c r="AE140" s="301">
        <f t="shared" si="40"/>
        <v>0.5</v>
      </c>
      <c r="AF140" s="173">
        <f t="shared" si="41"/>
        <v>8.4897873694979253E-2</v>
      </c>
      <c r="AG140" s="801">
        <f t="shared" si="49"/>
        <v>3</v>
      </c>
      <c r="AH140" s="172">
        <f t="shared" si="42"/>
        <v>9</v>
      </c>
      <c r="AI140" s="221">
        <f t="shared" si="43"/>
        <v>3.0848978736949793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46879</v>
      </c>
      <c r="B141" s="406">
        <f>'2027'!Wh/'2027'!Env_an*'2028'!Env_an</f>
        <v>192.02676834519843</v>
      </c>
      <c r="C141" s="831"/>
      <c r="D141" s="388">
        <f t="shared" si="25"/>
        <v>198.58990096527273</v>
      </c>
      <c r="E141" s="380">
        <f t="shared" si="47"/>
        <v>200.31233230345171</v>
      </c>
      <c r="F141" s="380">
        <f t="shared" si="26"/>
        <v>200.35692085381143</v>
      </c>
      <c r="G141" s="110">
        <f t="shared" si="48"/>
        <v>0.81997972469127323</v>
      </c>
      <c r="H141" s="409" t="b">
        <f>Wh_hp&gt;='2027'!Maxi_hp</f>
        <v>0</v>
      </c>
      <c r="I141" s="385">
        <f>IF(H141,Wh_hp,'2027'!Maxi_hp)</f>
        <v>200.37194692994947</v>
      </c>
      <c r="J141" s="85">
        <f>IF(H141,An,'2027'!An_max)</f>
        <v>2022</v>
      </c>
      <c r="K141" s="193">
        <f t="shared" si="27"/>
        <v>46879</v>
      </c>
      <c r="L141" s="143">
        <f>IF(t&lt;Tvie,1-EXP((T0-t)*PertePVj)+'2027'!Pspv,1-EXP((T0-t)*PertePVj)+Pspv)</f>
        <v>3.3048672607082774E-2</v>
      </c>
      <c r="M141" s="835"/>
      <c r="N141" s="835"/>
      <c r="O141" s="48">
        <f>IF(t&lt;Tnet,'2027'!Resal+('2027'!Salim-'2027'!Resal)*(1-EXP(('2027'!Tnet-t)/('2027'!Tau_j))),Resal+(Salim-Resal)*(1-EXP((Tnet-t)/(Tau_j))))*Salcycl</f>
        <v>8.5987283876745521E-3</v>
      </c>
      <c r="P141" s="165">
        <f>(INDEX(Models!$BJ141:$BT141,,T141)*(1-R141)+INDEX(Models!$BJ141:$BT141,,T141+1)*R141-ERP_i)*Q141*Ramure*Pc/MaxiM</f>
        <v>2.9955590207943574E-4</v>
      </c>
      <c r="Q141" s="301">
        <f t="shared" si="28"/>
        <v>0.5</v>
      </c>
      <c r="R141" s="173">
        <f t="shared" si="29"/>
        <v>8.8129028100131901E-2</v>
      </c>
      <c r="S141" s="801">
        <f t="shared" si="30"/>
        <v>3</v>
      </c>
      <c r="T141" s="172">
        <f t="shared" si="31"/>
        <v>9</v>
      </c>
      <c r="U141" s="247">
        <f t="shared" si="32"/>
        <v>3.0881290281001319</v>
      </c>
      <c r="V141" s="378">
        <f t="shared" si="33"/>
        <v>234.1667375806594</v>
      </c>
      <c r="W141" s="397">
        <f t="shared" si="34"/>
        <v>192.02676834519843</v>
      </c>
      <c r="X141" s="153">
        <f t="shared" si="35"/>
        <v>46879</v>
      </c>
      <c r="Y141" s="380">
        <f t="shared" si="36"/>
        <v>184.27636637814697</v>
      </c>
      <c r="Z141" s="380">
        <f t="shared" si="37"/>
        <v>190.57460407546131</v>
      </c>
      <c r="AA141" s="381">
        <f t="shared" si="38"/>
        <v>200.31233230345171</v>
      </c>
      <c r="AB141" s="193">
        <f t="shared" si="39"/>
        <v>46879</v>
      </c>
      <c r="AC141" s="119">
        <f>IF(OR(t&lt;Tnet,NoTnet),'2027'!Resal_s+('2027'!Salim-'2027'!Resal_s)*(1-EXP(('2027'!Tnet_s-t)/'2027'!Tau_j)),Resal_s+(Salim-Resal_s)*(1-EXP((Tnet_s-t)/Tau_j)))*Salcycl</f>
        <v>4.8612724518821877E-2</v>
      </c>
      <c r="AD141" s="227">
        <f>(INDEX(Models!$BJ141:$BT141,,AH141)*(1-AF141)+INDEX(Models!$BJ141:$BT141,,AH141+1)*AF141-ERP_i)*AE141*Ramure*Pc/MaxiM</f>
        <v>2.9955590207943574E-4</v>
      </c>
      <c r="AE141" s="301">
        <f t="shared" si="40"/>
        <v>0.5</v>
      </c>
      <c r="AF141" s="173">
        <f t="shared" si="41"/>
        <v>8.8129028100131901E-2</v>
      </c>
      <c r="AG141" s="801">
        <f t="shared" si="49"/>
        <v>3</v>
      </c>
      <c r="AH141" s="172">
        <f t="shared" si="42"/>
        <v>9</v>
      </c>
      <c r="AI141" s="221">
        <f t="shared" si="43"/>
        <v>3.0881290281001319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46880</v>
      </c>
      <c r="B142" s="406">
        <f>'2027'!Wh/'2027'!Env_an*'2028'!Env_an</f>
        <v>209.78694609901993</v>
      </c>
      <c r="C142" s="831"/>
      <c r="D142" s="388">
        <f t="shared" si="25"/>
        <v>216.96005993506103</v>
      </c>
      <c r="E142" s="380">
        <f t="shared" si="47"/>
        <v>218.86052329548991</v>
      </c>
      <c r="F142" s="380">
        <f t="shared" si="26"/>
        <v>218.9161150727482</v>
      </c>
      <c r="G142" s="110">
        <f t="shared" si="48"/>
        <v>0.89440791241096429</v>
      </c>
      <c r="H142" s="409" t="b">
        <f>Wh_hp&gt;='2027'!Maxi_hp</f>
        <v>0</v>
      </c>
      <c r="I142" s="385">
        <f>IF(H142,Wh_hp,'2027'!Maxi_hp)</f>
        <v>218.92571868618484</v>
      </c>
      <c r="J142" s="85">
        <f>IF(H142,An,'2027'!An_max)</f>
        <v>2022</v>
      </c>
      <c r="K142" s="193">
        <f t="shared" si="27"/>
        <v>46880</v>
      </c>
      <c r="L142" s="143">
        <f>IF(t&lt;Tvie,1-EXP((T0-t)*PertePVj)+'2027'!Pspv,1-EXP((T0-t)*PertePVj)+Pspv)</f>
        <v>3.3061909358746089E-2</v>
      </c>
      <c r="M142" s="835"/>
      <c r="N142" s="835"/>
      <c r="O142" s="48">
        <f>IF(t&lt;Tnet,'2027'!Resal+('2027'!Salim-'2027'!Resal)*(1-EXP(('2027'!Tnet-t)/('2027'!Tau_j))),Resal+(Salim-Resal)*(1-EXP((Tnet-t)/(Tau_j))))*Salcycl</f>
        <v>8.6834451997678391E-3</v>
      </c>
      <c r="P142" s="165">
        <f>(INDEX(Models!$BJ142:$BT142,,T142)*(1-R142)+INDEX(Models!$BJ142:$BT142,,T142+1)*R142-ERP_i)*Q142*Ramure*Pc/MaxiM</f>
        <v>2.9903141131780361E-4</v>
      </c>
      <c r="Q142" s="301">
        <f t="shared" si="28"/>
        <v>0.5</v>
      </c>
      <c r="R142" s="173">
        <f t="shared" si="29"/>
        <v>9.144131389826482E-2</v>
      </c>
      <c r="S142" s="801">
        <f t="shared" si="30"/>
        <v>3</v>
      </c>
      <c r="T142" s="172">
        <f t="shared" si="31"/>
        <v>9</v>
      </c>
      <c r="U142" s="247">
        <f t="shared" si="32"/>
        <v>3.0914413138982648</v>
      </c>
      <c r="V142" s="378">
        <f t="shared" si="33"/>
        <v>234.543412916818</v>
      </c>
      <c r="W142" s="397">
        <f t="shared" si="34"/>
        <v>209.78694609901993</v>
      </c>
      <c r="X142" s="153">
        <f t="shared" si="35"/>
        <v>46880</v>
      </c>
      <c r="Y142" s="380">
        <f t="shared" si="36"/>
        <v>201.32320788664987</v>
      </c>
      <c r="Z142" s="380">
        <f t="shared" si="37"/>
        <v>208.20692641566779</v>
      </c>
      <c r="AA142" s="381">
        <f t="shared" si="38"/>
        <v>218.86052329548991</v>
      </c>
      <c r="AB142" s="193">
        <f t="shared" si="39"/>
        <v>46880</v>
      </c>
      <c r="AC142" s="119">
        <f>IF(OR(t&lt;Tnet,NoTnet),'2027'!Resal_s+('2027'!Salim-'2027'!Resal_s)*(1-EXP(('2027'!Tnet_s-t)/'2027'!Tau_j)),Resal_s+(Salim-Resal_s)*(1-EXP((Tnet_s-t)/Tau_j)))*Salcycl</f>
        <v>4.8677562857868124E-2</v>
      </c>
      <c r="AD142" s="227">
        <f>(INDEX(Models!$BJ142:$BT142,,AH142)*(1-AF142)+INDEX(Models!$BJ142:$BT142,,AH142+1)*AF142-ERP_i)*AE142*Ramure*Pc/MaxiM</f>
        <v>2.9903141131780361E-4</v>
      </c>
      <c r="AE142" s="301">
        <f t="shared" si="40"/>
        <v>0.5</v>
      </c>
      <c r="AF142" s="173">
        <f t="shared" si="41"/>
        <v>9.144131389826482E-2</v>
      </c>
      <c r="AG142" s="801">
        <f t="shared" si="49"/>
        <v>3</v>
      </c>
      <c r="AH142" s="172">
        <f t="shared" si="42"/>
        <v>9</v>
      </c>
      <c r="AI142" s="221">
        <f t="shared" si="43"/>
        <v>3.0914413138982648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46881</v>
      </c>
      <c r="B143" s="406">
        <f>'2027'!Wh/'2027'!Env_an*'2028'!Env_an</f>
        <v>226.20763375086585</v>
      </c>
      <c r="C143" s="831"/>
      <c r="D143" s="388">
        <f t="shared" ref="D143:D206" si="50">Wh/(1-Ppv)</f>
        <v>233.94541240565184</v>
      </c>
      <c r="E143" s="380">
        <f t="shared" si="47"/>
        <v>236.01485380921787</v>
      </c>
      <c r="F143" s="380">
        <f t="shared" ref="F143:F206" si="51">Wh_sa/(1-Pvg*MEDIAN((-Sdif+Wh/Env_an)/Csdif,0,1))</f>
        <v>236.08155519496228</v>
      </c>
      <c r="G143" s="110">
        <f t="shared" si="48"/>
        <v>0.96295111306355607</v>
      </c>
      <c r="H143" s="409" t="b">
        <f>Wh_hp&gt;='2027'!Maxi_hp</f>
        <v>0</v>
      </c>
      <c r="I143" s="385">
        <f>IF(H143,Wh_hp,'2027'!Maxi_hp)</f>
        <v>236.08517663735407</v>
      </c>
      <c r="J143" s="85">
        <f>IF(H143,An,'2027'!An_max)</f>
        <v>2022</v>
      </c>
      <c r="K143" s="193">
        <f t="shared" ref="K143:K206" si="52">t</f>
        <v>46881</v>
      </c>
      <c r="L143" s="143">
        <f>IF(t&lt;Tvie,1-EXP((T0-t)*PertePVj)+'2027'!Pspv,1-EXP((T0-t)*PertePVj)+Pspv)</f>
        <v>3.3075145929209349E-2</v>
      </c>
      <c r="M143" s="835"/>
      <c r="N143" s="835"/>
      <c r="O143" s="48">
        <f>IF(t&lt;Tnet,'2027'!Resal+('2027'!Salim-'2027'!Resal)*(1-EXP(('2027'!Tnet-t)/('2027'!Tau_j))),Resal+(Salim-Resal)*(1-EXP((Tnet-t)/(Tau_j))))*Salcycl</f>
        <v>8.7682676330145069E-3</v>
      </c>
      <c r="P143" s="165">
        <f>(INDEX(Models!$BJ143:$BT143,,T143)*(1-R143)+INDEX(Models!$BJ143:$BT143,,T143+1)*R143-ERP_i)*Q143*Ramure*Pc/MaxiM</f>
        <v>2.983179433286811E-4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9.4834923115610259E-2</v>
      </c>
      <c r="S143" s="801">
        <f t="shared" ref="S143:S206" si="55">INDEX(Echel_vg,T143)</f>
        <v>3</v>
      </c>
      <c r="T143" s="172">
        <f t="shared" ref="T143:T206" si="56">MIN(MATCH(Hp_vg,Echel_vg),10)</f>
        <v>9</v>
      </c>
      <c r="U143" s="247">
        <f t="shared" ref="U143:U206" si="57">IF(OR(t&lt;Ttai,Notai),Hdd+PousH*Croivg,Hdtf+PousH*(Croivg-Croi_tai))</f>
        <v>3.0948349231156103</v>
      </c>
      <c r="V143" s="378">
        <f t="shared" ref="V143:V206" si="58">MaxiM*(1-Ppv)*(1-Pvg)*(1-Psa)</f>
        <v>234.90710954165405</v>
      </c>
      <c r="W143" s="397">
        <f t="shared" ref="W143:W206" si="59">Wh*(A143&gt;Tmaj)</f>
        <v>226.20763375086585</v>
      </c>
      <c r="X143" s="153">
        <f t="shared" ref="X143:X206" si="60">t</f>
        <v>46881</v>
      </c>
      <c r="Y143" s="380">
        <f t="shared" ref="Y143:Y206" si="61">Wh_pvt_s*(1-Ppv)</f>
        <v>217.08506701114447</v>
      </c>
      <c r="Z143" s="380">
        <f t="shared" ref="Z143:Z206" si="62">Wh_sa_s*(1-Psa_s)</f>
        <v>224.51079429513891</v>
      </c>
      <c r="AA143" s="381">
        <f t="shared" ref="AA143:AA206" si="63">Wh_hp*(1-Pvg_s*MEDIAN((-Sdif+Wh/Env_an)/Csdif,0,1))</f>
        <v>236.01485380921787</v>
      </c>
      <c r="AB143" s="193">
        <f t="shared" ref="AB143:AB206" si="64">t</f>
        <v>46881</v>
      </c>
      <c r="AC143" s="119">
        <f>IF(OR(t&lt;Tnet,NoTnet),'2027'!Resal_s+('2027'!Salim-'2027'!Resal_s)*(1-EXP(('2027'!Tnet_s-t)/'2027'!Tau_j)),Resal_s+(Salim-Resal_s)*(1-EXP((Tnet_s-t)/Tau_j)))*Salcycl</f>
        <v>4.8742947015437556E-2</v>
      </c>
      <c r="AD143" s="227">
        <f>(INDEX(Models!$BJ143:$BT143,,AH143)*(1-AF143)+INDEX(Models!$BJ143:$BT143,,AH143+1)*AF143-ERP_i)*AE143*Ramure*Pc/MaxiM</f>
        <v>2.983179433286811E-4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9.4834923115610259E-2</v>
      </c>
      <c r="AG143" s="801">
        <f t="shared" si="49"/>
        <v>3</v>
      </c>
      <c r="AH143" s="172">
        <f t="shared" ref="AH143:AH206" si="67">MIN(MATCH(Hp_vg_s,Echel_vg),10)</f>
        <v>9</v>
      </c>
      <c r="AI143" s="221">
        <f t="shared" ref="AI143:AI206" si="68">IF(OR(t&lt;Ttai,Notai),Hdd_s+PousH*Croivg,Hdtai_s+PousH*(Croivg-Croi_tai))</f>
        <v>3.0948349231156103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46882</v>
      </c>
      <c r="B144" s="406">
        <f>'2027'!Wh/'2027'!Env_an*'2028'!Env_an</f>
        <v>216.48482931146154</v>
      </c>
      <c r="C144" s="831"/>
      <c r="D144" s="388">
        <f t="shared" si="50"/>
        <v>223.89308945377252</v>
      </c>
      <c r="E144" s="380">
        <f t="shared" ref="E144:E169" si="72">Wh_pvt/(1-Psa)</f>
        <v>225.89296377857704</v>
      </c>
      <c r="F144" s="380">
        <f t="shared" si="51"/>
        <v>225.95250328937323</v>
      </c>
      <c r="G144" s="110">
        <f t="shared" ref="G144:G169" si="73">+Wh_hp/MaxiM</f>
        <v>0.92016917238680906</v>
      </c>
      <c r="H144" s="409" t="b">
        <f>Wh_hp&gt;='2027'!Maxi_hp</f>
        <v>0</v>
      </c>
      <c r="I144" s="385">
        <f>IF(H144,Wh_hp,'2027'!Maxi_hp)</f>
        <v>225.95994154835185</v>
      </c>
      <c r="J144" s="85">
        <f>IF(H144,An,'2027'!An_max)</f>
        <v>2022</v>
      </c>
      <c r="K144" s="193">
        <f t="shared" si="52"/>
        <v>46882</v>
      </c>
      <c r="L144" s="143">
        <f>IF(t&lt;Tvie,1-EXP((T0-t)*PertePVj)+'2027'!Pspv,1-EXP((T0-t)*PertePVj)+Pspv)</f>
        <v>3.3088382318475107E-2</v>
      </c>
      <c r="M144" s="835"/>
      <c r="N144" s="835"/>
      <c r="O144" s="48">
        <f>IF(t&lt;Tnet,'2027'!Resal+('2027'!Salim-'2027'!Resal)*(1-EXP(('2027'!Tnet-t)/('2027'!Tau_j))),Resal+(Salim-Resal)*(1-EXP((Tnet-t)/(Tau_j))))*Salcycl</f>
        <v>8.8531944127521051E-3</v>
      </c>
      <c r="P144" s="165">
        <f>(INDEX(Models!$BJ144:$BT144,,T144)*(1-R144)+INDEX(Models!$BJ144:$BT144,,T144+1)*R144-ERP_i)*Q144*Ramure*Pc/MaxiM</f>
        <v>2.9740900714231999E-4</v>
      </c>
      <c r="Q144" s="301">
        <f t="shared" si="53"/>
        <v>0.5</v>
      </c>
      <c r="R144" s="173">
        <f t="shared" si="54"/>
        <v>9.8309916662328245E-2</v>
      </c>
      <c r="S144" s="801">
        <f t="shared" si="55"/>
        <v>3</v>
      </c>
      <c r="T144" s="172">
        <f t="shared" si="56"/>
        <v>9</v>
      </c>
      <c r="U144" s="247">
        <f t="shared" si="57"/>
        <v>3.0983099166623282</v>
      </c>
      <c r="V144" s="378">
        <f t="shared" si="58"/>
        <v>235.25835690943842</v>
      </c>
      <c r="W144" s="397">
        <f t="shared" si="59"/>
        <v>216.48482931146154</v>
      </c>
      <c r="X144" s="153">
        <f t="shared" si="60"/>
        <v>46882</v>
      </c>
      <c r="Y144" s="380">
        <f t="shared" si="61"/>
        <v>207.75777221601615</v>
      </c>
      <c r="Z144" s="380">
        <f t="shared" si="62"/>
        <v>214.86738644653047</v>
      </c>
      <c r="AA144" s="381">
        <f t="shared" si="63"/>
        <v>225.89296377857704</v>
      </c>
      <c r="AB144" s="193">
        <f t="shared" si="64"/>
        <v>46882</v>
      </c>
      <c r="AC144" s="119">
        <f>IF(OR(t&lt;Tnet,NoTnet),'2027'!Resal_s+('2027'!Salim-'2027'!Resal_s)*(1-EXP(('2027'!Tnet_s-t)/'2027'!Tau_j)),Resal_s+(Salim-Resal_s)*(1-EXP((Tnet_s-t)/Tau_j)))*Salcycl</f>
        <v>4.8808856848033426E-2</v>
      </c>
      <c r="AD144" s="227">
        <f>(INDEX(Models!$BJ144:$BT144,,AH144)*(1-AF144)+INDEX(Models!$BJ144:$BT144,,AH144+1)*AF144-ERP_i)*AE144*Ramure*Pc/MaxiM</f>
        <v>2.9740900714231999E-4</v>
      </c>
      <c r="AE144" s="301">
        <f t="shared" si="65"/>
        <v>0.5</v>
      </c>
      <c r="AF144" s="173">
        <f t="shared" si="66"/>
        <v>9.8309916662328245E-2</v>
      </c>
      <c r="AG144" s="801">
        <f t="shared" ref="AG144:AG207" si="74">INDEX(Echel_vg,AH144)</f>
        <v>3</v>
      </c>
      <c r="AH144" s="172">
        <f t="shared" si="67"/>
        <v>9</v>
      </c>
      <c r="AI144" s="221">
        <f t="shared" si="68"/>
        <v>3.0983099166623282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46883</v>
      </c>
      <c r="B145" s="406">
        <f>'2027'!Wh/'2027'!Env_an*'2028'!Env_an</f>
        <v>233.17328020037695</v>
      </c>
      <c r="C145" s="831"/>
      <c r="D145" s="388">
        <f t="shared" si="50"/>
        <v>241.15593186229634</v>
      </c>
      <c r="E145" s="380">
        <f t="shared" si="72"/>
        <v>243.33087771108526</v>
      </c>
      <c r="F145" s="380">
        <f t="shared" si="51"/>
        <v>243.40193698921374</v>
      </c>
      <c r="G145" s="110">
        <f t="shared" si="73"/>
        <v>0.98970524608162269</v>
      </c>
      <c r="H145" s="409" t="b">
        <f>Wh_hp&gt;='2027'!Maxi_hp</f>
        <v>0</v>
      </c>
      <c r="I145" s="385">
        <f>IF(H145,Wh_hp,'2027'!Maxi_hp)</f>
        <v>243.40296531394188</v>
      </c>
      <c r="J145" s="85">
        <f>IF(H145,An,'2027'!An_max)</f>
        <v>2022</v>
      </c>
      <c r="K145" s="193">
        <f t="shared" si="52"/>
        <v>46883</v>
      </c>
      <c r="L145" s="143">
        <f>IF(t&lt;Tvie,1-EXP((T0-t)*PertePVj)+'2027'!Pspv,1-EXP((T0-t)*PertePVj)+Pspv)</f>
        <v>3.3101618526545695E-2</v>
      </c>
      <c r="M145" s="835"/>
      <c r="N145" s="835"/>
      <c r="O145" s="48">
        <f>IF(t&lt;Tnet,'2027'!Resal+('2027'!Salim-'2027'!Resal)*(1-EXP(('2027'!Tnet-t)/('2027'!Tau_j))),Resal+(Salim-Resal)*(1-EXP((Tnet-t)/(Tau_j))))*Salcycl</f>
        <v>8.9382238261242319E-3</v>
      </c>
      <c r="P145" s="165">
        <f>(INDEX(Models!$BJ145:$BT145,,T145)*(1-R145)+INDEX(Models!$BJ145:$BT145,,T145+1)*R145-ERP_i)*Q145*Ramure*Pc/MaxiM</f>
        <v>2.9629788852768773E-4</v>
      </c>
      <c r="Q145" s="301">
        <f t="shared" si="53"/>
        <v>0.5</v>
      </c>
      <c r="R145" s="173">
        <f t="shared" si="54"/>
        <v>0.10186621772069238</v>
      </c>
      <c r="S145" s="801">
        <f t="shared" si="55"/>
        <v>3</v>
      </c>
      <c r="T145" s="172">
        <f t="shared" si="56"/>
        <v>9</v>
      </c>
      <c r="U145" s="247">
        <f t="shared" si="57"/>
        <v>3.1018662177206924</v>
      </c>
      <c r="V145" s="378">
        <f t="shared" si="58"/>
        <v>235.59768444060518</v>
      </c>
      <c r="W145" s="397">
        <f t="shared" si="59"/>
        <v>233.17328020037695</v>
      </c>
      <c r="X145" s="153">
        <f t="shared" si="60"/>
        <v>46883</v>
      </c>
      <c r="Y145" s="380">
        <f t="shared" si="61"/>
        <v>223.77704233935373</v>
      </c>
      <c r="Z145" s="380">
        <f t="shared" si="62"/>
        <v>231.43801523210783</v>
      </c>
      <c r="AA145" s="381">
        <f t="shared" si="63"/>
        <v>243.33087771108526</v>
      </c>
      <c r="AB145" s="193">
        <f t="shared" si="64"/>
        <v>46883</v>
      </c>
      <c r="AC145" s="119">
        <f>IF(OR(t&lt;Tnet,NoTnet),'2027'!Resal_s+('2027'!Salim-'2027'!Resal_s)*(1-EXP(('2027'!Tnet_s-t)/'2027'!Tau_j)),Resal_s+(Salim-Resal_s)*(1-EXP((Tnet_s-t)/Tau_j)))*Salcycl</f>
        <v>4.8875270540462271E-2</v>
      </c>
      <c r="AD145" s="227">
        <f>(INDEX(Models!$BJ145:$BT145,,AH145)*(1-AF145)+INDEX(Models!$BJ145:$BT145,,AH145+1)*AF145-ERP_i)*AE145*Ramure*Pc/MaxiM</f>
        <v>2.9629788852768773E-4</v>
      </c>
      <c r="AE145" s="301">
        <f t="shared" si="65"/>
        <v>0.5</v>
      </c>
      <c r="AF145" s="173">
        <f t="shared" si="66"/>
        <v>0.10186621772069238</v>
      </c>
      <c r="AG145" s="801">
        <f t="shared" si="74"/>
        <v>3</v>
      </c>
      <c r="AH145" s="172">
        <f t="shared" si="67"/>
        <v>9</v>
      </c>
      <c r="AI145" s="221">
        <f t="shared" si="68"/>
        <v>3.1018662177206924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46884</v>
      </c>
      <c r="B146" s="406">
        <f>'2027'!Wh/'2027'!Env_an*'2028'!Env_an</f>
        <v>175.13501048922222</v>
      </c>
      <c r="C146" s="831"/>
      <c r="D146" s="388">
        <f t="shared" si="50"/>
        <v>181.13321040663257</v>
      </c>
      <c r="E146" s="380">
        <f t="shared" si="72"/>
        <v>182.7825217525899</v>
      </c>
      <c r="F146" s="380">
        <f t="shared" si="51"/>
        <v>182.8165982187414</v>
      </c>
      <c r="G146" s="110">
        <f t="shared" si="73"/>
        <v>0.7422508397056391</v>
      </c>
      <c r="H146" s="409" t="b">
        <f>Wh_hp&gt;='2027'!Maxi_hp</f>
        <v>0</v>
      </c>
      <c r="I146" s="385">
        <f>IF(H146,Wh_hp,'2027'!Maxi_hp)</f>
        <v>182.83583092034419</v>
      </c>
      <c r="J146" s="85">
        <f>IF(H146,An,'2027'!An_max)</f>
        <v>2022</v>
      </c>
      <c r="K146" s="193">
        <f t="shared" si="52"/>
        <v>46884</v>
      </c>
      <c r="L146" s="143">
        <f>IF(t&lt;Tvie,1-EXP((T0-t)*PertePVj)+'2027'!Pspv,1-EXP((T0-t)*PertePVj)+Pspv)</f>
        <v>3.3114854553423778E-2</v>
      </c>
      <c r="M146" s="835"/>
      <c r="N146" s="835"/>
      <c r="O146" s="48">
        <f>IF(t&lt;Tnet,'2027'!Resal+('2027'!Salim-'2027'!Resal)*(1-EXP(('2027'!Tnet-t)/('2027'!Tau_j))),Resal+(Salim-Resal)*(1-EXP((Tnet-t)/(Tau_j))))*Salcycl</f>
        <v>9.023353710973547E-3</v>
      </c>
      <c r="P146" s="165">
        <f>(INDEX(Models!$BJ146:$BT146,,T146)*(1-R146)+INDEX(Models!$BJ146:$BT146,,T146+1)*R146-ERP_i)*Q146*Ramure*Pc/MaxiM</f>
        <v>2.9497766984403943E-4</v>
      </c>
      <c r="Q146" s="301">
        <f t="shared" si="53"/>
        <v>0.5</v>
      </c>
      <c r="R146" s="173">
        <f t="shared" si="54"/>
        <v>0.10550360536852121</v>
      </c>
      <c r="S146" s="801">
        <f t="shared" si="55"/>
        <v>3</v>
      </c>
      <c r="T146" s="172">
        <f t="shared" si="56"/>
        <v>9</v>
      </c>
      <c r="U146" s="247">
        <f t="shared" si="57"/>
        <v>3.1055036053685212</v>
      </c>
      <c r="V146" s="378">
        <f t="shared" si="58"/>
        <v>235.92562150194934</v>
      </c>
      <c r="W146" s="397">
        <f t="shared" si="59"/>
        <v>175.13501048922222</v>
      </c>
      <c r="X146" s="153">
        <f t="shared" si="60"/>
        <v>46884</v>
      </c>
      <c r="Y146" s="380">
        <f t="shared" si="61"/>
        <v>168.08017081015799</v>
      </c>
      <c r="Z146" s="380">
        <f t="shared" si="62"/>
        <v>173.83674948540721</v>
      </c>
      <c r="AA146" s="381">
        <f t="shared" si="63"/>
        <v>182.7825217525899</v>
      </c>
      <c r="AB146" s="193">
        <f t="shared" si="64"/>
        <v>46884</v>
      </c>
      <c r="AC146" s="119">
        <f>IF(OR(t&lt;Tnet,NoTnet),'2027'!Resal_s+('2027'!Salim-'2027'!Resal_s)*(1-EXP(('2027'!Tnet_s-t)/'2027'!Tau_j)),Resal_s+(Salim-Resal_s)*(1-EXP((Tnet_s-t)/Tau_j)))*Salcycl</f>
        <v>4.894216460855861E-2</v>
      </c>
      <c r="AD146" s="227">
        <f>(INDEX(Models!$BJ146:$BT146,,AH146)*(1-AF146)+INDEX(Models!$BJ146:$BT146,,AH146+1)*AF146-ERP_i)*AE146*Ramure*Pc/MaxiM</f>
        <v>2.9497766984403943E-4</v>
      </c>
      <c r="AE146" s="301">
        <f t="shared" si="65"/>
        <v>0.5</v>
      </c>
      <c r="AF146" s="173">
        <f t="shared" si="66"/>
        <v>0.10550360536852121</v>
      </c>
      <c r="AG146" s="801">
        <f t="shared" si="74"/>
        <v>3</v>
      </c>
      <c r="AH146" s="172">
        <f t="shared" si="67"/>
        <v>9</v>
      </c>
      <c r="AI146" s="221">
        <f t="shared" si="68"/>
        <v>3.1055036053685212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46885</v>
      </c>
      <c r="B147" s="406">
        <f>'2027'!Wh/'2027'!Env_an*'2028'!Env_an</f>
        <v>166.4147654949478</v>
      </c>
      <c r="C147" s="831"/>
      <c r="D147" s="388">
        <f t="shared" si="50"/>
        <v>172.11666182715101</v>
      </c>
      <c r="E147" s="380">
        <f t="shared" si="72"/>
        <v>173.69881159972647</v>
      </c>
      <c r="F147" s="380">
        <f t="shared" si="51"/>
        <v>173.72826458663545</v>
      </c>
      <c r="G147" s="110">
        <f t="shared" si="73"/>
        <v>0.70433560046433141</v>
      </c>
      <c r="H147" s="409" t="b">
        <f>Wh_hp&gt;='2027'!Maxi_hp</f>
        <v>0</v>
      </c>
      <c r="I147" s="385">
        <f>IF(H147,Wh_hp,'2027'!Maxi_hp)</f>
        <v>173.74909777889465</v>
      </c>
      <c r="J147" s="85">
        <f>IF(H147,An,'2027'!An_max)</f>
        <v>2022</v>
      </c>
      <c r="K147" s="193">
        <f t="shared" si="52"/>
        <v>46885</v>
      </c>
      <c r="L147" s="143">
        <f>IF(t&lt;Tvie,1-EXP((T0-t)*PertePVj)+'2027'!Pspv,1-EXP((T0-t)*PertePVj)+Pspv)</f>
        <v>3.3128090399111798E-2</v>
      </c>
      <c r="M147" s="835"/>
      <c r="N147" s="835"/>
      <c r="O147" s="48">
        <f>IF(t&lt;Tnet,'2027'!Resal+('2027'!Salim-'2027'!Resal)*(1-EXP(('2027'!Tnet-t)/('2027'!Tau_j))),Resal+(Salim-Resal)*(1-EXP((Tnet-t)/(Tau_j))))*Salcycl</f>
        <v>9.1085814462645385E-3</v>
      </c>
      <c r="P147" s="165">
        <f>(INDEX(Models!$BJ147:$BT147,,T147)*(1-R147)+INDEX(Models!$BJ147:$BT147,,T147+1)*R147-ERP_i)*Q147*Ramure*Pc/MaxiM</f>
        <v>2.9344125153452912E-4</v>
      </c>
      <c r="Q147" s="301">
        <f t="shared" si="53"/>
        <v>0.5</v>
      </c>
      <c r="R147" s="173">
        <f t="shared" si="54"/>
        <v>0.1092217084939735</v>
      </c>
      <c r="S147" s="801">
        <f t="shared" si="55"/>
        <v>3</v>
      </c>
      <c r="T147" s="172">
        <f t="shared" si="56"/>
        <v>9</v>
      </c>
      <c r="U147" s="247">
        <f t="shared" si="57"/>
        <v>3.1092217084939735</v>
      </c>
      <c r="V147" s="378">
        <f t="shared" si="58"/>
        <v>236.24269741030395</v>
      </c>
      <c r="W147" s="397">
        <f t="shared" si="59"/>
        <v>166.4147654949478</v>
      </c>
      <c r="X147" s="153">
        <f t="shared" si="60"/>
        <v>46885</v>
      </c>
      <c r="Y147" s="380">
        <f t="shared" si="61"/>
        <v>159.71362327636277</v>
      </c>
      <c r="Z147" s="380">
        <f t="shared" si="62"/>
        <v>165.18591727656087</v>
      </c>
      <c r="AA147" s="381">
        <f t="shared" si="63"/>
        <v>173.69881159972647</v>
      </c>
      <c r="AB147" s="193">
        <f t="shared" si="64"/>
        <v>46885</v>
      </c>
      <c r="AC147" s="119">
        <f>IF(OR(t&lt;Tnet,NoTnet),'2027'!Resal_s+('2027'!Salim-'2027'!Resal_s)*(1-EXP(('2027'!Tnet_s-t)/'2027'!Tau_j)),Resal_s+(Salim-Resal_s)*(1-EXP((Tnet_s-t)/Tau_j)))*Salcycl</f>
        <v>4.9009513909529755E-2</v>
      </c>
      <c r="AD147" s="227">
        <f>(INDEX(Models!$BJ147:$BT147,,AH147)*(1-AF147)+INDEX(Models!$BJ147:$BT147,,AH147+1)*AF147-ERP_i)*AE147*Ramure*Pc/MaxiM</f>
        <v>2.9344125153452912E-4</v>
      </c>
      <c r="AE147" s="301">
        <f t="shared" si="65"/>
        <v>0.5</v>
      </c>
      <c r="AF147" s="173">
        <f t="shared" si="66"/>
        <v>0.1092217084939735</v>
      </c>
      <c r="AG147" s="801">
        <f t="shared" si="74"/>
        <v>3</v>
      </c>
      <c r="AH147" s="172">
        <f t="shared" si="67"/>
        <v>9</v>
      </c>
      <c r="AI147" s="221">
        <f t="shared" si="68"/>
        <v>3.1092217084939735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46886</v>
      </c>
      <c r="B148" s="406">
        <f>'2027'!Wh/'2027'!Env_an*'2028'!Env_an</f>
        <v>205.32025906837617</v>
      </c>
      <c r="C148" s="831"/>
      <c r="D148" s="388">
        <f t="shared" si="50"/>
        <v>212.35808769491862</v>
      </c>
      <c r="E148" s="380">
        <f t="shared" si="72"/>
        <v>214.3286042953026</v>
      </c>
      <c r="F148" s="380">
        <f t="shared" si="51"/>
        <v>214.37934153977932</v>
      </c>
      <c r="G148" s="110">
        <f t="shared" si="73"/>
        <v>0.86793255684121184</v>
      </c>
      <c r="H148" s="409" t="b">
        <f>Wh_hp&gt;='2027'!Maxi_hp</f>
        <v>0</v>
      </c>
      <c r="I148" s="385">
        <f>IF(H148,Wh_hp,'2027'!Maxi_hp)</f>
        <v>214.39074224471946</v>
      </c>
      <c r="J148" s="85">
        <f>IF(H148,An,'2027'!An_max)</f>
        <v>2022</v>
      </c>
      <c r="K148" s="193">
        <f t="shared" si="52"/>
        <v>46886</v>
      </c>
      <c r="L148" s="143">
        <f>IF(t&lt;Tvie,1-EXP((T0-t)*PertePVj)+'2027'!Pspv,1-EXP((T0-t)*PertePVj)+Pspv)</f>
        <v>3.3141326063612198E-2</v>
      </c>
      <c r="M148" s="835"/>
      <c r="N148" s="835"/>
      <c r="O148" s="48">
        <f>IF(t&lt;Tnet,'2027'!Resal+('2027'!Salim-'2027'!Resal)*(1-EXP(('2027'!Tnet-t)/('2027'!Tau_j))),Resal+(Salim-Resal)*(1-EXP((Tnet-t)/(Tau_j))))*Salcycl</f>
        <v>9.1939039441930499E-3</v>
      </c>
      <c r="P148" s="165">
        <f>(INDEX(Models!$BJ148:$BT148,,T148)*(1-R148)+INDEX(Models!$BJ148:$BT148,,T148+1)*R148-ERP_i)*Q148*Ramure*Pc/MaxiM</f>
        <v>2.9168137528696851E-4</v>
      </c>
      <c r="Q148" s="301">
        <f t="shared" si="53"/>
        <v>0.5</v>
      </c>
      <c r="R148" s="173">
        <f t="shared" si="54"/>
        <v>0.11302000005957558</v>
      </c>
      <c r="S148" s="801">
        <f t="shared" si="55"/>
        <v>3</v>
      </c>
      <c r="T148" s="172">
        <f t="shared" si="56"/>
        <v>9</v>
      </c>
      <c r="U148" s="247">
        <f t="shared" si="57"/>
        <v>3.1130200000595756</v>
      </c>
      <c r="V148" s="378">
        <f t="shared" si="58"/>
        <v>236.54944143823673</v>
      </c>
      <c r="W148" s="397">
        <f t="shared" si="59"/>
        <v>205.32025906837617</v>
      </c>
      <c r="X148" s="153">
        <f t="shared" si="60"/>
        <v>46886</v>
      </c>
      <c r="Y148" s="380">
        <f t="shared" si="61"/>
        <v>197.05540529829685</v>
      </c>
      <c r="Z148" s="380">
        <f t="shared" si="62"/>
        <v>203.80993687114778</v>
      </c>
      <c r="AA148" s="381">
        <f t="shared" si="63"/>
        <v>214.3286042953026</v>
      </c>
      <c r="AB148" s="193">
        <f t="shared" si="64"/>
        <v>46886</v>
      </c>
      <c r="AC148" s="119">
        <f>IF(OR(t&lt;Tnet,NoTnet),'2027'!Resal_s+('2027'!Salim-'2027'!Resal_s)*(1-EXP(('2027'!Tnet_s-t)/'2027'!Tau_j)),Resal_s+(Salim-Resal_s)*(1-EXP((Tnet_s-t)/Tau_j)))*Salcycl</f>
        <v>4.9077291660342998E-2</v>
      </c>
      <c r="AD148" s="227">
        <f>(INDEX(Models!$BJ148:$BT148,,AH148)*(1-AF148)+INDEX(Models!$BJ148:$BT148,,AH148+1)*AF148-ERP_i)*AE148*Ramure*Pc/MaxiM</f>
        <v>2.9168137528696851E-4</v>
      </c>
      <c r="AE148" s="301">
        <f t="shared" si="65"/>
        <v>0.5</v>
      </c>
      <c r="AF148" s="173">
        <f t="shared" si="66"/>
        <v>0.11302000005957558</v>
      </c>
      <c r="AG148" s="801">
        <f t="shared" si="74"/>
        <v>3</v>
      </c>
      <c r="AH148" s="172">
        <f t="shared" si="67"/>
        <v>9</v>
      </c>
      <c r="AI148" s="221">
        <f t="shared" si="68"/>
        <v>3.1130200000595756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46887</v>
      </c>
      <c r="B149" s="406">
        <f>'2027'!Wh/'2027'!Env_an*'2028'!Env_an</f>
        <v>216.03004885490864</v>
      </c>
      <c r="C149" s="831"/>
      <c r="D149" s="388">
        <f t="shared" si="50"/>
        <v>223.43803907328879</v>
      </c>
      <c r="E149" s="380">
        <f t="shared" si="72"/>
        <v>225.53081110810018</v>
      </c>
      <c r="F149" s="380">
        <f t="shared" si="51"/>
        <v>225.58795808538548</v>
      </c>
      <c r="G149" s="110">
        <f t="shared" si="73"/>
        <v>0.91208662866710521</v>
      </c>
      <c r="H149" s="409" t="b">
        <f>Wh_hp&gt;='2027'!Maxi_hp</f>
        <v>0</v>
      </c>
      <c r="I149" s="385">
        <f>IF(H149,Wh_hp,'2027'!Maxi_hp)</f>
        <v>225.59588021543425</v>
      </c>
      <c r="J149" s="85">
        <f>IF(H149,An,'2027'!An_max)</f>
        <v>2022</v>
      </c>
      <c r="K149" s="193">
        <f t="shared" si="52"/>
        <v>46887</v>
      </c>
      <c r="L149" s="143">
        <f>IF(t&lt;Tvie,1-EXP((T0-t)*PertePVj)+'2027'!Pspv,1-EXP((T0-t)*PertePVj)+Pspv)</f>
        <v>3.315456154692753E-2</v>
      </c>
      <c r="M149" s="835"/>
      <c r="N149" s="835"/>
      <c r="O149" s="48">
        <f>IF(t&lt;Tnet,'2027'!Resal+('2027'!Salim-'2027'!Resal)*(1-EXP(('2027'!Tnet-t)/('2027'!Tau_j))),Resal+(Salim-Resal)*(1-EXP((Tnet-t)/(Tau_j))))*Salcycl</f>
        <v>9.2793176441345639E-3</v>
      </c>
      <c r="P149" s="165">
        <f>(INDEX(Models!$BJ149:$BT149,,T149)*(1-R149)+INDEX(Models!$BJ149:$BT149,,T149+1)*R149-ERP_i)*Q149*Ramure*Pc/MaxiM</f>
        <v>2.8969363679565293E-4</v>
      </c>
      <c r="Q149" s="301">
        <f t="shared" si="53"/>
        <v>0.5</v>
      </c>
      <c r="R149" s="173">
        <f t="shared" si="54"/>
        <v>0.11689779177461546</v>
      </c>
      <c r="S149" s="801">
        <f t="shared" si="55"/>
        <v>3</v>
      </c>
      <c r="T149" s="172">
        <f t="shared" si="56"/>
        <v>9</v>
      </c>
      <c r="U149" s="247">
        <f t="shared" si="57"/>
        <v>3.1168977917746155</v>
      </c>
      <c r="V149" s="378">
        <f t="shared" si="58"/>
        <v>236.84393923535077</v>
      </c>
      <c r="W149" s="397">
        <f t="shared" si="59"/>
        <v>216.03004885490864</v>
      </c>
      <c r="X149" s="153">
        <f t="shared" si="60"/>
        <v>46887</v>
      </c>
      <c r="Y149" s="380">
        <f t="shared" si="61"/>
        <v>207.33709747234832</v>
      </c>
      <c r="Z149" s="380">
        <f t="shared" si="62"/>
        <v>214.44699351747707</v>
      </c>
      <c r="AA149" s="381">
        <f t="shared" si="63"/>
        <v>225.53081110810018</v>
      </c>
      <c r="AB149" s="193">
        <f t="shared" si="64"/>
        <v>46887</v>
      </c>
      <c r="AC149" s="119">
        <f>IF(OR(t&lt;Tnet,NoTnet),'2027'!Resal_s+('2027'!Salim-'2027'!Resal_s)*(1-EXP(('2027'!Tnet_s-t)/'2027'!Tau_j)),Resal_s+(Salim-Resal_s)*(1-EXP((Tnet_s-t)/Tau_j)))*Salcycl</f>
        <v>4.9145469464526817E-2</v>
      </c>
      <c r="AD149" s="227">
        <f>(INDEX(Models!$BJ149:$BT149,,AH149)*(1-AF149)+INDEX(Models!$BJ149:$BT149,,AH149+1)*AF149-ERP_i)*AE149*Ramure*Pc/MaxiM</f>
        <v>2.8969363679565293E-4</v>
      </c>
      <c r="AE149" s="301">
        <f t="shared" si="65"/>
        <v>0.5</v>
      </c>
      <c r="AF149" s="173">
        <f t="shared" si="66"/>
        <v>0.11689779177461546</v>
      </c>
      <c r="AG149" s="801">
        <f t="shared" si="74"/>
        <v>3</v>
      </c>
      <c r="AH149" s="172">
        <f t="shared" si="67"/>
        <v>9</v>
      </c>
      <c r="AI149" s="221">
        <f t="shared" si="68"/>
        <v>3.1168977917746155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46888</v>
      </c>
      <c r="B150" s="406">
        <f>'2027'!Wh/'2027'!Env_an*'2028'!Env_an</f>
        <v>208.91191243230995</v>
      </c>
      <c r="C150" s="831"/>
      <c r="D150" s="388">
        <f t="shared" si="50"/>
        <v>216.07876915090202</v>
      </c>
      <c r="E150" s="380">
        <f t="shared" si="72"/>
        <v>218.12143681954686</v>
      </c>
      <c r="F150" s="380">
        <f t="shared" si="51"/>
        <v>218.17354966426811</v>
      </c>
      <c r="G150" s="110">
        <f t="shared" si="73"/>
        <v>0.88098003419816961</v>
      </c>
      <c r="H150" s="409" t="b">
        <f>Wh_hp&gt;='2027'!Maxi_hp</f>
        <v>0</v>
      </c>
      <c r="I150" s="385">
        <f>IF(H150,Wh_hp,'2027'!Maxi_hp)</f>
        <v>218.18384203188552</v>
      </c>
      <c r="J150" s="85">
        <f>IF(H150,An,'2027'!An_max)</f>
        <v>2022</v>
      </c>
      <c r="K150" s="193">
        <f t="shared" si="52"/>
        <v>46888</v>
      </c>
      <c r="L150" s="143">
        <f>IF(t&lt;Tvie,1-EXP((T0-t)*PertePVj)+'2027'!Pspv,1-EXP((T0-t)*PertePVj)+Pspv)</f>
        <v>3.3167796849060127E-2</v>
      </c>
      <c r="M150" s="835"/>
      <c r="N150" s="835"/>
      <c r="O150" s="48">
        <f>IF(t&lt;Tnet,'2027'!Resal+('2027'!Salim-'2027'!Resal)*(1-EXP(('2027'!Tnet-t)/('2027'!Tau_j))),Resal+(Salim-Resal)*(1-EXP((Tnet-t)/(Tau_j))))*Salcycl</f>
        <v>9.3648185085757167E-3</v>
      </c>
      <c r="P150" s="165">
        <f>(INDEX(Models!$BJ150:$BT150,,T150)*(1-R150)+INDEX(Models!$BJ150:$BT150,,T150+1)*R150-ERP_i)*Q150*Ramure*Pc/MaxiM</f>
        <v>2.8777117940451163E-4</v>
      </c>
      <c r="Q150" s="301">
        <f t="shared" si="53"/>
        <v>0.5</v>
      </c>
      <c r="R150" s="173">
        <f t="shared" si="54"/>
        <v>0.12085422923574152</v>
      </c>
      <c r="S150" s="801">
        <f t="shared" si="55"/>
        <v>3</v>
      </c>
      <c r="T150" s="172">
        <f t="shared" si="56"/>
        <v>9</v>
      </c>
      <c r="U150" s="247">
        <f t="shared" si="57"/>
        <v>3.1208542292357415</v>
      </c>
      <c r="V150" s="378">
        <f t="shared" si="58"/>
        <v>237.12420675634797</v>
      </c>
      <c r="W150" s="397">
        <f t="shared" si="59"/>
        <v>208.91191243230995</v>
      </c>
      <c r="X150" s="153">
        <f t="shared" si="60"/>
        <v>46888</v>
      </c>
      <c r="Y150" s="380">
        <f t="shared" si="61"/>
        <v>200.5082412383961</v>
      </c>
      <c r="Z150" s="380">
        <f t="shared" si="62"/>
        <v>207.38680464400414</v>
      </c>
      <c r="AA150" s="381">
        <f t="shared" si="63"/>
        <v>218.12143681954686</v>
      </c>
      <c r="AB150" s="193">
        <f t="shared" si="64"/>
        <v>46888</v>
      </c>
      <c r="AC150" s="119">
        <f>IF(OR(t&lt;Tnet,NoTnet),'2027'!Resal_s+('2027'!Salim-'2027'!Resal_s)*(1-EXP(('2027'!Tnet_s-t)/'2027'!Tau_j)),Resal_s+(Salim-Resal_s)*(1-EXP((Tnet_s-t)/Tau_j)))*Salcycl</f>
        <v>4.9214017347701221E-2</v>
      </c>
      <c r="AD150" s="227">
        <f>(INDEX(Models!$BJ150:$BT150,,AH150)*(1-AF150)+INDEX(Models!$BJ150:$BT150,,AH150+1)*AF150-ERP_i)*AE150*Ramure*Pc/MaxiM</f>
        <v>2.8777117940451163E-4</v>
      </c>
      <c r="AE150" s="301">
        <f t="shared" si="65"/>
        <v>0.5</v>
      </c>
      <c r="AF150" s="173">
        <f t="shared" si="66"/>
        <v>0.12085422923574152</v>
      </c>
      <c r="AG150" s="801">
        <f t="shared" si="74"/>
        <v>3</v>
      </c>
      <c r="AH150" s="172">
        <f t="shared" si="67"/>
        <v>9</v>
      </c>
      <c r="AI150" s="221">
        <f t="shared" si="68"/>
        <v>3.1208542292357415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46889</v>
      </c>
      <c r="B151" s="406">
        <f>'2027'!Wh/'2027'!Env_an*'2028'!Env_an</f>
        <v>227.74574494392726</v>
      </c>
      <c r="C151" s="831"/>
      <c r="D151" s="388">
        <f t="shared" si="50"/>
        <v>235.56193297281624</v>
      </c>
      <c r="E151" s="380">
        <f t="shared" si="72"/>
        <v>237.80932671465223</v>
      </c>
      <c r="F151" s="380">
        <f t="shared" si="51"/>
        <v>237.87340073613123</v>
      </c>
      <c r="G151" s="110">
        <f t="shared" si="73"/>
        <v>0.95935478823351439</v>
      </c>
      <c r="H151" s="409" t="b">
        <f>Wh_hp&gt;='2027'!Maxi_hp</f>
        <v>0</v>
      </c>
      <c r="I151" s="385">
        <f>IF(H151,Wh_hp,'2027'!Maxi_hp)</f>
        <v>237.87720454038168</v>
      </c>
      <c r="J151" s="85">
        <f>IF(H151,An,'2027'!An_max)</f>
        <v>2022</v>
      </c>
      <c r="K151" s="193">
        <f t="shared" si="52"/>
        <v>46889</v>
      </c>
      <c r="L151" s="143">
        <f>IF(t&lt;Tvie,1-EXP((T0-t)*PertePVj)+'2027'!Pspv,1-EXP((T0-t)*PertePVj)+Pspv)</f>
        <v>3.3181031970012542E-2</v>
      </c>
      <c r="M151" s="835"/>
      <c r="N151" s="835"/>
      <c r="O151" s="48">
        <f>IF(t&lt;Tnet,'2027'!Resal+('2027'!Salim-'2027'!Resal)*(1-EXP(('2027'!Tnet-t)/('2027'!Tau_j))),Resal+(Salim-Resal)*(1-EXP((Tnet-t)/(Tau_j))))*Salcycl</f>
        <v>9.4504020211647142E-3</v>
      </c>
      <c r="P151" s="165">
        <f>(INDEX(Models!$BJ151:$BT151,,T151)*(1-R151)+INDEX(Models!$BJ151:$BT151,,T151+1)*R151-ERP_i)*Q151*Ramure*Pc/MaxiM</f>
        <v>2.8595947155801748E-4</v>
      </c>
      <c r="Q151" s="301">
        <f t="shared" si="53"/>
        <v>0.5</v>
      </c>
      <c r="R151" s="173">
        <f t="shared" si="54"/>
        <v>0.12488828759571513</v>
      </c>
      <c r="S151" s="801">
        <f t="shared" si="55"/>
        <v>3</v>
      </c>
      <c r="T151" s="172">
        <f t="shared" si="56"/>
        <v>9</v>
      </c>
      <c r="U151" s="247">
        <f t="shared" si="57"/>
        <v>3.1248882875957151</v>
      </c>
      <c r="V151" s="378">
        <f t="shared" si="58"/>
        <v>237.39076166932412</v>
      </c>
      <c r="W151" s="397">
        <f t="shared" si="59"/>
        <v>227.74574494392726</v>
      </c>
      <c r="X151" s="153">
        <f t="shared" si="60"/>
        <v>46889</v>
      </c>
      <c r="Y151" s="380">
        <f t="shared" si="61"/>
        <v>218.58751318088639</v>
      </c>
      <c r="Z151" s="380">
        <f t="shared" si="62"/>
        <v>226.08939254293421</v>
      </c>
      <c r="AA151" s="381">
        <f t="shared" si="63"/>
        <v>237.80932671465223</v>
      </c>
      <c r="AB151" s="193">
        <f t="shared" si="64"/>
        <v>46889</v>
      </c>
      <c r="AC151" s="119">
        <f>IF(OR(t&lt;Tnet,NoTnet),'2027'!Resal_s+('2027'!Salim-'2027'!Resal_s)*(1-EXP(('2027'!Tnet_s-t)/'2027'!Tau_j)),Resal_s+(Salim-Resal_s)*(1-EXP((Tnet_s-t)/Tau_j)))*Salcycl</f>
        <v>4.9282903802090154E-2</v>
      </c>
      <c r="AD151" s="227">
        <f>(INDEX(Models!$BJ151:$BT151,,AH151)*(1-AF151)+INDEX(Models!$BJ151:$BT151,,AH151+1)*AF151-ERP_i)*AE151*Ramure*Pc/MaxiM</f>
        <v>2.8595947155801748E-4</v>
      </c>
      <c r="AE151" s="301">
        <f t="shared" si="65"/>
        <v>0.5</v>
      </c>
      <c r="AF151" s="173">
        <f t="shared" si="66"/>
        <v>0.12488828759571513</v>
      </c>
      <c r="AG151" s="801">
        <f t="shared" si="74"/>
        <v>3</v>
      </c>
      <c r="AH151" s="172">
        <f t="shared" si="67"/>
        <v>9</v>
      </c>
      <c r="AI151" s="221">
        <f t="shared" si="68"/>
        <v>3.1248882875957151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46890</v>
      </c>
      <c r="B152" s="406">
        <f>'2027'!Wh/'2027'!Env_an*'2028'!Env_an</f>
        <v>218.73380942627725</v>
      </c>
      <c r="C152" s="831"/>
      <c r="D152" s="388">
        <f t="shared" si="50"/>
        <v>226.2438067336814</v>
      </c>
      <c r="E152" s="380">
        <f t="shared" si="72"/>
        <v>228.42205387271713</v>
      </c>
      <c r="F152" s="380">
        <f t="shared" si="51"/>
        <v>228.47961803731073</v>
      </c>
      <c r="G152" s="110">
        <f t="shared" si="73"/>
        <v>0.92039612887260547</v>
      </c>
      <c r="H152" s="409" t="b">
        <f>Wh_hp&gt;='2027'!Maxi_hp</f>
        <v>0</v>
      </c>
      <c r="I152" s="385">
        <f>IF(H152,Wh_hp,'2027'!Maxi_hp)</f>
        <v>228.48672372776667</v>
      </c>
      <c r="J152" s="85">
        <f>IF(H152,An,'2027'!An_max)</f>
        <v>2022</v>
      </c>
      <c r="K152" s="193">
        <f t="shared" si="52"/>
        <v>46890</v>
      </c>
      <c r="L152" s="143">
        <f>IF(t&lt;Tvie,1-EXP((T0-t)*PertePVj)+'2027'!Pspv,1-EXP((T0-t)*PertePVj)+Pspv)</f>
        <v>3.3194266909787218E-2</v>
      </c>
      <c r="M152" s="835"/>
      <c r="N152" s="835"/>
      <c r="O152" s="48">
        <f>IF(t&lt;Tnet,'2027'!Resal+('2027'!Salim-'2027'!Resal)*(1-EXP(('2027'!Tnet-t)/('2027'!Tau_j))),Resal+(Salim-Resal)*(1-EXP((Tnet-t)/(Tau_j))))*Salcycl</f>
        <v>9.5360631870051657E-3</v>
      </c>
      <c r="P152" s="165">
        <f>(INDEX(Models!$BJ152:$BT152,,T152)*(1-R152)+INDEX(Models!$BJ152:$BT152,,T152+1)*R152-ERP_i)*Q152*Ramure*Pc/MaxiM</f>
        <v>2.8425811892286923E-4</v>
      </c>
      <c r="Q152" s="301">
        <f t="shared" si="53"/>
        <v>0.5</v>
      </c>
      <c r="R152" s="173">
        <f t="shared" si="54"/>
        <v>0.12899876781967246</v>
      </c>
      <c r="S152" s="801">
        <f t="shared" si="55"/>
        <v>3</v>
      </c>
      <c r="T152" s="172">
        <f t="shared" si="56"/>
        <v>9</v>
      </c>
      <c r="U152" s="247">
        <f t="shared" si="57"/>
        <v>3.1289987678196725</v>
      </c>
      <c r="V152" s="378">
        <f t="shared" si="58"/>
        <v>237.64413243922846</v>
      </c>
      <c r="W152" s="397">
        <f t="shared" si="59"/>
        <v>218.73380942627725</v>
      </c>
      <c r="X152" s="153">
        <f t="shared" si="60"/>
        <v>46890</v>
      </c>
      <c r="Y152" s="380">
        <f t="shared" si="61"/>
        <v>209.94084667944782</v>
      </c>
      <c r="Z152" s="380">
        <f t="shared" si="62"/>
        <v>217.14894677797511</v>
      </c>
      <c r="AA152" s="381">
        <f t="shared" si="63"/>
        <v>228.42205387271713</v>
      </c>
      <c r="AB152" s="193">
        <f t="shared" si="64"/>
        <v>46890</v>
      </c>
      <c r="AC152" s="119">
        <f>IF(OR(t&lt;Tnet,NoTnet),'2027'!Resal_s+('2027'!Salim-'2027'!Resal_s)*(1-EXP(('2027'!Tnet_s-t)/'2027'!Tau_j)),Resal_s+(Salim-Resal_s)*(1-EXP((Tnet_s-t)/Tau_j)))*Salcycl</f>
        <v>4.9352095840201518E-2</v>
      </c>
      <c r="AD152" s="227">
        <f>(INDEX(Models!$BJ152:$BT152,,AH152)*(1-AF152)+INDEX(Models!$BJ152:$BT152,,AH152+1)*AF152-ERP_i)*AE152*Ramure*Pc/MaxiM</f>
        <v>2.8425811892286923E-4</v>
      </c>
      <c r="AE152" s="301">
        <f t="shared" si="65"/>
        <v>0.5</v>
      </c>
      <c r="AF152" s="173">
        <f t="shared" si="66"/>
        <v>0.12899876781967246</v>
      </c>
      <c r="AG152" s="801">
        <f t="shared" si="74"/>
        <v>3</v>
      </c>
      <c r="AH152" s="172">
        <f t="shared" si="67"/>
        <v>9</v>
      </c>
      <c r="AI152" s="221">
        <f t="shared" si="68"/>
        <v>3.1289987678196725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46891</v>
      </c>
      <c r="B153" s="406">
        <f>'2027'!Wh/'2027'!Env_an*'2028'!Env_an</f>
        <v>223.27802352164329</v>
      </c>
      <c r="C153" s="831"/>
      <c r="D153" s="388">
        <f t="shared" si="50"/>
        <v>230.94720315574702</v>
      </c>
      <c r="E153" s="380">
        <f t="shared" si="72"/>
        <v>233.19091872964455</v>
      </c>
      <c r="F153" s="380">
        <f t="shared" si="51"/>
        <v>233.25106760570188</v>
      </c>
      <c r="G153" s="110">
        <f t="shared" si="73"/>
        <v>0.93857380294821535</v>
      </c>
      <c r="H153" s="409" t="b">
        <f>Wh_hp&gt;='2027'!Maxi_hp</f>
        <v>0</v>
      </c>
      <c r="I153" s="385">
        <f>IF(H153,Wh_hp,'2027'!Maxi_hp)</f>
        <v>233.25662834485334</v>
      </c>
      <c r="J153" s="85">
        <f>IF(H153,An,'2027'!An_max)</f>
        <v>2022</v>
      </c>
      <c r="K153" s="193">
        <f t="shared" si="52"/>
        <v>46891</v>
      </c>
      <c r="L153" s="143">
        <f>IF(t&lt;Tvie,1-EXP((T0-t)*PertePVj)+'2027'!Pspv,1-EXP((T0-t)*PertePVj)+Pspv)</f>
        <v>3.3207501668386818E-2</v>
      </c>
      <c r="M153" s="835"/>
      <c r="N153" s="835"/>
      <c r="O153" s="48">
        <f>IF(t&lt;Tnet,'2027'!Resal+('2027'!Salim-'2027'!Resal)*(1-EXP(('2027'!Tnet-t)/('2027'!Tau_j))),Resal+(Salim-Resal)*(1-EXP((Tnet-t)/(Tau_j))))*Salcycl</f>
        <v>9.6217965353052274E-3</v>
      </c>
      <c r="P153" s="165">
        <f>(INDEX(Models!$BJ153:$BT153,,T153)*(1-R153)+INDEX(Models!$BJ153:$BT153,,T153+1)*R153-ERP_i)*Q153*Ramure*Pc/MaxiM</f>
        <v>2.8266692006647087E-4</v>
      </c>
      <c r="Q153" s="301">
        <f t="shared" si="53"/>
        <v>0.5</v>
      </c>
      <c r="R153" s="173">
        <f t="shared" si="54"/>
        <v>0.13318429358696893</v>
      </c>
      <c r="S153" s="801">
        <f t="shared" si="55"/>
        <v>3</v>
      </c>
      <c r="T153" s="172">
        <f t="shared" si="56"/>
        <v>9</v>
      </c>
      <c r="U153" s="247">
        <f t="shared" si="57"/>
        <v>3.1331842935869689</v>
      </c>
      <c r="V153" s="378">
        <f t="shared" si="58"/>
        <v>237.88484740375642</v>
      </c>
      <c r="W153" s="397">
        <f t="shared" si="59"/>
        <v>223.27802352164329</v>
      </c>
      <c r="X153" s="153">
        <f t="shared" si="60"/>
        <v>46891</v>
      </c>
      <c r="Y153" s="380">
        <f t="shared" si="61"/>
        <v>214.30527727019819</v>
      </c>
      <c r="Z153" s="380">
        <f t="shared" si="62"/>
        <v>221.66625996790754</v>
      </c>
      <c r="AA153" s="381">
        <f t="shared" si="63"/>
        <v>233.19091872964455</v>
      </c>
      <c r="AB153" s="193">
        <f t="shared" si="64"/>
        <v>46891</v>
      </c>
      <c r="AC153" s="119">
        <f>IF(OR(t&lt;Tnet,NoTnet),'2027'!Resal_s+('2027'!Salim-'2027'!Resal_s)*(1-EXP(('2027'!Tnet_s-t)/'2027'!Tau_j)),Resal_s+(Salim-Resal_s)*(1-EXP((Tnet_s-t)/Tau_j)))*Salcycl</f>
        <v>4.9421559057788278E-2</v>
      </c>
      <c r="AD153" s="227">
        <f>(INDEX(Models!$BJ153:$BT153,,AH153)*(1-AF153)+INDEX(Models!$BJ153:$BT153,,AH153+1)*AF153-ERP_i)*AE153*Ramure*Pc/MaxiM</f>
        <v>2.8266692006647087E-4</v>
      </c>
      <c r="AE153" s="301">
        <f t="shared" si="65"/>
        <v>0.5</v>
      </c>
      <c r="AF153" s="173">
        <f t="shared" si="66"/>
        <v>0.13318429358696893</v>
      </c>
      <c r="AG153" s="801">
        <f t="shared" si="74"/>
        <v>3</v>
      </c>
      <c r="AH153" s="172">
        <f t="shared" si="67"/>
        <v>9</v>
      </c>
      <c r="AI153" s="221">
        <f t="shared" si="68"/>
        <v>3.1331842935869689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46892</v>
      </c>
      <c r="B154" s="406">
        <f>'2027'!Wh/'2027'!Env_an*'2028'!Env_an</f>
        <v>200.26234493045843</v>
      </c>
      <c r="C154" s="831"/>
      <c r="D154" s="388">
        <f t="shared" si="50"/>
        <v>207.14381497261527</v>
      </c>
      <c r="E154" s="380">
        <f t="shared" si="72"/>
        <v>209.17439552394384</v>
      </c>
      <c r="F154" s="380">
        <f t="shared" si="51"/>
        <v>209.21986561106559</v>
      </c>
      <c r="G154" s="110">
        <f t="shared" si="73"/>
        <v>0.84098385595984326</v>
      </c>
      <c r="H154" s="409" t="b">
        <f>Wh_hp&gt;='2027'!Maxi_hp</f>
        <v>0</v>
      </c>
      <c r="I154" s="385">
        <f>IF(H154,Wh_hp,'2027'!Maxi_hp)</f>
        <v>209.23269880862148</v>
      </c>
      <c r="J154" s="85">
        <f>IF(H154,An,'2027'!An_max)</f>
        <v>2022</v>
      </c>
      <c r="K154" s="193">
        <f t="shared" si="52"/>
        <v>46892</v>
      </c>
      <c r="L154" s="143">
        <f>IF(t&lt;Tvie,1-EXP((T0-t)*PertePVj)+'2027'!Pspv,1-EXP((T0-t)*PertePVj)+Pspv)</f>
        <v>3.3220736245813565E-2</v>
      </c>
      <c r="M154" s="835"/>
      <c r="N154" s="835"/>
      <c r="O154" s="48">
        <f>IF(t&lt;Tnet,'2027'!Resal+('2027'!Salim-'2027'!Resal)*(1-EXP(('2027'!Tnet-t)/('2027'!Tau_j))),Resal+(Salim-Resal)*(1-EXP((Tnet-t)/(Tau_j))))*Salcycl</f>
        <v>9.7075961244795072E-3</v>
      </c>
      <c r="P154" s="165">
        <f>(INDEX(Models!$BJ154:$BT154,,T154)*(1-R154)+INDEX(Models!$BJ154:$BT154,,T154+1)*R154-ERP_i)*Q154*Ramure*Pc/MaxiM</f>
        <v>2.8118586323371903E-4</v>
      </c>
      <c r="Q154" s="301">
        <f t="shared" si="53"/>
        <v>0.5</v>
      </c>
      <c r="R154" s="173">
        <f t="shared" si="54"/>
        <v>0.13744330889462963</v>
      </c>
      <c r="S154" s="801">
        <f t="shared" si="55"/>
        <v>3</v>
      </c>
      <c r="T154" s="172">
        <f t="shared" si="56"/>
        <v>9</v>
      </c>
      <c r="U154" s="247">
        <f t="shared" si="57"/>
        <v>3.1374433088946296</v>
      </c>
      <c r="V154" s="378">
        <f t="shared" si="58"/>
        <v>238.11343478964119</v>
      </c>
      <c r="W154" s="397">
        <f t="shared" si="59"/>
        <v>200.26234493045843</v>
      </c>
      <c r="X154" s="153">
        <f t="shared" si="60"/>
        <v>46892</v>
      </c>
      <c r="Y154" s="380">
        <f t="shared" si="61"/>
        <v>192.21707534434299</v>
      </c>
      <c r="Z154" s="380">
        <f t="shared" si="62"/>
        <v>198.82209160954466</v>
      </c>
      <c r="AA154" s="381">
        <f t="shared" si="63"/>
        <v>209.17439552394384</v>
      </c>
      <c r="AB154" s="193">
        <f t="shared" si="64"/>
        <v>46892</v>
      </c>
      <c r="AC154" s="119">
        <f>IF(OR(t&lt;Tnet,NoTnet),'2027'!Resal_s+('2027'!Salim-'2027'!Resal_s)*(1-EXP(('2027'!Tnet_s-t)/'2027'!Tau_j)),Resal_s+(Salim-Resal_s)*(1-EXP((Tnet_s-t)/Tau_j)))*Salcycl</f>
        <v>4.9491257706128569E-2</v>
      </c>
      <c r="AD154" s="227">
        <f>(INDEX(Models!$BJ154:$BT154,,AH154)*(1-AF154)+INDEX(Models!$BJ154:$BT154,,AH154+1)*AF154-ERP_i)*AE154*Ramure*Pc/MaxiM</f>
        <v>2.8118586323371903E-4</v>
      </c>
      <c r="AE154" s="301">
        <f t="shared" si="65"/>
        <v>0.5</v>
      </c>
      <c r="AF154" s="173">
        <f t="shared" si="66"/>
        <v>0.13744330889462963</v>
      </c>
      <c r="AG154" s="801">
        <f t="shared" si="74"/>
        <v>3</v>
      </c>
      <c r="AH154" s="172">
        <f t="shared" si="67"/>
        <v>9</v>
      </c>
      <c r="AI154" s="221">
        <f t="shared" si="68"/>
        <v>3.1374433088946296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46893</v>
      </c>
      <c r="B155" s="406">
        <f>'2027'!Wh/'2027'!Env_an*'2028'!Env_an</f>
        <v>207.49407560335652</v>
      </c>
      <c r="C155" s="831"/>
      <c r="D155" s="388">
        <f t="shared" si="50"/>
        <v>214.62698243665233</v>
      </c>
      <c r="E155" s="380">
        <f t="shared" si="72"/>
        <v>216.74971109771656</v>
      </c>
      <c r="F155" s="380">
        <f t="shared" si="51"/>
        <v>216.79916197901198</v>
      </c>
      <c r="G155" s="110">
        <f t="shared" si="73"/>
        <v>0.87057010708619598</v>
      </c>
      <c r="H155" s="409" t="b">
        <f>Wh_hp&gt;='2027'!Maxi_hp</f>
        <v>0</v>
      </c>
      <c r="I155" s="385">
        <f>IF(H155,Wh_hp,'2027'!Maxi_hp)</f>
        <v>216.80992389695143</v>
      </c>
      <c r="J155" s="85">
        <f>IF(H155,An,'2027'!An_max)</f>
        <v>2022</v>
      </c>
      <c r="K155" s="193">
        <f t="shared" si="52"/>
        <v>46893</v>
      </c>
      <c r="L155" s="143">
        <f>IF(t&lt;Tvie,1-EXP((T0-t)*PertePVj)+'2027'!Pspv,1-EXP((T0-t)*PertePVj)+Pspv)</f>
        <v>3.3233970642070121E-2</v>
      </c>
      <c r="M155" s="835"/>
      <c r="N155" s="835"/>
      <c r="O155" s="48">
        <f>IF(t&lt;Tnet,'2027'!Resal+('2027'!Salim-'2027'!Resal)*(1-EXP(('2027'!Tnet-t)/('2027'!Tau_j))),Resal+(Salim-Resal)*(1-EXP((Tnet-t)/(Tau_j))))*Salcycl</f>
        <v>9.7934555497849827E-3</v>
      </c>
      <c r="P155" s="165">
        <f>(INDEX(Models!$BJ155:$BT155,,T155)*(1-R155)+INDEX(Models!$BJ155:$BT155,,T155+1)*R155-ERP_i)*Q155*Ramure*Pc/MaxiM</f>
        <v>2.7981512253181997E-4</v>
      </c>
      <c r="Q155" s="301">
        <f t="shared" si="53"/>
        <v>0.5</v>
      </c>
      <c r="R155" s="173">
        <f t="shared" si="54"/>
        <v>0.14177407641557238</v>
      </c>
      <c r="S155" s="801">
        <f t="shared" si="55"/>
        <v>3</v>
      </c>
      <c r="T155" s="172">
        <f t="shared" si="56"/>
        <v>9</v>
      </c>
      <c r="U155" s="247">
        <f t="shared" si="57"/>
        <v>3.1417740764155724</v>
      </c>
      <c r="V155" s="378">
        <f t="shared" si="58"/>
        <v>238.33042269689054</v>
      </c>
      <c r="W155" s="397">
        <f t="shared" si="59"/>
        <v>207.49407560335652</v>
      </c>
      <c r="X155" s="153">
        <f t="shared" si="60"/>
        <v>46893</v>
      </c>
      <c r="Y155" s="380">
        <f t="shared" si="61"/>
        <v>199.1609030591417</v>
      </c>
      <c r="Z155" s="380">
        <f t="shared" si="62"/>
        <v>206.00734511887313</v>
      </c>
      <c r="AA155" s="381">
        <f t="shared" si="63"/>
        <v>216.74971109771656</v>
      </c>
      <c r="AB155" s="193">
        <f t="shared" si="64"/>
        <v>46893</v>
      </c>
      <c r="AC155" s="119">
        <f>IF(OR(t&lt;Tnet,NoTnet),'2027'!Resal_s+('2027'!Salim-'2027'!Resal_s)*(1-EXP(('2027'!Tnet_s-t)/'2027'!Tau_j)),Resal_s+(Salim-Resal_s)*(1-EXP((Tnet_s-t)/Tau_j)))*Salcycl</f>
        <v>4.9561154773583478E-2</v>
      </c>
      <c r="AD155" s="227">
        <f>(INDEX(Models!$BJ155:$BT155,,AH155)*(1-AF155)+INDEX(Models!$BJ155:$BT155,,AH155+1)*AF155-ERP_i)*AE155*Ramure*Pc/MaxiM</f>
        <v>2.7981512253181997E-4</v>
      </c>
      <c r="AE155" s="301">
        <f t="shared" si="65"/>
        <v>0.5</v>
      </c>
      <c r="AF155" s="173">
        <f t="shared" si="66"/>
        <v>0.14177407641557238</v>
      </c>
      <c r="AG155" s="801">
        <f t="shared" si="74"/>
        <v>3</v>
      </c>
      <c r="AH155" s="172">
        <f t="shared" si="67"/>
        <v>9</v>
      </c>
      <c r="AI155" s="221">
        <f t="shared" si="68"/>
        <v>3.1417740764155724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46894</v>
      </c>
      <c r="B156" s="406">
        <f>'2027'!Wh/'2027'!Env_an*'2028'!Env_an</f>
        <v>154.52435379015532</v>
      </c>
      <c r="C156" s="831"/>
      <c r="D156" s="388">
        <f t="shared" si="50"/>
        <v>159.83853842111085</v>
      </c>
      <c r="E156" s="380">
        <f t="shared" si="72"/>
        <v>161.43339836353701</v>
      </c>
      <c r="F156" s="380">
        <f t="shared" si="51"/>
        <v>161.45575344186889</v>
      </c>
      <c r="G156" s="110">
        <f t="shared" si="73"/>
        <v>0.64771138515682447</v>
      </c>
      <c r="H156" s="409" t="b">
        <f>Wh_hp&gt;='2027'!Maxi_hp</f>
        <v>0</v>
      </c>
      <c r="I156" s="385">
        <f>IF(H156,Wh_hp,'2027'!Maxi_hp)</f>
        <v>161.47746440788973</v>
      </c>
      <c r="J156" s="85">
        <f>IF(H156,An,'2027'!An_max)</f>
        <v>2022</v>
      </c>
      <c r="K156" s="193">
        <f t="shared" si="52"/>
        <v>46894</v>
      </c>
      <c r="L156" s="143">
        <f>IF(t&lt;Tvie,1-EXP((T0-t)*PertePVj)+'2027'!Pspv,1-EXP((T0-t)*PertePVj)+Pspv)</f>
        <v>3.324720485715893E-2</v>
      </c>
      <c r="M156" s="835"/>
      <c r="N156" s="835"/>
      <c r="O156" s="48">
        <f>IF(t&lt;Tnet,'2027'!Resal+('2027'!Salim-'2027'!Resal)*(1-EXP(('2027'!Tnet-t)/('2027'!Tau_j))),Resal+(Salim-Resal)*(1-EXP((Tnet-t)/(Tau_j))))*Salcycl</f>
        <v>9.8793679535547595E-3</v>
      </c>
      <c r="P156" s="165">
        <f>(INDEX(Models!$BJ156:$BT156,,T156)*(1-R156)+INDEX(Models!$BJ156:$BT156,,T156+1)*R156-ERP_i)*Q156*Ramure*Pc/MaxiM</f>
        <v>2.7866880391690498E-4</v>
      </c>
      <c r="Q156" s="301">
        <f t="shared" si="53"/>
        <v>0.5</v>
      </c>
      <c r="R156" s="173">
        <f t="shared" si="54"/>
        <v>0.14617467666112782</v>
      </c>
      <c r="S156" s="801">
        <f t="shared" si="55"/>
        <v>3</v>
      </c>
      <c r="T156" s="172">
        <f t="shared" si="56"/>
        <v>9</v>
      </c>
      <c r="U156" s="247">
        <f t="shared" si="57"/>
        <v>3.1461746766611278</v>
      </c>
      <c r="V156" s="378">
        <f t="shared" si="58"/>
        <v>238.53631196563461</v>
      </c>
      <c r="W156" s="397">
        <f t="shared" si="59"/>
        <v>154.52435379015532</v>
      </c>
      <c r="X156" s="153">
        <f t="shared" si="60"/>
        <v>46894</v>
      </c>
      <c r="Y156" s="380">
        <f t="shared" si="61"/>
        <v>148.32043496832472</v>
      </c>
      <c r="Z156" s="380">
        <f t="shared" si="62"/>
        <v>153.42126313315688</v>
      </c>
      <c r="AA156" s="381">
        <f t="shared" si="63"/>
        <v>161.43339836353701</v>
      </c>
      <c r="AB156" s="193">
        <f t="shared" si="64"/>
        <v>46894</v>
      </c>
      <c r="AC156" s="119">
        <f>IF(OR(t&lt;Tnet,NoTnet),'2027'!Resal_s+('2027'!Salim-'2027'!Resal_s)*(1-EXP(('2027'!Tnet_s-t)/'2027'!Tau_j)),Resal_s+(Salim-Resal_s)*(1-EXP((Tnet_s-t)/Tau_j)))*Salcycl</f>
        <v>4.9631212076309938E-2</v>
      </c>
      <c r="AD156" s="227">
        <f>(INDEX(Models!$BJ156:$BT156,,AH156)*(1-AF156)+INDEX(Models!$BJ156:$BT156,,AH156+1)*AF156-ERP_i)*AE156*Ramure*Pc/MaxiM</f>
        <v>2.7866880391690498E-4</v>
      </c>
      <c r="AE156" s="301">
        <f t="shared" si="65"/>
        <v>0.5</v>
      </c>
      <c r="AF156" s="173">
        <f t="shared" si="66"/>
        <v>0.14617467666112782</v>
      </c>
      <c r="AG156" s="801">
        <f t="shared" si="74"/>
        <v>3</v>
      </c>
      <c r="AH156" s="172">
        <f t="shared" si="67"/>
        <v>9</v>
      </c>
      <c r="AI156" s="221">
        <f t="shared" si="68"/>
        <v>3.1461746766611278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46895</v>
      </c>
      <c r="B157" s="406">
        <f>'2027'!Wh/'2027'!Env_an*'2028'!Env_an</f>
        <v>73.046096036936106</v>
      </c>
      <c r="C157" s="831"/>
      <c r="D157" s="388">
        <f t="shared" si="50"/>
        <v>75.559229161106373</v>
      </c>
      <c r="E157" s="380">
        <f t="shared" si="72"/>
        <v>76.319780658522873</v>
      </c>
      <c r="F157" s="380">
        <f t="shared" si="51"/>
        <v>76.319961742286409</v>
      </c>
      <c r="G157" s="110">
        <f t="shared" si="73"/>
        <v>0.30589151853445512</v>
      </c>
      <c r="H157" s="409" t="b">
        <f>Wh_hp&gt;='2027'!Maxi_hp</f>
        <v>0</v>
      </c>
      <c r="I157" s="385">
        <f>IF(H157,Wh_hp,'2027'!Maxi_hp)</f>
        <v>76.340118544005392</v>
      </c>
      <c r="J157" s="85">
        <f>IF(H157,An,'2027'!An_max)</f>
        <v>2022</v>
      </c>
      <c r="K157" s="193">
        <f t="shared" si="52"/>
        <v>46895</v>
      </c>
      <c r="L157" s="143">
        <f>IF(t&lt;Tvie,1-EXP((T0-t)*PertePVj)+'2027'!Pspv,1-EXP((T0-t)*PertePVj)+Pspv)</f>
        <v>3.3260438891082433E-2</v>
      </c>
      <c r="M157" s="835"/>
      <c r="N157" s="835"/>
      <c r="O157" s="48">
        <f>IF(t&lt;Tnet,'2027'!Resal+('2027'!Salim-'2027'!Resal)*(1-EXP(('2027'!Tnet-t)/('2027'!Tau_j))),Resal+(Salim-Resal)*(1-EXP((Tnet-t)/(Tau_j))))*Salcycl</f>
        <v>9.9653260380743389E-3</v>
      </c>
      <c r="P157" s="165">
        <f>(INDEX(Models!$BJ157:$BT157,,T157)*(1-R157)+INDEX(Models!$BJ157:$BT157,,T157+1)*R157-ERP_i)*Q157*Ramure*Pc/MaxiM</f>
        <v>2.7793350612741646E-4</v>
      </c>
      <c r="Q157" s="301">
        <f t="shared" si="53"/>
        <v>0.5</v>
      </c>
      <c r="R157" s="173">
        <f t="shared" si="54"/>
        <v>0.1506430079929002</v>
      </c>
      <c r="S157" s="801">
        <f t="shared" si="55"/>
        <v>3</v>
      </c>
      <c r="T157" s="172">
        <f t="shared" si="56"/>
        <v>9</v>
      </c>
      <c r="U157" s="247">
        <f t="shared" si="57"/>
        <v>3.1506430079929002</v>
      </c>
      <c r="V157" s="378">
        <f t="shared" si="58"/>
        <v>238.73158594706004</v>
      </c>
      <c r="W157" s="397">
        <f t="shared" si="59"/>
        <v>73.046096036936106</v>
      </c>
      <c r="X157" s="153">
        <f t="shared" si="60"/>
        <v>46895</v>
      </c>
      <c r="Y157" s="380">
        <f t="shared" si="61"/>
        <v>70.114315517752843</v>
      </c>
      <c r="Z157" s="380">
        <f t="shared" si="62"/>
        <v>72.526581447982579</v>
      </c>
      <c r="AA157" s="381">
        <f t="shared" si="63"/>
        <v>76.319780658522873</v>
      </c>
      <c r="AB157" s="193">
        <f t="shared" si="64"/>
        <v>46895</v>
      </c>
      <c r="AC157" s="119">
        <f>IF(OR(t&lt;Tnet,NoTnet),'2027'!Resal_s+('2027'!Salim-'2027'!Resal_s)*(1-EXP(('2027'!Tnet_s-t)/'2027'!Tau_j)),Resal_s+(Salim-Resal_s)*(1-EXP((Tnet_s-t)/Tau_j)))*Salcycl</f>
        <v>4.9701390357922828E-2</v>
      </c>
      <c r="AD157" s="227">
        <f>(INDEX(Models!$BJ157:$BT157,,AH157)*(1-AF157)+INDEX(Models!$BJ157:$BT157,,AH157+1)*AF157-ERP_i)*AE157*Ramure*Pc/MaxiM</f>
        <v>2.7793350612741646E-4</v>
      </c>
      <c r="AE157" s="301">
        <f t="shared" si="65"/>
        <v>0.5</v>
      </c>
      <c r="AF157" s="173">
        <f t="shared" si="66"/>
        <v>0.1506430079929002</v>
      </c>
      <c r="AG157" s="801">
        <f t="shared" si="74"/>
        <v>3</v>
      </c>
      <c r="AH157" s="172">
        <f t="shared" si="67"/>
        <v>9</v>
      </c>
      <c r="AI157" s="221">
        <f t="shared" si="68"/>
        <v>3.1506430079929002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46896</v>
      </c>
      <c r="B158" s="406">
        <f>'2027'!Wh/'2027'!Env_an*'2028'!Env_an</f>
        <v>68.220414238981093</v>
      </c>
      <c r="C158" s="831"/>
      <c r="D158" s="388">
        <f t="shared" si="50"/>
        <v>70.568486980808672</v>
      </c>
      <c r="E158" s="380">
        <f t="shared" si="72"/>
        <v>71.284995429421315</v>
      </c>
      <c r="F158" s="380">
        <f t="shared" si="51"/>
        <v>71.284995429421315</v>
      </c>
      <c r="G158" s="110">
        <f t="shared" si="73"/>
        <v>0.28546122963446552</v>
      </c>
      <c r="H158" s="409" t="b">
        <f>Wh_hp&gt;='2027'!Maxi_hp</f>
        <v>0</v>
      </c>
      <c r="I158" s="385">
        <f>IF(H158,Wh_hp,'2027'!Maxi_hp)</f>
        <v>71.303952619231396</v>
      </c>
      <c r="J158" s="85">
        <f>IF(H158,An,'2027'!An_max)</f>
        <v>2022</v>
      </c>
      <c r="K158" s="193">
        <f t="shared" si="52"/>
        <v>46896</v>
      </c>
      <c r="L158" s="143">
        <f>IF(t&lt;Tvie,1-EXP((T0-t)*PertePVj)+'2027'!Pspv,1-EXP((T0-t)*PertePVj)+Pspv)</f>
        <v>3.3273672743843075E-2</v>
      </c>
      <c r="M158" s="835"/>
      <c r="N158" s="835"/>
      <c r="O158" s="48">
        <f>IF(t&lt;Tnet,'2027'!Resal+('2027'!Salim-'2027'!Resal)*(1-EXP(('2027'!Tnet-t)/('2027'!Tau_j))),Resal+(Salim-Resal)*(1-EXP((Tnet-t)/(Tau_j))))*Salcycl</f>
        <v>1.0051322081125084E-2</v>
      </c>
      <c r="P158" s="165">
        <f>(INDEX(Models!$BJ158:$BT158,,T158)*(1-R158)+INDEX(Models!$BJ158:$BT158,,T158+1)*R158-ERP_i)*Q158*Ramure*Pc/MaxiM</f>
        <v>2.7761385959982081E-4</v>
      </c>
      <c r="Q158" s="301">
        <f t="shared" si="53"/>
        <v>0.5</v>
      </c>
      <c r="R158" s="173">
        <f t="shared" si="54"/>
        <v>0.15517678752372976</v>
      </c>
      <c r="S158" s="801">
        <f t="shared" si="55"/>
        <v>3</v>
      </c>
      <c r="T158" s="172">
        <f t="shared" si="56"/>
        <v>9</v>
      </c>
      <c r="U158" s="247">
        <f t="shared" si="57"/>
        <v>3.1551767875237298</v>
      </c>
      <c r="V158" s="378">
        <f t="shared" si="58"/>
        <v>238.91677126807389</v>
      </c>
      <c r="W158" s="397">
        <f t="shared" si="59"/>
        <v>68.220414238981093</v>
      </c>
      <c r="X158" s="153">
        <f t="shared" si="60"/>
        <v>46896</v>
      </c>
      <c r="Y158" s="380">
        <f t="shared" si="61"/>
        <v>65.483164072690442</v>
      </c>
      <c r="Z158" s="380">
        <f t="shared" si="62"/>
        <v>67.737023629583163</v>
      </c>
      <c r="AA158" s="381">
        <f t="shared" si="63"/>
        <v>71.284995429421315</v>
      </c>
      <c r="AB158" s="193">
        <f t="shared" si="64"/>
        <v>46896</v>
      </c>
      <c r="AC158" s="119">
        <f>IF(OR(t&lt;Tnet,NoTnet),'2027'!Resal_s+('2027'!Salim-'2027'!Resal_s)*(1-EXP(('2027'!Tnet_s-t)/'2027'!Tau_j)),Resal_s+(Salim-Resal_s)*(1-EXP((Tnet_s-t)/Tau_j)))*Salcycl</f>
        <v>4.97716493978171E-2</v>
      </c>
      <c r="AD158" s="227">
        <f>(INDEX(Models!$BJ158:$BT158,,AH158)*(1-AF158)+INDEX(Models!$BJ158:$BT158,,AH158+1)*AF158-ERP_i)*AE158*Ramure*Pc/MaxiM</f>
        <v>2.7761385959982081E-4</v>
      </c>
      <c r="AE158" s="301">
        <f t="shared" si="65"/>
        <v>0.5</v>
      </c>
      <c r="AF158" s="173">
        <f t="shared" si="66"/>
        <v>0.15517678752372976</v>
      </c>
      <c r="AG158" s="801">
        <f t="shared" si="74"/>
        <v>3</v>
      </c>
      <c r="AH158" s="172">
        <f t="shared" si="67"/>
        <v>9</v>
      </c>
      <c r="AI158" s="221">
        <f t="shared" si="68"/>
        <v>3.1551767875237298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46897</v>
      </c>
      <c r="B159" s="406">
        <f>'2027'!Wh/'2027'!Env_an*'2028'!Env_an</f>
        <v>169.28027480967805</v>
      </c>
      <c r="C159" s="831"/>
      <c r="D159" s="388">
        <f t="shared" si="50"/>
        <v>175.10911555153299</v>
      </c>
      <c r="E159" s="380">
        <f t="shared" si="72"/>
        <v>176.90243711046747</v>
      </c>
      <c r="F159" s="380">
        <f t="shared" si="51"/>
        <v>176.93107756976289</v>
      </c>
      <c r="G159" s="110">
        <f t="shared" si="73"/>
        <v>0.70792992987618497</v>
      </c>
      <c r="H159" s="409" t="b">
        <f>Wh_hp&gt;='2027'!Maxi_hp</f>
        <v>0</v>
      </c>
      <c r="I159" s="385">
        <f>IF(H159,Wh_hp,'2027'!Maxi_hp)</f>
        <v>176.95070353905541</v>
      </c>
      <c r="J159" s="85">
        <f>IF(H159,An,'2027'!An_max)</f>
        <v>2022</v>
      </c>
      <c r="K159" s="193">
        <f t="shared" si="52"/>
        <v>46897</v>
      </c>
      <c r="L159" s="143">
        <f>IF(t&lt;Tvie,1-EXP((T0-t)*PertePVj)+'2027'!Pspv,1-EXP((T0-t)*PertePVj)+Pspv)</f>
        <v>3.3286906415443407E-2</v>
      </c>
      <c r="M159" s="835"/>
      <c r="N159" s="835"/>
      <c r="O159" s="48">
        <f>IF(t&lt;Tnet,'2027'!Resal+('2027'!Salim-'2027'!Resal)*(1-EXP(('2027'!Tnet-t)/('2027'!Tau_j))),Resal+(Salim-Resal)*(1-EXP((Tnet-t)/(Tau_j))))*Salcycl</f>
        <v>1.0137347954198185E-2</v>
      </c>
      <c r="P159" s="165">
        <f>(INDEX(Models!$BJ159:$BT159,,T159)*(1-R159)+INDEX(Models!$BJ159:$BT159,,T159+1)*R159-ERP_i)*Q159*Ramure*Pc/MaxiM</f>
        <v>2.7771606368115416E-4</v>
      </c>
      <c r="Q159" s="301">
        <f t="shared" si="53"/>
        <v>0.5</v>
      </c>
      <c r="R159" s="173">
        <f t="shared" si="54"/>
        <v>0.15977355294144679</v>
      </c>
      <c r="S159" s="801">
        <f t="shared" si="55"/>
        <v>3</v>
      </c>
      <c r="T159" s="172">
        <f t="shared" si="56"/>
        <v>9</v>
      </c>
      <c r="U159" s="247">
        <f t="shared" si="57"/>
        <v>3.1597735529414468</v>
      </c>
      <c r="V159" s="378">
        <f t="shared" si="58"/>
        <v>239.09239408717349</v>
      </c>
      <c r="W159" s="397">
        <f t="shared" si="59"/>
        <v>169.28027480967805</v>
      </c>
      <c r="X159" s="153">
        <f t="shared" si="60"/>
        <v>46897</v>
      </c>
      <c r="Y159" s="380">
        <f t="shared" si="61"/>
        <v>162.49023619704769</v>
      </c>
      <c r="Z159" s="380">
        <f t="shared" si="62"/>
        <v>168.08527501633034</v>
      </c>
      <c r="AA159" s="381">
        <f t="shared" si="63"/>
        <v>176.90243711046747</v>
      </c>
      <c r="AB159" s="193">
        <f t="shared" si="64"/>
        <v>46897</v>
      </c>
      <c r="AC159" s="119">
        <f>IF(OR(t&lt;Tnet,NoTnet),'2027'!Resal_s+('2027'!Salim-'2027'!Resal_s)*(1-EXP(('2027'!Tnet_s-t)/'2027'!Tau_j)),Resal_s+(Salim-Resal_s)*(1-EXP((Tnet_s-t)/Tau_j)))*Salcycl</f>
        <v>4.9841948127776328E-2</v>
      </c>
      <c r="AD159" s="227">
        <f>(INDEX(Models!$BJ159:$BT159,,AH159)*(1-AF159)+INDEX(Models!$BJ159:$BT159,,AH159+1)*AF159-ERP_i)*AE159*Ramure*Pc/MaxiM</f>
        <v>2.7771606368115416E-4</v>
      </c>
      <c r="AE159" s="301">
        <f t="shared" si="65"/>
        <v>0.5</v>
      </c>
      <c r="AF159" s="173">
        <f t="shared" si="66"/>
        <v>0.15977355294144679</v>
      </c>
      <c r="AG159" s="801">
        <f t="shared" si="74"/>
        <v>3</v>
      </c>
      <c r="AH159" s="172">
        <f t="shared" si="67"/>
        <v>9</v>
      </c>
      <c r="AI159" s="221">
        <f t="shared" si="68"/>
        <v>3.1597735529414468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46898</v>
      </c>
      <c r="B160" s="406">
        <f>'2027'!Wh/'2027'!Env_an*'2028'!Env_an</f>
        <v>108.86174028423973</v>
      </c>
      <c r="C160" s="831"/>
      <c r="D160" s="388">
        <f t="shared" si="50"/>
        <v>112.61172653282621</v>
      </c>
      <c r="E160" s="380">
        <f t="shared" si="72"/>
        <v>113.77489221331621</v>
      </c>
      <c r="F160" s="380">
        <f t="shared" si="51"/>
        <v>113.78190230392153</v>
      </c>
      <c r="G160" s="110">
        <f t="shared" si="73"/>
        <v>0.45489684522153212</v>
      </c>
      <c r="H160" s="409" t="b">
        <f>Wh_hp&gt;='2027'!Maxi_hp</f>
        <v>0</v>
      </c>
      <c r="I160" s="385">
        <f>IF(H160,Wh_hp,'2027'!Maxi_hp)</f>
        <v>113.80549834136734</v>
      </c>
      <c r="J160" s="85">
        <f>IF(H160,An,'2027'!An_max)</f>
        <v>2022</v>
      </c>
      <c r="K160" s="193">
        <f t="shared" si="52"/>
        <v>46898</v>
      </c>
      <c r="L160" s="143">
        <f>IF(t&lt;Tvie,1-EXP((T0-t)*PertePVj)+'2027'!Pspv,1-EXP((T0-t)*PertePVj)+Pspv)</f>
        <v>3.3300139905885984E-2</v>
      </c>
      <c r="M160" s="835"/>
      <c r="N160" s="835"/>
      <c r="O160" s="48">
        <f>IF(t&lt;Tnet,'2027'!Resal+('2027'!Salim-'2027'!Resal)*(1-EXP(('2027'!Tnet-t)/('2027'!Tau_j))),Resal+(Salim-Resal)*(1-EXP((Tnet-t)/(Tau_j))))*Salcycl</f>
        <v>1.0223395143360564E-2</v>
      </c>
      <c r="P160" s="165">
        <f>(INDEX(Models!$BJ160:$BT160,,T160)*(1-R160)+INDEX(Models!$BJ160:$BT160,,T160+1)*R160-ERP_i)*Q160*Ramure*Pc/MaxiM</f>
        <v>2.782464395368273E-4</v>
      </c>
      <c r="Q160" s="301">
        <f t="shared" si="53"/>
        <v>0.5</v>
      </c>
      <c r="R160" s="173">
        <f t="shared" si="54"/>
        <v>0.16443066528227934</v>
      </c>
      <c r="S160" s="801">
        <f t="shared" si="55"/>
        <v>3</v>
      </c>
      <c r="T160" s="172">
        <f t="shared" si="56"/>
        <v>9</v>
      </c>
      <c r="U160" s="247">
        <f t="shared" si="57"/>
        <v>3.1644306652822793</v>
      </c>
      <c r="V160" s="378">
        <f t="shared" si="58"/>
        <v>239.2589804541235</v>
      </c>
      <c r="W160" s="397">
        <f t="shared" si="59"/>
        <v>108.86174028423973</v>
      </c>
      <c r="X160" s="153">
        <f t="shared" si="60"/>
        <v>46898</v>
      </c>
      <c r="Y160" s="380">
        <f t="shared" si="61"/>
        <v>104.49651562894284</v>
      </c>
      <c r="Z160" s="380">
        <f t="shared" si="62"/>
        <v>108.09613194603078</v>
      </c>
      <c r="AA160" s="381">
        <f t="shared" si="63"/>
        <v>113.77489221331621</v>
      </c>
      <c r="AB160" s="193">
        <f t="shared" si="64"/>
        <v>46898</v>
      </c>
      <c r="AC160" s="119">
        <f>IF(OR(t&lt;Tnet,NoTnet),'2027'!Resal_s+('2027'!Salim-'2027'!Resal_s)*(1-EXP(('2027'!Tnet_s-t)/'2027'!Tau_j)),Resal_s+(Salim-Resal_s)*(1-EXP((Tnet_s-t)/Tau_j)))*Salcycl</f>
        <v>4.9912244756411969E-2</v>
      </c>
      <c r="AD160" s="227">
        <f>(INDEX(Models!$BJ160:$BT160,,AH160)*(1-AF160)+INDEX(Models!$BJ160:$BT160,,AH160+1)*AF160-ERP_i)*AE160*Ramure*Pc/MaxiM</f>
        <v>2.782464395368273E-4</v>
      </c>
      <c r="AE160" s="301">
        <f t="shared" si="65"/>
        <v>0.5</v>
      </c>
      <c r="AF160" s="173">
        <f t="shared" si="66"/>
        <v>0.16443066528227934</v>
      </c>
      <c r="AG160" s="801">
        <f t="shared" si="74"/>
        <v>3</v>
      </c>
      <c r="AH160" s="172">
        <f t="shared" si="67"/>
        <v>9</v>
      </c>
      <c r="AI160" s="221">
        <f t="shared" si="68"/>
        <v>3.1644306652822793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46899</v>
      </c>
      <c r="B161" s="406">
        <f>'2027'!Wh/'2027'!Env_an*'2028'!Env_an</f>
        <v>183.27970866548145</v>
      </c>
      <c r="C161" s="831"/>
      <c r="D161" s="388">
        <f t="shared" si="50"/>
        <v>189.5957837702428</v>
      </c>
      <c r="E161" s="380">
        <f t="shared" si="72"/>
        <v>191.57077400057887</v>
      </c>
      <c r="F161" s="380">
        <f t="shared" si="51"/>
        <v>191.60635252084299</v>
      </c>
      <c r="G161" s="110">
        <f t="shared" si="73"/>
        <v>0.76545325098958028</v>
      </c>
      <c r="H161" s="409" t="b">
        <f>Wh_hp&gt;='2027'!Maxi_hp</f>
        <v>0</v>
      </c>
      <c r="I161" s="385">
        <f>IF(H161,Wh_hp,'2027'!Maxi_hp)</f>
        <v>191.62350448293552</v>
      </c>
      <c r="J161" s="85">
        <f>IF(H161,An,'2027'!An_max)</f>
        <v>2022</v>
      </c>
      <c r="K161" s="193">
        <f t="shared" si="52"/>
        <v>46899</v>
      </c>
      <c r="L161" s="143">
        <f>IF(t&lt;Tvie,1-EXP((T0-t)*PertePVj)+'2027'!Pspv,1-EXP((T0-t)*PertePVj)+Pspv)</f>
        <v>3.3313373215173026E-2</v>
      </c>
      <c r="M161" s="835"/>
      <c r="N161" s="835"/>
      <c r="O161" s="48">
        <f>IF(t&lt;Tnet,'2027'!Resal+('2027'!Salim-'2027'!Resal)*(1-EXP(('2027'!Tnet-t)/('2027'!Tau_j))),Resal+(Salim-Resal)*(1-EXP((Tnet-t)/(Tau_j))))*Salcycl</f>
        <v>1.0309454772731208E-2</v>
      </c>
      <c r="P161" s="165">
        <f>(INDEX(Models!$BJ161:$BT161,,T161)*(1-R161)+INDEX(Models!$BJ161:$BT161,,T161+1)*R161-ERP_i)*Q161*Ramure*Pc/MaxiM</f>
        <v>2.7921139542114518E-4</v>
      </c>
      <c r="Q161" s="301">
        <f t="shared" si="53"/>
        <v>0.5</v>
      </c>
      <c r="R161" s="173">
        <f t="shared" si="54"/>
        <v>0.16914531267325517</v>
      </c>
      <c r="S161" s="801">
        <f t="shared" si="55"/>
        <v>3</v>
      </c>
      <c r="T161" s="172">
        <f t="shared" si="56"/>
        <v>9</v>
      </c>
      <c r="U161" s="247">
        <f t="shared" si="57"/>
        <v>3.1691453126732552</v>
      </c>
      <c r="V161" s="378">
        <f t="shared" si="58"/>
        <v>239.41705629329337</v>
      </c>
      <c r="W161" s="397">
        <f t="shared" si="59"/>
        <v>183.27970866548145</v>
      </c>
      <c r="X161" s="153">
        <f t="shared" si="60"/>
        <v>46899</v>
      </c>
      <c r="Y161" s="380">
        <f t="shared" si="61"/>
        <v>175.93270142348172</v>
      </c>
      <c r="Z161" s="380">
        <f t="shared" si="62"/>
        <v>181.9955883827927</v>
      </c>
      <c r="AA161" s="381">
        <f t="shared" si="63"/>
        <v>191.57077400057887</v>
      </c>
      <c r="AB161" s="193">
        <f t="shared" si="64"/>
        <v>46899</v>
      </c>
      <c r="AC161" s="119">
        <f>IF(OR(t&lt;Tnet,NoTnet),'2027'!Resal_s+('2027'!Salim-'2027'!Resal_s)*(1-EXP(('2027'!Tnet_s-t)/'2027'!Tau_j)),Resal_s+(Salim-Resal_s)*(1-EXP((Tnet_s-t)/Tau_j)))*Salcycl</f>
        <v>4.9982496900895929E-2</v>
      </c>
      <c r="AD161" s="227">
        <f>(INDEX(Models!$BJ161:$BT161,,AH161)*(1-AF161)+INDEX(Models!$BJ161:$BT161,,AH161+1)*AF161-ERP_i)*AE161*Ramure*Pc/MaxiM</f>
        <v>2.7921139542114518E-4</v>
      </c>
      <c r="AE161" s="301">
        <f t="shared" si="65"/>
        <v>0.5</v>
      </c>
      <c r="AF161" s="173">
        <f t="shared" si="66"/>
        <v>0.16914531267325517</v>
      </c>
      <c r="AG161" s="801">
        <f t="shared" si="74"/>
        <v>3</v>
      </c>
      <c r="AH161" s="172">
        <f t="shared" si="67"/>
        <v>9</v>
      </c>
      <c r="AI161" s="221">
        <f t="shared" si="68"/>
        <v>3.1691453126732552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46900</v>
      </c>
      <c r="B162" s="406">
        <f>'2027'!Wh/'2027'!Env_an*'2028'!Env_an</f>
        <v>225.49044961499928</v>
      </c>
      <c r="C162" s="831"/>
      <c r="D162" s="388">
        <f t="shared" si="50"/>
        <v>233.2643590841196</v>
      </c>
      <c r="E162" s="380">
        <f t="shared" si="72"/>
        <v>235.71473577564481</v>
      </c>
      <c r="F162" s="380">
        <f t="shared" si="51"/>
        <v>235.77534466050651</v>
      </c>
      <c r="G162" s="110">
        <f t="shared" si="73"/>
        <v>0.94121894077170287</v>
      </c>
      <c r="H162" s="409" t="b">
        <f>Wh_hp&gt;='2027'!Maxi_hp</f>
        <v>0</v>
      </c>
      <c r="I162" s="385">
        <f>IF(H162,Wh_hp,'2027'!Maxi_hp)</f>
        <v>235.7806603297476</v>
      </c>
      <c r="J162" s="85">
        <f>IF(H162,An,'2027'!An_max)</f>
        <v>2022</v>
      </c>
      <c r="K162" s="193">
        <f t="shared" si="52"/>
        <v>46900</v>
      </c>
      <c r="L162" s="143">
        <f>IF(t&lt;Tvie,1-EXP((T0-t)*PertePVj)+'2027'!Pspv,1-EXP((T0-t)*PertePVj)+Pspv)</f>
        <v>3.3326606343307308E-2</v>
      </c>
      <c r="M162" s="835"/>
      <c r="N162" s="835"/>
      <c r="O162" s="48">
        <f>IF(t&lt;Tnet,'2027'!Resal+('2027'!Salim-'2027'!Resal)*(1-EXP(('2027'!Tnet-t)/('2027'!Tau_j))),Resal+(Salim-Resal)*(1-EXP((Tnet-t)/(Tau_j))))*Salcycl</f>
        <v>1.0395517630503587E-2</v>
      </c>
      <c r="P162" s="165">
        <f>(INDEX(Models!$BJ162:$BT162,,T162)*(1-R162)+INDEX(Models!$BJ162:$BT162,,T162+1)*R162-ERP_i)*Q162*Ramure*Pc/MaxiM</f>
        <v>2.8061739110839051E-4</v>
      </c>
      <c r="Q162" s="301">
        <f t="shared" si="53"/>
        <v>0.5</v>
      </c>
      <c r="R162" s="173">
        <f t="shared" si="54"/>
        <v>0.17391451505479738</v>
      </c>
      <c r="S162" s="801">
        <f t="shared" si="55"/>
        <v>3</v>
      </c>
      <c r="T162" s="172">
        <f t="shared" si="56"/>
        <v>9</v>
      </c>
      <c r="U162" s="247">
        <f t="shared" si="57"/>
        <v>3.1739145150547974</v>
      </c>
      <c r="V162" s="378">
        <f t="shared" si="58"/>
        <v>239.56714741814051</v>
      </c>
      <c r="W162" s="397">
        <f t="shared" si="59"/>
        <v>225.49044961499928</v>
      </c>
      <c r="X162" s="153">
        <f t="shared" si="60"/>
        <v>46900</v>
      </c>
      <c r="Y162" s="380">
        <f t="shared" si="61"/>
        <v>216.45420593208138</v>
      </c>
      <c r="Z162" s="380">
        <f t="shared" si="62"/>
        <v>223.91658584218112</v>
      </c>
      <c r="AA162" s="381">
        <f t="shared" si="63"/>
        <v>235.71473577564481</v>
      </c>
      <c r="AB162" s="193">
        <f t="shared" si="64"/>
        <v>46900</v>
      </c>
      <c r="AC162" s="119">
        <f>IF(OR(t&lt;Tnet,NoTnet),'2027'!Resal_s+('2027'!Salim-'2027'!Resal_s)*(1-EXP(('2027'!Tnet_s-t)/'2027'!Tau_j)),Resal_s+(Salim-Resal_s)*(1-EXP((Tnet_s-t)/Tau_j)))*Salcycl</f>
        <v>5.0052661725371567E-2</v>
      </c>
      <c r="AD162" s="227">
        <f>(INDEX(Models!$BJ162:$BT162,,AH162)*(1-AF162)+INDEX(Models!$BJ162:$BT162,,AH162+1)*AF162-ERP_i)*AE162*Ramure*Pc/MaxiM</f>
        <v>2.8061739110839051E-4</v>
      </c>
      <c r="AE162" s="301">
        <f t="shared" si="65"/>
        <v>0.5</v>
      </c>
      <c r="AF162" s="173">
        <f t="shared" si="66"/>
        <v>0.17391451505479738</v>
      </c>
      <c r="AG162" s="801">
        <f t="shared" si="74"/>
        <v>3</v>
      </c>
      <c r="AH162" s="172">
        <f t="shared" si="67"/>
        <v>9</v>
      </c>
      <c r="AI162" s="221">
        <f t="shared" si="68"/>
        <v>3.1739145150547974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46901</v>
      </c>
      <c r="B163" s="406">
        <f>'2027'!Wh/'2027'!Env_an*'2028'!Env_an</f>
        <v>245.62936177733852</v>
      </c>
      <c r="C163" s="831"/>
      <c r="D163" s="388">
        <f t="shared" si="50"/>
        <v>254.10104994603353</v>
      </c>
      <c r="E163" s="380">
        <f t="shared" si="72"/>
        <v>256.79264106672753</v>
      </c>
      <c r="F163" s="380">
        <f t="shared" si="51"/>
        <v>256.86519806358928</v>
      </c>
      <c r="G163" s="110">
        <f t="shared" si="73"/>
        <v>1.024695533351327</v>
      </c>
      <c r="H163" s="409" t="b">
        <f>Wh_hp&gt;='2027'!Maxi_hp</f>
        <v>1</v>
      </c>
      <c r="I163" s="385">
        <f>IF(H163,Wh_hp,'2027'!Maxi_hp)</f>
        <v>256.86519806358928</v>
      </c>
      <c r="J163" s="85">
        <f>IF(H163,An,'2027'!An_max)</f>
        <v>2028</v>
      </c>
      <c r="K163" s="193">
        <f t="shared" si="52"/>
        <v>46901</v>
      </c>
      <c r="L163" s="143">
        <f>IF(t&lt;Tvie,1-EXP((T0-t)*PertePVj)+'2027'!Pspv,1-EXP((T0-t)*PertePVj)+Pspv)</f>
        <v>3.3339839290291162E-2</v>
      </c>
      <c r="M163" s="835"/>
      <c r="N163" s="835"/>
      <c r="O163" s="48">
        <f>IF(t&lt;Tnet,'2027'!Resal+('2027'!Salim-'2027'!Resal)*(1-EXP(('2027'!Tnet-t)/('2027'!Tau_j))),Resal+(Salim-Resal)*(1-EXP((Tnet-t)/(Tau_j))))*Salcycl</f>
        <v>1.0481574197426419E-2</v>
      </c>
      <c r="P163" s="165">
        <f>(INDEX(Models!$BJ163:$BT163,,T163)*(1-R163)+INDEX(Models!$BJ163:$BT163,,T163+1)*R163-ERP_i)*Q163*Ramure*Pc/MaxiM</f>
        <v>2.8247110705820726E-4</v>
      </c>
      <c r="Q163" s="301">
        <f t="shared" si="53"/>
        <v>0.5</v>
      </c>
      <c r="R163" s="173">
        <f t="shared" si="54"/>
        <v>0.17873512988601936</v>
      </c>
      <c r="S163" s="801">
        <f t="shared" si="55"/>
        <v>3</v>
      </c>
      <c r="T163" s="172">
        <f t="shared" si="56"/>
        <v>9</v>
      </c>
      <c r="U163" s="247">
        <f t="shared" si="57"/>
        <v>3.1787351298860194</v>
      </c>
      <c r="V163" s="378">
        <f t="shared" si="58"/>
        <v>239.709605226826</v>
      </c>
      <c r="W163" s="397">
        <f t="shared" si="59"/>
        <v>245.62936177733852</v>
      </c>
      <c r="X163" s="153">
        <f t="shared" si="60"/>
        <v>46901</v>
      </c>
      <c r="Y163" s="380">
        <f t="shared" si="61"/>
        <v>235.78919790007507</v>
      </c>
      <c r="Z163" s="380">
        <f t="shared" si="62"/>
        <v>243.92150156158482</v>
      </c>
      <c r="AA163" s="381">
        <f t="shared" si="63"/>
        <v>256.79264106672753</v>
      </c>
      <c r="AB163" s="193">
        <f t="shared" si="64"/>
        <v>46901</v>
      </c>
      <c r="AC163" s="119">
        <f>IF(OR(t&lt;Tnet,NoTnet),'2027'!Resal_s+('2027'!Salim-'2027'!Resal_s)*(1-EXP(('2027'!Tnet_s-t)/'2027'!Tau_j)),Resal_s+(Salim-Resal_s)*(1-EXP((Tnet_s-t)/Tau_j)))*Salcycl</f>
        <v>5.0122696085352914E-2</v>
      </c>
      <c r="AD163" s="227">
        <f>(INDEX(Models!$BJ163:$BT163,,AH163)*(1-AF163)+INDEX(Models!$BJ163:$BT163,,AH163+1)*AF163-ERP_i)*AE163*Ramure*Pc/MaxiM</f>
        <v>2.8247110705820726E-4</v>
      </c>
      <c r="AE163" s="301">
        <f t="shared" si="65"/>
        <v>0.5</v>
      </c>
      <c r="AF163" s="173">
        <f t="shared" si="66"/>
        <v>0.17873512988601936</v>
      </c>
      <c r="AG163" s="801">
        <f t="shared" si="74"/>
        <v>3</v>
      </c>
      <c r="AH163" s="172">
        <f t="shared" si="67"/>
        <v>9</v>
      </c>
      <c r="AI163" s="221">
        <f t="shared" si="68"/>
        <v>3.1787351298860194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46902</v>
      </c>
      <c r="B164" s="406">
        <f>'2027'!Wh/'2027'!Env_an*'2028'!Env_an</f>
        <v>207.05032119652756</v>
      </c>
      <c r="C164" s="831"/>
      <c r="D164" s="388">
        <f t="shared" si="50"/>
        <v>214.19436115825494</v>
      </c>
      <c r="E164" s="380">
        <f t="shared" si="72"/>
        <v>216.48206015458851</v>
      </c>
      <c r="F164" s="380">
        <f t="shared" si="51"/>
        <v>216.53158093441448</v>
      </c>
      <c r="G164" s="110">
        <f t="shared" si="73"/>
        <v>0.86322207222144098</v>
      </c>
      <c r="H164" s="409" t="b">
        <f>Wh_hp&gt;='2027'!Maxi_hp</f>
        <v>0</v>
      </c>
      <c r="I164" s="385">
        <f>IF(H164,Wh_hp,'2027'!Maxi_hp)</f>
        <v>216.54308989818958</v>
      </c>
      <c r="J164" s="85">
        <f>IF(H164,An,'2027'!An_max)</f>
        <v>2022</v>
      </c>
      <c r="K164" s="193">
        <f t="shared" si="52"/>
        <v>46902</v>
      </c>
      <c r="L164" s="143">
        <f>IF(t&lt;Tvie,1-EXP((T0-t)*PertePVj)+'2027'!Pspv,1-EXP((T0-t)*PertePVj)+Pspv)</f>
        <v>3.3353072056127031E-2</v>
      </c>
      <c r="M164" s="835"/>
      <c r="N164" s="835"/>
      <c r="O164" s="48">
        <f>IF(t&lt;Tnet,'2027'!Resal+('2027'!Salim-'2027'!Resal)*(1-EXP(('2027'!Tnet-t)/('2027'!Tau_j))),Resal+(Salim-Resal)*(1-EXP((Tnet-t)/(Tau_j))))*Salcycl</f>
        <v>1.0567614677631683E-2</v>
      </c>
      <c r="P164" s="165">
        <f>(INDEX(Models!$BJ164:$BT164,,T164)*(1-R164)+INDEX(Models!$BJ164:$BT164,,T164+1)*R164-ERP_i)*Q164*Ramure*Pc/MaxiM</f>
        <v>2.8421542285117149E-4</v>
      </c>
      <c r="Q164" s="301">
        <f t="shared" si="53"/>
        <v>0.5</v>
      </c>
      <c r="R164" s="173">
        <f t="shared" si="54"/>
        <v>0.18360385882610686</v>
      </c>
      <c r="S164" s="801">
        <f t="shared" si="55"/>
        <v>3</v>
      </c>
      <c r="T164" s="172">
        <f t="shared" si="56"/>
        <v>9</v>
      </c>
      <c r="U164" s="247">
        <f t="shared" si="57"/>
        <v>3.1836038588261069</v>
      </c>
      <c r="V164" s="378">
        <f t="shared" si="58"/>
        <v>239.84421940828514</v>
      </c>
      <c r="W164" s="397">
        <f t="shared" si="59"/>
        <v>207.05032119652756</v>
      </c>
      <c r="X164" s="153">
        <f t="shared" si="60"/>
        <v>46902</v>
      </c>
      <c r="Y164" s="380">
        <f t="shared" si="61"/>
        <v>198.75833774203133</v>
      </c>
      <c r="Z164" s="380">
        <f t="shared" si="62"/>
        <v>205.61627208064945</v>
      </c>
      <c r="AA164" s="381">
        <f t="shared" si="63"/>
        <v>216.48206015458851</v>
      </c>
      <c r="AB164" s="193">
        <f t="shared" si="64"/>
        <v>46902</v>
      </c>
      <c r="AC164" s="119">
        <f>IF(OR(t&lt;Tnet,NoTnet),'2027'!Resal_s+('2027'!Salim-'2027'!Resal_s)*(1-EXP(('2027'!Tnet_s-t)/'2027'!Tau_j)),Resal_s+(Salim-Resal_s)*(1-EXP((Tnet_s-t)/Tau_j)))*Salcycl</f>
        <v>5.0192556677351813E-2</v>
      </c>
      <c r="AD164" s="227">
        <f>(INDEX(Models!$BJ164:$BT164,,AH164)*(1-AF164)+INDEX(Models!$BJ164:$BT164,,AH164+1)*AF164-ERP_i)*AE164*Ramure*Pc/MaxiM</f>
        <v>2.8421542285117149E-4</v>
      </c>
      <c r="AE164" s="301">
        <f t="shared" si="65"/>
        <v>0.5</v>
      </c>
      <c r="AF164" s="173">
        <f t="shared" si="66"/>
        <v>0.18360385882610686</v>
      </c>
      <c r="AG164" s="801">
        <f t="shared" si="74"/>
        <v>3</v>
      </c>
      <c r="AH164" s="172">
        <f t="shared" si="67"/>
        <v>9</v>
      </c>
      <c r="AI164" s="221">
        <f t="shared" si="68"/>
        <v>3.1836038588261069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46903</v>
      </c>
      <c r="B165" s="406">
        <f>'2027'!Wh/'2027'!Env_an*'2028'!Env_an</f>
        <v>226.90325479878379</v>
      </c>
      <c r="C165" s="831"/>
      <c r="D165" s="388">
        <f t="shared" si="50"/>
        <v>234.73551138155895</v>
      </c>
      <c r="E165" s="380">
        <f t="shared" si="72"/>
        <v>237.26322577179042</v>
      </c>
      <c r="F165" s="380">
        <f t="shared" si="51"/>
        <v>237.32571388073899</v>
      </c>
      <c r="G165" s="110">
        <f t="shared" si="73"/>
        <v>0.94552523412275813</v>
      </c>
      <c r="H165" s="409" t="b">
        <f>Wh_hp&gt;='2027'!Maxi_hp</f>
        <v>0</v>
      </c>
      <c r="I165" s="385">
        <f>IF(H165,Wh_hp,'2027'!Maxi_hp)</f>
        <v>237.33076111913962</v>
      </c>
      <c r="J165" s="85">
        <f>IF(H165,An,'2027'!An_max)</f>
        <v>2022</v>
      </c>
      <c r="K165" s="193">
        <f t="shared" si="52"/>
        <v>46903</v>
      </c>
      <c r="L165" s="143">
        <f>IF(t&lt;Tvie,1-EXP((T0-t)*PertePVj)+'2027'!Pspv,1-EXP((T0-t)*PertePVj)+Pspv)</f>
        <v>3.3366304640817468E-2</v>
      </c>
      <c r="M165" s="835"/>
      <c r="N165" s="835"/>
      <c r="O165" s="48">
        <f>IF(t&lt;Tnet,'2027'!Resal+('2027'!Salim-'2027'!Resal)*(1-EXP(('2027'!Tnet-t)/('2027'!Tau_j))),Resal+(Salim-Resal)*(1-EXP((Tnet-t)/(Tau_j))))*Salcycl</f>
        <v>1.0653629031676139E-2</v>
      </c>
      <c r="P165" s="165">
        <f>(INDEX(Models!$BJ165:$BT165,,T165)*(1-R165)+INDEX(Models!$BJ165:$BT165,,T165+1)*R165-ERP_i)*Q165*Ramure*Pc/MaxiM</f>
        <v>2.8551127922465426E-4</v>
      </c>
      <c r="Q165" s="301">
        <f t="shared" si="53"/>
        <v>0.5</v>
      </c>
      <c r="R165" s="173">
        <f t="shared" si="54"/>
        <v>0.18851725537573349</v>
      </c>
      <c r="S165" s="801">
        <f t="shared" si="55"/>
        <v>3</v>
      </c>
      <c r="T165" s="172">
        <f t="shared" si="56"/>
        <v>9</v>
      </c>
      <c r="U165" s="247">
        <f t="shared" si="57"/>
        <v>3.1885172553757335</v>
      </c>
      <c r="V165" s="378">
        <f t="shared" si="58"/>
        <v>239.97055362360942</v>
      </c>
      <c r="W165" s="397">
        <f t="shared" si="59"/>
        <v>226.90325479878379</v>
      </c>
      <c r="X165" s="153">
        <f t="shared" si="60"/>
        <v>46903</v>
      </c>
      <c r="Y165" s="380">
        <f t="shared" si="61"/>
        <v>217.81916253530648</v>
      </c>
      <c r="Z165" s="380">
        <f t="shared" si="62"/>
        <v>225.33785401963362</v>
      </c>
      <c r="AA165" s="381">
        <f t="shared" si="63"/>
        <v>237.26322577179042</v>
      </c>
      <c r="AB165" s="193">
        <f t="shared" si="64"/>
        <v>46903</v>
      </c>
      <c r="AC165" s="119">
        <f>IF(OR(t&lt;Tnet,NoTnet),'2027'!Resal_s+('2027'!Salim-'2027'!Resal_s)*(1-EXP(('2027'!Tnet_s-t)/'2027'!Tau_j)),Resal_s+(Salim-Resal_s)*(1-EXP((Tnet_s-t)/Tau_j)))*Salcycl</f>
        <v>5.0262200192907731E-2</v>
      </c>
      <c r="AD165" s="227">
        <f>(INDEX(Models!$BJ165:$BT165,,AH165)*(1-AF165)+INDEX(Models!$BJ165:$BT165,,AH165+1)*AF165-ERP_i)*AE165*Ramure*Pc/MaxiM</f>
        <v>2.8551127922465426E-4</v>
      </c>
      <c r="AE165" s="301">
        <f t="shared" si="65"/>
        <v>0.5</v>
      </c>
      <c r="AF165" s="173">
        <f t="shared" si="66"/>
        <v>0.18851725537573349</v>
      </c>
      <c r="AG165" s="801">
        <f t="shared" si="74"/>
        <v>3</v>
      </c>
      <c r="AH165" s="172">
        <f t="shared" si="67"/>
        <v>9</v>
      </c>
      <c r="AI165" s="221">
        <f t="shared" si="68"/>
        <v>3.1885172553757335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46904</v>
      </c>
      <c r="B166" s="406">
        <f>'2027'!Wh/'2027'!Env_an*'2028'!Env_an</f>
        <v>236.87760426751916</v>
      </c>
      <c r="C166" s="831"/>
      <c r="D166" s="388">
        <f t="shared" si="50"/>
        <v>245.05751051784958</v>
      </c>
      <c r="E166" s="380">
        <f t="shared" si="72"/>
        <v>247.71790345065699</v>
      </c>
      <c r="F166" s="380">
        <f t="shared" si="51"/>
        <v>247.78750099333274</v>
      </c>
      <c r="G166" s="110">
        <f t="shared" si="73"/>
        <v>0.98662247112656043</v>
      </c>
      <c r="H166" s="409" t="b">
        <f>Wh_hp&gt;='2027'!Maxi_hp</f>
        <v>0</v>
      </c>
      <c r="I166" s="385">
        <f>IF(H166,Wh_hp,'2027'!Maxi_hp)</f>
        <v>247.7887989555031</v>
      </c>
      <c r="J166" s="85">
        <f>IF(H166,An,'2027'!An_max)</f>
        <v>2022</v>
      </c>
      <c r="K166" s="193">
        <f t="shared" si="52"/>
        <v>46904</v>
      </c>
      <c r="L166" s="143">
        <f>IF(t&lt;Tvie,1-EXP((T0-t)*PertePVj)+'2027'!Pspv,1-EXP((T0-t)*PertePVj)+Pspv)</f>
        <v>3.3379537044364915E-2</v>
      </c>
      <c r="M166" s="835"/>
      <c r="N166" s="835"/>
      <c r="O166" s="48">
        <f>IF(t&lt;Tnet,'2027'!Resal+('2027'!Salim-'2027'!Resal)*(1-EXP(('2027'!Tnet-t)/('2027'!Tau_j))),Resal+(Salim-Resal)*(1-EXP((Tnet-t)/(Tau_j))))*Salcycl</f>
        <v>1.0739607011639913E-2</v>
      </c>
      <c r="P166" s="165">
        <f>(INDEX(Models!$BJ166:$BT166,,T166)*(1-R166)+INDEX(Models!$BJ166:$BT166,,T166+1)*R166-ERP_i)*Q166*Ramure*Pc/MaxiM</f>
        <v>2.8634600160611513E-4</v>
      </c>
      <c r="Q166" s="301">
        <f t="shared" si="53"/>
        <v>0.5</v>
      </c>
      <c r="R166" s="173">
        <f t="shared" si="54"/>
        <v>0.19347173345281599</v>
      </c>
      <c r="S166" s="801">
        <f t="shared" si="55"/>
        <v>3</v>
      </c>
      <c r="T166" s="172">
        <f t="shared" si="56"/>
        <v>9</v>
      </c>
      <c r="U166" s="247">
        <f t="shared" si="57"/>
        <v>3.193471733452816</v>
      </c>
      <c r="V166" s="378">
        <f t="shared" si="58"/>
        <v>240.08809356787566</v>
      </c>
      <c r="W166" s="397">
        <f t="shared" si="59"/>
        <v>236.87760426751916</v>
      </c>
      <c r="X166" s="153">
        <f t="shared" si="60"/>
        <v>46904</v>
      </c>
      <c r="Y166" s="380">
        <f t="shared" si="61"/>
        <v>227.39733739380426</v>
      </c>
      <c r="Z166" s="380">
        <f t="shared" si="62"/>
        <v>235.24986911459695</v>
      </c>
      <c r="AA166" s="381">
        <f t="shared" si="63"/>
        <v>247.71790345065699</v>
      </c>
      <c r="AB166" s="193">
        <f t="shared" si="64"/>
        <v>46904</v>
      </c>
      <c r="AC166" s="119">
        <f>IF(OR(t&lt;Tnet,NoTnet),'2027'!Resal_s+('2027'!Salim-'2027'!Resal_s)*(1-EXP(('2027'!Tnet_s-t)/'2027'!Tau_j)),Resal_s+(Salim-Resal_s)*(1-EXP((Tnet_s-t)/Tau_j)))*Salcycl</f>
        <v>5.0331583476135672E-2</v>
      </c>
      <c r="AD166" s="227">
        <f>(INDEX(Models!$BJ166:$BT166,,AH166)*(1-AF166)+INDEX(Models!$BJ166:$BT166,,AH166+1)*AF166-ERP_i)*AE166*Ramure*Pc/MaxiM</f>
        <v>2.8634600160611513E-4</v>
      </c>
      <c r="AE166" s="301">
        <f t="shared" si="65"/>
        <v>0.5</v>
      </c>
      <c r="AF166" s="173">
        <f t="shared" si="66"/>
        <v>0.19347173345281599</v>
      </c>
      <c r="AG166" s="801">
        <f t="shared" si="74"/>
        <v>3</v>
      </c>
      <c r="AH166" s="172">
        <f t="shared" si="67"/>
        <v>9</v>
      </c>
      <c r="AI166" s="221">
        <f t="shared" si="68"/>
        <v>3.193471733452816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46905</v>
      </c>
      <c r="B167" s="406">
        <f>'2027'!Wh/'2027'!Env_an*'2028'!Env_an</f>
        <v>166.61125523662761</v>
      </c>
      <c r="C167" s="831"/>
      <c r="D167" s="388">
        <f t="shared" si="50"/>
        <v>172.36706900096664</v>
      </c>
      <c r="E167" s="380">
        <f t="shared" si="72"/>
        <v>174.25345644991694</v>
      </c>
      <c r="F167" s="380">
        <f t="shared" si="51"/>
        <v>174.28155588208796</v>
      </c>
      <c r="G167" s="110">
        <f t="shared" si="73"/>
        <v>0.69355909542726468</v>
      </c>
      <c r="H167" s="409" t="b">
        <f>Wh_hp&gt;='2027'!Maxi_hp</f>
        <v>0</v>
      </c>
      <c r="I167" s="385">
        <f>IF(H167,Wh_hp,'2027'!Maxi_hp)</f>
        <v>174.30249761857024</v>
      </c>
      <c r="J167" s="85">
        <f>IF(H167,An,'2027'!An_max)</f>
        <v>2022</v>
      </c>
      <c r="K167" s="193">
        <f t="shared" si="52"/>
        <v>46905</v>
      </c>
      <c r="L167" s="143">
        <f>IF(t&lt;Tvie,1-EXP((T0-t)*PertePVj)+'2027'!Pspv,1-EXP((T0-t)*PertePVj)+Pspv)</f>
        <v>3.3392769266771927E-2</v>
      </c>
      <c r="M167" s="835"/>
      <c r="N167" s="835"/>
      <c r="O167" s="48">
        <f>IF(t&lt;Tnet,'2027'!Resal+('2027'!Salim-'2027'!Resal)*(1-EXP(('2027'!Tnet-t)/('2027'!Tau_j))),Resal+(Salim-Resal)*(1-EXP((Tnet-t)/(Tau_j))))*Salcycl</f>
        <v>1.0825538198104357E-2</v>
      </c>
      <c r="P167" s="165">
        <f>(INDEX(Models!$BJ167:$BT167,,T167)*(1-R167)+INDEX(Models!$BJ167:$BT167,,T167+1)*R167-ERP_i)*Q167*Ramure*Pc/MaxiM</f>
        <v>2.8670690441163555E-4</v>
      </c>
      <c r="Q167" s="301">
        <f t="shared" si="53"/>
        <v>0.5</v>
      </c>
      <c r="R167" s="173">
        <f t="shared" si="54"/>
        <v>0.19846357686722849</v>
      </c>
      <c r="S167" s="801">
        <f t="shared" si="55"/>
        <v>3</v>
      </c>
      <c r="T167" s="172">
        <f t="shared" si="56"/>
        <v>9</v>
      </c>
      <c r="U167" s="247">
        <f t="shared" si="57"/>
        <v>3.1984635768672285</v>
      </c>
      <c r="V167" s="378">
        <f t="shared" si="58"/>
        <v>240.19632518037864</v>
      </c>
      <c r="W167" s="397">
        <f t="shared" si="59"/>
        <v>166.61125523662761</v>
      </c>
      <c r="X167" s="153">
        <f t="shared" si="60"/>
        <v>46905</v>
      </c>
      <c r="Y167" s="380">
        <f t="shared" si="61"/>
        <v>159.94543278775762</v>
      </c>
      <c r="Z167" s="380">
        <f t="shared" si="62"/>
        <v>165.47096659563542</v>
      </c>
      <c r="AA167" s="381">
        <f t="shared" si="63"/>
        <v>174.25345644991694</v>
      </c>
      <c r="AB167" s="193">
        <f t="shared" si="64"/>
        <v>46905</v>
      </c>
      <c r="AC167" s="119">
        <f>IF(OR(t&lt;Tnet,NoTnet),'2027'!Resal_s+('2027'!Salim-'2027'!Resal_s)*(1-EXP(('2027'!Tnet_s-t)/'2027'!Tau_j)),Resal_s+(Salim-Resal_s)*(1-EXP((Tnet_s-t)/Tau_j)))*Salcycl</f>
        <v>5.0400663683855033E-2</v>
      </c>
      <c r="AD167" s="227">
        <f>(INDEX(Models!$BJ167:$BT167,,AH167)*(1-AF167)+INDEX(Models!$BJ167:$BT167,,AH167+1)*AF167-ERP_i)*AE167*Ramure*Pc/MaxiM</f>
        <v>2.8670690441163555E-4</v>
      </c>
      <c r="AE167" s="301">
        <f t="shared" si="65"/>
        <v>0.5</v>
      </c>
      <c r="AF167" s="173">
        <f t="shared" si="66"/>
        <v>0.19846357686722849</v>
      </c>
      <c r="AG167" s="801">
        <f t="shared" si="74"/>
        <v>3</v>
      </c>
      <c r="AH167" s="172">
        <f t="shared" si="67"/>
        <v>9</v>
      </c>
      <c r="AI167" s="221">
        <f t="shared" si="68"/>
        <v>3.1984635768672285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46906</v>
      </c>
      <c r="B168" s="406">
        <f>'2027'!Wh/'2027'!Env_an*'2028'!Env_an</f>
        <v>228.89888628249821</v>
      </c>
      <c r="C168" s="831"/>
      <c r="D168" s="388">
        <f t="shared" si="50"/>
        <v>236.80975320791876</v>
      </c>
      <c r="E168" s="380">
        <f t="shared" si="72"/>
        <v>239.42218734527637</v>
      </c>
      <c r="F168" s="380">
        <f t="shared" si="51"/>
        <v>239.48616982662108</v>
      </c>
      <c r="G168" s="110">
        <f t="shared" si="73"/>
        <v>0.95255703892143306</v>
      </c>
      <c r="H168" s="409" t="b">
        <f>Wh_hp&gt;='2027'!Maxi_hp</f>
        <v>0</v>
      </c>
      <c r="I168" s="385">
        <f>IF(H168,Wh_hp,'2027'!Maxi_hp)</f>
        <v>239.49062250139852</v>
      </c>
      <c r="J168" s="85">
        <f>IF(H168,An,'2027'!An_max)</f>
        <v>2022</v>
      </c>
      <c r="K168" s="193">
        <f t="shared" si="52"/>
        <v>46906</v>
      </c>
      <c r="L168" s="143">
        <f>IF(t&lt;Tvie,1-EXP((T0-t)*PertePVj)+'2027'!Pspv,1-EXP((T0-t)*PertePVj)+Pspv)</f>
        <v>3.3406001308040834E-2</v>
      </c>
      <c r="M168" s="835"/>
      <c r="N168" s="835"/>
      <c r="O168" s="48">
        <f>IF(t&lt;Tnet,'2027'!Resal+('2027'!Salim-'2027'!Resal)*(1-EXP(('2027'!Tnet-t)/('2027'!Tau_j))),Resal+(Salim-Resal)*(1-EXP((Tnet-t)/(Tau_j))))*Salcycl</f>
        <v>1.0911412038810658E-2</v>
      </c>
      <c r="P168" s="165">
        <f>(INDEX(Models!$BJ168:$BT168,,T168)*(1-R168)+INDEX(Models!$BJ168:$BT168,,T168+1)*R168-ERP_i)*Q168*Ramure*Pc/MaxiM</f>
        <v>2.8658132737954372E-4</v>
      </c>
      <c r="Q168" s="301">
        <f t="shared" si="53"/>
        <v>0.5</v>
      </c>
      <c r="R168" s="173">
        <f t="shared" si="54"/>
        <v>0.20348894964950048</v>
      </c>
      <c r="S168" s="801">
        <f t="shared" si="55"/>
        <v>3</v>
      </c>
      <c r="T168" s="172">
        <f t="shared" si="56"/>
        <v>9</v>
      </c>
      <c r="U168" s="247">
        <f t="shared" si="57"/>
        <v>3.2034889496495005</v>
      </c>
      <c r="V168" s="378">
        <f t="shared" si="58"/>
        <v>240.29473461249245</v>
      </c>
      <c r="W168" s="397">
        <f t="shared" si="59"/>
        <v>228.89888628249821</v>
      </c>
      <c r="X168" s="153">
        <f t="shared" si="60"/>
        <v>46906</v>
      </c>
      <c r="Y168" s="380">
        <f t="shared" si="61"/>
        <v>219.74421688008391</v>
      </c>
      <c r="Z168" s="380">
        <f t="shared" si="62"/>
        <v>227.33869357501931</v>
      </c>
      <c r="AA168" s="381">
        <f t="shared" si="63"/>
        <v>239.42218734527637</v>
      </c>
      <c r="AB168" s="193">
        <f t="shared" si="64"/>
        <v>46906</v>
      </c>
      <c r="AC168" s="119">
        <f>IF(OR(t&lt;Tnet,NoTnet),'2027'!Resal_s+('2027'!Salim-'2027'!Resal_s)*(1-EXP(('2027'!Tnet_s-t)/'2027'!Tau_j)),Resal_s+(Salim-Resal_s)*(1-EXP((Tnet_s-t)/Tau_j)))*Salcycl</f>
        <v>5.0469398447317529E-2</v>
      </c>
      <c r="AD168" s="227">
        <f>(INDEX(Models!$BJ168:$BT168,,AH168)*(1-AF168)+INDEX(Models!$BJ168:$BT168,,AH168+1)*AF168-ERP_i)*AE168*Ramure*Pc/MaxiM</f>
        <v>2.8658132737954372E-4</v>
      </c>
      <c r="AE168" s="301">
        <f t="shared" si="65"/>
        <v>0.5</v>
      </c>
      <c r="AF168" s="173">
        <f t="shared" si="66"/>
        <v>0.20348894964950048</v>
      </c>
      <c r="AG168" s="801">
        <f t="shared" si="74"/>
        <v>3</v>
      </c>
      <c r="AH168" s="172">
        <f t="shared" si="67"/>
        <v>9</v>
      </c>
      <c r="AI168" s="221">
        <f t="shared" si="68"/>
        <v>3.2034889496495005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46907</v>
      </c>
      <c r="B169" s="406">
        <f>'2027'!Wh/'2027'!Env_an*'2028'!Env_an</f>
        <v>99.728253741274202</v>
      </c>
      <c r="C169" s="831"/>
      <c r="D169" s="388">
        <f t="shared" si="50"/>
        <v>103.1763274869981</v>
      </c>
      <c r="E169" s="380">
        <f t="shared" si="72"/>
        <v>104.32359681208196</v>
      </c>
      <c r="F169" s="380">
        <f t="shared" si="51"/>
        <v>104.32849259082771</v>
      </c>
      <c r="G169" s="110">
        <f t="shared" si="73"/>
        <v>0.41477348278373272</v>
      </c>
      <c r="H169" s="409" t="b">
        <f>Wh_hp&gt;='2027'!Maxi_hp</f>
        <v>0</v>
      </c>
      <c r="I169" s="385">
        <f>IF(H169,Wh_hp,'2027'!Maxi_hp)</f>
        <v>104.35237094994316</v>
      </c>
      <c r="J169" s="85">
        <f>IF(H169,An,'2027'!An_max)</f>
        <v>2022</v>
      </c>
      <c r="K169" s="193">
        <f t="shared" si="52"/>
        <v>46907</v>
      </c>
      <c r="L169" s="143">
        <f>IF(t&lt;Tvie,1-EXP((T0-t)*PertePVj)+'2027'!Pspv,1-EXP((T0-t)*PertePVj)+Pspv)</f>
        <v>3.34192331681743E-2</v>
      </c>
      <c r="M169" s="835"/>
      <c r="N169" s="835"/>
      <c r="O169" s="48">
        <f>IF(t&lt;Tnet,'2027'!Resal+('2027'!Salim-'2027'!Resal)*(1-EXP(('2027'!Tnet-t)/('2027'!Tau_j))),Resal+(Salim-Resal)*(1-EXP((Tnet-t)/(Tau_j))))*Salcycl</f>
        <v>1.0997217888781545E-2</v>
      </c>
      <c r="P169" s="165">
        <f>(INDEX(Models!$BJ169:$BT169,,T169)*(1-R169)+INDEX(Models!$BJ169:$BT169,,T169+1)*R169-ERP_i)*Q169*Ramure*Pc/MaxiM</f>
        <v>2.8595667146575813E-4</v>
      </c>
      <c r="Q169" s="301">
        <f t="shared" si="53"/>
        <v>0.5</v>
      </c>
      <c r="R169" s="173">
        <f t="shared" si="54"/>
        <v>0.20854390717916038</v>
      </c>
      <c r="S169" s="801">
        <f t="shared" si="55"/>
        <v>3</v>
      </c>
      <c r="T169" s="172">
        <f t="shared" si="56"/>
        <v>9</v>
      </c>
      <c r="U169" s="247">
        <f t="shared" si="57"/>
        <v>3.2085439071791604</v>
      </c>
      <c r="V169" s="378">
        <f t="shared" si="58"/>
        <v>240.38280822396655</v>
      </c>
      <c r="W169" s="397">
        <f t="shared" si="59"/>
        <v>99.728253741274202</v>
      </c>
      <c r="X169" s="153">
        <f t="shared" si="60"/>
        <v>46907</v>
      </c>
      <c r="Y169" s="380">
        <f t="shared" si="61"/>
        <v>95.741098300150057</v>
      </c>
      <c r="Z169" s="380">
        <f t="shared" si="62"/>
        <v>99.051317370985871</v>
      </c>
      <c r="AA169" s="381">
        <f t="shared" si="63"/>
        <v>104.32359681208196</v>
      </c>
      <c r="AB169" s="193">
        <f t="shared" si="64"/>
        <v>46907</v>
      </c>
      <c r="AC169" s="119">
        <f>IF(OR(t&lt;Tnet,NoTnet),'2027'!Resal_s+('2027'!Salim-'2027'!Resal_s)*(1-EXP(('2027'!Tnet_s-t)/'2027'!Tau_j)),Resal_s+(Salim-Resal_s)*(1-EXP((Tnet_s-t)/Tau_j)))*Salcycl</f>
        <v>5.0537746034514552E-2</v>
      </c>
      <c r="AD169" s="227">
        <f>(INDEX(Models!$BJ169:$BT169,,AH169)*(1-AF169)+INDEX(Models!$BJ169:$BT169,,AH169+1)*AF169-ERP_i)*AE169*Ramure*Pc/MaxiM</f>
        <v>2.8595667146575813E-4</v>
      </c>
      <c r="AE169" s="301">
        <f t="shared" si="65"/>
        <v>0.5</v>
      </c>
      <c r="AF169" s="173">
        <f t="shared" si="66"/>
        <v>0.20854390717916038</v>
      </c>
      <c r="AG169" s="801">
        <f t="shared" si="74"/>
        <v>3</v>
      </c>
      <c r="AH169" s="172">
        <f t="shared" si="67"/>
        <v>9</v>
      </c>
      <c r="AI169" s="221">
        <f t="shared" si="68"/>
        <v>3.2085439071791604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46908</v>
      </c>
      <c r="B170" s="406">
        <f>'2027'!Wh/'2027'!Env_an*'2028'!Env_an</f>
        <v>129.20962157085154</v>
      </c>
      <c r="C170" s="831"/>
      <c r="D170" s="388">
        <f t="shared" si="50"/>
        <v>133.67883450629452</v>
      </c>
      <c r="E170" s="380">
        <f t="shared" ref="E170:E232" si="75">Wh_pvt/(1-Psa)</f>
        <v>135.17699369971851</v>
      </c>
      <c r="F170" s="380">
        <f t="shared" si="51"/>
        <v>135.19005245002106</v>
      </c>
      <c r="G170" s="110">
        <f t="shared" ref="G170:G232" si="76">+Wh_hp/MaxiM</f>
        <v>0.53724229089689202</v>
      </c>
      <c r="H170" s="409" t="b">
        <f>Wh_hp&gt;='2027'!Maxi_hp</f>
        <v>0</v>
      </c>
      <c r="I170" s="385">
        <f>IF(H170,Wh_hp,'2027'!Maxi_hp)</f>
        <v>135.21442308270213</v>
      </c>
      <c r="J170" s="85">
        <f>IF(H170,An,'2027'!An_max)</f>
        <v>2022</v>
      </c>
      <c r="K170" s="193">
        <f t="shared" si="52"/>
        <v>46908</v>
      </c>
      <c r="L170" s="143">
        <f>IF(t&lt;Tvie,1-EXP((T0-t)*PertePVj)+'2027'!Pspv,1-EXP((T0-t)*PertePVj)+Pspv)</f>
        <v>3.3432464847174659E-2</v>
      </c>
      <c r="M170" s="835"/>
      <c r="N170" s="835"/>
      <c r="O170" s="48">
        <f>IF(t&lt;Tnet,'2027'!Resal+('2027'!Salim-'2027'!Resal)*(1-EXP(('2027'!Tnet-t)/('2027'!Tau_j))),Resal+(Salim-Resal)*(1-EXP((Tnet-t)/(Tau_j))))*Salcycl</f>
        <v>1.1082945051670394E-2</v>
      </c>
      <c r="P170" s="165">
        <f>(INDEX(Models!$BJ170:$BT170,,T170)*(1-R170)+INDEX(Models!$BJ170:$BT170,,T170+1)*R170-ERP_i)*Q170*Ramure*Pc/MaxiM</f>
        <v>2.8489026951760273E-4</v>
      </c>
      <c r="Q170" s="301">
        <f t="shared" si="53"/>
        <v>0.5</v>
      </c>
      <c r="R170" s="173">
        <f t="shared" si="54"/>
        <v>0.21362440804943228</v>
      </c>
      <c r="S170" s="801">
        <f t="shared" si="55"/>
        <v>3</v>
      </c>
      <c r="T170" s="172">
        <f t="shared" si="56"/>
        <v>9</v>
      </c>
      <c r="U170" s="247">
        <f t="shared" si="57"/>
        <v>3.2136244080494323</v>
      </c>
      <c r="V170" s="378">
        <f t="shared" si="58"/>
        <v>240.46001573802792</v>
      </c>
      <c r="W170" s="397">
        <f t="shared" si="59"/>
        <v>129.20962157085154</v>
      </c>
      <c r="X170" s="153">
        <f t="shared" si="60"/>
        <v>46908</v>
      </c>
      <c r="Y170" s="380">
        <f t="shared" si="61"/>
        <v>124.0456740703217</v>
      </c>
      <c r="Z170" s="380">
        <f t="shared" si="62"/>
        <v>128.33627197163068</v>
      </c>
      <c r="AA170" s="381">
        <f t="shared" si="63"/>
        <v>135.17699369971851</v>
      </c>
      <c r="AB170" s="193">
        <f t="shared" si="64"/>
        <v>46908</v>
      </c>
      <c r="AC170" s="119">
        <f>IF(OR(t&lt;Tnet,NoTnet),'2027'!Resal_s+('2027'!Salim-'2027'!Resal_s)*(1-EXP(('2027'!Tnet_s-t)/'2027'!Tau_j)),Resal_s+(Salim-Resal_s)*(1-EXP((Tnet_s-t)/Tau_j)))*Salcycl</f>
        <v>5.060566551201582E-2</v>
      </c>
      <c r="AD170" s="227">
        <f>(INDEX(Models!$BJ170:$BT170,,AH170)*(1-AF170)+INDEX(Models!$BJ170:$BT170,,AH170+1)*AF170-ERP_i)*AE170*Ramure*Pc/MaxiM</f>
        <v>2.8489026951760273E-4</v>
      </c>
      <c r="AE170" s="301">
        <f t="shared" si="65"/>
        <v>0.5</v>
      </c>
      <c r="AF170" s="173">
        <f t="shared" si="66"/>
        <v>0.21362440804943228</v>
      </c>
      <c r="AG170" s="801">
        <f t="shared" si="74"/>
        <v>3</v>
      </c>
      <c r="AH170" s="172">
        <f t="shared" si="67"/>
        <v>9</v>
      </c>
      <c r="AI170" s="221">
        <f t="shared" si="68"/>
        <v>3.2136244080494323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46909</v>
      </c>
      <c r="B171" s="406">
        <f>'2027'!Wh/'2027'!Env_an*'2028'!Env_an</f>
        <v>189.8555233221407</v>
      </c>
      <c r="C171" s="831"/>
      <c r="D171" s="388">
        <f t="shared" si="50"/>
        <v>196.42509748724484</v>
      </c>
      <c r="E171" s="380">
        <f t="shared" si="75"/>
        <v>198.64366571992059</v>
      </c>
      <c r="F171" s="380">
        <f t="shared" si="51"/>
        <v>198.68300611735236</v>
      </c>
      <c r="G171" s="110">
        <f t="shared" si="76"/>
        <v>0.78926784037620512</v>
      </c>
      <c r="H171" s="409" t="b">
        <f>Wh_hp&gt;='2027'!Maxi_hp</f>
        <v>0</v>
      </c>
      <c r="I171" s="385">
        <f>IF(H171,Wh_hp,'2027'!Maxi_hp)</f>
        <v>198.6992170848427</v>
      </c>
      <c r="J171" s="85">
        <f>IF(H171,An,'2027'!An_max)</f>
        <v>2022</v>
      </c>
      <c r="K171" s="193">
        <f t="shared" si="52"/>
        <v>46909</v>
      </c>
      <c r="L171" s="143">
        <f>IF(t&lt;Tvie,1-EXP((T0-t)*PertePVj)+'2027'!Pspv,1-EXP((T0-t)*PertePVj)+Pspv)</f>
        <v>3.3445696345044462E-2</v>
      </c>
      <c r="M171" s="835"/>
      <c r="N171" s="835"/>
      <c r="O171" s="48">
        <f>IF(t&lt;Tnet,'2027'!Resal+('2027'!Salim-'2027'!Resal)*(1-EXP(('2027'!Tnet-t)/('2027'!Tau_j))),Resal+(Salim-Resal)*(1-EXP((Tnet-t)/(Tau_j))))*Salcycl</f>
        <v>1.1168582822086263E-2</v>
      </c>
      <c r="P171" s="165">
        <f>(INDEX(Models!$BJ171:$BT171,,T171)*(1-R171)+INDEX(Models!$BJ171:$BT171,,T171+1)*R171-ERP_i)*Q171*Ramure*Pc/MaxiM</f>
        <v>2.8324982914707946E-4</v>
      </c>
      <c r="Q171" s="301">
        <f t="shared" si="53"/>
        <v>0.5</v>
      </c>
      <c r="R171" s="173">
        <f t="shared" si="54"/>
        <v>0.21872632659657221</v>
      </c>
      <c r="S171" s="801">
        <f t="shared" si="55"/>
        <v>3</v>
      </c>
      <c r="T171" s="172">
        <f t="shared" si="56"/>
        <v>9</v>
      </c>
      <c r="U171" s="247">
        <f t="shared" si="57"/>
        <v>3.2187263265965722</v>
      </c>
      <c r="V171" s="378">
        <f t="shared" si="58"/>
        <v>240.52587266971577</v>
      </c>
      <c r="W171" s="397">
        <f t="shared" si="59"/>
        <v>189.8555233221407</v>
      </c>
      <c r="X171" s="153">
        <f t="shared" si="60"/>
        <v>46909</v>
      </c>
      <c r="Y171" s="380">
        <f t="shared" si="61"/>
        <v>182.27065712385021</v>
      </c>
      <c r="Z171" s="380">
        <f t="shared" si="62"/>
        <v>188.57777202440343</v>
      </c>
      <c r="AA171" s="381">
        <f t="shared" si="63"/>
        <v>198.64366571992059</v>
      </c>
      <c r="AB171" s="193">
        <f t="shared" si="64"/>
        <v>46909</v>
      </c>
      <c r="AC171" s="119">
        <f>IF(OR(t&lt;Tnet,NoTnet),'2027'!Resal_s+('2027'!Salim-'2027'!Resal_s)*(1-EXP(('2027'!Tnet_s-t)/'2027'!Tau_j)),Resal_s+(Salim-Resal_s)*(1-EXP((Tnet_s-t)/Tau_j)))*Salcycl</f>
        <v>5.067311690527123E-2</v>
      </c>
      <c r="AD171" s="227">
        <f>(INDEX(Models!$BJ171:$BT171,,AH171)*(1-AF171)+INDEX(Models!$BJ171:$BT171,,AH171+1)*AF171-ERP_i)*AE171*Ramure*Pc/MaxiM</f>
        <v>2.8324982914707946E-4</v>
      </c>
      <c r="AE171" s="301">
        <f t="shared" si="65"/>
        <v>0.5</v>
      </c>
      <c r="AF171" s="173">
        <f t="shared" si="66"/>
        <v>0.21872632659657221</v>
      </c>
      <c r="AG171" s="801">
        <f t="shared" si="74"/>
        <v>3</v>
      </c>
      <c r="AH171" s="172">
        <f t="shared" si="67"/>
        <v>9</v>
      </c>
      <c r="AI171" s="221">
        <f t="shared" si="68"/>
        <v>3.2187263265965722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46910</v>
      </c>
      <c r="B172" s="406">
        <f>'2027'!Wh/'2027'!Env_an*'2028'!Env_an</f>
        <v>118.3026417266128</v>
      </c>
      <c r="C172" s="831"/>
      <c r="D172" s="388">
        <f t="shared" si="50"/>
        <v>122.3979457390468</v>
      </c>
      <c r="E172" s="380">
        <f t="shared" si="75"/>
        <v>123.79110576368356</v>
      </c>
      <c r="F172" s="380">
        <f t="shared" si="51"/>
        <v>123.80063546991298</v>
      </c>
      <c r="G172" s="110">
        <f t="shared" si="76"/>
        <v>0.49163923246129876</v>
      </c>
      <c r="H172" s="409" t="b">
        <f>Wh_hp&gt;='2027'!Maxi_hp</f>
        <v>0</v>
      </c>
      <c r="I172" s="385">
        <f>IF(H172,Wh_hp,'2027'!Maxi_hp)</f>
        <v>123.82480660988531</v>
      </c>
      <c r="J172" s="85">
        <f>IF(H172,An,'2027'!An_max)</f>
        <v>2022</v>
      </c>
      <c r="K172" s="193">
        <f t="shared" si="52"/>
        <v>46910</v>
      </c>
      <c r="L172" s="143">
        <f>IF(t&lt;Tvie,1-EXP((T0-t)*PertePVj)+'2027'!Pspv,1-EXP((T0-t)*PertePVj)+Pspv)</f>
        <v>3.3458927661786153E-2</v>
      </c>
      <c r="M172" s="835"/>
      <c r="N172" s="835"/>
      <c r="O172" s="48">
        <f>IF(t&lt;Tnet,'2027'!Resal+('2027'!Salim-'2027'!Resal)*(1-EXP(('2027'!Tnet-t)/('2027'!Tau_j))),Resal+(Salim-Resal)*(1-EXP((Tnet-t)/(Tau_j))))*Salcycl</f>
        <v>1.1254120528629015E-2</v>
      </c>
      <c r="P172" s="165">
        <f>(INDEX(Models!$BJ172:$BT172,,T172)*(1-R172)+INDEX(Models!$BJ172:$BT172,,T172+1)*R172-ERP_i)*Q172*Ramure*Pc/MaxiM</f>
        <v>2.8102367635664689E-4</v>
      </c>
      <c r="Q172" s="301">
        <f t="shared" si="53"/>
        <v>0.5</v>
      </c>
      <c r="R172" s="173">
        <f t="shared" si="54"/>
        <v>0.22384546601439803</v>
      </c>
      <c r="S172" s="801">
        <f t="shared" si="55"/>
        <v>3</v>
      </c>
      <c r="T172" s="172">
        <f t="shared" si="56"/>
        <v>9</v>
      </c>
      <c r="U172" s="247">
        <f t="shared" si="57"/>
        <v>3.223845466014398</v>
      </c>
      <c r="V172" s="378">
        <f t="shared" si="58"/>
        <v>240.57986569597088</v>
      </c>
      <c r="W172" s="397">
        <f t="shared" si="59"/>
        <v>118.3026417266128</v>
      </c>
      <c r="X172" s="153">
        <f t="shared" si="60"/>
        <v>46910</v>
      </c>
      <c r="Y172" s="380">
        <f t="shared" si="61"/>
        <v>113.57818096479269</v>
      </c>
      <c r="Z172" s="380">
        <f t="shared" si="62"/>
        <v>117.50993746187044</v>
      </c>
      <c r="AA172" s="381">
        <f t="shared" si="63"/>
        <v>123.79110576368356</v>
      </c>
      <c r="AB172" s="193">
        <f t="shared" si="64"/>
        <v>46910</v>
      </c>
      <c r="AC172" s="119">
        <f>IF(OR(t&lt;Tnet,NoTnet),'2027'!Resal_s+('2027'!Salim-'2027'!Resal_s)*(1-EXP(('2027'!Tnet_s-t)/'2027'!Tau_j)),Resal_s+(Salim-Resal_s)*(1-EXP((Tnet_s-t)/Tau_j)))*Salcycl</f>
        <v>5.074006135629669E-2</v>
      </c>
      <c r="AD172" s="227">
        <f>(INDEX(Models!$BJ172:$BT172,,AH172)*(1-AF172)+INDEX(Models!$BJ172:$BT172,,AH172+1)*AF172-ERP_i)*AE172*Ramure*Pc/MaxiM</f>
        <v>2.8102367635664689E-4</v>
      </c>
      <c r="AE172" s="301">
        <f t="shared" si="65"/>
        <v>0.5</v>
      </c>
      <c r="AF172" s="173">
        <f t="shared" si="66"/>
        <v>0.22384546601439803</v>
      </c>
      <c r="AG172" s="801">
        <f t="shared" si="74"/>
        <v>3</v>
      </c>
      <c r="AH172" s="172">
        <f t="shared" si="67"/>
        <v>9</v>
      </c>
      <c r="AI172" s="221">
        <f t="shared" si="68"/>
        <v>3.223845466014398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46911</v>
      </c>
      <c r="B173" s="406">
        <f>'2027'!Wh/'2027'!Env_an*'2028'!Env_an</f>
        <v>90.132603267472646</v>
      </c>
      <c r="C173" s="831"/>
      <c r="D173" s="388">
        <f t="shared" si="50"/>
        <v>93.254016516819192</v>
      </c>
      <c r="E173" s="380">
        <f t="shared" si="75"/>
        <v>94.323603506448293</v>
      </c>
      <c r="F173" s="380">
        <f t="shared" si="51"/>
        <v>94.326399460590551</v>
      </c>
      <c r="G173" s="110">
        <f t="shared" si="76"/>
        <v>0.37448942102054644</v>
      </c>
      <c r="H173" s="409" t="b">
        <f>Wh_hp&gt;='2027'!Maxi_hp</f>
        <v>0</v>
      </c>
      <c r="I173" s="385">
        <f>IF(H173,Wh_hp,'2027'!Maxi_hp)</f>
        <v>94.348824057543851</v>
      </c>
      <c r="J173" s="85">
        <f>IF(H173,An,'2027'!An_max)</f>
        <v>2022</v>
      </c>
      <c r="K173" s="193">
        <f t="shared" si="52"/>
        <v>46911</v>
      </c>
      <c r="L173" s="143">
        <f>IF(t&lt;Tvie,1-EXP((T0-t)*PertePVj)+'2027'!Pspv,1-EXP((T0-t)*PertePVj)+Pspv)</f>
        <v>3.3472158797402285E-2</v>
      </c>
      <c r="M173" s="835"/>
      <c r="N173" s="835"/>
      <c r="O173" s="48">
        <f>IF(t&lt;Tnet,'2027'!Resal+('2027'!Salim-'2027'!Resal)*(1-EXP(('2027'!Tnet-t)/('2027'!Tau_j))),Resal+(Salim-Resal)*(1-EXP((Tnet-t)/(Tau_j))))*Salcycl</f>
        <v>1.1339547577356678E-2</v>
      </c>
      <c r="P173" s="165">
        <f>(INDEX(Models!$BJ173:$BT173,,T173)*(1-R173)+INDEX(Models!$BJ173:$BT173,,T173+1)*R173-ERP_i)*Q173*Ramure*Pc/MaxiM</f>
        <v>2.7820037892454423E-4</v>
      </c>
      <c r="Q173" s="301">
        <f t="shared" si="53"/>
        <v>0.5</v>
      </c>
      <c r="R173" s="173">
        <f t="shared" si="54"/>
        <v>0.22897757196766477</v>
      </c>
      <c r="S173" s="801">
        <f t="shared" si="55"/>
        <v>3</v>
      </c>
      <c r="T173" s="172">
        <f t="shared" si="56"/>
        <v>9</v>
      </c>
      <c r="U173" s="247">
        <f t="shared" si="57"/>
        <v>3.2289775719676648</v>
      </c>
      <c r="V173" s="378">
        <f t="shared" si="58"/>
        <v>240.62148158457006</v>
      </c>
      <c r="W173" s="397">
        <f t="shared" si="59"/>
        <v>90.132603267472646</v>
      </c>
      <c r="X173" s="153">
        <f t="shared" si="60"/>
        <v>46911</v>
      </c>
      <c r="Y173" s="380">
        <f t="shared" si="61"/>
        <v>86.534547265511037</v>
      </c>
      <c r="Z173" s="380">
        <f t="shared" si="62"/>
        <v>89.531354997328208</v>
      </c>
      <c r="AA173" s="381">
        <f t="shared" si="63"/>
        <v>94.323603506448293</v>
      </c>
      <c r="AB173" s="193">
        <f t="shared" si="64"/>
        <v>46911</v>
      </c>
      <c r="AC173" s="119">
        <f>IF(OR(t&lt;Tnet,NoTnet),'2027'!Resal_s+('2027'!Salim-'2027'!Resal_s)*(1-EXP(('2027'!Tnet_s-t)/'2027'!Tau_j)),Resal_s+(Salim-Resal_s)*(1-EXP((Tnet_s-t)/Tau_j)))*Salcycl</f>
        <v>5.0806461277663903E-2</v>
      </c>
      <c r="AD173" s="227">
        <f>(INDEX(Models!$BJ173:$BT173,,AH173)*(1-AF173)+INDEX(Models!$BJ173:$BT173,,AH173+1)*AF173-ERP_i)*AE173*Ramure*Pc/MaxiM</f>
        <v>2.7820037892454423E-4</v>
      </c>
      <c r="AE173" s="301">
        <f t="shared" si="65"/>
        <v>0.5</v>
      </c>
      <c r="AF173" s="173">
        <f t="shared" si="66"/>
        <v>0.22897757196766477</v>
      </c>
      <c r="AG173" s="801">
        <f t="shared" si="74"/>
        <v>3</v>
      </c>
      <c r="AH173" s="172">
        <f t="shared" si="67"/>
        <v>9</v>
      </c>
      <c r="AI173" s="221">
        <f t="shared" si="68"/>
        <v>3.2289775719676648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46912</v>
      </c>
      <c r="B174" s="406">
        <f>'2027'!Wh/'2027'!Env_an*'2028'!Env_an</f>
        <v>191.21043525554063</v>
      </c>
      <c r="C174" s="831"/>
      <c r="D174" s="388">
        <f t="shared" si="50"/>
        <v>197.83501793775969</v>
      </c>
      <c r="E174" s="380">
        <f t="shared" si="75"/>
        <v>200.12137533222784</v>
      </c>
      <c r="F174" s="380">
        <f t="shared" si="51"/>
        <v>200.16023185644636</v>
      </c>
      <c r="G174" s="110">
        <f t="shared" si="76"/>
        <v>0.79449344751684281</v>
      </c>
      <c r="H174" s="409" t="b">
        <f>Wh_hp&gt;='2027'!Maxi_hp</f>
        <v>0</v>
      </c>
      <c r="I174" s="385">
        <f>IF(H174,Wh_hp,'2027'!Maxi_hp)</f>
        <v>200.17566222023561</v>
      </c>
      <c r="J174" s="85">
        <f>IF(H174,An,'2027'!An_max)</f>
        <v>2022</v>
      </c>
      <c r="K174" s="193">
        <f t="shared" si="52"/>
        <v>46912</v>
      </c>
      <c r="L174" s="143">
        <f>IF(t&lt;Tvie,1-EXP((T0-t)*PertePVj)+'2027'!Pspv,1-EXP((T0-t)*PertePVj)+Pspv)</f>
        <v>3.3485389751895189E-2</v>
      </c>
      <c r="M174" s="835"/>
      <c r="N174" s="835"/>
      <c r="O174" s="48">
        <f>IF(t&lt;Tnet,'2027'!Resal+('2027'!Salim-'2027'!Resal)*(1-EXP(('2027'!Tnet-t)/('2027'!Tau_j))),Resal+(Salim-Resal)*(1-EXP((Tnet-t)/(Tau_j))))*Salcycl</f>
        <v>1.1424853495397456E-2</v>
      </c>
      <c r="P174" s="165">
        <f>(INDEX(Models!$BJ174:$BT174,,T174)*(1-R174)+INDEX(Models!$BJ174:$BT174,,T174+1)*R174-ERP_i)*Q174*Ramure*Pc/MaxiM</f>
        <v>2.747687712824145E-4</v>
      </c>
      <c r="Q174" s="301">
        <f t="shared" si="53"/>
        <v>0.5</v>
      </c>
      <c r="R174" s="173">
        <f t="shared" si="54"/>
        <v>0.23411834661197073</v>
      </c>
      <c r="S174" s="801">
        <f t="shared" si="55"/>
        <v>3</v>
      </c>
      <c r="T174" s="172">
        <f t="shared" si="56"/>
        <v>9</v>
      </c>
      <c r="U174" s="247">
        <f t="shared" si="57"/>
        <v>3.2341183466119707</v>
      </c>
      <c r="V174" s="378">
        <f t="shared" si="58"/>
        <v>240.65020715909085</v>
      </c>
      <c r="W174" s="397">
        <f t="shared" si="59"/>
        <v>191.21043525554063</v>
      </c>
      <c r="X174" s="153">
        <f t="shared" si="60"/>
        <v>46912</v>
      </c>
      <c r="Y174" s="380">
        <f t="shared" si="61"/>
        <v>183.58050472951021</v>
      </c>
      <c r="Z174" s="380">
        <f t="shared" si="62"/>
        <v>189.94074459193638</v>
      </c>
      <c r="AA174" s="381">
        <f t="shared" si="63"/>
        <v>200.12137533222784</v>
      </c>
      <c r="AB174" s="193">
        <f t="shared" si="64"/>
        <v>46912</v>
      </c>
      <c r="AC174" s="119">
        <f>IF(OR(t&lt;Tnet,NoTnet),'2027'!Resal_s+('2027'!Salim-'2027'!Resal_s)*(1-EXP(('2027'!Tnet_s-t)/'2027'!Tau_j)),Resal_s+(Salim-Resal_s)*(1-EXP((Tnet_s-t)/Tau_j)))*Salcycl</f>
        <v>5.0872280501721864E-2</v>
      </c>
      <c r="AD174" s="227">
        <f>(INDEX(Models!$BJ174:$BT174,,AH174)*(1-AF174)+INDEX(Models!$BJ174:$BT174,,AH174+1)*AF174-ERP_i)*AE174*Ramure*Pc/MaxiM</f>
        <v>2.747687712824145E-4</v>
      </c>
      <c r="AE174" s="301">
        <f t="shared" si="65"/>
        <v>0.5</v>
      </c>
      <c r="AF174" s="173">
        <f t="shared" si="66"/>
        <v>0.23411834661197073</v>
      </c>
      <c r="AG174" s="801">
        <f t="shared" si="74"/>
        <v>3</v>
      </c>
      <c r="AH174" s="172">
        <f t="shared" si="67"/>
        <v>9</v>
      </c>
      <c r="AI174" s="221">
        <f t="shared" si="68"/>
        <v>3.2341183466119707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46913</v>
      </c>
      <c r="B175" s="406">
        <f>'2027'!Wh/'2027'!Env_an*'2028'!Env_an</f>
        <v>241.72464838128698</v>
      </c>
      <c r="C175" s="831"/>
      <c r="D175" s="388">
        <f t="shared" si="50"/>
        <v>250.10274533975092</v>
      </c>
      <c r="E175" s="380">
        <f t="shared" si="75"/>
        <v>253.01495454450256</v>
      </c>
      <c r="F175" s="380">
        <f t="shared" si="51"/>
        <v>253.08346878897103</v>
      </c>
      <c r="G175" s="110">
        <f t="shared" si="76"/>
        <v>1.0044007926630025</v>
      </c>
      <c r="H175" s="409" t="b">
        <f>Wh_hp&gt;='2027'!Maxi_hp</f>
        <v>1</v>
      </c>
      <c r="I175" s="385">
        <f>IF(H175,Wh_hp,'2027'!Maxi_hp)</f>
        <v>253.08346878897103</v>
      </c>
      <c r="J175" s="85">
        <f>IF(H175,An,'2027'!An_max)</f>
        <v>2028</v>
      </c>
      <c r="K175" s="193">
        <f t="shared" si="52"/>
        <v>46913</v>
      </c>
      <c r="L175" s="143">
        <f>IF(t&lt;Tvie,1-EXP((T0-t)*PertePVj)+'2027'!Pspv,1-EXP((T0-t)*PertePVj)+Pspv)</f>
        <v>3.3498620525267531E-2</v>
      </c>
      <c r="M175" s="835"/>
      <c r="N175" s="835"/>
      <c r="O175" s="48">
        <f>IF(t&lt;Tnet,'2027'!Resal+('2027'!Salim-'2027'!Resal)*(1-EXP(('2027'!Tnet-t)/('2027'!Tau_j))),Resal+(Salim-Resal)*(1-EXP((Tnet-t)/(Tau_j))))*Salcycl</f>
        <v>1.1510027974411363E-2</v>
      </c>
      <c r="P175" s="165">
        <f>(INDEX(Models!$BJ175:$BT175,,T175)*(1-R175)+INDEX(Models!$BJ175:$BT175,,T175+1)*R175-ERP_i)*Q175*Ramure*Pc/MaxiM</f>
        <v>2.7071797615350933E-4</v>
      </c>
      <c r="Q175" s="301">
        <f t="shared" si="53"/>
        <v>0.5</v>
      </c>
      <c r="R175" s="173">
        <f t="shared" si="54"/>
        <v>0.23926346292298195</v>
      </c>
      <c r="S175" s="801">
        <f t="shared" si="55"/>
        <v>3</v>
      </c>
      <c r="T175" s="172">
        <f t="shared" si="56"/>
        <v>9</v>
      </c>
      <c r="U175" s="247">
        <f t="shared" si="57"/>
        <v>3.239263462922982</v>
      </c>
      <c r="V175" s="378">
        <f t="shared" si="58"/>
        <v>240.66552928576854</v>
      </c>
      <c r="W175" s="397">
        <f t="shared" si="59"/>
        <v>241.72464838128698</v>
      </c>
      <c r="X175" s="153">
        <f t="shared" si="60"/>
        <v>46913</v>
      </c>
      <c r="Y175" s="380">
        <f t="shared" si="61"/>
        <v>232.08308567801089</v>
      </c>
      <c r="Z175" s="380">
        <f t="shared" si="62"/>
        <v>240.12700923835391</v>
      </c>
      <c r="AA175" s="381">
        <f t="shared" si="63"/>
        <v>253.01495454450256</v>
      </c>
      <c r="AB175" s="193">
        <f t="shared" si="64"/>
        <v>46913</v>
      </c>
      <c r="AC175" s="119">
        <f>IF(OR(t&lt;Tnet,NoTnet),'2027'!Resal_s+('2027'!Salim-'2027'!Resal_s)*(1-EXP(('2027'!Tnet_s-t)/'2027'!Tau_j)),Resal_s+(Salim-Resal_s)*(1-EXP((Tnet_s-t)/Tau_j)))*Salcycl</f>
        <v>5.0937484423995989E-2</v>
      </c>
      <c r="AD175" s="227">
        <f>(INDEX(Models!$BJ175:$BT175,,AH175)*(1-AF175)+INDEX(Models!$BJ175:$BT175,,AH175+1)*AF175-ERP_i)*AE175*Ramure*Pc/MaxiM</f>
        <v>2.7071797615350933E-4</v>
      </c>
      <c r="AE175" s="301">
        <f t="shared" si="65"/>
        <v>0.5</v>
      </c>
      <c r="AF175" s="173">
        <f t="shared" si="66"/>
        <v>0.23926346292298195</v>
      </c>
      <c r="AG175" s="801">
        <f t="shared" si="74"/>
        <v>3</v>
      </c>
      <c r="AH175" s="172">
        <f t="shared" si="67"/>
        <v>9</v>
      </c>
      <c r="AI175" s="221">
        <f t="shared" si="68"/>
        <v>3.239263462922982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46914</v>
      </c>
      <c r="B176" s="406">
        <f>'2027'!Wh/'2027'!Env_an*'2028'!Env_an</f>
        <v>229.58716884732701</v>
      </c>
      <c r="C176" s="831"/>
      <c r="D176" s="388">
        <f t="shared" si="50"/>
        <v>237.54783658008827</v>
      </c>
      <c r="E176" s="380">
        <f t="shared" si="75"/>
        <v>240.33453009619555</v>
      </c>
      <c r="F176" s="380">
        <f t="shared" si="51"/>
        <v>240.39427783749974</v>
      </c>
      <c r="G176" s="110">
        <f t="shared" si="76"/>
        <v>0.95394554697984624</v>
      </c>
      <c r="H176" s="409" t="b">
        <f>Wh_hp&gt;='2027'!Maxi_hp</f>
        <v>0</v>
      </c>
      <c r="I176" s="385">
        <f>IF(H176,Wh_hp,'2027'!Maxi_hp)</f>
        <v>240.39829308903109</v>
      </c>
      <c r="J176" s="85">
        <f>IF(H176,An,'2027'!An_max)</f>
        <v>2022</v>
      </c>
      <c r="K176" s="193">
        <f t="shared" si="52"/>
        <v>46914</v>
      </c>
      <c r="L176" s="143">
        <f>IF(t&lt;Tvie,1-EXP((T0-t)*PertePVj)+'2027'!Pspv,1-EXP((T0-t)*PertePVj)+Pspv)</f>
        <v>3.351185111752164E-2</v>
      </c>
      <c r="M176" s="835"/>
      <c r="N176" s="835"/>
      <c r="O176" s="48">
        <f>IF(t&lt;Tnet,'2027'!Resal+('2027'!Salim-'2027'!Resal)*(1-EXP(('2027'!Tnet-t)/('2027'!Tau_j))),Resal+(Salim-Resal)*(1-EXP((Tnet-t)/(Tau_j))))*Salcycl</f>
        <v>1.1595060913601843E-2</v>
      </c>
      <c r="P176" s="165">
        <f>(INDEX(Models!$BJ176:$BT176,,T176)*(1-R176)+INDEX(Models!$BJ176:$BT176,,T176+1)*R176-ERP_i)*Q176*Ramure*Pc/MaxiM</f>
        <v>2.6603742263459486E-4</v>
      </c>
      <c r="Q176" s="301">
        <f t="shared" si="53"/>
        <v>0.5</v>
      </c>
      <c r="R176" s="173">
        <f t="shared" si="54"/>
        <v>0.24440857923399362</v>
      </c>
      <c r="S176" s="801">
        <f t="shared" si="55"/>
        <v>3</v>
      </c>
      <c r="T176" s="172">
        <f t="shared" si="56"/>
        <v>9</v>
      </c>
      <c r="U176" s="247">
        <f t="shared" si="57"/>
        <v>3.2444085792339936</v>
      </c>
      <c r="V176" s="378">
        <f t="shared" si="58"/>
        <v>240.66693485038718</v>
      </c>
      <c r="W176" s="397">
        <f t="shared" si="59"/>
        <v>229.58716884732701</v>
      </c>
      <c r="X176" s="153">
        <f t="shared" si="60"/>
        <v>46914</v>
      </c>
      <c r="Y176" s="380">
        <f t="shared" si="61"/>
        <v>220.43369699021872</v>
      </c>
      <c r="Z176" s="380">
        <f t="shared" si="62"/>
        <v>228.07697874526417</v>
      </c>
      <c r="AA176" s="381">
        <f t="shared" si="63"/>
        <v>240.33453009619555</v>
      </c>
      <c r="AB176" s="193">
        <f t="shared" si="64"/>
        <v>46914</v>
      </c>
      <c r="AC176" s="119">
        <f>IF(OR(t&lt;Tnet,NoTnet),'2027'!Resal_s+('2027'!Salim-'2027'!Resal_s)*(1-EXP(('2027'!Tnet_s-t)/'2027'!Tau_j)),Resal_s+(Salim-Resal_s)*(1-EXP((Tnet_s-t)/Tau_j)))*Salcycl</f>
        <v>5.1002040139738677E-2</v>
      </c>
      <c r="AD176" s="227">
        <f>(INDEX(Models!$BJ176:$BT176,,AH176)*(1-AF176)+INDEX(Models!$BJ176:$BT176,,AH176+1)*AF176-ERP_i)*AE176*Ramure*Pc/MaxiM</f>
        <v>2.6603742263459486E-4</v>
      </c>
      <c r="AE176" s="301">
        <f t="shared" si="65"/>
        <v>0.5</v>
      </c>
      <c r="AF176" s="173">
        <f t="shared" si="66"/>
        <v>0.24440857923399362</v>
      </c>
      <c r="AG176" s="801">
        <f t="shared" si="74"/>
        <v>3</v>
      </c>
      <c r="AH176" s="172">
        <f t="shared" si="67"/>
        <v>9</v>
      </c>
      <c r="AI176" s="221">
        <f t="shared" si="68"/>
        <v>3.2444085792339936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46915</v>
      </c>
      <c r="B177" s="406">
        <f>'2027'!Wh/'2027'!Env_an*'2028'!Env_an</f>
        <v>181.25225286632039</v>
      </c>
      <c r="C177" s="831"/>
      <c r="D177" s="388">
        <f t="shared" si="50"/>
        <v>187.53953093061597</v>
      </c>
      <c r="E177" s="380">
        <f t="shared" si="75"/>
        <v>189.75586855718601</v>
      </c>
      <c r="F177" s="380">
        <f t="shared" si="51"/>
        <v>189.78790141774249</v>
      </c>
      <c r="G177" s="110">
        <f t="shared" si="76"/>
        <v>0.75309582600439617</v>
      </c>
      <c r="H177" s="409" t="b">
        <f>Wh_hp&gt;='2027'!Maxi_hp</f>
        <v>0</v>
      </c>
      <c r="I177" s="385">
        <f>IF(H177,Wh_hp,'2027'!Maxi_hp)</f>
        <v>189.8045422952159</v>
      </c>
      <c r="J177" s="85">
        <f>IF(H177,An,'2027'!An_max)</f>
        <v>2022</v>
      </c>
      <c r="K177" s="193">
        <f t="shared" si="52"/>
        <v>46915</v>
      </c>
      <c r="L177" s="143">
        <f>IF(t&lt;Tvie,1-EXP((T0-t)*PertePVj)+'2027'!Pspv,1-EXP((T0-t)*PertePVj)+Pspv)</f>
        <v>3.3525081528660072E-2</v>
      </c>
      <c r="M177" s="835"/>
      <c r="N177" s="835"/>
      <c r="O177" s="48">
        <f>IF(t&lt;Tnet,'2027'!Resal+('2027'!Salim-'2027'!Resal)*(1-EXP(('2027'!Tnet-t)/('2027'!Tau_j))),Resal+(Salim-Resal)*(1-EXP((Tnet-t)/(Tau_j))))*Salcycl</f>
        <v>1.1679942461975151E-2</v>
      </c>
      <c r="P177" s="165">
        <f>(INDEX(Models!$BJ177:$BT177,,T177)*(1-R177)+INDEX(Models!$BJ177:$BT177,,T177+1)*R177-ERP_i)*Q177*Ramure*Pc/MaxiM</f>
        <v>2.6071667187524199E-4</v>
      </c>
      <c r="Q177" s="301">
        <f t="shared" si="53"/>
        <v>0.5</v>
      </c>
      <c r="R177" s="173">
        <f t="shared" si="54"/>
        <v>0.24954935387829957</v>
      </c>
      <c r="S177" s="801">
        <f t="shared" si="55"/>
        <v>3</v>
      </c>
      <c r="T177" s="172">
        <f t="shared" si="56"/>
        <v>9</v>
      </c>
      <c r="U177" s="247">
        <f t="shared" si="57"/>
        <v>3.2495493538782996</v>
      </c>
      <c r="V177" s="378">
        <f t="shared" si="58"/>
        <v>240.65408478488973</v>
      </c>
      <c r="W177" s="397">
        <f t="shared" si="59"/>
        <v>181.25225286632039</v>
      </c>
      <c r="X177" s="153">
        <f t="shared" si="60"/>
        <v>46915</v>
      </c>
      <c r="Y177" s="380">
        <f t="shared" si="61"/>
        <v>174.02909020312799</v>
      </c>
      <c r="Z177" s="380">
        <f t="shared" si="62"/>
        <v>180.06581120427563</v>
      </c>
      <c r="AA177" s="381">
        <f t="shared" si="63"/>
        <v>189.75586855718601</v>
      </c>
      <c r="AB177" s="193">
        <f t="shared" si="64"/>
        <v>46915</v>
      </c>
      <c r="AC177" s="119">
        <f>IF(OR(t&lt;Tnet,NoTnet),'2027'!Resal_s+('2027'!Salim-'2027'!Resal_s)*(1-EXP(('2027'!Tnet_s-t)/'2027'!Tau_j)),Resal_s+(Salim-Resal_s)*(1-EXP((Tnet_s-t)/Tau_j)))*Salcycl</f>
        <v>5.106591657264143E-2</v>
      </c>
      <c r="AD177" s="227">
        <f>(INDEX(Models!$BJ177:$BT177,,AH177)*(1-AF177)+INDEX(Models!$BJ177:$BT177,,AH177+1)*AF177-ERP_i)*AE177*Ramure*Pc/MaxiM</f>
        <v>2.6071667187524199E-4</v>
      </c>
      <c r="AE177" s="301">
        <f t="shared" si="65"/>
        <v>0.5</v>
      </c>
      <c r="AF177" s="173">
        <f t="shared" si="66"/>
        <v>0.24954935387829957</v>
      </c>
      <c r="AG177" s="801">
        <f t="shared" si="74"/>
        <v>3</v>
      </c>
      <c r="AH177" s="172">
        <f t="shared" si="67"/>
        <v>9</v>
      </c>
      <c r="AI177" s="221">
        <f t="shared" si="68"/>
        <v>3.2495493538782996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46916</v>
      </c>
      <c r="B178" s="406">
        <f>'2027'!Wh/'2027'!Env_an*'2028'!Env_an</f>
        <v>222.91885718607335</v>
      </c>
      <c r="C178" s="831"/>
      <c r="D178" s="388">
        <f t="shared" si="50"/>
        <v>230.65462387000798</v>
      </c>
      <c r="E178" s="380">
        <f t="shared" si="75"/>
        <v>233.40050213556177</v>
      </c>
      <c r="F178" s="380">
        <f t="shared" si="51"/>
        <v>233.45382261050435</v>
      </c>
      <c r="G178" s="110">
        <f t="shared" si="76"/>
        <v>0.92638262287907802</v>
      </c>
      <c r="H178" s="409" t="b">
        <f>Wh_hp&gt;='2027'!Maxi_hp</f>
        <v>0</v>
      </c>
      <c r="I178" s="385">
        <f>IF(H178,Wh_hp,'2027'!Maxi_hp)</f>
        <v>233.45979077270493</v>
      </c>
      <c r="J178" s="85">
        <f>IF(H178,An,'2027'!An_max)</f>
        <v>2022</v>
      </c>
      <c r="K178" s="193">
        <f t="shared" si="52"/>
        <v>46916</v>
      </c>
      <c r="L178" s="143">
        <f>IF(t&lt;Tvie,1-EXP((T0-t)*PertePVj)+'2027'!Pspv,1-EXP((T0-t)*PertePVj)+Pspv)</f>
        <v>3.3538311758685269E-2</v>
      </c>
      <c r="M178" s="835"/>
      <c r="N178" s="835"/>
      <c r="O178" s="48">
        <f>IF(t&lt;Tnet,'2027'!Resal+('2027'!Salim-'2027'!Resal)*(1-EXP(('2027'!Tnet-t)/('2027'!Tau_j))),Resal+(Salim-Resal)*(1-EXP((Tnet-t)/(Tau_j))))*Salcycl</f>
        <v>1.1764663059546307E-2</v>
      </c>
      <c r="P178" s="165">
        <f>(INDEX(Models!$BJ178:$BT178,,T178)*(1-R178)+INDEX(Models!$BJ178:$BT178,,T178+1)*R178-ERP_i)*Q178*Ramure*Pc/MaxiM</f>
        <v>2.5523141008010184E-4</v>
      </c>
      <c r="Q178" s="301">
        <f t="shared" si="53"/>
        <v>0.5</v>
      </c>
      <c r="R178" s="173">
        <f t="shared" si="54"/>
        <v>0.25468145983156587</v>
      </c>
      <c r="S178" s="801">
        <f t="shared" si="55"/>
        <v>3</v>
      </c>
      <c r="T178" s="172">
        <f t="shared" si="56"/>
        <v>9</v>
      </c>
      <c r="U178" s="247">
        <f t="shared" si="57"/>
        <v>3.2546814598315659</v>
      </c>
      <c r="V178" s="378">
        <f t="shared" si="58"/>
        <v>240.62721895456377</v>
      </c>
      <c r="W178" s="397">
        <f t="shared" si="59"/>
        <v>222.91885718607335</v>
      </c>
      <c r="X178" s="153">
        <f t="shared" si="60"/>
        <v>46916</v>
      </c>
      <c r="Y178" s="380">
        <f t="shared" si="61"/>
        <v>214.03932056720541</v>
      </c>
      <c r="Z178" s="380">
        <f t="shared" si="62"/>
        <v>221.46694811741173</v>
      </c>
      <c r="AA178" s="381">
        <f t="shared" si="63"/>
        <v>233.40050213556177</v>
      </c>
      <c r="AB178" s="193">
        <f t="shared" si="64"/>
        <v>46916</v>
      </c>
      <c r="AC178" s="119">
        <f>IF(OR(t&lt;Tnet,NoTnet),'2027'!Resal_s+('2027'!Salim-'2027'!Resal_s)*(1-EXP(('2027'!Tnet_s-t)/'2027'!Tau_j)),Resal_s+(Salim-Resal_s)*(1-EXP((Tnet_s-t)/Tau_j)))*Salcycl</f>
        <v>5.1129084594766137E-2</v>
      </c>
      <c r="AD178" s="227">
        <f>(INDEX(Models!$BJ178:$BT178,,AH178)*(1-AF178)+INDEX(Models!$BJ178:$BT178,,AH178+1)*AF178-ERP_i)*AE178*Ramure*Pc/MaxiM</f>
        <v>2.5523141008010184E-4</v>
      </c>
      <c r="AE178" s="301">
        <f t="shared" si="65"/>
        <v>0.5</v>
      </c>
      <c r="AF178" s="173">
        <f t="shared" si="66"/>
        <v>0.25468145983156587</v>
      </c>
      <c r="AG178" s="801">
        <f t="shared" si="74"/>
        <v>3</v>
      </c>
      <c r="AH178" s="172">
        <f t="shared" si="67"/>
        <v>9</v>
      </c>
      <c r="AI178" s="221">
        <f t="shared" si="68"/>
        <v>3.2546814598315659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46917</v>
      </c>
      <c r="B179" s="406">
        <f>'2027'!Wh/'2027'!Env_an*'2028'!Env_an</f>
        <v>201.26554096071754</v>
      </c>
      <c r="C179" s="831"/>
      <c r="D179" s="388">
        <f t="shared" si="50"/>
        <v>208.25274152452488</v>
      </c>
      <c r="E179" s="380">
        <f t="shared" si="75"/>
        <v>210.74996282434105</v>
      </c>
      <c r="F179" s="380">
        <f t="shared" si="51"/>
        <v>210.79038981616961</v>
      </c>
      <c r="G179" s="110">
        <f t="shared" si="76"/>
        <v>0.83651244377562739</v>
      </c>
      <c r="H179" s="409" t="b">
        <f>Wh_hp&gt;='2027'!Maxi_hp</f>
        <v>0</v>
      </c>
      <c r="I179" s="385">
        <f>IF(H179,Wh_hp,'2027'!Maxi_hp)</f>
        <v>210.80210938162338</v>
      </c>
      <c r="J179" s="85">
        <f>IF(H179,An,'2027'!An_max)</f>
        <v>2022</v>
      </c>
      <c r="K179" s="193">
        <f t="shared" si="52"/>
        <v>46917</v>
      </c>
      <c r="L179" s="143">
        <f>IF(t&lt;Tvie,1-EXP((T0-t)*PertePVj)+'2027'!Pspv,1-EXP((T0-t)*PertePVj)+Pspv)</f>
        <v>3.3551541807599672E-2</v>
      </c>
      <c r="M179" s="835"/>
      <c r="N179" s="835"/>
      <c r="O179" s="48">
        <f>IF(t&lt;Tnet,'2027'!Resal+('2027'!Salim-'2027'!Resal)*(1-EXP(('2027'!Tnet-t)/('2027'!Tau_j))),Resal+(Salim-Resal)*(1-EXP((Tnet-t)/(Tau_j))))*Salcycl</f>
        <v>1.1849213477193348E-2</v>
      </c>
      <c r="P179" s="165">
        <f>(INDEX(Models!$BJ179:$BT179,,T179)*(1-R179)+INDEX(Models!$BJ179:$BT179,,T179+1)*R179-ERP_i)*Q179*Ramure*Pc/MaxiM</f>
        <v>2.5020690704740577E-4</v>
      </c>
      <c r="Q179" s="301">
        <f t="shared" si="53"/>
        <v>0.5</v>
      </c>
      <c r="R179" s="173">
        <f t="shared" si="54"/>
        <v>0.25980059924939214</v>
      </c>
      <c r="S179" s="801">
        <f t="shared" si="55"/>
        <v>3</v>
      </c>
      <c r="T179" s="172">
        <f t="shared" si="56"/>
        <v>9</v>
      </c>
      <c r="U179" s="247">
        <f t="shared" si="57"/>
        <v>3.2598005992493921</v>
      </c>
      <c r="V179" s="378">
        <f t="shared" si="58"/>
        <v>240.58671501878447</v>
      </c>
      <c r="W179" s="397">
        <f t="shared" si="59"/>
        <v>201.26554096071754</v>
      </c>
      <c r="X179" s="153">
        <f t="shared" si="60"/>
        <v>46917</v>
      </c>
      <c r="Y179" s="380">
        <f t="shared" si="61"/>
        <v>193.25234081283676</v>
      </c>
      <c r="Z179" s="380">
        <f t="shared" si="62"/>
        <v>199.96135249083727</v>
      </c>
      <c r="AA179" s="381">
        <f t="shared" si="63"/>
        <v>210.74996282434105</v>
      </c>
      <c r="AB179" s="193">
        <f t="shared" si="64"/>
        <v>46917</v>
      </c>
      <c r="AC179" s="119">
        <f>IF(OR(t&lt;Tnet,NoTnet),'2027'!Resal_s+('2027'!Salim-'2027'!Resal_s)*(1-EXP(('2027'!Tnet_s-t)/'2027'!Tau_j)),Resal_s+(Salim-Resal_s)*(1-EXP((Tnet_s-t)/Tau_j)))*Salcycl</f>
        <v>5.1191517136807412E-2</v>
      </c>
      <c r="AD179" s="227">
        <f>(INDEX(Models!$BJ179:$BT179,,AH179)*(1-AF179)+INDEX(Models!$BJ179:$BT179,,AH179+1)*AF179-ERP_i)*AE179*Ramure*Pc/MaxiM</f>
        <v>2.5020690704740577E-4</v>
      </c>
      <c r="AE179" s="301">
        <f t="shared" si="65"/>
        <v>0.5</v>
      </c>
      <c r="AF179" s="173">
        <f t="shared" si="66"/>
        <v>0.25980059924939214</v>
      </c>
      <c r="AG179" s="801">
        <f t="shared" si="74"/>
        <v>3</v>
      </c>
      <c r="AH179" s="172">
        <f t="shared" si="67"/>
        <v>9</v>
      </c>
      <c r="AI179" s="221">
        <f t="shared" si="68"/>
        <v>3.2598005992493921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46918</v>
      </c>
      <c r="B180" s="406">
        <f>'2027'!Wh/'2027'!Env_an*'2028'!Env_an</f>
        <v>225.92723407696795</v>
      </c>
      <c r="C180" s="831"/>
      <c r="D180" s="388">
        <f t="shared" si="50"/>
        <v>233.77379823853684</v>
      </c>
      <c r="E180" s="380">
        <f t="shared" si="75"/>
        <v>236.59725161713848</v>
      </c>
      <c r="F180" s="380">
        <f t="shared" si="51"/>
        <v>236.65034264567174</v>
      </c>
      <c r="G180" s="110">
        <f t="shared" si="76"/>
        <v>0.9392570921003871</v>
      </c>
      <c r="H180" s="409" t="b">
        <f>Wh_hp&gt;='2027'!Maxi_hp</f>
        <v>0</v>
      </c>
      <c r="I180" s="385">
        <f>IF(H180,Wh_hp,'2027'!Maxi_hp)</f>
        <v>236.65513691987971</v>
      </c>
      <c r="J180" s="85">
        <f>IF(H180,An,'2027'!An_max)</f>
        <v>2022</v>
      </c>
      <c r="K180" s="193">
        <f t="shared" si="52"/>
        <v>46918</v>
      </c>
      <c r="L180" s="143">
        <f>IF(t&lt;Tvie,1-EXP((T0-t)*PertePVj)+'2027'!Pspv,1-EXP((T0-t)*PertePVj)+Pspv)</f>
        <v>3.3564771675405947E-2</v>
      </c>
      <c r="M180" s="835"/>
      <c r="N180" s="835"/>
      <c r="O180" s="48">
        <f>IF(t&lt;Tnet,'2027'!Resal+('2027'!Salim-'2027'!Resal)*(1-EXP(('2027'!Tnet-t)/('2027'!Tau_j))),Resal+(Salim-Resal)*(1-EXP((Tnet-t)/(Tau_j))))*Salcycl</f>
        <v>1.1933584854867889E-2</v>
      </c>
      <c r="P180" s="165">
        <f>(INDEX(Models!$BJ180:$BT180,,T180)*(1-R180)+INDEX(Models!$BJ180:$BT180,,T180+1)*R180-ERP_i)*Q180*Ramure*Pc/MaxiM</f>
        <v>2.4565346000720049E-4</v>
      </c>
      <c r="Q180" s="301">
        <f t="shared" si="53"/>
        <v>0.5</v>
      </c>
      <c r="R180" s="173">
        <f t="shared" si="54"/>
        <v>0.26490251779653207</v>
      </c>
      <c r="S180" s="801">
        <f t="shared" si="55"/>
        <v>3</v>
      </c>
      <c r="T180" s="172">
        <f t="shared" si="56"/>
        <v>9</v>
      </c>
      <c r="U180" s="247">
        <f t="shared" si="57"/>
        <v>3.2649025177965321</v>
      </c>
      <c r="V180" s="378">
        <f t="shared" si="58"/>
        <v>240.53309839871585</v>
      </c>
      <c r="W180" s="397">
        <f t="shared" si="59"/>
        <v>225.92723407696795</v>
      </c>
      <c r="X180" s="153">
        <f t="shared" si="60"/>
        <v>46918</v>
      </c>
      <c r="Y180" s="380">
        <f t="shared" si="61"/>
        <v>216.93657379504532</v>
      </c>
      <c r="Z180" s="380">
        <f t="shared" si="62"/>
        <v>224.47088789501723</v>
      </c>
      <c r="AA180" s="381">
        <f t="shared" si="63"/>
        <v>236.59725161713848</v>
      </c>
      <c r="AB180" s="193">
        <f t="shared" si="64"/>
        <v>46918</v>
      </c>
      <c r="AC180" s="119">
        <f>IF(OR(t&lt;Tnet,NoTnet),'2027'!Resal_s+('2027'!Salim-'2027'!Resal_s)*(1-EXP(('2027'!Tnet_s-t)/'2027'!Tau_j)),Resal_s+(Salim-Resal_s)*(1-EXP((Tnet_s-t)/Tau_j)))*Salcycl</f>
        <v>5.1253189287862579E-2</v>
      </c>
      <c r="AD180" s="227">
        <f>(INDEX(Models!$BJ180:$BT180,,AH180)*(1-AF180)+INDEX(Models!$BJ180:$BT180,,AH180+1)*AF180-ERP_i)*AE180*Ramure*Pc/MaxiM</f>
        <v>2.4565346000720049E-4</v>
      </c>
      <c r="AE180" s="301">
        <f t="shared" si="65"/>
        <v>0.5</v>
      </c>
      <c r="AF180" s="173">
        <f t="shared" si="66"/>
        <v>0.26490251779653207</v>
      </c>
      <c r="AG180" s="801">
        <f t="shared" si="74"/>
        <v>3</v>
      </c>
      <c r="AH180" s="172">
        <f t="shared" si="67"/>
        <v>9</v>
      </c>
      <c r="AI180" s="221">
        <f t="shared" si="68"/>
        <v>3.2649025177965321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46919</v>
      </c>
      <c r="B181" s="406">
        <f>'2027'!Wh/'2027'!Env_an*'2028'!Env_an</f>
        <v>213.28551488153889</v>
      </c>
      <c r="C181" s="831"/>
      <c r="D181" s="388">
        <f t="shared" si="50"/>
        <v>220.69604704999512</v>
      </c>
      <c r="E181" s="380">
        <f t="shared" si="75"/>
        <v>223.38058323990475</v>
      </c>
      <c r="F181" s="380">
        <f t="shared" si="51"/>
        <v>223.4258428064733</v>
      </c>
      <c r="G181" s="110">
        <f t="shared" si="76"/>
        <v>0.88692954380819167</v>
      </c>
      <c r="H181" s="409" t="b">
        <f>Wh_hp&gt;='2027'!Maxi_hp</f>
        <v>0</v>
      </c>
      <c r="I181" s="385">
        <f>IF(H181,Wh_hp,'2027'!Maxi_hp)</f>
        <v>223.43412002799909</v>
      </c>
      <c r="J181" s="85">
        <f>IF(H181,An,'2027'!An_max)</f>
        <v>2022</v>
      </c>
      <c r="K181" s="193">
        <f t="shared" si="52"/>
        <v>46919</v>
      </c>
      <c r="L181" s="143">
        <f>IF(t&lt;Tvie,1-EXP((T0-t)*PertePVj)+'2027'!Pspv,1-EXP((T0-t)*PertePVj)+Pspv)</f>
        <v>3.3578001362106313E-2</v>
      </c>
      <c r="M181" s="835"/>
      <c r="N181" s="835"/>
      <c r="O181" s="48">
        <f>IF(t&lt;Tnet,'2027'!Resal+('2027'!Salim-'2027'!Resal)*(1-EXP(('2027'!Tnet-t)/('2027'!Tau_j))),Resal+(Salim-Resal)*(1-EXP((Tnet-t)/(Tau_j))))*Salcycl</f>
        <v>1.2017768737878687E-2</v>
      </c>
      <c r="P181" s="165">
        <f>(INDEX(Models!$BJ181:$BT181,,T181)*(1-R181)+INDEX(Models!$BJ181:$BT181,,T181+1)*R181-ERP_i)*Q181*Ramure*Pc/MaxiM</f>
        <v>2.4158137444470811E-4</v>
      </c>
      <c r="Q181" s="301">
        <f t="shared" si="53"/>
        <v>0.5</v>
      </c>
      <c r="R181" s="173">
        <f t="shared" si="54"/>
        <v>0.26998301866680396</v>
      </c>
      <c r="S181" s="801">
        <f t="shared" si="55"/>
        <v>3</v>
      </c>
      <c r="T181" s="172">
        <f t="shared" si="56"/>
        <v>9</v>
      </c>
      <c r="U181" s="247">
        <f t="shared" si="57"/>
        <v>3.269983018666804</v>
      </c>
      <c r="V181" s="378">
        <f t="shared" si="58"/>
        <v>240.46689425149583</v>
      </c>
      <c r="W181" s="397">
        <f t="shared" si="59"/>
        <v>213.28551488153889</v>
      </c>
      <c r="X181" s="153">
        <f t="shared" si="60"/>
        <v>46919</v>
      </c>
      <c r="Y181" s="380">
        <f t="shared" si="61"/>
        <v>204.80223110314409</v>
      </c>
      <c r="Z181" s="380">
        <f t="shared" si="62"/>
        <v>211.91801448207818</v>
      </c>
      <c r="AA181" s="381">
        <f t="shared" si="63"/>
        <v>223.38058323990475</v>
      </c>
      <c r="AB181" s="193">
        <f t="shared" si="64"/>
        <v>46919</v>
      </c>
      <c r="AC181" s="119">
        <f>IF(OR(t&lt;Tnet,NoTnet),'2027'!Resal_s+('2027'!Salim-'2027'!Resal_s)*(1-EXP(('2027'!Tnet_s-t)/'2027'!Tau_j)),Resal_s+(Salim-Resal_s)*(1-EXP((Tnet_s-t)/Tau_j)))*Salcycl</f>
        <v>5.131407838395733E-2</v>
      </c>
      <c r="AD181" s="227">
        <f>(INDEX(Models!$BJ181:$BT181,,AH181)*(1-AF181)+INDEX(Models!$BJ181:$BT181,,AH181+1)*AF181-ERP_i)*AE181*Ramure*Pc/MaxiM</f>
        <v>2.4158137444470811E-4</v>
      </c>
      <c r="AE181" s="301">
        <f t="shared" si="65"/>
        <v>0.5</v>
      </c>
      <c r="AF181" s="173">
        <f t="shared" si="66"/>
        <v>0.26998301866680396</v>
      </c>
      <c r="AG181" s="801">
        <f t="shared" si="74"/>
        <v>3</v>
      </c>
      <c r="AH181" s="172">
        <f t="shared" si="67"/>
        <v>9</v>
      </c>
      <c r="AI181" s="221">
        <f t="shared" si="68"/>
        <v>3.269983018666804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46920</v>
      </c>
      <c r="B182" s="406">
        <f>'2027'!Wh/'2027'!Env_an*'2028'!Env_an</f>
        <v>219.93736292433834</v>
      </c>
      <c r="C182" s="831"/>
      <c r="D182" s="388">
        <f t="shared" si="50"/>
        <v>227.58212668311376</v>
      </c>
      <c r="E182" s="380">
        <f t="shared" si="75"/>
        <v>230.37000857251189</v>
      </c>
      <c r="F182" s="380">
        <f t="shared" si="51"/>
        <v>230.41818326045023</v>
      </c>
      <c r="G182" s="110">
        <f t="shared" si="76"/>
        <v>0.91489768893748635</v>
      </c>
      <c r="H182" s="409" t="b">
        <f>Wh_hp&gt;='2027'!Maxi_hp</f>
        <v>0</v>
      </c>
      <c r="I182" s="385">
        <f>IF(H182,Wh_hp,'2027'!Maxi_hp)</f>
        <v>230.42450598250218</v>
      </c>
      <c r="J182" s="85">
        <f>IF(H182,An,'2027'!An_max)</f>
        <v>2022</v>
      </c>
      <c r="K182" s="193">
        <f t="shared" si="52"/>
        <v>46920</v>
      </c>
      <c r="L182" s="143">
        <f>IF(t&lt;Tvie,1-EXP((T0-t)*PertePVj)+'2027'!Pspv,1-EXP((T0-t)*PertePVj)+Pspv)</f>
        <v>3.3591230867703437E-2</v>
      </c>
      <c r="M182" s="835"/>
      <c r="N182" s="835"/>
      <c r="O182" s="48">
        <f>IF(t&lt;Tnet,'2027'!Resal+('2027'!Salim-'2027'!Resal)*(1-EXP(('2027'!Tnet-t)/('2027'!Tau_j))),Resal+(Salim-Resal)*(1-EXP((Tnet-t)/(Tau_j))))*Salcycl</f>
        <v>1.2101757110976632E-2</v>
      </c>
      <c r="P182" s="165">
        <f>(INDEX(Models!$BJ182:$BT182,,T182)*(1-R182)+INDEX(Models!$BJ182:$BT182,,T182+1)*R182-ERP_i)*Q182*Ramure*Pc/MaxiM</f>
        <v>2.3800092548406876E-4</v>
      </c>
      <c r="Q182" s="301">
        <f t="shared" si="53"/>
        <v>0.5</v>
      </c>
      <c r="R182" s="173">
        <f t="shared" si="54"/>
        <v>0.27503797619646386</v>
      </c>
      <c r="S182" s="801">
        <f t="shared" si="55"/>
        <v>3</v>
      </c>
      <c r="T182" s="172">
        <f t="shared" si="56"/>
        <v>9</v>
      </c>
      <c r="U182" s="247">
        <f t="shared" si="57"/>
        <v>3.2750379761964639</v>
      </c>
      <c r="V182" s="378">
        <f t="shared" si="58"/>
        <v>240.38862745798568</v>
      </c>
      <c r="W182" s="397">
        <f t="shared" si="59"/>
        <v>219.93736292433834</v>
      </c>
      <c r="X182" s="153">
        <f t="shared" si="60"/>
        <v>46920</v>
      </c>
      <c r="Y182" s="380">
        <f t="shared" si="61"/>
        <v>211.19408426415714</v>
      </c>
      <c r="Z182" s="380">
        <f t="shared" si="62"/>
        <v>218.5349419519244</v>
      </c>
      <c r="AA182" s="381">
        <f t="shared" si="63"/>
        <v>230.37000857251189</v>
      </c>
      <c r="AB182" s="193">
        <f t="shared" si="64"/>
        <v>46920</v>
      </c>
      <c r="AC182" s="119">
        <f>IF(OR(t&lt;Tnet,NoTnet),'2027'!Resal_s+('2027'!Salim-'2027'!Resal_s)*(1-EXP(('2027'!Tnet_s-t)/'2027'!Tau_j)),Resal_s+(Salim-Resal_s)*(1-EXP((Tnet_s-t)/Tau_j)))*Salcycl</f>
        <v>5.1374164084654519E-2</v>
      </c>
      <c r="AD182" s="227">
        <f>(INDEX(Models!$BJ182:$BT182,,AH182)*(1-AF182)+INDEX(Models!$BJ182:$BT182,,AH182+1)*AF182-ERP_i)*AE182*Ramure*Pc/MaxiM</f>
        <v>2.3800092548406876E-4</v>
      </c>
      <c r="AE182" s="301">
        <f t="shared" si="65"/>
        <v>0.5</v>
      </c>
      <c r="AF182" s="173">
        <f t="shared" si="66"/>
        <v>0.27503797619646386</v>
      </c>
      <c r="AG182" s="801">
        <f t="shared" si="74"/>
        <v>3</v>
      </c>
      <c r="AH182" s="172">
        <f t="shared" si="67"/>
        <v>9</v>
      </c>
      <c r="AI182" s="221">
        <f t="shared" si="68"/>
        <v>3.2750379761964639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46921</v>
      </c>
      <c r="B183" s="406">
        <f>'2027'!Wh/'2027'!Env_an*'2028'!Env_an</f>
        <v>226.74347952554484</v>
      </c>
      <c r="C183" s="831"/>
      <c r="D183" s="388">
        <f t="shared" si="50"/>
        <v>234.62802774383695</v>
      </c>
      <c r="E183" s="380">
        <f t="shared" si="75"/>
        <v>237.52236662035946</v>
      </c>
      <c r="F183" s="380">
        <f t="shared" si="51"/>
        <v>237.57368035374907</v>
      </c>
      <c r="G183" s="110">
        <f t="shared" si="76"/>
        <v>0.94357177253288738</v>
      </c>
      <c r="H183" s="409" t="b">
        <f>Wh_hp&gt;='2027'!Maxi_hp</f>
        <v>0</v>
      </c>
      <c r="I183" s="385">
        <f>IF(H183,Wh_hp,'2027'!Maxi_hp)</f>
        <v>237.57794236873499</v>
      </c>
      <c r="J183" s="85">
        <f>IF(H183,An,'2027'!An_max)</f>
        <v>2022</v>
      </c>
      <c r="K183" s="193">
        <f t="shared" si="52"/>
        <v>46921</v>
      </c>
      <c r="L183" s="143">
        <f>IF(t&lt;Tvie,1-EXP((T0-t)*PertePVj)+'2027'!Pspv,1-EXP((T0-t)*PertePVj)+Pspv)</f>
        <v>3.3604460192199759E-2</v>
      </c>
      <c r="M183" s="835"/>
      <c r="N183" s="835"/>
      <c r="O183" s="48">
        <f>IF(t&lt;Tnet,'2027'!Resal+('2027'!Salim-'2027'!Resal)*(1-EXP(('2027'!Tnet-t)/('2027'!Tau_j))),Resal+(Salim-Resal)*(1-EXP((Tnet-t)/(Tau_j))))*Salcycl</f>
        <v>1.2185542429983614E-2</v>
      </c>
      <c r="P183" s="165">
        <f>(INDEX(Models!$BJ183:$BT183,,T183)*(1-R183)+INDEX(Models!$BJ183:$BT183,,T183+1)*R183-ERP_i)*Q183*Ramure*Pc/MaxiM</f>
        <v>2.3492232118846895E-4</v>
      </c>
      <c r="Q183" s="301">
        <f t="shared" si="53"/>
        <v>0.5</v>
      </c>
      <c r="R183" s="173">
        <f t="shared" si="54"/>
        <v>0.28006334897873586</v>
      </c>
      <c r="S183" s="801">
        <f t="shared" si="55"/>
        <v>3</v>
      </c>
      <c r="T183" s="172">
        <f t="shared" si="56"/>
        <v>9</v>
      </c>
      <c r="U183" s="247">
        <f t="shared" si="57"/>
        <v>3.2800633489787359</v>
      </c>
      <c r="V183" s="378">
        <f t="shared" si="58"/>
        <v>240.29882262635965</v>
      </c>
      <c r="W183" s="397">
        <f t="shared" si="59"/>
        <v>226.74347952554484</v>
      </c>
      <c r="X183" s="153">
        <f t="shared" si="60"/>
        <v>46921</v>
      </c>
      <c r="Y183" s="380">
        <f t="shared" si="61"/>
        <v>217.7344979611519</v>
      </c>
      <c r="Z183" s="380">
        <f t="shared" si="62"/>
        <v>225.30577697456636</v>
      </c>
      <c r="AA183" s="381">
        <f t="shared" si="63"/>
        <v>237.52236662035946</v>
      </c>
      <c r="AB183" s="193">
        <f t="shared" si="64"/>
        <v>46921</v>
      </c>
      <c r="AC183" s="119">
        <f>IF(OR(t&lt;Tnet,NoTnet),'2027'!Resal_s+('2027'!Salim-'2027'!Resal_s)*(1-EXP(('2027'!Tnet_s-t)/'2027'!Tau_j)),Resal_s+(Salim-Resal_s)*(1-EXP((Tnet_s-t)/Tau_j)))*Salcycl</f>
        <v>5.143342843715986E-2</v>
      </c>
      <c r="AD183" s="227">
        <f>(INDEX(Models!$BJ183:$BT183,,AH183)*(1-AF183)+INDEX(Models!$BJ183:$BT183,,AH183+1)*AF183-ERP_i)*AE183*Ramure*Pc/MaxiM</f>
        <v>2.3492232118846895E-4</v>
      </c>
      <c r="AE183" s="301">
        <f t="shared" si="65"/>
        <v>0.5</v>
      </c>
      <c r="AF183" s="173">
        <f t="shared" si="66"/>
        <v>0.28006334897873586</v>
      </c>
      <c r="AG183" s="801">
        <f t="shared" si="74"/>
        <v>3</v>
      </c>
      <c r="AH183" s="172">
        <f t="shared" si="67"/>
        <v>9</v>
      </c>
      <c r="AI183" s="221">
        <f t="shared" si="68"/>
        <v>3.2800633489787359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46922</v>
      </c>
      <c r="B184" s="406">
        <f>'2027'!Wh/'2027'!Env_an*'2028'!Env_an</f>
        <v>231.04767329425016</v>
      </c>
      <c r="C184" s="831"/>
      <c r="D184" s="388">
        <f t="shared" si="50"/>
        <v>239.08516406452165</v>
      </c>
      <c r="E184" s="380">
        <f t="shared" si="75"/>
        <v>242.05496490690649</v>
      </c>
      <c r="F184" s="380">
        <f t="shared" si="51"/>
        <v>242.10827393428733</v>
      </c>
      <c r="G184" s="110">
        <f t="shared" si="76"/>
        <v>0.96189334275476102</v>
      </c>
      <c r="H184" s="409" t="b">
        <f>Wh_hp&gt;='2027'!Maxi_hp</f>
        <v>0</v>
      </c>
      <c r="I184" s="385">
        <f>IF(H184,Wh_hp,'2027'!Maxi_hp)</f>
        <v>242.11117824883087</v>
      </c>
      <c r="J184" s="85">
        <f>IF(H184,An,'2027'!An_max)</f>
        <v>2022</v>
      </c>
      <c r="K184" s="193">
        <f t="shared" si="52"/>
        <v>46922</v>
      </c>
      <c r="L184" s="143">
        <f>IF(t&lt;Tvie,1-EXP((T0-t)*PertePVj)+'2027'!Pspv,1-EXP((T0-t)*PertePVj)+Pspv)</f>
        <v>3.3617689335597722E-2</v>
      </c>
      <c r="M184" s="835"/>
      <c r="N184" s="835"/>
      <c r="O184" s="48">
        <f>IF(t&lt;Tnet,'2027'!Resal+('2027'!Salim-'2027'!Resal)*(1-EXP(('2027'!Tnet-t)/('2027'!Tau_j))),Resal+(Salim-Resal)*(1-EXP((Tnet-t)/(Tau_j))))*Salcycl</f>
        <v>1.2269117650724533E-2</v>
      </c>
      <c r="P184" s="165">
        <f>(INDEX(Models!$BJ184:$BT184,,T184)*(1-R184)+INDEX(Models!$BJ184:$BT184,,T184+1)*R184-ERP_i)*Q184*Ramure*Pc/MaxiM</f>
        <v>2.3285906786477543E-4</v>
      </c>
      <c r="Q184" s="301">
        <f t="shared" si="53"/>
        <v>0.5</v>
      </c>
      <c r="R184" s="173">
        <f t="shared" si="54"/>
        <v>0.28505519239314836</v>
      </c>
      <c r="S184" s="801">
        <f t="shared" si="55"/>
        <v>3</v>
      </c>
      <c r="T184" s="172">
        <f t="shared" si="56"/>
        <v>9</v>
      </c>
      <c r="U184" s="247">
        <f t="shared" si="57"/>
        <v>3.2850551923931484</v>
      </c>
      <c r="V184" s="378">
        <f t="shared" si="58"/>
        <v>240.19788313730416</v>
      </c>
      <c r="W184" s="397">
        <f t="shared" si="59"/>
        <v>231.04767329425016</v>
      </c>
      <c r="X184" s="153">
        <f t="shared" si="60"/>
        <v>46922</v>
      </c>
      <c r="Y184" s="380">
        <f t="shared" si="61"/>
        <v>221.87278306756431</v>
      </c>
      <c r="Z184" s="380">
        <f t="shared" si="62"/>
        <v>229.59110552740091</v>
      </c>
      <c r="AA184" s="381">
        <f t="shared" si="63"/>
        <v>242.05496490690649</v>
      </c>
      <c r="AB184" s="193">
        <f t="shared" si="64"/>
        <v>46922</v>
      </c>
      <c r="AC184" s="119">
        <f>IF(OR(t&lt;Tnet,NoTnet),'2027'!Resal_s+('2027'!Salim-'2027'!Resal_s)*(1-EXP(('2027'!Tnet_s-t)/'2027'!Tau_j)),Resal_s+(Salim-Resal_s)*(1-EXP((Tnet_s-t)/Tau_j)))*Salcycl</f>
        <v>5.1491855927430094E-2</v>
      </c>
      <c r="AD184" s="227">
        <f>(INDEX(Models!$BJ184:$BT184,,AH184)*(1-AF184)+INDEX(Models!$BJ184:$BT184,,AH184+1)*AF184-ERP_i)*AE184*Ramure*Pc/MaxiM</f>
        <v>2.3285906786477543E-4</v>
      </c>
      <c r="AE184" s="301">
        <f t="shared" si="65"/>
        <v>0.5</v>
      </c>
      <c r="AF184" s="173">
        <f t="shared" si="66"/>
        <v>0.28505519239314836</v>
      </c>
      <c r="AG184" s="801">
        <f t="shared" si="74"/>
        <v>3</v>
      </c>
      <c r="AH184" s="172">
        <f t="shared" si="67"/>
        <v>9</v>
      </c>
      <c r="AI184" s="221">
        <f t="shared" si="68"/>
        <v>3.2850551923931484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46923</v>
      </c>
      <c r="B185" s="406">
        <f>'2027'!Wh/'2027'!Env_an*'2028'!Env_an</f>
        <v>124.42487032825645</v>
      </c>
      <c r="C185" s="831"/>
      <c r="D185" s="388">
        <f t="shared" si="50"/>
        <v>128.75501988236471</v>
      </c>
      <c r="E185" s="380">
        <f t="shared" si="75"/>
        <v>130.36535483241207</v>
      </c>
      <c r="F185" s="380">
        <f t="shared" si="51"/>
        <v>130.37477523650691</v>
      </c>
      <c r="G185" s="110">
        <f t="shared" si="76"/>
        <v>0.51816783318447657</v>
      </c>
      <c r="H185" s="409" t="b">
        <f>Wh_hp&gt;='2027'!Maxi_hp</f>
        <v>0</v>
      </c>
      <c r="I185" s="385">
        <f>IF(H185,Wh_hp,'2027'!Maxi_hp)</f>
        <v>130.39443966361594</v>
      </c>
      <c r="J185" s="85">
        <f>IF(H185,An,'2027'!An_max)</f>
        <v>2022</v>
      </c>
      <c r="K185" s="193">
        <f t="shared" si="52"/>
        <v>46923</v>
      </c>
      <c r="L185" s="143">
        <f>IF(t&lt;Tvie,1-EXP((T0-t)*PertePVj)+'2027'!Pspv,1-EXP((T0-t)*PertePVj)+Pspv)</f>
        <v>3.363091829789977E-2</v>
      </c>
      <c r="M185" s="835"/>
      <c r="N185" s="835"/>
      <c r="O185" s="48">
        <f>IF(t&lt;Tnet,'2027'!Resal+('2027'!Salim-'2027'!Resal)*(1-EXP(('2027'!Tnet-t)/('2027'!Tau_j))),Resal+(Salim-Resal)*(1-EXP((Tnet-t)/(Tau_j))))*Salcycl</f>
        <v>1.2352476255040991E-2</v>
      </c>
      <c r="P185" s="165">
        <f>(INDEX(Models!$BJ185:$BT185,,T185)*(1-R185)+INDEX(Models!$BJ185:$BT185,,T185+1)*R185-ERP_i)*Q185*Ramure*Pc/MaxiM</f>
        <v>2.3174947521817995E-4</v>
      </c>
      <c r="Q185" s="301">
        <f t="shared" si="53"/>
        <v>0.5</v>
      </c>
      <c r="R185" s="173">
        <f t="shared" si="54"/>
        <v>0.29000967047023041</v>
      </c>
      <c r="S185" s="801">
        <f t="shared" si="55"/>
        <v>3</v>
      </c>
      <c r="T185" s="172">
        <f t="shared" si="56"/>
        <v>9</v>
      </c>
      <c r="U185" s="247">
        <f t="shared" si="57"/>
        <v>3.2900096704702304</v>
      </c>
      <c r="V185" s="378">
        <f t="shared" si="58"/>
        <v>240.08635043403311</v>
      </c>
      <c r="W185" s="397">
        <f t="shared" si="59"/>
        <v>124.42487032825645</v>
      </c>
      <c r="X185" s="153">
        <f t="shared" si="60"/>
        <v>46923</v>
      </c>
      <c r="Y185" s="380">
        <f t="shared" si="61"/>
        <v>119.48679656465414</v>
      </c>
      <c r="Z185" s="380">
        <f t="shared" si="62"/>
        <v>123.64509464044296</v>
      </c>
      <c r="AA185" s="381">
        <f t="shared" si="63"/>
        <v>130.36535483241207</v>
      </c>
      <c r="AB185" s="193">
        <f t="shared" si="64"/>
        <v>46923</v>
      </c>
      <c r="AC185" s="119">
        <f>IF(OR(t&lt;Tnet,NoTnet),'2027'!Resal_s+('2027'!Salim-'2027'!Resal_s)*(1-EXP(('2027'!Tnet_s-t)/'2027'!Tau_j)),Resal_s+(Salim-Resal_s)*(1-EXP((Tnet_s-t)/Tau_j)))*Salcycl</f>
        <v>5.1549433517886448E-2</v>
      </c>
      <c r="AD185" s="227">
        <f>(INDEX(Models!$BJ185:$BT185,,AH185)*(1-AF185)+INDEX(Models!$BJ185:$BT185,,AH185+1)*AF185-ERP_i)*AE185*Ramure*Pc/MaxiM</f>
        <v>2.3174947521817995E-4</v>
      </c>
      <c r="AE185" s="301">
        <f t="shared" si="65"/>
        <v>0.5</v>
      </c>
      <c r="AF185" s="173">
        <f t="shared" si="66"/>
        <v>0.29000967047023041</v>
      </c>
      <c r="AG185" s="801">
        <f t="shared" si="74"/>
        <v>3</v>
      </c>
      <c r="AH185" s="172">
        <f t="shared" si="67"/>
        <v>9</v>
      </c>
      <c r="AI185" s="221">
        <f t="shared" si="68"/>
        <v>3.2900096704702304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46924</v>
      </c>
      <c r="B186" s="406">
        <f>'2027'!Wh/'2027'!Env_an*'2028'!Env_an</f>
        <v>88.743770010135407</v>
      </c>
      <c r="C186" s="831"/>
      <c r="D186" s="388">
        <f t="shared" si="50"/>
        <v>91.833427346561763</v>
      </c>
      <c r="E186" s="380">
        <f t="shared" si="75"/>
        <v>92.989812601476487</v>
      </c>
      <c r="F186" s="380">
        <f t="shared" si="51"/>
        <v>92.99196084375582</v>
      </c>
      <c r="G186" s="110">
        <f t="shared" si="76"/>
        <v>0.36974291806232723</v>
      </c>
      <c r="H186" s="409" t="b">
        <f>Wh_hp&gt;='2027'!Maxi_hp</f>
        <v>0</v>
      </c>
      <c r="I186" s="385">
        <f>IF(H186,Wh_hp,'2027'!Maxi_hp)</f>
        <v>93.010280369136851</v>
      </c>
      <c r="J186" s="85">
        <f>IF(H186,An,'2027'!An_max)</f>
        <v>2022</v>
      </c>
      <c r="K186" s="193">
        <f t="shared" si="52"/>
        <v>46924</v>
      </c>
      <c r="L186" s="143">
        <f>IF(t&lt;Tvie,1-EXP((T0-t)*PertePVj)+'2027'!Pspv,1-EXP((T0-t)*PertePVj)+Pspv)</f>
        <v>3.3644147079108566E-2</v>
      </c>
      <c r="M186" s="835"/>
      <c r="N186" s="835"/>
      <c r="O186" s="48">
        <f>IF(t&lt;Tnet,'2027'!Resal+('2027'!Salim-'2027'!Resal)*(1-EXP(('2027'!Tnet-t)/('2027'!Tau_j))),Resal+(Salim-Resal)*(1-EXP((Tnet-t)/(Tau_j))))*Salcycl</f>
        <v>1.2435612273686359E-2</v>
      </c>
      <c r="P186" s="165">
        <f>(INDEX(Models!$BJ186:$BT186,,T186)*(1-R186)+INDEX(Models!$BJ186:$BT186,,T186+1)*R186-ERP_i)*Q186*Ramure*Pc/MaxiM</f>
        <v>2.3160922948087283E-4</v>
      </c>
      <c r="Q186" s="301">
        <f t="shared" si="53"/>
        <v>0.5</v>
      </c>
      <c r="R186" s="173">
        <f t="shared" si="54"/>
        <v>0.29492306701985704</v>
      </c>
      <c r="S186" s="801">
        <f t="shared" si="55"/>
        <v>3</v>
      </c>
      <c r="T186" s="172">
        <f t="shared" si="56"/>
        <v>9</v>
      </c>
      <c r="U186" s="247">
        <f t="shared" si="57"/>
        <v>3.294923067019857</v>
      </c>
      <c r="V186" s="378">
        <f t="shared" si="58"/>
        <v>239.96474705902995</v>
      </c>
      <c r="W186" s="397">
        <f t="shared" si="59"/>
        <v>88.743770010135407</v>
      </c>
      <c r="X186" s="153">
        <f t="shared" si="60"/>
        <v>46924</v>
      </c>
      <c r="Y186" s="380">
        <f t="shared" si="61"/>
        <v>85.223856479488134</v>
      </c>
      <c r="Z186" s="380">
        <f t="shared" si="62"/>
        <v>88.190966321455903</v>
      </c>
      <c r="AA186" s="381">
        <f t="shared" si="63"/>
        <v>92.989812601476487</v>
      </c>
      <c r="AB186" s="193">
        <f t="shared" si="64"/>
        <v>46924</v>
      </c>
      <c r="AC186" s="119">
        <f>IF(OR(t&lt;Tnet,NoTnet),'2027'!Resal_s+('2027'!Salim-'2027'!Resal_s)*(1-EXP(('2027'!Tnet_s-t)/'2027'!Tau_j)),Resal_s+(Salim-Resal_s)*(1-EXP((Tnet_s-t)/Tau_j)))*Salcycl</f>
        <v>5.1606150671438054E-2</v>
      </c>
      <c r="AD186" s="227">
        <f>(INDEX(Models!$BJ186:$BT186,,AH186)*(1-AF186)+INDEX(Models!$BJ186:$BT186,,AH186+1)*AF186-ERP_i)*AE186*Ramure*Pc/MaxiM</f>
        <v>2.3160922948087283E-4</v>
      </c>
      <c r="AE186" s="301">
        <f t="shared" si="65"/>
        <v>0.5</v>
      </c>
      <c r="AF186" s="173">
        <f t="shared" si="66"/>
        <v>0.29492306701985704</v>
      </c>
      <c r="AG186" s="801">
        <f t="shared" si="74"/>
        <v>3</v>
      </c>
      <c r="AH186" s="172">
        <f t="shared" si="67"/>
        <v>9</v>
      </c>
      <c r="AI186" s="221">
        <f t="shared" si="68"/>
        <v>3.294923067019857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46925</v>
      </c>
      <c r="B187" s="406">
        <f>'2027'!Wh/'2027'!Env_an*'2028'!Env_an</f>
        <v>175.4154753793544</v>
      </c>
      <c r="C187" s="831"/>
      <c r="D187" s="388">
        <f t="shared" si="50"/>
        <v>181.52513504477881</v>
      </c>
      <c r="E187" s="380">
        <f t="shared" si="75"/>
        <v>183.8263691801248</v>
      </c>
      <c r="F187" s="380">
        <f t="shared" si="51"/>
        <v>183.85270781954554</v>
      </c>
      <c r="G187" s="110">
        <f t="shared" si="76"/>
        <v>0.73133968924131965</v>
      </c>
      <c r="H187" s="409" t="b">
        <f>Wh_hp&gt;='2027'!Maxi_hp</f>
        <v>0</v>
      </c>
      <c r="I187" s="385">
        <f>IF(H187,Wh_hp,'2027'!Maxi_hp)</f>
        <v>183.86818847597502</v>
      </c>
      <c r="J187" s="85">
        <f>IF(H187,An,'2027'!An_max)</f>
        <v>2022</v>
      </c>
      <c r="K187" s="193">
        <f t="shared" si="52"/>
        <v>46925</v>
      </c>
      <c r="L187" s="143">
        <f>IF(t&lt;Tvie,1-EXP((T0-t)*PertePVj)+'2027'!Pspv,1-EXP((T0-t)*PertePVj)+Pspv)</f>
        <v>3.3657375679226331E-2</v>
      </c>
      <c r="M187" s="835"/>
      <c r="N187" s="835"/>
      <c r="O187" s="48">
        <f>IF(t&lt;Tnet,'2027'!Resal+('2027'!Salim-'2027'!Resal)*(1-EXP(('2027'!Tnet-t)/('2027'!Tau_j))),Resal+(Salim-Resal)*(1-EXP((Tnet-t)/(Tau_j))))*Salcycl</f>
        <v>1.2518520305925734E-2</v>
      </c>
      <c r="P187" s="165">
        <f>(INDEX(Models!$BJ187:$BT187,,T187)*(1-R187)+INDEX(Models!$BJ187:$BT187,,T187+1)*R187-ERP_i)*Q187*Ramure*Pc/MaxiM</f>
        <v>2.3245357871768047E-4</v>
      </c>
      <c r="Q187" s="301">
        <f t="shared" si="53"/>
        <v>0.5</v>
      </c>
      <c r="R187" s="173">
        <f t="shared" si="54"/>
        <v>0.29979179595994498</v>
      </c>
      <c r="S187" s="801">
        <f t="shared" si="55"/>
        <v>3</v>
      </c>
      <c r="T187" s="172">
        <f t="shared" si="56"/>
        <v>9</v>
      </c>
      <c r="U187" s="247">
        <f t="shared" si="57"/>
        <v>3.299791795959945</v>
      </c>
      <c r="V187" s="378">
        <f t="shared" si="58"/>
        <v>239.83359537153225</v>
      </c>
      <c r="W187" s="397">
        <f t="shared" si="59"/>
        <v>175.4154753793544</v>
      </c>
      <c r="X187" s="153">
        <f t="shared" si="60"/>
        <v>46925</v>
      </c>
      <c r="Y187" s="380">
        <f t="shared" si="61"/>
        <v>168.46205688214425</v>
      </c>
      <c r="Z187" s="380">
        <f t="shared" si="62"/>
        <v>174.32953141289144</v>
      </c>
      <c r="AA187" s="381">
        <f t="shared" si="63"/>
        <v>183.8263691801248</v>
      </c>
      <c r="AB187" s="193">
        <f t="shared" si="64"/>
        <v>46925</v>
      </c>
      <c r="AC187" s="119">
        <f>IF(OR(t&lt;Tnet,NoTnet),'2027'!Resal_s+('2027'!Salim-'2027'!Resal_s)*(1-EXP(('2027'!Tnet_s-t)/'2027'!Tau_j)),Resal_s+(Salim-Resal_s)*(1-EXP((Tnet_s-t)/Tau_j)))*Salcycl</f>
        <v>5.1661999361624501E-2</v>
      </c>
      <c r="AD187" s="227">
        <f>(INDEX(Models!$BJ187:$BT187,,AH187)*(1-AF187)+INDEX(Models!$BJ187:$BT187,,AH187+1)*AF187-ERP_i)*AE187*Ramure*Pc/MaxiM</f>
        <v>2.3245357871768047E-4</v>
      </c>
      <c r="AE187" s="301">
        <f t="shared" si="65"/>
        <v>0.5</v>
      </c>
      <c r="AF187" s="173">
        <f t="shared" si="66"/>
        <v>0.29979179595994498</v>
      </c>
      <c r="AG187" s="801">
        <f t="shared" si="74"/>
        <v>3</v>
      </c>
      <c r="AH187" s="172">
        <f t="shared" si="67"/>
        <v>9</v>
      </c>
      <c r="AI187" s="221">
        <f t="shared" si="68"/>
        <v>3.299791795959945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46926</v>
      </c>
      <c r="B188" s="406">
        <f>'2027'!Wh/'2027'!Env_an*'2028'!Env_an</f>
        <v>171.62944624300553</v>
      </c>
      <c r="C188" s="831"/>
      <c r="D188" s="388">
        <f t="shared" si="50"/>
        <v>177.60967116481748</v>
      </c>
      <c r="E188" s="380">
        <f t="shared" si="75"/>
        <v>179.87632794550055</v>
      </c>
      <c r="F188" s="380">
        <f t="shared" si="51"/>
        <v>179.90137936698321</v>
      </c>
      <c r="G188" s="110">
        <f t="shared" si="76"/>
        <v>0.71596931180919965</v>
      </c>
      <c r="H188" s="409" t="b">
        <f>Wh_hp&gt;='2027'!Maxi_hp</f>
        <v>0</v>
      </c>
      <c r="I188" s="385">
        <f>IF(H188,Wh_hp,'2027'!Maxi_hp)</f>
        <v>179.91750851894366</v>
      </c>
      <c r="J188" s="85">
        <f>IF(H188,An,'2027'!An_max)</f>
        <v>2022</v>
      </c>
      <c r="K188" s="193">
        <f t="shared" si="52"/>
        <v>46926</v>
      </c>
      <c r="L188" s="143">
        <f>IF(t&lt;Tvie,1-EXP((T0-t)*PertePVj)+'2027'!Pspv,1-EXP((T0-t)*PertePVj)+Pspv)</f>
        <v>3.367060409825573E-2</v>
      </c>
      <c r="M188" s="835"/>
      <c r="N188" s="835"/>
      <c r="O188" s="48">
        <f>IF(t&lt;Tnet,'2027'!Resal+('2027'!Salim-'2027'!Resal)*(1-EXP(('2027'!Tnet-t)/('2027'!Tau_j))),Resal+(Salim-Resal)*(1-EXP((Tnet-t)/(Tau_j))))*Salcycl</f>
        <v>1.2601195535689462E-2</v>
      </c>
      <c r="P188" s="165">
        <f>(INDEX(Models!$BJ188:$BT188,,T188)*(1-R188)+INDEX(Models!$BJ188:$BT188,,T188+1)*R188-ERP_i)*Q188*Ramure*Pc/MaxiM</f>
        <v>2.3429529716581421E-4</v>
      </c>
      <c r="Q188" s="301">
        <f t="shared" si="53"/>
        <v>0.5</v>
      </c>
      <c r="R188" s="173">
        <f t="shared" si="54"/>
        <v>0.30461241079116652</v>
      </c>
      <c r="S188" s="801">
        <f t="shared" si="55"/>
        <v>3</v>
      </c>
      <c r="T188" s="172">
        <f t="shared" si="56"/>
        <v>9</v>
      </c>
      <c r="U188" s="247">
        <f t="shared" si="57"/>
        <v>3.3046124107911665</v>
      </c>
      <c r="V188" s="378">
        <f t="shared" si="58"/>
        <v>239.69341802248817</v>
      </c>
      <c r="W188" s="397">
        <f t="shared" si="59"/>
        <v>171.62944624300553</v>
      </c>
      <c r="X188" s="153">
        <f t="shared" si="60"/>
        <v>46926</v>
      </c>
      <c r="Y188" s="380">
        <f t="shared" si="61"/>
        <v>164.83035009396468</v>
      </c>
      <c r="Z188" s="380">
        <f t="shared" si="62"/>
        <v>170.57366855755313</v>
      </c>
      <c r="AA188" s="381">
        <f t="shared" si="63"/>
        <v>179.87632794550055</v>
      </c>
      <c r="AB188" s="193">
        <f t="shared" si="64"/>
        <v>46926</v>
      </c>
      <c r="AC188" s="119">
        <f>IF(OR(t&lt;Tnet,NoTnet),'2027'!Resal_s+('2027'!Salim-'2027'!Resal_s)*(1-EXP(('2027'!Tnet_s-t)/'2027'!Tau_j)),Resal_s+(Salim-Resal_s)*(1-EXP((Tnet_s-t)/Tau_j)))*Salcycl</f>
        <v>5.1716974068794351E-2</v>
      </c>
      <c r="AD188" s="227">
        <f>(INDEX(Models!$BJ188:$BT188,,AH188)*(1-AF188)+INDEX(Models!$BJ188:$BT188,,AH188+1)*AF188-ERP_i)*AE188*Ramure*Pc/MaxiM</f>
        <v>2.3429529716581421E-4</v>
      </c>
      <c r="AE188" s="301">
        <f t="shared" si="65"/>
        <v>0.5</v>
      </c>
      <c r="AF188" s="173">
        <f t="shared" si="66"/>
        <v>0.30461241079116652</v>
      </c>
      <c r="AG188" s="801">
        <f t="shared" si="74"/>
        <v>3</v>
      </c>
      <c r="AH188" s="172">
        <f t="shared" si="67"/>
        <v>9</v>
      </c>
      <c r="AI188" s="221">
        <f t="shared" si="68"/>
        <v>3.3046124107911665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46927</v>
      </c>
      <c r="B189" s="406">
        <f>'2027'!Wh/'2027'!Env_an*'2028'!Env_an</f>
        <v>171.49110062636325</v>
      </c>
      <c r="C189" s="831"/>
      <c r="D189" s="388">
        <f t="shared" si="50"/>
        <v>177.46893445958378</v>
      </c>
      <c r="E189" s="380">
        <f t="shared" si="75"/>
        <v>179.74880243562794</v>
      </c>
      <c r="F189" s="380">
        <f t="shared" si="51"/>
        <v>179.77413266862081</v>
      </c>
      <c r="G189" s="110">
        <f t="shared" si="76"/>
        <v>0.71583535799955156</v>
      </c>
      <c r="H189" s="409" t="b">
        <f>Wh_hp&gt;='2027'!Maxi_hp</f>
        <v>0</v>
      </c>
      <c r="I189" s="385">
        <f>IF(H189,Wh_hp,'2027'!Maxi_hp)</f>
        <v>179.79044298559464</v>
      </c>
      <c r="J189" s="85">
        <f>IF(H189,An,'2027'!An_max)</f>
        <v>2022</v>
      </c>
      <c r="K189" s="193">
        <f t="shared" si="52"/>
        <v>46927</v>
      </c>
      <c r="L189" s="143">
        <f>IF(t&lt;Tvie,1-EXP((T0-t)*PertePVj)+'2027'!Pspv,1-EXP((T0-t)*PertePVj)+Pspv)</f>
        <v>3.3683832336199093E-2</v>
      </c>
      <c r="M189" s="835"/>
      <c r="N189" s="835"/>
      <c r="O189" s="48">
        <f>IF(t&lt;Tnet,'2027'!Resal+('2027'!Salim-'2027'!Resal)*(1-EXP(('2027'!Tnet-t)/('2027'!Tau_j))),Resal+(Salim-Resal)*(1-EXP((Tnet-t)/(Tau_j))))*Salcycl</f>
        <v>1.2683633744155907E-2</v>
      </c>
      <c r="P189" s="165">
        <f>(INDEX(Models!$BJ189:$BT189,,T189)*(1-R189)+INDEX(Models!$BJ189:$BT189,,T189+1)*R189-ERP_i)*Q189*Ramure*Pc/MaxiM</f>
        <v>2.3714645799900188E-4</v>
      </c>
      <c r="Q189" s="301">
        <f t="shared" si="53"/>
        <v>0.5</v>
      </c>
      <c r="R189" s="173">
        <f t="shared" si="54"/>
        <v>0.30938161317270918</v>
      </c>
      <c r="S189" s="801">
        <f t="shared" si="55"/>
        <v>3</v>
      </c>
      <c r="T189" s="172">
        <f t="shared" si="56"/>
        <v>9</v>
      </c>
      <c r="U189" s="247">
        <f t="shared" si="57"/>
        <v>3.3093816131727092</v>
      </c>
      <c r="V189" s="378">
        <f t="shared" si="58"/>
        <v>239.54473752686678</v>
      </c>
      <c r="W189" s="397">
        <f t="shared" si="59"/>
        <v>171.49110062636325</v>
      </c>
      <c r="X189" s="153">
        <f t="shared" si="60"/>
        <v>46927</v>
      </c>
      <c r="Y189" s="380">
        <f t="shared" si="61"/>
        <v>164.70184036946708</v>
      </c>
      <c r="Z189" s="380">
        <f t="shared" si="62"/>
        <v>170.44301428553752</v>
      </c>
      <c r="AA189" s="381">
        <f t="shared" si="63"/>
        <v>179.74880243562794</v>
      </c>
      <c r="AB189" s="193">
        <f t="shared" si="64"/>
        <v>46927</v>
      </c>
      <c r="AC189" s="119">
        <f>IF(OR(t&lt;Tnet,NoTnet),'2027'!Resal_s+('2027'!Salim-'2027'!Resal_s)*(1-EXP(('2027'!Tnet_s-t)/'2027'!Tau_j)),Resal_s+(Salim-Resal_s)*(1-EXP((Tnet_s-t)/Tau_j)))*Salcycl</f>
        <v>5.1771071762344793E-2</v>
      </c>
      <c r="AD189" s="227">
        <f>(INDEX(Models!$BJ189:$BT189,,AH189)*(1-AF189)+INDEX(Models!$BJ189:$BT189,,AH189+1)*AF189-ERP_i)*AE189*Ramure*Pc/MaxiM</f>
        <v>2.3714645799900188E-4</v>
      </c>
      <c r="AE189" s="301">
        <f t="shared" si="65"/>
        <v>0.5</v>
      </c>
      <c r="AF189" s="173">
        <f t="shared" si="66"/>
        <v>0.30938161317270918</v>
      </c>
      <c r="AG189" s="801">
        <f t="shared" si="74"/>
        <v>3</v>
      </c>
      <c r="AH189" s="172">
        <f t="shared" si="67"/>
        <v>9</v>
      </c>
      <c r="AI189" s="221">
        <f t="shared" si="68"/>
        <v>3.3093816131727092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46928</v>
      </c>
      <c r="B190" s="406">
        <f>'2027'!Wh/'2027'!Env_an*'2028'!Env_an</f>
        <v>146.27582214657099</v>
      </c>
      <c r="C190" s="831"/>
      <c r="D190" s="388">
        <f t="shared" si="50"/>
        <v>151.37677445757436</v>
      </c>
      <c r="E190" s="380">
        <f t="shared" si="75"/>
        <v>153.33421315813172</v>
      </c>
      <c r="F190" s="380">
        <f t="shared" si="51"/>
        <v>153.35063638217048</v>
      </c>
      <c r="G190" s="110">
        <f t="shared" si="76"/>
        <v>0.610958710682311</v>
      </c>
      <c r="H190" s="409" t="b">
        <f>Wh_hp&gt;='2027'!Maxi_hp</f>
        <v>0</v>
      </c>
      <c r="I190" s="385">
        <f>IF(H190,Wh_hp,'2027'!Maxi_hp)</f>
        <v>153.36998421899938</v>
      </c>
      <c r="J190" s="85">
        <f>IF(H190,An,'2027'!An_max)</f>
        <v>2022</v>
      </c>
      <c r="K190" s="193">
        <f t="shared" si="52"/>
        <v>46928</v>
      </c>
      <c r="L190" s="143">
        <f>IF(t&lt;Tvie,1-EXP((T0-t)*PertePVj)+'2027'!Pspv,1-EXP((T0-t)*PertePVj)+Pspv)</f>
        <v>3.3697060393059086E-2</v>
      </c>
      <c r="M190" s="835"/>
      <c r="N190" s="835"/>
      <c r="O190" s="48">
        <f>IF(t&lt;Tnet,'2027'!Resal+('2027'!Salim-'2027'!Resal)*(1-EXP(('2027'!Tnet-t)/('2027'!Tau_j))),Resal+(Salim-Resal)*(1-EXP((Tnet-t)/(Tau_j))))*Salcycl</f>
        <v>1.2765831318667807E-2</v>
      </c>
      <c r="P190" s="165">
        <f>(INDEX(Models!$BJ190:$BT190,,T190)*(1-R190)+INDEX(Models!$BJ190:$BT190,,T190+1)*R190-ERP_i)*Q190*Ramure*Pc/MaxiM</f>
        <v>2.4102043157187008E-4</v>
      </c>
      <c r="Q190" s="301">
        <f t="shared" si="53"/>
        <v>0.5</v>
      </c>
      <c r="R190" s="173">
        <f t="shared" si="54"/>
        <v>0.314096260563685</v>
      </c>
      <c r="S190" s="801">
        <f t="shared" si="55"/>
        <v>3</v>
      </c>
      <c r="T190" s="172">
        <f t="shared" si="56"/>
        <v>9</v>
      </c>
      <c r="U190" s="247">
        <f t="shared" si="57"/>
        <v>3.314096260563685</v>
      </c>
      <c r="V190" s="378">
        <f t="shared" si="58"/>
        <v>239.38807577305025</v>
      </c>
      <c r="W190" s="397">
        <f t="shared" si="59"/>
        <v>146.27582214657099</v>
      </c>
      <c r="X190" s="153">
        <f t="shared" si="60"/>
        <v>46928</v>
      </c>
      <c r="Y190" s="380">
        <f t="shared" si="61"/>
        <v>140.48863546883109</v>
      </c>
      <c r="Z190" s="380">
        <f t="shared" si="62"/>
        <v>145.38777614189715</v>
      </c>
      <c r="AA190" s="381">
        <f t="shared" si="63"/>
        <v>153.33421315813172</v>
      </c>
      <c r="AB190" s="193">
        <f t="shared" si="64"/>
        <v>46928</v>
      </c>
      <c r="AC190" s="119">
        <f>IF(OR(t&lt;Tnet,NoTnet),'2027'!Resal_s+('2027'!Salim-'2027'!Resal_s)*(1-EXP(('2027'!Tnet_s-t)/'2027'!Tau_j)),Resal_s+(Salim-Resal_s)*(1-EXP((Tnet_s-t)/Tau_j)))*Salcycl</f>
        <v>5.1824291869157033E-2</v>
      </c>
      <c r="AD190" s="227">
        <f>(INDEX(Models!$BJ190:$BT190,,AH190)*(1-AF190)+INDEX(Models!$BJ190:$BT190,,AH190+1)*AF190-ERP_i)*AE190*Ramure*Pc/MaxiM</f>
        <v>2.4102043157187008E-4</v>
      </c>
      <c r="AE190" s="301">
        <f t="shared" si="65"/>
        <v>0.5</v>
      </c>
      <c r="AF190" s="173">
        <f t="shared" si="66"/>
        <v>0.314096260563685</v>
      </c>
      <c r="AG190" s="801">
        <f t="shared" si="74"/>
        <v>3</v>
      </c>
      <c r="AH190" s="172">
        <f t="shared" si="67"/>
        <v>9</v>
      </c>
      <c r="AI190" s="221">
        <f t="shared" si="68"/>
        <v>3.314096260563685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46929</v>
      </c>
      <c r="B191" s="406">
        <f>'2027'!Wh/'2027'!Env_an*'2028'!Env_an</f>
        <v>48.645058163072491</v>
      </c>
      <c r="C191" s="831"/>
      <c r="D191" s="388">
        <f t="shared" si="50"/>
        <v>50.342105035892551</v>
      </c>
      <c r="E191" s="380">
        <f t="shared" si="75"/>
        <v>50.997307491272316</v>
      </c>
      <c r="F191" s="380">
        <f t="shared" si="51"/>
        <v>50.997307491272316</v>
      </c>
      <c r="G191" s="110">
        <f t="shared" si="76"/>
        <v>0.20329444305507058</v>
      </c>
      <c r="H191" s="409" t="b">
        <f>Wh_hp&gt;='2027'!Maxi_hp</f>
        <v>0</v>
      </c>
      <c r="I191" s="385">
        <f>IF(H191,Wh_hp,'2027'!Maxi_hp)</f>
        <v>51.009116400553765</v>
      </c>
      <c r="J191" s="85">
        <f>IF(H191,An,'2027'!An_max)</f>
        <v>2022</v>
      </c>
      <c r="K191" s="193">
        <f t="shared" si="52"/>
        <v>46929</v>
      </c>
      <c r="L191" s="143">
        <f>IF(t&lt;Tvie,1-EXP((T0-t)*PertePVj)+'2027'!Pspv,1-EXP((T0-t)*PertePVj)+Pspv)</f>
        <v>3.371028826883804E-2</v>
      </c>
      <c r="M191" s="835"/>
      <c r="N191" s="835"/>
      <c r="O191" s="48">
        <f>IF(t&lt;Tnet,'2027'!Resal+('2027'!Salim-'2027'!Resal)*(1-EXP(('2027'!Tnet-t)/('2027'!Tau_j))),Resal+(Salim-Resal)*(1-EXP((Tnet-t)/(Tau_j))))*Salcycl</f>
        <v>1.2847785257915694E-2</v>
      </c>
      <c r="P191" s="165">
        <f>(INDEX(Models!$BJ191:$BT191,,T191)*(1-R191)+INDEX(Models!$BJ191:$BT191,,T191+1)*R191-ERP_i)*Q191*Ramure*Pc/MaxiM</f>
        <v>2.459289499473149E-4</v>
      </c>
      <c r="Q191" s="301">
        <f t="shared" si="53"/>
        <v>0.5</v>
      </c>
      <c r="R191" s="173">
        <f t="shared" si="54"/>
        <v>0.31875337290451711</v>
      </c>
      <c r="S191" s="801">
        <f t="shared" si="55"/>
        <v>3</v>
      </c>
      <c r="T191" s="172">
        <f t="shared" si="56"/>
        <v>9</v>
      </c>
      <c r="U191" s="247">
        <f t="shared" si="57"/>
        <v>3.3187533729045171</v>
      </c>
      <c r="V191" s="378">
        <f t="shared" si="58"/>
        <v>239.22491045081867</v>
      </c>
      <c r="W191" s="397">
        <f t="shared" si="59"/>
        <v>48.645058163072491</v>
      </c>
      <c r="X191" s="153">
        <f t="shared" si="60"/>
        <v>46929</v>
      </c>
      <c r="Y191" s="380">
        <f t="shared" si="61"/>
        <v>46.721787671300817</v>
      </c>
      <c r="Z191" s="380">
        <f t="shared" si="62"/>
        <v>48.351738721916149</v>
      </c>
      <c r="AA191" s="381">
        <f t="shared" si="63"/>
        <v>50.997307491272316</v>
      </c>
      <c r="AB191" s="193">
        <f t="shared" si="64"/>
        <v>46929</v>
      </c>
      <c r="AC191" s="119">
        <f>IF(OR(t&lt;Tnet,NoTnet),'2027'!Resal_s+('2027'!Salim-'2027'!Resal_s)*(1-EXP(('2027'!Tnet_s-t)/'2027'!Tau_j)),Resal_s+(Salim-Resal_s)*(1-EXP((Tnet_s-t)/Tau_j)))*Salcycl</f>
        <v>5.1876636228470094E-2</v>
      </c>
      <c r="AD191" s="227">
        <f>(INDEX(Models!$BJ191:$BT191,,AH191)*(1-AF191)+INDEX(Models!$BJ191:$BT191,,AH191+1)*AF191-ERP_i)*AE191*Ramure*Pc/MaxiM</f>
        <v>2.459289499473149E-4</v>
      </c>
      <c r="AE191" s="301">
        <f t="shared" si="65"/>
        <v>0.5</v>
      </c>
      <c r="AF191" s="173">
        <f t="shared" si="66"/>
        <v>0.31875337290451711</v>
      </c>
      <c r="AG191" s="801">
        <f t="shared" si="74"/>
        <v>3</v>
      </c>
      <c r="AH191" s="172">
        <f t="shared" si="67"/>
        <v>9</v>
      </c>
      <c r="AI191" s="221">
        <f t="shared" si="68"/>
        <v>3.3187533729045171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46930</v>
      </c>
      <c r="B192" s="406">
        <f>'2027'!Wh/'2027'!Env_an*'2028'!Env_an</f>
        <v>56.830984565964634</v>
      </c>
      <c r="C192" s="831"/>
      <c r="D192" s="388">
        <f t="shared" si="50"/>
        <v>58.81441337427826</v>
      </c>
      <c r="E192" s="380">
        <f t="shared" si="75"/>
        <v>59.584814830869469</v>
      </c>
      <c r="F192" s="380">
        <f t="shared" si="51"/>
        <v>59.584814830869469</v>
      </c>
      <c r="G192" s="110">
        <f t="shared" si="76"/>
        <v>0.23767128521573305</v>
      </c>
      <c r="H192" s="409" t="b">
        <f>Wh_hp&gt;='2027'!Maxi_hp</f>
        <v>0</v>
      </c>
      <c r="I192" s="385">
        <f>IF(H192,Wh_hp,'2027'!Maxi_hp)</f>
        <v>59.59894424699322</v>
      </c>
      <c r="J192" s="85">
        <f>IF(H192,An,'2027'!An_max)</f>
        <v>2022</v>
      </c>
      <c r="K192" s="193">
        <f t="shared" si="52"/>
        <v>46930</v>
      </c>
      <c r="L192" s="143">
        <f>IF(t&lt;Tvie,1-EXP((T0-t)*PertePVj)+'2027'!Pspv,1-EXP((T0-t)*PertePVj)+Pspv)</f>
        <v>3.3723515963538508E-2</v>
      </c>
      <c r="M192" s="835"/>
      <c r="N192" s="835"/>
      <c r="O192" s="48">
        <f>IF(t&lt;Tnet,'2027'!Resal+('2027'!Salim-'2027'!Resal)*(1-EXP(('2027'!Tnet-t)/('2027'!Tau_j))),Resal+(Salim-Resal)*(1-EXP((Tnet-t)/(Tau_j))))*Salcycl</f>
        <v>1.2929493173352647E-2</v>
      </c>
      <c r="P192" s="165">
        <f>(INDEX(Models!$BJ192:$BT192,,T192)*(1-R192)+INDEX(Models!$BJ192:$BT192,,T192+1)*R192-ERP_i)*Q192*Ramure*Pc/MaxiM</f>
        <v>2.5196785817033858E-4</v>
      </c>
      <c r="Q192" s="301">
        <f t="shared" si="53"/>
        <v>0.5</v>
      </c>
      <c r="R192" s="173">
        <f t="shared" si="54"/>
        <v>0.32335013832223414</v>
      </c>
      <c r="S192" s="801">
        <f t="shared" si="55"/>
        <v>3</v>
      </c>
      <c r="T192" s="172">
        <f t="shared" si="56"/>
        <v>9</v>
      </c>
      <c r="U192" s="247">
        <f t="shared" si="57"/>
        <v>3.3233501383222341</v>
      </c>
      <c r="V192" s="378">
        <f t="shared" si="58"/>
        <v>239.05565593644863</v>
      </c>
      <c r="W192" s="397">
        <f t="shared" si="59"/>
        <v>56.830984565964634</v>
      </c>
      <c r="X192" s="153">
        <f t="shared" si="60"/>
        <v>46930</v>
      </c>
      <c r="Y192" s="380">
        <f t="shared" si="61"/>
        <v>54.58562344868259</v>
      </c>
      <c r="Z192" s="380">
        <f t="shared" si="62"/>
        <v>56.490688069588636</v>
      </c>
      <c r="AA192" s="381">
        <f t="shared" si="63"/>
        <v>59.584814830869469</v>
      </c>
      <c r="AB192" s="193">
        <f t="shared" si="64"/>
        <v>46930</v>
      </c>
      <c r="AC192" s="119">
        <f>IF(OR(t&lt;Tnet,NoTnet),'2027'!Resal_s+('2027'!Salim-'2027'!Resal_s)*(1-EXP(('2027'!Tnet_s-t)/'2027'!Tau_j)),Resal_s+(Salim-Resal_s)*(1-EXP((Tnet_s-t)/Tau_j)))*Salcycl</f>
        <v>5.1928109033542488E-2</v>
      </c>
      <c r="AD192" s="227">
        <f>(INDEX(Models!$BJ192:$BT192,,AH192)*(1-AF192)+INDEX(Models!$BJ192:$BT192,,AH192+1)*AF192-ERP_i)*AE192*Ramure*Pc/MaxiM</f>
        <v>2.5196785817033858E-4</v>
      </c>
      <c r="AE192" s="301">
        <f t="shared" si="65"/>
        <v>0.5</v>
      </c>
      <c r="AF192" s="173">
        <f t="shared" si="66"/>
        <v>0.32335013832223414</v>
      </c>
      <c r="AG192" s="801">
        <f t="shared" si="74"/>
        <v>3</v>
      </c>
      <c r="AH192" s="172">
        <f t="shared" si="67"/>
        <v>9</v>
      </c>
      <c r="AI192" s="221">
        <f t="shared" si="68"/>
        <v>3.3233501383222341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46931</v>
      </c>
      <c r="B193" s="406">
        <f>'2027'!Wh/'2027'!Env_an*'2028'!Env_an</f>
        <v>248.47917262618535</v>
      </c>
      <c r="C193" s="831"/>
      <c r="D193" s="388">
        <f t="shared" si="50"/>
        <v>257.15473598815532</v>
      </c>
      <c r="E193" s="380">
        <f t="shared" si="75"/>
        <v>260.54467052549643</v>
      </c>
      <c r="F193" s="380">
        <f t="shared" si="51"/>
        <v>260.61207165828807</v>
      </c>
      <c r="G193" s="110">
        <f t="shared" si="76"/>
        <v>1.0401867145003136</v>
      </c>
      <c r="H193" s="409" t="b">
        <f>Wh_hp&gt;='2027'!Maxi_hp</f>
        <v>1</v>
      </c>
      <c r="I193" s="385">
        <f>IF(H193,Wh_hp,'2027'!Maxi_hp)</f>
        <v>260.61207165828807</v>
      </c>
      <c r="J193" s="85">
        <f>IF(H193,An,'2027'!An_max)</f>
        <v>2028</v>
      </c>
      <c r="K193" s="193">
        <f t="shared" si="52"/>
        <v>46931</v>
      </c>
      <c r="L193" s="143">
        <f>IF(t&lt;Tvie,1-EXP((T0-t)*PertePVj)+'2027'!Pspv,1-EXP((T0-t)*PertePVj)+Pspv)</f>
        <v>3.3736743477162934E-2</v>
      </c>
      <c r="M193" s="835"/>
      <c r="N193" s="835"/>
      <c r="O193" s="48">
        <f>IF(t&lt;Tnet,'2027'!Resal+('2027'!Salim-'2027'!Resal)*(1-EXP(('2027'!Tnet-t)/('2027'!Tau_j))),Resal+(Salim-Resal)*(1-EXP((Tnet-t)/(Tau_j))))*Salcycl</f>
        <v>1.3010953286835159E-2</v>
      </c>
      <c r="P193" s="165">
        <f>(INDEX(Models!$BJ193:$BT193,,T193)*(1-R193)+INDEX(Models!$BJ193:$BT193,,T193+1)*R193-ERP_i)*Q193*Ramure*Pc/MaxiM</f>
        <v>2.5862628834781505E-4</v>
      </c>
      <c r="Q193" s="301">
        <f t="shared" si="53"/>
        <v>0.5</v>
      </c>
      <c r="R193" s="173">
        <f t="shared" si="54"/>
        <v>0.3278839178530637</v>
      </c>
      <c r="S193" s="801">
        <f t="shared" si="55"/>
        <v>3</v>
      </c>
      <c r="T193" s="172">
        <f t="shared" si="56"/>
        <v>9</v>
      </c>
      <c r="U193" s="247">
        <f t="shared" si="57"/>
        <v>3.3278839178530637</v>
      </c>
      <c r="V193" s="378">
        <f t="shared" si="58"/>
        <v>238.8793945955656</v>
      </c>
      <c r="W193" s="397">
        <f t="shared" si="59"/>
        <v>248.47917262618535</v>
      </c>
      <c r="X193" s="153">
        <f t="shared" si="60"/>
        <v>46931</v>
      </c>
      <c r="Y193" s="380">
        <f t="shared" si="61"/>
        <v>238.66885339388207</v>
      </c>
      <c r="Z193" s="380">
        <f t="shared" si="62"/>
        <v>247.00189289277944</v>
      </c>
      <c r="AA193" s="381">
        <f t="shared" si="63"/>
        <v>260.54467052549643</v>
      </c>
      <c r="AB193" s="193">
        <f t="shared" si="64"/>
        <v>46931</v>
      </c>
      <c r="AC193" s="119">
        <f>IF(OR(t&lt;Tnet,NoTnet),'2027'!Resal_s+('2027'!Salim-'2027'!Resal_s)*(1-EXP(('2027'!Tnet_s-t)/'2027'!Tau_j)),Resal_s+(Salim-Resal_s)*(1-EXP((Tnet_s-t)/Tau_j)))*Salcycl</f>
        <v>5.1978716760555328E-2</v>
      </c>
      <c r="AD193" s="227">
        <f>(INDEX(Models!$BJ193:$BT193,,AH193)*(1-AF193)+INDEX(Models!$BJ193:$BT193,,AH193+1)*AF193-ERP_i)*AE193*Ramure*Pc/MaxiM</f>
        <v>2.5862628834781505E-4</v>
      </c>
      <c r="AE193" s="301">
        <f t="shared" si="65"/>
        <v>0.5</v>
      </c>
      <c r="AF193" s="173">
        <f t="shared" si="66"/>
        <v>0.3278839178530637</v>
      </c>
      <c r="AG193" s="801">
        <f t="shared" si="74"/>
        <v>3</v>
      </c>
      <c r="AH193" s="172">
        <f t="shared" si="67"/>
        <v>9</v>
      </c>
      <c r="AI193" s="221">
        <f t="shared" si="68"/>
        <v>3.3278839178530637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46932</v>
      </c>
      <c r="B194" s="406">
        <f>'2027'!Wh/'2027'!Env_an*'2028'!Env_an</f>
        <v>235.9055910297451</v>
      </c>
      <c r="C194" s="831"/>
      <c r="D194" s="388">
        <f t="shared" si="50"/>
        <v>244.14549433693998</v>
      </c>
      <c r="E194" s="380">
        <f t="shared" si="75"/>
        <v>247.38429013948846</v>
      </c>
      <c r="F194" s="380">
        <f t="shared" si="51"/>
        <v>247.4489912321207</v>
      </c>
      <c r="G194" s="110">
        <f t="shared" si="76"/>
        <v>0.988309179107554</v>
      </c>
      <c r="H194" s="409" t="b">
        <f>Wh_hp&gt;='2027'!Maxi_hp</f>
        <v>0</v>
      </c>
      <c r="I194" s="385">
        <f>IF(H194,Wh_hp,'2027'!Maxi_hp)</f>
        <v>247.45002413127429</v>
      </c>
      <c r="J194" s="85">
        <f>IF(H194,An,'2027'!An_max)</f>
        <v>2022</v>
      </c>
      <c r="K194" s="193">
        <f t="shared" si="52"/>
        <v>46932</v>
      </c>
      <c r="L194" s="143">
        <f>IF(t&lt;Tvie,1-EXP((T0-t)*PertePVj)+'2027'!Pspv,1-EXP((T0-t)*PertePVj)+Pspv)</f>
        <v>3.374997080971387E-2</v>
      </c>
      <c r="M194" s="835"/>
      <c r="N194" s="835"/>
      <c r="O194" s="48">
        <f>IF(t&lt;Tnet,'2027'!Resal+('2027'!Salim-'2027'!Resal)*(1-EXP(('2027'!Tnet-t)/('2027'!Tau_j))),Resal+(Salim-Resal)*(1-EXP((Tnet-t)/(Tau_j))))*Salcycl</f>
        <v>1.3092164424516529E-2</v>
      </c>
      <c r="P194" s="165">
        <f>(INDEX(Models!$BJ194:$BT194,,T194)*(1-R194)+INDEX(Models!$BJ194:$BT194,,T194+1)*R194-ERP_i)*Q194*Ramure*Pc/MaxiM</f>
        <v>2.6591181656552751E-4</v>
      </c>
      <c r="Q194" s="301">
        <f t="shared" si="53"/>
        <v>0.5</v>
      </c>
      <c r="R194" s="173">
        <f t="shared" si="54"/>
        <v>0.33235224918483608</v>
      </c>
      <c r="S194" s="801">
        <f t="shared" si="55"/>
        <v>3</v>
      </c>
      <c r="T194" s="172">
        <f t="shared" si="56"/>
        <v>9</v>
      </c>
      <c r="U194" s="247">
        <f t="shared" si="57"/>
        <v>3.3323522491848361</v>
      </c>
      <c r="V194" s="378">
        <f t="shared" si="58"/>
        <v>238.69508496943996</v>
      </c>
      <c r="W194" s="397">
        <f t="shared" si="59"/>
        <v>235.9055910297451</v>
      </c>
      <c r="X194" s="153">
        <f t="shared" si="60"/>
        <v>46932</v>
      </c>
      <c r="Y194" s="380">
        <f t="shared" si="61"/>
        <v>226.59844866395659</v>
      </c>
      <c r="Z194" s="380">
        <f t="shared" si="62"/>
        <v>234.51326449515892</v>
      </c>
      <c r="AA194" s="381">
        <f t="shared" si="63"/>
        <v>247.38429013948846</v>
      </c>
      <c r="AB194" s="193">
        <f t="shared" si="64"/>
        <v>46932</v>
      </c>
      <c r="AC194" s="119">
        <f>IF(OR(t&lt;Tnet,NoTnet),'2027'!Resal_s+('2027'!Salim-'2027'!Resal_s)*(1-EXP(('2027'!Tnet_s-t)/'2027'!Tau_j)),Resal_s+(Salim-Resal_s)*(1-EXP((Tnet_s-t)/Tau_j)))*Salcycl</f>
        <v>5.2028468085310364E-2</v>
      </c>
      <c r="AD194" s="227">
        <f>(INDEX(Models!$BJ194:$BT194,,AH194)*(1-AF194)+INDEX(Models!$BJ194:$BT194,,AH194+1)*AF194-ERP_i)*AE194*Ramure*Pc/MaxiM</f>
        <v>2.6591181656552751E-4</v>
      </c>
      <c r="AE194" s="301">
        <f t="shared" si="65"/>
        <v>0.5</v>
      </c>
      <c r="AF194" s="173">
        <f t="shared" si="66"/>
        <v>0.33235224918483608</v>
      </c>
      <c r="AG194" s="801">
        <f t="shared" si="74"/>
        <v>3</v>
      </c>
      <c r="AH194" s="172">
        <f t="shared" si="67"/>
        <v>9</v>
      </c>
      <c r="AI194" s="221">
        <f t="shared" si="68"/>
        <v>3.3323522491848361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46933</v>
      </c>
      <c r="B195" s="406">
        <f>'2027'!Wh/'2027'!Env_an*'2028'!Env_an</f>
        <v>55.081958333882987</v>
      </c>
      <c r="C195" s="831"/>
      <c r="D195" s="388">
        <f t="shared" si="50"/>
        <v>57.006686370936599</v>
      </c>
      <c r="E195" s="380">
        <f t="shared" si="75"/>
        <v>57.767667129162362</v>
      </c>
      <c r="F195" s="380">
        <f t="shared" si="51"/>
        <v>57.767667129162362</v>
      </c>
      <c r="G195" s="110">
        <f t="shared" si="76"/>
        <v>0.23088673324041464</v>
      </c>
      <c r="H195" s="409" t="b">
        <f>Wh_hp&gt;='2027'!Maxi_hp</f>
        <v>0</v>
      </c>
      <c r="I195" s="385">
        <f>IF(H195,Wh_hp,'2027'!Maxi_hp)</f>
        <v>57.782534053656292</v>
      </c>
      <c r="J195" s="85">
        <f>IF(H195,An,'2027'!An_max)</f>
        <v>2022</v>
      </c>
      <c r="K195" s="193">
        <f t="shared" si="52"/>
        <v>46933</v>
      </c>
      <c r="L195" s="143">
        <f>IF(t&lt;Tvie,1-EXP((T0-t)*PertePVj)+'2027'!Pspv,1-EXP((T0-t)*PertePVj)+Pspv)</f>
        <v>3.3763197961193647E-2</v>
      </c>
      <c r="M195" s="835"/>
      <c r="N195" s="835"/>
      <c r="O195" s="48">
        <f>IF(t&lt;Tnet,'2027'!Resal+('2027'!Salim-'2027'!Resal)*(1-EXP(('2027'!Tnet-t)/('2027'!Tau_j))),Resal+(Salim-Resal)*(1-EXP((Tnet-t)/(Tau_j))))*Salcycl</f>
        <v>1.3173126007049804E-2</v>
      </c>
      <c r="P195" s="165">
        <f>(INDEX(Models!$BJ195:$BT195,,T195)*(1-R195)+INDEX(Models!$BJ195:$BT195,,T195+1)*R195-ERP_i)*Q195*Ramure*Pc/MaxiM</f>
        <v>2.7383185928776208E-4</v>
      </c>
      <c r="Q195" s="301">
        <f t="shared" si="53"/>
        <v>0.5</v>
      </c>
      <c r="R195" s="173">
        <f t="shared" si="54"/>
        <v>0.33675284943039197</v>
      </c>
      <c r="S195" s="801">
        <f t="shared" si="55"/>
        <v>3</v>
      </c>
      <c r="T195" s="172">
        <f t="shared" si="56"/>
        <v>9</v>
      </c>
      <c r="U195" s="247">
        <f t="shared" si="57"/>
        <v>3.336752849430392</v>
      </c>
      <c r="V195" s="378">
        <f t="shared" si="58"/>
        <v>238.50168593913932</v>
      </c>
      <c r="W195" s="397">
        <f t="shared" si="59"/>
        <v>55.081958333882987</v>
      </c>
      <c r="X195" s="153">
        <f t="shared" si="60"/>
        <v>46933</v>
      </c>
      <c r="Y195" s="380">
        <f t="shared" si="61"/>
        <v>52.910430367046146</v>
      </c>
      <c r="Z195" s="380">
        <f t="shared" si="62"/>
        <v>54.759278735194705</v>
      </c>
      <c r="AA195" s="381">
        <f t="shared" si="63"/>
        <v>57.767667129162362</v>
      </c>
      <c r="AB195" s="193">
        <f t="shared" si="64"/>
        <v>46933</v>
      </c>
      <c r="AC195" s="119">
        <f>IF(OR(t&lt;Tnet,NoTnet),'2027'!Resal_s+('2027'!Salim-'2027'!Resal_s)*(1-EXP(('2027'!Tnet_s-t)/'2027'!Tau_j)),Resal_s+(Salim-Resal_s)*(1-EXP((Tnet_s-t)/Tau_j)))*Salcycl</f>
        <v>5.2077373788372246E-2</v>
      </c>
      <c r="AD195" s="227">
        <f>(INDEX(Models!$BJ195:$BT195,,AH195)*(1-AF195)+INDEX(Models!$BJ195:$BT195,,AH195+1)*AF195-ERP_i)*AE195*Ramure*Pc/MaxiM</f>
        <v>2.7383185928776208E-4</v>
      </c>
      <c r="AE195" s="301">
        <f t="shared" si="65"/>
        <v>0.5</v>
      </c>
      <c r="AF195" s="173">
        <f t="shared" si="66"/>
        <v>0.33675284943039197</v>
      </c>
      <c r="AG195" s="801">
        <f t="shared" si="74"/>
        <v>3</v>
      </c>
      <c r="AH195" s="172">
        <f t="shared" si="67"/>
        <v>9</v>
      </c>
      <c r="AI195" s="221">
        <f t="shared" si="68"/>
        <v>3.336752849430392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46934</v>
      </c>
      <c r="B196" s="406">
        <f>'2027'!Wh/'2027'!Env_an*'2028'!Env_an</f>
        <v>211.22243215646714</v>
      </c>
      <c r="C196" s="831"/>
      <c r="D196" s="388">
        <f t="shared" si="50"/>
        <v>218.60616694383131</v>
      </c>
      <c r="E196" s="380">
        <f t="shared" si="75"/>
        <v>221.54245475732449</v>
      </c>
      <c r="F196" s="380">
        <f t="shared" si="51"/>
        <v>221.59487450872456</v>
      </c>
      <c r="G196" s="110">
        <f t="shared" si="76"/>
        <v>0.88633815281956219</v>
      </c>
      <c r="H196" s="409" t="b">
        <f>Wh_hp&gt;='2027'!Maxi_hp</f>
        <v>0</v>
      </c>
      <c r="I196" s="385">
        <f>IF(H196,Wh_hp,'2027'!Maxi_hp)</f>
        <v>221.60441669383138</v>
      </c>
      <c r="J196" s="85">
        <f>IF(H196,An,'2027'!An_max)</f>
        <v>2022</v>
      </c>
      <c r="K196" s="193">
        <f t="shared" si="52"/>
        <v>46934</v>
      </c>
      <c r="L196" s="143">
        <f>IF(t&lt;Tvie,1-EXP((T0-t)*PertePVj)+'2027'!Pspv,1-EXP((T0-t)*PertePVj)+Pspv)</f>
        <v>3.377642493160482E-2</v>
      </c>
      <c r="M196" s="835"/>
      <c r="N196" s="835"/>
      <c r="O196" s="48">
        <f>IF(t&lt;Tnet,'2027'!Resal+('2027'!Salim-'2027'!Resal)*(1-EXP(('2027'!Tnet-t)/('2027'!Tau_j))),Resal+(Salim-Resal)*(1-EXP((Tnet-t)/(Tau_j))))*Salcycl</f>
        <v>1.3253838036188424E-2</v>
      </c>
      <c r="P196" s="165">
        <f>(INDEX(Models!$BJ196:$BT196,,T196)*(1-R196)+INDEX(Models!$BJ196:$BT196,,T196+1)*R196-ERP_i)*Q196*Ramure*Pc/MaxiM</f>
        <v>2.8239371843299672E-4</v>
      </c>
      <c r="Q196" s="301">
        <f t="shared" si="53"/>
        <v>0.5</v>
      </c>
      <c r="R196" s="173">
        <f t="shared" si="54"/>
        <v>0.34108361695133471</v>
      </c>
      <c r="S196" s="801">
        <f t="shared" si="55"/>
        <v>3</v>
      </c>
      <c r="T196" s="172">
        <f t="shared" si="56"/>
        <v>9</v>
      </c>
      <c r="U196" s="247">
        <f t="shared" si="57"/>
        <v>3.3410836169513347</v>
      </c>
      <c r="V196" s="378">
        <f t="shared" si="58"/>
        <v>238.29815673217419</v>
      </c>
      <c r="W196" s="397">
        <f t="shared" si="59"/>
        <v>211.22243215646714</v>
      </c>
      <c r="X196" s="153">
        <f t="shared" si="60"/>
        <v>46934</v>
      </c>
      <c r="Y196" s="380">
        <f t="shared" si="61"/>
        <v>202.90159339406949</v>
      </c>
      <c r="Z196" s="380">
        <f t="shared" si="62"/>
        <v>209.99445535129578</v>
      </c>
      <c r="AA196" s="381">
        <f t="shared" si="63"/>
        <v>221.54245475732449</v>
      </c>
      <c r="AB196" s="193">
        <f t="shared" si="64"/>
        <v>46934</v>
      </c>
      <c r="AC196" s="119">
        <f>IF(OR(t&lt;Tnet,NoTnet),'2027'!Resal_s+('2027'!Salim-'2027'!Resal_s)*(1-EXP(('2027'!Tnet_s-t)/'2027'!Tau_j)),Resal_s+(Salim-Resal_s)*(1-EXP((Tnet_s-t)/Tau_j)))*Salcycl</f>
        <v>5.2125446649394037E-2</v>
      </c>
      <c r="AD196" s="227">
        <f>(INDEX(Models!$BJ196:$BT196,,AH196)*(1-AF196)+INDEX(Models!$BJ196:$BT196,,AH196+1)*AF196-ERP_i)*AE196*Ramure*Pc/MaxiM</f>
        <v>2.8239371843299672E-4</v>
      </c>
      <c r="AE196" s="301">
        <f t="shared" si="65"/>
        <v>0.5</v>
      </c>
      <c r="AF196" s="173">
        <f t="shared" si="66"/>
        <v>0.34108361695133471</v>
      </c>
      <c r="AG196" s="801">
        <f t="shared" si="74"/>
        <v>3</v>
      </c>
      <c r="AH196" s="172">
        <f t="shared" si="67"/>
        <v>9</v>
      </c>
      <c r="AI196" s="221">
        <f t="shared" si="68"/>
        <v>3.3410836169513347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46935</v>
      </c>
      <c r="B197" s="406">
        <f>'2027'!Wh/'2027'!Env_an*'2028'!Env_an</f>
        <v>233.42275856956877</v>
      </c>
      <c r="C197" s="831"/>
      <c r="D197" s="388">
        <f t="shared" si="50"/>
        <v>241.58586066204521</v>
      </c>
      <c r="E197" s="380">
        <f t="shared" si="75"/>
        <v>244.85077460985059</v>
      </c>
      <c r="F197" s="380">
        <f t="shared" si="51"/>
        <v>244.92019717581243</v>
      </c>
      <c r="G197" s="110">
        <f t="shared" si="76"/>
        <v>0.98041610078175789</v>
      </c>
      <c r="H197" s="409" t="b">
        <f>Wh_hp&gt;='2027'!Maxi_hp</f>
        <v>0</v>
      </c>
      <c r="I197" s="385">
        <f>IF(H197,Wh_hp,'2027'!Maxi_hp)</f>
        <v>244.92207274501186</v>
      </c>
      <c r="J197" s="85">
        <f>IF(H197,An,'2027'!An_max)</f>
        <v>2022</v>
      </c>
      <c r="K197" s="193">
        <f t="shared" si="52"/>
        <v>46935</v>
      </c>
      <c r="L197" s="143">
        <f>IF(t&lt;Tvie,1-EXP((T0-t)*PertePVj)+'2027'!Pspv,1-EXP((T0-t)*PertePVj)+Pspv)</f>
        <v>3.3789651720949943E-2</v>
      </c>
      <c r="M197" s="835"/>
      <c r="N197" s="835"/>
      <c r="O197" s="48">
        <f>IF(t&lt;Tnet,'2027'!Resal+('2027'!Salim-'2027'!Resal)*(1-EXP(('2027'!Tnet-t)/('2027'!Tau_j))),Resal+(Salim-Resal)*(1-EXP((Tnet-t)/(Tau_j))))*Salcycl</f>
        <v>1.3334301077902486E-2</v>
      </c>
      <c r="P197" s="165">
        <f>(INDEX(Models!$BJ197:$BT197,,T197)*(1-R197)+INDEX(Models!$BJ197:$BT197,,T197+1)*R197-ERP_i)*Q197*Ramure*Pc/MaxiM</f>
        <v>2.9160462979755433E-4</v>
      </c>
      <c r="Q197" s="301">
        <f t="shared" si="53"/>
        <v>0.5</v>
      </c>
      <c r="R197" s="173">
        <f t="shared" si="54"/>
        <v>0.34534263225899542</v>
      </c>
      <c r="S197" s="801">
        <f t="shared" si="55"/>
        <v>3</v>
      </c>
      <c r="T197" s="172">
        <f t="shared" si="56"/>
        <v>9</v>
      </c>
      <c r="U197" s="247">
        <f t="shared" si="57"/>
        <v>3.3453426322589954</v>
      </c>
      <c r="V197" s="378">
        <f t="shared" si="58"/>
        <v>238.0834569185736</v>
      </c>
      <c r="W197" s="397">
        <f t="shared" si="59"/>
        <v>233.42275856956877</v>
      </c>
      <c r="X197" s="153">
        <f t="shared" si="60"/>
        <v>46935</v>
      </c>
      <c r="Y197" s="380">
        <f t="shared" si="61"/>
        <v>224.23447267342806</v>
      </c>
      <c r="Z197" s="380">
        <f t="shared" si="62"/>
        <v>232.07624827535707</v>
      </c>
      <c r="AA197" s="381">
        <f t="shared" si="63"/>
        <v>244.85077460985059</v>
      </c>
      <c r="AB197" s="193">
        <f t="shared" si="64"/>
        <v>46935</v>
      </c>
      <c r="AC197" s="119">
        <f>IF(OR(t&lt;Tnet,NoTnet),'2027'!Resal_s+('2027'!Salim-'2027'!Resal_s)*(1-EXP(('2027'!Tnet_s-t)/'2027'!Tau_j)),Resal_s+(Salim-Resal_s)*(1-EXP((Tnet_s-t)/Tau_j)))*Salcycl</f>
        <v>5.2172701331448371E-2</v>
      </c>
      <c r="AD197" s="227">
        <f>(INDEX(Models!$BJ197:$BT197,,AH197)*(1-AF197)+INDEX(Models!$BJ197:$BT197,,AH197+1)*AF197-ERP_i)*AE197*Ramure*Pc/MaxiM</f>
        <v>2.9160462979755433E-4</v>
      </c>
      <c r="AE197" s="301">
        <f t="shared" si="65"/>
        <v>0.5</v>
      </c>
      <c r="AF197" s="173">
        <f t="shared" si="66"/>
        <v>0.34534263225899542</v>
      </c>
      <c r="AG197" s="801">
        <f t="shared" si="74"/>
        <v>3</v>
      </c>
      <c r="AH197" s="172">
        <f t="shared" si="67"/>
        <v>9</v>
      </c>
      <c r="AI197" s="221">
        <f t="shared" si="68"/>
        <v>3.3453426322589954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46936</v>
      </c>
      <c r="B198" s="406">
        <f>'2027'!Wh/'2027'!Env_an*'2028'!Env_an</f>
        <v>193.32376170503093</v>
      </c>
      <c r="C198" s="831"/>
      <c r="D198" s="388">
        <f t="shared" si="50"/>
        <v>200.08728795499965</v>
      </c>
      <c r="E198" s="380">
        <f t="shared" si="75"/>
        <v>202.80785725011859</v>
      </c>
      <c r="F198" s="380">
        <f t="shared" si="51"/>
        <v>202.85255213952763</v>
      </c>
      <c r="G198" s="110">
        <f t="shared" si="76"/>
        <v>0.81270864687263511</v>
      </c>
      <c r="H198" s="409" t="b">
        <f>Wh_hp&gt;='2027'!Maxi_hp</f>
        <v>0</v>
      </c>
      <c r="I198" s="385">
        <f>IF(H198,Wh_hp,'2027'!Maxi_hp)</f>
        <v>202.86786743464688</v>
      </c>
      <c r="J198" s="85">
        <f>IF(H198,An,'2027'!An_max)</f>
        <v>2022</v>
      </c>
      <c r="K198" s="193">
        <f t="shared" si="52"/>
        <v>46936</v>
      </c>
      <c r="L198" s="143">
        <f>IF(t&lt;Tvie,1-EXP((T0-t)*PertePVj)+'2027'!Pspv,1-EXP((T0-t)*PertePVj)+Pspv)</f>
        <v>3.3802878329231345E-2</v>
      </c>
      <c r="M198" s="835"/>
      <c r="N198" s="835"/>
      <c r="O198" s="48">
        <f>IF(t&lt;Tnet,'2027'!Resal+('2027'!Salim-'2027'!Resal)*(1-EXP(('2027'!Tnet-t)/('2027'!Tau_j))),Resal+(Salim-Resal)*(1-EXP((Tnet-t)/(Tau_j))))*Salcycl</f>
        <v>1.3414516242157863E-2</v>
      </c>
      <c r="P198" s="165">
        <f>(INDEX(Models!$BJ198:$BT198,,T198)*(1-R198)+INDEX(Models!$BJ198:$BT198,,T198+1)*R198-ERP_i)*Q198*Ramure*Pc/MaxiM</f>
        <v>3.0078030423941893E-4</v>
      </c>
      <c r="Q198" s="301">
        <f t="shared" si="53"/>
        <v>0.5</v>
      </c>
      <c r="R198" s="173">
        <f t="shared" si="54"/>
        <v>0.34952815802629189</v>
      </c>
      <c r="S198" s="801">
        <f t="shared" si="55"/>
        <v>3</v>
      </c>
      <c r="T198" s="172">
        <f t="shared" si="56"/>
        <v>9</v>
      </c>
      <c r="U198" s="247">
        <f t="shared" si="57"/>
        <v>3.3495281580262919</v>
      </c>
      <c r="V198" s="378">
        <f t="shared" si="58"/>
        <v>237.85671093127857</v>
      </c>
      <c r="W198" s="397">
        <f t="shared" si="59"/>
        <v>193.32376170503093</v>
      </c>
      <c r="X198" s="153">
        <f t="shared" si="60"/>
        <v>46936</v>
      </c>
      <c r="Y198" s="380">
        <f t="shared" si="61"/>
        <v>185.71990099960607</v>
      </c>
      <c r="Z198" s="380">
        <f t="shared" si="62"/>
        <v>192.21740246799251</v>
      </c>
      <c r="AA198" s="381">
        <f t="shared" si="63"/>
        <v>202.80785725011859</v>
      </c>
      <c r="AB198" s="193">
        <f t="shared" si="64"/>
        <v>46936</v>
      </c>
      <c r="AC198" s="119">
        <f>IF(OR(t&lt;Tnet,NoTnet),'2027'!Resal_s+('2027'!Salim-'2027'!Resal_s)*(1-EXP(('2027'!Tnet_s-t)/'2027'!Tau_j)),Resal_s+(Salim-Resal_s)*(1-EXP((Tnet_s-t)/Tau_j)))*Salcycl</f>
        <v>5.2219154256262869E-2</v>
      </c>
      <c r="AD198" s="227">
        <f>(INDEX(Models!$BJ198:$BT198,,AH198)*(1-AF198)+INDEX(Models!$BJ198:$BT198,,AH198+1)*AF198-ERP_i)*AE198*Ramure*Pc/MaxiM</f>
        <v>3.0078030423941893E-4</v>
      </c>
      <c r="AE198" s="301">
        <f t="shared" si="65"/>
        <v>0.5</v>
      </c>
      <c r="AF198" s="173">
        <f t="shared" si="66"/>
        <v>0.34952815802629189</v>
      </c>
      <c r="AG198" s="801">
        <f t="shared" si="74"/>
        <v>3</v>
      </c>
      <c r="AH198" s="172">
        <f t="shared" si="67"/>
        <v>9</v>
      </c>
      <c r="AI198" s="221">
        <f t="shared" si="68"/>
        <v>3.3495281580262919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46937</v>
      </c>
      <c r="B199" s="406">
        <f>'2027'!Wh/'2027'!Env_an*'2028'!Env_an</f>
        <v>188.58929130800664</v>
      </c>
      <c r="C199" s="831"/>
      <c r="D199" s="388">
        <f t="shared" si="50"/>
        <v>195.18985178330723</v>
      </c>
      <c r="E199" s="380">
        <f t="shared" si="75"/>
        <v>197.85986884713196</v>
      </c>
      <c r="F199" s="380">
        <f t="shared" si="51"/>
        <v>197.90304918754919</v>
      </c>
      <c r="G199" s="110">
        <f t="shared" si="76"/>
        <v>0.79359676709501259</v>
      </c>
      <c r="H199" s="409" t="b">
        <f>Wh_hp&gt;='2027'!Maxi_hp</f>
        <v>0</v>
      </c>
      <c r="I199" s="385">
        <f>IF(H199,Wh_hp,'2027'!Maxi_hp)</f>
        <v>197.91997286853493</v>
      </c>
      <c r="J199" s="85">
        <f>IF(H199,An,'2027'!An_max)</f>
        <v>2022</v>
      </c>
      <c r="K199" s="193">
        <f t="shared" si="52"/>
        <v>46937</v>
      </c>
      <c r="L199" s="143">
        <f>IF(t&lt;Tvie,1-EXP((T0-t)*PertePVj)+'2027'!Pspv,1-EXP((T0-t)*PertePVj)+Pspv)</f>
        <v>3.3816104756451693E-2</v>
      </c>
      <c r="M199" s="835"/>
      <c r="N199" s="835"/>
      <c r="O199" s="48">
        <f>IF(t&lt;Tnet,'2027'!Resal+('2027'!Salim-'2027'!Resal)*(1-EXP(('2027'!Tnet-t)/('2027'!Tau_j))),Resal+(Salim-Resal)*(1-EXP((Tnet-t)/(Tau_j))))*Salcycl</f>
        <v>1.3494485159532783E-2</v>
      </c>
      <c r="P199" s="165">
        <f>(INDEX(Models!$BJ199:$BT199,,T199)*(1-R199)+INDEX(Models!$BJ199:$BT199,,T199+1)*R199-ERP_i)*Q199*Ramure*Pc/MaxiM</f>
        <v>3.0938241054863472E-4</v>
      </c>
      <c r="Q199" s="301">
        <f t="shared" si="53"/>
        <v>0.5</v>
      </c>
      <c r="R199" s="173">
        <f t="shared" si="54"/>
        <v>0.35363863825024877</v>
      </c>
      <c r="S199" s="801">
        <f t="shared" si="55"/>
        <v>3</v>
      </c>
      <c r="T199" s="172">
        <f t="shared" si="56"/>
        <v>9</v>
      </c>
      <c r="U199" s="247">
        <f t="shared" si="57"/>
        <v>3.3536386382502488</v>
      </c>
      <c r="V199" s="378">
        <f t="shared" si="58"/>
        <v>237.61700821060023</v>
      </c>
      <c r="W199" s="397">
        <f t="shared" si="59"/>
        <v>188.58929130800664</v>
      </c>
      <c r="X199" s="153">
        <f t="shared" si="60"/>
        <v>46937</v>
      </c>
      <c r="Y199" s="380">
        <f t="shared" si="61"/>
        <v>181.17760377458706</v>
      </c>
      <c r="Z199" s="380">
        <f t="shared" si="62"/>
        <v>187.51875772977687</v>
      </c>
      <c r="AA199" s="381">
        <f t="shared" si="63"/>
        <v>197.85986884713196</v>
      </c>
      <c r="AB199" s="193">
        <f t="shared" si="64"/>
        <v>46937</v>
      </c>
      <c r="AC199" s="119">
        <f>IF(OR(t&lt;Tnet,NoTnet),'2027'!Resal_s+('2027'!Salim-'2027'!Resal_s)*(1-EXP(('2027'!Tnet_s-t)/'2027'!Tau_j)),Resal_s+(Salim-Resal_s)*(1-EXP((Tnet_s-t)/Tau_j)))*Salcycl</f>
        <v>5.2264823471326147E-2</v>
      </c>
      <c r="AD199" s="227">
        <f>(INDEX(Models!$BJ199:$BT199,,AH199)*(1-AF199)+INDEX(Models!$BJ199:$BT199,,AH199+1)*AF199-ERP_i)*AE199*Ramure*Pc/MaxiM</f>
        <v>3.0938241054863472E-4</v>
      </c>
      <c r="AE199" s="301">
        <f t="shared" si="65"/>
        <v>0.5</v>
      </c>
      <c r="AF199" s="173">
        <f t="shared" si="66"/>
        <v>0.35363863825024877</v>
      </c>
      <c r="AG199" s="801">
        <f t="shared" si="74"/>
        <v>3</v>
      </c>
      <c r="AH199" s="172">
        <f t="shared" si="67"/>
        <v>9</v>
      </c>
      <c r="AI199" s="221">
        <f t="shared" si="68"/>
        <v>3.3536386382502488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46938</v>
      </c>
      <c r="B200" s="406">
        <f>'2027'!Wh/'2027'!Env_an*'2028'!Env_an</f>
        <v>226.85040766799682</v>
      </c>
      <c r="C200" s="831"/>
      <c r="D200" s="388">
        <f t="shared" si="50"/>
        <v>234.7933082085836</v>
      </c>
      <c r="E200" s="380">
        <f t="shared" si="75"/>
        <v>238.02430003157389</v>
      </c>
      <c r="F200" s="380">
        <f t="shared" si="51"/>
        <v>238.09509098025177</v>
      </c>
      <c r="G200" s="110">
        <f t="shared" si="76"/>
        <v>0.95569045214436243</v>
      </c>
      <c r="H200" s="409" t="b">
        <f>Wh_hp&gt;='2027'!Maxi_hp</f>
        <v>0</v>
      </c>
      <c r="I200" s="385">
        <f>IF(H200,Wh_hp,'2027'!Maxi_hp)</f>
        <v>238.09957047491525</v>
      </c>
      <c r="J200" s="85">
        <f>IF(H200,An,'2027'!An_max)</f>
        <v>2022</v>
      </c>
      <c r="K200" s="193">
        <f t="shared" si="52"/>
        <v>46938</v>
      </c>
      <c r="L200" s="143">
        <f>IF(t&lt;Tvie,1-EXP((T0-t)*PertePVj)+'2027'!Pspv,1-EXP((T0-t)*PertePVj)+Pspv)</f>
        <v>3.3829331002613316E-2</v>
      </c>
      <c r="M200" s="835"/>
      <c r="N200" s="835"/>
      <c r="O200" s="48">
        <f>IF(t&lt;Tnet,'2027'!Resal+('2027'!Salim-'2027'!Resal)*(1-EXP(('2027'!Tnet-t)/('2027'!Tau_j))),Resal+(Salim-Resal)*(1-EXP((Tnet-t)/(Tau_j))))*Salcycl</f>
        <v>1.357420995487315E-2</v>
      </c>
      <c r="P200" s="165">
        <f>(INDEX(Models!$BJ200:$BT200,,T200)*(1-R200)+INDEX(Models!$BJ200:$BT200,,T200+1)*R200-ERP_i)*Q200*Ramure*Pc/MaxiM</f>
        <v>3.174049937016408E-4</v>
      </c>
      <c r="Q200" s="301">
        <f t="shared" si="53"/>
        <v>0.5</v>
      </c>
      <c r="R200" s="173">
        <f t="shared" si="54"/>
        <v>0.35767269661022283</v>
      </c>
      <c r="S200" s="801">
        <f t="shared" si="55"/>
        <v>3</v>
      </c>
      <c r="T200" s="172">
        <f t="shared" si="56"/>
        <v>9</v>
      </c>
      <c r="U200" s="247">
        <f t="shared" si="57"/>
        <v>3.3576726966102228</v>
      </c>
      <c r="V200" s="378">
        <f t="shared" si="58"/>
        <v>237.36331152717878</v>
      </c>
      <c r="W200" s="397">
        <f t="shared" si="59"/>
        <v>226.85040766799682</v>
      </c>
      <c r="X200" s="153">
        <f t="shared" si="60"/>
        <v>46938</v>
      </c>
      <c r="Y200" s="380">
        <f t="shared" si="61"/>
        <v>217.9423192298033</v>
      </c>
      <c r="Z200" s="380">
        <f t="shared" si="62"/>
        <v>225.57331351816561</v>
      </c>
      <c r="AA200" s="381">
        <f t="shared" si="63"/>
        <v>238.02430003157389</v>
      </c>
      <c r="AB200" s="193">
        <f t="shared" si="64"/>
        <v>46938</v>
      </c>
      <c r="AC200" s="119">
        <f>IF(OR(t&lt;Tnet,NoTnet),'2027'!Resal_s+('2027'!Salim-'2027'!Resal_s)*(1-EXP(('2027'!Tnet_s-t)/'2027'!Tau_j)),Resal_s+(Salim-Resal_s)*(1-EXP((Tnet_s-t)/Tau_j)))*Salcycl</f>
        <v>5.2309728509890248E-2</v>
      </c>
      <c r="AD200" s="227">
        <f>(INDEX(Models!$BJ200:$BT200,,AH200)*(1-AF200)+INDEX(Models!$BJ200:$BT200,,AH200+1)*AF200-ERP_i)*AE200*Ramure*Pc/MaxiM</f>
        <v>3.174049937016408E-4</v>
      </c>
      <c r="AE200" s="301">
        <f t="shared" si="65"/>
        <v>0.5</v>
      </c>
      <c r="AF200" s="173">
        <f t="shared" si="66"/>
        <v>0.35767269661022283</v>
      </c>
      <c r="AG200" s="801">
        <f t="shared" si="74"/>
        <v>3</v>
      </c>
      <c r="AH200" s="172">
        <f t="shared" si="67"/>
        <v>9</v>
      </c>
      <c r="AI200" s="221">
        <f t="shared" si="68"/>
        <v>3.3576726966102228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46939</v>
      </c>
      <c r="B201" s="406">
        <f>'2027'!Wh/'2027'!Env_an*'2028'!Env_an</f>
        <v>180.07679406462495</v>
      </c>
      <c r="C201" s="831"/>
      <c r="D201" s="388">
        <f t="shared" si="50"/>
        <v>186.38452291801747</v>
      </c>
      <c r="E201" s="380">
        <f t="shared" si="75"/>
        <v>188.96458742380804</v>
      </c>
      <c r="F201" s="380">
        <f t="shared" si="51"/>
        <v>189.00489135657639</v>
      </c>
      <c r="G201" s="110">
        <f t="shared" si="76"/>
        <v>0.75942980377422087</v>
      </c>
      <c r="H201" s="409" t="b">
        <f>Wh_hp&gt;='2027'!Maxi_hp</f>
        <v>0</v>
      </c>
      <c r="I201" s="385">
        <f>IF(H201,Wh_hp,'2027'!Maxi_hp)</f>
        <v>189.02462826970424</v>
      </c>
      <c r="J201" s="85">
        <f>IF(H201,An,'2027'!An_max)</f>
        <v>2022</v>
      </c>
      <c r="K201" s="193">
        <f t="shared" si="52"/>
        <v>46939</v>
      </c>
      <c r="L201" s="143">
        <f>IF(t&lt;Tvie,1-EXP((T0-t)*PertePVj)+'2027'!Pspv,1-EXP((T0-t)*PertePVj)+Pspv)</f>
        <v>3.3842557067718659E-2</v>
      </c>
      <c r="M201" s="835"/>
      <c r="N201" s="835"/>
      <c r="O201" s="48">
        <f>IF(t&lt;Tnet,'2027'!Resal+('2027'!Salim-'2027'!Resal)*(1-EXP(('2027'!Tnet-t)/('2027'!Tau_j))),Resal+(Salim-Resal)*(1-EXP((Tnet-t)/(Tau_j))))*Salcycl</f>
        <v>1.3653693218211574E-2</v>
      </c>
      <c r="P201" s="165">
        <f>(INDEX(Models!$BJ201:$BT201,,T201)*(1-R201)+INDEX(Models!$BJ201:$BT201,,T201+1)*R201-ERP_i)*Q201*Ramure*Pc/MaxiM</f>
        <v>3.2484270849507689E-4</v>
      </c>
      <c r="Q201" s="301">
        <f t="shared" si="53"/>
        <v>0.5</v>
      </c>
      <c r="R201" s="173">
        <f t="shared" si="54"/>
        <v>0.36162913407134889</v>
      </c>
      <c r="S201" s="801">
        <f t="shared" si="55"/>
        <v>3</v>
      </c>
      <c r="T201" s="172">
        <f t="shared" si="56"/>
        <v>9</v>
      </c>
      <c r="U201" s="247">
        <f t="shared" si="57"/>
        <v>3.3616291340713489</v>
      </c>
      <c r="V201" s="378">
        <f t="shared" si="58"/>
        <v>237.09458376557737</v>
      </c>
      <c r="W201" s="397">
        <f t="shared" si="59"/>
        <v>180.07679406462495</v>
      </c>
      <c r="X201" s="153">
        <f t="shared" si="60"/>
        <v>46939</v>
      </c>
      <c r="Y201" s="380">
        <f t="shared" si="61"/>
        <v>173.0113167953059</v>
      </c>
      <c r="Z201" s="380">
        <f t="shared" si="62"/>
        <v>179.07155615364067</v>
      </c>
      <c r="AA201" s="381">
        <f t="shared" si="63"/>
        <v>188.96458742380804</v>
      </c>
      <c r="AB201" s="193">
        <f t="shared" si="64"/>
        <v>46939</v>
      </c>
      <c r="AC201" s="119">
        <f>IF(OR(t&lt;Tnet,NoTnet),'2027'!Resal_s+('2027'!Salim-'2027'!Resal_s)*(1-EXP(('2027'!Tnet_s-t)/'2027'!Tau_j)),Resal_s+(Salim-Resal_s)*(1-EXP((Tnet_s-t)/Tau_j)))*Salcycl</f>
        <v>5.2353890244945071E-2</v>
      </c>
      <c r="AD201" s="227">
        <f>(INDEX(Models!$BJ201:$BT201,,AH201)*(1-AF201)+INDEX(Models!$BJ201:$BT201,,AH201+1)*AF201-ERP_i)*AE201*Ramure*Pc/MaxiM</f>
        <v>3.2484270849507689E-4</v>
      </c>
      <c r="AE201" s="301">
        <f t="shared" si="65"/>
        <v>0.5</v>
      </c>
      <c r="AF201" s="173">
        <f t="shared" si="66"/>
        <v>0.36162913407134889</v>
      </c>
      <c r="AG201" s="801">
        <f t="shared" si="74"/>
        <v>3</v>
      </c>
      <c r="AH201" s="172">
        <f t="shared" si="67"/>
        <v>9</v>
      </c>
      <c r="AI201" s="221">
        <f t="shared" si="68"/>
        <v>3.3616291340713489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46940</v>
      </c>
      <c r="B202" s="406">
        <f>'2027'!Wh/'2027'!Env_an*'2028'!Env_an</f>
        <v>223.7852600785782</v>
      </c>
      <c r="C202" s="831"/>
      <c r="D202" s="388">
        <f t="shared" si="50"/>
        <v>231.62717959673603</v>
      </c>
      <c r="E202" s="380">
        <f t="shared" si="75"/>
        <v>234.8523929418638</v>
      </c>
      <c r="F202" s="380">
        <f t="shared" si="51"/>
        <v>234.92419267668149</v>
      </c>
      <c r="G202" s="110">
        <f t="shared" si="76"/>
        <v>0.94497540884968478</v>
      </c>
      <c r="H202" s="409" t="b">
        <f>Wh_hp&gt;='2027'!Maxi_hp</f>
        <v>0</v>
      </c>
      <c r="I202" s="385">
        <f>IF(H202,Wh_hp,'2027'!Maxi_hp)</f>
        <v>234.92991381410164</v>
      </c>
      <c r="J202" s="85">
        <f>IF(H202,An,'2027'!An_max)</f>
        <v>2022</v>
      </c>
      <c r="K202" s="193">
        <f t="shared" si="52"/>
        <v>46940</v>
      </c>
      <c r="L202" s="143">
        <f>IF(t&lt;Tvie,1-EXP((T0-t)*PertePVj)+'2027'!Pspv,1-EXP((T0-t)*PertePVj)+Pspv)</f>
        <v>3.3855782951770386E-2</v>
      </c>
      <c r="M202" s="835"/>
      <c r="N202" s="835"/>
      <c r="O202" s="48">
        <f>IF(t&lt;Tnet,'2027'!Resal+('2027'!Salim-'2027'!Resal)*(1-EXP(('2027'!Tnet-t)/('2027'!Tau_j))),Resal+(Salim-Resal)*(1-EXP((Tnet-t)/(Tau_j))))*Salcycl</f>
        <v>1.3732937973198028E-2</v>
      </c>
      <c r="P202" s="165">
        <f>(INDEX(Models!$BJ202:$BT202,,T202)*(1-R202)+INDEX(Models!$BJ202:$BT202,,T202+1)*R202-ERP_i)*Q202*Ramure*Pc/MaxiM</f>
        <v>3.3169077468605217E-4</v>
      </c>
      <c r="Q202" s="301">
        <f t="shared" si="53"/>
        <v>0.5</v>
      </c>
      <c r="R202" s="173">
        <f t="shared" si="54"/>
        <v>0.36550692578638833</v>
      </c>
      <c r="S202" s="801">
        <f t="shared" si="55"/>
        <v>3</v>
      </c>
      <c r="T202" s="172">
        <f t="shared" si="56"/>
        <v>9</v>
      </c>
      <c r="U202" s="247">
        <f t="shared" si="57"/>
        <v>3.3655069257863883</v>
      </c>
      <c r="V202" s="378">
        <f t="shared" si="58"/>
        <v>236.80978789856695</v>
      </c>
      <c r="W202" s="397">
        <f t="shared" si="59"/>
        <v>223.7852600785782</v>
      </c>
      <c r="X202" s="153">
        <f t="shared" si="60"/>
        <v>46940</v>
      </c>
      <c r="Y202" s="380">
        <f t="shared" si="61"/>
        <v>215.01225981946669</v>
      </c>
      <c r="Z202" s="380">
        <f t="shared" si="62"/>
        <v>222.54675443421232</v>
      </c>
      <c r="AA202" s="381">
        <f t="shared" si="63"/>
        <v>234.8523929418638</v>
      </c>
      <c r="AB202" s="193">
        <f t="shared" si="64"/>
        <v>46940</v>
      </c>
      <c r="AC202" s="119">
        <f>IF(OR(t&lt;Tnet,NoTnet),'2027'!Resal_s+('2027'!Salim-'2027'!Resal_s)*(1-EXP(('2027'!Tnet_s-t)/'2027'!Tau_j)),Resal_s+(Salim-Resal_s)*(1-EXP((Tnet_s-t)/Tau_j)))*Salcycl</f>
        <v>5.2397330738280581E-2</v>
      </c>
      <c r="AD202" s="227">
        <f>(INDEX(Models!$BJ202:$BT202,,AH202)*(1-AF202)+INDEX(Models!$BJ202:$BT202,,AH202+1)*AF202-ERP_i)*AE202*Ramure*Pc/MaxiM</f>
        <v>3.3169077468605217E-4</v>
      </c>
      <c r="AE202" s="301">
        <f t="shared" si="65"/>
        <v>0.5</v>
      </c>
      <c r="AF202" s="173">
        <f t="shared" si="66"/>
        <v>0.36550692578638833</v>
      </c>
      <c r="AG202" s="801">
        <f t="shared" si="74"/>
        <v>3</v>
      </c>
      <c r="AH202" s="172">
        <f t="shared" si="67"/>
        <v>9</v>
      </c>
      <c r="AI202" s="221">
        <f t="shared" si="68"/>
        <v>3.3655069257863883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46941</v>
      </c>
      <c r="B203" s="406">
        <f>'2027'!Wh/'2027'!Env_an*'2028'!Env_an</f>
        <v>237.32050724919279</v>
      </c>
      <c r="C203" s="831"/>
      <c r="D203" s="388">
        <f t="shared" si="50"/>
        <v>245.64009370898097</v>
      </c>
      <c r="E203" s="380">
        <f t="shared" si="75"/>
        <v>249.08037886078171</v>
      </c>
      <c r="F203" s="380">
        <f t="shared" si="51"/>
        <v>249.16458276776112</v>
      </c>
      <c r="G203" s="110">
        <f t="shared" si="76"/>
        <v>1.0034359116923777</v>
      </c>
      <c r="H203" s="409" t="b">
        <f>Wh_hp&gt;='2027'!Maxi_hp</f>
        <v>1</v>
      </c>
      <c r="I203" s="385">
        <f>IF(H203,Wh_hp,'2027'!Maxi_hp)</f>
        <v>249.16458276776112</v>
      </c>
      <c r="J203" s="85">
        <f>IF(H203,An,'2027'!An_max)</f>
        <v>2028</v>
      </c>
      <c r="K203" s="193">
        <f t="shared" si="52"/>
        <v>46941</v>
      </c>
      <c r="L203" s="143">
        <f>IF(t&lt;Tvie,1-EXP((T0-t)*PertePVj)+'2027'!Pspv,1-EXP((T0-t)*PertePVj)+Pspv)</f>
        <v>3.3869008654770827E-2</v>
      </c>
      <c r="M203" s="835"/>
      <c r="N203" s="835"/>
      <c r="O203" s="48">
        <f>IF(t&lt;Tnet,'2027'!Resal+('2027'!Salim-'2027'!Resal)*(1-EXP(('2027'!Tnet-t)/('2027'!Tau_j))),Resal+(Salim-Resal)*(1-EXP((Tnet-t)/(Tau_j))))*Salcycl</f>
        <v>1.3811947643309151E-2</v>
      </c>
      <c r="P203" s="165">
        <f>(INDEX(Models!$BJ203:$BT203,,T203)*(1-R203)+INDEX(Models!$BJ203:$BT203,,T203+1)*R203-ERP_i)*Q203*Ramure*Pc/MaxiM</f>
        <v>3.3794492798322142E-4</v>
      </c>
      <c r="Q203" s="301">
        <f t="shared" si="53"/>
        <v>0.5</v>
      </c>
      <c r="R203" s="173">
        <f t="shared" si="54"/>
        <v>0.36930521735199084</v>
      </c>
      <c r="S203" s="801">
        <f t="shared" si="55"/>
        <v>3</v>
      </c>
      <c r="T203" s="172">
        <f t="shared" si="56"/>
        <v>9</v>
      </c>
      <c r="U203" s="247">
        <f t="shared" si="57"/>
        <v>3.3693052173519908</v>
      </c>
      <c r="V203" s="378">
        <f t="shared" si="58"/>
        <v>236.5078870347904</v>
      </c>
      <c r="W203" s="397">
        <f t="shared" si="59"/>
        <v>237.32050724919279</v>
      </c>
      <c r="X203" s="153">
        <f t="shared" si="60"/>
        <v>46941</v>
      </c>
      <c r="Y203" s="380">
        <f t="shared" si="61"/>
        <v>228.02487007108437</v>
      </c>
      <c r="Z203" s="380">
        <f t="shared" si="62"/>
        <v>236.01858558908796</v>
      </c>
      <c r="AA203" s="381">
        <f t="shared" si="63"/>
        <v>249.08037886078171</v>
      </c>
      <c r="AB203" s="193">
        <f t="shared" si="64"/>
        <v>46941</v>
      </c>
      <c r="AC203" s="119">
        <f>IF(OR(t&lt;Tnet,NoTnet),'2027'!Resal_s+('2027'!Salim-'2027'!Resal_s)*(1-EXP(('2027'!Tnet_s-t)/'2027'!Tau_j)),Resal_s+(Salim-Resal_s)*(1-EXP((Tnet_s-t)/Tau_j)))*Salcycl</f>
        <v>5.2440073085782371E-2</v>
      </c>
      <c r="AD203" s="227">
        <f>(INDEX(Models!$BJ203:$BT203,,AH203)*(1-AF203)+INDEX(Models!$BJ203:$BT203,,AH203+1)*AF203-ERP_i)*AE203*Ramure*Pc/MaxiM</f>
        <v>3.3794492798322142E-4</v>
      </c>
      <c r="AE203" s="301">
        <f t="shared" si="65"/>
        <v>0.5</v>
      </c>
      <c r="AF203" s="173">
        <f t="shared" si="66"/>
        <v>0.36930521735199084</v>
      </c>
      <c r="AG203" s="801">
        <f t="shared" si="74"/>
        <v>3</v>
      </c>
      <c r="AH203" s="172">
        <f t="shared" si="67"/>
        <v>9</v>
      </c>
      <c r="AI203" s="221">
        <f t="shared" si="68"/>
        <v>3.3693052173519908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46942</v>
      </c>
      <c r="B204" s="406">
        <f>'2027'!Wh/'2027'!Env_an*'2028'!Env_an</f>
        <v>234.83515993737259</v>
      </c>
      <c r="C204" s="831"/>
      <c r="D204" s="388">
        <f t="shared" si="50"/>
        <v>243.07094667414353</v>
      </c>
      <c r="E204" s="380">
        <f t="shared" si="75"/>
        <v>246.49494035497457</v>
      </c>
      <c r="F204" s="380">
        <f t="shared" si="51"/>
        <v>246.5789720376448</v>
      </c>
      <c r="G204" s="110">
        <f t="shared" si="76"/>
        <v>0.99427004853889034</v>
      </c>
      <c r="H204" s="409" t="b">
        <f>Wh_hp&gt;='2027'!Maxi_hp</f>
        <v>0</v>
      </c>
      <c r="I204" s="385">
        <f>IF(H204,Wh_hp,'2027'!Maxi_hp)</f>
        <v>246.57961768675807</v>
      </c>
      <c r="J204" s="85">
        <f>IF(H204,An,'2027'!An_max)</f>
        <v>2022</v>
      </c>
      <c r="K204" s="193">
        <f t="shared" si="52"/>
        <v>46942</v>
      </c>
      <c r="L204" s="143">
        <f>IF(t&lt;Tvie,1-EXP((T0-t)*PertePVj)+'2027'!Pspv,1-EXP((T0-t)*PertePVj)+Pspv)</f>
        <v>3.3882234176722426E-2</v>
      </c>
      <c r="M204" s="835"/>
      <c r="N204" s="835"/>
      <c r="O204" s="48">
        <f>IF(t&lt;Tnet,'2027'!Resal+('2027'!Salim-'2027'!Resal)*(1-EXP(('2027'!Tnet-t)/('2027'!Tau_j))),Resal+(Salim-Resal)*(1-EXP((Tnet-t)/(Tau_j))))*Salcycl</f>
        <v>1.3890726016121093E-2</v>
      </c>
      <c r="P204" s="165">
        <f>(INDEX(Models!$BJ204:$BT204,,T204)*(1-R204)+INDEX(Models!$BJ204:$BT204,,T204+1)*R204-ERP_i)*Q204*Ramure*Pc/MaxiM</f>
        <v>3.4360136740399445E-4</v>
      </c>
      <c r="Q204" s="301">
        <f t="shared" si="53"/>
        <v>0.5</v>
      </c>
      <c r="R204" s="173">
        <f t="shared" si="54"/>
        <v>0.37302332047744269</v>
      </c>
      <c r="S204" s="801">
        <f t="shared" si="55"/>
        <v>3</v>
      </c>
      <c r="T204" s="172">
        <f t="shared" si="56"/>
        <v>9</v>
      </c>
      <c r="U204" s="247">
        <f t="shared" si="57"/>
        <v>3.3730233204774427</v>
      </c>
      <c r="V204" s="378">
        <f t="shared" si="58"/>
        <v>236.18784442177437</v>
      </c>
      <c r="W204" s="397">
        <f t="shared" si="59"/>
        <v>234.83515993737259</v>
      </c>
      <c r="X204" s="153">
        <f t="shared" si="60"/>
        <v>46942</v>
      </c>
      <c r="Y204" s="380">
        <f t="shared" si="61"/>
        <v>225.64487909311848</v>
      </c>
      <c r="Z204" s="380">
        <f t="shared" si="62"/>
        <v>233.55835807535857</v>
      </c>
      <c r="AA204" s="381">
        <f t="shared" si="63"/>
        <v>246.49494035497457</v>
      </c>
      <c r="AB204" s="193">
        <f t="shared" si="64"/>
        <v>46942</v>
      </c>
      <c r="AC204" s="119">
        <f>IF(OR(t&lt;Tnet,NoTnet),'2027'!Resal_s+('2027'!Salim-'2027'!Resal_s)*(1-EXP(('2027'!Tnet_s-t)/'2027'!Tau_j)),Resal_s+(Salim-Resal_s)*(1-EXP((Tnet_s-t)/Tau_j)))*Salcycl</f>
        <v>5.2482141260125653E-2</v>
      </c>
      <c r="AD204" s="227">
        <f>(INDEX(Models!$BJ204:$BT204,,AH204)*(1-AF204)+INDEX(Models!$BJ204:$BT204,,AH204+1)*AF204-ERP_i)*AE204*Ramure*Pc/MaxiM</f>
        <v>3.4360136740399445E-4</v>
      </c>
      <c r="AE204" s="301">
        <f t="shared" si="65"/>
        <v>0.5</v>
      </c>
      <c r="AF204" s="173">
        <f t="shared" si="66"/>
        <v>0.37302332047744269</v>
      </c>
      <c r="AG204" s="801">
        <f t="shared" si="74"/>
        <v>3</v>
      </c>
      <c r="AH204" s="172">
        <f t="shared" si="67"/>
        <v>9</v>
      </c>
      <c r="AI204" s="221">
        <f t="shared" si="68"/>
        <v>3.3730233204774427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46943</v>
      </c>
      <c r="B205" s="406">
        <f>'2027'!Wh/'2027'!Env_an*'2028'!Env_an</f>
        <v>232.94360008623289</v>
      </c>
      <c r="C205" s="831"/>
      <c r="D205" s="388">
        <f t="shared" si="50"/>
        <v>241.11634955149376</v>
      </c>
      <c r="E205" s="380">
        <f t="shared" si="75"/>
        <v>244.53228888067207</v>
      </c>
      <c r="F205" s="380">
        <f t="shared" si="51"/>
        <v>244.61607488807647</v>
      </c>
      <c r="G205" s="110">
        <f t="shared" si="76"/>
        <v>0.98767516231253905</v>
      </c>
      <c r="H205" s="409" t="b">
        <f>Wh_hp&gt;='2027'!Maxi_hp</f>
        <v>0</v>
      </c>
      <c r="I205" s="385">
        <f>IF(H205,Wh_hp,'2027'!Maxi_hp)</f>
        <v>244.61747019264928</v>
      </c>
      <c r="J205" s="85">
        <f>IF(H205,An,'2027'!An_max)</f>
        <v>2022</v>
      </c>
      <c r="K205" s="193">
        <f t="shared" si="52"/>
        <v>46943</v>
      </c>
      <c r="L205" s="143">
        <f>IF(t&lt;Tvie,1-EXP((T0-t)*PertePVj)+'2027'!Pspv,1-EXP((T0-t)*PertePVj)+Pspv)</f>
        <v>3.3895459517627846E-2</v>
      </c>
      <c r="M205" s="835"/>
      <c r="N205" s="835"/>
      <c r="O205" s="48">
        <f>IF(t&lt;Tnet,'2027'!Resal+('2027'!Salim-'2027'!Resal)*(1-EXP(('2027'!Tnet-t)/('2027'!Tau_j))),Resal+(Salim-Resal)*(1-EXP((Tnet-t)/(Tau_j))))*Salcycl</f>
        <v>1.3969277205945011E-2</v>
      </c>
      <c r="P205" s="165">
        <f>(INDEX(Models!$BJ205:$BT205,,T205)*(1-R205)+INDEX(Models!$BJ205:$BT205,,T205+1)*R205-ERP_i)*Q205*Ramure*Pc/MaxiM</f>
        <v>3.486561863279608E-4</v>
      </c>
      <c r="Q205" s="301">
        <f t="shared" si="53"/>
        <v>0.5</v>
      </c>
      <c r="R205" s="173">
        <f t="shared" si="54"/>
        <v>0.37666070812527153</v>
      </c>
      <c r="S205" s="801">
        <f t="shared" si="55"/>
        <v>3</v>
      </c>
      <c r="T205" s="172">
        <f t="shared" si="56"/>
        <v>9</v>
      </c>
      <c r="U205" s="247">
        <f t="shared" si="57"/>
        <v>3.3766607081252715</v>
      </c>
      <c r="V205" s="378">
        <f t="shared" si="58"/>
        <v>235.84897059674455</v>
      </c>
      <c r="W205" s="397">
        <f t="shared" si="59"/>
        <v>232.94360008623289</v>
      </c>
      <c r="X205" s="153">
        <f t="shared" si="60"/>
        <v>46943</v>
      </c>
      <c r="Y205" s="380">
        <f t="shared" si="61"/>
        <v>223.83539157507272</v>
      </c>
      <c r="Z205" s="380">
        <f t="shared" si="62"/>
        <v>231.68858254543821</v>
      </c>
      <c r="AA205" s="381">
        <f t="shared" si="63"/>
        <v>244.53228888067207</v>
      </c>
      <c r="AB205" s="193">
        <f t="shared" si="64"/>
        <v>46943</v>
      </c>
      <c r="AC205" s="119">
        <f>IF(OR(t&lt;Tnet,NoTnet),'2027'!Resal_s+('2027'!Salim-'2027'!Resal_s)*(1-EXP(('2027'!Tnet_s-t)/'2027'!Tau_j)),Resal_s+(Salim-Resal_s)*(1-EXP((Tnet_s-t)/Tau_j)))*Salcycl</f>
        <v>5.2523559952041318E-2</v>
      </c>
      <c r="AD205" s="227">
        <f>(INDEX(Models!$BJ205:$BT205,,AH205)*(1-AF205)+INDEX(Models!$BJ205:$BT205,,AH205+1)*AF205-ERP_i)*AE205*Ramure*Pc/MaxiM</f>
        <v>3.486561863279608E-4</v>
      </c>
      <c r="AE205" s="301">
        <f t="shared" si="65"/>
        <v>0.5</v>
      </c>
      <c r="AF205" s="173">
        <f t="shared" si="66"/>
        <v>0.37666070812527153</v>
      </c>
      <c r="AG205" s="801">
        <f t="shared" si="74"/>
        <v>3</v>
      </c>
      <c r="AH205" s="172">
        <f t="shared" si="67"/>
        <v>9</v>
      </c>
      <c r="AI205" s="221">
        <f t="shared" si="68"/>
        <v>3.3766607081252715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46944</v>
      </c>
      <c r="B206" s="406">
        <f>'2027'!Wh/'2027'!Env_an*'2028'!Env_an</f>
        <v>226.63157705330232</v>
      </c>
      <c r="C206" s="831"/>
      <c r="D206" s="388">
        <f t="shared" si="50"/>
        <v>234.58608255643603</v>
      </c>
      <c r="E206" s="380">
        <f t="shared" si="75"/>
        <v>237.92840698236182</v>
      </c>
      <c r="F206" s="380">
        <f t="shared" si="51"/>
        <v>238.00796122052893</v>
      </c>
      <c r="G206" s="110">
        <f t="shared" si="76"/>
        <v>0.96235683954863849</v>
      </c>
      <c r="H206" s="409" t="b">
        <f>Wh_hp&gt;='2027'!Maxi_hp</f>
        <v>0</v>
      </c>
      <c r="I206" s="385">
        <f>IF(H206,Wh_hp,'2027'!Maxi_hp)</f>
        <v>238.01215341902494</v>
      </c>
      <c r="J206" s="85">
        <f>IF(H206,An,'2027'!An_max)</f>
        <v>2022</v>
      </c>
      <c r="K206" s="193">
        <f t="shared" si="52"/>
        <v>46944</v>
      </c>
      <c r="L206" s="143">
        <f>IF(t&lt;Tvie,1-EXP((T0-t)*PertePVj)+'2027'!Pspv,1-EXP((T0-t)*PertePVj)+Pspv)</f>
        <v>3.390868467748942E-2</v>
      </c>
      <c r="M206" s="835"/>
      <c r="N206" s="835"/>
      <c r="O206" s="48">
        <f>IF(t&lt;Tnet,'2027'!Resal+('2027'!Salim-'2027'!Resal)*(1-EXP(('2027'!Tnet-t)/('2027'!Tau_j))),Resal+(Salim-Resal)*(1-EXP((Tnet-t)/(Tau_j))))*Salcycl</f>
        <v>1.4047605615136073E-2</v>
      </c>
      <c r="P206" s="165">
        <f>(INDEX(Models!$BJ206:$BT206,,T206)*(1-R206)+INDEX(Models!$BJ206:$BT206,,T206+1)*R206-ERP_i)*Q206*Ramure*Pc/MaxiM</f>
        <v>3.5323673940397207E-4</v>
      </c>
      <c r="Q206" s="301">
        <f t="shared" si="53"/>
        <v>0.5</v>
      </c>
      <c r="R206" s="173">
        <f t="shared" si="54"/>
        <v>0.3802170091836361</v>
      </c>
      <c r="S206" s="801">
        <f t="shared" si="55"/>
        <v>3</v>
      </c>
      <c r="T206" s="172">
        <f t="shared" si="56"/>
        <v>9</v>
      </c>
      <c r="U206" s="247">
        <f t="shared" si="57"/>
        <v>3.3802170091836361</v>
      </c>
      <c r="V206" s="378">
        <f t="shared" si="58"/>
        <v>235.49193332445049</v>
      </c>
      <c r="W206" s="397">
        <f t="shared" si="59"/>
        <v>226.63157705330232</v>
      </c>
      <c r="X206" s="153">
        <f t="shared" si="60"/>
        <v>46944</v>
      </c>
      <c r="Y206" s="380">
        <f t="shared" si="61"/>
        <v>217.7780953108167</v>
      </c>
      <c r="Z206" s="380">
        <f t="shared" si="62"/>
        <v>225.42185387321877</v>
      </c>
      <c r="AA206" s="381">
        <f t="shared" si="63"/>
        <v>237.92840698236182</v>
      </c>
      <c r="AB206" s="193">
        <f t="shared" si="64"/>
        <v>46944</v>
      </c>
      <c r="AC206" s="119">
        <f>IF(OR(t&lt;Tnet,NoTnet),'2027'!Resal_s+('2027'!Salim-'2027'!Resal_s)*(1-EXP(('2027'!Tnet_s-t)/'2027'!Tau_j)),Resal_s+(Salim-Resal_s)*(1-EXP((Tnet_s-t)/Tau_j)))*Salcycl</f>
        <v>5.2564354411325939E-2</v>
      </c>
      <c r="AD206" s="227">
        <f>(INDEX(Models!$BJ206:$BT206,,AH206)*(1-AF206)+INDEX(Models!$BJ206:$BT206,,AH206+1)*AF206-ERP_i)*AE206*Ramure*Pc/MaxiM</f>
        <v>3.5323673940397207E-4</v>
      </c>
      <c r="AE206" s="301">
        <f t="shared" si="65"/>
        <v>0.5</v>
      </c>
      <c r="AF206" s="173">
        <f t="shared" si="66"/>
        <v>0.3802170091836361</v>
      </c>
      <c r="AG206" s="801">
        <f t="shared" si="74"/>
        <v>3</v>
      </c>
      <c r="AH206" s="172">
        <f t="shared" si="67"/>
        <v>9</v>
      </c>
      <c r="AI206" s="221">
        <f t="shared" si="68"/>
        <v>3.3802170091836361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46945</v>
      </c>
      <c r="B207" s="406">
        <f>'2027'!Wh/'2027'!Env_an*'2028'!Env_an</f>
        <v>223.97099618645083</v>
      </c>
      <c r="C207" s="831"/>
      <c r="D207" s="388">
        <f t="shared" ref="D207:D270" si="77">Wh/(1-Ppv)</f>
        <v>231.83529201740956</v>
      </c>
      <c r="E207" s="380">
        <f t="shared" si="75"/>
        <v>235.15705374923431</v>
      </c>
      <c r="F207" s="380">
        <f t="shared" ref="F207:F270" si="78">Wh_sa/(1-Pvg*MEDIAN((-Sdif+Wh/Env_an)/Csdif,0,1))</f>
        <v>235.23539915087218</v>
      </c>
      <c r="G207" s="110">
        <f t="shared" si="76"/>
        <v>0.95256750245960453</v>
      </c>
      <c r="H207" s="409" t="b">
        <f>Wh_hp&gt;='2027'!Maxi_hp</f>
        <v>0</v>
      </c>
      <c r="I207" s="385">
        <f>IF(H207,Wh_hp,'2027'!Maxi_hp)</f>
        <v>235.24066730819968</v>
      </c>
      <c r="J207" s="85">
        <f>IF(H207,An,'2027'!An_max)</f>
        <v>2022</v>
      </c>
      <c r="K207" s="193">
        <f t="shared" ref="K207:K270" si="79">t</f>
        <v>46945</v>
      </c>
      <c r="L207" s="143">
        <f>IF(t&lt;Tvie,1-EXP((T0-t)*PertePVj)+'2027'!Pspv,1-EXP((T0-t)*PertePVj)+Pspv)</f>
        <v>3.392190965630959E-2</v>
      </c>
      <c r="M207" s="835"/>
      <c r="N207" s="835"/>
      <c r="O207" s="48">
        <f>IF(t&lt;Tnet,'2027'!Resal+('2027'!Salim-'2027'!Resal)*(1-EXP(('2027'!Tnet-t)/('2027'!Tau_j))),Resal+(Salim-Resal)*(1-EXP((Tnet-t)/(Tau_j))))*Salcycl</f>
        <v>1.4125715894395416E-2</v>
      </c>
      <c r="P207" s="165">
        <f>(INDEX(Models!$BJ207:$BT207,,T207)*(1-R207)+INDEX(Models!$BJ207:$BT207,,T207+1)*R207-ERP_i)*Q207*Ramure*Pc/MaxiM</f>
        <v>3.5724658697992834E-4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0.38369200273035409</v>
      </c>
      <c r="S207" s="801">
        <f t="shared" ref="S207:S270" si="82">INDEX(Echel_vg,T207)</f>
        <v>3</v>
      </c>
      <c r="T207" s="172">
        <f t="shared" ref="T207:T270" si="83">MIN(MATCH(Hp_vg,Echel_vg),10)</f>
        <v>9</v>
      </c>
      <c r="U207" s="247">
        <f t="shared" ref="U207:U270" si="84">IF(OR(t&lt;Ttai,Notai),Hdd+PousH*Croivg,Hdtf+PousH*(Croivg-Croi_tai))</f>
        <v>3.3836920027303541</v>
      </c>
      <c r="V207" s="378">
        <f t="shared" ref="V207:V270" si="85">MaxiM*(1-Ppv)*(1-Pvg)*(1-Psa)</f>
        <v>235.11779974533394</v>
      </c>
      <c r="W207" s="397">
        <f t="shared" ref="W207:W270" si="86">Wh*(A207&gt;Tmaj)</f>
        <v>223.97099618645083</v>
      </c>
      <c r="X207" s="153">
        <f t="shared" ref="X207:X270" si="87">t</f>
        <v>46945</v>
      </c>
      <c r="Y207" s="380">
        <f t="shared" ref="Y207:Y270" si="88">Wh_pvt_s*(1-Ppv)</f>
        <v>215.22937160982798</v>
      </c>
      <c r="Z207" s="380">
        <f t="shared" ref="Z207:Z270" si="89">Wh_sa_s*(1-Psa_s)</f>
        <v>222.78672268952744</v>
      </c>
      <c r="AA207" s="381">
        <f t="shared" ref="AA207:AA270" si="90">Wh_hp*(1-Pvg_s*MEDIAN((-Sdif+Wh/Env_an)/Csdif,0,1))</f>
        <v>235.15705374923431</v>
      </c>
      <c r="AB207" s="193">
        <f t="shared" ref="AB207:AB270" si="91">t</f>
        <v>46945</v>
      </c>
      <c r="AC207" s="119">
        <f>IF(OR(t&lt;Tnet,NoTnet),'2027'!Resal_s+('2027'!Salim-'2027'!Resal_s)*(1-EXP(('2027'!Tnet_s-t)/'2027'!Tau_j)),Resal_s+(Salim-Resal_s)*(1-EXP((Tnet_s-t)/Tau_j)))*Salcycl</f>
        <v>5.2604550288754222E-2</v>
      </c>
      <c r="AD207" s="227">
        <f>(INDEX(Models!$BJ207:$BT207,,AH207)*(1-AF207)+INDEX(Models!$BJ207:$BT207,,AH207+1)*AF207-ERP_i)*AE207*Ramure*Pc/MaxiM</f>
        <v>3.5724658697992834E-4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0.38369200273035409</v>
      </c>
      <c r="AG207" s="801">
        <f t="shared" si="74"/>
        <v>3</v>
      </c>
      <c r="AH207" s="172">
        <f t="shared" ref="AH207:AH270" si="94">MIN(MATCH(Hp_vg_s,Echel_vg),10)</f>
        <v>9</v>
      </c>
      <c r="AI207" s="221">
        <f t="shared" ref="AI207:AI270" si="95">IF(OR(t&lt;Ttai,Notai),Hdd_s+PousH*Croivg,Hdtai_s+PousH*(Croivg-Croi_tai))</f>
        <v>3.3836920027303541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46946</v>
      </c>
      <c r="B208" s="406">
        <f>'2027'!Wh/'2027'!Env_an*'2028'!Env_an</f>
        <v>224.09825368143908</v>
      </c>
      <c r="C208" s="831"/>
      <c r="D208" s="388">
        <f t="shared" si="77"/>
        <v>231.97019338324085</v>
      </c>
      <c r="E208" s="380">
        <f t="shared" si="75"/>
        <v>235.31248077121631</v>
      </c>
      <c r="F208" s="380">
        <f t="shared" si="78"/>
        <v>235.39188936813409</v>
      </c>
      <c r="G208" s="110">
        <f t="shared" si="76"/>
        <v>0.95469390280845423</v>
      </c>
      <c r="H208" s="409" t="b">
        <f>Wh_hp&gt;='2027'!Maxi_hp</f>
        <v>0</v>
      </c>
      <c r="I208" s="385">
        <f>IF(H208,Wh_hp,'2027'!Maxi_hp)</f>
        <v>235.39696058537044</v>
      </c>
      <c r="J208" s="85">
        <f>IF(H208,An,'2027'!An_max)</f>
        <v>2022</v>
      </c>
      <c r="K208" s="193">
        <f t="shared" si="79"/>
        <v>46946</v>
      </c>
      <c r="L208" s="143">
        <f>IF(t&lt;Tvie,1-EXP((T0-t)*PertePVj)+'2027'!Pspv,1-EXP((T0-t)*PertePVj)+Pspv)</f>
        <v>3.393513445409102E-2</v>
      </c>
      <c r="M208" s="835"/>
      <c r="N208" s="835"/>
      <c r="O208" s="48">
        <f>IF(t&lt;Tnet,'2027'!Resal+('2027'!Salim-'2027'!Resal)*(1-EXP(('2027'!Tnet-t)/('2027'!Tau_j))),Resal+(Salim-Resal)*(1-EXP((Tnet-t)/(Tau_j))))*Salcycl</f>
        <v>1.420361290239003E-2</v>
      </c>
      <c r="P208" s="165">
        <f>(INDEX(Models!$BJ208:$BT208,,T208)*(1-R208)+INDEX(Models!$BJ208:$BT208,,T208+1)*R208-ERP_i)*Q208*Ramure*Pc/MaxiM</f>
        <v>3.6067911024255091E-4</v>
      </c>
      <c r="Q208" s="301">
        <f t="shared" si="80"/>
        <v>0.5</v>
      </c>
      <c r="R208" s="173">
        <f t="shared" si="81"/>
        <v>0.38708561194769953</v>
      </c>
      <c r="S208" s="801">
        <f t="shared" si="82"/>
        <v>3</v>
      </c>
      <c r="T208" s="172">
        <f t="shared" si="83"/>
        <v>9</v>
      </c>
      <c r="U208" s="247">
        <f t="shared" si="84"/>
        <v>3.3870856119476995</v>
      </c>
      <c r="V208" s="378">
        <f t="shared" si="85"/>
        <v>234.7276152377062</v>
      </c>
      <c r="W208" s="397">
        <f t="shared" si="86"/>
        <v>224.09825368143908</v>
      </c>
      <c r="X208" s="153">
        <f t="shared" si="87"/>
        <v>46946</v>
      </c>
      <c r="Y208" s="380">
        <f t="shared" si="88"/>
        <v>215.35967175038999</v>
      </c>
      <c r="Z208" s="380">
        <f t="shared" si="89"/>
        <v>222.92464971148021</v>
      </c>
      <c r="AA208" s="381">
        <f t="shared" si="90"/>
        <v>235.31248077121631</v>
      </c>
      <c r="AB208" s="193">
        <f t="shared" si="91"/>
        <v>46946</v>
      </c>
      <c r="AC208" s="119">
        <f>IF(OR(t&lt;Tnet,NoTnet),'2027'!Resal_s+('2027'!Salim-'2027'!Resal_s)*(1-EXP(('2027'!Tnet_s-t)/'2027'!Tau_j)),Resal_s+(Salim-Resal_s)*(1-EXP((Tnet_s-t)/Tau_j)))*Salcycl</f>
        <v>5.2644173480029838E-2</v>
      </c>
      <c r="AD208" s="227">
        <f>(INDEX(Models!$BJ208:$BT208,,AH208)*(1-AF208)+INDEX(Models!$BJ208:$BT208,,AH208+1)*AF208-ERP_i)*AE208*Ramure*Pc/MaxiM</f>
        <v>3.6067911024255091E-4</v>
      </c>
      <c r="AE208" s="301">
        <f t="shared" si="92"/>
        <v>0.5</v>
      </c>
      <c r="AF208" s="173">
        <f t="shared" si="93"/>
        <v>0.38708561194769953</v>
      </c>
      <c r="AG208" s="801">
        <f t="shared" ref="AG208:AG271" si="99">INDEX(Echel_vg,AH208)</f>
        <v>3</v>
      </c>
      <c r="AH208" s="172">
        <f t="shared" si="94"/>
        <v>9</v>
      </c>
      <c r="AI208" s="221">
        <f t="shared" si="95"/>
        <v>3.3870856119476995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46947</v>
      </c>
      <c r="B209" s="406">
        <f>'2027'!Wh/'2027'!Env_an*'2028'!Env_an</f>
        <v>221.67372485259355</v>
      </c>
      <c r="C209" s="831"/>
      <c r="D209" s="388">
        <f t="shared" si="77"/>
        <v>229.4636388582542</v>
      </c>
      <c r="E209" s="380">
        <f t="shared" si="75"/>
        <v>232.78815674882759</v>
      </c>
      <c r="F209" s="380">
        <f t="shared" si="78"/>
        <v>232.86628215232625</v>
      </c>
      <c r="G209" s="110">
        <f t="shared" si="76"/>
        <v>0.94599357660614503</v>
      </c>
      <c r="H209" s="409" t="b">
        <f>Wh_hp&gt;='2027'!Maxi_hp</f>
        <v>0</v>
      </c>
      <c r="I209" s="385">
        <f>IF(H209,Wh_hp,'2027'!Maxi_hp)</f>
        <v>232.87229363523201</v>
      </c>
      <c r="J209" s="85">
        <f>IF(H209,An,'2027'!An_max)</f>
        <v>2022</v>
      </c>
      <c r="K209" s="193">
        <f t="shared" si="79"/>
        <v>46947</v>
      </c>
      <c r="L209" s="143">
        <f>IF(t&lt;Tvie,1-EXP((T0-t)*PertePVj)+'2027'!Pspv,1-EXP((T0-t)*PertePVj)+Pspv)</f>
        <v>3.3948359070836043E-2</v>
      </c>
      <c r="M209" s="835"/>
      <c r="N209" s="835"/>
      <c r="O209" s="48">
        <f>IF(t&lt;Tnet,'2027'!Resal+('2027'!Salim-'2027'!Resal)*(1-EXP(('2027'!Tnet-t)/('2027'!Tau_j))),Resal+(Salim-Resal)*(1-EXP((Tnet-t)/(Tau_j))))*Salcycl</f>
        <v>1.428130166501756E-2</v>
      </c>
      <c r="P209" s="165">
        <f>(INDEX(Models!$BJ209:$BT209,,T209)*(1-R209)+INDEX(Models!$BJ209:$BT209,,T209+1)*R209-ERP_i)*Q209*Ramure*Pc/MaxiM</f>
        <v>3.6352783468359458E-4</v>
      </c>
      <c r="Q209" s="301">
        <f t="shared" si="80"/>
        <v>0.5</v>
      </c>
      <c r="R209" s="173">
        <f t="shared" si="81"/>
        <v>0.39039789774583245</v>
      </c>
      <c r="S209" s="801">
        <f t="shared" si="82"/>
        <v>3</v>
      </c>
      <c r="T209" s="172">
        <f t="shared" si="83"/>
        <v>9</v>
      </c>
      <c r="U209" s="247">
        <f t="shared" si="84"/>
        <v>3.3903978977458324</v>
      </c>
      <c r="V209" s="378">
        <f t="shared" si="85"/>
        <v>234.32242463311195</v>
      </c>
      <c r="W209" s="397">
        <f t="shared" si="86"/>
        <v>221.67372485259355</v>
      </c>
      <c r="X209" s="153">
        <f t="shared" si="87"/>
        <v>46947</v>
      </c>
      <c r="Y209" s="380">
        <f t="shared" si="88"/>
        <v>213.03768808330136</v>
      </c>
      <c r="Z209" s="380">
        <f t="shared" si="89"/>
        <v>220.52412009610407</v>
      </c>
      <c r="AA209" s="381">
        <f t="shared" si="90"/>
        <v>232.78815674882759</v>
      </c>
      <c r="AB209" s="193">
        <f t="shared" si="91"/>
        <v>46947</v>
      </c>
      <c r="AC209" s="119">
        <f>IF(OR(t&lt;Tnet,NoTnet),'2027'!Resal_s+('2027'!Salim-'2027'!Resal_s)*(1-EXP(('2027'!Tnet_s-t)/'2027'!Tau_j)),Resal_s+(Salim-Resal_s)*(1-EXP((Tnet_s-t)/Tau_j)))*Salcycl</f>
        <v>5.2683249972875962E-2</v>
      </c>
      <c r="AD209" s="227">
        <f>(INDEX(Models!$BJ209:$BT209,,AH209)*(1-AF209)+INDEX(Models!$BJ209:$BT209,,AH209+1)*AF209-ERP_i)*AE209*Ramure*Pc/MaxiM</f>
        <v>3.6352783468359458E-4</v>
      </c>
      <c r="AE209" s="301">
        <f t="shared" si="92"/>
        <v>0.5</v>
      </c>
      <c r="AF209" s="173">
        <f t="shared" si="93"/>
        <v>0.39039789774583245</v>
      </c>
      <c r="AG209" s="801">
        <f t="shared" si="99"/>
        <v>3</v>
      </c>
      <c r="AH209" s="172">
        <f t="shared" si="94"/>
        <v>9</v>
      </c>
      <c r="AI209" s="221">
        <f t="shared" si="95"/>
        <v>3.3903978977458324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46948</v>
      </c>
      <c r="B210" s="406">
        <f>'2027'!Wh/'2027'!Env_an*'2028'!Env_an</f>
        <v>212.63317256501202</v>
      </c>
      <c r="C210" s="831"/>
      <c r="D210" s="388">
        <f t="shared" si="77"/>
        <v>220.10840245549707</v>
      </c>
      <c r="E210" s="380">
        <f t="shared" si="75"/>
        <v>223.31493410293075</v>
      </c>
      <c r="F210" s="380">
        <f t="shared" si="78"/>
        <v>223.38603070860279</v>
      </c>
      <c r="G210" s="110">
        <f t="shared" si="76"/>
        <v>0.90902133745009406</v>
      </c>
      <c r="H210" s="409" t="b">
        <f>Wh_hp&gt;='2027'!Maxi_hp</f>
        <v>0</v>
      </c>
      <c r="I210" s="385">
        <f>IF(H210,Wh_hp,'2027'!Maxi_hp)</f>
        <v>223.39577791236005</v>
      </c>
      <c r="J210" s="85">
        <f>IF(H210,An,'2027'!An_max)</f>
        <v>2022</v>
      </c>
      <c r="K210" s="193">
        <f t="shared" si="79"/>
        <v>46948</v>
      </c>
      <c r="L210" s="143">
        <f>IF(t&lt;Tvie,1-EXP((T0-t)*PertePVj)+'2027'!Pspv,1-EXP((T0-t)*PertePVj)+Pspv)</f>
        <v>3.3961583506547099E-2</v>
      </c>
      <c r="M210" s="835"/>
      <c r="N210" s="835"/>
      <c r="O210" s="48">
        <f>IF(t&lt;Tnet,'2027'!Resal+('2027'!Salim-'2027'!Resal)*(1-EXP(('2027'!Tnet-t)/('2027'!Tau_j))),Resal+(Salim-Resal)*(1-EXP((Tnet-t)/(Tau_j))))*Salcycl</f>
        <v>1.435878733464243E-2</v>
      </c>
      <c r="P210" s="165">
        <f>(INDEX(Models!$BJ210:$BT210,,T210)*(1-R210)+INDEX(Models!$BJ210:$BT210,,T210+1)*R210-ERP_i)*Q210*Ramure*Pc/MaxiM</f>
        <v>3.6578641665395081E-4</v>
      </c>
      <c r="Q210" s="301">
        <f t="shared" si="80"/>
        <v>0.5</v>
      </c>
      <c r="R210" s="173">
        <f t="shared" si="81"/>
        <v>0.39362905215098465</v>
      </c>
      <c r="S210" s="801">
        <f t="shared" si="82"/>
        <v>3</v>
      </c>
      <c r="T210" s="172">
        <f t="shared" si="83"/>
        <v>9</v>
      </c>
      <c r="U210" s="247">
        <f t="shared" si="84"/>
        <v>3.3936290521509846</v>
      </c>
      <c r="V210" s="378">
        <f t="shared" si="85"/>
        <v>233.90327220958358</v>
      </c>
      <c r="W210" s="397">
        <f t="shared" si="86"/>
        <v>212.63317256501202</v>
      </c>
      <c r="X210" s="153">
        <f t="shared" si="87"/>
        <v>46948</v>
      </c>
      <c r="Y210" s="380">
        <f t="shared" si="88"/>
        <v>204.35708771890393</v>
      </c>
      <c r="Z210" s="380">
        <f t="shared" si="89"/>
        <v>211.54136753762205</v>
      </c>
      <c r="AA210" s="381">
        <f t="shared" si="90"/>
        <v>223.31493410293075</v>
      </c>
      <c r="AB210" s="193">
        <f t="shared" si="91"/>
        <v>46948</v>
      </c>
      <c r="AC210" s="119">
        <f>IF(OR(t&lt;Tnet,NoTnet),'2027'!Resal_s+('2027'!Salim-'2027'!Resal_s)*(1-EXP(('2027'!Tnet_s-t)/'2027'!Tau_j)),Resal_s+(Salim-Resal_s)*(1-EXP((Tnet_s-t)/Tau_j)))*Salcycl</f>
        <v>5.2721805698323791E-2</v>
      </c>
      <c r="AD210" s="227">
        <f>(INDEX(Models!$BJ210:$BT210,,AH210)*(1-AF210)+INDEX(Models!$BJ210:$BT210,,AH210+1)*AF210-ERP_i)*AE210*Ramure*Pc/MaxiM</f>
        <v>3.6578641665395081E-4</v>
      </c>
      <c r="AE210" s="301">
        <f t="shared" si="92"/>
        <v>0.5</v>
      </c>
      <c r="AF210" s="173">
        <f t="shared" si="93"/>
        <v>0.39362905215098465</v>
      </c>
      <c r="AG210" s="801">
        <f t="shared" si="99"/>
        <v>3</v>
      </c>
      <c r="AH210" s="172">
        <f t="shared" si="94"/>
        <v>9</v>
      </c>
      <c r="AI210" s="221">
        <f t="shared" si="95"/>
        <v>3.3936290521509846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46949</v>
      </c>
      <c r="B211" s="406">
        <f>'2027'!Wh/'2027'!Env_an*'2028'!Env_an</f>
        <v>218.23421408459703</v>
      </c>
      <c r="C211" s="831"/>
      <c r="D211" s="388">
        <f t="shared" si="77"/>
        <v>225.90944401650336</v>
      </c>
      <c r="E211" s="380">
        <f t="shared" si="75"/>
        <v>229.21845891508275</v>
      </c>
      <c r="F211" s="380">
        <f t="shared" si="78"/>
        <v>229.29485776997464</v>
      </c>
      <c r="G211" s="110">
        <f t="shared" si="76"/>
        <v>0.93470515269572907</v>
      </c>
      <c r="H211" s="409" t="b">
        <f>Wh_hp&gt;='2027'!Maxi_hp</f>
        <v>0</v>
      </c>
      <c r="I211" s="385">
        <f>IF(H211,Wh_hp,'2027'!Maxi_hp)</f>
        <v>229.30204866300306</v>
      </c>
      <c r="J211" s="85">
        <f>IF(H211,An,'2027'!An_max)</f>
        <v>2022</v>
      </c>
      <c r="K211" s="193">
        <f t="shared" si="79"/>
        <v>46949</v>
      </c>
      <c r="L211" s="143">
        <f>IF(t&lt;Tvie,1-EXP((T0-t)*PertePVj)+'2027'!Pspv,1-EXP((T0-t)*PertePVj)+Pspv)</f>
        <v>3.3974807761226855E-2</v>
      </c>
      <c r="M211" s="835"/>
      <c r="N211" s="835"/>
      <c r="O211" s="48">
        <f>IF(t&lt;Tnet,'2027'!Resal+('2027'!Salim-'2027'!Resal)*(1-EXP(('2027'!Tnet-t)/('2027'!Tau_j))),Resal+(Salim-Resal)*(1-EXP((Tnet-t)/(Tau_j))))*Salcycl</f>
        <v>1.4436075149625069E-2</v>
      </c>
      <c r="P211" s="165">
        <f>(INDEX(Models!$BJ211:$BT211,,T211)*(1-R211)+INDEX(Models!$BJ211:$BT211,,T211+1)*R211-ERP_i)*Q211*Ramure*Pc/MaxiM</f>
        <v>3.6744862956167843E-4</v>
      </c>
      <c r="Q211" s="301">
        <f t="shared" si="80"/>
        <v>0.5</v>
      </c>
      <c r="R211" s="173">
        <f t="shared" si="81"/>
        <v>0.39677939151232611</v>
      </c>
      <c r="S211" s="801">
        <f t="shared" si="82"/>
        <v>3</v>
      </c>
      <c r="T211" s="172">
        <f t="shared" si="83"/>
        <v>9</v>
      </c>
      <c r="U211" s="247">
        <f t="shared" si="84"/>
        <v>3.3967793915123261</v>
      </c>
      <c r="V211" s="378">
        <f t="shared" si="85"/>
        <v>233.47120175234656</v>
      </c>
      <c r="W211" s="397">
        <f t="shared" si="86"/>
        <v>218.23421408459703</v>
      </c>
      <c r="X211" s="153">
        <f t="shared" si="87"/>
        <v>46949</v>
      </c>
      <c r="Y211" s="380">
        <f t="shared" si="88"/>
        <v>209.74814610808821</v>
      </c>
      <c r="Z211" s="380">
        <f t="shared" si="89"/>
        <v>217.12492364924228</v>
      </c>
      <c r="AA211" s="381">
        <f t="shared" si="90"/>
        <v>229.21845891508275</v>
      </c>
      <c r="AB211" s="193">
        <f t="shared" si="91"/>
        <v>46949</v>
      </c>
      <c r="AC211" s="119">
        <f>IF(OR(t&lt;Tnet,NoTnet),'2027'!Resal_s+('2027'!Salim-'2027'!Resal_s)*(1-EXP(('2027'!Tnet_s-t)/'2027'!Tau_j)),Resal_s+(Salim-Resal_s)*(1-EXP((Tnet_s-t)/Tau_j)))*Salcycl</f>
        <v>5.275986638720357E-2</v>
      </c>
      <c r="AD211" s="227">
        <f>(INDEX(Models!$BJ211:$BT211,,AH211)*(1-AF211)+INDEX(Models!$BJ211:$BT211,,AH211+1)*AF211-ERP_i)*AE211*Ramure*Pc/MaxiM</f>
        <v>3.6744862956167843E-4</v>
      </c>
      <c r="AE211" s="301">
        <f t="shared" si="92"/>
        <v>0.5</v>
      </c>
      <c r="AF211" s="173">
        <f t="shared" si="93"/>
        <v>0.39677939151232611</v>
      </c>
      <c r="AG211" s="801">
        <f t="shared" si="99"/>
        <v>3</v>
      </c>
      <c r="AH211" s="172">
        <f t="shared" si="94"/>
        <v>9</v>
      </c>
      <c r="AI211" s="221">
        <f t="shared" si="95"/>
        <v>3.3967793915123261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46950</v>
      </c>
      <c r="B212" s="406">
        <f>'2027'!Wh/'2027'!Env_an*'2028'!Env_an</f>
        <v>217.51531625640425</v>
      </c>
      <c r="C212" s="831"/>
      <c r="D212" s="388">
        <f t="shared" si="77"/>
        <v>225.16834513920213</v>
      </c>
      <c r="E212" s="380">
        <f t="shared" si="75"/>
        <v>228.484377847373</v>
      </c>
      <c r="F212" s="380">
        <f t="shared" si="78"/>
        <v>228.56068325476943</v>
      </c>
      <c r="G212" s="110">
        <f t="shared" si="76"/>
        <v>0.93340057573827784</v>
      </c>
      <c r="H212" s="409" t="b">
        <f>Wh_hp&gt;='2027'!Maxi_hp</f>
        <v>0</v>
      </c>
      <c r="I212" s="385">
        <f>IF(H212,Wh_hp,'2027'!Maxi_hp)</f>
        <v>228.56800088470703</v>
      </c>
      <c r="J212" s="85">
        <f>IF(H212,An,'2027'!An_max)</f>
        <v>2022</v>
      </c>
      <c r="K212" s="193">
        <f t="shared" si="79"/>
        <v>46950</v>
      </c>
      <c r="L212" s="143">
        <f>IF(t&lt;Tvie,1-EXP((T0-t)*PertePVj)+'2027'!Pspv,1-EXP((T0-t)*PertePVj)+Pspv)</f>
        <v>3.398803183487753E-2</v>
      </c>
      <c r="M212" s="835"/>
      <c r="N212" s="835"/>
      <c r="O212" s="48">
        <f>IF(t&lt;Tnet,'2027'!Resal+('2027'!Salim-'2027'!Resal)*(1-EXP(('2027'!Tnet-t)/('2027'!Tau_j))),Resal+(Salim-Resal)*(1-EXP((Tnet-t)/(Tau_j))))*Salcycl</f>
        <v>1.4513170394459008E-2</v>
      </c>
      <c r="P212" s="165">
        <f>(INDEX(Models!$BJ212:$BT212,,T212)*(1-R212)+INDEX(Models!$BJ212:$BT212,,T212+1)*R212-ERP_i)*Q212*Ramure*Pc/MaxiM</f>
        <v>3.6893589801988076E-4</v>
      </c>
      <c r="Q212" s="301">
        <f t="shared" si="80"/>
        <v>0.5</v>
      </c>
      <c r="R212" s="173">
        <f t="shared" si="81"/>
        <v>0.39984934957890239</v>
      </c>
      <c r="S212" s="801">
        <f t="shared" si="82"/>
        <v>3</v>
      </c>
      <c r="T212" s="172">
        <f t="shared" si="83"/>
        <v>9</v>
      </c>
      <c r="U212" s="247">
        <f t="shared" si="84"/>
        <v>3.3998493495789024</v>
      </c>
      <c r="V212" s="378">
        <f t="shared" si="85"/>
        <v>233.02715687572524</v>
      </c>
      <c r="W212" s="397">
        <f t="shared" si="86"/>
        <v>217.51531625640425</v>
      </c>
      <c r="X212" s="153">
        <f t="shared" si="87"/>
        <v>46950</v>
      </c>
      <c r="Y212" s="380">
        <f t="shared" si="88"/>
        <v>209.06526035243573</v>
      </c>
      <c r="Z212" s="380">
        <f t="shared" si="89"/>
        <v>216.42098363392094</v>
      </c>
      <c r="AA212" s="381">
        <f t="shared" si="90"/>
        <v>228.484377847373</v>
      </c>
      <c r="AB212" s="193">
        <f t="shared" si="91"/>
        <v>46950</v>
      </c>
      <c r="AC212" s="119">
        <f>IF(OR(t&lt;Tnet,NoTnet),'2027'!Resal_s+('2027'!Salim-'2027'!Resal_s)*(1-EXP(('2027'!Tnet_s-t)/'2027'!Tau_j)),Resal_s+(Salim-Resal_s)*(1-EXP((Tnet_s-t)/Tau_j)))*Salcycl</f>
        <v>5.2797457432780692E-2</v>
      </c>
      <c r="AD212" s="227">
        <f>(INDEX(Models!$BJ212:$BT212,,AH212)*(1-AF212)+INDEX(Models!$BJ212:$BT212,,AH212+1)*AF212-ERP_i)*AE212*Ramure*Pc/MaxiM</f>
        <v>3.6893589801988076E-4</v>
      </c>
      <c r="AE212" s="301">
        <f t="shared" si="92"/>
        <v>0.5</v>
      </c>
      <c r="AF212" s="173">
        <f t="shared" si="93"/>
        <v>0.39984934957890239</v>
      </c>
      <c r="AG212" s="801">
        <f t="shared" si="99"/>
        <v>3</v>
      </c>
      <c r="AH212" s="172">
        <f t="shared" si="94"/>
        <v>9</v>
      </c>
      <c r="AI212" s="221">
        <f t="shared" si="95"/>
        <v>3.3998493495789024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46951</v>
      </c>
      <c r="B213" s="406">
        <f>'2027'!Wh/'2027'!Env_an*'2028'!Env_an</f>
        <v>221.08729205578302</v>
      </c>
      <c r="C213" s="831"/>
      <c r="D213" s="388">
        <f t="shared" si="77"/>
        <v>228.86912986857527</v>
      </c>
      <c r="E213" s="380">
        <f t="shared" si="75"/>
        <v>232.25778921310524</v>
      </c>
      <c r="F213" s="380">
        <f t="shared" si="78"/>
        <v>232.33790032638572</v>
      </c>
      <c r="G213" s="110">
        <f t="shared" si="76"/>
        <v>0.95059376921032268</v>
      </c>
      <c r="H213" s="409" t="b">
        <f>Wh_hp&gt;='2027'!Maxi_hp</f>
        <v>0</v>
      </c>
      <c r="I213" s="385">
        <f>IF(H213,Wh_hp,'2027'!Maxi_hp)</f>
        <v>232.34343250983852</v>
      </c>
      <c r="J213" s="85">
        <f>IF(H213,An,'2027'!An_max)</f>
        <v>2022</v>
      </c>
      <c r="K213" s="193">
        <f t="shared" si="79"/>
        <v>46951</v>
      </c>
      <c r="L213" s="143">
        <f>IF(t&lt;Tvie,1-EXP((T0-t)*PertePVj)+'2027'!Pspv,1-EXP((T0-t)*PertePVj)+Pspv)</f>
        <v>3.4001255727501789E-2</v>
      </c>
      <c r="M213" s="835"/>
      <c r="N213" s="835"/>
      <c r="O213" s="48">
        <f>IF(t&lt;Tnet,'2027'!Resal+('2027'!Salim-'2027'!Resal)*(1-EXP(('2027'!Tnet-t)/('2027'!Tau_j))),Resal+(Salim-Resal)*(1-EXP((Tnet-t)/(Tau_j))))*Salcycl</f>
        <v>1.4590078360819879E-2</v>
      </c>
      <c r="P213" s="165">
        <f>(INDEX(Models!$BJ213:$BT213,,T213)*(1-R213)+INDEX(Models!$BJ213:$BT213,,T213+1)*R213-ERP_i)*Q213*Ramure*Pc/MaxiM</f>
        <v>3.7097465084449455E-4</v>
      </c>
      <c r="Q213" s="301">
        <f t="shared" si="80"/>
        <v>0.5</v>
      </c>
      <c r="R213" s="173">
        <f t="shared" si="81"/>
        <v>0.4028394704951932</v>
      </c>
      <c r="S213" s="801">
        <f t="shared" si="82"/>
        <v>3</v>
      </c>
      <c r="T213" s="172">
        <f t="shared" si="83"/>
        <v>9</v>
      </c>
      <c r="U213" s="247">
        <f t="shared" si="84"/>
        <v>3.4028394704951932</v>
      </c>
      <c r="V213" s="378">
        <f t="shared" si="85"/>
        <v>232.57201056307576</v>
      </c>
      <c r="W213" s="397">
        <f t="shared" si="86"/>
        <v>221.08729205578302</v>
      </c>
      <c r="X213" s="153">
        <f t="shared" si="87"/>
        <v>46951</v>
      </c>
      <c r="Y213" s="380">
        <f t="shared" si="88"/>
        <v>212.50672231432088</v>
      </c>
      <c r="Z213" s="380">
        <f t="shared" si="89"/>
        <v>219.98654094976229</v>
      </c>
      <c r="AA213" s="381">
        <f t="shared" si="90"/>
        <v>232.25778921310524</v>
      </c>
      <c r="AB213" s="193">
        <f t="shared" si="91"/>
        <v>46951</v>
      </c>
      <c r="AC213" s="119">
        <f>IF(OR(t&lt;Tnet,NoTnet),'2027'!Resal_s+('2027'!Salim-'2027'!Resal_s)*(1-EXP(('2027'!Tnet_s-t)/'2027'!Tau_j)),Resal_s+(Salim-Resal_s)*(1-EXP((Tnet_s-t)/Tau_j)))*Salcycl</f>
        <v>5.2834603760408674E-2</v>
      </c>
      <c r="AD213" s="227">
        <f>(INDEX(Models!$BJ213:$BT213,,AH213)*(1-AF213)+INDEX(Models!$BJ213:$BT213,,AH213+1)*AF213-ERP_i)*AE213*Ramure*Pc/MaxiM</f>
        <v>3.7097465084449455E-4</v>
      </c>
      <c r="AE213" s="301">
        <f t="shared" si="92"/>
        <v>0.5</v>
      </c>
      <c r="AF213" s="173">
        <f t="shared" si="93"/>
        <v>0.4028394704951932</v>
      </c>
      <c r="AG213" s="801">
        <f t="shared" si="99"/>
        <v>3</v>
      </c>
      <c r="AH213" s="172">
        <f t="shared" si="94"/>
        <v>9</v>
      </c>
      <c r="AI213" s="221">
        <f t="shared" si="95"/>
        <v>3.4028394704951932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46952</v>
      </c>
      <c r="B214" s="406">
        <f>'2027'!Wh/'2027'!Env_an*'2028'!Env_an</f>
        <v>156.47507300593608</v>
      </c>
      <c r="C214" s="831"/>
      <c r="D214" s="388">
        <f t="shared" si="77"/>
        <v>161.98490523447919</v>
      </c>
      <c r="E214" s="380">
        <f t="shared" si="75"/>
        <v>164.39607022578366</v>
      </c>
      <c r="F214" s="380">
        <f t="shared" si="78"/>
        <v>164.42890235458603</v>
      </c>
      <c r="G214" s="110">
        <f t="shared" si="76"/>
        <v>0.67403391145874503</v>
      </c>
      <c r="H214" s="409" t="b">
        <f>Wh_hp&gt;='2027'!Maxi_hp</f>
        <v>0</v>
      </c>
      <c r="I214" s="385">
        <f>IF(H214,Wh_hp,'2027'!Maxi_hp)</f>
        <v>164.45484514625312</v>
      </c>
      <c r="J214" s="85">
        <f>IF(H214,An,'2027'!An_max)</f>
        <v>2022</v>
      </c>
      <c r="K214" s="193">
        <f t="shared" si="79"/>
        <v>46952</v>
      </c>
      <c r="L214" s="143">
        <f>IF(t&lt;Tvie,1-EXP((T0-t)*PertePVj)+'2027'!Pspv,1-EXP((T0-t)*PertePVj)+Pspv)</f>
        <v>3.4014479439102074E-2</v>
      </c>
      <c r="M214" s="835"/>
      <c r="N214" s="835"/>
      <c r="O214" s="48">
        <f>IF(t&lt;Tnet,'2027'!Resal+('2027'!Salim-'2027'!Resal)*(1-EXP(('2027'!Tnet-t)/('2027'!Tau_j))),Resal+(Salim-Resal)*(1-EXP((Tnet-t)/(Tau_j))))*Salcycl</f>
        <v>1.4666804309816803E-2</v>
      </c>
      <c r="P214" s="165">
        <f>(INDEX(Models!$BJ214:$BT214,,T214)*(1-R214)+INDEX(Models!$BJ214:$BT214,,T214+1)*R214-ERP_i)*Q214*Ramure*Pc/MaxiM</f>
        <v>3.7356985245134522E-4</v>
      </c>
      <c r="Q214" s="301">
        <f t="shared" si="80"/>
        <v>0.5</v>
      </c>
      <c r="R214" s="173">
        <f t="shared" si="81"/>
        <v>0.40575040176075694</v>
      </c>
      <c r="S214" s="801">
        <f t="shared" si="82"/>
        <v>3</v>
      </c>
      <c r="T214" s="172">
        <f t="shared" si="83"/>
        <v>9</v>
      </c>
      <c r="U214" s="247">
        <f t="shared" si="84"/>
        <v>3.4057504017607569</v>
      </c>
      <c r="V214" s="378">
        <f t="shared" si="85"/>
        <v>232.1068042723887</v>
      </c>
      <c r="W214" s="397">
        <f t="shared" si="86"/>
        <v>156.47507300593608</v>
      </c>
      <c r="X214" s="153">
        <f t="shared" si="87"/>
        <v>46952</v>
      </c>
      <c r="Y214" s="380">
        <f t="shared" si="88"/>
        <v>150.40803301731592</v>
      </c>
      <c r="Z214" s="380">
        <f t="shared" si="89"/>
        <v>155.70423139467115</v>
      </c>
      <c r="AA214" s="381">
        <f t="shared" si="90"/>
        <v>164.39607022578366</v>
      </c>
      <c r="AB214" s="193">
        <f t="shared" si="91"/>
        <v>46952</v>
      </c>
      <c r="AC214" s="119">
        <f>IF(OR(t&lt;Tnet,NoTnet),'2027'!Resal_s+('2027'!Salim-'2027'!Resal_s)*(1-EXP(('2027'!Tnet_s-t)/'2027'!Tau_j)),Resal_s+(Salim-Resal_s)*(1-EXP((Tnet_s-t)/Tau_j)))*Salcycl</f>
        <v>5.2871329704992524E-2</v>
      </c>
      <c r="AD214" s="227">
        <f>(INDEX(Models!$BJ214:$BT214,,AH214)*(1-AF214)+INDEX(Models!$BJ214:$BT214,,AH214+1)*AF214-ERP_i)*AE214*Ramure*Pc/MaxiM</f>
        <v>3.7356985245134522E-4</v>
      </c>
      <c r="AE214" s="301">
        <f t="shared" si="92"/>
        <v>0.5</v>
      </c>
      <c r="AF214" s="173">
        <f t="shared" si="93"/>
        <v>0.40575040176075694</v>
      </c>
      <c r="AG214" s="801">
        <f t="shared" si="99"/>
        <v>3</v>
      </c>
      <c r="AH214" s="172">
        <f t="shared" si="94"/>
        <v>9</v>
      </c>
      <c r="AI214" s="221">
        <f t="shared" si="95"/>
        <v>3.4057504017607569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46953</v>
      </c>
      <c r="B215" s="406">
        <f>'2027'!Wh/'2027'!Env_an*'2028'!Env_an</f>
        <v>160.43800148098387</v>
      </c>
      <c r="C215" s="831"/>
      <c r="D215" s="388">
        <f t="shared" si="77"/>
        <v>166.0896507842069</v>
      </c>
      <c r="E215" s="380">
        <f t="shared" si="75"/>
        <v>168.57501176306047</v>
      </c>
      <c r="F215" s="380">
        <f t="shared" si="78"/>
        <v>168.61064108516101</v>
      </c>
      <c r="G215" s="110">
        <f t="shared" si="76"/>
        <v>0.69252545383791597</v>
      </c>
      <c r="H215" s="409" t="b">
        <f>Wh_hp&gt;='2027'!Maxi_hp</f>
        <v>0</v>
      </c>
      <c r="I215" s="385">
        <f>IF(H215,Wh_hp,'2027'!Maxi_hp)</f>
        <v>168.63588062194077</v>
      </c>
      <c r="J215" s="85">
        <f>IF(H215,An,'2027'!An_max)</f>
        <v>2022</v>
      </c>
      <c r="K215" s="193">
        <f t="shared" si="79"/>
        <v>46953</v>
      </c>
      <c r="L215" s="143">
        <f>IF(t&lt;Tvie,1-EXP((T0-t)*PertePVj)+'2027'!Pspv,1-EXP((T0-t)*PertePVj)+Pspv)</f>
        <v>3.402770296968094E-2</v>
      </c>
      <c r="M215" s="835"/>
      <c r="N215" s="835"/>
      <c r="O215" s="48">
        <f>IF(t&lt;Tnet,'2027'!Resal+('2027'!Salim-'2027'!Resal)*(1-EXP(('2027'!Tnet-t)/('2027'!Tau_j))),Resal+(Salim-Resal)*(1-EXP((Tnet-t)/(Tau_j))))*Salcycl</f>
        <v>1.4743353435720589E-2</v>
      </c>
      <c r="P215" s="165">
        <f>(INDEX(Models!$BJ215:$BT215,,T215)*(1-R215)+INDEX(Models!$BJ215:$BT215,,T215+1)*R215-ERP_i)*Q215*Ramure*Pc/MaxiM</f>
        <v>3.7672637097146006E-4</v>
      </c>
      <c r="Q215" s="301">
        <f t="shared" si="80"/>
        <v>0.5</v>
      </c>
      <c r="R215" s="173">
        <f t="shared" si="81"/>
        <v>0.40858288719619207</v>
      </c>
      <c r="S215" s="801">
        <f t="shared" si="82"/>
        <v>3</v>
      </c>
      <c r="T215" s="172">
        <f t="shared" si="83"/>
        <v>9</v>
      </c>
      <c r="U215" s="247">
        <f t="shared" si="84"/>
        <v>3.4085828871961921</v>
      </c>
      <c r="V215" s="378">
        <f t="shared" si="85"/>
        <v>231.63257914687861</v>
      </c>
      <c r="W215" s="397">
        <f t="shared" si="86"/>
        <v>160.43800148098387</v>
      </c>
      <c r="X215" s="153">
        <f t="shared" si="87"/>
        <v>46953</v>
      </c>
      <c r="Y215" s="380">
        <f t="shared" si="88"/>
        <v>154.22337210754642</v>
      </c>
      <c r="Z215" s="380">
        <f t="shared" si="89"/>
        <v>159.65610254214755</v>
      </c>
      <c r="AA215" s="381">
        <f t="shared" si="90"/>
        <v>168.57501176306047</v>
      </c>
      <c r="AB215" s="193">
        <f t="shared" si="91"/>
        <v>46953</v>
      </c>
      <c r="AC215" s="119">
        <f>IF(OR(t&lt;Tnet,NoTnet),'2027'!Resal_s+('2027'!Salim-'2027'!Resal_s)*(1-EXP(('2027'!Tnet_s-t)/'2027'!Tau_j)),Resal_s+(Salim-Resal_s)*(1-EXP((Tnet_s-t)/Tau_j)))*Salcycl</f>
        <v>5.2907658896971244E-2</v>
      </c>
      <c r="AD215" s="227">
        <f>(INDEX(Models!$BJ215:$BT215,,AH215)*(1-AF215)+INDEX(Models!$BJ215:$BT215,,AH215+1)*AF215-ERP_i)*AE215*Ramure*Pc/MaxiM</f>
        <v>3.7672637097146006E-4</v>
      </c>
      <c r="AE215" s="301">
        <f t="shared" si="92"/>
        <v>0.5</v>
      </c>
      <c r="AF215" s="173">
        <f t="shared" si="93"/>
        <v>0.40858288719619207</v>
      </c>
      <c r="AG215" s="801">
        <f t="shared" si="99"/>
        <v>3</v>
      </c>
      <c r="AH215" s="172">
        <f t="shared" si="94"/>
        <v>9</v>
      </c>
      <c r="AI215" s="221">
        <f t="shared" si="95"/>
        <v>3.4085828871961921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46954</v>
      </c>
      <c r="B216" s="406">
        <f>'2027'!Wh/'2027'!Env_an*'2028'!Env_an</f>
        <v>214.32297137496244</v>
      </c>
      <c r="C216" s="831"/>
      <c r="D216" s="388">
        <f t="shared" si="77"/>
        <v>221.87583016151078</v>
      </c>
      <c r="E216" s="380">
        <f t="shared" si="75"/>
        <v>225.21343261244823</v>
      </c>
      <c r="F216" s="380">
        <f t="shared" si="78"/>
        <v>225.29023024081579</v>
      </c>
      <c r="G216" s="110">
        <f t="shared" si="76"/>
        <v>0.92716478460450313</v>
      </c>
      <c r="H216" s="409" t="b">
        <f>Wh_hp&gt;='2027'!Maxi_hp</f>
        <v>0</v>
      </c>
      <c r="I216" s="385">
        <f>IF(H216,Wh_hp,'2027'!Maxi_hp)</f>
        <v>225.29827757588035</v>
      </c>
      <c r="J216" s="85">
        <f>IF(H216,An,'2027'!An_max)</f>
        <v>2022</v>
      </c>
      <c r="K216" s="193">
        <f t="shared" si="79"/>
        <v>46954</v>
      </c>
      <c r="L216" s="143">
        <f>IF(t&lt;Tvie,1-EXP((T0-t)*PertePVj)+'2027'!Pspv,1-EXP((T0-t)*PertePVj)+Pspv)</f>
        <v>3.4040926319240716E-2</v>
      </c>
      <c r="M216" s="835"/>
      <c r="N216" s="835"/>
      <c r="O216" s="48">
        <f>IF(t&lt;Tnet,'2027'!Resal+('2027'!Salim-'2027'!Resal)*(1-EXP(('2027'!Tnet-t)/('2027'!Tau_j))),Resal+(Salim-Resal)*(1-EXP((Tnet-t)/(Tau_j))))*Salcycl</f>
        <v>1.4819730831423602E-2</v>
      </c>
      <c r="P216" s="165">
        <f>(INDEX(Models!$BJ216:$BT216,,T216)*(1-R216)+INDEX(Models!$BJ216:$BT216,,T216+1)*R216-ERP_i)*Q216*Ramure*Pc/MaxiM</f>
        <v>3.8044897062220276E-4</v>
      </c>
      <c r="Q216" s="301">
        <f t="shared" si="80"/>
        <v>0.5</v>
      </c>
      <c r="R216" s="173">
        <f t="shared" si="81"/>
        <v>0.41133775995425204</v>
      </c>
      <c r="S216" s="801">
        <f t="shared" si="82"/>
        <v>3</v>
      </c>
      <c r="T216" s="172">
        <f t="shared" si="83"/>
        <v>9</v>
      </c>
      <c r="U216" s="247">
        <f t="shared" si="84"/>
        <v>3.411337759954252</v>
      </c>
      <c r="V216" s="378">
        <f t="shared" si="85"/>
        <v>231.15037603186832</v>
      </c>
      <c r="W216" s="397">
        <f t="shared" si="86"/>
        <v>214.32297137496244</v>
      </c>
      <c r="X216" s="153">
        <f t="shared" si="87"/>
        <v>46954</v>
      </c>
      <c r="Y216" s="380">
        <f t="shared" si="88"/>
        <v>206.02923650177098</v>
      </c>
      <c r="Z216" s="380">
        <f t="shared" si="89"/>
        <v>213.28981953314283</v>
      </c>
      <c r="AA216" s="381">
        <f t="shared" si="90"/>
        <v>225.21343261244823</v>
      </c>
      <c r="AB216" s="193">
        <f t="shared" si="91"/>
        <v>46954</v>
      </c>
      <c r="AC216" s="119">
        <f>IF(OR(t&lt;Tnet,NoTnet),'2027'!Resal_s+('2027'!Salim-'2027'!Resal_s)*(1-EXP(('2027'!Tnet_s-t)/'2027'!Tau_j)),Resal_s+(Salim-Resal_s)*(1-EXP((Tnet_s-t)/Tau_j)))*Salcycl</f>
        <v>5.2943614157436994E-2</v>
      </c>
      <c r="AD216" s="227">
        <f>(INDEX(Models!$BJ216:$BT216,,AH216)*(1-AF216)+INDEX(Models!$BJ216:$BT216,,AH216+1)*AF216-ERP_i)*AE216*Ramure*Pc/MaxiM</f>
        <v>3.8044897062220276E-4</v>
      </c>
      <c r="AE216" s="301">
        <f t="shared" si="92"/>
        <v>0.5</v>
      </c>
      <c r="AF216" s="173">
        <f t="shared" si="93"/>
        <v>0.41133775995425204</v>
      </c>
      <c r="AG216" s="801">
        <f t="shared" si="99"/>
        <v>3</v>
      </c>
      <c r="AH216" s="172">
        <f t="shared" si="94"/>
        <v>9</v>
      </c>
      <c r="AI216" s="221">
        <f t="shared" si="95"/>
        <v>3.411337759954252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46955</v>
      </c>
      <c r="B217" s="406">
        <f>'2027'!Wh/'2027'!Env_an*'2028'!Env_an</f>
        <v>162.58261659248737</v>
      </c>
      <c r="C217" s="831"/>
      <c r="D217" s="388">
        <f t="shared" si="77"/>
        <v>168.3144210477989</v>
      </c>
      <c r="E217" s="380">
        <f t="shared" si="75"/>
        <v>170.85953467347127</v>
      </c>
      <c r="F217" s="380">
        <f t="shared" si="78"/>
        <v>170.8975629613137</v>
      </c>
      <c r="G217" s="110">
        <f t="shared" si="76"/>
        <v>0.70474016157611286</v>
      </c>
      <c r="H217" s="409" t="b">
        <f>Wh_hp&gt;='2027'!Maxi_hp</f>
        <v>0</v>
      </c>
      <c r="I217" s="385">
        <f>IF(H217,Wh_hp,'2027'!Maxi_hp)</f>
        <v>170.9225367239975</v>
      </c>
      <c r="J217" s="85">
        <f>IF(H217,An,'2027'!An_max)</f>
        <v>2022</v>
      </c>
      <c r="K217" s="193">
        <f t="shared" si="79"/>
        <v>46955</v>
      </c>
      <c r="L217" s="143">
        <f>IF(t&lt;Tvie,1-EXP((T0-t)*PertePVj)+'2027'!Pspv,1-EXP((T0-t)*PertePVj)+Pspv)</f>
        <v>3.4054149487783847E-2</v>
      </c>
      <c r="M217" s="835"/>
      <c r="N217" s="835"/>
      <c r="O217" s="48">
        <f>IF(t&lt;Tnet,'2027'!Resal+('2027'!Salim-'2027'!Resal)*(1-EXP(('2027'!Tnet-t)/('2027'!Tau_j))),Resal+(Salim-Resal)*(1-EXP((Tnet-t)/(Tau_j))))*Salcycl</f>
        <v>1.4895941455865086E-2</v>
      </c>
      <c r="P217" s="165">
        <f>(INDEX(Models!$BJ217:$BT217,,T217)*(1-R217)+INDEX(Models!$BJ217:$BT217,,T217+1)*R217-ERP_i)*Q217*Ramure*Pc/MaxiM</f>
        <v>3.847423031095702E-4</v>
      </c>
      <c r="Q217" s="301">
        <f t="shared" si="80"/>
        <v>0.5</v>
      </c>
      <c r="R217" s="173">
        <f t="shared" si="81"/>
        <v>0.41401593561153094</v>
      </c>
      <c r="S217" s="801">
        <f t="shared" si="82"/>
        <v>3</v>
      </c>
      <c r="T217" s="172">
        <f t="shared" si="83"/>
        <v>9</v>
      </c>
      <c r="U217" s="247">
        <f t="shared" si="84"/>
        <v>3.4140159356115309</v>
      </c>
      <c r="V217" s="378">
        <f t="shared" si="85"/>
        <v>230.6612354637449</v>
      </c>
      <c r="W217" s="397">
        <f t="shared" si="86"/>
        <v>162.58261659248737</v>
      </c>
      <c r="X217" s="153">
        <f t="shared" si="87"/>
        <v>46955</v>
      </c>
      <c r="Y217" s="380">
        <f t="shared" si="88"/>
        <v>156.29731241758088</v>
      </c>
      <c r="Z217" s="380">
        <f t="shared" si="89"/>
        <v>161.80753024064492</v>
      </c>
      <c r="AA217" s="381">
        <f t="shared" si="90"/>
        <v>170.85953467347127</v>
      </c>
      <c r="AB217" s="193">
        <f t="shared" si="91"/>
        <v>46955</v>
      </c>
      <c r="AC217" s="119">
        <f>IF(OR(t&lt;Tnet,NoTnet),'2027'!Resal_s+('2027'!Salim-'2027'!Resal_s)*(1-EXP(('2027'!Tnet_s-t)/'2027'!Tau_j)),Resal_s+(Salim-Resal_s)*(1-EXP((Tnet_s-t)/Tau_j)))*Salcycl</f>
        <v>5.2979217402912754E-2</v>
      </c>
      <c r="AD217" s="227">
        <f>(INDEX(Models!$BJ217:$BT217,,AH217)*(1-AF217)+INDEX(Models!$BJ217:$BT217,,AH217+1)*AF217-ERP_i)*AE217*Ramure*Pc/MaxiM</f>
        <v>3.847423031095702E-4</v>
      </c>
      <c r="AE217" s="301">
        <f t="shared" si="92"/>
        <v>0.5</v>
      </c>
      <c r="AF217" s="173">
        <f t="shared" si="93"/>
        <v>0.41401593561153094</v>
      </c>
      <c r="AG217" s="801">
        <f t="shared" si="99"/>
        <v>3</v>
      </c>
      <c r="AH217" s="172">
        <f t="shared" si="94"/>
        <v>9</v>
      </c>
      <c r="AI217" s="221">
        <f t="shared" si="95"/>
        <v>3.4140159356115309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46956</v>
      </c>
      <c r="B218" s="406">
        <f>'2027'!Wh/'2027'!Env_an*'2028'!Env_an</f>
        <v>187.10684929475619</v>
      </c>
      <c r="C218" s="831"/>
      <c r="D218" s="388">
        <f t="shared" si="77"/>
        <v>193.70590035273881</v>
      </c>
      <c r="E218" s="380">
        <f t="shared" si="75"/>
        <v>196.65014436809565</v>
      </c>
      <c r="F218" s="380">
        <f t="shared" si="78"/>
        <v>196.70630105668826</v>
      </c>
      <c r="G218" s="110">
        <f t="shared" si="76"/>
        <v>0.81283595477970361</v>
      </c>
      <c r="H218" s="409" t="b">
        <f>Wh_hp&gt;='2027'!Maxi_hp</f>
        <v>0</v>
      </c>
      <c r="I218" s="385">
        <f>IF(H218,Wh_hp,'2027'!Maxi_hp)</f>
        <v>196.7247161303259</v>
      </c>
      <c r="J218" s="85">
        <f>IF(H218,An,'2027'!An_max)</f>
        <v>2022</v>
      </c>
      <c r="K218" s="193">
        <f t="shared" si="79"/>
        <v>46956</v>
      </c>
      <c r="L218" s="143">
        <f>IF(t&lt;Tvie,1-EXP((T0-t)*PertePVj)+'2027'!Pspv,1-EXP((T0-t)*PertePVj)+Pspv)</f>
        <v>3.4067372475312996E-2</v>
      </c>
      <c r="M218" s="835"/>
      <c r="N218" s="835"/>
      <c r="O218" s="48">
        <f>IF(t&lt;Tnet,'2027'!Resal+('2027'!Salim-'2027'!Resal)*(1-EXP(('2027'!Tnet-t)/('2027'!Tau_j))),Resal+(Salim-Resal)*(1-EXP((Tnet-t)/(Tau_j))))*Salcycl</f>
        <v>1.4971990103631587E-2</v>
      </c>
      <c r="P218" s="165">
        <f>(INDEX(Models!$BJ218:$BT218,,T218)*(1-R218)+INDEX(Models!$BJ218:$BT218,,T218+1)*R218-ERP_i)*Q218*Ramure*Pc/MaxiM</f>
        <v>3.8961089782600032E-4</v>
      </c>
      <c r="Q218" s="301">
        <f t="shared" si="80"/>
        <v>0.5</v>
      </c>
      <c r="R218" s="173">
        <f t="shared" si="81"/>
        <v>0.41661840537266315</v>
      </c>
      <c r="S218" s="801">
        <f t="shared" si="82"/>
        <v>3</v>
      </c>
      <c r="T218" s="172">
        <f t="shared" si="83"/>
        <v>9</v>
      </c>
      <c r="U218" s="247">
        <f t="shared" si="84"/>
        <v>3.4166184053726631</v>
      </c>
      <c r="V218" s="378">
        <f t="shared" si="85"/>
        <v>230.16619768487115</v>
      </c>
      <c r="W218" s="397">
        <f t="shared" si="86"/>
        <v>187.10684929475619</v>
      </c>
      <c r="X218" s="153">
        <f t="shared" si="87"/>
        <v>46956</v>
      </c>
      <c r="Y218" s="380">
        <f t="shared" si="88"/>
        <v>179.88064644457856</v>
      </c>
      <c r="Z218" s="380">
        <f t="shared" si="89"/>
        <v>186.22483734247939</v>
      </c>
      <c r="AA218" s="381">
        <f t="shared" si="90"/>
        <v>196.65014436809565</v>
      </c>
      <c r="AB218" s="193">
        <f t="shared" si="91"/>
        <v>46956</v>
      </c>
      <c r="AC218" s="119">
        <f>IF(OR(t&lt;Tnet,NoTnet),'2027'!Resal_s+('2027'!Salim-'2027'!Resal_s)*(1-EXP(('2027'!Tnet_s-t)/'2027'!Tau_j)),Resal_s+(Salim-Resal_s)*(1-EXP((Tnet_s-t)/Tau_j)))*Salcycl</f>
        <v>5.3014489560210341E-2</v>
      </c>
      <c r="AD218" s="227">
        <f>(INDEX(Models!$BJ218:$BT218,,AH218)*(1-AF218)+INDEX(Models!$BJ218:$BT218,,AH218+1)*AF218-ERP_i)*AE218*Ramure*Pc/MaxiM</f>
        <v>3.8961089782600032E-4</v>
      </c>
      <c r="AE218" s="301">
        <f t="shared" si="92"/>
        <v>0.5</v>
      </c>
      <c r="AF218" s="173">
        <f t="shared" si="93"/>
        <v>0.41661840537266315</v>
      </c>
      <c r="AG218" s="801">
        <f t="shared" si="99"/>
        <v>3</v>
      </c>
      <c r="AH218" s="172">
        <f t="shared" si="94"/>
        <v>9</v>
      </c>
      <c r="AI218" s="221">
        <f t="shared" si="95"/>
        <v>3.4166184053726631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46957</v>
      </c>
      <c r="B219" s="406">
        <f>'2027'!Wh/'2027'!Env_an*'2028'!Env_an</f>
        <v>217.13825328546727</v>
      </c>
      <c r="C219" s="831"/>
      <c r="D219" s="388">
        <f t="shared" si="77"/>
        <v>224.79955597208721</v>
      </c>
      <c r="E219" s="380">
        <f t="shared" si="75"/>
        <v>228.23399404058981</v>
      </c>
      <c r="F219" s="380">
        <f t="shared" si="78"/>
        <v>228.31716611120592</v>
      </c>
      <c r="G219" s="110">
        <f t="shared" si="76"/>
        <v>0.94543266975687046</v>
      </c>
      <c r="H219" s="409" t="b">
        <f>Wh_hp&gt;='2027'!Maxi_hp</f>
        <v>0</v>
      </c>
      <c r="I219" s="385">
        <f>IF(H219,Wh_hp,'2027'!Maxi_hp)</f>
        <v>228.32347365293612</v>
      </c>
      <c r="J219" s="85">
        <f>IF(H219,An,'2027'!An_max)</f>
        <v>2022</v>
      </c>
      <c r="K219" s="193">
        <f t="shared" si="79"/>
        <v>46957</v>
      </c>
      <c r="L219" s="143">
        <f>IF(t&lt;Tvie,1-EXP((T0-t)*PertePVj)+'2027'!Pspv,1-EXP((T0-t)*PertePVj)+Pspv)</f>
        <v>3.4080595281830606E-2</v>
      </c>
      <c r="M219" s="835"/>
      <c r="N219" s="835"/>
      <c r="O219" s="48">
        <f>IF(t&lt;Tnet,'2027'!Resal+('2027'!Salim-'2027'!Resal)*(1-EXP(('2027'!Tnet-t)/('2027'!Tau_j))),Resal+(Salim-Resal)*(1-EXP((Tnet-t)/(Tau_j))))*Salcycl</f>
        <v>1.5047881376916301E-2</v>
      </c>
      <c r="P219" s="165">
        <f>(INDEX(Models!$BJ219:$BT219,,T219)*(1-R219)+INDEX(Models!$BJ219:$BT219,,T219+1)*R219-ERP_i)*Q219*Ramure*Pc/MaxiM</f>
        <v>3.9506308964170847E-4</v>
      </c>
      <c r="Q219" s="301">
        <f t="shared" si="80"/>
        <v>0.5</v>
      </c>
      <c r="R219" s="173">
        <f t="shared" si="81"/>
        <v>0.41914622941554036</v>
      </c>
      <c r="S219" s="801">
        <f t="shared" si="82"/>
        <v>3</v>
      </c>
      <c r="T219" s="172">
        <f t="shared" si="83"/>
        <v>9</v>
      </c>
      <c r="U219" s="247">
        <f t="shared" si="84"/>
        <v>3.4191462294155404</v>
      </c>
      <c r="V219" s="378">
        <f t="shared" si="85"/>
        <v>229.66370241765017</v>
      </c>
      <c r="W219" s="397">
        <f t="shared" si="86"/>
        <v>217.13825328546727</v>
      </c>
      <c r="X219" s="153">
        <f t="shared" si="87"/>
        <v>46957</v>
      </c>
      <c r="Y219" s="380">
        <f t="shared" si="88"/>
        <v>208.76059290617519</v>
      </c>
      <c r="Z219" s="380">
        <f t="shared" si="89"/>
        <v>216.12630607321341</v>
      </c>
      <c r="AA219" s="381">
        <f t="shared" si="90"/>
        <v>228.23399404058981</v>
      </c>
      <c r="AB219" s="193">
        <f t="shared" si="91"/>
        <v>46957</v>
      </c>
      <c r="AC219" s="119">
        <f>IF(OR(t&lt;Tnet,NoTnet),'2027'!Resal_s+('2027'!Salim-'2027'!Resal_s)*(1-EXP(('2027'!Tnet_s-t)/'2027'!Tau_j)),Resal_s+(Salim-Resal_s)*(1-EXP((Tnet_s-t)/Tau_j)))*Salcycl</f>
        <v>5.304945049168764E-2</v>
      </c>
      <c r="AD219" s="227">
        <f>(INDEX(Models!$BJ219:$BT219,,AH219)*(1-AF219)+INDEX(Models!$BJ219:$BT219,,AH219+1)*AF219-ERP_i)*AE219*Ramure*Pc/MaxiM</f>
        <v>3.9506308964170847E-4</v>
      </c>
      <c r="AE219" s="301">
        <f t="shared" si="92"/>
        <v>0.5</v>
      </c>
      <c r="AF219" s="173">
        <f t="shared" si="93"/>
        <v>0.41914622941554036</v>
      </c>
      <c r="AG219" s="801">
        <f t="shared" si="99"/>
        <v>3</v>
      </c>
      <c r="AH219" s="172">
        <f t="shared" si="94"/>
        <v>9</v>
      </c>
      <c r="AI219" s="221">
        <f t="shared" si="95"/>
        <v>3.4191462294155404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46958</v>
      </c>
      <c r="B220" s="406">
        <f>'2027'!Wh/'2027'!Env_an*'2028'!Env_an</f>
        <v>116.89886108352043</v>
      </c>
      <c r="C220" s="831"/>
      <c r="D220" s="388">
        <f t="shared" si="77"/>
        <v>121.02506770404554</v>
      </c>
      <c r="E220" s="380">
        <f t="shared" si="75"/>
        <v>122.88351118976415</v>
      </c>
      <c r="F220" s="380">
        <f t="shared" si="78"/>
        <v>122.8983010037305</v>
      </c>
      <c r="G220" s="110">
        <f t="shared" si="76"/>
        <v>0.50999464339388156</v>
      </c>
      <c r="H220" s="409" t="b">
        <f>Wh_hp&gt;='2027'!Maxi_hp</f>
        <v>0</v>
      </c>
      <c r="I220" s="385">
        <f>IF(H220,Wh_hp,'2027'!Maxi_hp)</f>
        <v>122.92919914878539</v>
      </c>
      <c r="J220" s="85">
        <f>IF(H220,An,'2027'!An_max)</f>
        <v>2022</v>
      </c>
      <c r="K220" s="193">
        <f t="shared" si="79"/>
        <v>46958</v>
      </c>
      <c r="L220" s="143">
        <f>IF(t&lt;Tvie,1-EXP((T0-t)*PertePVj)+'2027'!Pspv,1-EXP((T0-t)*PertePVj)+Pspv)</f>
        <v>3.4093817907339008E-2</v>
      </c>
      <c r="M220" s="835"/>
      <c r="N220" s="835"/>
      <c r="O220" s="48">
        <f>IF(t&lt;Tnet,'2027'!Resal+('2027'!Salim-'2027'!Resal)*(1-EXP(('2027'!Tnet-t)/('2027'!Tau_j))),Resal+(Salim-Resal)*(1-EXP((Tnet-t)/(Tau_j))))*Salcycl</f>
        <v>1.5123619659993945E-2</v>
      </c>
      <c r="P220" s="165">
        <f>(INDEX(Models!$BJ220:$BT220,,T220)*(1-R220)+INDEX(Models!$BJ220:$BT220,,T220+1)*R220-ERP_i)*Q220*Ramure*Pc/MaxiM</f>
        <v>4.0087663932401971E-4</v>
      </c>
      <c r="Q220" s="301">
        <f t="shared" si="80"/>
        <v>0.5</v>
      </c>
      <c r="R220" s="173">
        <f t="shared" si="81"/>
        <v>0.42160053040267531</v>
      </c>
      <c r="S220" s="801">
        <f t="shared" si="82"/>
        <v>3</v>
      </c>
      <c r="T220" s="172">
        <f t="shared" si="83"/>
        <v>9</v>
      </c>
      <c r="U220" s="247">
        <f t="shared" si="84"/>
        <v>3.4216005304026753</v>
      </c>
      <c r="V220" s="378">
        <f t="shared" si="85"/>
        <v>229.15154984033833</v>
      </c>
      <c r="W220" s="397">
        <f t="shared" si="86"/>
        <v>116.89886108352043</v>
      </c>
      <c r="X220" s="153">
        <f t="shared" si="87"/>
        <v>46958</v>
      </c>
      <c r="Y220" s="380">
        <f t="shared" si="88"/>
        <v>112.39317974164031</v>
      </c>
      <c r="Z220" s="380">
        <f t="shared" si="89"/>
        <v>116.36034826709313</v>
      </c>
      <c r="AA220" s="381">
        <f t="shared" si="90"/>
        <v>122.88351118976415</v>
      </c>
      <c r="AB220" s="193">
        <f t="shared" si="91"/>
        <v>46958</v>
      </c>
      <c r="AC220" s="119">
        <f>IF(OR(t&lt;Tnet,NoTnet),'2027'!Resal_s+('2027'!Salim-'2027'!Resal_s)*(1-EXP(('2027'!Tnet_s-t)/'2027'!Tau_j)),Resal_s+(Salim-Resal_s)*(1-EXP((Tnet_s-t)/Tau_j)))*Salcycl</f>
        <v>5.3084118931119743E-2</v>
      </c>
      <c r="AD220" s="227">
        <f>(INDEX(Models!$BJ220:$BT220,,AH220)*(1-AF220)+INDEX(Models!$BJ220:$BT220,,AH220+1)*AF220-ERP_i)*AE220*Ramure*Pc/MaxiM</f>
        <v>4.0087663932401971E-4</v>
      </c>
      <c r="AE220" s="301">
        <f t="shared" si="92"/>
        <v>0.5</v>
      </c>
      <c r="AF220" s="173">
        <f t="shared" si="93"/>
        <v>0.42160053040267531</v>
      </c>
      <c r="AG220" s="801">
        <f t="shared" si="99"/>
        <v>3</v>
      </c>
      <c r="AH220" s="172">
        <f t="shared" si="94"/>
        <v>9</v>
      </c>
      <c r="AI220" s="221">
        <f t="shared" si="95"/>
        <v>3.4216005304026753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46959</v>
      </c>
      <c r="B221" s="406">
        <f>'2027'!Wh/'2027'!Env_an*'2028'!Env_an</f>
        <v>208.58066632923808</v>
      </c>
      <c r="C221" s="831"/>
      <c r="D221" s="388">
        <f t="shared" si="77"/>
        <v>215.94594333228878</v>
      </c>
      <c r="E221" s="380">
        <f t="shared" si="75"/>
        <v>219.2788077821657</v>
      </c>
      <c r="F221" s="380">
        <f t="shared" si="78"/>
        <v>219.35688640458287</v>
      </c>
      <c r="G221" s="110">
        <f t="shared" si="76"/>
        <v>0.91226102262682862</v>
      </c>
      <c r="H221" s="409" t="b">
        <f>Wh_hp&gt;='2027'!Maxi_hp</f>
        <v>0</v>
      </c>
      <c r="I221" s="385">
        <f>IF(H221,Wh_hp,'2027'!Maxi_hp)</f>
        <v>219.36689548137969</v>
      </c>
      <c r="J221" s="85">
        <f>IF(H221,An,'2027'!An_max)</f>
        <v>2022</v>
      </c>
      <c r="K221" s="193">
        <f t="shared" si="79"/>
        <v>46959</v>
      </c>
      <c r="L221" s="143">
        <f>IF(t&lt;Tvie,1-EXP((T0-t)*PertePVj)+'2027'!Pspv,1-EXP((T0-t)*PertePVj)+Pspv)</f>
        <v>3.4107040351840756E-2</v>
      </c>
      <c r="M221" s="835"/>
      <c r="N221" s="835"/>
      <c r="O221" s="48">
        <f>IF(t&lt;Tnet,'2027'!Resal+('2027'!Salim-'2027'!Resal)*(1-EXP(('2027'!Tnet-t)/('2027'!Tau_j))),Resal+(Salim-Resal)*(1-EXP((Tnet-t)/(Tau_j))))*Salcycl</f>
        <v>1.5199209096338324E-2</v>
      </c>
      <c r="P221" s="165">
        <f>(INDEX(Models!$BJ221:$BT221,,T221)*(1-R221)+INDEX(Models!$BJ221:$BT221,,T221+1)*R221-ERP_i)*Q221*Ramure*Pc/MaxiM</f>
        <v>4.0692024537298469E-4</v>
      </c>
      <c r="Q221" s="301">
        <f t="shared" si="80"/>
        <v>0.5</v>
      </c>
      <c r="R221" s="173">
        <f t="shared" si="81"/>
        <v>0.42398248718053422</v>
      </c>
      <c r="S221" s="801">
        <f t="shared" si="82"/>
        <v>3</v>
      </c>
      <c r="T221" s="172">
        <f t="shared" si="83"/>
        <v>9</v>
      </c>
      <c r="U221" s="247">
        <f t="shared" si="84"/>
        <v>3.4239824871805342</v>
      </c>
      <c r="V221" s="378">
        <f t="shared" si="85"/>
        <v>228.62977215160731</v>
      </c>
      <c r="W221" s="397">
        <f t="shared" si="86"/>
        <v>208.58066632923808</v>
      </c>
      <c r="X221" s="153">
        <f t="shared" si="87"/>
        <v>46959</v>
      </c>
      <c r="Y221" s="380">
        <f t="shared" si="88"/>
        <v>200.54936331933791</v>
      </c>
      <c r="Z221" s="380">
        <f t="shared" si="89"/>
        <v>207.63104370528902</v>
      </c>
      <c r="AA221" s="381">
        <f t="shared" si="90"/>
        <v>219.2788077821657</v>
      </c>
      <c r="AB221" s="193">
        <f t="shared" si="91"/>
        <v>46959</v>
      </c>
      <c r="AC221" s="119">
        <f>IF(OR(t&lt;Tnet,NoTnet),'2027'!Resal_s+('2027'!Salim-'2027'!Resal_s)*(1-EXP(('2027'!Tnet_s-t)/'2027'!Tau_j)),Resal_s+(Salim-Resal_s)*(1-EXP((Tnet_s-t)/Tau_j)))*Salcycl</f>
        <v>5.311851243029251E-2</v>
      </c>
      <c r="AD221" s="227">
        <f>(INDEX(Models!$BJ221:$BT221,,AH221)*(1-AF221)+INDEX(Models!$BJ221:$BT221,,AH221+1)*AF221-ERP_i)*AE221*Ramure*Pc/MaxiM</f>
        <v>4.0692024537298469E-4</v>
      </c>
      <c r="AE221" s="301">
        <f t="shared" si="92"/>
        <v>0.5</v>
      </c>
      <c r="AF221" s="173">
        <f t="shared" si="93"/>
        <v>0.42398248718053422</v>
      </c>
      <c r="AG221" s="801">
        <f t="shared" si="99"/>
        <v>3</v>
      </c>
      <c r="AH221" s="172">
        <f t="shared" si="94"/>
        <v>9</v>
      </c>
      <c r="AI221" s="221">
        <f t="shared" si="95"/>
        <v>3.4239824871805342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46960</v>
      </c>
      <c r="B222" s="406">
        <f>'2027'!Wh/'2027'!Env_an*'2028'!Env_an</f>
        <v>228.89611223753121</v>
      </c>
      <c r="C222" s="831"/>
      <c r="D222" s="388">
        <f t="shared" si="77"/>
        <v>236.98200032368351</v>
      </c>
      <c r="E222" s="380">
        <f t="shared" si="75"/>
        <v>240.65796740427845</v>
      </c>
      <c r="F222" s="380">
        <f t="shared" si="78"/>
        <v>240.75744789111332</v>
      </c>
      <c r="G222" s="110">
        <f t="shared" si="76"/>
        <v>1.0034973585030091</v>
      </c>
      <c r="H222" s="409" t="b">
        <f>Wh_hp&gt;='2027'!Maxi_hp</f>
        <v>1</v>
      </c>
      <c r="I222" s="385">
        <f>IF(H222,Wh_hp,'2027'!Maxi_hp)</f>
        <v>240.75744789111332</v>
      </c>
      <c r="J222" s="85">
        <f>IF(H222,An,'2027'!An_max)</f>
        <v>2028</v>
      </c>
      <c r="K222" s="193">
        <f t="shared" si="79"/>
        <v>46960</v>
      </c>
      <c r="L222" s="143">
        <f>IF(t&lt;Tvie,1-EXP((T0-t)*PertePVj)+'2027'!Pspv,1-EXP((T0-t)*PertePVj)+Pspv)</f>
        <v>3.4120262615338404E-2</v>
      </c>
      <c r="M222" s="835"/>
      <c r="N222" s="835"/>
      <c r="O222" s="48">
        <f>IF(t&lt;Tnet,'2027'!Resal+('2027'!Salim-'2027'!Resal)*(1-EXP(('2027'!Tnet-t)/('2027'!Tau_j))),Resal+(Salim-Resal)*(1-EXP((Tnet-t)/(Tau_j))))*Salcycl</f>
        <v>1.5274653568480106E-2</v>
      </c>
      <c r="P222" s="165">
        <f>(INDEX(Models!$BJ222:$BT222,,T222)*(1-R222)+INDEX(Models!$BJ222:$BT222,,T222+1)*R222-ERP_i)*Q222*Ramure*Pc/MaxiM</f>
        <v>4.1319796212436067E-4</v>
      </c>
      <c r="Q222" s="301">
        <f t="shared" si="80"/>
        <v>0.5</v>
      </c>
      <c r="R222" s="173">
        <f t="shared" si="81"/>
        <v>0.42629332868549996</v>
      </c>
      <c r="S222" s="801">
        <f t="shared" si="82"/>
        <v>3</v>
      </c>
      <c r="T222" s="172">
        <f t="shared" si="83"/>
        <v>9</v>
      </c>
      <c r="U222" s="247">
        <f t="shared" si="84"/>
        <v>3.4262933286855</v>
      </c>
      <c r="V222" s="378">
        <f t="shared" si="85"/>
        <v>228.09837046207315</v>
      </c>
      <c r="W222" s="397">
        <f t="shared" si="86"/>
        <v>228.89611223753121</v>
      </c>
      <c r="X222" s="153">
        <f t="shared" si="87"/>
        <v>46960</v>
      </c>
      <c r="Y222" s="380">
        <f t="shared" si="88"/>
        <v>220.09149931712889</v>
      </c>
      <c r="Z222" s="380">
        <f t="shared" si="89"/>
        <v>227.86635933897583</v>
      </c>
      <c r="AA222" s="381">
        <f t="shared" si="90"/>
        <v>240.65796740427845</v>
      </c>
      <c r="AB222" s="193">
        <f t="shared" si="91"/>
        <v>46960</v>
      </c>
      <c r="AC222" s="119">
        <f>IF(OR(t&lt;Tnet,NoTnet),'2027'!Resal_s+('2027'!Salim-'2027'!Resal_s)*(1-EXP(('2027'!Tnet_s-t)/'2027'!Tau_j)),Resal_s+(Salim-Resal_s)*(1-EXP((Tnet_s-t)/Tau_j)))*Salcycl</f>
        <v>5.3152647316322396E-2</v>
      </c>
      <c r="AD222" s="227">
        <f>(INDEX(Models!$BJ222:$BT222,,AH222)*(1-AF222)+INDEX(Models!$BJ222:$BT222,,AH222+1)*AF222-ERP_i)*AE222*Ramure*Pc/MaxiM</f>
        <v>4.1319796212436067E-4</v>
      </c>
      <c r="AE222" s="301">
        <f t="shared" si="92"/>
        <v>0.5</v>
      </c>
      <c r="AF222" s="173">
        <f t="shared" si="93"/>
        <v>0.42629332868549996</v>
      </c>
      <c r="AG222" s="801">
        <f t="shared" si="99"/>
        <v>3</v>
      </c>
      <c r="AH222" s="172">
        <f t="shared" si="94"/>
        <v>9</v>
      </c>
      <c r="AI222" s="221">
        <f t="shared" si="95"/>
        <v>3.4262933286855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46961</v>
      </c>
      <c r="B223" s="406">
        <f>'2027'!Wh/'2027'!Env_an*'2028'!Env_an</f>
        <v>184.89092003062353</v>
      </c>
      <c r="C223" s="831"/>
      <c r="D223" s="388">
        <f t="shared" si="77"/>
        <v>191.42491959438254</v>
      </c>
      <c r="E223" s="380">
        <f t="shared" si="75"/>
        <v>194.40909071518939</v>
      </c>
      <c r="F223" s="380">
        <f t="shared" si="78"/>
        <v>194.46884943461725</v>
      </c>
      <c r="G223" s="110">
        <f t="shared" si="76"/>
        <v>0.81241116203388586</v>
      </c>
      <c r="H223" s="409" t="b">
        <f>Wh_hp&gt;='2027'!Maxi_hp</f>
        <v>0</v>
      </c>
      <c r="I223" s="385">
        <f>IF(H223,Wh_hp,'2027'!Maxi_hp)</f>
        <v>194.48838294022485</v>
      </c>
      <c r="J223" s="85">
        <f>IF(H223,An,'2027'!An_max)</f>
        <v>2022</v>
      </c>
      <c r="K223" s="193">
        <f t="shared" si="79"/>
        <v>46961</v>
      </c>
      <c r="L223" s="143">
        <f>IF(t&lt;Tvie,1-EXP((T0-t)*PertePVj)+'2027'!Pspv,1-EXP((T0-t)*PertePVj)+Pspv)</f>
        <v>3.4133484697834282E-2</v>
      </c>
      <c r="M223" s="835"/>
      <c r="N223" s="835"/>
      <c r="O223" s="48">
        <f>IF(t&lt;Tnet,'2027'!Resal+('2027'!Salim-'2027'!Resal)*(1-EXP(('2027'!Tnet-t)/('2027'!Tau_j))),Resal+(Salim-Resal)*(1-EXP((Tnet-t)/(Tau_j))))*Salcycl</f>
        <v>1.5349956680671266E-2</v>
      </c>
      <c r="P223" s="165">
        <f>(INDEX(Models!$BJ223:$BT223,,T223)*(1-R223)+INDEX(Models!$BJ223:$BT223,,T223+1)*R223-ERP_i)*Q223*Ramure*Pc/MaxiM</f>
        <v>4.1971381210299363E-4</v>
      </c>
      <c r="Q223" s="301">
        <f t="shared" si="80"/>
        <v>0.5</v>
      </c>
      <c r="R223" s="173">
        <f t="shared" si="81"/>
        <v>0.42853432807208147</v>
      </c>
      <c r="S223" s="801">
        <f t="shared" si="82"/>
        <v>3</v>
      </c>
      <c r="T223" s="172">
        <f t="shared" si="83"/>
        <v>9</v>
      </c>
      <c r="U223" s="247">
        <f t="shared" si="84"/>
        <v>3.4285343280720815</v>
      </c>
      <c r="V223" s="378">
        <f t="shared" si="85"/>
        <v>227.55734596767437</v>
      </c>
      <c r="W223" s="397">
        <f t="shared" si="86"/>
        <v>184.89092003062353</v>
      </c>
      <c r="X223" s="153">
        <f t="shared" si="87"/>
        <v>46961</v>
      </c>
      <c r="Y223" s="380">
        <f t="shared" si="88"/>
        <v>177.78622278274057</v>
      </c>
      <c r="Z223" s="380">
        <f t="shared" si="89"/>
        <v>184.06914409608783</v>
      </c>
      <c r="AA223" s="381">
        <f t="shared" si="90"/>
        <v>194.40909071518939</v>
      </c>
      <c r="AB223" s="193">
        <f t="shared" si="91"/>
        <v>46961</v>
      </c>
      <c r="AC223" s="119">
        <f>IF(OR(t&lt;Tnet,NoTnet),'2027'!Resal_s+('2027'!Salim-'2027'!Resal_s)*(1-EXP(('2027'!Tnet_s-t)/'2027'!Tau_j)),Resal_s+(Salim-Resal_s)*(1-EXP((Tnet_s-t)/Tau_j)))*Salcycl</f>
        <v>5.3186538659602385E-2</v>
      </c>
      <c r="AD223" s="227">
        <f>(INDEX(Models!$BJ223:$BT223,,AH223)*(1-AF223)+INDEX(Models!$BJ223:$BT223,,AH223+1)*AF223-ERP_i)*AE223*Ramure*Pc/MaxiM</f>
        <v>4.1971381210299363E-4</v>
      </c>
      <c r="AE223" s="301">
        <f t="shared" si="92"/>
        <v>0.5</v>
      </c>
      <c r="AF223" s="173">
        <f t="shared" si="93"/>
        <v>0.42853432807208147</v>
      </c>
      <c r="AG223" s="801">
        <f t="shared" si="99"/>
        <v>3</v>
      </c>
      <c r="AH223" s="172">
        <f t="shared" si="94"/>
        <v>9</v>
      </c>
      <c r="AI223" s="221">
        <f t="shared" si="95"/>
        <v>3.4285343280720815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46962</v>
      </c>
      <c r="B224" s="406">
        <f>'2027'!Wh/'2027'!Env_an*'2028'!Env_an</f>
        <v>112.30622416333911</v>
      </c>
      <c r="C224" s="831"/>
      <c r="D224" s="388">
        <f t="shared" si="77"/>
        <v>116.27669018751345</v>
      </c>
      <c r="E224" s="380">
        <f t="shared" si="75"/>
        <v>118.09837195269824</v>
      </c>
      <c r="F224" s="380">
        <f t="shared" si="78"/>
        <v>118.11238435834291</v>
      </c>
      <c r="G224" s="110">
        <f t="shared" si="76"/>
        <v>0.49457416112761243</v>
      </c>
      <c r="H224" s="409" t="b">
        <f>Wh_hp&gt;='2027'!Maxi_hp</f>
        <v>0</v>
      </c>
      <c r="I224" s="385">
        <f>IF(H224,Wh_hp,'2027'!Maxi_hp)</f>
        <v>118.14485084617337</v>
      </c>
      <c r="J224" s="85">
        <f>IF(H224,An,'2027'!An_max)</f>
        <v>2022</v>
      </c>
      <c r="K224" s="193">
        <f t="shared" si="79"/>
        <v>46962</v>
      </c>
      <c r="L224" s="143">
        <f>IF(t&lt;Tvie,1-EXP((T0-t)*PertePVj)+'2027'!Pspv,1-EXP((T0-t)*PertePVj)+Pspv)</f>
        <v>3.4146706599331056E-2</v>
      </c>
      <c r="M224" s="835"/>
      <c r="N224" s="835"/>
      <c r="O224" s="48">
        <f>IF(t&lt;Tnet,'2027'!Resal+('2027'!Salim-'2027'!Resal)*(1-EXP(('2027'!Tnet-t)/('2027'!Tau_j))),Resal+(Salim-Resal)*(1-EXP((Tnet-t)/(Tau_j))))*Salcycl</f>
        <v>1.5425121744391502E-2</v>
      </c>
      <c r="P224" s="165">
        <f>(INDEX(Models!$BJ224:$BT224,,T224)*(1-R224)+INDEX(Models!$BJ224:$BT224,,T224+1)*R224-ERP_i)*Q224*Ramure*Pc/MaxiM</f>
        <v>4.2647178641464412E-4</v>
      </c>
      <c r="Q224" s="301">
        <f t="shared" si="80"/>
        <v>0.5</v>
      </c>
      <c r="R224" s="173">
        <f t="shared" si="81"/>
        <v>0.43070679707611514</v>
      </c>
      <c r="S224" s="801">
        <f t="shared" si="82"/>
        <v>3</v>
      </c>
      <c r="T224" s="172">
        <f t="shared" si="83"/>
        <v>9</v>
      </c>
      <c r="U224" s="247">
        <f t="shared" si="84"/>
        <v>3.4307067970761151</v>
      </c>
      <c r="V224" s="378">
        <f t="shared" si="85"/>
        <v>227.00669997430322</v>
      </c>
      <c r="W224" s="397">
        <f t="shared" si="86"/>
        <v>112.30622416333911</v>
      </c>
      <c r="X224" s="153">
        <f t="shared" si="87"/>
        <v>46962</v>
      </c>
      <c r="Y224" s="380">
        <f t="shared" si="88"/>
        <v>107.99510202026131</v>
      </c>
      <c r="Z224" s="380">
        <f t="shared" si="89"/>
        <v>111.81315294792007</v>
      </c>
      <c r="AA224" s="381">
        <f t="shared" si="90"/>
        <v>118.09837195269824</v>
      </c>
      <c r="AB224" s="193">
        <f t="shared" si="91"/>
        <v>46962</v>
      </c>
      <c r="AC224" s="119">
        <f>IF(OR(t&lt;Tnet,NoTnet),'2027'!Resal_s+('2027'!Salim-'2027'!Resal_s)*(1-EXP(('2027'!Tnet_s-t)/'2027'!Tau_j)),Resal_s+(Salim-Resal_s)*(1-EXP((Tnet_s-t)/Tau_j)))*Salcycl</f>
        <v>5.3220200252172667E-2</v>
      </c>
      <c r="AD224" s="227">
        <f>(INDEX(Models!$BJ224:$BT224,,AH224)*(1-AF224)+INDEX(Models!$BJ224:$BT224,,AH224+1)*AF224-ERP_i)*AE224*Ramure*Pc/MaxiM</f>
        <v>4.2647178641464412E-4</v>
      </c>
      <c r="AE224" s="301">
        <f t="shared" si="92"/>
        <v>0.5</v>
      </c>
      <c r="AF224" s="173">
        <f t="shared" si="93"/>
        <v>0.43070679707611514</v>
      </c>
      <c r="AG224" s="801">
        <f t="shared" si="99"/>
        <v>3</v>
      </c>
      <c r="AH224" s="172">
        <f t="shared" si="94"/>
        <v>9</v>
      </c>
      <c r="AI224" s="221">
        <f t="shared" si="95"/>
        <v>3.4307067970761151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46963</v>
      </c>
      <c r="B225" s="406">
        <f>'2027'!Wh/'2027'!Env_an*'2028'!Env_an</f>
        <v>194.38774610021494</v>
      </c>
      <c r="C225" s="831"/>
      <c r="D225" s="388">
        <f t="shared" si="77"/>
        <v>201.26287135929172</v>
      </c>
      <c r="E225" s="380">
        <f t="shared" si="75"/>
        <v>204.43159206216347</v>
      </c>
      <c r="F225" s="380">
        <f t="shared" si="78"/>
        <v>204.50231031697362</v>
      </c>
      <c r="G225" s="110">
        <f t="shared" si="76"/>
        <v>0.85835177467506452</v>
      </c>
      <c r="H225" s="409" t="b">
        <f>Wh_hp&gt;='2027'!Maxi_hp</f>
        <v>0</v>
      </c>
      <c r="I225" s="385">
        <f>IF(H225,Wh_hp,'2027'!Maxi_hp)</f>
        <v>204.51831402539628</v>
      </c>
      <c r="J225" s="85">
        <f>IF(H225,An,'2027'!An_max)</f>
        <v>2022</v>
      </c>
      <c r="K225" s="193">
        <f t="shared" si="79"/>
        <v>46963</v>
      </c>
      <c r="L225" s="143">
        <f>IF(t&lt;Tvie,1-EXP((T0-t)*PertePVj)+'2027'!Pspv,1-EXP((T0-t)*PertePVj)+Pspv)</f>
        <v>3.4159928319831057E-2</v>
      </c>
      <c r="M225" s="835"/>
      <c r="N225" s="835"/>
      <c r="O225" s="48">
        <f>IF(t&lt;Tnet,'2027'!Resal+('2027'!Salim-'2027'!Resal)*(1-EXP(('2027'!Tnet-t)/('2027'!Tau_j))),Resal+(Salim-Resal)*(1-EXP((Tnet-t)/(Tau_j))))*Salcycl</f>
        <v>1.550015176670063E-2</v>
      </c>
      <c r="P225" s="165">
        <f>(INDEX(Models!$BJ225:$BT225,,T225)*(1-R225)+INDEX(Models!$BJ225:$BT225,,T225+1)*R225-ERP_i)*Q225*Ramure*Pc/MaxiM</f>
        <v>4.3347584535109284E-4</v>
      </c>
      <c r="Q225" s="301">
        <f t="shared" si="80"/>
        <v>0.5</v>
      </c>
      <c r="R225" s="173">
        <f t="shared" si="81"/>
        <v>0.43281208062299736</v>
      </c>
      <c r="S225" s="801">
        <f t="shared" si="82"/>
        <v>3</v>
      </c>
      <c r="T225" s="172">
        <f t="shared" si="83"/>
        <v>9</v>
      </c>
      <c r="U225" s="247">
        <f t="shared" si="84"/>
        <v>3.4328120806229974</v>
      </c>
      <c r="V225" s="378">
        <f t="shared" si="85"/>
        <v>226.44643387317191</v>
      </c>
      <c r="W225" s="397">
        <f t="shared" si="86"/>
        <v>194.38774610021494</v>
      </c>
      <c r="X225" s="153">
        <f t="shared" si="87"/>
        <v>46963</v>
      </c>
      <c r="Y225" s="380">
        <f t="shared" si="88"/>
        <v>186.9333860089362</v>
      </c>
      <c r="Z225" s="380">
        <f t="shared" si="89"/>
        <v>193.54486471424624</v>
      </c>
      <c r="AA225" s="381">
        <f t="shared" si="90"/>
        <v>204.43159206216347</v>
      </c>
      <c r="AB225" s="193">
        <f t="shared" si="91"/>
        <v>46963</v>
      </c>
      <c r="AC225" s="119">
        <f>IF(OR(t&lt;Tnet,NoTnet),'2027'!Resal_s+('2027'!Salim-'2027'!Resal_s)*(1-EXP(('2027'!Tnet_s-t)/'2027'!Tau_j)),Resal_s+(Salim-Resal_s)*(1-EXP((Tnet_s-t)/Tau_j)))*Salcycl</f>
        <v>5.3253644596216884E-2</v>
      </c>
      <c r="AD225" s="227">
        <f>(INDEX(Models!$BJ225:$BT225,,AH225)*(1-AF225)+INDEX(Models!$BJ225:$BT225,,AH225+1)*AF225-ERP_i)*AE225*Ramure*Pc/MaxiM</f>
        <v>4.3347584535109284E-4</v>
      </c>
      <c r="AE225" s="301">
        <f t="shared" si="92"/>
        <v>0.5</v>
      </c>
      <c r="AF225" s="173">
        <f t="shared" si="93"/>
        <v>0.43281208062299736</v>
      </c>
      <c r="AG225" s="801">
        <f t="shared" si="99"/>
        <v>3</v>
      </c>
      <c r="AH225" s="172">
        <f t="shared" si="94"/>
        <v>9</v>
      </c>
      <c r="AI225" s="221">
        <f t="shared" si="95"/>
        <v>3.4328120806229974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46964</v>
      </c>
      <c r="B226" s="406">
        <f>'2027'!Wh/'2027'!Env_an*'2028'!Env_an</f>
        <v>222.44887238387412</v>
      </c>
      <c r="C226" s="831"/>
      <c r="D226" s="388">
        <f t="shared" si="77"/>
        <v>230.31961924798077</v>
      </c>
      <c r="E226" s="380">
        <f t="shared" si="75"/>
        <v>233.96361410515954</v>
      </c>
      <c r="F226" s="380">
        <f t="shared" si="78"/>
        <v>234.0645247917991</v>
      </c>
      <c r="G226" s="110">
        <f t="shared" si="76"/>
        <v>0.98481553449528758</v>
      </c>
      <c r="H226" s="409" t="b">
        <f>Wh_hp&gt;='2027'!Maxi_hp</f>
        <v>0</v>
      </c>
      <c r="I226" s="385">
        <f>IF(H226,Wh_hp,'2027'!Maxi_hp)</f>
        <v>234.06652052001985</v>
      </c>
      <c r="J226" s="85">
        <f>IF(H226,An,'2027'!An_max)</f>
        <v>2022</v>
      </c>
      <c r="K226" s="193">
        <f t="shared" si="79"/>
        <v>46964</v>
      </c>
      <c r="L226" s="143">
        <f>IF(t&lt;Tvie,1-EXP((T0-t)*PertePVj)+'2027'!Pspv,1-EXP((T0-t)*PertePVj)+Pspv)</f>
        <v>3.4173149859336838E-2</v>
      </c>
      <c r="M226" s="835"/>
      <c r="N226" s="835"/>
      <c r="O226" s="48">
        <f>IF(t&lt;Tnet,'2027'!Resal+('2027'!Salim-'2027'!Resal)*(1-EXP(('2027'!Tnet-t)/('2027'!Tau_j))),Resal+(Salim-Resal)*(1-EXP((Tnet-t)/(Tau_j))))*Salcycl</f>
        <v>1.5575049441409741E-2</v>
      </c>
      <c r="P226" s="165">
        <f>(INDEX(Models!$BJ226:$BT226,,T226)*(1-R226)+INDEX(Models!$BJ226:$BT226,,T226+1)*R226-ERP_i)*Q226*Ramure*Pc/MaxiM</f>
        <v>4.4067664317465051E-4</v>
      </c>
      <c r="Q226" s="301">
        <f t="shared" si="80"/>
        <v>0.5</v>
      </c>
      <c r="R226" s="173">
        <f t="shared" si="81"/>
        <v>0.43485155168847056</v>
      </c>
      <c r="S226" s="801">
        <f t="shared" si="82"/>
        <v>3</v>
      </c>
      <c r="T226" s="172">
        <f t="shared" si="83"/>
        <v>9</v>
      </c>
      <c r="U226" s="247">
        <f t="shared" si="84"/>
        <v>3.4348515516884706</v>
      </c>
      <c r="V226" s="378">
        <f t="shared" si="85"/>
        <v>225.8765612042948</v>
      </c>
      <c r="W226" s="397">
        <f t="shared" si="86"/>
        <v>222.44887238387412</v>
      </c>
      <c r="X226" s="153">
        <f t="shared" si="87"/>
        <v>46964</v>
      </c>
      <c r="Y226" s="380">
        <f t="shared" si="88"/>
        <v>213.92719196106336</v>
      </c>
      <c r="Z226" s="380">
        <f t="shared" si="89"/>
        <v>221.496422396941</v>
      </c>
      <c r="AA226" s="381">
        <f t="shared" si="90"/>
        <v>233.96361410515954</v>
      </c>
      <c r="AB226" s="193">
        <f t="shared" si="91"/>
        <v>46964</v>
      </c>
      <c r="AC226" s="119">
        <f>IF(OR(t&lt;Tnet,NoTnet),'2027'!Resal_s+('2027'!Salim-'2027'!Resal_s)*(1-EXP(('2027'!Tnet_s-t)/'2027'!Tau_j)),Resal_s+(Salim-Resal_s)*(1-EXP((Tnet_s-t)/Tau_j)))*Salcycl</f>
        <v>5.3286882902291402E-2</v>
      </c>
      <c r="AD226" s="227">
        <f>(INDEX(Models!$BJ226:$BT226,,AH226)*(1-AF226)+INDEX(Models!$BJ226:$BT226,,AH226+1)*AF226-ERP_i)*AE226*Ramure*Pc/MaxiM</f>
        <v>4.4067664317465051E-4</v>
      </c>
      <c r="AE226" s="301">
        <f t="shared" si="92"/>
        <v>0.5</v>
      </c>
      <c r="AF226" s="173">
        <f t="shared" si="93"/>
        <v>0.43485155168847056</v>
      </c>
      <c r="AG226" s="801">
        <f t="shared" si="99"/>
        <v>3</v>
      </c>
      <c r="AH226" s="172">
        <f t="shared" si="94"/>
        <v>9</v>
      </c>
      <c r="AI226" s="221">
        <f t="shared" si="95"/>
        <v>3.4348515516884706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46965</v>
      </c>
      <c r="B227" s="406">
        <f>'2027'!Wh/'2027'!Env_an*'2028'!Env_an</f>
        <v>221.36523320114867</v>
      </c>
      <c r="C227" s="831"/>
      <c r="D227" s="388">
        <f t="shared" si="77"/>
        <v>229.20077601336089</v>
      </c>
      <c r="E227" s="380">
        <f t="shared" si="75"/>
        <v>232.8447538335663</v>
      </c>
      <c r="F227" s="380">
        <f t="shared" si="78"/>
        <v>232.94642797617456</v>
      </c>
      <c r="G227" s="110">
        <f t="shared" si="76"/>
        <v>0.98253674241054179</v>
      </c>
      <c r="H227" s="409" t="b">
        <f>Wh_hp&gt;='2027'!Maxi_hp</f>
        <v>0</v>
      </c>
      <c r="I227" s="385">
        <f>IF(H227,Wh_hp,'2027'!Maxi_hp)</f>
        <v>232.94874797360882</v>
      </c>
      <c r="J227" s="85">
        <f>IF(H227,An,'2027'!An_max)</f>
        <v>2022</v>
      </c>
      <c r="K227" s="193">
        <f t="shared" si="79"/>
        <v>46965</v>
      </c>
      <c r="L227" s="143">
        <f>IF(t&lt;Tvie,1-EXP((T0-t)*PertePVj)+'2027'!Pspv,1-EXP((T0-t)*PertePVj)+Pspv)</f>
        <v>3.4186371217850842E-2</v>
      </c>
      <c r="M227" s="835"/>
      <c r="N227" s="835"/>
      <c r="O227" s="48">
        <f>IF(t&lt;Tnet,'2027'!Resal+('2027'!Salim-'2027'!Resal)*(1-EXP(('2027'!Tnet-t)/('2027'!Tau_j))),Resal+(Salim-Resal)*(1-EXP((Tnet-t)/(Tau_j))))*Salcycl</f>
        <v>1.5649817143013899E-2</v>
      </c>
      <c r="P227" s="165">
        <f>(INDEX(Models!$BJ227:$BT227,,T227)*(1-R227)+INDEX(Models!$BJ227:$BT227,,T227+1)*R227-ERP_i)*Q227*Ramure*Pc/MaxiM</f>
        <v>4.4763031209541084E-4</v>
      </c>
      <c r="Q227" s="301">
        <f t="shared" si="80"/>
        <v>0.5</v>
      </c>
      <c r="R227" s="173">
        <f t="shared" si="81"/>
        <v>0.43682660641713955</v>
      </c>
      <c r="S227" s="801">
        <f t="shared" si="82"/>
        <v>3</v>
      </c>
      <c r="T227" s="172">
        <f t="shared" si="83"/>
        <v>9</v>
      </c>
      <c r="U227" s="247">
        <f t="shared" si="84"/>
        <v>3.4368266064171396</v>
      </c>
      <c r="V227" s="378">
        <f t="shared" si="85"/>
        <v>225.29718439703237</v>
      </c>
      <c r="W227" s="397">
        <f t="shared" si="86"/>
        <v>221.36523320114867</v>
      </c>
      <c r="X227" s="153">
        <f t="shared" si="87"/>
        <v>46965</v>
      </c>
      <c r="Y227" s="380">
        <f t="shared" si="88"/>
        <v>212.89380466166156</v>
      </c>
      <c r="Z227" s="380">
        <f t="shared" si="89"/>
        <v>220.42948899997592</v>
      </c>
      <c r="AA227" s="381">
        <f t="shared" si="90"/>
        <v>232.8447538335663</v>
      </c>
      <c r="AB227" s="193">
        <f t="shared" si="91"/>
        <v>46965</v>
      </c>
      <c r="AC227" s="119">
        <f>IF(OR(t&lt;Tnet,NoTnet),'2027'!Resal_s+('2027'!Salim-'2027'!Resal_s)*(1-EXP(('2027'!Tnet_s-t)/'2027'!Tau_j)),Resal_s+(Salim-Resal_s)*(1-EXP((Tnet_s-t)/Tau_j)))*Salcycl</f>
        <v>5.3319925096807747E-2</v>
      </c>
      <c r="AD227" s="227">
        <f>(INDEX(Models!$BJ227:$BT227,,AH227)*(1-AF227)+INDEX(Models!$BJ227:$BT227,,AH227+1)*AF227-ERP_i)*AE227*Ramure*Pc/MaxiM</f>
        <v>4.4763031209541084E-4</v>
      </c>
      <c r="AE227" s="301">
        <f t="shared" si="92"/>
        <v>0.5</v>
      </c>
      <c r="AF227" s="173">
        <f t="shared" si="93"/>
        <v>0.43682660641713955</v>
      </c>
      <c r="AG227" s="801">
        <f t="shared" si="99"/>
        <v>3</v>
      </c>
      <c r="AH227" s="172">
        <f t="shared" si="94"/>
        <v>9</v>
      </c>
      <c r="AI227" s="221">
        <f t="shared" si="95"/>
        <v>3.4368266064171396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46966</v>
      </c>
      <c r="B228" s="406">
        <f>'2027'!Wh/'2027'!Env_an*'2028'!Env_an</f>
        <v>221.41831874140871</v>
      </c>
      <c r="C228" s="831"/>
      <c r="D228" s="388">
        <f t="shared" si="77"/>
        <v>229.25887895467949</v>
      </c>
      <c r="E228" s="380">
        <f t="shared" si="75"/>
        <v>232.92144213809266</v>
      </c>
      <c r="F228" s="380">
        <f t="shared" si="78"/>
        <v>233.02509952335672</v>
      </c>
      <c r="G228" s="110">
        <f t="shared" si="76"/>
        <v>0.98534948883724083</v>
      </c>
      <c r="H228" s="409" t="b">
        <f>Wh_hp&gt;='2027'!Maxi_hp</f>
        <v>0</v>
      </c>
      <c r="I228" s="385">
        <f>IF(H228,Wh_hp,'2027'!Maxi_hp)</f>
        <v>233.02707544021914</v>
      </c>
      <c r="J228" s="85">
        <f>IF(H228,An,'2027'!An_max)</f>
        <v>2022</v>
      </c>
      <c r="K228" s="193">
        <f t="shared" si="79"/>
        <v>46966</v>
      </c>
      <c r="L228" s="143">
        <f>IF(t&lt;Tvie,1-EXP((T0-t)*PertePVj)+'2027'!Pspv,1-EXP((T0-t)*PertePVj)+Pspv)</f>
        <v>3.4199592395375511E-2</v>
      </c>
      <c r="M228" s="835"/>
      <c r="N228" s="835"/>
      <c r="O228" s="48">
        <f>IF(t&lt;Tnet,'2027'!Resal+('2027'!Salim-'2027'!Resal)*(1-EXP(('2027'!Tnet-t)/('2027'!Tau_j))),Resal+(Salim-Resal)*(1-EXP((Tnet-t)/(Tau_j))))*Salcycl</f>
        <v>1.5724456923299237E-2</v>
      </c>
      <c r="P228" s="165">
        <f>(INDEX(Models!$BJ228:$BT228,,T228)*(1-R228)+INDEX(Models!$BJ228:$BT228,,T228+1)*R228-ERP_i)*Q228*Ramure*Pc/MaxiM</f>
        <v>4.5433642676930404E-4</v>
      </c>
      <c r="Q228" s="301">
        <f t="shared" si="80"/>
        <v>0.5</v>
      </c>
      <c r="R228" s="173">
        <f t="shared" si="81"/>
        <v>0.4387386595017766</v>
      </c>
      <c r="S228" s="801">
        <f t="shared" si="82"/>
        <v>3</v>
      </c>
      <c r="T228" s="172">
        <f t="shared" si="83"/>
        <v>9</v>
      </c>
      <c r="U228" s="247">
        <f t="shared" si="84"/>
        <v>3.4387386595017766</v>
      </c>
      <c r="V228" s="378">
        <f t="shared" si="85"/>
        <v>224.7083052310229</v>
      </c>
      <c r="W228" s="397">
        <f t="shared" si="86"/>
        <v>221.41831874140871</v>
      </c>
      <c r="X228" s="153">
        <f t="shared" si="87"/>
        <v>46966</v>
      </c>
      <c r="Y228" s="380">
        <f t="shared" si="88"/>
        <v>212.95361588916248</v>
      </c>
      <c r="Z228" s="380">
        <f t="shared" si="89"/>
        <v>220.49443571610146</v>
      </c>
      <c r="AA228" s="381">
        <f t="shared" si="90"/>
        <v>232.92144213809266</v>
      </c>
      <c r="AB228" s="193">
        <f t="shared" si="91"/>
        <v>46966</v>
      </c>
      <c r="AC228" s="119">
        <f>IF(OR(t&lt;Tnet,NoTnet),'2027'!Resal_s+('2027'!Salim-'2027'!Resal_s)*(1-EXP(('2027'!Tnet_s-t)/'2027'!Tau_j)),Resal_s+(Salim-Resal_s)*(1-EXP((Tnet_s-t)/Tau_j)))*Salcycl</f>
        <v>5.3352779838206424E-2</v>
      </c>
      <c r="AD228" s="227">
        <f>(INDEX(Models!$BJ228:$BT228,,AH228)*(1-AF228)+INDEX(Models!$BJ228:$BT228,,AH228+1)*AF228-ERP_i)*AE228*Ramure*Pc/MaxiM</f>
        <v>4.5433642676930404E-4</v>
      </c>
      <c r="AE228" s="301">
        <f t="shared" si="92"/>
        <v>0.5</v>
      </c>
      <c r="AF228" s="173">
        <f t="shared" si="93"/>
        <v>0.4387386595017766</v>
      </c>
      <c r="AG228" s="801">
        <f t="shared" si="99"/>
        <v>3</v>
      </c>
      <c r="AH228" s="172">
        <f t="shared" si="94"/>
        <v>9</v>
      </c>
      <c r="AI228" s="221">
        <f t="shared" si="95"/>
        <v>3.4387386595017766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46967</v>
      </c>
      <c r="B229" s="406">
        <f>'2027'!Wh/'2027'!Env_an*'2028'!Env_an</f>
        <v>210.2276824377669</v>
      </c>
      <c r="C229" s="831"/>
      <c r="D229" s="388">
        <f t="shared" si="77"/>
        <v>217.67495505516231</v>
      </c>
      <c r="E229" s="380">
        <f t="shared" si="75"/>
        <v>221.16920073541408</v>
      </c>
      <c r="F229" s="380">
        <f t="shared" si="78"/>
        <v>221.2621348498426</v>
      </c>
      <c r="G229" s="110">
        <f t="shared" si="76"/>
        <v>0.93801783208170442</v>
      </c>
      <c r="H229" s="409" t="b">
        <f>Wh_hp&gt;='2027'!Maxi_hp</f>
        <v>0</v>
      </c>
      <c r="I229" s="385">
        <f>IF(H229,Wh_hp,'2027'!Maxi_hp)</f>
        <v>221.2701847087576</v>
      </c>
      <c r="J229" s="85">
        <f>IF(H229,An,'2027'!An_max)</f>
        <v>2022</v>
      </c>
      <c r="K229" s="193">
        <f t="shared" si="79"/>
        <v>46967</v>
      </c>
      <c r="L229" s="143">
        <f>IF(t&lt;Tvie,1-EXP((T0-t)*PertePVj)+'2027'!Pspv,1-EXP((T0-t)*PertePVj)+Pspv)</f>
        <v>3.4212813391913399E-2</v>
      </c>
      <c r="M229" s="835"/>
      <c r="N229" s="835"/>
      <c r="O229" s="48">
        <f>IF(t&lt;Tnet,'2027'!Resal+('2027'!Salim-'2027'!Resal)*(1-EXP(('2027'!Tnet-t)/('2027'!Tau_j))),Resal+(Salim-Resal)*(1-EXP((Tnet-t)/(Tau_j))))*Salcycl</f>
        <v>1.5798970510509488E-2</v>
      </c>
      <c r="P229" s="165">
        <f>(INDEX(Models!$BJ229:$BT229,,T229)*(1-R229)+INDEX(Models!$BJ229:$BT229,,T229+1)*R229-ERP_i)*Q229*Ramure*Pc/MaxiM</f>
        <v>4.6079445303029892E-4</v>
      </c>
      <c r="Q229" s="301">
        <f t="shared" si="80"/>
        <v>0.5</v>
      </c>
      <c r="R229" s="173">
        <f t="shared" si="81"/>
        <v>0.44058913982449965</v>
      </c>
      <c r="S229" s="801">
        <f t="shared" si="82"/>
        <v>3</v>
      </c>
      <c r="T229" s="172">
        <f t="shared" si="83"/>
        <v>9</v>
      </c>
      <c r="U229" s="247">
        <f t="shared" si="84"/>
        <v>3.4405891398244997</v>
      </c>
      <c r="V229" s="378">
        <f t="shared" si="85"/>
        <v>224.109925568584</v>
      </c>
      <c r="W229" s="397">
        <f t="shared" si="86"/>
        <v>210.2276824377669</v>
      </c>
      <c r="X229" s="153">
        <f t="shared" si="87"/>
        <v>46967</v>
      </c>
      <c r="Y229" s="380">
        <f t="shared" si="88"/>
        <v>202.19911998762183</v>
      </c>
      <c r="Z229" s="380">
        <f t="shared" si="89"/>
        <v>209.36198242364298</v>
      </c>
      <c r="AA229" s="381">
        <f t="shared" si="90"/>
        <v>221.16920073541408</v>
      </c>
      <c r="AB229" s="193">
        <f t="shared" si="91"/>
        <v>46967</v>
      </c>
      <c r="AC229" s="119">
        <f>IF(OR(t&lt;Tnet,NoTnet),'2027'!Resal_s+('2027'!Salim-'2027'!Resal_s)*(1-EXP(('2027'!Tnet_s-t)/'2027'!Tau_j)),Resal_s+(Salim-Resal_s)*(1-EXP((Tnet_s-t)/Tau_j)))*Salcycl</f>
        <v>5.3385454541186914E-2</v>
      </c>
      <c r="AD229" s="227">
        <f>(INDEX(Models!$BJ229:$BT229,,AH229)*(1-AF229)+INDEX(Models!$BJ229:$BT229,,AH229+1)*AF229-ERP_i)*AE229*Ramure*Pc/MaxiM</f>
        <v>4.6079445303029892E-4</v>
      </c>
      <c r="AE229" s="301">
        <f t="shared" si="92"/>
        <v>0.5</v>
      </c>
      <c r="AF229" s="173">
        <f t="shared" si="93"/>
        <v>0.44058913982449965</v>
      </c>
      <c r="AG229" s="801">
        <f t="shared" si="99"/>
        <v>3</v>
      </c>
      <c r="AH229" s="172">
        <f t="shared" si="94"/>
        <v>9</v>
      </c>
      <c r="AI229" s="221">
        <f t="shared" si="95"/>
        <v>3.4405891398244997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46968</v>
      </c>
      <c r="B230" s="406">
        <f>'2027'!Wh/'2027'!Env_an*'2028'!Env_an</f>
        <v>199.50282751430433</v>
      </c>
      <c r="C230" s="831"/>
      <c r="D230" s="388">
        <f t="shared" si="77"/>
        <v>206.57300215230836</v>
      </c>
      <c r="E230" s="380">
        <f t="shared" si="75"/>
        <v>209.90489801969926</v>
      </c>
      <c r="F230" s="380">
        <f t="shared" si="78"/>
        <v>209.98792024028734</v>
      </c>
      <c r="G230" s="110">
        <f t="shared" si="76"/>
        <v>0.89255795382162628</v>
      </c>
      <c r="H230" s="409" t="b">
        <f>Wh_hp&gt;='2027'!Maxi_hp</f>
        <v>0</v>
      </c>
      <c r="I230" s="385">
        <f>IF(H230,Wh_hp,'2027'!Maxi_hp)</f>
        <v>210.00134100981151</v>
      </c>
      <c r="J230" s="85">
        <f>IF(H230,An,'2027'!An_max)</f>
        <v>2022</v>
      </c>
      <c r="K230" s="193">
        <f t="shared" si="79"/>
        <v>46968</v>
      </c>
      <c r="L230" s="143">
        <f>IF(t&lt;Tvie,1-EXP((T0-t)*PertePVj)+'2027'!Pspv,1-EXP((T0-t)*PertePVj)+Pspv)</f>
        <v>3.4226034207466838E-2</v>
      </c>
      <c r="M230" s="835"/>
      <c r="N230" s="835"/>
      <c r="O230" s="48">
        <f>IF(t&lt;Tnet,'2027'!Resal+('2027'!Salim-'2027'!Resal)*(1-EXP(('2027'!Tnet-t)/('2027'!Tau_j))),Resal+(Salim-Resal)*(1-EXP((Tnet-t)/(Tau_j))))*Salcycl</f>
        <v>1.5873359310930521E-2</v>
      </c>
      <c r="P230" s="165">
        <f>(INDEX(Models!$BJ230:$BT230,,T230)*(1-R230)+INDEX(Models!$BJ230:$BT230,,T230+1)*R230-ERP_i)*Q230*Ramure*Pc/MaxiM</f>
        <v>4.670037403089622E-4</v>
      </c>
      <c r="Q230" s="301">
        <f t="shared" si="80"/>
        <v>0.5</v>
      </c>
      <c r="R230" s="173">
        <f t="shared" si="81"/>
        <v>0.44237948635917634</v>
      </c>
      <c r="S230" s="801">
        <f t="shared" si="82"/>
        <v>3</v>
      </c>
      <c r="T230" s="172">
        <f t="shared" si="83"/>
        <v>9</v>
      </c>
      <c r="U230" s="247">
        <f t="shared" si="84"/>
        <v>3.4423794863591763</v>
      </c>
      <c r="V230" s="378">
        <f t="shared" si="85"/>
        <v>223.50204735208035</v>
      </c>
      <c r="W230" s="397">
        <f t="shared" si="86"/>
        <v>199.50282751430433</v>
      </c>
      <c r="X230" s="153">
        <f t="shared" si="87"/>
        <v>46968</v>
      </c>
      <c r="Y230" s="380">
        <f t="shared" si="88"/>
        <v>191.89176124537215</v>
      </c>
      <c r="Z230" s="380">
        <f t="shared" si="89"/>
        <v>198.6922075373009</v>
      </c>
      <c r="AA230" s="381">
        <f t="shared" si="90"/>
        <v>209.90489801969926</v>
      </c>
      <c r="AB230" s="193">
        <f t="shared" si="91"/>
        <v>46968</v>
      </c>
      <c r="AC230" s="119">
        <f>IF(OR(t&lt;Tnet,NoTnet),'2027'!Resal_s+('2027'!Salim-'2027'!Resal_s)*(1-EXP(('2027'!Tnet_s-t)/'2027'!Tau_j)),Resal_s+(Salim-Resal_s)*(1-EXP((Tnet_s-t)/Tau_j)))*Salcycl</f>
        <v>5.3417955408291959E-2</v>
      </c>
      <c r="AD230" s="227">
        <f>(INDEX(Models!$BJ230:$BT230,,AH230)*(1-AF230)+INDEX(Models!$BJ230:$BT230,,AH230+1)*AF230-ERP_i)*AE230*Ramure*Pc/MaxiM</f>
        <v>4.670037403089622E-4</v>
      </c>
      <c r="AE230" s="301">
        <f t="shared" si="92"/>
        <v>0.5</v>
      </c>
      <c r="AF230" s="173">
        <f t="shared" si="93"/>
        <v>0.44237948635917634</v>
      </c>
      <c r="AG230" s="801">
        <f t="shared" si="99"/>
        <v>3</v>
      </c>
      <c r="AH230" s="172">
        <f t="shared" si="94"/>
        <v>9</v>
      </c>
      <c r="AI230" s="221">
        <f t="shared" si="95"/>
        <v>3.4423794863591763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46969</v>
      </c>
      <c r="B231" s="406">
        <f>'2027'!Wh/'2027'!Env_an*'2028'!Env_an</f>
        <v>185.61910668110662</v>
      </c>
      <c r="C231" s="831"/>
      <c r="D231" s="388">
        <f t="shared" si="77"/>
        <v>192.19988761372409</v>
      </c>
      <c r="E231" s="380">
        <f t="shared" si="75"/>
        <v>195.3146929796506</v>
      </c>
      <c r="F231" s="380">
        <f t="shared" si="78"/>
        <v>195.3850306292066</v>
      </c>
      <c r="G231" s="110">
        <f t="shared" si="76"/>
        <v>0.83270925662878392</v>
      </c>
      <c r="H231" s="409" t="b">
        <f>Wh_hp&gt;='2027'!Maxi_hp</f>
        <v>0</v>
      </c>
      <c r="I231" s="385">
        <f>IF(H231,Wh_hp,'2027'!Maxi_hp)</f>
        <v>195.40472194340191</v>
      </c>
      <c r="J231" s="85">
        <f>IF(H231,An,'2027'!An_max)</f>
        <v>2022</v>
      </c>
      <c r="K231" s="193">
        <f t="shared" si="79"/>
        <v>46969</v>
      </c>
      <c r="L231" s="143">
        <f>IF(t&lt;Tvie,1-EXP((T0-t)*PertePVj)+'2027'!Pspv,1-EXP((T0-t)*PertePVj)+Pspv)</f>
        <v>3.4239254842038602E-2</v>
      </c>
      <c r="M231" s="835"/>
      <c r="N231" s="835"/>
      <c r="O231" s="48">
        <f>IF(t&lt;Tnet,'2027'!Resal+('2027'!Salim-'2027'!Resal)*(1-EXP(('2027'!Tnet-t)/('2027'!Tau_j))),Resal+(Salim-Resal)*(1-EXP((Tnet-t)/(Tau_j))))*Salcycl</f>
        <v>1.5947624412726777E-2</v>
      </c>
      <c r="P231" s="165">
        <f>(INDEX(Models!$BJ231:$BT231,,T231)*(1-R231)+INDEX(Models!$BJ231:$BT231,,T231+1)*R231-ERP_i)*Q231*Ramure*Pc/MaxiM</f>
        <v>4.7296351540333776E-4</v>
      </c>
      <c r="Q231" s="301">
        <f t="shared" si="80"/>
        <v>0.5</v>
      </c>
      <c r="R231" s="173">
        <f t="shared" si="81"/>
        <v>0.44411114433281851</v>
      </c>
      <c r="S231" s="801">
        <f t="shared" si="82"/>
        <v>3</v>
      </c>
      <c r="T231" s="172">
        <f t="shared" si="83"/>
        <v>9</v>
      </c>
      <c r="U231" s="247">
        <f t="shared" si="84"/>
        <v>3.4441111443328185</v>
      </c>
      <c r="V231" s="378">
        <f t="shared" si="85"/>
        <v>222.8846725936223</v>
      </c>
      <c r="W231" s="397">
        <f t="shared" si="86"/>
        <v>185.61910668110662</v>
      </c>
      <c r="X231" s="153">
        <f t="shared" si="87"/>
        <v>46969</v>
      </c>
      <c r="Y231" s="380">
        <f t="shared" si="88"/>
        <v>178.54508197754936</v>
      </c>
      <c r="Z231" s="380">
        <f t="shared" si="89"/>
        <v>184.87506649314705</v>
      </c>
      <c r="AA231" s="381">
        <f t="shared" si="90"/>
        <v>195.3146929796506</v>
      </c>
      <c r="AB231" s="193">
        <f t="shared" si="91"/>
        <v>46969</v>
      </c>
      <c r="AC231" s="119">
        <f>IF(OR(t&lt;Tnet,NoTnet),'2027'!Resal_s+('2027'!Salim-'2027'!Resal_s)*(1-EXP(('2027'!Tnet_s-t)/'2027'!Tau_j)),Resal_s+(Salim-Resal_s)*(1-EXP((Tnet_s-t)/Tau_j)))*Salcycl</f>
        <v>5.3450287468087436E-2</v>
      </c>
      <c r="AD231" s="227">
        <f>(INDEX(Models!$BJ231:$BT231,,AH231)*(1-AF231)+INDEX(Models!$BJ231:$BT231,,AH231+1)*AF231-ERP_i)*AE231*Ramure*Pc/MaxiM</f>
        <v>4.7296351540333776E-4</v>
      </c>
      <c r="AE231" s="301">
        <f t="shared" si="92"/>
        <v>0.5</v>
      </c>
      <c r="AF231" s="173">
        <f t="shared" si="93"/>
        <v>0.44411114433281851</v>
      </c>
      <c r="AG231" s="801">
        <f t="shared" si="99"/>
        <v>3</v>
      </c>
      <c r="AH231" s="172">
        <f t="shared" si="94"/>
        <v>9</v>
      </c>
      <c r="AI231" s="221">
        <f t="shared" si="95"/>
        <v>3.4441111443328185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46970</v>
      </c>
      <c r="B232" s="406">
        <f>'2027'!Wh/'2027'!Env_an*'2028'!Env_an</f>
        <v>199.09149152118761</v>
      </c>
      <c r="C232" s="831"/>
      <c r="D232" s="388">
        <f t="shared" si="77"/>
        <v>206.15273291239623</v>
      </c>
      <c r="E232" s="380">
        <f t="shared" si="75"/>
        <v>209.50944432820916</v>
      </c>
      <c r="F232" s="380">
        <f t="shared" si="78"/>
        <v>209.59483270001857</v>
      </c>
      <c r="G232" s="110">
        <f t="shared" si="76"/>
        <v>0.89570441323653482</v>
      </c>
      <c r="H232" s="409" t="b">
        <f>Wh_hp&gt;='2027'!Maxi_hp</f>
        <v>0</v>
      </c>
      <c r="I232" s="385">
        <f>IF(H232,Wh_hp,'2027'!Maxi_hp)</f>
        <v>209.60816001041005</v>
      </c>
      <c r="J232" s="85">
        <f>IF(H232,An,'2027'!An_max)</f>
        <v>2022</v>
      </c>
      <c r="K232" s="193">
        <f t="shared" si="79"/>
        <v>46970</v>
      </c>
      <c r="L232" s="143">
        <f>IF(t&lt;Tvie,1-EXP((T0-t)*PertePVj)+'2027'!Pspv,1-EXP((T0-t)*PertePVj)+Pspv)</f>
        <v>3.4252475295630802E-2</v>
      </c>
      <c r="M232" s="835"/>
      <c r="N232" s="835"/>
      <c r="O232" s="48">
        <f>IF(t&lt;Tnet,'2027'!Resal+('2027'!Salim-'2027'!Resal)*(1-EXP(('2027'!Tnet-t)/('2027'!Tau_j))),Resal+(Salim-Resal)*(1-EXP((Tnet-t)/(Tau_j))))*Salcycl</f>
        <v>1.6021766591841197E-2</v>
      </c>
      <c r="P232" s="165">
        <f>(INDEX(Models!$BJ232:$BT232,,T232)*(1-R232)+INDEX(Models!$BJ232:$BT232,,T232+1)*R232-ERP_i)*Q232*Ramure*Pc/MaxiM</f>
        <v>4.7867287747084476E-4</v>
      </c>
      <c r="Q232" s="301">
        <f t="shared" si="80"/>
        <v>0.5</v>
      </c>
      <c r="R232" s="173">
        <f t="shared" si="81"/>
        <v>0.44578556164235028</v>
      </c>
      <c r="S232" s="801">
        <f t="shared" si="82"/>
        <v>3</v>
      </c>
      <c r="T232" s="172">
        <f t="shared" si="83"/>
        <v>9</v>
      </c>
      <c r="U232" s="247">
        <f t="shared" si="84"/>
        <v>3.4457855616423503</v>
      </c>
      <c r="V232" s="378">
        <f t="shared" si="85"/>
        <v>222.25780339752291</v>
      </c>
      <c r="W232" s="397">
        <f t="shared" si="86"/>
        <v>199.09149152118761</v>
      </c>
      <c r="X232" s="153">
        <f t="shared" si="87"/>
        <v>46970</v>
      </c>
      <c r="Y232" s="380">
        <f t="shared" si="88"/>
        <v>191.51194961716533</v>
      </c>
      <c r="Z232" s="380">
        <f t="shared" si="89"/>
        <v>198.30436497964641</v>
      </c>
      <c r="AA232" s="381">
        <f t="shared" si="90"/>
        <v>209.50944432820916</v>
      </c>
      <c r="AB232" s="193">
        <f t="shared" si="91"/>
        <v>46970</v>
      </c>
      <c r="AC232" s="119">
        <f>IF(OR(t&lt;Tnet,NoTnet),'2027'!Resal_s+('2027'!Salim-'2027'!Resal_s)*(1-EXP(('2027'!Tnet_s-t)/'2027'!Tau_j)),Resal_s+(Salim-Resal_s)*(1-EXP((Tnet_s-t)/Tau_j)))*Salcycl</f>
        <v>5.3482454619130711E-2</v>
      </c>
      <c r="AD232" s="227">
        <f>(INDEX(Models!$BJ232:$BT232,,AH232)*(1-AF232)+INDEX(Models!$BJ232:$BT232,,AH232+1)*AF232-ERP_i)*AE232*Ramure*Pc/MaxiM</f>
        <v>4.7867287747084476E-4</v>
      </c>
      <c r="AE232" s="301">
        <f t="shared" si="92"/>
        <v>0.5</v>
      </c>
      <c r="AF232" s="173">
        <f t="shared" si="93"/>
        <v>0.44578556164235028</v>
      </c>
      <c r="AG232" s="801">
        <f t="shared" si="99"/>
        <v>3</v>
      </c>
      <c r="AH232" s="172">
        <f t="shared" si="94"/>
        <v>9</v>
      </c>
      <c r="AI232" s="221">
        <f t="shared" si="95"/>
        <v>3.4457855616423503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46971</v>
      </c>
      <c r="B233" s="406">
        <f>'2027'!Wh/'2027'!Env_an*'2028'!Env_an</f>
        <v>212.75773564346346</v>
      </c>
      <c r="C233" s="831"/>
      <c r="D233" s="388">
        <f t="shared" si="77"/>
        <v>220.30669788483067</v>
      </c>
      <c r="E233" s="380">
        <f t="shared" ref="E233:E296" si="100">Wh_pvt/(1-Psa)</f>
        <v>223.91071693938923</v>
      </c>
      <c r="F233" s="380">
        <f t="shared" si="78"/>
        <v>224.0129708145289</v>
      </c>
      <c r="G233" s="110">
        <f t="shared" ref="G233:G296" si="101">+Wh_hp/MaxiM</f>
        <v>0.95997375054129663</v>
      </c>
      <c r="H233" s="409" t="b">
        <f>Wh_hp&gt;='2027'!Maxi_hp</f>
        <v>0</v>
      </c>
      <c r="I233" s="385">
        <f>IF(H233,Wh_hp,'2027'!Maxi_hp)</f>
        <v>224.01849945723848</v>
      </c>
      <c r="J233" s="85">
        <f>IF(H233,An,'2027'!An_max)</f>
        <v>2022</v>
      </c>
      <c r="K233" s="193">
        <f t="shared" si="79"/>
        <v>46971</v>
      </c>
      <c r="L233" s="143">
        <f>IF(t&lt;Tvie,1-EXP((T0-t)*PertePVj)+'2027'!Pspv,1-EXP((T0-t)*PertePVj)+Pspv)</f>
        <v>3.4265695568246213E-2</v>
      </c>
      <c r="M233" s="835"/>
      <c r="N233" s="835"/>
      <c r="O233" s="48">
        <f>IF(t&lt;Tnet,'2027'!Resal+('2027'!Salim-'2027'!Resal)*(1-EXP(('2027'!Tnet-t)/('2027'!Tau_j))),Resal+(Salim-Resal)*(1-EXP((Tnet-t)/(Tau_j))))*Salcycl</f>
        <v>1.6095786319750623E-2</v>
      </c>
      <c r="P233" s="165">
        <f>(INDEX(Models!$BJ233:$BT233,,T233)*(1-R233)+INDEX(Models!$BJ233:$BT233,,T233+1)*R233-ERP_i)*Q233*Ramure*Pc/MaxiM</f>
        <v>4.8412833711054923E-4</v>
      </c>
      <c r="Q233" s="301">
        <f t="shared" si="80"/>
        <v>0.5</v>
      </c>
      <c r="R233" s="173">
        <f t="shared" si="81"/>
        <v>0.44740418552191397</v>
      </c>
      <c r="S233" s="801">
        <f t="shared" si="82"/>
        <v>3</v>
      </c>
      <c r="T233" s="172">
        <f t="shared" si="83"/>
        <v>9</v>
      </c>
      <c r="U233" s="247">
        <f t="shared" si="84"/>
        <v>3.447404185521914</v>
      </c>
      <c r="V233" s="378">
        <f t="shared" si="85"/>
        <v>221.62256733729021</v>
      </c>
      <c r="W233" s="397">
        <f t="shared" si="86"/>
        <v>212.75773564346346</v>
      </c>
      <c r="X233" s="153">
        <f t="shared" si="87"/>
        <v>46971</v>
      </c>
      <c r="Y233" s="380">
        <f t="shared" si="88"/>
        <v>204.6663868068801</v>
      </c>
      <c r="Z233" s="380">
        <f t="shared" si="89"/>
        <v>211.92825590606677</v>
      </c>
      <c r="AA233" s="381">
        <f t="shared" si="90"/>
        <v>223.91071693938923</v>
      </c>
      <c r="AB233" s="193">
        <f t="shared" si="91"/>
        <v>46971</v>
      </c>
      <c r="AC233" s="119">
        <f>IF(OR(t&lt;Tnet,NoTnet),'2027'!Resal_s+('2027'!Salim-'2027'!Resal_s)*(1-EXP(('2027'!Tnet_s-t)/'2027'!Tau_j)),Resal_s+(Salim-Resal_s)*(1-EXP((Tnet_s-t)/Tau_j)))*Salcycl</f>
        <v>5.3514459678881771E-2</v>
      </c>
      <c r="AD233" s="227">
        <f>(INDEX(Models!$BJ233:$BT233,,AH233)*(1-AF233)+INDEX(Models!$BJ233:$BT233,,AH233+1)*AF233-ERP_i)*AE233*Ramure*Pc/MaxiM</f>
        <v>4.8412833711054923E-4</v>
      </c>
      <c r="AE233" s="301">
        <f t="shared" si="92"/>
        <v>0.5</v>
      </c>
      <c r="AF233" s="173">
        <f t="shared" si="93"/>
        <v>0.44740418552191397</v>
      </c>
      <c r="AG233" s="801">
        <f t="shared" si="99"/>
        <v>3</v>
      </c>
      <c r="AH233" s="172">
        <f t="shared" si="94"/>
        <v>9</v>
      </c>
      <c r="AI233" s="221">
        <f t="shared" si="95"/>
        <v>3.447404185521914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46972</v>
      </c>
      <c r="B234" s="406">
        <f>'2027'!Wh/'2027'!Env_an*'2028'!Env_an</f>
        <v>216.48552776996621</v>
      </c>
      <c r="C234" s="831"/>
      <c r="D234" s="388">
        <f t="shared" si="77"/>
        <v>224.16982634058672</v>
      </c>
      <c r="E234" s="380">
        <f t="shared" si="100"/>
        <v>227.85415598926301</v>
      </c>
      <c r="F234" s="380">
        <f t="shared" si="78"/>
        <v>227.96243508736046</v>
      </c>
      <c r="G234" s="110">
        <f t="shared" si="101"/>
        <v>0.97964825421805657</v>
      </c>
      <c r="H234" s="409" t="b">
        <f>Wh_hp&gt;='2027'!Maxi_hp</f>
        <v>0</v>
      </c>
      <c r="I234" s="385">
        <f>IF(H234,Wh_hp,'2027'!Maxi_hp)</f>
        <v>227.96532559207185</v>
      </c>
      <c r="J234" s="85">
        <f>IF(H234,An,'2027'!An_max)</f>
        <v>2022</v>
      </c>
      <c r="K234" s="193">
        <f t="shared" si="79"/>
        <v>46972</v>
      </c>
      <c r="L234" s="143">
        <f>IF(t&lt;Tvie,1-EXP((T0-t)*PertePVj)+'2027'!Pspv,1-EXP((T0-t)*PertePVj)+Pspv)</f>
        <v>3.4278915659887166E-2</v>
      </c>
      <c r="M234" s="835"/>
      <c r="N234" s="835"/>
      <c r="O234" s="48">
        <f>IF(t&lt;Tnet,'2027'!Resal+('2027'!Salim-'2027'!Resal)*(1-EXP(('2027'!Tnet-t)/('2027'!Tau_j))),Resal+(Salim-Resal)*(1-EXP((Tnet-t)/(Tau_j))))*Salcycl</f>
        <v>1.6169683772851186E-2</v>
      </c>
      <c r="P234" s="165">
        <f>(INDEX(Models!$BJ234:$BT234,,T234)*(1-R234)+INDEX(Models!$BJ234:$BT234,,T234+1)*R234-ERP_i)*Q234*Ramure*Pc/MaxiM</f>
        <v>4.8919980462585591E-4</v>
      </c>
      <c r="Q234" s="301">
        <f t="shared" si="80"/>
        <v>0.5</v>
      </c>
      <c r="R234" s="173">
        <f t="shared" si="81"/>
        <v>0.44896845945483532</v>
      </c>
      <c r="S234" s="801">
        <f t="shared" si="82"/>
        <v>3</v>
      </c>
      <c r="T234" s="172">
        <f t="shared" si="83"/>
        <v>9</v>
      </c>
      <c r="U234" s="247">
        <f t="shared" si="84"/>
        <v>3.4489684594548353</v>
      </c>
      <c r="V234" s="378">
        <f t="shared" si="85"/>
        <v>220.97977352470247</v>
      </c>
      <c r="W234" s="397">
        <f t="shared" si="86"/>
        <v>216.48552776996621</v>
      </c>
      <c r="X234" s="153">
        <f t="shared" si="87"/>
        <v>46972</v>
      </c>
      <c r="Y234" s="380">
        <f t="shared" si="88"/>
        <v>208.26104300139613</v>
      </c>
      <c r="Z234" s="380">
        <f t="shared" si="89"/>
        <v>215.65340798549826</v>
      </c>
      <c r="AA234" s="381">
        <f t="shared" si="90"/>
        <v>227.85415598926301</v>
      </c>
      <c r="AB234" s="193">
        <f t="shared" si="91"/>
        <v>46972</v>
      </c>
      <c r="AC234" s="119">
        <f>IF(OR(t&lt;Tnet,NoTnet),'2027'!Resal_s+('2027'!Salim-'2027'!Resal_s)*(1-EXP(('2027'!Tnet_s-t)/'2027'!Tau_j)),Resal_s+(Salim-Resal_s)*(1-EXP((Tnet_s-t)/Tau_j)))*Salcycl</f>
        <v>5.35463044366839E-2</v>
      </c>
      <c r="AD234" s="227">
        <f>(INDEX(Models!$BJ234:$BT234,,AH234)*(1-AF234)+INDEX(Models!$BJ234:$BT234,,AH234+1)*AF234-ERP_i)*AE234*Ramure*Pc/MaxiM</f>
        <v>4.8919980462585591E-4</v>
      </c>
      <c r="AE234" s="301">
        <f t="shared" si="92"/>
        <v>0.5</v>
      </c>
      <c r="AF234" s="173">
        <f t="shared" si="93"/>
        <v>0.44896845945483532</v>
      </c>
      <c r="AG234" s="801">
        <f t="shared" si="99"/>
        <v>3</v>
      </c>
      <c r="AH234" s="172">
        <f t="shared" si="94"/>
        <v>9</v>
      </c>
      <c r="AI234" s="221">
        <f t="shared" si="95"/>
        <v>3.4489684594548353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46973</v>
      </c>
      <c r="B235" s="406">
        <f>'2027'!Wh/'2027'!Env_an*'2028'!Env_an</f>
        <v>206.31610786039877</v>
      </c>
      <c r="C235" s="831"/>
      <c r="D235" s="388">
        <f t="shared" si="77"/>
        <v>213.64236065561477</v>
      </c>
      <c r="E235" s="380">
        <f t="shared" si="100"/>
        <v>217.16995183015513</v>
      </c>
      <c r="F235" s="380">
        <f t="shared" si="78"/>
        <v>217.26755513418081</v>
      </c>
      <c r="G235" s="110">
        <f t="shared" si="101"/>
        <v>0.93635871885771793</v>
      </c>
      <c r="H235" s="409" t="b">
        <f>Wh_hp&gt;='2027'!Maxi_hp</f>
        <v>0</v>
      </c>
      <c r="I235" s="385">
        <f>IF(H235,Wh_hp,'2027'!Maxi_hp)</f>
        <v>217.27625624973561</v>
      </c>
      <c r="J235" s="85">
        <f>IF(H235,An,'2027'!An_max)</f>
        <v>2022</v>
      </c>
      <c r="K235" s="193">
        <f t="shared" si="79"/>
        <v>46973</v>
      </c>
      <c r="L235" s="143">
        <f>IF(t&lt;Tvie,1-EXP((T0-t)*PertePVj)+'2027'!Pspv,1-EXP((T0-t)*PertePVj)+Pspv)</f>
        <v>3.4292135570556104E-2</v>
      </c>
      <c r="M235" s="835"/>
      <c r="N235" s="835"/>
      <c r="O235" s="48">
        <f>IF(t&lt;Tnet,'2027'!Resal+('2027'!Salim-'2027'!Resal)*(1-EXP(('2027'!Tnet-t)/('2027'!Tau_j))),Resal+(Salim-Resal)*(1-EXP((Tnet-t)/(Tau_j))))*Salcycl</f>
        <v>1.6243458843234502E-2</v>
      </c>
      <c r="P235" s="165">
        <f>(INDEX(Models!$BJ235:$BT235,,T235)*(1-R235)+INDEX(Models!$BJ235:$BT235,,T235+1)*R235-ERP_i)*Q235*Ramure*Pc/MaxiM</f>
        <v>4.9412517488610982E-4</v>
      </c>
      <c r="Q235" s="301">
        <f t="shared" si="80"/>
        <v>0.5</v>
      </c>
      <c r="R235" s="173">
        <f t="shared" si="81"/>
        <v>0.45047982032346345</v>
      </c>
      <c r="S235" s="801">
        <f t="shared" si="82"/>
        <v>3</v>
      </c>
      <c r="T235" s="172">
        <f t="shared" si="83"/>
        <v>9</v>
      </c>
      <c r="U235" s="247">
        <f t="shared" si="84"/>
        <v>3.4504798203234635</v>
      </c>
      <c r="V235" s="378">
        <f t="shared" si="85"/>
        <v>220.32885168372462</v>
      </c>
      <c r="W235" s="397">
        <f t="shared" si="86"/>
        <v>206.31610786039877</v>
      </c>
      <c r="X235" s="153">
        <f t="shared" si="87"/>
        <v>46973</v>
      </c>
      <c r="Y235" s="380">
        <f t="shared" si="88"/>
        <v>198.48620810882866</v>
      </c>
      <c r="Z235" s="380">
        <f t="shared" si="89"/>
        <v>205.53442238569485</v>
      </c>
      <c r="AA235" s="381">
        <f t="shared" si="90"/>
        <v>217.16995183015513</v>
      </c>
      <c r="AB235" s="193">
        <f t="shared" si="91"/>
        <v>46973</v>
      </c>
      <c r="AC235" s="119">
        <f>IF(OR(t&lt;Tnet,NoTnet),'2027'!Resal_s+('2027'!Salim-'2027'!Resal_s)*(1-EXP(('2027'!Tnet_s-t)/'2027'!Tau_j)),Resal_s+(Salim-Resal_s)*(1-EXP((Tnet_s-t)/Tau_j)))*Salcycl</f>
        <v>5.3577989709921843E-2</v>
      </c>
      <c r="AD235" s="227">
        <f>(INDEX(Models!$BJ235:$BT235,,AH235)*(1-AF235)+INDEX(Models!$BJ235:$BT235,,AH235+1)*AF235-ERP_i)*AE235*Ramure*Pc/MaxiM</f>
        <v>4.9412517488610982E-4</v>
      </c>
      <c r="AE235" s="301">
        <f t="shared" si="92"/>
        <v>0.5</v>
      </c>
      <c r="AF235" s="173">
        <f t="shared" si="93"/>
        <v>0.45047982032346345</v>
      </c>
      <c r="AG235" s="801">
        <f t="shared" si="99"/>
        <v>3</v>
      </c>
      <c r="AH235" s="172">
        <f t="shared" si="94"/>
        <v>9</v>
      </c>
      <c r="AI235" s="221">
        <f t="shared" si="95"/>
        <v>3.4504798203234635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46974</v>
      </c>
      <c r="B236" s="406">
        <f>'2027'!Wh/'2027'!Env_an*'2028'!Env_an</f>
        <v>200.55698559217637</v>
      </c>
      <c r="C236" s="831"/>
      <c r="D236" s="388">
        <f t="shared" si="77"/>
        <v>207.68157584070889</v>
      </c>
      <c r="E236" s="380">
        <f t="shared" si="100"/>
        <v>211.12655124420428</v>
      </c>
      <c r="F236" s="380">
        <f t="shared" si="78"/>
        <v>211.21883151855616</v>
      </c>
      <c r="G236" s="110">
        <f t="shared" si="101"/>
        <v>0.91293848319095383</v>
      </c>
      <c r="H236" s="409" t="b">
        <f>Wh_hp&gt;='2027'!Maxi_hp</f>
        <v>0</v>
      </c>
      <c r="I236" s="385">
        <f>IF(H236,Wh_hp,'2027'!Maxi_hp)</f>
        <v>211.23051410692491</v>
      </c>
      <c r="J236" s="85">
        <f>IF(H236,An,'2027'!An_max)</f>
        <v>2022</v>
      </c>
      <c r="K236" s="193">
        <f t="shared" si="79"/>
        <v>46974</v>
      </c>
      <c r="L236" s="143">
        <f>IF(t&lt;Tvie,1-EXP((T0-t)*PertePVj)+'2027'!Pspv,1-EXP((T0-t)*PertePVj)+Pspv)</f>
        <v>3.4305355300255691E-2</v>
      </c>
      <c r="M236" s="835"/>
      <c r="N236" s="835"/>
      <c r="O236" s="48">
        <f>IF(t&lt;Tnet,'2027'!Resal+('2027'!Salim-'2027'!Resal)*(1-EXP(('2027'!Tnet-t)/('2027'!Tau_j))),Resal+(Salim-Resal)*(1-EXP((Tnet-t)/(Tau_j))))*Salcycl</f>
        <v>1.6317111150604066E-2</v>
      </c>
      <c r="P236" s="165">
        <f>(INDEX(Models!$BJ236:$BT236,,T236)*(1-R236)+INDEX(Models!$BJ236:$BT236,,T236+1)*R236-ERP_i)*Q236*Ramure*Pc/MaxiM</f>
        <v>4.989043172278256E-4</v>
      </c>
      <c r="Q236" s="301">
        <f t="shared" si="80"/>
        <v>0.5</v>
      </c>
      <c r="R236" s="173">
        <f t="shared" si="81"/>
        <v>0.45193969578936066</v>
      </c>
      <c r="S236" s="801">
        <f t="shared" si="82"/>
        <v>3</v>
      </c>
      <c r="T236" s="172">
        <f t="shared" si="83"/>
        <v>9</v>
      </c>
      <c r="U236" s="247">
        <f t="shared" si="84"/>
        <v>3.4519396957893607</v>
      </c>
      <c r="V236" s="378">
        <f t="shared" si="85"/>
        <v>219.66928470966926</v>
      </c>
      <c r="W236" s="397">
        <f t="shared" si="86"/>
        <v>200.55698559217637</v>
      </c>
      <c r="X236" s="153">
        <f t="shared" si="87"/>
        <v>46974</v>
      </c>
      <c r="Y236" s="380">
        <f t="shared" si="88"/>
        <v>192.95366925210533</v>
      </c>
      <c r="Z236" s="380">
        <f t="shared" si="89"/>
        <v>199.80815914341005</v>
      </c>
      <c r="AA236" s="381">
        <f t="shared" si="90"/>
        <v>211.12655124420428</v>
      </c>
      <c r="AB236" s="193">
        <f t="shared" si="91"/>
        <v>46974</v>
      </c>
      <c r="AC236" s="119">
        <f>IF(OR(t&lt;Tnet,NoTnet),'2027'!Resal_s+('2027'!Salim-'2027'!Resal_s)*(1-EXP(('2027'!Tnet_s-t)/'2027'!Tau_j)),Resal_s+(Salim-Resal_s)*(1-EXP((Tnet_s-t)/Tau_j)))*Salcycl</f>
        <v>5.3609515402459111E-2</v>
      </c>
      <c r="AD236" s="227">
        <f>(INDEX(Models!$BJ236:$BT236,,AH236)*(1-AF236)+INDEX(Models!$BJ236:$BT236,,AH236+1)*AF236-ERP_i)*AE236*Ramure*Pc/MaxiM</f>
        <v>4.989043172278256E-4</v>
      </c>
      <c r="AE236" s="301">
        <f t="shared" si="92"/>
        <v>0.5</v>
      </c>
      <c r="AF236" s="173">
        <f t="shared" si="93"/>
        <v>0.45193969578936066</v>
      </c>
      <c r="AG236" s="801">
        <f t="shared" si="99"/>
        <v>3</v>
      </c>
      <c r="AH236" s="172">
        <f t="shared" si="94"/>
        <v>9</v>
      </c>
      <c r="AI236" s="221">
        <f t="shared" si="95"/>
        <v>3.4519396957893607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46975</v>
      </c>
      <c r="B237" s="406">
        <f>'2027'!Wh/'2027'!Env_an*'2028'!Env_an</f>
        <v>186.1292626039376</v>
      </c>
      <c r="C237" s="831"/>
      <c r="D237" s="388">
        <f t="shared" si="77"/>
        <v>192.74396064398877</v>
      </c>
      <c r="E237" s="380">
        <f t="shared" si="100"/>
        <v>195.95580165562959</v>
      </c>
      <c r="F237" s="380">
        <f t="shared" si="78"/>
        <v>196.0333459041963</v>
      </c>
      <c r="G237" s="110">
        <f t="shared" si="101"/>
        <v>0.84981135120489715</v>
      </c>
      <c r="H237" s="409" t="b">
        <f>Wh_hp&gt;='2027'!Maxi_hp</f>
        <v>0</v>
      </c>
      <c r="I237" s="385">
        <f>IF(H237,Wh_hp,'2027'!Maxi_hp)</f>
        <v>196.05222207585885</v>
      </c>
      <c r="J237" s="85">
        <f>IF(H237,An,'2027'!An_max)</f>
        <v>2022</v>
      </c>
      <c r="K237" s="193">
        <f t="shared" si="79"/>
        <v>46975</v>
      </c>
      <c r="L237" s="143">
        <f>IF(t&lt;Tvie,1-EXP((T0-t)*PertePVj)+'2027'!Pspv,1-EXP((T0-t)*PertePVj)+Pspv)</f>
        <v>3.4318574848988148E-2</v>
      </c>
      <c r="M237" s="835"/>
      <c r="N237" s="835"/>
      <c r="O237" s="48">
        <f>IF(t&lt;Tnet,'2027'!Resal+('2027'!Salim-'2027'!Resal)*(1-EXP(('2027'!Tnet-t)/('2027'!Tau_j))),Resal+(Salim-Resal)*(1-EXP((Tnet-t)/(Tau_j))))*Salcycl</f>
        <v>1.6390640055073607E-2</v>
      </c>
      <c r="P237" s="165">
        <f>(INDEX(Models!$BJ237:$BT237,,T237)*(1-R237)+INDEX(Models!$BJ237:$BT237,,T237+1)*R237-ERP_i)*Q237*Ramure*Pc/MaxiM</f>
        <v>5.035370953386741E-4</v>
      </c>
      <c r="Q237" s="301">
        <f t="shared" si="80"/>
        <v>0.5</v>
      </c>
      <c r="R237" s="173">
        <f t="shared" si="81"/>
        <v>0.45334950189570344</v>
      </c>
      <c r="S237" s="801">
        <f t="shared" si="82"/>
        <v>3</v>
      </c>
      <c r="T237" s="172">
        <f t="shared" si="83"/>
        <v>9</v>
      </c>
      <c r="U237" s="247">
        <f t="shared" si="84"/>
        <v>3.4533495018957034</v>
      </c>
      <c r="V237" s="378">
        <f t="shared" si="85"/>
        <v>219.00055573859319</v>
      </c>
      <c r="W237" s="397">
        <f t="shared" si="86"/>
        <v>186.1292626039376</v>
      </c>
      <c r="X237" s="153">
        <f t="shared" si="87"/>
        <v>46975</v>
      </c>
      <c r="Y237" s="380">
        <f t="shared" si="88"/>
        <v>179.08036689373483</v>
      </c>
      <c r="Z237" s="380">
        <f t="shared" si="89"/>
        <v>185.44455990310729</v>
      </c>
      <c r="AA237" s="381">
        <f t="shared" si="90"/>
        <v>195.95580165562959</v>
      </c>
      <c r="AB237" s="193">
        <f t="shared" si="91"/>
        <v>46975</v>
      </c>
      <c r="AC237" s="119">
        <f>IF(OR(t&lt;Tnet,NoTnet),'2027'!Resal_s+('2027'!Salim-'2027'!Resal_s)*(1-EXP(('2027'!Tnet_s-t)/'2027'!Tau_j)),Resal_s+(Salim-Resal_s)*(1-EXP((Tnet_s-t)/Tau_j)))*Salcycl</f>
        <v>5.3640880564458288E-2</v>
      </c>
      <c r="AD237" s="227">
        <f>(INDEX(Models!$BJ237:$BT237,,AH237)*(1-AF237)+INDEX(Models!$BJ237:$BT237,,AH237+1)*AF237-ERP_i)*AE237*Ramure*Pc/MaxiM</f>
        <v>5.035370953386741E-4</v>
      </c>
      <c r="AE237" s="301">
        <f t="shared" si="92"/>
        <v>0.5</v>
      </c>
      <c r="AF237" s="173">
        <f t="shared" si="93"/>
        <v>0.45334950189570344</v>
      </c>
      <c r="AG237" s="801">
        <f t="shared" si="99"/>
        <v>3</v>
      </c>
      <c r="AH237" s="172">
        <f t="shared" si="94"/>
        <v>9</v>
      </c>
      <c r="AI237" s="221">
        <f t="shared" si="95"/>
        <v>3.4533495018957034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46976</v>
      </c>
      <c r="B238" s="406">
        <f>'2027'!Wh/'2027'!Env_an*'2028'!Env_an</f>
        <v>194.99692651313856</v>
      </c>
      <c r="C238" s="831"/>
      <c r="D238" s="388">
        <f t="shared" si="77"/>
        <v>201.9295295685732</v>
      </c>
      <c r="E238" s="380">
        <f t="shared" si="100"/>
        <v>205.30975860556214</v>
      </c>
      <c r="F238" s="380">
        <f t="shared" si="78"/>
        <v>205.39817955121569</v>
      </c>
      <c r="G238" s="110">
        <f t="shared" si="101"/>
        <v>0.89309216689157489</v>
      </c>
      <c r="H238" s="409" t="b">
        <f>Wh_hp&gt;='2027'!Maxi_hp</f>
        <v>0</v>
      </c>
      <c r="I238" s="385">
        <f>IF(H238,Wh_hp,'2027'!Maxi_hp)</f>
        <v>205.41238028032569</v>
      </c>
      <c r="J238" s="85">
        <f>IF(H238,An,'2027'!An_max)</f>
        <v>2022</v>
      </c>
      <c r="K238" s="193">
        <f t="shared" si="79"/>
        <v>46976</v>
      </c>
      <c r="L238" s="143">
        <f>IF(t&lt;Tvie,1-EXP((T0-t)*PertePVj)+'2027'!Pspv,1-EXP((T0-t)*PertePVj)+Pspv)</f>
        <v>3.433179421675614E-2</v>
      </c>
      <c r="M238" s="835"/>
      <c r="N238" s="835"/>
      <c r="O238" s="48">
        <f>IF(t&lt;Tnet,'2027'!Resal+('2027'!Salim-'2027'!Resal)*(1-EXP(('2027'!Tnet-t)/('2027'!Tau_j))),Resal+(Salim-Resal)*(1-EXP((Tnet-t)/(Tau_j))))*Salcycl</f>
        <v>1.6464044670584734E-2</v>
      </c>
      <c r="P238" s="165">
        <f>(INDEX(Models!$BJ238:$BT238,,T238)*(1-R238)+INDEX(Models!$BJ238:$BT238,,T238+1)*R238-ERP_i)*Q238*Ramure*Pc/MaxiM</f>
        <v>5.0802336487360932E-4</v>
      </c>
      <c r="Q238" s="301">
        <f t="shared" si="80"/>
        <v>0.5</v>
      </c>
      <c r="R238" s="173">
        <f t="shared" si="81"/>
        <v>0.45471064088326951</v>
      </c>
      <c r="S238" s="801">
        <f t="shared" si="82"/>
        <v>3</v>
      </c>
      <c r="T238" s="172">
        <f t="shared" si="83"/>
        <v>9</v>
      </c>
      <c r="U238" s="247">
        <f t="shared" si="84"/>
        <v>3.4547106408832695</v>
      </c>
      <c r="V238" s="378">
        <f t="shared" si="85"/>
        <v>218.32214814076039</v>
      </c>
      <c r="W238" s="397">
        <f t="shared" si="86"/>
        <v>194.99692651313856</v>
      </c>
      <c r="X238" s="153">
        <f t="shared" si="87"/>
        <v>46976</v>
      </c>
      <c r="Y238" s="380">
        <f t="shared" si="88"/>
        <v>187.62001958382896</v>
      </c>
      <c r="Z238" s="380">
        <f t="shared" si="89"/>
        <v>194.29035610803012</v>
      </c>
      <c r="AA238" s="381">
        <f t="shared" si="90"/>
        <v>205.30975860556214</v>
      </c>
      <c r="AB238" s="193">
        <f t="shared" si="91"/>
        <v>46976</v>
      </c>
      <c r="AC238" s="119">
        <f>IF(OR(t&lt;Tnet,NoTnet),'2027'!Resal_s+('2027'!Salim-'2027'!Resal_s)*(1-EXP(('2027'!Tnet_s-t)/'2027'!Tau_j)),Resal_s+(Salim-Resal_s)*(1-EXP((Tnet_s-t)/Tau_j)))*Salcycl</f>
        <v>5.3672083452702947E-2</v>
      </c>
      <c r="AD238" s="227">
        <f>(INDEX(Models!$BJ238:$BT238,,AH238)*(1-AF238)+INDEX(Models!$BJ238:$BT238,,AH238+1)*AF238-ERP_i)*AE238*Ramure*Pc/MaxiM</f>
        <v>5.0802336487360932E-4</v>
      </c>
      <c r="AE238" s="301">
        <f t="shared" si="92"/>
        <v>0.5</v>
      </c>
      <c r="AF238" s="173">
        <f t="shared" si="93"/>
        <v>0.45471064088326951</v>
      </c>
      <c r="AG238" s="801">
        <f t="shared" si="99"/>
        <v>3</v>
      </c>
      <c r="AH238" s="172">
        <f t="shared" si="94"/>
        <v>9</v>
      </c>
      <c r="AI238" s="221">
        <f t="shared" si="95"/>
        <v>3.4547106408832695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46977</v>
      </c>
      <c r="B239" s="406">
        <f>'2027'!Wh/'2027'!Env_an*'2028'!Env_an</f>
        <v>135.54405610290291</v>
      </c>
      <c r="C239" s="831"/>
      <c r="D239" s="388">
        <f t="shared" si="77"/>
        <v>140.36489013601383</v>
      </c>
      <c r="E239" s="380">
        <f t="shared" si="100"/>
        <v>142.7251827081015</v>
      </c>
      <c r="F239" s="380">
        <f t="shared" si="78"/>
        <v>142.75891362157685</v>
      </c>
      <c r="G239" s="110">
        <f t="shared" si="101"/>
        <v>0.6226366683740997</v>
      </c>
      <c r="H239" s="409" t="b">
        <f>Wh_hp&gt;='2027'!Maxi_hp</f>
        <v>0</v>
      </c>
      <c r="I239" s="385">
        <f>IF(H239,Wh_hp,'2027'!Maxi_hp)</f>
        <v>142.79404848596596</v>
      </c>
      <c r="J239" s="85">
        <f>IF(H239,An,'2027'!An_max)</f>
        <v>2022</v>
      </c>
      <c r="K239" s="193">
        <f t="shared" si="79"/>
        <v>46977</v>
      </c>
      <c r="L239" s="143">
        <f>IF(t&lt;Tvie,1-EXP((T0-t)*PertePVj)+'2027'!Pspv,1-EXP((T0-t)*PertePVj)+Pspv)</f>
        <v>3.4345013403562108E-2</v>
      </c>
      <c r="M239" s="835"/>
      <c r="N239" s="835"/>
      <c r="O239" s="48">
        <f>IF(t&lt;Tnet,'2027'!Resal+('2027'!Salim-'2027'!Resal)*(1-EXP(('2027'!Tnet-t)/('2027'!Tau_j))),Resal+(Salim-Resal)*(1-EXP((Tnet-t)/(Tau_j))))*Salcycl</f>
        <v>1.6537323878680097E-2</v>
      </c>
      <c r="P239" s="165">
        <f>(INDEX(Models!$BJ239:$BT239,,T239)*(1-R239)+INDEX(Models!$BJ239:$BT239,,T239+1)*R239-ERP_i)*Q239*Ramure*Pc/MaxiM</f>
        <v>5.123629715786315E-4</v>
      </c>
      <c r="Q239" s="301">
        <f t="shared" si="80"/>
        <v>0.5</v>
      </c>
      <c r="R239" s="173">
        <f t="shared" si="81"/>
        <v>0.45602449921101318</v>
      </c>
      <c r="S239" s="801">
        <f t="shared" si="82"/>
        <v>3</v>
      </c>
      <c r="T239" s="172">
        <f t="shared" si="83"/>
        <v>9</v>
      </c>
      <c r="U239" s="247">
        <f t="shared" si="84"/>
        <v>3.4560244992110132</v>
      </c>
      <c r="V239" s="378">
        <f t="shared" si="85"/>
        <v>217.63354550340827</v>
      </c>
      <c r="W239" s="397">
        <f t="shared" si="86"/>
        <v>135.54405610290291</v>
      </c>
      <c r="X239" s="153">
        <f t="shared" si="87"/>
        <v>46977</v>
      </c>
      <c r="Y239" s="380">
        <f t="shared" si="88"/>
        <v>130.42174379509228</v>
      </c>
      <c r="Z239" s="380">
        <f t="shared" si="89"/>
        <v>135.06039486709298</v>
      </c>
      <c r="AA239" s="381">
        <f t="shared" si="90"/>
        <v>142.7251827081015</v>
      </c>
      <c r="AB239" s="193">
        <f t="shared" si="91"/>
        <v>46977</v>
      </c>
      <c r="AC239" s="119">
        <f>IF(OR(t&lt;Tnet,NoTnet),'2027'!Resal_s+('2027'!Salim-'2027'!Resal_s)*(1-EXP(('2027'!Tnet_s-t)/'2027'!Tau_j)),Resal_s+(Salim-Resal_s)*(1-EXP((Tnet_s-t)/Tau_j)))*Salcycl</f>
        <v>5.370312159056314E-2</v>
      </c>
      <c r="AD239" s="227">
        <f>(INDEX(Models!$BJ239:$BT239,,AH239)*(1-AF239)+INDEX(Models!$BJ239:$BT239,,AH239+1)*AF239-ERP_i)*AE239*Ramure*Pc/MaxiM</f>
        <v>5.123629715786315E-4</v>
      </c>
      <c r="AE239" s="301">
        <f t="shared" si="92"/>
        <v>0.5</v>
      </c>
      <c r="AF239" s="173">
        <f t="shared" si="93"/>
        <v>0.45602449921101318</v>
      </c>
      <c r="AG239" s="801">
        <f t="shared" si="99"/>
        <v>3</v>
      </c>
      <c r="AH239" s="172">
        <f t="shared" si="94"/>
        <v>9</v>
      </c>
      <c r="AI239" s="221">
        <f t="shared" si="95"/>
        <v>3.4560244992110132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46978</v>
      </c>
      <c r="B240" s="406">
        <f>'2027'!Wh/'2027'!Env_an*'2028'!Env_an</f>
        <v>148.67054959954467</v>
      </c>
      <c r="C240" s="831"/>
      <c r="D240" s="388">
        <f t="shared" si="77"/>
        <v>153.96035526766624</v>
      </c>
      <c r="E240" s="380">
        <f t="shared" si="100"/>
        <v>156.56090650124531</v>
      </c>
      <c r="F240" s="380">
        <f t="shared" si="78"/>
        <v>156.60538371878715</v>
      </c>
      <c r="G240" s="110">
        <f t="shared" si="101"/>
        <v>0.68516603249114472</v>
      </c>
      <c r="H240" s="409" t="b">
        <f>Wh_hp&gt;='2027'!Maxi_hp</f>
        <v>0</v>
      </c>
      <c r="I240" s="385">
        <f>IF(H240,Wh_hp,'2027'!Maxi_hp)</f>
        <v>156.63775376535247</v>
      </c>
      <c r="J240" s="85">
        <f>IF(H240,An,'2027'!An_max)</f>
        <v>2022</v>
      </c>
      <c r="K240" s="193">
        <f t="shared" si="79"/>
        <v>46978</v>
      </c>
      <c r="L240" s="143">
        <f>IF(t&lt;Tvie,1-EXP((T0-t)*PertePVj)+'2027'!Pspv,1-EXP((T0-t)*PertePVj)+Pspv)</f>
        <v>3.4358232409408496E-2</v>
      </c>
      <c r="M240" s="835"/>
      <c r="N240" s="835"/>
      <c r="O240" s="48">
        <f>IF(t&lt;Tnet,'2027'!Resal+('2027'!Salim-'2027'!Resal)*(1-EXP(('2027'!Tnet-t)/('2027'!Tau_j))),Resal+(Salim-Resal)*(1-EXP((Tnet-t)/(Tau_j))))*Salcycl</f>
        <v>1.6610476342370742E-2</v>
      </c>
      <c r="P240" s="165">
        <f>(INDEX(Models!$BJ240:$BT240,,T240)*(1-R240)+INDEX(Models!$BJ240:$BT240,,T240+1)*R240-ERP_i)*Q240*Ramure*Pc/MaxiM</f>
        <v>5.1594302222447372E-4</v>
      </c>
      <c r="Q240" s="301">
        <f t="shared" si="80"/>
        <v>0.5</v>
      </c>
      <c r="R240" s="173">
        <f t="shared" si="81"/>
        <v>0.45729244577196182</v>
      </c>
      <c r="S240" s="801">
        <f t="shared" si="82"/>
        <v>3</v>
      </c>
      <c r="T240" s="172">
        <f t="shared" si="83"/>
        <v>9</v>
      </c>
      <c r="U240" s="247">
        <f t="shared" si="84"/>
        <v>3.4572924457719618</v>
      </c>
      <c r="V240" s="378">
        <f t="shared" si="85"/>
        <v>216.93436463844984</v>
      </c>
      <c r="W240" s="397">
        <f t="shared" si="86"/>
        <v>148.67054959954467</v>
      </c>
      <c r="X240" s="153">
        <f t="shared" si="87"/>
        <v>46978</v>
      </c>
      <c r="Y240" s="380">
        <f t="shared" si="88"/>
        <v>143.05815154428944</v>
      </c>
      <c r="Z240" s="380">
        <f t="shared" si="89"/>
        <v>148.14826403091399</v>
      </c>
      <c r="AA240" s="381">
        <f t="shared" si="90"/>
        <v>156.56090650124531</v>
      </c>
      <c r="AB240" s="193">
        <f t="shared" si="91"/>
        <v>46978</v>
      </c>
      <c r="AC240" s="119">
        <f>IF(OR(t&lt;Tnet,NoTnet),'2027'!Resal_s+('2027'!Salim-'2027'!Resal_s)*(1-EXP(('2027'!Tnet_s-t)/'2027'!Tau_j)),Resal_s+(Salim-Resal_s)*(1-EXP((Tnet_s-t)/Tau_j)))*Salcycl</f>
        <v>5.3733991826780889E-2</v>
      </c>
      <c r="AD240" s="227">
        <f>(INDEX(Models!$BJ240:$BT240,,AH240)*(1-AF240)+INDEX(Models!$BJ240:$BT240,,AH240+1)*AF240-ERP_i)*AE240*Ramure*Pc/MaxiM</f>
        <v>5.1594302222447372E-4</v>
      </c>
      <c r="AE240" s="301">
        <f t="shared" si="92"/>
        <v>0.5</v>
      </c>
      <c r="AF240" s="173">
        <f t="shared" si="93"/>
        <v>0.45729244577196182</v>
      </c>
      <c r="AG240" s="801">
        <f t="shared" si="99"/>
        <v>3</v>
      </c>
      <c r="AH240" s="172">
        <f t="shared" si="94"/>
        <v>9</v>
      </c>
      <c r="AI240" s="221">
        <f t="shared" si="95"/>
        <v>3.4572924457719618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46979</v>
      </c>
      <c r="B241" s="406">
        <f>'2027'!Wh/'2027'!Env_an*'2028'!Env_an</f>
        <v>153.03660606922719</v>
      </c>
      <c r="C241" s="831"/>
      <c r="D241" s="388">
        <f t="shared" si="77"/>
        <v>158.48392869581534</v>
      </c>
      <c r="E241" s="380">
        <f t="shared" si="100"/>
        <v>161.17285612475717</v>
      </c>
      <c r="F241" s="380">
        <f t="shared" si="78"/>
        <v>161.22158078927345</v>
      </c>
      <c r="G241" s="110">
        <f t="shared" si="101"/>
        <v>0.70761522677326039</v>
      </c>
      <c r="H241" s="409" t="b">
        <f>Wh_hp&gt;='2027'!Maxi_hp</f>
        <v>0</v>
      </c>
      <c r="I241" s="385">
        <f>IF(H241,Wh_hp,'2027'!Maxi_hp)</f>
        <v>161.2526894058478</v>
      </c>
      <c r="J241" s="85">
        <f>IF(H241,An,'2027'!An_max)</f>
        <v>2022</v>
      </c>
      <c r="K241" s="193">
        <f t="shared" si="79"/>
        <v>46979</v>
      </c>
      <c r="L241" s="143">
        <f>IF(t&lt;Tvie,1-EXP((T0-t)*PertePVj)+'2027'!Pspv,1-EXP((T0-t)*PertePVj)+Pspv)</f>
        <v>3.4371451234297856E-2</v>
      </c>
      <c r="M241" s="835"/>
      <c r="N241" s="835"/>
      <c r="O241" s="48">
        <f>IF(t&lt;Tnet,'2027'!Resal+('2027'!Salim-'2027'!Resal)*(1-EXP(('2027'!Tnet-t)/('2027'!Tau_j))),Resal+(Salim-Resal)*(1-EXP((Tnet-t)/(Tau_j))))*Salcycl</f>
        <v>1.6683500519842086E-2</v>
      </c>
      <c r="P241" s="165">
        <f>(INDEX(Models!$BJ241:$BT241,,T241)*(1-R241)+INDEX(Models!$BJ241:$BT241,,T241+1)*R241-ERP_i)*Q241*Ramure*Pc/MaxiM</f>
        <v>5.1881195558126612E-4</v>
      </c>
      <c r="Q241" s="301">
        <f t="shared" si="80"/>
        <v>0.5</v>
      </c>
      <c r="R241" s="173">
        <f t="shared" si="81"/>
        <v>0.45851583029500187</v>
      </c>
      <c r="S241" s="801">
        <f t="shared" si="82"/>
        <v>3</v>
      </c>
      <c r="T241" s="172">
        <f t="shared" si="83"/>
        <v>9</v>
      </c>
      <c r="U241" s="247">
        <f t="shared" si="84"/>
        <v>3.4585158302950019</v>
      </c>
      <c r="V241" s="378">
        <f t="shared" si="85"/>
        <v>216.22407775598509</v>
      </c>
      <c r="W241" s="397">
        <f t="shared" si="86"/>
        <v>153.03660606922719</v>
      </c>
      <c r="X241" s="153">
        <f t="shared" si="87"/>
        <v>46979</v>
      </c>
      <c r="Y241" s="380">
        <f t="shared" si="88"/>
        <v>147.26554512385616</v>
      </c>
      <c r="Z241" s="380">
        <f t="shared" si="89"/>
        <v>152.50744741556758</v>
      </c>
      <c r="AA241" s="381">
        <f t="shared" si="90"/>
        <v>161.17285612475717</v>
      </c>
      <c r="AB241" s="193">
        <f t="shared" si="91"/>
        <v>46979</v>
      </c>
      <c r="AC241" s="119">
        <f>IF(OR(t&lt;Tnet,NoTnet),'2027'!Resal_s+('2027'!Salim-'2027'!Resal_s)*(1-EXP(('2027'!Tnet_s-t)/'2027'!Tau_j)),Resal_s+(Salim-Resal_s)*(1-EXP((Tnet_s-t)/Tau_j)))*Salcycl</f>
        <v>5.3764690392295651E-2</v>
      </c>
      <c r="AD241" s="227">
        <f>(INDEX(Models!$BJ241:$BT241,,AH241)*(1-AF241)+INDEX(Models!$BJ241:$BT241,,AH241+1)*AF241-ERP_i)*AE241*Ramure*Pc/MaxiM</f>
        <v>5.1881195558126612E-4</v>
      </c>
      <c r="AE241" s="301">
        <f t="shared" si="92"/>
        <v>0.5</v>
      </c>
      <c r="AF241" s="173">
        <f t="shared" si="93"/>
        <v>0.45851583029500187</v>
      </c>
      <c r="AG241" s="801">
        <f t="shared" si="99"/>
        <v>3</v>
      </c>
      <c r="AH241" s="172">
        <f t="shared" si="94"/>
        <v>9</v>
      </c>
      <c r="AI241" s="221">
        <f t="shared" si="95"/>
        <v>3.4585158302950019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46980</v>
      </c>
      <c r="B242" s="406">
        <f>'2027'!Wh/'2027'!Env_an*'2028'!Env_an</f>
        <v>137.6710825717125</v>
      </c>
      <c r="C242" s="831"/>
      <c r="D242" s="388">
        <f t="shared" si="77"/>
        <v>142.57342264269116</v>
      </c>
      <c r="E242" s="380">
        <f t="shared" si="100"/>
        <v>145.00315269883117</v>
      </c>
      <c r="F242" s="380">
        <f t="shared" si="78"/>
        <v>145.03972810492795</v>
      </c>
      <c r="G242" s="110">
        <f t="shared" si="101"/>
        <v>0.63866674463451434</v>
      </c>
      <c r="H242" s="409" t="b">
        <f>Wh_hp&gt;='2027'!Maxi_hp</f>
        <v>0</v>
      </c>
      <c r="I242" s="385">
        <f>IF(H242,Wh_hp,'2027'!Maxi_hp)</f>
        <v>145.07444437533258</v>
      </c>
      <c r="J242" s="85">
        <f>IF(H242,An,'2027'!An_max)</f>
        <v>2022</v>
      </c>
      <c r="K242" s="193">
        <f t="shared" si="79"/>
        <v>46980</v>
      </c>
      <c r="L242" s="143">
        <f>IF(t&lt;Tvie,1-EXP((T0-t)*PertePVj)+'2027'!Pspv,1-EXP((T0-t)*PertePVj)+Pspv)</f>
        <v>3.4384669878232521E-2</v>
      </c>
      <c r="M242" s="835"/>
      <c r="N242" s="835"/>
      <c r="O242" s="48">
        <f>IF(t&lt;Tnet,'2027'!Resal+('2027'!Salim-'2027'!Resal)*(1-EXP(('2027'!Tnet-t)/('2027'!Tau_j))),Resal+(Salim-Resal)*(1-EXP((Tnet-t)/(Tau_j))))*Salcycl</f>
        <v>1.6756394677752313E-2</v>
      </c>
      <c r="P242" s="165">
        <f>(INDEX(Models!$BJ242:$BT242,,T242)*(1-R242)+INDEX(Models!$BJ242:$BT242,,T242+1)*R242-ERP_i)*Q242*Ramure*Pc/MaxiM</f>
        <v>5.2096370650711989E-4</v>
      </c>
      <c r="Q242" s="301">
        <f t="shared" si="80"/>
        <v>0.5</v>
      </c>
      <c r="R242" s="173">
        <f t="shared" si="81"/>
        <v>0.45969598192302108</v>
      </c>
      <c r="S242" s="801">
        <f t="shared" si="82"/>
        <v>3</v>
      </c>
      <c r="T242" s="172">
        <f t="shared" si="83"/>
        <v>9</v>
      </c>
      <c r="U242" s="247">
        <f t="shared" si="84"/>
        <v>3.4596959819230211</v>
      </c>
      <c r="V242" s="378">
        <f t="shared" si="85"/>
        <v>215.50216912630941</v>
      </c>
      <c r="W242" s="397">
        <f t="shared" si="86"/>
        <v>137.6710825717125</v>
      </c>
      <c r="X242" s="153">
        <f t="shared" si="87"/>
        <v>46980</v>
      </c>
      <c r="Y242" s="380">
        <f t="shared" si="88"/>
        <v>132.48500845770957</v>
      </c>
      <c r="Z242" s="380">
        <f t="shared" si="89"/>
        <v>137.20267722034069</v>
      </c>
      <c r="AA242" s="381">
        <f t="shared" si="90"/>
        <v>145.00315269883117</v>
      </c>
      <c r="AB242" s="193">
        <f t="shared" si="91"/>
        <v>46980</v>
      </c>
      <c r="AC242" s="119">
        <f>IF(OR(t&lt;Tnet,NoTnet),'2027'!Resal_s+('2027'!Salim-'2027'!Resal_s)*(1-EXP(('2027'!Tnet_s-t)/'2027'!Tau_j)),Resal_s+(Salim-Resal_s)*(1-EXP((Tnet_s-t)/Tau_j)))*Salcycl</f>
        <v>5.379521295438263E-2</v>
      </c>
      <c r="AD242" s="227">
        <f>(INDEX(Models!$BJ242:$BT242,,AH242)*(1-AF242)+INDEX(Models!$BJ242:$BT242,,AH242+1)*AF242-ERP_i)*AE242*Ramure*Pc/MaxiM</f>
        <v>5.2096370650711989E-4</v>
      </c>
      <c r="AE242" s="301">
        <f t="shared" si="92"/>
        <v>0.5</v>
      </c>
      <c r="AF242" s="173">
        <f t="shared" si="93"/>
        <v>0.45969598192302108</v>
      </c>
      <c r="AG242" s="801">
        <f t="shared" si="99"/>
        <v>3</v>
      </c>
      <c r="AH242" s="172">
        <f t="shared" si="94"/>
        <v>9</v>
      </c>
      <c r="AI242" s="221">
        <f t="shared" si="95"/>
        <v>3.4596959819230211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46981</v>
      </c>
      <c r="B243" s="406">
        <f>'2027'!Wh/'2027'!Env_an*'2028'!Env_an</f>
        <v>106.02684735090375</v>
      </c>
      <c r="C243" s="831"/>
      <c r="D243" s="388">
        <f t="shared" si="77"/>
        <v>109.80386856110199</v>
      </c>
      <c r="E243" s="380">
        <f t="shared" si="100"/>
        <v>111.68340612636334</v>
      </c>
      <c r="F243" s="380">
        <f t="shared" si="78"/>
        <v>111.69955104916787</v>
      </c>
      <c r="G243" s="110">
        <f t="shared" si="101"/>
        <v>0.49349399434204022</v>
      </c>
      <c r="H243" s="409" t="b">
        <f>Wh_hp&gt;='2027'!Maxi_hp</f>
        <v>0</v>
      </c>
      <c r="I243" s="385">
        <f>IF(H243,Wh_hp,'2027'!Maxi_hp)</f>
        <v>111.73711703322597</v>
      </c>
      <c r="J243" s="85">
        <f>IF(H243,An,'2027'!An_max)</f>
        <v>2022</v>
      </c>
      <c r="K243" s="193">
        <f t="shared" si="79"/>
        <v>46981</v>
      </c>
      <c r="L243" s="143">
        <f>IF(t&lt;Tvie,1-EXP((T0-t)*PertePVj)+'2027'!Pspv,1-EXP((T0-t)*PertePVj)+Pspv)</f>
        <v>3.4397888341215044E-2</v>
      </c>
      <c r="M243" s="835"/>
      <c r="N243" s="835"/>
      <c r="O243" s="48">
        <f>IF(t&lt;Tnet,'2027'!Resal+('2027'!Salim-'2027'!Resal)*(1-EXP(('2027'!Tnet-t)/('2027'!Tau_j))),Resal+(Salim-Resal)*(1-EXP((Tnet-t)/(Tau_j))))*Salcycl</f>
        <v>1.6829156903889232E-2</v>
      </c>
      <c r="P243" s="165">
        <f>(INDEX(Models!$BJ243:$BT243,,T243)*(1-R243)+INDEX(Models!$BJ243:$BT243,,T243+1)*R243-ERP_i)*Q243*Ramure*Pc/MaxiM</f>
        <v>5.2239204265352285E-4</v>
      </c>
      <c r="Q243" s="301">
        <f t="shared" si="80"/>
        <v>0.5</v>
      </c>
      <c r="R243" s="173">
        <f t="shared" si="81"/>
        <v>0.46083420795787333</v>
      </c>
      <c r="S243" s="801">
        <f t="shared" si="82"/>
        <v>3</v>
      </c>
      <c r="T243" s="172">
        <f t="shared" si="83"/>
        <v>9</v>
      </c>
      <c r="U243" s="247">
        <f t="shared" si="84"/>
        <v>3.4608342079578733</v>
      </c>
      <c r="V243" s="378">
        <f t="shared" si="85"/>
        <v>214.76812319923366</v>
      </c>
      <c r="W243" s="397">
        <f t="shared" si="86"/>
        <v>106.02684735090375</v>
      </c>
      <c r="X243" s="153">
        <f t="shared" si="87"/>
        <v>46981</v>
      </c>
      <c r="Y243" s="380">
        <f t="shared" si="88"/>
        <v>102.03709170898871</v>
      </c>
      <c r="Z243" s="380">
        <f t="shared" si="89"/>
        <v>105.67198484446313</v>
      </c>
      <c r="AA243" s="381">
        <f t="shared" si="90"/>
        <v>111.68340612636334</v>
      </c>
      <c r="AB243" s="193">
        <f t="shared" si="91"/>
        <v>46981</v>
      </c>
      <c r="AC243" s="119">
        <f>IF(OR(t&lt;Tnet,NoTnet),'2027'!Resal_s+('2027'!Salim-'2027'!Resal_s)*(1-EXP(('2027'!Tnet_s-t)/'2027'!Tau_j)),Resal_s+(Salim-Resal_s)*(1-EXP((Tnet_s-t)/Tau_j)))*Salcycl</f>
        <v>5.3825554667437707E-2</v>
      </c>
      <c r="AD243" s="227">
        <f>(INDEX(Models!$BJ243:$BT243,,AH243)*(1-AF243)+INDEX(Models!$BJ243:$BT243,,AH243+1)*AF243-ERP_i)*AE243*Ramure*Pc/MaxiM</f>
        <v>5.2239204265352285E-4</v>
      </c>
      <c r="AE243" s="301">
        <f t="shared" si="92"/>
        <v>0.5</v>
      </c>
      <c r="AF243" s="173">
        <f t="shared" si="93"/>
        <v>0.46083420795787333</v>
      </c>
      <c r="AG243" s="801">
        <f t="shared" si="99"/>
        <v>3</v>
      </c>
      <c r="AH243" s="172">
        <f t="shared" si="94"/>
        <v>9</v>
      </c>
      <c r="AI243" s="221">
        <f t="shared" si="95"/>
        <v>3.4608342079578733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46982</v>
      </c>
      <c r="B244" s="406">
        <f>'2027'!Wh/'2027'!Env_an*'2028'!Env_an</f>
        <v>130.1879984578637</v>
      </c>
      <c r="C244" s="831"/>
      <c r="D244" s="388">
        <f t="shared" si="77"/>
        <v>134.82756414335341</v>
      </c>
      <c r="E244" s="380">
        <f t="shared" si="100"/>
        <v>137.14556908199583</v>
      </c>
      <c r="F244" s="380">
        <f t="shared" si="78"/>
        <v>137.17717191950408</v>
      </c>
      <c r="G244" s="110">
        <f t="shared" si="101"/>
        <v>0.60811613828932298</v>
      </c>
      <c r="H244" s="409" t="b">
        <f>Wh_hp&gt;='2027'!Maxi_hp</f>
        <v>0</v>
      </c>
      <c r="I244" s="385">
        <f>IF(H244,Wh_hp,'2027'!Maxi_hp)</f>
        <v>137.21289143208358</v>
      </c>
      <c r="J244" s="85">
        <f>IF(H244,An,'2027'!An_max)</f>
        <v>2022</v>
      </c>
      <c r="K244" s="193">
        <f t="shared" si="79"/>
        <v>46982</v>
      </c>
      <c r="L244" s="143">
        <f>IF(t&lt;Tvie,1-EXP((T0-t)*PertePVj)+'2027'!Pspv,1-EXP((T0-t)*PertePVj)+Pspv)</f>
        <v>3.4411106623247867E-2</v>
      </c>
      <c r="M244" s="835"/>
      <c r="N244" s="835"/>
      <c r="O244" s="48">
        <f>IF(t&lt;Tnet,'2027'!Resal+('2027'!Salim-'2027'!Resal)*(1-EXP(('2027'!Tnet-t)/('2027'!Tau_j))),Resal+(Salim-Resal)*(1-EXP((Tnet-t)/(Tau_j))))*Salcycl</f>
        <v>1.6901785118967529E-2</v>
      </c>
      <c r="P244" s="165">
        <f>(INDEX(Models!$BJ244:$BT244,,T244)*(1-R244)+INDEX(Models!$BJ244:$BT244,,T244+1)*R244-ERP_i)*Q244*Ramure*Pc/MaxiM</f>
        <v>5.23090546515486E-4</v>
      </c>
      <c r="Q244" s="301">
        <f t="shared" si="80"/>
        <v>0.5</v>
      </c>
      <c r="R244" s="173">
        <f t="shared" si="81"/>
        <v>0.46193179276268692</v>
      </c>
      <c r="S244" s="801">
        <f t="shared" si="82"/>
        <v>3</v>
      </c>
      <c r="T244" s="172">
        <f t="shared" si="83"/>
        <v>9</v>
      </c>
      <c r="U244" s="247">
        <f t="shared" si="84"/>
        <v>3.4619317927626869</v>
      </c>
      <c r="V244" s="378">
        <f t="shared" si="85"/>
        <v>214.02142460032397</v>
      </c>
      <c r="W244" s="397">
        <f t="shared" si="86"/>
        <v>130.1879984578637</v>
      </c>
      <c r="X244" s="153">
        <f t="shared" si="87"/>
        <v>46982</v>
      </c>
      <c r="Y244" s="380">
        <f t="shared" si="88"/>
        <v>125.29432916702586</v>
      </c>
      <c r="Z244" s="380">
        <f t="shared" si="89"/>
        <v>129.7594970555846</v>
      </c>
      <c r="AA244" s="381">
        <f t="shared" si="90"/>
        <v>137.14556908199583</v>
      </c>
      <c r="AB244" s="193">
        <f t="shared" si="91"/>
        <v>46982</v>
      </c>
      <c r="AC244" s="119">
        <f>IF(OR(t&lt;Tnet,NoTnet),'2027'!Resal_s+('2027'!Salim-'2027'!Resal_s)*(1-EXP(('2027'!Tnet_s-t)/'2027'!Tau_j)),Resal_s+(Salim-Resal_s)*(1-EXP((Tnet_s-t)/Tau_j)))*Salcycl</f>
        <v>5.3855710219812405E-2</v>
      </c>
      <c r="AD244" s="227">
        <f>(INDEX(Models!$BJ244:$BT244,,AH244)*(1-AF244)+INDEX(Models!$BJ244:$BT244,,AH244+1)*AF244-ERP_i)*AE244*Ramure*Pc/MaxiM</f>
        <v>5.23090546515486E-4</v>
      </c>
      <c r="AE244" s="301">
        <f t="shared" si="92"/>
        <v>0.5</v>
      </c>
      <c r="AF244" s="173">
        <f t="shared" si="93"/>
        <v>0.46193179276268692</v>
      </c>
      <c r="AG244" s="801">
        <f t="shared" si="99"/>
        <v>3</v>
      </c>
      <c r="AH244" s="172">
        <f t="shared" si="94"/>
        <v>9</v>
      </c>
      <c r="AI244" s="221">
        <f t="shared" si="95"/>
        <v>3.4619317927626869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46983</v>
      </c>
      <c r="B245" s="406">
        <f>'2027'!Wh/'2027'!Env_an*'2028'!Env_an</f>
        <v>140.46399832506026</v>
      </c>
      <c r="C245" s="831"/>
      <c r="D245" s="388">
        <f t="shared" si="77"/>
        <v>145.47176562309173</v>
      </c>
      <c r="E245" s="380">
        <f t="shared" si="100"/>
        <v>147.98368163965182</v>
      </c>
      <c r="F245" s="380">
        <f t="shared" si="78"/>
        <v>148.02335000087888</v>
      </c>
      <c r="G245" s="110">
        <f t="shared" si="101"/>
        <v>0.65847854837669839</v>
      </c>
      <c r="H245" s="409" t="b">
        <f>Wh_hp&gt;='2027'!Maxi_hp</f>
        <v>0</v>
      </c>
      <c r="I245" s="385">
        <f>IF(H245,Wh_hp,'2027'!Maxi_hp)</f>
        <v>148.05691589601781</v>
      </c>
      <c r="J245" s="85">
        <f>IF(H245,An,'2027'!An_max)</f>
        <v>2022</v>
      </c>
      <c r="K245" s="193">
        <f t="shared" si="79"/>
        <v>46983</v>
      </c>
      <c r="L245" s="143">
        <f>IF(t&lt;Tvie,1-EXP((T0-t)*PertePVj)+'2027'!Pspv,1-EXP((T0-t)*PertePVj)+Pspv)</f>
        <v>3.4424324724333655E-2</v>
      </c>
      <c r="M245" s="835"/>
      <c r="N245" s="835"/>
      <c r="O245" s="48">
        <f>IF(t&lt;Tnet,'2027'!Resal+('2027'!Salim-'2027'!Resal)*(1-EXP(('2027'!Tnet-t)/('2027'!Tau_j))),Resal+(Salim-Resal)*(1-EXP((Tnet-t)/(Tau_j))))*Salcycl</f>
        <v>1.6974277087366662E-2</v>
      </c>
      <c r="P245" s="165">
        <f>(INDEX(Models!$BJ245:$BT245,,T245)*(1-R245)+INDEX(Models!$BJ245:$BT245,,T245+1)*R245-ERP_i)*Q245*Ramure*Pc/MaxiM</f>
        <v>5.2305259731680884E-4</v>
      </c>
      <c r="Q245" s="301">
        <f t="shared" si="80"/>
        <v>0.5</v>
      </c>
      <c r="R245" s="173">
        <f t="shared" si="81"/>
        <v>0.46298999681212649</v>
      </c>
      <c r="S245" s="801">
        <f t="shared" si="82"/>
        <v>3</v>
      </c>
      <c r="T245" s="172">
        <f t="shared" si="83"/>
        <v>9</v>
      </c>
      <c r="U245" s="247">
        <f t="shared" si="84"/>
        <v>3.4629899968121265</v>
      </c>
      <c r="V245" s="378">
        <f t="shared" si="85"/>
        <v>213.26155811763556</v>
      </c>
      <c r="W245" s="397">
        <f t="shared" si="86"/>
        <v>140.46399832506026</v>
      </c>
      <c r="X245" s="153">
        <f t="shared" si="87"/>
        <v>46983</v>
      </c>
      <c r="Y245" s="380">
        <f t="shared" si="88"/>
        <v>135.1897493854118</v>
      </c>
      <c r="Z245" s="380">
        <f t="shared" si="89"/>
        <v>140.00948123182152</v>
      </c>
      <c r="AA245" s="381">
        <f t="shared" si="90"/>
        <v>147.98368163965182</v>
      </c>
      <c r="AB245" s="193">
        <f t="shared" si="91"/>
        <v>46983</v>
      </c>
      <c r="AC245" s="119">
        <f>IF(OR(t&lt;Tnet,NoTnet),'2027'!Resal_s+('2027'!Salim-'2027'!Resal_s)*(1-EXP(('2027'!Tnet_s-t)/'2027'!Tau_j)),Resal_s+(Salim-Resal_s)*(1-EXP((Tnet_s-t)/Tau_j)))*Salcycl</f>
        <v>5.3885673876177161E-2</v>
      </c>
      <c r="AD245" s="227">
        <f>(INDEX(Models!$BJ245:$BT245,,AH245)*(1-AF245)+INDEX(Models!$BJ245:$BT245,,AH245+1)*AF245-ERP_i)*AE245*Ramure*Pc/MaxiM</f>
        <v>5.2305259731680884E-4</v>
      </c>
      <c r="AE245" s="301">
        <f t="shared" si="92"/>
        <v>0.5</v>
      </c>
      <c r="AF245" s="173">
        <f t="shared" si="93"/>
        <v>0.46298999681212649</v>
      </c>
      <c r="AG245" s="801">
        <f t="shared" si="99"/>
        <v>3</v>
      </c>
      <c r="AH245" s="172">
        <f t="shared" si="94"/>
        <v>9</v>
      </c>
      <c r="AI245" s="221">
        <f t="shared" si="95"/>
        <v>3.4629899968121265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46984</v>
      </c>
      <c r="B246" s="406">
        <f>'2027'!Wh/'2027'!Env_an*'2028'!Env_an</f>
        <v>205.17698298379878</v>
      </c>
      <c r="C246" s="831"/>
      <c r="D246" s="388">
        <f t="shared" si="77"/>
        <v>212.49478106857617</v>
      </c>
      <c r="E246" s="380">
        <f t="shared" si="100"/>
        <v>216.17992027516556</v>
      </c>
      <c r="F246" s="380">
        <f t="shared" si="78"/>
        <v>216.28732864821924</v>
      </c>
      <c r="G246" s="110">
        <f t="shared" si="101"/>
        <v>0.96556843145884119</v>
      </c>
      <c r="H246" s="409" t="b">
        <f>Wh_hp&gt;='2027'!Maxi_hp</f>
        <v>0</v>
      </c>
      <c r="I246" s="385">
        <f>IF(H246,Wh_hp,'2027'!Maxi_hp)</f>
        <v>216.29226150112041</v>
      </c>
      <c r="J246" s="85">
        <f>IF(H246,An,'2027'!An_max)</f>
        <v>2022</v>
      </c>
      <c r="K246" s="193">
        <f t="shared" si="79"/>
        <v>46984</v>
      </c>
      <c r="L246" s="143">
        <f>IF(t&lt;Tvie,1-EXP((T0-t)*PertePVj)+'2027'!Pspv,1-EXP((T0-t)*PertePVj)+Pspv)</f>
        <v>3.4437542644474628E-2</v>
      </c>
      <c r="M246" s="835"/>
      <c r="N246" s="835"/>
      <c r="O246" s="48">
        <f>IF(t&lt;Tnet,'2027'!Resal+('2027'!Salim-'2027'!Resal)*(1-EXP(('2027'!Tnet-t)/('2027'!Tau_j))),Resal+(Salim-Resal)*(1-EXP((Tnet-t)/(Tau_j))))*Salcycl</f>
        <v>1.7046630426631324E-2</v>
      </c>
      <c r="P246" s="165">
        <f>(INDEX(Models!$BJ246:$BT246,,T246)*(1-R246)+INDEX(Models!$BJ246:$BT246,,T246+1)*R246-ERP_i)*Q246*Ramure*Pc/MaxiM</f>
        <v>5.2227135245942074E-4</v>
      </c>
      <c r="Q246" s="301">
        <f t="shared" si="80"/>
        <v>0.5</v>
      </c>
      <c r="R246" s="173">
        <f t="shared" si="81"/>
        <v>0.46401005588141153</v>
      </c>
      <c r="S246" s="801">
        <f t="shared" si="82"/>
        <v>3</v>
      </c>
      <c r="T246" s="172">
        <f t="shared" si="83"/>
        <v>9</v>
      </c>
      <c r="U246" s="247">
        <f t="shared" si="84"/>
        <v>3.4640100558814115</v>
      </c>
      <c r="V246" s="378">
        <f t="shared" si="85"/>
        <v>212.48800871365995</v>
      </c>
      <c r="W246" s="397">
        <f t="shared" si="86"/>
        <v>205.17698298379878</v>
      </c>
      <c r="X246" s="153">
        <f t="shared" si="87"/>
        <v>46984</v>
      </c>
      <c r="Y246" s="380">
        <f t="shared" si="88"/>
        <v>197.48116419003941</v>
      </c>
      <c r="Z246" s="380">
        <f t="shared" si="89"/>
        <v>204.52448485921792</v>
      </c>
      <c r="AA246" s="381">
        <f t="shared" si="90"/>
        <v>216.17992027516556</v>
      </c>
      <c r="AB246" s="193">
        <f t="shared" si="91"/>
        <v>46984</v>
      </c>
      <c r="AC246" s="119">
        <f>IF(OR(t&lt;Tnet,NoTnet),'2027'!Resal_s+('2027'!Salim-'2027'!Resal_s)*(1-EXP(('2027'!Tnet_s-t)/'2027'!Tau_j)),Resal_s+(Salim-Resal_s)*(1-EXP((Tnet_s-t)/Tau_j)))*Salcycl</f>
        <v>5.3915439514974267E-2</v>
      </c>
      <c r="AD246" s="227">
        <f>(INDEX(Models!$BJ246:$BT246,,AH246)*(1-AF246)+INDEX(Models!$BJ246:$BT246,,AH246+1)*AF246-ERP_i)*AE246*Ramure*Pc/MaxiM</f>
        <v>5.2227135245942074E-4</v>
      </c>
      <c r="AE246" s="301">
        <f t="shared" si="92"/>
        <v>0.5</v>
      </c>
      <c r="AF246" s="173">
        <f t="shared" si="93"/>
        <v>0.46401005588141153</v>
      </c>
      <c r="AG246" s="801">
        <f t="shared" si="99"/>
        <v>3</v>
      </c>
      <c r="AH246" s="172">
        <f t="shared" si="94"/>
        <v>9</v>
      </c>
      <c r="AI246" s="221">
        <f t="shared" si="95"/>
        <v>3.4640100558814115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46985</v>
      </c>
      <c r="B247" s="406">
        <f>'2027'!Wh/'2027'!Env_an*'2028'!Env_an</f>
        <v>130.8960954498792</v>
      </c>
      <c r="C247" s="831"/>
      <c r="D247" s="388">
        <f t="shared" si="77"/>
        <v>135.566463189275</v>
      </c>
      <c r="E247" s="380">
        <f t="shared" si="100"/>
        <v>137.92762448517757</v>
      </c>
      <c r="F247" s="380">
        <f t="shared" si="78"/>
        <v>137.96029209371736</v>
      </c>
      <c r="G247" s="110">
        <f t="shared" si="101"/>
        <v>0.61812921975211554</v>
      </c>
      <c r="H247" s="409" t="b">
        <f>Wh_hp&gt;='2027'!Maxi_hp</f>
        <v>0</v>
      </c>
      <c r="I247" s="385">
        <f>IF(H247,Wh_hp,'2027'!Maxi_hp)</f>
        <v>137.99506704811625</v>
      </c>
      <c r="J247" s="85">
        <f>IF(H247,An,'2027'!An_max)</f>
        <v>2022</v>
      </c>
      <c r="K247" s="193">
        <f t="shared" si="79"/>
        <v>46985</v>
      </c>
      <c r="L247" s="143">
        <f>IF(t&lt;Tvie,1-EXP((T0-t)*PertePVj)+'2027'!Pspv,1-EXP((T0-t)*PertePVj)+Pspv)</f>
        <v>3.4450760383673451E-2</v>
      </c>
      <c r="M247" s="835"/>
      <c r="N247" s="835"/>
      <c r="O247" s="48">
        <f>IF(t&lt;Tnet,'2027'!Resal+('2027'!Salim-'2027'!Resal)*(1-EXP(('2027'!Tnet-t)/('2027'!Tau_j))),Resal+(Salim-Resal)*(1-EXP((Tnet-t)/(Tau_j))))*Salcycl</f>
        <v>1.7118842615579985E-2</v>
      </c>
      <c r="P247" s="165">
        <f>(INDEX(Models!$BJ247:$BT247,,T247)*(1-R247)+INDEX(Models!$BJ247:$BT247,,T247+1)*R247-ERP_i)*Q247*Ramure*Pc/MaxiM</f>
        <v>5.2073653995912661E-4</v>
      </c>
      <c r="Q247" s="301">
        <f t="shared" si="80"/>
        <v>0.5</v>
      </c>
      <c r="R247" s="173">
        <f t="shared" si="81"/>
        <v>0.46499318036507598</v>
      </c>
      <c r="S247" s="801">
        <f t="shared" si="82"/>
        <v>3</v>
      </c>
      <c r="T247" s="172">
        <f t="shared" si="83"/>
        <v>9</v>
      </c>
      <c r="U247" s="247">
        <f t="shared" si="84"/>
        <v>3.464993180365076</v>
      </c>
      <c r="V247" s="378">
        <f t="shared" si="85"/>
        <v>211.70155844990114</v>
      </c>
      <c r="W247" s="397">
        <f t="shared" si="86"/>
        <v>130.8960954498792</v>
      </c>
      <c r="X247" s="153">
        <f t="shared" si="87"/>
        <v>46985</v>
      </c>
      <c r="Y247" s="380">
        <f t="shared" si="88"/>
        <v>125.99173823202179</v>
      </c>
      <c r="Z247" s="380">
        <f t="shared" si="89"/>
        <v>130.48711869120856</v>
      </c>
      <c r="AA247" s="381">
        <f t="shared" si="90"/>
        <v>137.92762448517757</v>
      </c>
      <c r="AB247" s="193">
        <f t="shared" si="91"/>
        <v>46985</v>
      </c>
      <c r="AC247" s="119">
        <f>IF(OR(t&lt;Tnet,NoTnet),'2027'!Resal_s+('2027'!Salim-'2027'!Resal_s)*(1-EXP(('2027'!Tnet_s-t)/'2027'!Tau_j)),Resal_s+(Salim-Resal_s)*(1-EXP((Tnet_s-t)/Tau_j)))*Salcycl</f>
        <v>5.3945000660608089E-2</v>
      </c>
      <c r="AD247" s="227">
        <f>(INDEX(Models!$BJ247:$BT247,,AH247)*(1-AF247)+INDEX(Models!$BJ247:$BT247,,AH247+1)*AF247-ERP_i)*AE247*Ramure*Pc/MaxiM</f>
        <v>5.2073653995912661E-4</v>
      </c>
      <c r="AE247" s="301">
        <f t="shared" si="92"/>
        <v>0.5</v>
      </c>
      <c r="AF247" s="173">
        <f t="shared" si="93"/>
        <v>0.46499318036507598</v>
      </c>
      <c r="AG247" s="801">
        <f t="shared" si="99"/>
        <v>3</v>
      </c>
      <c r="AH247" s="172">
        <f t="shared" si="94"/>
        <v>9</v>
      </c>
      <c r="AI247" s="221">
        <f t="shared" si="95"/>
        <v>3.464993180365076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46986</v>
      </c>
      <c r="B248" s="406">
        <f>'2027'!Wh/'2027'!Env_an*'2028'!Env_an</f>
        <v>103.22637634997584</v>
      </c>
      <c r="C248" s="831"/>
      <c r="D248" s="388">
        <f t="shared" si="77"/>
        <v>106.91095307862867</v>
      </c>
      <c r="E248" s="380">
        <f t="shared" si="100"/>
        <v>108.78099752568107</v>
      </c>
      <c r="F248" s="380">
        <f t="shared" si="78"/>
        <v>108.79625745366184</v>
      </c>
      <c r="G248" s="110">
        <f t="shared" si="101"/>
        <v>0.48926363942666823</v>
      </c>
      <c r="H248" s="409" t="b">
        <f>Wh_hp&gt;='2027'!Maxi_hp</f>
        <v>0</v>
      </c>
      <c r="I248" s="385">
        <f>IF(H248,Wh_hp,'2027'!Maxi_hp)</f>
        <v>108.83273565768181</v>
      </c>
      <c r="J248" s="85">
        <f>IF(H248,An,'2027'!An_max)</f>
        <v>2022</v>
      </c>
      <c r="K248" s="193">
        <f t="shared" si="79"/>
        <v>46986</v>
      </c>
      <c r="L248" s="143">
        <f>IF(t&lt;Tvie,1-EXP((T0-t)*PertePVj)+'2027'!Pspv,1-EXP((T0-t)*PertePVj)+Pspv)</f>
        <v>3.4463977941932455E-2</v>
      </c>
      <c r="M248" s="835"/>
      <c r="N248" s="835"/>
      <c r="O248" s="48">
        <f>IF(t&lt;Tnet,'2027'!Resal+('2027'!Salim-'2027'!Resal)*(1-EXP(('2027'!Tnet-t)/('2027'!Tau_j))),Resal+(Salim-Resal)*(1-EXP((Tnet-t)/(Tau_j))))*Salcycl</f>
        <v>1.7190911000893514E-2</v>
      </c>
      <c r="P248" s="165">
        <f>(INDEX(Models!$BJ248:$BT248,,T248)*(1-R248)+INDEX(Models!$BJ248:$BT248,,T248+1)*R248-ERP_i)*Q248*Ramure*Pc/MaxiM</f>
        <v>5.1825678493004265E-4</v>
      </c>
      <c r="Q248" s="301">
        <f t="shared" si="80"/>
        <v>0.5</v>
      </c>
      <c r="R248" s="173">
        <f t="shared" si="81"/>
        <v>0.46594055471669416</v>
      </c>
      <c r="S248" s="801">
        <f t="shared" si="82"/>
        <v>3</v>
      </c>
      <c r="T248" s="172">
        <f t="shared" si="83"/>
        <v>9</v>
      </c>
      <c r="U248" s="247">
        <f t="shared" si="84"/>
        <v>3.4659405547166942</v>
      </c>
      <c r="V248" s="378">
        <f t="shared" si="85"/>
        <v>210.90337290410037</v>
      </c>
      <c r="W248" s="397">
        <f t="shared" si="86"/>
        <v>103.22637634997584</v>
      </c>
      <c r="X248" s="153">
        <f t="shared" si="87"/>
        <v>46986</v>
      </c>
      <c r="Y248" s="380">
        <f t="shared" si="88"/>
        <v>99.362939175120218</v>
      </c>
      <c r="Z248" s="380">
        <f t="shared" si="89"/>
        <v>102.90961383639036</v>
      </c>
      <c r="AA248" s="381">
        <f t="shared" si="90"/>
        <v>108.78099752568107</v>
      </c>
      <c r="AB248" s="193">
        <f t="shared" si="91"/>
        <v>46986</v>
      </c>
      <c r="AC248" s="119">
        <f>IF(OR(t&lt;Tnet,NoTnet),'2027'!Resal_s+('2027'!Salim-'2027'!Resal_s)*(1-EXP(('2027'!Tnet_s-t)/'2027'!Tau_j)),Resal_s+(Salim-Resal_s)*(1-EXP((Tnet_s-t)/Tau_j)))*Salcycl</f>
        <v>5.3974350510111783E-2</v>
      </c>
      <c r="AD248" s="227">
        <f>(INDEX(Models!$BJ248:$BT248,,AH248)*(1-AF248)+INDEX(Models!$BJ248:$BT248,,AH248+1)*AF248-ERP_i)*AE248*Ramure*Pc/MaxiM</f>
        <v>5.1825678493004265E-4</v>
      </c>
      <c r="AE248" s="301">
        <f t="shared" si="92"/>
        <v>0.5</v>
      </c>
      <c r="AF248" s="173">
        <f t="shared" si="93"/>
        <v>0.46594055471669416</v>
      </c>
      <c r="AG248" s="801">
        <f t="shared" si="99"/>
        <v>3</v>
      </c>
      <c r="AH248" s="172">
        <f t="shared" si="94"/>
        <v>9</v>
      </c>
      <c r="AI248" s="221">
        <f t="shared" si="95"/>
        <v>3.4659405547166942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46987</v>
      </c>
      <c r="B249" s="406">
        <f>'2027'!Wh/'2027'!Env_an*'2028'!Env_an</f>
        <v>179.15456664163742</v>
      </c>
      <c r="C249" s="831"/>
      <c r="D249" s="388">
        <f t="shared" si="77"/>
        <v>185.55187487350506</v>
      </c>
      <c r="E249" s="380">
        <f t="shared" si="100"/>
        <v>188.81129264966145</v>
      </c>
      <c r="F249" s="380">
        <f t="shared" si="78"/>
        <v>188.88809889609408</v>
      </c>
      <c r="G249" s="110">
        <f t="shared" si="101"/>
        <v>0.85264519167420705</v>
      </c>
      <c r="H249" s="409" t="b">
        <f>Wh_hp&gt;='2027'!Maxi_hp</f>
        <v>0</v>
      </c>
      <c r="I249" s="385">
        <f>IF(H249,Wh_hp,'2027'!Maxi_hp)</f>
        <v>188.9062372791623</v>
      </c>
      <c r="J249" s="85">
        <f>IF(H249,An,'2027'!An_max)</f>
        <v>2022</v>
      </c>
      <c r="K249" s="193">
        <f t="shared" si="79"/>
        <v>46987</v>
      </c>
      <c r="L249" s="143">
        <f>IF(t&lt;Tvie,1-EXP((T0-t)*PertePVj)+'2027'!Pspv,1-EXP((T0-t)*PertePVj)+Pspv)</f>
        <v>3.4477195319254195E-2</v>
      </c>
      <c r="M249" s="835"/>
      <c r="N249" s="835"/>
      <c r="O249" s="48">
        <f>IF(t&lt;Tnet,'2027'!Resal+('2027'!Salim-'2027'!Resal)*(1-EXP(('2027'!Tnet-t)/('2027'!Tau_j))),Resal+(Salim-Resal)*(1-EXP((Tnet-t)/(Tau_j))))*Salcycl</f>
        <v>1.7262832802083586E-2</v>
      </c>
      <c r="P249" s="165">
        <f>(INDEX(Models!$BJ249:$BT249,,T249)*(1-R249)+INDEX(Models!$BJ249:$BT249,,T249+1)*R249-ERP_i)*Q249*Ramure*Pc/MaxiM</f>
        <v>5.1495700433287263E-4</v>
      </c>
      <c r="Q249" s="301">
        <f t="shared" si="80"/>
        <v>0.5</v>
      </c>
      <c r="R249" s="173">
        <f t="shared" si="81"/>
        <v>0.46685333700108078</v>
      </c>
      <c r="S249" s="801">
        <f t="shared" si="82"/>
        <v>3</v>
      </c>
      <c r="T249" s="172">
        <f t="shared" si="83"/>
        <v>9</v>
      </c>
      <c r="U249" s="247">
        <f t="shared" si="84"/>
        <v>3.4668533370010808</v>
      </c>
      <c r="V249" s="378">
        <f t="shared" si="85"/>
        <v>210.09342686150285</v>
      </c>
      <c r="W249" s="397">
        <f t="shared" si="86"/>
        <v>179.15456664163742</v>
      </c>
      <c r="X249" s="153">
        <f t="shared" si="87"/>
        <v>46987</v>
      </c>
      <c r="Y249" s="380">
        <f t="shared" si="88"/>
        <v>172.45668719159667</v>
      </c>
      <c r="Z249" s="380">
        <f t="shared" si="89"/>
        <v>178.61482541432071</v>
      </c>
      <c r="AA249" s="381">
        <f t="shared" si="90"/>
        <v>188.81129264966145</v>
      </c>
      <c r="AB249" s="193">
        <f t="shared" si="91"/>
        <v>46987</v>
      </c>
      <c r="AC249" s="119">
        <f>IF(OR(t&lt;Tnet,NoTnet),'2027'!Resal_s+('2027'!Salim-'2027'!Resal_s)*(1-EXP(('2027'!Tnet_s-t)/'2027'!Tau_j)),Resal_s+(Salim-Resal_s)*(1-EXP((Tnet_s-t)/Tau_j)))*Salcycl</f>
        <v>5.4003481954123654E-2</v>
      </c>
      <c r="AD249" s="227">
        <f>(INDEX(Models!$BJ249:$BT249,,AH249)*(1-AF249)+INDEX(Models!$BJ249:$BT249,,AH249+1)*AF249-ERP_i)*AE249*Ramure*Pc/MaxiM</f>
        <v>5.1495700433287263E-4</v>
      </c>
      <c r="AE249" s="301">
        <f t="shared" si="92"/>
        <v>0.5</v>
      </c>
      <c r="AF249" s="173">
        <f t="shared" si="93"/>
        <v>0.46685333700108078</v>
      </c>
      <c r="AG249" s="801">
        <f t="shared" si="99"/>
        <v>3</v>
      </c>
      <c r="AH249" s="172">
        <f t="shared" si="94"/>
        <v>9</v>
      </c>
      <c r="AI249" s="221">
        <f t="shared" si="95"/>
        <v>3.4668533370010808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46988</v>
      </c>
      <c r="B250" s="406">
        <f>'2027'!Wh/'2027'!Env_an*'2028'!Env_an</f>
        <v>190.81759254379966</v>
      </c>
      <c r="C250" s="831"/>
      <c r="D250" s="388">
        <f t="shared" si="77"/>
        <v>197.63407325760076</v>
      </c>
      <c r="E250" s="380">
        <f t="shared" si="100"/>
        <v>201.12041625388011</v>
      </c>
      <c r="F250" s="380">
        <f t="shared" si="78"/>
        <v>201.21025196489364</v>
      </c>
      <c r="G250" s="110">
        <f t="shared" si="101"/>
        <v>0.91175866706458442</v>
      </c>
      <c r="H250" s="409" t="b">
        <f>Wh_hp&gt;='2027'!Maxi_hp</f>
        <v>0</v>
      </c>
      <c r="I250" s="385">
        <f>IF(H250,Wh_hp,'2027'!Maxi_hp)</f>
        <v>201.22172147178324</v>
      </c>
      <c r="J250" s="85">
        <f>IF(H250,An,'2027'!An_max)</f>
        <v>2022</v>
      </c>
      <c r="K250" s="193">
        <f t="shared" si="79"/>
        <v>46988</v>
      </c>
      <c r="L250" s="143">
        <f>IF(t&lt;Tvie,1-EXP((T0-t)*PertePVj)+'2027'!Pspv,1-EXP((T0-t)*PertePVj)+Pspv)</f>
        <v>3.4490412515641111E-2</v>
      </c>
      <c r="M250" s="835"/>
      <c r="N250" s="835"/>
      <c r="O250" s="48">
        <f>IF(t&lt;Tnet,'2027'!Resal+('2027'!Salim-'2027'!Resal)*(1-EXP(('2027'!Tnet-t)/('2027'!Tau_j))),Resal+(Salim-Resal)*(1-EXP((Tnet-t)/(Tau_j))))*Salcycl</f>
        <v>1.7334605114770807E-2</v>
      </c>
      <c r="P250" s="165">
        <f>(INDEX(Models!$BJ250:$BT250,,T250)*(1-R250)+INDEX(Models!$BJ250:$BT250,,T250+1)*R250-ERP_i)*Q250*Ramure*Pc/MaxiM</f>
        <v>5.1082852613491023E-4</v>
      </c>
      <c r="Q250" s="301">
        <f t="shared" si="80"/>
        <v>0.5</v>
      </c>
      <c r="R250" s="173">
        <f t="shared" si="81"/>
        <v>0.46773265855074486</v>
      </c>
      <c r="S250" s="801">
        <f t="shared" si="82"/>
        <v>3</v>
      </c>
      <c r="T250" s="172">
        <f t="shared" si="83"/>
        <v>9</v>
      </c>
      <c r="U250" s="247">
        <f t="shared" si="84"/>
        <v>3.4677326585507449</v>
      </c>
      <c r="V250" s="378">
        <f t="shared" si="85"/>
        <v>209.27172344104497</v>
      </c>
      <c r="W250" s="397">
        <f t="shared" si="86"/>
        <v>190.81759254379966</v>
      </c>
      <c r="X250" s="153">
        <f t="shared" si="87"/>
        <v>46988</v>
      </c>
      <c r="Y250" s="380">
        <f t="shared" si="88"/>
        <v>183.69148172269115</v>
      </c>
      <c r="Z250" s="380">
        <f t="shared" si="89"/>
        <v>190.25339997016542</v>
      </c>
      <c r="AA250" s="381">
        <f t="shared" si="90"/>
        <v>201.12041625388011</v>
      </c>
      <c r="AB250" s="193">
        <f t="shared" si="91"/>
        <v>46988</v>
      </c>
      <c r="AC250" s="119">
        <f>IF(OR(t&lt;Tnet,NoTnet),'2027'!Resal_s+('2027'!Salim-'2027'!Resal_s)*(1-EXP(('2027'!Tnet_s-t)/'2027'!Tau_j)),Resal_s+(Salim-Resal_s)*(1-EXP((Tnet_s-t)/Tau_j)))*Salcycl</f>
        <v>5.4032387592102715E-2</v>
      </c>
      <c r="AD250" s="227">
        <f>(INDEX(Models!$BJ250:$BT250,,AH250)*(1-AF250)+INDEX(Models!$BJ250:$BT250,,AH250+1)*AF250-ERP_i)*AE250*Ramure*Pc/MaxiM</f>
        <v>5.1082852613491023E-4</v>
      </c>
      <c r="AE250" s="301">
        <f t="shared" si="92"/>
        <v>0.5</v>
      </c>
      <c r="AF250" s="173">
        <f t="shared" si="93"/>
        <v>0.46773265855074486</v>
      </c>
      <c r="AG250" s="801">
        <f t="shared" si="99"/>
        <v>3</v>
      </c>
      <c r="AH250" s="172">
        <f t="shared" si="94"/>
        <v>9</v>
      </c>
      <c r="AI250" s="221">
        <f t="shared" si="95"/>
        <v>3.4677326585507449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46989</v>
      </c>
      <c r="B251" s="406">
        <f>'2027'!Wh/'2027'!Env_an*'2028'!Env_an</f>
        <v>133.65940499853525</v>
      </c>
      <c r="C251" s="831"/>
      <c r="D251" s="388">
        <f t="shared" si="77"/>
        <v>138.43594765003834</v>
      </c>
      <c r="E251" s="380">
        <f t="shared" si="100"/>
        <v>140.88828075231089</v>
      </c>
      <c r="F251" s="380">
        <f t="shared" si="78"/>
        <v>140.9230326996657</v>
      </c>
      <c r="G251" s="110">
        <f t="shared" si="101"/>
        <v>0.64107587653279863</v>
      </c>
      <c r="H251" s="409" t="b">
        <f>Wh_hp&gt;='2027'!Maxi_hp</f>
        <v>0</v>
      </c>
      <c r="I251" s="385">
        <f>IF(H251,Wh_hp,'2027'!Maxi_hp)</f>
        <v>140.95537461468533</v>
      </c>
      <c r="J251" s="85">
        <f>IF(H251,An,'2027'!An_max)</f>
        <v>2022</v>
      </c>
      <c r="K251" s="193">
        <f t="shared" si="79"/>
        <v>46989</v>
      </c>
      <c r="L251" s="143">
        <f>IF(t&lt;Tvie,1-EXP((T0-t)*PertePVj)+'2027'!Pspv,1-EXP((T0-t)*PertePVj)+Pspv)</f>
        <v>3.4503629531095759E-2</v>
      </c>
      <c r="M251" s="835"/>
      <c r="N251" s="835"/>
      <c r="O251" s="48">
        <f>IF(t&lt;Tnet,'2027'!Resal+('2027'!Salim-'2027'!Resal)*(1-EXP(('2027'!Tnet-t)/('2027'!Tau_j))),Resal+(Salim-Resal)*(1-EXP((Tnet-t)/(Tau_j))))*Salcycl</f>
        <v>1.7406224912232968E-2</v>
      </c>
      <c r="P251" s="165">
        <f>(INDEX(Models!$BJ251:$BT251,,T251)*(1-R251)+INDEX(Models!$BJ251:$BT251,,T251+1)*R251-ERP_i)*Q251*Ramure*Pc/MaxiM</f>
        <v>5.058625336183968E-4</v>
      </c>
      <c r="Q251" s="301">
        <f t="shared" si="80"/>
        <v>0.5</v>
      </c>
      <c r="R251" s="173">
        <f t="shared" si="81"/>
        <v>0.46857962371870965</v>
      </c>
      <c r="S251" s="801">
        <f t="shared" si="82"/>
        <v>3</v>
      </c>
      <c r="T251" s="172">
        <f t="shared" si="83"/>
        <v>9</v>
      </c>
      <c r="U251" s="247">
        <f t="shared" si="84"/>
        <v>3.4685796237187096</v>
      </c>
      <c r="V251" s="378">
        <f t="shared" si="85"/>
        <v>208.43826569851757</v>
      </c>
      <c r="W251" s="397">
        <f t="shared" si="86"/>
        <v>133.65940499853525</v>
      </c>
      <c r="X251" s="153">
        <f t="shared" si="87"/>
        <v>46989</v>
      </c>
      <c r="Y251" s="380">
        <f t="shared" si="88"/>
        <v>128.67335324667755</v>
      </c>
      <c r="Z251" s="380">
        <f t="shared" si="89"/>
        <v>133.27171098963933</v>
      </c>
      <c r="AA251" s="381">
        <f t="shared" si="90"/>
        <v>140.88828075231089</v>
      </c>
      <c r="AB251" s="193">
        <f t="shared" si="91"/>
        <v>46989</v>
      </c>
      <c r="AC251" s="119">
        <f>IF(OR(t&lt;Tnet,NoTnet),'2027'!Resal_s+('2027'!Salim-'2027'!Resal_s)*(1-EXP(('2027'!Tnet_s-t)/'2027'!Tau_j)),Resal_s+(Salim-Resal_s)*(1-EXP((Tnet_s-t)/Tau_j)))*Salcycl</f>
        <v>5.4061059741809837E-2</v>
      </c>
      <c r="AD251" s="227">
        <f>(INDEX(Models!$BJ251:$BT251,,AH251)*(1-AF251)+INDEX(Models!$BJ251:$BT251,,AH251+1)*AF251-ERP_i)*AE251*Ramure*Pc/MaxiM</f>
        <v>5.058625336183968E-4</v>
      </c>
      <c r="AE251" s="301">
        <f t="shared" si="92"/>
        <v>0.5</v>
      </c>
      <c r="AF251" s="173">
        <f t="shared" si="93"/>
        <v>0.46857962371870965</v>
      </c>
      <c r="AG251" s="801">
        <f t="shared" si="99"/>
        <v>3</v>
      </c>
      <c r="AH251" s="172">
        <f t="shared" si="94"/>
        <v>9</v>
      </c>
      <c r="AI251" s="221">
        <f t="shared" si="95"/>
        <v>3.4685796237187096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46990</v>
      </c>
      <c r="B252" s="406">
        <f>'2027'!Wh/'2027'!Env_an*'2028'!Env_an</f>
        <v>180.46955621018992</v>
      </c>
      <c r="C252" s="831"/>
      <c r="D252" s="388">
        <f t="shared" si="77"/>
        <v>186.92149679758396</v>
      </c>
      <c r="E252" s="380">
        <f t="shared" si="100"/>
        <v>190.24656713997629</v>
      </c>
      <c r="F252" s="380">
        <f t="shared" si="78"/>
        <v>190.32397454644871</v>
      </c>
      <c r="G252" s="110">
        <f t="shared" si="101"/>
        <v>0.86926175632794223</v>
      </c>
      <c r="H252" s="409" t="b">
        <f>Wh_hp&gt;='2027'!Maxi_hp</f>
        <v>0</v>
      </c>
      <c r="I252" s="385">
        <f>IF(H252,Wh_hp,'2027'!Maxi_hp)</f>
        <v>190.33969049923974</v>
      </c>
      <c r="J252" s="85">
        <f>IF(H252,An,'2027'!An_max)</f>
        <v>2022</v>
      </c>
      <c r="K252" s="193">
        <f t="shared" si="79"/>
        <v>46990</v>
      </c>
      <c r="L252" s="143">
        <f>IF(t&lt;Tvie,1-EXP((T0-t)*PertePVj)+'2027'!Pspv,1-EXP((T0-t)*PertePVj)+Pspv)</f>
        <v>3.4516846365620579E-2</v>
      </c>
      <c r="M252" s="835"/>
      <c r="N252" s="835"/>
      <c r="O252" s="48">
        <f>IF(t&lt;Tnet,'2027'!Resal+('2027'!Salim-'2027'!Resal)*(1-EXP(('2027'!Tnet-t)/('2027'!Tau_j))),Resal+(Salim-Resal)*(1-EXP((Tnet-t)/(Tau_j))))*Salcycl</f>
        <v>1.7477689045216238E-2</v>
      </c>
      <c r="P252" s="165">
        <f>(INDEX(Models!$BJ252:$BT252,,T252)*(1-R252)+INDEX(Models!$BJ252:$BT252,,T252+1)*R252-ERP_i)*Q252*Ramure*Pc/MaxiM</f>
        <v>5.0004964821510174E-4</v>
      </c>
      <c r="Q252" s="301">
        <f t="shared" si="80"/>
        <v>0.5</v>
      </c>
      <c r="R252" s="173">
        <f t="shared" si="81"/>
        <v>0.46939530972011312</v>
      </c>
      <c r="S252" s="801">
        <f t="shared" si="82"/>
        <v>3</v>
      </c>
      <c r="T252" s="172">
        <f t="shared" si="83"/>
        <v>9</v>
      </c>
      <c r="U252" s="247">
        <f t="shared" si="84"/>
        <v>3.4693953097201131</v>
      </c>
      <c r="V252" s="378">
        <f t="shared" si="85"/>
        <v>207.59305673165287</v>
      </c>
      <c r="W252" s="397">
        <f t="shared" si="86"/>
        <v>180.46955621018992</v>
      </c>
      <c r="X252" s="153">
        <f t="shared" si="87"/>
        <v>46990</v>
      </c>
      <c r="Y252" s="380">
        <f t="shared" si="88"/>
        <v>173.74470581577503</v>
      </c>
      <c r="Z252" s="380">
        <f t="shared" si="89"/>
        <v>179.95622726481122</v>
      </c>
      <c r="AA252" s="381">
        <f t="shared" si="90"/>
        <v>190.24656713997629</v>
      </c>
      <c r="AB252" s="193">
        <f t="shared" si="91"/>
        <v>46990</v>
      </c>
      <c r="AC252" s="119">
        <f>IF(OR(t&lt;Tnet,NoTnet),'2027'!Resal_s+('2027'!Salim-'2027'!Resal_s)*(1-EXP(('2027'!Tnet_s-t)/'2027'!Tau_j)),Resal_s+(Salim-Resal_s)*(1-EXP((Tnet_s-t)/Tau_j)))*Salcycl</f>
        <v>5.4089490443177485E-2</v>
      </c>
      <c r="AD252" s="227">
        <f>(INDEX(Models!$BJ252:$BT252,,AH252)*(1-AF252)+INDEX(Models!$BJ252:$BT252,,AH252+1)*AF252-ERP_i)*AE252*Ramure*Pc/MaxiM</f>
        <v>5.0004964821510174E-4</v>
      </c>
      <c r="AE252" s="301">
        <f t="shared" si="92"/>
        <v>0.5</v>
      </c>
      <c r="AF252" s="173">
        <f t="shared" si="93"/>
        <v>0.46939530972011312</v>
      </c>
      <c r="AG252" s="801">
        <f t="shared" si="99"/>
        <v>3</v>
      </c>
      <c r="AH252" s="172">
        <f t="shared" si="94"/>
        <v>9</v>
      </c>
      <c r="AI252" s="221">
        <f t="shared" si="95"/>
        <v>3.4693953097201131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46991</v>
      </c>
      <c r="B253" s="406">
        <f>'2027'!Wh/'2027'!Env_an*'2028'!Env_an</f>
        <v>197.41417077834384</v>
      </c>
      <c r="C253" s="831"/>
      <c r="D253" s="388">
        <f t="shared" si="77"/>
        <v>204.47469487832788</v>
      </c>
      <c r="E253" s="380">
        <f t="shared" si="100"/>
        <v>208.12711644603425</v>
      </c>
      <c r="F253" s="380">
        <f t="shared" si="78"/>
        <v>208.2232320393621</v>
      </c>
      <c r="G253" s="110">
        <f t="shared" si="101"/>
        <v>0.95487867945823834</v>
      </c>
      <c r="H253" s="409" t="b">
        <f>Wh_hp&gt;='2027'!Maxi_hp</f>
        <v>0</v>
      </c>
      <c r="I253" s="385">
        <f>IF(H253,Wh_hp,'2027'!Maxi_hp)</f>
        <v>208.22908354447418</v>
      </c>
      <c r="J253" s="85">
        <f>IF(H253,An,'2027'!An_max)</f>
        <v>2022</v>
      </c>
      <c r="K253" s="193">
        <f t="shared" si="79"/>
        <v>46991</v>
      </c>
      <c r="L253" s="143">
        <f>IF(t&lt;Tvie,1-EXP((T0-t)*PertePVj)+'2027'!Pspv,1-EXP((T0-t)*PertePVj)+Pspv)</f>
        <v>3.4530063019218016E-2</v>
      </c>
      <c r="M253" s="835"/>
      <c r="N253" s="835"/>
      <c r="O253" s="48">
        <f>IF(t&lt;Tnet,'2027'!Resal+('2027'!Salim-'2027'!Resal)*(1-EXP(('2027'!Tnet-t)/('2027'!Tau_j))),Resal+(Salim-Resal)*(1-EXP((Tnet-t)/(Tau_j))))*Salcycl</f>
        <v>1.7548994240034144E-2</v>
      </c>
      <c r="P253" s="165">
        <f>(INDEX(Models!$BJ253:$BT253,,T253)*(1-R253)+INDEX(Models!$BJ253:$BT253,,T253+1)*R253-ERP_i)*Q253*Ramure*Pc/MaxiM</f>
        <v>4.9338020543876438E-4</v>
      </c>
      <c r="Q253" s="301">
        <f t="shared" si="80"/>
        <v>0.5</v>
      </c>
      <c r="R253" s="173">
        <f t="shared" si="81"/>
        <v>0.47018076655536056</v>
      </c>
      <c r="S253" s="801">
        <f t="shared" si="82"/>
        <v>3</v>
      </c>
      <c r="T253" s="172">
        <f t="shared" si="83"/>
        <v>9</v>
      </c>
      <c r="U253" s="247">
        <f t="shared" si="84"/>
        <v>3.4701807665553606</v>
      </c>
      <c r="V253" s="378">
        <f t="shared" si="85"/>
        <v>206.73609959792313</v>
      </c>
      <c r="W253" s="397">
        <f t="shared" si="86"/>
        <v>197.41417077834384</v>
      </c>
      <c r="X253" s="153">
        <f t="shared" si="87"/>
        <v>46991</v>
      </c>
      <c r="Y253" s="380">
        <f t="shared" si="88"/>
        <v>190.06604344488795</v>
      </c>
      <c r="Z253" s="380">
        <f t="shared" si="89"/>
        <v>196.86376153695946</v>
      </c>
      <c r="AA253" s="381">
        <f t="shared" si="90"/>
        <v>208.12711644603425</v>
      </c>
      <c r="AB253" s="193">
        <f t="shared" si="91"/>
        <v>46991</v>
      </c>
      <c r="AC253" s="119">
        <f>IF(OR(t&lt;Tnet,NoTnet),'2027'!Resal_s+('2027'!Salim-'2027'!Resal_s)*(1-EXP(('2027'!Tnet_s-t)/'2027'!Tau_j)),Resal_s+(Salim-Resal_s)*(1-EXP((Tnet_s-t)/Tau_j)))*Salcycl</f>
        <v>5.4117671456786344E-2</v>
      </c>
      <c r="AD253" s="227">
        <f>(INDEX(Models!$BJ253:$BT253,,AH253)*(1-AF253)+INDEX(Models!$BJ253:$BT253,,AH253+1)*AF253-ERP_i)*AE253*Ramure*Pc/MaxiM</f>
        <v>4.9338020543876438E-4</v>
      </c>
      <c r="AE253" s="301">
        <f t="shared" si="92"/>
        <v>0.5</v>
      </c>
      <c r="AF253" s="173">
        <f t="shared" si="93"/>
        <v>0.47018076655536056</v>
      </c>
      <c r="AG253" s="801">
        <f t="shared" si="99"/>
        <v>3</v>
      </c>
      <c r="AH253" s="172">
        <f t="shared" si="94"/>
        <v>9</v>
      </c>
      <c r="AI253" s="221">
        <f t="shared" si="95"/>
        <v>3.4701807665553606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46992</v>
      </c>
      <c r="B254" s="406">
        <f>'2027'!Wh/'2027'!Env_an*'2028'!Env_an</f>
        <v>194.41389294194988</v>
      </c>
      <c r="C254" s="831"/>
      <c r="D254" s="388">
        <f t="shared" si="77"/>
        <v>201.36986859403905</v>
      </c>
      <c r="E254" s="380">
        <f t="shared" si="100"/>
        <v>204.98167378815131</v>
      </c>
      <c r="F254" s="380">
        <f t="shared" si="78"/>
        <v>205.07346152184357</v>
      </c>
      <c r="G254" s="110">
        <f t="shared" si="101"/>
        <v>0.94432850432924731</v>
      </c>
      <c r="H254" s="409" t="b">
        <f>Wh_hp&gt;='2027'!Maxi_hp</f>
        <v>0</v>
      </c>
      <c r="I254" s="385">
        <f>IF(H254,Wh_hp,'2027'!Maxi_hp)</f>
        <v>205.08046560040967</v>
      </c>
      <c r="J254" s="85">
        <f>IF(H254,An,'2027'!An_max)</f>
        <v>2022</v>
      </c>
      <c r="K254" s="193">
        <f t="shared" si="79"/>
        <v>46992</v>
      </c>
      <c r="L254" s="143">
        <f>IF(t&lt;Tvie,1-EXP((T0-t)*PertePVj)+'2027'!Pspv,1-EXP((T0-t)*PertePVj)+Pspv)</f>
        <v>3.4543279491890622E-2</v>
      </c>
      <c r="M254" s="835"/>
      <c r="N254" s="835"/>
      <c r="O254" s="48">
        <f>IF(t&lt;Tnet,'2027'!Resal+('2027'!Salim-'2027'!Resal)*(1-EXP(('2027'!Tnet-t)/('2027'!Tau_j))),Resal+(Salim-Resal)*(1-EXP((Tnet-t)/(Tau_j))))*Salcycl</f>
        <v>1.7620137095012086E-2</v>
      </c>
      <c r="P254" s="165">
        <f>(INDEX(Models!$BJ254:$BT254,,T254)*(1-R254)+INDEX(Models!$BJ254:$BT254,,T254+1)*R254-ERP_i)*Q254*Ramure*Pc/MaxiM</f>
        <v>4.8622946331818354E-4</v>
      </c>
      <c r="Q254" s="301">
        <f t="shared" si="80"/>
        <v>0.5</v>
      </c>
      <c r="R254" s="173">
        <f t="shared" si="81"/>
        <v>0.47093701700792012</v>
      </c>
      <c r="S254" s="801">
        <f t="shared" si="82"/>
        <v>3</v>
      </c>
      <c r="T254" s="172">
        <f t="shared" si="83"/>
        <v>9</v>
      </c>
      <c r="U254" s="247">
        <f t="shared" si="84"/>
        <v>3.4709370170079201</v>
      </c>
      <c r="V254" s="378">
        <f t="shared" si="85"/>
        <v>205.86731799160353</v>
      </c>
      <c r="W254" s="397">
        <f t="shared" si="86"/>
        <v>194.41389294194988</v>
      </c>
      <c r="X254" s="153">
        <f t="shared" si="87"/>
        <v>46992</v>
      </c>
      <c r="Y254" s="380">
        <f t="shared" si="88"/>
        <v>187.18547083504868</v>
      </c>
      <c r="Z254" s="380">
        <f t="shared" si="89"/>
        <v>193.8828192490441</v>
      </c>
      <c r="AA254" s="381">
        <f t="shared" si="90"/>
        <v>204.98167378815131</v>
      </c>
      <c r="AB254" s="193">
        <f t="shared" si="91"/>
        <v>46992</v>
      </c>
      <c r="AC254" s="119">
        <f>IF(OR(t&lt;Tnet,NoTnet),'2027'!Resal_s+('2027'!Salim-'2027'!Resal_s)*(1-EXP(('2027'!Tnet_s-t)/'2027'!Tau_j)),Resal_s+(Salim-Resal_s)*(1-EXP((Tnet_s-t)/Tau_j)))*Salcycl</f>
        <v>5.4145594257259767E-2</v>
      </c>
      <c r="AD254" s="227">
        <f>(INDEX(Models!$BJ254:$BT254,,AH254)*(1-AF254)+INDEX(Models!$BJ254:$BT254,,AH254+1)*AF254-ERP_i)*AE254*Ramure*Pc/MaxiM</f>
        <v>4.8622946331818354E-4</v>
      </c>
      <c r="AE254" s="301">
        <f t="shared" si="92"/>
        <v>0.5</v>
      </c>
      <c r="AF254" s="173">
        <f t="shared" si="93"/>
        <v>0.47093701700792012</v>
      </c>
      <c r="AG254" s="801">
        <f t="shared" si="99"/>
        <v>3</v>
      </c>
      <c r="AH254" s="172">
        <f t="shared" si="94"/>
        <v>9</v>
      </c>
      <c r="AI254" s="221">
        <f t="shared" si="95"/>
        <v>3.4709370170079201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46993</v>
      </c>
      <c r="B255" s="406">
        <f>'2027'!Wh/'2027'!Env_an*'2028'!Env_an</f>
        <v>130.87063679769616</v>
      </c>
      <c r="C255" s="831"/>
      <c r="D255" s="388">
        <f t="shared" si="77"/>
        <v>135.55494052852168</v>
      </c>
      <c r="E255" s="380">
        <f t="shared" si="100"/>
        <v>137.99624789195084</v>
      </c>
      <c r="F255" s="380">
        <f t="shared" si="78"/>
        <v>138.0282292143674</v>
      </c>
      <c r="G255" s="110">
        <f t="shared" si="101"/>
        <v>0.6382770639848816</v>
      </c>
      <c r="H255" s="409" t="b">
        <f>Wh_hp&gt;='2027'!Maxi_hp</f>
        <v>0</v>
      </c>
      <c r="I255" s="385">
        <f>IF(H255,Wh_hp,'2027'!Maxi_hp)</f>
        <v>138.05841280962883</v>
      </c>
      <c r="J255" s="85">
        <f>IF(H255,An,'2027'!An_max)</f>
        <v>2022</v>
      </c>
      <c r="K255" s="193">
        <f t="shared" si="79"/>
        <v>46993</v>
      </c>
      <c r="L255" s="143">
        <f>IF(t&lt;Tvie,1-EXP((T0-t)*PertePVj)+'2027'!Pspv,1-EXP((T0-t)*PertePVj)+Pspv)</f>
        <v>3.4556495783640728E-2</v>
      </c>
      <c r="M255" s="835"/>
      <c r="N255" s="835"/>
      <c r="O255" s="48">
        <f>IF(t&lt;Tnet,'2027'!Resal+('2027'!Salim-'2027'!Resal)*(1-EXP(('2027'!Tnet-t)/('2027'!Tau_j))),Resal+(Salim-Resal)*(1-EXP((Tnet-t)/(Tau_j))))*Salcycl</f>
        <v>1.7691114075367151E-2</v>
      </c>
      <c r="P255" s="165">
        <f>(INDEX(Models!$BJ255:$BT255,,T255)*(1-R255)+INDEX(Models!$BJ255:$BT255,,T255+1)*R255-ERP_i)*Q255*Ramure*Pc/MaxiM</f>
        <v>4.7923783309360265E-4</v>
      </c>
      <c r="Q255" s="301">
        <f t="shared" si="80"/>
        <v>0.5</v>
      </c>
      <c r="R255" s="173">
        <f t="shared" si="81"/>
        <v>0.47166505671021497</v>
      </c>
      <c r="S255" s="801">
        <f t="shared" si="82"/>
        <v>3</v>
      </c>
      <c r="T255" s="172">
        <f t="shared" si="83"/>
        <v>9</v>
      </c>
      <c r="U255" s="247">
        <f t="shared" si="84"/>
        <v>3.471665056710215</v>
      </c>
      <c r="V255" s="378">
        <f t="shared" si="85"/>
        <v>204.98658249055836</v>
      </c>
      <c r="W255" s="397">
        <f t="shared" si="86"/>
        <v>130.87063679769616</v>
      </c>
      <c r="X255" s="153">
        <f t="shared" si="87"/>
        <v>46993</v>
      </c>
      <c r="Y255" s="380">
        <f t="shared" si="88"/>
        <v>126.01021007094545</v>
      </c>
      <c r="Z255" s="380">
        <f t="shared" si="89"/>
        <v>130.52054265280563</v>
      </c>
      <c r="AA255" s="381">
        <f t="shared" si="90"/>
        <v>137.99624789195084</v>
      </c>
      <c r="AB255" s="193">
        <f t="shared" si="91"/>
        <v>46993</v>
      </c>
      <c r="AC255" s="119">
        <f>IF(OR(t&lt;Tnet,NoTnet),'2027'!Resal_s+('2027'!Salim-'2027'!Resal_s)*(1-EXP(('2027'!Tnet_s-t)/'2027'!Tau_j)),Resal_s+(Salim-Resal_s)*(1-EXP((Tnet_s-t)/Tau_j)))*Salcycl</f>
        <v>5.4173250021975872E-2</v>
      </c>
      <c r="AD255" s="227">
        <f>(INDEX(Models!$BJ255:$BT255,,AH255)*(1-AF255)+INDEX(Models!$BJ255:$BT255,,AH255+1)*AF255-ERP_i)*AE255*Ramure*Pc/MaxiM</f>
        <v>4.7923783309360265E-4</v>
      </c>
      <c r="AE255" s="301">
        <f t="shared" si="92"/>
        <v>0.5</v>
      </c>
      <c r="AF255" s="173">
        <f t="shared" si="93"/>
        <v>0.47166505671021497</v>
      </c>
      <c r="AG255" s="801">
        <f t="shared" si="99"/>
        <v>3</v>
      </c>
      <c r="AH255" s="172">
        <f t="shared" si="94"/>
        <v>9</v>
      </c>
      <c r="AI255" s="221">
        <f t="shared" si="95"/>
        <v>3.471665056710215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46994</v>
      </c>
      <c r="B256" s="406">
        <f>'2027'!Wh/'2027'!Env_an*'2028'!Env_an</f>
        <v>194.32594877158414</v>
      </c>
      <c r="C256" s="831"/>
      <c r="D256" s="388">
        <f t="shared" si="77"/>
        <v>201.28428863870778</v>
      </c>
      <c r="E256" s="380">
        <f t="shared" si="100"/>
        <v>204.92413504010725</v>
      </c>
      <c r="F256" s="380">
        <f t="shared" si="78"/>
        <v>205.01436340184699</v>
      </c>
      <c r="G256" s="110">
        <f t="shared" si="101"/>
        <v>0.9521091656482179</v>
      </c>
      <c r="H256" s="409" t="b">
        <f>Wh_hp&gt;='2027'!Maxi_hp</f>
        <v>0</v>
      </c>
      <c r="I256" s="385">
        <f>IF(H256,Wh_hp,'2027'!Maxi_hp)</f>
        <v>205.02021150821608</v>
      </c>
      <c r="J256" s="85">
        <f>IF(H256,An,'2027'!An_max)</f>
        <v>2022</v>
      </c>
      <c r="K256" s="193">
        <f t="shared" si="79"/>
        <v>46994</v>
      </c>
      <c r="L256" s="143">
        <f>IF(t&lt;Tvie,1-EXP((T0-t)*PertePVj)+'2027'!Pspv,1-EXP((T0-t)*PertePVj)+Pspv)</f>
        <v>3.4569711894470889E-2</v>
      </c>
      <c r="M256" s="835"/>
      <c r="N256" s="835"/>
      <c r="O256" s="48">
        <f>IF(t&lt;Tnet,'2027'!Resal+('2027'!Salim-'2027'!Resal)*(1-EXP(('2027'!Tnet-t)/('2027'!Tau_j))),Resal+(Salim-Resal)*(1-EXP((Tnet-t)/(Tau_j))))*Salcycl</f>
        <v>1.7761921506644792E-2</v>
      </c>
      <c r="P256" s="165">
        <f>(INDEX(Models!$BJ256:$BT256,,T256)*(1-R256)+INDEX(Models!$BJ256:$BT256,,T256+1)*R256-ERP_i)*Q256*Ramure*Pc/MaxiM</f>
        <v>4.7240667868465446E-4</v>
      </c>
      <c r="Q256" s="301">
        <f t="shared" si="80"/>
        <v>0.5</v>
      </c>
      <c r="R256" s="173">
        <f t="shared" si="81"/>
        <v>0.47236585427138955</v>
      </c>
      <c r="S256" s="801">
        <f t="shared" si="82"/>
        <v>3</v>
      </c>
      <c r="T256" s="172">
        <f t="shared" si="83"/>
        <v>9</v>
      </c>
      <c r="U256" s="247">
        <f t="shared" si="84"/>
        <v>3.4723658542713896</v>
      </c>
      <c r="V256" s="378">
        <f t="shared" si="85"/>
        <v>204.09389642816561</v>
      </c>
      <c r="W256" s="397">
        <f t="shared" si="86"/>
        <v>194.32594877158414</v>
      </c>
      <c r="X256" s="153">
        <f t="shared" si="87"/>
        <v>46994</v>
      </c>
      <c r="Y256" s="380">
        <f t="shared" si="88"/>
        <v>187.11691597157159</v>
      </c>
      <c r="Z256" s="380">
        <f t="shared" si="89"/>
        <v>193.81711789750503</v>
      </c>
      <c r="AA256" s="381">
        <f t="shared" si="90"/>
        <v>204.92413504010725</v>
      </c>
      <c r="AB256" s="193">
        <f t="shared" si="91"/>
        <v>46994</v>
      </c>
      <c r="AC256" s="119">
        <f>IF(OR(t&lt;Tnet,NoTnet),'2027'!Resal_s+('2027'!Salim-'2027'!Resal_s)*(1-EXP(('2027'!Tnet_s-t)/'2027'!Tau_j)),Resal_s+(Salim-Resal_s)*(1-EXP((Tnet_s-t)/Tau_j)))*Salcycl</f>
        <v>5.4200629615581204E-2</v>
      </c>
      <c r="AD256" s="227">
        <f>(INDEX(Models!$BJ256:$BT256,,AH256)*(1-AF256)+INDEX(Models!$BJ256:$BT256,,AH256+1)*AF256-ERP_i)*AE256*Ramure*Pc/MaxiM</f>
        <v>4.7240667868465446E-4</v>
      </c>
      <c r="AE256" s="301">
        <f t="shared" si="92"/>
        <v>0.5</v>
      </c>
      <c r="AF256" s="173">
        <f t="shared" si="93"/>
        <v>0.47236585427138955</v>
      </c>
      <c r="AG256" s="801">
        <f t="shared" si="99"/>
        <v>3</v>
      </c>
      <c r="AH256" s="172">
        <f t="shared" si="94"/>
        <v>9</v>
      </c>
      <c r="AI256" s="221">
        <f t="shared" si="95"/>
        <v>3.4723658542713896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46995</v>
      </c>
      <c r="B257" s="406">
        <f>'2027'!Wh/'2027'!Env_an*'2028'!Env_an</f>
        <v>86.447478266271858</v>
      </c>
      <c r="C257" s="831"/>
      <c r="D257" s="388">
        <f t="shared" si="77"/>
        <v>89.544178115120843</v>
      </c>
      <c r="E257" s="380">
        <f t="shared" si="100"/>
        <v>91.169971701517611</v>
      </c>
      <c r="F257" s="380">
        <f t="shared" si="78"/>
        <v>91.177582182826612</v>
      </c>
      <c r="G257" s="110">
        <f t="shared" si="101"/>
        <v>0.4252903328291342</v>
      </c>
      <c r="H257" s="409" t="b">
        <f>Wh_hp&gt;='2027'!Maxi_hp</f>
        <v>0</v>
      </c>
      <c r="I257" s="385">
        <f>IF(H257,Wh_hp,'2027'!Maxi_hp)</f>
        <v>91.208356380608777</v>
      </c>
      <c r="J257" s="85">
        <f>IF(H257,An,'2027'!An_max)</f>
        <v>2022</v>
      </c>
      <c r="K257" s="193">
        <f t="shared" si="79"/>
        <v>46995</v>
      </c>
      <c r="L257" s="143">
        <f>IF(t&lt;Tvie,1-EXP((T0-t)*PertePVj)+'2027'!Pspv,1-EXP((T0-t)*PertePVj)+Pspv)</f>
        <v>3.4582927824383658E-2</v>
      </c>
      <c r="M257" s="835"/>
      <c r="N257" s="835"/>
      <c r="O257" s="48">
        <f>IF(t&lt;Tnet,'2027'!Resal+('2027'!Salim-'2027'!Resal)*(1-EXP(('2027'!Tnet-t)/('2027'!Tau_j))),Resal+(Salim-Resal)*(1-EXP((Tnet-t)/(Tau_j))))*Salcycl</f>
        <v>1.7832555566864385E-2</v>
      </c>
      <c r="P257" s="165">
        <f>(INDEX(Models!$BJ257:$BT257,,T257)*(1-R257)+INDEX(Models!$BJ257:$BT257,,T257+1)*R257-ERP_i)*Q257*Ramure*Pc/MaxiM</f>
        <v>4.6573738168414135E-4</v>
      </c>
      <c r="Q257" s="301">
        <f t="shared" si="80"/>
        <v>0.5</v>
      </c>
      <c r="R257" s="173">
        <f t="shared" si="81"/>
        <v>0.47304035146108969</v>
      </c>
      <c r="S257" s="801">
        <f t="shared" si="82"/>
        <v>3</v>
      </c>
      <c r="T257" s="172">
        <f t="shared" si="83"/>
        <v>9</v>
      </c>
      <c r="U257" s="247">
        <f t="shared" si="84"/>
        <v>3.4730403514610897</v>
      </c>
      <c r="V257" s="378">
        <f t="shared" si="85"/>
        <v>203.18926314644139</v>
      </c>
      <c r="W257" s="397">
        <f t="shared" si="86"/>
        <v>86.447478266271858</v>
      </c>
      <c r="X257" s="153">
        <f t="shared" si="87"/>
        <v>46995</v>
      </c>
      <c r="Y257" s="380">
        <f t="shared" si="88"/>
        <v>83.244083048016222</v>
      </c>
      <c r="Z257" s="380">
        <f t="shared" si="89"/>
        <v>86.226031678123803</v>
      </c>
      <c r="AA257" s="381">
        <f t="shared" si="90"/>
        <v>91.169971701517611</v>
      </c>
      <c r="AB257" s="193">
        <f t="shared" si="91"/>
        <v>46995</v>
      </c>
      <c r="AC257" s="119">
        <f>IF(OR(t&lt;Tnet,NoTnet),'2027'!Resal_s+('2027'!Salim-'2027'!Resal_s)*(1-EXP(('2027'!Tnet_s-t)/'2027'!Tau_j)),Resal_s+(Salim-Resal_s)*(1-EXP((Tnet_s-t)/Tau_j)))*Salcycl</f>
        <v>5.422772357086858E-2</v>
      </c>
      <c r="AD257" s="227">
        <f>(INDEX(Models!$BJ257:$BT257,,AH257)*(1-AF257)+INDEX(Models!$BJ257:$BT257,,AH257+1)*AF257-ERP_i)*AE257*Ramure*Pc/MaxiM</f>
        <v>4.6573738168414135E-4</v>
      </c>
      <c r="AE257" s="301">
        <f t="shared" si="92"/>
        <v>0.5</v>
      </c>
      <c r="AF257" s="173">
        <f t="shared" si="93"/>
        <v>0.47304035146108969</v>
      </c>
      <c r="AG257" s="801">
        <f t="shared" si="99"/>
        <v>3</v>
      </c>
      <c r="AH257" s="172">
        <f t="shared" si="94"/>
        <v>9</v>
      </c>
      <c r="AI257" s="221">
        <f t="shared" si="95"/>
        <v>3.4730403514610897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46996</v>
      </c>
      <c r="B258" s="406">
        <f>'2027'!Wh/'2027'!Env_an*'2028'!Env_an</f>
        <v>171.93350848980484</v>
      </c>
      <c r="C258" s="831"/>
      <c r="D258" s="388">
        <f t="shared" si="77"/>
        <v>178.09490540695151</v>
      </c>
      <c r="E258" s="380">
        <f t="shared" si="100"/>
        <v>181.34146386088264</v>
      </c>
      <c r="F258" s="380">
        <f t="shared" si="78"/>
        <v>181.40692096050324</v>
      </c>
      <c r="G258" s="110">
        <f t="shared" si="101"/>
        <v>0.84992485798035156</v>
      </c>
      <c r="H258" s="409" t="b">
        <f>Wh_hp&gt;='2027'!Maxi_hp</f>
        <v>0</v>
      </c>
      <c r="I258" s="385">
        <f>IF(H258,Wh_hp,'2027'!Maxi_hp)</f>
        <v>181.4226808178222</v>
      </c>
      <c r="J258" s="85">
        <f>IF(H258,An,'2027'!An_max)</f>
        <v>2022</v>
      </c>
      <c r="K258" s="193">
        <f t="shared" si="79"/>
        <v>46996</v>
      </c>
      <c r="L258" s="143">
        <f>IF(t&lt;Tvie,1-EXP((T0-t)*PertePVj)+'2027'!Pspv,1-EXP((T0-t)*PertePVj)+Pspv)</f>
        <v>3.4596143573381366E-2</v>
      </c>
      <c r="M258" s="835"/>
      <c r="N258" s="835"/>
      <c r="O258" s="48">
        <f>IF(t&lt;Tnet,'2027'!Resal+('2027'!Salim-'2027'!Resal)*(1-EXP(('2027'!Tnet-t)/('2027'!Tau_j))),Resal+(Salim-Resal)*(1-EXP((Tnet-t)/(Tau_j))))*Salcycl</f>
        <v>1.7903012277554763E-2</v>
      </c>
      <c r="P258" s="165">
        <f>(INDEX(Models!$BJ258:$BT258,,T258)*(1-R258)+INDEX(Models!$BJ258:$BT258,,T258+1)*R258-ERP_i)*Q258*Ramure*Pc/MaxiM</f>
        <v>4.5923134254117576E-4</v>
      </c>
      <c r="Q258" s="301">
        <f t="shared" si="80"/>
        <v>0.5</v>
      </c>
      <c r="R258" s="173">
        <f t="shared" si="81"/>
        <v>0.47368946344371121</v>
      </c>
      <c r="S258" s="801">
        <f t="shared" si="82"/>
        <v>3</v>
      </c>
      <c r="T258" s="172">
        <f t="shared" si="83"/>
        <v>9</v>
      </c>
      <c r="U258" s="247">
        <f t="shared" si="84"/>
        <v>3.4736894634437112</v>
      </c>
      <c r="V258" s="378">
        <f t="shared" si="85"/>
        <v>202.27268601320128</v>
      </c>
      <c r="W258" s="397">
        <f t="shared" si="86"/>
        <v>171.93350848980484</v>
      </c>
      <c r="X258" s="153">
        <f t="shared" si="87"/>
        <v>46996</v>
      </c>
      <c r="Y258" s="380">
        <f t="shared" si="88"/>
        <v>165.56953151494872</v>
      </c>
      <c r="Z258" s="380">
        <f t="shared" si="89"/>
        <v>171.50286940824319</v>
      </c>
      <c r="AA258" s="381">
        <f t="shared" si="90"/>
        <v>181.34146386088264</v>
      </c>
      <c r="AB258" s="193">
        <f t="shared" si="91"/>
        <v>46996</v>
      </c>
      <c r="AC258" s="119">
        <f>IF(OR(t&lt;Tnet,NoTnet),'2027'!Resal_s+('2027'!Salim-'2027'!Resal_s)*(1-EXP(('2027'!Tnet_s-t)/'2027'!Tau_j)),Resal_s+(Salim-Resal_s)*(1-EXP((Tnet_s-t)/Tau_j)))*Salcycl</f>
        <v>5.4254522066653127E-2</v>
      </c>
      <c r="AD258" s="227">
        <f>(INDEX(Models!$BJ258:$BT258,,AH258)*(1-AF258)+INDEX(Models!$BJ258:$BT258,,AH258+1)*AF258-ERP_i)*AE258*Ramure*Pc/MaxiM</f>
        <v>4.5923134254117576E-4</v>
      </c>
      <c r="AE258" s="301">
        <f t="shared" si="92"/>
        <v>0.5</v>
      </c>
      <c r="AF258" s="173">
        <f t="shared" si="93"/>
        <v>0.47368946344371121</v>
      </c>
      <c r="AG258" s="801">
        <f t="shared" si="99"/>
        <v>3</v>
      </c>
      <c r="AH258" s="172">
        <f t="shared" si="94"/>
        <v>9</v>
      </c>
      <c r="AI258" s="221">
        <f t="shared" si="95"/>
        <v>3.4736894634437112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46997</v>
      </c>
      <c r="B259" s="406">
        <f>'2027'!Wh/'2027'!Env_an*'2028'!Env_an</f>
        <v>169.46883627849061</v>
      </c>
      <c r="C259" s="831"/>
      <c r="D259" s="388">
        <f t="shared" si="77"/>
        <v>175.54431243271634</v>
      </c>
      <c r="E259" s="380">
        <f t="shared" si="100"/>
        <v>178.75716637557736</v>
      </c>
      <c r="F259" s="380">
        <f t="shared" si="78"/>
        <v>178.81983628215906</v>
      </c>
      <c r="G259" s="110">
        <f t="shared" si="101"/>
        <v>0.84160109285003659</v>
      </c>
      <c r="H259" s="409" t="b">
        <f>Wh_hp&gt;='2027'!Maxi_hp</f>
        <v>0</v>
      </c>
      <c r="I259" s="385">
        <f>IF(H259,Wh_hp,'2027'!Maxi_hp)</f>
        <v>178.8360068834514</v>
      </c>
      <c r="J259" s="85">
        <f>IF(H259,An,'2027'!An_max)</f>
        <v>2022</v>
      </c>
      <c r="K259" s="193">
        <f t="shared" si="79"/>
        <v>46997</v>
      </c>
      <c r="L259" s="143">
        <f>IF(t&lt;Tvie,1-EXP((T0-t)*PertePVj)+'2027'!Pspv,1-EXP((T0-t)*PertePVj)+Pspv)</f>
        <v>3.4609359141466678E-2</v>
      </c>
      <c r="M259" s="835"/>
      <c r="N259" s="835"/>
      <c r="O259" s="48">
        <f>IF(t&lt;Tnet,'2027'!Resal+('2027'!Salim-'2027'!Resal)*(1-EXP(('2027'!Tnet-t)/('2027'!Tau_j))),Resal+(Salim-Resal)*(1-EXP((Tnet-t)/(Tau_j))))*Salcycl</f>
        <v>1.7973287493888039E-2</v>
      </c>
      <c r="P259" s="165">
        <f>(INDEX(Models!$BJ259:$BT259,,T259)*(1-R259)+INDEX(Models!$BJ259:$BT259,,T259+1)*R259-ERP_i)*Q259*Ramure*Pc/MaxiM</f>
        <v>4.528899816399347E-4</v>
      </c>
      <c r="Q259" s="301">
        <f t="shared" si="80"/>
        <v>0.5</v>
      </c>
      <c r="R259" s="173">
        <f t="shared" si="81"/>
        <v>0.47431407905791767</v>
      </c>
      <c r="S259" s="801">
        <f t="shared" si="82"/>
        <v>3</v>
      </c>
      <c r="T259" s="172">
        <f t="shared" si="83"/>
        <v>9</v>
      </c>
      <c r="U259" s="247">
        <f t="shared" si="84"/>
        <v>3.4743140790579177</v>
      </c>
      <c r="V259" s="378">
        <f t="shared" si="85"/>
        <v>201.34416841020325</v>
      </c>
      <c r="W259" s="397">
        <f t="shared" si="86"/>
        <v>169.46883627849061</v>
      </c>
      <c r="X259" s="153">
        <f t="shared" si="87"/>
        <v>46997</v>
      </c>
      <c r="Y259" s="380">
        <f t="shared" si="88"/>
        <v>163.20319377239738</v>
      </c>
      <c r="Z259" s="380">
        <f t="shared" si="89"/>
        <v>169.05404596346497</v>
      </c>
      <c r="AA259" s="381">
        <f t="shared" si="90"/>
        <v>178.75716637557736</v>
      </c>
      <c r="AB259" s="193">
        <f t="shared" si="91"/>
        <v>46997</v>
      </c>
      <c r="AC259" s="119">
        <f>IF(OR(t&lt;Tnet,NoTnet),'2027'!Resal_s+('2027'!Salim-'2027'!Resal_s)*(1-EXP(('2027'!Tnet_s-t)/'2027'!Tau_j)),Resal_s+(Salim-Resal_s)*(1-EXP((Tnet_s-t)/Tau_j)))*Salcycl</f>
        <v>5.4281014903344679E-2</v>
      </c>
      <c r="AD259" s="227">
        <f>(INDEX(Models!$BJ259:$BT259,,AH259)*(1-AF259)+INDEX(Models!$BJ259:$BT259,,AH259+1)*AF259-ERP_i)*AE259*Ramure*Pc/MaxiM</f>
        <v>4.528899816399347E-4</v>
      </c>
      <c r="AE259" s="301">
        <f t="shared" si="92"/>
        <v>0.5</v>
      </c>
      <c r="AF259" s="173">
        <f t="shared" si="93"/>
        <v>0.47431407905791767</v>
      </c>
      <c r="AG259" s="801">
        <f t="shared" si="99"/>
        <v>3</v>
      </c>
      <c r="AH259" s="172">
        <f t="shared" si="94"/>
        <v>9</v>
      </c>
      <c r="AI259" s="221">
        <f t="shared" si="95"/>
        <v>3.4743140790579177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46998</v>
      </c>
      <c r="B260" s="406">
        <f>'2027'!Wh/'2027'!Env_an*'2028'!Env_an</f>
        <v>132.37501490209095</v>
      </c>
      <c r="C260" s="831"/>
      <c r="D260" s="388">
        <f t="shared" si="77"/>
        <v>137.12255063086556</v>
      </c>
      <c r="E260" s="380">
        <f t="shared" si="100"/>
        <v>139.64216687816335</v>
      </c>
      <c r="F260" s="380">
        <f t="shared" si="78"/>
        <v>139.67430380110599</v>
      </c>
      <c r="G260" s="110">
        <f t="shared" si="101"/>
        <v>0.66039859954637448</v>
      </c>
      <c r="H260" s="409" t="b">
        <f>Wh_hp&gt;='2027'!Maxi_hp</f>
        <v>0</v>
      </c>
      <c r="I260" s="385">
        <f>IF(H260,Wh_hp,'2027'!Maxi_hp)</f>
        <v>139.70102045088095</v>
      </c>
      <c r="J260" s="85">
        <f>IF(H260,An,'2027'!An_max)</f>
        <v>2022</v>
      </c>
      <c r="K260" s="193">
        <f t="shared" si="79"/>
        <v>46998</v>
      </c>
      <c r="L260" s="143">
        <f>IF(t&lt;Tvie,1-EXP((T0-t)*PertePVj)+'2027'!Pspv,1-EXP((T0-t)*PertePVj)+Pspv)</f>
        <v>3.4622574528641925E-2</v>
      </c>
      <c r="M260" s="835"/>
      <c r="N260" s="835"/>
      <c r="O260" s="48">
        <f>IF(t&lt;Tnet,'2027'!Resal+('2027'!Salim-'2027'!Resal)*(1-EXP(('2027'!Tnet-t)/('2027'!Tau_j))),Resal+(Salim-Resal)*(1-EXP((Tnet-t)/(Tau_j))))*Salcycl</f>
        <v>1.8043376894145088E-2</v>
      </c>
      <c r="P260" s="165">
        <f>(INDEX(Models!$BJ260:$BT260,,T260)*(1-R260)+INDEX(Models!$BJ260:$BT260,,T260+1)*R260-ERP_i)*Q260*Ramure*Pc/MaxiM</f>
        <v>4.4671474020638286E-4</v>
      </c>
      <c r="Q260" s="301">
        <f t="shared" si="80"/>
        <v>0.5</v>
      </c>
      <c r="R260" s="173">
        <f t="shared" si="81"/>
        <v>0.47491506113654314</v>
      </c>
      <c r="S260" s="801">
        <f t="shared" si="82"/>
        <v>3</v>
      </c>
      <c r="T260" s="172">
        <f t="shared" si="83"/>
        <v>9</v>
      </c>
      <c r="U260" s="247">
        <f t="shared" si="84"/>
        <v>3.4749150611365431</v>
      </c>
      <c r="V260" s="378">
        <f t="shared" si="85"/>
        <v>200.40371374378188</v>
      </c>
      <c r="W260" s="397">
        <f t="shared" si="86"/>
        <v>132.37501490209095</v>
      </c>
      <c r="X260" s="153">
        <f t="shared" si="87"/>
        <v>46998</v>
      </c>
      <c r="Y260" s="380">
        <f t="shared" si="88"/>
        <v>127.48638450554165</v>
      </c>
      <c r="Z260" s="380">
        <f t="shared" si="89"/>
        <v>132.05859298325188</v>
      </c>
      <c r="AA260" s="381">
        <f t="shared" si="90"/>
        <v>139.64216687816335</v>
      </c>
      <c r="AB260" s="193">
        <f t="shared" si="91"/>
        <v>46998</v>
      </c>
      <c r="AC260" s="119">
        <f>IF(OR(t&lt;Tnet,NoTnet),'2027'!Resal_s+('2027'!Salim-'2027'!Resal_s)*(1-EXP(('2027'!Tnet_s-t)/'2027'!Tau_j)),Resal_s+(Salim-Resal_s)*(1-EXP((Tnet_s-t)/Tau_j)))*Salcycl</f>
        <v>5.4307191476970336E-2</v>
      </c>
      <c r="AD260" s="227">
        <f>(INDEX(Models!$BJ260:$BT260,,AH260)*(1-AF260)+INDEX(Models!$BJ260:$BT260,,AH260+1)*AF260-ERP_i)*AE260*Ramure*Pc/MaxiM</f>
        <v>4.4671474020638286E-4</v>
      </c>
      <c r="AE260" s="301">
        <f t="shared" si="92"/>
        <v>0.5</v>
      </c>
      <c r="AF260" s="173">
        <f t="shared" si="93"/>
        <v>0.47491506113654314</v>
      </c>
      <c r="AG260" s="801">
        <f t="shared" si="99"/>
        <v>3</v>
      </c>
      <c r="AH260" s="172">
        <f t="shared" si="94"/>
        <v>9</v>
      </c>
      <c r="AI260" s="221">
        <f t="shared" si="95"/>
        <v>3.4749150611365431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46999</v>
      </c>
      <c r="B261" s="406">
        <f>'2027'!Wh/'2027'!Env_an*'2028'!Env_an</f>
        <v>186.46602705942342</v>
      </c>
      <c r="C261" s="831"/>
      <c r="D261" s="388">
        <f t="shared" si="77"/>
        <v>193.15614260054201</v>
      </c>
      <c r="E261" s="380">
        <f t="shared" si="100"/>
        <v>196.71937492699834</v>
      </c>
      <c r="F261" s="380">
        <f t="shared" si="78"/>
        <v>196.7980386674804</v>
      </c>
      <c r="G261" s="110">
        <f t="shared" si="101"/>
        <v>0.93485656483573354</v>
      </c>
      <c r="H261" s="409" t="b">
        <f>Wh_hp&gt;='2027'!Maxi_hp</f>
        <v>0</v>
      </c>
      <c r="I261" s="385">
        <f>IF(H261,Wh_hp,'2027'!Maxi_hp)</f>
        <v>196.80516308145275</v>
      </c>
      <c r="J261" s="85">
        <f>IF(H261,An,'2027'!An_max)</f>
        <v>2022</v>
      </c>
      <c r="K261" s="193">
        <f t="shared" si="79"/>
        <v>46999</v>
      </c>
      <c r="L261" s="143">
        <f>IF(t&lt;Tvie,1-EXP((T0-t)*PertePVj)+'2027'!Pspv,1-EXP((T0-t)*PertePVj)+Pspv)</f>
        <v>3.463578973490955E-2</v>
      </c>
      <c r="M261" s="835"/>
      <c r="N261" s="835"/>
      <c r="O261" s="48">
        <f>IF(t&lt;Tnet,'2027'!Resal+('2027'!Salim-'2027'!Resal)*(1-EXP(('2027'!Tnet-t)/('2027'!Tau_j))),Resal+(Salim-Resal)*(1-EXP((Tnet-t)/(Tau_j))))*Salcycl</f>
        <v>1.8113275968768373E-2</v>
      </c>
      <c r="P261" s="165">
        <f>(INDEX(Models!$BJ261:$BT261,,T261)*(1-R261)+INDEX(Models!$BJ261:$BT261,,T261+1)*R261-ERP_i)*Q261*Ramure*Pc/MaxiM</f>
        <v>4.407070811820855E-4</v>
      </c>
      <c r="Q261" s="301">
        <f t="shared" si="80"/>
        <v>0.5</v>
      </c>
      <c r="R261" s="173">
        <f t="shared" si="81"/>
        <v>0.47549324686230765</v>
      </c>
      <c r="S261" s="801">
        <f t="shared" si="82"/>
        <v>3</v>
      </c>
      <c r="T261" s="172">
        <f t="shared" si="83"/>
        <v>9</v>
      </c>
      <c r="U261" s="247">
        <f t="shared" si="84"/>
        <v>3.4754932468623077</v>
      </c>
      <c r="V261" s="378">
        <f t="shared" si="85"/>
        <v>199.45132544015689</v>
      </c>
      <c r="W261" s="397">
        <f t="shared" si="86"/>
        <v>186.46602705942342</v>
      </c>
      <c r="X261" s="153">
        <f t="shared" si="87"/>
        <v>46999</v>
      </c>
      <c r="Y261" s="380">
        <f t="shared" si="88"/>
        <v>179.58768205796417</v>
      </c>
      <c r="Z261" s="380">
        <f t="shared" si="89"/>
        <v>186.03101311229378</v>
      </c>
      <c r="AA261" s="381">
        <f t="shared" si="90"/>
        <v>196.71937492699834</v>
      </c>
      <c r="AB261" s="193">
        <f t="shared" si="91"/>
        <v>46999</v>
      </c>
      <c r="AC261" s="119">
        <f>IF(OR(t&lt;Tnet,NoTnet),'2027'!Resal_s+('2027'!Salim-'2027'!Resal_s)*(1-EXP(('2027'!Tnet_s-t)/'2027'!Tau_j)),Resal_s+(Salim-Resal_s)*(1-EXP((Tnet_s-t)/Tau_j)))*Salcycl</f>
        <v>5.4333040752447416E-2</v>
      </c>
      <c r="AD261" s="227">
        <f>(INDEX(Models!$BJ261:$BT261,,AH261)*(1-AF261)+INDEX(Models!$BJ261:$BT261,,AH261+1)*AF261-ERP_i)*AE261*Ramure*Pc/MaxiM</f>
        <v>4.407070811820855E-4</v>
      </c>
      <c r="AE261" s="301">
        <f t="shared" si="92"/>
        <v>0.5</v>
      </c>
      <c r="AF261" s="173">
        <f t="shared" si="93"/>
        <v>0.47549324686230765</v>
      </c>
      <c r="AG261" s="801">
        <f t="shared" si="99"/>
        <v>3</v>
      </c>
      <c r="AH261" s="172">
        <f t="shared" si="94"/>
        <v>9</v>
      </c>
      <c r="AI261" s="221">
        <f t="shared" si="95"/>
        <v>3.4754932468623077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47000</v>
      </c>
      <c r="B262" s="406">
        <f>'2027'!Wh/'2027'!Env_an*'2028'!Env_an</f>
        <v>164.68086470634614</v>
      </c>
      <c r="C262" s="831"/>
      <c r="D262" s="388">
        <f t="shared" si="77"/>
        <v>170.59169723593703</v>
      </c>
      <c r="E262" s="380">
        <f t="shared" si="100"/>
        <v>173.75100834730793</v>
      </c>
      <c r="F262" s="380">
        <f t="shared" si="78"/>
        <v>173.80821611853028</v>
      </c>
      <c r="G262" s="110">
        <f t="shared" si="101"/>
        <v>0.82959308298116374</v>
      </c>
      <c r="H262" s="409" t="b">
        <f>Wh_hp&gt;='2027'!Maxi_hp</f>
        <v>0</v>
      </c>
      <c r="I262" s="385">
        <f>IF(H262,Wh_hp,'2027'!Maxi_hp)</f>
        <v>173.8244682935279</v>
      </c>
      <c r="J262" s="85">
        <f>IF(H262,An,'2027'!An_max)</f>
        <v>2022</v>
      </c>
      <c r="K262" s="193">
        <f t="shared" si="79"/>
        <v>47000</v>
      </c>
      <c r="L262" s="143">
        <f>IF(t&lt;Tvie,1-EXP((T0-t)*PertePVj)+'2027'!Pspv,1-EXP((T0-t)*PertePVj)+Pspv)</f>
        <v>3.4649004760272106E-2</v>
      </c>
      <c r="M262" s="835"/>
      <c r="N262" s="835"/>
      <c r="O262" s="48">
        <f>IF(t&lt;Tnet,'2027'!Resal+('2027'!Salim-'2027'!Resal)*(1-EXP(('2027'!Tnet-t)/('2027'!Tau_j))),Resal+(Salim-Resal)*(1-EXP((Tnet-t)/(Tau_j))))*Salcycl</f>
        <v>1.8182980009277466E-2</v>
      </c>
      <c r="P262" s="165">
        <f>(INDEX(Models!$BJ262:$BT262,,T262)*(1-R262)+INDEX(Models!$BJ262:$BT262,,T262+1)*R262-ERP_i)*Q262*Ramure*Pc/MaxiM</f>
        <v>4.349791449046607E-4</v>
      </c>
      <c r="Q262" s="301">
        <f t="shared" si="80"/>
        <v>0.5</v>
      </c>
      <c r="R262" s="173">
        <f t="shared" si="81"/>
        <v>0.47604944815507944</v>
      </c>
      <c r="S262" s="801">
        <f t="shared" si="82"/>
        <v>3</v>
      </c>
      <c r="T262" s="172">
        <f t="shared" si="83"/>
        <v>9</v>
      </c>
      <c r="U262" s="247">
        <f t="shared" si="84"/>
        <v>3.4760494481550794</v>
      </c>
      <c r="V262" s="378">
        <f t="shared" si="85"/>
        <v>198.48698496980703</v>
      </c>
      <c r="W262" s="397">
        <f t="shared" si="86"/>
        <v>164.68086470634614</v>
      </c>
      <c r="X262" s="153">
        <f t="shared" si="87"/>
        <v>47000</v>
      </c>
      <c r="Y262" s="380">
        <f t="shared" si="88"/>
        <v>158.61311050192793</v>
      </c>
      <c r="Z262" s="380">
        <f t="shared" si="89"/>
        <v>164.30615525759018</v>
      </c>
      <c r="AA262" s="381">
        <f t="shared" si="90"/>
        <v>173.75100834730793</v>
      </c>
      <c r="AB262" s="193">
        <f t="shared" si="91"/>
        <v>47000</v>
      </c>
      <c r="AC262" s="119">
        <f>IF(OR(t&lt;Tnet,NoTnet),'2027'!Resal_s+('2027'!Salim-'2027'!Resal_s)*(1-EXP(('2027'!Tnet_s-t)/'2027'!Tau_j)),Resal_s+(Salim-Resal_s)*(1-EXP((Tnet_s-t)/Tau_j)))*Salcycl</f>
        <v>5.4358551236943511E-2</v>
      </c>
      <c r="AD262" s="227">
        <f>(INDEX(Models!$BJ262:$BT262,,AH262)*(1-AF262)+INDEX(Models!$BJ262:$BT262,,AH262+1)*AF262-ERP_i)*AE262*Ramure*Pc/MaxiM</f>
        <v>4.349791449046607E-4</v>
      </c>
      <c r="AE262" s="301">
        <f t="shared" si="92"/>
        <v>0.5</v>
      </c>
      <c r="AF262" s="173">
        <f t="shared" si="93"/>
        <v>0.47604944815507944</v>
      </c>
      <c r="AG262" s="801">
        <f t="shared" si="99"/>
        <v>3</v>
      </c>
      <c r="AH262" s="172">
        <f t="shared" si="94"/>
        <v>9</v>
      </c>
      <c r="AI262" s="221">
        <f t="shared" si="95"/>
        <v>3.4760494481550794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47001</v>
      </c>
      <c r="B263" s="406">
        <f>'2027'!Wh/'2027'!Env_an*'2028'!Env_an</f>
        <v>184.67728537980182</v>
      </c>
      <c r="C263" s="831"/>
      <c r="D263" s="388">
        <f t="shared" si="77"/>
        <v>191.30846127682244</v>
      </c>
      <c r="E263" s="380">
        <f t="shared" si="100"/>
        <v>194.86523589614094</v>
      </c>
      <c r="F263" s="380">
        <f t="shared" si="78"/>
        <v>194.94123085257627</v>
      </c>
      <c r="G263" s="110">
        <f t="shared" si="101"/>
        <v>0.93498709166177318</v>
      </c>
      <c r="H263" s="409" t="b">
        <f>Wh_hp&gt;='2027'!Maxi_hp</f>
        <v>0</v>
      </c>
      <c r="I263" s="385">
        <f>IF(H263,Wh_hp,'2027'!Maxi_hp)</f>
        <v>194.94810319538493</v>
      </c>
      <c r="J263" s="85">
        <f>IF(H263,An,'2027'!An_max)</f>
        <v>2022</v>
      </c>
      <c r="K263" s="193">
        <f t="shared" si="79"/>
        <v>47001</v>
      </c>
      <c r="L263" s="143">
        <f>IF(t&lt;Tvie,1-EXP((T0-t)*PertePVj)+'2027'!Pspv,1-EXP((T0-t)*PertePVj)+Pspv)</f>
        <v>3.4662219604732147E-2</v>
      </c>
      <c r="M263" s="835"/>
      <c r="N263" s="835"/>
      <c r="O263" s="48">
        <f>IF(t&lt;Tnet,'2027'!Resal+('2027'!Salim-'2027'!Resal)*(1-EXP(('2027'!Tnet-t)/('2027'!Tau_j))),Resal+(Salim-Resal)*(1-EXP((Tnet-t)/(Tau_j))))*Salcycl</f>
        <v>1.8252484097338931E-2</v>
      </c>
      <c r="P263" s="165">
        <f>(INDEX(Models!$BJ263:$BT263,,T263)*(1-R263)+INDEX(Models!$BJ263:$BT263,,T263+1)*R263-ERP_i)*Q263*Ramure*Pc/MaxiM</f>
        <v>4.2972309213701814E-4</v>
      </c>
      <c r="Q263" s="301">
        <f t="shared" si="80"/>
        <v>0.5</v>
      </c>
      <c r="R263" s="173">
        <f t="shared" si="81"/>
        <v>0.47658445208671107</v>
      </c>
      <c r="S263" s="801">
        <f t="shared" si="82"/>
        <v>3</v>
      </c>
      <c r="T263" s="172">
        <f t="shared" si="83"/>
        <v>9</v>
      </c>
      <c r="U263" s="247">
        <f t="shared" si="84"/>
        <v>3.4765844520867111</v>
      </c>
      <c r="V263" s="378">
        <f t="shared" si="85"/>
        <v>197.51065845596099</v>
      </c>
      <c r="W263" s="397">
        <f t="shared" si="86"/>
        <v>184.67728537980182</v>
      </c>
      <c r="X263" s="153">
        <f t="shared" si="87"/>
        <v>47001</v>
      </c>
      <c r="Y263" s="380">
        <f t="shared" si="88"/>
        <v>177.88061231948919</v>
      </c>
      <c r="Z263" s="380">
        <f t="shared" si="89"/>
        <v>184.2677412321458</v>
      </c>
      <c r="AA263" s="381">
        <f t="shared" si="90"/>
        <v>194.86523589614094</v>
      </c>
      <c r="AB263" s="193">
        <f t="shared" si="91"/>
        <v>47001</v>
      </c>
      <c r="AC263" s="119">
        <f>IF(OR(t&lt;Tnet,NoTnet),'2027'!Resal_s+('2027'!Salim-'2027'!Resal_s)*(1-EXP(('2027'!Tnet_s-t)/'2027'!Tau_j)),Resal_s+(Salim-Resal_s)*(1-EXP((Tnet_s-t)/Tau_j)))*Salcycl</f>
        <v>5.4383710954186759E-2</v>
      </c>
      <c r="AD263" s="227">
        <f>(INDEX(Models!$BJ263:$BT263,,AH263)*(1-AF263)+INDEX(Models!$BJ263:$BT263,,AH263+1)*AF263-ERP_i)*AE263*Ramure*Pc/MaxiM</f>
        <v>4.2972309213701814E-4</v>
      </c>
      <c r="AE263" s="301">
        <f t="shared" si="92"/>
        <v>0.5</v>
      </c>
      <c r="AF263" s="173">
        <f t="shared" si="93"/>
        <v>0.47658445208671107</v>
      </c>
      <c r="AG263" s="801">
        <f t="shared" si="99"/>
        <v>3</v>
      </c>
      <c r="AH263" s="172">
        <f t="shared" si="94"/>
        <v>9</v>
      </c>
      <c r="AI263" s="221">
        <f t="shared" si="95"/>
        <v>3.4765844520867111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47002</v>
      </c>
      <c r="B264" s="406">
        <f>'2027'!Wh/'2027'!Env_an*'2028'!Env_an</f>
        <v>140.36160017674743</v>
      </c>
      <c r="C264" s="831"/>
      <c r="D264" s="388">
        <f t="shared" si="77"/>
        <v>145.40353074963394</v>
      </c>
      <c r="E264" s="380">
        <f t="shared" si="100"/>
        <v>148.11730386353344</v>
      </c>
      <c r="F264" s="380">
        <f t="shared" si="78"/>
        <v>148.15455909086506</v>
      </c>
      <c r="G264" s="110">
        <f t="shared" si="101"/>
        <v>0.71410322600138365</v>
      </c>
      <c r="H264" s="409" t="b">
        <f>Wh_hp&gt;='2027'!Maxi_hp</f>
        <v>0</v>
      </c>
      <c r="I264" s="385">
        <f>IF(H264,Wh_hp,'2027'!Maxi_hp)</f>
        <v>148.17728238486964</v>
      </c>
      <c r="J264" s="85">
        <f>IF(H264,An,'2027'!An_max)</f>
        <v>2022</v>
      </c>
      <c r="K264" s="193">
        <f t="shared" si="79"/>
        <v>47002</v>
      </c>
      <c r="L264" s="143">
        <f>IF(t&lt;Tvie,1-EXP((T0-t)*PertePVj)+'2027'!Pspv,1-EXP((T0-t)*PertePVj)+Pspv)</f>
        <v>3.4675434268292005E-2</v>
      </c>
      <c r="M264" s="835"/>
      <c r="N264" s="835"/>
      <c r="O264" s="48">
        <f>IF(t&lt;Tnet,'2027'!Resal+('2027'!Salim-'2027'!Resal)*(1-EXP(('2027'!Tnet-t)/('2027'!Tau_j))),Resal+(Salim-Resal)*(1-EXP((Tnet-t)/(Tau_j))))*Salcycl</f>
        <v>1.8321783094295292E-2</v>
      </c>
      <c r="P264" s="165">
        <f>(INDEX(Models!$BJ264:$BT264,,T264)*(1-R264)+INDEX(Models!$BJ264:$BT264,,T264+1)*R264-ERP_i)*Q264*Ramure*Pc/MaxiM</f>
        <v>4.2494396252738381E-4</v>
      </c>
      <c r="Q264" s="301">
        <f t="shared" si="80"/>
        <v>0.5</v>
      </c>
      <c r="R264" s="173">
        <f t="shared" si="81"/>
        <v>0.47709902131974857</v>
      </c>
      <c r="S264" s="801">
        <f t="shared" si="82"/>
        <v>3</v>
      </c>
      <c r="T264" s="172">
        <f t="shared" si="83"/>
        <v>9</v>
      </c>
      <c r="U264" s="247">
        <f t="shared" si="84"/>
        <v>3.4770990213197486</v>
      </c>
      <c r="V264" s="378">
        <f t="shared" si="85"/>
        <v>196.52234960253776</v>
      </c>
      <c r="W264" s="397">
        <f t="shared" si="86"/>
        <v>140.36160017674743</v>
      </c>
      <c r="X264" s="153">
        <f t="shared" si="87"/>
        <v>47002</v>
      </c>
      <c r="Y264" s="380">
        <f t="shared" si="88"/>
        <v>135.20187442919678</v>
      </c>
      <c r="Z264" s="380">
        <f t="shared" si="89"/>
        <v>140.05846243715436</v>
      </c>
      <c r="AA264" s="381">
        <f t="shared" si="90"/>
        <v>148.11730386353344</v>
      </c>
      <c r="AB264" s="193">
        <f t="shared" si="91"/>
        <v>47002</v>
      </c>
      <c r="AC264" s="119">
        <f>IF(OR(t&lt;Tnet,NoTnet),'2027'!Resal_s+('2027'!Salim-'2027'!Resal_s)*(1-EXP(('2027'!Tnet_s-t)/'2027'!Tau_j)),Resal_s+(Salim-Resal_s)*(1-EXP((Tnet_s-t)/Tau_j)))*Salcycl</f>
        <v>5.4408507420605087E-2</v>
      </c>
      <c r="AD264" s="227">
        <f>(INDEX(Models!$BJ264:$BT264,,AH264)*(1-AF264)+INDEX(Models!$BJ264:$BT264,,AH264+1)*AF264-ERP_i)*AE264*Ramure*Pc/MaxiM</f>
        <v>4.2494396252738381E-4</v>
      </c>
      <c r="AE264" s="301">
        <f t="shared" si="92"/>
        <v>0.5</v>
      </c>
      <c r="AF264" s="173">
        <f t="shared" si="93"/>
        <v>0.47709902131974857</v>
      </c>
      <c r="AG264" s="801">
        <f t="shared" si="99"/>
        <v>3</v>
      </c>
      <c r="AH264" s="172">
        <f t="shared" si="94"/>
        <v>9</v>
      </c>
      <c r="AI264" s="221">
        <f t="shared" si="95"/>
        <v>3.4770990213197486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47003</v>
      </c>
      <c r="B265" s="406">
        <f>'2027'!Wh/'2027'!Env_an*'2028'!Env_an</f>
        <v>163.16263074503215</v>
      </c>
      <c r="C265" s="831"/>
      <c r="D265" s="388">
        <f t="shared" si="77"/>
        <v>169.02591120876289</v>
      </c>
      <c r="E265" s="380">
        <f t="shared" si="100"/>
        <v>172.19268477025022</v>
      </c>
      <c r="F265" s="380">
        <f t="shared" si="78"/>
        <v>172.24800951205935</v>
      </c>
      <c r="G265" s="110">
        <f t="shared" si="101"/>
        <v>0.83441426745322178</v>
      </c>
      <c r="H265" s="409" t="b">
        <f>Wh_hp&gt;='2027'!Maxi_hp</f>
        <v>0</v>
      </c>
      <c r="I265" s="385">
        <f>IF(H265,Wh_hp,'2027'!Maxi_hp)</f>
        <v>172.26316013998238</v>
      </c>
      <c r="J265" s="85">
        <f>IF(H265,An,'2027'!An_max)</f>
        <v>2022</v>
      </c>
      <c r="K265" s="193">
        <f t="shared" si="79"/>
        <v>47003</v>
      </c>
      <c r="L265" s="143">
        <f>IF(t&lt;Tvie,1-EXP((T0-t)*PertePVj)+'2027'!Pspv,1-EXP((T0-t)*PertePVj)+Pspv)</f>
        <v>3.4688648750954232E-2</v>
      </c>
      <c r="M265" s="835"/>
      <c r="N265" s="835"/>
      <c r="O265" s="48">
        <f>IF(t&lt;Tnet,'2027'!Resal+('2027'!Salim-'2027'!Resal)*(1-EXP(('2027'!Tnet-t)/('2027'!Tau_j))),Resal+(Salim-Resal)*(1-EXP((Tnet-t)/(Tau_j))))*Salcycl</f>
        <v>1.8390871631466944E-2</v>
      </c>
      <c r="P265" s="165">
        <f>(INDEX(Models!$BJ265:$BT265,,T265)*(1-R265)+INDEX(Models!$BJ265:$BT265,,T265+1)*R265-ERP_i)*Q265*Ramure*Pc/MaxiM</f>
        <v>4.2064692391472966E-4</v>
      </c>
      <c r="Q265" s="301">
        <f t="shared" si="80"/>
        <v>0.5</v>
      </c>
      <c r="R265" s="173">
        <f t="shared" si="81"/>
        <v>0.47759389456659429</v>
      </c>
      <c r="S265" s="801">
        <f t="shared" si="82"/>
        <v>3</v>
      </c>
      <c r="T265" s="172">
        <f t="shared" si="83"/>
        <v>9</v>
      </c>
      <c r="U265" s="247">
        <f t="shared" si="84"/>
        <v>3.4775938945665943</v>
      </c>
      <c r="V265" s="378">
        <f t="shared" si="85"/>
        <v>195.52206215052607</v>
      </c>
      <c r="W265" s="397">
        <f t="shared" si="86"/>
        <v>163.16263074503215</v>
      </c>
      <c r="X265" s="153">
        <f t="shared" si="87"/>
        <v>47003</v>
      </c>
      <c r="Y265" s="380">
        <f t="shared" si="88"/>
        <v>157.17173630112623</v>
      </c>
      <c r="Z265" s="380">
        <f t="shared" si="89"/>
        <v>162.81973282273842</v>
      </c>
      <c r="AA265" s="381">
        <f t="shared" si="90"/>
        <v>172.19268477025022</v>
      </c>
      <c r="AB265" s="193">
        <f t="shared" si="91"/>
        <v>47003</v>
      </c>
      <c r="AC265" s="119">
        <f>IF(OR(t&lt;Tnet,NoTnet),'2027'!Resal_s+('2027'!Salim-'2027'!Resal_s)*(1-EXP(('2027'!Tnet_s-t)/'2027'!Tau_j)),Resal_s+(Salim-Resal_s)*(1-EXP((Tnet_s-t)/Tau_j)))*Salcycl</f>
        <v>5.4432927624177299E-2</v>
      </c>
      <c r="AD265" s="227">
        <f>(INDEX(Models!$BJ265:$BT265,,AH265)*(1-AF265)+INDEX(Models!$BJ265:$BT265,,AH265+1)*AF265-ERP_i)*AE265*Ramure*Pc/MaxiM</f>
        <v>4.2064692391472966E-4</v>
      </c>
      <c r="AE265" s="301">
        <f t="shared" si="92"/>
        <v>0.5</v>
      </c>
      <c r="AF265" s="173">
        <f t="shared" si="93"/>
        <v>0.47759389456659429</v>
      </c>
      <c r="AG265" s="801">
        <f t="shared" si="99"/>
        <v>3</v>
      </c>
      <c r="AH265" s="172">
        <f t="shared" si="94"/>
        <v>9</v>
      </c>
      <c r="AI265" s="221">
        <f t="shared" si="95"/>
        <v>3.4775938945665943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47004</v>
      </c>
      <c r="B266" s="406">
        <f>'2027'!Wh/'2027'!Env_an*'2028'!Env_an</f>
        <v>87.26462303708422</v>
      </c>
      <c r="C266" s="831"/>
      <c r="D266" s="388">
        <f t="shared" si="77"/>
        <v>90.401731544883646</v>
      </c>
      <c r="E266" s="380">
        <f t="shared" si="100"/>
        <v>92.101909220355267</v>
      </c>
      <c r="F266" s="380">
        <f t="shared" si="78"/>
        <v>92.110062033097122</v>
      </c>
      <c r="G266" s="110">
        <f t="shared" si="101"/>
        <v>0.44849138368035019</v>
      </c>
      <c r="H266" s="409" t="b">
        <f>Wh_hp&gt;='2027'!Maxi_hp</f>
        <v>0</v>
      </c>
      <c r="I266" s="385">
        <f>IF(H266,Wh_hp,'2027'!Maxi_hp)</f>
        <v>92.136816423786186</v>
      </c>
      <c r="J266" s="85">
        <f>IF(H266,An,'2027'!An_max)</f>
        <v>2022</v>
      </c>
      <c r="K266" s="193">
        <f t="shared" si="79"/>
        <v>47004</v>
      </c>
      <c r="L266" s="143">
        <f>IF(t&lt;Tvie,1-EXP((T0-t)*PertePVj)+'2027'!Pspv,1-EXP((T0-t)*PertePVj)+Pspv)</f>
        <v>3.4701863052721271E-2</v>
      </c>
      <c r="M266" s="835"/>
      <c r="N266" s="835"/>
      <c r="O266" s="48">
        <f>IF(t&lt;Tnet,'2027'!Resal+('2027'!Salim-'2027'!Resal)*(1-EXP(('2027'!Tnet-t)/('2027'!Tau_j))),Resal+(Salim-Resal)*(1-EXP((Tnet-t)/(Tau_j))))*Salcycl</f>
        <v>1.8459744101546476E-2</v>
      </c>
      <c r="P266" s="165">
        <f>(INDEX(Models!$BJ266:$BT266,,T266)*(1-R266)+INDEX(Models!$BJ266:$BT266,,T266+1)*R266-ERP_i)*Q266*Ramure*Pc/MaxiM</f>
        <v>4.1683727206564598E-4</v>
      </c>
      <c r="Q266" s="301">
        <f t="shared" si="80"/>
        <v>0.5</v>
      </c>
      <c r="R266" s="173">
        <f t="shared" si="81"/>
        <v>0.47806978706594982</v>
      </c>
      <c r="S266" s="801">
        <f t="shared" si="82"/>
        <v>3</v>
      </c>
      <c r="T266" s="172">
        <f t="shared" si="83"/>
        <v>9</v>
      </c>
      <c r="U266" s="247">
        <f t="shared" si="84"/>
        <v>3.4780697870659498</v>
      </c>
      <c r="V266" s="378">
        <f t="shared" si="85"/>
        <v>194.5097998819958</v>
      </c>
      <c r="W266" s="397">
        <f t="shared" si="86"/>
        <v>87.26462303708422</v>
      </c>
      <c r="X266" s="153">
        <f t="shared" si="87"/>
        <v>47004</v>
      </c>
      <c r="Y266" s="380">
        <f t="shared" si="88"/>
        <v>84.064261887394849</v>
      </c>
      <c r="Z266" s="380">
        <f t="shared" si="89"/>
        <v>87.086319417589579</v>
      </c>
      <c r="AA266" s="381">
        <f t="shared" si="90"/>
        <v>92.101909220355267</v>
      </c>
      <c r="AB266" s="193">
        <f t="shared" si="91"/>
        <v>47004</v>
      </c>
      <c r="AC266" s="119">
        <f>IF(OR(t&lt;Tnet,NoTnet),'2027'!Resal_s+('2027'!Salim-'2027'!Resal_s)*(1-EXP(('2027'!Tnet_s-t)/'2027'!Tau_j)),Resal_s+(Salim-Resal_s)*(1-EXP((Tnet_s-t)/Tau_j)))*Salcycl</f>
        <v>5.4456958006872704E-2</v>
      </c>
      <c r="AD266" s="227">
        <f>(INDEX(Models!$BJ266:$BT266,,AH266)*(1-AF266)+INDEX(Models!$BJ266:$BT266,,AH266+1)*AF266-ERP_i)*AE266*Ramure*Pc/MaxiM</f>
        <v>4.1683727206564598E-4</v>
      </c>
      <c r="AE266" s="301">
        <f t="shared" si="92"/>
        <v>0.5</v>
      </c>
      <c r="AF266" s="173">
        <f t="shared" si="93"/>
        <v>0.47806978706594982</v>
      </c>
      <c r="AG266" s="801">
        <f t="shared" si="99"/>
        <v>3</v>
      </c>
      <c r="AH266" s="172">
        <f t="shared" si="94"/>
        <v>9</v>
      </c>
      <c r="AI266" s="221">
        <f t="shared" si="95"/>
        <v>3.4780697870659498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47005</v>
      </c>
      <c r="B267" s="406">
        <f>'2027'!Wh/'2027'!Env_an*'2028'!Env_an</f>
        <v>181.53084512489164</v>
      </c>
      <c r="C267" s="831"/>
      <c r="D267" s="388">
        <f t="shared" si="77"/>
        <v>188.05933961276418</v>
      </c>
      <c r="E267" s="380">
        <f t="shared" si="100"/>
        <v>191.60955710580163</v>
      </c>
      <c r="F267" s="380">
        <f t="shared" si="78"/>
        <v>191.68182511900793</v>
      </c>
      <c r="G267" s="110">
        <f t="shared" si="101"/>
        <v>0.93817962738992922</v>
      </c>
      <c r="H267" s="409" t="b">
        <f>Wh_hp&gt;='2027'!Maxi_hp</f>
        <v>0</v>
      </c>
      <c r="I267" s="385">
        <f>IF(H267,Wh_hp,'2027'!Maxi_hp)</f>
        <v>191.68801678499003</v>
      </c>
      <c r="J267" s="85">
        <f>IF(H267,An,'2027'!An_max)</f>
        <v>2022</v>
      </c>
      <c r="K267" s="193">
        <f t="shared" si="79"/>
        <v>47005</v>
      </c>
      <c r="L267" s="143">
        <f>IF(t&lt;Tvie,1-EXP((T0-t)*PertePVj)+'2027'!Pspv,1-EXP((T0-t)*PertePVj)+Pspv)</f>
        <v>3.4715077173595676E-2</v>
      </c>
      <c r="M267" s="835"/>
      <c r="N267" s="835"/>
      <c r="O267" s="48">
        <f>IF(t&lt;Tnet,'2027'!Resal+('2027'!Salim-'2027'!Resal)*(1-EXP(('2027'!Tnet-t)/('2027'!Tau_j))),Resal+(Salim-Resal)*(1-EXP((Tnet-t)/(Tau_j))))*Salcycl</f>
        <v>1.85283946514062E-2</v>
      </c>
      <c r="P267" s="165">
        <f>(INDEX(Models!$BJ267:$BT267,,T267)*(1-R267)+INDEX(Models!$BJ267:$BT267,,T267+1)*R267-ERP_i)*Q267*Ramure*Pc/MaxiM</f>
        <v>4.1352043018520306E-4</v>
      </c>
      <c r="Q267" s="301">
        <f t="shared" si="80"/>
        <v>0.5</v>
      </c>
      <c r="R267" s="173">
        <f t="shared" si="81"/>
        <v>0.47852739107361453</v>
      </c>
      <c r="S267" s="801">
        <f t="shared" si="82"/>
        <v>3</v>
      </c>
      <c r="T267" s="172">
        <f t="shared" si="83"/>
        <v>9</v>
      </c>
      <c r="U267" s="247">
        <f t="shared" si="84"/>
        <v>3.4785273910736145</v>
      </c>
      <c r="V267" s="378">
        <f t="shared" si="85"/>
        <v>193.48556661956391</v>
      </c>
      <c r="W267" s="397">
        <f t="shared" si="86"/>
        <v>181.53084512489164</v>
      </c>
      <c r="X267" s="153">
        <f t="shared" si="87"/>
        <v>47005</v>
      </c>
      <c r="Y267" s="380">
        <f t="shared" si="88"/>
        <v>174.88120659949561</v>
      </c>
      <c r="Z267" s="380">
        <f t="shared" si="89"/>
        <v>181.17055644817736</v>
      </c>
      <c r="AA267" s="381">
        <f t="shared" si="90"/>
        <v>191.60955710580163</v>
      </c>
      <c r="AB267" s="193">
        <f t="shared" si="91"/>
        <v>47005</v>
      </c>
      <c r="AC267" s="119">
        <f>IF(OR(t&lt;Tnet,NoTnet),'2027'!Resal_s+('2027'!Salim-'2027'!Resal_s)*(1-EXP(('2027'!Tnet_s-t)/'2027'!Tau_j)),Resal_s+(Salim-Resal_s)*(1-EXP((Tnet_s-t)/Tau_j)))*Salcycl</f>
        <v>5.4480584451537271E-2</v>
      </c>
      <c r="AD267" s="227">
        <f>(INDEX(Models!$BJ267:$BT267,,AH267)*(1-AF267)+INDEX(Models!$BJ267:$BT267,,AH267+1)*AF267-ERP_i)*AE267*Ramure*Pc/MaxiM</f>
        <v>4.1352043018520306E-4</v>
      </c>
      <c r="AE267" s="301">
        <f t="shared" si="92"/>
        <v>0.5</v>
      </c>
      <c r="AF267" s="173">
        <f t="shared" si="93"/>
        <v>0.47852739107361453</v>
      </c>
      <c r="AG267" s="801">
        <f t="shared" si="99"/>
        <v>3</v>
      </c>
      <c r="AH267" s="172">
        <f t="shared" si="94"/>
        <v>9</v>
      </c>
      <c r="AI267" s="221">
        <f t="shared" si="95"/>
        <v>3.4785273910736145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47006</v>
      </c>
      <c r="B268" s="406">
        <f>'2027'!Wh/'2027'!Env_an*'2028'!Env_an</f>
        <v>185.03979087794488</v>
      </c>
      <c r="C268" s="831"/>
      <c r="D268" s="388">
        <f t="shared" si="77"/>
        <v>191.69710370089982</v>
      </c>
      <c r="E268" s="380">
        <f t="shared" si="100"/>
        <v>195.32961279931197</v>
      </c>
      <c r="F268" s="380">
        <f t="shared" si="78"/>
        <v>195.40540176381816</v>
      </c>
      <c r="G268" s="110">
        <f t="shared" si="101"/>
        <v>0.96147659652904982</v>
      </c>
      <c r="H268" s="409" t="b">
        <f>Wh_hp&gt;='2027'!Maxi_hp</f>
        <v>0</v>
      </c>
      <c r="I268" s="385">
        <f>IF(H268,Wh_hp,'2027'!Maxi_hp)</f>
        <v>195.40930696041534</v>
      </c>
      <c r="J268" s="85">
        <f>IF(H268,An,'2027'!An_max)</f>
        <v>2022</v>
      </c>
      <c r="K268" s="193">
        <f t="shared" si="79"/>
        <v>47006</v>
      </c>
      <c r="L268" s="143">
        <f>IF(t&lt;Tvie,1-EXP((T0-t)*PertePVj)+'2027'!Pspv,1-EXP((T0-t)*PertePVj)+Pspv)</f>
        <v>3.4728291113579779E-2</v>
      </c>
      <c r="M268" s="835"/>
      <c r="N268" s="835"/>
      <c r="O268" s="48">
        <f>IF(t&lt;Tnet,'2027'!Resal+('2027'!Salim-'2027'!Resal)*(1-EXP(('2027'!Tnet-t)/('2027'!Tau_j))),Resal+(Salim-Resal)*(1-EXP((Tnet-t)/(Tau_j))))*Salcycl</f>
        <v>1.8596817176637255E-2</v>
      </c>
      <c r="P268" s="165">
        <f>(INDEX(Models!$BJ268:$BT268,,T268)*(1-R268)+INDEX(Models!$BJ268:$BT268,,T268+1)*R268-ERP_i)*Q268*Ramure*Pc/MaxiM</f>
        <v>4.1042963276402805E-4</v>
      </c>
      <c r="Q268" s="301">
        <f t="shared" si="80"/>
        <v>0.5</v>
      </c>
      <c r="R268" s="173">
        <f t="shared" si="81"/>
        <v>0.47896737636495113</v>
      </c>
      <c r="S268" s="801">
        <f t="shared" si="82"/>
        <v>3</v>
      </c>
      <c r="T268" s="172">
        <f t="shared" si="83"/>
        <v>9</v>
      </c>
      <c r="U268" s="247">
        <f t="shared" si="84"/>
        <v>3.4789673763649511</v>
      </c>
      <c r="V268" s="378">
        <f t="shared" si="85"/>
        <v>192.44941865678388</v>
      </c>
      <c r="W268" s="397">
        <f t="shared" si="86"/>
        <v>185.03979087794488</v>
      </c>
      <c r="X268" s="153">
        <f t="shared" si="87"/>
        <v>47006</v>
      </c>
      <c r="Y268" s="380">
        <f t="shared" si="88"/>
        <v>178.26966899595612</v>
      </c>
      <c r="Z268" s="380">
        <f t="shared" si="89"/>
        <v>184.68340815832656</v>
      </c>
      <c r="AA268" s="381">
        <f t="shared" si="90"/>
        <v>195.32961279931197</v>
      </c>
      <c r="AB268" s="193">
        <f t="shared" si="91"/>
        <v>47006</v>
      </c>
      <c r="AC268" s="119">
        <f>IF(OR(t&lt;Tnet,NoTnet),'2027'!Resal_s+('2027'!Salim-'2027'!Resal_s)*(1-EXP(('2027'!Tnet_s-t)/'2027'!Tau_j)),Resal_s+(Salim-Resal_s)*(1-EXP((Tnet_s-t)/Tau_j)))*Salcycl</f>
        <v>5.4503792274055697E-2</v>
      </c>
      <c r="AD268" s="227">
        <f>(INDEX(Models!$BJ268:$BT268,,AH268)*(1-AF268)+INDEX(Models!$BJ268:$BT268,,AH268+1)*AF268-ERP_i)*AE268*Ramure*Pc/MaxiM</f>
        <v>4.1042963276402805E-4</v>
      </c>
      <c r="AE268" s="301">
        <f t="shared" si="92"/>
        <v>0.5</v>
      </c>
      <c r="AF268" s="173">
        <f t="shared" si="93"/>
        <v>0.47896737636495113</v>
      </c>
      <c r="AG268" s="801">
        <f t="shared" si="99"/>
        <v>3</v>
      </c>
      <c r="AH268" s="172">
        <f t="shared" si="94"/>
        <v>9</v>
      </c>
      <c r="AI268" s="221">
        <f t="shared" si="95"/>
        <v>3.4789673763649511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47007</v>
      </c>
      <c r="B269" s="406">
        <f>'2027'!Wh/'2027'!Env_an*'2028'!Env_an</f>
        <v>128.11651420693323</v>
      </c>
      <c r="C269" s="831"/>
      <c r="D269" s="388">
        <f t="shared" si="77"/>
        <v>132.7276733161865</v>
      </c>
      <c r="E269" s="380">
        <f t="shared" si="100"/>
        <v>135.25215551822291</v>
      </c>
      <c r="F269" s="380">
        <f t="shared" si="78"/>
        <v>135.28121934902845</v>
      </c>
      <c r="G269" s="110">
        <f t="shared" si="101"/>
        <v>0.66923149128295045</v>
      </c>
      <c r="H269" s="409" t="b">
        <f>Wh_hp&gt;='2027'!Maxi_hp</f>
        <v>0</v>
      </c>
      <c r="I269" s="385">
        <f>IF(H269,Wh_hp,'2027'!Maxi_hp)</f>
        <v>135.30425984199042</v>
      </c>
      <c r="J269" s="85">
        <f>IF(H269,An,'2027'!An_max)</f>
        <v>2022</v>
      </c>
      <c r="K269" s="193">
        <f t="shared" si="79"/>
        <v>47007</v>
      </c>
      <c r="L269" s="143">
        <f>IF(t&lt;Tvie,1-EXP((T0-t)*PertePVj)+'2027'!Pspv,1-EXP((T0-t)*PertePVj)+Pspv)</f>
        <v>3.4741504872676132E-2</v>
      </c>
      <c r="M269" s="835"/>
      <c r="N269" s="835"/>
      <c r="O269" s="48">
        <f>IF(t&lt;Tnet,'2027'!Resal+('2027'!Salim-'2027'!Resal)*(1-EXP(('2027'!Tnet-t)/('2027'!Tau_j))),Resal+(Salim-Resal)*(1-EXP((Tnet-t)/(Tau_j))))*Salcycl</f>
        <v>1.8665005318131648E-2</v>
      </c>
      <c r="P269" s="165">
        <f>(INDEX(Models!$BJ269:$BT269,,T269)*(1-R269)+INDEX(Models!$BJ269:$BT269,,T269+1)*R269-ERP_i)*Q269*Ramure*Pc/MaxiM</f>
        <v>4.0715824445731634E-4</v>
      </c>
      <c r="Q269" s="301">
        <f t="shared" si="80"/>
        <v>0.5</v>
      </c>
      <c r="R269" s="173">
        <f t="shared" si="81"/>
        <v>0.47939039074653822</v>
      </c>
      <c r="S269" s="801">
        <f t="shared" si="82"/>
        <v>3</v>
      </c>
      <c r="T269" s="172">
        <f t="shared" si="83"/>
        <v>9</v>
      </c>
      <c r="U269" s="247">
        <f t="shared" si="84"/>
        <v>3.4793903907465382</v>
      </c>
      <c r="V269" s="378">
        <f t="shared" si="85"/>
        <v>191.40143799357662</v>
      </c>
      <c r="W269" s="397">
        <f t="shared" si="86"/>
        <v>128.11651420693323</v>
      </c>
      <c r="X269" s="153">
        <f t="shared" si="87"/>
        <v>47007</v>
      </c>
      <c r="Y269" s="380">
        <f t="shared" si="88"/>
        <v>123.43466937120655</v>
      </c>
      <c r="Z269" s="380">
        <f t="shared" si="89"/>
        <v>127.87731990374736</v>
      </c>
      <c r="AA269" s="381">
        <f t="shared" si="90"/>
        <v>135.25215551822291</v>
      </c>
      <c r="AB269" s="193">
        <f t="shared" si="91"/>
        <v>47007</v>
      </c>
      <c r="AC269" s="119">
        <f>IF(OR(t&lt;Tnet,NoTnet),'2027'!Resal_s+('2027'!Salim-'2027'!Resal_s)*(1-EXP(('2027'!Tnet_s-t)/'2027'!Tau_j)),Resal_s+(Salim-Resal_s)*(1-EXP((Tnet_s-t)/Tau_j)))*Salcycl</f>
        <v>5.4526566221577977E-2</v>
      </c>
      <c r="AD269" s="227">
        <f>(INDEX(Models!$BJ269:$BT269,,AH269)*(1-AF269)+INDEX(Models!$BJ269:$BT269,,AH269+1)*AF269-ERP_i)*AE269*Ramure*Pc/MaxiM</f>
        <v>4.0715824445731634E-4</v>
      </c>
      <c r="AE269" s="301">
        <f t="shared" si="92"/>
        <v>0.5</v>
      </c>
      <c r="AF269" s="173">
        <f t="shared" si="93"/>
        <v>0.47939039074653822</v>
      </c>
      <c r="AG269" s="801">
        <f t="shared" si="99"/>
        <v>3</v>
      </c>
      <c r="AH269" s="172">
        <f t="shared" si="94"/>
        <v>9</v>
      </c>
      <c r="AI269" s="221">
        <f t="shared" si="95"/>
        <v>3.4793903907465382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47008</v>
      </c>
      <c r="B270" s="406">
        <f>'2027'!Wh/'2027'!Env_an*'2028'!Env_an</f>
        <v>46.12124193795124</v>
      </c>
      <c r="C270" s="831"/>
      <c r="D270" s="388">
        <f t="shared" si="77"/>
        <v>47.781888002531034</v>
      </c>
      <c r="E270" s="380">
        <f t="shared" si="100"/>
        <v>48.694071733446599</v>
      </c>
      <c r="F270" s="380">
        <f t="shared" si="78"/>
        <v>48.694071733446599</v>
      </c>
      <c r="G270" s="110">
        <f t="shared" si="101"/>
        <v>0.24220987868821958</v>
      </c>
      <c r="H270" s="409" t="b">
        <f>Wh_hp&gt;='2027'!Maxi_hp</f>
        <v>0</v>
      </c>
      <c r="I270" s="385">
        <f>IF(H270,Wh_hp,'2027'!Maxi_hp)</f>
        <v>48.711486880695645</v>
      </c>
      <c r="J270" s="85">
        <f>IF(H270,An,'2027'!An_max)</f>
        <v>2022</v>
      </c>
      <c r="K270" s="193">
        <f t="shared" si="79"/>
        <v>47008</v>
      </c>
      <c r="L270" s="143">
        <f>IF(t&lt;Tvie,1-EXP((T0-t)*PertePVj)+'2027'!Pspv,1-EXP((T0-t)*PertePVj)+Pspv)</f>
        <v>3.475471845088729E-2</v>
      </c>
      <c r="M270" s="835"/>
      <c r="N270" s="835"/>
      <c r="O270" s="48">
        <f>IF(t&lt;Tnet,'2027'!Resal+('2027'!Salim-'2027'!Resal)*(1-EXP(('2027'!Tnet-t)/('2027'!Tau_j))),Resal+(Salim-Resal)*(1-EXP((Tnet-t)/(Tau_j))))*Salcycl</f>
        <v>1.8732952461007892E-2</v>
      </c>
      <c r="P270" s="165">
        <f>(INDEX(Models!$BJ270:$BT270,,T270)*(1-R270)+INDEX(Models!$BJ270:$BT270,,T270+1)*R270-ERP_i)*Q270*Ramure*Pc/MaxiM</f>
        <v>4.0370337916847217E-4</v>
      </c>
      <c r="Q270" s="301">
        <f t="shared" si="80"/>
        <v>0.5</v>
      </c>
      <c r="R270" s="173">
        <f t="shared" si="81"/>
        <v>0.47979706057474836</v>
      </c>
      <c r="S270" s="801">
        <f t="shared" si="82"/>
        <v>3</v>
      </c>
      <c r="T270" s="172">
        <f t="shared" si="83"/>
        <v>9</v>
      </c>
      <c r="U270" s="247">
        <f t="shared" si="84"/>
        <v>3.4797970605747484</v>
      </c>
      <c r="V270" s="378">
        <f t="shared" si="85"/>
        <v>190.34162803935109</v>
      </c>
      <c r="W270" s="397">
        <f t="shared" si="86"/>
        <v>46.12124193795124</v>
      </c>
      <c r="X270" s="153">
        <f t="shared" si="87"/>
        <v>47008</v>
      </c>
      <c r="Y270" s="380">
        <f t="shared" si="88"/>
        <v>44.437831141024539</v>
      </c>
      <c r="Z270" s="380">
        <f t="shared" si="89"/>
        <v>46.037864147552938</v>
      </c>
      <c r="AA270" s="381">
        <f t="shared" si="90"/>
        <v>48.694071733446599</v>
      </c>
      <c r="AB270" s="193">
        <f t="shared" si="91"/>
        <v>47008</v>
      </c>
      <c r="AC270" s="119">
        <f>IF(OR(t&lt;Tnet,NoTnet),'2027'!Resal_s+('2027'!Salim-'2027'!Resal_s)*(1-EXP(('2027'!Tnet_s-t)/'2027'!Tau_j)),Resal_s+(Salim-Resal_s)*(1-EXP((Tnet_s-t)/Tau_j)))*Salcycl</f>
        <v>5.4548890477548323E-2</v>
      </c>
      <c r="AD270" s="227">
        <f>(INDEX(Models!$BJ270:$BT270,,AH270)*(1-AF270)+INDEX(Models!$BJ270:$BT270,,AH270+1)*AF270-ERP_i)*AE270*Ramure*Pc/MaxiM</f>
        <v>4.0370337916847217E-4</v>
      </c>
      <c r="AE270" s="301">
        <f t="shared" si="92"/>
        <v>0.5</v>
      </c>
      <c r="AF270" s="173">
        <f t="shared" si="93"/>
        <v>0.47979706057474836</v>
      </c>
      <c r="AG270" s="801">
        <f t="shared" si="99"/>
        <v>3</v>
      </c>
      <c r="AH270" s="172">
        <f t="shared" si="94"/>
        <v>9</v>
      </c>
      <c r="AI270" s="221">
        <f t="shared" si="95"/>
        <v>3.4797970605747484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47009</v>
      </c>
      <c r="B271" s="406">
        <f>'2027'!Wh/'2027'!Env_an*'2028'!Env_an</f>
        <v>147.08131880965266</v>
      </c>
      <c r="C271" s="831"/>
      <c r="D271" s="388">
        <f t="shared" ref="D271:D334" si="102">Wh/(1-Ppv)</f>
        <v>152.37922947512749</v>
      </c>
      <c r="E271" s="380">
        <f t="shared" si="100"/>
        <v>155.29895096725471</v>
      </c>
      <c r="F271" s="380">
        <f t="shared" ref="F271:F334" si="103">Wh_sa/(1-Pvg*MEDIAN((-Sdif+Wh/Env_an)/Csdif,0,1))</f>
        <v>155.341307834535</v>
      </c>
      <c r="G271" s="110">
        <f t="shared" si="101"/>
        <v>0.77699890483857814</v>
      </c>
      <c r="H271" s="409" t="b">
        <f>Wh_hp&gt;='2027'!Maxi_hp</f>
        <v>0</v>
      </c>
      <c r="I271" s="385">
        <f>IF(H271,Wh_hp,'2027'!Maxi_hp)</f>
        <v>155.35884692302292</v>
      </c>
      <c r="J271" s="85">
        <f>IF(H271,An,'2027'!An_max)</f>
        <v>2022</v>
      </c>
      <c r="K271" s="193">
        <f t="shared" ref="K271:K334" si="104">t</f>
        <v>47009</v>
      </c>
      <c r="L271" s="143">
        <f>IF(t&lt;Tvie,1-EXP((T0-t)*PertePVj)+'2027'!Pspv,1-EXP((T0-t)*PertePVj)+Pspv)</f>
        <v>3.4767931848215583E-2</v>
      </c>
      <c r="M271" s="835"/>
      <c r="N271" s="835"/>
      <c r="O271" s="48">
        <f>IF(t&lt;Tnet,'2027'!Resal+('2027'!Salim-'2027'!Resal)*(1-EXP(('2027'!Tnet-t)/('2027'!Tau_j))),Resal+(Salim-Resal)*(1-EXP((Tnet-t)/(Tau_j))))*Salcycl</f>
        <v>1.8800651736165734E-2</v>
      </c>
      <c r="P271" s="165">
        <f>(INDEX(Models!$BJ271:$BT271,,T271)*(1-R271)+INDEX(Models!$BJ271:$BT271,,T271+1)*R271-ERP_i)*Q271*Ramure*Pc/MaxiM</f>
        <v>4.0006207605849053E-4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0.48018799127918399</v>
      </c>
      <c r="S271" s="801">
        <f t="shared" ref="S271:S334" si="107">INDEX(Echel_vg,T271)</f>
        <v>3</v>
      </c>
      <c r="T271" s="172">
        <f t="shared" ref="T271:T334" si="108">MIN(MATCH(Hp_vg,Echel_vg),10)</f>
        <v>9</v>
      </c>
      <c r="U271" s="247">
        <f t="shared" ref="U271:U334" si="109">IF(OR(t&lt;Ttai,Notai),Hdd+PousH*Croivg,Hdtf+PousH*(Croivg-Croi_tai))</f>
        <v>3.480187991279184</v>
      </c>
      <c r="V271" s="378">
        <f t="shared" ref="V271:V334" si="110">MaxiM*(1-Ppv)*(1-Pvg)*(1-Psa)</f>
        <v>189.26999220238935</v>
      </c>
      <c r="W271" s="397">
        <f t="shared" ref="W271:W334" si="111">Wh*(A271&gt;Tmaj)</f>
        <v>147.08131880965266</v>
      </c>
      <c r="X271" s="153">
        <f t="shared" ref="X271:X334" si="112">t</f>
        <v>47009</v>
      </c>
      <c r="Y271" s="380">
        <f t="shared" ref="Y271:Y334" si="113">Wh_pvt_s*(1-Ppv)</f>
        <v>141.71939817557731</v>
      </c>
      <c r="Z271" s="380">
        <f t="shared" ref="Z271:Z334" si="114">Wh_sa_s*(1-Psa_s)</f>
        <v>146.82417094465171</v>
      </c>
      <c r="AA271" s="381">
        <f t="shared" ref="AA271:AA334" si="115">Wh_hp*(1-Pvg_s*MEDIAN((-Sdif+Wh/Env_an)/Csdif,0,1))</f>
        <v>155.29895096725471</v>
      </c>
      <c r="AB271" s="193">
        <f t="shared" ref="AB271:AB334" si="116">t</f>
        <v>47009</v>
      </c>
      <c r="AC271" s="119">
        <f>IF(OR(t&lt;Tnet,NoTnet),'2027'!Resal_s+('2027'!Salim-'2027'!Resal_s)*(1-EXP(('2027'!Tnet_s-t)/'2027'!Tau_j)),Resal_s+(Salim-Resal_s)*(1-EXP((Tnet_s-t)/Tau_j)))*Salcycl</f>
        <v>5.4570748674213035E-2</v>
      </c>
      <c r="AD271" s="227">
        <f>(INDEX(Models!$BJ271:$BT271,,AH271)*(1-AF271)+INDEX(Models!$BJ271:$BT271,,AH271+1)*AF271-ERP_i)*AE271*Ramure*Pc/MaxiM</f>
        <v>4.0006207605849053E-4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0.48018799127918399</v>
      </c>
      <c r="AG271" s="801">
        <f t="shared" si="99"/>
        <v>3</v>
      </c>
      <c r="AH271" s="172">
        <f t="shared" ref="AH271:AH334" si="119">MIN(MATCH(Hp_vg_s,Echel_vg),10)</f>
        <v>9</v>
      </c>
      <c r="AI271" s="221">
        <f t="shared" ref="AI271:AI334" si="120">IF(OR(t&lt;Ttai,Notai),Hdd_s+PousH*Croivg,Hdtai_s+PousH*(Croivg-Croi_tai))</f>
        <v>3.480187991279184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47010</v>
      </c>
      <c r="B272" s="406">
        <f>'2027'!Wh/'2027'!Env_an*'2028'!Env_an</f>
        <v>164.57984109018753</v>
      </c>
      <c r="C272" s="831"/>
      <c r="D272" s="388">
        <f t="shared" si="102"/>
        <v>170.51038761692379</v>
      </c>
      <c r="E272" s="380">
        <f t="shared" si="100"/>
        <v>173.78946391006642</v>
      </c>
      <c r="F272" s="380">
        <f t="shared" si="103"/>
        <v>173.84600296374521</v>
      </c>
      <c r="G272" s="110">
        <f t="shared" si="101"/>
        <v>0.87449483064692257</v>
      </c>
      <c r="H272" s="409" t="b">
        <f>Wh_hp&gt;='2027'!Maxi_hp</f>
        <v>0</v>
      </c>
      <c r="I272" s="385">
        <f>IF(H272,Wh_hp,'2027'!Maxi_hp)</f>
        <v>173.8569482012538</v>
      </c>
      <c r="J272" s="85">
        <f>IF(H272,An,'2027'!An_max)</f>
        <v>2022</v>
      </c>
      <c r="K272" s="193">
        <f t="shared" si="104"/>
        <v>47010</v>
      </c>
      <c r="L272" s="143">
        <f>IF(t&lt;Tvie,1-EXP((T0-t)*PertePVj)+'2027'!Pspv,1-EXP((T0-t)*PertePVj)+Pspv)</f>
        <v>3.4781145064663677E-2</v>
      </c>
      <c r="M272" s="835"/>
      <c r="N272" s="835"/>
      <c r="O272" s="48">
        <f>IF(t&lt;Tnet,'2027'!Resal+('2027'!Salim-'2027'!Resal)*(1-EXP(('2027'!Tnet-t)/('2027'!Tau_j))),Resal+(Salim-Resal)*(1-EXP((Tnet-t)/(Tau_j))))*Salcycl</f>
        <v>1.8868096024736436E-2</v>
      </c>
      <c r="P272" s="165">
        <f>(INDEX(Models!$BJ272:$BT272,,T272)*(1-R272)+INDEX(Models!$BJ272:$BT272,,T272+1)*R272-ERP_i)*Q272*Ramure*Pc/MaxiM</f>
        <v>3.9623130333094861E-4</v>
      </c>
      <c r="Q272" s="301">
        <f t="shared" si="105"/>
        <v>0.5</v>
      </c>
      <c r="R272" s="173">
        <f t="shared" si="106"/>
        <v>0.48056376788908217</v>
      </c>
      <c r="S272" s="801">
        <f t="shared" si="107"/>
        <v>3</v>
      </c>
      <c r="T272" s="172">
        <f t="shared" si="108"/>
        <v>9</v>
      </c>
      <c r="U272" s="247">
        <f t="shared" si="109"/>
        <v>3.4805637678890822</v>
      </c>
      <c r="V272" s="378">
        <f t="shared" si="110"/>
        <v>188.18653387405305</v>
      </c>
      <c r="W272" s="397">
        <f t="shared" si="111"/>
        <v>164.57984109018753</v>
      </c>
      <c r="X272" s="153">
        <f t="shared" si="112"/>
        <v>47010</v>
      </c>
      <c r="Y272" s="380">
        <f t="shared" si="113"/>
        <v>158.58731877064523</v>
      </c>
      <c r="Z272" s="380">
        <f t="shared" si="114"/>
        <v>164.30192796147728</v>
      </c>
      <c r="AA272" s="381">
        <f t="shared" si="115"/>
        <v>173.78946391006642</v>
      </c>
      <c r="AB272" s="193">
        <f t="shared" si="116"/>
        <v>47010</v>
      </c>
      <c r="AC272" s="119">
        <f>IF(OR(t&lt;Tnet,NoTnet),'2027'!Resal_s+('2027'!Salim-'2027'!Resal_s)*(1-EXP(('2027'!Tnet_s-t)/'2027'!Tau_j)),Resal_s+(Salim-Resal_s)*(1-EXP((Tnet_s-t)/Tau_j)))*Salcycl</f>
        <v>5.4592123913212526E-2</v>
      </c>
      <c r="AD272" s="227">
        <f>(INDEX(Models!$BJ272:$BT272,,AH272)*(1-AF272)+INDEX(Models!$BJ272:$BT272,,AH272+1)*AF272-ERP_i)*AE272*Ramure*Pc/MaxiM</f>
        <v>3.9623130333094861E-4</v>
      </c>
      <c r="AE272" s="301">
        <f t="shared" si="117"/>
        <v>0.5</v>
      </c>
      <c r="AF272" s="173">
        <f t="shared" si="118"/>
        <v>0.48056376788908217</v>
      </c>
      <c r="AG272" s="801">
        <f t="shared" ref="AG272:AG335" si="124">INDEX(Echel_vg,AH272)</f>
        <v>3</v>
      </c>
      <c r="AH272" s="172">
        <f t="shared" si="119"/>
        <v>9</v>
      </c>
      <c r="AI272" s="221">
        <f t="shared" si="120"/>
        <v>3.4805637678890822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47011</v>
      </c>
      <c r="B273" s="406">
        <f>'2027'!Wh/'2027'!Env_an*'2028'!Env_an</f>
        <v>105.06593866039806</v>
      </c>
      <c r="C273" s="831"/>
      <c r="D273" s="388">
        <f t="shared" si="102"/>
        <v>108.85342366379253</v>
      </c>
      <c r="E273" s="380">
        <f t="shared" si="100"/>
        <v>110.95437560742675</v>
      </c>
      <c r="F273" s="380">
        <f t="shared" si="103"/>
        <v>110.9706394875776</v>
      </c>
      <c r="G273" s="110">
        <f t="shared" si="101"/>
        <v>0.56143791895520756</v>
      </c>
      <c r="H273" s="409" t="b">
        <f>Wh_hp&gt;='2027'!Maxi_hp</f>
        <v>0</v>
      </c>
      <c r="I273" s="385">
        <f>IF(H273,Wh_hp,'2027'!Maxi_hp)</f>
        <v>110.99482020790059</v>
      </c>
      <c r="J273" s="85">
        <f>IF(H273,An,'2027'!An_max)</f>
        <v>2022</v>
      </c>
      <c r="K273" s="193">
        <f t="shared" si="104"/>
        <v>47011</v>
      </c>
      <c r="L273" s="143">
        <f>IF(t&lt;Tvie,1-EXP((T0-t)*PertePVj)+'2027'!Pspv,1-EXP((T0-t)*PertePVj)+Pspv)</f>
        <v>3.4794358100233902E-2</v>
      </c>
      <c r="M273" s="835"/>
      <c r="N273" s="835"/>
      <c r="O273" s="48">
        <f>IF(t&lt;Tnet,'2027'!Resal+('2027'!Salim-'2027'!Resal)*(1-EXP(('2027'!Tnet-t)/('2027'!Tau_j))),Resal+(Salim-Resal)*(1-EXP((Tnet-t)/(Tau_j))))*Salcycl</f>
        <v>1.8935277965672161E-2</v>
      </c>
      <c r="P273" s="165">
        <f>(INDEX(Models!$BJ273:$BT273,,T273)*(1-R273)+INDEX(Models!$BJ273:$BT273,,T273+1)*R273-ERP_i)*Q273*Ramure*Pc/MaxiM</f>
        <v>3.92207962662836E-4</v>
      </c>
      <c r="Q273" s="301">
        <f t="shared" si="105"/>
        <v>0.5</v>
      </c>
      <c r="R273" s="173">
        <f t="shared" si="106"/>
        <v>0.48092495556097781</v>
      </c>
      <c r="S273" s="801">
        <f t="shared" si="107"/>
        <v>3</v>
      </c>
      <c r="T273" s="172">
        <f t="shared" si="108"/>
        <v>9</v>
      </c>
      <c r="U273" s="247">
        <f t="shared" si="109"/>
        <v>3.4809249555609778</v>
      </c>
      <c r="V273" s="378">
        <f t="shared" si="110"/>
        <v>187.09125643121166</v>
      </c>
      <c r="W273" s="397">
        <f t="shared" si="111"/>
        <v>105.06593866039806</v>
      </c>
      <c r="X273" s="153">
        <f t="shared" si="112"/>
        <v>47011</v>
      </c>
      <c r="Y273" s="380">
        <f t="shared" si="113"/>
        <v>101.24507634215948</v>
      </c>
      <c r="Z273" s="380">
        <f t="shared" si="114"/>
        <v>104.89482442610245</v>
      </c>
      <c r="AA273" s="381">
        <f t="shared" si="115"/>
        <v>110.95437560742675</v>
      </c>
      <c r="AB273" s="193">
        <f t="shared" si="116"/>
        <v>47011</v>
      </c>
      <c r="AC273" s="119">
        <f>IF(OR(t&lt;Tnet,NoTnet),'2027'!Resal_s+('2027'!Salim-'2027'!Resal_s)*(1-EXP(('2027'!Tnet_s-t)/'2027'!Tau_j)),Resal_s+(Salim-Resal_s)*(1-EXP((Tnet_s-t)/Tau_j)))*Salcycl</f>
        <v>5.4612998794783048E-2</v>
      </c>
      <c r="AD273" s="227">
        <f>(INDEX(Models!$BJ273:$BT273,,AH273)*(1-AF273)+INDEX(Models!$BJ273:$BT273,,AH273+1)*AF273-ERP_i)*AE273*Ramure*Pc/MaxiM</f>
        <v>3.92207962662836E-4</v>
      </c>
      <c r="AE273" s="301">
        <f t="shared" si="117"/>
        <v>0.5</v>
      </c>
      <c r="AF273" s="173">
        <f t="shared" si="118"/>
        <v>0.48092495556097781</v>
      </c>
      <c r="AG273" s="801">
        <f t="shared" si="124"/>
        <v>3</v>
      </c>
      <c r="AH273" s="172">
        <f t="shared" si="119"/>
        <v>9</v>
      </c>
      <c r="AI273" s="221">
        <f t="shared" si="120"/>
        <v>3.4809249555609778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47012</v>
      </c>
      <c r="B274" s="406">
        <f>'2027'!Wh/'2027'!Env_an*'2028'!Env_an</f>
        <v>190.92623131227336</v>
      </c>
      <c r="C274" s="831"/>
      <c r="D274" s="388">
        <f t="shared" si="102"/>
        <v>197.81157162740004</v>
      </c>
      <c r="E274" s="380">
        <f t="shared" si="100"/>
        <v>201.64323467825432</v>
      </c>
      <c r="F274" s="380">
        <f t="shared" si="103"/>
        <v>201.72150038015275</v>
      </c>
      <c r="G274" s="110">
        <f t="shared" si="101"/>
        <v>1.0265725210341587</v>
      </c>
      <c r="H274" s="409" t="b">
        <f>Wh_hp&gt;='2027'!Maxi_hp</f>
        <v>1</v>
      </c>
      <c r="I274" s="385">
        <f>IF(H274,Wh_hp,'2027'!Maxi_hp)</f>
        <v>201.72150038015275</v>
      </c>
      <c r="J274" s="85">
        <f>IF(H274,An,'2027'!An_max)</f>
        <v>2028</v>
      </c>
      <c r="K274" s="193">
        <f t="shared" si="104"/>
        <v>47012</v>
      </c>
      <c r="L274" s="143">
        <f>IF(t&lt;Tvie,1-EXP((T0-t)*PertePVj)+'2027'!Pspv,1-EXP((T0-t)*PertePVj)+Pspv)</f>
        <v>3.4807570954928702E-2</v>
      </c>
      <c r="M274" s="835"/>
      <c r="N274" s="835"/>
      <c r="O274" s="48">
        <f>IF(t&lt;Tnet,'2027'!Resal+('2027'!Salim-'2027'!Resal)*(1-EXP(('2027'!Tnet-t)/('2027'!Tau_j))),Resal+(Salim-Resal)*(1-EXP((Tnet-t)/(Tau_j))))*Salcycl</f>
        <v>1.9002189966691122E-2</v>
      </c>
      <c r="P274" s="165">
        <f>(INDEX(Models!$BJ274:$BT274,,T274)*(1-R274)+INDEX(Models!$BJ274:$BT274,,T274+1)*R274-ERP_i)*Q274*Ramure*Pc/MaxiM</f>
        <v>3.8798889434661041E-4</v>
      </c>
      <c r="Q274" s="301">
        <f t="shared" si="105"/>
        <v>0.5</v>
      </c>
      <c r="R274" s="173">
        <f t="shared" si="106"/>
        <v>0.48127210010607602</v>
      </c>
      <c r="S274" s="801">
        <f t="shared" si="107"/>
        <v>3</v>
      </c>
      <c r="T274" s="172">
        <f t="shared" si="108"/>
        <v>9</v>
      </c>
      <c r="U274" s="247">
        <f t="shared" si="109"/>
        <v>3.481272100106076</v>
      </c>
      <c r="V274" s="378">
        <f t="shared" si="110"/>
        <v>185.98416322300952</v>
      </c>
      <c r="W274" s="397">
        <f t="shared" si="111"/>
        <v>190.92623131227336</v>
      </c>
      <c r="X274" s="153">
        <f t="shared" si="112"/>
        <v>47012</v>
      </c>
      <c r="Y274" s="380">
        <f t="shared" si="113"/>
        <v>183.99153270789256</v>
      </c>
      <c r="Z274" s="380">
        <f t="shared" si="114"/>
        <v>190.62678816277864</v>
      </c>
      <c r="AA274" s="381">
        <f t="shared" si="115"/>
        <v>201.64323467825432</v>
      </c>
      <c r="AB274" s="193">
        <f t="shared" si="116"/>
        <v>47012</v>
      </c>
      <c r="AC274" s="119">
        <f>IF(OR(t&lt;Tnet,NoTnet),'2027'!Resal_s+('2027'!Salim-'2027'!Resal_s)*(1-EXP(('2027'!Tnet_s-t)/'2027'!Tau_j)),Resal_s+(Salim-Resal_s)*(1-EXP((Tnet_s-t)/Tau_j)))*Salcycl</f>
        <v>5.4633355456004902E-2</v>
      </c>
      <c r="AD274" s="227">
        <f>(INDEX(Models!$BJ274:$BT274,,AH274)*(1-AF274)+INDEX(Models!$BJ274:$BT274,,AH274+1)*AF274-ERP_i)*AE274*Ramure*Pc/MaxiM</f>
        <v>3.8798889434661041E-4</v>
      </c>
      <c r="AE274" s="301">
        <f t="shared" si="117"/>
        <v>0.5</v>
      </c>
      <c r="AF274" s="173">
        <f t="shared" si="118"/>
        <v>0.48127210010607602</v>
      </c>
      <c r="AG274" s="801">
        <f t="shared" si="124"/>
        <v>3</v>
      </c>
      <c r="AH274" s="172">
        <f t="shared" si="119"/>
        <v>9</v>
      </c>
      <c r="AI274" s="221">
        <f t="shared" si="120"/>
        <v>3.481272100106076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47013</v>
      </c>
      <c r="B275" s="406">
        <f>'2027'!Wh/'2027'!Env_an*'2028'!Env_an</f>
        <v>184.37872571171323</v>
      </c>
      <c r="C275" s="831"/>
      <c r="D275" s="388">
        <f t="shared" si="102"/>
        <v>191.03055949020069</v>
      </c>
      <c r="E275" s="380">
        <f t="shared" si="100"/>
        <v>194.7441005104765</v>
      </c>
      <c r="F275" s="380">
        <f t="shared" si="103"/>
        <v>194.81854957224792</v>
      </c>
      <c r="G275" s="110">
        <f t="shared" si="101"/>
        <v>0.99738490210664676</v>
      </c>
      <c r="H275" s="409" t="b">
        <f>Wh_hp&gt;='2027'!Maxi_hp</f>
        <v>0</v>
      </c>
      <c r="I275" s="385">
        <f>IF(H275,Wh_hp,'2027'!Maxi_hp)</f>
        <v>194.81879732421061</v>
      </c>
      <c r="J275" s="85">
        <f>IF(H275,An,'2027'!An_max)</f>
        <v>2022</v>
      </c>
      <c r="K275" s="193">
        <f t="shared" si="104"/>
        <v>47013</v>
      </c>
      <c r="L275" s="143">
        <f>IF(t&lt;Tvie,1-EXP((T0-t)*PertePVj)+'2027'!Pspv,1-EXP((T0-t)*PertePVj)+Pspv)</f>
        <v>3.4820783628750629E-2</v>
      </c>
      <c r="M275" s="835"/>
      <c r="N275" s="835"/>
      <c r="O275" s="48">
        <f>IF(t&lt;Tnet,'2027'!Resal+('2027'!Salim-'2027'!Resal)*(1-EXP(('2027'!Tnet-t)/('2027'!Tau_j))),Resal+(Salim-Resal)*(1-EXP((Tnet-t)/(Tau_j))))*Salcycl</f>
        <v>1.9068824218765192E-2</v>
      </c>
      <c r="P275" s="165">
        <f>(INDEX(Models!$BJ275:$BT275,,T275)*(1-R275)+INDEX(Models!$BJ275:$BT275,,T275+1)*R275-ERP_i)*Q275*Ramure*Pc/MaxiM</f>
        <v>3.8357786051660726E-4</v>
      </c>
      <c r="Q275" s="301">
        <f t="shared" si="105"/>
        <v>0.5</v>
      </c>
      <c r="R275" s="173">
        <f t="shared" si="106"/>
        <v>0.48160572851593386</v>
      </c>
      <c r="S275" s="801">
        <f t="shared" si="107"/>
        <v>3</v>
      </c>
      <c r="T275" s="172">
        <f t="shared" si="108"/>
        <v>9</v>
      </c>
      <c r="U275" s="247">
        <f t="shared" si="109"/>
        <v>3.4816057285159339</v>
      </c>
      <c r="V275" s="378">
        <f t="shared" si="110"/>
        <v>184.8618934903254</v>
      </c>
      <c r="W275" s="397">
        <f t="shared" si="111"/>
        <v>184.37872571171323</v>
      </c>
      <c r="X275" s="153">
        <f t="shared" si="112"/>
        <v>47013</v>
      </c>
      <c r="Y275" s="380">
        <f t="shared" si="113"/>
        <v>177.69018575260324</v>
      </c>
      <c r="Z275" s="380">
        <f t="shared" si="114"/>
        <v>184.10071698462264</v>
      </c>
      <c r="AA275" s="381">
        <f t="shared" si="115"/>
        <v>194.7441005104765</v>
      </c>
      <c r="AB275" s="193">
        <f t="shared" si="116"/>
        <v>47013</v>
      </c>
      <c r="AC275" s="119">
        <f>IF(OR(t&lt;Tnet,NoTnet),'2027'!Resal_s+('2027'!Salim-'2027'!Resal_s)*(1-EXP(('2027'!Tnet_s-t)/'2027'!Tau_j)),Resal_s+(Salim-Resal_s)*(1-EXP((Tnet_s-t)/Tau_j)))*Salcycl</f>
        <v>5.4653175618438195E-2</v>
      </c>
      <c r="AD275" s="227">
        <f>(INDEX(Models!$BJ275:$BT275,,AH275)*(1-AF275)+INDEX(Models!$BJ275:$BT275,,AH275+1)*AF275-ERP_i)*AE275*Ramure*Pc/MaxiM</f>
        <v>3.8357786051660726E-4</v>
      </c>
      <c r="AE275" s="301">
        <f t="shared" si="117"/>
        <v>0.5</v>
      </c>
      <c r="AF275" s="173">
        <f t="shared" si="118"/>
        <v>0.48160572851593386</v>
      </c>
      <c r="AG275" s="801">
        <f t="shared" si="124"/>
        <v>3</v>
      </c>
      <c r="AH275" s="172">
        <f t="shared" si="119"/>
        <v>9</v>
      </c>
      <c r="AI275" s="221">
        <f t="shared" si="120"/>
        <v>3.4816057285159339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47014</v>
      </c>
      <c r="B276" s="406">
        <f>'2027'!Wh/'2027'!Env_an*'2028'!Env_an</f>
        <v>181.92872103855248</v>
      </c>
      <c r="C276" s="831"/>
      <c r="D276" s="388">
        <f t="shared" si="102"/>
        <v>188.49474630013253</v>
      </c>
      <c r="E276" s="380">
        <f t="shared" si="100"/>
        <v>192.17199052977111</v>
      </c>
      <c r="F276" s="380">
        <f t="shared" si="103"/>
        <v>192.24394236684898</v>
      </c>
      <c r="G276" s="110">
        <f t="shared" si="101"/>
        <v>0.99023385241310258</v>
      </c>
      <c r="H276" s="409" t="b">
        <f>Wh_hp&gt;='2027'!Maxi_hp</f>
        <v>0</v>
      </c>
      <c r="I276" s="385">
        <f>IF(H276,Wh_hp,'2027'!Maxi_hp)</f>
        <v>192.2448463410021</v>
      </c>
      <c r="J276" s="85">
        <f>IF(H276,An,'2027'!An_max)</f>
        <v>2022</v>
      </c>
      <c r="K276" s="193">
        <f t="shared" si="104"/>
        <v>47014</v>
      </c>
      <c r="L276" s="143">
        <f>IF(t&lt;Tvie,1-EXP((T0-t)*PertePVj)+'2027'!Pspv,1-EXP((T0-t)*PertePVj)+Pspv)</f>
        <v>3.4833996121702127E-2</v>
      </c>
      <c r="M276" s="835"/>
      <c r="N276" s="835"/>
      <c r="O276" s="48">
        <f>IF(t&lt;Tnet,'2027'!Resal+('2027'!Salim-'2027'!Resal)*(1-EXP(('2027'!Tnet-t)/('2027'!Tau_j))),Resal+(Salim-Resal)*(1-EXP((Tnet-t)/(Tau_j))))*Salcycl</f>
        <v>1.9135172714302935E-2</v>
      </c>
      <c r="P276" s="165">
        <f>(INDEX(Models!$BJ276:$BT276,,T276)*(1-R276)+INDEX(Models!$BJ276:$BT276,,T276+1)*R276-ERP_i)*Q276*Ramure*Pc/MaxiM</f>
        <v>3.7956635433563084E-4</v>
      </c>
      <c r="Q276" s="301">
        <f t="shared" si="105"/>
        <v>0.5</v>
      </c>
      <c r="R276" s="173">
        <f t="shared" si="106"/>
        <v>0.48192634948519553</v>
      </c>
      <c r="S276" s="801">
        <f t="shared" si="107"/>
        <v>3</v>
      </c>
      <c r="T276" s="172">
        <f t="shared" si="108"/>
        <v>9</v>
      </c>
      <c r="U276" s="247">
        <f t="shared" si="109"/>
        <v>3.4819263494851955</v>
      </c>
      <c r="V276" s="378">
        <f t="shared" si="110"/>
        <v>183.72201408293699</v>
      </c>
      <c r="W276" s="397">
        <f t="shared" si="111"/>
        <v>181.92872103855248</v>
      </c>
      <c r="X276" s="153">
        <f t="shared" si="112"/>
        <v>47014</v>
      </c>
      <c r="Y276" s="380">
        <f t="shared" si="113"/>
        <v>175.33734420042379</v>
      </c>
      <c r="Z276" s="380">
        <f t="shared" si="114"/>
        <v>181.66547878382676</v>
      </c>
      <c r="AA276" s="381">
        <f t="shared" si="115"/>
        <v>192.17199052977111</v>
      </c>
      <c r="AB276" s="193">
        <f t="shared" si="116"/>
        <v>47014</v>
      </c>
      <c r="AC276" s="119">
        <f>IF(OR(t&lt;Tnet,NoTnet),'2027'!Resal_s+('2027'!Salim-'2027'!Resal_s)*(1-EXP(('2027'!Tnet_s-t)/'2027'!Tau_j)),Resal_s+(Salim-Resal_s)*(1-EXP((Tnet_s-t)/Tau_j)))*Salcycl</f>
        <v>5.4672440645384776E-2</v>
      </c>
      <c r="AD276" s="227">
        <f>(INDEX(Models!$BJ276:$BT276,,AH276)*(1-AF276)+INDEX(Models!$BJ276:$BT276,,AH276+1)*AF276-ERP_i)*AE276*Ramure*Pc/MaxiM</f>
        <v>3.7956635433563084E-4</v>
      </c>
      <c r="AE276" s="301">
        <f t="shared" si="117"/>
        <v>0.5</v>
      </c>
      <c r="AF276" s="173">
        <f t="shared" si="118"/>
        <v>0.48192634948519553</v>
      </c>
      <c r="AG276" s="801">
        <f t="shared" si="124"/>
        <v>3</v>
      </c>
      <c r="AH276" s="172">
        <f t="shared" si="119"/>
        <v>9</v>
      </c>
      <c r="AI276" s="221">
        <f t="shared" si="120"/>
        <v>3.4819263494851955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47015</v>
      </c>
      <c r="B277" s="406">
        <f>'2027'!Wh/'2027'!Env_an*'2028'!Env_an</f>
        <v>186.06313396125068</v>
      </c>
      <c r="C277" s="831"/>
      <c r="D277" s="388">
        <f t="shared" si="102"/>
        <v>192.78101414317447</v>
      </c>
      <c r="E277" s="380">
        <f t="shared" si="100"/>
        <v>196.55511354934808</v>
      </c>
      <c r="F277" s="380">
        <f t="shared" si="103"/>
        <v>196.6290141607993</v>
      </c>
      <c r="G277" s="110">
        <f t="shared" si="101"/>
        <v>1.0191548690504899</v>
      </c>
      <c r="H277" s="409" t="b">
        <f>Wh_hp&gt;='2027'!Maxi_hp</f>
        <v>1</v>
      </c>
      <c r="I277" s="385">
        <f>IF(H277,Wh_hp,'2027'!Maxi_hp)</f>
        <v>196.6290141607993</v>
      </c>
      <c r="J277" s="85">
        <f>IF(H277,An,'2027'!An_max)</f>
        <v>2028</v>
      </c>
      <c r="K277" s="193">
        <f t="shared" si="104"/>
        <v>47015</v>
      </c>
      <c r="L277" s="143">
        <f>IF(t&lt;Tvie,1-EXP((T0-t)*PertePVj)+'2027'!Pspv,1-EXP((T0-t)*PertePVj)+Pspv)</f>
        <v>3.4847208433785748E-2</v>
      </c>
      <c r="M277" s="835"/>
      <c r="N277" s="835"/>
      <c r="O277" s="48">
        <f>IF(t&lt;Tnet,'2027'!Resal+('2027'!Salim-'2027'!Resal)*(1-EXP(('2027'!Tnet-t)/('2027'!Tau_j))),Resal+(Salim-Resal)*(1-EXP((Tnet-t)/(Tau_j))))*Salcycl</f>
        <v>1.9201227269144906E-2</v>
      </c>
      <c r="P277" s="165">
        <f>(INDEX(Models!$BJ277:$BT277,,T277)*(1-R277)+INDEX(Models!$BJ277:$BT277,,T277+1)*R277-ERP_i)*Q277*Ramure*Pc/MaxiM</f>
        <v>3.7583777636591677E-4</v>
      </c>
      <c r="Q277" s="301">
        <f t="shared" si="105"/>
        <v>0.5</v>
      </c>
      <c r="R277" s="173">
        <f t="shared" si="106"/>
        <v>0.48223445393025433</v>
      </c>
      <c r="S277" s="801">
        <f t="shared" si="107"/>
        <v>3</v>
      </c>
      <c r="T277" s="172">
        <f t="shared" si="108"/>
        <v>9</v>
      </c>
      <c r="U277" s="247">
        <f t="shared" si="109"/>
        <v>3.4822344539302543</v>
      </c>
      <c r="V277" s="378">
        <f t="shared" si="110"/>
        <v>182.56610414332712</v>
      </c>
      <c r="W277" s="397">
        <f t="shared" si="111"/>
        <v>186.06313396125068</v>
      </c>
      <c r="X277" s="153">
        <f t="shared" si="112"/>
        <v>47015</v>
      </c>
      <c r="Y277" s="380">
        <f t="shared" si="113"/>
        <v>179.33049622858371</v>
      </c>
      <c r="Z277" s="380">
        <f t="shared" si="114"/>
        <v>185.80529196581696</v>
      </c>
      <c r="AA277" s="381">
        <f t="shared" si="115"/>
        <v>196.55511354934808</v>
      </c>
      <c r="AB277" s="193">
        <f t="shared" si="116"/>
        <v>47015</v>
      </c>
      <c r="AC277" s="119">
        <f>IF(OR(t&lt;Tnet,NoTnet),'2027'!Resal_s+('2027'!Salim-'2027'!Resal_s)*(1-EXP(('2027'!Tnet_s-t)/'2027'!Tau_j)),Resal_s+(Salim-Resal_s)*(1-EXP((Tnet_s-t)/Tau_j)))*Salcycl</f>
        <v>5.4691131608907317E-2</v>
      </c>
      <c r="AD277" s="227">
        <f>(INDEX(Models!$BJ277:$BT277,,AH277)*(1-AF277)+INDEX(Models!$BJ277:$BT277,,AH277+1)*AF277-ERP_i)*AE277*Ramure*Pc/MaxiM</f>
        <v>3.7583777636591677E-4</v>
      </c>
      <c r="AE277" s="301">
        <f t="shared" si="117"/>
        <v>0.5</v>
      </c>
      <c r="AF277" s="173">
        <f t="shared" si="118"/>
        <v>0.48223445393025433</v>
      </c>
      <c r="AG277" s="801">
        <f t="shared" si="124"/>
        <v>3</v>
      </c>
      <c r="AH277" s="172">
        <f t="shared" si="119"/>
        <v>9</v>
      </c>
      <c r="AI277" s="221">
        <f t="shared" si="120"/>
        <v>3.4822344539302543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47016</v>
      </c>
      <c r="B278" s="406">
        <f>'2027'!Wh/'2027'!Env_an*'2028'!Env_an</f>
        <v>181.0234876115415</v>
      </c>
      <c r="C278" s="831"/>
      <c r="D278" s="388">
        <f t="shared" si="102"/>
        <v>187.56197701219006</v>
      </c>
      <c r="E278" s="380">
        <f t="shared" si="100"/>
        <v>191.24672372694491</v>
      </c>
      <c r="F278" s="380">
        <f t="shared" si="103"/>
        <v>191.31776008047981</v>
      </c>
      <c r="G278" s="110">
        <f t="shared" si="101"/>
        <v>0.99794686053422199</v>
      </c>
      <c r="H278" s="409" t="b">
        <f>Wh_hp&gt;='2027'!Maxi_hp</f>
        <v>0</v>
      </c>
      <c r="I278" s="385">
        <f>IF(H278,Wh_hp,'2027'!Maxi_hp)</f>
        <v>191.3179458974538</v>
      </c>
      <c r="J278" s="85">
        <f>IF(H278,An,'2027'!An_max)</f>
        <v>2022</v>
      </c>
      <c r="K278" s="193">
        <f t="shared" si="104"/>
        <v>47016</v>
      </c>
      <c r="L278" s="143">
        <f>IF(t&lt;Tvie,1-EXP((T0-t)*PertePVj)+'2027'!Pspv,1-EXP((T0-t)*PertePVj)+Pspv)</f>
        <v>3.4860420565003936E-2</v>
      </c>
      <c r="M278" s="835"/>
      <c r="N278" s="835"/>
      <c r="O278" s="48">
        <f>IF(t&lt;Tnet,'2027'!Resal+('2027'!Salim-'2027'!Resal)*(1-EXP(('2027'!Tnet-t)/('2027'!Tau_j))),Resal+(Salim-Resal)*(1-EXP((Tnet-t)/(Tau_j))))*Salcycl</f>
        <v>1.9266979548448745E-2</v>
      </c>
      <c r="P278" s="165">
        <f>(INDEX(Models!$BJ278:$BT278,,T278)*(1-R278)+INDEX(Models!$BJ278:$BT278,,T278+1)*R278-ERP_i)*Q278*Ramure*Pc/MaxiM</f>
        <v>3.7239202882880087E-4</v>
      </c>
      <c r="Q278" s="301">
        <f t="shared" si="105"/>
        <v>0.5</v>
      </c>
      <c r="R278" s="173">
        <f t="shared" si="106"/>
        <v>0.48253051550284187</v>
      </c>
      <c r="S278" s="801">
        <f t="shared" si="107"/>
        <v>3</v>
      </c>
      <c r="T278" s="172">
        <f t="shared" si="108"/>
        <v>9</v>
      </c>
      <c r="U278" s="247">
        <f t="shared" si="109"/>
        <v>3.4825305155028419</v>
      </c>
      <c r="V278" s="378">
        <f t="shared" si="110"/>
        <v>181.39572063372066</v>
      </c>
      <c r="W278" s="397">
        <f t="shared" si="111"/>
        <v>181.0234876115415</v>
      </c>
      <c r="X278" s="153">
        <f t="shared" si="112"/>
        <v>47016</v>
      </c>
      <c r="Y278" s="380">
        <f t="shared" si="113"/>
        <v>174.48156484857429</v>
      </c>
      <c r="Z278" s="380">
        <f t="shared" si="114"/>
        <v>180.78376285295215</v>
      </c>
      <c r="AA278" s="381">
        <f t="shared" si="115"/>
        <v>191.24672372694491</v>
      </c>
      <c r="AB278" s="193">
        <f t="shared" si="116"/>
        <v>47016</v>
      </c>
      <c r="AC278" s="119">
        <f>IF(OR(t&lt;Tnet,NoTnet),'2027'!Resal_s+('2027'!Salim-'2027'!Resal_s)*(1-EXP(('2027'!Tnet_s-t)/'2027'!Tau_j)),Resal_s+(Salim-Resal_s)*(1-EXP((Tnet_s-t)/Tau_j)))*Salcycl</f>
        <v>5.4709229366623868E-2</v>
      </c>
      <c r="AD278" s="227">
        <f>(INDEX(Models!$BJ278:$BT278,,AH278)*(1-AF278)+INDEX(Models!$BJ278:$BT278,,AH278+1)*AF278-ERP_i)*AE278*Ramure*Pc/MaxiM</f>
        <v>3.7239202882880087E-4</v>
      </c>
      <c r="AE278" s="301">
        <f t="shared" si="117"/>
        <v>0.5</v>
      </c>
      <c r="AF278" s="173">
        <f t="shared" si="118"/>
        <v>0.48253051550284187</v>
      </c>
      <c r="AG278" s="801">
        <f t="shared" si="124"/>
        <v>3</v>
      </c>
      <c r="AH278" s="172">
        <f t="shared" si="119"/>
        <v>9</v>
      </c>
      <c r="AI278" s="221">
        <f t="shared" si="120"/>
        <v>3.4825305155028419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47017</v>
      </c>
      <c r="B279" s="406">
        <f>'2027'!Wh/'2027'!Env_an*'2028'!Env_an</f>
        <v>175.83260214299293</v>
      </c>
      <c r="C279" s="831"/>
      <c r="D279" s="388">
        <f t="shared" si="102"/>
        <v>182.18609299967252</v>
      </c>
      <c r="E279" s="380">
        <f t="shared" si="100"/>
        <v>185.77762426221719</v>
      </c>
      <c r="F279" s="380">
        <f t="shared" si="103"/>
        <v>185.84386082183985</v>
      </c>
      <c r="G279" s="110">
        <f t="shared" si="101"/>
        <v>0.97568384724167623</v>
      </c>
      <c r="H279" s="409" t="b">
        <f>Wh_hp&gt;='2027'!Maxi_hp</f>
        <v>0</v>
      </c>
      <c r="I279" s="385">
        <f>IF(H279,Wh_hp,'2027'!Maxi_hp)</f>
        <v>185.84598226608634</v>
      </c>
      <c r="J279" s="85">
        <f>IF(H279,An,'2027'!An_max)</f>
        <v>2022</v>
      </c>
      <c r="K279" s="193">
        <f t="shared" si="104"/>
        <v>47017</v>
      </c>
      <c r="L279" s="143">
        <f>IF(t&lt;Tvie,1-EXP((T0-t)*PertePVj)+'2027'!Pspv,1-EXP((T0-t)*PertePVj)+Pspv)</f>
        <v>3.4873632515359021E-2</v>
      </c>
      <c r="M279" s="835"/>
      <c r="N279" s="835"/>
      <c r="O279" s="48">
        <f>IF(t&lt;Tnet,'2027'!Resal+('2027'!Salim-'2027'!Resal)*(1-EXP(('2027'!Tnet-t)/('2027'!Tau_j))),Resal+(Salim-Resal)*(1-EXP((Tnet-t)/(Tau_j))))*Salcycl</f>
        <v>1.9332421096500688E-2</v>
      </c>
      <c r="P279" s="165">
        <f>(INDEX(Models!$BJ279:$BT279,,T279)*(1-R279)+INDEX(Models!$BJ279:$BT279,,T279+1)*R279-ERP_i)*Q279*Ramure*Pc/MaxiM</f>
        <v>3.6922917382577858E-4</v>
      </c>
      <c r="Q279" s="301">
        <f t="shared" si="105"/>
        <v>0.5</v>
      </c>
      <c r="R279" s="173">
        <f t="shared" si="106"/>
        <v>0.4828149910976518</v>
      </c>
      <c r="S279" s="801">
        <f t="shared" si="107"/>
        <v>3</v>
      </c>
      <c r="T279" s="172">
        <f t="shared" si="108"/>
        <v>9</v>
      </c>
      <c r="U279" s="247">
        <f t="shared" si="109"/>
        <v>3.4828149910976518</v>
      </c>
      <c r="V279" s="378">
        <f t="shared" si="110"/>
        <v>180.21241999613818</v>
      </c>
      <c r="W279" s="397">
        <f t="shared" si="111"/>
        <v>175.83260214299293</v>
      </c>
      <c r="X279" s="153">
        <f t="shared" si="112"/>
        <v>47017</v>
      </c>
      <c r="Y279" s="380">
        <f t="shared" si="113"/>
        <v>169.48644482109634</v>
      </c>
      <c r="Z279" s="380">
        <f t="shared" si="114"/>
        <v>175.61062523120171</v>
      </c>
      <c r="AA279" s="381">
        <f t="shared" si="115"/>
        <v>185.77762426221719</v>
      </c>
      <c r="AB279" s="193">
        <f t="shared" si="116"/>
        <v>47017</v>
      </c>
      <c r="AC279" s="119">
        <f>IF(OR(t&lt;Tnet,NoTnet),'2027'!Resal_s+('2027'!Salim-'2027'!Resal_s)*(1-EXP(('2027'!Tnet_s-t)/'2027'!Tau_j)),Resal_s+(Salim-Resal_s)*(1-EXP((Tnet_s-t)/Tau_j)))*Salcycl</f>
        <v>5.4726714648181671E-2</v>
      </c>
      <c r="AD279" s="227">
        <f>(INDEX(Models!$BJ279:$BT279,,AH279)*(1-AF279)+INDEX(Models!$BJ279:$BT279,,AH279+1)*AF279-ERP_i)*AE279*Ramure*Pc/MaxiM</f>
        <v>3.6922917382577858E-4</v>
      </c>
      <c r="AE279" s="301">
        <f t="shared" si="117"/>
        <v>0.5</v>
      </c>
      <c r="AF279" s="173">
        <f t="shared" si="118"/>
        <v>0.4828149910976518</v>
      </c>
      <c r="AG279" s="801">
        <f t="shared" si="124"/>
        <v>3</v>
      </c>
      <c r="AH279" s="172">
        <f t="shared" si="119"/>
        <v>9</v>
      </c>
      <c r="AI279" s="221">
        <f t="shared" si="120"/>
        <v>3.4828149910976518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47018</v>
      </c>
      <c r="B280" s="406">
        <f>'2027'!Wh/'2027'!Env_an*'2028'!Env_an</f>
        <v>112.74541160988348</v>
      </c>
      <c r="C280" s="831"/>
      <c r="D280" s="388">
        <f t="shared" si="102"/>
        <v>116.82092503063998</v>
      </c>
      <c r="E280" s="380">
        <f t="shared" si="100"/>
        <v>119.13178907604141</v>
      </c>
      <c r="F280" s="380">
        <f t="shared" si="103"/>
        <v>119.15235521991814</v>
      </c>
      <c r="G280" s="110">
        <f t="shared" si="101"/>
        <v>0.6296781117065221</v>
      </c>
      <c r="H280" s="409" t="b">
        <f>Wh_hp&gt;='2027'!Maxi_hp</f>
        <v>0</v>
      </c>
      <c r="I280" s="385">
        <f>IF(H280,Wh_hp,'2027'!Maxi_hp)</f>
        <v>119.17293135937119</v>
      </c>
      <c r="J280" s="85">
        <f>IF(H280,An,'2027'!An_max)</f>
        <v>2022</v>
      </c>
      <c r="K280" s="193">
        <f t="shared" si="104"/>
        <v>47018</v>
      </c>
      <c r="L280" s="143">
        <f>IF(t&lt;Tvie,1-EXP((T0-t)*PertePVj)+'2027'!Pspv,1-EXP((T0-t)*PertePVj)+Pspv)</f>
        <v>3.488684428485378E-2</v>
      </c>
      <c r="M280" s="835"/>
      <c r="N280" s="835"/>
      <c r="O280" s="48">
        <f>IF(t&lt;Tnet,'2027'!Resal+('2027'!Salim-'2027'!Resal)*(1-EXP(('2027'!Tnet-t)/('2027'!Tau_j))),Resal+(Salim-Resal)*(1-EXP((Tnet-t)/(Tau_j))))*Salcycl</f>
        <v>1.9397543370446708E-2</v>
      </c>
      <c r="P280" s="165">
        <f>(INDEX(Models!$BJ280:$BT280,,T280)*(1-R280)+INDEX(Models!$BJ280:$BT280,,T280+1)*R280-ERP_i)*Q280*Ramure*Pc/MaxiM</f>
        <v>3.6635103539408686E-4</v>
      </c>
      <c r="Q280" s="301">
        <f t="shared" si="105"/>
        <v>0.5</v>
      </c>
      <c r="R280" s="173">
        <f t="shared" si="106"/>
        <v>0.48308832135321733</v>
      </c>
      <c r="S280" s="801">
        <f t="shared" si="107"/>
        <v>3</v>
      </c>
      <c r="T280" s="172">
        <f t="shared" si="108"/>
        <v>9</v>
      </c>
      <c r="U280" s="247">
        <f t="shared" si="109"/>
        <v>3.4830883213532173</v>
      </c>
      <c r="V280" s="378">
        <f t="shared" si="110"/>
        <v>179.01775784524784</v>
      </c>
      <c r="W280" s="397">
        <f t="shared" si="111"/>
        <v>112.74541160988348</v>
      </c>
      <c r="X280" s="153">
        <f t="shared" si="112"/>
        <v>47018</v>
      </c>
      <c r="Y280" s="380">
        <f t="shared" si="113"/>
        <v>108.68147919187184</v>
      </c>
      <c r="Z280" s="380">
        <f t="shared" si="114"/>
        <v>112.61008986178327</v>
      </c>
      <c r="AA280" s="381">
        <f t="shared" si="115"/>
        <v>119.13178907604141</v>
      </c>
      <c r="AB280" s="193">
        <f t="shared" si="116"/>
        <v>47018</v>
      </c>
      <c r="AC280" s="119">
        <f>IF(OR(t&lt;Tnet,NoTnet),'2027'!Resal_s+('2027'!Salim-'2027'!Resal_s)*(1-EXP(('2027'!Tnet_s-t)/'2027'!Tau_j)),Resal_s+(Salim-Resal_s)*(1-EXP((Tnet_s-t)/Tau_j)))*Salcycl</f>
        <v>5.4743568151195701E-2</v>
      </c>
      <c r="AD280" s="227">
        <f>(INDEX(Models!$BJ280:$BT280,,AH280)*(1-AF280)+INDEX(Models!$BJ280:$BT280,,AH280+1)*AF280-ERP_i)*AE280*Ramure*Pc/MaxiM</f>
        <v>3.6635103539408686E-4</v>
      </c>
      <c r="AE280" s="301">
        <f t="shared" si="117"/>
        <v>0.5</v>
      </c>
      <c r="AF280" s="173">
        <f t="shared" si="118"/>
        <v>0.48308832135321733</v>
      </c>
      <c r="AG280" s="801">
        <f t="shared" si="124"/>
        <v>3</v>
      </c>
      <c r="AH280" s="172">
        <f t="shared" si="119"/>
        <v>9</v>
      </c>
      <c r="AI280" s="221">
        <f t="shared" si="120"/>
        <v>3.4830883213532173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47019</v>
      </c>
      <c r="B281" s="406">
        <f>'2027'!Wh/'2027'!Env_an*'2028'!Env_an</f>
        <v>75.846768753412618</v>
      </c>
      <c r="C281" s="831"/>
      <c r="D281" s="388">
        <f t="shared" si="102"/>
        <v>78.589548383053554</v>
      </c>
      <c r="E281" s="380">
        <f t="shared" si="100"/>
        <v>80.149443933599514</v>
      </c>
      <c r="F281" s="380">
        <f t="shared" si="103"/>
        <v>80.154715217552067</v>
      </c>
      <c r="G281" s="110">
        <f t="shared" si="101"/>
        <v>0.42642575011916034</v>
      </c>
      <c r="H281" s="409" t="b">
        <f>Wh_hp&gt;='2027'!Maxi_hp</f>
        <v>0</v>
      </c>
      <c r="I281" s="385">
        <f>IF(H281,Wh_hp,'2027'!Maxi_hp)</f>
        <v>80.176027230313849</v>
      </c>
      <c r="J281" s="85">
        <f>IF(H281,An,'2027'!An_max)</f>
        <v>2022</v>
      </c>
      <c r="K281" s="193">
        <f t="shared" si="104"/>
        <v>47019</v>
      </c>
      <c r="L281" s="143">
        <f>IF(t&lt;Tvie,1-EXP((T0-t)*PertePVj)+'2027'!Pspv,1-EXP((T0-t)*PertePVj)+Pspv)</f>
        <v>3.4900055873490321E-2</v>
      </c>
      <c r="M281" s="835"/>
      <c r="N281" s="835"/>
      <c r="O281" s="48">
        <f>IF(t&lt;Tnet,'2027'!Resal+('2027'!Salim-'2027'!Resal)*(1-EXP(('2027'!Tnet-t)/('2027'!Tau_j))),Resal+(Salim-Resal)*(1-EXP((Tnet-t)/(Tau_j))))*Salcycl</f>
        <v>1.9462337777892406E-2</v>
      </c>
      <c r="P281" s="165">
        <f>(INDEX(Models!$BJ281:$BT281,,T281)*(1-R281)+INDEX(Models!$BJ281:$BT281,,T281+1)*R281-ERP_i)*Q281*Ramure*Pc/MaxiM</f>
        <v>3.6375869285940597E-4</v>
      </c>
      <c r="Q281" s="301">
        <f t="shared" si="105"/>
        <v>0.5</v>
      </c>
      <c r="R281" s="173">
        <f t="shared" si="106"/>
        <v>0.48335093114535344</v>
      </c>
      <c r="S281" s="801">
        <f t="shared" si="107"/>
        <v>3</v>
      </c>
      <c r="T281" s="172">
        <f t="shared" si="108"/>
        <v>9</v>
      </c>
      <c r="U281" s="247">
        <f t="shared" si="109"/>
        <v>3.4833509311453534</v>
      </c>
      <c r="V281" s="378">
        <f t="shared" si="110"/>
        <v>177.8132894202904</v>
      </c>
      <c r="W281" s="397">
        <f t="shared" si="111"/>
        <v>75.846768753412618</v>
      </c>
      <c r="X281" s="153">
        <f t="shared" si="112"/>
        <v>47019</v>
      </c>
      <c r="Y281" s="380">
        <f t="shared" si="113"/>
        <v>73.116433824416973</v>
      </c>
      <c r="Z281" s="380">
        <f t="shared" si="114"/>
        <v>75.760478766365509</v>
      </c>
      <c r="AA281" s="381">
        <f t="shared" si="115"/>
        <v>80.149443933599514</v>
      </c>
      <c r="AB281" s="193">
        <f t="shared" si="116"/>
        <v>47019</v>
      </c>
      <c r="AC281" s="119">
        <f>IF(OR(t&lt;Tnet,NoTnet),'2027'!Resal_s+('2027'!Salim-'2027'!Resal_s)*(1-EXP(('2027'!Tnet_s-t)/'2027'!Tau_j)),Resal_s+(Salim-Resal_s)*(1-EXP((Tnet_s-t)/Tau_j)))*Salcycl</f>
        <v>5.4759770646320191E-2</v>
      </c>
      <c r="AD281" s="227">
        <f>(INDEX(Models!$BJ281:$BT281,,AH281)*(1-AF281)+INDEX(Models!$BJ281:$BT281,,AH281+1)*AF281-ERP_i)*AE281*Ramure*Pc/MaxiM</f>
        <v>3.6375869285940597E-4</v>
      </c>
      <c r="AE281" s="301">
        <f t="shared" si="117"/>
        <v>0.5</v>
      </c>
      <c r="AF281" s="173">
        <f t="shared" si="118"/>
        <v>0.48335093114535344</v>
      </c>
      <c r="AG281" s="801">
        <f t="shared" si="124"/>
        <v>3</v>
      </c>
      <c r="AH281" s="172">
        <f t="shared" si="119"/>
        <v>9</v>
      </c>
      <c r="AI281" s="221">
        <f t="shared" si="120"/>
        <v>3.4833509311453534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47020</v>
      </c>
      <c r="B282" s="406">
        <f>'2027'!Wh/'2027'!Env_an*'2028'!Env_an</f>
        <v>131.73317001678708</v>
      </c>
      <c r="C282" s="831"/>
      <c r="D282" s="388">
        <f t="shared" si="102"/>
        <v>136.49878871061043</v>
      </c>
      <c r="E282" s="380">
        <f t="shared" si="100"/>
        <v>139.21725562159216</v>
      </c>
      <c r="F282" s="380">
        <f t="shared" si="103"/>
        <v>139.24944562934422</v>
      </c>
      <c r="G282" s="110">
        <f t="shared" si="101"/>
        <v>0.74584132749756593</v>
      </c>
      <c r="H282" s="409" t="b">
        <f>Wh_hp&gt;='2027'!Maxi_hp</f>
        <v>0</v>
      </c>
      <c r="I282" s="385">
        <f>IF(H282,Wh_hp,'2027'!Maxi_hp)</f>
        <v>139.26582651103067</v>
      </c>
      <c r="J282" s="85">
        <f>IF(H282,An,'2027'!An_max)</f>
        <v>2022</v>
      </c>
      <c r="K282" s="193">
        <f t="shared" si="104"/>
        <v>47020</v>
      </c>
      <c r="L282" s="143">
        <f>IF(t&lt;Tvie,1-EXP((T0-t)*PertePVj)+'2027'!Pspv,1-EXP((T0-t)*PertePVj)+Pspv)</f>
        <v>3.4913267281271421E-2</v>
      </c>
      <c r="M282" s="835"/>
      <c r="N282" s="835"/>
      <c r="O282" s="48">
        <f>IF(t&lt;Tnet,'2027'!Resal+('2027'!Salim-'2027'!Resal)*(1-EXP(('2027'!Tnet-t)/('2027'!Tau_j))),Resal+(Salim-Resal)*(1-EXP((Tnet-t)/(Tau_j))))*Salcycl</f>
        <v>1.9526795718275213E-2</v>
      </c>
      <c r="P282" s="165">
        <f>(INDEX(Models!$BJ282:$BT282,,T282)*(1-R282)+INDEX(Models!$BJ282:$BT282,,T282+1)*R282-ERP_i)*Q282*Ramure*Pc/MaxiM</f>
        <v>3.6286878882132594E-4</v>
      </c>
      <c r="Q282" s="301">
        <f t="shared" si="105"/>
        <v>0.5</v>
      </c>
      <c r="R282" s="173">
        <f t="shared" si="106"/>
        <v>0.48360323007257167</v>
      </c>
      <c r="S282" s="801">
        <f t="shared" si="107"/>
        <v>3</v>
      </c>
      <c r="T282" s="172">
        <f t="shared" si="108"/>
        <v>9</v>
      </c>
      <c r="U282" s="247">
        <f t="shared" si="109"/>
        <v>3.4836032300725717</v>
      </c>
      <c r="V282" s="378">
        <f t="shared" si="110"/>
        <v>176.60031936968267</v>
      </c>
      <c r="W282" s="397">
        <f t="shared" si="111"/>
        <v>131.73317001678708</v>
      </c>
      <c r="X282" s="153">
        <f t="shared" si="112"/>
        <v>47020</v>
      </c>
      <c r="Y282" s="380">
        <f t="shared" si="113"/>
        <v>126.99729595690272</v>
      </c>
      <c r="Z282" s="380">
        <f t="shared" si="114"/>
        <v>131.59158824942179</v>
      </c>
      <c r="AA282" s="381">
        <f t="shared" si="115"/>
        <v>139.21725562159216</v>
      </c>
      <c r="AB282" s="193">
        <f t="shared" si="116"/>
        <v>47020</v>
      </c>
      <c r="AC282" s="119">
        <f>IF(OR(t&lt;Tnet,NoTnet),'2027'!Resal_s+('2027'!Salim-'2027'!Resal_s)*(1-EXP(('2027'!Tnet_s-t)/'2027'!Tau_j)),Resal_s+(Salim-Resal_s)*(1-EXP((Tnet_s-t)/Tau_j)))*Salcycl</f>
        <v>5.4775303091003237E-2</v>
      </c>
      <c r="AD282" s="227">
        <f>(INDEX(Models!$BJ282:$BT282,,AH282)*(1-AF282)+INDEX(Models!$BJ282:$BT282,,AH282+1)*AF282-ERP_i)*AE282*Ramure*Pc/MaxiM</f>
        <v>3.6286878882132594E-4</v>
      </c>
      <c r="AE282" s="301">
        <f t="shared" si="117"/>
        <v>0.5</v>
      </c>
      <c r="AF282" s="173">
        <f t="shared" si="118"/>
        <v>0.48360323007257167</v>
      </c>
      <c r="AG282" s="801">
        <f t="shared" si="124"/>
        <v>3</v>
      </c>
      <c r="AH282" s="172">
        <f t="shared" si="119"/>
        <v>9</v>
      </c>
      <c r="AI282" s="221">
        <f t="shared" si="120"/>
        <v>3.4836032300725717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47021</v>
      </c>
      <c r="B283" s="406">
        <f>'2027'!Wh/'2027'!Env_an*'2028'!Env_an</f>
        <v>133.33267119741197</v>
      </c>
      <c r="C283" s="831"/>
      <c r="D283" s="388">
        <f t="shared" si="102"/>
        <v>138.15804519360111</v>
      </c>
      <c r="E283" s="380">
        <f t="shared" si="100"/>
        <v>140.91877197940073</v>
      </c>
      <c r="F283" s="380">
        <f t="shared" si="103"/>
        <v>140.95250525550711</v>
      </c>
      <c r="G283" s="110">
        <f t="shared" si="101"/>
        <v>0.76015381863971632</v>
      </c>
      <c r="H283" s="409" t="b">
        <f>Wh_hp&gt;='2027'!Maxi_hp</f>
        <v>0</v>
      </c>
      <c r="I283" s="385">
        <f>IF(H283,Wh_hp,'2027'!Maxi_hp)</f>
        <v>140.96821646202747</v>
      </c>
      <c r="J283" s="85">
        <f>IF(H283,An,'2027'!An_max)</f>
        <v>2022</v>
      </c>
      <c r="K283" s="193">
        <f t="shared" si="104"/>
        <v>47021</v>
      </c>
      <c r="L283" s="143">
        <f>IF(t&lt;Tvie,1-EXP((T0-t)*PertePVj)+'2027'!Pspv,1-EXP((T0-t)*PertePVj)+Pspv)</f>
        <v>3.492647850819941E-2</v>
      </c>
      <c r="M283" s="835"/>
      <c r="N283" s="835"/>
      <c r="O283" s="48">
        <f>IF(t&lt;Tnet,'2027'!Resal+('2027'!Salim-'2027'!Resal)*(1-EXP(('2027'!Tnet-t)/('2027'!Tau_j))),Resal+(Salim-Resal)*(1-EXP((Tnet-t)/(Tau_j))))*Salcycl</f>
        <v>1.9590908627866572E-2</v>
      </c>
      <c r="P283" s="165">
        <f>(INDEX(Models!$BJ283:$BT283,,T283)*(1-R283)+INDEX(Models!$BJ283:$BT283,,T283+1)*R283-ERP_i)*Q283*Ramure*Pc/MaxiM</f>
        <v>3.6399152079529966E-4</v>
      </c>
      <c r="Q283" s="301">
        <f t="shared" si="105"/>
        <v>0.5</v>
      </c>
      <c r="R283" s="173">
        <f t="shared" si="106"/>
        <v>0.48384561293294936</v>
      </c>
      <c r="S283" s="801">
        <f t="shared" si="107"/>
        <v>3</v>
      </c>
      <c r="T283" s="172">
        <f t="shared" si="108"/>
        <v>9</v>
      </c>
      <c r="U283" s="247">
        <f t="shared" si="109"/>
        <v>3.4838456129329494</v>
      </c>
      <c r="V283" s="378">
        <f t="shared" si="110"/>
        <v>175.38035284007128</v>
      </c>
      <c r="W283" s="397">
        <f t="shared" si="111"/>
        <v>133.33267119741197</v>
      </c>
      <c r="X283" s="153">
        <f t="shared" si="112"/>
        <v>47021</v>
      </c>
      <c r="Y283" s="380">
        <f t="shared" si="113"/>
        <v>128.54568127206292</v>
      </c>
      <c r="Z283" s="380">
        <f t="shared" si="114"/>
        <v>133.19781178262807</v>
      </c>
      <c r="AA283" s="381">
        <f t="shared" si="115"/>
        <v>140.91877197940073</v>
      </c>
      <c r="AB283" s="193">
        <f t="shared" si="116"/>
        <v>47021</v>
      </c>
      <c r="AC283" s="119">
        <f>IF(OR(t&lt;Tnet,NoTnet),'2027'!Resal_s+('2027'!Salim-'2027'!Resal_s)*(1-EXP(('2027'!Tnet_s-t)/'2027'!Tau_j)),Resal_s+(Salim-Resal_s)*(1-EXP((Tnet_s-t)/Tau_j)))*Salcycl</f>
        <v>5.4790146751359119E-2</v>
      </c>
      <c r="AD283" s="227">
        <f>(INDEX(Models!$BJ283:$BT283,,AH283)*(1-AF283)+INDEX(Models!$BJ283:$BT283,,AH283+1)*AF283-ERP_i)*AE283*Ramure*Pc/MaxiM</f>
        <v>3.6399152079529966E-4</v>
      </c>
      <c r="AE283" s="301">
        <f t="shared" si="117"/>
        <v>0.5</v>
      </c>
      <c r="AF283" s="173">
        <f t="shared" si="118"/>
        <v>0.48384561293294936</v>
      </c>
      <c r="AG283" s="801">
        <f t="shared" si="124"/>
        <v>3</v>
      </c>
      <c r="AH283" s="172">
        <f t="shared" si="119"/>
        <v>9</v>
      </c>
      <c r="AI283" s="221">
        <f t="shared" si="120"/>
        <v>3.4838456129329494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47022</v>
      </c>
      <c r="B284" s="406">
        <f>'2027'!Wh/'2027'!Env_an*'2028'!Env_an</f>
        <v>61.230944917898945</v>
      </c>
      <c r="C284" s="831"/>
      <c r="D284" s="388">
        <f t="shared" si="102"/>
        <v>63.447791039731804</v>
      </c>
      <c r="E284" s="380">
        <f t="shared" si="100"/>
        <v>64.719837969869531</v>
      </c>
      <c r="F284" s="380">
        <f t="shared" si="103"/>
        <v>64.721589232463984</v>
      </c>
      <c r="G284" s="110">
        <f t="shared" si="101"/>
        <v>0.35146931868386483</v>
      </c>
      <c r="H284" s="409" t="b">
        <f>Wh_hp&gt;='2027'!Maxi_hp</f>
        <v>0</v>
      </c>
      <c r="I284" s="385">
        <f>IF(H284,Wh_hp,'2027'!Maxi_hp)</f>
        <v>64.741286379220085</v>
      </c>
      <c r="J284" s="85">
        <f>IF(H284,An,'2027'!An_max)</f>
        <v>2022</v>
      </c>
      <c r="K284" s="193">
        <f t="shared" si="104"/>
        <v>47022</v>
      </c>
      <c r="L284" s="143">
        <f>IF(t&lt;Tvie,1-EXP((T0-t)*PertePVj)+'2027'!Pspv,1-EXP((T0-t)*PertePVj)+Pspv)</f>
        <v>3.4939689554276843E-2</v>
      </c>
      <c r="M284" s="835"/>
      <c r="N284" s="835"/>
      <c r="O284" s="48">
        <f>IF(t&lt;Tnet,'2027'!Resal+('2027'!Salim-'2027'!Resal)*(1-EXP(('2027'!Tnet-t)/('2027'!Tau_j))),Resal+(Salim-Resal)*(1-EXP((Tnet-t)/(Tau_j))))*Salcycl</f>
        <v>1.9654668028216256E-2</v>
      </c>
      <c r="P284" s="165">
        <f>(INDEX(Models!$BJ284:$BT284,,T284)*(1-R284)+INDEX(Models!$BJ284:$BT284,,T284+1)*R284-ERP_i)*Q284*Ramure*Pc/MaxiM</f>
        <v>3.6715032556969393E-4</v>
      </c>
      <c r="Q284" s="301">
        <f t="shared" si="105"/>
        <v>0.5</v>
      </c>
      <c r="R284" s="173">
        <f t="shared" si="106"/>
        <v>0.4840784601920185</v>
      </c>
      <c r="S284" s="801">
        <f t="shared" si="107"/>
        <v>3</v>
      </c>
      <c r="T284" s="172">
        <f t="shared" si="108"/>
        <v>9</v>
      </c>
      <c r="U284" s="247">
        <f t="shared" si="109"/>
        <v>3.4840784601920185</v>
      </c>
      <c r="V284" s="378">
        <f t="shared" si="110"/>
        <v>174.15494596687066</v>
      </c>
      <c r="W284" s="397">
        <f t="shared" si="111"/>
        <v>61.230944917898945</v>
      </c>
      <c r="X284" s="153">
        <f t="shared" si="112"/>
        <v>47022</v>
      </c>
      <c r="Y284" s="380">
        <f t="shared" si="113"/>
        <v>59.035551021147604</v>
      </c>
      <c r="Z284" s="380">
        <f t="shared" si="114"/>
        <v>61.172913632601286</v>
      </c>
      <c r="AA284" s="381">
        <f t="shared" si="115"/>
        <v>64.719837969869531</v>
      </c>
      <c r="AB284" s="193">
        <f t="shared" si="116"/>
        <v>47022</v>
      </c>
      <c r="AC284" s="119">
        <f>IF(OR(t&lt;Tnet,NoTnet),'2027'!Resal_s+('2027'!Salim-'2027'!Resal_s)*(1-EXP(('2027'!Tnet_s-t)/'2027'!Tau_j)),Resal_s+(Salim-Resal_s)*(1-EXP((Tnet_s-t)/Tau_j)))*Salcycl</f>
        <v>5.4804283331480567E-2</v>
      </c>
      <c r="AD284" s="227">
        <f>(INDEX(Models!$BJ284:$BT284,,AH284)*(1-AF284)+INDEX(Models!$BJ284:$BT284,,AH284+1)*AF284-ERP_i)*AE284*Ramure*Pc/MaxiM</f>
        <v>3.6715032556969393E-4</v>
      </c>
      <c r="AE284" s="301">
        <f t="shared" si="117"/>
        <v>0.5</v>
      </c>
      <c r="AF284" s="173">
        <f t="shared" si="118"/>
        <v>0.4840784601920185</v>
      </c>
      <c r="AG284" s="801">
        <f t="shared" si="124"/>
        <v>3</v>
      </c>
      <c r="AH284" s="172">
        <f t="shared" si="119"/>
        <v>9</v>
      </c>
      <c r="AI284" s="221">
        <f t="shared" si="120"/>
        <v>3.4840784601920185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47023</v>
      </c>
      <c r="B285" s="406">
        <f>'2027'!Wh/'2027'!Env_an*'2028'!Env_an</f>
        <v>61.414953161345117</v>
      </c>
      <c r="C285" s="831"/>
      <c r="D285" s="388">
        <f t="shared" si="102"/>
        <v>63.639332409829741</v>
      </c>
      <c r="E285" s="380">
        <f t="shared" si="100"/>
        <v>64.919417746222706</v>
      </c>
      <c r="F285" s="380">
        <f t="shared" si="103"/>
        <v>64.921322444650102</v>
      </c>
      <c r="G285" s="110">
        <f t="shared" si="101"/>
        <v>0.35503052195116336</v>
      </c>
      <c r="H285" s="409" t="b">
        <f>Wh_hp&gt;='2027'!Maxi_hp</f>
        <v>0</v>
      </c>
      <c r="I285" s="385">
        <f>IF(H285,Wh_hp,'2027'!Maxi_hp)</f>
        <v>64.941266554955206</v>
      </c>
      <c r="J285" s="85">
        <f>IF(H285,An,'2027'!An_max)</f>
        <v>2022</v>
      </c>
      <c r="K285" s="193">
        <f t="shared" si="104"/>
        <v>47023</v>
      </c>
      <c r="L285" s="143">
        <f>IF(t&lt;Tvie,1-EXP((T0-t)*PertePVj)+'2027'!Pspv,1-EXP((T0-t)*PertePVj)+Pspv)</f>
        <v>3.495290041950605E-2</v>
      </c>
      <c r="M285" s="835"/>
      <c r="N285" s="835"/>
      <c r="O285" s="48">
        <f>IF(t&lt;Tnet,'2027'!Resal+('2027'!Salim-'2027'!Resal)*(1-EXP(('2027'!Tnet-t)/('2027'!Tau_j))),Resal+(Salim-Resal)*(1-EXP((Tnet-t)/(Tau_j))))*Salcycl</f>
        <v>1.9718065577805446E-2</v>
      </c>
      <c r="P285" s="165">
        <f>(INDEX(Models!$BJ285:$BT285,,T285)*(1-R285)+INDEX(Models!$BJ285:$BT285,,T285+1)*R285-ERP_i)*Q285*Ramure*Pc/MaxiM</f>
        <v>3.7236843250853277E-4</v>
      </c>
      <c r="Q285" s="301">
        <f t="shared" si="105"/>
        <v>0.5</v>
      </c>
      <c r="R285" s="173">
        <f t="shared" si="106"/>
        <v>0.4843021384413051</v>
      </c>
      <c r="S285" s="801">
        <f t="shared" si="107"/>
        <v>3</v>
      </c>
      <c r="T285" s="172">
        <f t="shared" si="108"/>
        <v>9</v>
      </c>
      <c r="U285" s="247">
        <f t="shared" si="109"/>
        <v>3.4843021384413051</v>
      </c>
      <c r="V285" s="378">
        <f t="shared" si="110"/>
        <v>172.92565451157276</v>
      </c>
      <c r="W285" s="397">
        <f t="shared" si="111"/>
        <v>61.414953161345117</v>
      </c>
      <c r="X285" s="153">
        <f t="shared" si="112"/>
        <v>47023</v>
      </c>
      <c r="Y285" s="380">
        <f t="shared" si="113"/>
        <v>59.21595098863417</v>
      </c>
      <c r="Z285" s="380">
        <f t="shared" si="114"/>
        <v>61.360684897530234</v>
      </c>
      <c r="AA285" s="381">
        <f t="shared" si="115"/>
        <v>64.919417746222706</v>
      </c>
      <c r="AB285" s="193">
        <f t="shared" si="116"/>
        <v>47023</v>
      </c>
      <c r="AC285" s="119">
        <f>IF(OR(t&lt;Tnet,NoTnet),'2027'!Resal_s+('2027'!Salim-'2027'!Resal_s)*(1-EXP(('2027'!Tnet_s-t)/'2027'!Tau_j)),Resal_s+(Salim-Resal_s)*(1-EXP((Tnet_s-t)/Tau_j)))*Salcycl</f>
        <v>5.4817695109404041E-2</v>
      </c>
      <c r="AD285" s="227">
        <f>(INDEX(Models!$BJ285:$BT285,,AH285)*(1-AF285)+INDEX(Models!$BJ285:$BT285,,AH285+1)*AF285-ERP_i)*AE285*Ramure*Pc/MaxiM</f>
        <v>3.7236843250853277E-4</v>
      </c>
      <c r="AE285" s="301">
        <f t="shared" si="117"/>
        <v>0.5</v>
      </c>
      <c r="AF285" s="173">
        <f t="shared" si="118"/>
        <v>0.4843021384413051</v>
      </c>
      <c r="AG285" s="801">
        <f t="shared" si="124"/>
        <v>3</v>
      </c>
      <c r="AH285" s="172">
        <f t="shared" si="119"/>
        <v>9</v>
      </c>
      <c r="AI285" s="221">
        <f t="shared" si="120"/>
        <v>3.4843021384413051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47024</v>
      </c>
      <c r="B286" s="406">
        <f>'2027'!Wh/'2027'!Env_an*'2028'!Env_an</f>
        <v>91.392663607168629</v>
      </c>
      <c r="C286" s="831"/>
      <c r="D286" s="388">
        <f t="shared" si="102"/>
        <v>94.704097606055583</v>
      </c>
      <c r="E286" s="380">
        <f t="shared" si="100"/>
        <v>96.615252921549782</v>
      </c>
      <c r="F286" s="380">
        <f t="shared" si="103"/>
        <v>96.627427544244483</v>
      </c>
      <c r="G286" s="110">
        <f t="shared" si="101"/>
        <v>0.53216454154752579</v>
      </c>
      <c r="H286" s="409" t="b">
        <f>Wh_hp&gt;='2027'!Maxi_hp</f>
        <v>0</v>
      </c>
      <c r="I286" s="385">
        <f>IF(H286,Wh_hp,'2027'!Maxi_hp)</f>
        <v>96.649393993788266</v>
      </c>
      <c r="J286" s="85">
        <f>IF(H286,An,'2027'!An_max)</f>
        <v>2022</v>
      </c>
      <c r="K286" s="193">
        <f t="shared" si="104"/>
        <v>47024</v>
      </c>
      <c r="L286" s="143">
        <f>IF(t&lt;Tvie,1-EXP((T0-t)*PertePVj)+'2027'!Pspv,1-EXP((T0-t)*PertePVj)+Pspv)</f>
        <v>3.4966111103889697E-2</v>
      </c>
      <c r="M286" s="835"/>
      <c r="N286" s="835"/>
      <c r="O286" s="48">
        <f>IF(t&lt;Tnet,'2027'!Resal+('2027'!Salim-'2027'!Resal)*(1-EXP(('2027'!Tnet-t)/('2027'!Tau_j))),Resal+(Salim-Resal)*(1-EXP((Tnet-t)/(Tau_j))))*Salcycl</f>
        <v>1.9781093126631091E-2</v>
      </c>
      <c r="P286" s="165">
        <f>(INDEX(Models!$BJ286:$BT286,,T286)*(1-R286)+INDEX(Models!$BJ286:$BT286,,T286+1)*R286-ERP_i)*Q286*Ramure*Pc/MaxiM</f>
        <v>3.796686100455746E-4</v>
      </c>
      <c r="Q286" s="301">
        <f t="shared" si="105"/>
        <v>0.5</v>
      </c>
      <c r="R286" s="173">
        <f t="shared" si="106"/>
        <v>0.4845170008472155</v>
      </c>
      <c r="S286" s="801">
        <f t="shared" si="107"/>
        <v>3</v>
      </c>
      <c r="T286" s="172">
        <f t="shared" si="108"/>
        <v>9</v>
      </c>
      <c r="U286" s="247">
        <f t="shared" si="109"/>
        <v>3.4845170008472155</v>
      </c>
      <c r="V286" s="378">
        <f t="shared" si="110"/>
        <v>171.69403387979014</v>
      </c>
      <c r="W286" s="397">
        <f t="shared" si="111"/>
        <v>91.392663607168629</v>
      </c>
      <c r="X286" s="153">
        <f t="shared" si="112"/>
        <v>47024</v>
      </c>
      <c r="Y286" s="380">
        <f t="shared" si="113"/>
        <v>88.124774874618225</v>
      </c>
      <c r="Z286" s="380">
        <f t="shared" si="114"/>
        <v>91.317803331676785</v>
      </c>
      <c r="AA286" s="381">
        <f t="shared" si="115"/>
        <v>96.615252921549782</v>
      </c>
      <c r="AB286" s="193">
        <f t="shared" si="116"/>
        <v>47024</v>
      </c>
      <c r="AC286" s="119">
        <f>IF(OR(t&lt;Tnet,NoTnet),'2027'!Resal_s+('2027'!Salim-'2027'!Resal_s)*(1-EXP(('2027'!Tnet_s-t)/'2027'!Tau_j)),Resal_s+(Salim-Resal_s)*(1-EXP((Tnet_s-t)/Tau_j)))*Salcycl</f>
        <v>5.483036507883951E-2</v>
      </c>
      <c r="AD286" s="227">
        <f>(INDEX(Models!$BJ286:$BT286,,AH286)*(1-AF286)+INDEX(Models!$BJ286:$BT286,,AH286+1)*AF286-ERP_i)*AE286*Ramure*Pc/MaxiM</f>
        <v>3.796686100455746E-4</v>
      </c>
      <c r="AE286" s="301">
        <f t="shared" si="117"/>
        <v>0.5</v>
      </c>
      <c r="AF286" s="173">
        <f t="shared" si="118"/>
        <v>0.4845170008472155</v>
      </c>
      <c r="AG286" s="801">
        <f t="shared" si="124"/>
        <v>3</v>
      </c>
      <c r="AH286" s="172">
        <f t="shared" si="119"/>
        <v>9</v>
      </c>
      <c r="AI286" s="221">
        <f t="shared" si="120"/>
        <v>3.4845170008472155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47025</v>
      </c>
      <c r="B287" s="406">
        <f>'2027'!Wh/'2027'!Env_an*'2028'!Env_an</f>
        <v>131.04540734051528</v>
      </c>
      <c r="C287" s="831"/>
      <c r="D287" s="388">
        <f t="shared" si="102"/>
        <v>135.79543969855337</v>
      </c>
      <c r="E287" s="380">
        <f t="shared" si="100"/>
        <v>138.54468478607012</v>
      </c>
      <c r="F287" s="380">
        <f t="shared" si="103"/>
        <v>138.58079197592832</v>
      </c>
      <c r="G287" s="110">
        <f t="shared" si="101"/>
        <v>0.7686688996711567</v>
      </c>
      <c r="H287" s="409" t="b">
        <f>Wh_hp&gt;='2027'!Maxi_hp</f>
        <v>0</v>
      </c>
      <c r="I287" s="385">
        <f>IF(H287,Wh_hp,'2027'!Maxi_hp)</f>
        <v>138.5967620238211</v>
      </c>
      <c r="J287" s="85">
        <f>IF(H287,An,'2027'!An_max)</f>
        <v>2022</v>
      </c>
      <c r="K287" s="193">
        <f t="shared" si="104"/>
        <v>47025</v>
      </c>
      <c r="L287" s="143">
        <f>IF(t&lt;Tvie,1-EXP((T0-t)*PertePVj)+'2027'!Pspv,1-EXP((T0-t)*PertePVj)+Pspv)</f>
        <v>3.4979321607430114E-2</v>
      </c>
      <c r="M287" s="835"/>
      <c r="N287" s="835"/>
      <c r="O287" s="48">
        <f>IF(t&lt;Tnet,'2027'!Resal+('2027'!Salim-'2027'!Resal)*(1-EXP(('2027'!Tnet-t)/('2027'!Tau_j))),Resal+(Salim-Resal)*(1-EXP((Tnet-t)/(Tau_j))))*Salcycl</f>
        <v>1.9843742773401382E-2</v>
      </c>
      <c r="P287" s="165">
        <f>(INDEX(Models!$BJ287:$BT287,,T287)*(1-R287)+INDEX(Models!$BJ287:$BT287,,T287+1)*R287-ERP_i)*Q287*Ramure*Pc/MaxiM</f>
        <v>3.8907290135949682E-4</v>
      </c>
      <c r="Q287" s="301">
        <f t="shared" si="105"/>
        <v>0.5</v>
      </c>
      <c r="R287" s="173">
        <f t="shared" si="106"/>
        <v>0.48472338759002476</v>
      </c>
      <c r="S287" s="801">
        <f t="shared" si="107"/>
        <v>3</v>
      </c>
      <c r="T287" s="172">
        <f t="shared" si="108"/>
        <v>9</v>
      </c>
      <c r="U287" s="247">
        <f t="shared" si="109"/>
        <v>3.4847233875900248</v>
      </c>
      <c r="V287" s="378">
        <f t="shared" si="110"/>
        <v>170.4616391239833</v>
      </c>
      <c r="W287" s="397">
        <f t="shared" si="111"/>
        <v>131.04540734051528</v>
      </c>
      <c r="X287" s="153">
        <f t="shared" si="112"/>
        <v>47025</v>
      </c>
      <c r="Y287" s="380">
        <f t="shared" si="113"/>
        <v>126.36615629990942</v>
      </c>
      <c r="Z287" s="380">
        <f t="shared" si="114"/>
        <v>130.94657879289892</v>
      </c>
      <c r="AA287" s="381">
        <f t="shared" si="115"/>
        <v>138.54468478607012</v>
      </c>
      <c r="AB287" s="193">
        <f t="shared" si="116"/>
        <v>47025</v>
      </c>
      <c r="AC287" s="119">
        <f>IF(OR(t&lt;Tnet,NoTnet),'2027'!Resal_s+('2027'!Salim-'2027'!Resal_s)*(1-EXP(('2027'!Tnet_s-t)/'2027'!Tau_j)),Resal_s+(Salim-Resal_s)*(1-EXP((Tnet_s-t)/Tau_j)))*Salcycl</f>
        <v>5.4842277095679189E-2</v>
      </c>
      <c r="AD287" s="227">
        <f>(INDEX(Models!$BJ287:$BT287,,AH287)*(1-AF287)+INDEX(Models!$BJ287:$BT287,,AH287+1)*AF287-ERP_i)*AE287*Ramure*Pc/MaxiM</f>
        <v>3.8907290135949682E-4</v>
      </c>
      <c r="AE287" s="301">
        <f t="shared" si="117"/>
        <v>0.5</v>
      </c>
      <c r="AF287" s="173">
        <f t="shared" si="118"/>
        <v>0.48472338759002476</v>
      </c>
      <c r="AG287" s="801">
        <f t="shared" si="124"/>
        <v>3</v>
      </c>
      <c r="AH287" s="172">
        <f t="shared" si="119"/>
        <v>9</v>
      </c>
      <c r="AI287" s="221">
        <f t="shared" si="120"/>
        <v>3.4847233875900248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47026</v>
      </c>
      <c r="B288" s="406">
        <f>'2027'!Wh/'2027'!Env_an*'2028'!Env_an</f>
        <v>148.53774055338212</v>
      </c>
      <c r="C288" s="831"/>
      <c r="D288" s="388">
        <f t="shared" si="102"/>
        <v>153.92392853754313</v>
      </c>
      <c r="E288" s="380">
        <f t="shared" si="100"/>
        <v>157.05017031541121</v>
      </c>
      <c r="F288" s="380">
        <f t="shared" si="103"/>
        <v>157.10211248024592</v>
      </c>
      <c r="G288" s="110">
        <f t="shared" si="101"/>
        <v>0.87766543285053589</v>
      </c>
      <c r="H288" s="409" t="b">
        <f>Wh_hp&gt;='2027'!Maxi_hp</f>
        <v>0</v>
      </c>
      <c r="I288" s="385">
        <f>IF(H288,Wh_hp,'2027'!Maxi_hp)</f>
        <v>157.11197366226085</v>
      </c>
      <c r="J288" s="85">
        <f>IF(H288,An,'2027'!An_max)</f>
        <v>2022</v>
      </c>
      <c r="K288" s="193">
        <f t="shared" si="104"/>
        <v>47026</v>
      </c>
      <c r="L288" s="143">
        <f>IF(t&lt;Tvie,1-EXP((T0-t)*PertePVj)+'2027'!Pspv,1-EXP((T0-t)*PertePVj)+Pspv)</f>
        <v>3.4992531930129855E-2</v>
      </c>
      <c r="M288" s="835"/>
      <c r="N288" s="835"/>
      <c r="O288" s="48">
        <f>IF(t&lt;Tnet,'2027'!Resal+('2027'!Salim-'2027'!Resal)*(1-EXP(('2027'!Tnet-t)/('2027'!Tau_j))),Resal+(Salim-Resal)*(1-EXP((Tnet-t)/(Tau_j))))*Salcycl</f>
        <v>1.9906006924981366E-2</v>
      </c>
      <c r="P288" s="165">
        <f>(INDEX(Models!$BJ288:$BT288,,T288)*(1-R288)+INDEX(Models!$BJ288:$BT288,,T288+1)*R288-ERP_i)*Q288*Ramure*Pc/MaxiM</f>
        <v>4.0060234974474988E-4</v>
      </c>
      <c r="Q288" s="301">
        <f t="shared" si="105"/>
        <v>0.5</v>
      </c>
      <c r="R288" s="173">
        <f t="shared" si="106"/>
        <v>0.48492162629277269</v>
      </c>
      <c r="S288" s="801">
        <f t="shared" si="107"/>
        <v>3</v>
      </c>
      <c r="T288" s="172">
        <f t="shared" si="108"/>
        <v>9</v>
      </c>
      <c r="U288" s="247">
        <f t="shared" si="109"/>
        <v>3.4849216262927727</v>
      </c>
      <c r="V288" s="378">
        <f t="shared" si="110"/>
        <v>169.23002495333677</v>
      </c>
      <c r="W288" s="397">
        <f t="shared" si="111"/>
        <v>148.53774055338212</v>
      </c>
      <c r="X288" s="153">
        <f t="shared" si="112"/>
        <v>47026</v>
      </c>
      <c r="Y288" s="380">
        <f t="shared" si="113"/>
        <v>143.24130039247277</v>
      </c>
      <c r="Z288" s="380">
        <f t="shared" si="114"/>
        <v>148.43543198579843</v>
      </c>
      <c r="AA288" s="381">
        <f t="shared" si="115"/>
        <v>157.05017031541121</v>
      </c>
      <c r="AB288" s="193">
        <f t="shared" si="116"/>
        <v>47026</v>
      </c>
      <c r="AC288" s="119">
        <f>IF(OR(t&lt;Tnet,NoTnet),'2027'!Resal_s+('2027'!Salim-'2027'!Resal_s)*(1-EXP(('2027'!Tnet_s-t)/'2027'!Tau_j)),Resal_s+(Salim-Resal_s)*(1-EXP((Tnet_s-t)/Tau_j)))*Salcycl</f>
        <v>5.4853416028211914E-2</v>
      </c>
      <c r="AD288" s="227">
        <f>(INDEX(Models!$BJ288:$BT288,,AH288)*(1-AF288)+INDEX(Models!$BJ288:$BT288,,AH288+1)*AF288-ERP_i)*AE288*Ramure*Pc/MaxiM</f>
        <v>4.0060234974474988E-4</v>
      </c>
      <c r="AE288" s="301">
        <f t="shared" si="117"/>
        <v>0.5</v>
      </c>
      <c r="AF288" s="173">
        <f t="shared" si="118"/>
        <v>0.48492162629277269</v>
      </c>
      <c r="AG288" s="801">
        <f t="shared" si="124"/>
        <v>3</v>
      </c>
      <c r="AH288" s="172">
        <f t="shared" si="119"/>
        <v>9</v>
      </c>
      <c r="AI288" s="221">
        <f t="shared" si="120"/>
        <v>3.4849216262927727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47027</v>
      </c>
      <c r="B289" s="406">
        <f>'2027'!Wh/'2027'!Env_an*'2028'!Env_an</f>
        <v>153.7684209147202</v>
      </c>
      <c r="C289" s="831"/>
      <c r="D289" s="388">
        <f t="shared" si="102"/>
        <v>159.34646206588286</v>
      </c>
      <c r="E289" s="380">
        <f t="shared" si="100"/>
        <v>162.59310133514251</v>
      </c>
      <c r="F289" s="380">
        <f t="shared" si="103"/>
        <v>162.65233391473518</v>
      </c>
      <c r="G289" s="110">
        <f t="shared" si="101"/>
        <v>0.9152654901295707</v>
      </c>
      <c r="H289" s="409" t="b">
        <f>Wh_hp&gt;='2027'!Maxi_hp</f>
        <v>0</v>
      </c>
      <c r="I289" s="385">
        <f>IF(H289,Wh_hp,'2027'!Maxi_hp)</f>
        <v>162.65964891476867</v>
      </c>
      <c r="J289" s="85">
        <f>IF(H289,An,'2027'!An_max)</f>
        <v>2022</v>
      </c>
      <c r="K289" s="193">
        <f t="shared" si="104"/>
        <v>47027</v>
      </c>
      <c r="L289" s="143">
        <f>IF(t&lt;Tvie,1-EXP((T0-t)*PertePVj)+'2027'!Pspv,1-EXP((T0-t)*PertePVj)+Pspv)</f>
        <v>3.5005742071991475E-2</v>
      </c>
      <c r="M289" s="835"/>
      <c r="N289" s="835"/>
      <c r="O289" s="48">
        <f>IF(t&lt;Tnet,'2027'!Resal+('2027'!Salim-'2027'!Resal)*(1-EXP(('2027'!Tnet-t)/('2027'!Tau_j))),Resal+(Salim-Resal)*(1-EXP((Tnet-t)/(Tau_j))))*Salcycl</f>
        <v>1.9967878357689688E-2</v>
      </c>
      <c r="P289" s="165">
        <f>(INDEX(Models!$BJ289:$BT289,,T289)*(1-R289)+INDEX(Models!$BJ289:$BT289,,T289+1)*R289-ERP_i)*Q289*Ramure*Pc/MaxiM</f>
        <v>4.1428903308178447E-4</v>
      </c>
      <c r="Q289" s="301">
        <f t="shared" si="105"/>
        <v>0.5</v>
      </c>
      <c r="R289" s="173">
        <f t="shared" si="106"/>
        <v>0.48511203243992895</v>
      </c>
      <c r="S289" s="801">
        <f t="shared" si="107"/>
        <v>3</v>
      </c>
      <c r="T289" s="172">
        <f t="shared" si="108"/>
        <v>9</v>
      </c>
      <c r="U289" s="247">
        <f t="shared" si="109"/>
        <v>3.485112032439929</v>
      </c>
      <c r="V289" s="378">
        <f t="shared" si="110"/>
        <v>167.99574828090843</v>
      </c>
      <c r="W289" s="397">
        <f t="shared" si="111"/>
        <v>153.7684209147202</v>
      </c>
      <c r="X289" s="153">
        <f t="shared" si="112"/>
        <v>47027</v>
      </c>
      <c r="Y289" s="380">
        <f t="shared" si="113"/>
        <v>148.29320666983972</v>
      </c>
      <c r="Z289" s="380">
        <f t="shared" si="114"/>
        <v>153.67263115974191</v>
      </c>
      <c r="AA289" s="381">
        <f t="shared" si="115"/>
        <v>162.59310133514251</v>
      </c>
      <c r="AB289" s="193">
        <f t="shared" si="116"/>
        <v>47027</v>
      </c>
      <c r="AC289" s="119">
        <f>IF(OR(t&lt;Tnet,NoTnet),'2027'!Resal_s+('2027'!Salim-'2027'!Resal_s)*(1-EXP(('2027'!Tnet_s-t)/'2027'!Tau_j)),Resal_s+(Salim-Resal_s)*(1-EXP((Tnet_s-t)/Tau_j)))*Salcycl</f>
        <v>5.4863767909890726E-2</v>
      </c>
      <c r="AD289" s="227">
        <f>(INDEX(Models!$BJ289:$BT289,,AH289)*(1-AF289)+INDEX(Models!$BJ289:$BT289,,AH289+1)*AF289-ERP_i)*AE289*Ramure*Pc/MaxiM</f>
        <v>4.1428903308178447E-4</v>
      </c>
      <c r="AE289" s="301">
        <f t="shared" si="117"/>
        <v>0.5</v>
      </c>
      <c r="AF289" s="173">
        <f t="shared" si="118"/>
        <v>0.48511203243992895</v>
      </c>
      <c r="AG289" s="801">
        <f t="shared" si="124"/>
        <v>3</v>
      </c>
      <c r="AH289" s="172">
        <f t="shared" si="119"/>
        <v>9</v>
      </c>
      <c r="AI289" s="221">
        <f t="shared" si="120"/>
        <v>3.485112032439929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47028</v>
      </c>
      <c r="B290" s="406">
        <f>'2027'!Wh/'2027'!Env_an*'2028'!Env_an</f>
        <v>144.4260521995655</v>
      </c>
      <c r="C290" s="831"/>
      <c r="D290" s="388">
        <f t="shared" si="102"/>
        <v>149.66724217417698</v>
      </c>
      <c r="E290" s="380">
        <f t="shared" si="100"/>
        <v>152.72624972690986</v>
      </c>
      <c r="F290" s="380">
        <f t="shared" si="103"/>
        <v>152.77937399134359</v>
      </c>
      <c r="G290" s="110">
        <f t="shared" si="101"/>
        <v>0.86602752072393607</v>
      </c>
      <c r="H290" s="409" t="b">
        <f>Wh_hp&gt;='2027'!Maxi_hp</f>
        <v>0</v>
      </c>
      <c r="I290" s="385">
        <f>IF(H290,Wh_hp,'2027'!Maxi_hp)</f>
        <v>152.79064899002728</v>
      </c>
      <c r="J290" s="85">
        <f>IF(H290,An,'2027'!An_max)</f>
        <v>2022</v>
      </c>
      <c r="K290" s="193">
        <f t="shared" si="104"/>
        <v>47028</v>
      </c>
      <c r="L290" s="143">
        <f>IF(t&lt;Tvie,1-EXP((T0-t)*PertePVj)+'2027'!Pspv,1-EXP((T0-t)*PertePVj)+Pspv)</f>
        <v>3.5018952033017192E-2</v>
      </c>
      <c r="M290" s="835"/>
      <c r="N290" s="835"/>
      <c r="O290" s="48">
        <f>IF(t&lt;Tnet,'2027'!Resal+('2027'!Salim-'2027'!Resal)*(1-EXP(('2027'!Tnet-t)/('2027'!Tau_j))),Resal+(Salim-Resal)*(1-EXP((Tnet-t)/(Tau_j))))*Salcycl</f>
        <v>2.0029350280012022E-2</v>
      </c>
      <c r="P290" s="165">
        <f>(INDEX(Models!$BJ290:$BT290,,T290)*(1-R290)+INDEX(Models!$BJ290:$BT290,,T290+1)*R290-ERP_i)*Q290*Ramure*Pc/MaxiM</f>
        <v>4.2996591122559257E-4</v>
      </c>
      <c r="Q290" s="301">
        <f t="shared" si="105"/>
        <v>0.5</v>
      </c>
      <c r="R290" s="173">
        <f t="shared" si="106"/>
        <v>0.4852949097857171</v>
      </c>
      <c r="S290" s="801">
        <f t="shared" si="107"/>
        <v>3</v>
      </c>
      <c r="T290" s="172">
        <f t="shared" si="108"/>
        <v>9</v>
      </c>
      <c r="U290" s="247">
        <f t="shared" si="109"/>
        <v>3.4852949097857171</v>
      </c>
      <c r="V290" s="378">
        <f t="shared" si="110"/>
        <v>166.7547115881998</v>
      </c>
      <c r="W290" s="397">
        <f t="shared" si="111"/>
        <v>144.4260521995655</v>
      </c>
      <c r="X290" s="153">
        <f t="shared" si="112"/>
        <v>47028</v>
      </c>
      <c r="Y290" s="380">
        <f t="shared" si="113"/>
        <v>139.29081982852367</v>
      </c>
      <c r="Z290" s="380">
        <f t="shared" si="114"/>
        <v>144.34565333897578</v>
      </c>
      <c r="AA290" s="381">
        <f t="shared" si="115"/>
        <v>152.72624972690986</v>
      </c>
      <c r="AB290" s="193">
        <f t="shared" si="116"/>
        <v>47028</v>
      </c>
      <c r="AC290" s="119">
        <f>IF(OR(t&lt;Tnet,NoTnet),'2027'!Resal_s+('2027'!Salim-'2027'!Resal_s)*(1-EXP(('2027'!Tnet_s-t)/'2027'!Tau_j)),Resal_s+(Salim-Resal_s)*(1-EXP((Tnet_s-t)/Tau_j)))*Salcycl</f>
        <v>5.4873320093431516E-2</v>
      </c>
      <c r="AD290" s="227">
        <f>(INDEX(Models!$BJ290:$BT290,,AH290)*(1-AF290)+INDEX(Models!$BJ290:$BT290,,AH290+1)*AF290-ERP_i)*AE290*Ramure*Pc/MaxiM</f>
        <v>4.2996591122559257E-4</v>
      </c>
      <c r="AE290" s="301">
        <f t="shared" si="117"/>
        <v>0.5</v>
      </c>
      <c r="AF290" s="173">
        <f t="shared" si="118"/>
        <v>0.4852949097857171</v>
      </c>
      <c r="AG290" s="801">
        <f t="shared" si="124"/>
        <v>3</v>
      </c>
      <c r="AH290" s="172">
        <f t="shared" si="119"/>
        <v>9</v>
      </c>
      <c r="AI290" s="221">
        <f t="shared" si="120"/>
        <v>3.4852949097857171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47029</v>
      </c>
      <c r="B291" s="406">
        <f>'2027'!Wh/'2027'!Env_an*'2028'!Env_an</f>
        <v>165.25784581157407</v>
      </c>
      <c r="C291" s="831"/>
      <c r="D291" s="388">
        <f t="shared" si="102"/>
        <v>171.25736140812691</v>
      </c>
      <c r="E291" s="380">
        <f t="shared" si="100"/>
        <v>174.76853402974936</v>
      </c>
      <c r="F291" s="380">
        <f t="shared" si="103"/>
        <v>174.84652594146576</v>
      </c>
      <c r="G291" s="110">
        <f t="shared" si="101"/>
        <v>0.99849037169362653</v>
      </c>
      <c r="H291" s="409" t="b">
        <f>Wh_hp&gt;='2027'!Maxi_hp</f>
        <v>0</v>
      </c>
      <c r="I291" s="385">
        <f>IF(H291,Wh_hp,'2027'!Maxi_hp)</f>
        <v>174.84667705924409</v>
      </c>
      <c r="J291" s="85">
        <f>IF(H291,An,'2027'!An_max)</f>
        <v>2022</v>
      </c>
      <c r="K291" s="193">
        <f t="shared" si="104"/>
        <v>47029</v>
      </c>
      <c r="L291" s="143">
        <f>IF(t&lt;Tvie,1-EXP((T0-t)*PertePVj)+'2027'!Pspv,1-EXP((T0-t)*PertePVj)+Pspv)</f>
        <v>3.5032161813209672E-2</v>
      </c>
      <c r="M291" s="835"/>
      <c r="N291" s="835"/>
      <c r="O291" s="48">
        <f>IF(t&lt;Tnet,'2027'!Resal+('2027'!Salim-'2027'!Resal)*(1-EXP(('2027'!Tnet-t)/('2027'!Tau_j))),Resal+(Salim-Resal)*(1-EXP((Tnet-t)/(Tau_j))))*Salcycl</f>
        <v>2.0090416396264899E-2</v>
      </c>
      <c r="P291" s="165">
        <f>(INDEX(Models!$BJ291:$BT291,,T291)*(1-R291)+INDEX(Models!$BJ291:$BT291,,T291+1)*R291-ERP_i)*Q291*Ramure*Pc/MaxiM</f>
        <v>4.4702269837423728E-4</v>
      </c>
      <c r="Q291" s="301">
        <f t="shared" si="105"/>
        <v>0.5</v>
      </c>
      <c r="R291" s="173">
        <f t="shared" si="106"/>
        <v>0.48547055075204781</v>
      </c>
      <c r="S291" s="801">
        <f t="shared" si="107"/>
        <v>3</v>
      </c>
      <c r="T291" s="172">
        <f t="shared" si="108"/>
        <v>9</v>
      </c>
      <c r="U291" s="247">
        <f t="shared" si="109"/>
        <v>3.4854705507520478</v>
      </c>
      <c r="V291" s="378">
        <f t="shared" si="110"/>
        <v>165.50754139393442</v>
      </c>
      <c r="W291" s="397">
        <f t="shared" si="111"/>
        <v>165.25784581157407</v>
      </c>
      <c r="X291" s="153">
        <f t="shared" si="112"/>
        <v>47029</v>
      </c>
      <c r="Y291" s="380">
        <f t="shared" si="113"/>
        <v>159.3903735441497</v>
      </c>
      <c r="Z291" s="380">
        <f t="shared" si="114"/>
        <v>165.17687661347347</v>
      </c>
      <c r="AA291" s="381">
        <f t="shared" si="115"/>
        <v>174.76853402974936</v>
      </c>
      <c r="AB291" s="193">
        <f t="shared" si="116"/>
        <v>47029</v>
      </c>
      <c r="AC291" s="119">
        <f>IF(OR(t&lt;Tnet,NoTnet),'2027'!Resal_s+('2027'!Salim-'2027'!Resal_s)*(1-EXP(('2027'!Tnet_s-t)/'2027'!Tau_j)),Resal_s+(Salim-Resal_s)*(1-EXP((Tnet_s-t)/Tau_j)))*Salcycl</f>
        <v>5.4882061404961942E-2</v>
      </c>
      <c r="AD291" s="227">
        <f>(INDEX(Models!$BJ291:$BT291,,AH291)*(1-AF291)+INDEX(Models!$BJ291:$BT291,,AH291+1)*AF291-ERP_i)*AE291*Ramure*Pc/MaxiM</f>
        <v>4.4702269837423728E-4</v>
      </c>
      <c r="AE291" s="301">
        <f t="shared" si="117"/>
        <v>0.5</v>
      </c>
      <c r="AF291" s="173">
        <f t="shared" si="118"/>
        <v>0.48547055075204781</v>
      </c>
      <c r="AG291" s="801">
        <f t="shared" si="124"/>
        <v>3</v>
      </c>
      <c r="AH291" s="172">
        <f t="shared" si="119"/>
        <v>9</v>
      </c>
      <c r="AI291" s="221">
        <f t="shared" si="120"/>
        <v>3.4854705507520478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47030</v>
      </c>
      <c r="B292" s="406">
        <f>'2027'!Wh/'2027'!Env_an*'2028'!Env_an</f>
        <v>167.94789369485216</v>
      </c>
      <c r="C292" s="831"/>
      <c r="D292" s="388">
        <f t="shared" si="102"/>
        <v>174.04745126794884</v>
      </c>
      <c r="E292" s="380">
        <f t="shared" si="100"/>
        <v>177.62682196364088</v>
      </c>
      <c r="F292" s="380">
        <f t="shared" si="103"/>
        <v>177.7095407316358</v>
      </c>
      <c r="G292" s="110">
        <f t="shared" si="101"/>
        <v>1.0224841894661154</v>
      </c>
      <c r="H292" s="409" t="b">
        <f>Wh_hp&gt;='2027'!Maxi_hp</f>
        <v>1</v>
      </c>
      <c r="I292" s="385">
        <f>IF(H292,Wh_hp,'2027'!Maxi_hp)</f>
        <v>177.7095407316358</v>
      </c>
      <c r="J292" s="85">
        <f>IF(H292,An,'2027'!An_max)</f>
        <v>2028</v>
      </c>
      <c r="K292" s="193">
        <f t="shared" si="104"/>
        <v>47030</v>
      </c>
      <c r="L292" s="143">
        <f>IF(t&lt;Tvie,1-EXP((T0-t)*PertePVj)+'2027'!Pspv,1-EXP((T0-t)*PertePVj)+Pspv)</f>
        <v>3.5045371412571358E-2</v>
      </c>
      <c r="M292" s="835"/>
      <c r="N292" s="835"/>
      <c r="O292" s="48">
        <f>IF(t&lt;Tnet,'2027'!Resal+('2027'!Salim-'2027'!Resal)*(1-EXP(('2027'!Tnet-t)/('2027'!Tau_j))),Resal+(Salim-Resal)*(1-EXP((Tnet-t)/(Tau_j))))*Salcycl</f>
        <v>2.0151070970715727E-2</v>
      </c>
      <c r="P292" s="165">
        <f>(INDEX(Models!$BJ292:$BT292,,T292)*(1-R292)+INDEX(Models!$BJ292:$BT292,,T292+1)*R292-ERP_i)*Q292*Ramure*Pc/MaxiM</f>
        <v>4.6547173356223745E-4</v>
      </c>
      <c r="Q292" s="301">
        <f t="shared" si="105"/>
        <v>0.5</v>
      </c>
      <c r="R292" s="173">
        <f t="shared" si="106"/>
        <v>0.48563923681602938</v>
      </c>
      <c r="S292" s="801">
        <f t="shared" si="107"/>
        <v>3</v>
      </c>
      <c r="T292" s="172">
        <f t="shared" si="108"/>
        <v>9</v>
      </c>
      <c r="U292" s="247">
        <f t="shared" si="109"/>
        <v>3.4856392368160294</v>
      </c>
      <c r="V292" s="378">
        <f t="shared" si="110"/>
        <v>164.25475858217945</v>
      </c>
      <c r="W292" s="397">
        <f t="shared" si="111"/>
        <v>167.94789369485216</v>
      </c>
      <c r="X292" s="153">
        <f t="shared" si="112"/>
        <v>47030</v>
      </c>
      <c r="Y292" s="380">
        <f t="shared" si="113"/>
        <v>161.99358092924686</v>
      </c>
      <c r="Z292" s="380">
        <f t="shared" si="114"/>
        <v>167.87688885060322</v>
      </c>
      <c r="AA292" s="381">
        <f t="shared" si="115"/>
        <v>177.62682196364088</v>
      </c>
      <c r="AB292" s="193">
        <f t="shared" si="116"/>
        <v>47030</v>
      </c>
      <c r="AC292" s="119">
        <f>IF(OR(t&lt;Tnet,NoTnet),'2027'!Resal_s+('2027'!Salim-'2027'!Resal_s)*(1-EXP(('2027'!Tnet_s-t)/'2027'!Tau_j)),Resal_s+(Salim-Resal_s)*(1-EXP((Tnet_s-t)/Tau_j)))*Salcycl</f>
        <v>5.4889982296893271E-2</v>
      </c>
      <c r="AD292" s="227">
        <f>(INDEX(Models!$BJ292:$BT292,,AH292)*(1-AF292)+INDEX(Models!$BJ292:$BT292,,AH292+1)*AF292-ERP_i)*AE292*Ramure*Pc/MaxiM</f>
        <v>4.6547173356223745E-4</v>
      </c>
      <c r="AE292" s="301">
        <f t="shared" si="117"/>
        <v>0.5</v>
      </c>
      <c r="AF292" s="173">
        <f t="shared" si="118"/>
        <v>0.48563923681602938</v>
      </c>
      <c r="AG292" s="801">
        <f t="shared" si="124"/>
        <v>3</v>
      </c>
      <c r="AH292" s="172">
        <f t="shared" si="119"/>
        <v>9</v>
      </c>
      <c r="AI292" s="221">
        <f t="shared" si="120"/>
        <v>3.4856392368160294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47031</v>
      </c>
      <c r="B293" s="406">
        <f>'2027'!Wh/'2027'!Env_an*'2028'!Env_an</f>
        <v>56.389841261818361</v>
      </c>
      <c r="C293" s="831"/>
      <c r="D293" s="388">
        <f t="shared" si="102"/>
        <v>58.438616211942666</v>
      </c>
      <c r="E293" s="380">
        <f t="shared" si="100"/>
        <v>59.644101572386546</v>
      </c>
      <c r="F293" s="380">
        <f t="shared" si="103"/>
        <v>59.646002052481187</v>
      </c>
      <c r="G293" s="110">
        <f t="shared" si="101"/>
        <v>0.3457996769130724</v>
      </c>
      <c r="H293" s="409" t="b">
        <f>Wh_hp&gt;='2027'!Maxi_hp</f>
        <v>0</v>
      </c>
      <c r="I293" s="385">
        <f>IF(H293,Wh_hp,'2027'!Maxi_hp)</f>
        <v>59.670237446224867</v>
      </c>
      <c r="J293" s="85">
        <f>IF(H293,An,'2027'!An_max)</f>
        <v>2022</v>
      </c>
      <c r="K293" s="193">
        <f t="shared" si="104"/>
        <v>47031</v>
      </c>
      <c r="L293" s="143">
        <f>IF(t&lt;Tvie,1-EXP((T0-t)*PertePVj)+'2027'!Pspv,1-EXP((T0-t)*PertePVj)+Pspv)</f>
        <v>3.5058580831104802E-2</v>
      </c>
      <c r="M293" s="835"/>
      <c r="N293" s="835"/>
      <c r="O293" s="48">
        <f>IF(t&lt;Tnet,'2027'!Resal+('2027'!Salim-'2027'!Resal)*(1-EXP(('2027'!Tnet-t)/('2027'!Tau_j))),Resal+(Salim-Resal)*(1-EXP((Tnet-t)/(Tau_j))))*Salcycl</f>
        <v>2.0211308891640464E-2</v>
      </c>
      <c r="P293" s="165">
        <f>(INDEX(Models!$BJ293:$BT293,,T293)*(1-R293)+INDEX(Models!$BJ293:$BT293,,T293+1)*R293-ERP_i)*Q293*Ramure*Pc/MaxiM</f>
        <v>4.8532483108953343E-4</v>
      </c>
      <c r="Q293" s="301">
        <f t="shared" si="105"/>
        <v>0.5</v>
      </c>
      <c r="R293" s="173">
        <f t="shared" si="106"/>
        <v>0.48580123888706872</v>
      </c>
      <c r="S293" s="801">
        <f t="shared" si="107"/>
        <v>3</v>
      </c>
      <c r="T293" s="172">
        <f t="shared" si="108"/>
        <v>9</v>
      </c>
      <c r="U293" s="247">
        <f t="shared" si="109"/>
        <v>3.4858012388870687</v>
      </c>
      <c r="V293" s="378">
        <f t="shared" si="110"/>
        <v>162.99688389005462</v>
      </c>
      <c r="W293" s="397">
        <f t="shared" si="111"/>
        <v>56.389841261818361</v>
      </c>
      <c r="X293" s="153">
        <f t="shared" si="112"/>
        <v>47031</v>
      </c>
      <c r="Y293" s="380">
        <f t="shared" si="113"/>
        <v>54.393569144635471</v>
      </c>
      <c r="Z293" s="380">
        <f t="shared" si="114"/>
        <v>56.369814855169857</v>
      </c>
      <c r="AA293" s="381">
        <f t="shared" si="115"/>
        <v>59.644101572386546</v>
      </c>
      <c r="AB293" s="193">
        <f t="shared" si="116"/>
        <v>47031</v>
      </c>
      <c r="AC293" s="119">
        <f>IF(OR(t&lt;Tnet,NoTnet),'2027'!Resal_s+('2027'!Salim-'2027'!Resal_s)*(1-EXP(('2027'!Tnet_s-t)/'2027'!Tau_j)),Resal_s+(Salim-Resal_s)*(1-EXP((Tnet_s-t)/Tau_j)))*Salcycl</f>
        <v>5.4897074998151892E-2</v>
      </c>
      <c r="AD293" s="227">
        <f>(INDEX(Models!$BJ293:$BT293,,AH293)*(1-AF293)+INDEX(Models!$BJ293:$BT293,,AH293+1)*AF293-ERP_i)*AE293*Ramure*Pc/MaxiM</f>
        <v>4.8532483108953343E-4</v>
      </c>
      <c r="AE293" s="301">
        <f t="shared" si="117"/>
        <v>0.5</v>
      </c>
      <c r="AF293" s="173">
        <f t="shared" si="118"/>
        <v>0.48580123888706872</v>
      </c>
      <c r="AG293" s="801">
        <f t="shared" si="124"/>
        <v>3</v>
      </c>
      <c r="AH293" s="172">
        <f t="shared" si="119"/>
        <v>9</v>
      </c>
      <c r="AI293" s="221">
        <f t="shared" si="120"/>
        <v>3.4858012388870687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47032</v>
      </c>
      <c r="B294" s="406">
        <f>'2027'!Wh/'2027'!Env_an*'2028'!Env_an</f>
        <v>115.87132587656791</v>
      </c>
      <c r="C294" s="831"/>
      <c r="D294" s="388">
        <f t="shared" si="102"/>
        <v>120.08284625115384</v>
      </c>
      <c r="E294" s="380">
        <f t="shared" si="100"/>
        <v>122.56742595364878</v>
      </c>
      <c r="F294" s="380">
        <f t="shared" si="103"/>
        <v>122.60437547527924</v>
      </c>
      <c r="G294" s="110">
        <f t="shared" si="101"/>
        <v>0.71628245012249447</v>
      </c>
      <c r="H294" s="409" t="b">
        <f>Wh_hp&gt;='2027'!Maxi_hp</f>
        <v>0</v>
      </c>
      <c r="I294" s="385">
        <f>IF(H294,Wh_hp,'2027'!Maxi_hp)</f>
        <v>122.62690257230749</v>
      </c>
      <c r="J294" s="85">
        <f>IF(H294,An,'2027'!An_max)</f>
        <v>2022</v>
      </c>
      <c r="K294" s="193">
        <f t="shared" si="104"/>
        <v>47032</v>
      </c>
      <c r="L294" s="143">
        <f>IF(t&lt;Tvie,1-EXP((T0-t)*PertePVj)+'2027'!Pspv,1-EXP((T0-t)*PertePVj)+Pspv)</f>
        <v>3.5071790068812336E-2</v>
      </c>
      <c r="M294" s="835"/>
      <c r="N294" s="835"/>
      <c r="O294" s="48">
        <f>IF(t&lt;Tnet,'2027'!Resal+('2027'!Salim-'2027'!Resal)*(1-EXP(('2027'!Tnet-t)/('2027'!Tau_j))),Resal+(Salim-Resal)*(1-EXP((Tnet-t)/(Tau_j))))*Salcycl</f>
        <v>2.02711257347815E-2</v>
      </c>
      <c r="P294" s="165">
        <f>(INDEX(Models!$BJ294:$BT294,,T294)*(1-R294)+INDEX(Models!$BJ294:$BT294,,T294+1)*R294-ERP_i)*Q294*Ramure*Pc/MaxiM</f>
        <v>5.0659322955257373E-4</v>
      </c>
      <c r="Q294" s="301">
        <f t="shared" si="105"/>
        <v>0.5</v>
      </c>
      <c r="R294" s="173">
        <f t="shared" si="106"/>
        <v>0.48595681767359133</v>
      </c>
      <c r="S294" s="801">
        <f t="shared" si="107"/>
        <v>3</v>
      </c>
      <c r="T294" s="172">
        <f t="shared" si="108"/>
        <v>9</v>
      </c>
      <c r="U294" s="247">
        <f t="shared" si="109"/>
        <v>3.4859568176735913</v>
      </c>
      <c r="V294" s="378">
        <f t="shared" si="110"/>
        <v>161.73443789980274</v>
      </c>
      <c r="W294" s="397">
        <f t="shared" si="111"/>
        <v>115.87132587656791</v>
      </c>
      <c r="X294" s="153">
        <f t="shared" si="112"/>
        <v>47032</v>
      </c>
      <c r="Y294" s="380">
        <f t="shared" si="113"/>
        <v>111.77541734944359</v>
      </c>
      <c r="Z294" s="380">
        <f t="shared" si="114"/>
        <v>115.83806567062091</v>
      </c>
      <c r="AA294" s="381">
        <f t="shared" si="115"/>
        <v>122.56742595364878</v>
      </c>
      <c r="AB294" s="193">
        <f t="shared" si="116"/>
        <v>47032</v>
      </c>
      <c r="AC294" s="119">
        <f>IF(OR(t&lt;Tnet,NoTnet),'2027'!Resal_s+('2027'!Salim-'2027'!Resal_s)*(1-EXP(('2027'!Tnet_s-t)/'2027'!Tau_j)),Resal_s+(Salim-Resal_s)*(1-EXP((Tnet_s-t)/Tau_j)))*Salcycl</f>
        <v>5.4903333660386362E-2</v>
      </c>
      <c r="AD294" s="227">
        <f>(INDEX(Models!$BJ294:$BT294,,AH294)*(1-AF294)+INDEX(Models!$BJ294:$BT294,,AH294+1)*AF294-ERP_i)*AE294*Ramure*Pc/MaxiM</f>
        <v>5.0659322955257373E-4</v>
      </c>
      <c r="AE294" s="301">
        <f t="shared" si="117"/>
        <v>0.5</v>
      </c>
      <c r="AF294" s="173">
        <f t="shared" si="118"/>
        <v>0.48595681767359133</v>
      </c>
      <c r="AG294" s="801">
        <f t="shared" si="124"/>
        <v>3</v>
      </c>
      <c r="AH294" s="172">
        <f t="shared" si="119"/>
        <v>9</v>
      </c>
      <c r="AI294" s="221">
        <f t="shared" si="120"/>
        <v>3.4859568176735913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47033</v>
      </c>
      <c r="B295" s="406">
        <f>'2027'!Wh/'2027'!Env_an*'2028'!Env_an</f>
        <v>64.738024210442958</v>
      </c>
      <c r="C295" s="831"/>
      <c r="D295" s="388">
        <f t="shared" si="102"/>
        <v>67.091945043640351</v>
      </c>
      <c r="E295" s="380">
        <f t="shared" si="100"/>
        <v>68.484265626741561</v>
      </c>
      <c r="F295" s="380">
        <f t="shared" si="103"/>
        <v>68.489622070079335</v>
      </c>
      <c r="G295" s="110">
        <f t="shared" si="101"/>
        <v>0.40325076471848065</v>
      </c>
      <c r="H295" s="409" t="b">
        <f>Wh_hp&gt;='2027'!Maxi_hp</f>
        <v>0</v>
      </c>
      <c r="I295" s="385">
        <f>IF(H295,Wh_hp,'2027'!Maxi_hp)</f>
        <v>68.517254335797233</v>
      </c>
      <c r="J295" s="85">
        <f>IF(H295,An,'2027'!An_max)</f>
        <v>2022</v>
      </c>
      <c r="K295" s="193">
        <f t="shared" si="104"/>
        <v>47033</v>
      </c>
      <c r="L295" s="143">
        <f>IF(t&lt;Tvie,1-EXP((T0-t)*PertePVj)+'2027'!Pspv,1-EXP((T0-t)*PertePVj)+Pspv)</f>
        <v>3.5084999125696403E-2</v>
      </c>
      <c r="M295" s="835"/>
      <c r="N295" s="835"/>
      <c r="O295" s="48">
        <f>IF(t&lt;Tnet,'2027'!Resal+('2027'!Salim-'2027'!Resal)*(1-EXP(('2027'!Tnet-t)/('2027'!Tau_j))),Resal+(Salim-Resal)*(1-EXP((Tnet-t)/(Tau_j))))*Salcycl</f>
        <v>2.03305178256529E-2</v>
      </c>
      <c r="P295" s="165">
        <f>(INDEX(Models!$BJ295:$BT295,,T295)*(1-R295)+INDEX(Models!$BJ295:$BT295,,T295+1)*R295-ERP_i)*Q295*Ramure*Pc/MaxiM</f>
        <v>5.2928754606538294E-4</v>
      </c>
      <c r="Q295" s="301">
        <f t="shared" si="105"/>
        <v>0.5</v>
      </c>
      <c r="R295" s="173">
        <f t="shared" si="106"/>
        <v>0.48610622403945269</v>
      </c>
      <c r="S295" s="801">
        <f t="shared" si="107"/>
        <v>3</v>
      </c>
      <c r="T295" s="172">
        <f t="shared" si="108"/>
        <v>9</v>
      </c>
      <c r="U295" s="247">
        <f t="shared" si="109"/>
        <v>3.4861062240394527</v>
      </c>
      <c r="V295" s="378">
        <f t="shared" si="110"/>
        <v>160.46794103323182</v>
      </c>
      <c r="W295" s="397">
        <f t="shared" si="111"/>
        <v>64.738024210442958</v>
      </c>
      <c r="X295" s="153">
        <f t="shared" si="112"/>
        <v>47033</v>
      </c>
      <c r="Y295" s="380">
        <f t="shared" si="113"/>
        <v>62.453042628767669</v>
      </c>
      <c r="Z295" s="380">
        <f t="shared" si="114"/>
        <v>64.723879898415248</v>
      </c>
      <c r="AA295" s="381">
        <f t="shared" si="115"/>
        <v>68.484265626741561</v>
      </c>
      <c r="AB295" s="193">
        <f t="shared" si="116"/>
        <v>47033</v>
      </c>
      <c r="AC295" s="119">
        <f>IF(OR(t&lt;Tnet,NoTnet),'2027'!Resal_s+('2027'!Salim-'2027'!Resal_s)*(1-EXP(('2027'!Tnet_s-t)/'2027'!Tau_j)),Resal_s+(Salim-Resal_s)*(1-EXP((Tnet_s-t)/Tau_j)))*Salcycl</f>
        <v>5.4908754498755513E-2</v>
      </c>
      <c r="AD295" s="227">
        <f>(INDEX(Models!$BJ295:$BT295,,AH295)*(1-AF295)+INDEX(Models!$BJ295:$BT295,,AH295+1)*AF295-ERP_i)*AE295*Ramure*Pc/MaxiM</f>
        <v>5.2928754606538294E-4</v>
      </c>
      <c r="AE295" s="301">
        <f t="shared" si="117"/>
        <v>0.5</v>
      </c>
      <c r="AF295" s="173">
        <f t="shared" si="118"/>
        <v>0.48610622403945269</v>
      </c>
      <c r="AG295" s="801">
        <f t="shared" si="124"/>
        <v>3</v>
      </c>
      <c r="AH295" s="172">
        <f t="shared" si="119"/>
        <v>9</v>
      </c>
      <c r="AI295" s="221">
        <f t="shared" si="120"/>
        <v>3.4861062240394527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47034</v>
      </c>
      <c r="B296" s="406">
        <f>'2027'!Wh/'2027'!Env_an*'2028'!Env_an</f>
        <v>152.6495858280428</v>
      </c>
      <c r="C296" s="831"/>
      <c r="D296" s="388">
        <f t="shared" si="102"/>
        <v>158.2021995336093</v>
      </c>
      <c r="E296" s="380">
        <f t="shared" si="100"/>
        <v>161.49499895639039</v>
      </c>
      <c r="F296" s="380">
        <f t="shared" si="103"/>
        <v>161.57932038736868</v>
      </c>
      <c r="G296" s="110">
        <f t="shared" si="101"/>
        <v>0.95883647156323837</v>
      </c>
      <c r="H296" s="409" t="b">
        <f>Wh_hp&gt;='2027'!Maxi_hp</f>
        <v>0</v>
      </c>
      <c r="I296" s="385">
        <f>IF(H296,Wh_hp,'2027'!Maxi_hp)</f>
        <v>161.58402633756273</v>
      </c>
      <c r="J296" s="85">
        <f>IF(H296,An,'2027'!An_max)</f>
        <v>2022</v>
      </c>
      <c r="K296" s="193">
        <f t="shared" si="104"/>
        <v>47034</v>
      </c>
      <c r="L296" s="143">
        <f>IF(t&lt;Tvie,1-EXP((T0-t)*PertePVj)+'2027'!Pspv,1-EXP((T0-t)*PertePVj)+Pspv)</f>
        <v>3.5098208001759668E-2</v>
      </c>
      <c r="M296" s="835"/>
      <c r="N296" s="835"/>
      <c r="O296" s="48">
        <f>IF(t&lt;Tnet,'2027'!Resal+('2027'!Salim-'2027'!Resal)*(1-EXP(('2027'!Tnet-t)/('2027'!Tau_j))),Resal+(Salim-Resal)*(1-EXP((Tnet-t)/(Tau_j))))*Salcycl</f>
        <v>2.0389482300131535E-2</v>
      </c>
      <c r="P296" s="165">
        <f>(INDEX(Models!$BJ296:$BT296,,T296)*(1-R296)+INDEX(Models!$BJ296:$BT296,,T296+1)*R296-ERP_i)*Q296*Ramure*Pc/MaxiM</f>
        <v>5.5443673320301507E-4</v>
      </c>
      <c r="Q296" s="301">
        <f t="shared" si="105"/>
        <v>0.5</v>
      </c>
      <c r="R296" s="173">
        <f t="shared" si="106"/>
        <v>0.48624969935011508</v>
      </c>
      <c r="S296" s="801">
        <f t="shared" si="107"/>
        <v>3</v>
      </c>
      <c r="T296" s="172">
        <f t="shared" si="108"/>
        <v>9</v>
      </c>
      <c r="U296" s="247">
        <f t="shared" si="109"/>
        <v>3.4862496993501151</v>
      </c>
      <c r="V296" s="378">
        <f t="shared" si="110"/>
        <v>159.19775123287647</v>
      </c>
      <c r="W296" s="397">
        <f t="shared" si="111"/>
        <v>152.6495858280428</v>
      </c>
      <c r="X296" s="153">
        <f t="shared" si="112"/>
        <v>47034</v>
      </c>
      <c r="Y296" s="380">
        <f t="shared" si="113"/>
        <v>147.26984371427187</v>
      </c>
      <c r="Z296" s="380">
        <f t="shared" si="114"/>
        <v>152.62676982834378</v>
      </c>
      <c r="AA296" s="381">
        <f t="shared" si="115"/>
        <v>161.49499895639039</v>
      </c>
      <c r="AB296" s="193">
        <f t="shared" si="116"/>
        <v>47034</v>
      </c>
      <c r="AC296" s="119">
        <f>IF(OR(t&lt;Tnet,NoTnet),'2027'!Resal_s+('2027'!Salim-'2027'!Resal_s)*(1-EXP(('2027'!Tnet_s-t)/'2027'!Tau_j)),Resal_s+(Salim-Resal_s)*(1-EXP((Tnet_s-t)/Tau_j)))*Salcycl</f>
        <v>5.4913335925909142E-2</v>
      </c>
      <c r="AD296" s="227">
        <f>(INDEX(Models!$BJ296:$BT296,,AH296)*(1-AF296)+INDEX(Models!$BJ296:$BT296,,AH296+1)*AF296-ERP_i)*AE296*Ramure*Pc/MaxiM</f>
        <v>5.5443673320301507E-4</v>
      </c>
      <c r="AE296" s="301">
        <f t="shared" si="117"/>
        <v>0.5</v>
      </c>
      <c r="AF296" s="173">
        <f t="shared" si="118"/>
        <v>0.48624969935011508</v>
      </c>
      <c r="AG296" s="801">
        <f t="shared" si="124"/>
        <v>3</v>
      </c>
      <c r="AH296" s="172">
        <f t="shared" si="119"/>
        <v>9</v>
      </c>
      <c r="AI296" s="221">
        <f t="shared" si="120"/>
        <v>3.4862496993501151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47035</v>
      </c>
      <c r="B297" s="406">
        <f>'2027'!Wh/'2027'!Env_an*'2028'!Env_an</f>
        <v>122.12511133738413</v>
      </c>
      <c r="C297" s="831"/>
      <c r="D297" s="388">
        <f t="shared" si="102"/>
        <v>126.56913290374611</v>
      </c>
      <c r="E297" s="380">
        <f t="shared" ref="E297:E360" si="125">Wh_pvt/(1-Psa)</f>
        <v>129.21124669376269</v>
      </c>
      <c r="F297" s="380">
        <f t="shared" si="103"/>
        <v>129.26198809885486</v>
      </c>
      <c r="G297" s="110">
        <f t="shared" ref="G297:G360" si="126">+Wh_hp/MaxiM</f>
        <v>0.77316719265635969</v>
      </c>
      <c r="H297" s="409" t="b">
        <f>Wh_hp&gt;='2027'!Maxi_hp</f>
        <v>0</v>
      </c>
      <c r="I297" s="385">
        <f>IF(H297,Wh_hp,'2027'!Maxi_hp)</f>
        <v>129.28371187059687</v>
      </c>
      <c r="J297" s="85">
        <f>IF(H297,An,'2027'!An_max)</f>
        <v>2022</v>
      </c>
      <c r="K297" s="193">
        <f t="shared" si="104"/>
        <v>47035</v>
      </c>
      <c r="L297" s="143">
        <f>IF(t&lt;Tvie,1-EXP((T0-t)*PertePVj)+'2027'!Pspv,1-EXP((T0-t)*PertePVj)+Pspv)</f>
        <v>3.5111416697004572E-2</v>
      </c>
      <c r="M297" s="835"/>
      <c r="N297" s="835"/>
      <c r="O297" s="48">
        <f>IF(t&lt;Tnet,'2027'!Resal+('2027'!Salim-'2027'!Resal)*(1-EXP(('2027'!Tnet-t)/('2027'!Tau_j))),Resal+(Salim-Resal)*(1-EXP((Tnet-t)/(Tau_j))))*Salcycl</f>
        <v>2.0448017162766997E-2</v>
      </c>
      <c r="P297" s="165">
        <f>(INDEX(Models!$BJ297:$BT297,,T297)*(1-R297)+INDEX(Models!$BJ297:$BT297,,T297+1)*R297-ERP_i)*Q297*Ramure*Pc/MaxiM</f>
        <v>5.8055263182905112E-4</v>
      </c>
      <c r="Q297" s="301">
        <f t="shared" si="105"/>
        <v>0.5</v>
      </c>
      <c r="R297" s="173">
        <f t="shared" si="106"/>
        <v>0.48638747580870634</v>
      </c>
      <c r="S297" s="801">
        <f t="shared" si="107"/>
        <v>3</v>
      </c>
      <c r="T297" s="172">
        <f t="shared" si="108"/>
        <v>9</v>
      </c>
      <c r="U297" s="247">
        <f t="shared" si="109"/>
        <v>3.4863874758087063</v>
      </c>
      <c r="V297" s="378">
        <f t="shared" si="110"/>
        <v>157.9246290729694</v>
      </c>
      <c r="W297" s="397">
        <f t="shared" si="111"/>
        <v>122.12511133738413</v>
      </c>
      <c r="X297" s="153">
        <f t="shared" si="112"/>
        <v>47035</v>
      </c>
      <c r="Y297" s="380">
        <f t="shared" si="113"/>
        <v>117.82769981765598</v>
      </c>
      <c r="Z297" s="380">
        <f t="shared" si="114"/>
        <v>122.11534249302605</v>
      </c>
      <c r="AA297" s="381">
        <f t="shared" si="115"/>
        <v>129.21124669376269</v>
      </c>
      <c r="AB297" s="193">
        <f t="shared" si="116"/>
        <v>47035</v>
      </c>
      <c r="AC297" s="119">
        <f>IF(OR(t&lt;Tnet,NoTnet),'2027'!Resal_s+('2027'!Salim-'2027'!Resal_s)*(1-EXP(('2027'!Tnet_s-t)/'2027'!Tau_j)),Resal_s+(Salim-Resal_s)*(1-EXP((Tnet_s-t)/Tau_j)))*Salcycl</f>
        <v>5.4917078677789513E-2</v>
      </c>
      <c r="AD297" s="227">
        <f>(INDEX(Models!$BJ297:$BT297,,AH297)*(1-AF297)+INDEX(Models!$BJ297:$BT297,,AH297+1)*AF297-ERP_i)*AE297*Ramure*Pc/MaxiM</f>
        <v>5.8055263182905112E-4</v>
      </c>
      <c r="AE297" s="301">
        <f t="shared" si="117"/>
        <v>0.5</v>
      </c>
      <c r="AF297" s="173">
        <f t="shared" si="118"/>
        <v>0.48638747580870634</v>
      </c>
      <c r="AG297" s="801">
        <f t="shared" si="124"/>
        <v>3</v>
      </c>
      <c r="AH297" s="172">
        <f t="shared" si="119"/>
        <v>9</v>
      </c>
      <c r="AI297" s="221">
        <f t="shared" si="120"/>
        <v>3.4863874758087063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47036</v>
      </c>
      <c r="B298" s="406">
        <f>'2027'!Wh/'2027'!Env_an*'2028'!Env_an</f>
        <v>94.015534178948911</v>
      </c>
      <c r="C298" s="831"/>
      <c r="D298" s="388">
        <f t="shared" si="102"/>
        <v>97.438007680059783</v>
      </c>
      <c r="E298" s="380">
        <f t="shared" si="125"/>
        <v>99.477913852390344</v>
      </c>
      <c r="F298" s="380">
        <f t="shared" si="103"/>
        <v>99.503840680719676</v>
      </c>
      <c r="G298" s="110">
        <f t="shared" si="126"/>
        <v>0.59995811614949912</v>
      </c>
      <c r="H298" s="409" t="b">
        <f>Wh_hp&gt;='2027'!Maxi_hp</f>
        <v>0</v>
      </c>
      <c r="I298" s="385">
        <f>IF(H298,Wh_hp,'2027'!Maxi_hp)</f>
        <v>99.534723219686853</v>
      </c>
      <c r="J298" s="85">
        <f>IF(H298,An,'2027'!An_max)</f>
        <v>2022</v>
      </c>
      <c r="K298" s="193">
        <f t="shared" si="104"/>
        <v>47036</v>
      </c>
      <c r="L298" s="143">
        <f>IF(t&lt;Tvie,1-EXP((T0-t)*PertePVj)+'2027'!Pspv,1-EXP((T0-t)*PertePVj)+Pspv)</f>
        <v>3.5124625211433447E-2</v>
      </c>
      <c r="M298" s="835"/>
      <c r="N298" s="835"/>
      <c r="O298" s="48">
        <f>IF(t&lt;Tnet,'2027'!Resal+('2027'!Salim-'2027'!Resal)*(1-EXP(('2027'!Tnet-t)/('2027'!Tau_j))),Resal+(Salim-Resal)*(1-EXP((Tnet-t)/(Tau_j))))*Salcycl</f>
        <v>2.0506121342245474E-2</v>
      </c>
      <c r="P298" s="165">
        <f>(INDEX(Models!$BJ298:$BT298,,T298)*(1-R298)+INDEX(Models!$BJ298:$BT298,,T298+1)*R298-ERP_i)*Q298*Ramure*Pc/MaxiM</f>
        <v>6.0763866819430986E-4</v>
      </c>
      <c r="Q298" s="301">
        <f t="shared" si="105"/>
        <v>0.5</v>
      </c>
      <c r="R298" s="173">
        <f t="shared" si="106"/>
        <v>0.48651977678207237</v>
      </c>
      <c r="S298" s="801">
        <f t="shared" si="107"/>
        <v>3</v>
      </c>
      <c r="T298" s="172">
        <f t="shared" si="108"/>
        <v>9</v>
      </c>
      <c r="U298" s="247">
        <f t="shared" si="109"/>
        <v>3.4865197767820724</v>
      </c>
      <c r="V298" s="378">
        <f t="shared" si="110"/>
        <v>156.64909342821821</v>
      </c>
      <c r="W298" s="397">
        <f t="shared" si="111"/>
        <v>94.015534178948911</v>
      </c>
      <c r="X298" s="153">
        <f t="shared" si="112"/>
        <v>47036</v>
      </c>
      <c r="Y298" s="380">
        <f t="shared" si="113"/>
        <v>90.712361047529811</v>
      </c>
      <c r="Z298" s="380">
        <f t="shared" si="114"/>
        <v>94.014588223279759</v>
      </c>
      <c r="AA298" s="381">
        <f t="shared" si="115"/>
        <v>99.477913852390344</v>
      </c>
      <c r="AB298" s="193">
        <f t="shared" si="116"/>
        <v>47036</v>
      </c>
      <c r="AC298" s="119">
        <f>IF(OR(t&lt;Tnet,NoTnet),'2027'!Resal_s+('2027'!Salim-'2027'!Resal_s)*(1-EXP(('2027'!Tnet_s-t)/'2027'!Tau_j)),Resal_s+(Salim-Resal_s)*(1-EXP((Tnet_s-t)/Tau_j)))*Salcycl</f>
        <v>5.4919985929915052E-2</v>
      </c>
      <c r="AD298" s="227">
        <f>(INDEX(Models!$BJ298:$BT298,,AH298)*(1-AF298)+INDEX(Models!$BJ298:$BT298,,AH298+1)*AF298-ERP_i)*AE298*Ramure*Pc/MaxiM</f>
        <v>6.0763866819430986E-4</v>
      </c>
      <c r="AE298" s="301">
        <f t="shared" si="117"/>
        <v>0.5</v>
      </c>
      <c r="AF298" s="173">
        <f t="shared" si="118"/>
        <v>0.48651977678207237</v>
      </c>
      <c r="AG298" s="801">
        <f t="shared" si="124"/>
        <v>3</v>
      </c>
      <c r="AH298" s="172">
        <f t="shared" si="119"/>
        <v>9</v>
      </c>
      <c r="AI298" s="221">
        <f t="shared" si="120"/>
        <v>3.4865197767820724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47037</v>
      </c>
      <c r="B299" s="406">
        <f>'2027'!Wh/'2027'!Env_an*'2028'!Env_an</f>
        <v>118.08296407377378</v>
      </c>
      <c r="C299" s="831"/>
      <c r="D299" s="388">
        <f t="shared" si="102"/>
        <v>122.3832462077235</v>
      </c>
      <c r="E299" s="380">
        <f t="shared" si="125"/>
        <v>124.95274888849616</v>
      </c>
      <c r="F299" s="380">
        <f t="shared" si="103"/>
        <v>125.0049693512952</v>
      </c>
      <c r="G299" s="110">
        <f t="shared" si="126"/>
        <v>0.75983750734484556</v>
      </c>
      <c r="H299" s="409" t="b">
        <f>Wh_hp&gt;='2027'!Maxi_hp</f>
        <v>0</v>
      </c>
      <c r="I299" s="385">
        <f>IF(H299,Wh_hp,'2027'!Maxi_hp)</f>
        <v>125.02935085466613</v>
      </c>
      <c r="J299" s="85">
        <f>IF(H299,An,'2027'!An_max)</f>
        <v>2022</v>
      </c>
      <c r="K299" s="193">
        <f t="shared" si="104"/>
        <v>47037</v>
      </c>
      <c r="L299" s="143">
        <f>IF(t&lt;Tvie,1-EXP((T0-t)*PertePVj)+'2027'!Pspv,1-EXP((T0-t)*PertePVj)+Pspv)</f>
        <v>3.5137833545048847E-2</v>
      </c>
      <c r="M299" s="835"/>
      <c r="N299" s="835"/>
      <c r="O299" s="48">
        <f>IF(t&lt;Tnet,'2027'!Resal+('2027'!Salim-'2027'!Resal)*(1-EXP(('2027'!Tnet-t)/('2027'!Tau_j))),Resal+(Salim-Resal)*(1-EXP((Tnet-t)/(Tau_j))))*Salcycl</f>
        <v>2.0563794743448195E-2</v>
      </c>
      <c r="P299" s="165">
        <f>(INDEX(Models!$BJ299:$BT299,,T299)*(1-R299)+INDEX(Models!$BJ299:$BT299,,T299+1)*R299-ERP_i)*Q299*Ramure*Pc/MaxiM</f>
        <v>6.356976515265796E-4</v>
      </c>
      <c r="Q299" s="301">
        <f t="shared" si="105"/>
        <v>0.5</v>
      </c>
      <c r="R299" s="173">
        <f t="shared" si="106"/>
        <v>0.486646817116974</v>
      </c>
      <c r="S299" s="801">
        <f t="shared" si="107"/>
        <v>3</v>
      </c>
      <c r="T299" s="172">
        <f t="shared" si="108"/>
        <v>9</v>
      </c>
      <c r="U299" s="247">
        <f t="shared" si="109"/>
        <v>3.486646817116974</v>
      </c>
      <c r="V299" s="378">
        <f t="shared" si="110"/>
        <v>155.37166292676164</v>
      </c>
      <c r="W299" s="397">
        <f t="shared" si="111"/>
        <v>118.08296407377378</v>
      </c>
      <c r="X299" s="153">
        <f t="shared" si="112"/>
        <v>47037</v>
      </c>
      <c r="Y299" s="380">
        <f t="shared" si="113"/>
        <v>113.94065630327152</v>
      </c>
      <c r="Z299" s="380">
        <f t="shared" si="114"/>
        <v>118.09008609168151</v>
      </c>
      <c r="AA299" s="381">
        <f t="shared" si="115"/>
        <v>124.95274888849616</v>
      </c>
      <c r="AB299" s="193">
        <f t="shared" si="116"/>
        <v>47037</v>
      </c>
      <c r="AC299" s="119">
        <f>IF(OR(t&lt;Tnet,NoTnet),'2027'!Resal_s+('2027'!Salim-'2027'!Resal_s)*(1-EXP(('2027'!Tnet_s-t)/'2027'!Tau_j)),Resal_s+(Salim-Resal_s)*(1-EXP((Tnet_s-t)/Tau_j)))*Salcycl</f>
        <v>5.4922063402852134E-2</v>
      </c>
      <c r="AD299" s="227">
        <f>(INDEX(Models!$BJ299:$BT299,,AH299)*(1-AF299)+INDEX(Models!$BJ299:$BT299,,AH299+1)*AF299-ERP_i)*AE299*Ramure*Pc/MaxiM</f>
        <v>6.356976515265796E-4</v>
      </c>
      <c r="AE299" s="301">
        <f t="shared" si="117"/>
        <v>0.5</v>
      </c>
      <c r="AF299" s="173">
        <f t="shared" si="118"/>
        <v>0.486646817116974</v>
      </c>
      <c r="AG299" s="801">
        <f t="shared" si="124"/>
        <v>3</v>
      </c>
      <c r="AH299" s="172">
        <f t="shared" si="119"/>
        <v>9</v>
      </c>
      <c r="AI299" s="221">
        <f t="shared" si="120"/>
        <v>3.486646817116974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47038</v>
      </c>
      <c r="B300" s="406">
        <f>'2027'!Wh/'2027'!Env_an*'2028'!Env_an</f>
        <v>91.293198623679686</v>
      </c>
      <c r="C300" s="831"/>
      <c r="D300" s="388">
        <f t="shared" si="102"/>
        <v>94.6191606863826</v>
      </c>
      <c r="E300" s="380">
        <f t="shared" si="125"/>
        <v>96.611387814288008</v>
      </c>
      <c r="F300" s="380">
        <f t="shared" si="103"/>
        <v>96.638226270027161</v>
      </c>
      <c r="G300" s="110">
        <f t="shared" si="126"/>
        <v>0.59222640004669613</v>
      </c>
      <c r="H300" s="409" t="b">
        <f>Wh_hp&gt;='2027'!Maxi_hp</f>
        <v>0</v>
      </c>
      <c r="I300" s="385">
        <f>IF(H300,Wh_hp,'2027'!Maxi_hp)</f>
        <v>96.671730861785207</v>
      </c>
      <c r="J300" s="85">
        <f>IF(H300,An,'2027'!An_max)</f>
        <v>2022</v>
      </c>
      <c r="K300" s="193">
        <f t="shared" si="104"/>
        <v>47038</v>
      </c>
      <c r="L300" s="143">
        <f>IF(t&lt;Tvie,1-EXP((T0-t)*PertePVj)+'2027'!Pspv,1-EXP((T0-t)*PertePVj)+Pspv)</f>
        <v>3.5151041697853325E-2</v>
      </c>
      <c r="M300" s="835"/>
      <c r="N300" s="835"/>
      <c r="O300" s="48">
        <f>IF(t&lt;Tnet,'2027'!Resal+('2027'!Salim-'2027'!Resal)*(1-EXP(('2027'!Tnet-t)/('2027'!Tau_j))),Resal+(Salim-Resal)*(1-EXP((Tnet-t)/(Tau_j))))*Salcycl</f>
        <v>2.0621038295557739E-2</v>
      </c>
      <c r="P300" s="165">
        <f>(INDEX(Models!$BJ300:$BT300,,T300)*(1-R300)+INDEX(Models!$BJ300:$BT300,,T300+1)*R300-ERP_i)*Q300*Ramure*Pc/MaxiM</f>
        <v>6.6473178837235785E-4</v>
      </c>
      <c r="Q300" s="301">
        <f t="shared" si="105"/>
        <v>0.5</v>
      </c>
      <c r="R300" s="173">
        <f t="shared" si="106"/>
        <v>0.48676880344656803</v>
      </c>
      <c r="S300" s="801">
        <f t="shared" si="107"/>
        <v>3</v>
      </c>
      <c r="T300" s="172">
        <f t="shared" si="108"/>
        <v>9</v>
      </c>
      <c r="U300" s="247">
        <f t="shared" si="109"/>
        <v>3.486768803446568</v>
      </c>
      <c r="V300" s="378">
        <f t="shared" si="110"/>
        <v>154.09285594175628</v>
      </c>
      <c r="W300" s="397">
        <f t="shared" si="111"/>
        <v>91.293198623679686</v>
      </c>
      <c r="X300" s="153">
        <f t="shared" si="112"/>
        <v>47038</v>
      </c>
      <c r="Y300" s="380">
        <f t="shared" si="113"/>
        <v>88.095697871016228</v>
      </c>
      <c r="Z300" s="380">
        <f t="shared" si="114"/>
        <v>91.305169698311133</v>
      </c>
      <c r="AA300" s="381">
        <f t="shared" si="115"/>
        <v>96.611387814288008</v>
      </c>
      <c r="AB300" s="193">
        <f t="shared" si="116"/>
        <v>47038</v>
      </c>
      <c r="AC300" s="119">
        <f>IF(OR(t&lt;Tnet,NoTnet),'2027'!Resal_s+('2027'!Salim-'2027'!Resal_s)*(1-EXP(('2027'!Tnet_s-t)/'2027'!Tau_j)),Resal_s+(Salim-Resal_s)*(1-EXP((Tnet_s-t)/Tau_j)))*Salcycl</f>
        <v>5.4923319455640107E-2</v>
      </c>
      <c r="AD300" s="227">
        <f>(INDEX(Models!$BJ300:$BT300,,AH300)*(1-AF300)+INDEX(Models!$BJ300:$BT300,,AH300+1)*AF300-ERP_i)*AE300*Ramure*Pc/MaxiM</f>
        <v>6.6473178837235785E-4</v>
      </c>
      <c r="AE300" s="301">
        <f t="shared" si="117"/>
        <v>0.5</v>
      </c>
      <c r="AF300" s="173">
        <f t="shared" si="118"/>
        <v>0.48676880344656803</v>
      </c>
      <c r="AG300" s="801">
        <f t="shared" si="124"/>
        <v>3</v>
      </c>
      <c r="AH300" s="172">
        <f t="shared" si="119"/>
        <v>9</v>
      </c>
      <c r="AI300" s="221">
        <f t="shared" si="120"/>
        <v>3.486768803446568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47039</v>
      </c>
      <c r="B301" s="406">
        <f>'2027'!Wh/'2027'!Env_an*'2028'!Env_an</f>
        <v>81.358765664631463</v>
      </c>
      <c r="C301" s="831"/>
      <c r="D301" s="388">
        <f t="shared" si="102"/>
        <v>84.323954244846178</v>
      </c>
      <c r="E301" s="380">
        <f t="shared" si="125"/>
        <v>86.104408634984992</v>
      </c>
      <c r="F301" s="380">
        <f t="shared" si="103"/>
        <v>86.124274165300491</v>
      </c>
      <c r="G301" s="110">
        <f t="shared" si="126"/>
        <v>0.53215955736070542</v>
      </c>
      <c r="H301" s="409" t="b">
        <f>Wh_hp&gt;='2027'!Maxi_hp</f>
        <v>0</v>
      </c>
      <c r="I301" s="385">
        <f>IF(H301,Wh_hp,'2027'!Maxi_hp)</f>
        <v>86.160128113136821</v>
      </c>
      <c r="J301" s="85">
        <f>IF(H301,An,'2027'!An_max)</f>
        <v>2022</v>
      </c>
      <c r="K301" s="193">
        <f t="shared" si="104"/>
        <v>47039</v>
      </c>
      <c r="L301" s="143">
        <f>IF(t&lt;Tvie,1-EXP((T0-t)*PertePVj)+'2027'!Pspv,1-EXP((T0-t)*PertePVj)+Pspv)</f>
        <v>3.5164249669849212E-2</v>
      </c>
      <c r="M301" s="835"/>
      <c r="N301" s="835"/>
      <c r="O301" s="48">
        <f>IF(t&lt;Tnet,'2027'!Resal+('2027'!Salim-'2027'!Resal)*(1-EXP(('2027'!Tnet-t)/('2027'!Tau_j))),Resal+(Salim-Resal)*(1-EXP((Tnet-t)/(Tau_j))))*Salcycl</f>
        <v>2.0677853995682692E-2</v>
      </c>
      <c r="P301" s="165">
        <f>(INDEX(Models!$BJ301:$BT301,,T301)*(1-R301)+INDEX(Models!$BJ301:$BT301,,T301+1)*R301-ERP_i)*Q301*Ramure*Pc/MaxiM</f>
        <v>6.947427040347987E-4</v>
      </c>
      <c r="Q301" s="301">
        <f t="shared" si="105"/>
        <v>0.5</v>
      </c>
      <c r="R301" s="173">
        <f t="shared" si="106"/>
        <v>0.48688593448734885</v>
      </c>
      <c r="S301" s="801">
        <f t="shared" si="107"/>
        <v>3</v>
      </c>
      <c r="T301" s="172">
        <f t="shared" si="108"/>
        <v>9</v>
      </c>
      <c r="U301" s="247">
        <f t="shared" si="109"/>
        <v>3.4868859344873488</v>
      </c>
      <c r="V301" s="378">
        <f t="shared" si="110"/>
        <v>152.81319057819812</v>
      </c>
      <c r="W301" s="397">
        <f t="shared" si="111"/>
        <v>81.358765664631463</v>
      </c>
      <c r="X301" s="153">
        <f t="shared" si="112"/>
        <v>47039</v>
      </c>
      <c r="Y301" s="380">
        <f t="shared" si="113"/>
        <v>78.513731399608474</v>
      </c>
      <c r="Z301" s="380">
        <f t="shared" si="114"/>
        <v>81.375230315359246</v>
      </c>
      <c r="AA301" s="381">
        <f t="shared" si="115"/>
        <v>86.104408634984992</v>
      </c>
      <c r="AB301" s="193">
        <f t="shared" si="116"/>
        <v>47039</v>
      </c>
      <c r="AC301" s="119">
        <f>IF(OR(t&lt;Tnet,NoTnet),'2027'!Resal_s+('2027'!Salim-'2027'!Resal_s)*(1-EXP(('2027'!Tnet_s-t)/'2027'!Tau_j)),Resal_s+(Salim-Resal_s)*(1-EXP((Tnet_s-t)/Tau_j)))*Salcycl</f>
        <v>5.4923765166006194E-2</v>
      </c>
      <c r="AD301" s="227">
        <f>(INDEX(Models!$BJ301:$BT301,,AH301)*(1-AF301)+INDEX(Models!$BJ301:$BT301,,AH301+1)*AF301-ERP_i)*AE301*Ramure*Pc/MaxiM</f>
        <v>6.947427040347987E-4</v>
      </c>
      <c r="AE301" s="301">
        <f t="shared" si="117"/>
        <v>0.5</v>
      </c>
      <c r="AF301" s="173">
        <f t="shared" si="118"/>
        <v>0.48688593448734885</v>
      </c>
      <c r="AG301" s="801">
        <f t="shared" si="124"/>
        <v>3</v>
      </c>
      <c r="AH301" s="172">
        <f t="shared" si="119"/>
        <v>9</v>
      </c>
      <c r="AI301" s="221">
        <f t="shared" si="120"/>
        <v>3.4868859344873488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47040</v>
      </c>
      <c r="B302" s="406">
        <f>'2027'!Wh/'2027'!Env_an*'2028'!Env_an</f>
        <v>148.61574216819753</v>
      </c>
      <c r="C302" s="831"/>
      <c r="D302" s="388">
        <f t="shared" si="102"/>
        <v>154.03427637284523</v>
      </c>
      <c r="E302" s="380">
        <f t="shared" si="125"/>
        <v>157.29568360591381</v>
      </c>
      <c r="F302" s="380">
        <f t="shared" si="103"/>
        <v>157.40677673197555</v>
      </c>
      <c r="G302" s="110">
        <f t="shared" si="126"/>
        <v>0.9807275808823066</v>
      </c>
      <c r="H302" s="409" t="b">
        <f>Wh_hp&gt;='2027'!Maxi_hp</f>
        <v>0</v>
      </c>
      <c r="I302" s="385">
        <f>IF(H302,Wh_hp,'2027'!Maxi_hp)</f>
        <v>157.4095998459747</v>
      </c>
      <c r="J302" s="85">
        <f>IF(H302,An,'2027'!An_max)</f>
        <v>2022</v>
      </c>
      <c r="K302" s="193">
        <f t="shared" si="104"/>
        <v>47040</v>
      </c>
      <c r="L302" s="143">
        <f>IF(t&lt;Tvie,1-EXP((T0-t)*PertePVj)+'2027'!Pspv,1-EXP((T0-t)*PertePVj)+Pspv)</f>
        <v>3.5177457461039063E-2</v>
      </c>
      <c r="M302" s="835"/>
      <c r="N302" s="835"/>
      <c r="O302" s="48">
        <f>IF(t&lt;Tnet,'2027'!Resal+('2027'!Salim-'2027'!Resal)*(1-EXP(('2027'!Tnet-t)/('2027'!Tau_j))),Resal+(Salim-Resal)*(1-EXP((Tnet-t)/(Tau_j))))*Salcycl</f>
        <v>2.0734244947494321E-2</v>
      </c>
      <c r="P302" s="165">
        <f>(INDEX(Models!$BJ302:$BT302,,T302)*(1-R302)+INDEX(Models!$BJ302:$BT302,,T302+1)*R302-ERP_i)*Q302*Ramure*Pc/MaxiM</f>
        <v>7.2573147124618419E-4</v>
      </c>
      <c r="Q302" s="301">
        <f t="shared" si="105"/>
        <v>0.5</v>
      </c>
      <c r="R302" s="173">
        <f t="shared" si="106"/>
        <v>0.48699840132671479</v>
      </c>
      <c r="S302" s="801">
        <f t="shared" si="107"/>
        <v>3</v>
      </c>
      <c r="T302" s="172">
        <f t="shared" si="108"/>
        <v>9</v>
      </c>
      <c r="U302" s="247">
        <f t="shared" si="109"/>
        <v>3.4869984013267148</v>
      </c>
      <c r="V302" s="378">
        <f t="shared" si="110"/>
        <v>151.53318466648648</v>
      </c>
      <c r="W302" s="397">
        <f t="shared" si="111"/>
        <v>148.61574216819753</v>
      </c>
      <c r="X302" s="153">
        <f t="shared" si="112"/>
        <v>47040</v>
      </c>
      <c r="Y302" s="380">
        <f t="shared" si="113"/>
        <v>143.42711102743556</v>
      </c>
      <c r="Z302" s="380">
        <f t="shared" si="114"/>
        <v>148.65646759247829</v>
      </c>
      <c r="AA302" s="381">
        <f t="shared" si="115"/>
        <v>157.29568360591381</v>
      </c>
      <c r="AB302" s="193">
        <f t="shared" si="116"/>
        <v>47040</v>
      </c>
      <c r="AC302" s="119">
        <f>IF(OR(t&lt;Tnet,NoTnet),'2027'!Resal_s+('2027'!Salim-'2027'!Resal_s)*(1-EXP(('2027'!Tnet_s-t)/'2027'!Tau_j)),Resal_s+(Salim-Resal_s)*(1-EXP((Tnet_s-t)/Tau_j)))*Salcycl</f>
        <v>5.4923414396291205E-2</v>
      </c>
      <c r="AD302" s="227">
        <f>(INDEX(Models!$BJ302:$BT302,,AH302)*(1-AF302)+INDEX(Models!$BJ302:$BT302,,AH302+1)*AF302-ERP_i)*AE302*Ramure*Pc/MaxiM</f>
        <v>7.2573147124618419E-4</v>
      </c>
      <c r="AE302" s="301">
        <f t="shared" si="117"/>
        <v>0.5</v>
      </c>
      <c r="AF302" s="173">
        <f t="shared" si="118"/>
        <v>0.48699840132671479</v>
      </c>
      <c r="AG302" s="801">
        <f t="shared" si="124"/>
        <v>3</v>
      </c>
      <c r="AH302" s="172">
        <f t="shared" si="119"/>
        <v>9</v>
      </c>
      <c r="AI302" s="221">
        <f t="shared" si="120"/>
        <v>3.4869984013267148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47041</v>
      </c>
      <c r="B303" s="406">
        <f>'2027'!Wh/'2027'!Env_an*'2028'!Env_an</f>
        <v>133.23904445995763</v>
      </c>
      <c r="C303" s="831"/>
      <c r="D303" s="388">
        <f t="shared" si="102"/>
        <v>138.09883428400013</v>
      </c>
      <c r="E303" s="380">
        <f t="shared" si="125"/>
        <v>141.03089701010526</v>
      </c>
      <c r="F303" s="380">
        <f t="shared" si="103"/>
        <v>141.12053180926847</v>
      </c>
      <c r="G303" s="110">
        <f t="shared" si="126"/>
        <v>0.88667460286344191</v>
      </c>
      <c r="H303" s="409" t="b">
        <f>Wh_hp&gt;='2027'!Maxi_hp</f>
        <v>0</v>
      </c>
      <c r="I303" s="385">
        <f>IF(H303,Wh_hp,'2027'!Maxi_hp)</f>
        <v>141.13609952426535</v>
      </c>
      <c r="J303" s="85">
        <f>IF(H303,An,'2027'!An_max)</f>
        <v>2022</v>
      </c>
      <c r="K303" s="193">
        <f t="shared" si="104"/>
        <v>47041</v>
      </c>
      <c r="L303" s="143">
        <f>IF(t&lt;Tvie,1-EXP((T0-t)*PertePVj)+'2027'!Pspv,1-EXP((T0-t)*PertePVj)+Pspv)</f>
        <v>3.519066507142532E-2</v>
      </c>
      <c r="M303" s="835"/>
      <c r="N303" s="835"/>
      <c r="O303" s="48">
        <f>IF(t&lt;Tnet,'2027'!Resal+('2027'!Salim-'2027'!Resal)*(1-EXP(('2027'!Tnet-t)/('2027'!Tau_j))),Resal+(Salim-Resal)*(1-EXP((Tnet-t)/(Tau_j))))*Salcycl</f>
        <v>2.0790215394397068E-2</v>
      </c>
      <c r="P303" s="165">
        <f>(INDEX(Models!$BJ303:$BT303,,T303)*(1-R303)+INDEX(Models!$BJ303:$BT303,,T303+1)*R303-ERP_i)*Q303*Ramure*Pc/MaxiM</f>
        <v>7.5771642947326779E-4</v>
      </c>
      <c r="Q303" s="301">
        <f t="shared" si="105"/>
        <v>0.5</v>
      </c>
      <c r="R303" s="173">
        <f t="shared" si="106"/>
        <v>0.48710638770134818</v>
      </c>
      <c r="S303" s="801">
        <f t="shared" si="107"/>
        <v>3</v>
      </c>
      <c r="T303" s="172">
        <f t="shared" si="108"/>
        <v>9</v>
      </c>
      <c r="U303" s="247">
        <f t="shared" si="109"/>
        <v>3.4871063877013482</v>
      </c>
      <c r="V303" s="378">
        <f t="shared" si="110"/>
        <v>150.24982670561417</v>
      </c>
      <c r="W303" s="397">
        <f t="shared" si="111"/>
        <v>133.23904445995763</v>
      </c>
      <c r="X303" s="153">
        <f t="shared" si="112"/>
        <v>47041</v>
      </c>
      <c r="Y303" s="380">
        <f t="shared" si="113"/>
        <v>128.59476469766713</v>
      </c>
      <c r="Z303" s="380">
        <f t="shared" si="114"/>
        <v>133.28515805372786</v>
      </c>
      <c r="AA303" s="381">
        <f t="shared" si="115"/>
        <v>141.03089701010526</v>
      </c>
      <c r="AB303" s="193">
        <f t="shared" si="116"/>
        <v>47041</v>
      </c>
      <c r="AC303" s="119">
        <f>IF(OR(t&lt;Tnet,NoTnet),'2027'!Resal_s+('2027'!Salim-'2027'!Resal_s)*(1-EXP(('2027'!Tnet_s-t)/'2027'!Tau_j)),Resal_s+(Salim-Resal_s)*(1-EXP((Tnet_s-t)/Tau_j)))*Salcycl</f>
        <v>5.4922283844102561E-2</v>
      </c>
      <c r="AD303" s="227">
        <f>(INDEX(Models!$BJ303:$BT303,,AH303)*(1-AF303)+INDEX(Models!$BJ303:$BT303,,AH303+1)*AF303-ERP_i)*AE303*Ramure*Pc/MaxiM</f>
        <v>7.5771642947326779E-4</v>
      </c>
      <c r="AE303" s="301">
        <f t="shared" si="117"/>
        <v>0.5</v>
      </c>
      <c r="AF303" s="173">
        <f t="shared" si="118"/>
        <v>0.48710638770134818</v>
      </c>
      <c r="AG303" s="801">
        <f t="shared" si="124"/>
        <v>3</v>
      </c>
      <c r="AH303" s="172">
        <f t="shared" si="119"/>
        <v>9</v>
      </c>
      <c r="AI303" s="221">
        <f t="shared" si="120"/>
        <v>3.4871063877013482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47042</v>
      </c>
      <c r="B304" s="406">
        <f>'2027'!Wh/'2027'!Env_an*'2028'!Env_an</f>
        <v>85.382012047266571</v>
      </c>
      <c r="C304" s="831"/>
      <c r="D304" s="388">
        <f t="shared" si="102"/>
        <v>88.497465540828472</v>
      </c>
      <c r="E304" s="380">
        <f t="shared" si="125"/>
        <v>90.381538369419445</v>
      </c>
      <c r="F304" s="380">
        <f t="shared" si="103"/>
        <v>90.409684267466659</v>
      </c>
      <c r="G304" s="110">
        <f t="shared" si="126"/>
        <v>0.57291090939591416</v>
      </c>
      <c r="H304" s="409" t="b">
        <f>Wh_hp&gt;='2027'!Maxi_hp</f>
        <v>0</v>
      </c>
      <c r="I304" s="385">
        <f>IF(H304,Wh_hp,'2027'!Maxi_hp)</f>
        <v>90.44932204480186</v>
      </c>
      <c r="J304" s="85">
        <f>IF(H304,An,'2027'!An_max)</f>
        <v>2022</v>
      </c>
      <c r="K304" s="193">
        <f t="shared" si="104"/>
        <v>47042</v>
      </c>
      <c r="L304" s="143">
        <f>IF(t&lt;Tvie,1-EXP((T0-t)*PertePVj)+'2027'!Pspv,1-EXP((T0-t)*PertePVj)+Pspv)</f>
        <v>3.5203872501010536E-2</v>
      </c>
      <c r="M304" s="835"/>
      <c r="N304" s="835"/>
      <c r="O304" s="48">
        <f>IF(t&lt;Tnet,'2027'!Resal+('2027'!Salim-'2027'!Resal)*(1-EXP(('2027'!Tnet-t)/('2027'!Tau_j))),Resal+(Salim-Resal)*(1-EXP((Tnet-t)/(Tau_j))))*Salcycl</f>
        <v>2.0845770746788325E-2</v>
      </c>
      <c r="P304" s="165">
        <f>(INDEX(Models!$BJ304:$BT304,,T304)*(1-R304)+INDEX(Models!$BJ304:$BT304,,T304+1)*R304-ERP_i)*Q304*Ramure*Pc/MaxiM</f>
        <v>7.9768926541197102E-4</v>
      </c>
      <c r="Q304" s="301">
        <f t="shared" si="105"/>
        <v>0.5</v>
      </c>
      <c r="R304" s="173">
        <f t="shared" si="106"/>
        <v>0.48721007026659269</v>
      </c>
      <c r="S304" s="801">
        <f t="shared" si="107"/>
        <v>3</v>
      </c>
      <c r="T304" s="172">
        <f t="shared" si="108"/>
        <v>9</v>
      </c>
      <c r="U304" s="247">
        <f t="shared" si="109"/>
        <v>3.4872100702665927</v>
      </c>
      <c r="V304" s="378">
        <f t="shared" si="110"/>
        <v>148.9594108069185</v>
      </c>
      <c r="W304" s="397">
        <f t="shared" si="111"/>
        <v>85.382012047266571</v>
      </c>
      <c r="X304" s="153">
        <f t="shared" si="112"/>
        <v>47042</v>
      </c>
      <c r="Y304" s="380">
        <f t="shared" si="113"/>
        <v>82.410713218779023</v>
      </c>
      <c r="Z304" s="380">
        <f t="shared" si="114"/>
        <v>85.41774875528337</v>
      </c>
      <c r="AA304" s="381">
        <f t="shared" si="115"/>
        <v>90.381538369419445</v>
      </c>
      <c r="AB304" s="193">
        <f t="shared" si="116"/>
        <v>47042</v>
      </c>
      <c r="AC304" s="119">
        <f>IF(OR(t&lt;Tnet,NoTnet),'2027'!Resal_s+('2027'!Salim-'2027'!Resal_s)*(1-EXP(('2027'!Tnet_s-t)/'2027'!Tau_j)),Resal_s+(Salim-Resal_s)*(1-EXP((Tnet_s-t)/Tau_j)))*Salcycl</f>
        <v>5.4920393076818626E-2</v>
      </c>
      <c r="AD304" s="227">
        <f>(INDEX(Models!$BJ304:$BT304,,AH304)*(1-AF304)+INDEX(Models!$BJ304:$BT304,,AH304+1)*AF304-ERP_i)*AE304*Ramure*Pc/MaxiM</f>
        <v>7.9768926541197102E-4</v>
      </c>
      <c r="AE304" s="301">
        <f t="shared" si="117"/>
        <v>0.5</v>
      </c>
      <c r="AF304" s="173">
        <f t="shared" si="118"/>
        <v>0.48721007026659269</v>
      </c>
      <c r="AG304" s="801">
        <f t="shared" si="124"/>
        <v>3</v>
      </c>
      <c r="AH304" s="172">
        <f t="shared" si="119"/>
        <v>9</v>
      </c>
      <c r="AI304" s="221">
        <f t="shared" si="120"/>
        <v>3.4872100702665927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47043</v>
      </c>
      <c r="B305" s="406">
        <f>'2027'!Wh/'2027'!Env_an*'2028'!Env_an</f>
        <v>136.30348609475203</v>
      </c>
      <c r="C305" s="831"/>
      <c r="D305" s="388">
        <f t="shared" si="102"/>
        <v>141.27891698103824</v>
      </c>
      <c r="E305" s="380">
        <f t="shared" si="125"/>
        <v>144.29481093492981</v>
      </c>
      <c r="F305" s="380">
        <f t="shared" si="103"/>
        <v>144.40354238135711</v>
      </c>
      <c r="G305" s="110">
        <f t="shared" si="126"/>
        <v>0.92298574977968406</v>
      </c>
      <c r="H305" s="409" t="b">
        <f>Wh_hp&gt;='2027'!Maxi_hp</f>
        <v>0</v>
      </c>
      <c r="I305" s="385">
        <f>IF(H305,Wh_hp,'2027'!Maxi_hp)</f>
        <v>144.41565792808763</v>
      </c>
      <c r="J305" s="85">
        <f>IF(H305,An,'2027'!An_max)</f>
        <v>2022</v>
      </c>
      <c r="K305" s="193">
        <f t="shared" si="104"/>
        <v>47043</v>
      </c>
      <c r="L305" s="143">
        <f>IF(t&lt;Tvie,1-EXP((T0-t)*PertePVj)+'2027'!Pspv,1-EXP((T0-t)*PertePVj)+Pspv)</f>
        <v>3.5217079749797153E-2</v>
      </c>
      <c r="M305" s="835"/>
      <c r="N305" s="835"/>
      <c r="O305" s="48">
        <f>IF(t&lt;Tnet,'2027'!Resal+('2027'!Salim-'2027'!Resal)*(1-EXP(('2027'!Tnet-t)/('2027'!Tau_j))),Resal+(Salim-Resal)*(1-EXP((Tnet-t)/(Tau_j))))*Salcycl</f>
        <v>2.0900917603001008E-2</v>
      </c>
      <c r="P305" s="165">
        <f>(INDEX(Models!$BJ305:$BT305,,T305)*(1-R305)+INDEX(Models!$BJ305:$BT305,,T305+1)*R305-ERP_i)*Q305*Ramure*Pc/MaxiM</f>
        <v>8.4593575532554823E-4</v>
      </c>
      <c r="Q305" s="301">
        <f t="shared" si="105"/>
        <v>0.5</v>
      </c>
      <c r="R305" s="173">
        <f t="shared" si="106"/>
        <v>0.48730961885703339</v>
      </c>
      <c r="S305" s="801">
        <f t="shared" si="107"/>
        <v>3</v>
      </c>
      <c r="T305" s="172">
        <f t="shared" si="108"/>
        <v>9</v>
      </c>
      <c r="U305" s="247">
        <f t="shared" si="109"/>
        <v>3.4873096188570334</v>
      </c>
      <c r="V305" s="378">
        <f t="shared" si="110"/>
        <v>147.6629568097938</v>
      </c>
      <c r="W305" s="397">
        <f t="shared" si="111"/>
        <v>136.30348609475203</v>
      </c>
      <c r="X305" s="153">
        <f t="shared" si="112"/>
        <v>47043</v>
      </c>
      <c r="Y305" s="380">
        <f t="shared" si="113"/>
        <v>131.56789302957907</v>
      </c>
      <c r="Z305" s="380">
        <f t="shared" si="114"/>
        <v>136.37046248233622</v>
      </c>
      <c r="AA305" s="381">
        <f t="shared" si="115"/>
        <v>144.29481093492981</v>
      </c>
      <c r="AB305" s="193">
        <f t="shared" si="116"/>
        <v>47043</v>
      </c>
      <c r="AC305" s="119">
        <f>IF(OR(t&lt;Tnet,NoTnet),'2027'!Resal_s+('2027'!Salim-'2027'!Resal_s)*(1-EXP(('2027'!Tnet_s-t)/'2027'!Tau_j)),Resal_s+(Salim-Resal_s)*(1-EXP((Tnet_s-t)/Tau_j)))*Salcycl</f>
        <v>5.4917764549184657E-2</v>
      </c>
      <c r="AD305" s="227">
        <f>(INDEX(Models!$BJ305:$BT305,,AH305)*(1-AF305)+INDEX(Models!$BJ305:$BT305,,AH305+1)*AF305-ERP_i)*AE305*Ramure*Pc/MaxiM</f>
        <v>8.4593575532554823E-4</v>
      </c>
      <c r="AE305" s="301">
        <f t="shared" si="117"/>
        <v>0.5</v>
      </c>
      <c r="AF305" s="173">
        <f t="shared" si="118"/>
        <v>0.48730961885703339</v>
      </c>
      <c r="AG305" s="801">
        <f t="shared" si="124"/>
        <v>3</v>
      </c>
      <c r="AH305" s="172">
        <f t="shared" si="119"/>
        <v>9</v>
      </c>
      <c r="AI305" s="221">
        <f t="shared" si="120"/>
        <v>3.4873096188570334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47044</v>
      </c>
      <c r="B306" s="406">
        <f>'2027'!Wh/'2027'!Env_an*'2028'!Env_an</f>
        <v>60.159851570781079</v>
      </c>
      <c r="C306" s="831"/>
      <c r="D306" s="388">
        <f t="shared" si="102"/>
        <v>62.35669585060753</v>
      </c>
      <c r="E306" s="380">
        <f t="shared" si="125"/>
        <v>63.691391229854084</v>
      </c>
      <c r="F306" s="380">
        <f t="shared" si="103"/>
        <v>63.700510695426324</v>
      </c>
      <c r="G306" s="110">
        <f t="shared" si="126"/>
        <v>0.41072382218194797</v>
      </c>
      <c r="H306" s="409" t="b">
        <f>Wh_hp&gt;='2027'!Maxi_hp</f>
        <v>0</v>
      </c>
      <c r="I306" s="385">
        <f>IF(H306,Wh_hp,'2027'!Maxi_hp)</f>
        <v>63.744201053360378</v>
      </c>
      <c r="J306" s="85">
        <f>IF(H306,An,'2027'!An_max)</f>
        <v>2022</v>
      </c>
      <c r="K306" s="193">
        <f t="shared" si="104"/>
        <v>47044</v>
      </c>
      <c r="L306" s="143">
        <f>IF(t&lt;Tvie,1-EXP((T0-t)*PertePVj)+'2027'!Pspv,1-EXP((T0-t)*PertePVj)+Pspv)</f>
        <v>3.5230286817787615E-2</v>
      </c>
      <c r="M306" s="835"/>
      <c r="N306" s="835"/>
      <c r="O306" s="48">
        <f>IF(t&lt;Tnet,'2027'!Resal+('2027'!Salim-'2027'!Resal)*(1-EXP(('2027'!Tnet-t)/('2027'!Tau_j))),Resal+(Salim-Resal)*(1-EXP((Tnet-t)/(Tau_j))))*Salcycl</f>
        <v>2.0955663763565995E-2</v>
      </c>
      <c r="P306" s="165">
        <f>(INDEX(Models!$BJ306:$BT306,,T306)*(1-R306)+INDEX(Models!$BJ306:$BT306,,T306+1)*R306-ERP_i)*Q306*Ramure*Pc/MaxiM</f>
        <v>9.0252809462567707E-4</v>
      </c>
      <c r="Q306" s="301">
        <f t="shared" si="105"/>
        <v>0.5</v>
      </c>
      <c r="R306" s="173">
        <f t="shared" si="106"/>
        <v>0.48740519673846361</v>
      </c>
      <c r="S306" s="801">
        <f t="shared" si="107"/>
        <v>3</v>
      </c>
      <c r="T306" s="172">
        <f t="shared" si="108"/>
        <v>9</v>
      </c>
      <c r="U306" s="247">
        <f t="shared" si="109"/>
        <v>3.4874051967384636</v>
      </c>
      <c r="V306" s="378">
        <f t="shared" si="110"/>
        <v>146.36151692736991</v>
      </c>
      <c r="W306" s="397">
        <f t="shared" si="111"/>
        <v>60.159851570781079</v>
      </c>
      <c r="X306" s="153">
        <f t="shared" si="112"/>
        <v>47044</v>
      </c>
      <c r="Y306" s="380">
        <f t="shared" si="113"/>
        <v>58.073169818100048</v>
      </c>
      <c r="Z306" s="380">
        <f t="shared" si="114"/>
        <v>60.193815191970053</v>
      </c>
      <c r="AA306" s="381">
        <f t="shared" si="115"/>
        <v>63.691391229854084</v>
      </c>
      <c r="AB306" s="193">
        <f t="shared" si="116"/>
        <v>47044</v>
      </c>
      <c r="AC306" s="119">
        <f>IF(OR(t&lt;Tnet,NoTnet),'2027'!Resal_s+('2027'!Salim-'2027'!Resal_s)*(1-EXP(('2027'!Tnet_s-t)/'2027'!Tau_j)),Resal_s+(Salim-Resal_s)*(1-EXP((Tnet_s-t)/Tau_j)))*Salcycl</f>
        <v>5.4914423603367762E-2</v>
      </c>
      <c r="AD306" s="227">
        <f>(INDEX(Models!$BJ306:$BT306,,AH306)*(1-AF306)+INDEX(Models!$BJ306:$BT306,,AH306+1)*AF306-ERP_i)*AE306*Ramure*Pc/MaxiM</f>
        <v>9.0252809462567707E-4</v>
      </c>
      <c r="AE306" s="301">
        <f t="shared" si="117"/>
        <v>0.5</v>
      </c>
      <c r="AF306" s="173">
        <f t="shared" si="118"/>
        <v>0.48740519673846361</v>
      </c>
      <c r="AG306" s="801">
        <f t="shared" si="124"/>
        <v>3</v>
      </c>
      <c r="AH306" s="172">
        <f t="shared" si="119"/>
        <v>9</v>
      </c>
      <c r="AI306" s="221">
        <f t="shared" si="120"/>
        <v>3.4874051967384636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47045</v>
      </c>
      <c r="B307" s="406">
        <f>'2027'!Wh/'2027'!Env_an*'2028'!Env_an</f>
        <v>38.282356854643346</v>
      </c>
      <c r="C307" s="831"/>
      <c r="D307" s="388">
        <f t="shared" si="102"/>
        <v>39.680848592211383</v>
      </c>
      <c r="E307" s="380">
        <f t="shared" si="125"/>
        <v>40.532435807782839</v>
      </c>
      <c r="F307" s="380">
        <f t="shared" si="103"/>
        <v>40.532435807782839</v>
      </c>
      <c r="G307" s="110">
        <f t="shared" si="126"/>
        <v>0.26365872091903453</v>
      </c>
      <c r="H307" s="409" t="b">
        <f>Wh_hp&gt;='2027'!Maxi_hp</f>
        <v>0</v>
      </c>
      <c r="I307" s="385">
        <f>IF(H307,Wh_hp,'2027'!Maxi_hp)</f>
        <v>40.567878446480144</v>
      </c>
      <c r="J307" s="85">
        <f>IF(H307,An,'2027'!An_max)</f>
        <v>2022</v>
      </c>
      <c r="K307" s="193">
        <f t="shared" si="104"/>
        <v>47045</v>
      </c>
      <c r="L307" s="143">
        <f>IF(t&lt;Tvie,1-EXP((T0-t)*PertePVj)+'2027'!Pspv,1-EXP((T0-t)*PertePVj)+Pspv)</f>
        <v>3.5243493704984363E-2</v>
      </c>
      <c r="M307" s="835"/>
      <c r="N307" s="835"/>
      <c r="O307" s="48">
        <f>IF(t&lt;Tnet,'2027'!Resal+('2027'!Salim-'2027'!Resal)*(1-EXP(('2027'!Tnet-t)/('2027'!Tau_j))),Resal+(Salim-Resal)*(1-EXP((Tnet-t)/(Tau_j))))*Salcycl</f>
        <v>2.1010018238477941E-2</v>
      </c>
      <c r="P307" s="165">
        <f>(INDEX(Models!$BJ307:$BT307,,T307)*(1-R307)+INDEX(Models!$BJ307:$BT307,,T307+1)*R307-ERP_i)*Q307*Ramure*Pc/MaxiM</f>
        <v>9.67536042690212E-4</v>
      </c>
      <c r="Q307" s="301">
        <f t="shared" si="105"/>
        <v>0.5</v>
      </c>
      <c r="R307" s="173">
        <f t="shared" si="106"/>
        <v>0.48749696085145677</v>
      </c>
      <c r="S307" s="801">
        <f t="shared" si="107"/>
        <v>3</v>
      </c>
      <c r="T307" s="172">
        <f t="shared" si="108"/>
        <v>9</v>
      </c>
      <c r="U307" s="247">
        <f t="shared" si="109"/>
        <v>3.4874969608514568</v>
      </c>
      <c r="V307" s="378">
        <f t="shared" si="110"/>
        <v>145.05614364385806</v>
      </c>
      <c r="W307" s="397">
        <f t="shared" si="111"/>
        <v>38.282356854643346</v>
      </c>
      <c r="X307" s="153">
        <f t="shared" si="112"/>
        <v>47045</v>
      </c>
      <c r="Y307" s="380">
        <f t="shared" si="113"/>
        <v>36.95671872046384</v>
      </c>
      <c r="Z307" s="380">
        <f t="shared" si="114"/>
        <v>38.306783607389058</v>
      </c>
      <c r="AA307" s="381">
        <f t="shared" si="115"/>
        <v>40.532435807782839</v>
      </c>
      <c r="AB307" s="193">
        <f t="shared" si="116"/>
        <v>47045</v>
      </c>
      <c r="AC307" s="119">
        <f>IF(OR(t&lt;Tnet,NoTnet),'2027'!Resal_s+('2027'!Salim-'2027'!Resal_s)*(1-EXP(('2027'!Tnet_s-t)/'2027'!Tau_j)),Resal_s+(Salim-Resal_s)*(1-EXP((Tnet_s-t)/Tau_j)))*Salcycl</f>
        <v>5.4910398450971502E-2</v>
      </c>
      <c r="AD307" s="227">
        <f>(INDEX(Models!$BJ307:$BT307,,AH307)*(1-AF307)+INDEX(Models!$BJ307:$BT307,,AH307+1)*AF307-ERP_i)*AE307*Ramure*Pc/MaxiM</f>
        <v>9.67536042690212E-4</v>
      </c>
      <c r="AE307" s="301">
        <f t="shared" si="117"/>
        <v>0.5</v>
      </c>
      <c r="AF307" s="173">
        <f t="shared" si="118"/>
        <v>0.48749696085145677</v>
      </c>
      <c r="AG307" s="801">
        <f t="shared" si="124"/>
        <v>3</v>
      </c>
      <c r="AH307" s="172">
        <f t="shared" si="119"/>
        <v>9</v>
      </c>
      <c r="AI307" s="221">
        <f t="shared" si="120"/>
        <v>3.4874969608514568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47046</v>
      </c>
      <c r="B308" s="406">
        <f>'2027'!Wh/'2027'!Env_an*'2028'!Env_an</f>
        <v>62.375424939587418</v>
      </c>
      <c r="C308" s="831"/>
      <c r="D308" s="388">
        <f t="shared" si="102"/>
        <v>64.654944964308953</v>
      </c>
      <c r="E308" s="380">
        <f t="shared" si="125"/>
        <v>66.046140285187491</v>
      </c>
      <c r="F308" s="380">
        <f t="shared" si="103"/>
        <v>66.059297104511586</v>
      </c>
      <c r="G308" s="110">
        <f t="shared" si="126"/>
        <v>0.43355699524280844</v>
      </c>
      <c r="H308" s="409" t="b">
        <f>Wh_hp&gt;='2027'!Maxi_hp</f>
        <v>0</v>
      </c>
      <c r="I308" s="385">
        <f>IF(H308,Wh_hp,'2027'!Maxi_hp)</f>
        <v>66.109579565729476</v>
      </c>
      <c r="J308" s="85">
        <f>IF(H308,An,'2027'!An_max)</f>
        <v>2022</v>
      </c>
      <c r="K308" s="193">
        <f t="shared" si="104"/>
        <v>47046</v>
      </c>
      <c r="L308" s="143">
        <f>IF(t&lt;Tvie,1-EXP((T0-t)*PertePVj)+'2027'!Pspv,1-EXP((T0-t)*PertePVj)+Pspv)</f>
        <v>3.5256700411389841E-2</v>
      </c>
      <c r="M308" s="835"/>
      <c r="N308" s="835"/>
      <c r="O308" s="48">
        <f>IF(t&lt;Tnet,'2027'!Resal+('2027'!Salim-'2027'!Resal)*(1-EXP(('2027'!Tnet-t)/('2027'!Tau_j))),Resal+(Salim-Resal)*(1-EXP((Tnet-t)/(Tau_j))))*Salcycl</f>
        <v>2.1063991247200039E-2</v>
      </c>
      <c r="P308" s="165">
        <f>(INDEX(Models!$BJ308:$BT308,,T308)*(1-R308)+INDEX(Models!$BJ308:$BT308,,T308+1)*R308-ERP_i)*Q308*Ramure*Pc/MaxiM</f>
        <v>1.0410267197610422E-3</v>
      </c>
      <c r="Q308" s="301">
        <f t="shared" si="105"/>
        <v>0.5</v>
      </c>
      <c r="R308" s="173">
        <f t="shared" si="106"/>
        <v>0.48758506204674212</v>
      </c>
      <c r="S308" s="801">
        <f t="shared" si="107"/>
        <v>3</v>
      </c>
      <c r="T308" s="172">
        <f t="shared" si="108"/>
        <v>9</v>
      </c>
      <c r="U308" s="247">
        <f t="shared" si="109"/>
        <v>3.4875850620467421</v>
      </c>
      <c r="V308" s="378">
        <f t="shared" si="110"/>
        <v>143.74788965018394</v>
      </c>
      <c r="W308" s="397">
        <f t="shared" si="111"/>
        <v>62.375424939587418</v>
      </c>
      <c r="X308" s="153">
        <f t="shared" si="112"/>
        <v>47046</v>
      </c>
      <c r="Y308" s="380">
        <f t="shared" si="113"/>
        <v>60.219112166029028</v>
      </c>
      <c r="Z308" s="380">
        <f t="shared" si="114"/>
        <v>62.419829390582876</v>
      </c>
      <c r="AA308" s="381">
        <f t="shared" si="115"/>
        <v>66.046140285187491</v>
      </c>
      <c r="AB308" s="193">
        <f t="shared" si="116"/>
        <v>47046</v>
      </c>
      <c r="AC308" s="119">
        <f>IF(OR(t&lt;Tnet,NoTnet),'2027'!Resal_s+('2027'!Salim-'2027'!Resal_s)*(1-EXP(('2027'!Tnet_s-t)/'2027'!Tau_j)),Resal_s+(Salim-Resal_s)*(1-EXP((Tnet_s-t)/Tau_j)))*Salcycl</f>
        <v>5.4905720136652861E-2</v>
      </c>
      <c r="AD308" s="227">
        <f>(INDEX(Models!$BJ308:$BT308,,AH308)*(1-AF308)+INDEX(Models!$BJ308:$BT308,,AH308+1)*AF308-ERP_i)*AE308*Ramure*Pc/MaxiM</f>
        <v>1.0410267197610422E-3</v>
      </c>
      <c r="AE308" s="301">
        <f t="shared" si="117"/>
        <v>0.5</v>
      </c>
      <c r="AF308" s="173">
        <f t="shared" si="118"/>
        <v>0.48758506204674212</v>
      </c>
      <c r="AG308" s="801">
        <f t="shared" si="124"/>
        <v>3</v>
      </c>
      <c r="AH308" s="172">
        <f t="shared" si="119"/>
        <v>9</v>
      </c>
      <c r="AI308" s="221">
        <f t="shared" si="120"/>
        <v>3.4875850620467421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47047</v>
      </c>
      <c r="B309" s="406">
        <f>'2027'!Wh/'2027'!Env_an*'2028'!Env_an</f>
        <v>130.72379631213764</v>
      </c>
      <c r="C309" s="831"/>
      <c r="D309" s="388">
        <f t="shared" si="102"/>
        <v>135.50297357999162</v>
      </c>
      <c r="E309" s="380">
        <f t="shared" si="125"/>
        <v>138.42620194077415</v>
      </c>
      <c r="F309" s="380">
        <f t="shared" si="103"/>
        <v>138.56353520416874</v>
      </c>
      <c r="G309" s="110">
        <f t="shared" si="126"/>
        <v>0.91763930598787247</v>
      </c>
      <c r="H309" s="409" t="b">
        <f>Wh_hp&gt;='2027'!Maxi_hp</f>
        <v>0</v>
      </c>
      <c r="I309" s="385">
        <f>IF(H309,Wh_hp,'2027'!Maxi_hp)</f>
        <v>138.58007051254708</v>
      </c>
      <c r="J309" s="85">
        <f>IF(H309,An,'2027'!An_max)</f>
        <v>2022</v>
      </c>
      <c r="K309" s="193">
        <f t="shared" si="104"/>
        <v>47047</v>
      </c>
      <c r="L309" s="143">
        <f>IF(t&lt;Tvie,1-EXP((T0-t)*PertePVj)+'2027'!Pspv,1-EXP((T0-t)*PertePVj)+Pspv)</f>
        <v>3.5269906937006712E-2</v>
      </c>
      <c r="M309" s="835"/>
      <c r="N309" s="835"/>
      <c r="O309" s="48">
        <f>IF(t&lt;Tnet,'2027'!Resal+('2027'!Salim-'2027'!Resal)*(1-EXP(('2027'!Tnet-t)/('2027'!Tau_j))),Resal+(Salim-Resal)*(1-EXP((Tnet-t)/(Tau_j))))*Salcycl</f>
        <v>2.1117594211197376E-2</v>
      </c>
      <c r="P309" s="165">
        <f>(INDEX(Models!$BJ309:$BT309,,T309)*(1-R309)+INDEX(Models!$BJ309:$BT309,,T309+1)*R309-ERP_i)*Q309*Ramure*Pc/MaxiM</f>
        <v>1.1230644403587941E-3</v>
      </c>
      <c r="Q309" s="301">
        <f t="shared" si="105"/>
        <v>0.5</v>
      </c>
      <c r="R309" s="173">
        <f t="shared" si="106"/>
        <v>0.48766964531258816</v>
      </c>
      <c r="S309" s="801">
        <f t="shared" si="107"/>
        <v>3</v>
      </c>
      <c r="T309" s="172">
        <f t="shared" si="108"/>
        <v>9</v>
      </c>
      <c r="U309" s="247">
        <f t="shared" si="109"/>
        <v>3.4876696453125882</v>
      </c>
      <c r="V309" s="378">
        <f t="shared" si="110"/>
        <v>142.4378077876442</v>
      </c>
      <c r="W309" s="397">
        <f t="shared" si="111"/>
        <v>130.72379631213764</v>
      </c>
      <c r="X309" s="153">
        <f t="shared" si="112"/>
        <v>47047</v>
      </c>
      <c r="Y309" s="380">
        <f t="shared" si="113"/>
        <v>126.21230490545597</v>
      </c>
      <c r="Z309" s="380">
        <f t="shared" si="114"/>
        <v>130.82654497149056</v>
      </c>
      <c r="AA309" s="381">
        <f t="shared" si="115"/>
        <v>138.42620194077415</v>
      </c>
      <c r="AB309" s="193">
        <f t="shared" si="116"/>
        <v>47047</v>
      </c>
      <c r="AC309" s="119">
        <f>IF(OR(t&lt;Tnet,NoTnet),'2027'!Resal_s+('2027'!Salim-'2027'!Resal_s)*(1-EXP(('2027'!Tnet_s-t)/'2027'!Tau_j)),Resal_s+(Salim-Resal_s)*(1-EXP((Tnet_s-t)/Tau_j)))*Salcycl</f>
        <v>5.4900422483130221E-2</v>
      </c>
      <c r="AD309" s="227">
        <f>(INDEX(Models!$BJ309:$BT309,,AH309)*(1-AF309)+INDEX(Models!$BJ309:$BT309,,AH309+1)*AF309-ERP_i)*AE309*Ramure*Pc/MaxiM</f>
        <v>1.1230644403587941E-3</v>
      </c>
      <c r="AE309" s="301">
        <f t="shared" si="117"/>
        <v>0.5</v>
      </c>
      <c r="AF309" s="173">
        <f t="shared" si="118"/>
        <v>0.48766964531258816</v>
      </c>
      <c r="AG309" s="801">
        <f t="shared" si="124"/>
        <v>3</v>
      </c>
      <c r="AH309" s="172">
        <f t="shared" si="119"/>
        <v>9</v>
      </c>
      <c r="AI309" s="221">
        <f t="shared" si="120"/>
        <v>3.4876696453125882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47048</v>
      </c>
      <c r="B310" s="406">
        <f>'2027'!Wh/'2027'!Env_an*'2028'!Env_an</f>
        <v>79.386967759742518</v>
      </c>
      <c r="C310" s="831"/>
      <c r="D310" s="388">
        <f t="shared" si="102"/>
        <v>82.290430335273101</v>
      </c>
      <c r="E310" s="380">
        <f t="shared" si="125"/>
        <v>84.070268516845005</v>
      </c>
      <c r="F310" s="380">
        <f t="shared" si="103"/>
        <v>84.108719553436075</v>
      </c>
      <c r="G310" s="110">
        <f t="shared" si="126"/>
        <v>0.56209589585668895</v>
      </c>
      <c r="H310" s="409" t="b">
        <f>Wh_hp&gt;='2027'!Maxi_hp</f>
        <v>0</v>
      </c>
      <c r="I310" s="385">
        <f>IF(H310,Wh_hp,'2027'!Maxi_hp)</f>
        <v>84.166642562822275</v>
      </c>
      <c r="J310" s="85">
        <f>IF(H310,An,'2027'!An_max)</f>
        <v>2022</v>
      </c>
      <c r="K310" s="193">
        <f t="shared" si="104"/>
        <v>47048</v>
      </c>
      <c r="L310" s="143">
        <f>IF(t&lt;Tvie,1-EXP((T0-t)*PertePVj)+'2027'!Pspv,1-EXP((T0-t)*PertePVj)+Pspv)</f>
        <v>3.5283113281837308E-2</v>
      </c>
      <c r="M310" s="835"/>
      <c r="N310" s="835"/>
      <c r="O310" s="48">
        <f>IF(t&lt;Tnet,'2027'!Resal+('2027'!Salim-'2027'!Resal)*(1-EXP(('2027'!Tnet-t)/('2027'!Tau_j))),Resal+(Salim-Resal)*(1-EXP((Tnet-t)/(Tau_j))))*Salcycl</f>
        <v>2.1170839738846314E-2</v>
      </c>
      <c r="P310" s="165">
        <f>(INDEX(Models!$BJ310:$BT310,,T310)*(1-R310)+INDEX(Models!$BJ310:$BT310,,T310+1)*R310-ERP_i)*Q310*Ramure*Pc/MaxiM</f>
        <v>1.2189755971924675E-3</v>
      </c>
      <c r="Q310" s="301">
        <f t="shared" si="105"/>
        <v>0.5</v>
      </c>
      <c r="R310" s="173">
        <f t="shared" si="106"/>
        <v>0.48775084999440965</v>
      </c>
      <c r="S310" s="801">
        <f t="shared" si="107"/>
        <v>3</v>
      </c>
      <c r="T310" s="172">
        <f t="shared" si="108"/>
        <v>9</v>
      </c>
      <c r="U310" s="247">
        <f t="shared" si="109"/>
        <v>3.4877508499944097</v>
      </c>
      <c r="V310" s="378">
        <f t="shared" si="110"/>
        <v>141.12620702920418</v>
      </c>
      <c r="W310" s="397">
        <f t="shared" si="111"/>
        <v>79.386967759742518</v>
      </c>
      <c r="X310" s="153">
        <f t="shared" si="112"/>
        <v>47048</v>
      </c>
      <c r="Y310" s="380">
        <f t="shared" si="113"/>
        <v>76.651840350152341</v>
      </c>
      <c r="Z310" s="380">
        <f t="shared" si="114"/>
        <v>79.455269629322657</v>
      </c>
      <c r="AA310" s="381">
        <f t="shared" si="115"/>
        <v>84.070268516845005</v>
      </c>
      <c r="AB310" s="193">
        <f t="shared" si="116"/>
        <v>47048</v>
      </c>
      <c r="AC310" s="119">
        <f>IF(OR(t&lt;Tnet,NoTnet),'2027'!Resal_s+('2027'!Salim-'2027'!Resal_s)*(1-EXP(('2027'!Tnet_s-t)/'2027'!Tau_j)),Resal_s+(Salim-Resal_s)*(1-EXP((Tnet_s-t)/Tau_j)))*Salcycl</f>
        <v>5.4894542017522523E-2</v>
      </c>
      <c r="AD310" s="227">
        <f>(INDEX(Models!$BJ310:$BT310,,AH310)*(1-AF310)+INDEX(Models!$BJ310:$BT310,,AH310+1)*AF310-ERP_i)*AE310*Ramure*Pc/MaxiM</f>
        <v>1.2189755971924675E-3</v>
      </c>
      <c r="AE310" s="301">
        <f t="shared" si="117"/>
        <v>0.5</v>
      </c>
      <c r="AF310" s="173">
        <f t="shared" si="118"/>
        <v>0.48775084999440965</v>
      </c>
      <c r="AG310" s="801">
        <f t="shared" si="124"/>
        <v>3</v>
      </c>
      <c r="AH310" s="172">
        <f t="shared" si="119"/>
        <v>9</v>
      </c>
      <c r="AI310" s="221">
        <f t="shared" si="120"/>
        <v>3.4877508499944097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47049</v>
      </c>
      <c r="B311" s="406">
        <f>'2027'!Wh/'2027'!Env_an*'2028'!Env_an</f>
        <v>102.10532334280889</v>
      </c>
      <c r="C311" s="831"/>
      <c r="D311" s="388">
        <f t="shared" si="102"/>
        <v>105.84112551966282</v>
      </c>
      <c r="E311" s="380">
        <f t="shared" si="125"/>
        <v>108.13617985888303</v>
      </c>
      <c r="F311" s="380">
        <f t="shared" si="103"/>
        <v>108.22451330423924</v>
      </c>
      <c r="G311" s="110">
        <f t="shared" si="126"/>
        <v>0.72991848245917779</v>
      </c>
      <c r="H311" s="409" t="b">
        <f>Wh_hp&gt;='2027'!Maxi_hp</f>
        <v>0</v>
      </c>
      <c r="I311" s="385">
        <f>IF(H311,Wh_hp,'2027'!Maxi_hp)</f>
        <v>108.27450579494256</v>
      </c>
      <c r="J311" s="85">
        <f>IF(H311,An,'2027'!An_max)</f>
        <v>2022</v>
      </c>
      <c r="K311" s="193">
        <f t="shared" si="104"/>
        <v>47049</v>
      </c>
      <c r="L311" s="143">
        <f>IF(t&lt;Tvie,1-EXP((T0-t)*PertePVj)+'2027'!Pspv,1-EXP((T0-t)*PertePVj)+Pspv)</f>
        <v>3.5296319445884183E-2</v>
      </c>
      <c r="M311" s="835"/>
      <c r="N311" s="835"/>
      <c r="O311" s="48">
        <f>IF(t&lt;Tnet,'2027'!Resal+('2027'!Salim-'2027'!Resal)*(1-EXP(('2027'!Tnet-t)/('2027'!Tau_j))),Resal+(Salim-Resal)*(1-EXP((Tnet-t)/(Tau_j))))*Salcycl</f>
        <v>2.1223741602627626E-2</v>
      </c>
      <c r="P311" s="165">
        <f>(INDEX(Models!$BJ311:$BT311,,T311)*(1-R311)+INDEX(Models!$BJ311:$BT311,,T311+1)*R311-ERP_i)*Q311*Ramure*Pc/MaxiM</f>
        <v>1.3278037446933081E-3</v>
      </c>
      <c r="Q311" s="301">
        <f t="shared" si="105"/>
        <v>0.5</v>
      </c>
      <c r="R311" s="173">
        <f t="shared" si="106"/>
        <v>0.48782881000680245</v>
      </c>
      <c r="S311" s="801">
        <f t="shared" si="107"/>
        <v>3</v>
      </c>
      <c r="T311" s="172">
        <f t="shared" si="108"/>
        <v>9</v>
      </c>
      <c r="U311" s="247">
        <f t="shared" si="109"/>
        <v>3.4878288100068024</v>
      </c>
      <c r="V311" s="378">
        <f t="shared" si="110"/>
        <v>139.81430286042007</v>
      </c>
      <c r="W311" s="397">
        <f t="shared" si="111"/>
        <v>102.10532334280889</v>
      </c>
      <c r="X311" s="153">
        <f t="shared" si="112"/>
        <v>47049</v>
      </c>
      <c r="Y311" s="380">
        <f t="shared" si="113"/>
        <v>98.59347679427006</v>
      </c>
      <c r="Z311" s="380">
        <f t="shared" si="114"/>
        <v>102.20078847179165</v>
      </c>
      <c r="AA311" s="381">
        <f t="shared" si="115"/>
        <v>108.13617985888303</v>
      </c>
      <c r="AB311" s="193">
        <f t="shared" si="116"/>
        <v>47049</v>
      </c>
      <c r="AC311" s="119">
        <f>IF(OR(t&lt;Tnet,NoTnet),'2027'!Resal_s+('2027'!Salim-'2027'!Resal_s)*(1-EXP(('2027'!Tnet_s-t)/'2027'!Tau_j)),Resal_s+(Salim-Resal_s)*(1-EXP((Tnet_s-t)/Tau_j)))*Salcycl</f>
        <v>5.488811787911331E-2</v>
      </c>
      <c r="AD311" s="227">
        <f>(INDEX(Models!$BJ311:$BT311,,AH311)*(1-AF311)+INDEX(Models!$BJ311:$BT311,,AH311+1)*AF311-ERP_i)*AE311*Ramure*Pc/MaxiM</f>
        <v>1.3278037446933081E-3</v>
      </c>
      <c r="AE311" s="301">
        <f t="shared" si="117"/>
        <v>0.5</v>
      </c>
      <c r="AF311" s="173">
        <f t="shared" si="118"/>
        <v>0.48782881000680245</v>
      </c>
      <c r="AG311" s="801">
        <f t="shared" si="124"/>
        <v>3</v>
      </c>
      <c r="AH311" s="172">
        <f t="shared" si="119"/>
        <v>9</v>
      </c>
      <c r="AI311" s="221">
        <f t="shared" si="120"/>
        <v>3.4878288100068024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47050</v>
      </c>
      <c r="B312" s="406">
        <f>'2027'!Wh/'2027'!Env_an*'2028'!Env_an</f>
        <v>88.290313797175358</v>
      </c>
      <c r="C312" s="831"/>
      <c r="D312" s="388">
        <f t="shared" si="102"/>
        <v>91.521908969249395</v>
      </c>
      <c r="E312" s="380">
        <f t="shared" si="125"/>
        <v>93.511488834560737</v>
      </c>
      <c r="F312" s="380">
        <f t="shared" si="103"/>
        <v>93.576885830873991</v>
      </c>
      <c r="G312" s="110">
        <f t="shared" si="126"/>
        <v>0.63698171902602463</v>
      </c>
      <c r="H312" s="409" t="b">
        <f>Wh_hp&gt;='2027'!Maxi_hp</f>
        <v>0</v>
      </c>
      <c r="I312" s="385">
        <f>IF(H312,Wh_hp,'2027'!Maxi_hp)</f>
        <v>93.640209590302121</v>
      </c>
      <c r="J312" s="85">
        <f>IF(H312,An,'2027'!An_max)</f>
        <v>2022</v>
      </c>
      <c r="K312" s="193">
        <f t="shared" si="104"/>
        <v>47050</v>
      </c>
      <c r="L312" s="143">
        <f>IF(t&lt;Tvie,1-EXP((T0-t)*PertePVj)+'2027'!Pspv,1-EXP((T0-t)*PertePVj)+Pspv)</f>
        <v>3.5309525429149669E-2</v>
      </c>
      <c r="M312" s="835"/>
      <c r="N312" s="835"/>
      <c r="O312" s="48">
        <f>IF(t&lt;Tnet,'2027'!Resal+('2027'!Salim-'2027'!Resal)*(1-EXP(('2027'!Tnet-t)/('2027'!Tau_j))),Resal+(Salim-Resal)*(1-EXP((Tnet-t)/(Tau_j))))*Salcycl</f>
        <v>2.1276314708573132E-2</v>
      </c>
      <c r="P312" s="165">
        <f>(INDEX(Models!$BJ312:$BT312,,T312)*(1-R312)+INDEX(Models!$BJ312:$BT312,,T312+1)*R312-ERP_i)*Q312*Ramure*Pc/MaxiM</f>
        <v>1.4496531625502818E-3</v>
      </c>
      <c r="Q312" s="301">
        <f t="shared" si="105"/>
        <v>0.5</v>
      </c>
      <c r="R312" s="173">
        <f t="shared" si="106"/>
        <v>0.48790365403821045</v>
      </c>
      <c r="S312" s="801">
        <f t="shared" si="107"/>
        <v>3</v>
      </c>
      <c r="T312" s="172">
        <f t="shared" si="108"/>
        <v>9</v>
      </c>
      <c r="U312" s="247">
        <f t="shared" si="109"/>
        <v>3.4879036540382105</v>
      </c>
      <c r="V312" s="378">
        <f t="shared" si="110"/>
        <v>138.50315778612088</v>
      </c>
      <c r="W312" s="397">
        <f t="shared" si="111"/>
        <v>88.290313797175358</v>
      </c>
      <c r="X312" s="153">
        <f t="shared" si="112"/>
        <v>47050</v>
      </c>
      <c r="Y312" s="380">
        <f t="shared" si="113"/>
        <v>85.258829855330134</v>
      </c>
      <c r="Z312" s="380">
        <f t="shared" si="114"/>
        <v>88.379466888856925</v>
      </c>
      <c r="AA312" s="381">
        <f t="shared" si="115"/>
        <v>93.511488834560737</v>
      </c>
      <c r="AB312" s="193">
        <f t="shared" si="116"/>
        <v>47050</v>
      </c>
      <c r="AC312" s="119">
        <f>IF(OR(t&lt;Tnet,NoTnet),'2027'!Resal_s+('2027'!Salim-'2027'!Resal_s)*(1-EXP(('2027'!Tnet_s-t)/'2027'!Tau_j)),Resal_s+(Salim-Resal_s)*(1-EXP((Tnet_s-t)/Tau_j)))*Salcycl</f>
        <v>5.4881191708789065E-2</v>
      </c>
      <c r="AD312" s="227">
        <f>(INDEX(Models!$BJ312:$BT312,,AH312)*(1-AF312)+INDEX(Models!$BJ312:$BT312,,AH312+1)*AF312-ERP_i)*AE312*Ramure*Pc/MaxiM</f>
        <v>1.4496531625502818E-3</v>
      </c>
      <c r="AE312" s="301">
        <f t="shared" si="117"/>
        <v>0.5</v>
      </c>
      <c r="AF312" s="173">
        <f t="shared" si="118"/>
        <v>0.48790365403821045</v>
      </c>
      <c r="AG312" s="801">
        <f t="shared" si="124"/>
        <v>3</v>
      </c>
      <c r="AH312" s="172">
        <f t="shared" si="119"/>
        <v>9</v>
      </c>
      <c r="AI312" s="221">
        <f t="shared" si="120"/>
        <v>3.4879036540382105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47051</v>
      </c>
      <c r="B313" s="406">
        <f>'2027'!Wh/'2027'!Env_an*'2028'!Env_an</f>
        <v>58.300674888565716</v>
      </c>
      <c r="C313" s="831"/>
      <c r="D313" s="388">
        <f t="shared" si="102"/>
        <v>60.435418948971588</v>
      </c>
      <c r="E313" s="380">
        <f t="shared" si="125"/>
        <v>61.752512036972135</v>
      </c>
      <c r="F313" s="380">
        <f t="shared" si="103"/>
        <v>61.769984092301371</v>
      </c>
      <c r="G313" s="110">
        <f t="shared" si="126"/>
        <v>0.42439778545225182</v>
      </c>
      <c r="H313" s="409" t="b">
        <f>Wh_hp&gt;='2027'!Maxi_hp</f>
        <v>0</v>
      </c>
      <c r="I313" s="385">
        <f>IF(H313,Wh_hp,'2027'!Maxi_hp)</f>
        <v>61.842299177452915</v>
      </c>
      <c r="J313" s="85">
        <f>IF(H313,An,'2027'!An_max)</f>
        <v>2022</v>
      </c>
      <c r="K313" s="193">
        <f t="shared" si="104"/>
        <v>47051</v>
      </c>
      <c r="L313" s="143">
        <f>IF(t&lt;Tvie,1-EXP((T0-t)*PertePVj)+'2027'!Pspv,1-EXP((T0-t)*PertePVj)+Pspv)</f>
        <v>3.5322731231636428E-2</v>
      </c>
      <c r="M313" s="835"/>
      <c r="N313" s="835"/>
      <c r="O313" s="48">
        <f>IF(t&lt;Tnet,'2027'!Resal+('2027'!Salim-'2027'!Resal)*(1-EXP(('2027'!Tnet-t)/('2027'!Tau_j))),Resal+(Salim-Resal)*(1-EXP((Tnet-t)/(Tau_j))))*Salcycl</f>
        <v>2.1328575057999018E-2</v>
      </c>
      <c r="P313" s="165">
        <f>(INDEX(Models!$BJ313:$BT313,,T313)*(1-R313)+INDEX(Models!$BJ313:$BT313,,T313+1)*R313-ERP_i)*Q313*Ramure*Pc/MaxiM</f>
        <v>1.5846172188436216E-3</v>
      </c>
      <c r="Q313" s="301">
        <f t="shared" si="105"/>
        <v>0.5</v>
      </c>
      <c r="R313" s="173">
        <f t="shared" si="106"/>
        <v>0.48797550574844006</v>
      </c>
      <c r="S313" s="801">
        <f t="shared" si="107"/>
        <v>3</v>
      </c>
      <c r="T313" s="172">
        <f t="shared" si="108"/>
        <v>9</v>
      </c>
      <c r="U313" s="247">
        <f t="shared" si="109"/>
        <v>3.4879755057484401</v>
      </c>
      <c r="V313" s="378">
        <f t="shared" si="110"/>
        <v>137.19383534965914</v>
      </c>
      <c r="W313" s="397">
        <f t="shared" si="111"/>
        <v>58.300674888565716</v>
      </c>
      <c r="X313" s="153">
        <f t="shared" si="112"/>
        <v>47051</v>
      </c>
      <c r="Y313" s="380">
        <f t="shared" si="113"/>
        <v>56.302343638650242</v>
      </c>
      <c r="Z313" s="380">
        <f t="shared" si="114"/>
        <v>58.363916577544494</v>
      </c>
      <c r="AA313" s="381">
        <f t="shared" si="115"/>
        <v>61.752512036972135</v>
      </c>
      <c r="AB313" s="193">
        <f t="shared" si="116"/>
        <v>47051</v>
      </c>
      <c r="AC313" s="119">
        <f>IF(OR(t&lt;Tnet,NoTnet),'2027'!Resal_s+('2027'!Salim-'2027'!Resal_s)*(1-EXP(('2027'!Tnet_s-t)/'2027'!Tau_j)),Resal_s+(Salim-Resal_s)*(1-EXP((Tnet_s-t)/Tau_j)))*Salcycl</f>
        <v>5.4873807520556254E-2</v>
      </c>
      <c r="AD313" s="227">
        <f>(INDEX(Models!$BJ313:$BT313,,AH313)*(1-AF313)+INDEX(Models!$BJ313:$BT313,,AH313+1)*AF313-ERP_i)*AE313*Ramure*Pc/MaxiM</f>
        <v>1.5846172188436216E-3</v>
      </c>
      <c r="AE313" s="301">
        <f t="shared" si="117"/>
        <v>0.5</v>
      </c>
      <c r="AF313" s="173">
        <f t="shared" si="118"/>
        <v>0.48797550574844006</v>
      </c>
      <c r="AG313" s="801">
        <f t="shared" si="124"/>
        <v>3</v>
      </c>
      <c r="AH313" s="172">
        <f t="shared" si="119"/>
        <v>9</v>
      </c>
      <c r="AI313" s="221">
        <f t="shared" si="120"/>
        <v>3.4879755057484401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47052</v>
      </c>
      <c r="B314" s="406">
        <f>'2027'!Wh/'2027'!Env_an*'2028'!Env_an</f>
        <v>52.317834079499512</v>
      </c>
      <c r="C314" s="831"/>
      <c r="D314" s="388">
        <f t="shared" si="102"/>
        <v>54.234252190180207</v>
      </c>
      <c r="E314" s="380">
        <f t="shared" si="125"/>
        <v>55.419143385565256</v>
      </c>
      <c r="F314" s="380">
        <f t="shared" si="103"/>
        <v>55.430807764661644</v>
      </c>
      <c r="G314" s="110">
        <f t="shared" si="126"/>
        <v>0.38442248096003923</v>
      </c>
      <c r="H314" s="409" t="b">
        <f>Wh_hp&gt;='2027'!Maxi_hp</f>
        <v>0</v>
      </c>
      <c r="I314" s="385">
        <f>IF(H314,Wh_hp,'2027'!Maxi_hp)</f>
        <v>55.506514695537248</v>
      </c>
      <c r="J314" s="85">
        <f>IF(H314,An,'2027'!An_max)</f>
        <v>2022</v>
      </c>
      <c r="K314" s="193">
        <f t="shared" si="104"/>
        <v>47052</v>
      </c>
      <c r="L314" s="143">
        <f>IF(t&lt;Tvie,1-EXP((T0-t)*PertePVj)+'2027'!Pspv,1-EXP((T0-t)*PertePVj)+Pspv)</f>
        <v>3.5335936853346794E-2</v>
      </c>
      <c r="M314" s="835"/>
      <c r="N314" s="835"/>
      <c r="O314" s="48">
        <f>IF(t&lt;Tnet,'2027'!Resal+('2027'!Salim-'2027'!Resal)*(1-EXP(('2027'!Tnet-t)/('2027'!Tau_j))),Resal+(Salim-Resal)*(1-EXP((Tnet-t)/(Tau_j))))*Salcycl</f>
        <v>2.1380539701623593E-2</v>
      </c>
      <c r="P314" s="165">
        <f>(INDEX(Models!$BJ314:$BT314,,T314)*(1-R314)+INDEX(Models!$BJ314:$BT314,,T314+1)*R314-ERP_i)*Q314*Ramure*Pc/MaxiM</f>
        <v>1.7327861187341758E-3</v>
      </c>
      <c r="Q314" s="301">
        <f t="shared" si="105"/>
        <v>0.5</v>
      </c>
      <c r="R314" s="173">
        <f t="shared" si="106"/>
        <v>0.48804448395921751</v>
      </c>
      <c r="S314" s="801">
        <f t="shared" si="107"/>
        <v>3</v>
      </c>
      <c r="T314" s="172">
        <f t="shared" si="108"/>
        <v>9</v>
      </c>
      <c r="U314" s="247">
        <f t="shared" si="109"/>
        <v>3.4880444839592175</v>
      </c>
      <c r="V314" s="378">
        <f t="shared" si="110"/>
        <v>135.88739888639364</v>
      </c>
      <c r="W314" s="397">
        <f t="shared" si="111"/>
        <v>52.317834079499512</v>
      </c>
      <c r="X314" s="153">
        <f t="shared" si="112"/>
        <v>47052</v>
      </c>
      <c r="Y314" s="380">
        <f t="shared" si="113"/>
        <v>50.527672089464119</v>
      </c>
      <c r="Z314" s="380">
        <f t="shared" si="114"/>
        <v>52.378516024166061</v>
      </c>
      <c r="AA314" s="381">
        <f t="shared" si="115"/>
        <v>55.419143385565256</v>
      </c>
      <c r="AB314" s="193">
        <f t="shared" si="116"/>
        <v>47052</v>
      </c>
      <c r="AC314" s="119">
        <f>IF(OR(t&lt;Tnet,NoTnet),'2027'!Resal_s+('2027'!Salim-'2027'!Resal_s)*(1-EXP(('2027'!Tnet_s-t)/'2027'!Tau_j)),Resal_s+(Salim-Resal_s)*(1-EXP((Tnet_s-t)/Tau_j)))*Salcycl</f>
        <v>5.4866011555696023E-2</v>
      </c>
      <c r="AD314" s="227">
        <f>(INDEX(Models!$BJ314:$BT314,,AH314)*(1-AF314)+INDEX(Models!$BJ314:$BT314,,AH314+1)*AF314-ERP_i)*AE314*Ramure*Pc/MaxiM</f>
        <v>1.7327861187341758E-3</v>
      </c>
      <c r="AE314" s="301">
        <f t="shared" si="117"/>
        <v>0.5</v>
      </c>
      <c r="AF314" s="173">
        <f t="shared" si="118"/>
        <v>0.48804448395921751</v>
      </c>
      <c r="AG314" s="801">
        <f t="shared" si="124"/>
        <v>3</v>
      </c>
      <c r="AH314" s="172">
        <f t="shared" si="119"/>
        <v>9</v>
      </c>
      <c r="AI314" s="221">
        <f t="shared" si="120"/>
        <v>3.4880444839592175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47053</v>
      </c>
      <c r="B315" s="406">
        <f>'2027'!Wh/'2027'!Env_an*'2028'!Env_an</f>
        <v>69.030360591589385</v>
      </c>
      <c r="C315" s="831"/>
      <c r="D315" s="388">
        <f t="shared" si="102"/>
        <v>71.55994320656923</v>
      </c>
      <c r="E315" s="380">
        <f t="shared" si="125"/>
        <v>73.127222414286706</v>
      </c>
      <c r="F315" s="380">
        <f t="shared" si="103"/>
        <v>73.169379467945234</v>
      </c>
      <c r="G315" s="110">
        <f t="shared" si="126"/>
        <v>0.51223661859229153</v>
      </c>
      <c r="H315" s="409" t="b">
        <f>Wh_hp&gt;='2027'!Maxi_hp</f>
        <v>0</v>
      </c>
      <c r="I315" s="385">
        <f>IF(H315,Wh_hp,'2027'!Maxi_hp)</f>
        <v>73.255686968497727</v>
      </c>
      <c r="J315" s="85">
        <f>IF(H315,An,'2027'!An_max)</f>
        <v>2022</v>
      </c>
      <c r="K315" s="193">
        <f t="shared" si="104"/>
        <v>47053</v>
      </c>
      <c r="L315" s="143">
        <f>IF(t&lt;Tvie,1-EXP((T0-t)*PertePVj)+'2027'!Pspv,1-EXP((T0-t)*PertePVj)+Pspv)</f>
        <v>3.534914229428332E-2</v>
      </c>
      <c r="M315" s="835"/>
      <c r="N315" s="835"/>
      <c r="O315" s="48">
        <f>IF(t&lt;Tnet,'2027'!Resal+('2027'!Salim-'2027'!Resal)*(1-EXP(('2027'!Tnet-t)/('2027'!Tau_j))),Resal+(Salim-Resal)*(1-EXP((Tnet-t)/(Tau_j))))*Salcycl</f>
        <v>2.143222668623164E-2</v>
      </c>
      <c r="P315" s="165">
        <f>(INDEX(Models!$BJ315:$BT315,,T315)*(1-R315)+INDEX(Models!$BJ315:$BT315,,T315+1)*R315-ERP_i)*Q315*Ramure*Pc/MaxiM</f>
        <v>1.8942469153964557E-3</v>
      </c>
      <c r="Q315" s="301">
        <f t="shared" si="105"/>
        <v>0.5</v>
      </c>
      <c r="R315" s="173">
        <f t="shared" si="106"/>
        <v>0.48811070283799962</v>
      </c>
      <c r="S315" s="801">
        <f t="shared" si="107"/>
        <v>3</v>
      </c>
      <c r="T315" s="172">
        <f t="shared" si="108"/>
        <v>9</v>
      </c>
      <c r="U315" s="247">
        <f t="shared" si="109"/>
        <v>3.4881107028379996</v>
      </c>
      <c r="V315" s="378">
        <f t="shared" si="110"/>
        <v>134.58491138033725</v>
      </c>
      <c r="W315" s="397">
        <f t="shared" si="111"/>
        <v>69.030360591589385</v>
      </c>
      <c r="X315" s="153">
        <f t="shared" si="112"/>
        <v>47053</v>
      </c>
      <c r="Y315" s="380">
        <f t="shared" si="113"/>
        <v>66.672442172819871</v>
      </c>
      <c r="Z315" s="380">
        <f t="shared" si="114"/>
        <v>69.115620061117951</v>
      </c>
      <c r="AA315" s="381">
        <f t="shared" si="115"/>
        <v>73.127222414286706</v>
      </c>
      <c r="AB315" s="193">
        <f t="shared" si="116"/>
        <v>47053</v>
      </c>
      <c r="AC315" s="119">
        <f>IF(OR(t&lt;Tnet,NoTnet),'2027'!Resal_s+('2027'!Salim-'2027'!Resal_s)*(1-EXP(('2027'!Tnet_s-t)/'2027'!Tau_j)),Resal_s+(Salim-Resal_s)*(1-EXP((Tnet_s-t)/Tau_j)))*Salcycl</f>
        <v>5.4857852120266212E-2</v>
      </c>
      <c r="AD315" s="227">
        <f>(INDEX(Models!$BJ315:$BT315,,AH315)*(1-AF315)+INDEX(Models!$BJ315:$BT315,,AH315+1)*AF315-ERP_i)*AE315*Ramure*Pc/MaxiM</f>
        <v>1.8942469153964557E-3</v>
      </c>
      <c r="AE315" s="301">
        <f t="shared" si="117"/>
        <v>0.5</v>
      </c>
      <c r="AF315" s="173">
        <f t="shared" si="118"/>
        <v>0.48811070283799962</v>
      </c>
      <c r="AG315" s="801">
        <f t="shared" si="124"/>
        <v>3</v>
      </c>
      <c r="AH315" s="172">
        <f t="shared" si="119"/>
        <v>9</v>
      </c>
      <c r="AI315" s="221">
        <f t="shared" si="120"/>
        <v>3.4881107028379996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47054</v>
      </c>
      <c r="B316" s="406">
        <f>'2027'!Wh/'2027'!Env_an*'2028'!Env_an</f>
        <v>100.19925128012156</v>
      </c>
      <c r="C316" s="831"/>
      <c r="D316" s="388">
        <f t="shared" si="102"/>
        <v>103.8724240403598</v>
      </c>
      <c r="E316" s="380">
        <f t="shared" si="125"/>
        <v>106.15297799622829</v>
      </c>
      <c r="F316" s="380">
        <f t="shared" si="103"/>
        <v>106.29491436115343</v>
      </c>
      <c r="G316" s="110">
        <f t="shared" si="126"/>
        <v>0.7512008082060313</v>
      </c>
      <c r="H316" s="409" t="b">
        <f>Wh_hp&gt;='2027'!Maxi_hp</f>
        <v>0</v>
      </c>
      <c r="I316" s="385">
        <f>IF(H316,Wh_hp,'2027'!Maxi_hp)</f>
        <v>106.36453669934818</v>
      </c>
      <c r="J316" s="85">
        <f>IF(H316,An,'2027'!An_max)</f>
        <v>2022</v>
      </c>
      <c r="K316" s="193">
        <f t="shared" si="104"/>
        <v>47054</v>
      </c>
      <c r="L316" s="143">
        <f>IF(t&lt;Tvie,1-EXP((T0-t)*PertePVj)+'2027'!Pspv,1-EXP((T0-t)*PertePVj)+Pspv)</f>
        <v>3.5362347554448448E-2</v>
      </c>
      <c r="M316" s="835"/>
      <c r="N316" s="835"/>
      <c r="O316" s="48">
        <f>IF(t&lt;Tnet,'2027'!Resal+('2027'!Salim-'2027'!Resal)*(1-EXP(('2027'!Tnet-t)/('2027'!Tau_j))),Resal+(Salim-Resal)*(1-EXP((Tnet-t)/(Tau_j))))*Salcycl</f>
        <v>2.1483654994111586E-2</v>
      </c>
      <c r="P316" s="165">
        <f>(INDEX(Models!$BJ316:$BT316,,T316)*(1-R316)+INDEX(Models!$BJ316:$BT316,,T316+1)*R316-ERP_i)*Q316*Ramure*Pc/MaxiM</f>
        <v>2.0690835538634891E-3</v>
      </c>
      <c r="Q316" s="301">
        <f t="shared" si="105"/>
        <v>0.5</v>
      </c>
      <c r="R316" s="173">
        <f t="shared" si="106"/>
        <v>0.48817427207523556</v>
      </c>
      <c r="S316" s="801">
        <f t="shared" si="107"/>
        <v>3</v>
      </c>
      <c r="T316" s="172">
        <f t="shared" si="108"/>
        <v>9</v>
      </c>
      <c r="U316" s="247">
        <f t="shared" si="109"/>
        <v>3.4881742720752356</v>
      </c>
      <c r="V316" s="378">
        <f t="shared" si="110"/>
        <v>133.28743531335394</v>
      </c>
      <c r="W316" s="397">
        <f t="shared" si="111"/>
        <v>100.19925128012156</v>
      </c>
      <c r="X316" s="153">
        <f t="shared" si="112"/>
        <v>47054</v>
      </c>
      <c r="Y316" s="380">
        <f t="shared" si="113"/>
        <v>96.782629144340206</v>
      </c>
      <c r="Z316" s="380">
        <f t="shared" si="114"/>
        <v>100.33055303095071</v>
      </c>
      <c r="AA316" s="381">
        <f t="shared" si="115"/>
        <v>106.15297799622829</v>
      </c>
      <c r="AB316" s="193">
        <f t="shared" si="116"/>
        <v>47054</v>
      </c>
      <c r="AC316" s="119">
        <f>IF(OR(t&lt;Tnet,NoTnet),'2027'!Resal_s+('2027'!Salim-'2027'!Resal_s)*(1-EXP(('2027'!Tnet_s-t)/'2027'!Tau_j)),Resal_s+(Salim-Resal_s)*(1-EXP((Tnet_s-t)/Tau_j)))*Salcycl</f>
        <v>5.4849379406807161E-2</v>
      </c>
      <c r="AD316" s="227">
        <f>(INDEX(Models!$BJ316:$BT316,,AH316)*(1-AF316)+INDEX(Models!$BJ316:$BT316,,AH316+1)*AF316-ERP_i)*AE316*Ramure*Pc/MaxiM</f>
        <v>2.0690835538634891E-3</v>
      </c>
      <c r="AE316" s="301">
        <f t="shared" si="117"/>
        <v>0.5</v>
      </c>
      <c r="AF316" s="173">
        <f t="shared" si="118"/>
        <v>0.48817427207523556</v>
      </c>
      <c r="AG316" s="801">
        <f t="shared" si="124"/>
        <v>3</v>
      </c>
      <c r="AH316" s="172">
        <f t="shared" si="119"/>
        <v>9</v>
      </c>
      <c r="AI316" s="221">
        <f t="shared" si="120"/>
        <v>3.4881742720752356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47055</v>
      </c>
      <c r="B317" s="406">
        <f>'2027'!Wh/'2027'!Env_an*'2028'!Env_an</f>
        <v>83.757167750058187</v>
      </c>
      <c r="C317" s="831"/>
      <c r="D317" s="388">
        <f t="shared" si="102"/>
        <v>86.828783967430752</v>
      </c>
      <c r="E317" s="380">
        <f t="shared" si="125"/>
        <v>88.739781357765011</v>
      </c>
      <c r="F317" s="380">
        <f t="shared" si="103"/>
        <v>88.835635845810899</v>
      </c>
      <c r="G317" s="110">
        <f t="shared" si="126"/>
        <v>0.63382832111684906</v>
      </c>
      <c r="H317" s="409" t="b">
        <f>Wh_hp&gt;='2027'!Maxi_hp</f>
        <v>0</v>
      </c>
      <c r="I317" s="385">
        <f>IF(H317,Wh_hp,'2027'!Maxi_hp)</f>
        <v>88.928840015230989</v>
      </c>
      <c r="J317" s="85">
        <f>IF(H317,An,'2027'!An_max)</f>
        <v>2022</v>
      </c>
      <c r="K317" s="193">
        <f t="shared" si="104"/>
        <v>47055</v>
      </c>
      <c r="L317" s="143">
        <f>IF(t&lt;Tvie,1-EXP((T0-t)*PertePVj)+'2027'!Pspv,1-EXP((T0-t)*PertePVj)+Pspv)</f>
        <v>3.537555263384462E-2</v>
      </c>
      <c r="M317" s="835"/>
      <c r="N317" s="835"/>
      <c r="O317" s="48">
        <f>IF(t&lt;Tnet,'2027'!Resal+('2027'!Salim-'2027'!Resal)*(1-EXP(('2027'!Tnet-t)/('2027'!Tau_j))),Resal+(Salim-Resal)*(1-EXP((Tnet-t)/(Tau_j))))*Salcycl</f>
        <v>2.1534844475555395E-2</v>
      </c>
      <c r="P317" s="165">
        <f>(INDEX(Models!$BJ317:$BT317,,T317)*(1-R317)+INDEX(Models!$BJ317:$BT317,,T317+1)*R317-ERP_i)*Q317*Ramure*Pc/MaxiM</f>
        <v>2.257497265014897E-3</v>
      </c>
      <c r="Q317" s="301">
        <f t="shared" si="105"/>
        <v>0.5</v>
      </c>
      <c r="R317" s="173">
        <f t="shared" si="106"/>
        <v>0.48823529705527857</v>
      </c>
      <c r="S317" s="801">
        <f t="shared" si="107"/>
        <v>3</v>
      </c>
      <c r="T317" s="172">
        <f t="shared" si="108"/>
        <v>9</v>
      </c>
      <c r="U317" s="247">
        <f t="shared" si="109"/>
        <v>3.4882352970552786</v>
      </c>
      <c r="V317" s="378">
        <f t="shared" si="110"/>
        <v>131.98898114560853</v>
      </c>
      <c r="W317" s="397">
        <f t="shared" si="111"/>
        <v>83.757167750058187</v>
      </c>
      <c r="X317" s="153">
        <f t="shared" si="112"/>
        <v>47055</v>
      </c>
      <c r="Y317" s="380">
        <f t="shared" si="113"/>
        <v>80.906172463146319</v>
      </c>
      <c r="Z317" s="380">
        <f t="shared" si="114"/>
        <v>83.873234484213398</v>
      </c>
      <c r="AA317" s="381">
        <f t="shared" si="115"/>
        <v>88.739781357765011</v>
      </c>
      <c r="AB317" s="193">
        <f t="shared" si="116"/>
        <v>47055</v>
      </c>
      <c r="AC317" s="119">
        <f>IF(OR(t&lt;Tnet,NoTnet),'2027'!Resal_s+('2027'!Salim-'2027'!Resal_s)*(1-EXP(('2027'!Tnet_s-t)/'2027'!Tau_j)),Resal_s+(Salim-Resal_s)*(1-EXP((Tnet_s-t)/Tau_j)))*Salcycl</f>
        <v>5.4840645301249429E-2</v>
      </c>
      <c r="AD317" s="227">
        <f>(INDEX(Models!$BJ317:$BT317,,AH317)*(1-AF317)+INDEX(Models!$BJ317:$BT317,,AH317+1)*AF317-ERP_i)*AE317*Ramure*Pc/MaxiM</f>
        <v>2.257497265014897E-3</v>
      </c>
      <c r="AE317" s="301">
        <f t="shared" si="117"/>
        <v>0.5</v>
      </c>
      <c r="AF317" s="173">
        <f t="shared" si="118"/>
        <v>0.48823529705527857</v>
      </c>
      <c r="AG317" s="801">
        <f t="shared" si="124"/>
        <v>3</v>
      </c>
      <c r="AH317" s="172">
        <f t="shared" si="119"/>
        <v>9</v>
      </c>
      <c r="AI317" s="221">
        <f t="shared" si="120"/>
        <v>3.4882352970552786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47056</v>
      </c>
      <c r="B318" s="406">
        <f>'2027'!Wh/'2027'!Env_an*'2028'!Env_an</f>
        <v>84.78417216132533</v>
      </c>
      <c r="C318" s="831"/>
      <c r="D318" s="388">
        <f t="shared" si="102"/>
        <v>87.894654788019068</v>
      </c>
      <c r="E318" s="380">
        <f t="shared" si="125"/>
        <v>89.833790438780056</v>
      </c>
      <c r="F318" s="380">
        <f t="shared" si="103"/>
        <v>89.943825625985767</v>
      </c>
      <c r="G318" s="110">
        <f t="shared" si="126"/>
        <v>0.64796807892621888</v>
      </c>
      <c r="H318" s="409" t="b">
        <f>Wh_hp&gt;='2027'!Maxi_hp</f>
        <v>0</v>
      </c>
      <c r="I318" s="385">
        <f>IF(H318,Wh_hp,'2027'!Maxi_hp)</f>
        <v>90.042264193669411</v>
      </c>
      <c r="J318" s="85">
        <f>IF(H318,An,'2027'!An_max)</f>
        <v>2022</v>
      </c>
      <c r="K318" s="193">
        <f t="shared" si="104"/>
        <v>47056</v>
      </c>
      <c r="L318" s="143">
        <f>IF(t&lt;Tvie,1-EXP((T0-t)*PertePVj)+'2027'!Pspv,1-EXP((T0-t)*PertePVj)+Pspv)</f>
        <v>3.538875753247428E-2</v>
      </c>
      <c r="M318" s="835"/>
      <c r="N318" s="835"/>
      <c r="O318" s="48">
        <f>IF(t&lt;Tnet,'2027'!Resal+('2027'!Salim-'2027'!Resal)*(1-EXP(('2027'!Tnet-t)/('2027'!Tau_j))),Resal+(Salim-Resal)*(1-EXP((Tnet-t)/(Tau_j))))*Salcycl</f>
        <v>2.1585815774772085E-2</v>
      </c>
      <c r="P318" s="165">
        <f>(INDEX(Models!$BJ318:$BT318,,T318)*(1-R318)+INDEX(Models!$BJ318:$BT318,,T318+1)*R318-ERP_i)*Q318*Ramure*Pc/MaxiM</f>
        <v>2.4553940665001145E-3</v>
      </c>
      <c r="Q318" s="301">
        <f t="shared" si="105"/>
        <v>0.5</v>
      </c>
      <c r="R318" s="173">
        <f t="shared" si="106"/>
        <v>0.48829387902113908</v>
      </c>
      <c r="S318" s="801">
        <f t="shared" si="107"/>
        <v>3</v>
      </c>
      <c r="T318" s="172">
        <f t="shared" si="108"/>
        <v>9</v>
      </c>
      <c r="U318" s="247">
        <f t="shared" si="109"/>
        <v>3.4882938790211391</v>
      </c>
      <c r="V318" s="378">
        <f t="shared" si="110"/>
        <v>130.68481520008274</v>
      </c>
      <c r="W318" s="397">
        <f t="shared" si="111"/>
        <v>84.78417216132533</v>
      </c>
      <c r="X318" s="153">
        <f t="shared" si="112"/>
        <v>47056</v>
      </c>
      <c r="Y318" s="380">
        <f t="shared" si="113"/>
        <v>81.903260287253389</v>
      </c>
      <c r="Z318" s="380">
        <f t="shared" si="114"/>
        <v>84.90805070625197</v>
      </c>
      <c r="AA318" s="381">
        <f t="shared" si="115"/>
        <v>89.833790438780056</v>
      </c>
      <c r="AB318" s="193">
        <f t="shared" si="116"/>
        <v>47056</v>
      </c>
      <c r="AC318" s="119">
        <f>IF(OR(t&lt;Tnet,NoTnet),'2027'!Resal_s+('2027'!Salim-'2027'!Resal_s)*(1-EXP(('2027'!Tnet_s-t)/'2027'!Tau_j)),Resal_s+(Salim-Resal_s)*(1-EXP((Tnet_s-t)/Tau_j)))*Salcycl</f>
        <v>5.4831703176154913E-2</v>
      </c>
      <c r="AD318" s="227">
        <f>(INDEX(Models!$BJ318:$BT318,,AH318)*(1-AF318)+INDEX(Models!$BJ318:$BT318,,AH318+1)*AF318-ERP_i)*AE318*Ramure*Pc/MaxiM</f>
        <v>2.4553940665001145E-3</v>
      </c>
      <c r="AE318" s="301">
        <f t="shared" si="117"/>
        <v>0.5</v>
      </c>
      <c r="AF318" s="173">
        <f t="shared" si="118"/>
        <v>0.48829387902113908</v>
      </c>
      <c r="AG318" s="801">
        <f t="shared" si="124"/>
        <v>3</v>
      </c>
      <c r="AH318" s="172">
        <f t="shared" si="119"/>
        <v>9</v>
      </c>
      <c r="AI318" s="221">
        <f t="shared" si="120"/>
        <v>3.4882938790211391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47057</v>
      </c>
      <c r="B319" s="406">
        <f>'2027'!Wh/'2027'!Env_an*'2028'!Env_an</f>
        <v>84.128040036511209</v>
      </c>
      <c r="C319" s="831"/>
      <c r="D319" s="388">
        <f t="shared" si="102"/>
        <v>87.215645008750045</v>
      </c>
      <c r="E319" s="380">
        <f t="shared" si="125"/>
        <v>89.144426436596561</v>
      </c>
      <c r="F319" s="380">
        <f t="shared" si="103"/>
        <v>89.263033538518229</v>
      </c>
      <c r="G319" s="110">
        <f t="shared" si="126"/>
        <v>0.64938621130092999</v>
      </c>
      <c r="H319" s="409" t="b">
        <f>Wh_hp&gt;='2027'!Maxi_hp</f>
        <v>0</v>
      </c>
      <c r="I319" s="385">
        <f>IF(H319,Wh_hp,'2027'!Maxi_hp)</f>
        <v>89.368067113464861</v>
      </c>
      <c r="J319" s="85">
        <f>IF(H319,An,'2027'!An_max)</f>
        <v>2022</v>
      </c>
      <c r="K319" s="193">
        <f t="shared" si="104"/>
        <v>47057</v>
      </c>
      <c r="L319" s="143">
        <f>IF(t&lt;Tvie,1-EXP((T0-t)*PertePVj)+'2027'!Pspv,1-EXP((T0-t)*PertePVj)+Pspv)</f>
        <v>3.5401962250340091E-2</v>
      </c>
      <c r="M319" s="835"/>
      <c r="N319" s="835"/>
      <c r="O319" s="48">
        <f>IF(t&lt;Tnet,'2027'!Resal+('2027'!Salim-'2027'!Resal)*(1-EXP(('2027'!Tnet-t)/('2027'!Tau_j))),Resal+(Salim-Resal)*(1-EXP((Tnet-t)/(Tau_j))))*Salcycl</f>
        <v>2.1636590249625529E-2</v>
      </c>
      <c r="P319" s="165">
        <f>(INDEX(Models!$BJ319:$BT319,,T319)*(1-R319)+INDEX(Models!$BJ319:$BT319,,T319+1)*R319-ERP_i)*Q319*Ramure*Pc/MaxiM</f>
        <v>2.6555762696169253E-3</v>
      </c>
      <c r="Q319" s="301">
        <f t="shared" si="105"/>
        <v>0.5</v>
      </c>
      <c r="R319" s="173">
        <f t="shared" si="106"/>
        <v>0.4883501152332812</v>
      </c>
      <c r="S319" s="801">
        <f t="shared" si="107"/>
        <v>3</v>
      </c>
      <c r="T319" s="172">
        <f t="shared" si="108"/>
        <v>9</v>
      </c>
      <c r="U319" s="247">
        <f t="shared" si="109"/>
        <v>3.4883501152332812</v>
      </c>
      <c r="V319" s="378">
        <f t="shared" si="110"/>
        <v>129.37796595705566</v>
      </c>
      <c r="W319" s="397">
        <f t="shared" si="111"/>
        <v>84.128040036511209</v>
      </c>
      <c r="X319" s="153">
        <f t="shared" si="112"/>
        <v>47057</v>
      </c>
      <c r="Y319" s="380">
        <f t="shared" si="113"/>
        <v>81.274422889242501</v>
      </c>
      <c r="Z319" s="380">
        <f t="shared" si="114"/>
        <v>84.257296519957762</v>
      </c>
      <c r="AA319" s="381">
        <f t="shared" si="115"/>
        <v>89.144426436596561</v>
      </c>
      <c r="AB319" s="193">
        <f t="shared" si="116"/>
        <v>47057</v>
      </c>
      <c r="AC319" s="119">
        <f>IF(OR(t&lt;Tnet,NoTnet),'2027'!Resal_s+('2027'!Salim-'2027'!Resal_s)*(1-EXP(('2027'!Tnet_s-t)/'2027'!Tau_j)),Resal_s+(Salim-Resal_s)*(1-EXP((Tnet_s-t)/Tau_j)))*Salcycl</f>
        <v>5.4822607671549027E-2</v>
      </c>
      <c r="AD319" s="227">
        <f>(INDEX(Models!$BJ319:$BT319,,AH319)*(1-AF319)+INDEX(Models!$BJ319:$BT319,,AH319+1)*AF319-ERP_i)*AE319*Ramure*Pc/MaxiM</f>
        <v>2.6555762696169253E-3</v>
      </c>
      <c r="AE319" s="301">
        <f t="shared" si="117"/>
        <v>0.5</v>
      </c>
      <c r="AF319" s="173">
        <f t="shared" si="118"/>
        <v>0.4883501152332812</v>
      </c>
      <c r="AG319" s="801">
        <f t="shared" si="124"/>
        <v>3</v>
      </c>
      <c r="AH319" s="172">
        <f t="shared" si="119"/>
        <v>9</v>
      </c>
      <c r="AI319" s="221">
        <f t="shared" si="120"/>
        <v>3.4883501152332812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47058</v>
      </c>
      <c r="B320" s="406">
        <f>'2027'!Wh/'2027'!Env_an*'2028'!Env_an</f>
        <v>111.72299360041488</v>
      </c>
      <c r="C320" s="831"/>
      <c r="D320" s="388">
        <f t="shared" si="102"/>
        <v>115.82495365215391</v>
      </c>
      <c r="E320" s="380">
        <f t="shared" si="125"/>
        <v>118.39255548398407</v>
      </c>
      <c r="F320" s="380">
        <f t="shared" si="103"/>
        <v>118.66987578541793</v>
      </c>
      <c r="G320" s="110">
        <f t="shared" si="126"/>
        <v>0.87189973854830205</v>
      </c>
      <c r="H320" s="409" t="b">
        <f>Wh_hp&gt;='2027'!Maxi_hp</f>
        <v>0</v>
      </c>
      <c r="I320" s="385">
        <f>IF(H320,Wh_hp,'2027'!Maxi_hp)</f>
        <v>118.72465698577568</v>
      </c>
      <c r="J320" s="85">
        <f>IF(H320,An,'2027'!An_max)</f>
        <v>2022</v>
      </c>
      <c r="K320" s="193">
        <f t="shared" si="104"/>
        <v>47058</v>
      </c>
      <c r="L320" s="143">
        <f>IF(t&lt;Tvie,1-EXP((T0-t)*PertePVj)+'2027'!Pspv,1-EXP((T0-t)*PertePVj)+Pspv)</f>
        <v>3.5415166787444274E-2</v>
      </c>
      <c r="M320" s="835"/>
      <c r="N320" s="835"/>
      <c r="O320" s="48">
        <f>IF(t&lt;Tnet,'2027'!Resal+('2027'!Salim-'2027'!Resal)*(1-EXP(('2027'!Tnet-t)/('2027'!Tau_j))),Resal+(Salim-Resal)*(1-EXP((Tnet-t)/(Tau_j))))*Salcycl</f>
        <v>2.1687189885663871E-2</v>
      </c>
      <c r="P320" s="165">
        <f>(INDEX(Models!$BJ320:$BT320,,T320)*(1-R320)+INDEX(Models!$BJ320:$BT320,,T320+1)*R320-ERP_i)*Q320*Ramure*Pc/MaxiM</f>
        <v>2.8580735148490376E-3</v>
      </c>
      <c r="Q320" s="301">
        <f t="shared" si="105"/>
        <v>0.5</v>
      </c>
      <c r="R320" s="173">
        <f t="shared" si="106"/>
        <v>0.48840409912263505</v>
      </c>
      <c r="S320" s="801">
        <f t="shared" si="107"/>
        <v>3</v>
      </c>
      <c r="T320" s="172">
        <f t="shared" si="108"/>
        <v>9</v>
      </c>
      <c r="U320" s="247">
        <f t="shared" si="109"/>
        <v>3.488404099122635</v>
      </c>
      <c r="V320" s="378">
        <f t="shared" si="110"/>
        <v>128.07049462157508</v>
      </c>
      <c r="W320" s="397">
        <f t="shared" si="111"/>
        <v>111.72299360041488</v>
      </c>
      <c r="X320" s="153">
        <f t="shared" si="112"/>
        <v>47058</v>
      </c>
      <c r="Y320" s="380">
        <f t="shared" si="113"/>
        <v>107.93998990426684</v>
      </c>
      <c r="Z320" s="380">
        <f t="shared" si="114"/>
        <v>111.90305527070339</v>
      </c>
      <c r="AA320" s="381">
        <f t="shared" si="115"/>
        <v>118.39255548398407</v>
      </c>
      <c r="AB320" s="193">
        <f t="shared" si="116"/>
        <v>47058</v>
      </c>
      <c r="AC320" s="119">
        <f>IF(OR(t&lt;Tnet,NoTnet),'2027'!Resal_s+('2027'!Salim-'2027'!Resal_s)*(1-EXP(('2027'!Tnet_s-t)/'2027'!Tau_j)),Resal_s+(Salim-Resal_s)*(1-EXP((Tnet_s-t)/Tau_j)))*Salcycl</f>
        <v>5.4813414464717401E-2</v>
      </c>
      <c r="AD320" s="227">
        <f>(INDEX(Models!$BJ320:$BT320,,AH320)*(1-AF320)+INDEX(Models!$BJ320:$BT320,,AH320+1)*AF320-ERP_i)*AE320*Ramure*Pc/MaxiM</f>
        <v>2.8580735148490376E-3</v>
      </c>
      <c r="AE320" s="301">
        <f t="shared" si="117"/>
        <v>0.5</v>
      </c>
      <c r="AF320" s="173">
        <f t="shared" si="118"/>
        <v>0.48840409912263505</v>
      </c>
      <c r="AG320" s="801">
        <f t="shared" si="124"/>
        <v>3</v>
      </c>
      <c r="AH320" s="172">
        <f t="shared" si="119"/>
        <v>9</v>
      </c>
      <c r="AI320" s="221">
        <f t="shared" si="120"/>
        <v>3.488404099122635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47059</v>
      </c>
      <c r="B321" s="406">
        <f>'2027'!Wh/'2027'!Env_an*'2028'!Env_an</f>
        <v>42.655267437096064</v>
      </c>
      <c r="C321" s="831"/>
      <c r="D321" s="388">
        <f t="shared" si="102"/>
        <v>44.221980163025016</v>
      </c>
      <c r="E321" s="380">
        <f t="shared" si="125"/>
        <v>45.204621832405294</v>
      </c>
      <c r="F321" s="380">
        <f t="shared" si="103"/>
        <v>45.211841049954181</v>
      </c>
      <c r="G321" s="110">
        <f t="shared" si="126"/>
        <v>0.33551524647954362</v>
      </c>
      <c r="H321" s="409" t="b">
        <f>Wh_hp&gt;='2027'!Maxi_hp</f>
        <v>0</v>
      </c>
      <c r="I321" s="385">
        <f>IF(H321,Wh_hp,'2027'!Maxi_hp)</f>
        <v>45.327958657850239</v>
      </c>
      <c r="J321" s="85">
        <f>IF(H321,An,'2027'!An_max)</f>
        <v>2022</v>
      </c>
      <c r="K321" s="193">
        <f t="shared" si="104"/>
        <v>47059</v>
      </c>
      <c r="L321" s="143">
        <f>IF(t&lt;Tvie,1-EXP((T0-t)*PertePVj)+'2027'!Pspv,1-EXP((T0-t)*PertePVj)+Pspv)</f>
        <v>3.5428371143789605E-2</v>
      </c>
      <c r="M321" s="835"/>
      <c r="N321" s="835"/>
      <c r="O321" s="48">
        <f>IF(t&lt;Tnet,'2027'!Resal+('2027'!Salim-'2027'!Resal)*(1-EXP(('2027'!Tnet-t)/('2027'!Tau_j))),Resal+(Salim-Resal)*(1-EXP((Tnet-t)/(Tau_j))))*Salcycl</f>
        <v>2.1737637204960907E-2</v>
      </c>
      <c r="P321" s="165">
        <f>(INDEX(Models!$BJ321:$BT321,,T321)*(1-R321)+INDEX(Models!$BJ321:$BT321,,T321+1)*R321-ERP_i)*Q321*Ramure*Pc/MaxiM</f>
        <v>3.0629119415633605E-3</v>
      </c>
      <c r="Q321" s="301">
        <f t="shared" si="105"/>
        <v>0.5</v>
      </c>
      <c r="R321" s="173">
        <f t="shared" si="106"/>
        <v>0.4884559204380281</v>
      </c>
      <c r="S321" s="801">
        <f t="shared" si="107"/>
        <v>3</v>
      </c>
      <c r="T321" s="172">
        <f t="shared" si="108"/>
        <v>9</v>
      </c>
      <c r="U321" s="247">
        <f t="shared" si="109"/>
        <v>3.4884559204380281</v>
      </c>
      <c r="V321" s="378">
        <f t="shared" si="110"/>
        <v>126.76446085230718</v>
      </c>
      <c r="W321" s="397">
        <f t="shared" si="111"/>
        <v>42.655267437096064</v>
      </c>
      <c r="X321" s="153">
        <f t="shared" si="112"/>
        <v>47059</v>
      </c>
      <c r="Y321" s="380">
        <f t="shared" si="113"/>
        <v>41.213463805387931</v>
      </c>
      <c r="Z321" s="380">
        <f t="shared" si="114"/>
        <v>42.727219599293917</v>
      </c>
      <c r="AA321" s="381">
        <f t="shared" si="115"/>
        <v>45.204621832405294</v>
      </c>
      <c r="AB321" s="193">
        <f t="shared" si="116"/>
        <v>47059</v>
      </c>
      <c r="AC321" s="119">
        <f>IF(OR(t&lt;Tnet,NoTnet),'2027'!Resal_s+('2027'!Salim-'2027'!Resal_s)*(1-EXP(('2027'!Tnet_s-t)/'2027'!Tau_j)),Resal_s+(Salim-Resal_s)*(1-EXP((Tnet_s-t)/Tau_j)))*Salcycl</f>
        <v>5.4804180030446202E-2</v>
      </c>
      <c r="AD321" s="227">
        <f>(INDEX(Models!$BJ321:$BT321,,AH321)*(1-AF321)+INDEX(Models!$BJ321:$BT321,,AH321+1)*AF321-ERP_i)*AE321*Ramure*Pc/MaxiM</f>
        <v>3.0629119415633605E-3</v>
      </c>
      <c r="AE321" s="301">
        <f t="shared" si="117"/>
        <v>0.5</v>
      </c>
      <c r="AF321" s="173">
        <f t="shared" si="118"/>
        <v>0.4884559204380281</v>
      </c>
      <c r="AG321" s="801">
        <f t="shared" si="124"/>
        <v>3</v>
      </c>
      <c r="AH321" s="172">
        <f t="shared" si="119"/>
        <v>9</v>
      </c>
      <c r="AI321" s="221">
        <f t="shared" si="120"/>
        <v>3.4884559204380281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47060</v>
      </c>
      <c r="B322" s="406">
        <f>'2027'!Wh/'2027'!Env_an*'2028'!Env_an</f>
        <v>50.544496259127939</v>
      </c>
      <c r="C322" s="831"/>
      <c r="D322" s="388">
        <f t="shared" si="102"/>
        <v>52.401694874899775</v>
      </c>
      <c r="E322" s="380">
        <f t="shared" si="125"/>
        <v>53.568850590083123</v>
      </c>
      <c r="F322" s="380">
        <f t="shared" si="103"/>
        <v>53.594605670450392</v>
      </c>
      <c r="G322" s="110">
        <f t="shared" si="126"/>
        <v>0.40174285906452728</v>
      </c>
      <c r="H322" s="409" t="b">
        <f>Wh_hp&gt;='2027'!Maxi_hp</f>
        <v>0</v>
      </c>
      <c r="I322" s="385">
        <f>IF(H322,Wh_hp,'2027'!Maxi_hp)</f>
        <v>53.726769074168885</v>
      </c>
      <c r="J322" s="85">
        <f>IF(H322,An,'2027'!An_max)</f>
        <v>2022</v>
      </c>
      <c r="K322" s="193">
        <f t="shared" si="104"/>
        <v>47060</v>
      </c>
      <c r="L322" s="143">
        <f>IF(t&lt;Tvie,1-EXP((T0-t)*PertePVj)+'2027'!Pspv,1-EXP((T0-t)*PertePVj)+Pspv)</f>
        <v>3.5441575319378193E-2</v>
      </c>
      <c r="M322" s="835"/>
      <c r="N322" s="835"/>
      <c r="O322" s="48">
        <f>IF(t&lt;Tnet,'2027'!Resal+('2027'!Salim-'2027'!Resal)*(1-EXP(('2027'!Tnet-t)/('2027'!Tau_j))),Resal+(Salim-Resal)*(1-EXP((Tnet-t)/(Tau_j))))*Salcycl</f>
        <v>2.1787955170339539E-2</v>
      </c>
      <c r="P322" s="165">
        <f>(INDEX(Models!$BJ322:$BT322,,T322)*(1-R322)+INDEX(Models!$BJ322:$BT322,,T322+1)*R322-ERP_i)*Q322*Ramure*Pc/MaxiM</f>
        <v>3.2701137452575361E-3</v>
      </c>
      <c r="Q322" s="301">
        <f t="shared" si="105"/>
        <v>0.5</v>
      </c>
      <c r="R322" s="173">
        <f t="shared" si="106"/>
        <v>0.48850566538820051</v>
      </c>
      <c r="S322" s="801">
        <f t="shared" si="107"/>
        <v>3</v>
      </c>
      <c r="T322" s="172">
        <f t="shared" si="108"/>
        <v>9</v>
      </c>
      <c r="U322" s="247">
        <f t="shared" si="109"/>
        <v>3.4885056653882005</v>
      </c>
      <c r="V322" s="378">
        <f t="shared" si="110"/>
        <v>125.46192276997427</v>
      </c>
      <c r="W322" s="397">
        <f t="shared" si="111"/>
        <v>50.544496259127939</v>
      </c>
      <c r="X322" s="153">
        <f t="shared" si="112"/>
        <v>47060</v>
      </c>
      <c r="Y322" s="380">
        <f t="shared" si="113"/>
        <v>48.839014803058923</v>
      </c>
      <c r="Z322" s="380">
        <f t="shared" si="114"/>
        <v>50.633547490117223</v>
      </c>
      <c r="AA322" s="381">
        <f t="shared" si="115"/>
        <v>53.568850590083123</v>
      </c>
      <c r="AB322" s="193">
        <f t="shared" si="116"/>
        <v>47060</v>
      </c>
      <c r="AC322" s="119">
        <f>IF(OR(t&lt;Tnet,NoTnet),'2027'!Resal_s+('2027'!Salim-'2027'!Resal_s)*(1-EXP(('2027'!Tnet_s-t)/'2027'!Tau_j)),Resal_s+(Salim-Resal_s)*(1-EXP((Tnet_s-t)/Tau_j)))*Salcycl</f>
        <v>5.4794961393278309E-2</v>
      </c>
      <c r="AD322" s="227">
        <f>(INDEX(Models!$BJ322:$BT322,,AH322)*(1-AF322)+INDEX(Models!$BJ322:$BT322,,AH322+1)*AF322-ERP_i)*AE322*Ramure*Pc/MaxiM</f>
        <v>3.2701137452575361E-3</v>
      </c>
      <c r="AE322" s="301">
        <f t="shared" si="117"/>
        <v>0.5</v>
      </c>
      <c r="AF322" s="173">
        <f t="shared" si="118"/>
        <v>0.48850566538820051</v>
      </c>
      <c r="AG322" s="801">
        <f t="shared" si="124"/>
        <v>3</v>
      </c>
      <c r="AH322" s="172">
        <f t="shared" si="119"/>
        <v>9</v>
      </c>
      <c r="AI322" s="221">
        <f t="shared" si="120"/>
        <v>3.4885056653882005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47061</v>
      </c>
      <c r="B323" s="406">
        <f>'2027'!Wh/'2027'!Env_an*'2028'!Env_an</f>
        <v>118.84168937640102</v>
      </c>
      <c r="C323" s="831"/>
      <c r="D323" s="388">
        <f t="shared" si="102"/>
        <v>123.21007540932619</v>
      </c>
      <c r="E323" s="380">
        <f t="shared" si="125"/>
        <v>125.96082904014457</v>
      </c>
      <c r="F323" s="380">
        <f t="shared" si="103"/>
        <v>126.37363841191259</v>
      </c>
      <c r="G323" s="110">
        <f t="shared" si="126"/>
        <v>0.95692296005909172</v>
      </c>
      <c r="H323" s="409" t="b">
        <f>Wh_hp&gt;='2027'!Maxi_hp</f>
        <v>0</v>
      </c>
      <c r="I323" s="385">
        <f>IF(H323,Wh_hp,'2027'!Maxi_hp)</f>
        <v>126.39744220222137</v>
      </c>
      <c r="J323" s="85">
        <f>IF(H323,An,'2027'!An_max)</f>
        <v>2022</v>
      </c>
      <c r="K323" s="193">
        <f t="shared" si="104"/>
        <v>47061</v>
      </c>
      <c r="L323" s="143">
        <f>IF(t&lt;Tvie,1-EXP((T0-t)*PertePVj)+'2027'!Pspv,1-EXP((T0-t)*PertePVj)+Pspv)</f>
        <v>3.5454779314212814E-2</v>
      </c>
      <c r="M323" s="835"/>
      <c r="N323" s="835"/>
      <c r="O323" s="48">
        <f>IF(t&lt;Tnet,'2027'!Resal+('2027'!Salim-'2027'!Resal)*(1-EXP(('2027'!Tnet-t)/('2027'!Tau_j))),Resal+(Salim-Resal)*(1-EXP((Tnet-t)/(Tau_j))))*Salcycl</f>
        <v>2.1838167085592216E-2</v>
      </c>
      <c r="P323" s="165">
        <f>(INDEX(Models!$BJ323:$BT323,,T323)*(1-R323)+INDEX(Models!$BJ323:$BT323,,T323+1)*R323-ERP_i)*Q323*Ramure*Pc/MaxiM</f>
        <v>3.4796966402216457E-3</v>
      </c>
      <c r="Q323" s="301">
        <f t="shared" si="105"/>
        <v>0.5</v>
      </c>
      <c r="R323" s="173">
        <f t="shared" si="106"/>
        <v>0.48855341677858988</v>
      </c>
      <c r="S323" s="801">
        <f t="shared" si="107"/>
        <v>3</v>
      </c>
      <c r="T323" s="172">
        <f t="shared" si="108"/>
        <v>9</v>
      </c>
      <c r="U323" s="247">
        <f t="shared" si="109"/>
        <v>3.4885534167785899</v>
      </c>
      <c r="V323" s="378">
        <f t="shared" si="110"/>
        <v>124.16493696438008</v>
      </c>
      <c r="W323" s="397">
        <f t="shared" si="111"/>
        <v>118.84168937640102</v>
      </c>
      <c r="X323" s="153">
        <f t="shared" si="112"/>
        <v>47061</v>
      </c>
      <c r="Y323" s="380">
        <f t="shared" si="113"/>
        <v>114.83871756624387</v>
      </c>
      <c r="Z323" s="380">
        <f t="shared" si="114"/>
        <v>119.05996225308553</v>
      </c>
      <c r="AA323" s="381">
        <f t="shared" si="115"/>
        <v>125.96082904014457</v>
      </c>
      <c r="AB323" s="193">
        <f t="shared" si="116"/>
        <v>47061</v>
      </c>
      <c r="AC323" s="119">
        <f>IF(OR(t&lt;Tnet,NoTnet),'2027'!Resal_s+('2027'!Salim-'2027'!Resal_s)*(1-EXP(('2027'!Tnet_s-t)/'2027'!Tau_j)),Resal_s+(Salim-Resal_s)*(1-EXP((Tnet_s-t)/Tau_j)))*Salcycl</f>
        <v>5.4785815873438698E-2</v>
      </c>
      <c r="AD323" s="227">
        <f>(INDEX(Models!$BJ323:$BT323,,AH323)*(1-AF323)+INDEX(Models!$BJ323:$BT323,,AH323+1)*AF323-ERP_i)*AE323*Ramure*Pc/MaxiM</f>
        <v>3.4796966402216457E-3</v>
      </c>
      <c r="AE323" s="301">
        <f t="shared" si="117"/>
        <v>0.5</v>
      </c>
      <c r="AF323" s="173">
        <f t="shared" si="118"/>
        <v>0.48855341677858988</v>
      </c>
      <c r="AG323" s="801">
        <f t="shared" si="124"/>
        <v>3</v>
      </c>
      <c r="AH323" s="172">
        <f t="shared" si="119"/>
        <v>9</v>
      </c>
      <c r="AI323" s="221">
        <f t="shared" si="120"/>
        <v>3.4885534167785899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47062</v>
      </c>
      <c r="B324" s="406">
        <f>'2027'!Wh/'2027'!Env_an*'2028'!Env_an</f>
        <v>119.23709778784635</v>
      </c>
      <c r="C324" s="831"/>
      <c r="D324" s="388">
        <f t="shared" si="102"/>
        <v>123.62171053126015</v>
      </c>
      <c r="E324" s="380">
        <f t="shared" si="125"/>
        <v>126.38813142500521</v>
      </c>
      <c r="F324" s="380">
        <f t="shared" si="103"/>
        <v>126.83589495446529</v>
      </c>
      <c r="G324" s="110">
        <f t="shared" si="126"/>
        <v>0.97023187076486395</v>
      </c>
      <c r="H324" s="409" t="b">
        <f>Wh_hp&gt;='2027'!Maxi_hp</f>
        <v>0</v>
      </c>
      <c r="I324" s="385">
        <f>IF(H324,Wh_hp,'2027'!Maxi_hp)</f>
        <v>126.85337190072234</v>
      </c>
      <c r="J324" s="85">
        <f>IF(H324,An,'2027'!An_max)</f>
        <v>2022</v>
      </c>
      <c r="K324" s="193">
        <f t="shared" si="104"/>
        <v>47062</v>
      </c>
      <c r="L324" s="143">
        <f>IF(t&lt;Tvie,1-EXP((T0-t)*PertePVj)+'2027'!Pspv,1-EXP((T0-t)*PertePVj)+Pspv)</f>
        <v>3.5467983128295799E-2</v>
      </c>
      <c r="M324" s="835"/>
      <c r="N324" s="835"/>
      <c r="O324" s="48">
        <f>IF(t&lt;Tnet,'2027'!Resal+('2027'!Salim-'2027'!Resal)*(1-EXP(('2027'!Tnet-t)/('2027'!Tau_j))),Resal+(Salim-Resal)*(1-EXP((Tnet-t)/(Tau_j))))*Salcycl</f>
        <v>2.1888296492353614E-2</v>
      </c>
      <c r="P324" s="165">
        <f>(INDEX(Models!$BJ324:$BT324,,T324)*(1-R324)+INDEX(Models!$BJ324:$BT324,,T324+1)*R324-ERP_i)*Q324*Ramure*Pc/MaxiM</f>
        <v>3.6862187377252036E-3</v>
      </c>
      <c r="Q324" s="301">
        <f t="shared" si="105"/>
        <v>0.5</v>
      </c>
      <c r="R324" s="173">
        <f t="shared" si="106"/>
        <v>0.48859925414305927</v>
      </c>
      <c r="S324" s="801">
        <f t="shared" si="107"/>
        <v>3</v>
      </c>
      <c r="T324" s="172">
        <f t="shared" si="108"/>
        <v>9</v>
      </c>
      <c r="U324" s="247">
        <f t="shared" si="109"/>
        <v>3.4885992541430593</v>
      </c>
      <c r="V324" s="378">
        <f t="shared" si="110"/>
        <v>122.87623122184006</v>
      </c>
      <c r="W324" s="397">
        <f t="shared" si="111"/>
        <v>119.23709778784635</v>
      </c>
      <c r="X324" s="153">
        <f t="shared" si="112"/>
        <v>47062</v>
      </c>
      <c r="Y324" s="380">
        <f t="shared" si="113"/>
        <v>115.22781153401648</v>
      </c>
      <c r="Z324" s="380">
        <f t="shared" si="114"/>
        <v>119.4649939228957</v>
      </c>
      <c r="AA324" s="381">
        <f t="shared" si="115"/>
        <v>126.38813142500521</v>
      </c>
      <c r="AB324" s="193">
        <f t="shared" si="116"/>
        <v>47062</v>
      </c>
      <c r="AC324" s="119">
        <f>IF(OR(t&lt;Tnet,NoTnet),'2027'!Resal_s+('2027'!Salim-'2027'!Resal_s)*(1-EXP(('2027'!Tnet_s-t)/'2027'!Tau_j)),Resal_s+(Salim-Resal_s)*(1-EXP((Tnet_s-t)/Tau_j)))*Salcycl</f>
        <v>5.4776800828149598E-2</v>
      </c>
      <c r="AD324" s="227">
        <f>(INDEX(Models!$BJ324:$BT324,,AH324)*(1-AF324)+INDEX(Models!$BJ324:$BT324,,AH324+1)*AF324-ERP_i)*AE324*Ramure*Pc/MaxiM</f>
        <v>3.6862187377252036E-3</v>
      </c>
      <c r="AE324" s="301">
        <f t="shared" si="117"/>
        <v>0.5</v>
      </c>
      <c r="AF324" s="173">
        <f t="shared" si="118"/>
        <v>0.48859925414305927</v>
      </c>
      <c r="AG324" s="801">
        <f t="shared" si="124"/>
        <v>3</v>
      </c>
      <c r="AH324" s="172">
        <f t="shared" si="119"/>
        <v>9</v>
      </c>
      <c r="AI324" s="221">
        <f t="shared" si="120"/>
        <v>3.4885992541430593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47063</v>
      </c>
      <c r="B325" s="406">
        <f>'2027'!Wh/'2027'!Env_an*'2028'!Env_an</f>
        <v>115.10603742987188</v>
      </c>
      <c r="C325" s="831"/>
      <c r="D325" s="388">
        <f t="shared" si="102"/>
        <v>119.3403755841771</v>
      </c>
      <c r="E325" s="380">
        <f t="shared" si="125"/>
        <v>122.01723446197661</v>
      </c>
      <c r="F325" s="380">
        <f t="shared" si="103"/>
        <v>122.45659350715056</v>
      </c>
      <c r="G325" s="110">
        <f t="shared" si="126"/>
        <v>0.94632580191895943</v>
      </c>
      <c r="H325" s="409" t="b">
        <f>Wh_hp&gt;='2027'!Maxi_hp</f>
        <v>0</v>
      </c>
      <c r="I325" s="385">
        <f>IF(H325,Wh_hp,'2027'!Maxi_hp)</f>
        <v>122.48864217227751</v>
      </c>
      <c r="J325" s="85">
        <f>IF(H325,An,'2027'!An_max)</f>
        <v>2022</v>
      </c>
      <c r="K325" s="193">
        <f t="shared" si="104"/>
        <v>47063</v>
      </c>
      <c r="L325" s="143">
        <f>IF(t&lt;Tvie,1-EXP((T0-t)*PertePVj)+'2027'!Pspv,1-EXP((T0-t)*PertePVj)+Pspv)</f>
        <v>3.5481186761629702E-2</v>
      </c>
      <c r="M325" s="835"/>
      <c r="N325" s="835"/>
      <c r="O325" s="48">
        <f>IF(t&lt;Tnet,'2027'!Resal+('2027'!Salim-'2027'!Resal)*(1-EXP(('2027'!Tnet-t)/('2027'!Tau_j))),Resal+(Salim-Resal)*(1-EXP((Tnet-t)/(Tau_j))))*Salcycl</f>
        <v>2.1938367064315734E-2</v>
      </c>
      <c r="P325" s="165">
        <f>(INDEX(Models!$BJ325:$BT325,,T325)*(1-R325)+INDEX(Models!$BJ325:$BT325,,T325+1)*R325-ERP_i)*Q325*Ramure*Pc/MaxiM</f>
        <v>3.8841398892827603E-3</v>
      </c>
      <c r="Q325" s="301">
        <f t="shared" si="105"/>
        <v>0.5</v>
      </c>
      <c r="R325" s="173">
        <f t="shared" si="106"/>
        <v>0.48864325387073038</v>
      </c>
      <c r="S325" s="801">
        <f t="shared" si="107"/>
        <v>3</v>
      </c>
      <c r="T325" s="172">
        <f t="shared" si="108"/>
        <v>9</v>
      </c>
      <c r="U325" s="247">
        <f t="shared" si="109"/>
        <v>3.4886432538707304</v>
      </c>
      <c r="V325" s="378">
        <f t="shared" si="110"/>
        <v>121.59851566405918</v>
      </c>
      <c r="W325" s="397">
        <f t="shared" si="111"/>
        <v>115.10603742987188</v>
      </c>
      <c r="X325" s="153">
        <f t="shared" si="112"/>
        <v>47063</v>
      </c>
      <c r="Y325" s="380">
        <f t="shared" si="113"/>
        <v>111.2423894067895</v>
      </c>
      <c r="Z325" s="380">
        <f t="shared" si="114"/>
        <v>115.33459781182843</v>
      </c>
      <c r="AA325" s="381">
        <f t="shared" si="115"/>
        <v>122.01723446197661</v>
      </c>
      <c r="AB325" s="193">
        <f t="shared" si="116"/>
        <v>47063</v>
      </c>
      <c r="AC325" s="119">
        <f>IF(OR(t&lt;Tnet,NoTnet),'2027'!Resal_s+('2027'!Salim-'2027'!Resal_s)*(1-EXP(('2027'!Tnet_s-t)/'2027'!Tau_j)),Resal_s+(Salim-Resal_s)*(1-EXP((Tnet_s-t)/Tau_j)))*Salcycl</f>
        <v>5.4767973390108596E-2</v>
      </c>
      <c r="AD325" s="227">
        <f>(INDEX(Models!$BJ325:$BT325,,AH325)*(1-AF325)+INDEX(Models!$BJ325:$BT325,,AH325+1)*AF325-ERP_i)*AE325*Ramure*Pc/MaxiM</f>
        <v>3.8841398892827603E-3</v>
      </c>
      <c r="AE325" s="301">
        <f t="shared" si="117"/>
        <v>0.5</v>
      </c>
      <c r="AF325" s="173">
        <f t="shared" si="118"/>
        <v>0.48864325387073038</v>
      </c>
      <c r="AG325" s="801">
        <f t="shared" si="124"/>
        <v>3</v>
      </c>
      <c r="AH325" s="172">
        <f t="shared" si="119"/>
        <v>9</v>
      </c>
      <c r="AI325" s="221">
        <f t="shared" si="120"/>
        <v>3.4886432538707304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47064</v>
      </c>
      <c r="B326" s="406">
        <f>'2027'!Wh/'2027'!Env_an*'2028'!Env_an</f>
        <v>77.036465924554776</v>
      </c>
      <c r="C326" s="831"/>
      <c r="D326" s="388">
        <f t="shared" si="102"/>
        <v>79.871454497464867</v>
      </c>
      <c r="E326" s="380">
        <f t="shared" si="125"/>
        <v>81.667185441964506</v>
      </c>
      <c r="F326" s="380">
        <f t="shared" si="103"/>
        <v>81.829173866498024</v>
      </c>
      <c r="G326" s="110">
        <f t="shared" si="126"/>
        <v>0.63884661567569856</v>
      </c>
      <c r="H326" s="409" t="b">
        <f>Wh_hp&gt;='2027'!Maxi_hp</f>
        <v>0</v>
      </c>
      <c r="I326" s="385">
        <f>IF(H326,Wh_hp,'2027'!Maxi_hp)</f>
        <v>81.980504790373274</v>
      </c>
      <c r="J326" s="85">
        <f>IF(H326,An,'2027'!An_max)</f>
        <v>2022</v>
      </c>
      <c r="K326" s="193">
        <f t="shared" si="104"/>
        <v>47064</v>
      </c>
      <c r="L326" s="143">
        <f>IF(t&lt;Tvie,1-EXP((T0-t)*PertePVj)+'2027'!Pspv,1-EXP((T0-t)*PertePVj)+Pspv)</f>
        <v>3.5494390214216964E-2</v>
      </c>
      <c r="M326" s="835"/>
      <c r="N326" s="835"/>
      <c r="O326" s="48">
        <f>IF(t&lt;Tnet,'2027'!Resal+('2027'!Salim-'2027'!Resal)*(1-EXP(('2027'!Tnet-t)/('2027'!Tau_j))),Resal+(Salim-Resal)*(1-EXP((Tnet-t)/(Tau_j))))*Salcycl</f>
        <v>2.1988402499505084E-2</v>
      </c>
      <c r="P326" s="165">
        <f>(INDEX(Models!$BJ326:$BT326,,T326)*(1-R326)+INDEX(Models!$BJ326:$BT326,,T326+1)*R326-ERP_i)*Q326*Ramure*Pc/MaxiM</f>
        <v>4.0733592780625924E-3</v>
      </c>
      <c r="Q326" s="301">
        <f t="shared" si="105"/>
        <v>0.5</v>
      </c>
      <c r="R326" s="173">
        <f t="shared" si="106"/>
        <v>0.48868548932809652</v>
      </c>
      <c r="S326" s="801">
        <f t="shared" si="107"/>
        <v>3</v>
      </c>
      <c r="T326" s="172">
        <f t="shared" si="108"/>
        <v>9</v>
      </c>
      <c r="U326" s="247">
        <f t="shared" si="109"/>
        <v>3.4886854893280965</v>
      </c>
      <c r="V326" s="378">
        <f t="shared" si="110"/>
        <v>120.3338136511173</v>
      </c>
      <c r="W326" s="397">
        <f t="shared" si="111"/>
        <v>77.036465924554776</v>
      </c>
      <c r="X326" s="153">
        <f t="shared" si="112"/>
        <v>47064</v>
      </c>
      <c r="Y326" s="380">
        <f t="shared" si="113"/>
        <v>74.455145739665483</v>
      </c>
      <c r="Z326" s="380">
        <f t="shared" si="114"/>
        <v>77.195140167408653</v>
      </c>
      <c r="AA326" s="381">
        <f t="shared" si="115"/>
        <v>81.667185441964506</v>
      </c>
      <c r="AB326" s="193">
        <f t="shared" si="116"/>
        <v>47064</v>
      </c>
      <c r="AC326" s="119">
        <f>IF(OR(t&lt;Tnet,NoTnet),'2027'!Resal_s+('2027'!Salim-'2027'!Resal_s)*(1-EXP(('2027'!Tnet_s-t)/'2027'!Tau_j)),Resal_s+(Salim-Resal_s)*(1-EXP((Tnet_s-t)/Tau_j)))*Salcycl</f>
        <v>5.4759390204941583E-2</v>
      </c>
      <c r="AD326" s="227">
        <f>(INDEX(Models!$BJ326:$BT326,,AH326)*(1-AF326)+INDEX(Models!$BJ326:$BT326,,AH326+1)*AF326-ERP_i)*AE326*Ramure*Pc/MaxiM</f>
        <v>4.0733592780625924E-3</v>
      </c>
      <c r="AE326" s="301">
        <f t="shared" si="117"/>
        <v>0.5</v>
      </c>
      <c r="AF326" s="173">
        <f t="shared" si="118"/>
        <v>0.48868548932809652</v>
      </c>
      <c r="AG326" s="801">
        <f t="shared" si="124"/>
        <v>3</v>
      </c>
      <c r="AH326" s="172">
        <f t="shared" si="119"/>
        <v>9</v>
      </c>
      <c r="AI326" s="221">
        <f t="shared" si="120"/>
        <v>3.4886854893280965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47065</v>
      </c>
      <c r="B327" s="406">
        <f>'2027'!Wh/'2027'!Env_an*'2028'!Env_an</f>
        <v>43.457273380180531</v>
      </c>
      <c r="C327" s="831"/>
      <c r="D327" s="388">
        <f t="shared" si="102"/>
        <v>45.057144137870864</v>
      </c>
      <c r="E327" s="380">
        <f t="shared" si="125"/>
        <v>46.072509753663866</v>
      </c>
      <c r="F327" s="380">
        <f t="shared" si="103"/>
        <v>46.090695390336599</v>
      </c>
      <c r="G327" s="110">
        <f t="shared" si="126"/>
        <v>0.36352022899920794</v>
      </c>
      <c r="H327" s="409" t="b">
        <f>Wh_hp&gt;='2027'!Maxi_hp</f>
        <v>0</v>
      </c>
      <c r="I327" s="385">
        <f>IF(H327,Wh_hp,'2027'!Maxi_hp)</f>
        <v>46.247813119200636</v>
      </c>
      <c r="J327" s="85">
        <f>IF(H327,An,'2027'!An_max)</f>
        <v>2022</v>
      </c>
      <c r="K327" s="193">
        <f t="shared" si="104"/>
        <v>47065</v>
      </c>
      <c r="L327" s="143">
        <f>IF(t&lt;Tvie,1-EXP((T0-t)*PertePVj)+'2027'!Pspv,1-EXP((T0-t)*PertePVj)+Pspv)</f>
        <v>3.550759348606003E-2</v>
      </c>
      <c r="M327" s="835"/>
      <c r="N327" s="835"/>
      <c r="O327" s="48">
        <f>IF(t&lt;Tnet,'2027'!Resal+('2027'!Salim-'2027'!Resal)*(1-EXP(('2027'!Tnet-t)/('2027'!Tau_j))),Resal+(Salim-Resal)*(1-EXP((Tnet-t)/(Tau_j))))*Salcycl</f>
        <v>2.2038426411364675E-2</v>
      </c>
      <c r="P327" s="165">
        <f>(INDEX(Models!$BJ327:$BT327,,T327)*(1-R327)+INDEX(Models!$BJ327:$BT327,,T327+1)*R327-ERP_i)*Q327*Ramure*Pc/MaxiM</f>
        <v>4.2537676419150336E-3</v>
      </c>
      <c r="Q327" s="301">
        <f t="shared" si="105"/>
        <v>0.5</v>
      </c>
      <c r="R327" s="173">
        <f t="shared" si="106"/>
        <v>0.48872603097656597</v>
      </c>
      <c r="S327" s="801">
        <f t="shared" si="107"/>
        <v>3</v>
      </c>
      <c r="T327" s="172">
        <f t="shared" si="108"/>
        <v>9</v>
      </c>
      <c r="U327" s="247">
        <f t="shared" si="109"/>
        <v>3.488726030976566</v>
      </c>
      <c r="V327" s="378">
        <f t="shared" si="110"/>
        <v>119.08414765844512</v>
      </c>
      <c r="W327" s="397">
        <f t="shared" si="111"/>
        <v>43.457273380180531</v>
      </c>
      <c r="X327" s="153">
        <f t="shared" si="112"/>
        <v>47065</v>
      </c>
      <c r="Y327" s="380">
        <f t="shared" si="113"/>
        <v>42.003633534714275</v>
      </c>
      <c r="Z327" s="380">
        <f t="shared" si="114"/>
        <v>43.549988834574812</v>
      </c>
      <c r="AA327" s="381">
        <f t="shared" si="115"/>
        <v>46.072509753663866</v>
      </c>
      <c r="AB327" s="193">
        <f t="shared" si="116"/>
        <v>47065</v>
      </c>
      <c r="AC327" s="119">
        <f>IF(OR(t&lt;Tnet,NoTnet),'2027'!Resal_s+('2027'!Salim-'2027'!Resal_s)*(1-EXP(('2027'!Tnet_s-t)/'2027'!Tau_j)),Resal_s+(Salim-Resal_s)*(1-EXP((Tnet_s-t)/Tau_j)))*Salcycl</f>
        <v>5.4751107169464651E-2</v>
      </c>
      <c r="AD327" s="227">
        <f>(INDEX(Models!$BJ327:$BT327,,AH327)*(1-AF327)+INDEX(Models!$BJ327:$BT327,,AH327+1)*AF327-ERP_i)*AE327*Ramure*Pc/MaxiM</f>
        <v>4.2537676419150336E-3</v>
      </c>
      <c r="AE327" s="301">
        <f t="shared" si="117"/>
        <v>0.5</v>
      </c>
      <c r="AF327" s="173">
        <f t="shared" si="118"/>
        <v>0.48872603097656597</v>
      </c>
      <c r="AG327" s="801">
        <f t="shared" si="124"/>
        <v>3</v>
      </c>
      <c r="AH327" s="172">
        <f t="shared" si="119"/>
        <v>9</v>
      </c>
      <c r="AI327" s="221">
        <f t="shared" si="120"/>
        <v>3.488726030976566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47066</v>
      </c>
      <c r="B328" s="406">
        <f>'2027'!Wh/'2027'!Env_an*'2028'!Env_an</f>
        <v>90.223861303959808</v>
      </c>
      <c r="C328" s="831"/>
      <c r="D328" s="388">
        <f t="shared" si="102"/>
        <v>93.546715143016556</v>
      </c>
      <c r="E328" s="380">
        <f t="shared" si="125"/>
        <v>95.659690604861652</v>
      </c>
      <c r="F328" s="380">
        <f t="shared" si="103"/>
        <v>95.942071691509625</v>
      </c>
      <c r="G328" s="110">
        <f t="shared" si="126"/>
        <v>0.76443426305127626</v>
      </c>
      <c r="H328" s="409" t="b">
        <f>Wh_hp&gt;='2027'!Maxi_hp</f>
        <v>0</v>
      </c>
      <c r="I328" s="385">
        <f>IF(H328,Wh_hp,'2027'!Maxi_hp)</f>
        <v>96.067755850477184</v>
      </c>
      <c r="J328" s="85">
        <f>IF(H328,An,'2027'!An_max)</f>
        <v>2022</v>
      </c>
      <c r="K328" s="193">
        <f t="shared" si="104"/>
        <v>47066</v>
      </c>
      <c r="L328" s="143">
        <f>IF(t&lt;Tvie,1-EXP((T0-t)*PertePVj)+'2027'!Pspv,1-EXP((T0-t)*PertePVj)+Pspv)</f>
        <v>3.552079657716134E-2</v>
      </c>
      <c r="M328" s="835"/>
      <c r="N328" s="835"/>
      <c r="O328" s="48">
        <f>IF(t&lt;Tnet,'2027'!Resal+('2027'!Salim-'2027'!Resal)*(1-EXP(('2027'!Tnet-t)/('2027'!Tau_j))),Resal+(Salim-Resal)*(1-EXP((Tnet-t)/(Tau_j))))*Salcycl</f>
        <v>2.2088462219401181E-2</v>
      </c>
      <c r="P328" s="165">
        <f>(INDEX(Models!$BJ328:$BT328,,T328)*(1-R328)+INDEX(Models!$BJ328:$BT328,,T328+1)*R328-ERP_i)*Q328*Ramure*Pc/MaxiM</f>
        <v>4.4252470494746112E-3</v>
      </c>
      <c r="Q328" s="301">
        <f t="shared" si="105"/>
        <v>0.5</v>
      </c>
      <c r="R328" s="173">
        <f t="shared" si="106"/>
        <v>0.4887649464856012</v>
      </c>
      <c r="S328" s="801">
        <f t="shared" si="107"/>
        <v>3</v>
      </c>
      <c r="T328" s="172">
        <f t="shared" si="108"/>
        <v>9</v>
      </c>
      <c r="U328" s="247">
        <f t="shared" si="109"/>
        <v>3.4887649464856012</v>
      </c>
      <c r="V328" s="378">
        <f t="shared" si="110"/>
        <v>117.85153944877818</v>
      </c>
      <c r="W328" s="397">
        <f t="shared" si="111"/>
        <v>90.223861303959808</v>
      </c>
      <c r="X328" s="153">
        <f t="shared" si="112"/>
        <v>47066</v>
      </c>
      <c r="Y328" s="380">
        <f t="shared" si="113"/>
        <v>87.211078920809129</v>
      </c>
      <c r="Z328" s="380">
        <f t="shared" si="114"/>
        <v>90.422975022484536</v>
      </c>
      <c r="AA328" s="381">
        <f t="shared" si="115"/>
        <v>95.659690604861652</v>
      </c>
      <c r="AB328" s="193">
        <f t="shared" si="116"/>
        <v>47066</v>
      </c>
      <c r="AC328" s="119">
        <f>IF(OR(t&lt;Tnet,NoTnet),'2027'!Resal_s+('2027'!Salim-'2027'!Resal_s)*(1-EXP(('2027'!Tnet_s-t)/'2027'!Tau_j)),Resal_s+(Salim-Resal_s)*(1-EXP((Tnet_s-t)/Tau_j)))*Salcycl</f>
        <v>5.4743179172596731E-2</v>
      </c>
      <c r="AD328" s="227">
        <f>(INDEX(Models!$BJ328:$BT328,,AH328)*(1-AF328)+INDEX(Models!$BJ328:$BT328,,AH328+1)*AF328-ERP_i)*AE328*Ramure*Pc/MaxiM</f>
        <v>4.4252470494746112E-3</v>
      </c>
      <c r="AE328" s="301">
        <f t="shared" si="117"/>
        <v>0.5</v>
      </c>
      <c r="AF328" s="173">
        <f t="shared" si="118"/>
        <v>0.4887649464856012</v>
      </c>
      <c r="AG328" s="801">
        <f t="shared" si="124"/>
        <v>3</v>
      </c>
      <c r="AH328" s="172">
        <f t="shared" si="119"/>
        <v>9</v>
      </c>
      <c r="AI328" s="221">
        <f t="shared" si="120"/>
        <v>3.4887649464856012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47067</v>
      </c>
      <c r="B329" s="406">
        <f>'2027'!Wh/'2027'!Env_an*'2028'!Env_an</f>
        <v>109.76746825451578</v>
      </c>
      <c r="C329" s="831"/>
      <c r="D329" s="388">
        <f t="shared" si="102"/>
        <v>113.81165141766529</v>
      </c>
      <c r="E329" s="380">
        <f t="shared" si="125"/>
        <v>116.38831804213056</v>
      </c>
      <c r="F329" s="380">
        <f t="shared" si="103"/>
        <v>116.87940079149531</v>
      </c>
      <c r="G329" s="110">
        <f t="shared" si="126"/>
        <v>0.94073032738861262</v>
      </c>
      <c r="H329" s="409" t="b">
        <f>Wh_hp&gt;='2027'!Maxi_hp</f>
        <v>0</v>
      </c>
      <c r="I329" s="385">
        <f>IF(H329,Wh_hp,'2027'!Maxi_hp)</f>
        <v>116.91931335378777</v>
      </c>
      <c r="J329" s="85">
        <f>IF(H329,An,'2027'!An_max)</f>
        <v>2022</v>
      </c>
      <c r="K329" s="193">
        <f t="shared" si="104"/>
        <v>47067</v>
      </c>
      <c r="L329" s="143">
        <f>IF(t&lt;Tvie,1-EXP((T0-t)*PertePVj)+'2027'!Pspv,1-EXP((T0-t)*PertePVj)+Pspv)</f>
        <v>3.5533999487523449E-2</v>
      </c>
      <c r="M329" s="835"/>
      <c r="N329" s="835"/>
      <c r="O329" s="48">
        <f>IF(t&lt;Tnet,'2027'!Resal+('2027'!Salim-'2027'!Resal)*(1-EXP(('2027'!Tnet-t)/('2027'!Tau_j))),Resal+(Salim-Resal)*(1-EXP((Tnet-t)/(Tau_j))))*Salcycl</f>
        <v>2.2138533040167892E-2</v>
      </c>
      <c r="P329" s="165">
        <f>(INDEX(Models!$BJ329:$BT329,,T329)*(1-R329)+INDEX(Models!$BJ329:$BT329,,T329+1)*R329-ERP_i)*Q329*Ramure*Pc/MaxiM</f>
        <v>4.5876706931071041E-3</v>
      </c>
      <c r="Q329" s="301">
        <f t="shared" si="105"/>
        <v>0.5</v>
      </c>
      <c r="R329" s="173">
        <f t="shared" si="106"/>
        <v>0.48880230084159804</v>
      </c>
      <c r="S329" s="801">
        <f t="shared" si="107"/>
        <v>3</v>
      </c>
      <c r="T329" s="172">
        <f t="shared" si="108"/>
        <v>9</v>
      </c>
      <c r="U329" s="247">
        <f t="shared" si="109"/>
        <v>3.488802300841598</v>
      </c>
      <c r="V329" s="378">
        <f t="shared" si="110"/>
        <v>116.63801025691556</v>
      </c>
      <c r="W329" s="397">
        <f t="shared" si="111"/>
        <v>109.76746825451578</v>
      </c>
      <c r="X329" s="153">
        <f t="shared" si="112"/>
        <v>47067</v>
      </c>
      <c r="Y329" s="380">
        <f t="shared" si="113"/>
        <v>106.10835681371391</v>
      </c>
      <c r="Z329" s="380">
        <f t="shared" si="114"/>
        <v>110.01772665633875</v>
      </c>
      <c r="AA329" s="381">
        <f t="shared" si="115"/>
        <v>116.38831804213056</v>
      </c>
      <c r="AB329" s="193">
        <f t="shared" si="116"/>
        <v>47067</v>
      </c>
      <c r="AC329" s="119">
        <f>IF(OR(t&lt;Tnet,NoTnet),'2027'!Resal_s+('2027'!Salim-'2027'!Resal_s)*(1-EXP(('2027'!Tnet_s-t)/'2027'!Tau_j)),Resal_s+(Salim-Resal_s)*(1-EXP((Tnet_s-t)/Tau_j)))*Salcycl</f>
        <v>5.4735659840756255E-2</v>
      </c>
      <c r="AD329" s="227">
        <f>(INDEX(Models!$BJ329:$BT329,,AH329)*(1-AF329)+INDEX(Models!$BJ329:$BT329,,AH329+1)*AF329-ERP_i)*AE329*Ramure*Pc/MaxiM</f>
        <v>4.5876706931071041E-3</v>
      </c>
      <c r="AE329" s="301">
        <f t="shared" si="117"/>
        <v>0.5</v>
      </c>
      <c r="AF329" s="173">
        <f t="shared" si="118"/>
        <v>0.48880230084159804</v>
      </c>
      <c r="AG329" s="801">
        <f t="shared" si="124"/>
        <v>3</v>
      </c>
      <c r="AH329" s="172">
        <f t="shared" si="119"/>
        <v>9</v>
      </c>
      <c r="AI329" s="221">
        <f t="shared" si="120"/>
        <v>3.488802300841598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47068</v>
      </c>
      <c r="B330" s="406">
        <f>'2027'!Wh/'2027'!Env_an*'2028'!Env_an</f>
        <v>108.22950674309834</v>
      </c>
      <c r="C330" s="831"/>
      <c r="D330" s="388">
        <f t="shared" si="102"/>
        <v>112.21856268332012</v>
      </c>
      <c r="E330" s="380">
        <f t="shared" si="125"/>
        <v>114.76504543767643</v>
      </c>
      <c r="F330" s="380">
        <f t="shared" si="103"/>
        <v>115.26269966763699</v>
      </c>
      <c r="G330" s="110">
        <f t="shared" si="126"/>
        <v>0.93709511927178657</v>
      </c>
      <c r="H330" s="409" t="b">
        <f>Wh_hp&gt;='2027'!Maxi_hp</f>
        <v>0</v>
      </c>
      <c r="I330" s="385">
        <f>IF(H330,Wh_hp,'2027'!Maxi_hp)</f>
        <v>115.3058916610667</v>
      </c>
      <c r="J330" s="85">
        <f>IF(H330,An,'2027'!An_max)</f>
        <v>2022</v>
      </c>
      <c r="K330" s="193">
        <f t="shared" si="104"/>
        <v>47068</v>
      </c>
      <c r="L330" s="143">
        <f>IF(t&lt;Tvie,1-EXP((T0-t)*PertePVj)+'2027'!Pspv,1-EXP((T0-t)*PertePVj)+Pspv)</f>
        <v>3.5547202217148799E-2</v>
      </c>
      <c r="M330" s="835"/>
      <c r="N330" s="835"/>
      <c r="O330" s="48">
        <f>IF(t&lt;Tnet,'2027'!Resal+('2027'!Salim-'2027'!Resal)*(1-EXP(('2027'!Tnet-t)/('2027'!Tau_j))),Resal+(Salim-Resal)*(1-EXP((Tnet-t)/(Tau_j))))*Salcycl</f>
        <v>2.2188661579358639E-2</v>
      </c>
      <c r="P330" s="165">
        <f>(INDEX(Models!$BJ330:$BT330,,T330)*(1-R330)+INDEX(Models!$BJ330:$BT330,,T330+1)*R330-ERP_i)*Q330*Ramure*Pc/MaxiM</f>
        <v>4.7409027208501304E-3</v>
      </c>
      <c r="Q330" s="301">
        <f t="shared" si="105"/>
        <v>0.5</v>
      </c>
      <c r="R330" s="173">
        <f t="shared" si="106"/>
        <v>0.48883815645266138</v>
      </c>
      <c r="S330" s="801">
        <f t="shared" si="107"/>
        <v>3</v>
      </c>
      <c r="T330" s="172">
        <f t="shared" si="108"/>
        <v>9</v>
      </c>
      <c r="U330" s="247">
        <f t="shared" si="109"/>
        <v>3.4888381564526614</v>
      </c>
      <c r="V330" s="378">
        <f t="shared" si="110"/>
        <v>115.44558096329703</v>
      </c>
      <c r="W330" s="397">
        <f t="shared" si="111"/>
        <v>108.22950674309834</v>
      </c>
      <c r="X330" s="153">
        <f t="shared" si="112"/>
        <v>47068</v>
      </c>
      <c r="Y330" s="380">
        <f t="shared" si="113"/>
        <v>104.62780824983622</v>
      </c>
      <c r="Z330" s="380">
        <f t="shared" si="114"/>
        <v>108.48411502394067</v>
      </c>
      <c r="AA330" s="381">
        <f t="shared" si="115"/>
        <v>114.76504543767643</v>
      </c>
      <c r="AB330" s="193">
        <f t="shared" si="116"/>
        <v>47068</v>
      </c>
      <c r="AC330" s="119">
        <f>IF(OR(t&lt;Tnet,NoTnet),'2027'!Resal_s+('2027'!Salim-'2027'!Resal_s)*(1-EXP(('2027'!Tnet_s-t)/'2027'!Tau_j)),Resal_s+(Salim-Resal_s)*(1-EXP((Tnet_s-t)/Tau_j)))*Salcycl</f>
        <v>5.4728601289550698E-2</v>
      </c>
      <c r="AD330" s="227">
        <f>(INDEX(Models!$BJ330:$BT330,,AH330)*(1-AF330)+INDEX(Models!$BJ330:$BT330,,AH330+1)*AF330-ERP_i)*AE330*Ramure*Pc/MaxiM</f>
        <v>4.7409027208501304E-3</v>
      </c>
      <c r="AE330" s="301">
        <f t="shared" si="117"/>
        <v>0.5</v>
      </c>
      <c r="AF330" s="173">
        <f t="shared" si="118"/>
        <v>0.48883815645266138</v>
      </c>
      <c r="AG330" s="801">
        <f t="shared" si="124"/>
        <v>3</v>
      </c>
      <c r="AH330" s="172">
        <f t="shared" si="119"/>
        <v>9</v>
      </c>
      <c r="AI330" s="221">
        <f t="shared" si="120"/>
        <v>3.4888381564526614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47069</v>
      </c>
      <c r="B331" s="406">
        <f>'2027'!Wh/'2027'!Env_an*'2028'!Env_an</f>
        <v>106.87640736642095</v>
      </c>
      <c r="C331" s="831"/>
      <c r="D331" s="388">
        <f t="shared" si="102"/>
        <v>110.81710860335859</v>
      </c>
      <c r="E331" s="380">
        <f t="shared" si="125"/>
        <v>113.337608958009</v>
      </c>
      <c r="F331" s="380">
        <f t="shared" si="103"/>
        <v>113.84241743684973</v>
      </c>
      <c r="G331" s="110">
        <f t="shared" si="126"/>
        <v>0.93493731624649123</v>
      </c>
      <c r="H331" s="409" t="b">
        <f>Wh_hp&gt;='2027'!Maxi_hp</f>
        <v>0</v>
      </c>
      <c r="I331" s="385">
        <f>IF(H331,Wh_hp,'2027'!Maxi_hp)</f>
        <v>113.88791436897183</v>
      </c>
      <c r="J331" s="85">
        <f>IF(H331,An,'2027'!An_max)</f>
        <v>2022</v>
      </c>
      <c r="K331" s="193">
        <f t="shared" si="104"/>
        <v>47069</v>
      </c>
      <c r="L331" s="143">
        <f>IF(t&lt;Tvie,1-EXP((T0-t)*PertePVj)+'2027'!Pspv,1-EXP((T0-t)*PertePVj)+Pspv)</f>
        <v>3.5560404766039944E-2</v>
      </c>
      <c r="M331" s="835"/>
      <c r="N331" s="835"/>
      <c r="O331" s="48">
        <f>IF(t&lt;Tnet,'2027'!Resal+('2027'!Salim-'2027'!Resal)*(1-EXP(('2027'!Tnet-t)/('2027'!Tau_j))),Resal+(Salim-Resal)*(1-EXP((Tnet-t)/(Tau_j))))*Salcycl</f>
        <v>2.2238870025785094E-2</v>
      </c>
      <c r="P331" s="165">
        <f>(INDEX(Models!$BJ331:$BT331,,T331)*(1-R331)+INDEX(Models!$BJ331:$BT331,,T331+1)*R331-ERP_i)*Q331*Ramure*Pc/MaxiM</f>
        <v>4.8853975402990491E-3</v>
      </c>
      <c r="Q331" s="301">
        <f t="shared" si="105"/>
        <v>0.5</v>
      </c>
      <c r="R331" s="173">
        <f t="shared" si="106"/>
        <v>0.48887257324941213</v>
      </c>
      <c r="S331" s="801">
        <f t="shared" si="107"/>
        <v>3</v>
      </c>
      <c r="T331" s="172">
        <f t="shared" si="108"/>
        <v>9</v>
      </c>
      <c r="U331" s="247">
        <f t="shared" si="109"/>
        <v>3.4888725732494121</v>
      </c>
      <c r="V331" s="378">
        <f t="shared" si="110"/>
        <v>114.26218239992895</v>
      </c>
      <c r="W331" s="397">
        <f t="shared" si="111"/>
        <v>106.87640736642095</v>
      </c>
      <c r="X331" s="153">
        <f t="shared" si="112"/>
        <v>47069</v>
      </c>
      <c r="Y331" s="380">
        <f t="shared" si="113"/>
        <v>103.32575896763453</v>
      </c>
      <c r="Z331" s="380">
        <f t="shared" si="114"/>
        <v>107.13554221357855</v>
      </c>
      <c r="AA331" s="381">
        <f t="shared" si="115"/>
        <v>113.337608958009</v>
      </c>
      <c r="AB331" s="193">
        <f t="shared" si="116"/>
        <v>47069</v>
      </c>
      <c r="AC331" s="119">
        <f>IF(OR(t&lt;Tnet,NoTnet),'2027'!Resal_s+('2027'!Salim-'2027'!Resal_s)*(1-EXP(('2027'!Tnet_s-t)/'2027'!Tau_j)),Resal_s+(Salim-Resal_s)*(1-EXP((Tnet_s-t)/Tau_j)))*Salcycl</f>
        <v>5.4722053883528535E-2</v>
      </c>
      <c r="AD331" s="227">
        <f>(INDEX(Models!$BJ331:$BT331,,AH331)*(1-AF331)+INDEX(Models!$BJ331:$BT331,,AH331+1)*AF331-ERP_i)*AE331*Ramure*Pc/MaxiM</f>
        <v>4.8853975402990491E-3</v>
      </c>
      <c r="AE331" s="301">
        <f t="shared" si="117"/>
        <v>0.5</v>
      </c>
      <c r="AF331" s="173">
        <f t="shared" si="118"/>
        <v>0.48887257324941213</v>
      </c>
      <c r="AG331" s="801">
        <f t="shared" si="124"/>
        <v>3</v>
      </c>
      <c r="AH331" s="172">
        <f t="shared" si="119"/>
        <v>9</v>
      </c>
      <c r="AI331" s="221">
        <f t="shared" si="120"/>
        <v>3.4888725732494121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47070</v>
      </c>
      <c r="B332" s="406">
        <f>'2027'!Wh/'2027'!Env_an*'2028'!Env_an</f>
        <v>40.778189349969729</v>
      </c>
      <c r="C332" s="831"/>
      <c r="D332" s="388">
        <f t="shared" si="102"/>
        <v>42.28232413756016</v>
      </c>
      <c r="E332" s="380">
        <f t="shared" si="125"/>
        <v>43.246247530851086</v>
      </c>
      <c r="F332" s="380">
        <f t="shared" si="103"/>
        <v>43.265037480464464</v>
      </c>
      <c r="G332" s="110">
        <f t="shared" si="126"/>
        <v>0.35896778838970206</v>
      </c>
      <c r="H332" s="409" t="b">
        <f>Wh_hp&gt;='2027'!Maxi_hp</f>
        <v>0</v>
      </c>
      <c r="I332" s="385">
        <f>IF(H332,Wh_hp,'2027'!Maxi_hp)</f>
        <v>43.440643377111911</v>
      </c>
      <c r="J332" s="85">
        <f>IF(H332,An,'2027'!An_max)</f>
        <v>2022</v>
      </c>
      <c r="K332" s="193">
        <f t="shared" si="104"/>
        <v>47070</v>
      </c>
      <c r="L332" s="143">
        <f>IF(t&lt;Tvie,1-EXP((T0-t)*PertePVj)+'2027'!Pspv,1-EXP((T0-t)*PertePVj)+Pspv)</f>
        <v>3.5573607134199214E-2</v>
      </c>
      <c r="M332" s="835"/>
      <c r="N332" s="835"/>
      <c r="O332" s="48">
        <f>IF(t&lt;Tnet,'2027'!Resal+('2027'!Salim-'2027'!Resal)*(1-EXP(('2027'!Tnet-t)/('2027'!Tau_j))),Resal+(Salim-Resal)*(1-EXP((Tnet-t)/(Tau_j))))*Salcycl</f>
        <v>2.2289179948000785E-2</v>
      </c>
      <c r="P332" s="165">
        <f>(INDEX(Models!$BJ332:$BT332,,T332)*(1-R332)+INDEX(Models!$BJ332:$BT332,,T332+1)*R332-ERP_i)*Q332*Ramure*Pc/MaxiM</f>
        <v>5.0149644931508182E-3</v>
      </c>
      <c r="Q332" s="301">
        <f t="shared" si="105"/>
        <v>0.5</v>
      </c>
      <c r="R332" s="173">
        <f t="shared" si="106"/>
        <v>0.48890560878197364</v>
      </c>
      <c r="S332" s="801">
        <f t="shared" si="107"/>
        <v>3</v>
      </c>
      <c r="T332" s="172">
        <f t="shared" si="108"/>
        <v>9</v>
      </c>
      <c r="U332" s="247">
        <f t="shared" si="109"/>
        <v>3.4889056087819736</v>
      </c>
      <c r="V332" s="378">
        <f t="shared" si="110"/>
        <v>113.07788121219701</v>
      </c>
      <c r="W332" s="397">
        <f t="shared" si="111"/>
        <v>40.778189349969729</v>
      </c>
      <c r="X332" s="153">
        <f t="shared" si="112"/>
        <v>47070</v>
      </c>
      <c r="Y332" s="380">
        <f t="shared" si="113"/>
        <v>39.425734541685259</v>
      </c>
      <c r="Z332" s="380">
        <f t="shared" si="114"/>
        <v>40.879982996453855</v>
      </c>
      <c r="AA332" s="381">
        <f t="shared" si="115"/>
        <v>43.246247530851086</v>
      </c>
      <c r="AB332" s="193">
        <f t="shared" si="116"/>
        <v>47070</v>
      </c>
      <c r="AC332" s="119">
        <f>IF(OR(t&lt;Tnet,NoTnet),'2027'!Resal_s+('2027'!Salim-'2027'!Resal_s)*(1-EXP(('2027'!Tnet_s-t)/'2027'!Tau_j)),Resal_s+(Salim-Resal_s)*(1-EXP((Tnet_s-t)/Tau_j)))*Salcycl</f>
        <v>5.4716066005708018E-2</v>
      </c>
      <c r="AD332" s="227">
        <f>(INDEX(Models!$BJ332:$BT332,,AH332)*(1-AF332)+INDEX(Models!$BJ332:$BT332,,AH332+1)*AF332-ERP_i)*AE332*Ramure*Pc/MaxiM</f>
        <v>5.0149644931508182E-3</v>
      </c>
      <c r="AE332" s="301">
        <f t="shared" si="117"/>
        <v>0.5</v>
      </c>
      <c r="AF332" s="173">
        <f t="shared" si="118"/>
        <v>0.48890560878197364</v>
      </c>
      <c r="AG332" s="801">
        <f t="shared" si="124"/>
        <v>3</v>
      </c>
      <c r="AH332" s="172">
        <f t="shared" si="119"/>
        <v>9</v>
      </c>
      <c r="AI332" s="221">
        <f t="shared" si="120"/>
        <v>3.4889056087819736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47071</v>
      </c>
      <c r="B333" s="406">
        <f>'2027'!Wh/'2027'!Env_an*'2028'!Env_an</f>
        <v>51.294135048399596</v>
      </c>
      <c r="C333" s="831"/>
      <c r="D333" s="388">
        <f t="shared" si="102"/>
        <v>53.186886641729942</v>
      </c>
      <c r="E333" s="380">
        <f t="shared" si="125"/>
        <v>54.402210936566391</v>
      </c>
      <c r="F333" s="380">
        <f t="shared" si="103"/>
        <v>54.465488612667251</v>
      </c>
      <c r="G333" s="110">
        <f t="shared" si="126"/>
        <v>0.45658505369725544</v>
      </c>
      <c r="H333" s="409" t="b">
        <f>Wh_hp&gt;='2027'!Maxi_hp</f>
        <v>0</v>
      </c>
      <c r="I333" s="385">
        <f>IF(H333,Wh_hp,'2027'!Maxi_hp)</f>
        <v>54.6572788100165</v>
      </c>
      <c r="J333" s="85">
        <f>IF(H333,An,'2027'!An_max)</f>
        <v>2022</v>
      </c>
      <c r="K333" s="193">
        <f t="shared" si="104"/>
        <v>47071</v>
      </c>
      <c r="L333" s="143">
        <f>IF(t&lt;Tvie,1-EXP((T0-t)*PertePVj)+'2027'!Pspv,1-EXP((T0-t)*PertePVj)+Pspv)</f>
        <v>3.5586809321629165E-2</v>
      </c>
      <c r="M333" s="835"/>
      <c r="N333" s="835"/>
      <c r="O333" s="48">
        <f>IF(t&lt;Tnet,'2027'!Resal+('2027'!Salim-'2027'!Resal)*(1-EXP(('2027'!Tnet-t)/('2027'!Tau_j))),Resal+(Salim-Resal)*(1-EXP((Tnet-t)/(Tau_j))))*Salcycl</f>
        <v>2.2339612194319278E-2</v>
      </c>
      <c r="P333" s="165">
        <f>(INDEX(Models!$BJ333:$BT333,,T333)*(1-R333)+INDEX(Models!$BJ333:$BT333,,T333+1)*R333-ERP_i)*Q333*Ramure*Pc/MaxiM</f>
        <v>5.1339302253773219E-3</v>
      </c>
      <c r="Q333" s="301">
        <f t="shared" si="105"/>
        <v>0.5</v>
      </c>
      <c r="R333" s="173">
        <f t="shared" si="106"/>
        <v>0.48893731831326903</v>
      </c>
      <c r="S333" s="801">
        <f t="shared" si="107"/>
        <v>3</v>
      </c>
      <c r="T333" s="172">
        <f t="shared" si="108"/>
        <v>9</v>
      </c>
      <c r="U333" s="247">
        <f t="shared" si="109"/>
        <v>3.488937318313269</v>
      </c>
      <c r="V333" s="378">
        <f t="shared" si="110"/>
        <v>111.89624003969246</v>
      </c>
      <c r="W333" s="397">
        <f t="shared" si="111"/>
        <v>51.294135048399596</v>
      </c>
      <c r="X333" s="153">
        <f t="shared" si="112"/>
        <v>47071</v>
      </c>
      <c r="Y333" s="380">
        <f t="shared" si="113"/>
        <v>49.595747611115556</v>
      </c>
      <c r="Z333" s="380">
        <f t="shared" si="114"/>
        <v>51.425828773899049</v>
      </c>
      <c r="AA333" s="381">
        <f t="shared" si="115"/>
        <v>54.402210936566391</v>
      </c>
      <c r="AB333" s="193">
        <f t="shared" si="116"/>
        <v>47071</v>
      </c>
      <c r="AC333" s="119">
        <f>IF(OR(t&lt;Tnet,NoTnet),'2027'!Resal_s+('2027'!Salim-'2027'!Resal_s)*(1-EXP(('2027'!Tnet_s-t)/'2027'!Tau_j)),Resal_s+(Salim-Resal_s)*(1-EXP((Tnet_s-t)/Tau_j)))*Salcycl</f>
        <v>5.4710683838527063E-2</v>
      </c>
      <c r="AD333" s="227">
        <f>(INDEX(Models!$BJ333:$BT333,,AH333)*(1-AF333)+INDEX(Models!$BJ333:$BT333,,AH333+1)*AF333-ERP_i)*AE333*Ramure*Pc/MaxiM</f>
        <v>5.1339302253773219E-3</v>
      </c>
      <c r="AE333" s="301">
        <f t="shared" si="117"/>
        <v>0.5</v>
      </c>
      <c r="AF333" s="173">
        <f t="shared" si="118"/>
        <v>0.48893731831326903</v>
      </c>
      <c r="AG333" s="801">
        <f t="shared" si="124"/>
        <v>3</v>
      </c>
      <c r="AH333" s="172">
        <f t="shared" si="119"/>
        <v>9</v>
      </c>
      <c r="AI333" s="221">
        <f t="shared" si="120"/>
        <v>3.488937318313269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47072</v>
      </c>
      <c r="B334" s="406">
        <f>'2027'!Wh/'2027'!Env_an*'2028'!Env_an</f>
        <v>106.92349382665114</v>
      </c>
      <c r="C334" s="831"/>
      <c r="D334" s="388">
        <f t="shared" si="102"/>
        <v>110.87048432458401</v>
      </c>
      <c r="E334" s="380">
        <f t="shared" si="125"/>
        <v>113.40974980736647</v>
      </c>
      <c r="F334" s="380">
        <f t="shared" si="103"/>
        <v>113.97795646078517</v>
      </c>
      <c r="G334" s="110">
        <f t="shared" si="126"/>
        <v>0.9654497404804292</v>
      </c>
      <c r="H334" s="409" t="b">
        <f>Wh_hp&gt;='2027'!Maxi_hp</f>
        <v>0</v>
      </c>
      <c r="I334" s="385">
        <f>IF(H334,Wh_hp,'2027'!Maxi_hp)</f>
        <v>114.00392589977223</v>
      </c>
      <c r="J334" s="85">
        <f>IF(H334,An,'2027'!An_max)</f>
        <v>2022</v>
      </c>
      <c r="K334" s="193">
        <f t="shared" si="104"/>
        <v>47072</v>
      </c>
      <c r="L334" s="143">
        <f>IF(t&lt;Tvie,1-EXP((T0-t)*PertePVj)+'2027'!Pspv,1-EXP((T0-t)*PertePVj)+Pspv)</f>
        <v>3.5600011328332237E-2</v>
      </c>
      <c r="M334" s="835"/>
      <c r="N334" s="835"/>
      <c r="O334" s="48">
        <f>IF(t&lt;Tnet,'2027'!Resal+('2027'!Salim-'2027'!Resal)*(1-EXP(('2027'!Tnet-t)/('2027'!Tau_j))),Resal+(Salim-Resal)*(1-EXP((Tnet-t)/(Tau_j))))*Salcycl</f>
        <v>2.2390186796951428E-2</v>
      </c>
      <c r="P334" s="165">
        <f>(INDEX(Models!$BJ334:$BT334,,T334)*(1-R334)+INDEX(Models!$BJ334:$BT334,,T334+1)*R334-ERP_i)*Q334*Ramure*Pc/MaxiM</f>
        <v>5.2421030762644458E-3</v>
      </c>
      <c r="Q334" s="301">
        <f t="shared" si="105"/>
        <v>0.5</v>
      </c>
      <c r="R334" s="173">
        <f t="shared" si="106"/>
        <v>0.48896775490875832</v>
      </c>
      <c r="S334" s="801">
        <f t="shared" si="107"/>
        <v>3</v>
      </c>
      <c r="T334" s="172">
        <f t="shared" si="108"/>
        <v>9</v>
      </c>
      <c r="U334" s="247">
        <f t="shared" si="109"/>
        <v>3.4889677549087583</v>
      </c>
      <c r="V334" s="378">
        <f t="shared" si="110"/>
        <v>110.72134185289596</v>
      </c>
      <c r="W334" s="397">
        <f t="shared" si="111"/>
        <v>106.92349382665114</v>
      </c>
      <c r="X334" s="153">
        <f t="shared" si="112"/>
        <v>47072</v>
      </c>
      <c r="Y334" s="380">
        <f t="shared" si="113"/>
        <v>103.38904236710918</v>
      </c>
      <c r="Z334" s="380">
        <f t="shared" si="114"/>
        <v>107.20556157358918</v>
      </c>
      <c r="AA334" s="381">
        <f t="shared" si="115"/>
        <v>113.40974980736647</v>
      </c>
      <c r="AB334" s="193">
        <f t="shared" si="116"/>
        <v>47072</v>
      </c>
      <c r="AC334" s="119">
        <f>IF(OR(t&lt;Tnet,NoTnet),'2027'!Resal_s+('2027'!Salim-'2027'!Resal_s)*(1-EXP(('2027'!Tnet_s-t)/'2027'!Tau_j)),Resal_s+(Salim-Resal_s)*(1-EXP((Tnet_s-t)/Tau_j)))*Salcycl</f>
        <v>5.4705951157775122E-2</v>
      </c>
      <c r="AD334" s="227">
        <f>(INDEX(Models!$BJ334:$BT334,,AH334)*(1-AF334)+INDEX(Models!$BJ334:$BT334,,AH334+1)*AF334-ERP_i)*AE334*Ramure*Pc/MaxiM</f>
        <v>5.2421030762644458E-3</v>
      </c>
      <c r="AE334" s="301">
        <f t="shared" si="117"/>
        <v>0.5</v>
      </c>
      <c r="AF334" s="173">
        <f t="shared" si="118"/>
        <v>0.48896775490875832</v>
      </c>
      <c r="AG334" s="801">
        <f t="shared" si="124"/>
        <v>3</v>
      </c>
      <c r="AH334" s="172">
        <f t="shared" si="119"/>
        <v>9</v>
      </c>
      <c r="AI334" s="221">
        <f t="shared" si="120"/>
        <v>3.4889677549087583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47073</v>
      </c>
      <c r="B335" s="406">
        <f>'2027'!Wh/'2027'!Env_an*'2028'!Env_an</f>
        <v>63.493307008250504</v>
      </c>
      <c r="C335" s="831"/>
      <c r="D335" s="388">
        <f t="shared" ref="D335:D380" si="127">Wh/(1-Ppv)</f>
        <v>65.838010095434896</v>
      </c>
      <c r="E335" s="380">
        <f t="shared" si="125"/>
        <v>67.349392621329528</v>
      </c>
      <c r="F335" s="380">
        <f t="shared" ref="F335:F380" si="128">Wh_sa/(1-Pvg*MEDIAN((-Sdif+Wh/Env_an)/Csdif,0,1))</f>
        <v>67.493303807762942</v>
      </c>
      <c r="G335" s="110">
        <f t="shared" si="126"/>
        <v>0.5776818555837705</v>
      </c>
      <c r="H335" s="409" t="b">
        <f>Wh_hp&gt;='2027'!Maxi_hp</f>
        <v>0</v>
      </c>
      <c r="I335" s="385">
        <f>IF(H335,Wh_hp,'2027'!Maxi_hp)</f>
        <v>67.685207187062332</v>
      </c>
      <c r="J335" s="85">
        <f>IF(H335,An,'2027'!An_max)</f>
        <v>2022</v>
      </c>
      <c r="K335" s="193">
        <f t="shared" ref="K335:K380" si="129">t</f>
        <v>47073</v>
      </c>
      <c r="L335" s="143">
        <f>IF(t&lt;Tvie,1-EXP((T0-t)*PertePVj)+'2027'!Pspv,1-EXP((T0-t)*PertePVj)+Pspv)</f>
        <v>3.5613213154310874E-2</v>
      </c>
      <c r="M335" s="835"/>
      <c r="N335" s="835"/>
      <c r="O335" s="48">
        <f>IF(t&lt;Tnet,'2027'!Resal+('2027'!Salim-'2027'!Resal)*(1-EXP(('2027'!Tnet-t)/('2027'!Tau_j))),Resal+(Salim-Resal)*(1-EXP((Tnet-t)/(Tau_j))))*Salcycl</f>
        <v>2.2440922880958118E-2</v>
      </c>
      <c r="P335" s="165">
        <f>(INDEX(Models!$BJ335:$BT335,,T335)*(1-R335)+INDEX(Models!$BJ335:$BT335,,T335+1)*R335-ERP_i)*Q335*Ramure*Pc/MaxiM</f>
        <v>5.3392596532237813E-3</v>
      </c>
      <c r="Q335" s="301">
        <f t="shared" ref="Q335:Q380" si="130">IF(OR(t&lt;Ttai,Notai),Dd+PousD*Croivg,Dens+PousD*(Croivg-Croi_tai))</f>
        <v>0.5</v>
      </c>
      <c r="R335" s="173">
        <f t="shared" ref="R335:R379" si="131">(Hp_vg-S335)/(INDEX(Echel_vg,T335+1)-S335)</f>
        <v>0.48899696952275296</v>
      </c>
      <c r="S335" s="801">
        <f t="shared" ref="S335:S379" si="132">INDEX(Echel_vg,T335)</f>
        <v>3</v>
      </c>
      <c r="T335" s="172">
        <f t="shared" ref="T335:T380" si="133">MIN(MATCH(Hp_vg,Echel_vg),10)</f>
        <v>9</v>
      </c>
      <c r="U335" s="247">
        <f t="shared" ref="U335:U380" si="134">IF(OR(t&lt;Ttai,Notai),Hdd+PousH*Croivg,Hdtf+PousH*(Croivg-Croi_tai))</f>
        <v>3.488996969522753</v>
      </c>
      <c r="V335" s="378">
        <f t="shared" ref="V335:V380" si="135">MaxiM*(1-Ppv)*(1-Pvg)*(1-Psa)</f>
        <v>109.55726983316059</v>
      </c>
      <c r="W335" s="397">
        <f t="shared" ref="W335:W380" si="136">Wh*(A335&gt;Tmaj)</f>
        <v>63.493307008250504</v>
      </c>
      <c r="X335" s="153">
        <f t="shared" ref="X335:X380" si="137">t</f>
        <v>47073</v>
      </c>
      <c r="Y335" s="380">
        <f t="shared" ref="Y335:Y380" si="138">Wh_pvt_s*(1-Ppv)</f>
        <v>61.397928066005342</v>
      </c>
      <c r="Z335" s="380">
        <f t="shared" ref="Z335:Z380" si="139">Wh_sa_s*(1-Psa_s)</f>
        <v>63.665252265458072</v>
      </c>
      <c r="AA335" s="381">
        <f t="shared" ref="AA335:AA380" si="140">Wh_hp*(1-Pvg_s*MEDIAN((-Sdif+Wh/Env_an)/Csdif,0,1))</f>
        <v>67.349392621329528</v>
      </c>
      <c r="AB335" s="193">
        <f t="shared" ref="AB335:AB380" si="141">t</f>
        <v>47073</v>
      </c>
      <c r="AC335" s="119">
        <f>IF(OR(t&lt;Tnet,NoTnet),'2027'!Resal_s+('2027'!Salim-'2027'!Resal_s)*(1-EXP(('2027'!Tnet_s-t)/'2027'!Tau_j)),Resal_s+(Salim-Resal_s)*(1-EXP((Tnet_s-t)/Tau_j)))*Salcycl</f>
        <v>5.4701909140969653E-2</v>
      </c>
      <c r="AD335" s="227">
        <f>(INDEX(Models!$BJ335:$BT335,,AH335)*(1-AF335)+INDEX(Models!$BJ335:$BT335,,AH335+1)*AF335-ERP_i)*AE335*Ramure*Pc/MaxiM</f>
        <v>5.3392596532237813E-3</v>
      </c>
      <c r="AE335" s="301">
        <f t="shared" ref="AE335:AE380" si="142">IF(OR(t&lt;Ttai,Notai),Dd_s+PousD*Croivg,Dens_s+PousD*(Croivg-Croi_tai))</f>
        <v>0.5</v>
      </c>
      <c r="AF335" s="173">
        <f t="shared" ref="AF335:AF379" si="143">(Hp_vg_s-AG335)/(INDEX(Echel_vg,AH335+1)-AG335)</f>
        <v>0.48899696952275296</v>
      </c>
      <c r="AG335" s="801">
        <f t="shared" si="124"/>
        <v>3</v>
      </c>
      <c r="AH335" s="172">
        <f t="shared" ref="AH335:AH380" si="144">MIN(MATCH(Hp_vg_s,Echel_vg),10)</f>
        <v>9</v>
      </c>
      <c r="AI335" s="221">
        <f t="shared" ref="AI335:AI380" si="145">IF(OR(t&lt;Ttai,Notai),Hdd_s+PousH*Croivg,Hdtai_s+PousH*(Croivg-Croi_tai))</f>
        <v>3.488996969522753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47074</v>
      </c>
      <c r="B336" s="406">
        <f>'2027'!Wh/'2027'!Env_an*'2028'!Env_an</f>
        <v>50.384842265795882</v>
      </c>
      <c r="C336" s="831"/>
      <c r="D336" s="388">
        <f t="shared" si="127"/>
        <v>52.246186580612381</v>
      </c>
      <c r="E336" s="380">
        <f t="shared" si="125"/>
        <v>53.448337970544578</v>
      </c>
      <c r="F336" s="380">
        <f t="shared" si="128"/>
        <v>53.516678892128297</v>
      </c>
      <c r="G336" s="110">
        <f t="shared" si="126"/>
        <v>0.46283965858792814</v>
      </c>
      <c r="H336" s="409" t="b">
        <f>Wh_hp&gt;='2027'!Maxi_hp</f>
        <v>0</v>
      </c>
      <c r="I336" s="385">
        <f>IF(H336,Wh_hp,'2027'!Maxi_hp)</f>
        <v>53.713397448687658</v>
      </c>
      <c r="J336" s="85">
        <f>IF(H336,An,'2027'!An_max)</f>
        <v>2022</v>
      </c>
      <c r="K336" s="193">
        <f t="shared" si="129"/>
        <v>47074</v>
      </c>
      <c r="L336" s="143">
        <f>IF(t&lt;Tvie,1-EXP((T0-t)*PertePVj)+'2027'!Pspv,1-EXP((T0-t)*PertePVj)+Pspv)</f>
        <v>3.5626414799567629E-2</v>
      </c>
      <c r="M336" s="835"/>
      <c r="N336" s="835"/>
      <c r="O336" s="48">
        <f>IF(t&lt;Tnet,'2027'!Resal+('2027'!Salim-'2027'!Resal)*(1-EXP(('2027'!Tnet-t)/('2027'!Tau_j))),Resal+(Salim-Resal)*(1-EXP((Tnet-t)/(Tau_j))))*Salcycl</f>
        <v>2.2491838578679528E-2</v>
      </c>
      <c r="P336" s="165">
        <f>(INDEX(Models!$BJ336:$BT336,,T336)*(1-R336)+INDEX(Models!$BJ336:$BT336,,T336+1)*R336-ERP_i)*Q336*Ramure*Pc/MaxiM</f>
        <v>5.4251459408529894E-3</v>
      </c>
      <c r="Q336" s="301">
        <f t="shared" si="130"/>
        <v>0.5</v>
      </c>
      <c r="R336" s="173">
        <f t="shared" si="131"/>
        <v>0.48902501108141605</v>
      </c>
      <c r="S336" s="801">
        <f t="shared" si="132"/>
        <v>3</v>
      </c>
      <c r="T336" s="172">
        <f t="shared" si="133"/>
        <v>9</v>
      </c>
      <c r="U336" s="247">
        <f t="shared" si="134"/>
        <v>3.4890250110814161</v>
      </c>
      <c r="V336" s="378">
        <f t="shared" si="135"/>
        <v>108.40810749907955</v>
      </c>
      <c r="W336" s="397">
        <f t="shared" si="136"/>
        <v>50.384842265795882</v>
      </c>
      <c r="X336" s="153">
        <f t="shared" si="137"/>
        <v>47074</v>
      </c>
      <c r="Y336" s="380">
        <f t="shared" si="138"/>
        <v>48.724771827246592</v>
      </c>
      <c r="Z336" s="380">
        <f t="shared" si="139"/>
        <v>50.524788914785333</v>
      </c>
      <c r="AA336" s="381">
        <f t="shared" si="140"/>
        <v>53.448337970544578</v>
      </c>
      <c r="AB336" s="193">
        <f t="shared" si="141"/>
        <v>47074</v>
      </c>
      <c r="AC336" s="119">
        <f>IF(OR(t&lt;Tnet,NoTnet),'2027'!Resal_s+('2027'!Salim-'2027'!Resal_s)*(1-EXP(('2027'!Tnet_s-t)/'2027'!Tau_j)),Resal_s+(Salim-Resal_s)*(1-EXP((Tnet_s-t)/Tau_j)))*Salcycl</f>
        <v>5.4698596191530162E-2</v>
      </c>
      <c r="AD336" s="227">
        <f>(INDEX(Models!$BJ336:$BT336,,AH336)*(1-AF336)+INDEX(Models!$BJ336:$BT336,,AH336+1)*AF336-ERP_i)*AE336*Ramure*Pc/MaxiM</f>
        <v>5.4251459408529894E-3</v>
      </c>
      <c r="AE336" s="301">
        <f t="shared" si="142"/>
        <v>0.5</v>
      </c>
      <c r="AF336" s="173">
        <f t="shared" si="143"/>
        <v>0.48902501108141605</v>
      </c>
      <c r="AG336" s="801">
        <f t="shared" ref="AG336:AG379" si="149">INDEX(Echel_vg,AH336)</f>
        <v>3</v>
      </c>
      <c r="AH336" s="172">
        <f t="shared" si="144"/>
        <v>9</v>
      </c>
      <c r="AI336" s="221">
        <f t="shared" si="145"/>
        <v>3.4890250110814161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47075</v>
      </c>
      <c r="B337" s="406">
        <f>'2027'!Wh/'2027'!Env_an*'2028'!Env_an</f>
        <v>23.957317722748545</v>
      </c>
      <c r="C337" s="831"/>
      <c r="D337" s="388">
        <f t="shared" si="127"/>
        <v>24.842702092280916</v>
      </c>
      <c r="E337" s="380">
        <f t="shared" si="125"/>
        <v>25.415645747741475</v>
      </c>
      <c r="F337" s="380">
        <f t="shared" si="128"/>
        <v>25.415645747741475</v>
      </c>
      <c r="G337" s="110">
        <f t="shared" si="126"/>
        <v>0.22209193443652292</v>
      </c>
      <c r="H337" s="409" t="b">
        <f>Wh_hp&gt;='2027'!Maxi_hp</f>
        <v>0</v>
      </c>
      <c r="I337" s="385">
        <f>IF(H337,Wh_hp,'2027'!Maxi_hp)</f>
        <v>25.539405273460016</v>
      </c>
      <c r="J337" s="85">
        <f>IF(H337,An,'2027'!An_max)</f>
        <v>2022</v>
      </c>
      <c r="K337" s="193">
        <f t="shared" si="129"/>
        <v>47075</v>
      </c>
      <c r="L337" s="143">
        <f>IF(t&lt;Tvie,1-EXP((T0-t)*PertePVj)+'2027'!Pspv,1-EXP((T0-t)*PertePVj)+Pspv)</f>
        <v>3.5639616264105056E-2</v>
      </c>
      <c r="M337" s="835"/>
      <c r="N337" s="835"/>
      <c r="O337" s="48">
        <f>IF(t&lt;Tnet,'2027'!Resal+('2027'!Salim-'2027'!Resal)*(1-EXP(('2027'!Tnet-t)/('2027'!Tau_j))),Resal+(Salim-Resal)*(1-EXP((Tnet-t)/(Tau_j))))*Salcycl</f>
        <v>2.2542950950261438E-2</v>
      </c>
      <c r="P337" s="165">
        <f>(INDEX(Models!$BJ337:$BT337,,T337)*(1-R337)+INDEX(Models!$BJ337:$BT337,,T337+1)*R337-ERP_i)*Q337*Ramure*Pc/MaxiM</f>
        <v>5.4994788134216186E-3</v>
      </c>
      <c r="Q337" s="301">
        <f t="shared" si="130"/>
        <v>0.5</v>
      </c>
      <c r="R337" s="173">
        <f t="shared" si="131"/>
        <v>0.48905192656258656</v>
      </c>
      <c r="S337" s="801">
        <f t="shared" si="132"/>
        <v>3</v>
      </c>
      <c r="T337" s="172">
        <f t="shared" si="133"/>
        <v>9</v>
      </c>
      <c r="U337" s="247">
        <f t="shared" si="134"/>
        <v>3.4890519265625866</v>
      </c>
      <c r="V337" s="378">
        <f t="shared" si="135"/>
        <v>107.2779388497585</v>
      </c>
      <c r="W337" s="397">
        <f t="shared" si="136"/>
        <v>23.957317722748545</v>
      </c>
      <c r="X337" s="153">
        <f t="shared" si="137"/>
        <v>47075</v>
      </c>
      <c r="Y337" s="380">
        <f t="shared" si="138"/>
        <v>23.169250403300857</v>
      </c>
      <c r="Z337" s="380">
        <f t="shared" si="139"/>
        <v>24.025510373563954</v>
      </c>
      <c r="AA337" s="381">
        <f t="shared" si="140"/>
        <v>25.415645747741475</v>
      </c>
      <c r="AB337" s="193">
        <f t="shared" si="141"/>
        <v>47075</v>
      </c>
      <c r="AC337" s="119">
        <f>IF(OR(t&lt;Tnet,NoTnet),'2027'!Resal_s+('2027'!Salim-'2027'!Resal_s)*(1-EXP(('2027'!Tnet_s-t)/'2027'!Tau_j)),Resal_s+(Salim-Resal_s)*(1-EXP((Tnet_s-t)/Tau_j)))*Salcycl</f>
        <v>5.4696047779980349E-2</v>
      </c>
      <c r="AD337" s="227">
        <f>(INDEX(Models!$BJ337:$BT337,,AH337)*(1-AF337)+INDEX(Models!$BJ337:$BT337,,AH337+1)*AF337-ERP_i)*AE337*Ramure*Pc/MaxiM</f>
        <v>5.4994788134216186E-3</v>
      </c>
      <c r="AE337" s="301">
        <f t="shared" si="142"/>
        <v>0.5</v>
      </c>
      <c r="AF337" s="173">
        <f t="shared" si="143"/>
        <v>0.48905192656258656</v>
      </c>
      <c r="AG337" s="801">
        <f t="shared" si="149"/>
        <v>3</v>
      </c>
      <c r="AH337" s="172">
        <f t="shared" si="144"/>
        <v>9</v>
      </c>
      <c r="AI337" s="221">
        <f t="shared" si="145"/>
        <v>3.4890519265625866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47076</v>
      </c>
      <c r="B338" s="406">
        <f>'2027'!Wh/'2027'!Env_an*'2028'!Env_an</f>
        <v>70.051907990801595</v>
      </c>
      <c r="C338" s="831"/>
      <c r="D338" s="388">
        <f t="shared" si="127"/>
        <v>72.641792567567308</v>
      </c>
      <c r="E338" s="380">
        <f t="shared" si="125"/>
        <v>74.321022250266438</v>
      </c>
      <c r="F338" s="380">
        <f t="shared" si="128"/>
        <v>74.533822056523448</v>
      </c>
      <c r="G338" s="110">
        <f t="shared" si="126"/>
        <v>0.65801248238186705</v>
      </c>
      <c r="H338" s="409" t="b">
        <f>Wh_hp&gt;='2027'!Maxi_hp</f>
        <v>0</v>
      </c>
      <c r="I338" s="385">
        <f>IF(H338,Wh_hp,'2027'!Maxi_hp)</f>
        <v>74.711901468469961</v>
      </c>
      <c r="J338" s="85">
        <f>IF(H338,An,'2027'!An_max)</f>
        <v>2022</v>
      </c>
      <c r="K338" s="193">
        <f t="shared" si="129"/>
        <v>47076</v>
      </c>
      <c r="L338" s="143">
        <f>IF(t&lt;Tvie,1-EXP((T0-t)*PertePVj)+'2027'!Pspv,1-EXP((T0-t)*PertePVj)+Pspv)</f>
        <v>3.5652817547925375E-2</v>
      </c>
      <c r="M338" s="835"/>
      <c r="N338" s="835"/>
      <c r="O338" s="48">
        <f>IF(t&lt;Tnet,'2027'!Resal+('2027'!Salim-'2027'!Resal)*(1-EXP(('2027'!Tnet-t)/('2027'!Tau_j))),Resal+(Salim-Resal)*(1-EXP((Tnet-t)/(Tau_j))))*Salcycl</f>
        <v>2.2594275910852595E-2</v>
      </c>
      <c r="P338" s="165">
        <f>(INDEX(Models!$BJ338:$BT338,,T338)*(1-R338)+INDEX(Models!$BJ338:$BT338,,T338+1)*R338-ERP_i)*Q338*Ramure*Pc/MaxiM</f>
        <v>5.5546438979137231E-3</v>
      </c>
      <c r="Q338" s="301">
        <f t="shared" si="130"/>
        <v>0.5</v>
      </c>
      <c r="R338" s="173">
        <f t="shared" si="131"/>
        <v>0.48907776107252587</v>
      </c>
      <c r="S338" s="801">
        <f t="shared" si="132"/>
        <v>3</v>
      </c>
      <c r="T338" s="172">
        <f t="shared" si="133"/>
        <v>9</v>
      </c>
      <c r="U338" s="247">
        <f t="shared" si="134"/>
        <v>3.4890777610725259</v>
      </c>
      <c r="V338" s="378">
        <f t="shared" si="135"/>
        <v>106.17162832812446</v>
      </c>
      <c r="W338" s="397">
        <f t="shared" si="136"/>
        <v>70.051907990801595</v>
      </c>
      <c r="X338" s="153">
        <f t="shared" si="137"/>
        <v>47076</v>
      </c>
      <c r="Y338" s="380">
        <f t="shared" si="138"/>
        <v>67.751258813482224</v>
      </c>
      <c r="Z338" s="380">
        <f t="shared" si="139"/>
        <v>70.256086237747965</v>
      </c>
      <c r="AA338" s="381">
        <f t="shared" si="140"/>
        <v>74.321022250266438</v>
      </c>
      <c r="AB338" s="193">
        <f t="shared" si="141"/>
        <v>47076</v>
      </c>
      <c r="AC338" s="119">
        <f>IF(OR(t&lt;Tnet,NoTnet),'2027'!Resal_s+('2027'!Salim-'2027'!Resal_s)*(1-EXP(('2027'!Tnet_s-t)/'2027'!Tau_j)),Resal_s+(Salim-Resal_s)*(1-EXP((Tnet_s-t)/Tau_j)))*Salcycl</f>
        <v>5.4694296303276518E-2</v>
      </c>
      <c r="AD338" s="227">
        <f>(INDEX(Models!$BJ338:$BT338,,AH338)*(1-AF338)+INDEX(Models!$BJ338:$BT338,,AH338+1)*AF338-ERP_i)*AE338*Ramure*Pc/MaxiM</f>
        <v>5.5546438979137231E-3</v>
      </c>
      <c r="AE338" s="301">
        <f t="shared" si="142"/>
        <v>0.5</v>
      </c>
      <c r="AF338" s="173">
        <f t="shared" si="143"/>
        <v>0.48907776107252587</v>
      </c>
      <c r="AG338" s="801">
        <f t="shared" si="149"/>
        <v>3</v>
      </c>
      <c r="AH338" s="172">
        <f t="shared" si="144"/>
        <v>9</v>
      </c>
      <c r="AI338" s="221">
        <f t="shared" si="145"/>
        <v>3.4890777610725259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47077</v>
      </c>
      <c r="B339" s="406">
        <f>'2027'!Wh/'2027'!Env_an*'2028'!Env_an</f>
        <v>13.876675120549148</v>
      </c>
      <c r="C339" s="831"/>
      <c r="D339" s="388">
        <f t="shared" si="127"/>
        <v>14.389905768059334</v>
      </c>
      <c r="E339" s="380">
        <f t="shared" si="125"/>
        <v>14.723327717568303</v>
      </c>
      <c r="F339" s="380">
        <f t="shared" si="128"/>
        <v>14.723327717568303</v>
      </c>
      <c r="G339" s="110">
        <f t="shared" si="126"/>
        <v>0.13130340798629475</v>
      </c>
      <c r="H339" s="409" t="b">
        <f>Wh_hp&gt;='2027'!Maxi_hp</f>
        <v>0</v>
      </c>
      <c r="I339" s="385">
        <f>IF(H339,Wh_hp,'2027'!Maxi_hp)</f>
        <v>14.796158423320728</v>
      </c>
      <c r="J339" s="85">
        <f>IF(H339,An,'2027'!An_max)</f>
        <v>2022</v>
      </c>
      <c r="K339" s="193">
        <f t="shared" si="129"/>
        <v>47077</v>
      </c>
      <c r="L339" s="143">
        <f>IF(t&lt;Tvie,1-EXP((T0-t)*PertePVj)+'2027'!Pspv,1-EXP((T0-t)*PertePVj)+Pspv)</f>
        <v>3.566601865103125E-2</v>
      </c>
      <c r="M339" s="835"/>
      <c r="N339" s="835"/>
      <c r="O339" s="48">
        <f>IF(t&lt;Tnet,'2027'!Resal+('2027'!Salim-'2027'!Resal)*(1-EXP(('2027'!Tnet-t)/('2027'!Tau_j))),Resal+(Salim-Resal)*(1-EXP((Tnet-t)/(Tau_j))))*Salcycl</f>
        <v>2.2645828164995586E-2</v>
      </c>
      <c r="P339" s="165">
        <f>(INDEX(Models!$BJ339:$BT339,,T339)*(1-R339)+INDEX(Models!$BJ339:$BT339,,T339+1)*R339-ERP_i)*Q339*Ramure*Pc/MaxiM</f>
        <v>5.5959618065909251E-3</v>
      </c>
      <c r="Q339" s="301">
        <f t="shared" si="130"/>
        <v>0.5</v>
      </c>
      <c r="R339" s="173">
        <f t="shared" si="131"/>
        <v>0.4891025579197108</v>
      </c>
      <c r="S339" s="801">
        <f t="shared" si="132"/>
        <v>3</v>
      </c>
      <c r="T339" s="172">
        <f t="shared" si="133"/>
        <v>9</v>
      </c>
      <c r="U339" s="247">
        <f t="shared" si="134"/>
        <v>3.4891025579197108</v>
      </c>
      <c r="V339" s="378">
        <f t="shared" si="135"/>
        <v>105.09263992608936</v>
      </c>
      <c r="W339" s="397">
        <f t="shared" si="136"/>
        <v>13.876675120549148</v>
      </c>
      <c r="X339" s="153">
        <f t="shared" si="137"/>
        <v>47077</v>
      </c>
      <c r="Y339" s="380">
        <f t="shared" si="138"/>
        <v>13.421657530571634</v>
      </c>
      <c r="Z339" s="380">
        <f t="shared" si="139"/>
        <v>13.918059292898304</v>
      </c>
      <c r="AA339" s="381">
        <f t="shared" si="140"/>
        <v>14.723327717568303</v>
      </c>
      <c r="AB339" s="193">
        <f t="shared" si="141"/>
        <v>47077</v>
      </c>
      <c r="AC339" s="119">
        <f>IF(OR(t&lt;Tnet,NoTnet),'2027'!Resal_s+('2027'!Salim-'2027'!Resal_s)*(1-EXP(('2027'!Tnet_s-t)/'2027'!Tau_j)),Resal_s+(Salim-Resal_s)*(1-EXP((Tnet_s-t)/Tau_j)))*Salcycl</f>
        <v>5.4693370963218357E-2</v>
      </c>
      <c r="AD339" s="227">
        <f>(INDEX(Models!$BJ339:$BT339,,AH339)*(1-AF339)+INDEX(Models!$BJ339:$BT339,,AH339+1)*AF339-ERP_i)*AE339*Ramure*Pc/MaxiM</f>
        <v>5.5959618065909251E-3</v>
      </c>
      <c r="AE339" s="301">
        <f t="shared" si="142"/>
        <v>0.5</v>
      </c>
      <c r="AF339" s="173">
        <f t="shared" si="143"/>
        <v>0.4891025579197108</v>
      </c>
      <c r="AG339" s="801">
        <f t="shared" si="149"/>
        <v>3</v>
      </c>
      <c r="AH339" s="172">
        <f t="shared" si="144"/>
        <v>9</v>
      </c>
      <c r="AI339" s="221">
        <f t="shared" si="145"/>
        <v>3.4891025579197108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47078</v>
      </c>
      <c r="B340" s="406">
        <f>'2027'!Wh/'2027'!Env_an*'2028'!Env_an</f>
        <v>33.689536016706604</v>
      </c>
      <c r="C340" s="831"/>
      <c r="D340" s="388">
        <f t="shared" si="127"/>
        <v>34.936026165280573</v>
      </c>
      <c r="E340" s="380">
        <f t="shared" si="125"/>
        <v>35.747407272601563</v>
      </c>
      <c r="F340" s="380">
        <f t="shared" si="128"/>
        <v>35.754242211189052</v>
      </c>
      <c r="G340" s="110">
        <f t="shared" si="126"/>
        <v>0.3220383934018427</v>
      </c>
      <c r="H340" s="409" t="b">
        <f>Wh_hp&gt;='2027'!Maxi_hp</f>
        <v>0</v>
      </c>
      <c r="I340" s="385">
        <f>IF(H340,Wh_hp,'2027'!Maxi_hp)</f>
        <v>35.925753134499537</v>
      </c>
      <c r="J340" s="85">
        <f>IF(H340,An,'2027'!An_max)</f>
        <v>2022</v>
      </c>
      <c r="K340" s="193">
        <f t="shared" si="129"/>
        <v>47078</v>
      </c>
      <c r="L340" s="143">
        <f>IF(t&lt;Tvie,1-EXP((T0-t)*PertePVj)+'2027'!Pspv,1-EXP((T0-t)*PertePVj)+Pspv)</f>
        <v>3.5679219573425125E-2</v>
      </c>
      <c r="M340" s="835"/>
      <c r="N340" s="835"/>
      <c r="O340" s="48">
        <f>IF(t&lt;Tnet,'2027'!Resal+('2027'!Salim-'2027'!Resal)*(1-EXP(('2027'!Tnet-t)/('2027'!Tau_j))),Resal+(Salim-Resal)*(1-EXP((Tnet-t)/(Tau_j))))*Salcycl</f>
        <v>2.2697621148677613E-2</v>
      </c>
      <c r="P340" s="165">
        <f>(INDEX(Models!$BJ340:$BT340,,T340)*(1-R340)+INDEX(Models!$BJ340:$BT340,,T340+1)*R340-ERP_i)*Q340*Ramure*Pc/MaxiM</f>
        <v>5.6230582348069831E-3</v>
      </c>
      <c r="Q340" s="301">
        <f t="shared" si="130"/>
        <v>0.5</v>
      </c>
      <c r="R340" s="173">
        <f t="shared" si="131"/>
        <v>0.48912635868577947</v>
      </c>
      <c r="S340" s="801">
        <f t="shared" si="132"/>
        <v>3</v>
      </c>
      <c r="T340" s="172">
        <f t="shared" si="133"/>
        <v>9</v>
      </c>
      <c r="U340" s="247">
        <f t="shared" si="134"/>
        <v>3.4891263586857795</v>
      </c>
      <c r="V340" s="378">
        <f t="shared" si="135"/>
        <v>104.04505714580756</v>
      </c>
      <c r="W340" s="397">
        <f t="shared" si="136"/>
        <v>33.689536016706604</v>
      </c>
      <c r="X340" s="153">
        <f t="shared" si="137"/>
        <v>47078</v>
      </c>
      <c r="Y340" s="380">
        <f t="shared" si="138"/>
        <v>32.586582089965951</v>
      </c>
      <c r="Z340" s="380">
        <f t="shared" si="139"/>
        <v>33.792263685898192</v>
      </c>
      <c r="AA340" s="381">
        <f t="shared" si="140"/>
        <v>35.747407272601563</v>
      </c>
      <c r="AB340" s="193">
        <f t="shared" si="141"/>
        <v>47078</v>
      </c>
      <c r="AC340" s="119">
        <f>IF(OR(t&lt;Tnet,NoTnet),'2027'!Resal_s+('2027'!Salim-'2027'!Resal_s)*(1-EXP(('2027'!Tnet_s-t)/'2027'!Tau_j)),Resal_s+(Salim-Resal_s)*(1-EXP((Tnet_s-t)/Tau_j)))*Salcycl</f>
        <v>5.4693297664747793E-2</v>
      </c>
      <c r="AD340" s="227">
        <f>(INDEX(Models!$BJ340:$BT340,,AH340)*(1-AF340)+INDEX(Models!$BJ340:$BT340,,AH340+1)*AF340-ERP_i)*AE340*Ramure*Pc/MaxiM</f>
        <v>5.6230582348069831E-3</v>
      </c>
      <c r="AE340" s="301">
        <f t="shared" si="142"/>
        <v>0.5</v>
      </c>
      <c r="AF340" s="173">
        <f t="shared" si="143"/>
        <v>0.48912635868577947</v>
      </c>
      <c r="AG340" s="801">
        <f t="shared" si="149"/>
        <v>3</v>
      </c>
      <c r="AH340" s="172">
        <f t="shared" si="144"/>
        <v>9</v>
      </c>
      <c r="AI340" s="221">
        <f t="shared" si="145"/>
        <v>3.4891263586857795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47079</v>
      </c>
      <c r="B341" s="406">
        <f>'2027'!Wh/'2027'!Env_an*'2028'!Env_an</f>
        <v>55.560602330741126</v>
      </c>
      <c r="C341" s="831"/>
      <c r="D341" s="388">
        <f t="shared" si="127"/>
        <v>57.617095936233149</v>
      </c>
      <c r="E341" s="380">
        <f t="shared" si="125"/>
        <v>58.958379434004641</v>
      </c>
      <c r="F341" s="380">
        <f t="shared" si="128"/>
        <v>59.072160918755763</v>
      </c>
      <c r="G341" s="110">
        <f t="shared" si="126"/>
        <v>0.53724658263907599</v>
      </c>
      <c r="H341" s="409" t="b">
        <f>Wh_hp&gt;='2027'!Maxi_hp</f>
        <v>0</v>
      </c>
      <c r="I341" s="385">
        <f>IF(H341,Wh_hp,'2027'!Maxi_hp)</f>
        <v>59.26549414271846</v>
      </c>
      <c r="J341" s="85">
        <f>IF(H341,An,'2027'!An_max)</f>
        <v>2022</v>
      </c>
      <c r="K341" s="193">
        <f t="shared" si="129"/>
        <v>47079</v>
      </c>
      <c r="L341" s="143">
        <f>IF(t&lt;Tvie,1-EXP((T0-t)*PertePVj)+'2027'!Pspv,1-EXP((T0-t)*PertePVj)+Pspv)</f>
        <v>3.5692420315109552E-2</v>
      </c>
      <c r="M341" s="835"/>
      <c r="N341" s="835"/>
      <c r="O341" s="48">
        <f>IF(t&lt;Tnet,'2027'!Resal+('2027'!Salim-'2027'!Resal)*(1-EXP(('2027'!Tnet-t)/('2027'!Tau_j))),Resal+(Salim-Resal)*(1-EXP((Tnet-t)/(Tau_j))))*Salcycl</f>
        <v>2.2749666979447095E-2</v>
      </c>
      <c r="P341" s="165">
        <f>(INDEX(Models!$BJ341:$BT341,,T341)*(1-R341)+INDEX(Models!$BJ341:$BT341,,T341+1)*R341-ERP_i)*Q341*Ramure*Pc/MaxiM</f>
        <v>5.6355138205602881E-3</v>
      </c>
      <c r="Q341" s="301">
        <f t="shared" si="130"/>
        <v>0.5</v>
      </c>
      <c r="R341" s="173">
        <f t="shared" si="131"/>
        <v>0.48914920329372924</v>
      </c>
      <c r="S341" s="801">
        <f t="shared" si="132"/>
        <v>3</v>
      </c>
      <c r="T341" s="172">
        <f t="shared" si="133"/>
        <v>9</v>
      </c>
      <c r="U341" s="247">
        <f t="shared" si="134"/>
        <v>3.4891492032937292</v>
      </c>
      <c r="V341" s="378">
        <f t="shared" si="135"/>
        <v>103.0329676544103</v>
      </c>
      <c r="W341" s="397">
        <f t="shared" si="136"/>
        <v>55.560602330741126</v>
      </c>
      <c r="X341" s="153">
        <f t="shared" si="137"/>
        <v>47079</v>
      </c>
      <c r="Y341" s="380">
        <f t="shared" si="138"/>
        <v>53.744433207456112</v>
      </c>
      <c r="Z341" s="380">
        <f t="shared" si="139"/>
        <v>55.733703996206621</v>
      </c>
      <c r="AA341" s="381">
        <f t="shared" si="140"/>
        <v>58.958379434004641</v>
      </c>
      <c r="AB341" s="193">
        <f t="shared" si="141"/>
        <v>47079</v>
      </c>
      <c r="AC341" s="119">
        <f>IF(OR(t&lt;Tnet,NoTnet),'2027'!Resal_s+('2027'!Salim-'2027'!Resal_s)*(1-EXP(('2027'!Tnet_s-t)/'2027'!Tau_j)),Resal_s+(Salim-Resal_s)*(1-EXP((Tnet_s-t)/Tau_j)))*Salcycl</f>
        <v>5.4694098934784559E-2</v>
      </c>
      <c r="AD341" s="227">
        <f>(INDEX(Models!$BJ341:$BT341,,AH341)*(1-AF341)+INDEX(Models!$BJ341:$BT341,,AH341+1)*AF341-ERP_i)*AE341*Ramure*Pc/MaxiM</f>
        <v>5.6355138205602881E-3</v>
      </c>
      <c r="AE341" s="301">
        <f t="shared" si="142"/>
        <v>0.5</v>
      </c>
      <c r="AF341" s="173">
        <f t="shared" si="143"/>
        <v>0.48914920329372924</v>
      </c>
      <c r="AG341" s="801">
        <f t="shared" si="149"/>
        <v>3</v>
      </c>
      <c r="AH341" s="172">
        <f t="shared" si="144"/>
        <v>9</v>
      </c>
      <c r="AI341" s="221">
        <f t="shared" si="145"/>
        <v>3.4891492032937292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47080</v>
      </c>
      <c r="B342" s="406">
        <f>'2027'!Wh/'2027'!Env_an*'2028'!Env_an</f>
        <v>54.672816685916835</v>
      </c>
      <c r="C342" s="831"/>
      <c r="D342" s="388">
        <f t="shared" si="127"/>
        <v>56.697226354869478</v>
      </c>
      <c r="E342" s="380">
        <f t="shared" si="125"/>
        <v>58.020201623887303</v>
      </c>
      <c r="F342" s="380">
        <f t="shared" si="128"/>
        <v>58.130452284550117</v>
      </c>
      <c r="G342" s="110">
        <f t="shared" si="126"/>
        <v>0.53368517907049118</v>
      </c>
      <c r="H342" s="409" t="b">
        <f>Wh_hp&gt;='2027'!Maxi_hp</f>
        <v>0</v>
      </c>
      <c r="I342" s="385">
        <f>IF(H342,Wh_hp,'2027'!Maxi_hp)</f>
        <v>58.321847918347885</v>
      </c>
      <c r="J342" s="85">
        <f>IF(H342,An,'2027'!An_max)</f>
        <v>2022</v>
      </c>
      <c r="K342" s="193">
        <f t="shared" si="129"/>
        <v>47080</v>
      </c>
      <c r="L342" s="143">
        <f>IF(t&lt;Tvie,1-EXP((T0-t)*PertePVj)+'2027'!Pspv,1-EXP((T0-t)*PertePVj)+Pspv)</f>
        <v>3.5705620876086752E-2</v>
      </c>
      <c r="M342" s="835"/>
      <c r="N342" s="835"/>
      <c r="O342" s="48">
        <f>IF(t&lt;Tnet,'2027'!Resal+('2027'!Salim-'2027'!Resal)*(1-EXP(('2027'!Tnet-t)/('2027'!Tau_j))),Resal+(Salim-Resal)*(1-EXP((Tnet-t)/(Tau_j))))*Salcycl</f>
        <v>2.2801976414937929E-2</v>
      </c>
      <c r="P342" s="165">
        <f>(INDEX(Models!$BJ342:$BT342,,T342)*(1-R342)+INDEX(Models!$BJ342:$BT342,,T342+1)*R342-ERP_i)*Q342*Ramure*Pc/MaxiM</f>
        <v>5.6329186834157569E-3</v>
      </c>
      <c r="Q342" s="301">
        <f t="shared" si="130"/>
        <v>0.5</v>
      </c>
      <c r="R342" s="173">
        <f t="shared" si="131"/>
        <v>0.48917113007347712</v>
      </c>
      <c r="S342" s="801">
        <f t="shared" si="132"/>
        <v>3</v>
      </c>
      <c r="T342" s="172">
        <f t="shared" si="133"/>
        <v>9</v>
      </c>
      <c r="U342" s="247">
        <f t="shared" si="134"/>
        <v>3.4891711300734771</v>
      </c>
      <c r="V342" s="378">
        <f t="shared" si="135"/>
        <v>102.06045812939037</v>
      </c>
      <c r="W342" s="397">
        <f t="shared" si="136"/>
        <v>54.672816685916835</v>
      </c>
      <c r="X342" s="153">
        <f t="shared" si="137"/>
        <v>47080</v>
      </c>
      <c r="Y342" s="380">
        <f t="shared" si="138"/>
        <v>52.888403708591397</v>
      </c>
      <c r="Z342" s="380">
        <f t="shared" si="139"/>
        <v>54.846740636030567</v>
      </c>
      <c r="AA342" s="381">
        <f t="shared" si="140"/>
        <v>58.020201623887303</v>
      </c>
      <c r="AB342" s="193">
        <f t="shared" si="141"/>
        <v>47080</v>
      </c>
      <c r="AC342" s="119">
        <f>IF(OR(t&lt;Tnet,NoTnet),'2027'!Resal_s+('2027'!Salim-'2027'!Resal_s)*(1-EXP(('2027'!Tnet_s-t)/'2027'!Tau_j)),Resal_s+(Salim-Resal_s)*(1-EXP((Tnet_s-t)/Tau_j)))*Salcycl</f>
        <v>5.4695793862084736E-2</v>
      </c>
      <c r="AD342" s="227">
        <f>(INDEX(Models!$BJ342:$BT342,,AH342)*(1-AF342)+INDEX(Models!$BJ342:$BT342,,AH342+1)*AF342-ERP_i)*AE342*Ramure*Pc/MaxiM</f>
        <v>5.6329186834157569E-3</v>
      </c>
      <c r="AE342" s="301">
        <f t="shared" si="142"/>
        <v>0.5</v>
      </c>
      <c r="AF342" s="173">
        <f t="shared" si="143"/>
        <v>0.48917113007347712</v>
      </c>
      <c r="AG342" s="801">
        <f t="shared" si="149"/>
        <v>3</v>
      </c>
      <c r="AH342" s="172">
        <f t="shared" si="144"/>
        <v>9</v>
      </c>
      <c r="AI342" s="221">
        <f t="shared" si="145"/>
        <v>3.4891711300734771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47081</v>
      </c>
      <c r="B343" s="406">
        <f>'2027'!Wh/'2027'!Env_an*'2028'!Env_an</f>
        <v>17.704365118318893</v>
      </c>
      <c r="C343" s="831"/>
      <c r="D343" s="388">
        <f t="shared" si="127"/>
        <v>18.360168702437878</v>
      </c>
      <c r="E343" s="380">
        <f t="shared" si="125"/>
        <v>18.789596644147046</v>
      </c>
      <c r="F343" s="380">
        <f t="shared" si="128"/>
        <v>18.789596644147046</v>
      </c>
      <c r="G343" s="110">
        <f t="shared" si="126"/>
        <v>0.17407966205984104</v>
      </c>
      <c r="H343" s="409" t="b">
        <f>Wh_hp&gt;='2027'!Maxi_hp</f>
        <v>0</v>
      </c>
      <c r="I343" s="385">
        <f>IF(H343,Wh_hp,'2027'!Maxi_hp)</f>
        <v>18.882417047930645</v>
      </c>
      <c r="J343" s="85">
        <f>IF(H343,An,'2027'!An_max)</f>
        <v>2022</v>
      </c>
      <c r="K343" s="193">
        <f t="shared" si="129"/>
        <v>47081</v>
      </c>
      <c r="L343" s="143">
        <f>IF(t&lt;Tvie,1-EXP((T0-t)*PertePVj)+'2027'!Pspv,1-EXP((T0-t)*PertePVj)+Pspv)</f>
        <v>3.5718821256359501E-2</v>
      </c>
      <c r="M343" s="835"/>
      <c r="N343" s="835"/>
      <c r="O343" s="48">
        <f>IF(t&lt;Tnet,'2027'!Resal+('2027'!Salim-'2027'!Resal)*(1-EXP(('2027'!Tnet-t)/('2027'!Tau_j))),Resal+(Salim-Resal)*(1-EXP((Tnet-t)/(Tau_j))))*Salcycl</f>
        <v>2.2854558820076344E-2</v>
      </c>
      <c r="P343" s="165">
        <f>(INDEX(Models!$BJ343:$BT343,,T343)*(1-R343)+INDEX(Models!$BJ343:$BT343,,T343+1)*R343-ERP_i)*Q343*Ramure*Pc/MaxiM</f>
        <v>5.6148839174397442E-3</v>
      </c>
      <c r="Q343" s="301">
        <f t="shared" si="130"/>
        <v>0.5</v>
      </c>
      <c r="R343" s="173">
        <f t="shared" si="131"/>
        <v>0.48919217582487429</v>
      </c>
      <c r="S343" s="801">
        <f t="shared" si="132"/>
        <v>3</v>
      </c>
      <c r="T343" s="172">
        <f t="shared" si="133"/>
        <v>9</v>
      </c>
      <c r="U343" s="247">
        <f t="shared" si="134"/>
        <v>3.4891921758248743</v>
      </c>
      <c r="V343" s="378">
        <f t="shared" si="135"/>
        <v>101.1316138544418</v>
      </c>
      <c r="W343" s="397">
        <f t="shared" si="136"/>
        <v>17.704365118318893</v>
      </c>
      <c r="X343" s="153">
        <f t="shared" si="137"/>
        <v>47081</v>
      </c>
      <c r="Y343" s="380">
        <f t="shared" si="138"/>
        <v>17.127403969153324</v>
      </c>
      <c r="Z343" s="380">
        <f t="shared" si="139"/>
        <v>17.761835807547936</v>
      </c>
      <c r="AA343" s="381">
        <f t="shared" si="140"/>
        <v>18.789596644147046</v>
      </c>
      <c r="AB343" s="193">
        <f t="shared" si="141"/>
        <v>47081</v>
      </c>
      <c r="AC343" s="119">
        <f>IF(OR(t&lt;Tnet,NoTnet),'2027'!Resal_s+('2027'!Salim-'2027'!Resal_s)*(1-EXP(('2027'!Tnet_s-t)/'2027'!Tau_j)),Resal_s+(Salim-Resal_s)*(1-EXP((Tnet_s-t)/Tau_j)))*Salcycl</f>
        <v>5.4698398058441504E-2</v>
      </c>
      <c r="AD343" s="227">
        <f>(INDEX(Models!$BJ343:$BT343,,AH343)*(1-AF343)+INDEX(Models!$BJ343:$BT343,,AH343+1)*AF343-ERP_i)*AE343*Ramure*Pc/MaxiM</f>
        <v>5.6148839174397442E-3</v>
      </c>
      <c r="AE343" s="301">
        <f t="shared" si="142"/>
        <v>0.5</v>
      </c>
      <c r="AF343" s="173">
        <f t="shared" si="143"/>
        <v>0.48919217582487429</v>
      </c>
      <c r="AG343" s="801">
        <f t="shared" si="149"/>
        <v>3</v>
      </c>
      <c r="AH343" s="172">
        <f t="shared" si="144"/>
        <v>9</v>
      </c>
      <c r="AI343" s="221">
        <f t="shared" si="145"/>
        <v>3.4891921758248743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47082</v>
      </c>
      <c r="B344" s="406">
        <f>'2027'!Wh/'2027'!Env_an*'2028'!Env_an</f>
        <v>53.294686763988061</v>
      </c>
      <c r="C344" s="831"/>
      <c r="D344" s="388">
        <f t="shared" si="127"/>
        <v>55.269580603990086</v>
      </c>
      <c r="E344" s="380">
        <f t="shared" si="125"/>
        <v>56.565346883730861</v>
      </c>
      <c r="F344" s="380">
        <f t="shared" si="128"/>
        <v>56.669996070945828</v>
      </c>
      <c r="G344" s="110">
        <f t="shared" si="126"/>
        <v>0.52962613147466364</v>
      </c>
      <c r="H344" s="409" t="b">
        <f>Wh_hp&gt;='2027'!Maxi_hp</f>
        <v>0</v>
      </c>
      <c r="I344" s="385">
        <f>IF(H344,Wh_hp,'2027'!Maxi_hp)</f>
        <v>56.855945185650661</v>
      </c>
      <c r="J344" s="85">
        <f>IF(H344,An,'2027'!An_max)</f>
        <v>2022</v>
      </c>
      <c r="K344" s="193">
        <f t="shared" si="129"/>
        <v>47082</v>
      </c>
      <c r="L344" s="143">
        <f>IF(t&lt;Tvie,1-EXP((T0-t)*PertePVj)+'2027'!Pspv,1-EXP((T0-t)*PertePVj)+Pspv)</f>
        <v>3.5732021455930019E-2</v>
      </c>
      <c r="M344" s="835"/>
      <c r="N344" s="835"/>
      <c r="O344" s="48">
        <f>IF(t&lt;Tnet,'2027'!Resal+('2027'!Salim-'2027'!Resal)*(1-EXP(('2027'!Tnet-t)/('2027'!Tau_j))),Resal+(Salim-Resal)*(1-EXP((Tnet-t)/(Tau_j))))*Salcycl</f>
        <v>2.2907422143175444E-2</v>
      </c>
      <c r="P344" s="165">
        <f>(INDEX(Models!$BJ344:$BT344,,T344)*(1-R344)+INDEX(Models!$BJ344:$BT344,,T344+1)*R344-ERP_i)*Q344*Ramure*Pc/MaxiM</f>
        <v>5.5810244574954178E-3</v>
      </c>
      <c r="Q344" s="301">
        <f t="shared" si="130"/>
        <v>0.5</v>
      </c>
      <c r="R344" s="173">
        <f t="shared" si="131"/>
        <v>0.48921237587827271</v>
      </c>
      <c r="S344" s="801">
        <f t="shared" si="132"/>
        <v>3</v>
      </c>
      <c r="T344" s="172">
        <f t="shared" si="133"/>
        <v>9</v>
      </c>
      <c r="U344" s="247">
        <f t="shared" si="134"/>
        <v>3.4892123758782727</v>
      </c>
      <c r="V344" s="378">
        <f t="shared" si="135"/>
        <v>100.25052136669866</v>
      </c>
      <c r="W344" s="397">
        <f t="shared" si="136"/>
        <v>53.294686763988061</v>
      </c>
      <c r="X344" s="153">
        <f t="shared" si="137"/>
        <v>47082</v>
      </c>
      <c r="Y344" s="380">
        <f t="shared" si="138"/>
        <v>51.560482619401661</v>
      </c>
      <c r="Z344" s="380">
        <f t="shared" si="139"/>
        <v>53.471113597748896</v>
      </c>
      <c r="AA344" s="381">
        <f t="shared" si="140"/>
        <v>56.565346883730861</v>
      </c>
      <c r="AB344" s="193">
        <f t="shared" si="141"/>
        <v>47082</v>
      </c>
      <c r="AC344" s="119">
        <f>IF(OR(t&lt;Tnet,NoTnet),'2027'!Resal_s+('2027'!Salim-'2027'!Resal_s)*(1-EXP(('2027'!Tnet_s-t)/'2027'!Tau_j)),Resal_s+(Salim-Resal_s)*(1-EXP((Tnet_s-t)/Tau_j)))*Salcycl</f>
        <v>5.470192364137906E-2</v>
      </c>
      <c r="AD344" s="227">
        <f>(INDEX(Models!$BJ344:$BT344,,AH344)*(1-AF344)+INDEX(Models!$BJ344:$BT344,,AH344+1)*AF344-ERP_i)*AE344*Ramure*Pc/MaxiM</f>
        <v>5.5810244574954178E-3</v>
      </c>
      <c r="AE344" s="301">
        <f t="shared" si="142"/>
        <v>0.5</v>
      </c>
      <c r="AF344" s="173">
        <f t="shared" si="143"/>
        <v>0.48921237587827271</v>
      </c>
      <c r="AG344" s="801">
        <f t="shared" si="149"/>
        <v>3</v>
      </c>
      <c r="AH344" s="172">
        <f t="shared" si="144"/>
        <v>9</v>
      </c>
      <c r="AI344" s="221">
        <f t="shared" si="145"/>
        <v>3.4892123758782727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47083</v>
      </c>
      <c r="B345" s="406">
        <f>'2027'!Wh/'2027'!Env_an*'2028'!Env_an</f>
        <v>58.049479405592244</v>
      </c>
      <c r="C345" s="831"/>
      <c r="D345" s="388">
        <f t="shared" si="127"/>
        <v>60.201391477029865</v>
      </c>
      <c r="E345" s="380">
        <f t="shared" si="125"/>
        <v>61.616133195137706</v>
      </c>
      <c r="F345" s="380">
        <f t="shared" si="128"/>
        <v>61.754710827380833</v>
      </c>
      <c r="G345" s="110">
        <f t="shared" si="126"/>
        <v>0.58203537528172844</v>
      </c>
      <c r="H345" s="409" t="b">
        <f>Wh_hp&gt;='2027'!Maxi_hp</f>
        <v>0</v>
      </c>
      <c r="I345" s="385">
        <f>IF(H345,Wh_hp,'2027'!Maxi_hp)</f>
        <v>61.932817208554482</v>
      </c>
      <c r="J345" s="85">
        <f>IF(H345,An,'2027'!An_max)</f>
        <v>2022</v>
      </c>
      <c r="K345" s="193">
        <f t="shared" si="129"/>
        <v>47083</v>
      </c>
      <c r="L345" s="143">
        <f>IF(t&lt;Tvie,1-EXP((T0-t)*PertePVj)+'2027'!Pspv,1-EXP((T0-t)*PertePVj)+Pspv)</f>
        <v>3.5745221474800859E-2</v>
      </c>
      <c r="M345" s="835"/>
      <c r="N345" s="835"/>
      <c r="O345" s="48">
        <f>IF(t&lt;Tnet,'2027'!Resal+('2027'!Salim-'2027'!Resal)*(1-EXP(('2027'!Tnet-t)/('2027'!Tau_j))),Resal+(Salim-Resal)*(1-EXP((Tnet-t)/(Tau_j))))*Salcycl</f>
        <v>2.2960572901051239E-2</v>
      </c>
      <c r="P345" s="165">
        <f>(INDEX(Models!$BJ345:$BT345,,T345)*(1-R345)+INDEX(Models!$BJ345:$BT345,,T345+1)*R345-ERP_i)*Q345*Ramure*Pc/MaxiM</f>
        <v>5.5317748715894106E-3</v>
      </c>
      <c r="Q345" s="301">
        <f t="shared" si="130"/>
        <v>0.5</v>
      </c>
      <c r="R345" s="173">
        <f t="shared" si="131"/>
        <v>0.48923176415273328</v>
      </c>
      <c r="S345" s="801">
        <f t="shared" si="132"/>
        <v>3</v>
      </c>
      <c r="T345" s="172">
        <f t="shared" si="133"/>
        <v>9</v>
      </c>
      <c r="U345" s="247">
        <f t="shared" si="134"/>
        <v>3.4892317641527333</v>
      </c>
      <c r="V345" s="378">
        <f t="shared" si="135"/>
        <v>99.406666779610902</v>
      </c>
      <c r="W345" s="397">
        <f t="shared" si="136"/>
        <v>58.049479405592244</v>
      </c>
      <c r="X345" s="153">
        <f t="shared" si="137"/>
        <v>47083</v>
      </c>
      <c r="Y345" s="380">
        <f t="shared" si="138"/>
        <v>56.163345151357525</v>
      </c>
      <c r="Z345" s="380">
        <f t="shared" si="139"/>
        <v>58.24533764536568</v>
      </c>
      <c r="AA345" s="381">
        <f t="shared" si="140"/>
        <v>61.616133195137706</v>
      </c>
      <c r="AB345" s="193">
        <f t="shared" si="141"/>
        <v>47083</v>
      </c>
      <c r="AC345" s="119">
        <f>IF(OR(t&lt;Tnet,NoTnet),'2027'!Resal_s+('2027'!Salim-'2027'!Resal_s)*(1-EXP(('2027'!Tnet_s-t)/'2027'!Tau_j)),Resal_s+(Salim-Resal_s)*(1-EXP((Tnet_s-t)/Tau_j)))*Salcycl</f>
        <v>5.4706379238319822E-2</v>
      </c>
      <c r="AD345" s="227">
        <f>(INDEX(Models!$BJ345:$BT345,,AH345)*(1-AF345)+INDEX(Models!$BJ345:$BT345,,AH345+1)*AF345-ERP_i)*AE345*Ramure*Pc/MaxiM</f>
        <v>5.5317748715894106E-3</v>
      </c>
      <c r="AE345" s="301">
        <f t="shared" si="142"/>
        <v>0.5</v>
      </c>
      <c r="AF345" s="173">
        <f t="shared" si="143"/>
        <v>0.48923176415273328</v>
      </c>
      <c r="AG345" s="801">
        <f t="shared" si="149"/>
        <v>3</v>
      </c>
      <c r="AH345" s="172">
        <f t="shared" si="144"/>
        <v>9</v>
      </c>
      <c r="AI345" s="221">
        <f t="shared" si="145"/>
        <v>3.4892317641527333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47084</v>
      </c>
      <c r="B346" s="406">
        <f>'2027'!Wh/'2027'!Env_an*'2028'!Env_an</f>
        <v>37.736341035071412</v>
      </c>
      <c r="C346" s="831"/>
      <c r="D346" s="388">
        <f t="shared" si="127"/>
        <v>39.135774549833968</v>
      </c>
      <c r="E346" s="380">
        <f t="shared" si="125"/>
        <v>40.057662236404013</v>
      </c>
      <c r="F346" s="380">
        <f t="shared" si="128"/>
        <v>40.083591314707178</v>
      </c>
      <c r="G346" s="110">
        <f t="shared" si="126"/>
        <v>0.380921202734126</v>
      </c>
      <c r="H346" s="409" t="b">
        <f>Wh_hp&gt;='2027'!Maxi_hp</f>
        <v>0</v>
      </c>
      <c r="I346" s="385">
        <f>IF(H346,Wh_hp,'2027'!Maxi_hp)</f>
        <v>40.252888141714507</v>
      </c>
      <c r="J346" s="85">
        <f>IF(H346,An,'2027'!An_max)</f>
        <v>2022</v>
      </c>
      <c r="K346" s="193">
        <f t="shared" si="129"/>
        <v>47084</v>
      </c>
      <c r="L346" s="143">
        <f>IF(t&lt;Tvie,1-EXP((T0-t)*PertePVj)+'2027'!Pspv,1-EXP((T0-t)*PertePVj)+Pspv)</f>
        <v>3.5758421312974686E-2</v>
      </c>
      <c r="M346" s="835"/>
      <c r="N346" s="835"/>
      <c r="O346" s="48">
        <f>IF(t&lt;Tnet,'2027'!Resal+('2027'!Salim-'2027'!Resal)*(1-EXP(('2027'!Tnet-t)/('2027'!Tau_j))),Resal+(Salim-Resal)*(1-EXP((Tnet-t)/(Tau_j))))*Salcycl</f>
        <v>2.301401617322138E-2</v>
      </c>
      <c r="P346" s="165">
        <f>(INDEX(Models!$BJ346:$BT346,,T346)*(1-R346)+INDEX(Models!$BJ346:$BT346,,T346+1)*R346-ERP_i)*Q346*Ramure*Pc/MaxiM</f>
        <v>5.4708092742825334E-3</v>
      </c>
      <c r="Q346" s="301">
        <f t="shared" si="130"/>
        <v>0.5</v>
      </c>
      <c r="R346" s="173">
        <f t="shared" si="131"/>
        <v>0.48925037321196818</v>
      </c>
      <c r="S346" s="801">
        <f t="shared" si="132"/>
        <v>3</v>
      </c>
      <c r="T346" s="172">
        <f t="shared" si="133"/>
        <v>9</v>
      </c>
      <c r="U346" s="247">
        <f t="shared" si="134"/>
        <v>3.4892503732119682</v>
      </c>
      <c r="V346" s="378">
        <f t="shared" si="135"/>
        <v>98.587805849738601</v>
      </c>
      <c r="W346" s="397">
        <f t="shared" si="136"/>
        <v>37.736341035071412</v>
      </c>
      <c r="X346" s="153">
        <f t="shared" si="137"/>
        <v>47084</v>
      </c>
      <c r="Y346" s="380">
        <f t="shared" si="138"/>
        <v>36.512006941534061</v>
      </c>
      <c r="Z346" s="380">
        <f t="shared" si="139"/>
        <v>37.866036632906045</v>
      </c>
      <c r="AA346" s="381">
        <f t="shared" si="140"/>
        <v>40.057662236404013</v>
      </c>
      <c r="AB346" s="193">
        <f t="shared" si="141"/>
        <v>47084</v>
      </c>
      <c r="AC346" s="119">
        <f>IF(OR(t&lt;Tnet,NoTnet),'2027'!Resal_s+('2027'!Salim-'2027'!Resal_s)*(1-EXP(('2027'!Tnet_s-t)/'2027'!Tau_j)),Resal_s+(Salim-Resal_s)*(1-EXP((Tnet_s-t)/Tau_j)))*Salcycl</f>
        <v>5.4711770012036261E-2</v>
      </c>
      <c r="AD346" s="227">
        <f>(INDEX(Models!$BJ346:$BT346,,AH346)*(1-AF346)+INDEX(Models!$BJ346:$BT346,,AH346+1)*AF346-ERP_i)*AE346*Ramure*Pc/MaxiM</f>
        <v>5.4708092742825334E-3</v>
      </c>
      <c r="AE346" s="301">
        <f t="shared" si="142"/>
        <v>0.5</v>
      </c>
      <c r="AF346" s="173">
        <f t="shared" si="143"/>
        <v>0.48925037321196818</v>
      </c>
      <c r="AG346" s="801">
        <f t="shared" si="149"/>
        <v>3</v>
      </c>
      <c r="AH346" s="172">
        <f t="shared" si="144"/>
        <v>9</v>
      </c>
      <c r="AI346" s="221">
        <f t="shared" si="145"/>
        <v>3.4892503732119682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47085</v>
      </c>
      <c r="B347" s="406">
        <f>'2027'!Wh/'2027'!Env_an*'2028'!Env_an</f>
        <v>53.765401092151805</v>
      </c>
      <c r="C347" s="831"/>
      <c r="D347" s="388">
        <f t="shared" si="127"/>
        <v>55.760027667163591</v>
      </c>
      <c r="E347" s="380">
        <f t="shared" si="125"/>
        <v>57.076658066194682</v>
      </c>
      <c r="F347" s="380">
        <f t="shared" si="128"/>
        <v>57.186949033213722</v>
      </c>
      <c r="G347" s="110">
        <f t="shared" si="126"/>
        <v>0.54786048535257614</v>
      </c>
      <c r="H347" s="409" t="b">
        <f>Wh_hp&gt;='2027'!Maxi_hp</f>
        <v>0</v>
      </c>
      <c r="I347" s="385">
        <f>IF(H347,Wh_hp,'2027'!Maxi_hp)</f>
        <v>57.360785760520933</v>
      </c>
      <c r="J347" s="85">
        <f>IF(H347,An,'2027'!An_max)</f>
        <v>2022</v>
      </c>
      <c r="K347" s="193">
        <f t="shared" si="129"/>
        <v>47085</v>
      </c>
      <c r="L347" s="143">
        <f>IF(t&lt;Tvie,1-EXP((T0-t)*PertePVj)+'2027'!Pspv,1-EXP((T0-t)*PertePVj)+Pspv)</f>
        <v>3.5771620970453721E-2</v>
      </c>
      <c r="M347" s="835"/>
      <c r="N347" s="835"/>
      <c r="O347" s="48">
        <f>IF(t&lt;Tnet,'2027'!Resal+('2027'!Salim-'2027'!Resal)*(1-EXP(('2027'!Tnet-t)/('2027'!Tau_j))),Resal+(Salim-Resal)*(1-EXP((Tnet-t)/(Tau_j))))*Salcycl</f>
        <v>2.3067755605174531E-2</v>
      </c>
      <c r="P347" s="165">
        <f>(INDEX(Models!$BJ347:$BT347,,T347)*(1-R347)+INDEX(Models!$BJ347:$BT347,,T347+1)*R347-ERP_i)*Q347*Ramure*Pc/MaxiM</f>
        <v>5.404946732474299E-3</v>
      </c>
      <c r="Q347" s="301">
        <f t="shared" si="130"/>
        <v>0.5</v>
      </c>
      <c r="R347" s="173">
        <f t="shared" si="131"/>
        <v>0.48926823431809741</v>
      </c>
      <c r="S347" s="801">
        <f t="shared" si="132"/>
        <v>3</v>
      </c>
      <c r="T347" s="172">
        <f t="shared" si="133"/>
        <v>9</v>
      </c>
      <c r="U347" s="247">
        <f t="shared" si="134"/>
        <v>3.4892682343180974</v>
      </c>
      <c r="V347" s="378">
        <f t="shared" si="135"/>
        <v>97.795213172465978</v>
      </c>
      <c r="W347" s="397">
        <f t="shared" si="136"/>
        <v>53.765401092151805</v>
      </c>
      <c r="X347" s="153">
        <f t="shared" si="137"/>
        <v>47085</v>
      </c>
      <c r="Y347" s="380">
        <f t="shared" si="138"/>
        <v>52.023526619716641</v>
      </c>
      <c r="Z347" s="380">
        <f t="shared" si="139"/>
        <v>53.953531913337841</v>
      </c>
      <c r="AA347" s="381">
        <f t="shared" si="140"/>
        <v>57.076658066194682</v>
      </c>
      <c r="AB347" s="193">
        <f t="shared" si="141"/>
        <v>47085</v>
      </c>
      <c r="AC347" s="119">
        <f>IF(OR(t&lt;Tnet,NoTnet),'2027'!Resal_s+('2027'!Salim-'2027'!Resal_s)*(1-EXP(('2027'!Tnet_s-t)/'2027'!Tau_j)),Resal_s+(Salim-Resal_s)*(1-EXP((Tnet_s-t)/Tau_j)))*Salcycl</f>
        <v>5.4718097707031066E-2</v>
      </c>
      <c r="AD347" s="227">
        <f>(INDEX(Models!$BJ347:$BT347,,AH347)*(1-AF347)+INDEX(Models!$BJ347:$BT347,,AH347+1)*AF347-ERP_i)*AE347*Ramure*Pc/MaxiM</f>
        <v>5.404946732474299E-3</v>
      </c>
      <c r="AE347" s="301">
        <f t="shared" si="142"/>
        <v>0.5</v>
      </c>
      <c r="AF347" s="173">
        <f t="shared" si="143"/>
        <v>0.48926823431809741</v>
      </c>
      <c r="AG347" s="801">
        <f t="shared" si="149"/>
        <v>3</v>
      </c>
      <c r="AH347" s="172">
        <f t="shared" si="144"/>
        <v>9</v>
      </c>
      <c r="AI347" s="221">
        <f t="shared" si="145"/>
        <v>3.4892682343180974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47086</v>
      </c>
      <c r="B348" s="406">
        <f>'2027'!Wh/'2027'!Env_an*'2028'!Env_an</f>
        <v>21.327421614527587</v>
      </c>
      <c r="C348" s="831"/>
      <c r="D348" s="388">
        <f t="shared" si="127"/>
        <v>22.118944056056112</v>
      </c>
      <c r="E348" s="380">
        <f t="shared" si="125"/>
        <v>22.642478772771018</v>
      </c>
      <c r="F348" s="380">
        <f t="shared" si="128"/>
        <v>22.642478772771018</v>
      </c>
      <c r="G348" s="110">
        <f t="shared" si="126"/>
        <v>0.21862796013399199</v>
      </c>
      <c r="H348" s="409" t="b">
        <f>Wh_hp&gt;='2027'!Maxi_hp</f>
        <v>0</v>
      </c>
      <c r="I348" s="385">
        <f>IF(H348,Wh_hp,'2027'!Maxi_hp)</f>
        <v>22.747934672139031</v>
      </c>
      <c r="J348" s="85">
        <f>IF(H348,An,'2027'!An_max)</f>
        <v>2022</v>
      </c>
      <c r="K348" s="193">
        <f t="shared" si="129"/>
        <v>47086</v>
      </c>
      <c r="L348" s="143">
        <f>IF(t&lt;Tvie,1-EXP((T0-t)*PertePVj)+'2027'!Pspv,1-EXP((T0-t)*PertePVj)+Pspv)</f>
        <v>3.5784820447240517E-2</v>
      </c>
      <c r="M348" s="835"/>
      <c r="N348" s="835"/>
      <c r="O348" s="48">
        <f>IF(t&lt;Tnet,'2027'!Resal+('2027'!Salim-'2027'!Resal)*(1-EXP(('2027'!Tnet-t)/('2027'!Tau_j))),Resal+(Salim-Resal)*(1-EXP((Tnet-t)/(Tau_j))))*Salcycl</f>
        <v>2.3121793420625422E-2</v>
      </c>
      <c r="P348" s="165">
        <f>(INDEX(Models!$BJ348:$BT348,,T348)*(1-R348)+INDEX(Models!$BJ348:$BT348,,T348+1)*R348-ERP_i)*Q348*Ramure*Pc/MaxiM</f>
        <v>5.3340309034531838E-3</v>
      </c>
      <c r="Q348" s="301">
        <f t="shared" si="130"/>
        <v>0.5</v>
      </c>
      <c r="R348" s="173">
        <f t="shared" si="131"/>
        <v>0.48928537748330614</v>
      </c>
      <c r="S348" s="801">
        <f t="shared" si="132"/>
        <v>3</v>
      </c>
      <c r="T348" s="172">
        <f t="shared" si="133"/>
        <v>9</v>
      </c>
      <c r="U348" s="247">
        <f t="shared" si="134"/>
        <v>3.4892853774833061</v>
      </c>
      <c r="V348" s="378">
        <f t="shared" si="135"/>
        <v>97.030866845866186</v>
      </c>
      <c r="W348" s="397">
        <f t="shared" si="136"/>
        <v>21.327421614527587</v>
      </c>
      <c r="X348" s="153">
        <f t="shared" si="137"/>
        <v>47086</v>
      </c>
      <c r="Y348" s="380">
        <f t="shared" si="138"/>
        <v>20.637445525698002</v>
      </c>
      <c r="Z348" s="380">
        <f t="shared" si="139"/>
        <v>21.403360954419377</v>
      </c>
      <c r="AA348" s="381">
        <f t="shared" si="140"/>
        <v>22.642478772771018</v>
      </c>
      <c r="AB348" s="193">
        <f t="shared" si="141"/>
        <v>47086</v>
      </c>
      <c r="AC348" s="119">
        <f>IF(OR(t&lt;Tnet,NoTnet),'2027'!Resal_s+('2027'!Salim-'2027'!Resal_s)*(1-EXP(('2027'!Tnet_s-t)/'2027'!Tau_j)),Resal_s+(Salim-Resal_s)*(1-EXP((Tnet_s-t)/Tau_j)))*Salcycl</f>
        <v>5.472536071632559E-2</v>
      </c>
      <c r="AD348" s="227">
        <f>(INDEX(Models!$BJ348:$BT348,,AH348)*(1-AF348)+INDEX(Models!$BJ348:$BT348,,AH348+1)*AF348-ERP_i)*AE348*Ramure*Pc/MaxiM</f>
        <v>5.3340309034531838E-3</v>
      </c>
      <c r="AE348" s="301">
        <f t="shared" si="142"/>
        <v>0.5</v>
      </c>
      <c r="AF348" s="173">
        <f t="shared" si="143"/>
        <v>0.48928537748330614</v>
      </c>
      <c r="AG348" s="801">
        <f t="shared" si="149"/>
        <v>3</v>
      </c>
      <c r="AH348" s="172">
        <f t="shared" si="144"/>
        <v>9</v>
      </c>
      <c r="AI348" s="221">
        <f t="shared" si="145"/>
        <v>3.4892853774833061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47087</v>
      </c>
      <c r="B349" s="406">
        <f>'2027'!Wh/'2027'!Env_an*'2028'!Env_an</f>
        <v>16.019238067899657</v>
      </c>
      <c r="C349" s="831"/>
      <c r="D349" s="388">
        <f t="shared" si="127"/>
        <v>16.613985861795751</v>
      </c>
      <c r="E349" s="380">
        <f t="shared" si="125"/>
        <v>17.008169414741612</v>
      </c>
      <c r="F349" s="380">
        <f t="shared" si="128"/>
        <v>17.008169414741612</v>
      </c>
      <c r="G349" s="110">
        <f t="shared" si="126"/>
        <v>0.16547818262432584</v>
      </c>
      <c r="H349" s="409" t="b">
        <f>Wh_hp&gt;='2027'!Maxi_hp</f>
        <v>0</v>
      </c>
      <c r="I349" s="385">
        <f>IF(H349,Wh_hp,'2027'!Maxi_hp)</f>
        <v>17.086180397127045</v>
      </c>
      <c r="J349" s="85">
        <f>IF(H349,An,'2027'!An_max)</f>
        <v>2022</v>
      </c>
      <c r="K349" s="193">
        <f t="shared" si="129"/>
        <v>47087</v>
      </c>
      <c r="L349" s="143">
        <f>IF(t&lt;Tvie,1-EXP((T0-t)*PertePVj)+'2027'!Pspv,1-EXP((T0-t)*PertePVj)+Pspv)</f>
        <v>3.5798019743337517E-2</v>
      </c>
      <c r="M349" s="835"/>
      <c r="N349" s="835"/>
      <c r="O349" s="48">
        <f>IF(t&lt;Tnet,'2027'!Resal+('2027'!Salim-'2027'!Resal)*(1-EXP(('2027'!Tnet-t)/('2027'!Tau_j))),Resal+(Salim-Resal)*(1-EXP((Tnet-t)/(Tau_j))))*Salcycl</f>
        <v>2.3176130442598208E-2</v>
      </c>
      <c r="P349" s="165">
        <f>(INDEX(Models!$BJ349:$BT349,,T349)*(1-R349)+INDEX(Models!$BJ349:$BT349,,T349+1)*R349-ERP_i)*Q349*Ramure*Pc/MaxiM</f>
        <v>5.2579044970922214E-3</v>
      </c>
      <c r="Q349" s="301">
        <f t="shared" si="130"/>
        <v>0.5</v>
      </c>
      <c r="R349" s="173">
        <f t="shared" si="131"/>
        <v>0.48930183151948192</v>
      </c>
      <c r="S349" s="801">
        <f t="shared" si="132"/>
        <v>3</v>
      </c>
      <c r="T349" s="172">
        <f t="shared" si="133"/>
        <v>9</v>
      </c>
      <c r="U349" s="247">
        <f t="shared" si="134"/>
        <v>3.4893018315194819</v>
      </c>
      <c r="V349" s="378">
        <f t="shared" si="135"/>
        <v>96.296745536531887</v>
      </c>
      <c r="W349" s="397">
        <f t="shared" si="136"/>
        <v>16.019238067899657</v>
      </c>
      <c r="X349" s="153">
        <f t="shared" si="137"/>
        <v>47087</v>
      </c>
      <c r="Y349" s="380">
        <f t="shared" si="138"/>
        <v>15.501718073537218</v>
      </c>
      <c r="Z349" s="380">
        <f t="shared" si="139"/>
        <v>16.077251852781707</v>
      </c>
      <c r="AA349" s="381">
        <f t="shared" si="140"/>
        <v>17.008169414741612</v>
      </c>
      <c r="AB349" s="193">
        <f t="shared" si="141"/>
        <v>47087</v>
      </c>
      <c r="AC349" s="119">
        <f>IF(OR(t&lt;Tnet,NoTnet),'2027'!Resal_s+('2027'!Salim-'2027'!Resal_s)*(1-EXP(('2027'!Tnet_s-t)/'2027'!Tau_j)),Resal_s+(Salim-Resal_s)*(1-EXP((Tnet_s-t)/Tau_j)))*Salcycl</f>
        <v>5.473355416797783E-2</v>
      </c>
      <c r="AD349" s="227">
        <f>(INDEX(Models!$BJ349:$BT349,,AH349)*(1-AF349)+INDEX(Models!$BJ349:$BT349,,AH349+1)*AF349-ERP_i)*AE349*Ramure*Pc/MaxiM</f>
        <v>5.2579044970922214E-3</v>
      </c>
      <c r="AE349" s="301">
        <f t="shared" si="142"/>
        <v>0.5</v>
      </c>
      <c r="AF349" s="173">
        <f t="shared" si="143"/>
        <v>0.48930183151948192</v>
      </c>
      <c r="AG349" s="801">
        <f t="shared" si="149"/>
        <v>3</v>
      </c>
      <c r="AH349" s="172">
        <f t="shared" si="144"/>
        <v>9</v>
      </c>
      <c r="AI349" s="221">
        <f t="shared" si="145"/>
        <v>3.4893018315194819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47088</v>
      </c>
      <c r="B350" s="406">
        <f>'2027'!Wh/'2027'!Env_an*'2028'!Env_an</f>
        <v>25.832464007043196</v>
      </c>
      <c r="C350" s="831"/>
      <c r="D350" s="388">
        <f t="shared" si="127"/>
        <v>26.791915143906621</v>
      </c>
      <c r="E350" s="380">
        <f t="shared" si="125"/>
        <v>27.429114487530455</v>
      </c>
      <c r="F350" s="380">
        <f t="shared" si="128"/>
        <v>27.429114487530455</v>
      </c>
      <c r="G350" s="110">
        <f t="shared" si="126"/>
        <v>0.26882986229087952</v>
      </c>
      <c r="H350" s="409" t="b">
        <f>Wh_hp&gt;='2027'!Maxi_hp</f>
        <v>0</v>
      </c>
      <c r="I350" s="385">
        <f>IF(H350,Wh_hp,'2027'!Maxi_hp)</f>
        <v>27.5528918378476</v>
      </c>
      <c r="J350" s="85">
        <f>IF(H350,An,'2027'!An_max)</f>
        <v>2022</v>
      </c>
      <c r="K350" s="193">
        <f t="shared" si="129"/>
        <v>47088</v>
      </c>
      <c r="L350" s="143">
        <f>IF(t&lt;Tvie,1-EXP((T0-t)*PertePVj)+'2027'!Pspv,1-EXP((T0-t)*PertePVj)+Pspv)</f>
        <v>3.5811218858747274E-2</v>
      </c>
      <c r="M350" s="835"/>
      <c r="N350" s="835"/>
      <c r="O350" s="48">
        <f>IF(t&lt;Tnet,'2027'!Resal+('2027'!Salim-'2027'!Resal)*(1-EXP(('2027'!Tnet-t)/('2027'!Tau_j))),Resal+(Salim-Resal)*(1-EXP((Tnet-t)/(Tau_j))))*Salcycl</f>
        <v>2.3230766123110303E-2</v>
      </c>
      <c r="P350" s="165">
        <f>(INDEX(Models!$BJ350:$BT350,,T350)*(1-R350)+INDEX(Models!$BJ350:$BT350,,T350+1)*R350-ERP_i)*Q350*Ramure*Pc/MaxiM</f>
        <v>5.1764112625795125E-3</v>
      </c>
      <c r="Q350" s="301">
        <f t="shared" si="130"/>
        <v>0.5</v>
      </c>
      <c r="R350" s="173">
        <f t="shared" si="131"/>
        <v>0.48931762408590362</v>
      </c>
      <c r="S350" s="801">
        <f t="shared" si="132"/>
        <v>3</v>
      </c>
      <c r="T350" s="172">
        <f t="shared" si="133"/>
        <v>9</v>
      </c>
      <c r="U350" s="247">
        <f t="shared" si="134"/>
        <v>3.4893176240859036</v>
      </c>
      <c r="V350" s="378">
        <f t="shared" si="135"/>
        <v>95.594828381120777</v>
      </c>
      <c r="W350" s="397">
        <f t="shared" si="136"/>
        <v>25.832464007043196</v>
      </c>
      <c r="X350" s="153">
        <f t="shared" si="137"/>
        <v>47088</v>
      </c>
      <c r="Y350" s="380">
        <f t="shared" si="138"/>
        <v>24.999073585592207</v>
      </c>
      <c r="Z350" s="380">
        <f t="shared" si="139"/>
        <v>25.9275715239108</v>
      </c>
      <c r="AA350" s="381">
        <f t="shared" si="140"/>
        <v>27.429114487530455</v>
      </c>
      <c r="AB350" s="193">
        <f t="shared" si="141"/>
        <v>47088</v>
      </c>
      <c r="AC350" s="119">
        <f>IF(OR(t&lt;Tnet,NoTnet),'2027'!Resal_s+('2027'!Salim-'2027'!Resal_s)*(1-EXP(('2027'!Tnet_s-t)/'2027'!Tau_j)),Resal_s+(Salim-Resal_s)*(1-EXP((Tnet_s-t)/Tau_j)))*Salcycl</f>
        <v>5.474267003049893E-2</v>
      </c>
      <c r="AD350" s="227">
        <f>(INDEX(Models!$BJ350:$BT350,,AH350)*(1-AF350)+INDEX(Models!$BJ350:$BT350,,AH350+1)*AF350-ERP_i)*AE350*Ramure*Pc/MaxiM</f>
        <v>5.1764112625795125E-3</v>
      </c>
      <c r="AE350" s="301">
        <f t="shared" si="142"/>
        <v>0.5</v>
      </c>
      <c r="AF350" s="173">
        <f t="shared" si="143"/>
        <v>0.48931762408590362</v>
      </c>
      <c r="AG350" s="801">
        <f t="shared" si="149"/>
        <v>3</v>
      </c>
      <c r="AH350" s="172">
        <f t="shared" si="144"/>
        <v>9</v>
      </c>
      <c r="AI350" s="221">
        <f t="shared" si="145"/>
        <v>3.4893176240859036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47089</v>
      </c>
      <c r="B351" s="406">
        <f>'2027'!Wh/'2027'!Env_an*'2028'!Env_an</f>
        <v>35.421636274449099</v>
      </c>
      <c r="C351" s="831"/>
      <c r="D351" s="388">
        <f t="shared" si="127"/>
        <v>36.737744585261375</v>
      </c>
      <c r="E351" s="380">
        <f t="shared" si="125"/>
        <v>37.613603621748631</v>
      </c>
      <c r="F351" s="380">
        <f t="shared" si="128"/>
        <v>37.633617584894999</v>
      </c>
      <c r="G351" s="110">
        <f t="shared" si="126"/>
        <v>0.37144414044520668</v>
      </c>
      <c r="H351" s="409" t="b">
        <f>Wh_hp&gt;='2027'!Maxi_hp</f>
        <v>0</v>
      </c>
      <c r="I351" s="385">
        <f>IF(H351,Wh_hp,'2027'!Maxi_hp)</f>
        <v>37.783098286209089</v>
      </c>
      <c r="J351" s="85">
        <f>IF(H351,An,'2027'!An_max)</f>
        <v>2022</v>
      </c>
      <c r="K351" s="193">
        <f t="shared" si="129"/>
        <v>47089</v>
      </c>
      <c r="L351" s="143">
        <f>IF(t&lt;Tvie,1-EXP((T0-t)*PertePVj)+'2027'!Pspv,1-EXP((T0-t)*PertePVj)+Pspv)</f>
        <v>3.582441779347223E-2</v>
      </c>
      <c r="M351" s="835"/>
      <c r="N351" s="835"/>
      <c r="O351" s="48">
        <f>IF(t&lt;Tnet,'2027'!Resal+('2027'!Salim-'2027'!Resal)*(1-EXP(('2027'!Tnet-t)/('2027'!Tau_j))),Resal+(Salim-Resal)*(1-EXP((Tnet-t)/(Tau_j))))*Salcycl</f>
        <v>2.328569858115984E-2</v>
      </c>
      <c r="P351" s="165">
        <f>(INDEX(Models!$BJ351:$BT351,,T351)*(1-R351)+INDEX(Models!$BJ351:$BT351,,T351+1)*R351-ERP_i)*Q351*Ramure*Pc/MaxiM</f>
        <v>5.0893981837741957E-3</v>
      </c>
      <c r="Q351" s="301">
        <f t="shared" si="130"/>
        <v>0.5</v>
      </c>
      <c r="R351" s="173">
        <f t="shared" si="131"/>
        <v>0.48933278173506611</v>
      </c>
      <c r="S351" s="801">
        <f t="shared" si="132"/>
        <v>3</v>
      </c>
      <c r="T351" s="172">
        <f t="shared" si="133"/>
        <v>9</v>
      </c>
      <c r="U351" s="247">
        <f t="shared" si="134"/>
        <v>3.4893327817350661</v>
      </c>
      <c r="V351" s="378">
        <f t="shared" si="135"/>
        <v>94.927094902619373</v>
      </c>
      <c r="W351" s="397">
        <f t="shared" si="136"/>
        <v>35.421636274449099</v>
      </c>
      <c r="X351" s="153">
        <f t="shared" si="137"/>
        <v>47089</v>
      </c>
      <c r="Y351" s="380">
        <f t="shared" si="138"/>
        <v>34.280450382742586</v>
      </c>
      <c r="Z351" s="380">
        <f t="shared" si="139"/>
        <v>35.554157370684862</v>
      </c>
      <c r="AA351" s="381">
        <f t="shared" si="140"/>
        <v>37.613603621748631</v>
      </c>
      <c r="AB351" s="193">
        <f t="shared" si="141"/>
        <v>47089</v>
      </c>
      <c r="AC351" s="119">
        <f>IF(OR(t&lt;Tnet,NoTnet),'2027'!Resal_s+('2027'!Salim-'2027'!Resal_s)*(1-EXP(('2027'!Tnet_s-t)/'2027'!Tau_j)),Resal_s+(Salim-Resal_s)*(1-EXP((Tnet_s-t)/Tau_j)))*Salcycl</f>
        <v>5.4752697236192777E-2</v>
      </c>
      <c r="AD351" s="227">
        <f>(INDEX(Models!$BJ351:$BT351,,AH351)*(1-AF351)+INDEX(Models!$BJ351:$BT351,,AH351+1)*AF351-ERP_i)*AE351*Ramure*Pc/MaxiM</f>
        <v>5.0893981837741957E-3</v>
      </c>
      <c r="AE351" s="301">
        <f t="shared" si="142"/>
        <v>0.5</v>
      </c>
      <c r="AF351" s="173">
        <f t="shared" si="143"/>
        <v>0.48933278173506611</v>
      </c>
      <c r="AG351" s="801">
        <f t="shared" si="149"/>
        <v>3</v>
      </c>
      <c r="AH351" s="172">
        <f t="shared" si="144"/>
        <v>9</v>
      </c>
      <c r="AI351" s="221">
        <f t="shared" si="145"/>
        <v>3.4893327817350661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47090</v>
      </c>
      <c r="B352" s="406">
        <f>'2027'!Wh/'2027'!Env_an*'2028'!Env_an</f>
        <v>76.002435616400078</v>
      </c>
      <c r="C352" s="831"/>
      <c r="D352" s="388">
        <f t="shared" si="127"/>
        <v>78.827422559516975</v>
      </c>
      <c r="E352" s="380">
        <f t="shared" si="125"/>
        <v>80.711298905566821</v>
      </c>
      <c r="F352" s="380">
        <f t="shared" si="128"/>
        <v>81.004134539129325</v>
      </c>
      <c r="G352" s="110">
        <f t="shared" si="126"/>
        <v>0.80488491932259976</v>
      </c>
      <c r="H352" s="409" t="b">
        <f>Wh_hp&gt;='2027'!Maxi_hp</f>
        <v>0</v>
      </c>
      <c r="I352" s="385">
        <f>IF(H352,Wh_hp,'2027'!Maxi_hp)</f>
        <v>81.102007560946589</v>
      </c>
      <c r="J352" s="85">
        <f>IF(H352,An,'2027'!An_max)</f>
        <v>2022</v>
      </c>
      <c r="K352" s="193">
        <f t="shared" si="129"/>
        <v>47090</v>
      </c>
      <c r="L352" s="143">
        <f>IF(t&lt;Tvie,1-EXP((T0-t)*PertePVj)+'2027'!Pspv,1-EXP((T0-t)*PertePVj)+Pspv)</f>
        <v>3.5837616547514939E-2</v>
      </c>
      <c r="M352" s="835"/>
      <c r="N352" s="835"/>
      <c r="O352" s="48">
        <f>IF(t&lt;Tnet,'2027'!Resal+('2027'!Salim-'2027'!Resal)*(1-EXP(('2027'!Tnet-t)/('2027'!Tau_j))),Resal+(Salim-Resal)*(1-EXP((Tnet-t)/(Tau_j))))*Salcycl</f>
        <v>2.3340924648654379E-2</v>
      </c>
      <c r="P352" s="165">
        <f>(INDEX(Models!$BJ352:$BT352,,T352)*(1-R352)+INDEX(Models!$BJ352:$BT352,,T352+1)*R352-ERP_i)*Q352*Ramure*Pc/MaxiM</f>
        <v>5.0010253696013852E-3</v>
      </c>
      <c r="Q352" s="301">
        <f t="shared" si="130"/>
        <v>0.5</v>
      </c>
      <c r="R352" s="173">
        <f t="shared" si="131"/>
        <v>0.48934732995670149</v>
      </c>
      <c r="S352" s="801">
        <f t="shared" si="132"/>
        <v>3</v>
      </c>
      <c r="T352" s="172">
        <f t="shared" si="133"/>
        <v>9</v>
      </c>
      <c r="U352" s="247">
        <f t="shared" si="134"/>
        <v>3.4893473299567015</v>
      </c>
      <c r="V352" s="378">
        <f t="shared" si="135"/>
        <v>94.295116789961057</v>
      </c>
      <c r="W352" s="397">
        <f t="shared" si="136"/>
        <v>76.002435616400078</v>
      </c>
      <c r="X352" s="153">
        <f t="shared" si="137"/>
        <v>47090</v>
      </c>
      <c r="Y352" s="380">
        <f t="shared" si="138"/>
        <v>73.557159082314627</v>
      </c>
      <c r="Z352" s="380">
        <f t="shared" si="139"/>
        <v>76.291255855595821</v>
      </c>
      <c r="AA352" s="381">
        <f t="shared" si="140"/>
        <v>80.711298905566821</v>
      </c>
      <c r="AB352" s="193">
        <f t="shared" si="141"/>
        <v>47090</v>
      </c>
      <c r="AC352" s="119">
        <f>IF(OR(t&lt;Tnet,NoTnet),'2027'!Resal_s+('2027'!Salim-'2027'!Resal_s)*(1-EXP(('2027'!Tnet_s-t)/'2027'!Tau_j)),Resal_s+(Salim-Resal_s)*(1-EXP((Tnet_s-t)/Tau_j)))*Salcycl</f>
        <v>5.4763621821307756E-2</v>
      </c>
      <c r="AD352" s="227">
        <f>(INDEX(Models!$BJ352:$BT352,,AH352)*(1-AF352)+INDEX(Models!$BJ352:$BT352,,AH352+1)*AF352-ERP_i)*AE352*Ramure*Pc/MaxiM</f>
        <v>5.0010253696013852E-3</v>
      </c>
      <c r="AE352" s="301">
        <f t="shared" si="142"/>
        <v>0.5</v>
      </c>
      <c r="AF352" s="173">
        <f t="shared" si="143"/>
        <v>0.48934732995670149</v>
      </c>
      <c r="AG352" s="801">
        <f t="shared" si="149"/>
        <v>3</v>
      </c>
      <c r="AH352" s="172">
        <f t="shared" si="144"/>
        <v>9</v>
      </c>
      <c r="AI352" s="221">
        <f t="shared" si="145"/>
        <v>3.4893473299567015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47091</v>
      </c>
      <c r="B353" s="406">
        <f>'2027'!Wh/'2027'!Env_an*'2028'!Env_an</f>
        <v>95.384079442061875</v>
      </c>
      <c r="C353" s="831"/>
      <c r="D353" s="388">
        <f t="shared" si="127"/>
        <v>98.93083035072047</v>
      </c>
      <c r="E353" s="380">
        <f t="shared" si="125"/>
        <v>101.30091102986248</v>
      </c>
      <c r="F353" s="380">
        <f t="shared" si="128"/>
        <v>101.80165922756321</v>
      </c>
      <c r="G353" s="110">
        <f t="shared" si="126"/>
        <v>1.0179714021442381</v>
      </c>
      <c r="H353" s="409" t="b">
        <f>Wh_hp&gt;='2027'!Maxi_hp</f>
        <v>1</v>
      </c>
      <c r="I353" s="385">
        <f>IF(H353,Wh_hp,'2027'!Maxi_hp)</f>
        <v>101.80165922756321</v>
      </c>
      <c r="J353" s="85">
        <f>IF(H353,An,'2027'!An_max)</f>
        <v>2028</v>
      </c>
      <c r="K353" s="193">
        <f t="shared" si="129"/>
        <v>47091</v>
      </c>
      <c r="L353" s="143">
        <f>IF(t&lt;Tvie,1-EXP((T0-t)*PertePVj)+'2027'!Pspv,1-EXP((T0-t)*PertePVj)+Pspv)</f>
        <v>3.5850815120877622E-2</v>
      </c>
      <c r="M353" s="835"/>
      <c r="N353" s="835"/>
      <c r="O353" s="48">
        <f>IF(t&lt;Tnet,'2027'!Resal+('2027'!Salim-'2027'!Resal)*(1-EXP(('2027'!Tnet-t)/('2027'!Tau_j))),Resal+(Salim-Resal)*(1-EXP((Tnet-t)/(Tau_j))))*Salcycl</f>
        <v>2.3396439923855525E-2</v>
      </c>
      <c r="P353" s="165">
        <f>(INDEX(Models!$BJ353:$BT353,,T353)*(1-R353)+INDEX(Models!$BJ353:$BT353,,T353+1)*R353-ERP_i)*Q353*Ramure*Pc/MaxiM</f>
        <v>4.9188608663182894E-3</v>
      </c>
      <c r="Q353" s="301">
        <f t="shared" si="130"/>
        <v>0.5</v>
      </c>
      <c r="R353" s="173">
        <f t="shared" si="131"/>
        <v>0.48936129322007016</v>
      </c>
      <c r="S353" s="801">
        <f t="shared" si="132"/>
        <v>3</v>
      </c>
      <c r="T353" s="172">
        <f t="shared" si="133"/>
        <v>9</v>
      </c>
      <c r="U353" s="247">
        <f t="shared" si="134"/>
        <v>3.4893612932200702</v>
      </c>
      <c r="V353" s="378">
        <f t="shared" si="135"/>
        <v>93.700156253060186</v>
      </c>
      <c r="W353" s="397">
        <f t="shared" si="136"/>
        <v>95.384079442061875</v>
      </c>
      <c r="X353" s="153">
        <f t="shared" si="137"/>
        <v>47091</v>
      </c>
      <c r="Y353" s="380">
        <f t="shared" si="138"/>
        <v>92.319319158320866</v>
      </c>
      <c r="Z353" s="380">
        <f t="shared" si="139"/>
        <v>95.75211036442991</v>
      </c>
      <c r="AA353" s="381">
        <f t="shared" si="140"/>
        <v>101.30091102986248</v>
      </c>
      <c r="AB353" s="193">
        <f t="shared" si="141"/>
        <v>47091</v>
      </c>
      <c r="AC353" s="119">
        <f>IF(OR(t&lt;Tnet,NoTnet),'2027'!Resal_s+('2027'!Salim-'2027'!Resal_s)*(1-EXP(('2027'!Tnet_s-t)/'2027'!Tau_j)),Resal_s+(Salim-Resal_s)*(1-EXP((Tnet_s-t)/Tau_j)))*Salcycl</f>
        <v>5.4775427081764756E-2</v>
      </c>
      <c r="AD353" s="227">
        <f>(INDEX(Models!$BJ353:$BT353,,AH353)*(1-AF353)+INDEX(Models!$BJ353:$BT353,,AH353+1)*AF353-ERP_i)*AE353*Ramure*Pc/MaxiM</f>
        <v>4.9188608663182894E-3</v>
      </c>
      <c r="AE353" s="301">
        <f t="shared" si="142"/>
        <v>0.5</v>
      </c>
      <c r="AF353" s="173">
        <f t="shared" si="143"/>
        <v>0.48936129322007016</v>
      </c>
      <c r="AG353" s="801">
        <f t="shared" si="149"/>
        <v>3</v>
      </c>
      <c r="AH353" s="172">
        <f t="shared" si="144"/>
        <v>9</v>
      </c>
      <c r="AI353" s="221">
        <f t="shared" si="145"/>
        <v>3.4893612932200702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47092</v>
      </c>
      <c r="B354" s="406">
        <f>'2027'!Wh/'2027'!Env_an*'2028'!Env_an</f>
        <v>49.570818094467079</v>
      </c>
      <c r="C354" s="831"/>
      <c r="D354" s="388">
        <f t="shared" si="127"/>
        <v>51.414757657906819</v>
      </c>
      <c r="E354" s="380">
        <f t="shared" si="125"/>
        <v>52.649506457732905</v>
      </c>
      <c r="F354" s="380">
        <f t="shared" si="128"/>
        <v>52.734219078333695</v>
      </c>
      <c r="G354" s="110">
        <f t="shared" si="126"/>
        <v>0.53046913620596214</v>
      </c>
      <c r="H354" s="409" t="b">
        <f>Wh_hp&gt;='2027'!Maxi_hp</f>
        <v>0</v>
      </c>
      <c r="I354" s="385">
        <f>IF(H354,Wh_hp,'2027'!Maxi_hp)</f>
        <v>52.883007862036244</v>
      </c>
      <c r="J354" s="85">
        <f>IF(H354,An,'2027'!An_max)</f>
        <v>2022</v>
      </c>
      <c r="K354" s="193">
        <f t="shared" si="129"/>
        <v>47092</v>
      </c>
      <c r="L354" s="143">
        <f>IF(t&lt;Tvie,1-EXP((T0-t)*PertePVj)+'2027'!Pspv,1-EXP((T0-t)*PertePVj)+Pspv)</f>
        <v>3.5864013513563053E-2</v>
      </c>
      <c r="M354" s="835"/>
      <c r="N354" s="835"/>
      <c r="O354" s="48">
        <f>IF(t&lt;Tnet,'2027'!Resal+('2027'!Salim-'2027'!Resal)*(1-EXP(('2027'!Tnet-t)/('2027'!Tau_j))),Resal+(Salim-Resal)*(1-EXP((Tnet-t)/(Tau_j))))*Salcycl</f>
        <v>2.3452238831855772E-2</v>
      </c>
      <c r="P354" s="165">
        <f>(INDEX(Models!$BJ354:$BT354,,T354)*(1-R354)+INDEX(Models!$BJ354:$BT354,,T354+1)*R354-ERP_i)*Q354*Ramure*Pc/MaxiM</f>
        <v>4.8428612572748424E-3</v>
      </c>
      <c r="Q354" s="301">
        <f t="shared" si="130"/>
        <v>0.5</v>
      </c>
      <c r="R354" s="173">
        <f t="shared" si="131"/>
        <v>0.48937469501459319</v>
      </c>
      <c r="S354" s="801">
        <f t="shared" si="132"/>
        <v>3</v>
      </c>
      <c r="T354" s="172">
        <f t="shared" si="133"/>
        <v>9</v>
      </c>
      <c r="U354" s="247">
        <f t="shared" si="134"/>
        <v>3.4893746950145932</v>
      </c>
      <c r="V354" s="378">
        <f t="shared" si="135"/>
        <v>93.144205576122431</v>
      </c>
      <c r="W354" s="397">
        <f t="shared" si="136"/>
        <v>49.570818094467079</v>
      </c>
      <c r="X354" s="153">
        <f t="shared" si="137"/>
        <v>47092</v>
      </c>
      <c r="Y354" s="380">
        <f t="shared" si="138"/>
        <v>47.980169868739367</v>
      </c>
      <c r="Z354" s="380">
        <f t="shared" si="139"/>
        <v>49.764940362398072</v>
      </c>
      <c r="AA354" s="381">
        <f t="shared" si="140"/>
        <v>52.649506457732905</v>
      </c>
      <c r="AB354" s="193">
        <f t="shared" si="141"/>
        <v>47092</v>
      </c>
      <c r="AC354" s="119">
        <f>IF(OR(t&lt;Tnet,NoTnet),'2027'!Resal_s+('2027'!Salim-'2027'!Resal_s)*(1-EXP(('2027'!Tnet_s-t)/'2027'!Tau_j)),Resal_s+(Salim-Resal_s)*(1-EXP((Tnet_s-t)/Tau_j)))*Salcycl</f>
        <v>5.4788093743111714E-2</v>
      </c>
      <c r="AD354" s="227">
        <f>(INDEX(Models!$BJ354:$BT354,,AH354)*(1-AF354)+INDEX(Models!$BJ354:$BT354,,AH354+1)*AF354-ERP_i)*AE354*Ramure*Pc/MaxiM</f>
        <v>4.8428612572748424E-3</v>
      </c>
      <c r="AE354" s="301">
        <f t="shared" si="142"/>
        <v>0.5</v>
      </c>
      <c r="AF354" s="173">
        <f t="shared" si="143"/>
        <v>0.48937469501459319</v>
      </c>
      <c r="AG354" s="801">
        <f t="shared" si="149"/>
        <v>3</v>
      </c>
      <c r="AH354" s="172">
        <f t="shared" si="144"/>
        <v>9</v>
      </c>
      <c r="AI354" s="221">
        <f t="shared" si="145"/>
        <v>3.4893746950145932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47093</v>
      </c>
      <c r="B355" s="406">
        <f>'2027'!Wh/'2027'!Env_an*'2028'!Env_an</f>
        <v>76.680796762598249</v>
      </c>
      <c r="C355" s="831"/>
      <c r="D355" s="388">
        <f t="shared" si="127"/>
        <v>79.534264406134895</v>
      </c>
      <c r="E355" s="380">
        <f t="shared" si="125"/>
        <v>81.448992964043441</v>
      </c>
      <c r="F355" s="380">
        <f t="shared" si="128"/>
        <v>81.743186423679006</v>
      </c>
      <c r="G355" s="110">
        <f t="shared" si="126"/>
        <v>0.8268494542347411</v>
      </c>
      <c r="H355" s="409" t="b">
        <f>Wh_hp&gt;='2027'!Maxi_hp</f>
        <v>0</v>
      </c>
      <c r="I355" s="385">
        <f>IF(H355,Wh_hp,'2027'!Maxi_hp)</f>
        <v>81.826902027230147</v>
      </c>
      <c r="J355" s="85">
        <f>IF(H355,An,'2027'!An_max)</f>
        <v>2022</v>
      </c>
      <c r="K355" s="193">
        <f t="shared" si="129"/>
        <v>47093</v>
      </c>
      <c r="L355" s="143">
        <f>IF(t&lt;Tvie,1-EXP((T0-t)*PertePVj)+'2027'!Pspv,1-EXP((T0-t)*PertePVj)+Pspv)</f>
        <v>3.5877211725573566E-2</v>
      </c>
      <c r="M355" s="835"/>
      <c r="N355" s="835"/>
      <c r="O355" s="48">
        <f>IF(t&lt;Tnet,'2027'!Resal+('2027'!Salim-'2027'!Resal)*(1-EXP(('2027'!Tnet-t)/('2027'!Tau_j))),Resal+(Salim-Resal)*(1-EXP((Tnet-t)/(Tau_j))))*Salcycl</f>
        <v>2.3508314691549539E-2</v>
      </c>
      <c r="P355" s="165">
        <f>(INDEX(Models!$BJ355:$BT355,,T355)*(1-R355)+INDEX(Models!$BJ355:$BT355,,T355+1)*R355-ERP_i)*Q355*Ramure*Pc/MaxiM</f>
        <v>4.7729807654980977E-3</v>
      </c>
      <c r="Q355" s="301">
        <f t="shared" si="130"/>
        <v>0.5</v>
      </c>
      <c r="R355" s="173">
        <f t="shared" si="131"/>
        <v>0.48938755788887844</v>
      </c>
      <c r="S355" s="801">
        <f t="shared" si="132"/>
        <v>3</v>
      </c>
      <c r="T355" s="172">
        <f t="shared" si="133"/>
        <v>9</v>
      </c>
      <c r="U355" s="247">
        <f t="shared" si="134"/>
        <v>3.4893875578888784</v>
      </c>
      <c r="V355" s="378">
        <f t="shared" si="135"/>
        <v>92.629255759827245</v>
      </c>
      <c r="W355" s="397">
        <f t="shared" si="136"/>
        <v>76.680796762598249</v>
      </c>
      <c r="X355" s="153">
        <f t="shared" si="137"/>
        <v>47093</v>
      </c>
      <c r="Y355" s="380">
        <f t="shared" si="138"/>
        <v>74.223434249574794</v>
      </c>
      <c r="Z355" s="380">
        <f t="shared" si="139"/>
        <v>76.985457819557269</v>
      </c>
      <c r="AA355" s="381">
        <f t="shared" si="140"/>
        <v>81.448992964043441</v>
      </c>
      <c r="AB355" s="193">
        <f t="shared" si="141"/>
        <v>47093</v>
      </c>
      <c r="AC355" s="119">
        <f>IF(OR(t&lt;Tnet,NoTnet),'2027'!Resal_s+('2027'!Salim-'2027'!Resal_s)*(1-EXP(('2027'!Tnet_s-t)/'2027'!Tau_j)),Resal_s+(Salim-Resal_s)*(1-EXP((Tnet_s-t)/Tau_j)))*Salcycl</f>
        <v>5.4801600143253477E-2</v>
      </c>
      <c r="AD355" s="227">
        <f>(INDEX(Models!$BJ355:$BT355,,AH355)*(1-AF355)+INDEX(Models!$BJ355:$BT355,,AH355+1)*AF355-ERP_i)*AE355*Ramure*Pc/MaxiM</f>
        <v>4.7729807654980977E-3</v>
      </c>
      <c r="AE355" s="301">
        <f t="shared" si="142"/>
        <v>0.5</v>
      </c>
      <c r="AF355" s="173">
        <f t="shared" si="143"/>
        <v>0.48938755788887844</v>
      </c>
      <c r="AG355" s="801">
        <f t="shared" si="149"/>
        <v>3</v>
      </c>
      <c r="AH355" s="172">
        <f t="shared" si="144"/>
        <v>9</v>
      </c>
      <c r="AI355" s="221">
        <f t="shared" si="145"/>
        <v>3.4893875578888784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47094</v>
      </c>
      <c r="B356" s="406">
        <f>'2027'!Wh/'2027'!Env_an*'2028'!Env_an</f>
        <v>14.510705273417949</v>
      </c>
      <c r="C356" s="831"/>
      <c r="D356" s="388">
        <f t="shared" si="127"/>
        <v>15.050887803905418</v>
      </c>
      <c r="E356" s="380">
        <f t="shared" si="125"/>
        <v>15.414116208294452</v>
      </c>
      <c r="F356" s="380">
        <f t="shared" si="128"/>
        <v>15.414116208294452</v>
      </c>
      <c r="G356" s="110">
        <f t="shared" si="126"/>
        <v>0.15671436164843003</v>
      </c>
      <c r="H356" s="409" t="b">
        <f>Wh_hp&gt;='2027'!Maxi_hp</f>
        <v>0</v>
      </c>
      <c r="I356" s="385">
        <f>IF(H356,Wh_hp,'2027'!Maxi_hp)</f>
        <v>15.477444404663771</v>
      </c>
      <c r="J356" s="85">
        <f>IF(H356,An,'2027'!An_max)</f>
        <v>2022</v>
      </c>
      <c r="K356" s="193">
        <f t="shared" si="129"/>
        <v>47094</v>
      </c>
      <c r="L356" s="143">
        <f>IF(t&lt;Tvie,1-EXP((T0-t)*PertePVj)+'2027'!Pspv,1-EXP((T0-t)*PertePVj)+Pspv)</f>
        <v>3.5890409756911601E-2</v>
      </c>
      <c r="M356" s="835"/>
      <c r="N356" s="835"/>
      <c r="O356" s="48">
        <f>IF(t&lt;Tnet,'2027'!Resal+('2027'!Salim-'2027'!Resal)*(1-EXP(('2027'!Tnet-t)/('2027'!Tau_j))),Resal+(Salim-Resal)*(1-EXP((Tnet-t)/(Tau_j))))*Salcycl</f>
        <v>2.3564659788511036E-2</v>
      </c>
      <c r="P356" s="165">
        <f>(INDEX(Models!$BJ356:$BT356,,T356)*(1-R356)+INDEX(Models!$BJ356:$BT356,,T356+1)*R356-ERP_i)*Q356*Ramure*Pc/MaxiM</f>
        <v>4.7091702891179001E-3</v>
      </c>
      <c r="Q356" s="301">
        <f t="shared" si="130"/>
        <v>0.5</v>
      </c>
      <c r="R356" s="173">
        <f t="shared" si="131"/>
        <v>0.48939990348821238</v>
      </c>
      <c r="S356" s="801">
        <f t="shared" si="132"/>
        <v>3</v>
      </c>
      <c r="T356" s="172">
        <f t="shared" si="133"/>
        <v>9</v>
      </c>
      <c r="U356" s="247">
        <f t="shared" si="134"/>
        <v>3.4893999034882124</v>
      </c>
      <c r="V356" s="378">
        <f t="shared" si="135"/>
        <v>92.157296493795272</v>
      </c>
      <c r="W356" s="397">
        <f t="shared" si="136"/>
        <v>14.510705273417949</v>
      </c>
      <c r="X356" s="153">
        <f t="shared" si="137"/>
        <v>47094</v>
      </c>
      <c r="Y356" s="380">
        <f t="shared" si="138"/>
        <v>14.046283470062674</v>
      </c>
      <c r="Z356" s="380">
        <f t="shared" si="139"/>
        <v>14.569177209948794</v>
      </c>
      <c r="AA356" s="381">
        <f t="shared" si="140"/>
        <v>15.414116208294452</v>
      </c>
      <c r="AB356" s="193">
        <f t="shared" si="141"/>
        <v>47094</v>
      </c>
      <c r="AC356" s="119">
        <f>IF(OR(t&lt;Tnet,NoTnet),'2027'!Resal_s+('2027'!Salim-'2027'!Resal_s)*(1-EXP(('2027'!Tnet_s-t)/'2027'!Tau_j)),Resal_s+(Salim-Resal_s)*(1-EXP((Tnet_s-t)/Tau_j)))*Salcycl</f>
        <v>5.4815922426417751E-2</v>
      </c>
      <c r="AD356" s="227">
        <f>(INDEX(Models!$BJ356:$BT356,,AH356)*(1-AF356)+INDEX(Models!$BJ356:$BT356,,AH356+1)*AF356-ERP_i)*AE356*Ramure*Pc/MaxiM</f>
        <v>4.7091702891179001E-3</v>
      </c>
      <c r="AE356" s="301">
        <f t="shared" si="142"/>
        <v>0.5</v>
      </c>
      <c r="AF356" s="173">
        <f t="shared" si="143"/>
        <v>0.48939990348821238</v>
      </c>
      <c r="AG356" s="801">
        <f t="shared" si="149"/>
        <v>3</v>
      </c>
      <c r="AH356" s="172">
        <f t="shared" si="144"/>
        <v>9</v>
      </c>
      <c r="AI356" s="221">
        <f t="shared" si="145"/>
        <v>3.4893999034882124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47095</v>
      </c>
      <c r="B357" s="406">
        <f>'2027'!Wh/'2027'!Env_an*'2028'!Env_an</f>
        <v>27.893590944520376</v>
      </c>
      <c r="C357" s="831"/>
      <c r="D357" s="388">
        <f t="shared" si="127"/>
        <v>28.932367307486746</v>
      </c>
      <c r="E357" s="380">
        <f t="shared" si="125"/>
        <v>29.632320209139507</v>
      </c>
      <c r="F357" s="380">
        <f t="shared" si="128"/>
        <v>29.633124096647098</v>
      </c>
      <c r="G357" s="110">
        <f t="shared" si="126"/>
        <v>0.30267638562067894</v>
      </c>
      <c r="H357" s="409" t="b">
        <f>Wh_hp&gt;='2027'!Maxi_hp</f>
        <v>0</v>
      </c>
      <c r="I357" s="385">
        <f>IF(H357,Wh_hp,'2027'!Maxi_hp)</f>
        <v>29.752765723166412</v>
      </c>
      <c r="J357" s="85">
        <f>IF(H357,An,'2027'!An_max)</f>
        <v>2022</v>
      </c>
      <c r="K357" s="193">
        <f t="shared" si="129"/>
        <v>47095</v>
      </c>
      <c r="L357" s="143">
        <f>IF(t&lt;Tvie,1-EXP((T0-t)*PertePVj)+'2027'!Pspv,1-EXP((T0-t)*PertePVj)+Pspv)</f>
        <v>3.5903607607579602E-2</v>
      </c>
      <c r="M357" s="835"/>
      <c r="N357" s="835"/>
      <c r="O357" s="48">
        <f>IF(t&lt;Tnet,'2027'!Resal+('2027'!Salim-'2027'!Resal)*(1-EXP(('2027'!Tnet-t)/('2027'!Tau_j))),Resal+(Salim-Resal)*(1-EXP((Tnet-t)/(Tau_j))))*Salcycl</f>
        <v>2.3621265453147747E-2</v>
      </c>
      <c r="P357" s="165">
        <f>(INDEX(Models!$BJ357:$BT357,,T357)*(1-R357)+INDEX(Models!$BJ357:$BT357,,T357+1)*R357-ERP_i)*Q357*Ramure*Pc/MaxiM</f>
        <v>4.6513763668953254E-3</v>
      </c>
      <c r="Q357" s="301">
        <f t="shared" si="130"/>
        <v>0.5</v>
      </c>
      <c r="R357" s="173">
        <f t="shared" si="131"/>
        <v>0.48941175259057257</v>
      </c>
      <c r="S357" s="801">
        <f t="shared" si="132"/>
        <v>3</v>
      </c>
      <c r="T357" s="172">
        <f t="shared" si="133"/>
        <v>9</v>
      </c>
      <c r="U357" s="247">
        <f t="shared" si="134"/>
        <v>3.4894117525905726</v>
      </c>
      <c r="V357" s="378">
        <f t="shared" si="135"/>
        <v>91.730316179346559</v>
      </c>
      <c r="W357" s="397">
        <f t="shared" si="136"/>
        <v>27.893590944520376</v>
      </c>
      <c r="X357" s="153">
        <f t="shared" si="137"/>
        <v>47095</v>
      </c>
      <c r="Y357" s="380">
        <f t="shared" si="138"/>
        <v>27.001977365336444</v>
      </c>
      <c r="Z357" s="380">
        <f t="shared" si="139"/>
        <v>28.007549430125561</v>
      </c>
      <c r="AA357" s="381">
        <f t="shared" si="140"/>
        <v>29.632320209139507</v>
      </c>
      <c r="AB357" s="193">
        <f t="shared" si="141"/>
        <v>47095</v>
      </c>
      <c r="AC357" s="119">
        <f>IF(OR(t&lt;Tnet,NoTnet),'2027'!Resal_s+('2027'!Salim-'2027'!Resal_s)*(1-EXP(('2027'!Tnet_s-t)/'2027'!Tau_j)),Resal_s+(Salim-Resal_s)*(1-EXP((Tnet_s-t)/Tau_j)))*Salcycl</f>
        <v>5.483103474674314E-2</v>
      </c>
      <c r="AD357" s="227">
        <f>(INDEX(Models!$BJ357:$BT357,,AH357)*(1-AF357)+INDEX(Models!$BJ357:$BT357,,AH357+1)*AF357-ERP_i)*AE357*Ramure*Pc/MaxiM</f>
        <v>4.6513763668953254E-3</v>
      </c>
      <c r="AE357" s="301">
        <f t="shared" si="142"/>
        <v>0.5</v>
      </c>
      <c r="AF357" s="173">
        <f t="shared" si="143"/>
        <v>0.48941175259057257</v>
      </c>
      <c r="AG357" s="801">
        <f t="shared" si="149"/>
        <v>3</v>
      </c>
      <c r="AH357" s="172">
        <f t="shared" si="144"/>
        <v>9</v>
      </c>
      <c r="AI357" s="221">
        <f t="shared" si="145"/>
        <v>3.4894117525905726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47096</v>
      </c>
      <c r="B358" s="406">
        <f>'2027'!Wh/'2027'!Env_an*'2028'!Env_an</f>
        <v>67.234425328240732</v>
      </c>
      <c r="C358" s="831"/>
      <c r="D358" s="388">
        <f t="shared" si="127"/>
        <v>69.739235883682184</v>
      </c>
      <c r="E358" s="380">
        <f t="shared" si="125"/>
        <v>71.430577830326612</v>
      </c>
      <c r="F358" s="380">
        <f t="shared" si="128"/>
        <v>71.635807239491442</v>
      </c>
      <c r="G358" s="110">
        <f t="shared" si="126"/>
        <v>0.73472622809734811</v>
      </c>
      <c r="H358" s="409" t="b">
        <f>Wh_hp&gt;='2027'!Maxi_hp</f>
        <v>0</v>
      </c>
      <c r="I358" s="385">
        <f>IF(H358,Wh_hp,'2027'!Maxi_hp)</f>
        <v>71.744443051435056</v>
      </c>
      <c r="J358" s="85">
        <f>IF(H358,An,'2027'!An_max)</f>
        <v>2022</v>
      </c>
      <c r="K358" s="193">
        <f t="shared" si="129"/>
        <v>47096</v>
      </c>
      <c r="L358" s="143">
        <f>IF(t&lt;Tvie,1-EXP((T0-t)*PertePVj)+'2027'!Pspv,1-EXP((T0-t)*PertePVj)+Pspv)</f>
        <v>3.5916805277580233E-2</v>
      </c>
      <c r="M358" s="835"/>
      <c r="N358" s="835"/>
      <c r="O358" s="48">
        <f>IF(t&lt;Tnet,'2027'!Resal+('2027'!Salim-'2027'!Resal)*(1-EXP(('2027'!Tnet-t)/('2027'!Tau_j))),Resal+(Salim-Resal)*(1-EXP((Tnet-t)/(Tau_j))))*Salcycl</f>
        <v>2.3678122143460274E-2</v>
      </c>
      <c r="P358" s="165">
        <f>(INDEX(Models!$BJ358:$BT358,,T358)*(1-R358)+INDEX(Models!$BJ358:$BT358,,T358+1)*R358-ERP_i)*Q358*Ramure*Pc/MaxiM</f>
        <v>4.5995400983352185E-3</v>
      </c>
      <c r="Q358" s="301">
        <f t="shared" si="130"/>
        <v>0.5</v>
      </c>
      <c r="R358" s="173">
        <f t="shared" si="131"/>
        <v>0.48942312514121689</v>
      </c>
      <c r="S358" s="801">
        <f t="shared" si="132"/>
        <v>3</v>
      </c>
      <c r="T358" s="172">
        <f t="shared" si="133"/>
        <v>9</v>
      </c>
      <c r="U358" s="247">
        <f t="shared" si="134"/>
        <v>3.4894231251412169</v>
      </c>
      <c r="V358" s="378">
        <f t="shared" si="135"/>
        <v>91.3503018282006</v>
      </c>
      <c r="W358" s="397">
        <f t="shared" si="136"/>
        <v>67.234425328240732</v>
      </c>
      <c r="X358" s="153">
        <f t="shared" si="137"/>
        <v>47096</v>
      </c>
      <c r="Y358" s="380">
        <f t="shared" si="138"/>
        <v>65.087986175060195</v>
      </c>
      <c r="Z358" s="380">
        <f t="shared" si="139"/>
        <v>67.512831393975731</v>
      </c>
      <c r="AA358" s="381">
        <f t="shared" si="140"/>
        <v>71.430577830326612</v>
      </c>
      <c r="AB358" s="193">
        <f t="shared" si="141"/>
        <v>47096</v>
      </c>
      <c r="AC358" s="119">
        <f>IF(OR(t&lt;Tnet,NoTnet),'2027'!Resal_s+('2027'!Salim-'2027'!Resal_s)*(1-EXP(('2027'!Tnet_s-t)/'2027'!Tau_j)),Resal_s+(Salim-Resal_s)*(1-EXP((Tnet_s-t)/Tau_j)))*Salcycl</f>
        <v>5.4846909479816137E-2</v>
      </c>
      <c r="AD358" s="227">
        <f>(INDEX(Models!$BJ358:$BT358,,AH358)*(1-AF358)+INDEX(Models!$BJ358:$BT358,,AH358+1)*AF358-ERP_i)*AE358*Ramure*Pc/MaxiM</f>
        <v>4.5995400983352185E-3</v>
      </c>
      <c r="AE358" s="301">
        <f t="shared" si="142"/>
        <v>0.5</v>
      </c>
      <c r="AF358" s="173">
        <f t="shared" si="143"/>
        <v>0.48942312514121689</v>
      </c>
      <c r="AG358" s="801">
        <f t="shared" si="149"/>
        <v>3</v>
      </c>
      <c r="AH358" s="172">
        <f t="shared" si="144"/>
        <v>9</v>
      </c>
      <c r="AI358" s="221">
        <f t="shared" si="145"/>
        <v>3.4894231251412169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47097</v>
      </c>
      <c r="B359" s="406">
        <f>'2027'!Wh/'2027'!Env_an*'2028'!Env_an</f>
        <v>63.291827890164598</v>
      </c>
      <c r="C359" s="831"/>
      <c r="D359" s="388">
        <f t="shared" si="127"/>
        <v>65.650656147182715</v>
      </c>
      <c r="E359" s="380">
        <f t="shared" si="125"/>
        <v>67.246773068768832</v>
      </c>
      <c r="F359" s="380">
        <f t="shared" si="128"/>
        <v>67.420200620516539</v>
      </c>
      <c r="G359" s="110">
        <f t="shared" si="126"/>
        <v>0.69402706497457023</v>
      </c>
      <c r="H359" s="409" t="b">
        <f>Wh_hp&gt;='2027'!Maxi_hp</f>
        <v>0</v>
      </c>
      <c r="I359" s="385">
        <f>IF(H359,Wh_hp,'2027'!Maxi_hp)</f>
        <v>67.53712274687156</v>
      </c>
      <c r="J359" s="85">
        <f>IF(H359,An,'2027'!An_max)</f>
        <v>2022</v>
      </c>
      <c r="K359" s="193">
        <f t="shared" si="129"/>
        <v>47097</v>
      </c>
      <c r="L359" s="143">
        <f>IF(t&lt;Tvie,1-EXP((T0-t)*PertePVj)+'2027'!Pspv,1-EXP((T0-t)*PertePVj)+Pspv)</f>
        <v>3.5930002766915825E-2</v>
      </c>
      <c r="M359" s="835"/>
      <c r="N359" s="835"/>
      <c r="O359" s="48">
        <f>IF(t&lt;Tnet,'2027'!Resal+('2027'!Salim-'2027'!Resal)*(1-EXP(('2027'!Tnet-t)/('2027'!Tau_j))),Resal+(Salim-Resal)*(1-EXP((Tnet-t)/(Tau_j))))*Salcycl</f>
        <v>2.3735219531707003E-2</v>
      </c>
      <c r="P359" s="165">
        <f>(INDEX(Models!$BJ359:$BT359,,T359)*(1-R359)+INDEX(Models!$BJ359:$BT359,,T359+1)*R359-ERP_i)*Q359*Ramure*Pc/MaxiM</f>
        <v>4.5538633531744584E-3</v>
      </c>
      <c r="Q359" s="301">
        <f t="shared" si="130"/>
        <v>0.5</v>
      </c>
      <c r="R359" s="173">
        <f t="shared" si="131"/>
        <v>0.48943404028590809</v>
      </c>
      <c r="S359" s="801">
        <f t="shared" si="132"/>
        <v>3</v>
      </c>
      <c r="T359" s="172">
        <f t="shared" si="133"/>
        <v>9</v>
      </c>
      <c r="U359" s="247">
        <f t="shared" si="134"/>
        <v>3.4894340402859081</v>
      </c>
      <c r="V359" s="378">
        <f t="shared" si="135"/>
        <v>91.013871480639921</v>
      </c>
      <c r="W359" s="397">
        <f t="shared" si="136"/>
        <v>63.291827890164598</v>
      </c>
      <c r="X359" s="153">
        <f t="shared" si="137"/>
        <v>47097</v>
      </c>
      <c r="Y359" s="380">
        <f t="shared" si="138"/>
        <v>61.273761774117531</v>
      </c>
      <c r="Z359" s="380">
        <f t="shared" si="139"/>
        <v>63.557378561697227</v>
      </c>
      <c r="AA359" s="381">
        <f t="shared" si="140"/>
        <v>67.246773068768832</v>
      </c>
      <c r="AB359" s="193">
        <f t="shared" si="141"/>
        <v>47097</v>
      </c>
      <c r="AC359" s="119">
        <f>IF(OR(t&lt;Tnet,NoTnet),'2027'!Resal_s+('2027'!Salim-'2027'!Resal_s)*(1-EXP(('2027'!Tnet_s-t)/'2027'!Tau_j)),Resal_s+(Salim-Resal_s)*(1-EXP((Tnet_s-t)/Tau_j)))*Salcycl</f>
        <v>5.4863517440438436E-2</v>
      </c>
      <c r="AD359" s="227">
        <f>(INDEX(Models!$BJ359:$BT359,,AH359)*(1-AF359)+INDEX(Models!$BJ359:$BT359,,AH359+1)*AF359-ERP_i)*AE359*Ramure*Pc/MaxiM</f>
        <v>4.5538633531744584E-3</v>
      </c>
      <c r="AE359" s="301">
        <f t="shared" si="142"/>
        <v>0.5</v>
      </c>
      <c r="AF359" s="173">
        <f t="shared" si="143"/>
        <v>0.48943404028590809</v>
      </c>
      <c r="AG359" s="801">
        <f t="shared" si="149"/>
        <v>3</v>
      </c>
      <c r="AH359" s="172">
        <f t="shared" si="144"/>
        <v>9</v>
      </c>
      <c r="AI359" s="221">
        <f t="shared" si="145"/>
        <v>3.4894340402859081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47098</v>
      </c>
      <c r="B360" s="406">
        <f>'2027'!Wh/'2027'!Env_an*'2028'!Env_an</f>
        <v>22.072533783336947</v>
      </c>
      <c r="C360" s="831"/>
      <c r="D360" s="388">
        <f t="shared" si="127"/>
        <v>22.895470251407996</v>
      </c>
      <c r="E360" s="380">
        <f t="shared" si="125"/>
        <v>23.45348846859466</v>
      </c>
      <c r="F360" s="380">
        <f t="shared" si="128"/>
        <v>23.45348846859466</v>
      </c>
      <c r="G360" s="110">
        <f t="shared" si="126"/>
        <v>0.24221501135411139</v>
      </c>
      <c r="H360" s="409" t="b">
        <f>Wh_hp&gt;='2027'!Maxi_hp</f>
        <v>0</v>
      </c>
      <c r="I360" s="385">
        <f>IF(H360,Wh_hp,'2027'!Maxi_hp)</f>
        <v>23.546248768046997</v>
      </c>
      <c r="J360" s="85">
        <f>IF(H360,An,'2027'!An_max)</f>
        <v>2022</v>
      </c>
      <c r="K360" s="193">
        <f t="shared" si="129"/>
        <v>47098</v>
      </c>
      <c r="L360" s="143">
        <f>IF(t&lt;Tvie,1-EXP((T0-t)*PertePVj)+'2027'!Pspv,1-EXP((T0-t)*PertePVj)+Pspv)</f>
        <v>3.5943200075588821E-2</v>
      </c>
      <c r="M360" s="835"/>
      <c r="N360" s="835"/>
      <c r="O360" s="48">
        <f>IF(t&lt;Tnet,'2027'!Resal+('2027'!Salim-'2027'!Resal)*(1-EXP(('2027'!Tnet-t)/('2027'!Tau_j))),Resal+(Salim-Resal)*(1-EXP((Tnet-t)/(Tau_j))))*Salcycl</f>
        <v>2.3792546594246674E-2</v>
      </c>
      <c r="P360" s="165">
        <f>(INDEX(Models!$BJ360:$BT360,,T360)*(1-R360)+INDEX(Models!$BJ360:$BT360,,T360+1)*R360-ERP_i)*Q360*Ramure*Pc/MaxiM</f>
        <v>4.5145935815486008E-3</v>
      </c>
      <c r="Q360" s="301">
        <f t="shared" si="130"/>
        <v>0.5</v>
      </c>
      <c r="R360" s="173">
        <f t="shared" si="131"/>
        <v>0.48944451640282294</v>
      </c>
      <c r="S360" s="801">
        <f t="shared" si="132"/>
        <v>3</v>
      </c>
      <c r="T360" s="172">
        <f t="shared" si="133"/>
        <v>9</v>
      </c>
      <c r="U360" s="247">
        <f t="shared" si="134"/>
        <v>3.4894445164028229</v>
      </c>
      <c r="V360" s="378">
        <f t="shared" si="135"/>
        <v>90.716447098592297</v>
      </c>
      <c r="W360" s="397">
        <f t="shared" si="136"/>
        <v>22.072533783336947</v>
      </c>
      <c r="X360" s="153">
        <f t="shared" si="137"/>
        <v>47098</v>
      </c>
      <c r="Y360" s="380">
        <f t="shared" si="138"/>
        <v>21.369612348435691</v>
      </c>
      <c r="Z360" s="380">
        <f t="shared" si="139"/>
        <v>22.166341599490007</v>
      </c>
      <c r="AA360" s="381">
        <f t="shared" si="140"/>
        <v>23.45348846859466</v>
      </c>
      <c r="AB360" s="193">
        <f t="shared" si="141"/>
        <v>47098</v>
      </c>
      <c r="AC360" s="119">
        <f>IF(OR(t&lt;Tnet,NoTnet),'2027'!Resal_s+('2027'!Salim-'2027'!Resal_s)*(1-EXP(('2027'!Tnet_s-t)/'2027'!Tau_j)),Resal_s+(Salim-Resal_s)*(1-EXP((Tnet_s-t)/Tau_j)))*Salcycl</f>
        <v>5.4880828104876739E-2</v>
      </c>
      <c r="AD360" s="227">
        <f>(INDEX(Models!$BJ360:$BT360,,AH360)*(1-AF360)+INDEX(Models!$BJ360:$BT360,,AH360+1)*AF360-ERP_i)*AE360*Ramure*Pc/MaxiM</f>
        <v>4.5145935815486008E-3</v>
      </c>
      <c r="AE360" s="301">
        <f t="shared" si="142"/>
        <v>0.5</v>
      </c>
      <c r="AF360" s="173">
        <f t="shared" si="143"/>
        <v>0.48944451640282294</v>
      </c>
      <c r="AG360" s="801">
        <f t="shared" si="149"/>
        <v>3</v>
      </c>
      <c r="AH360" s="172">
        <f t="shared" si="144"/>
        <v>9</v>
      </c>
      <c r="AI360" s="221">
        <f t="shared" si="145"/>
        <v>3.4894445164028229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47099</v>
      </c>
      <c r="B361" s="406">
        <f>'2027'!Wh/'2027'!Env_an*'2028'!Env_an</f>
        <v>22.989783624077564</v>
      </c>
      <c r="C361" s="831"/>
      <c r="D361" s="388">
        <f t="shared" si="127"/>
        <v>23.847244623989177</v>
      </c>
      <c r="E361" s="380">
        <f t="shared" ref="E361:E380" si="150">Wh_pvt/(1-Psa)</f>
        <v>24.429899978798492</v>
      </c>
      <c r="F361" s="380">
        <f t="shared" si="128"/>
        <v>24.429899978798492</v>
      </c>
      <c r="G361" s="110">
        <f t="shared" ref="G361:G380" si="151">+Wh_hp/MaxiM</f>
        <v>0.25300906479837026</v>
      </c>
      <c r="H361" s="409" t="b">
        <f>Wh_hp&gt;='2027'!Maxi_hp</f>
        <v>0</v>
      </c>
      <c r="I361" s="385">
        <f>IF(H361,Wh_hp,'2027'!Maxi_hp)</f>
        <v>24.525889099355748</v>
      </c>
      <c r="J361" s="85">
        <f>IF(H361,An,'2027'!An_max)</f>
        <v>2022</v>
      </c>
      <c r="K361" s="193">
        <f t="shared" si="129"/>
        <v>47099</v>
      </c>
      <c r="L361" s="143">
        <f>IF(t&lt;Tvie,1-EXP((T0-t)*PertePVj)+'2027'!Pspv,1-EXP((T0-t)*PertePVj)+Pspv)</f>
        <v>3.5956397203601775E-2</v>
      </c>
      <c r="M361" s="835"/>
      <c r="N361" s="835"/>
      <c r="O361" s="48">
        <f>IF(t&lt;Tnet,'2027'!Resal+('2027'!Salim-'2027'!Resal)*(1-EXP(('2027'!Tnet-t)/('2027'!Tau_j))),Resal+(Salim-Resal)*(1-EXP((Tnet-t)/(Tau_j))))*Salcycl</f>
        <v>2.3850091703812682E-2</v>
      </c>
      <c r="P361" s="165">
        <f>(INDEX(Models!$BJ361:$BT361,,T361)*(1-R361)+INDEX(Models!$BJ361:$BT361,,T361+1)*R361-ERP_i)*Q361*Ramure*Pc/MaxiM</f>
        <v>4.479590225544742E-3</v>
      </c>
      <c r="Q361" s="301">
        <f t="shared" si="130"/>
        <v>0.5</v>
      </c>
      <c r="R361" s="173">
        <f t="shared" si="131"/>
        <v>0.48945457113319879</v>
      </c>
      <c r="S361" s="801">
        <f t="shared" si="132"/>
        <v>3</v>
      </c>
      <c r="T361" s="172">
        <f t="shared" si="133"/>
        <v>9</v>
      </c>
      <c r="U361" s="247">
        <f t="shared" si="134"/>
        <v>3.4894545711331988</v>
      </c>
      <c r="V361" s="378">
        <f t="shared" si="135"/>
        <v>90.458414335102418</v>
      </c>
      <c r="W361" s="397">
        <f t="shared" si="136"/>
        <v>22.989783624077564</v>
      </c>
      <c r="X361" s="153">
        <f t="shared" si="137"/>
        <v>47099</v>
      </c>
      <c r="Y361" s="380">
        <f t="shared" si="138"/>
        <v>22.258540087000327</v>
      </c>
      <c r="Z361" s="380">
        <f t="shared" si="139"/>
        <v>23.088727545554008</v>
      </c>
      <c r="AA361" s="381">
        <f t="shared" si="140"/>
        <v>24.429899978798492</v>
      </c>
      <c r="AB361" s="193">
        <f t="shared" si="141"/>
        <v>47099</v>
      </c>
      <c r="AC361" s="119">
        <f>IF(OR(t&lt;Tnet,NoTnet),'2027'!Resal_s+('2027'!Salim-'2027'!Resal_s)*(1-EXP(('2027'!Tnet_s-t)/'2027'!Tau_j)),Resal_s+(Salim-Resal_s)*(1-EXP((Tnet_s-t)/Tau_j)))*Salcycl</f>
        <v>5.4898809835833139E-2</v>
      </c>
      <c r="AD361" s="227">
        <f>(INDEX(Models!$BJ361:$BT361,,AH361)*(1-AF361)+INDEX(Models!$BJ361:$BT361,,AH361+1)*AF361-ERP_i)*AE361*Ramure*Pc/MaxiM</f>
        <v>4.479590225544742E-3</v>
      </c>
      <c r="AE361" s="301">
        <f t="shared" si="142"/>
        <v>0.5</v>
      </c>
      <c r="AF361" s="173">
        <f t="shared" si="143"/>
        <v>0.48945457113319879</v>
      </c>
      <c r="AG361" s="801">
        <f t="shared" si="149"/>
        <v>3</v>
      </c>
      <c r="AH361" s="172">
        <f t="shared" si="144"/>
        <v>9</v>
      </c>
      <c r="AI361" s="221">
        <f t="shared" si="145"/>
        <v>3.4894545711331988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47100</v>
      </c>
      <c r="B362" s="406">
        <f>'2027'!Wh/'2027'!Env_an*'2028'!Env_an</f>
        <v>67.469939998638651</v>
      </c>
      <c r="C362" s="831"/>
      <c r="D362" s="388">
        <f t="shared" si="127"/>
        <v>69.987356819120649</v>
      </c>
      <c r="E362" s="380">
        <f t="shared" si="150"/>
        <v>71.701587086200036</v>
      </c>
      <c r="F362" s="380">
        <f t="shared" si="128"/>
        <v>71.906172890348714</v>
      </c>
      <c r="G362" s="110">
        <f t="shared" si="151"/>
        <v>0.74647008196480646</v>
      </c>
      <c r="H362" s="409" t="b">
        <f>Wh_hp&gt;='2027'!Maxi_hp</f>
        <v>0</v>
      </c>
      <c r="I362" s="385">
        <f>IF(H362,Wh_hp,'2027'!Maxi_hp)</f>
        <v>72.007464364847081</v>
      </c>
      <c r="J362" s="85">
        <f>IF(H362,An,'2027'!An_max)</f>
        <v>2022</v>
      </c>
      <c r="K362" s="193">
        <f t="shared" si="129"/>
        <v>47100</v>
      </c>
      <c r="L362" s="143">
        <f>IF(t&lt;Tvie,1-EXP((T0-t)*PertePVj)+'2027'!Pspv,1-EXP((T0-t)*PertePVj)+Pspv)</f>
        <v>3.5969594150957129E-2</v>
      </c>
      <c r="M362" s="835"/>
      <c r="N362" s="835"/>
      <c r="O362" s="48">
        <f>IF(t&lt;Tnet,'2027'!Resal+('2027'!Salim-'2027'!Resal)*(1-EXP(('2027'!Tnet-t)/('2027'!Tau_j))),Resal+(Salim-Resal)*(1-EXP((Tnet-t)/(Tau_j))))*Salcycl</f>
        <v>2.3907842723460734E-2</v>
      </c>
      <c r="P362" s="165">
        <f>(INDEX(Models!$BJ362:$BT362,,T362)*(1-R362)+INDEX(Models!$BJ362:$BT362,,T362+1)*R362-ERP_i)*Q362*Ramure*Pc/MaxiM</f>
        <v>4.4488414217211617E-3</v>
      </c>
      <c r="Q362" s="301">
        <f t="shared" si="130"/>
        <v>0.5</v>
      </c>
      <c r="R362" s="173">
        <f t="shared" si="131"/>
        <v>0.48946422141076829</v>
      </c>
      <c r="S362" s="801">
        <f t="shared" si="132"/>
        <v>3</v>
      </c>
      <c r="T362" s="172">
        <f t="shared" si="133"/>
        <v>9</v>
      </c>
      <c r="U362" s="247">
        <f t="shared" si="134"/>
        <v>3.4894642214107683</v>
      </c>
      <c r="V362" s="378">
        <f t="shared" si="135"/>
        <v>90.239962422766453</v>
      </c>
      <c r="W362" s="397">
        <f t="shared" si="136"/>
        <v>67.469939998638651</v>
      </c>
      <c r="X362" s="153">
        <f t="shared" si="137"/>
        <v>47100</v>
      </c>
      <c r="Y362" s="380">
        <f t="shared" si="138"/>
        <v>65.32647948146743</v>
      </c>
      <c r="Z362" s="380">
        <f t="shared" si="139"/>
        <v>67.763920188734048</v>
      </c>
      <c r="AA362" s="381">
        <f t="shared" si="140"/>
        <v>71.701587086200036</v>
      </c>
      <c r="AB362" s="193">
        <f t="shared" si="141"/>
        <v>47100</v>
      </c>
      <c r="AC362" s="119">
        <f>IF(OR(t&lt;Tnet,NoTnet),'2027'!Resal_s+('2027'!Salim-'2027'!Resal_s)*(1-EXP(('2027'!Tnet_s-t)/'2027'!Tau_j)),Resal_s+(Salim-Resal_s)*(1-EXP((Tnet_s-t)/Tau_j)))*Salcycl</f>
        <v>5.4917430108375458E-2</v>
      </c>
      <c r="AD362" s="227">
        <f>(INDEX(Models!$BJ362:$BT362,,AH362)*(1-AF362)+INDEX(Models!$BJ362:$BT362,,AH362+1)*AF362-ERP_i)*AE362*Ramure*Pc/MaxiM</f>
        <v>4.4488414217211617E-3</v>
      </c>
      <c r="AE362" s="301">
        <f t="shared" si="142"/>
        <v>0.5</v>
      </c>
      <c r="AF362" s="173">
        <f t="shared" si="143"/>
        <v>0.48946422141076829</v>
      </c>
      <c r="AG362" s="801">
        <f t="shared" si="149"/>
        <v>3</v>
      </c>
      <c r="AH362" s="172">
        <f t="shared" si="144"/>
        <v>9</v>
      </c>
      <c r="AI362" s="221">
        <f t="shared" si="145"/>
        <v>3.4894642214107683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47101</v>
      </c>
      <c r="B363" s="406">
        <f>'2027'!Wh/'2027'!Env_an*'2028'!Env_an</f>
        <v>33.581614440553068</v>
      </c>
      <c r="C363" s="831"/>
      <c r="D363" s="388">
        <f t="shared" si="127"/>
        <v>34.835077760198629</v>
      </c>
      <c r="E363" s="380">
        <f t="shared" si="150"/>
        <v>35.690426933649476</v>
      </c>
      <c r="F363" s="380">
        <f t="shared" si="128"/>
        <v>35.706866273791647</v>
      </c>
      <c r="G363" s="110">
        <f t="shared" si="151"/>
        <v>0.37139717607853134</v>
      </c>
      <c r="H363" s="409" t="b">
        <f>Wh_hp&gt;='2027'!Maxi_hp</f>
        <v>0</v>
      </c>
      <c r="I363" s="385">
        <f>IF(H363,Wh_hp,'2027'!Maxi_hp)</f>
        <v>91.83152399747874</v>
      </c>
      <c r="J363" s="85">
        <f>IF(H363,An,'2027'!An_max)</f>
        <v>2021</v>
      </c>
      <c r="K363" s="193">
        <f t="shared" si="129"/>
        <v>47101</v>
      </c>
      <c r="L363" s="143">
        <f>IF(t&lt;Tvie,1-EXP((T0-t)*PertePVj)+'2027'!Pspv,1-EXP((T0-t)*PertePVj)+Pspv)</f>
        <v>3.5982790917657326E-2</v>
      </c>
      <c r="M363" s="835"/>
      <c r="N363" s="835"/>
      <c r="O363" s="48">
        <f>IF(t&lt;Tnet,'2027'!Resal+('2027'!Salim-'2027'!Resal)*(1-EXP(('2027'!Tnet-t)/('2027'!Tau_j))),Resal+(Salim-Resal)*(1-EXP((Tnet-t)/(Tau_j))))*Salcycl</f>
        <v>2.3965787101426023E-2</v>
      </c>
      <c r="P363" s="165">
        <f>(INDEX(Models!$BJ363:$BT363,,T363)*(1-R363)+INDEX(Models!$BJ363:$BT363,,T363+1)*R363-ERP_i)*Q363*Ramure*Pc/MaxiM</f>
        <v>4.4223299881776925E-3</v>
      </c>
      <c r="Q363" s="301">
        <f t="shared" si="130"/>
        <v>0.5</v>
      </c>
      <c r="R363" s="173">
        <f t="shared" si="131"/>
        <v>0.48947348349002473</v>
      </c>
      <c r="S363" s="801">
        <f t="shared" si="132"/>
        <v>3</v>
      </c>
      <c r="T363" s="172">
        <f t="shared" si="133"/>
        <v>9</v>
      </c>
      <c r="U363" s="247">
        <f t="shared" si="134"/>
        <v>3.4894734834900247</v>
      </c>
      <c r="V363" s="378">
        <f t="shared" si="135"/>
        <v>90.061279975699634</v>
      </c>
      <c r="W363" s="397">
        <f t="shared" si="136"/>
        <v>33.581614440553068</v>
      </c>
      <c r="X363" s="153">
        <f t="shared" si="137"/>
        <v>47101</v>
      </c>
      <c r="Y363" s="380">
        <f t="shared" si="138"/>
        <v>32.51602498108543</v>
      </c>
      <c r="Z363" s="380">
        <f t="shared" si="139"/>
        <v>33.729714236157413</v>
      </c>
      <c r="AA363" s="381">
        <f t="shared" si="140"/>
        <v>35.690426933649476</v>
      </c>
      <c r="AB363" s="193">
        <f t="shared" si="141"/>
        <v>47101</v>
      </c>
      <c r="AC363" s="119">
        <f>IF(OR(t&lt;Tnet,NoTnet),'2027'!Resal_s+('2027'!Salim-'2027'!Resal_s)*(1-EXP(('2027'!Tnet_s-t)/'2027'!Tau_j)),Resal_s+(Salim-Resal_s)*(1-EXP((Tnet_s-t)/Tau_j)))*Salcycl</f>
        <v>5.4936655735083731E-2</v>
      </c>
      <c r="AD363" s="227">
        <f>(INDEX(Models!$BJ363:$BT363,,AH363)*(1-AF363)+INDEX(Models!$BJ363:$BT363,,AH363+1)*AF363-ERP_i)*AE363*Ramure*Pc/MaxiM</f>
        <v>4.4223299881776925E-3</v>
      </c>
      <c r="AE363" s="301">
        <f t="shared" si="142"/>
        <v>0.5</v>
      </c>
      <c r="AF363" s="173">
        <f t="shared" si="143"/>
        <v>0.48947348349002473</v>
      </c>
      <c r="AG363" s="801">
        <f t="shared" si="149"/>
        <v>3</v>
      </c>
      <c r="AH363" s="172">
        <f t="shared" si="144"/>
        <v>9</v>
      </c>
      <c r="AI363" s="221">
        <f t="shared" si="145"/>
        <v>3.4894734834900247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47102</v>
      </c>
      <c r="B364" s="406">
        <f>'2027'!Wh/'2027'!Env_an*'2028'!Env_an</f>
        <v>20.467228358199499</v>
      </c>
      <c r="C364" s="831"/>
      <c r="D364" s="388">
        <f t="shared" si="127"/>
        <v>21.231476314294035</v>
      </c>
      <c r="E364" s="380">
        <f t="shared" si="150"/>
        <v>21.754094771999338</v>
      </c>
      <c r="F364" s="380">
        <f t="shared" si="128"/>
        <v>21.754094771999338</v>
      </c>
      <c r="G364" s="110">
        <f t="shared" si="151"/>
        <v>0.2266080170161662</v>
      </c>
      <c r="H364" s="409" t="b">
        <f>Wh_hp&gt;='2027'!Maxi_hp</f>
        <v>0</v>
      </c>
      <c r="I364" s="385">
        <f>IF(H364,Wh_hp,'2027'!Maxi_hp)</f>
        <v>96.573538746410236</v>
      </c>
      <c r="J364" s="85">
        <f>IF(H364,An,'2027'!An_max)</f>
        <v>2021</v>
      </c>
      <c r="K364" s="193">
        <f t="shared" si="129"/>
        <v>47102</v>
      </c>
      <c r="L364" s="143">
        <f>IF(t&lt;Tvie,1-EXP((T0-t)*PertePVj)+'2027'!Pspv,1-EXP((T0-t)*PertePVj)+Pspv)</f>
        <v>3.5995987503704918E-2</v>
      </c>
      <c r="M364" s="835"/>
      <c r="N364" s="835"/>
      <c r="O364" s="48">
        <f>IF(t&lt;Tnet,'2027'!Resal+('2027'!Salim-'2027'!Resal)*(1-EXP(('2027'!Tnet-t)/('2027'!Tau_j))),Resal+(Salim-Resal)*(1-EXP((Tnet-t)/(Tau_j))))*Salcycl</f>
        <v>2.4023911966127319E-2</v>
      </c>
      <c r="P364" s="165">
        <f>(INDEX(Models!$BJ364:$BT364,,T364)*(1-R364)+INDEX(Models!$BJ364:$BT364,,T364+1)*R364-ERP_i)*Q364*Ramure*Pc/MaxiM</f>
        <v>4.4000332613334438E-3</v>
      </c>
      <c r="Q364" s="301">
        <f t="shared" si="130"/>
        <v>0.5</v>
      </c>
      <c r="R364" s="173">
        <f t="shared" si="131"/>
        <v>0.48948237297337016</v>
      </c>
      <c r="S364" s="801">
        <f t="shared" si="132"/>
        <v>3</v>
      </c>
      <c r="T364" s="172">
        <f t="shared" si="133"/>
        <v>9</v>
      </c>
      <c r="U364" s="247">
        <f t="shared" si="134"/>
        <v>3.4894823729733702</v>
      </c>
      <c r="V364" s="378">
        <f t="shared" si="135"/>
        <v>89.922554995935599</v>
      </c>
      <c r="W364" s="397">
        <f t="shared" si="136"/>
        <v>20.467228358199499</v>
      </c>
      <c r="X364" s="153">
        <f t="shared" si="137"/>
        <v>47102</v>
      </c>
      <c r="Y364" s="380">
        <f t="shared" si="138"/>
        <v>19.818540966553961</v>
      </c>
      <c r="Z364" s="380">
        <f t="shared" si="139"/>
        <v>20.558566883174802</v>
      </c>
      <c r="AA364" s="381">
        <f t="shared" si="140"/>
        <v>21.754094771999338</v>
      </c>
      <c r="AB364" s="193">
        <f t="shared" si="141"/>
        <v>47102</v>
      </c>
      <c r="AC364" s="119">
        <f>IF(OR(t&lt;Tnet,NoTnet),'2027'!Resal_s+('2027'!Salim-'2027'!Resal_s)*(1-EXP(('2027'!Tnet_s-t)/'2027'!Tau_j)),Resal_s+(Salim-Resal_s)*(1-EXP((Tnet_s-t)/Tau_j)))*Salcycl</f>
        <v>5.4956453088700882E-2</v>
      </c>
      <c r="AD364" s="227">
        <f>(INDEX(Models!$BJ364:$BT364,,AH364)*(1-AF364)+INDEX(Models!$BJ364:$BT364,,AH364+1)*AF364-ERP_i)*AE364*Ramure*Pc/MaxiM</f>
        <v>4.4000332613334438E-3</v>
      </c>
      <c r="AE364" s="301">
        <f t="shared" si="142"/>
        <v>0.5</v>
      </c>
      <c r="AF364" s="173">
        <f t="shared" si="143"/>
        <v>0.48948237297337016</v>
      </c>
      <c r="AG364" s="801">
        <f t="shared" si="149"/>
        <v>3</v>
      </c>
      <c r="AH364" s="172">
        <f t="shared" si="144"/>
        <v>9</v>
      </c>
      <c r="AI364" s="221">
        <f t="shared" si="145"/>
        <v>3.4894823729733702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47103</v>
      </c>
      <c r="B365" s="406">
        <f>'2027'!Wh/'2027'!Env_an*'2028'!Env_an</f>
        <v>12.698609944454565</v>
      </c>
      <c r="C365" s="831"/>
      <c r="D365" s="388">
        <f t="shared" si="127"/>
        <v>13.172957389728051</v>
      </c>
      <c r="E365" s="380">
        <f t="shared" si="150"/>
        <v>13.49801945071327</v>
      </c>
      <c r="F365" s="380">
        <f t="shared" si="128"/>
        <v>13.49801945071327</v>
      </c>
      <c r="G365" s="110">
        <f t="shared" si="151"/>
        <v>0.140752684660749</v>
      </c>
      <c r="H365" s="409" t="b">
        <f>Wh_hp&gt;='2027'!Maxi_hp</f>
        <v>0</v>
      </c>
      <c r="I365" s="385">
        <f>IF(H365,Wh_hp,'2027'!Maxi_hp)</f>
        <v>97.364376896272645</v>
      </c>
      <c r="J365" s="85">
        <f>IF(H365,An,'2027'!An_max)</f>
        <v>2021</v>
      </c>
      <c r="K365" s="193">
        <f t="shared" si="129"/>
        <v>47103</v>
      </c>
      <c r="L365" s="143">
        <f>IF(t&lt;Tvie,1-EXP((T0-t)*PertePVj)+'2027'!Pspv,1-EXP((T0-t)*PertePVj)+Pspv)</f>
        <v>3.6009183909102238E-2</v>
      </c>
      <c r="M365" s="835"/>
      <c r="N365" s="835"/>
      <c r="O365" s="48">
        <f>IF(t&lt;Tnet,'2027'!Resal+('2027'!Salim-'2027'!Resal)*(1-EXP(('2027'!Tnet-t)/('2027'!Tau_j))),Resal+(Salim-Resal)*(1-EXP((Tnet-t)/(Tau_j))))*Salcycl</f>
        <v>2.4082204220563796E-2</v>
      </c>
      <c r="P365" s="165">
        <f>(INDEX(Models!$BJ365:$BT365,,T365)*(1-R365)+INDEX(Models!$BJ365:$BT365,,T365+1)*R365-ERP_i)*Q365*Ramure*Pc/MaxiM</f>
        <v>4.3819229437808294E-3</v>
      </c>
      <c r="Q365" s="301">
        <f t="shared" si="130"/>
        <v>0.5</v>
      </c>
      <c r="R365" s="173">
        <f t="shared" si="131"/>
        <v>0.48949090483718249</v>
      </c>
      <c r="S365" s="801">
        <f t="shared" si="132"/>
        <v>3</v>
      </c>
      <c r="T365" s="172">
        <f t="shared" si="133"/>
        <v>9</v>
      </c>
      <c r="U365" s="247">
        <f t="shared" si="134"/>
        <v>3.4894909048371825</v>
      </c>
      <c r="V365" s="378">
        <f t="shared" si="135"/>
        <v>89.823974900782247</v>
      </c>
      <c r="W365" s="397">
        <f t="shared" si="136"/>
        <v>12.698609944454565</v>
      </c>
      <c r="X365" s="153">
        <f t="shared" si="137"/>
        <v>47103</v>
      </c>
      <c r="Y365" s="380">
        <f t="shared" si="138"/>
        <v>12.296610642280294</v>
      </c>
      <c r="Z365" s="380">
        <f t="shared" si="139"/>
        <v>12.755941692623768</v>
      </c>
      <c r="AA365" s="381">
        <f t="shared" si="140"/>
        <v>13.49801945071327</v>
      </c>
      <c r="AB365" s="193">
        <f t="shared" si="141"/>
        <v>47103</v>
      </c>
      <c r="AC365" s="119">
        <f>IF(OR(t&lt;Tnet,NoTnet),'2027'!Resal_s+('2027'!Salim-'2027'!Resal_s)*(1-EXP(('2027'!Tnet_s-t)/'2027'!Tau_j)),Resal_s+(Salim-Resal_s)*(1-EXP((Tnet_s-t)/Tau_j)))*Salcycl</f>
        <v>5.4976788320622083E-2</v>
      </c>
      <c r="AD365" s="227">
        <f>(INDEX(Models!$BJ365:$BT365,,AH365)*(1-AF365)+INDEX(Models!$BJ365:$BT365,,AH365+1)*AF365-ERP_i)*AE365*Ramure*Pc/MaxiM</f>
        <v>4.3819229437808294E-3</v>
      </c>
      <c r="AE365" s="301">
        <f t="shared" si="142"/>
        <v>0.5</v>
      </c>
      <c r="AF365" s="173">
        <f t="shared" si="143"/>
        <v>0.48949090483718249</v>
      </c>
      <c r="AG365" s="801">
        <f t="shared" si="149"/>
        <v>3</v>
      </c>
      <c r="AH365" s="172">
        <f t="shared" si="144"/>
        <v>9</v>
      </c>
      <c r="AI365" s="221">
        <f t="shared" si="145"/>
        <v>3.4894909048371825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47104</v>
      </c>
      <c r="B366" s="406">
        <f>'2027'!Wh/'2027'!Env_an*'2028'!Env_an</f>
        <v>69.166792843262058</v>
      </c>
      <c r="C366" s="831"/>
      <c r="D366" s="388">
        <f t="shared" si="127"/>
        <v>71.751450882092186</v>
      </c>
      <c r="E366" s="380">
        <f t="shared" si="150"/>
        <v>73.526426660571843</v>
      </c>
      <c r="F366" s="380">
        <f t="shared" si="128"/>
        <v>73.742996070355005</v>
      </c>
      <c r="G366" s="110">
        <f t="shared" si="151"/>
        <v>0.76941964148798536</v>
      </c>
      <c r="H366" s="409" t="b">
        <f>Wh_hp&gt;='2027'!Maxi_hp</f>
        <v>0</v>
      </c>
      <c r="I366" s="385">
        <f>IF(H366,Wh_hp,'2027'!Maxi_hp)</f>
        <v>98.158403846650032</v>
      </c>
      <c r="J366" s="85">
        <f>IF(H366,An,'2027'!An_max)</f>
        <v>2021</v>
      </c>
      <c r="K366" s="193">
        <f t="shared" si="129"/>
        <v>47104</v>
      </c>
      <c r="L366" s="143">
        <f>IF(t&lt;Tvie,1-EXP((T0-t)*PertePVj)+'2027'!Pspv,1-EXP((T0-t)*PertePVj)+Pspv)</f>
        <v>3.602238013385195E-2</v>
      </c>
      <c r="M366" s="835"/>
      <c r="N366" s="835"/>
      <c r="O366" s="48">
        <f>IF(t&lt;Tnet,'2027'!Resal+('2027'!Salim-'2027'!Resal)*(1-EXP(('2027'!Tnet-t)/('2027'!Tau_j))),Resal+(Salim-Resal)*(1-EXP((Tnet-t)/(Tau_j))))*Salcycl</f>
        <v>2.4140650635365111E-2</v>
      </c>
      <c r="P366" s="165">
        <f>(INDEX(Models!$BJ366:$BT366,,T366)*(1-R366)+INDEX(Models!$BJ366:$BT366,,T366+1)*R366-ERP_i)*Q366*Ramure*Pc/MaxiM</f>
        <v>4.3690829723934095E-3</v>
      </c>
      <c r="Q366" s="301">
        <f t="shared" si="130"/>
        <v>0.5</v>
      </c>
      <c r="R366" s="173">
        <f t="shared" si="131"/>
        <v>0.4894990934568515</v>
      </c>
      <c r="S366" s="801">
        <f t="shared" si="132"/>
        <v>3</v>
      </c>
      <c r="T366" s="172">
        <f t="shared" si="133"/>
        <v>9</v>
      </c>
      <c r="U366" s="247">
        <f t="shared" si="134"/>
        <v>3.4894990934568515</v>
      </c>
      <c r="V366" s="378">
        <f t="shared" si="135"/>
        <v>89.765625705108647</v>
      </c>
      <c r="W366" s="397">
        <f t="shared" si="136"/>
        <v>69.166792843262058</v>
      </c>
      <c r="X366" s="153">
        <f t="shared" si="137"/>
        <v>47104</v>
      </c>
      <c r="Y366" s="380">
        <f t="shared" si="138"/>
        <v>66.97971728463051</v>
      </c>
      <c r="Z366" s="380">
        <f t="shared" si="139"/>
        <v>69.482647630274755</v>
      </c>
      <c r="AA366" s="381">
        <f t="shared" si="140"/>
        <v>73.526426660571843</v>
      </c>
      <c r="AB366" s="193">
        <f t="shared" si="141"/>
        <v>47104</v>
      </c>
      <c r="AC366" s="119">
        <f>IF(OR(t&lt;Tnet,NoTnet),'2027'!Resal_s+('2027'!Salim-'2027'!Resal_s)*(1-EXP(('2027'!Tnet_s-t)/'2027'!Tau_j)),Resal_s+(Salim-Resal_s)*(1-EXP((Tnet_s-t)/Tau_j)))*Salcycl</f>
        <v>5.4997627573618278E-2</v>
      </c>
      <c r="AD366" s="227">
        <f>(INDEX(Models!$BJ366:$BT366,,AH366)*(1-AF366)+INDEX(Models!$BJ366:$BT366,,AH366+1)*AF366-ERP_i)*AE366*Ramure*Pc/MaxiM</f>
        <v>4.3690829723934095E-3</v>
      </c>
      <c r="AE366" s="301">
        <f t="shared" si="142"/>
        <v>0.5</v>
      </c>
      <c r="AF366" s="173">
        <f t="shared" si="143"/>
        <v>0.4894990934568515</v>
      </c>
      <c r="AG366" s="801">
        <f t="shared" si="149"/>
        <v>3</v>
      </c>
      <c r="AH366" s="172">
        <f t="shared" si="144"/>
        <v>9</v>
      </c>
      <c r="AI366" s="221">
        <f t="shared" si="145"/>
        <v>3.4894990934568515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47105</v>
      </c>
      <c r="B367" s="406">
        <f>'2027'!Wh/'2027'!Env_an*'2028'!Env_an</f>
        <v>66.482321538395112</v>
      </c>
      <c r="C367" s="831"/>
      <c r="D367" s="388">
        <f t="shared" si="127"/>
        <v>68.967609068805572</v>
      </c>
      <c r="E367" s="380">
        <f t="shared" si="150"/>
        <v>70.677961885573026</v>
      </c>
      <c r="F367" s="380">
        <f t="shared" si="128"/>
        <v>70.872401882840222</v>
      </c>
      <c r="G367" s="110">
        <f t="shared" si="151"/>
        <v>0.73956731047443947</v>
      </c>
      <c r="H367" s="409" t="b">
        <f>Wh_hp&gt;='2027'!Maxi_hp</f>
        <v>0</v>
      </c>
      <c r="I367" s="385">
        <f>IF(H367,Wh_hp,'2027'!Maxi_hp)</f>
        <v>96.560601713863988</v>
      </c>
      <c r="J367" s="85">
        <f>IF(H367,An,'2027'!An_max)</f>
        <v>2021</v>
      </c>
      <c r="K367" s="193">
        <f t="shared" si="129"/>
        <v>47105</v>
      </c>
      <c r="L367" s="143">
        <f>IF(t&lt;Tvie,1-EXP((T0-t)*PertePVj)+'2027'!Pspv,1-EXP((T0-t)*PertePVj)+Pspv)</f>
        <v>3.6035576177956385E-2</v>
      </c>
      <c r="M367" s="835"/>
      <c r="N367" s="835"/>
      <c r="O367" s="48">
        <f>IF(t&lt;Tnet,'2027'!Resal+('2027'!Salim-'2027'!Resal)*(1-EXP(('2027'!Tnet-t)/('2027'!Tau_j))),Resal+(Salim-Resal)*(1-EXP((Tnet-t)/(Tau_j))))*Salcycl</f>
        <v>2.4199237939776751E-2</v>
      </c>
      <c r="P367" s="165">
        <f>(INDEX(Models!$BJ367:$BT367,,T367)*(1-R367)+INDEX(Models!$BJ367:$BT367,,T367+1)*R367-ERP_i)*Q367*Ramure*Pc/MaxiM</f>
        <v>4.3571099299831119E-3</v>
      </c>
      <c r="Q367" s="301">
        <f t="shared" si="130"/>
        <v>0.5</v>
      </c>
      <c r="R367" s="173">
        <f t="shared" si="131"/>
        <v>0.48950695263081778</v>
      </c>
      <c r="S367" s="801">
        <f t="shared" si="132"/>
        <v>3</v>
      </c>
      <c r="T367" s="172">
        <f t="shared" si="133"/>
        <v>9</v>
      </c>
      <c r="U367" s="247">
        <f t="shared" si="134"/>
        <v>3.4895069526308178</v>
      </c>
      <c r="V367" s="378">
        <f t="shared" si="135"/>
        <v>89.748087035280378</v>
      </c>
      <c r="W367" s="397">
        <f t="shared" si="136"/>
        <v>66.482321538395112</v>
      </c>
      <c r="X367" s="153">
        <f t="shared" si="137"/>
        <v>47105</v>
      </c>
      <c r="Y367" s="380">
        <f t="shared" si="138"/>
        <v>64.382543351337731</v>
      </c>
      <c r="Z367" s="380">
        <f t="shared" si="139"/>
        <v>66.789335540066901</v>
      </c>
      <c r="AA367" s="381">
        <f t="shared" si="140"/>
        <v>70.677961885573026</v>
      </c>
      <c r="AB367" s="193">
        <f t="shared" si="141"/>
        <v>47105</v>
      </c>
      <c r="AC367" s="119">
        <f>IF(OR(t&lt;Tnet,NoTnet),'2027'!Resal_s+('2027'!Salim-'2027'!Resal_s)*(1-EXP(('2027'!Tnet_s-t)/'2027'!Tau_j)),Resal_s+(Salim-Resal_s)*(1-EXP((Tnet_s-t)/Tau_j)))*Salcycl</f>
        <v>5.5018937187263139E-2</v>
      </c>
      <c r="AD367" s="227">
        <f>(INDEX(Models!$BJ367:$BT367,,AH367)*(1-AF367)+INDEX(Models!$BJ367:$BT367,,AH367+1)*AF367-ERP_i)*AE367*Ramure*Pc/MaxiM</f>
        <v>4.3571099299831119E-3</v>
      </c>
      <c r="AE367" s="301">
        <f t="shared" si="142"/>
        <v>0.5</v>
      </c>
      <c r="AF367" s="173">
        <f t="shared" si="143"/>
        <v>0.48950695263081778</v>
      </c>
      <c r="AG367" s="801">
        <f t="shared" si="149"/>
        <v>3</v>
      </c>
      <c r="AH367" s="172">
        <f t="shared" si="144"/>
        <v>9</v>
      </c>
      <c r="AI367" s="221">
        <f t="shared" si="145"/>
        <v>3.4895069526308178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47106</v>
      </c>
      <c r="B368" s="406">
        <f>'2027'!Wh/'2027'!Env_an*'2028'!Env_an</f>
        <v>17.380609788208069</v>
      </c>
      <c r="C368" s="831"/>
      <c r="D368" s="388">
        <f t="shared" si="127"/>
        <v>18.030590432480739</v>
      </c>
      <c r="E368" s="380">
        <f t="shared" si="150"/>
        <v>18.478849493318613</v>
      </c>
      <c r="F368" s="380">
        <f t="shared" si="128"/>
        <v>18.478849493318613</v>
      </c>
      <c r="G368" s="110">
        <f t="shared" si="151"/>
        <v>0.19276792504914345</v>
      </c>
      <c r="H368" s="409" t="b">
        <f>Wh_hp&gt;='2027'!Maxi_hp</f>
        <v>0</v>
      </c>
      <c r="I368" s="385">
        <f>IF(H368,Wh_hp,'2027'!Maxi_hp)</f>
        <v>98.669245392496961</v>
      </c>
      <c r="J368" s="85">
        <f>IF(H368,An,'2027'!An_max)</f>
        <v>2021</v>
      </c>
      <c r="K368" s="193">
        <f t="shared" si="129"/>
        <v>47106</v>
      </c>
      <c r="L368" s="143">
        <f>IF(t&lt;Tvie,1-EXP((T0-t)*PertePVj)+'2027'!Pspv,1-EXP((T0-t)*PertePVj)+Pspv)</f>
        <v>3.6048772041417987E-2</v>
      </c>
      <c r="M368" s="835"/>
      <c r="N368" s="835"/>
      <c r="O368" s="48">
        <f>IF(t&lt;Tnet,'2027'!Resal+('2027'!Salim-'2027'!Resal)*(1-EXP(('2027'!Tnet-t)/('2027'!Tau_j))),Resal+(Salim-Resal)*(1-EXP((Tnet-t)/(Tau_j))))*Salcycl</f>
        <v>2.4257952909890371E-2</v>
      </c>
      <c r="P368" s="165">
        <f>(INDEX(Models!$BJ368:$BT368,,T368)*(1-R368)+INDEX(Models!$BJ368:$BT368,,T368+1)*R368-ERP_i)*Q368*Ramure*Pc/MaxiM</f>
        <v>4.3459717663404812E-3</v>
      </c>
      <c r="Q368" s="301">
        <f t="shared" si="130"/>
        <v>0.5</v>
      </c>
      <c r="R368" s="173">
        <f t="shared" si="131"/>
        <v>0.48951449560365612</v>
      </c>
      <c r="S368" s="801">
        <f t="shared" si="132"/>
        <v>3</v>
      </c>
      <c r="T368" s="172">
        <f t="shared" si="133"/>
        <v>9</v>
      </c>
      <c r="U368" s="247">
        <f t="shared" si="134"/>
        <v>3.4895144956036561</v>
      </c>
      <c r="V368" s="378">
        <f t="shared" si="135"/>
        <v>89.771543395381016</v>
      </c>
      <c r="W368" s="397">
        <f t="shared" si="136"/>
        <v>17.380609788208069</v>
      </c>
      <c r="X368" s="153">
        <f t="shared" si="137"/>
        <v>47106</v>
      </c>
      <c r="Y368" s="380">
        <f t="shared" si="138"/>
        <v>16.83228593862454</v>
      </c>
      <c r="Z368" s="380">
        <f t="shared" si="139"/>
        <v>17.46176097962061</v>
      </c>
      <c r="AA368" s="381">
        <f t="shared" si="140"/>
        <v>18.478849493318613</v>
      </c>
      <c r="AB368" s="193">
        <f t="shared" si="141"/>
        <v>47106</v>
      </c>
      <c r="AC368" s="119">
        <f>IF(OR(t&lt;Tnet,NoTnet),'2027'!Resal_s+('2027'!Salim-'2027'!Resal_s)*(1-EXP(('2027'!Tnet_s-t)/'2027'!Tau_j)),Resal_s+(Salim-Resal_s)*(1-EXP((Tnet_s-t)/Tau_j)))*Salcycl</f>
        <v>5.5040683894619601E-2</v>
      </c>
      <c r="AD368" s="227">
        <f>(INDEX(Models!$BJ368:$BT368,,AH368)*(1-AF368)+INDEX(Models!$BJ368:$BT368,,AH368+1)*AF368-ERP_i)*AE368*Ramure*Pc/MaxiM</f>
        <v>4.3459717663404812E-3</v>
      </c>
      <c r="AE368" s="301">
        <f t="shared" si="142"/>
        <v>0.5</v>
      </c>
      <c r="AF368" s="173">
        <f t="shared" si="143"/>
        <v>0.48951449560365612</v>
      </c>
      <c r="AG368" s="801">
        <f t="shared" si="149"/>
        <v>3</v>
      </c>
      <c r="AH368" s="172">
        <f t="shared" si="144"/>
        <v>9</v>
      </c>
      <c r="AI368" s="221">
        <f t="shared" si="145"/>
        <v>3.4895144956036561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47107</v>
      </c>
      <c r="B369" s="406">
        <f>'2027'!Wh/'2027'!Env_an*'2028'!Env_an</f>
        <v>82.125084909248798</v>
      </c>
      <c r="C369" s="831"/>
      <c r="D369" s="388">
        <f t="shared" si="127"/>
        <v>85.197473446876813</v>
      </c>
      <c r="E369" s="380">
        <f t="shared" si="150"/>
        <v>87.320835200092105</v>
      </c>
      <c r="F369" s="380">
        <f t="shared" si="128"/>
        <v>87.654271564970784</v>
      </c>
      <c r="G369" s="110">
        <f t="shared" si="151"/>
        <v>0.91367707313730917</v>
      </c>
      <c r="H369" s="409" t="b">
        <f>Wh_hp&gt;='2027'!Maxi_hp</f>
        <v>0</v>
      </c>
      <c r="I369" s="385">
        <f>IF(H369,Wh_hp,'2027'!Maxi_hp)</f>
        <v>87.695365898496206</v>
      </c>
      <c r="J369" s="85">
        <f>IF(H369,An,'2027'!An_max)</f>
        <v>2022</v>
      </c>
      <c r="K369" s="193">
        <f t="shared" si="129"/>
        <v>47107</v>
      </c>
      <c r="L369" s="143">
        <f>IF(t&lt;Tvie,1-EXP((T0-t)*PertePVj)+'2027'!Pspv,1-EXP((T0-t)*PertePVj)+Pspv)</f>
        <v>3.6061967724239419E-2</v>
      </c>
      <c r="M369" s="835"/>
      <c r="N369" s="835"/>
      <c r="O369" s="48">
        <f>IF(t&lt;Tnet,'2027'!Resal+('2027'!Salim-'2027'!Resal)*(1-EXP(('2027'!Tnet-t)/('2027'!Tau_j))),Resal+(Salim-Resal)*(1-EXP((Tnet-t)/(Tau_j))))*Salcycl</f>
        <v>2.4316782453462606E-2</v>
      </c>
      <c r="P369" s="165">
        <f>(INDEX(Models!$BJ369:$BT369,,T369)*(1-R369)+INDEX(Models!$BJ369:$BT369,,T369+1)*R369-ERP_i)*Q369*Ramure*Pc/MaxiM</f>
        <v>4.3356368456728619E-3</v>
      </c>
      <c r="Q369" s="301">
        <f t="shared" si="130"/>
        <v>0.5</v>
      </c>
      <c r="R369" s="173">
        <f t="shared" si="131"/>
        <v>0.48952173508824304</v>
      </c>
      <c r="S369" s="801">
        <f t="shared" si="132"/>
        <v>3</v>
      </c>
      <c r="T369" s="172">
        <f t="shared" si="133"/>
        <v>9</v>
      </c>
      <c r="U369" s="247">
        <f t="shared" si="134"/>
        <v>3.489521735088243</v>
      </c>
      <c r="V369" s="378">
        <f t="shared" si="135"/>
        <v>89.836178915626547</v>
      </c>
      <c r="W369" s="397">
        <f t="shared" si="136"/>
        <v>82.125084909248798</v>
      </c>
      <c r="X369" s="153">
        <f t="shared" si="137"/>
        <v>47107</v>
      </c>
      <c r="Y369" s="380">
        <f t="shared" si="138"/>
        <v>79.537132045732136</v>
      </c>
      <c r="Z369" s="380">
        <f t="shared" si="139"/>
        <v>82.512702458635204</v>
      </c>
      <c r="AA369" s="381">
        <f t="shared" si="140"/>
        <v>87.320835200092105</v>
      </c>
      <c r="AB369" s="193">
        <f t="shared" si="141"/>
        <v>47107</v>
      </c>
      <c r="AC369" s="119">
        <f>IF(OR(t&lt;Tnet,NoTnet),'2027'!Resal_s+('2027'!Salim-'2027'!Resal_s)*(1-EXP(('2027'!Tnet_s-t)/'2027'!Tau_j)),Resal_s+(Salim-Resal_s)*(1-EXP((Tnet_s-t)/Tau_j)))*Salcycl</f>
        <v>5.5062835008841363E-2</v>
      </c>
      <c r="AD369" s="227">
        <f>(INDEX(Models!$BJ369:$BT369,,AH369)*(1-AF369)+INDEX(Models!$BJ369:$BT369,,AH369+1)*AF369-ERP_i)*AE369*Ramure*Pc/MaxiM</f>
        <v>4.3356368456728619E-3</v>
      </c>
      <c r="AE369" s="301">
        <f t="shared" si="142"/>
        <v>0.5</v>
      </c>
      <c r="AF369" s="173">
        <f t="shared" si="143"/>
        <v>0.48952173508824304</v>
      </c>
      <c r="AG369" s="801">
        <f t="shared" si="149"/>
        <v>3</v>
      </c>
      <c r="AH369" s="172">
        <f t="shared" si="144"/>
        <v>9</v>
      </c>
      <c r="AI369" s="221">
        <f t="shared" si="145"/>
        <v>3.489521735088243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47108</v>
      </c>
      <c r="B370" s="406">
        <f>'2027'!Wh/'2027'!Env_an*'2028'!Env_an</f>
        <v>68.408302471683598</v>
      </c>
      <c r="C370" s="831"/>
      <c r="D370" s="388">
        <f t="shared" si="127"/>
        <v>70.968502793908712</v>
      </c>
      <c r="E370" s="380">
        <f t="shared" si="150"/>
        <v>72.741631988658881</v>
      </c>
      <c r="F370" s="380">
        <f t="shared" si="128"/>
        <v>72.949277638155664</v>
      </c>
      <c r="G370" s="110">
        <f t="shared" si="151"/>
        <v>0.75945230719505386</v>
      </c>
      <c r="H370" s="409" t="b">
        <f>Wh_hp&gt;='2027'!Maxi_hp</f>
        <v>0</v>
      </c>
      <c r="I370" s="385">
        <f>IF(H370,Wh_hp,'2027'!Maxi_hp)</f>
        <v>94.664901862942699</v>
      </c>
      <c r="J370" s="85">
        <f>IF(H370,An,'2027'!An_max)</f>
        <v>2021</v>
      </c>
      <c r="K370" s="193">
        <f t="shared" si="129"/>
        <v>47108</v>
      </c>
      <c r="L370" s="143">
        <f>IF(t&lt;Tvie,1-EXP((T0-t)*PertePVj)+'2027'!Pspv,1-EXP((T0-t)*PertePVj)+Pspv)</f>
        <v>3.6075163226423013E-2</v>
      </c>
      <c r="M370" s="835"/>
      <c r="N370" s="835"/>
      <c r="O370" s="48">
        <f>IF(t&lt;Tnet,'2027'!Resal+('2027'!Salim-'2027'!Resal)*(1-EXP(('2027'!Tnet-t)/('2027'!Tau_j))),Resal+(Salim-Resal)*(1-EXP((Tnet-t)/(Tau_j))))*Salcycl</f>
        <v>2.4375713690704948E-2</v>
      </c>
      <c r="P370" s="165">
        <f>(INDEX(Models!$BJ370:$BT370,,T370)*(1-R370)+INDEX(Models!$BJ370:$BT370,,T370+1)*R370-ERP_i)*Q370*Ramure*Pc/MaxiM</f>
        <v>4.3260741053621566E-3</v>
      </c>
      <c r="Q370" s="301">
        <f t="shared" si="130"/>
        <v>0.5</v>
      </c>
      <c r="R370" s="173">
        <f t="shared" si="131"/>
        <v>0.48952868328704024</v>
      </c>
      <c r="S370" s="801">
        <f t="shared" si="132"/>
        <v>3</v>
      </c>
      <c r="T370" s="172">
        <f t="shared" si="133"/>
        <v>9</v>
      </c>
      <c r="U370" s="247">
        <f t="shared" si="134"/>
        <v>3.4895286832870402</v>
      </c>
      <c r="V370" s="378">
        <f t="shared" si="135"/>
        <v>89.942177465812122</v>
      </c>
      <c r="W370" s="397">
        <f t="shared" si="136"/>
        <v>68.408302471683598</v>
      </c>
      <c r="X370" s="153">
        <f t="shared" si="137"/>
        <v>47108</v>
      </c>
      <c r="Y370" s="380">
        <f t="shared" si="138"/>
        <v>66.255019996936724</v>
      </c>
      <c r="Z370" s="380">
        <f t="shared" si="139"/>
        <v>68.73463310552691</v>
      </c>
      <c r="AA370" s="381">
        <f t="shared" si="140"/>
        <v>72.741631988658881</v>
      </c>
      <c r="AB370" s="193">
        <f t="shared" si="141"/>
        <v>47108</v>
      </c>
      <c r="AC370" s="119">
        <f>IF(OR(t&lt;Tnet,NoTnet),'2027'!Resal_s+('2027'!Salim-'2027'!Resal_s)*(1-EXP(('2027'!Tnet_s-t)/'2027'!Tau_j)),Resal_s+(Salim-Resal_s)*(1-EXP((Tnet_s-t)/Tau_j)))*Salcycl</f>
        <v>5.5085358598452913E-2</v>
      </c>
      <c r="AD370" s="227">
        <f>(INDEX(Models!$BJ370:$BT370,,AH370)*(1-AF370)+INDEX(Models!$BJ370:$BT370,,AH370+1)*AF370-ERP_i)*AE370*Ramure*Pc/MaxiM</f>
        <v>4.3260741053621566E-3</v>
      </c>
      <c r="AE370" s="301">
        <f t="shared" si="142"/>
        <v>0.5</v>
      </c>
      <c r="AF370" s="173">
        <f t="shared" si="143"/>
        <v>0.48952868328704024</v>
      </c>
      <c r="AG370" s="801">
        <f t="shared" si="149"/>
        <v>3</v>
      </c>
      <c r="AH370" s="172">
        <f t="shared" si="144"/>
        <v>9</v>
      </c>
      <c r="AI370" s="221">
        <f t="shared" si="145"/>
        <v>3.4895286832870402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47109</v>
      </c>
      <c r="B371" s="406">
        <f>'2027'!Wh/'2027'!Env_an*'2028'!Env_an</f>
        <v>70.167049604428513</v>
      </c>
      <c r="C371" s="831"/>
      <c r="D371" s="388">
        <f t="shared" si="127"/>
        <v>72.79406803172273</v>
      </c>
      <c r="E371" s="380">
        <f t="shared" si="150"/>
        <v>74.617322460101278</v>
      </c>
      <c r="F371" s="380">
        <f t="shared" si="128"/>
        <v>74.838346335647628</v>
      </c>
      <c r="G371" s="110">
        <f t="shared" si="151"/>
        <v>0.77779199633375473</v>
      </c>
      <c r="H371" s="409" t="b">
        <f>Wh_hp&gt;='2027'!Maxi_hp</f>
        <v>0</v>
      </c>
      <c r="I371" s="385">
        <f>IF(H371,Wh_hp,'2027'!Maxi_hp)</f>
        <v>74.928334057656301</v>
      </c>
      <c r="J371" s="85">
        <f>IF(H371,An,'2027'!An_max)</f>
        <v>2022</v>
      </c>
      <c r="K371" s="193">
        <f t="shared" si="129"/>
        <v>47109</v>
      </c>
      <c r="L371" s="143">
        <f>IF(t&lt;Tvie,1-EXP((T0-t)*PertePVj)+'2027'!Pspv,1-EXP((T0-t)*PertePVj)+Pspv)</f>
        <v>3.6088358547971211E-2</v>
      </c>
      <c r="M371" s="835"/>
      <c r="N371" s="835"/>
      <c r="O371" s="48">
        <f>IF(t&lt;Tnet,'2027'!Resal+('2027'!Salim-'2027'!Resal)*(1-EXP(('2027'!Tnet-t)/('2027'!Tau_j))),Resal+(Salim-Resal)*(1-EXP((Tnet-t)/(Tau_j))))*Salcycl</f>
        <v>2.4434734030472173E-2</v>
      </c>
      <c r="P371" s="165">
        <f>(INDEX(Models!$BJ371:$BT371,,T371)*(1-R371)+INDEX(Models!$BJ371:$BT371,,T371+1)*R371-ERP_i)*Q371*Ramure*Pc/MaxiM</f>
        <v>4.3172462711371217E-3</v>
      </c>
      <c r="Q371" s="301">
        <f t="shared" si="130"/>
        <v>0.5</v>
      </c>
      <c r="R371" s="173">
        <f t="shared" si="131"/>
        <v>0.48952868328704024</v>
      </c>
      <c r="S371" s="801">
        <f t="shared" si="132"/>
        <v>3</v>
      </c>
      <c r="T371" s="172">
        <f t="shared" si="133"/>
        <v>9</v>
      </c>
      <c r="U371" s="247">
        <f t="shared" si="134"/>
        <v>3.4895286832870402</v>
      </c>
      <c r="V371" s="378">
        <f t="shared" si="135"/>
        <v>90.089723120754698</v>
      </c>
      <c r="W371" s="397">
        <f t="shared" si="136"/>
        <v>70.167049604428513</v>
      </c>
      <c r="X371" s="153">
        <f t="shared" si="137"/>
        <v>47109</v>
      </c>
      <c r="Y371" s="380">
        <f t="shared" si="138"/>
        <v>67.960874023188595</v>
      </c>
      <c r="Z371" s="380">
        <f t="shared" si="139"/>
        <v>70.505294365791528</v>
      </c>
      <c r="AA371" s="381">
        <f t="shared" si="140"/>
        <v>74.617322460101278</v>
      </c>
      <c r="AB371" s="193">
        <f t="shared" si="141"/>
        <v>47109</v>
      </c>
      <c r="AC371" s="119">
        <f>IF(OR(t&lt;Tnet,NoTnet),'2027'!Resal_s+('2027'!Salim-'2027'!Resal_s)*(1-EXP(('2027'!Tnet_s-t)/'2027'!Tau_j)),Resal_s+(Salim-Resal_s)*(1-EXP((Tnet_s-t)/Tau_j)))*Salcycl</f>
        <v>5.5108223650191843E-2</v>
      </c>
      <c r="AD371" s="227">
        <f>(INDEX(Models!$BJ371:$BT371,,AH371)*(1-AF371)+INDEX(Models!$BJ371:$BT371,,AH371+1)*AF371-ERP_i)*AE371*Ramure*Pc/MaxiM</f>
        <v>4.3172462711371217E-3</v>
      </c>
      <c r="AE371" s="301">
        <f t="shared" si="142"/>
        <v>0.5</v>
      </c>
      <c r="AF371" s="173">
        <f t="shared" si="143"/>
        <v>0.48952868328704024</v>
      </c>
      <c r="AG371" s="801">
        <f t="shared" si="149"/>
        <v>3</v>
      </c>
      <c r="AH371" s="172">
        <f t="shared" si="144"/>
        <v>9</v>
      </c>
      <c r="AI371" s="221">
        <f t="shared" si="145"/>
        <v>3.4895286832870402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47110</v>
      </c>
      <c r="B372" s="406">
        <f>'2027'!Wh/'2027'!Env_an*'2028'!Env_an</f>
        <v>85.179444212488917</v>
      </c>
      <c r="C372" s="831"/>
      <c r="D372" s="388">
        <f t="shared" si="127"/>
        <v>88.369728718284406</v>
      </c>
      <c r="E372" s="380">
        <f t="shared" si="150"/>
        <v>90.588590363025958</v>
      </c>
      <c r="F372" s="380">
        <f t="shared" si="128"/>
        <v>90.948875248907953</v>
      </c>
      <c r="G372" s="110">
        <f t="shared" si="151"/>
        <v>0.94318400094533905</v>
      </c>
      <c r="H372" s="409" t="b">
        <f>Wh_hp&gt;='2027'!Maxi_hp</f>
        <v>0</v>
      </c>
      <c r="I372" s="385">
        <f>IF(H372,Wh_hp,'2027'!Maxi_hp)</f>
        <v>90.976752342658557</v>
      </c>
      <c r="J372" s="85">
        <f>IF(H372,An,'2027'!An_max)</f>
        <v>2022</v>
      </c>
      <c r="K372" s="193">
        <f t="shared" si="129"/>
        <v>47110</v>
      </c>
      <c r="L372" s="143">
        <f>IF(t&lt;Tvie,1-EXP((T0-t)*PertePVj)+'2027'!Pspv,1-EXP((T0-t)*PertePVj)+Pspv)</f>
        <v>3.6101553688886567E-2</v>
      </c>
      <c r="M372" s="835"/>
      <c r="N372" s="835"/>
      <c r="O372" s="48">
        <f>IF(t&lt;Tnet,'2027'!Resal+('2027'!Salim-'2027'!Resal)*(1-EXP(('2027'!Tnet-t)/('2027'!Tau_j))),Resal+(Salim-Resal)*(1-EXP((Tnet-t)/(Tau_j))))*Salcycl</f>
        <v>2.449383124132589E-2</v>
      </c>
      <c r="P372" s="165">
        <f>(INDEX(Models!$BJ372:$BT372,,T372)*(1-R372)+INDEX(Models!$BJ372:$BT372,,T372+1)*R372-ERP_i)*Q372*Ramure*Pc/MaxiM</f>
        <v>4.3091257049607586E-3</v>
      </c>
      <c r="Q372" s="301">
        <f t="shared" si="130"/>
        <v>0.5</v>
      </c>
      <c r="R372" s="173">
        <f t="shared" si="131"/>
        <v>0.48952868328704024</v>
      </c>
      <c r="S372" s="801">
        <f t="shared" si="132"/>
        <v>3</v>
      </c>
      <c r="T372" s="172">
        <f t="shared" si="133"/>
        <v>9</v>
      </c>
      <c r="U372" s="247">
        <f t="shared" si="134"/>
        <v>3.4895286832870402</v>
      </c>
      <c r="V372" s="378">
        <f t="shared" si="135"/>
        <v>90.278998854895463</v>
      </c>
      <c r="W372" s="397">
        <f t="shared" si="136"/>
        <v>85.179444212488917</v>
      </c>
      <c r="X372" s="153">
        <f t="shared" si="137"/>
        <v>47110</v>
      </c>
      <c r="Y372" s="380">
        <f t="shared" si="138"/>
        <v>82.504226790940663</v>
      </c>
      <c r="Z372" s="380">
        <f t="shared" si="139"/>
        <v>85.594314532499126</v>
      </c>
      <c r="AA372" s="381">
        <f t="shared" si="140"/>
        <v>90.588590363025958</v>
      </c>
      <c r="AB372" s="193">
        <f t="shared" si="141"/>
        <v>47110</v>
      </c>
      <c r="AC372" s="119">
        <f>IF(OR(t&lt;Tnet,NoTnet),'2027'!Resal_s+('2027'!Salim-'2027'!Resal_s)*(1-EXP(('2027'!Tnet_s-t)/'2027'!Tau_j)),Resal_s+(Salim-Resal_s)*(1-EXP((Tnet_s-t)/Tau_j)))*Salcycl</f>
        <v>5.5131400218423741E-2</v>
      </c>
      <c r="AD372" s="227">
        <f>(INDEX(Models!$BJ372:$BT372,,AH372)*(1-AF372)+INDEX(Models!$BJ372:$BT372,,AH372+1)*AF372-ERP_i)*AE372*Ramure*Pc/MaxiM</f>
        <v>4.3091257049607586E-3</v>
      </c>
      <c r="AE372" s="301">
        <f t="shared" si="142"/>
        <v>0.5</v>
      </c>
      <c r="AF372" s="173">
        <f t="shared" si="143"/>
        <v>0.48952868328704024</v>
      </c>
      <c r="AG372" s="801">
        <f t="shared" si="149"/>
        <v>3</v>
      </c>
      <c r="AH372" s="172">
        <f t="shared" si="144"/>
        <v>9</v>
      </c>
      <c r="AI372" s="221">
        <f t="shared" si="145"/>
        <v>3.4895286832870402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47111</v>
      </c>
      <c r="B373" s="406">
        <f>'2027'!Wh/'2027'!Env_an*'2028'!Env_an</f>
        <v>47.989373915905077</v>
      </c>
      <c r="C373" s="831"/>
      <c r="D373" s="388">
        <f t="shared" si="127"/>
        <v>49.787434602459982</v>
      </c>
      <c r="E373" s="380">
        <f t="shared" si="150"/>
        <v>51.040634982283741</v>
      </c>
      <c r="F373" s="380">
        <f t="shared" si="128"/>
        <v>51.112934353971404</v>
      </c>
      <c r="G373" s="110">
        <f t="shared" si="151"/>
        <v>0.52865514719484474</v>
      </c>
      <c r="H373" s="409" t="b">
        <f>Wh_hp&gt;='2027'!Maxi_hp</f>
        <v>0</v>
      </c>
      <c r="I373" s="385">
        <f>IF(H373,Wh_hp,'2027'!Maxi_hp)</f>
        <v>51.242914990757299</v>
      </c>
      <c r="J373" s="85">
        <f>IF(H373,An,'2027'!An_max)</f>
        <v>2022</v>
      </c>
      <c r="K373" s="193">
        <f t="shared" si="129"/>
        <v>47111</v>
      </c>
      <c r="L373" s="143">
        <f>IF(t&lt;Tvie,1-EXP((T0-t)*PertePVj)+'2027'!Pspv,1-EXP((T0-t)*PertePVj)+Pspv)</f>
        <v>3.6114748649171524E-2</v>
      </c>
      <c r="M373" s="835"/>
      <c r="N373" s="835"/>
      <c r="O373" s="48">
        <f>IF(t&lt;Tnet,'2027'!Resal+('2027'!Salim-'2027'!Resal)*(1-EXP(('2027'!Tnet-t)/('2027'!Tau_j))),Resal+(Salim-Resal)*(1-EXP((Tnet-t)/(Tau_j))))*Salcycl</f>
        <v>2.4552993517003571E-2</v>
      </c>
      <c r="P373" s="165">
        <f>(INDEX(Models!$BJ373:$BT373,,T373)*(1-R373)+INDEX(Models!$BJ373:$BT373,,T373+1)*R373-ERP_i)*Q373*Ramure*Pc/MaxiM</f>
        <v>4.3014922028376083E-3</v>
      </c>
      <c r="Q373" s="301">
        <f t="shared" si="130"/>
        <v>0.5</v>
      </c>
      <c r="R373" s="173">
        <f t="shared" si="131"/>
        <v>0.48952868328704024</v>
      </c>
      <c r="S373" s="801">
        <f t="shared" si="132"/>
        <v>3</v>
      </c>
      <c r="T373" s="172">
        <f t="shared" si="133"/>
        <v>9</v>
      </c>
      <c r="U373" s="247">
        <f t="shared" si="134"/>
        <v>3.4895286832870402</v>
      </c>
      <c r="V373" s="378">
        <f t="shared" si="135"/>
        <v>90.513888099337379</v>
      </c>
      <c r="W373" s="397">
        <f t="shared" si="136"/>
        <v>47.989373915905077</v>
      </c>
      <c r="X373" s="153">
        <f t="shared" si="137"/>
        <v>47111</v>
      </c>
      <c r="Y373" s="380">
        <f t="shared" si="138"/>
        <v>46.483844264048379</v>
      </c>
      <c r="Z373" s="380">
        <f t="shared" si="139"/>
        <v>48.225495927968609</v>
      </c>
      <c r="AA373" s="381">
        <f t="shared" si="140"/>
        <v>51.040634982283741</v>
      </c>
      <c r="AB373" s="193">
        <f t="shared" si="141"/>
        <v>47111</v>
      </c>
      <c r="AC373" s="119">
        <f>IF(OR(t&lt;Tnet,NoTnet),'2027'!Resal_s+('2027'!Salim-'2027'!Resal_s)*(1-EXP(('2027'!Tnet_s-t)/'2027'!Tau_j)),Resal_s+(Salim-Resal_s)*(1-EXP((Tnet_s-t)/Tau_j)))*Salcycl</f>
        <v>5.5154859560275243E-2</v>
      </c>
      <c r="AD373" s="227">
        <f>(INDEX(Models!$BJ373:$BT373,,AH373)*(1-AF373)+INDEX(Models!$BJ373:$BT373,,AH373+1)*AF373-ERP_i)*AE373*Ramure*Pc/MaxiM</f>
        <v>4.3014922028376083E-3</v>
      </c>
      <c r="AE373" s="301">
        <f t="shared" si="142"/>
        <v>0.5</v>
      </c>
      <c r="AF373" s="173">
        <f t="shared" si="143"/>
        <v>0.48952868328704024</v>
      </c>
      <c r="AG373" s="801">
        <f t="shared" si="149"/>
        <v>3</v>
      </c>
      <c r="AH373" s="172">
        <f t="shared" si="144"/>
        <v>9</v>
      </c>
      <c r="AI373" s="221">
        <f t="shared" si="145"/>
        <v>3.4895286832870402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47112</v>
      </c>
      <c r="B374" s="406">
        <f>'2027'!Wh/'2027'!Env_an*'2028'!Env_an</f>
        <v>81.995125801214016</v>
      </c>
      <c r="C374" s="831"/>
      <c r="D374" s="388">
        <f t="shared" si="127"/>
        <v>85.068474848103008</v>
      </c>
      <c r="E374" s="380">
        <f t="shared" si="150"/>
        <v>87.215029427039283</v>
      </c>
      <c r="F374" s="380">
        <f t="shared" si="128"/>
        <v>87.538880368260649</v>
      </c>
      <c r="G374" s="110">
        <f t="shared" si="151"/>
        <v>0.90252127111908442</v>
      </c>
      <c r="H374" s="409" t="b">
        <f>Wh_hp&gt;='2027'!Maxi_hp</f>
        <v>0</v>
      </c>
      <c r="I374" s="385">
        <f>IF(H374,Wh_hp,'2027'!Maxi_hp)</f>
        <v>87.584724087627364</v>
      </c>
      <c r="J374" s="85">
        <f>IF(H374,An,'2027'!An_max)</f>
        <v>2022</v>
      </c>
      <c r="K374" s="193">
        <f t="shared" si="129"/>
        <v>47112</v>
      </c>
      <c r="L374" s="143">
        <f>IF(t&lt;Tvie,1-EXP((T0-t)*PertePVj)+'2027'!Pspv,1-EXP((T0-t)*PertePVj)+Pspv)</f>
        <v>3.6127943428828524E-2</v>
      </c>
      <c r="M374" s="835"/>
      <c r="N374" s="835"/>
      <c r="O374" s="48">
        <f>IF(t&lt;Tnet,'2027'!Resal+('2027'!Salim-'2027'!Resal)*(1-EXP(('2027'!Tnet-t)/('2027'!Tau_j))),Resal+(Salim-Resal)*(1-EXP((Tnet-t)/(Tau_j))))*Salcycl</f>
        <v>2.4612209535880506E-2</v>
      </c>
      <c r="P374" s="165">
        <f>(INDEX(Models!$BJ374:$BT374,,T374)*(1-R374)+INDEX(Models!$BJ374:$BT374,,T374+1)*R374-ERP_i)*Q374*Ramure*Pc/MaxiM</f>
        <v>4.2941921829700381E-3</v>
      </c>
      <c r="Q374" s="301">
        <f t="shared" si="130"/>
        <v>0.5</v>
      </c>
      <c r="R374" s="173">
        <f t="shared" si="131"/>
        <v>0.48952868328704024</v>
      </c>
      <c r="S374" s="801">
        <f t="shared" si="132"/>
        <v>3</v>
      </c>
      <c r="T374" s="172">
        <f t="shared" si="133"/>
        <v>9</v>
      </c>
      <c r="U374" s="247">
        <f t="shared" si="134"/>
        <v>3.4895286832870402</v>
      </c>
      <c r="V374" s="378">
        <f t="shared" si="135"/>
        <v>90.796955485213502</v>
      </c>
      <c r="W374" s="397">
        <f t="shared" si="136"/>
        <v>81.995125801214016</v>
      </c>
      <c r="X374" s="153">
        <f t="shared" si="137"/>
        <v>47112</v>
      </c>
      <c r="Y374" s="380">
        <f t="shared" si="138"/>
        <v>79.425590950566985</v>
      </c>
      <c r="Z374" s="380">
        <f t="shared" si="139"/>
        <v>82.402628449580192</v>
      </c>
      <c r="AA374" s="381">
        <f t="shared" si="140"/>
        <v>87.215029427039283</v>
      </c>
      <c r="AB374" s="193">
        <f t="shared" si="141"/>
        <v>47112</v>
      </c>
      <c r="AC374" s="119">
        <f>IF(OR(t&lt;Tnet,NoTnet),'2027'!Resal_s+('2027'!Salim-'2027'!Resal_s)*(1-EXP(('2027'!Tnet_s-t)/'2027'!Tau_j)),Resal_s+(Salim-Resal_s)*(1-EXP((Tnet_s-t)/Tau_j)))*Salcycl</f>
        <v>5.5178574255770496E-2</v>
      </c>
      <c r="AD374" s="227">
        <f>(INDEX(Models!$BJ374:$BT374,,AH374)*(1-AF374)+INDEX(Models!$BJ374:$BT374,,AH374+1)*AF374-ERP_i)*AE374*Ramure*Pc/MaxiM</f>
        <v>4.2941921829700381E-3</v>
      </c>
      <c r="AE374" s="301">
        <f t="shared" si="142"/>
        <v>0.5</v>
      </c>
      <c r="AF374" s="173">
        <f t="shared" si="143"/>
        <v>0.48952868328704024</v>
      </c>
      <c r="AG374" s="801">
        <f t="shared" si="149"/>
        <v>3</v>
      </c>
      <c r="AH374" s="172">
        <f t="shared" si="144"/>
        <v>9</v>
      </c>
      <c r="AI374" s="221">
        <f t="shared" si="145"/>
        <v>3.4895286832870402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47113</v>
      </c>
      <c r="B375" s="406">
        <f>'2027'!Wh/'2027'!Env_an*'2028'!Env_an</f>
        <v>25.413959823349291</v>
      </c>
      <c r="C375" s="831"/>
      <c r="D375" s="388">
        <f t="shared" si="127"/>
        <v>26.366889205490207</v>
      </c>
      <c r="E375" s="380">
        <f t="shared" si="150"/>
        <v>27.033854085371498</v>
      </c>
      <c r="F375" s="380">
        <f t="shared" si="128"/>
        <v>27.033854085371498</v>
      </c>
      <c r="G375" s="110">
        <f t="shared" si="151"/>
        <v>0.27769121773946964</v>
      </c>
      <c r="H375" s="409" t="b">
        <f>Wh_hp&gt;='2027'!Maxi_hp</f>
        <v>0</v>
      </c>
      <c r="I375" s="385">
        <f>IF(H375,Wh_hp,'2027'!Maxi_hp)</f>
        <v>41.855930622746683</v>
      </c>
      <c r="J375" s="85">
        <f>IF(H375,An,'2027'!An_max)</f>
        <v>2021</v>
      </c>
      <c r="K375" s="193">
        <f t="shared" si="129"/>
        <v>47113</v>
      </c>
      <c r="L375" s="143">
        <f>IF(t&lt;Tvie,1-EXP((T0-t)*PertePVj)+'2027'!Pspv,1-EXP((T0-t)*PertePVj)+Pspv)</f>
        <v>3.614113802786012E-2</v>
      </c>
      <c r="M375" s="835"/>
      <c r="N375" s="835"/>
      <c r="O375" s="48">
        <f>IF(t&lt;Tnet,'2027'!Resal+('2027'!Salim-'2027'!Resal)*(1-EXP(('2027'!Tnet-t)/('2027'!Tau_j))),Resal+(Salim-Resal)*(1-EXP((Tnet-t)/(Tau_j))))*Salcycl</f>
        <v>2.4671468514073189E-2</v>
      </c>
      <c r="P375" s="165">
        <f>(INDEX(Models!$BJ375:$BT375,,T375)*(1-R375)+INDEX(Models!$BJ375:$BT375,,T375+1)*R375-ERP_i)*Q375*Ramure*Pc/MaxiM</f>
        <v>4.2915435352973491E-3</v>
      </c>
      <c r="Q375" s="301">
        <f t="shared" si="130"/>
        <v>0.5</v>
      </c>
      <c r="R375" s="173">
        <f t="shared" si="131"/>
        <v>0.48952868328704024</v>
      </c>
      <c r="S375" s="801">
        <f t="shared" si="132"/>
        <v>3</v>
      </c>
      <c r="T375" s="172">
        <f t="shared" si="133"/>
        <v>9</v>
      </c>
      <c r="U375" s="247">
        <f t="shared" si="134"/>
        <v>3.4895286832870402</v>
      </c>
      <c r="V375" s="378">
        <f t="shared" si="135"/>
        <v>91.126017287677342</v>
      </c>
      <c r="W375" s="397">
        <f t="shared" si="136"/>
        <v>25.413959823349291</v>
      </c>
      <c r="X375" s="153">
        <f t="shared" si="137"/>
        <v>47113</v>
      </c>
      <c r="Y375" s="380">
        <f t="shared" si="138"/>
        <v>24.61841775942823</v>
      </c>
      <c r="Z375" s="380">
        <f t="shared" si="139"/>
        <v>25.54151726016897</v>
      </c>
      <c r="AA375" s="381">
        <f t="shared" si="140"/>
        <v>27.033854085371498</v>
      </c>
      <c r="AB375" s="193">
        <f t="shared" si="141"/>
        <v>47113</v>
      </c>
      <c r="AC375" s="119">
        <f>IF(OR(t&lt;Tnet,NoTnet),'2027'!Resal_s+('2027'!Salim-'2027'!Resal_s)*(1-EXP(('2027'!Tnet_s-t)/'2027'!Tau_j)),Resal_s+(Salim-Resal_s)*(1-EXP((Tnet_s-t)/Tau_j)))*Salcycl</f>
        <v>5.5202518312402235E-2</v>
      </c>
      <c r="AD375" s="227">
        <f>(INDEX(Models!$BJ375:$BT375,,AH375)*(1-AF375)+INDEX(Models!$BJ375:$BT375,,AH375+1)*AF375-ERP_i)*AE375*Ramure*Pc/MaxiM</f>
        <v>4.2915435352973491E-3</v>
      </c>
      <c r="AE375" s="301">
        <f t="shared" si="142"/>
        <v>0.5</v>
      </c>
      <c r="AF375" s="173">
        <f t="shared" si="143"/>
        <v>0.48952868328704024</v>
      </c>
      <c r="AG375" s="801">
        <f t="shared" si="149"/>
        <v>3</v>
      </c>
      <c r="AH375" s="172">
        <f t="shared" si="144"/>
        <v>9</v>
      </c>
      <c r="AI375" s="221">
        <f t="shared" si="145"/>
        <v>3.4895286832870402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47114</v>
      </c>
      <c r="B376" s="406">
        <f>'2027'!Wh/'2027'!Env_an*'2028'!Env_an</f>
        <v>66.694436851531037</v>
      </c>
      <c r="C376" s="831"/>
      <c r="D376" s="388">
        <f t="shared" si="127"/>
        <v>69.196178492770002</v>
      </c>
      <c r="E376" s="380">
        <f t="shared" si="150"/>
        <v>70.950846876542698</v>
      </c>
      <c r="F376" s="380">
        <f t="shared" si="128"/>
        <v>71.137945710888843</v>
      </c>
      <c r="G376" s="110">
        <f t="shared" si="151"/>
        <v>0.72769097597812604</v>
      </c>
      <c r="H376" s="409" t="b">
        <f>Wh_hp&gt;='2027'!Maxi_hp</f>
        <v>0</v>
      </c>
      <c r="I376" s="385">
        <f>IF(H376,Wh_hp,'2027'!Maxi_hp)</f>
        <v>71.241906609353137</v>
      </c>
      <c r="J376" s="85">
        <f>IF(H376,An,'2027'!An_max)</f>
        <v>2022</v>
      </c>
      <c r="K376" s="193">
        <f t="shared" si="129"/>
        <v>47114</v>
      </c>
      <c r="L376" s="143">
        <f>IF(t&lt;Tvie,1-EXP((T0-t)*PertePVj)+'2027'!Pspv,1-EXP((T0-t)*PertePVj)+Pspv)</f>
        <v>3.6154332446268755E-2</v>
      </c>
      <c r="M376" s="835"/>
      <c r="N376" s="835"/>
      <c r="O376" s="48">
        <f>IF(t&lt;Tnet,'2027'!Resal+('2027'!Salim-'2027'!Resal)*(1-EXP(('2027'!Tnet-t)/('2027'!Tau_j))),Resal+(Salim-Resal)*(1-EXP((Tnet-t)/(Tau_j))))*Salcycl</f>
        <v>2.4730760251895134E-2</v>
      </c>
      <c r="P376" s="165">
        <f>(INDEX(Models!$BJ376:$BT376,,T376)*(1-R376)+INDEX(Models!$BJ376:$BT376,,T376+1)*R376-ERP_i)*Q376*Ramure*Pc/MaxiM</f>
        <v>4.2924554745056003E-3</v>
      </c>
      <c r="Q376" s="301">
        <f t="shared" si="130"/>
        <v>0.5</v>
      </c>
      <c r="R376" s="173">
        <f t="shared" si="131"/>
        <v>0.48952868328704024</v>
      </c>
      <c r="S376" s="801">
        <f t="shared" si="132"/>
        <v>3</v>
      </c>
      <c r="T376" s="172">
        <f t="shared" si="133"/>
        <v>9</v>
      </c>
      <c r="U376" s="247">
        <f t="shared" si="134"/>
        <v>3.4895286832870402</v>
      </c>
      <c r="V376" s="378">
        <f t="shared" si="135"/>
        <v>91.499380656248974</v>
      </c>
      <c r="W376" s="397">
        <f t="shared" si="136"/>
        <v>66.694436851531037</v>
      </c>
      <c r="X376" s="153">
        <f t="shared" si="137"/>
        <v>47114</v>
      </c>
      <c r="Y376" s="380">
        <f t="shared" si="138"/>
        <v>64.608953929616661</v>
      </c>
      <c r="Z376" s="380">
        <f t="shared" si="139"/>
        <v>67.032468064722536</v>
      </c>
      <c r="AA376" s="381">
        <f t="shared" si="140"/>
        <v>70.950846876542698</v>
      </c>
      <c r="AB376" s="193">
        <f t="shared" si="141"/>
        <v>47114</v>
      </c>
      <c r="AC376" s="119">
        <f>IF(OR(t&lt;Tnet,NoTnet),'2027'!Resal_s+('2027'!Salim-'2027'!Resal_s)*(1-EXP(('2027'!Tnet_s-t)/'2027'!Tau_j)),Resal_s+(Salim-Resal_s)*(1-EXP((Tnet_s-t)/Tau_j)))*Salcycl</f>
        <v>5.5226667253715736E-2</v>
      </c>
      <c r="AD376" s="227">
        <f>(INDEX(Models!$BJ376:$BT376,,AH376)*(1-AF376)+INDEX(Models!$BJ376:$BT376,,AH376+1)*AF376-ERP_i)*AE376*Ramure*Pc/MaxiM</f>
        <v>4.2924554745056003E-3</v>
      </c>
      <c r="AE376" s="301">
        <f t="shared" si="142"/>
        <v>0.5</v>
      </c>
      <c r="AF376" s="173">
        <f t="shared" si="143"/>
        <v>0.48952868328704024</v>
      </c>
      <c r="AG376" s="801">
        <f t="shared" si="149"/>
        <v>3</v>
      </c>
      <c r="AH376" s="172">
        <f t="shared" si="144"/>
        <v>9</v>
      </c>
      <c r="AI376" s="221">
        <f t="shared" si="145"/>
        <v>3.4895286832870402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47115</v>
      </c>
      <c r="B377" s="406">
        <f>'2027'!Wh/'2027'!Env_an*'2028'!Env_an</f>
        <v>41.245207566602993</v>
      </c>
      <c r="C377" s="831"/>
      <c r="D377" s="388">
        <f t="shared" si="127"/>
        <v>42.792921704229464</v>
      </c>
      <c r="E377" s="380">
        <f t="shared" si="150"/>
        <v>43.88072825637024</v>
      </c>
      <c r="F377" s="380">
        <f t="shared" si="128"/>
        <v>43.920827098016126</v>
      </c>
      <c r="G377" s="110">
        <f t="shared" si="151"/>
        <v>0.44721095807965672</v>
      </c>
      <c r="H377" s="409" t="b">
        <f>Wh_hp&gt;='2027'!Maxi_hp</f>
        <v>0</v>
      </c>
      <c r="I377" s="385">
        <f>IF(H377,Wh_hp,'2027'!Maxi_hp)</f>
        <v>44.051326696562526</v>
      </c>
      <c r="J377" s="85">
        <f>IF(H377,An,'2027'!An_max)</f>
        <v>2022</v>
      </c>
      <c r="K377" s="193">
        <f t="shared" si="129"/>
        <v>47115</v>
      </c>
      <c r="L377" s="143">
        <f>IF(t&lt;Tvie,1-EXP((T0-t)*PertePVj)+'2027'!Pspv,1-EXP((T0-t)*PertePVj)+Pspv)</f>
        <v>3.6167526684056761E-2</v>
      </c>
      <c r="M377" s="835"/>
      <c r="N377" s="835"/>
      <c r="O377" s="48">
        <f>IF(t&lt;Tnet,'2027'!Resal+('2027'!Salim-'2027'!Resal)*(1-EXP(('2027'!Tnet-t)/('2027'!Tau_j))),Resal+(Salim-Resal)*(1-EXP((Tnet-t)/(Tau_j))))*Salcycl</f>
        <v>2.4790075173441423E-2</v>
      </c>
      <c r="P377" s="165">
        <f>(INDEX(Models!$BJ377:$BT377,,T377)*(1-R377)+INDEX(Models!$BJ377:$BT377,,T377+1)*R377-ERP_i)*Q377*Ramure*Pc/MaxiM</f>
        <v>4.2969307983206162E-3</v>
      </c>
      <c r="Q377" s="301">
        <f t="shared" si="130"/>
        <v>0.5</v>
      </c>
      <c r="R377" s="173">
        <f t="shared" si="131"/>
        <v>0.48952868328704024</v>
      </c>
      <c r="S377" s="801">
        <f t="shared" si="132"/>
        <v>3</v>
      </c>
      <c r="T377" s="172">
        <f t="shared" si="133"/>
        <v>9</v>
      </c>
      <c r="U377" s="247">
        <f t="shared" si="134"/>
        <v>3.4895286832870402</v>
      </c>
      <c r="V377" s="378">
        <f t="shared" si="135"/>
        <v>91.915252819357477</v>
      </c>
      <c r="W377" s="397">
        <f t="shared" si="136"/>
        <v>41.245207566602993</v>
      </c>
      <c r="X377" s="153">
        <f t="shared" si="137"/>
        <v>47115</v>
      </c>
      <c r="Y377" s="380">
        <f t="shared" si="138"/>
        <v>39.956903314798836</v>
      </c>
      <c r="Z377" s="380">
        <f t="shared" si="139"/>
        <v>41.45627421882994</v>
      </c>
      <c r="AA377" s="381">
        <f t="shared" si="140"/>
        <v>43.88072825637024</v>
      </c>
      <c r="AB377" s="193">
        <f t="shared" si="141"/>
        <v>47115</v>
      </c>
      <c r="AC377" s="119">
        <f>IF(OR(t&lt;Tnet,NoTnet),'2027'!Resal_s+('2027'!Salim-'2027'!Resal_s)*(1-EXP(('2027'!Tnet_s-t)/'2027'!Tau_j)),Resal_s+(Salim-Resal_s)*(1-EXP((Tnet_s-t)/Tau_j)))*Salcycl</f>
        <v>5.5250998191634107E-2</v>
      </c>
      <c r="AD377" s="227">
        <f>(INDEX(Models!$BJ377:$BT377,,AH377)*(1-AF377)+INDEX(Models!$BJ377:$BT377,,AH377+1)*AF377-ERP_i)*AE377*Ramure*Pc/MaxiM</f>
        <v>4.2969307983206162E-3</v>
      </c>
      <c r="AE377" s="301">
        <f t="shared" si="142"/>
        <v>0.5</v>
      </c>
      <c r="AF377" s="173">
        <f t="shared" si="143"/>
        <v>0.48952868328704024</v>
      </c>
      <c r="AG377" s="801">
        <f t="shared" si="149"/>
        <v>3</v>
      </c>
      <c r="AH377" s="172">
        <f t="shared" si="144"/>
        <v>9</v>
      </c>
      <c r="AI377" s="221">
        <f t="shared" si="145"/>
        <v>3.4895286832870402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47116</v>
      </c>
      <c r="B378" s="406">
        <f>'2027'!Wh/'2027'!Env_an*'2028'!Env_an</f>
        <v>59.06445470884676</v>
      </c>
      <c r="C378" s="831"/>
      <c r="D378" s="388">
        <f t="shared" si="127"/>
        <v>61.281669686323745</v>
      </c>
      <c r="E378" s="380">
        <f t="shared" si="150"/>
        <v>62.843287960102515</v>
      </c>
      <c r="F378" s="380">
        <f t="shared" si="128"/>
        <v>62.974742686796411</v>
      </c>
      <c r="G378" s="110">
        <f t="shared" si="151"/>
        <v>0.63799965259550717</v>
      </c>
      <c r="H378" s="409" t="b">
        <f>Wh_hp&gt;='2027'!Maxi_hp</f>
        <v>0</v>
      </c>
      <c r="I378" s="385">
        <f>IF(H378,Wh_hp,'2027'!Maxi_hp)</f>
        <v>76.342020804358668</v>
      </c>
      <c r="J378" s="85">
        <f>IF(H378,An,'2027'!An_max)</f>
        <v>2021</v>
      </c>
      <c r="K378" s="193">
        <f t="shared" si="129"/>
        <v>47116</v>
      </c>
      <c r="L378" s="143">
        <f>IF(t&lt;Tvie,1-EXP((T0-t)*PertePVj)+'2027'!Pspv,1-EXP((T0-t)*PertePVj)+Pspv)</f>
        <v>3.6180720741226802E-2</v>
      </c>
      <c r="M378" s="835"/>
      <c r="N378" s="835"/>
      <c r="O378" s="48">
        <f>IF(t&lt;Tnet,'2027'!Resal+('2027'!Salim-'2027'!Resal)*(1-EXP(('2027'!Tnet-t)/('2027'!Tau_j))),Resal+(Salim-Resal)*(1-EXP((Tnet-t)/(Tau_j))))*Salcycl</f>
        <v>2.4849404359144886E-2</v>
      </c>
      <c r="P378" s="165">
        <f>(INDEX(Models!$BJ378:$BT378,,T378)*(1-R378)+INDEX(Models!$BJ378:$BT378,,T378+1)*R378-ERP_i)*Q378*Ramure*Pc/MaxiM</f>
        <v>4.3049656981722119E-3</v>
      </c>
      <c r="Q378" s="301">
        <f t="shared" si="130"/>
        <v>0.5</v>
      </c>
      <c r="R378" s="173">
        <f t="shared" si="131"/>
        <v>0.48952868328704024</v>
      </c>
      <c r="S378" s="801">
        <f t="shared" si="132"/>
        <v>3</v>
      </c>
      <c r="T378" s="172">
        <f t="shared" si="133"/>
        <v>9</v>
      </c>
      <c r="U378" s="247">
        <f t="shared" si="134"/>
        <v>3.4895286832870402</v>
      </c>
      <c r="V378" s="378">
        <f t="shared" si="135"/>
        <v>92.371841196698838</v>
      </c>
      <c r="W378" s="397">
        <f t="shared" si="136"/>
        <v>59.06445470884676</v>
      </c>
      <c r="X378" s="153">
        <f t="shared" si="137"/>
        <v>47116</v>
      </c>
      <c r="Y378" s="380">
        <f t="shared" si="138"/>
        <v>57.221559715612436</v>
      </c>
      <c r="Z378" s="380">
        <f t="shared" si="139"/>
        <v>59.369594432286902</v>
      </c>
      <c r="AA378" s="381">
        <f t="shared" si="140"/>
        <v>62.843287960102515</v>
      </c>
      <c r="AB378" s="193">
        <f t="shared" si="141"/>
        <v>47116</v>
      </c>
      <c r="AC378" s="119">
        <f>IF(OR(t&lt;Tnet,NoTnet),'2027'!Resal_s+('2027'!Salim-'2027'!Resal_s)*(1-EXP(('2027'!Tnet_s-t)/'2027'!Tau_j)),Resal_s+(Salim-Resal_s)*(1-EXP((Tnet_s-t)/Tau_j)))*Salcycl</f>
        <v>5.5275489882403418E-2</v>
      </c>
      <c r="AD378" s="227">
        <f>(INDEX(Models!$BJ378:$BT378,,AH378)*(1-AF378)+INDEX(Models!$BJ378:$BT378,,AH378+1)*AF378-ERP_i)*AE378*Ramure*Pc/MaxiM</f>
        <v>4.3049656981722119E-3</v>
      </c>
      <c r="AE378" s="301">
        <f t="shared" si="142"/>
        <v>0.5</v>
      </c>
      <c r="AF378" s="173">
        <f t="shared" si="143"/>
        <v>0.48952868328704024</v>
      </c>
      <c r="AG378" s="801">
        <f t="shared" si="149"/>
        <v>3</v>
      </c>
      <c r="AH378" s="172">
        <f t="shared" si="144"/>
        <v>9</v>
      </c>
      <c r="AI378" s="221">
        <f t="shared" si="145"/>
        <v>3.4895286832870402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47117</v>
      </c>
      <c r="B379" s="406">
        <f>'2027'!Wh/'2027'!Env_an*'2028'!Env_an</f>
        <v>47.276453886641015</v>
      </c>
      <c r="C379" s="831"/>
      <c r="D379" s="388">
        <f t="shared" si="127"/>
        <v>49.0518316948502</v>
      </c>
      <c r="E379" s="380">
        <f t="shared" si="150"/>
        <v>50.304862411832239</v>
      </c>
      <c r="F379" s="380">
        <f t="shared" si="128"/>
        <v>50.369802257293358</v>
      </c>
      <c r="G379" s="110">
        <f t="shared" si="151"/>
        <v>0.50753195710364907</v>
      </c>
      <c r="H379" s="409" t="b">
        <f>Wh_hp&gt;='2027'!Maxi_hp</f>
        <v>0</v>
      </c>
      <c r="I379" s="385">
        <f>IF(H379,Wh_hp,'2027'!Maxi_hp)</f>
        <v>98.426511979974805</v>
      </c>
      <c r="J379" s="85">
        <f>IF(H379,An,'2027'!An_max)</f>
        <v>2021</v>
      </c>
      <c r="K379" s="193">
        <f t="shared" si="129"/>
        <v>47117</v>
      </c>
      <c r="L379" s="143">
        <f>IF(t&lt;Tvie,1-EXP((T0-t)*PertePVj)+'2027'!Pspv,1-EXP((T0-t)*PertePVj)+Pspv)</f>
        <v>3.619391461778132E-2</v>
      </c>
      <c r="M379" s="835"/>
      <c r="N379" s="835"/>
      <c r="O379" s="48">
        <f>IF(t&lt;Tnet,'2027'!Resal+('2027'!Salim-'2027'!Resal)*(1-EXP(('2027'!Tnet-t)/('2027'!Tau_j))),Resal+(Salim-Resal)*(1-EXP((Tnet-t)/(Tau_j))))*Salcycl</f>
        <v>2.4908739571213194E-2</v>
      </c>
      <c r="P379" s="165">
        <f>(INDEX(Models!$BJ379:$BT379,,T379)*(1-R379)+INDEX(Models!$BJ379:$BT379,,T379+1)*R379-ERP_i)*Q379*Ramure*Pc/MaxiM</f>
        <v>4.3165503082330837E-3</v>
      </c>
      <c r="Q379" s="302">
        <f t="shared" si="130"/>
        <v>0.5</v>
      </c>
      <c r="R379" s="173">
        <f t="shared" si="131"/>
        <v>0.48952868328704024</v>
      </c>
      <c r="S379" s="801">
        <f t="shared" si="132"/>
        <v>3</v>
      </c>
      <c r="T379" s="172">
        <f t="shared" si="133"/>
        <v>9</v>
      </c>
      <c r="U379" s="303">
        <f t="shared" si="134"/>
        <v>3.4895286832870402</v>
      </c>
      <c r="V379" s="378">
        <f t="shared" si="135"/>
        <v>92.867353452917797</v>
      </c>
      <c r="W379" s="397">
        <f t="shared" si="136"/>
        <v>47.276453886641015</v>
      </c>
      <c r="X379" s="153">
        <f t="shared" si="137"/>
        <v>47117</v>
      </c>
      <c r="Y379" s="380">
        <f t="shared" si="138"/>
        <v>45.802954036445989</v>
      </c>
      <c r="Z379" s="380">
        <f t="shared" si="139"/>
        <v>47.522997344721901</v>
      </c>
      <c r="AA379" s="381">
        <f t="shared" si="140"/>
        <v>50.304862411832239</v>
      </c>
      <c r="AB379" s="193">
        <f t="shared" si="141"/>
        <v>47117</v>
      </c>
      <c r="AC379" s="119">
        <f>IF(OR(t&lt;Tnet,NoTnet),'2027'!Resal_s+('2027'!Salim-'2027'!Resal_s)*(1-EXP(('2027'!Tnet_s-t)/'2027'!Tau_j)),Resal_s+(Salim-Resal_s)*(1-EXP((Tnet_s-t)/Tau_j)))*Salcycl</f>
        <v>5.5300122766184311E-2</v>
      </c>
      <c r="AD379" s="227">
        <f>(INDEX(Models!$BJ379:$BT379,,AH379)*(1-AF379)+INDEX(Models!$BJ379:$BT379,,AH379+1)*AF379-ERP_i)*AE379*Ramure*Pc/MaxiM</f>
        <v>4.3165503082330837E-3</v>
      </c>
      <c r="AE379" s="302">
        <f t="shared" si="142"/>
        <v>0.5</v>
      </c>
      <c r="AF379" s="173">
        <f t="shared" si="143"/>
        <v>0.48952868328704024</v>
      </c>
      <c r="AG379" s="801">
        <f t="shared" si="149"/>
        <v>3</v>
      </c>
      <c r="AH379" s="172">
        <f t="shared" si="144"/>
        <v>9</v>
      </c>
      <c r="AI379" s="218">
        <f t="shared" si="145"/>
        <v>3.4895286832870402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598">
        <f>A379+1</f>
        <v>47118</v>
      </c>
      <c r="B380" s="793">
        <f>AVERAGE(B366:B379)</f>
        <v>59.18490128012894</v>
      </c>
      <c r="C380" s="841"/>
      <c r="D380" s="597">
        <f t="shared" si="127"/>
        <v>61.408318935178585</v>
      </c>
      <c r="E380" s="593">
        <f t="shared" si="150"/>
        <v>62.980828885518719</v>
      </c>
      <c r="F380" s="593">
        <f t="shared" si="128"/>
        <v>63.111140216718375</v>
      </c>
      <c r="G380" s="110">
        <f t="shared" si="151"/>
        <v>0.63223190944139718</v>
      </c>
      <c r="H380" s="594" t="b">
        <f>Wh_hp&gt;='2027'!Maxi_hp</f>
        <v>0</v>
      </c>
      <c r="I380" s="595">
        <f>IF(H380,Wh_hp,'2027'!Maxi_hp)</f>
        <v>63.199838713856806</v>
      </c>
      <c r="J380" s="147">
        <f>IF(H380,An,'2027'!An_max)</f>
        <v>2024</v>
      </c>
      <c r="K380" s="230">
        <f t="shared" si="129"/>
        <v>47118</v>
      </c>
      <c r="L380" s="143">
        <f>IF(t&lt;Tvie,1-EXP((T0-t)*PertePVj)+'2027'!Pspv,1-EXP((T0-t)*PertePVj)+Pspv)</f>
        <v>3.6207108313722758E-2</v>
      </c>
      <c r="M380" s="835"/>
      <c r="N380" s="835"/>
      <c r="O380" s="48">
        <f>IF(t&lt;Tnet,'2027'!Resal+('2027'!Salim-'2027'!Resal)*(1-EXP(('2027'!Tnet-t)/('2027'!Tau_j))),Resal+(Salim-Resal)*(1-EXP((Tnet-t)/(Tau_j))))*Salcycl</f>
        <v>2.4968073271923918E-2</v>
      </c>
      <c r="P380" s="227">
        <f>(INDEX(Models!$BJ380:$BT380,,T380)*(1-R380)+INDEX(Models!$BJ380:$BT380,,T380+1)*R380-ERP_i)*Q380*Ramure*Pc/MaxiM</f>
        <v>4.3316692988693943E-3</v>
      </c>
      <c r="Q380" s="324">
        <f t="shared" si="130"/>
        <v>0.5</v>
      </c>
      <c r="R380" s="310">
        <f>(Hp_vg-S380)/(INDEX(Echel_vg,T380+1)-S380)</f>
        <v>0.48952868328704024</v>
      </c>
      <c r="S380" s="802">
        <f>INDEX(Echel_vg,T380)</f>
        <v>3</v>
      </c>
      <c r="T380" s="229">
        <f t="shared" si="133"/>
        <v>9</v>
      </c>
      <c r="U380" s="297">
        <f t="shared" si="134"/>
        <v>3.4895286832870402</v>
      </c>
      <c r="V380" s="378">
        <f t="shared" si="135"/>
        <v>93.399997453466653</v>
      </c>
      <c r="W380" s="397">
        <f t="shared" si="136"/>
        <v>59.18490128012894</v>
      </c>
      <c r="X380" s="322">
        <f t="shared" si="137"/>
        <v>47118</v>
      </c>
      <c r="Y380" s="593">
        <f t="shared" si="138"/>
        <v>57.342228747691031</v>
      </c>
      <c r="Z380" s="593">
        <f t="shared" si="139"/>
        <v>59.496422148708284</v>
      </c>
      <c r="AA380" s="596">
        <f t="shared" si="140"/>
        <v>62.980828885518719</v>
      </c>
      <c r="AB380" s="230">
        <f t="shared" si="141"/>
        <v>47118</v>
      </c>
      <c r="AC380" s="119">
        <f>IF(OR(t&lt;Tnet,NoTnet),'2027'!Resal_s+('2027'!Salim-'2027'!Resal_s)*(1-EXP(('2027'!Tnet_s-t)/'2027'!Tau_j)),Resal_s+(Salim-Resal_s)*(1-EXP((Tnet_s-t)/Tau_j)))*Salcycl</f>
        <v>5.5324878990463941E-2</v>
      </c>
      <c r="AD380" s="227">
        <f>(INDEX(Models!$BJ380:$BT380,,AH380)*(1-AF380)+INDEX(Models!$BJ380:$BT380,,AH380+1)*AF380-ERP_i)*AE380*Ramure*Pc/MaxiM</f>
        <v>4.3316692988693943E-3</v>
      </c>
      <c r="AE380" s="324">
        <f t="shared" si="142"/>
        <v>0.5</v>
      </c>
      <c r="AF380" s="310">
        <f>(Hp_vg_s-AG380)/(INDEX(Echel_vg,AH380+1)-AG380)</f>
        <v>0.48952868328704024</v>
      </c>
      <c r="AG380" s="802">
        <f>INDEX(Echel_vg,AH380)</f>
        <v>3</v>
      </c>
      <c r="AH380" s="229">
        <f t="shared" si="144"/>
        <v>9</v>
      </c>
      <c r="AI380" s="221">
        <f t="shared" si="145"/>
        <v>3.4895286832870402</v>
      </c>
      <c r="AJ380" s="261" t="b">
        <f t="shared" si="146"/>
        <v>0</v>
      </c>
      <c r="AK380" s="261" t="b">
        <f t="shared" si="147"/>
        <v>0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7.065547046842223</v>
      </c>
      <c r="C381" s="370"/>
      <c r="D381" s="368">
        <f>MIN(D15:D380)</f>
        <v>7.2953409574220753</v>
      </c>
      <c r="E381" s="368">
        <f>MIN(E15:E380)</f>
        <v>7.6272454736603787</v>
      </c>
      <c r="F381" s="369">
        <f>MIN(F15:F380)</f>
        <v>7.6272454736603787</v>
      </c>
      <c r="G381" s="125">
        <f>+MIN(G15:G380)</f>
        <v>7.1576841450279982E-2</v>
      </c>
      <c r="H381" s="94"/>
      <c r="I381" s="369">
        <f>MIN(I15:I380)</f>
        <v>7.65787086076881</v>
      </c>
      <c r="J381" s="57">
        <f>MIN(J15:J380)</f>
        <v>2021</v>
      </c>
      <c r="K381" s="196" t="s">
        <v>7</v>
      </c>
      <c r="L381" s="142">
        <f t="shared" ref="L381:T381" si="152">MIN(L15:L380)</f>
        <v>3.1379391269045209E-2</v>
      </c>
      <c r="M381" s="837"/>
      <c r="N381" s="837"/>
      <c r="O381" s="47">
        <f t="shared" si="152"/>
        <v>8.0926651060319096E-3</v>
      </c>
      <c r="P381" s="164">
        <f t="shared" si="152"/>
        <v>1.8198635771127599E-4</v>
      </c>
      <c r="Q381" s="306">
        <f t="shared" si="152"/>
        <v>0.5</v>
      </c>
      <c r="R381" s="307">
        <f t="shared" si="152"/>
        <v>4.5713878001452102E-4</v>
      </c>
      <c r="S381" s="801">
        <f t="shared" si="152"/>
        <v>2</v>
      </c>
      <c r="T381" s="172">
        <f t="shared" si="152"/>
        <v>8</v>
      </c>
      <c r="U381" s="248">
        <f>+MIN(U15:U380)</f>
        <v>2.9895299563232114</v>
      </c>
      <c r="V381" s="368">
        <f>MIN(V15:V380)</f>
        <v>89.748087035280378</v>
      </c>
      <c r="W381" s="794" t="s">
        <v>40</v>
      </c>
      <c r="X381" s="112" t="s">
        <v>7</v>
      </c>
      <c r="Y381" s="368">
        <f>MIN(Y15:Y380)</f>
        <v>6.9132551673029274</v>
      </c>
      <c r="Z381" s="368">
        <f>MIN(Z15:Z380)</f>
        <v>7.1380960648581855</v>
      </c>
      <c r="AA381" s="368">
        <f>MIN(AA15:AA380)</f>
        <v>7.6272454736603787</v>
      </c>
      <c r="AB381" s="196" t="s">
        <v>7</v>
      </c>
      <c r="AC381" s="47">
        <f t="shared" ref="AC381:AH381" si="153">MIN(AC15:AC380)</f>
        <v>4.8236076523581695E-2</v>
      </c>
      <c r="AD381" s="164">
        <f t="shared" si="153"/>
        <v>1.8198635771127599E-4</v>
      </c>
      <c r="AE381" s="306">
        <f t="shared" si="153"/>
        <v>0.5</v>
      </c>
      <c r="AF381" s="307">
        <f t="shared" si="153"/>
        <v>4.5713878001452102E-4</v>
      </c>
      <c r="AG381" s="801">
        <f t="shared" si="153"/>
        <v>2</v>
      </c>
      <c r="AH381" s="172">
        <f t="shared" si="153"/>
        <v>8</v>
      </c>
      <c r="AI381" s="222">
        <f>MIN(AI15:AI380)</f>
        <v>2.9895299563232114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123.79760683772444</v>
      </c>
      <c r="C382" s="370"/>
      <c r="D382" s="370">
        <f>AVERAGE(D15:D380)</f>
        <v>128.11973504642307</v>
      </c>
      <c r="E382" s="370">
        <f>AVERAGE(E15:E380)</f>
        <v>131.23392798005003</v>
      </c>
      <c r="F382" s="371">
        <f>AVERAGE(F15:F380)</f>
        <v>131.31168700769805</v>
      </c>
      <c r="G382" s="126">
        <f>AVERAGE(G15:G380)</f>
        <v>0.68200969192999983</v>
      </c>
      <c r="H382" s="94"/>
      <c r="I382" s="371">
        <f>AVERAGE(I15:I380)</f>
        <v>132.55746231296132</v>
      </c>
      <c r="J382" s="59">
        <f>AVERAGE(J15:J380)</f>
        <v>2022.3224043715848</v>
      </c>
      <c r="K382" s="196" t="s">
        <v>8</v>
      </c>
      <c r="L382" s="143">
        <f t="shared" ref="L382:V382" si="154">AVERAGE(L15:L380)</f>
        <v>3.3795254455167956E-2</v>
      </c>
      <c r="M382" s="835"/>
      <c r="N382" s="835"/>
      <c r="O382" s="48">
        <f t="shared" si="154"/>
        <v>2.6586312311015724E-2</v>
      </c>
      <c r="P382" s="165">
        <f t="shared" si="154"/>
        <v>1.4748056919210229E-3</v>
      </c>
      <c r="Q382" s="308">
        <f t="shared" si="154"/>
        <v>0.5</v>
      </c>
      <c r="R382" s="173">
        <f t="shared" si="154"/>
        <v>0.45853955094520937</v>
      </c>
      <c r="S382" s="801">
        <f t="shared" si="154"/>
        <v>2.8114754098360657</v>
      </c>
      <c r="T382" s="172">
        <f t="shared" si="154"/>
        <v>8.8114754098360653</v>
      </c>
      <c r="U382" s="247">
        <f t="shared" si="154"/>
        <v>3.270014960781273</v>
      </c>
      <c r="V382" s="370">
        <f t="shared" si="154"/>
        <v>175.48223309120087</v>
      </c>
      <c r="X382" s="112" t="s">
        <v>8</v>
      </c>
      <c r="Y382" s="370">
        <f>AVERAGE(Y15:Y380)</f>
        <v>119.69462354454772</v>
      </c>
      <c r="Z382" s="370">
        <f>AVERAGE(Z15:Z380)</f>
        <v>123.87283601957959</v>
      </c>
      <c r="AA382" s="370">
        <f>AVERAGE(AA15:AA380)</f>
        <v>131.23392798005003</v>
      </c>
      <c r="AB382" s="196" t="s">
        <v>8</v>
      </c>
      <c r="AC382" s="48">
        <f t="shared" ref="AC382:AH382" si="155">AVERAGE(AC15:AC380)</f>
        <v>5.7145473856338995E-2</v>
      </c>
      <c r="AD382" s="165">
        <f t="shared" si="155"/>
        <v>1.4748056919210229E-3</v>
      </c>
      <c r="AE382" s="308">
        <f t="shared" si="155"/>
        <v>0.5</v>
      </c>
      <c r="AF382" s="173">
        <f t="shared" si="155"/>
        <v>0.45853955094520937</v>
      </c>
      <c r="AG382" s="801">
        <f t="shared" si="155"/>
        <v>2.8114754098360657</v>
      </c>
      <c r="AH382" s="172">
        <f t="shared" si="155"/>
        <v>8.8114754098360653</v>
      </c>
      <c r="AI382" s="221">
        <f>AVERAGE(AI15:AI380)</f>
        <v>3.270014960781273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248.47917262618535</v>
      </c>
      <c r="C383" s="372"/>
      <c r="D383" s="372">
        <f>MAX(D15:D380)</f>
        <v>257.15473598815532</v>
      </c>
      <c r="E383" s="372">
        <f>MAX(E15:E380)</f>
        <v>260.54467052549643</v>
      </c>
      <c r="F383" s="373">
        <f>MAX(F15:F380)</f>
        <v>260.61207165828807</v>
      </c>
      <c r="G383" s="127">
        <f>+MAX(G15:G380)</f>
        <v>1.0401867145003136</v>
      </c>
      <c r="H383" s="94"/>
      <c r="I383" s="373">
        <f>MAX(I15:I380)</f>
        <v>260.61207165828807</v>
      </c>
      <c r="J383" s="60">
        <f>MAX(J15:J380)</f>
        <v>2028</v>
      </c>
      <c r="K383" s="196" t="s">
        <v>9</v>
      </c>
      <c r="L383" s="144">
        <f t="shared" ref="L383:T383" si="156">MAX(L15:L380)</f>
        <v>3.6207108313722758E-2</v>
      </c>
      <c r="M383" s="838"/>
      <c r="N383" s="838"/>
      <c r="O383" s="49">
        <f t="shared" si="156"/>
        <v>4.8175485001433066E-2</v>
      </c>
      <c r="P383" s="166">
        <f t="shared" si="156"/>
        <v>5.6355138205602881E-3</v>
      </c>
      <c r="Q383" s="309">
        <f t="shared" si="156"/>
        <v>0.5</v>
      </c>
      <c r="R383" s="310">
        <f t="shared" si="156"/>
        <v>0.99999953477234982</v>
      </c>
      <c r="S383" s="802">
        <f t="shared" si="156"/>
        <v>3</v>
      </c>
      <c r="T383" s="229">
        <f t="shared" si="156"/>
        <v>9</v>
      </c>
      <c r="U383" s="249">
        <f>+MAX(U15:U380)</f>
        <v>3.4895286832870402</v>
      </c>
      <c r="V383" s="372">
        <f>MAX(V15:V380)</f>
        <v>240.66693485038718</v>
      </c>
      <c r="X383" s="112" t="s">
        <v>9</v>
      </c>
      <c r="Y383" s="372">
        <f>MAX(Y15:Y380)</f>
        <v>238.66885339388207</v>
      </c>
      <c r="Z383" s="372">
        <f>MAX(Z15:Z380)</f>
        <v>247.00189289277944</v>
      </c>
      <c r="AA383" s="372">
        <f>MAX(AA15:AA380)</f>
        <v>260.54467052549643</v>
      </c>
      <c r="AB383" s="196" t="s">
        <v>9</v>
      </c>
      <c r="AC383" s="49">
        <f t="shared" ref="AC383:AH383" si="157">MAX(AC15:AC380)</f>
        <v>6.6647474297739054E-2</v>
      </c>
      <c r="AD383" s="166">
        <f t="shared" si="157"/>
        <v>5.6355138205602881E-3</v>
      </c>
      <c r="AE383" s="309">
        <f t="shared" si="157"/>
        <v>0.5</v>
      </c>
      <c r="AF383" s="310">
        <f t="shared" si="157"/>
        <v>0.99999953477234982</v>
      </c>
      <c r="AG383" s="802">
        <f t="shared" si="157"/>
        <v>3</v>
      </c>
      <c r="AH383" s="229">
        <f t="shared" si="157"/>
        <v>9</v>
      </c>
      <c r="AI383" s="223">
        <f>MAX(AI15:AI380)</f>
        <v>3.4895286832870402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'2028'!An+1</f>
        <v>2029</v>
      </c>
      <c r="K1" s="1270"/>
      <c r="L1" s="113" t="str">
        <f>"Calcul pertes et enveloppes en "&amp;TEXT(An,0)</f>
        <v>Calcul pertes et enveloppes en 2029</v>
      </c>
      <c r="M1" s="239"/>
      <c r="N1" s="239"/>
      <c r="V1" s="450"/>
      <c r="W1" s="448"/>
      <c r="X1" s="479" t="str">
        <f>"Prévision sans nettoyage ni taille végétation en "&amp;TEXT(An,0)</f>
        <v>Prévision sans nettoyage ni taille végétation en 2029</v>
      </c>
      <c r="Y1" s="480"/>
      <c r="Z1" s="481"/>
      <c r="AA1" s="482"/>
      <c r="AB1" s="483"/>
      <c r="AC1" s="484"/>
      <c r="AD1" s="484"/>
      <c r="AE1" s="484"/>
      <c r="AF1" s="484"/>
      <c r="AG1" s="484"/>
      <c r="AH1" s="484"/>
      <c r="AI1" s="484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71">
        <f>Tmaj</f>
        <v>44926</v>
      </c>
      <c r="F3" s="1271"/>
      <c r="G3" s="8"/>
      <c r="H3" s="26"/>
      <c r="I3" s="6"/>
      <c r="J3" s="34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 t="s">
        <v>96</v>
      </c>
      <c r="Y3" s="495"/>
      <c r="Z3" s="496"/>
      <c r="AA3" s="490"/>
      <c r="AB3" s="490"/>
      <c r="AC3" s="422"/>
      <c r="AD3" s="422"/>
      <c r="AE3" s="422"/>
      <c r="AF3" s="422"/>
      <c r="AG3" s="422"/>
      <c r="AH3" s="422"/>
      <c r="AI3" s="422"/>
      <c r="AJ3" s="823">
        <f>AL11-AJ11</f>
        <v>0</v>
      </c>
      <c r="AK3" s="824">
        <f>AM11-AK11</f>
        <v>-0.28882208084004901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9" t="str">
        <f>Station</f>
        <v>Hangar Goussaud Espanès</v>
      </c>
      <c r="F4" s="1200"/>
      <c r="G4" s="1200"/>
      <c r="H4" s="1200"/>
      <c r="I4" s="1201"/>
      <c r="J4" s="154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22"/>
      <c r="AD4" s="422"/>
      <c r="AE4" s="422"/>
      <c r="AF4" s="422"/>
      <c r="AG4" s="422"/>
      <c r="AH4" s="422"/>
      <c r="AI4" s="422"/>
      <c r="AJ4" s="823">
        <f>AL12-AJ12</f>
        <v>1186.4948085770229</v>
      </c>
      <c r="AK4" s="824">
        <f>AM12-AK12</f>
        <v>19.386603429919177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72">
        <f>T0</f>
        <v>44424</v>
      </c>
      <c r="F5" s="1272"/>
      <c r="G5" s="34"/>
      <c r="H5" s="154"/>
      <c r="I5" s="154"/>
      <c r="K5" s="188"/>
      <c r="L5" s="498"/>
      <c r="M5" s="497"/>
      <c r="N5" s="497"/>
      <c r="O5" s="19"/>
      <c r="R5" s="39"/>
      <c r="S5" s="174"/>
      <c r="T5" s="174"/>
      <c r="U5" s="41"/>
      <c r="V5" s="499"/>
      <c r="W5" s="500"/>
      <c r="X5" s="501"/>
      <c r="Y5" s="502"/>
      <c r="Z5" s="232">
        <f>Wh_Psa_s-Wh_Psa</f>
        <v>1186.4948085770229</v>
      </c>
      <c r="AA5" s="233">
        <f>Wh_Pvg_s-Wh_Pvg</f>
        <v>19.154497860633128</v>
      </c>
      <c r="AB5" s="506" t="s">
        <v>6</v>
      </c>
      <c r="AC5" s="500"/>
      <c r="AD5" s="500"/>
      <c r="AE5" s="500"/>
      <c r="AF5" s="500"/>
      <c r="AG5" s="500"/>
      <c r="AH5" s="500"/>
      <c r="AI5" s="500"/>
      <c r="AJ5" s="508">
        <f>SUMIF(AJ15:AJ380,"VRAI",Wh)</f>
        <v>0</v>
      </c>
      <c r="AK5" s="508">
        <f>SUMIF(AK15:AK380,"VRAI",Wh)</f>
        <v>7863.0334557059505</v>
      </c>
      <c r="AL5" s="508">
        <f>SUMIF(AJ15:AJ380,"VRAI",Wh_s)</f>
        <v>0</v>
      </c>
      <c r="AM5" s="508">
        <f>SUMIF(AK15:AK380,"VRAI",Wh_s)</f>
        <v>7630.7241917550436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73">
        <f>Tservice</f>
        <v>44536</v>
      </c>
      <c r="F6" s="1273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2"/>
      <c r="W6" s="454"/>
      <c r="X6" s="489"/>
      <c r="Y6" s="490"/>
      <c r="Z6" s="454"/>
      <c r="AA6" s="454"/>
      <c r="AB6" s="508"/>
      <c r="AC6" s="454"/>
      <c r="AD6" s="454"/>
      <c r="AE6" s="454"/>
      <c r="AF6" s="454"/>
      <c r="AG6" s="454"/>
      <c r="AH6" s="454"/>
      <c r="AI6" s="454"/>
      <c r="AJ6" s="508">
        <f>SUMIF(AJ15:AJ380,"FAUX",Wh)</f>
        <v>44505.157422455581</v>
      </c>
      <c r="AK6" s="508">
        <f>SUMIF(AK15:AK380,"FAUX",Wh)</f>
        <v>36642.12396674967</v>
      </c>
      <c r="AL6" s="508">
        <f>SUMIF(AJ15:AJ380,"FAUX",Wh_s)</f>
        <v>43297.842593077272</v>
      </c>
      <c r="AM6" s="508">
        <f>SUMIF(AK15:AK380,"FAUX",Wh_s)</f>
        <v>35667.118401322281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AND(YEAR(Tnet)=An,Resal_2029="I")</f>
        <v>0</v>
      </c>
      <c r="F7" s="316" t="b">
        <f>YEAR(Tnet)=An</f>
        <v>0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2"/>
      <c r="W7" s="510"/>
      <c r="X7" s="511"/>
      <c r="Y7" s="244"/>
      <c r="Z7" s="510"/>
      <c r="AA7" s="510"/>
      <c r="AB7" s="510"/>
      <c r="AC7" s="510"/>
      <c r="AD7" s="244"/>
      <c r="AE7" s="244"/>
      <c r="AF7" s="485"/>
      <c r="AG7" s="485"/>
      <c r="AH7" s="485"/>
      <c r="AI7" s="510"/>
      <c r="AJ7" s="508">
        <f>SUMIF(AJ15:AJ380,"VRAI",Wh_pvt)</f>
        <v>0</v>
      </c>
      <c r="AK7" s="508">
        <f>SUMIF(AK15:AK380,"VRAI",Wh_sa)</f>
        <v>8398.6759298805173</v>
      </c>
      <c r="AL7" s="508">
        <f>SUMIF(AJ15:AJ380,"VRAI",Wh_pvt_s)</f>
        <v>0</v>
      </c>
      <c r="AM7" s="508">
        <f>SUMIF(AK15:AK380,"VRAI",Wh_sa_s)</f>
        <v>8398.6759298805173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AND(YEAR(Tnet)=An,Resal_2029&lt;&gt;"I")</f>
        <v>0</v>
      </c>
      <c r="F8" s="317" t="b">
        <f>YEAR(Ttai)=An</f>
        <v>1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0"/>
      <c r="W8" s="399"/>
      <c r="X8" s="1267" t="s">
        <v>102</v>
      </c>
      <c r="Y8" s="1268"/>
      <c r="Z8" s="490"/>
      <c r="AA8" s="490"/>
      <c r="AB8" s="454"/>
      <c r="AC8" s="512" t="s">
        <v>61</v>
      </c>
      <c r="AD8" s="454"/>
      <c r="AE8" s="454"/>
      <c r="AF8" s="454"/>
      <c r="AG8" s="454"/>
      <c r="AH8" s="454"/>
      <c r="AI8" s="454"/>
      <c r="AJ8" s="508">
        <f>SUMIF(AJ15:AJ380,"FAUX",Wh_pvt)</f>
        <v>46289.493781062483</v>
      </c>
      <c r="AK8" s="508">
        <f>SUMIF(AK15:AK380,"FAUX",Wh_sa)</f>
        <v>39595.499560572622</v>
      </c>
      <c r="AL8" s="508">
        <f>SUMIF(AJ15:AJ380,"FAUX",Wh_pvt_s)</f>
        <v>45033.862401314087</v>
      </c>
      <c r="AM8" s="508">
        <f>SUMIF(AK15:AK380,"FAUX",Wh_sa_s)</f>
        <v>39573.938635880266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46289.493781062483</v>
      </c>
      <c r="E9" s="180">
        <f>SUM(E$15:E$380)</f>
        <v>47994.175490453126</v>
      </c>
      <c r="F9" s="180">
        <f>SUM(F$15:F$380)</f>
        <v>48006.514341163085</v>
      </c>
      <c r="H9" s="1260">
        <f>+SUM(Wh)</f>
        <v>44505.157422455581</v>
      </c>
      <c r="I9" s="1261"/>
      <c r="J9" s="1262"/>
      <c r="K9" s="187"/>
      <c r="L9" s="228"/>
      <c r="M9" s="228"/>
      <c r="N9" s="228"/>
      <c r="O9" s="219">
        <f>Tnet_2029</f>
        <v>46873</v>
      </c>
      <c r="P9" s="240" t="s">
        <v>91</v>
      </c>
      <c r="Q9" s="241"/>
      <c r="R9" s="241"/>
      <c r="S9" s="241"/>
      <c r="T9" s="241"/>
      <c r="U9" s="242"/>
      <c r="V9" s="454"/>
      <c r="W9" s="513"/>
      <c r="X9" s="1265">
        <f>+SUM(Wh_s)</f>
        <v>43297.842593077272</v>
      </c>
      <c r="Y9" s="1266"/>
      <c r="Z9" s="508">
        <f>SUM(Z$15:Z$380)</f>
        <v>45033.862401314087</v>
      </c>
      <c r="AA9" s="508">
        <f>SUM(AA$15:AA$380)</f>
        <v>47972.614565760763</v>
      </c>
      <c r="AB9" s="508">
        <f>F9</f>
        <v>48006.514341163085</v>
      </c>
      <c r="AC9" s="321">
        <f>IF(An_Tnet,Tnet,'2028'!Tnet_s)</f>
        <v>46873</v>
      </c>
      <c r="AD9" s="312" t="s">
        <v>91</v>
      </c>
      <c r="AE9" s="312"/>
      <c r="AF9" s="312"/>
      <c r="AG9" s="312"/>
      <c r="AH9" s="312"/>
      <c r="AI9" s="313"/>
      <c r="AJ9" s="508">
        <f>SUMIF(AJ15:AJ380,"VRAI",Wh_sa)</f>
        <v>0</v>
      </c>
      <c r="AK9" s="508">
        <f>SUMIF(AK15:AK380,"VRAI",Wh_hp)</f>
        <v>8409.1177134629488</v>
      </c>
      <c r="AL9" s="508">
        <f>SUMIF(AJ15:AJ380,"VRAI",Wh_sa_s)</f>
        <v>0</v>
      </c>
      <c r="AM9" s="508">
        <f>SUMIF(AK15:AK380,"VRAI",Wh_hp)</f>
        <v>8409.1177134629488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IF(Inflex,'2028'!Resal+('2028'!Salim-'2028'!Resal)*(1-EXP(-(Tnet-'2028'!Tnet)/('2028'!Tau_j))),IF(An_Tnet,Resal_2029,'2028'!Resal))</f>
        <v>8.0000000000000002E-3</v>
      </c>
      <c r="P10" s="416" t="b">
        <f>NOT(Acti_tai)</f>
        <v>0</v>
      </c>
      <c r="Q10" s="253">
        <f>IF(Acti_tai,'2028'!PousD,Dens-Dd)</f>
        <v>0</v>
      </c>
      <c r="R10" s="270"/>
      <c r="S10" s="271"/>
      <c r="T10" s="272"/>
      <c r="U10" s="262">
        <f>IF(Acti_tai,'2028'!PousH,Hdtf-Hdd)</f>
        <v>0.5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IF(OR(Inflex,GainD),'2028'!Resal_s+('2028'!Salim-'2028'!Resal_s)*(1-EXP(('2028'!Tnet_s-Tnet)/('2028'!Tau_j))),IF(Acti_net,'2028'!Resal+('2028'!Salim-'2028'!Resal)*(1-EXP(('2028'!Tnet-Tnet)/'2028'!Tau_j)),'2028'!Resal_s))</f>
        <v>4.7683749065685364E-2</v>
      </c>
      <c r="AD10" s="422"/>
      <c r="AE10" s="422"/>
      <c r="AF10" s="256"/>
      <c r="AG10" s="257"/>
      <c r="AH10" s="258"/>
      <c r="AI10" s="465"/>
      <c r="AJ10" s="508">
        <f>SUMIF(AJ15:AJ380,"FAUX",Wh_sa)</f>
        <v>47994.175490453126</v>
      </c>
      <c r="AK10" s="508">
        <f>SUMIF(AK15:AK380,"FAUX",Wh_hp)</f>
        <v>39597.39662770016</v>
      </c>
      <c r="AL10" s="508">
        <f>SUMIF(AJ15:AJ380,"FAUX",Wh_sa_s)</f>
        <v>47972.614565760763</v>
      </c>
      <c r="AM10" s="508">
        <f>SUMIF(AK15:AK380,"FAUX",Wh_hp)</f>
        <v>39597.39662770016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1784.3363586069026</v>
      </c>
      <c r="E11" s="51">
        <f>(E$9-D$9)*Prod_an/D$9</f>
        <v>1638.9707822350238</v>
      </c>
      <c r="F11" s="182">
        <f>(F$9-E$9)*Prod_an/E$9</f>
        <v>11.441857009672644</v>
      </c>
      <c r="G11" s="181" t="s">
        <v>6</v>
      </c>
      <c r="K11" s="190"/>
      <c r="L11" s="207">
        <f>Tvie_2029</f>
        <v>44609</v>
      </c>
      <c r="M11" s="834"/>
      <c r="N11" s="834"/>
      <c r="O11" s="198">
        <f>IF(An_Tnet,Salim_2029,'2028'!Salim)</f>
        <v>0.08</v>
      </c>
      <c r="P11" s="252">
        <f>Ttai_2029</f>
        <v>47208</v>
      </c>
      <c r="Q11" s="268">
        <f>Dens_2029</f>
        <v>0.5</v>
      </c>
      <c r="R11" s="273"/>
      <c r="S11" s="226"/>
      <c r="T11" s="226"/>
      <c r="U11" s="262">
        <f>Htf_2029</f>
        <v>-1.0470773947367618E-2</v>
      </c>
      <c r="V11" s="422"/>
      <c r="W11" s="511"/>
      <c r="X11" s="518" t="s">
        <v>43</v>
      </c>
      <c r="Y11" s="50">
        <f>Z$9-Prod_an_s</f>
        <v>1736.0198082368152</v>
      </c>
      <c r="Z11" s="51">
        <f>(AA$9-Z$9)*Prod_an_s/Z$9</f>
        <v>2825.4655908120467</v>
      </c>
      <c r="AA11" s="182">
        <f>(AB$9-AA$9)*Prod_an_s/AA$9</f>
        <v>30.59635487030577</v>
      </c>
      <c r="AB11" s="519" t="s">
        <v>6</v>
      </c>
      <c r="AC11" s="321"/>
      <c r="AD11" s="422"/>
      <c r="AE11" s="268">
        <f>IF(Acti_tai,IF(GainD,Dd_s,Dd)+PousD*Croi_tai,"NA")</f>
        <v>0.5</v>
      </c>
      <c r="AF11" s="243"/>
      <c r="AG11" s="243"/>
      <c r="AH11" s="243"/>
      <c r="AI11" s="262">
        <f>IF(Acti_tai,IF(GainD,Hdd_s,Hdd)+PousH*Croi_tai,"NA")</f>
        <v>3.5145167924266105</v>
      </c>
      <c r="AJ11" s="823">
        <f>IF($AJ7=0,0,($AJ9-$AJ7)*$AJ5/$AJ7)</f>
        <v>0</v>
      </c>
      <c r="AK11" s="824">
        <f>IF($AK7=0,0,($AK9-$AK7)*$AK5/$AK7)</f>
        <v>9.7758378024556389</v>
      </c>
      <c r="AL11" s="823">
        <f>IF($AL7=0,0,($AL9-$AL7)*$AL5/$AL7)</f>
        <v>0</v>
      </c>
      <c r="AM11" s="824">
        <f>IF($AM7=0,0,($AM9-$AM7)*$AM5/$AM7)</f>
        <v>9.4870157216155899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Pspv_2029</f>
        <v>0</v>
      </c>
      <c r="M12" s="208"/>
      <c r="N12" s="208"/>
      <c r="O12" s="201">
        <f>IF(An_Tnet,Tau_2029*365,'2028'!Tau_j)</f>
        <v>912.5</v>
      </c>
      <c r="P12" s="277">
        <f>INDEX(Croivg,MIN(MAX(Ttai-$A$15,0)+1,366))</f>
        <v>4.9976218279140845E-2</v>
      </c>
      <c r="Q12" s="276">
        <f>'2028'!Df</f>
        <v>0.5</v>
      </c>
      <c r="R12" s="274"/>
      <c r="S12" s="275"/>
      <c r="T12" s="275"/>
      <c r="U12" s="263">
        <f>'2028'!Hdf</f>
        <v>3.4895286832870402</v>
      </c>
      <c r="V12" s="40"/>
      <c r="W12" s="34"/>
      <c r="X12" s="54"/>
      <c r="Y12" s="34"/>
      <c r="AB12" s="315" t="s">
        <v>106</v>
      </c>
      <c r="AC12" s="314" t="b">
        <f>NOT(An_Tnet)</f>
        <v>1</v>
      </c>
      <c r="AE12" s="292">
        <f>'2028'!Df_s</f>
        <v>0.5</v>
      </c>
      <c r="AF12" s="199"/>
      <c r="AG12" s="199"/>
      <c r="AH12" s="199"/>
      <c r="AI12" s="293">
        <f>'2028'!Hdf_s</f>
        <v>3.4895286832870402</v>
      </c>
      <c r="AJ12" s="823">
        <f>IF($AJ8=0,0,($AJ10-$AJ8)*$AJ6/$AJ8)</f>
        <v>1638.9707822350238</v>
      </c>
      <c r="AK12" s="824">
        <f>IF($AK8=0,0,($AK10-$AK8)*$AK6/$AK8)</f>
        <v>1.7555674162960249</v>
      </c>
      <c r="AL12" s="823">
        <f>IF($AL8=0,0,($AL10-$AL8)*$AL6/$AL8)</f>
        <v>2825.4655908120467</v>
      </c>
      <c r="AM12" s="824">
        <f>IF($AM8=0,0,($AM10-$AM8)*$AM6/$AM8)</f>
        <v>21.142170846215201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1638.9707822350238</v>
      </c>
      <c r="AK13" s="73">
        <f>+AK11+AK12</f>
        <v>11.531405218751663</v>
      </c>
      <c r="AL13" s="73">
        <f>+AL11+AL12</f>
        <v>2825.4655908120467</v>
      </c>
      <c r="AM13" s="73">
        <f>+AM11+AM12</f>
        <v>30.629186567830793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411" t="s">
        <v>188</v>
      </c>
      <c r="C14" s="411"/>
      <c r="D14" s="53" t="s">
        <v>30</v>
      </c>
      <c r="E14" s="158" t="s">
        <v>29</v>
      </c>
      <c r="F14" s="158" t="str">
        <f>"Hors pertes "&amp; TEXT(An,0)</f>
        <v>Hors pertes 2029</v>
      </c>
      <c r="G14" s="107" t="s">
        <v>42</v>
      </c>
      <c r="H14" s="408" t="s">
        <v>117</v>
      </c>
      <c r="I14" s="410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2029</v>
      </c>
      <c r="W14" s="828" t="s">
        <v>116</v>
      </c>
      <c r="X14" s="254" t="s">
        <v>2</v>
      </c>
      <c r="Y14" s="107" t="str">
        <f>"Wh / Jour "&amp; TEXT(An,0)</f>
        <v>Wh / Jour 2029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129">
        <f>DATE(An,1,1)</f>
        <v>47119</v>
      </c>
      <c r="B15" s="405">
        <f>'2028'!Wh/'2028'!Env_an*'2029'!Env_an</f>
        <v>93.503762201413295</v>
      </c>
      <c r="C15" s="831"/>
      <c r="D15" s="388">
        <f t="shared" ref="D15:D78" si="0">Wh/(1-Ppv)</f>
        <v>97.017775305771636</v>
      </c>
      <c r="E15" s="395">
        <f t="shared" ref="E15:E79" si="1">Wh_pvt/(1-Psa)</f>
        <v>99.508309001553087</v>
      </c>
      <c r="F15" s="395">
        <f t="shared" ref="F15:F78" si="2">Wh_sa/(1-Pvg*MEDIAN((-Sdif+Wh/Env_an)/Csdif,0,1))</f>
        <v>99.941221484103281</v>
      </c>
      <c r="G15" s="123">
        <f>+Wh_hp/MaxiM</f>
        <v>1.0011866221014729</v>
      </c>
      <c r="H15" s="409" t="b">
        <f>Wh_hp&gt;='2028'!Maxi_hp</f>
        <v>1</v>
      </c>
      <c r="I15" s="391">
        <f>IF(H15,Wh_hp,'2028'!Maxi_hp)</f>
        <v>99.941221484103281</v>
      </c>
      <c r="J15" s="84">
        <f>IF(H15,An,'2028'!An_max)</f>
        <v>2029</v>
      </c>
      <c r="K15" s="193">
        <f t="shared" ref="K15:K78" si="3">t</f>
        <v>47119</v>
      </c>
      <c r="L15" s="142">
        <f>IF(t&lt;Tvie,1-EXP((T0-t)*PertePVj)+'2028'!Pspv,1-EXP((T0-t)*PertePVj)+Pspv)</f>
        <v>3.6220301829053558E-2</v>
      </c>
      <c r="M15" s="835"/>
      <c r="N15" s="835"/>
      <c r="O15" s="48">
        <f>IF(t&lt;Tnet,'2028'!Resal+('2028'!Salim-'2028'!Resal)*(1-EXP(('2028'!Tnet-t)/('2028'!Tau_j))),Resal+(Salim-Resal)*(1-EXP((Tnet-t)/(Tau_j))))*Salcycl</f>
        <v>2.5028399344446509E-2</v>
      </c>
      <c r="P15" s="298">
        <f>(INDEX(Models!$BJ15:$BT15,,T15)*(1-R15)+INDEX(Models!$BJ15:$BT15,,T15+1)*R15-ERP_i)*Q15*Ramure*Pc/MaxiM</f>
        <v>4.3316709173807739E-3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0.48952987878526955</v>
      </c>
      <c r="S15" s="800">
        <f t="shared" ref="S15:S78" si="6">INDEX(Echel_vg,T15)</f>
        <v>3</v>
      </c>
      <c r="T15" s="245">
        <f t="shared" ref="T15:T78" si="7">MIN(MATCH(Hp_vg,Echel_vg),10)</f>
        <v>9</v>
      </c>
      <c r="U15" s="247">
        <f t="shared" ref="U15:U78" si="8">IF(OR(t&lt;Ttai,Notai),Hdd+PousH*Croivg,Hdtf+PousH*(Croivg-Croi_tai))</f>
        <v>3.4895298787852695</v>
      </c>
      <c r="V15" s="377">
        <f t="shared" ref="V15:V78" si="9">MaxiM*(1-Ppv)*(1-Pvg)*(1-Psa)</f>
        <v>93.392940074599238</v>
      </c>
      <c r="W15" s="397">
        <f t="shared" ref="W15:W78" si="10">Wh*(A15&gt;Tmaj)</f>
        <v>93.503762201413295</v>
      </c>
      <c r="X15" s="152">
        <f t="shared" ref="X15:X78" si="11">t</f>
        <v>47119</v>
      </c>
      <c r="Y15" s="380">
        <f t="shared" ref="Y15:Y78" si="12">Wh_pvt_s*(1-Ppv)</f>
        <v>90.59560919786658</v>
      </c>
      <c r="Z15" s="380">
        <f>Wh_sa_s*(1-Psa_s)</f>
        <v>94.000329504551942</v>
      </c>
      <c r="AA15" s="381">
        <f t="shared" ref="AA15:AA78" si="13">Wh_hp*(1-Pvg_s*MEDIAN((-Sdif+Wh/Env_an)/Csdif,0,1))</f>
        <v>99.508309001553087</v>
      </c>
      <c r="AB15" s="193">
        <f t="shared" ref="AB15:AB78" si="14">t</f>
        <v>47119</v>
      </c>
      <c r="AC15" s="119">
        <f>IF(OR(t&lt;Tnet,NoTnet),'2028'!Resal_s+('2028'!Salim-'2028'!Resal_s)*(1-EXP(('2028'!Tnet_s-t)/'2028'!Tau_j)),Resal_s+(Salim-Resal_s)*(1-EXP((Tnet_s-t)/Tau_j)))*Salcycl</f>
        <v>5.5351955552929516E-2</v>
      </c>
      <c r="AD15" s="227">
        <f>(INDEX(Models!$BJ15:$BT15,,AH15)*(1-AF15)+INDEX(Models!$BJ15:$BT15,,AH15+1)*AF15-ERP_i)*AE15*Ramure*Pc/MaxiM</f>
        <v>4.3316709173807739E-3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0.48952987878526955</v>
      </c>
      <c r="AG15" s="800">
        <f>INDEX(Echel_vg,AH15)</f>
        <v>3</v>
      </c>
      <c r="AH15" s="245">
        <f t="shared" ref="AH15:AH78" si="16">MIN(MATCH(Hp_vg_s,Echel_vg),10)</f>
        <v>9</v>
      </c>
      <c r="AI15" s="220">
        <f t="shared" ref="AI15:AI78" si="17">IF(OR(t&lt;Ttai,Notai),Hdd_s+PousH*Croivg,Hdtai_s+PousH*(Croivg-Croi_tai))</f>
        <v>3.4895298787852695</v>
      </c>
      <c r="AJ15" s="261" t="b">
        <f t="shared" ref="AJ15:AJ78" si="18">t&lt;Tnet</f>
        <v>0</v>
      </c>
      <c r="AK15" s="261" t="b">
        <f t="shared" ref="AK15:AK78" si="19">t&lt;Ttai</f>
        <v>1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47120</v>
      </c>
      <c r="B16" s="406">
        <f>'2028'!Wh/'2028'!Env_an*'2029'!Env_an</f>
        <v>68.371939589972527</v>
      </c>
      <c r="C16" s="831"/>
      <c r="D16" s="388">
        <f t="shared" si="0"/>
        <v>70.942431851365498</v>
      </c>
      <c r="E16" s="380">
        <f t="shared" si="1"/>
        <v>72.768010687556853</v>
      </c>
      <c r="F16" s="380">
        <f t="shared" si="2"/>
        <v>72.962022412200483</v>
      </c>
      <c r="G16" s="110">
        <f t="shared" ref="G16:G79" si="21">+Wh_hp/MaxiM</f>
        <v>0.72642991001047486</v>
      </c>
      <c r="H16" s="409" t="b">
        <f>Wh_hp&gt;='2028'!Maxi_hp</f>
        <v>0</v>
      </c>
      <c r="I16" s="385">
        <f>IF(H16,Wh_hp,'2028'!Maxi_hp)</f>
        <v>73.086107014148709</v>
      </c>
      <c r="J16" s="85">
        <f>IF(H16,An,'2028'!An_max)</f>
        <v>2022</v>
      </c>
      <c r="K16" s="193">
        <f t="shared" si="3"/>
        <v>47120</v>
      </c>
      <c r="L16" s="143">
        <f>IF(t&lt;Tvie,1-EXP((T0-t)*PertePVj)+'2028'!Pspv,1-EXP((T0-t)*PertePVj)+Pspv)</f>
        <v>3.6233495163776164E-2</v>
      </c>
      <c r="M16" s="835"/>
      <c r="N16" s="835"/>
      <c r="O16" s="48">
        <f>IF(t&lt;Tnet,'2028'!Resal+('2028'!Salim-'2028'!Resal)*(1-EXP(('2028'!Tnet-t)/('2028'!Tau_j))),Resal+(Salim-Resal)*(1-EXP((Tnet-t)/(Tau_j))))*Salcycl</f>
        <v>2.508765622341692E-2</v>
      </c>
      <c r="P16" s="165">
        <f>(INDEX(Models!$BJ16:$BT16,,T16)*(1-R16)+INDEX(Models!$BJ16:$BT16,,T16+1)*R16-ERP_i)*Q16*Ramure*Pc/MaxiM</f>
        <v>4.3523628896694417E-3</v>
      </c>
      <c r="Q16" s="301">
        <f t="shared" si="4"/>
        <v>0.5</v>
      </c>
      <c r="R16" s="173">
        <f t="shared" si="5"/>
        <v>0.48955909339926373</v>
      </c>
      <c r="S16" s="801">
        <f t="shared" si="6"/>
        <v>3</v>
      </c>
      <c r="T16" s="172">
        <f t="shared" si="7"/>
        <v>9</v>
      </c>
      <c r="U16" s="247">
        <f t="shared" si="8"/>
        <v>3.4895590933992637</v>
      </c>
      <c r="V16" s="378">
        <f t="shared" si="9"/>
        <v>93.96069300223013</v>
      </c>
      <c r="W16" s="397">
        <f t="shared" si="10"/>
        <v>68.371939589972527</v>
      </c>
      <c r="X16" s="153">
        <f t="shared" si="11"/>
        <v>47120</v>
      </c>
      <c r="Y16" s="380">
        <f t="shared" si="12"/>
        <v>66.247721225291315</v>
      </c>
      <c r="Z16" s="380">
        <f t="shared" ref="Z16:Z78" si="22">Wh_sa_s*(1-Psa_s)</f>
        <v>68.73835196892324</v>
      </c>
      <c r="AA16" s="381">
        <f t="shared" si="13"/>
        <v>72.768010687556853</v>
      </c>
      <c r="AB16" s="193">
        <f t="shared" si="14"/>
        <v>47120</v>
      </c>
      <c r="AC16" s="119">
        <f>IF(OR(t&lt;Tnet,NoTnet),'2028'!Resal_s+('2028'!Salim-'2028'!Resal_s)*(1-EXP(('2028'!Tnet_s-t)/'2028'!Tau_j)),Resal_s+(Salim-Resal_s)*(1-EXP((Tnet_s-t)/Tau_j)))*Salcycl</f>
        <v>5.5376788241961281E-2</v>
      </c>
      <c r="AD16" s="227">
        <f>(INDEX(Models!$BJ16:$BT16,,AH16)*(1-AF16)+INDEX(Models!$BJ16:$BT16,,AH16+1)*AF16-ERP_i)*AE16*Ramure*Pc/MaxiM</f>
        <v>4.3523628896694417E-3</v>
      </c>
      <c r="AE16" s="301">
        <f t="shared" si="15"/>
        <v>0.5</v>
      </c>
      <c r="AF16" s="173">
        <f t="shared" ref="AF16:AF78" si="23">(Hp_vg_s-AG16)/(INDEX(Echel_vg,AH16+1)-AG16)</f>
        <v>0.48955909339926373</v>
      </c>
      <c r="AG16" s="801">
        <f t="shared" ref="AG16:AG79" si="24">INDEX(Echel_vg,AH16)</f>
        <v>3</v>
      </c>
      <c r="AH16" s="172">
        <f t="shared" si="16"/>
        <v>9</v>
      </c>
      <c r="AI16" s="221">
        <f t="shared" si="17"/>
        <v>3.4895590933992637</v>
      </c>
      <c r="AJ16" s="261" t="b">
        <f t="shared" si="18"/>
        <v>0</v>
      </c>
      <c r="AK16" s="261" t="b">
        <f t="shared" si="19"/>
        <v>1</v>
      </c>
      <c r="AL16" s="261"/>
      <c r="AM16" s="261"/>
      <c r="AN16" s="75"/>
    </row>
    <row r="17" spans="1:40" s="6" customFormat="1" ht="11.25" x14ac:dyDescent="0.2">
      <c r="A17" s="56">
        <f t="shared" si="20"/>
        <v>47121</v>
      </c>
      <c r="B17" s="406">
        <f>'2028'!Wh/'2028'!Env_an*'2029'!Env_an</f>
        <v>71.201610031830143</v>
      </c>
      <c r="C17" s="831"/>
      <c r="D17" s="388">
        <f t="shared" si="0"/>
        <v>73.879497137661645</v>
      </c>
      <c r="E17" s="380">
        <f t="shared" si="1"/>
        <v>75.785261442745764</v>
      </c>
      <c r="F17" s="380">
        <f t="shared" si="2"/>
        <v>76.000594313826284</v>
      </c>
      <c r="G17" s="110">
        <f t="shared" si="21"/>
        <v>0.75179696631769266</v>
      </c>
      <c r="H17" s="409" t="b">
        <f>Wh_hp&gt;='2028'!Maxi_hp</f>
        <v>0</v>
      </c>
      <c r="I17" s="385">
        <f>IF(H17,Wh_hp,'2028'!Maxi_hp)</f>
        <v>76.118546681586153</v>
      </c>
      <c r="J17" s="85">
        <f>IF(H17,An,'2028'!An_max)</f>
        <v>2022</v>
      </c>
      <c r="K17" s="193">
        <f t="shared" si="3"/>
        <v>47121</v>
      </c>
      <c r="L17" s="143">
        <f>IF(t&lt;Tvie,1-EXP((T0-t)*PertePVj)+'2028'!Pspv,1-EXP((T0-t)*PertePVj)+Pspv)</f>
        <v>3.6246688317893128E-2</v>
      </c>
      <c r="M17" s="835"/>
      <c r="N17" s="835"/>
      <c r="O17" s="48">
        <f>IF(t&lt;Tnet,'2028'!Resal+('2028'!Salim-'2028'!Resal)*(1-EXP(('2028'!Tnet-t)/('2028'!Tau_j))),Resal+(Salim-Resal)*(1-EXP((Tnet-t)/(Tau_j))))*Salcycl</f>
        <v>2.5146898866660088E-2</v>
      </c>
      <c r="P17" s="165">
        <f>(INDEX(Models!$BJ17:$BT17,,T17)*(1-R17)+INDEX(Models!$BJ17:$BT17,,T17+1)*R17-ERP_i)*Q17*Ramure*Pc/MaxiM</f>
        <v>4.3785258531599579E-3</v>
      </c>
      <c r="Q17" s="301">
        <f t="shared" si="4"/>
        <v>0.5</v>
      </c>
      <c r="R17" s="173">
        <f t="shared" si="5"/>
        <v>0.48958952999475347</v>
      </c>
      <c r="S17" s="801">
        <f t="shared" si="6"/>
        <v>3</v>
      </c>
      <c r="T17" s="172">
        <f t="shared" si="7"/>
        <v>9</v>
      </c>
      <c r="U17" s="247">
        <f t="shared" si="8"/>
        <v>3.4895895299947535</v>
      </c>
      <c r="V17" s="378">
        <f t="shared" si="9"/>
        <v>94.561801122963985</v>
      </c>
      <c r="W17" s="397">
        <f t="shared" si="10"/>
        <v>71.201610031830143</v>
      </c>
      <c r="X17" s="153">
        <f t="shared" si="11"/>
        <v>47121</v>
      </c>
      <c r="Y17" s="380">
        <f t="shared" si="12"/>
        <v>68.991849882446459</v>
      </c>
      <c r="Z17" s="380">
        <f t="shared" si="22"/>
        <v>71.586628078123127</v>
      </c>
      <c r="AA17" s="381">
        <f t="shared" si="13"/>
        <v>75.785261442745764</v>
      </c>
      <c r="AB17" s="193">
        <f t="shared" si="14"/>
        <v>47121</v>
      </c>
      <c r="AC17" s="119">
        <f>IF(OR(t&lt;Tnet,NoTnet),'2028'!Resal_s+('2028'!Salim-'2028'!Resal_s)*(1-EXP(('2028'!Tnet_s-t)/'2028'!Tau_j)),Resal_s+(Salim-Resal_s)*(1-EXP((Tnet_s-t)/Tau_j)))*Salcycl</f>
        <v>5.540171379885802E-2</v>
      </c>
      <c r="AD17" s="227">
        <f>(INDEX(Models!$BJ17:$BT17,,AH17)*(1-AF17)+INDEX(Models!$BJ17:$BT17,,AH17+1)*AF17-ERP_i)*AE17*Ramure*Pc/MaxiM</f>
        <v>4.3785258531599579E-3</v>
      </c>
      <c r="AE17" s="301">
        <f t="shared" si="15"/>
        <v>0.5</v>
      </c>
      <c r="AF17" s="173">
        <f>(Hp_vg_s-AG17)/(INDEX(Echel_vg,AH17+1)-AG17)</f>
        <v>0.48958952999475347</v>
      </c>
      <c r="AG17" s="801">
        <f>INDEX(Echel_vg,AH17)</f>
        <v>3</v>
      </c>
      <c r="AH17" s="172">
        <f t="shared" si="16"/>
        <v>9</v>
      </c>
      <c r="AI17" s="221">
        <f t="shared" si="17"/>
        <v>3.4895895299947535</v>
      </c>
      <c r="AJ17" s="261" t="b">
        <f t="shared" si="18"/>
        <v>0</v>
      </c>
      <c r="AK17" s="261" t="b">
        <f t="shared" si="19"/>
        <v>1</v>
      </c>
      <c r="AL17" s="261"/>
      <c r="AM17" s="261"/>
      <c r="AN17" s="75"/>
    </row>
    <row r="18" spans="1:40" s="6" customFormat="1" ht="11.25" x14ac:dyDescent="0.2">
      <c r="A18" s="56">
        <f t="shared" si="20"/>
        <v>47122</v>
      </c>
      <c r="B18" s="406">
        <f>'2028'!Wh/'2028'!Env_an*'2029'!Env_an</f>
        <v>76.464935039390326</v>
      </c>
      <c r="C18" s="831"/>
      <c r="D18" s="388">
        <f t="shared" si="0"/>
        <v>79.34186151952764</v>
      </c>
      <c r="E18" s="380">
        <f t="shared" si="1"/>
        <v>81.393475378648233</v>
      </c>
      <c r="F18" s="380">
        <f t="shared" si="2"/>
        <v>81.652357267489776</v>
      </c>
      <c r="G18" s="110">
        <f t="shared" si="21"/>
        <v>0.80225089365161484</v>
      </c>
      <c r="H18" s="409" t="b">
        <f>Wh_hp&gt;='2028'!Maxi_hp</f>
        <v>0</v>
      </c>
      <c r="I18" s="385">
        <f>IF(H18,Wh_hp,'2028'!Maxi_hp)</f>
        <v>81.754015578877613</v>
      </c>
      <c r="J18" s="85">
        <f>IF(H18,An,'2028'!An_max)</f>
        <v>2022</v>
      </c>
      <c r="K18" s="193">
        <f t="shared" si="3"/>
        <v>47122</v>
      </c>
      <c r="L18" s="143">
        <f>IF(t&lt;Tvie,1-EXP((T0-t)*PertePVj)+'2028'!Pspv,1-EXP((T0-t)*PertePVj)+Pspv)</f>
        <v>3.6259881291406892E-2</v>
      </c>
      <c r="M18" s="835"/>
      <c r="N18" s="835"/>
      <c r="O18" s="48">
        <f>IF(t&lt;Tnet,'2028'!Resal+('2028'!Salim-'2028'!Resal)*(1-EXP(('2028'!Tnet-t)/('2028'!Tau_j))),Resal+(Salim-Resal)*(1-EXP((Tnet-t)/(Tau_j))))*Salcycl</f>
        <v>2.5206121861443297E-2</v>
      </c>
      <c r="P18" s="165">
        <f>(INDEX(Models!$BJ18:$BT18,,T18)*(1-R18)+INDEX(Models!$BJ18:$BT18,,T18+1)*R18-ERP_i)*Q18*Ramure*Pc/MaxiM</f>
        <v>4.4100897784745781E-3</v>
      </c>
      <c r="Q18" s="301">
        <f t="shared" si="4"/>
        <v>0.5</v>
      </c>
      <c r="R18" s="173">
        <f t="shared" si="5"/>
        <v>0.48962123952604841</v>
      </c>
      <c r="S18" s="801">
        <f t="shared" si="6"/>
        <v>3</v>
      </c>
      <c r="T18" s="172">
        <f t="shared" si="7"/>
        <v>9</v>
      </c>
      <c r="U18" s="247">
        <f t="shared" si="8"/>
        <v>3.4896212395260484</v>
      </c>
      <c r="V18" s="378">
        <f t="shared" si="9"/>
        <v>95.194473348792883</v>
      </c>
      <c r="W18" s="397">
        <f t="shared" si="10"/>
        <v>76.464935039390326</v>
      </c>
      <c r="X18" s="153">
        <f t="shared" si="11"/>
        <v>47122</v>
      </c>
      <c r="Y18" s="380">
        <f t="shared" si="12"/>
        <v>74.094366158243815</v>
      </c>
      <c r="Z18" s="380">
        <f>Wh_sa_s*(1-Psa_s)</f>
        <v>76.882102052086296</v>
      </c>
      <c r="AA18" s="381">
        <f t="shared" si="13"/>
        <v>81.393475378648233</v>
      </c>
      <c r="AB18" s="193">
        <f>t</f>
        <v>47122</v>
      </c>
      <c r="AC18" s="119">
        <f>IF(OR(t&lt;Tnet,NoTnet),'2028'!Resal_s+('2028'!Salim-'2028'!Resal_s)*(1-EXP(('2028'!Tnet_s-t)/'2028'!Tau_j)),Resal_s+(Salim-Resal_s)*(1-EXP((Tnet_s-t)/Tau_j)))*Salcycl</f>
        <v>5.5426719470752513E-2</v>
      </c>
      <c r="AD18" s="227">
        <f>(INDEX(Models!$BJ18:$BT18,,AH18)*(1-AF18)+INDEX(Models!$BJ18:$BT18,,AH18+1)*AF18-ERP_i)*AE18*Ramure*Pc/MaxiM</f>
        <v>4.4100897784745781E-3</v>
      </c>
      <c r="AE18" s="301">
        <f t="shared" si="15"/>
        <v>0.5</v>
      </c>
      <c r="AF18" s="173">
        <f t="shared" si="23"/>
        <v>0.48962123952604841</v>
      </c>
      <c r="AG18" s="801">
        <f t="shared" si="24"/>
        <v>3</v>
      </c>
      <c r="AH18" s="172">
        <f t="shared" si="16"/>
        <v>9</v>
      </c>
      <c r="AI18" s="221">
        <f t="shared" si="17"/>
        <v>3.4896212395260484</v>
      </c>
      <c r="AJ18" s="261" t="b">
        <f t="shared" si="18"/>
        <v>0</v>
      </c>
      <c r="AK18" s="261" t="b">
        <f t="shared" si="19"/>
        <v>1</v>
      </c>
      <c r="AL18" s="261"/>
      <c r="AM18" s="261"/>
      <c r="AN18" s="75"/>
    </row>
    <row r="19" spans="1:40" s="6" customFormat="1" ht="11.25" x14ac:dyDescent="0.2">
      <c r="A19" s="56">
        <f t="shared" si="20"/>
        <v>47123</v>
      </c>
      <c r="B19" s="406">
        <f>'2028'!Wh/'2028'!Env_an*'2029'!Env_an</f>
        <v>57.493616050338481</v>
      </c>
      <c r="C19" s="831"/>
      <c r="D19" s="388">
        <f t="shared" si="0"/>
        <v>59.65757986445302</v>
      </c>
      <c r="E19" s="380">
        <f t="shared" si="1"/>
        <v>61.203916428919378</v>
      </c>
      <c r="F19" s="380">
        <f t="shared" si="2"/>
        <v>61.320700932920722</v>
      </c>
      <c r="G19" s="110">
        <f t="shared" si="21"/>
        <v>0.5982579109993772</v>
      </c>
      <c r="H19" s="409" t="b">
        <f>Wh_hp&gt;='2028'!Maxi_hp</f>
        <v>0</v>
      </c>
      <c r="I19" s="385">
        <f>IF(H19,Wh_hp,'2028'!Maxi_hp)</f>
        <v>61.477299806338095</v>
      </c>
      <c r="J19" s="85">
        <f>IF(H19,An,'2028'!An_max)</f>
        <v>2022</v>
      </c>
      <c r="K19" s="193">
        <f t="shared" si="3"/>
        <v>47123</v>
      </c>
      <c r="L19" s="143">
        <f>IF(t&lt;Tvie,1-EXP((T0-t)*PertePVj)+'2028'!Pspv,1-EXP((T0-t)*PertePVj)+Pspv)</f>
        <v>3.6273074084319901E-2</v>
      </c>
      <c r="M19" s="835"/>
      <c r="N19" s="835"/>
      <c r="O19" s="48">
        <f>IF(t&lt;Tnet,'2028'!Resal+('2028'!Salim-'2028'!Resal)*(1-EXP(('2028'!Tnet-t)/('2028'!Tau_j))),Resal+(Salim-Resal)*(1-EXP((Tnet-t)/(Tau_j))))*Salcycl</f>
        <v>2.5265320500563581E-2</v>
      </c>
      <c r="P19" s="165">
        <f>(INDEX(Models!$BJ19:$BT19,,T19)*(1-R19)+INDEX(Models!$BJ19:$BT19,,T19+1)*R19-ERP_i)*Q19*Ramure*Pc/MaxiM</f>
        <v>4.4469795659841382E-3</v>
      </c>
      <c r="Q19" s="301">
        <f t="shared" si="4"/>
        <v>0.5</v>
      </c>
      <c r="R19" s="173">
        <f t="shared" si="5"/>
        <v>0.48965427505861037</v>
      </c>
      <c r="S19" s="801">
        <f t="shared" si="6"/>
        <v>3</v>
      </c>
      <c r="T19" s="172">
        <f t="shared" si="7"/>
        <v>9</v>
      </c>
      <c r="U19" s="247">
        <f t="shared" si="8"/>
        <v>3.4896542750586104</v>
      </c>
      <c r="V19" s="378">
        <f t="shared" si="9"/>
        <v>95.856918906688747</v>
      </c>
      <c r="W19" s="397">
        <f t="shared" si="10"/>
        <v>57.493616050338481</v>
      </c>
      <c r="X19" s="153">
        <f t="shared" si="11"/>
        <v>47123</v>
      </c>
      <c r="Y19" s="380">
        <f t="shared" si="12"/>
        <v>55.71310124708446</v>
      </c>
      <c r="Z19" s="380">
        <f t="shared" si="22"/>
        <v>57.810049453738095</v>
      </c>
      <c r="AA19" s="381">
        <f t="shared" si="13"/>
        <v>61.203916428919378</v>
      </c>
      <c r="AB19" s="193">
        <f t="shared" si="14"/>
        <v>47123</v>
      </c>
      <c r="AC19" s="119">
        <f>IF(OR(t&lt;Tnet,NoTnet),'2028'!Resal_s+('2028'!Salim-'2028'!Resal_s)*(1-EXP(('2028'!Tnet_s-t)/'2028'!Tau_j)),Resal_s+(Salim-Resal_s)*(1-EXP((Tnet_s-t)/Tau_j)))*Salcycl</f>
        <v>5.5451794153121382E-2</v>
      </c>
      <c r="AD19" s="227">
        <f>(INDEX(Models!$BJ19:$BT19,,AH19)*(1-AF19)+INDEX(Models!$BJ19:$BT19,,AH19+1)*AF19-ERP_i)*AE19*Ramure*Pc/MaxiM</f>
        <v>4.4469795659841382E-3</v>
      </c>
      <c r="AE19" s="301">
        <f t="shared" si="15"/>
        <v>0.5</v>
      </c>
      <c r="AF19" s="173">
        <f t="shared" si="23"/>
        <v>0.48965427505861037</v>
      </c>
      <c r="AG19" s="801">
        <f t="shared" si="24"/>
        <v>3</v>
      </c>
      <c r="AH19" s="172">
        <f t="shared" si="16"/>
        <v>9</v>
      </c>
      <c r="AI19" s="221">
        <f t="shared" si="17"/>
        <v>3.4896542750586104</v>
      </c>
      <c r="AJ19" s="261" t="b">
        <f t="shared" si="18"/>
        <v>0</v>
      </c>
      <c r="AK19" s="261" t="b">
        <f t="shared" si="19"/>
        <v>1</v>
      </c>
      <c r="AL19" s="261"/>
      <c r="AM19" s="261"/>
      <c r="AN19" s="75"/>
    </row>
    <row r="20" spans="1:40" s="6" customFormat="1" ht="11.25" x14ac:dyDescent="0.2">
      <c r="A20" s="56">
        <f t="shared" si="20"/>
        <v>47124</v>
      </c>
      <c r="B20" s="406">
        <f>'2028'!Wh/'2028'!Env_an*'2029'!Env_an</f>
        <v>98.474591220990959</v>
      </c>
      <c r="C20" s="831"/>
      <c r="D20" s="388">
        <f t="shared" si="0"/>
        <v>102.18240937943796</v>
      </c>
      <c r="E20" s="380">
        <f t="shared" si="1"/>
        <v>104.8373621902382</v>
      </c>
      <c r="F20" s="380">
        <f t="shared" si="2"/>
        <v>105.31011151518358</v>
      </c>
      <c r="G20" s="110">
        <f t="shared" si="21"/>
        <v>1.0199616450883788</v>
      </c>
      <c r="H20" s="409" t="b">
        <f>Wh_hp&gt;='2028'!Maxi_hp</f>
        <v>1</v>
      </c>
      <c r="I20" s="385">
        <f>IF(H20,Wh_hp,'2028'!Maxi_hp)</f>
        <v>105.31011151518358</v>
      </c>
      <c r="J20" s="85">
        <f>IF(H20,An,'2028'!An_max)</f>
        <v>2029</v>
      </c>
      <c r="K20" s="193">
        <f t="shared" si="3"/>
        <v>47124</v>
      </c>
      <c r="L20" s="143">
        <f>IF(t&lt;Tvie,1-EXP((T0-t)*PertePVj)+'2028'!Pspv,1-EXP((T0-t)*PertePVj)+Pspv)</f>
        <v>3.6286266696634706E-2</v>
      </c>
      <c r="M20" s="835"/>
      <c r="N20" s="835"/>
      <c r="O20" s="48">
        <f>IF(t&lt;Tnet,'2028'!Resal+('2028'!Salim-'2028'!Resal)*(1-EXP(('2028'!Tnet-t)/('2028'!Tau_j))),Resal+(Salim-Resal)*(1-EXP((Tnet-t)/(Tau_j))))*Salcycl</f>
        <v>2.532449076677978E-2</v>
      </c>
      <c r="P20" s="165">
        <f>(INDEX(Models!$BJ20:$BT20,,T20)*(1-R20)+INDEX(Models!$BJ20:$BT20,,T20+1)*R20-ERP_i)*Q20*Ramure*Pc/MaxiM</f>
        <v>4.4891161745396454E-3</v>
      </c>
      <c r="Q20" s="301">
        <f t="shared" si="4"/>
        <v>0.5</v>
      </c>
      <c r="R20" s="173">
        <f t="shared" si="5"/>
        <v>0.48968869185536112</v>
      </c>
      <c r="S20" s="801">
        <f t="shared" si="6"/>
        <v>3</v>
      </c>
      <c r="T20" s="172">
        <f t="shared" si="7"/>
        <v>9</v>
      </c>
      <c r="U20" s="247">
        <f t="shared" si="8"/>
        <v>3.4896886918553611</v>
      </c>
      <c r="V20" s="378">
        <f t="shared" si="9"/>
        <v>96.547347339181769</v>
      </c>
      <c r="W20" s="397">
        <f t="shared" si="10"/>
        <v>98.474591220990959</v>
      </c>
      <c r="X20" s="153">
        <f t="shared" si="11"/>
        <v>47124</v>
      </c>
      <c r="Y20" s="380">
        <f t="shared" si="12"/>
        <v>95.428193793154051</v>
      </c>
      <c r="Z20" s="380">
        <f t="shared" si="22"/>
        <v>99.021307360693612</v>
      </c>
      <c r="AA20" s="381">
        <f t="shared" si="13"/>
        <v>104.8373621902382</v>
      </c>
      <c r="AB20" s="193">
        <f t="shared" si="14"/>
        <v>47124</v>
      </c>
      <c r="AC20" s="119">
        <f>IF(OR(t&lt;Tnet,NoTnet),'2028'!Resal_s+('2028'!Salim-'2028'!Resal_s)*(1-EXP(('2028'!Tnet_s-t)/'2028'!Tau_j)),Resal_s+(Salim-Resal_s)*(1-EXP((Tnet_s-t)/Tau_j)))*Salcycl</f>
        <v>5.5476928339638597E-2</v>
      </c>
      <c r="AD20" s="227">
        <f>(INDEX(Models!$BJ20:$BT20,,AH20)*(1-AF20)+INDEX(Models!$BJ20:$BT20,,AH20+1)*AF20-ERP_i)*AE20*Ramure*Pc/MaxiM</f>
        <v>4.4891161745396454E-3</v>
      </c>
      <c r="AE20" s="301">
        <f t="shared" si="15"/>
        <v>0.5</v>
      </c>
      <c r="AF20" s="173">
        <f t="shared" si="23"/>
        <v>0.48968869185536112</v>
      </c>
      <c r="AG20" s="801">
        <f t="shared" si="24"/>
        <v>3</v>
      </c>
      <c r="AH20" s="172">
        <f t="shared" si="16"/>
        <v>9</v>
      </c>
      <c r="AI20" s="221">
        <f t="shared" si="17"/>
        <v>3.4896886918553611</v>
      </c>
      <c r="AJ20" s="261" t="b">
        <f t="shared" si="18"/>
        <v>0</v>
      </c>
      <c r="AK20" s="261" t="b">
        <f t="shared" si="19"/>
        <v>1</v>
      </c>
      <c r="AL20" s="261"/>
      <c r="AM20" s="261"/>
      <c r="AN20" s="75"/>
    </row>
    <row r="21" spans="1:40" s="6" customFormat="1" ht="11.25" x14ac:dyDescent="0.2">
      <c r="A21" s="56">
        <f t="shared" si="20"/>
        <v>47125</v>
      </c>
      <c r="B21" s="406">
        <f>'2028'!Wh/'2028'!Env_an*'2029'!Env_an</f>
        <v>37.249727994600576</v>
      </c>
      <c r="C21" s="831"/>
      <c r="D21" s="388">
        <f t="shared" si="0"/>
        <v>38.652803868833573</v>
      </c>
      <c r="E21" s="380">
        <f t="shared" si="1"/>
        <v>39.659506069571997</v>
      </c>
      <c r="F21" s="380">
        <f t="shared" si="2"/>
        <v>39.6808437087005</v>
      </c>
      <c r="G21" s="110">
        <f t="shared" si="21"/>
        <v>0.38144338993239135</v>
      </c>
      <c r="H21" s="409" t="b">
        <f>Wh_hp&gt;='2028'!Maxi_hp</f>
        <v>0</v>
      </c>
      <c r="I21" s="385">
        <f>IF(H21,Wh_hp,'2028'!Maxi_hp)</f>
        <v>39.840230222025987</v>
      </c>
      <c r="J21" s="85">
        <f>IF(H21,An,'2028'!An_max)</f>
        <v>2022</v>
      </c>
      <c r="K21" s="193">
        <f t="shared" si="3"/>
        <v>47125</v>
      </c>
      <c r="L21" s="143">
        <f>IF(t&lt;Tvie,1-EXP((T0-t)*PertePVj)+'2028'!Pspv,1-EXP((T0-t)*PertePVj)+Pspv)</f>
        <v>3.6299459128353639E-2</v>
      </c>
      <c r="M21" s="835"/>
      <c r="N21" s="835"/>
      <c r="O21" s="48">
        <f>IF(t&lt;Tnet,'2028'!Resal+('2028'!Salim-'2028'!Resal)*(1-EXP(('2028'!Tnet-t)/('2028'!Tau_j))),Resal+(Salim-Resal)*(1-EXP((Tnet-t)/(Tau_j))))*Salcycl</f>
        <v>2.5383629311278653E-2</v>
      </c>
      <c r="P21" s="165">
        <f>(INDEX(Models!$BJ21:$BT21,,T21)*(1-R21)+INDEX(Models!$BJ21:$BT21,,T21+1)*R21-ERP_i)*Q21*Ramure*Pc/MaxiM</f>
        <v>4.5364177155377402E-3</v>
      </c>
      <c r="Q21" s="301">
        <f t="shared" si="4"/>
        <v>0.5</v>
      </c>
      <c r="R21" s="173">
        <f t="shared" si="5"/>
        <v>0.48972454746642402</v>
      </c>
      <c r="S21" s="801">
        <f t="shared" si="6"/>
        <v>3</v>
      </c>
      <c r="T21" s="172">
        <f t="shared" si="7"/>
        <v>9</v>
      </c>
      <c r="U21" s="247">
        <f t="shared" si="8"/>
        <v>3.489724547466424</v>
      </c>
      <c r="V21" s="378">
        <f t="shared" si="9"/>
        <v>97.263968550292546</v>
      </c>
      <c r="W21" s="397">
        <f t="shared" si="10"/>
        <v>37.249727994600576</v>
      </c>
      <c r="X21" s="153">
        <f t="shared" si="11"/>
        <v>47125</v>
      </c>
      <c r="Y21" s="380">
        <f t="shared" si="12"/>
        <v>36.098602897354915</v>
      </c>
      <c r="Z21" s="380">
        <f t="shared" si="22"/>
        <v>37.45831964014932</v>
      </c>
      <c r="AA21" s="381">
        <f t="shared" si="13"/>
        <v>39.659506069571997</v>
      </c>
      <c r="AB21" s="193">
        <f t="shared" si="14"/>
        <v>47125</v>
      </c>
      <c r="AC21" s="119">
        <f>IF(OR(t&lt;Tnet,NoTnet),'2028'!Resal_s+('2028'!Salim-'2028'!Resal_s)*(1-EXP(('2028'!Tnet_s-t)/'2028'!Tau_j)),Resal_s+(Salim-Resal_s)*(1-EXP((Tnet_s-t)/Tau_j)))*Salcycl</f>
        <v>5.550211405964775E-2</v>
      </c>
      <c r="AD21" s="227">
        <f>(INDEX(Models!$BJ21:$BT21,,AH21)*(1-AF21)+INDEX(Models!$BJ21:$BT21,,AH21+1)*AF21-ERP_i)*AE21*Ramure*Pc/MaxiM</f>
        <v>4.5364177155377402E-3</v>
      </c>
      <c r="AE21" s="301">
        <f t="shared" si="15"/>
        <v>0.5</v>
      </c>
      <c r="AF21" s="173">
        <f t="shared" si="23"/>
        <v>0.48972454746642402</v>
      </c>
      <c r="AG21" s="801">
        <f t="shared" si="24"/>
        <v>3</v>
      </c>
      <c r="AH21" s="172">
        <f t="shared" si="16"/>
        <v>9</v>
      </c>
      <c r="AI21" s="221">
        <f t="shared" si="17"/>
        <v>3.489724547466424</v>
      </c>
      <c r="AJ21" s="261" t="b">
        <f t="shared" si="18"/>
        <v>0</v>
      </c>
      <c r="AK21" s="261" t="b">
        <f t="shared" si="19"/>
        <v>1</v>
      </c>
      <c r="AL21" s="261"/>
      <c r="AM21" s="261"/>
      <c r="AN21" s="75"/>
    </row>
    <row r="22" spans="1:40" s="6" customFormat="1" ht="11.25" x14ac:dyDescent="0.2">
      <c r="A22" s="56">
        <f t="shared" si="20"/>
        <v>47126</v>
      </c>
      <c r="B22" s="406">
        <f>'2028'!Wh/'2028'!Env_an*'2029'!Env_an</f>
        <v>24.938411266896441</v>
      </c>
      <c r="C22" s="831"/>
      <c r="D22" s="388">
        <f t="shared" si="0"/>
        <v>25.878114206432993</v>
      </c>
      <c r="E22" s="380">
        <f t="shared" si="1"/>
        <v>26.553713254246379</v>
      </c>
      <c r="F22" s="380">
        <f t="shared" si="2"/>
        <v>26.553713254246379</v>
      </c>
      <c r="G22" s="110">
        <f t="shared" si="21"/>
        <v>0.25329295128403634</v>
      </c>
      <c r="H22" s="409" t="b">
        <f>Wh_hp&gt;='2028'!Maxi_hp</f>
        <v>0</v>
      </c>
      <c r="I22" s="385">
        <f>IF(H22,Wh_hp,'2028'!Maxi_hp)</f>
        <v>26.676117567913273</v>
      </c>
      <c r="J22" s="85">
        <f>IF(H22,An,'2028'!An_max)</f>
        <v>2022</v>
      </c>
      <c r="K22" s="193">
        <f t="shared" si="3"/>
        <v>47126</v>
      </c>
      <c r="L22" s="143">
        <f>IF(t&lt;Tvie,1-EXP((T0-t)*PertePVj)+'2028'!Pspv,1-EXP((T0-t)*PertePVj)+Pspv)</f>
        <v>3.6312651379479366E-2</v>
      </c>
      <c r="M22" s="835"/>
      <c r="N22" s="835"/>
      <c r="O22" s="48">
        <f>IF(t&lt;Tnet,'2028'!Resal+('2028'!Salim-'2028'!Resal)*(1-EXP(('2028'!Tnet-t)/('2028'!Tau_j))),Resal+(Salim-Resal)*(1-EXP((Tnet-t)/(Tau_j))))*Salcycl</f>
        <v>2.5442733426570618E-2</v>
      </c>
      <c r="P22" s="165">
        <f>(INDEX(Models!$BJ22:$BT22,,T22)*(1-R22)+INDEX(Models!$BJ22:$BT22,,T22+1)*R22-ERP_i)*Q22*Ramure*Pc/MaxiM</f>
        <v>4.5888005055056838E-3</v>
      </c>
      <c r="Q22" s="301">
        <f t="shared" si="4"/>
        <v>0.5</v>
      </c>
      <c r="R22" s="173">
        <f t="shared" si="5"/>
        <v>0.4897619018224213</v>
      </c>
      <c r="S22" s="801">
        <f t="shared" si="6"/>
        <v>3</v>
      </c>
      <c r="T22" s="172">
        <f t="shared" si="7"/>
        <v>9</v>
      </c>
      <c r="U22" s="247">
        <f t="shared" si="8"/>
        <v>3.4897619018224213</v>
      </c>
      <c r="V22" s="378">
        <f t="shared" si="9"/>
        <v>98.004992822841771</v>
      </c>
      <c r="W22" s="397">
        <f t="shared" si="10"/>
        <v>24.938411266896441</v>
      </c>
      <c r="X22" s="153">
        <f t="shared" si="11"/>
        <v>47126</v>
      </c>
      <c r="Y22" s="380">
        <f t="shared" si="12"/>
        <v>24.168561780288169</v>
      </c>
      <c r="Z22" s="380">
        <f t="shared" si="22"/>
        <v>25.079256062544026</v>
      </c>
      <c r="AA22" s="381">
        <f t="shared" si="13"/>
        <v>26.553713254246379</v>
      </c>
      <c r="AB22" s="193">
        <f t="shared" si="14"/>
        <v>47126</v>
      </c>
      <c r="AC22" s="119">
        <f>IF(OR(t&lt;Tnet,NoTnet),'2028'!Resal_s+('2028'!Salim-'2028'!Resal_s)*(1-EXP(('2028'!Tnet_s-t)/'2028'!Tau_j)),Resal_s+(Salim-Resal_s)*(1-EXP((Tnet_s-t)/Tau_j)))*Salcycl</f>
        <v>5.5527344804273758E-2</v>
      </c>
      <c r="AD22" s="227">
        <f>(INDEX(Models!$BJ22:$BT22,,AH22)*(1-AF22)+INDEX(Models!$BJ22:$BT22,,AH22+1)*AF22-ERP_i)*AE22*Ramure*Pc/MaxiM</f>
        <v>4.5888005055056838E-3</v>
      </c>
      <c r="AE22" s="301">
        <f t="shared" si="15"/>
        <v>0.5</v>
      </c>
      <c r="AF22" s="173">
        <f t="shared" si="23"/>
        <v>0.4897619018224213</v>
      </c>
      <c r="AG22" s="801">
        <f t="shared" si="24"/>
        <v>3</v>
      </c>
      <c r="AH22" s="172">
        <f t="shared" si="16"/>
        <v>9</v>
      </c>
      <c r="AI22" s="221">
        <f t="shared" si="17"/>
        <v>3.4897619018224213</v>
      </c>
      <c r="AJ22" s="261" t="b">
        <f t="shared" si="18"/>
        <v>0</v>
      </c>
      <c r="AK22" s="261" t="b">
        <f t="shared" si="19"/>
        <v>1</v>
      </c>
      <c r="AL22" s="261"/>
      <c r="AM22" s="261"/>
      <c r="AN22" s="75"/>
    </row>
    <row r="23" spans="1:40" s="6" customFormat="1" ht="11.25" x14ac:dyDescent="0.2">
      <c r="A23" s="56">
        <f t="shared" si="20"/>
        <v>47127</v>
      </c>
      <c r="B23" s="406">
        <f>'2028'!Wh/'2028'!Env_an*'2029'!Env_an</f>
        <v>7.7857861985155887</v>
      </c>
      <c r="C23" s="831"/>
      <c r="D23" s="388">
        <f t="shared" si="0"/>
        <v>8.0792725898027538</v>
      </c>
      <c r="E23" s="380">
        <f t="shared" si="1"/>
        <v>8.2907003811927495</v>
      </c>
      <c r="F23" s="380">
        <f t="shared" si="2"/>
        <v>8.2907003811927495</v>
      </c>
      <c r="G23" s="110">
        <f t="shared" si="21"/>
        <v>7.8454475805711701E-2</v>
      </c>
      <c r="H23" s="409" t="b">
        <f>Wh_hp&gt;='2028'!Maxi_hp</f>
        <v>0</v>
      </c>
      <c r="I23" s="385">
        <f>IF(H23,Wh_hp,'2028'!Maxi_hp)</f>
        <v>8.3293938096908722</v>
      </c>
      <c r="J23" s="85">
        <f>IF(H23,An,'2028'!An_max)</f>
        <v>2022</v>
      </c>
      <c r="K23" s="193">
        <f t="shared" si="3"/>
        <v>47127</v>
      </c>
      <c r="L23" s="143">
        <f>IF(t&lt;Tvie,1-EXP((T0-t)*PertePVj)+'2028'!Pspv,1-EXP((T0-t)*PertePVj)+Pspv)</f>
        <v>3.6325843450014217E-2</v>
      </c>
      <c r="M23" s="835"/>
      <c r="N23" s="835"/>
      <c r="O23" s="48">
        <f>IF(t&lt;Tnet,'2028'!Resal+('2028'!Salim-'2028'!Resal)*(1-EXP(('2028'!Tnet-t)/('2028'!Tau_j))),Resal+(Salim-Resal)*(1-EXP((Tnet-t)/(Tau_j))))*Salcycl</f>
        <v>2.5501801014256177E-2</v>
      </c>
      <c r="P23" s="165">
        <f>(INDEX(Models!$BJ23:$BT23,,T23)*(1-R23)+INDEX(Models!$BJ23:$BT23,,T23+1)*R23-ERP_i)*Q23*Ramure*Pc/MaxiM</f>
        <v>4.6457178991026402E-3</v>
      </c>
      <c r="Q23" s="301">
        <f t="shared" si="4"/>
        <v>0.5</v>
      </c>
      <c r="R23" s="173">
        <f t="shared" si="5"/>
        <v>0.48980081733145653</v>
      </c>
      <c r="S23" s="801">
        <f t="shared" si="6"/>
        <v>3</v>
      </c>
      <c r="T23" s="172">
        <f t="shared" si="7"/>
        <v>9</v>
      </c>
      <c r="U23" s="247">
        <f t="shared" si="8"/>
        <v>3.4898008173314565</v>
      </c>
      <c r="V23" s="378">
        <f t="shared" si="9"/>
        <v>98.778502470733031</v>
      </c>
      <c r="W23" s="397">
        <f t="shared" si="10"/>
        <v>7.7857861985155887</v>
      </c>
      <c r="X23" s="153">
        <f t="shared" si="11"/>
        <v>47127</v>
      </c>
      <c r="Y23" s="380">
        <f t="shared" si="12"/>
        <v>7.5456942040189787</v>
      </c>
      <c r="Z23" s="380">
        <f t="shared" si="22"/>
        <v>7.8301302911692057</v>
      </c>
      <c r="AA23" s="381">
        <f t="shared" si="13"/>
        <v>8.2907003811927495</v>
      </c>
      <c r="AB23" s="193">
        <f t="shared" si="14"/>
        <v>47127</v>
      </c>
      <c r="AC23" s="119">
        <f>IF(OR(t&lt;Tnet,NoTnet),'2028'!Resal_s+('2028'!Salim-'2028'!Resal_s)*(1-EXP(('2028'!Tnet_s-t)/'2028'!Tau_j)),Resal_s+(Salim-Resal_s)*(1-EXP((Tnet_s-t)/Tau_j)))*Salcycl</f>
        <v>5.5552615442277374E-2</v>
      </c>
      <c r="AD23" s="227">
        <f>(INDEX(Models!$BJ23:$BT23,,AH23)*(1-AF23)+INDEX(Models!$BJ23:$BT23,,AH23+1)*AF23-ERP_i)*AE23*Ramure*Pc/MaxiM</f>
        <v>4.6457178991026402E-3</v>
      </c>
      <c r="AE23" s="301">
        <f t="shared" si="15"/>
        <v>0.5</v>
      </c>
      <c r="AF23" s="173">
        <f t="shared" si="23"/>
        <v>0.48980081733145653</v>
      </c>
      <c r="AG23" s="801">
        <f t="shared" si="24"/>
        <v>3</v>
      </c>
      <c r="AH23" s="172">
        <f t="shared" si="16"/>
        <v>9</v>
      </c>
      <c r="AI23" s="221">
        <f t="shared" si="17"/>
        <v>3.4898008173314565</v>
      </c>
      <c r="AJ23" s="261" t="b">
        <f t="shared" si="18"/>
        <v>0</v>
      </c>
      <c r="AK23" s="261" t="b">
        <f t="shared" si="19"/>
        <v>1</v>
      </c>
      <c r="AL23" s="261"/>
      <c r="AM23" s="261"/>
      <c r="AN23" s="75"/>
    </row>
    <row r="24" spans="1:40" s="6" customFormat="1" ht="11.25" x14ac:dyDescent="0.2">
      <c r="A24" s="56">
        <f t="shared" si="20"/>
        <v>47128</v>
      </c>
      <c r="B24" s="406">
        <f>'2028'!Wh/'2028'!Env_an*'2029'!Env_an</f>
        <v>7.1571697647539017</v>
      </c>
      <c r="C24" s="831"/>
      <c r="D24" s="388">
        <f t="shared" si="0"/>
        <v>7.4270620344975891</v>
      </c>
      <c r="E24" s="380">
        <f t="shared" si="1"/>
        <v>7.6218837125312673</v>
      </c>
      <c r="F24" s="380">
        <f t="shared" si="2"/>
        <v>7.6218837125312673</v>
      </c>
      <c r="G24" s="110">
        <f t="shared" si="21"/>
        <v>7.1526524736656688E-2</v>
      </c>
      <c r="H24" s="409" t="b">
        <f>Wh_hp&gt;='2028'!Maxi_hp</f>
        <v>0</v>
      </c>
      <c r="I24" s="385">
        <f>IF(H24,Wh_hp,'2028'!Maxi_hp)</f>
        <v>7.65787086076881</v>
      </c>
      <c r="J24" s="85">
        <f>IF(H24,An,'2028'!An_max)</f>
        <v>2022</v>
      </c>
      <c r="K24" s="193">
        <f t="shared" si="3"/>
        <v>47128</v>
      </c>
      <c r="L24" s="143">
        <f>IF(t&lt;Tvie,1-EXP((T0-t)*PertePVj)+'2028'!Pspv,1-EXP((T0-t)*PertePVj)+Pspv)</f>
        <v>3.6339035339960635E-2</v>
      </c>
      <c r="M24" s="835"/>
      <c r="N24" s="835"/>
      <c r="O24" s="48">
        <f>IF(t&lt;Tnet,'2028'!Resal+('2028'!Salim-'2028'!Resal)*(1-EXP(('2028'!Tnet-t)/('2028'!Tau_j))),Resal+(Salim-Resal)*(1-EXP((Tnet-t)/(Tau_j))))*Salcycl</f>
        <v>2.556083054814505E-2</v>
      </c>
      <c r="P24" s="165">
        <f>(INDEX(Models!$BJ24:$BT24,,T24)*(1-R24)+INDEX(Models!$BJ24:$BT24,,T24+1)*R24-ERP_i)*Q24*Ramure*Pc/MaxiM</f>
        <v>4.6997242913804568E-3</v>
      </c>
      <c r="Q24" s="301">
        <f t="shared" si="4"/>
        <v>0.5</v>
      </c>
      <c r="R24" s="173">
        <f t="shared" si="5"/>
        <v>0.48984135897992598</v>
      </c>
      <c r="S24" s="801">
        <f t="shared" si="6"/>
        <v>3</v>
      </c>
      <c r="T24" s="172">
        <f t="shared" si="7"/>
        <v>9</v>
      </c>
      <c r="U24" s="247">
        <f t="shared" si="8"/>
        <v>3.489841358979926</v>
      </c>
      <c r="V24" s="378">
        <f t="shared" si="9"/>
        <v>99.592886224796658</v>
      </c>
      <c r="W24" s="397">
        <f t="shared" si="10"/>
        <v>7.1571697647539017</v>
      </c>
      <c r="X24" s="153">
        <f t="shared" si="11"/>
        <v>47128</v>
      </c>
      <c r="Y24" s="380">
        <f t="shared" si="12"/>
        <v>6.9366968742874366</v>
      </c>
      <c r="Z24" s="380">
        <f t="shared" si="22"/>
        <v>7.1982752530964733</v>
      </c>
      <c r="AA24" s="381">
        <f t="shared" si="13"/>
        <v>7.6218837125312673</v>
      </c>
      <c r="AB24" s="193">
        <f t="shared" si="14"/>
        <v>47128</v>
      </c>
      <c r="AC24" s="119">
        <f>IF(OR(t&lt;Tnet,NoTnet),'2028'!Resal_s+('2028'!Salim-'2028'!Resal_s)*(1-EXP(('2028'!Tnet_s-t)/'2028'!Tau_j)),Resal_s+(Salim-Resal_s)*(1-EXP((Tnet_s-t)/Tau_j)))*Salcycl</f>
        <v>5.5577922126826988E-2</v>
      </c>
      <c r="AD24" s="227">
        <f>(INDEX(Models!$BJ24:$BT24,,AH24)*(1-AF24)+INDEX(Models!$BJ24:$BT24,,AH24+1)*AF24-ERP_i)*AE24*Ramure*Pc/MaxiM</f>
        <v>4.6997242913804568E-3</v>
      </c>
      <c r="AE24" s="301">
        <f t="shared" si="15"/>
        <v>0.5</v>
      </c>
      <c r="AF24" s="173">
        <f t="shared" si="23"/>
        <v>0.48984135897992598</v>
      </c>
      <c r="AG24" s="801">
        <f t="shared" si="24"/>
        <v>3</v>
      </c>
      <c r="AH24" s="172">
        <f t="shared" si="16"/>
        <v>9</v>
      </c>
      <c r="AI24" s="221">
        <f t="shared" si="17"/>
        <v>3.489841358979926</v>
      </c>
      <c r="AJ24" s="261" t="b">
        <f t="shared" si="18"/>
        <v>0</v>
      </c>
      <c r="AK24" s="261" t="b">
        <f t="shared" si="19"/>
        <v>1</v>
      </c>
      <c r="AL24" s="261"/>
      <c r="AM24" s="261"/>
      <c r="AN24" s="75"/>
    </row>
    <row r="25" spans="1:40" s="6" customFormat="1" ht="11.25" x14ac:dyDescent="0.2">
      <c r="A25" s="56">
        <f t="shared" si="20"/>
        <v>47129</v>
      </c>
      <c r="B25" s="406">
        <f>'2028'!Wh/'2028'!Env_an*'2029'!Env_an</f>
        <v>95.952564217502555</v>
      </c>
      <c r="C25" s="831"/>
      <c r="D25" s="388">
        <f t="shared" si="0"/>
        <v>99.572236776614844</v>
      </c>
      <c r="E25" s="380">
        <f t="shared" si="1"/>
        <v>102.19033486724099</v>
      </c>
      <c r="F25" s="380">
        <f t="shared" si="2"/>
        <v>102.6464638884927</v>
      </c>
      <c r="G25" s="110">
        <f t="shared" si="21"/>
        <v>0.95497246972849092</v>
      </c>
      <c r="H25" s="409" t="b">
        <f>Wh_hp&gt;='2028'!Maxi_hp</f>
        <v>0</v>
      </c>
      <c r="I25" s="385">
        <f>IF(H25,Wh_hp,'2028'!Maxi_hp)</f>
        <v>102.67775078920764</v>
      </c>
      <c r="J25" s="85">
        <f>IF(H25,An,'2028'!An_max)</f>
        <v>2022</v>
      </c>
      <c r="K25" s="193">
        <f t="shared" si="3"/>
        <v>47129</v>
      </c>
      <c r="L25" s="143">
        <f>IF(t&lt;Tvie,1-EXP((T0-t)*PertePVj)+'2028'!Pspv,1-EXP((T0-t)*PertePVj)+Pspv)</f>
        <v>3.6352227049321284E-2</v>
      </c>
      <c r="M25" s="835"/>
      <c r="N25" s="835"/>
      <c r="O25" s="48">
        <f>IF(t&lt;Tnet,'2028'!Resal+('2028'!Salim-'2028'!Resal)*(1-EXP(('2028'!Tnet-t)/('2028'!Tau_j))),Resal+(Salim-Resal)*(1-EXP((Tnet-t)/(Tau_j))))*Salcycl</f>
        <v>2.5619821033245602E-2</v>
      </c>
      <c r="P25" s="165">
        <f>(INDEX(Models!$BJ25:$BT25,,T25)*(1-R25)+INDEX(Models!$BJ25:$BT25,,T25+1)*R25-ERP_i)*Q25*Ramure*Pc/MaxiM</f>
        <v>4.7470709975323769E-3</v>
      </c>
      <c r="Q25" s="301">
        <f t="shared" si="4"/>
        <v>0.5</v>
      </c>
      <c r="R25" s="173">
        <f t="shared" si="5"/>
        <v>0.48988359443729212</v>
      </c>
      <c r="S25" s="801">
        <f t="shared" si="6"/>
        <v>3</v>
      </c>
      <c r="T25" s="172">
        <f t="shared" si="7"/>
        <v>9</v>
      </c>
      <c r="U25" s="247">
        <f t="shared" si="8"/>
        <v>3.4898835944372921</v>
      </c>
      <c r="V25" s="378">
        <f t="shared" si="9"/>
        <v>100.4461668773852</v>
      </c>
      <c r="W25" s="397">
        <f t="shared" si="10"/>
        <v>95.952564217502555</v>
      </c>
      <c r="X25" s="153">
        <f t="shared" si="11"/>
        <v>47129</v>
      </c>
      <c r="Y25" s="380">
        <f t="shared" si="12"/>
        <v>92.999930198889601</v>
      </c>
      <c r="Z25" s="380">
        <f t="shared" si="22"/>
        <v>96.50821888388208</v>
      </c>
      <c r="AA25" s="381">
        <f t="shared" si="13"/>
        <v>102.19033486724099</v>
      </c>
      <c r="AB25" s="193">
        <f t="shared" si="14"/>
        <v>47129</v>
      </c>
      <c r="AC25" s="119">
        <f>IF(OR(t&lt;Tnet,NoTnet),'2028'!Resal_s+('2028'!Salim-'2028'!Resal_s)*(1-EXP(('2028'!Tnet_s-t)/'2028'!Tau_j)),Resal_s+(Salim-Resal_s)*(1-EXP((Tnet_s-t)/Tau_j)))*Salcycl</f>
        <v>5.5603262194421285E-2</v>
      </c>
      <c r="AD25" s="227">
        <f>(INDEX(Models!$BJ25:$BT25,,AH25)*(1-AF25)+INDEX(Models!$BJ25:$BT25,,AH25+1)*AF25-ERP_i)*AE25*Ramure*Pc/MaxiM</f>
        <v>4.7470709975323769E-3</v>
      </c>
      <c r="AE25" s="301">
        <f t="shared" si="15"/>
        <v>0.5</v>
      </c>
      <c r="AF25" s="173">
        <f t="shared" si="23"/>
        <v>0.48988359443729212</v>
      </c>
      <c r="AG25" s="801">
        <f t="shared" si="24"/>
        <v>3</v>
      </c>
      <c r="AH25" s="172">
        <f t="shared" si="16"/>
        <v>9</v>
      </c>
      <c r="AI25" s="221">
        <f t="shared" si="17"/>
        <v>3.4898835944372921</v>
      </c>
      <c r="AJ25" s="261" t="b">
        <f t="shared" si="18"/>
        <v>0</v>
      </c>
      <c r="AK25" s="261" t="b">
        <f t="shared" si="19"/>
        <v>1</v>
      </c>
      <c r="AL25" s="261"/>
      <c r="AM25" s="261"/>
      <c r="AN25" s="75"/>
    </row>
    <row r="26" spans="1:40" s="6" customFormat="1" ht="11.25" x14ac:dyDescent="0.2">
      <c r="A26" s="56">
        <f t="shared" si="20"/>
        <v>47130</v>
      </c>
      <c r="B26" s="406">
        <f>'2028'!Wh/'2028'!Env_an*'2029'!Env_an</f>
        <v>82.263986672414518</v>
      </c>
      <c r="C26" s="831"/>
      <c r="D26" s="388">
        <f t="shared" si="0"/>
        <v>85.368445942474366</v>
      </c>
      <c r="E26" s="380">
        <f t="shared" si="1"/>
        <v>87.618378298406824</v>
      </c>
      <c r="F26" s="380">
        <f t="shared" si="2"/>
        <v>87.926177572108486</v>
      </c>
      <c r="G26" s="110">
        <f t="shared" si="21"/>
        <v>0.81074575571384844</v>
      </c>
      <c r="H26" s="409" t="b">
        <f>Wh_hp&gt;='2028'!Maxi_hp</f>
        <v>0</v>
      </c>
      <c r="I26" s="385">
        <f>IF(H26,Wh_hp,'2028'!Maxi_hp)</f>
        <v>88.039900443053</v>
      </c>
      <c r="J26" s="85">
        <f>IF(H26,An,'2028'!An_max)</f>
        <v>2022</v>
      </c>
      <c r="K26" s="193">
        <f t="shared" si="3"/>
        <v>47130</v>
      </c>
      <c r="L26" s="143">
        <f>IF(t&lt;Tvie,1-EXP((T0-t)*PertePVj)+'2028'!Pspv,1-EXP((T0-t)*PertePVj)+Pspv)</f>
        <v>3.6365418578098385E-2</v>
      </c>
      <c r="M26" s="835"/>
      <c r="N26" s="835"/>
      <c r="O26" s="48">
        <f>IF(t&lt;Tnet,'2028'!Resal+('2028'!Salim-'2028'!Resal)*(1-EXP(('2028'!Tnet-t)/('2028'!Tau_j))),Resal+(Salim-Resal)*(1-EXP((Tnet-t)/(Tau_j))))*Salcycl</f>
        <v>2.567877196117168E-2</v>
      </c>
      <c r="P26" s="165">
        <f>(INDEX(Models!$BJ26:$BT26,,T26)*(1-R26)+INDEX(Models!$BJ26:$BT26,,T26+1)*R26-ERP_i)*Q26*Ramure*Pc/MaxiM</f>
        <v>4.7879747590618303E-3</v>
      </c>
      <c r="Q26" s="301">
        <f t="shared" si="4"/>
        <v>0.5</v>
      </c>
      <c r="R26" s="173">
        <f t="shared" si="5"/>
        <v>0.48992759416496323</v>
      </c>
      <c r="S26" s="801">
        <f t="shared" si="6"/>
        <v>3</v>
      </c>
      <c r="T26" s="172">
        <f t="shared" si="7"/>
        <v>9</v>
      </c>
      <c r="U26" s="247">
        <f t="shared" si="8"/>
        <v>3.4899275941649632</v>
      </c>
      <c r="V26" s="378">
        <f t="shared" si="9"/>
        <v>101.33597872427153</v>
      </c>
      <c r="W26" s="397">
        <f t="shared" si="10"/>
        <v>82.263986672414518</v>
      </c>
      <c r="X26" s="153">
        <f t="shared" si="11"/>
        <v>47130</v>
      </c>
      <c r="Y26" s="380">
        <f t="shared" si="12"/>
        <v>79.735256942004142</v>
      </c>
      <c r="Z26" s="380">
        <f t="shared" si="22"/>
        <v>82.744287595355814</v>
      </c>
      <c r="AA26" s="381">
        <f t="shared" si="13"/>
        <v>87.618378298406824</v>
      </c>
      <c r="AB26" s="193">
        <f t="shared" si="14"/>
        <v>47130</v>
      </c>
      <c r="AC26" s="119">
        <f>IF(OR(t&lt;Tnet,NoTnet),'2028'!Resal_s+('2028'!Salim-'2028'!Resal_s)*(1-EXP(('2028'!Tnet_s-t)/'2028'!Tau_j)),Resal_s+(Salim-Resal_s)*(1-EXP((Tnet_s-t)/Tau_j)))*Salcycl</f>
        <v>5.562863405724127E-2</v>
      </c>
      <c r="AD26" s="227">
        <f>(INDEX(Models!$BJ26:$BT26,,AH26)*(1-AF26)+INDEX(Models!$BJ26:$BT26,,AH26+1)*AF26-ERP_i)*AE26*Ramure*Pc/MaxiM</f>
        <v>4.7879747590618303E-3</v>
      </c>
      <c r="AE26" s="301">
        <f t="shared" si="15"/>
        <v>0.5</v>
      </c>
      <c r="AF26" s="173">
        <f t="shared" si="23"/>
        <v>0.48992759416496323</v>
      </c>
      <c r="AG26" s="801">
        <f t="shared" si="24"/>
        <v>3</v>
      </c>
      <c r="AH26" s="172">
        <f t="shared" si="16"/>
        <v>9</v>
      </c>
      <c r="AI26" s="221">
        <f t="shared" si="17"/>
        <v>3.4899275941649632</v>
      </c>
      <c r="AJ26" s="261" t="b">
        <f t="shared" si="18"/>
        <v>0</v>
      </c>
      <c r="AK26" s="261" t="b">
        <f t="shared" si="19"/>
        <v>1</v>
      </c>
      <c r="AL26" s="261"/>
      <c r="AM26" s="261"/>
      <c r="AN26" s="75"/>
    </row>
    <row r="27" spans="1:40" s="6" customFormat="1" ht="11.25" x14ac:dyDescent="0.2">
      <c r="A27" s="56">
        <f t="shared" si="20"/>
        <v>47131</v>
      </c>
      <c r="B27" s="406">
        <f>'2028'!Wh/'2028'!Env_an*'2029'!Env_an</f>
        <v>26.395864943903057</v>
      </c>
      <c r="C27" s="831"/>
      <c r="D27" s="388">
        <f t="shared" si="0"/>
        <v>27.392360958160229</v>
      </c>
      <c r="E27" s="380">
        <f t="shared" si="1"/>
        <v>28.116001704643335</v>
      </c>
      <c r="F27" s="380">
        <f t="shared" si="2"/>
        <v>28.116001704643335</v>
      </c>
      <c r="G27" s="110">
        <f t="shared" si="21"/>
        <v>0.25688028269808783</v>
      </c>
      <c r="H27" s="409" t="b">
        <f>Wh_hp&gt;='2028'!Maxi_hp</f>
        <v>0</v>
      </c>
      <c r="I27" s="385">
        <f>IF(H27,Wh_hp,'2028'!Maxi_hp)</f>
        <v>28.252238664990184</v>
      </c>
      <c r="J27" s="85">
        <f>IF(H27,An,'2028'!An_max)</f>
        <v>2022</v>
      </c>
      <c r="K27" s="193">
        <f t="shared" si="3"/>
        <v>47131</v>
      </c>
      <c r="L27" s="143">
        <f>IF(t&lt;Tvie,1-EXP((T0-t)*PertePVj)+'2028'!Pspv,1-EXP((T0-t)*PertePVj)+Pspv)</f>
        <v>3.6378609926294603E-2</v>
      </c>
      <c r="M27" s="835"/>
      <c r="N27" s="835"/>
      <c r="O27" s="48">
        <f>IF(t&lt;Tnet,'2028'!Resal+('2028'!Salim-'2028'!Resal)*(1-EXP(('2028'!Tnet-t)/('2028'!Tau_j))),Resal+(Salim-Resal)*(1-EXP((Tnet-t)/(Tau_j))))*Salcycl</f>
        <v>2.57376832625387E-2</v>
      </c>
      <c r="P27" s="165">
        <f>(INDEX(Models!$BJ27:$BT27,,T27)*(1-R27)+INDEX(Models!$BJ27:$BT27,,T27+1)*R27-ERP_i)*Q27*Ramure*Pc/MaxiM</f>
        <v>4.8226628300530542E-3</v>
      </c>
      <c r="Q27" s="301">
        <f t="shared" si="4"/>
        <v>0.5</v>
      </c>
      <c r="R27" s="173">
        <f t="shared" si="5"/>
        <v>0.48997343152943218</v>
      </c>
      <c r="S27" s="801">
        <f t="shared" si="6"/>
        <v>3</v>
      </c>
      <c r="T27" s="172">
        <f t="shared" si="7"/>
        <v>9</v>
      </c>
      <c r="U27" s="247">
        <f t="shared" si="8"/>
        <v>3.4899734315294322</v>
      </c>
      <c r="V27" s="378">
        <f t="shared" si="9"/>
        <v>102.25995670537519</v>
      </c>
      <c r="W27" s="397">
        <f t="shared" si="10"/>
        <v>26.395864943903057</v>
      </c>
      <c r="X27" s="153">
        <f t="shared" si="11"/>
        <v>47131</v>
      </c>
      <c r="Y27" s="380">
        <f t="shared" si="12"/>
        <v>25.585335765381082</v>
      </c>
      <c r="Z27" s="380">
        <f t="shared" si="22"/>
        <v>26.55123270294375</v>
      </c>
      <c r="AA27" s="381">
        <f t="shared" si="13"/>
        <v>28.116001704643335</v>
      </c>
      <c r="AB27" s="193">
        <f t="shared" si="14"/>
        <v>47131</v>
      </c>
      <c r="AC27" s="119">
        <f>IF(OR(t&lt;Tnet,NoTnet),'2028'!Resal_s+('2028'!Salim-'2028'!Resal_s)*(1-EXP(('2028'!Tnet_s-t)/'2028'!Tau_j)),Resal_s+(Salim-Resal_s)*(1-EXP((Tnet_s-t)/Tau_j)))*Salcycl</f>
        <v>5.5654037090243968E-2</v>
      </c>
      <c r="AD27" s="227">
        <f>(INDEX(Models!$BJ27:$BT27,,AH27)*(1-AF27)+INDEX(Models!$BJ27:$BT27,,AH27+1)*AF27-ERP_i)*AE27*Ramure*Pc/MaxiM</f>
        <v>4.8226628300530542E-3</v>
      </c>
      <c r="AE27" s="301">
        <f t="shared" si="15"/>
        <v>0.5</v>
      </c>
      <c r="AF27" s="173">
        <f t="shared" si="23"/>
        <v>0.48997343152943218</v>
      </c>
      <c r="AG27" s="801">
        <f t="shared" si="24"/>
        <v>3</v>
      </c>
      <c r="AH27" s="172">
        <f t="shared" si="16"/>
        <v>9</v>
      </c>
      <c r="AI27" s="221">
        <f t="shared" si="17"/>
        <v>3.4899734315294322</v>
      </c>
      <c r="AJ27" s="261" t="b">
        <f t="shared" si="18"/>
        <v>0</v>
      </c>
      <c r="AK27" s="261" t="b">
        <f t="shared" si="19"/>
        <v>1</v>
      </c>
      <c r="AL27" s="261"/>
      <c r="AM27" s="261"/>
      <c r="AN27" s="75"/>
    </row>
    <row r="28" spans="1:40" s="6" customFormat="1" ht="11.25" x14ac:dyDescent="0.2">
      <c r="A28" s="56">
        <f t="shared" si="20"/>
        <v>47132</v>
      </c>
      <c r="B28" s="406">
        <f>'2028'!Wh/'2028'!Env_an*'2029'!Env_an</f>
        <v>105.26723268338439</v>
      </c>
      <c r="C28" s="831"/>
      <c r="D28" s="388">
        <f t="shared" si="0"/>
        <v>109.24277398520105</v>
      </c>
      <c r="E28" s="380">
        <f t="shared" si="1"/>
        <v>112.13548317314049</v>
      </c>
      <c r="F28" s="380">
        <f t="shared" si="2"/>
        <v>112.68214599647808</v>
      </c>
      <c r="G28" s="110">
        <f t="shared" si="21"/>
        <v>1.0198758094816889</v>
      </c>
      <c r="H28" s="409" t="b">
        <f>Wh_hp&gt;='2028'!Maxi_hp</f>
        <v>1</v>
      </c>
      <c r="I28" s="385">
        <f>IF(H28,Wh_hp,'2028'!Maxi_hp)</f>
        <v>112.68214599647808</v>
      </c>
      <c r="J28" s="85">
        <f>IF(H28,An,'2028'!An_max)</f>
        <v>2029</v>
      </c>
      <c r="K28" s="193">
        <f t="shared" si="3"/>
        <v>47132</v>
      </c>
      <c r="L28" s="143">
        <f>IF(t&lt;Tvie,1-EXP((T0-t)*PertePVj)+'2028'!Pspv,1-EXP((T0-t)*PertePVj)+Pspv)</f>
        <v>3.6391801093912379E-2</v>
      </c>
      <c r="M28" s="835"/>
      <c r="N28" s="835"/>
      <c r="O28" s="48">
        <f>IF(t&lt;Tnet,'2028'!Resal+('2028'!Salim-'2028'!Resal)*(1-EXP(('2028'!Tnet-t)/('2028'!Tau_j))),Resal+(Salim-Resal)*(1-EXP((Tnet-t)/(Tau_j))))*Salcycl</f>
        <v>2.5796555256938608E-2</v>
      </c>
      <c r="P28" s="165">
        <f>(INDEX(Models!$BJ28:$BT28,,T28)*(1-R28)+INDEX(Models!$BJ28:$BT28,,T28+1)*R28-ERP_i)*Q28*Ramure*Pc/MaxiM</f>
        <v>4.8513703613230876E-3</v>
      </c>
      <c r="Q28" s="301">
        <f t="shared" si="4"/>
        <v>0.5</v>
      </c>
      <c r="R28" s="173">
        <f t="shared" si="5"/>
        <v>0.49002118291982155</v>
      </c>
      <c r="S28" s="801">
        <f t="shared" si="6"/>
        <v>3</v>
      </c>
      <c r="T28" s="172">
        <f t="shared" si="7"/>
        <v>9</v>
      </c>
      <c r="U28" s="247">
        <f t="shared" si="8"/>
        <v>3.4900211829198216</v>
      </c>
      <c r="V28" s="378">
        <f t="shared" si="9"/>
        <v>103.21573637174734</v>
      </c>
      <c r="W28" s="397">
        <f t="shared" si="10"/>
        <v>105.26723268338439</v>
      </c>
      <c r="X28" s="153">
        <f t="shared" si="11"/>
        <v>47132</v>
      </c>
      <c r="Y28" s="380">
        <f t="shared" si="12"/>
        <v>102.03824399945049</v>
      </c>
      <c r="Z28" s="380">
        <f t="shared" si="22"/>
        <v>105.89183873205612</v>
      </c>
      <c r="AA28" s="381">
        <f t="shared" si="13"/>
        <v>112.13548317314049</v>
      </c>
      <c r="AB28" s="193">
        <f t="shared" si="14"/>
        <v>47132</v>
      </c>
      <c r="AC28" s="119">
        <f>IF(OR(t&lt;Tnet,NoTnet),'2028'!Resal_s+('2028'!Salim-'2028'!Resal_s)*(1-EXP(('2028'!Tnet_s-t)/'2028'!Tau_j)),Resal_s+(Salim-Resal_s)*(1-EXP((Tnet_s-t)/Tau_j)))*Salcycl</f>
        <v>5.5679471514328768E-2</v>
      </c>
      <c r="AD28" s="227">
        <f>(INDEX(Models!$BJ28:$BT28,,AH28)*(1-AF28)+INDEX(Models!$BJ28:$BT28,,AH28+1)*AF28-ERP_i)*AE28*Ramure*Pc/MaxiM</f>
        <v>4.8513703613230876E-3</v>
      </c>
      <c r="AE28" s="301">
        <f t="shared" si="15"/>
        <v>0.5</v>
      </c>
      <c r="AF28" s="173">
        <f t="shared" si="23"/>
        <v>0.49002118291982155</v>
      </c>
      <c r="AG28" s="801">
        <f t="shared" si="24"/>
        <v>3</v>
      </c>
      <c r="AH28" s="172">
        <f t="shared" si="16"/>
        <v>9</v>
      </c>
      <c r="AI28" s="221">
        <f t="shared" si="17"/>
        <v>3.4900211829198216</v>
      </c>
      <c r="AJ28" s="261" t="b">
        <f t="shared" si="18"/>
        <v>0</v>
      </c>
      <c r="AK28" s="261" t="b">
        <f t="shared" si="19"/>
        <v>1</v>
      </c>
      <c r="AL28" s="261"/>
      <c r="AM28" s="261"/>
      <c r="AN28" s="75"/>
    </row>
    <row r="29" spans="1:40" s="6" customFormat="1" ht="11.25" x14ac:dyDescent="0.2">
      <c r="A29" s="56">
        <f t="shared" si="20"/>
        <v>47133</v>
      </c>
      <c r="B29" s="406">
        <f>'2028'!Wh/'2028'!Env_an*'2029'!Env_an</f>
        <v>106.8771152811004</v>
      </c>
      <c r="C29" s="831"/>
      <c r="D29" s="388">
        <f t="shared" si="0"/>
        <v>110.91497403240949</v>
      </c>
      <c r="E29" s="380">
        <f t="shared" si="1"/>
        <v>113.85883854875702</v>
      </c>
      <c r="F29" s="380">
        <f t="shared" si="2"/>
        <v>114.41654344925561</v>
      </c>
      <c r="G29" s="110">
        <f t="shared" si="21"/>
        <v>1.025682695128749</v>
      </c>
      <c r="H29" s="409" t="b">
        <f>Wh_hp&gt;='2028'!Maxi_hp</f>
        <v>1</v>
      </c>
      <c r="I29" s="385">
        <f>IF(H29,Wh_hp,'2028'!Maxi_hp)</f>
        <v>114.41654344925561</v>
      </c>
      <c r="J29" s="85">
        <f>IF(H29,An,'2028'!An_max)</f>
        <v>2029</v>
      </c>
      <c r="K29" s="193">
        <f t="shared" si="3"/>
        <v>47133</v>
      </c>
      <c r="L29" s="143">
        <f>IF(t&lt;Tvie,1-EXP((T0-t)*PertePVj)+'2028'!Pspv,1-EXP((T0-t)*PertePVj)+Pspv)</f>
        <v>3.6404992080954046E-2</v>
      </c>
      <c r="M29" s="835"/>
      <c r="N29" s="835"/>
      <c r="O29" s="48">
        <f>IF(t&lt;Tnet,'2028'!Resal+('2028'!Salim-'2028'!Resal)*(1-EXP(('2028'!Tnet-t)/('2028'!Tau_j))),Resal+(Salim-Resal)*(1-EXP((Tnet-t)/(Tau_j))))*Salcycl</f>
        <v>2.5855388601095756E-2</v>
      </c>
      <c r="P29" s="165">
        <f>(INDEX(Models!$BJ29:$BT29,,T29)*(1-R29)+INDEX(Models!$BJ29:$BT29,,T29+1)*R29-ERP_i)*Q29*Ramure*Pc/MaxiM</f>
        <v>4.8743379557340217E-3</v>
      </c>
      <c r="Q29" s="301">
        <f t="shared" si="4"/>
        <v>0.5</v>
      </c>
      <c r="R29" s="173">
        <f t="shared" si="5"/>
        <v>0.49007092786999396</v>
      </c>
      <c r="S29" s="801">
        <f t="shared" si="6"/>
        <v>3</v>
      </c>
      <c r="T29" s="172">
        <f t="shared" si="7"/>
        <v>9</v>
      </c>
      <c r="U29" s="247">
        <f t="shared" si="8"/>
        <v>3.490070927869994</v>
      </c>
      <c r="V29" s="378">
        <f t="shared" si="9"/>
        <v>104.20095394871085</v>
      </c>
      <c r="W29" s="397">
        <f t="shared" si="10"/>
        <v>106.8771152811004</v>
      </c>
      <c r="X29" s="153">
        <f t="shared" si="11"/>
        <v>47133</v>
      </c>
      <c r="Y29" s="380">
        <f t="shared" si="12"/>
        <v>103.60220750615507</v>
      </c>
      <c r="Z29" s="380">
        <f t="shared" si="22"/>
        <v>107.51633897511739</v>
      </c>
      <c r="AA29" s="381">
        <f t="shared" si="13"/>
        <v>113.85883854875702</v>
      </c>
      <c r="AB29" s="193">
        <f t="shared" si="14"/>
        <v>47133</v>
      </c>
      <c r="AC29" s="119">
        <f>IF(OR(t&lt;Tnet,NoTnet),'2028'!Resal_s+('2028'!Salim-'2028'!Resal_s)*(1-EXP(('2028'!Tnet_s-t)/'2028'!Tau_j)),Resal_s+(Salim-Resal_s)*(1-EXP((Tnet_s-t)/Tau_j)))*Salcycl</f>
        <v>5.5704938276914022E-2</v>
      </c>
      <c r="AD29" s="227">
        <f>(INDEX(Models!$BJ29:$BT29,,AH29)*(1-AF29)+INDEX(Models!$BJ29:$BT29,,AH29+1)*AF29-ERP_i)*AE29*Ramure*Pc/MaxiM</f>
        <v>4.8743379557340217E-3</v>
      </c>
      <c r="AE29" s="301">
        <f t="shared" si="15"/>
        <v>0.5</v>
      </c>
      <c r="AF29" s="173">
        <f t="shared" si="23"/>
        <v>0.49007092786999396</v>
      </c>
      <c r="AG29" s="801">
        <f t="shared" si="24"/>
        <v>3</v>
      </c>
      <c r="AH29" s="172">
        <f t="shared" si="16"/>
        <v>9</v>
      </c>
      <c r="AI29" s="221">
        <f t="shared" si="17"/>
        <v>3.490070927869994</v>
      </c>
      <c r="AJ29" s="261" t="b">
        <f t="shared" si="18"/>
        <v>0</v>
      </c>
      <c r="AK29" s="261" t="b">
        <f t="shared" si="19"/>
        <v>1</v>
      </c>
      <c r="AL29" s="261"/>
      <c r="AM29" s="261"/>
      <c r="AN29" s="75"/>
    </row>
    <row r="30" spans="1:40" s="6" customFormat="1" ht="11.25" x14ac:dyDescent="0.2">
      <c r="A30" s="56">
        <f t="shared" si="20"/>
        <v>47134</v>
      </c>
      <c r="B30" s="406">
        <f>'2028'!Wh/'2028'!Env_an*'2029'!Env_an</f>
        <v>106.28642715812741</v>
      </c>
      <c r="C30" s="831"/>
      <c r="D30" s="388">
        <f t="shared" si="0"/>
        <v>110.30347944569994</v>
      </c>
      <c r="E30" s="380">
        <f t="shared" si="1"/>
        <v>113.23794850576365</v>
      </c>
      <c r="F30" s="380">
        <f t="shared" si="2"/>
        <v>113.79391184138983</v>
      </c>
      <c r="G30" s="110">
        <f t="shared" si="21"/>
        <v>1.0101938567944702</v>
      </c>
      <c r="H30" s="409" t="b">
        <f>Wh_hp&gt;='2028'!Maxi_hp</f>
        <v>1</v>
      </c>
      <c r="I30" s="385">
        <f>IF(H30,Wh_hp,'2028'!Maxi_hp)</f>
        <v>113.79391184138983</v>
      </c>
      <c r="J30" s="85">
        <f>IF(H30,An,'2028'!An_max)</f>
        <v>2029</v>
      </c>
      <c r="K30" s="193">
        <f t="shared" si="3"/>
        <v>47134</v>
      </c>
      <c r="L30" s="143">
        <f>IF(t&lt;Tvie,1-EXP((T0-t)*PertePVj)+'2028'!Pspv,1-EXP((T0-t)*PertePVj)+Pspv)</f>
        <v>3.6418182887422268E-2</v>
      </c>
      <c r="M30" s="835"/>
      <c r="N30" s="835"/>
      <c r="O30" s="48">
        <f>IF(t&lt;Tnet,'2028'!Resal+('2028'!Salim-'2028'!Resal)*(1-EXP(('2028'!Tnet-t)/('2028'!Tau_j))),Resal+(Salim-Resal)*(1-EXP((Tnet-t)/(Tau_j))))*Salcycl</f>
        <v>2.5914184235811662E-2</v>
      </c>
      <c r="P30" s="165">
        <f>(INDEX(Models!$BJ30:$BT30,,T30)*(1-R30)+INDEX(Models!$BJ30:$BT30,,T30+1)*R30-ERP_i)*Q30*Ramure*Pc/MaxiM</f>
        <v>4.8857036956520142E-3</v>
      </c>
      <c r="Q30" s="301">
        <f t="shared" si="4"/>
        <v>0.5</v>
      </c>
      <c r="R30" s="173">
        <f t="shared" si="5"/>
        <v>0.49012274918538745</v>
      </c>
      <c r="S30" s="801">
        <f t="shared" si="6"/>
        <v>3</v>
      </c>
      <c r="T30" s="172">
        <f t="shared" si="7"/>
        <v>9</v>
      </c>
      <c r="U30" s="247">
        <f t="shared" si="8"/>
        <v>3.4901227491853875</v>
      </c>
      <c r="V30" s="378">
        <f t="shared" si="9"/>
        <v>105.21389181220492</v>
      </c>
      <c r="W30" s="397">
        <f t="shared" si="10"/>
        <v>106.28642715812741</v>
      </c>
      <c r="X30" s="153">
        <f t="shared" si="11"/>
        <v>47134</v>
      </c>
      <c r="Y30" s="380">
        <f t="shared" si="12"/>
        <v>103.03305550284956</v>
      </c>
      <c r="Z30" s="380">
        <f t="shared" si="22"/>
        <v>106.92714793186259</v>
      </c>
      <c r="AA30" s="381">
        <f t="shared" si="13"/>
        <v>113.23794850576365</v>
      </c>
      <c r="AB30" s="193">
        <f t="shared" si="14"/>
        <v>47134</v>
      </c>
      <c r="AC30" s="119">
        <f>IF(OR(t&lt;Tnet,NoTnet),'2028'!Resal_s+('2028'!Salim-'2028'!Resal_s)*(1-EXP(('2028'!Tnet_s-t)/'2028'!Tau_j)),Resal_s+(Salim-Resal_s)*(1-EXP((Tnet_s-t)/Tau_j)))*Salcycl</f>
        <v>5.5730438931255025E-2</v>
      </c>
      <c r="AD30" s="227">
        <f>(INDEX(Models!$BJ30:$BT30,,AH30)*(1-AF30)+INDEX(Models!$BJ30:$BT30,,AH30+1)*AF30-ERP_i)*AE30*Ramure*Pc/MaxiM</f>
        <v>4.8857036956520142E-3</v>
      </c>
      <c r="AE30" s="301">
        <f t="shared" si="15"/>
        <v>0.5</v>
      </c>
      <c r="AF30" s="173">
        <f t="shared" si="23"/>
        <v>0.49012274918538745</v>
      </c>
      <c r="AG30" s="801">
        <f t="shared" si="24"/>
        <v>3</v>
      </c>
      <c r="AH30" s="172">
        <f t="shared" si="16"/>
        <v>9</v>
      </c>
      <c r="AI30" s="221">
        <f t="shared" si="17"/>
        <v>3.4901227491853875</v>
      </c>
      <c r="AJ30" s="261" t="b">
        <f t="shared" si="18"/>
        <v>0</v>
      </c>
      <c r="AK30" s="261" t="b">
        <f t="shared" si="19"/>
        <v>1</v>
      </c>
      <c r="AL30" s="261"/>
      <c r="AM30" s="261"/>
      <c r="AN30" s="75"/>
    </row>
    <row r="31" spans="1:40" s="6" customFormat="1" ht="11.25" x14ac:dyDescent="0.2">
      <c r="A31" s="56">
        <f t="shared" si="20"/>
        <v>47135</v>
      </c>
      <c r="B31" s="406">
        <f>'2028'!Wh/'2028'!Env_an*'2029'!Env_an</f>
        <v>83.463290348380866</v>
      </c>
      <c r="C31" s="831"/>
      <c r="D31" s="388">
        <f t="shared" si="0"/>
        <v>86.618937202948231</v>
      </c>
      <c r="E31" s="380">
        <f t="shared" si="1"/>
        <v>88.928676683054192</v>
      </c>
      <c r="F31" s="380">
        <f t="shared" si="2"/>
        <v>89.230898185709933</v>
      </c>
      <c r="G31" s="110">
        <f t="shared" si="21"/>
        <v>0.78433923524572646</v>
      </c>
      <c r="H31" s="409" t="b">
        <f>Wh_hp&gt;='2028'!Maxi_hp</f>
        <v>0</v>
      </c>
      <c r="I31" s="385">
        <f>IF(H31,Wh_hp,'2028'!Maxi_hp)</f>
        <v>89.36504341458523</v>
      </c>
      <c r="J31" s="85">
        <f>IF(H31,An,'2028'!An_max)</f>
        <v>2022</v>
      </c>
      <c r="K31" s="193">
        <f t="shared" si="3"/>
        <v>47135</v>
      </c>
      <c r="L31" s="143">
        <f>IF(t&lt;Tvie,1-EXP((T0-t)*PertePVj)+'2028'!Pspv,1-EXP((T0-t)*PertePVj)+Pspv)</f>
        <v>3.6431373513319376E-2</v>
      </c>
      <c r="M31" s="835"/>
      <c r="N31" s="835"/>
      <c r="O31" s="48">
        <f>IF(t&lt;Tnet,'2028'!Resal+('2028'!Salim-'2028'!Resal)*(1-EXP(('2028'!Tnet-t)/('2028'!Tau_j))),Resal+(Salim-Resal)*(1-EXP((Tnet-t)/(Tau_j))))*Salcycl</f>
        <v>2.5972943332306403E-2</v>
      </c>
      <c r="P31" s="165">
        <f>(INDEX(Models!$BJ31:$BT31,,T31)*(1-R31)+INDEX(Models!$BJ31:$BT31,,T31+1)*R31-ERP_i)*Q31*Ramure*Pc/MaxiM</f>
        <v>4.8831753840452054E-3</v>
      </c>
      <c r="Q31" s="301">
        <f t="shared" si="4"/>
        <v>0.5</v>
      </c>
      <c r="R31" s="173">
        <f t="shared" si="5"/>
        <v>0.4901767330747413</v>
      </c>
      <c r="S31" s="801">
        <f t="shared" si="6"/>
        <v>3</v>
      </c>
      <c r="T31" s="172">
        <f t="shared" si="7"/>
        <v>9</v>
      </c>
      <c r="U31" s="247">
        <f t="shared" si="8"/>
        <v>3.4901767330747413</v>
      </c>
      <c r="V31" s="378">
        <f t="shared" si="9"/>
        <v>106.25247745505081</v>
      </c>
      <c r="W31" s="397">
        <f t="shared" si="10"/>
        <v>83.463290348380866</v>
      </c>
      <c r="X31" s="153">
        <f t="shared" si="11"/>
        <v>47135</v>
      </c>
      <c r="Y31" s="380">
        <f t="shared" si="12"/>
        <v>80.911215592786718</v>
      </c>
      <c r="Z31" s="380">
        <f t="shared" si="22"/>
        <v>83.970371563260059</v>
      </c>
      <c r="AA31" s="381">
        <f t="shared" si="13"/>
        <v>88.928676683054192</v>
      </c>
      <c r="AB31" s="193">
        <f t="shared" si="14"/>
        <v>47135</v>
      </c>
      <c r="AC31" s="119">
        <f>IF(OR(t&lt;Tnet,NoTnet),'2028'!Resal_s+('2028'!Salim-'2028'!Resal_s)*(1-EXP(('2028'!Tnet_s-t)/'2028'!Tau_j)),Resal_s+(Salim-Resal_s)*(1-EXP((Tnet_s-t)/Tau_j)))*Salcycl</f>
        <v>5.5755975515814307E-2</v>
      </c>
      <c r="AD31" s="227">
        <f>(INDEX(Models!$BJ31:$BT31,,AH31)*(1-AF31)+INDEX(Models!$BJ31:$BT31,,AH31+1)*AF31-ERP_i)*AE31*Ramure*Pc/MaxiM</f>
        <v>4.8831753840452054E-3</v>
      </c>
      <c r="AE31" s="301">
        <f t="shared" si="15"/>
        <v>0.5</v>
      </c>
      <c r="AF31" s="173">
        <f t="shared" si="23"/>
        <v>0.4901767330747413</v>
      </c>
      <c r="AG31" s="801">
        <f t="shared" si="24"/>
        <v>3</v>
      </c>
      <c r="AH31" s="172">
        <f t="shared" si="16"/>
        <v>9</v>
      </c>
      <c r="AI31" s="221">
        <f t="shared" si="17"/>
        <v>3.4901767330747413</v>
      </c>
      <c r="AJ31" s="261" t="b">
        <f t="shared" si="18"/>
        <v>0</v>
      </c>
      <c r="AK31" s="261" t="b">
        <f t="shared" si="19"/>
        <v>1</v>
      </c>
      <c r="AL31" s="261"/>
      <c r="AM31" s="261"/>
      <c r="AN31" s="75"/>
    </row>
    <row r="32" spans="1:40" s="6" customFormat="1" ht="11.25" x14ac:dyDescent="0.2">
      <c r="A32" s="56">
        <f t="shared" si="20"/>
        <v>47136</v>
      </c>
      <c r="B32" s="406">
        <f>'2028'!Wh/'2028'!Env_an*'2029'!Env_an</f>
        <v>21.860549603770039</v>
      </c>
      <c r="C32" s="831"/>
      <c r="D32" s="388">
        <f t="shared" si="0"/>
        <v>22.687381323467381</v>
      </c>
      <c r="E32" s="380">
        <f t="shared" si="1"/>
        <v>23.293756645190957</v>
      </c>
      <c r="F32" s="380">
        <f t="shared" si="2"/>
        <v>23.293756645190957</v>
      </c>
      <c r="G32" s="110">
        <f t="shared" si="21"/>
        <v>0.20271425851665728</v>
      </c>
      <c r="H32" s="409" t="b">
        <f>Wh_hp&gt;='2028'!Maxi_hp</f>
        <v>0</v>
      </c>
      <c r="I32" s="385">
        <f>IF(H32,Wh_hp,'2028'!Maxi_hp)</f>
        <v>23.40767107813555</v>
      </c>
      <c r="J32" s="85">
        <f>IF(H32,An,'2028'!An_max)</f>
        <v>2022</v>
      </c>
      <c r="K32" s="193">
        <f t="shared" si="3"/>
        <v>47136</v>
      </c>
      <c r="L32" s="143">
        <f>IF(t&lt;Tvie,1-EXP((T0-t)*PertePVj)+'2028'!Pspv,1-EXP((T0-t)*PertePVj)+Pspv)</f>
        <v>3.6444563958647924E-2</v>
      </c>
      <c r="M32" s="835"/>
      <c r="N32" s="835"/>
      <c r="O32" s="48">
        <f>IF(t&lt;Tnet,'2028'!Resal+('2028'!Salim-'2028'!Resal)*(1-EXP(('2028'!Tnet-t)/('2028'!Tau_j))),Resal+(Salim-Resal)*(1-EXP((Tnet-t)/(Tau_j))))*Salcycl</f>
        <v>2.6031667238558646E-2</v>
      </c>
      <c r="P32" s="165">
        <f>(INDEX(Models!$BJ32:$BT32,,T32)*(1-R32)+INDEX(Models!$BJ32:$BT32,,T32+1)*R32-ERP_i)*Q32*Ramure*Pc/MaxiM</f>
        <v>4.8672586869811874E-3</v>
      </c>
      <c r="Q32" s="301">
        <f t="shared" si="4"/>
        <v>0.5</v>
      </c>
      <c r="R32" s="173">
        <f t="shared" si="5"/>
        <v>0.49023296928688298</v>
      </c>
      <c r="S32" s="801">
        <f t="shared" si="6"/>
        <v>3</v>
      </c>
      <c r="T32" s="172">
        <f t="shared" si="7"/>
        <v>9</v>
      </c>
      <c r="U32" s="247">
        <f t="shared" si="8"/>
        <v>3.490232969286883</v>
      </c>
      <c r="V32" s="378">
        <f t="shared" si="9"/>
        <v>107.31434884251787</v>
      </c>
      <c r="W32" s="397">
        <f t="shared" si="10"/>
        <v>21.860549603770039</v>
      </c>
      <c r="X32" s="153">
        <f t="shared" si="11"/>
        <v>47136</v>
      </c>
      <c r="Y32" s="380">
        <f t="shared" si="12"/>
        <v>21.192818656627768</v>
      </c>
      <c r="Z32" s="380">
        <f t="shared" si="22"/>
        <v>21.994394784067467</v>
      </c>
      <c r="AA32" s="381">
        <f t="shared" si="13"/>
        <v>23.293756645190957</v>
      </c>
      <c r="AB32" s="193">
        <f t="shared" si="14"/>
        <v>47136</v>
      </c>
      <c r="AC32" s="119">
        <f>IF(OR(t&lt;Tnet,NoTnet),'2028'!Resal_s+('2028'!Salim-'2028'!Resal_s)*(1-EXP(('2028'!Tnet_s-t)/'2028'!Tau_j)),Resal_s+(Salim-Resal_s)*(1-EXP((Tnet_s-t)/Tau_j)))*Salcycl</f>
        <v>5.5781550434963731E-2</v>
      </c>
      <c r="AD32" s="227">
        <f>(INDEX(Models!$BJ32:$BT32,,AH32)*(1-AF32)+INDEX(Models!$BJ32:$BT32,,AH32+1)*AF32-ERP_i)*AE32*Ramure*Pc/MaxiM</f>
        <v>4.8672586869811874E-3</v>
      </c>
      <c r="AE32" s="301">
        <f t="shared" si="15"/>
        <v>0.5</v>
      </c>
      <c r="AF32" s="173">
        <f t="shared" si="23"/>
        <v>0.49023296928688298</v>
      </c>
      <c r="AG32" s="801">
        <f t="shared" si="24"/>
        <v>3</v>
      </c>
      <c r="AH32" s="172">
        <f t="shared" si="16"/>
        <v>9</v>
      </c>
      <c r="AI32" s="221">
        <f t="shared" si="17"/>
        <v>3.490232969286883</v>
      </c>
      <c r="AJ32" s="261" t="b">
        <f t="shared" si="18"/>
        <v>0</v>
      </c>
      <c r="AK32" s="261" t="b">
        <f t="shared" si="19"/>
        <v>1</v>
      </c>
      <c r="AL32" s="261"/>
      <c r="AM32" s="261"/>
      <c r="AN32" s="75"/>
    </row>
    <row r="33" spans="1:40" s="6" customFormat="1" ht="11.25" x14ac:dyDescent="0.2">
      <c r="A33" s="56">
        <f t="shared" si="20"/>
        <v>47137</v>
      </c>
      <c r="B33" s="406">
        <f>'2028'!Wh/'2028'!Env_an*'2029'!Env_an</f>
        <v>44.643257814522855</v>
      </c>
      <c r="C33" s="831"/>
      <c r="D33" s="388">
        <f t="shared" si="0"/>
        <v>46.332434317440402</v>
      </c>
      <c r="E33" s="380">
        <f t="shared" si="1"/>
        <v>47.573647792414263</v>
      </c>
      <c r="F33" s="380">
        <f t="shared" si="2"/>
        <v>47.610455881400334</v>
      </c>
      <c r="G33" s="110">
        <f t="shared" si="21"/>
        <v>0.41017341627188475</v>
      </c>
      <c r="H33" s="409" t="b">
        <f>Wh_hp&gt;='2028'!Maxi_hp</f>
        <v>0</v>
      </c>
      <c r="I33" s="385">
        <f>IF(H33,Wh_hp,'2028'!Maxi_hp)</f>
        <v>47.804919366126292</v>
      </c>
      <c r="J33" s="85">
        <f>IF(H33,An,'2028'!An_max)</f>
        <v>2022</v>
      </c>
      <c r="K33" s="193">
        <f t="shared" si="3"/>
        <v>47137</v>
      </c>
      <c r="L33" s="143">
        <f>IF(t&lt;Tvie,1-EXP((T0-t)*PertePVj)+'2028'!Pspv,1-EXP((T0-t)*PertePVj)+Pspv)</f>
        <v>3.6457754223410355E-2</v>
      </c>
      <c r="M33" s="835"/>
      <c r="N33" s="835"/>
      <c r="O33" s="48">
        <f>IF(t&lt;Tnet,'2028'!Resal+('2028'!Salim-'2028'!Resal)*(1-EXP(('2028'!Tnet-t)/('2028'!Tau_j))),Resal+(Salim-Resal)*(1-EXP((Tnet-t)/(Tau_j))))*Salcycl</f>
        <v>2.609035742623407E-2</v>
      </c>
      <c r="P33" s="165">
        <f>(INDEX(Models!$BJ33:$BT33,,T33)*(1-R33)+INDEX(Models!$BJ33:$BT33,,T33+1)*R33-ERP_i)*Q33*Ramure*Pc/MaxiM</f>
        <v>4.8384558702889748E-3</v>
      </c>
      <c r="Q33" s="301">
        <f t="shared" si="4"/>
        <v>0.5</v>
      </c>
      <c r="R33" s="173">
        <f t="shared" si="5"/>
        <v>0.49029155125274393</v>
      </c>
      <c r="S33" s="801">
        <f t="shared" si="6"/>
        <v>3</v>
      </c>
      <c r="T33" s="172">
        <f t="shared" si="7"/>
        <v>9</v>
      </c>
      <c r="U33" s="247">
        <f t="shared" si="8"/>
        <v>3.4902915512527439</v>
      </c>
      <c r="V33" s="378">
        <f t="shared" si="9"/>
        <v>108.39714451943836</v>
      </c>
      <c r="W33" s="397">
        <f t="shared" si="10"/>
        <v>44.643257814522855</v>
      </c>
      <c r="X33" s="153">
        <f t="shared" si="11"/>
        <v>47137</v>
      </c>
      <c r="Y33" s="380">
        <f t="shared" si="12"/>
        <v>43.281062489752472</v>
      </c>
      <c r="Z33" s="380">
        <f t="shared" si="22"/>
        <v>44.918697316555203</v>
      </c>
      <c r="AA33" s="381">
        <f t="shared" si="13"/>
        <v>47.573647792414263</v>
      </c>
      <c r="AB33" s="193">
        <f t="shared" si="14"/>
        <v>47137</v>
      </c>
      <c r="AC33" s="119">
        <f>IF(OR(t&lt;Tnet,NoTnet),'2028'!Resal_s+('2028'!Salim-'2028'!Resal_s)*(1-EXP(('2028'!Tnet_s-t)/'2028'!Tau_j)),Resal_s+(Salim-Resal_s)*(1-EXP((Tnet_s-t)/Tau_j)))*Salcycl</f>
        <v>5.5807166342253856E-2</v>
      </c>
      <c r="AD33" s="227">
        <f>(INDEX(Models!$BJ33:$BT33,,AH33)*(1-AF33)+INDEX(Models!$BJ33:$BT33,,AH33+1)*AF33-ERP_i)*AE33*Ramure*Pc/MaxiM</f>
        <v>4.8384558702889748E-3</v>
      </c>
      <c r="AE33" s="301">
        <f t="shared" si="15"/>
        <v>0.5</v>
      </c>
      <c r="AF33" s="173">
        <f t="shared" si="23"/>
        <v>0.49029155125274393</v>
      </c>
      <c r="AG33" s="801">
        <f t="shared" si="24"/>
        <v>3</v>
      </c>
      <c r="AH33" s="172">
        <f t="shared" si="16"/>
        <v>9</v>
      </c>
      <c r="AI33" s="221">
        <f t="shared" si="17"/>
        <v>3.4902915512527439</v>
      </c>
      <c r="AJ33" s="261" t="b">
        <f t="shared" si="18"/>
        <v>0</v>
      </c>
      <c r="AK33" s="261" t="b">
        <f t="shared" si="19"/>
        <v>1</v>
      </c>
      <c r="AL33" s="261"/>
      <c r="AM33" s="261"/>
      <c r="AN33" s="75"/>
    </row>
    <row r="34" spans="1:40" s="6" customFormat="1" ht="11.25" x14ac:dyDescent="0.2">
      <c r="A34" s="56">
        <f t="shared" si="20"/>
        <v>47138</v>
      </c>
      <c r="B34" s="406">
        <f>'2028'!Wh/'2028'!Env_an*'2029'!Env_an</f>
        <v>23.008671420807509</v>
      </c>
      <c r="C34" s="831"/>
      <c r="D34" s="388">
        <f t="shared" si="0"/>
        <v>23.879582338358759</v>
      </c>
      <c r="E34" s="380">
        <f t="shared" si="1"/>
        <v>24.520776501671708</v>
      </c>
      <c r="F34" s="380">
        <f t="shared" si="2"/>
        <v>24.520776501671708</v>
      </c>
      <c r="G34" s="110">
        <f t="shared" si="21"/>
        <v>0.20911968683679896</v>
      </c>
      <c r="H34" s="409" t="b">
        <f>Wh_hp&gt;='2028'!Maxi_hp</f>
        <v>0</v>
      </c>
      <c r="I34" s="385">
        <f>IF(H34,Wh_hp,'2028'!Maxi_hp)</f>
        <v>24.638956934020555</v>
      </c>
      <c r="J34" s="85">
        <f>IF(H34,An,'2028'!An_max)</f>
        <v>2022</v>
      </c>
      <c r="K34" s="193">
        <f t="shared" si="3"/>
        <v>47138</v>
      </c>
      <c r="L34" s="143">
        <f>IF(t&lt;Tvie,1-EXP((T0-t)*PertePVj)+'2028'!Pspv,1-EXP((T0-t)*PertePVj)+Pspv)</f>
        <v>3.647094430760911E-2</v>
      </c>
      <c r="M34" s="835"/>
      <c r="N34" s="835"/>
      <c r="O34" s="48">
        <f>IF(t&lt;Tnet,'2028'!Resal+('2028'!Salim-'2028'!Resal)*(1-EXP(('2028'!Tnet-t)/('2028'!Tau_j))),Resal+(Salim-Resal)*(1-EXP((Tnet-t)/(Tau_j))))*Salcycl</f>
        <v>2.614901543877431E-2</v>
      </c>
      <c r="P34" s="165">
        <f>(INDEX(Models!$BJ34:$BT34,,T34)*(1-R34)+INDEX(Models!$BJ34:$BT34,,T34+1)*R34-ERP_i)*Q34*Ramure*Pc/MaxiM</f>
        <v>4.7972847443574348E-3</v>
      </c>
      <c r="Q34" s="301">
        <f t="shared" si="4"/>
        <v>0.5</v>
      </c>
      <c r="R34" s="173">
        <f t="shared" si="5"/>
        <v>0.4903525762327865</v>
      </c>
      <c r="S34" s="801">
        <f t="shared" si="6"/>
        <v>3</v>
      </c>
      <c r="T34" s="172">
        <f t="shared" si="7"/>
        <v>9</v>
      </c>
      <c r="U34" s="247">
        <f t="shared" si="8"/>
        <v>3.4903525762327865</v>
      </c>
      <c r="V34" s="378">
        <f t="shared" si="9"/>
        <v>109.4985011635122</v>
      </c>
      <c r="W34" s="397">
        <f t="shared" si="10"/>
        <v>23.008671420807509</v>
      </c>
      <c r="X34" s="153">
        <f t="shared" si="11"/>
        <v>47138</v>
      </c>
      <c r="Y34" s="380">
        <f t="shared" si="12"/>
        <v>22.307347444984241</v>
      </c>
      <c r="Z34" s="380">
        <f t="shared" si="22"/>
        <v>23.151712253196358</v>
      </c>
      <c r="AA34" s="381">
        <f t="shared" si="13"/>
        <v>24.520776501671708</v>
      </c>
      <c r="AB34" s="193">
        <f t="shared" si="14"/>
        <v>47138</v>
      </c>
      <c r="AC34" s="119">
        <f>IF(OR(t&lt;Tnet,NoTnet),'2028'!Resal_s+('2028'!Salim-'2028'!Resal_s)*(1-EXP(('2028'!Tnet_s-t)/'2028'!Tau_j)),Resal_s+(Salim-Resal_s)*(1-EXP((Tnet_s-t)/Tau_j)))*Salcycl</f>
        <v>5.5832826027430747E-2</v>
      </c>
      <c r="AD34" s="227">
        <f>(INDEX(Models!$BJ34:$BT34,,AH34)*(1-AF34)+INDEX(Models!$BJ34:$BT34,,AH34+1)*AF34-ERP_i)*AE34*Ramure*Pc/MaxiM</f>
        <v>4.7972847443574348E-3</v>
      </c>
      <c r="AE34" s="301">
        <f t="shared" si="15"/>
        <v>0.5</v>
      </c>
      <c r="AF34" s="173">
        <f t="shared" si="23"/>
        <v>0.4903525762327865</v>
      </c>
      <c r="AG34" s="801">
        <f t="shared" si="24"/>
        <v>3</v>
      </c>
      <c r="AH34" s="172">
        <f t="shared" si="16"/>
        <v>9</v>
      </c>
      <c r="AI34" s="221">
        <f t="shared" si="17"/>
        <v>3.4903525762327865</v>
      </c>
      <c r="AJ34" s="261" t="b">
        <f t="shared" si="18"/>
        <v>0</v>
      </c>
      <c r="AK34" s="261" t="b">
        <f t="shared" si="19"/>
        <v>1</v>
      </c>
      <c r="AL34" s="261"/>
      <c r="AM34" s="261"/>
      <c r="AN34" s="75"/>
    </row>
    <row r="35" spans="1:40" s="6" customFormat="1" ht="11.25" x14ac:dyDescent="0.2">
      <c r="A35" s="56">
        <f t="shared" si="20"/>
        <v>47139</v>
      </c>
      <c r="B35" s="406">
        <f>'2028'!Wh/'2028'!Env_an*'2029'!Env_an</f>
        <v>57.764967626578297</v>
      </c>
      <c r="C35" s="831"/>
      <c r="D35" s="388">
        <f t="shared" si="0"/>
        <v>59.952274454028569</v>
      </c>
      <c r="E35" s="380">
        <f t="shared" si="1"/>
        <v>61.565768116058081</v>
      </c>
      <c r="F35" s="380">
        <f t="shared" si="2"/>
        <v>61.658628586540374</v>
      </c>
      <c r="G35" s="110">
        <f t="shared" si="21"/>
        <v>0.52051783831311438</v>
      </c>
      <c r="H35" s="409" t="b">
        <f>Wh_hp&gt;='2028'!Maxi_hp</f>
        <v>0</v>
      </c>
      <c r="I35" s="385">
        <f>IF(H35,Wh_hp,'2028'!Maxi_hp)</f>
        <v>61.859209054823204</v>
      </c>
      <c r="J35" s="85">
        <f>IF(H35,An,'2028'!An_max)</f>
        <v>2022</v>
      </c>
      <c r="K35" s="193">
        <f t="shared" si="3"/>
        <v>47139</v>
      </c>
      <c r="L35" s="143">
        <f>IF(t&lt;Tvie,1-EXP((T0-t)*PertePVj)+'2028'!Pspv,1-EXP((T0-t)*PertePVj)+Pspv)</f>
        <v>3.6484134211246633E-2</v>
      </c>
      <c r="M35" s="835"/>
      <c r="N35" s="835"/>
      <c r="O35" s="48">
        <f>IF(t&lt;Tnet,'2028'!Resal+('2028'!Salim-'2028'!Resal)*(1-EXP(('2028'!Tnet-t)/('2028'!Tau_j))),Resal+(Salim-Resal)*(1-EXP((Tnet-t)/(Tau_j))))*Salcycl</f>
        <v>2.6207642841195502E-2</v>
      </c>
      <c r="P35" s="165">
        <f>(INDEX(Models!$BJ35:$BT35,,T35)*(1-R35)+INDEX(Models!$BJ35:$BT35,,T35+1)*R35-ERP_i)*Q35*Ramure*Pc/MaxiM</f>
        <v>4.7442621141668539E-3</v>
      </c>
      <c r="Q35" s="301">
        <f t="shared" si="4"/>
        <v>0.5</v>
      </c>
      <c r="R35" s="173">
        <f t="shared" si="5"/>
        <v>0.49041614547002288</v>
      </c>
      <c r="S35" s="801">
        <f t="shared" si="6"/>
        <v>3</v>
      </c>
      <c r="T35" s="172">
        <f t="shared" si="7"/>
        <v>9</v>
      </c>
      <c r="U35" s="247">
        <f t="shared" si="8"/>
        <v>3.4904161454700229</v>
      </c>
      <c r="V35" s="378">
        <f t="shared" si="9"/>
        <v>110.61605493013218</v>
      </c>
      <c r="W35" s="397">
        <f t="shared" si="10"/>
        <v>57.764967626578297</v>
      </c>
      <c r="X35" s="153">
        <f t="shared" si="11"/>
        <v>47139</v>
      </c>
      <c r="Y35" s="380">
        <f t="shared" si="12"/>
        <v>56.006088890700028</v>
      </c>
      <c r="Z35" s="380">
        <f t="shared" si="22"/>
        <v>58.126794668661034</v>
      </c>
      <c r="AA35" s="381">
        <f t="shared" si="13"/>
        <v>61.565768116058081</v>
      </c>
      <c r="AB35" s="193">
        <f t="shared" si="14"/>
        <v>47139</v>
      </c>
      <c r="AC35" s="119">
        <f>IF(OR(t&lt;Tnet,NoTnet),'2028'!Resal_s+('2028'!Salim-'2028'!Resal_s)*(1-EXP(('2028'!Tnet_s-t)/'2028'!Tau_j)),Resal_s+(Salim-Resal_s)*(1-EXP((Tnet_s-t)/Tau_j)))*Salcycl</f>
        <v>5.5858532308314848E-2</v>
      </c>
      <c r="AD35" s="227">
        <f>(INDEX(Models!$BJ35:$BT35,,AH35)*(1-AF35)+INDEX(Models!$BJ35:$BT35,,AH35+1)*AF35-ERP_i)*AE35*Ramure*Pc/MaxiM</f>
        <v>4.7442621141668539E-3</v>
      </c>
      <c r="AE35" s="301">
        <f t="shared" si="15"/>
        <v>0.5</v>
      </c>
      <c r="AF35" s="173">
        <f t="shared" si="23"/>
        <v>0.49041614547002288</v>
      </c>
      <c r="AG35" s="801">
        <f t="shared" si="24"/>
        <v>3</v>
      </c>
      <c r="AH35" s="172">
        <f t="shared" si="16"/>
        <v>9</v>
      </c>
      <c r="AI35" s="221">
        <f t="shared" si="17"/>
        <v>3.4904161454700229</v>
      </c>
      <c r="AJ35" s="261" t="b">
        <f t="shared" si="18"/>
        <v>0</v>
      </c>
      <c r="AK35" s="261" t="b">
        <f t="shared" si="19"/>
        <v>1</v>
      </c>
      <c r="AL35" s="261"/>
      <c r="AM35" s="261"/>
      <c r="AN35" s="75"/>
    </row>
    <row r="36" spans="1:40" s="6" customFormat="1" ht="11.25" x14ac:dyDescent="0.2">
      <c r="A36" s="56">
        <f t="shared" si="20"/>
        <v>47140</v>
      </c>
      <c r="B36" s="406">
        <f>'2028'!Wh/'2028'!Env_an*'2029'!Env_an</f>
        <v>110.94012436468391</v>
      </c>
      <c r="C36" s="831"/>
      <c r="D36" s="388">
        <f t="shared" si="0"/>
        <v>115.14251814815093</v>
      </c>
      <c r="E36" s="380">
        <f t="shared" si="1"/>
        <v>118.24846073607635</v>
      </c>
      <c r="F36" s="380">
        <f t="shared" si="2"/>
        <v>118.79868555460803</v>
      </c>
      <c r="G36" s="110">
        <f t="shared" si="21"/>
        <v>0.99272731917040558</v>
      </c>
      <c r="H36" s="409" t="b">
        <f>Wh_hp&gt;='2028'!Maxi_hp</f>
        <v>0</v>
      </c>
      <c r="I36" s="385">
        <f>IF(H36,Wh_hp,'2028'!Maxi_hp)</f>
        <v>118.80444939274724</v>
      </c>
      <c r="J36" s="85">
        <f>IF(H36,An,'2028'!An_max)</f>
        <v>2022</v>
      </c>
      <c r="K36" s="193">
        <f t="shared" si="3"/>
        <v>47140</v>
      </c>
      <c r="L36" s="143">
        <f>IF(t&lt;Tvie,1-EXP((T0-t)*PertePVj)+'2028'!Pspv,1-EXP((T0-t)*PertePVj)+Pspv)</f>
        <v>3.6497323934325476E-2</v>
      </c>
      <c r="M36" s="835"/>
      <c r="N36" s="835"/>
      <c r="O36" s="48">
        <f>IF(t&lt;Tnet,'2028'!Resal+('2028'!Salim-'2028'!Resal)*(1-EXP(('2028'!Tnet-t)/('2028'!Tau_j))),Resal+(Salim-Resal)*(1-EXP((Tnet-t)/(Tau_j))))*Salcycl</f>
        <v>2.626624117211725E-2</v>
      </c>
      <c r="P36" s="165">
        <f>(INDEX(Models!$BJ36:$BT36,,T36)*(1-R36)+INDEX(Models!$BJ36:$BT36,,T36+1)*R36-ERP_i)*Q36*Ramure*Pc/MaxiM</f>
        <v>4.6798729652624341E-3</v>
      </c>
      <c r="Q36" s="301">
        <f t="shared" si="4"/>
        <v>0.5</v>
      </c>
      <c r="R36" s="173">
        <f t="shared" si="5"/>
        <v>0.49048236434880499</v>
      </c>
      <c r="S36" s="801">
        <f t="shared" si="6"/>
        <v>3</v>
      </c>
      <c r="T36" s="172">
        <f t="shared" si="7"/>
        <v>9</v>
      </c>
      <c r="U36" s="247">
        <f t="shared" si="8"/>
        <v>3.490482364348805</v>
      </c>
      <c r="V36" s="378">
        <f t="shared" si="9"/>
        <v>111.74744455696954</v>
      </c>
      <c r="W36" s="397">
        <f t="shared" si="10"/>
        <v>110.94012436468391</v>
      </c>
      <c r="X36" s="153">
        <f t="shared" si="11"/>
        <v>47140</v>
      </c>
      <c r="Y36" s="380">
        <f t="shared" si="12"/>
        <v>107.56566008139116</v>
      </c>
      <c r="Z36" s="380">
        <f t="shared" si="22"/>
        <v>111.64022970918997</v>
      </c>
      <c r="AA36" s="381">
        <f t="shared" si="13"/>
        <v>118.24846073607635</v>
      </c>
      <c r="AB36" s="193">
        <f t="shared" si="14"/>
        <v>47140</v>
      </c>
      <c r="AC36" s="119">
        <f>IF(OR(t&lt;Tnet,NoTnet),'2028'!Resal_s+('2028'!Salim-'2028'!Resal_s)*(1-EXP(('2028'!Tnet_s-t)/'2028'!Tau_j)),Resal_s+(Salim-Resal_s)*(1-EXP((Tnet_s-t)/Tau_j)))*Salcycl</f>
        <v>5.588428792858096E-2</v>
      </c>
      <c r="AD36" s="227">
        <f>(INDEX(Models!$BJ36:$BT36,,AH36)*(1-AF36)+INDEX(Models!$BJ36:$BT36,,AH36+1)*AF36-ERP_i)*AE36*Ramure*Pc/MaxiM</f>
        <v>4.6798729652624341E-3</v>
      </c>
      <c r="AE36" s="301">
        <f t="shared" si="15"/>
        <v>0.5</v>
      </c>
      <c r="AF36" s="173">
        <f t="shared" si="23"/>
        <v>0.49048236434880499</v>
      </c>
      <c r="AG36" s="801">
        <f t="shared" si="24"/>
        <v>3</v>
      </c>
      <c r="AH36" s="172">
        <f t="shared" si="16"/>
        <v>9</v>
      </c>
      <c r="AI36" s="221">
        <f t="shared" si="17"/>
        <v>3.490482364348805</v>
      </c>
      <c r="AJ36" s="261" t="b">
        <f t="shared" si="18"/>
        <v>0</v>
      </c>
      <c r="AK36" s="261" t="b">
        <f t="shared" si="19"/>
        <v>1</v>
      </c>
      <c r="AL36" s="261"/>
      <c r="AM36" s="261"/>
      <c r="AN36" s="75"/>
    </row>
    <row r="37" spans="1:40" s="6" customFormat="1" ht="11.25" x14ac:dyDescent="0.2">
      <c r="A37" s="56">
        <f t="shared" si="20"/>
        <v>47141</v>
      </c>
      <c r="B37" s="406">
        <f>'2028'!Wh/'2028'!Env_an*'2029'!Env_an</f>
        <v>112.76889767286191</v>
      </c>
      <c r="C37" s="831"/>
      <c r="D37" s="388">
        <f t="shared" si="0"/>
        <v>117.04216729940642</v>
      </c>
      <c r="E37" s="380">
        <f t="shared" si="1"/>
        <v>120.20658298546128</v>
      </c>
      <c r="F37" s="380">
        <f t="shared" si="2"/>
        <v>120.76166341796494</v>
      </c>
      <c r="G37" s="110">
        <f t="shared" si="21"/>
        <v>0.99882580295969858</v>
      </c>
      <c r="H37" s="409" t="b">
        <f>Wh_hp&gt;='2028'!Maxi_hp</f>
        <v>0</v>
      </c>
      <c r="I37" s="385">
        <f>IF(H37,Wh_hp,'2028'!Maxi_hp)</f>
        <v>120.76259406342568</v>
      </c>
      <c r="J37" s="85">
        <f>IF(H37,An,'2028'!An_max)</f>
        <v>2022</v>
      </c>
      <c r="K37" s="193">
        <f t="shared" si="3"/>
        <v>47141</v>
      </c>
      <c r="L37" s="143">
        <f>IF(t&lt;Tvie,1-EXP((T0-t)*PertePVj)+'2028'!Pspv,1-EXP((T0-t)*PertePVj)+Pspv)</f>
        <v>3.6510513476848194E-2</v>
      </c>
      <c r="M37" s="835"/>
      <c r="N37" s="835"/>
      <c r="O37" s="48">
        <f>IF(t&lt;Tnet,'2028'!Resal+('2028'!Salim-'2028'!Resal)*(1-EXP(('2028'!Tnet-t)/('2028'!Tau_j))),Resal+(Salim-Resal)*(1-EXP((Tnet-t)/(Tau_j))))*Salcycl</f>
        <v>2.6324811898509683E-2</v>
      </c>
      <c r="P37" s="165">
        <f>(INDEX(Models!$BJ37:$BT37,,T37)*(1-R37)+INDEX(Models!$BJ37:$BT37,,T37+1)*R37-ERP_i)*Q37*Ramure*Pc/MaxiM</f>
        <v>4.6041679219048321E-3</v>
      </c>
      <c r="Q37" s="301">
        <f t="shared" si="4"/>
        <v>0.5</v>
      </c>
      <c r="R37" s="173">
        <f t="shared" si="5"/>
        <v>0.49055134255958199</v>
      </c>
      <c r="S37" s="801">
        <f t="shared" si="6"/>
        <v>3</v>
      </c>
      <c r="T37" s="172">
        <f t="shared" si="7"/>
        <v>9</v>
      </c>
      <c r="U37" s="247">
        <f t="shared" si="8"/>
        <v>3.490551342559582</v>
      </c>
      <c r="V37" s="378">
        <f t="shared" si="9"/>
        <v>112.90059600332317</v>
      </c>
      <c r="W37" s="397">
        <f t="shared" si="10"/>
        <v>112.76889767286191</v>
      </c>
      <c r="X37" s="153">
        <f t="shared" si="11"/>
        <v>47141</v>
      </c>
      <c r="Y37" s="380">
        <f t="shared" si="12"/>
        <v>109.34239584185241</v>
      </c>
      <c r="Z37" s="380">
        <f t="shared" si="22"/>
        <v>113.48582145553594</v>
      </c>
      <c r="AA37" s="381">
        <f t="shared" si="13"/>
        <v>120.20658298546128</v>
      </c>
      <c r="AB37" s="193">
        <f t="shared" si="14"/>
        <v>47141</v>
      </c>
      <c r="AC37" s="119">
        <f>IF(OR(t&lt;Tnet,NoTnet),'2028'!Resal_s+('2028'!Salim-'2028'!Resal_s)*(1-EXP(('2028'!Tnet_s-t)/'2028'!Tau_j)),Resal_s+(Salim-Resal_s)*(1-EXP((Tnet_s-t)/Tau_j)))*Salcycl</f>
        <v>5.5910095462394165E-2</v>
      </c>
      <c r="AD37" s="227">
        <f>(INDEX(Models!$BJ37:$BT37,,AH37)*(1-AF37)+INDEX(Models!$BJ37:$BT37,,AH37+1)*AF37-ERP_i)*AE37*Ramure*Pc/MaxiM</f>
        <v>4.6041679219048321E-3</v>
      </c>
      <c r="AE37" s="301">
        <f t="shared" si="15"/>
        <v>0.5</v>
      </c>
      <c r="AF37" s="173">
        <f t="shared" si="23"/>
        <v>0.49055134255958199</v>
      </c>
      <c r="AG37" s="801">
        <f t="shared" si="24"/>
        <v>3</v>
      </c>
      <c r="AH37" s="172">
        <f t="shared" si="16"/>
        <v>9</v>
      </c>
      <c r="AI37" s="221">
        <f t="shared" si="17"/>
        <v>3.490551342559582</v>
      </c>
      <c r="AJ37" s="261" t="b">
        <f t="shared" si="18"/>
        <v>0</v>
      </c>
      <c r="AK37" s="261" t="b">
        <f t="shared" si="19"/>
        <v>1</v>
      </c>
      <c r="AL37" s="261"/>
      <c r="AM37" s="261"/>
      <c r="AN37" s="75"/>
    </row>
    <row r="38" spans="1:40" s="6" customFormat="1" ht="11.25" x14ac:dyDescent="0.2">
      <c r="A38" s="56">
        <f t="shared" si="20"/>
        <v>47142</v>
      </c>
      <c r="B38" s="406">
        <f>'2028'!Wh/'2028'!Env_an*'2029'!Env_an</f>
        <v>114.16653329347258</v>
      </c>
      <c r="C38" s="831"/>
      <c r="D38" s="388">
        <f t="shared" si="0"/>
        <v>118.49438707507021</v>
      </c>
      <c r="E38" s="380">
        <f t="shared" si="1"/>
        <v>121.7053835827199</v>
      </c>
      <c r="F38" s="380">
        <f t="shared" si="2"/>
        <v>122.25706830537692</v>
      </c>
      <c r="G38" s="110">
        <f t="shared" si="21"/>
        <v>1.000721756393286</v>
      </c>
      <c r="H38" s="409" t="b">
        <f>Wh_hp&gt;='2028'!Maxi_hp</f>
        <v>1</v>
      </c>
      <c r="I38" s="385">
        <f>IF(H38,Wh_hp,'2028'!Maxi_hp)</f>
        <v>122.25706830537692</v>
      </c>
      <c r="J38" s="85">
        <f>IF(H38,An,'2028'!An_max)</f>
        <v>2029</v>
      </c>
      <c r="K38" s="193">
        <f t="shared" si="3"/>
        <v>47142</v>
      </c>
      <c r="L38" s="143">
        <f>IF(t&lt;Tvie,1-EXP((T0-t)*PertePVj)+'2028'!Pspv,1-EXP((T0-t)*PertePVj)+Pspv)</f>
        <v>3.6523702838817007E-2</v>
      </c>
      <c r="M38" s="835"/>
      <c r="N38" s="835"/>
      <c r="O38" s="48">
        <f>IF(t&lt;Tnet,'2028'!Resal+('2028'!Salim-'2028'!Resal)*(1-EXP(('2028'!Tnet-t)/('2028'!Tau_j))),Resal+(Salim-Resal)*(1-EXP((Tnet-t)/(Tau_j))))*Salcycl</f>
        <v>2.6383356373609095E-2</v>
      </c>
      <c r="P38" s="165">
        <f>(INDEX(Models!$BJ38:$BT38,,T38)*(1-R38)+INDEX(Models!$BJ38:$BT38,,T38+1)*R38-ERP_i)*Q38*Ramure*Pc/MaxiM</f>
        <v>4.5124975619324154E-3</v>
      </c>
      <c r="Q38" s="301">
        <f t="shared" si="4"/>
        <v>0.5</v>
      </c>
      <c r="R38" s="173">
        <f t="shared" si="5"/>
        <v>0.4906231942698116</v>
      </c>
      <c r="S38" s="801">
        <f t="shared" si="6"/>
        <v>3</v>
      </c>
      <c r="T38" s="172">
        <f t="shared" si="7"/>
        <v>9</v>
      </c>
      <c r="U38" s="247">
        <f t="shared" si="8"/>
        <v>3.4906231942698116</v>
      </c>
      <c r="V38" s="378">
        <f t="shared" si="9"/>
        <v>114.08419229830841</v>
      </c>
      <c r="W38" s="397">
        <f t="shared" si="10"/>
        <v>114.16653329347258</v>
      </c>
      <c r="X38" s="153">
        <f t="shared" si="11"/>
        <v>47142</v>
      </c>
      <c r="Y38" s="380">
        <f t="shared" si="12"/>
        <v>110.70118786075302</v>
      </c>
      <c r="Z38" s="380">
        <f t="shared" si="22"/>
        <v>114.89767645236992</v>
      </c>
      <c r="AA38" s="381">
        <f t="shared" si="13"/>
        <v>121.7053835827199</v>
      </c>
      <c r="AB38" s="193">
        <f t="shared" si="14"/>
        <v>47142</v>
      </c>
      <c r="AC38" s="119">
        <f>IF(OR(t&lt;Tnet,NoTnet),'2028'!Resal_s+('2028'!Salim-'2028'!Resal_s)*(1-EXP(('2028'!Tnet_s-t)/'2028'!Tau_j)),Resal_s+(Salim-Resal_s)*(1-EXP((Tnet_s-t)/Tau_j)))*Salcycl</f>
        <v>5.5935957226764504E-2</v>
      </c>
      <c r="AD38" s="227">
        <f>(INDEX(Models!$BJ38:$BT38,,AH38)*(1-AF38)+INDEX(Models!$BJ38:$BT38,,AH38+1)*AF38-ERP_i)*AE38*Ramure*Pc/MaxiM</f>
        <v>4.5124975619324154E-3</v>
      </c>
      <c r="AE38" s="301">
        <f t="shared" si="15"/>
        <v>0.5</v>
      </c>
      <c r="AF38" s="173">
        <f t="shared" si="23"/>
        <v>0.4906231942698116</v>
      </c>
      <c r="AG38" s="801">
        <f t="shared" si="24"/>
        <v>3</v>
      </c>
      <c r="AH38" s="172">
        <f t="shared" si="16"/>
        <v>9</v>
      </c>
      <c r="AI38" s="221">
        <f t="shared" si="17"/>
        <v>3.4906231942698116</v>
      </c>
      <c r="AJ38" s="261" t="b">
        <f t="shared" si="18"/>
        <v>0</v>
      </c>
      <c r="AK38" s="261" t="b">
        <f t="shared" si="19"/>
        <v>1</v>
      </c>
      <c r="AL38" s="261"/>
      <c r="AM38" s="261"/>
      <c r="AN38" s="75"/>
    </row>
    <row r="39" spans="1:40" s="6" customFormat="1" ht="11.25" x14ac:dyDescent="0.2">
      <c r="A39" s="56">
        <f t="shared" si="20"/>
        <v>47143</v>
      </c>
      <c r="B39" s="406">
        <f>'2028'!Wh/'2028'!Env_an*'2029'!Env_an</f>
        <v>113.11679344019532</v>
      </c>
      <c r="C39" s="831"/>
      <c r="D39" s="388">
        <f t="shared" si="0"/>
        <v>117.40646061413179</v>
      </c>
      <c r="E39" s="380">
        <f t="shared" si="1"/>
        <v>120.59522456393277</v>
      </c>
      <c r="F39" s="380">
        <f t="shared" si="2"/>
        <v>121.11509622113607</v>
      </c>
      <c r="G39" s="110">
        <f t="shared" si="21"/>
        <v>0.98098587934826065</v>
      </c>
      <c r="H39" s="409" t="b">
        <f>Wh_hp&gt;='2028'!Maxi_hp</f>
        <v>0</v>
      </c>
      <c r="I39" s="385">
        <f>IF(H39,Wh_hp,'2028'!Maxi_hp)</f>
        <v>121.12958041502201</v>
      </c>
      <c r="J39" s="85">
        <f>IF(H39,An,'2028'!An_max)</f>
        <v>2022</v>
      </c>
      <c r="K39" s="193">
        <f t="shared" si="3"/>
        <v>47143</v>
      </c>
      <c r="L39" s="143">
        <f>IF(t&lt;Tvie,1-EXP((T0-t)*PertePVj)+'2028'!Pspv,1-EXP((T0-t)*PertePVj)+Pspv)</f>
        <v>3.653689202023469E-2</v>
      </c>
      <c r="M39" s="835"/>
      <c r="N39" s="835"/>
      <c r="O39" s="48">
        <f>IF(t&lt;Tnet,'2028'!Resal+('2028'!Salim-'2028'!Resal)*(1-EXP(('2028'!Tnet-t)/('2028'!Tau_j))),Resal+(Salim-Resal)*(1-EXP((Tnet-t)/(Tau_j))))*Salcycl</f>
        <v>2.6441875798410997E-2</v>
      </c>
      <c r="P39" s="165">
        <f>(INDEX(Models!$BJ39:$BT39,,T39)*(1-R39)+INDEX(Models!$BJ39:$BT39,,T39+1)*R39-ERP_i)*Q39*Ramure*Pc/MaxiM</f>
        <v>4.4114663174266355E-3</v>
      </c>
      <c r="Q39" s="301">
        <f t="shared" si="4"/>
        <v>0.5</v>
      </c>
      <c r="R39" s="173">
        <f t="shared" si="5"/>
        <v>0.49069803830122005</v>
      </c>
      <c r="S39" s="801">
        <f t="shared" si="6"/>
        <v>3</v>
      </c>
      <c r="T39" s="172">
        <f t="shared" si="7"/>
        <v>9</v>
      </c>
      <c r="U39" s="247">
        <f t="shared" si="8"/>
        <v>3.4906980383012201</v>
      </c>
      <c r="V39" s="378">
        <f t="shared" si="9"/>
        <v>115.29550705187131</v>
      </c>
      <c r="W39" s="397">
        <f t="shared" si="10"/>
        <v>113.11679344019532</v>
      </c>
      <c r="X39" s="153">
        <f t="shared" si="11"/>
        <v>47143</v>
      </c>
      <c r="Y39" s="380">
        <f t="shared" si="12"/>
        <v>109.6868927574062</v>
      </c>
      <c r="Z39" s="380">
        <f t="shared" si="22"/>
        <v>113.84648965688248</v>
      </c>
      <c r="AA39" s="381">
        <f t="shared" si="13"/>
        <v>120.59522456393277</v>
      </c>
      <c r="AB39" s="193">
        <f t="shared" si="14"/>
        <v>47143</v>
      </c>
      <c r="AC39" s="119">
        <f>IF(OR(t&lt;Tnet,NoTnet),'2028'!Resal_s+('2028'!Salim-'2028'!Resal_s)*(1-EXP(('2028'!Tnet_s-t)/'2028'!Tau_j)),Resal_s+(Salim-Resal_s)*(1-EXP((Tnet_s-t)/Tau_j)))*Salcycl</f>
        <v>5.5961875202384159E-2</v>
      </c>
      <c r="AD39" s="227">
        <f>(INDEX(Models!$BJ39:$BT39,,AH39)*(1-AF39)+INDEX(Models!$BJ39:$BT39,,AH39+1)*AF39-ERP_i)*AE39*Ramure*Pc/MaxiM</f>
        <v>4.4114663174266355E-3</v>
      </c>
      <c r="AE39" s="301">
        <f t="shared" si="15"/>
        <v>0.5</v>
      </c>
      <c r="AF39" s="173">
        <f t="shared" si="23"/>
        <v>0.49069803830122005</v>
      </c>
      <c r="AG39" s="801">
        <f t="shared" si="24"/>
        <v>3</v>
      </c>
      <c r="AH39" s="172">
        <f t="shared" si="16"/>
        <v>9</v>
      </c>
      <c r="AI39" s="221">
        <f t="shared" si="17"/>
        <v>3.4906980383012201</v>
      </c>
      <c r="AJ39" s="261" t="b">
        <f t="shared" si="18"/>
        <v>0</v>
      </c>
      <c r="AK39" s="261" t="b">
        <f t="shared" si="19"/>
        <v>1</v>
      </c>
      <c r="AL39" s="261"/>
      <c r="AM39" s="261"/>
      <c r="AN39" s="75"/>
    </row>
    <row r="40" spans="1:40" s="6" customFormat="1" ht="11.25" x14ac:dyDescent="0.2">
      <c r="A40" s="56">
        <f t="shared" si="20"/>
        <v>47144</v>
      </c>
      <c r="B40" s="406">
        <f>'2028'!Wh/'2028'!Env_an*'2029'!Env_an</f>
        <v>115.11473959768607</v>
      </c>
      <c r="C40" s="831"/>
      <c r="D40" s="388">
        <f t="shared" si="0"/>
        <v>119.48180941225192</v>
      </c>
      <c r="E40" s="380">
        <f t="shared" si="1"/>
        <v>122.7343142985585</v>
      </c>
      <c r="F40" s="380">
        <f t="shared" si="2"/>
        <v>123.25528392531584</v>
      </c>
      <c r="G40" s="110">
        <f t="shared" si="21"/>
        <v>0.98775956772223805</v>
      </c>
      <c r="H40" s="409" t="b">
        <f>Wh_hp&gt;='2028'!Maxi_hp</f>
        <v>0</v>
      </c>
      <c r="I40" s="385">
        <f>IF(H40,Wh_hp,'2028'!Maxi_hp)</f>
        <v>123.264536354387</v>
      </c>
      <c r="J40" s="85">
        <f>IF(H40,An,'2028'!An_max)</f>
        <v>2022</v>
      </c>
      <c r="K40" s="193">
        <f t="shared" si="3"/>
        <v>47144</v>
      </c>
      <c r="L40" s="143">
        <f>IF(t&lt;Tvie,1-EXP((T0-t)*PertePVj)+'2028'!Pspv,1-EXP((T0-t)*PertePVj)+Pspv)</f>
        <v>3.6550081021103464E-2</v>
      </c>
      <c r="M40" s="835"/>
      <c r="N40" s="835"/>
      <c r="O40" s="48">
        <f>IF(t&lt;Tnet,'2028'!Resal+('2028'!Salim-'2028'!Resal)*(1-EXP(('2028'!Tnet-t)/('2028'!Tau_j))),Resal+(Salim-Resal)*(1-EXP((Tnet-t)/(Tau_j))))*Salcycl</f>
        <v>2.6500371187104767E-2</v>
      </c>
      <c r="P40" s="165">
        <f>(INDEX(Models!$BJ40:$BT40,,T40)*(1-R40)+INDEX(Models!$BJ40:$BT40,,T40+1)*R40-ERP_i)*Q40*Ramure*Pc/MaxiM</f>
        <v>4.3015148487986939E-3</v>
      </c>
      <c r="Q40" s="301">
        <f t="shared" si="4"/>
        <v>0.5</v>
      </c>
      <c r="R40" s="173">
        <f t="shared" si="5"/>
        <v>0.4907759983136124</v>
      </c>
      <c r="S40" s="801">
        <f t="shared" si="6"/>
        <v>3</v>
      </c>
      <c r="T40" s="172">
        <f t="shared" si="7"/>
        <v>9</v>
      </c>
      <c r="U40" s="247">
        <f t="shared" si="8"/>
        <v>3.4907759983136124</v>
      </c>
      <c r="V40" s="378">
        <f t="shared" si="9"/>
        <v>116.53250509966291</v>
      </c>
      <c r="W40" s="397">
        <f t="shared" si="10"/>
        <v>115.11473959768607</v>
      </c>
      <c r="X40" s="153">
        <f t="shared" si="11"/>
        <v>47144</v>
      </c>
      <c r="Y40" s="380">
        <f t="shared" si="12"/>
        <v>111.62789332122343</v>
      </c>
      <c r="Z40" s="380">
        <f t="shared" si="22"/>
        <v>115.86268380149039</v>
      </c>
      <c r="AA40" s="381">
        <f t="shared" si="13"/>
        <v>122.7343142985585</v>
      </c>
      <c r="AB40" s="193">
        <f t="shared" si="14"/>
        <v>47144</v>
      </c>
      <c r="AC40" s="119">
        <f>IF(OR(t&lt;Tnet,NoTnet),'2028'!Resal_s+('2028'!Salim-'2028'!Resal_s)*(1-EXP(('2028'!Tnet_s-t)/'2028'!Tau_j)),Resal_s+(Salim-Resal_s)*(1-EXP((Tnet_s-t)/Tau_j)))*Salcycl</f>
        <v>5.5987850963606339E-2</v>
      </c>
      <c r="AD40" s="227">
        <f>(INDEX(Models!$BJ40:$BT40,,AH40)*(1-AF40)+INDEX(Models!$BJ40:$BT40,,AH40+1)*AF40-ERP_i)*AE40*Ramure*Pc/MaxiM</f>
        <v>4.3015148487986939E-3</v>
      </c>
      <c r="AE40" s="301">
        <f t="shared" si="15"/>
        <v>0.5</v>
      </c>
      <c r="AF40" s="173">
        <f t="shared" si="23"/>
        <v>0.4907759983136124</v>
      </c>
      <c r="AG40" s="801">
        <f t="shared" si="24"/>
        <v>3</v>
      </c>
      <c r="AH40" s="172">
        <f t="shared" si="16"/>
        <v>9</v>
      </c>
      <c r="AI40" s="221">
        <f t="shared" si="17"/>
        <v>3.4907759983136124</v>
      </c>
      <c r="AJ40" s="261" t="b">
        <f t="shared" si="18"/>
        <v>0</v>
      </c>
      <c r="AK40" s="261" t="b">
        <f t="shared" si="19"/>
        <v>1</v>
      </c>
      <c r="AL40" s="261"/>
      <c r="AM40" s="261"/>
      <c r="AN40" s="75"/>
    </row>
    <row r="41" spans="1:40" s="6" customFormat="1" ht="11.25" x14ac:dyDescent="0.2">
      <c r="A41" s="56">
        <f t="shared" si="20"/>
        <v>47145</v>
      </c>
      <c r="B41" s="406">
        <f>'2028'!Wh/'2028'!Env_an*'2029'!Env_an</f>
        <v>116.99836803870222</v>
      </c>
      <c r="C41" s="831"/>
      <c r="D41" s="388">
        <f t="shared" si="0"/>
        <v>121.43855883452275</v>
      </c>
      <c r="E41" s="380">
        <f t="shared" si="1"/>
        <v>124.75182295639772</v>
      </c>
      <c r="F41" s="380">
        <f t="shared" si="2"/>
        <v>125.27078824465484</v>
      </c>
      <c r="G41" s="110">
        <f t="shared" si="21"/>
        <v>0.99321249963841218</v>
      </c>
      <c r="H41" s="409" t="b">
        <f>Wh_hp&gt;='2028'!Maxi_hp</f>
        <v>0</v>
      </c>
      <c r="I41" s="385">
        <f>IF(H41,Wh_hp,'2028'!Maxi_hp)</f>
        <v>125.27585917077172</v>
      </c>
      <c r="J41" s="85">
        <f>IF(H41,An,'2028'!An_max)</f>
        <v>2022</v>
      </c>
      <c r="K41" s="193">
        <f t="shared" si="3"/>
        <v>47145</v>
      </c>
      <c r="L41" s="143">
        <f>IF(t&lt;Tvie,1-EXP((T0-t)*PertePVj)+'2028'!Pspv,1-EXP((T0-t)*PertePVj)+Pspv)</f>
        <v>3.6563269841425883E-2</v>
      </c>
      <c r="M41" s="835"/>
      <c r="N41" s="835"/>
      <c r="O41" s="48">
        <f>IF(t&lt;Tnet,'2028'!Resal+('2028'!Salim-'2028'!Resal)*(1-EXP(('2028'!Tnet-t)/('2028'!Tau_j))),Resal+(Salim-Resal)*(1-EXP((Tnet-t)/(Tau_j))))*Salcycl</f>
        <v>2.6558843336766263E-2</v>
      </c>
      <c r="P41" s="165">
        <f>(INDEX(Models!$BJ41:$BT41,,T41)*(1-R41)+INDEX(Models!$BJ41:$BT41,,T41+1)*R41-ERP_i)*Q41*Ramure*Pc/MaxiM</f>
        <v>4.1830683547844248E-3</v>
      </c>
      <c r="Q41" s="301">
        <f t="shared" si="4"/>
        <v>0.5</v>
      </c>
      <c r="R41" s="173">
        <f t="shared" si="5"/>
        <v>0.49085720299543434</v>
      </c>
      <c r="S41" s="801">
        <f t="shared" si="6"/>
        <v>3</v>
      </c>
      <c r="T41" s="172">
        <f t="shared" si="7"/>
        <v>9</v>
      </c>
      <c r="U41" s="247">
        <f t="shared" si="8"/>
        <v>3.4908572029954343</v>
      </c>
      <c r="V41" s="378">
        <f t="shared" si="9"/>
        <v>117.79315204270515</v>
      </c>
      <c r="W41" s="397">
        <f t="shared" si="10"/>
        <v>116.99836803870222</v>
      </c>
      <c r="X41" s="153">
        <f t="shared" si="11"/>
        <v>47145</v>
      </c>
      <c r="Y41" s="380">
        <f t="shared" si="12"/>
        <v>113.45815212134592</v>
      </c>
      <c r="Z41" s="380">
        <f t="shared" si="22"/>
        <v>117.76398861466657</v>
      </c>
      <c r="AA41" s="381">
        <f t="shared" si="13"/>
        <v>124.75182295639772</v>
      </c>
      <c r="AB41" s="193">
        <f t="shared" si="14"/>
        <v>47145</v>
      </c>
      <c r="AC41" s="119">
        <f>IF(OR(t&lt;Tnet,NoTnet),'2028'!Resal_s+('2028'!Salim-'2028'!Resal_s)*(1-EXP(('2028'!Tnet_s-t)/'2028'!Tau_j)),Resal_s+(Salim-Resal_s)*(1-EXP((Tnet_s-t)/Tau_j)))*Salcycl</f>
        <v>5.601388561811619E-2</v>
      </c>
      <c r="AD41" s="227">
        <f>(INDEX(Models!$BJ41:$BT41,,AH41)*(1-AF41)+INDEX(Models!$BJ41:$BT41,,AH41+1)*AF41-ERP_i)*AE41*Ramure*Pc/MaxiM</f>
        <v>4.1830683547844248E-3</v>
      </c>
      <c r="AE41" s="301">
        <f t="shared" si="15"/>
        <v>0.5</v>
      </c>
      <c r="AF41" s="173">
        <f t="shared" si="23"/>
        <v>0.49085720299543434</v>
      </c>
      <c r="AG41" s="801">
        <f t="shared" si="24"/>
        <v>3</v>
      </c>
      <c r="AH41" s="172">
        <f t="shared" si="16"/>
        <v>9</v>
      </c>
      <c r="AI41" s="221">
        <f t="shared" si="17"/>
        <v>3.4908572029954343</v>
      </c>
      <c r="AJ41" s="261" t="b">
        <f t="shared" si="18"/>
        <v>0</v>
      </c>
      <c r="AK41" s="261" t="b">
        <f t="shared" si="19"/>
        <v>1</v>
      </c>
      <c r="AL41" s="261"/>
      <c r="AM41" s="261"/>
      <c r="AN41" s="75"/>
    </row>
    <row r="42" spans="1:40" s="6" customFormat="1" ht="11.25" x14ac:dyDescent="0.2">
      <c r="A42" s="56">
        <f t="shared" si="20"/>
        <v>47146</v>
      </c>
      <c r="B42" s="406">
        <f>'2028'!Wh/'2028'!Env_an*'2029'!Env_an</f>
        <v>18.128190284930163</v>
      </c>
      <c r="C42" s="831"/>
      <c r="D42" s="388">
        <f t="shared" si="0"/>
        <v>18.816428604548996</v>
      </c>
      <c r="E42" s="380">
        <f t="shared" si="1"/>
        <v>19.3309666027519</v>
      </c>
      <c r="F42" s="380">
        <f t="shared" si="2"/>
        <v>19.3309666027519</v>
      </c>
      <c r="G42" s="110">
        <f t="shared" si="21"/>
        <v>0.15162368116293062</v>
      </c>
      <c r="H42" s="409" t="b">
        <f>Wh_hp&gt;='2028'!Maxi_hp</f>
        <v>0</v>
      </c>
      <c r="I42" s="385">
        <f>IF(H42,Wh_hp,'2028'!Maxi_hp)</f>
        <v>19.409681636189191</v>
      </c>
      <c r="J42" s="85">
        <f>IF(H42,An,'2028'!An_max)</f>
        <v>2022</v>
      </c>
      <c r="K42" s="193">
        <f t="shared" si="3"/>
        <v>47146</v>
      </c>
      <c r="L42" s="143">
        <f>IF(t&lt;Tvie,1-EXP((T0-t)*PertePVj)+'2028'!Pspv,1-EXP((T0-t)*PertePVj)+Pspv)</f>
        <v>3.6576458481204388E-2</v>
      </c>
      <c r="M42" s="835"/>
      <c r="N42" s="835"/>
      <c r="O42" s="48">
        <f>IF(t&lt;Tnet,'2028'!Resal+('2028'!Salim-'2028'!Resal)*(1-EXP(('2028'!Tnet-t)/('2028'!Tau_j))),Resal+(Salim-Resal)*(1-EXP((Tnet-t)/(Tau_j))))*Salcycl</f>
        <v>2.6617292801574481E-2</v>
      </c>
      <c r="P42" s="165">
        <f>(INDEX(Models!$BJ42:$BT42,,T42)*(1-R42)+INDEX(Models!$BJ42:$BT42,,T42+1)*R42-ERP_i)*Q42*Ramure*Pc/MaxiM</f>
        <v>4.0565349072903961E-3</v>
      </c>
      <c r="Q42" s="301">
        <f t="shared" si="4"/>
        <v>0.5</v>
      </c>
      <c r="R42" s="173">
        <f t="shared" si="5"/>
        <v>0.49094178626128038</v>
      </c>
      <c r="S42" s="801">
        <f t="shared" si="6"/>
        <v>3</v>
      </c>
      <c r="T42" s="172">
        <f t="shared" si="7"/>
        <v>9</v>
      </c>
      <c r="U42" s="247">
        <f t="shared" si="8"/>
        <v>3.4909417862612804</v>
      </c>
      <c r="V42" s="378">
        <f t="shared" si="9"/>
        <v>119.07541427405599</v>
      </c>
      <c r="W42" s="397">
        <f t="shared" si="10"/>
        <v>18.128190284930163</v>
      </c>
      <c r="X42" s="153">
        <f t="shared" si="11"/>
        <v>47146</v>
      </c>
      <c r="Y42" s="380">
        <f t="shared" si="12"/>
        <v>17.580224860978689</v>
      </c>
      <c r="Z42" s="380">
        <f t="shared" si="22"/>
        <v>18.247659625655633</v>
      </c>
      <c r="AA42" s="381">
        <f t="shared" si="13"/>
        <v>19.3309666027519</v>
      </c>
      <c r="AB42" s="193">
        <f t="shared" si="14"/>
        <v>47146</v>
      </c>
      <c r="AC42" s="119">
        <f>IF(OR(t&lt;Tnet,NoTnet),'2028'!Resal_s+('2028'!Salim-'2028'!Resal_s)*(1-EXP(('2028'!Tnet_s-t)/'2028'!Tau_j)),Resal_s+(Salim-Resal_s)*(1-EXP((Tnet_s-t)/Tau_j)))*Salcycl</f>
        <v>5.6039979756731383E-2</v>
      </c>
      <c r="AD42" s="227">
        <f>(INDEX(Models!$BJ42:$BT42,,AH42)*(1-AF42)+INDEX(Models!$BJ42:$BT42,,AH42+1)*AF42-ERP_i)*AE42*Ramure*Pc/MaxiM</f>
        <v>4.0565349072903961E-3</v>
      </c>
      <c r="AE42" s="301">
        <f t="shared" si="15"/>
        <v>0.5</v>
      </c>
      <c r="AF42" s="173">
        <f t="shared" si="23"/>
        <v>0.49094178626128038</v>
      </c>
      <c r="AG42" s="801">
        <f t="shared" si="24"/>
        <v>3</v>
      </c>
      <c r="AH42" s="172">
        <f t="shared" si="16"/>
        <v>9</v>
      </c>
      <c r="AI42" s="221">
        <f t="shared" si="17"/>
        <v>3.4909417862612804</v>
      </c>
      <c r="AJ42" s="261" t="b">
        <f t="shared" si="18"/>
        <v>0</v>
      </c>
      <c r="AK42" s="261" t="b">
        <f t="shared" si="19"/>
        <v>1</v>
      </c>
      <c r="AL42" s="261"/>
      <c r="AM42" s="261"/>
      <c r="AN42" s="75"/>
    </row>
    <row r="43" spans="1:40" s="6" customFormat="1" ht="11.25" x14ac:dyDescent="0.2">
      <c r="A43" s="56">
        <f t="shared" si="20"/>
        <v>47147</v>
      </c>
      <c r="B43" s="406">
        <f>'2028'!Wh/'2028'!Env_an*'2029'!Env_an</f>
        <v>28.415768886911771</v>
      </c>
      <c r="C43" s="831"/>
      <c r="D43" s="388">
        <f t="shared" si="0"/>
        <v>29.494979783713301</v>
      </c>
      <c r="E43" s="380">
        <f t="shared" si="1"/>
        <v>30.303343280234813</v>
      </c>
      <c r="F43" s="380">
        <f t="shared" si="2"/>
        <v>30.303343280234813</v>
      </c>
      <c r="G43" s="110">
        <f t="shared" si="21"/>
        <v>0.23513007227430638</v>
      </c>
      <c r="H43" s="409" t="b">
        <f>Wh_hp&gt;='2028'!Maxi_hp</f>
        <v>0</v>
      </c>
      <c r="I43" s="385">
        <f>IF(H43,Wh_hp,'2028'!Maxi_hp)</f>
        <v>30.422636176591364</v>
      </c>
      <c r="J43" s="85">
        <f>IF(H43,An,'2028'!An_max)</f>
        <v>2022</v>
      </c>
      <c r="K43" s="193">
        <f t="shared" si="3"/>
        <v>47147</v>
      </c>
      <c r="L43" s="143">
        <f>IF(t&lt;Tvie,1-EXP((T0-t)*PertePVj)+'2028'!Pspv,1-EXP((T0-t)*PertePVj)+Pspv)</f>
        <v>3.6589646940441534E-2</v>
      </c>
      <c r="M43" s="835"/>
      <c r="N43" s="835"/>
      <c r="O43" s="48">
        <f>IF(t&lt;Tnet,'2028'!Resal+('2028'!Salim-'2028'!Resal)*(1-EXP(('2028'!Tnet-t)/('2028'!Tau_j))),Resal+(Salim-Resal)*(1-EXP((Tnet-t)/(Tau_j))))*Salcycl</f>
        <v>2.6675719871766163E-2</v>
      </c>
      <c r="P43" s="165">
        <f>(INDEX(Models!$BJ43:$BT43,,T43)*(1-R43)+INDEX(Models!$BJ43:$BT43,,T43+1)*R43-ERP_i)*Q43*Ramure*Pc/MaxiM</f>
        <v>3.9223041112258382E-3</v>
      </c>
      <c r="Q43" s="301">
        <f t="shared" si="4"/>
        <v>0.5</v>
      </c>
      <c r="R43" s="173">
        <f t="shared" si="5"/>
        <v>0.49102988745656573</v>
      </c>
      <c r="S43" s="801">
        <f t="shared" si="6"/>
        <v>3</v>
      </c>
      <c r="T43" s="172">
        <f t="shared" si="7"/>
        <v>9</v>
      </c>
      <c r="U43" s="247">
        <f t="shared" si="8"/>
        <v>3.4910298874565657</v>
      </c>
      <c r="V43" s="378">
        <f t="shared" si="9"/>
        <v>120.37725896142601</v>
      </c>
      <c r="W43" s="397">
        <f t="shared" si="10"/>
        <v>28.415768886911771</v>
      </c>
      <c r="X43" s="153">
        <f t="shared" si="11"/>
        <v>47147</v>
      </c>
      <c r="Y43" s="380">
        <f t="shared" si="12"/>
        <v>27.557728852621189</v>
      </c>
      <c r="Z43" s="380">
        <f t="shared" si="22"/>
        <v>28.60435199300537</v>
      </c>
      <c r="AA43" s="381">
        <f t="shared" si="13"/>
        <v>30.303343280234813</v>
      </c>
      <c r="AB43" s="193">
        <f t="shared" si="14"/>
        <v>47147</v>
      </c>
      <c r="AC43" s="119">
        <f>IF(OR(t&lt;Tnet,NoTnet),'2028'!Resal_s+('2028'!Salim-'2028'!Resal_s)*(1-EXP(('2028'!Tnet_s-t)/'2028'!Tau_j)),Resal_s+(Salim-Resal_s)*(1-EXP((Tnet_s-t)/Tau_j)))*Salcycl</f>
        <v>5.606613341365542E-2</v>
      </c>
      <c r="AD43" s="227">
        <f>(INDEX(Models!$BJ43:$BT43,,AH43)*(1-AF43)+INDEX(Models!$BJ43:$BT43,,AH43+1)*AF43-ERP_i)*AE43*Ramure*Pc/MaxiM</f>
        <v>3.9223041112258382E-3</v>
      </c>
      <c r="AE43" s="301">
        <f t="shared" si="15"/>
        <v>0.5</v>
      </c>
      <c r="AF43" s="173">
        <f t="shared" si="23"/>
        <v>0.49102988745656573</v>
      </c>
      <c r="AG43" s="801">
        <f t="shared" si="24"/>
        <v>3</v>
      </c>
      <c r="AH43" s="172">
        <f t="shared" si="16"/>
        <v>9</v>
      </c>
      <c r="AI43" s="221">
        <f t="shared" si="17"/>
        <v>3.4910298874565657</v>
      </c>
      <c r="AJ43" s="261" t="b">
        <f t="shared" si="18"/>
        <v>0</v>
      </c>
      <c r="AK43" s="261" t="b">
        <f t="shared" si="19"/>
        <v>1</v>
      </c>
      <c r="AL43" s="261"/>
      <c r="AM43" s="261"/>
      <c r="AN43" s="75"/>
    </row>
    <row r="44" spans="1:40" s="6" customFormat="1" ht="11.25" x14ac:dyDescent="0.2">
      <c r="A44" s="56">
        <f t="shared" si="20"/>
        <v>47148</v>
      </c>
      <c r="B44" s="406">
        <f>'2028'!Wh/'2028'!Env_an*'2029'!Env_an</f>
        <v>25.604046068503116</v>
      </c>
      <c r="C44" s="831"/>
      <c r="D44" s="388">
        <f t="shared" si="0"/>
        <v>26.576833526728468</v>
      </c>
      <c r="E44" s="380">
        <f t="shared" si="1"/>
        <v>27.306858482678106</v>
      </c>
      <c r="F44" s="380">
        <f t="shared" si="2"/>
        <v>27.306858482678106</v>
      </c>
      <c r="G44" s="110">
        <f t="shared" si="21"/>
        <v>0.20959691834090055</v>
      </c>
      <c r="H44" s="409" t="b">
        <f>Wh_hp&gt;='2028'!Maxi_hp</f>
        <v>0</v>
      </c>
      <c r="I44" s="385">
        <f>IF(H44,Wh_hp,'2028'!Maxi_hp)</f>
        <v>27.410360787722297</v>
      </c>
      <c r="J44" s="85">
        <f>IF(H44,An,'2028'!An_max)</f>
        <v>2022</v>
      </c>
      <c r="K44" s="193">
        <f t="shared" si="3"/>
        <v>47148</v>
      </c>
      <c r="L44" s="143">
        <f>IF(t&lt;Tvie,1-EXP((T0-t)*PertePVj)+'2028'!Pspv,1-EXP((T0-t)*PertePVj)+Pspv)</f>
        <v>3.6602835219139762E-2</v>
      </c>
      <c r="M44" s="835"/>
      <c r="N44" s="835"/>
      <c r="O44" s="48">
        <f>IF(t&lt;Tnet,'2028'!Resal+('2028'!Salim-'2028'!Resal)*(1-EXP(('2028'!Tnet-t)/('2028'!Tau_j))),Resal+(Salim-Resal)*(1-EXP((Tnet-t)/(Tau_j))))*Salcycl</f>
        <v>2.6734124557488928E-2</v>
      </c>
      <c r="P44" s="165">
        <f>(INDEX(Models!$BJ44:$BT44,,T44)*(1-R44)+INDEX(Models!$BJ44:$BT44,,T44+1)*R44-ERP_i)*Q44*Ramure*Pc/MaxiM</f>
        <v>3.7771735654923261E-3</v>
      </c>
      <c r="Q44" s="301">
        <f t="shared" si="4"/>
        <v>0.5</v>
      </c>
      <c r="R44" s="173">
        <f t="shared" si="5"/>
        <v>0.49112165156955889</v>
      </c>
      <c r="S44" s="801">
        <f t="shared" si="6"/>
        <v>3</v>
      </c>
      <c r="T44" s="172">
        <f t="shared" si="7"/>
        <v>9</v>
      </c>
      <c r="U44" s="247">
        <f t="shared" si="8"/>
        <v>3.4911216515695589</v>
      </c>
      <c r="V44" s="378">
        <f t="shared" si="9"/>
        <v>121.69709051273793</v>
      </c>
      <c r="W44" s="397">
        <f t="shared" si="10"/>
        <v>25.604046068503116</v>
      </c>
      <c r="X44" s="153">
        <f t="shared" si="11"/>
        <v>47148</v>
      </c>
      <c r="Y44" s="380">
        <f t="shared" si="12"/>
        <v>24.831709059441771</v>
      </c>
      <c r="Z44" s="380">
        <f t="shared" si="22"/>
        <v>25.77515272747365</v>
      </c>
      <c r="AA44" s="381">
        <f t="shared" si="13"/>
        <v>27.306858482678106</v>
      </c>
      <c r="AB44" s="193">
        <f t="shared" si="14"/>
        <v>47148</v>
      </c>
      <c r="AC44" s="119">
        <f>IF(OR(t&lt;Tnet,NoTnet),'2028'!Resal_s+('2028'!Salim-'2028'!Resal_s)*(1-EXP(('2028'!Tnet_s-t)/'2028'!Tau_j)),Resal_s+(Salim-Resal_s)*(1-EXP((Tnet_s-t)/Tau_j)))*Salcycl</f>
        <v>5.6092346037391362E-2</v>
      </c>
      <c r="AD44" s="227">
        <f>(INDEX(Models!$BJ44:$BT44,,AH44)*(1-AF44)+INDEX(Models!$BJ44:$BT44,,AH44+1)*AF44-ERP_i)*AE44*Ramure*Pc/MaxiM</f>
        <v>3.7771735654923261E-3</v>
      </c>
      <c r="AE44" s="301">
        <f t="shared" si="15"/>
        <v>0.5</v>
      </c>
      <c r="AF44" s="173">
        <f t="shared" si="23"/>
        <v>0.49112165156955889</v>
      </c>
      <c r="AG44" s="801">
        <f t="shared" si="24"/>
        <v>3</v>
      </c>
      <c r="AH44" s="172">
        <f t="shared" si="16"/>
        <v>9</v>
      </c>
      <c r="AI44" s="221">
        <f t="shared" si="17"/>
        <v>3.4911216515695589</v>
      </c>
      <c r="AJ44" s="261" t="b">
        <f t="shared" si="18"/>
        <v>0</v>
      </c>
      <c r="AK44" s="261" t="b">
        <f t="shared" si="19"/>
        <v>1</v>
      </c>
      <c r="AL44" s="261"/>
      <c r="AM44" s="261"/>
      <c r="AN44" s="75"/>
    </row>
    <row r="45" spans="1:40" s="6" customFormat="1" ht="11.25" x14ac:dyDescent="0.2">
      <c r="A45" s="56">
        <f t="shared" si="20"/>
        <v>47149</v>
      </c>
      <c r="B45" s="406">
        <f>'2028'!Wh/'2028'!Env_an*'2029'!Env_an</f>
        <v>25.449089455532128</v>
      </c>
      <c r="C45" s="831"/>
      <c r="D45" s="388">
        <f t="shared" si="0"/>
        <v>26.416351186536371</v>
      </c>
      <c r="E45" s="380">
        <f t="shared" si="1"/>
        <v>27.143596165337506</v>
      </c>
      <c r="F45" s="380">
        <f t="shared" si="2"/>
        <v>27.143596165337506</v>
      </c>
      <c r="G45" s="110">
        <f t="shared" si="21"/>
        <v>0.20609875426674479</v>
      </c>
      <c r="H45" s="409" t="b">
        <f>Wh_hp&gt;='2028'!Maxi_hp</f>
        <v>0</v>
      </c>
      <c r="I45" s="385">
        <f>IF(H45,Wh_hp,'2028'!Maxi_hp)</f>
        <v>27.242367789857944</v>
      </c>
      <c r="J45" s="85">
        <f>IF(H45,An,'2028'!An_max)</f>
        <v>2022</v>
      </c>
      <c r="K45" s="193">
        <f t="shared" si="3"/>
        <v>47149</v>
      </c>
      <c r="L45" s="143">
        <f>IF(t&lt;Tvie,1-EXP((T0-t)*PertePVj)+'2028'!Pspv,1-EXP((T0-t)*PertePVj)+Pspv)</f>
        <v>3.6616023317301516E-2</v>
      </c>
      <c r="M45" s="835"/>
      <c r="N45" s="835"/>
      <c r="O45" s="48">
        <f>IF(t&lt;Tnet,'2028'!Resal+('2028'!Salim-'2028'!Resal)*(1-EXP(('2028'!Tnet-t)/('2028'!Tau_j))),Resal+(Salim-Resal)*(1-EXP((Tnet-t)/(Tau_j))))*Salcycl</f>
        <v>2.6792506577659397E-2</v>
      </c>
      <c r="P45" s="165">
        <f>(INDEX(Models!$BJ45:$BT45,,T45)*(1-R45)+INDEX(Models!$BJ45:$BT45,,T45+1)*R45-ERP_i)*Q45*Ramure*Pc/MaxiM</f>
        <v>3.6268319411645522E-3</v>
      </c>
      <c r="Q45" s="301">
        <f t="shared" si="4"/>
        <v>0.5</v>
      </c>
      <c r="R45" s="173">
        <f t="shared" si="5"/>
        <v>0.49121722945098911</v>
      </c>
      <c r="S45" s="801">
        <f t="shared" si="6"/>
        <v>3</v>
      </c>
      <c r="T45" s="172">
        <f t="shared" si="7"/>
        <v>9</v>
      </c>
      <c r="U45" s="247">
        <f t="shared" si="8"/>
        <v>3.4912172294509891</v>
      </c>
      <c r="V45" s="378">
        <f t="shared" si="9"/>
        <v>123.0322326558221</v>
      </c>
      <c r="W45" s="397">
        <f t="shared" si="10"/>
        <v>25.449089455532128</v>
      </c>
      <c r="X45" s="153">
        <f t="shared" si="11"/>
        <v>47149</v>
      </c>
      <c r="Y45" s="380">
        <f t="shared" si="12"/>
        <v>24.682220314944502</v>
      </c>
      <c r="Z45" s="380">
        <f t="shared" si="22"/>
        <v>25.620335102452998</v>
      </c>
      <c r="AA45" s="381">
        <f t="shared" si="13"/>
        <v>27.143596165337506</v>
      </c>
      <c r="AB45" s="193">
        <f t="shared" si="14"/>
        <v>47149</v>
      </c>
      <c r="AC45" s="119">
        <f>IF(OR(t&lt;Tnet,NoTnet),'2028'!Resal_s+('2028'!Salim-'2028'!Resal_s)*(1-EXP(('2028'!Tnet_s-t)/'2028'!Tau_j)),Resal_s+(Salim-Resal_s)*(1-EXP((Tnet_s-t)/Tau_j)))*Salcycl</f>
        <v>5.6118616472408282E-2</v>
      </c>
      <c r="AD45" s="227">
        <f>(INDEX(Models!$BJ45:$BT45,,AH45)*(1-AF45)+INDEX(Models!$BJ45:$BT45,,AH45+1)*AF45-ERP_i)*AE45*Ramure*Pc/MaxiM</f>
        <v>3.6268319411645522E-3</v>
      </c>
      <c r="AE45" s="301">
        <f t="shared" si="15"/>
        <v>0.5</v>
      </c>
      <c r="AF45" s="173">
        <f t="shared" si="23"/>
        <v>0.49121722945098911</v>
      </c>
      <c r="AG45" s="801">
        <f t="shared" si="24"/>
        <v>3</v>
      </c>
      <c r="AH45" s="172">
        <f t="shared" si="16"/>
        <v>9</v>
      </c>
      <c r="AI45" s="221">
        <f t="shared" si="17"/>
        <v>3.4912172294509891</v>
      </c>
      <c r="AJ45" s="261" t="b">
        <f t="shared" si="18"/>
        <v>0</v>
      </c>
      <c r="AK45" s="261" t="b">
        <f t="shared" si="19"/>
        <v>1</v>
      </c>
      <c r="AL45" s="261"/>
      <c r="AM45" s="261"/>
      <c r="AN45" s="75"/>
    </row>
    <row r="46" spans="1:40" s="6" customFormat="1" ht="11.25" x14ac:dyDescent="0.2">
      <c r="A46" s="56">
        <f t="shared" si="20"/>
        <v>47150</v>
      </c>
      <c r="B46" s="406">
        <f>'2028'!Wh/'2028'!Env_an*'2029'!Env_an</f>
        <v>55.48008607991634</v>
      </c>
      <c r="C46" s="831"/>
      <c r="D46" s="388">
        <f t="shared" si="0"/>
        <v>57.589545714828411</v>
      </c>
      <c r="E46" s="380">
        <f t="shared" si="1"/>
        <v>59.178540744189625</v>
      </c>
      <c r="F46" s="380">
        <f t="shared" si="2"/>
        <v>59.221435926537154</v>
      </c>
      <c r="G46" s="110">
        <f t="shared" si="21"/>
        <v>0.44482446896137345</v>
      </c>
      <c r="H46" s="409" t="b">
        <f>Wh_hp&gt;='2028'!Maxi_hp</f>
        <v>0</v>
      </c>
      <c r="I46" s="385">
        <f>IF(H46,Wh_hp,'2028'!Maxi_hp)</f>
        <v>59.384641801308028</v>
      </c>
      <c r="J46" s="85">
        <f>IF(H46,An,'2028'!An_max)</f>
        <v>2022</v>
      </c>
      <c r="K46" s="193">
        <f t="shared" si="3"/>
        <v>47150</v>
      </c>
      <c r="L46" s="143">
        <f>IF(t&lt;Tvie,1-EXP((T0-t)*PertePVj)+'2028'!Pspv,1-EXP((T0-t)*PertePVj)+Pspv)</f>
        <v>3.6629211234929349E-2</v>
      </c>
      <c r="M46" s="835"/>
      <c r="N46" s="835"/>
      <c r="O46" s="48">
        <f>IF(t&lt;Tnet,'2028'!Resal+('2028'!Salim-'2028'!Resal)*(1-EXP(('2028'!Tnet-t)/('2028'!Tau_j))),Resal+(Salim-Resal)*(1-EXP((Tnet-t)/(Tau_j))))*Salcycl</f>
        <v>2.6850865353877953E-2</v>
      </c>
      <c r="P46" s="165">
        <f>(INDEX(Models!$BJ46:$BT46,,T46)*(1-R46)+INDEX(Models!$BJ46:$BT46,,T46+1)*R46-ERP_i)*Q46*Ramure*Pc/MaxiM</f>
        <v>3.4715529535538823E-3</v>
      </c>
      <c r="Q46" s="301">
        <f t="shared" si="4"/>
        <v>0.5</v>
      </c>
      <c r="R46" s="173">
        <f t="shared" si="5"/>
        <v>0.49131677804142937</v>
      </c>
      <c r="S46" s="801">
        <f t="shared" si="6"/>
        <v>3</v>
      </c>
      <c r="T46" s="172">
        <f t="shared" si="7"/>
        <v>9</v>
      </c>
      <c r="U46" s="247">
        <f t="shared" si="8"/>
        <v>3.4913167780414294</v>
      </c>
      <c r="V46" s="378">
        <f t="shared" si="9"/>
        <v>124.38065497491043</v>
      </c>
      <c r="W46" s="397">
        <f t="shared" si="10"/>
        <v>55.48008607991634</v>
      </c>
      <c r="X46" s="153">
        <f t="shared" si="11"/>
        <v>47150</v>
      </c>
      <c r="Y46" s="380">
        <f t="shared" si="12"/>
        <v>53.810005011261879</v>
      </c>
      <c r="Z46" s="380">
        <f t="shared" si="22"/>
        <v>55.855964950151801</v>
      </c>
      <c r="AA46" s="381">
        <f t="shared" si="13"/>
        <v>59.178540744189625</v>
      </c>
      <c r="AB46" s="193">
        <f t="shared" si="14"/>
        <v>47150</v>
      </c>
      <c r="AC46" s="119">
        <f>IF(OR(t&lt;Tnet,NoTnet),'2028'!Resal_s+('2028'!Salim-'2028'!Resal_s)*(1-EXP(('2028'!Tnet_s-t)/'2028'!Tau_j)),Resal_s+(Salim-Resal_s)*(1-EXP((Tnet_s-t)/Tau_j)))*Salcycl</f>
        <v>5.6144942951538497E-2</v>
      </c>
      <c r="AD46" s="227">
        <f>(INDEX(Models!$BJ46:$BT46,,AH46)*(1-AF46)+INDEX(Models!$BJ46:$BT46,,AH46+1)*AF46-ERP_i)*AE46*Ramure*Pc/MaxiM</f>
        <v>3.4715529535538823E-3</v>
      </c>
      <c r="AE46" s="301">
        <f t="shared" si="15"/>
        <v>0.5</v>
      </c>
      <c r="AF46" s="173">
        <f t="shared" si="23"/>
        <v>0.49131677804142937</v>
      </c>
      <c r="AG46" s="801">
        <f t="shared" si="24"/>
        <v>3</v>
      </c>
      <c r="AH46" s="172">
        <f t="shared" si="16"/>
        <v>9</v>
      </c>
      <c r="AI46" s="221">
        <f t="shared" si="17"/>
        <v>3.4913167780414294</v>
      </c>
      <c r="AJ46" s="261" t="b">
        <f t="shared" si="18"/>
        <v>0</v>
      </c>
      <c r="AK46" s="261" t="b">
        <f t="shared" si="19"/>
        <v>1</v>
      </c>
      <c r="AL46" s="261"/>
      <c r="AM46" s="261"/>
      <c r="AN46" s="75"/>
    </row>
    <row r="47" spans="1:40" s="6" customFormat="1" ht="11.25" x14ac:dyDescent="0.2">
      <c r="A47" s="56">
        <f t="shared" si="20"/>
        <v>47151</v>
      </c>
      <c r="B47" s="406">
        <f>'2028'!Wh/'2028'!Env_an*'2029'!Env_an</f>
        <v>24.747728709255718</v>
      </c>
      <c r="C47" s="831"/>
      <c r="D47" s="388">
        <f t="shared" si="0"/>
        <v>25.689036638988519</v>
      </c>
      <c r="E47" s="380">
        <f t="shared" si="1"/>
        <v>26.399424020077706</v>
      </c>
      <c r="F47" s="380">
        <f t="shared" si="2"/>
        <v>26.399424020077706</v>
      </c>
      <c r="G47" s="110">
        <f t="shared" si="21"/>
        <v>0.19616438720724311</v>
      </c>
      <c r="H47" s="409" t="b">
        <f>Wh_hp&gt;='2028'!Maxi_hp</f>
        <v>0</v>
      </c>
      <c r="I47" s="385">
        <f>IF(H47,Wh_hp,'2028'!Maxi_hp)</f>
        <v>26.487106634612363</v>
      </c>
      <c r="J47" s="85">
        <f>IF(H47,An,'2028'!An_max)</f>
        <v>2022</v>
      </c>
      <c r="K47" s="193">
        <f t="shared" si="3"/>
        <v>47151</v>
      </c>
      <c r="L47" s="143">
        <f>IF(t&lt;Tvie,1-EXP((T0-t)*PertePVj)+'2028'!Pspv,1-EXP((T0-t)*PertePVj)+Pspv)</f>
        <v>3.6642398972025592E-2</v>
      </c>
      <c r="M47" s="835"/>
      <c r="N47" s="835"/>
      <c r="O47" s="48">
        <f>IF(t&lt;Tnet,'2028'!Resal+('2028'!Salim-'2028'!Resal)*(1-EXP(('2028'!Tnet-t)/('2028'!Tau_j))),Resal+(Salim-Resal)*(1-EXP((Tnet-t)/(Tau_j))))*Salcycl</f>
        <v>2.6909200009398494E-2</v>
      </c>
      <c r="P47" s="165">
        <f>(INDEX(Models!$BJ47:$BT47,,T47)*(1-R47)+INDEX(Models!$BJ47:$BT47,,T47+1)*R47-ERP_i)*Q47*Ramure*Pc/MaxiM</f>
        <v>3.3115905682447682E-3</v>
      </c>
      <c r="Q47" s="301">
        <f t="shared" si="4"/>
        <v>0.5</v>
      </c>
      <c r="R47" s="173">
        <f t="shared" si="5"/>
        <v>0.49142046060667433</v>
      </c>
      <c r="S47" s="801">
        <f t="shared" si="6"/>
        <v>3</v>
      </c>
      <c r="T47" s="172">
        <f t="shared" si="7"/>
        <v>9</v>
      </c>
      <c r="U47" s="247">
        <f t="shared" si="8"/>
        <v>3.4914204606066743</v>
      </c>
      <c r="V47" s="378">
        <f t="shared" si="9"/>
        <v>125.74032787214252</v>
      </c>
      <c r="W47" s="397">
        <f t="shared" si="10"/>
        <v>24.747728709255718</v>
      </c>
      <c r="X47" s="153">
        <f t="shared" si="11"/>
        <v>47151</v>
      </c>
      <c r="Y47" s="380">
        <f t="shared" si="12"/>
        <v>24.00353188437089</v>
      </c>
      <c r="Z47" s="380">
        <f t="shared" si="22"/>
        <v>24.91653344381913</v>
      </c>
      <c r="AA47" s="381">
        <f t="shared" si="13"/>
        <v>26.399424020077706</v>
      </c>
      <c r="AB47" s="193">
        <f t="shared" si="14"/>
        <v>47151</v>
      </c>
      <c r="AC47" s="119">
        <f>IF(OR(t&lt;Tnet,NoTnet),'2028'!Resal_s+('2028'!Salim-'2028'!Resal_s)*(1-EXP(('2028'!Tnet_s-t)/'2028'!Tau_j)),Resal_s+(Salim-Resal_s)*(1-EXP((Tnet_s-t)/Tau_j)))*Salcycl</f>
        <v>5.6171323098973117E-2</v>
      </c>
      <c r="AD47" s="227">
        <f>(INDEX(Models!$BJ47:$BT47,,AH47)*(1-AF47)+INDEX(Models!$BJ47:$BT47,,AH47+1)*AF47-ERP_i)*AE47*Ramure*Pc/MaxiM</f>
        <v>3.3115905682447682E-3</v>
      </c>
      <c r="AE47" s="301">
        <f t="shared" si="15"/>
        <v>0.5</v>
      </c>
      <c r="AF47" s="173">
        <f t="shared" si="23"/>
        <v>0.49142046060667433</v>
      </c>
      <c r="AG47" s="801">
        <f t="shared" si="24"/>
        <v>3</v>
      </c>
      <c r="AH47" s="172">
        <f t="shared" si="16"/>
        <v>9</v>
      </c>
      <c r="AI47" s="221">
        <f t="shared" si="17"/>
        <v>3.4914204606066743</v>
      </c>
      <c r="AJ47" s="261" t="b">
        <f t="shared" si="18"/>
        <v>0</v>
      </c>
      <c r="AK47" s="261" t="b">
        <f t="shared" si="19"/>
        <v>1</v>
      </c>
      <c r="AL47" s="261"/>
      <c r="AM47" s="261"/>
      <c r="AN47" s="75"/>
    </row>
    <row r="48" spans="1:40" s="6" customFormat="1" ht="11.25" x14ac:dyDescent="0.2">
      <c r="A48" s="56">
        <f t="shared" si="20"/>
        <v>47152</v>
      </c>
      <c r="B48" s="406">
        <f>'2028'!Wh/'2028'!Env_an*'2029'!Env_an</f>
        <v>55.555049731510714</v>
      </c>
      <c r="C48" s="831"/>
      <c r="D48" s="388">
        <f t="shared" si="0"/>
        <v>57.66893849658436</v>
      </c>
      <c r="E48" s="380">
        <f t="shared" si="1"/>
        <v>59.267228023834647</v>
      </c>
      <c r="F48" s="380">
        <f t="shared" si="2"/>
        <v>59.303773510381482</v>
      </c>
      <c r="G48" s="110">
        <f t="shared" si="21"/>
        <v>0.43595858431114642</v>
      </c>
      <c r="H48" s="409" t="b">
        <f>Wh_hp&gt;='2028'!Maxi_hp</f>
        <v>0</v>
      </c>
      <c r="I48" s="385">
        <f>IF(H48,Wh_hp,'2028'!Maxi_hp)</f>
        <v>59.454283525557202</v>
      </c>
      <c r="J48" s="85">
        <f>IF(H48,An,'2028'!An_max)</f>
        <v>2022</v>
      </c>
      <c r="K48" s="193">
        <f t="shared" si="3"/>
        <v>47152</v>
      </c>
      <c r="L48" s="143">
        <f>IF(t&lt;Tvie,1-EXP((T0-t)*PertePVj)+'2028'!Pspv,1-EXP((T0-t)*PertePVj)+Pspv)</f>
        <v>3.6655586528592798E-2</v>
      </c>
      <c r="M48" s="835"/>
      <c r="N48" s="835"/>
      <c r="O48" s="48">
        <f>IF(t&lt;Tnet,'2028'!Resal+('2028'!Salim-'2028'!Resal)*(1-EXP(('2028'!Tnet-t)/('2028'!Tau_j))),Resal+(Salim-Resal)*(1-EXP((Tnet-t)/(Tau_j))))*Salcycl</f>
        <v>2.6967509373097855E-2</v>
      </c>
      <c r="P48" s="165">
        <f>(INDEX(Models!$BJ48:$BT48,,T48)*(1-R48)+INDEX(Models!$BJ48:$BT48,,T48+1)*R48-ERP_i)*Q48*Ramure*Pc/MaxiM</f>
        <v>3.147179101853886E-3</v>
      </c>
      <c r="Q48" s="301">
        <f t="shared" si="4"/>
        <v>0.5</v>
      </c>
      <c r="R48" s="173">
        <f t="shared" si="5"/>
        <v>0.49152844698130727</v>
      </c>
      <c r="S48" s="801">
        <f t="shared" si="6"/>
        <v>3</v>
      </c>
      <c r="T48" s="172">
        <f t="shared" si="7"/>
        <v>9</v>
      </c>
      <c r="U48" s="247">
        <f t="shared" si="8"/>
        <v>3.4915284469813073</v>
      </c>
      <c r="V48" s="378">
        <f t="shared" si="9"/>
        <v>127.10922252263029</v>
      </c>
      <c r="W48" s="397">
        <f t="shared" si="10"/>
        <v>55.555049731510714</v>
      </c>
      <c r="X48" s="153">
        <f t="shared" si="11"/>
        <v>47152</v>
      </c>
      <c r="Y48" s="380">
        <f t="shared" si="12"/>
        <v>53.886156137080931</v>
      </c>
      <c r="Z48" s="380">
        <f t="shared" si="22"/>
        <v>55.936542926431073</v>
      </c>
      <c r="AA48" s="381">
        <f t="shared" si="13"/>
        <v>59.267228023834647</v>
      </c>
      <c r="AB48" s="193">
        <f t="shared" si="14"/>
        <v>47152</v>
      </c>
      <c r="AC48" s="119">
        <f>IF(OR(t&lt;Tnet,NoTnet),'2028'!Resal_s+('2028'!Salim-'2028'!Resal_s)*(1-EXP(('2028'!Tnet_s-t)/'2028'!Tau_j)),Resal_s+(Salim-Resal_s)*(1-EXP((Tnet_s-t)/Tau_j)))*Salcycl</f>
        <v>5.61977539436148E-2</v>
      </c>
      <c r="AD48" s="227">
        <f>(INDEX(Models!$BJ48:$BT48,,AH48)*(1-AF48)+INDEX(Models!$BJ48:$BT48,,AH48+1)*AF48-ERP_i)*AE48*Ramure*Pc/MaxiM</f>
        <v>3.147179101853886E-3</v>
      </c>
      <c r="AE48" s="301">
        <f t="shared" si="15"/>
        <v>0.5</v>
      </c>
      <c r="AF48" s="173">
        <f t="shared" si="23"/>
        <v>0.49152844698130727</v>
      </c>
      <c r="AG48" s="801">
        <f t="shared" si="24"/>
        <v>3</v>
      </c>
      <c r="AH48" s="172">
        <f t="shared" si="16"/>
        <v>9</v>
      </c>
      <c r="AI48" s="221">
        <f t="shared" si="17"/>
        <v>3.4915284469813073</v>
      </c>
      <c r="AJ48" s="261" t="b">
        <f t="shared" si="18"/>
        <v>0</v>
      </c>
      <c r="AK48" s="261" t="b">
        <f t="shared" si="19"/>
        <v>1</v>
      </c>
      <c r="AL48" s="261"/>
      <c r="AM48" s="261"/>
      <c r="AN48" s="75"/>
    </row>
    <row r="49" spans="1:40" s="6" customFormat="1" ht="11.25" x14ac:dyDescent="0.2">
      <c r="A49" s="56">
        <f t="shared" si="20"/>
        <v>47153</v>
      </c>
      <c r="B49" s="406">
        <f>'2028'!Wh/'2028'!Env_an*'2029'!Env_an</f>
        <v>50.550760362006727</v>
      </c>
      <c r="C49" s="831"/>
      <c r="D49" s="388">
        <f t="shared" si="0"/>
        <v>52.474952532061252</v>
      </c>
      <c r="E49" s="380">
        <f t="shared" si="1"/>
        <v>53.932521643402403</v>
      </c>
      <c r="F49" s="380">
        <f t="shared" si="2"/>
        <v>53.953972398976866</v>
      </c>
      <c r="G49" s="110">
        <f t="shared" si="21"/>
        <v>0.39242025961384497</v>
      </c>
      <c r="H49" s="409" t="b">
        <f>Wh_hp&gt;='2028'!Maxi_hp</f>
        <v>0</v>
      </c>
      <c r="I49" s="385">
        <f>IF(H49,Wh_hp,'2028'!Maxi_hp)</f>
        <v>54.093584600989601</v>
      </c>
      <c r="J49" s="85">
        <f>IF(H49,An,'2028'!An_max)</f>
        <v>2022</v>
      </c>
      <c r="K49" s="193">
        <f t="shared" si="3"/>
        <v>47153</v>
      </c>
      <c r="L49" s="143">
        <f>IF(t&lt;Tvie,1-EXP((T0-t)*PertePVj)+'2028'!Pspv,1-EXP((T0-t)*PertePVj)+Pspv)</f>
        <v>3.6668773904633412E-2</v>
      </c>
      <c r="M49" s="835"/>
      <c r="N49" s="835"/>
      <c r="O49" s="48">
        <f>IF(t&lt;Tnet,'2028'!Resal+('2028'!Salim-'2028'!Resal)*(1-EXP(('2028'!Tnet-t)/('2028'!Tau_j))),Resal+(Salim-Resal)*(1-EXP((Tnet-t)/(Tau_j))))*Salcycl</f>
        <v>2.7025791988338314E-2</v>
      </c>
      <c r="P49" s="165">
        <f>(INDEX(Models!$BJ49:$BT49,,T49)*(1-R49)+INDEX(Models!$BJ49:$BT49,,T49+1)*R49-ERP_i)*Q49*Ramure*Pc/MaxiM</f>
        <v>2.9785334351599638E-3</v>
      </c>
      <c r="Q49" s="301">
        <f t="shared" si="4"/>
        <v>0.5</v>
      </c>
      <c r="R49" s="173">
        <f t="shared" si="5"/>
        <v>0.49164091382067321</v>
      </c>
      <c r="S49" s="801">
        <f t="shared" si="6"/>
        <v>3</v>
      </c>
      <c r="T49" s="172">
        <f t="shared" si="7"/>
        <v>9</v>
      </c>
      <c r="U49" s="247">
        <f t="shared" si="8"/>
        <v>3.4916409138206732</v>
      </c>
      <c r="V49" s="378">
        <f t="shared" si="9"/>
        <v>128.4853109085835</v>
      </c>
      <c r="W49" s="397">
        <f t="shared" si="10"/>
        <v>50.550760362006727</v>
      </c>
      <c r="X49" s="153">
        <f t="shared" si="11"/>
        <v>47153</v>
      </c>
      <c r="Y49" s="380">
        <f t="shared" si="12"/>
        <v>49.033758853733701</v>
      </c>
      <c r="Z49" s="380">
        <f t="shared" si="22"/>
        <v>50.900207037282854</v>
      </c>
      <c r="AA49" s="381">
        <f t="shared" si="13"/>
        <v>53.932521643402403</v>
      </c>
      <c r="AB49" s="193">
        <f t="shared" si="14"/>
        <v>47153</v>
      </c>
      <c r="AC49" s="119">
        <f>IF(OR(t&lt;Tnet,NoTnet),'2028'!Resal_s+('2028'!Salim-'2028'!Resal_s)*(1-EXP(('2028'!Tnet_s-t)/'2028'!Tau_j)),Resal_s+(Salim-Resal_s)*(1-EXP((Tnet_s-t)/Tau_j)))*Salcycl</f>
        <v>5.6224231942444199E-2</v>
      </c>
      <c r="AD49" s="227">
        <f>(INDEX(Models!$BJ49:$BT49,,AH49)*(1-AF49)+INDEX(Models!$BJ49:$BT49,,AH49+1)*AF49-ERP_i)*AE49*Ramure*Pc/MaxiM</f>
        <v>2.9785334351599638E-3</v>
      </c>
      <c r="AE49" s="301">
        <f t="shared" si="15"/>
        <v>0.5</v>
      </c>
      <c r="AF49" s="173">
        <f t="shared" si="23"/>
        <v>0.49164091382067321</v>
      </c>
      <c r="AG49" s="801">
        <f t="shared" si="24"/>
        <v>3</v>
      </c>
      <c r="AH49" s="172">
        <f t="shared" si="16"/>
        <v>9</v>
      </c>
      <c r="AI49" s="221">
        <f t="shared" si="17"/>
        <v>3.4916409138206732</v>
      </c>
      <c r="AJ49" s="261" t="b">
        <f t="shared" si="18"/>
        <v>0</v>
      </c>
      <c r="AK49" s="261" t="b">
        <f t="shared" si="19"/>
        <v>1</v>
      </c>
      <c r="AL49" s="261"/>
      <c r="AM49" s="261"/>
      <c r="AN49" s="75"/>
    </row>
    <row r="50" spans="1:40" s="6" customFormat="1" ht="11.25" x14ac:dyDescent="0.2">
      <c r="A50" s="56">
        <f t="shared" si="20"/>
        <v>47154</v>
      </c>
      <c r="B50" s="406">
        <f>'2028'!Wh/'2028'!Env_an*'2029'!Env_an</f>
        <v>42.380271310279625</v>
      </c>
      <c r="C50" s="831"/>
      <c r="D50" s="388">
        <f t="shared" si="0"/>
        <v>43.994059696712092</v>
      </c>
      <c r="E50" s="380">
        <f t="shared" si="1"/>
        <v>45.218766864249922</v>
      </c>
      <c r="F50" s="380">
        <f t="shared" si="2"/>
        <v>45.223541034634394</v>
      </c>
      <c r="G50" s="110">
        <f t="shared" si="21"/>
        <v>0.3254557501525765</v>
      </c>
      <c r="H50" s="409" t="b">
        <f>Wh_hp&gt;='2028'!Maxi_hp</f>
        <v>0</v>
      </c>
      <c r="I50" s="385">
        <f>IF(H50,Wh_hp,'2028'!Maxi_hp)</f>
        <v>45.345948475362562</v>
      </c>
      <c r="J50" s="85">
        <f>IF(H50,An,'2028'!An_max)</f>
        <v>2022</v>
      </c>
      <c r="K50" s="193">
        <f t="shared" si="3"/>
        <v>47154</v>
      </c>
      <c r="L50" s="143">
        <f>IF(t&lt;Tvie,1-EXP((T0-t)*PertePVj)+'2028'!Pspv,1-EXP((T0-t)*PertePVj)+Pspv)</f>
        <v>3.6681961100149985E-2</v>
      </c>
      <c r="M50" s="835"/>
      <c r="N50" s="835"/>
      <c r="O50" s="48">
        <f>IF(t&lt;Tnet,'2028'!Resal+('2028'!Salim-'2028'!Resal)*(1-EXP(('2028'!Tnet-t)/('2028'!Tau_j))),Resal+(Salim-Resal)*(1-EXP((Tnet-t)/(Tau_j))))*Salcycl</f>
        <v>2.7084046126567164E-2</v>
      </c>
      <c r="P50" s="165">
        <f>(INDEX(Models!$BJ50:$BT50,,T50)*(1-R50)+INDEX(Models!$BJ50:$BT50,,T50+1)*R50-ERP_i)*Q50*Ramure*Pc/MaxiM</f>
        <v>2.805849320336647E-3</v>
      </c>
      <c r="Q50" s="301">
        <f t="shared" si="4"/>
        <v>0.5</v>
      </c>
      <c r="R50" s="173">
        <f t="shared" si="5"/>
        <v>0.49175804486145402</v>
      </c>
      <c r="S50" s="801">
        <f t="shared" si="6"/>
        <v>3</v>
      </c>
      <c r="T50" s="172">
        <f t="shared" si="7"/>
        <v>9</v>
      </c>
      <c r="U50" s="247">
        <f t="shared" si="8"/>
        <v>3.491758044861454</v>
      </c>
      <c r="V50" s="378">
        <f t="shared" si="9"/>
        <v>129.8665657743222</v>
      </c>
      <c r="W50" s="397">
        <f t="shared" si="10"/>
        <v>42.380271310279625</v>
      </c>
      <c r="X50" s="153">
        <f t="shared" si="11"/>
        <v>47154</v>
      </c>
      <c r="Y50" s="380">
        <f t="shared" si="12"/>
        <v>41.109767988617897</v>
      </c>
      <c r="Z50" s="380">
        <f t="shared" si="22"/>
        <v>42.67517717779581</v>
      </c>
      <c r="AA50" s="381">
        <f t="shared" si="13"/>
        <v>45.218766864249922</v>
      </c>
      <c r="AB50" s="193">
        <f t="shared" si="14"/>
        <v>47154</v>
      </c>
      <c r="AC50" s="119">
        <f>IF(OR(t&lt;Tnet,NoTnet),'2028'!Resal_s+('2028'!Salim-'2028'!Resal_s)*(1-EXP(('2028'!Tnet_s-t)/'2028'!Tau_j)),Resal_s+(Salim-Resal_s)*(1-EXP((Tnet_s-t)/Tau_j)))*Salcycl</f>
        <v>5.6250753013459165E-2</v>
      </c>
      <c r="AD50" s="227">
        <f>(INDEX(Models!$BJ50:$BT50,,AH50)*(1-AF50)+INDEX(Models!$BJ50:$BT50,,AH50+1)*AF50-ERP_i)*AE50*Ramure*Pc/MaxiM</f>
        <v>2.805849320336647E-3</v>
      </c>
      <c r="AE50" s="301">
        <f t="shared" si="15"/>
        <v>0.5</v>
      </c>
      <c r="AF50" s="173">
        <f t="shared" si="23"/>
        <v>0.49175804486145402</v>
      </c>
      <c r="AG50" s="801">
        <f t="shared" si="24"/>
        <v>3</v>
      </c>
      <c r="AH50" s="172">
        <f t="shared" si="16"/>
        <v>9</v>
      </c>
      <c r="AI50" s="221">
        <f t="shared" si="17"/>
        <v>3.491758044861454</v>
      </c>
      <c r="AJ50" s="261" t="b">
        <f t="shared" si="18"/>
        <v>0</v>
      </c>
      <c r="AK50" s="261" t="b">
        <f t="shared" si="19"/>
        <v>1</v>
      </c>
      <c r="AL50" s="261"/>
      <c r="AM50" s="261"/>
      <c r="AN50" s="75"/>
    </row>
    <row r="51" spans="1:40" s="6" customFormat="1" ht="11.25" x14ac:dyDescent="0.2">
      <c r="A51" s="56">
        <f t="shared" si="20"/>
        <v>47155</v>
      </c>
      <c r="B51" s="406">
        <f>'2028'!Wh/'2028'!Env_an*'2029'!Env_an</f>
        <v>89.921868799585738</v>
      </c>
      <c r="C51" s="831"/>
      <c r="D51" s="388">
        <f t="shared" si="0"/>
        <v>93.34726034405378</v>
      </c>
      <c r="E51" s="380">
        <f t="shared" si="1"/>
        <v>95.951604686726782</v>
      </c>
      <c r="F51" s="380">
        <f t="shared" si="2"/>
        <v>96.090569782228457</v>
      </c>
      <c r="G51" s="110">
        <f t="shared" si="21"/>
        <v>0.68424165237998613</v>
      </c>
      <c r="H51" s="409" t="b">
        <f>Wh_hp&gt;='2028'!Maxi_hp</f>
        <v>0</v>
      </c>
      <c r="I51" s="385">
        <f>IF(H51,Wh_hp,'2028'!Maxi_hp)</f>
        <v>96.204482022680693</v>
      </c>
      <c r="J51" s="85">
        <f>IF(H51,An,'2028'!An_max)</f>
        <v>2022</v>
      </c>
      <c r="K51" s="193">
        <f t="shared" si="3"/>
        <v>47155</v>
      </c>
      <c r="L51" s="143">
        <f>IF(t&lt;Tvie,1-EXP((T0-t)*PertePVj)+'2028'!Pspv,1-EXP((T0-t)*PertePVj)+Pspv)</f>
        <v>3.6695148115144849E-2</v>
      </c>
      <c r="M51" s="835"/>
      <c r="N51" s="835"/>
      <c r="O51" s="48">
        <f>IF(t&lt;Tnet,'2028'!Resal+('2028'!Salim-'2028'!Resal)*(1-EXP(('2028'!Tnet-t)/('2028'!Tau_j))),Resal+(Salim-Resal)*(1-EXP((Tnet-t)/(Tau_j))))*Salcycl</f>
        <v>2.7142269805449794E-2</v>
      </c>
      <c r="P51" s="165">
        <f>(INDEX(Models!$BJ51:$BT51,,T51)*(1-R51)+INDEX(Models!$BJ51:$BT51,,T51+1)*R51-ERP_i)*Q51*Ramure*Pc/MaxiM</f>
        <v>2.6290709483050264E-3</v>
      </c>
      <c r="Q51" s="301">
        <f t="shared" si="4"/>
        <v>0.5</v>
      </c>
      <c r="R51" s="173">
        <f t="shared" si="5"/>
        <v>0.49188003119104851</v>
      </c>
      <c r="S51" s="801">
        <f t="shared" si="6"/>
        <v>3</v>
      </c>
      <c r="T51" s="172">
        <f t="shared" si="7"/>
        <v>9</v>
      </c>
      <c r="U51" s="247">
        <f t="shared" si="8"/>
        <v>3.4918800311910485</v>
      </c>
      <c r="V51" s="378">
        <f t="shared" si="9"/>
        <v>131.26261380710011</v>
      </c>
      <c r="W51" s="397">
        <f t="shared" si="10"/>
        <v>89.921868799585738</v>
      </c>
      <c r="X51" s="153">
        <f t="shared" si="11"/>
        <v>47155</v>
      </c>
      <c r="Y51" s="380">
        <f t="shared" si="12"/>
        <v>87.228897964982195</v>
      </c>
      <c r="Z51" s="380">
        <f t="shared" si="22"/>
        <v>90.551706237444293</v>
      </c>
      <c r="AA51" s="381">
        <f t="shared" si="13"/>
        <v>95.951604686726782</v>
      </c>
      <c r="AB51" s="193">
        <f t="shared" si="14"/>
        <v>47155</v>
      </c>
      <c r="AC51" s="119">
        <f>IF(OR(t&lt;Tnet,NoTnet),'2028'!Resal_s+('2028'!Salim-'2028'!Resal_s)*(1-EXP(('2028'!Tnet_s-t)/'2028'!Tau_j)),Resal_s+(Salim-Resal_s)*(1-EXP((Tnet_s-t)/Tau_j)))*Salcycl</f>
        <v>5.6277312577654781E-2</v>
      </c>
      <c r="AD51" s="227">
        <f>(INDEX(Models!$BJ51:$BT51,,AH51)*(1-AF51)+INDEX(Models!$BJ51:$BT51,,AH51+1)*AF51-ERP_i)*AE51*Ramure*Pc/MaxiM</f>
        <v>2.6290709483050264E-3</v>
      </c>
      <c r="AE51" s="301">
        <f t="shared" si="15"/>
        <v>0.5</v>
      </c>
      <c r="AF51" s="173">
        <f t="shared" si="23"/>
        <v>0.49188003119104851</v>
      </c>
      <c r="AG51" s="801">
        <f t="shared" si="24"/>
        <v>3</v>
      </c>
      <c r="AH51" s="172">
        <f t="shared" si="16"/>
        <v>9</v>
      </c>
      <c r="AI51" s="221">
        <f t="shared" si="17"/>
        <v>3.4918800311910485</v>
      </c>
      <c r="AJ51" s="261" t="b">
        <f t="shared" si="18"/>
        <v>0</v>
      </c>
      <c r="AK51" s="261" t="b">
        <f t="shared" si="19"/>
        <v>1</v>
      </c>
      <c r="AL51" s="261"/>
      <c r="AM51" s="261"/>
      <c r="AN51" s="75"/>
    </row>
    <row r="52" spans="1:40" s="6" customFormat="1" ht="11.25" x14ac:dyDescent="0.2">
      <c r="A52" s="56">
        <f t="shared" si="20"/>
        <v>47156</v>
      </c>
      <c r="B52" s="406">
        <f>'2028'!Wh/'2028'!Env_an*'2029'!Env_an</f>
        <v>40.635859200024726</v>
      </c>
      <c r="C52" s="831"/>
      <c r="D52" s="388">
        <f t="shared" si="0"/>
        <v>42.184377457371127</v>
      </c>
      <c r="E52" s="380">
        <f t="shared" si="1"/>
        <v>43.363895394678934</v>
      </c>
      <c r="F52" s="380">
        <f t="shared" si="2"/>
        <v>43.364847220834498</v>
      </c>
      <c r="G52" s="110">
        <f t="shared" si="21"/>
        <v>0.30552102454123925</v>
      </c>
      <c r="H52" s="409" t="b">
        <f>Wh_hp&gt;='2028'!Maxi_hp</f>
        <v>0</v>
      </c>
      <c r="I52" s="385">
        <f>IF(H52,Wh_hp,'2028'!Maxi_hp)</f>
        <v>43.470447620371786</v>
      </c>
      <c r="J52" s="85">
        <f>IF(H52,An,'2028'!An_max)</f>
        <v>2022</v>
      </c>
      <c r="K52" s="193">
        <f t="shared" si="3"/>
        <v>47156</v>
      </c>
      <c r="L52" s="143">
        <f>IF(t&lt;Tvie,1-EXP((T0-t)*PertePVj)+'2028'!Pspv,1-EXP((T0-t)*PertePVj)+Pspv)</f>
        <v>3.6708334949620558E-2</v>
      </c>
      <c r="M52" s="835"/>
      <c r="N52" s="835"/>
      <c r="O52" s="48">
        <f>IF(t&lt;Tnet,'2028'!Resal+('2028'!Salim-'2028'!Resal)*(1-EXP(('2028'!Tnet-t)/('2028'!Tau_j))),Resal+(Salim-Resal)*(1-EXP((Tnet-t)/(Tau_j))))*Salcycl</f>
        <v>2.7200460811289136E-2</v>
      </c>
      <c r="P52" s="165">
        <f>(INDEX(Models!$BJ52:$BT52,,T52)*(1-R52)+INDEX(Models!$BJ52:$BT52,,T52+1)*R52-ERP_i)*Q52*Ramure*Pc/MaxiM</f>
        <v>2.4522864598756073E-3</v>
      </c>
      <c r="Q52" s="301">
        <f t="shared" si="4"/>
        <v>0.5</v>
      </c>
      <c r="R52" s="173">
        <f t="shared" si="5"/>
        <v>0.49200707152594969</v>
      </c>
      <c r="S52" s="801">
        <f t="shared" si="6"/>
        <v>3</v>
      </c>
      <c r="T52" s="172">
        <f t="shared" si="7"/>
        <v>9</v>
      </c>
      <c r="U52" s="247">
        <f t="shared" si="8"/>
        <v>3.4920070715259497</v>
      </c>
      <c r="V52" s="378">
        <f t="shared" si="9"/>
        <v>132.68186126555145</v>
      </c>
      <c r="W52" s="397">
        <f t="shared" si="10"/>
        <v>40.635859200024726</v>
      </c>
      <c r="X52" s="153">
        <f t="shared" si="11"/>
        <v>47156</v>
      </c>
      <c r="Y52" s="380">
        <f t="shared" si="12"/>
        <v>39.420147804808394</v>
      </c>
      <c r="Z52" s="380">
        <f t="shared" si="22"/>
        <v>40.922338721519772</v>
      </c>
      <c r="AA52" s="381">
        <f t="shared" si="13"/>
        <v>43.363895394678934</v>
      </c>
      <c r="AB52" s="193">
        <f t="shared" si="14"/>
        <v>47156</v>
      </c>
      <c r="AC52" s="119">
        <f>IF(OR(t&lt;Tnet,NoTnet),'2028'!Resal_s+('2028'!Salim-'2028'!Resal_s)*(1-EXP(('2028'!Tnet_s-t)/'2028'!Tau_j)),Resal_s+(Salim-Resal_s)*(1-EXP((Tnet_s-t)/Tau_j)))*Salcycl</f>
        <v>5.6303905609429154E-2</v>
      </c>
      <c r="AD52" s="227">
        <f>(INDEX(Models!$BJ52:$BT52,,AH52)*(1-AF52)+INDEX(Models!$BJ52:$BT52,,AH52+1)*AF52-ERP_i)*AE52*Ramure*Pc/MaxiM</f>
        <v>2.4522864598756073E-3</v>
      </c>
      <c r="AE52" s="301">
        <f t="shared" si="15"/>
        <v>0.5</v>
      </c>
      <c r="AF52" s="173">
        <f t="shared" si="23"/>
        <v>0.49200707152594969</v>
      </c>
      <c r="AG52" s="801">
        <f t="shared" si="24"/>
        <v>3</v>
      </c>
      <c r="AH52" s="172">
        <f t="shared" si="16"/>
        <v>9</v>
      </c>
      <c r="AI52" s="221">
        <f t="shared" si="17"/>
        <v>3.4920070715259497</v>
      </c>
      <c r="AJ52" s="261" t="b">
        <f t="shared" si="18"/>
        <v>0</v>
      </c>
      <c r="AK52" s="261" t="b">
        <f t="shared" si="19"/>
        <v>1</v>
      </c>
      <c r="AL52" s="261"/>
      <c r="AM52" s="261"/>
      <c r="AN52" s="75"/>
    </row>
    <row r="53" spans="1:40" s="6" customFormat="1" ht="11.25" x14ac:dyDescent="0.2">
      <c r="A53" s="56">
        <f t="shared" si="20"/>
        <v>47157</v>
      </c>
      <c r="B53" s="406">
        <f>'2028'!Wh/'2028'!Env_an*'2029'!Env_an</f>
        <v>135.98836317508909</v>
      </c>
      <c r="C53" s="831"/>
      <c r="D53" s="388">
        <f t="shared" si="0"/>
        <v>141.17242959841721</v>
      </c>
      <c r="E53" s="380">
        <f t="shared" si="1"/>
        <v>145.12842984348617</v>
      </c>
      <c r="F53" s="380">
        <f t="shared" si="2"/>
        <v>145.46002837728119</v>
      </c>
      <c r="G53" s="110">
        <f t="shared" si="21"/>
        <v>1.0139250594819578</v>
      </c>
      <c r="H53" s="409" t="b">
        <f>Wh_hp&gt;='2028'!Maxi_hp</f>
        <v>1</v>
      </c>
      <c r="I53" s="385">
        <f>IF(H53,Wh_hp,'2028'!Maxi_hp)</f>
        <v>145.46002837728119</v>
      </c>
      <c r="J53" s="85">
        <f>IF(H53,An,'2028'!An_max)</f>
        <v>2029</v>
      </c>
      <c r="K53" s="193">
        <f t="shared" si="3"/>
        <v>47157</v>
      </c>
      <c r="L53" s="143">
        <f>IF(t&lt;Tvie,1-EXP((T0-t)*PertePVj)+'2028'!Pspv,1-EXP((T0-t)*PertePVj)+Pspv)</f>
        <v>3.6721521603579665E-2</v>
      </c>
      <c r="M53" s="835"/>
      <c r="N53" s="835"/>
      <c r="O53" s="48">
        <f>IF(t&lt;Tnet,'2028'!Resal+('2028'!Salim-'2028'!Resal)*(1-EXP(('2028'!Tnet-t)/('2028'!Tau_j))),Resal+(Salim-Resal)*(1-EXP((Tnet-t)/(Tau_j))))*Salcycl</f>
        <v>2.7258616725443115E-2</v>
      </c>
      <c r="P53" s="165">
        <f>(INDEX(Models!$BJ53:$BT53,,T53)*(1-R53)+INDEX(Models!$BJ53:$BT53,,T53+1)*R53-ERP_i)*Q53*Ramure*Pc/MaxiM</f>
        <v>2.2796539880696972E-3</v>
      </c>
      <c r="Q53" s="301">
        <f t="shared" si="4"/>
        <v>0.5</v>
      </c>
      <c r="R53" s="173">
        <f t="shared" si="5"/>
        <v>0.49213937249931616</v>
      </c>
      <c r="S53" s="801">
        <f t="shared" si="6"/>
        <v>3</v>
      </c>
      <c r="T53" s="172">
        <f t="shared" si="7"/>
        <v>9</v>
      </c>
      <c r="U53" s="247">
        <f t="shared" si="8"/>
        <v>3.4921393724993162</v>
      </c>
      <c r="V53" s="378">
        <f t="shared" si="9"/>
        <v>134.1207241140379</v>
      </c>
      <c r="W53" s="397">
        <f t="shared" si="10"/>
        <v>135.98836317508909</v>
      </c>
      <c r="X53" s="153">
        <f t="shared" si="11"/>
        <v>47157</v>
      </c>
      <c r="Y53" s="380">
        <f t="shared" si="12"/>
        <v>131.9241365275216</v>
      </c>
      <c r="Z53" s="380">
        <f t="shared" si="22"/>
        <v>136.95326895202422</v>
      </c>
      <c r="AA53" s="381">
        <f t="shared" si="13"/>
        <v>145.12842984348617</v>
      </c>
      <c r="AB53" s="193">
        <f t="shared" si="14"/>
        <v>47157</v>
      </c>
      <c r="AC53" s="119">
        <f>IF(OR(t&lt;Tnet,NoTnet),'2028'!Resal_s+('2028'!Salim-'2028'!Resal_s)*(1-EXP(('2028'!Tnet_s-t)/'2028'!Tau_j)),Resal_s+(Salim-Resal_s)*(1-EXP((Tnet_s-t)/Tau_j)))*Salcycl</f>
        <v>5.6330526694724443E-2</v>
      </c>
      <c r="AD53" s="227">
        <f>(INDEX(Models!$BJ53:$BT53,,AH53)*(1-AF53)+INDEX(Models!$BJ53:$BT53,,AH53+1)*AF53-ERP_i)*AE53*Ramure*Pc/MaxiM</f>
        <v>2.2796539880696972E-3</v>
      </c>
      <c r="AE53" s="301">
        <f t="shared" si="15"/>
        <v>0.5</v>
      </c>
      <c r="AF53" s="173">
        <f t="shared" si="23"/>
        <v>0.49213937249931616</v>
      </c>
      <c r="AG53" s="801">
        <f t="shared" si="24"/>
        <v>3</v>
      </c>
      <c r="AH53" s="172">
        <f t="shared" si="16"/>
        <v>9</v>
      </c>
      <c r="AI53" s="221">
        <f t="shared" si="17"/>
        <v>3.4921393724993162</v>
      </c>
      <c r="AJ53" s="261" t="b">
        <f t="shared" si="18"/>
        <v>0</v>
      </c>
      <c r="AK53" s="261" t="b">
        <f t="shared" si="19"/>
        <v>1</v>
      </c>
      <c r="AL53" s="261"/>
      <c r="AM53" s="261"/>
      <c r="AN53" s="75"/>
    </row>
    <row r="54" spans="1:40" s="6" customFormat="1" ht="11.25" x14ac:dyDescent="0.2">
      <c r="A54" s="56">
        <f t="shared" si="20"/>
        <v>47158</v>
      </c>
      <c r="B54" s="406">
        <f>'2028'!Wh/'2028'!Env_an*'2029'!Env_an</f>
        <v>135.35214728697139</v>
      </c>
      <c r="C54" s="831"/>
      <c r="D54" s="388">
        <f t="shared" si="0"/>
        <v>140.51388378871891</v>
      </c>
      <c r="E54" s="380">
        <f t="shared" si="1"/>
        <v>144.46006098617693</v>
      </c>
      <c r="F54" s="380">
        <f t="shared" si="2"/>
        <v>144.76496154012847</v>
      </c>
      <c r="G54" s="110">
        <f t="shared" si="21"/>
        <v>0.99834271252397733</v>
      </c>
      <c r="H54" s="409" t="b">
        <f>Wh_hp&gt;='2028'!Maxi_hp</f>
        <v>0</v>
      </c>
      <c r="I54" s="385">
        <f>IF(H54,Wh_hp,'2028'!Maxi_hp)</f>
        <v>144.76568409319361</v>
      </c>
      <c r="J54" s="85">
        <f>IF(H54,An,'2028'!An_max)</f>
        <v>2022</v>
      </c>
      <c r="K54" s="193">
        <f t="shared" si="3"/>
        <v>47158</v>
      </c>
      <c r="L54" s="143">
        <f>IF(t&lt;Tvie,1-EXP((T0-t)*PertePVj)+'2028'!Pspv,1-EXP((T0-t)*PertePVj)+Pspv)</f>
        <v>3.6734708077024503E-2</v>
      </c>
      <c r="M54" s="835"/>
      <c r="N54" s="835"/>
      <c r="O54" s="48">
        <f>IF(t&lt;Tnet,'2028'!Resal+('2028'!Salim-'2028'!Resal)*(1-EXP(('2028'!Tnet-t)/('2028'!Tau_j))),Resal+(Salim-Resal)*(1-EXP((Tnet-t)/(Tau_j))))*Salcycl</f>
        <v>2.7316734954414851E-2</v>
      </c>
      <c r="P54" s="165">
        <f>(INDEX(Models!$BJ54:$BT54,,T54)*(1-R54)+INDEX(Models!$BJ54:$BT54,,T54+1)*R54-ERP_i)*Q54*Ramure*Pc/MaxiM</f>
        <v>2.1111597056910638E-3</v>
      </c>
      <c r="Q54" s="301">
        <f t="shared" si="4"/>
        <v>0.5</v>
      </c>
      <c r="R54" s="173">
        <f t="shared" si="5"/>
        <v>0.49227714895790742</v>
      </c>
      <c r="S54" s="801">
        <f t="shared" si="6"/>
        <v>3</v>
      </c>
      <c r="T54" s="172">
        <f t="shared" si="7"/>
        <v>9</v>
      </c>
      <c r="U54" s="247">
        <f t="shared" si="8"/>
        <v>3.4922771489579074</v>
      </c>
      <c r="V54" s="378">
        <f t="shared" si="9"/>
        <v>135.57616004219256</v>
      </c>
      <c r="W54" s="397">
        <f t="shared" si="10"/>
        <v>135.35214728697139</v>
      </c>
      <c r="X54" s="153">
        <f t="shared" si="11"/>
        <v>47158</v>
      </c>
      <c r="Y54" s="380">
        <f t="shared" si="12"/>
        <v>131.31107307932874</v>
      </c>
      <c r="Z54" s="380">
        <f t="shared" si="22"/>
        <v>136.31870075707931</v>
      </c>
      <c r="AA54" s="381">
        <f t="shared" si="13"/>
        <v>144.46006098617693</v>
      </c>
      <c r="AB54" s="193">
        <f t="shared" si="14"/>
        <v>47158</v>
      </c>
      <c r="AC54" s="119">
        <f>IF(OR(t&lt;Tnet,NoTnet),'2028'!Resal_s+('2028'!Salim-'2028'!Resal_s)*(1-EXP(('2028'!Tnet_s-t)/'2028'!Tau_j)),Resal_s+(Salim-Resal_s)*(1-EXP((Tnet_s-t)/Tau_j)))*Salcycl</f>
        <v>5.6357170096146138E-2</v>
      </c>
      <c r="AD54" s="227">
        <f>(INDEX(Models!$BJ54:$BT54,,AH54)*(1-AF54)+INDEX(Models!$BJ54:$BT54,,AH54+1)*AF54-ERP_i)*AE54*Ramure*Pc/MaxiM</f>
        <v>2.1111597056910638E-3</v>
      </c>
      <c r="AE54" s="301">
        <f t="shared" si="15"/>
        <v>0.5</v>
      </c>
      <c r="AF54" s="173">
        <f t="shared" si="23"/>
        <v>0.49227714895790742</v>
      </c>
      <c r="AG54" s="801">
        <f t="shared" si="24"/>
        <v>3</v>
      </c>
      <c r="AH54" s="172">
        <f t="shared" si="16"/>
        <v>9</v>
      </c>
      <c r="AI54" s="221">
        <f t="shared" si="17"/>
        <v>3.4922771489579074</v>
      </c>
      <c r="AJ54" s="261" t="b">
        <f t="shared" si="18"/>
        <v>0</v>
      </c>
      <c r="AK54" s="261" t="b">
        <f t="shared" si="19"/>
        <v>1</v>
      </c>
      <c r="AL54" s="261"/>
      <c r="AM54" s="261"/>
      <c r="AN54" s="75"/>
    </row>
    <row r="55" spans="1:40" s="6" customFormat="1" ht="11.25" x14ac:dyDescent="0.2">
      <c r="A55" s="56">
        <f t="shared" si="20"/>
        <v>47159</v>
      </c>
      <c r="B55" s="406">
        <f>'2028'!Wh/'2028'!Env_an*'2029'!Env_an</f>
        <v>127.140352204804</v>
      </c>
      <c r="C55" s="831"/>
      <c r="D55" s="388">
        <f t="shared" si="0"/>
        <v>131.99073374632721</v>
      </c>
      <c r="E55" s="380">
        <f t="shared" si="1"/>
        <v>135.70565052023471</v>
      </c>
      <c r="F55" s="380">
        <f t="shared" si="2"/>
        <v>135.94297586595698</v>
      </c>
      <c r="G55" s="110">
        <f t="shared" si="21"/>
        <v>0.92753937593766722</v>
      </c>
      <c r="H55" s="409" t="b">
        <f>Wh_hp&gt;='2028'!Maxi_hp</f>
        <v>0</v>
      </c>
      <c r="I55" s="385">
        <f>IF(H55,Wh_hp,'2028'!Maxi_hp)</f>
        <v>135.97033911419149</v>
      </c>
      <c r="J55" s="85">
        <f>IF(H55,An,'2028'!An_max)</f>
        <v>2022</v>
      </c>
      <c r="K55" s="193">
        <f t="shared" si="3"/>
        <v>47159</v>
      </c>
      <c r="L55" s="143">
        <f>IF(t&lt;Tvie,1-EXP((T0-t)*PertePVj)+'2028'!Pspv,1-EXP((T0-t)*PertePVj)+Pspv)</f>
        <v>3.6747894369957512E-2</v>
      </c>
      <c r="M55" s="835"/>
      <c r="N55" s="835"/>
      <c r="O55" s="48">
        <f>IF(t&lt;Tnet,'2028'!Resal+('2028'!Salim-'2028'!Resal)*(1-EXP(('2028'!Tnet-t)/('2028'!Tau_j))),Resal+(Salim-Resal)*(1-EXP((Tnet-t)/(Tau_j))))*Salcycl</f>
        <v>2.7374812763257542E-2</v>
      </c>
      <c r="P55" s="165">
        <f>(INDEX(Models!$BJ55:$BT55,,T55)*(1-R55)+INDEX(Models!$BJ55:$BT55,,T55+1)*R55-ERP_i)*Q55*Ramure*Pc/MaxiM</f>
        <v>1.9467722663223505E-3</v>
      </c>
      <c r="Q55" s="301">
        <f t="shared" si="4"/>
        <v>0.5</v>
      </c>
      <c r="R55" s="173">
        <f t="shared" si="5"/>
        <v>0.49242062426856981</v>
      </c>
      <c r="S55" s="801">
        <f t="shared" si="6"/>
        <v>3</v>
      </c>
      <c r="T55" s="172">
        <f t="shared" si="7"/>
        <v>9</v>
      </c>
      <c r="U55" s="247">
        <f t="shared" si="8"/>
        <v>3.4924206242685698</v>
      </c>
      <c r="V55" s="378">
        <f t="shared" si="9"/>
        <v>137.04512765388264</v>
      </c>
      <c r="W55" s="397">
        <f t="shared" si="10"/>
        <v>127.140352204804</v>
      </c>
      <c r="X55" s="153">
        <f t="shared" si="11"/>
        <v>47159</v>
      </c>
      <c r="Y55" s="380">
        <f t="shared" si="12"/>
        <v>123.34832965115449</v>
      </c>
      <c r="Z55" s="380">
        <f t="shared" si="22"/>
        <v>128.05404621511312</v>
      </c>
      <c r="AA55" s="381">
        <f t="shared" si="13"/>
        <v>135.70565052023471</v>
      </c>
      <c r="AB55" s="193">
        <f t="shared" si="14"/>
        <v>47159</v>
      </c>
      <c r="AC55" s="119">
        <f>IF(OR(t&lt;Tnet,NoTnet),'2028'!Resal_s+('2028'!Salim-'2028'!Resal_s)*(1-EXP(('2028'!Tnet_s-t)/'2028'!Tau_j)),Resal_s+(Salim-Resal_s)*(1-EXP((Tnet_s-t)/Tau_j)))*Salcycl</f>
        <v>5.6383829824246536E-2</v>
      </c>
      <c r="AD55" s="227">
        <f>(INDEX(Models!$BJ55:$BT55,,AH55)*(1-AF55)+INDEX(Models!$BJ55:$BT55,,AH55+1)*AF55-ERP_i)*AE55*Ramure*Pc/MaxiM</f>
        <v>1.9467722663223505E-3</v>
      </c>
      <c r="AE55" s="301">
        <f t="shared" si="15"/>
        <v>0.5</v>
      </c>
      <c r="AF55" s="173">
        <f t="shared" si="23"/>
        <v>0.49242062426856981</v>
      </c>
      <c r="AG55" s="801">
        <f t="shared" si="24"/>
        <v>3</v>
      </c>
      <c r="AH55" s="172">
        <f t="shared" si="16"/>
        <v>9</v>
      </c>
      <c r="AI55" s="221">
        <f t="shared" si="17"/>
        <v>3.4924206242685698</v>
      </c>
      <c r="AJ55" s="261" t="b">
        <f t="shared" si="18"/>
        <v>0</v>
      </c>
      <c r="AK55" s="261" t="b">
        <f t="shared" si="19"/>
        <v>1</v>
      </c>
      <c r="AL55" s="261"/>
      <c r="AM55" s="261"/>
      <c r="AN55" s="75"/>
    </row>
    <row r="56" spans="1:40" s="6" customFormat="1" ht="11.25" x14ac:dyDescent="0.2">
      <c r="A56" s="56">
        <f t="shared" si="20"/>
        <v>47160</v>
      </c>
      <c r="B56" s="406">
        <f>'2028'!Wh/'2028'!Env_an*'2029'!Env_an</f>
        <v>63.420434300189051</v>
      </c>
      <c r="C56" s="831"/>
      <c r="D56" s="388">
        <f t="shared" si="0"/>
        <v>65.84081375361103</v>
      </c>
      <c r="E56" s="380">
        <f t="shared" si="1"/>
        <v>67.697961597440965</v>
      </c>
      <c r="F56" s="380">
        <f t="shared" si="2"/>
        <v>67.725240453137019</v>
      </c>
      <c r="G56" s="110">
        <f t="shared" si="21"/>
        <v>0.45719426702197069</v>
      </c>
      <c r="H56" s="409" t="b">
        <f>Wh_hp&gt;='2028'!Maxi_hp</f>
        <v>0</v>
      </c>
      <c r="I56" s="385">
        <f>IF(H56,Wh_hp,'2028'!Maxi_hp)</f>
        <v>67.819064186061496</v>
      </c>
      <c r="J56" s="85">
        <f>IF(H56,An,'2028'!An_max)</f>
        <v>2022</v>
      </c>
      <c r="K56" s="193">
        <f t="shared" si="3"/>
        <v>47160</v>
      </c>
      <c r="L56" s="143">
        <f>IF(t&lt;Tvie,1-EXP((T0-t)*PertePVj)+'2028'!Pspv,1-EXP((T0-t)*PertePVj)+Pspv)</f>
        <v>3.6761080482381359E-2</v>
      </c>
      <c r="M56" s="835"/>
      <c r="N56" s="835"/>
      <c r="O56" s="48">
        <f>IF(t&lt;Tnet,'2028'!Resal+('2028'!Salim-'2028'!Resal)*(1-EXP(('2028'!Tnet-t)/('2028'!Tau_j))),Resal+(Salim-Resal)*(1-EXP((Tnet-t)/(Tau_j))))*Salcycl</f>
        <v>2.743284731190691E-2</v>
      </c>
      <c r="P56" s="165">
        <f>(INDEX(Models!$BJ56:$BT56,,T56)*(1-R56)+INDEX(Models!$BJ56:$BT56,,T56+1)*R56-ERP_i)*Q56*Ramure*Pc/MaxiM</f>
        <v>1.7864447168392816E-3</v>
      </c>
      <c r="Q56" s="301">
        <f t="shared" si="4"/>
        <v>0.5</v>
      </c>
      <c r="R56" s="173">
        <f t="shared" si="5"/>
        <v>0.49257003063443117</v>
      </c>
      <c r="S56" s="801">
        <f t="shared" si="6"/>
        <v>3</v>
      </c>
      <c r="T56" s="172">
        <f t="shared" si="7"/>
        <v>9</v>
      </c>
      <c r="U56" s="247">
        <f t="shared" si="8"/>
        <v>3.4925700306344312</v>
      </c>
      <c r="V56" s="378">
        <f t="shared" si="9"/>
        <v>138.52458647040663</v>
      </c>
      <c r="W56" s="397">
        <f t="shared" si="10"/>
        <v>63.420434300189051</v>
      </c>
      <c r="X56" s="153">
        <f t="shared" si="11"/>
        <v>47160</v>
      </c>
      <c r="Y56" s="380">
        <f t="shared" si="12"/>
        <v>61.530821541555163</v>
      </c>
      <c r="Z56" s="380">
        <f t="shared" si="22"/>
        <v>63.879085754102668</v>
      </c>
      <c r="AA56" s="381">
        <f t="shared" si="13"/>
        <v>67.697961597440965</v>
      </c>
      <c r="AB56" s="193">
        <f t="shared" si="14"/>
        <v>47160</v>
      </c>
      <c r="AC56" s="119">
        <f>IF(OR(t&lt;Tnet,NoTnet),'2028'!Resal_s+('2028'!Salim-'2028'!Resal_s)*(1-EXP(('2028'!Tnet_s-t)/'2028'!Tau_j)),Resal_s+(Salim-Resal_s)*(1-EXP((Tnet_s-t)/Tau_j)))*Salcycl</f>
        <v>5.6410499714110364E-2</v>
      </c>
      <c r="AD56" s="227">
        <f>(INDEX(Models!$BJ56:$BT56,,AH56)*(1-AF56)+INDEX(Models!$BJ56:$BT56,,AH56+1)*AF56-ERP_i)*AE56*Ramure*Pc/MaxiM</f>
        <v>1.7864447168392816E-3</v>
      </c>
      <c r="AE56" s="301">
        <f t="shared" si="15"/>
        <v>0.5</v>
      </c>
      <c r="AF56" s="173">
        <f t="shared" si="23"/>
        <v>0.49257003063443117</v>
      </c>
      <c r="AG56" s="801">
        <f t="shared" si="24"/>
        <v>3</v>
      </c>
      <c r="AH56" s="172">
        <f t="shared" si="16"/>
        <v>9</v>
      </c>
      <c r="AI56" s="221">
        <f t="shared" si="17"/>
        <v>3.4925700306344312</v>
      </c>
      <c r="AJ56" s="261" t="b">
        <f t="shared" si="18"/>
        <v>0</v>
      </c>
      <c r="AK56" s="261" t="b">
        <f t="shared" si="19"/>
        <v>1</v>
      </c>
      <c r="AL56" s="261"/>
      <c r="AM56" s="261"/>
      <c r="AN56" s="75"/>
    </row>
    <row r="57" spans="1:40" s="6" customFormat="1" ht="11.25" x14ac:dyDescent="0.2">
      <c r="A57" s="56">
        <f t="shared" si="20"/>
        <v>47161</v>
      </c>
      <c r="B57" s="406">
        <f>'2028'!Wh/'2028'!Env_an*'2029'!Env_an</f>
        <v>106.22541164047881</v>
      </c>
      <c r="C57" s="831"/>
      <c r="D57" s="388">
        <f t="shared" si="0"/>
        <v>110.28091125124364</v>
      </c>
      <c r="E57" s="380">
        <f t="shared" si="1"/>
        <v>113.39832599926761</v>
      </c>
      <c r="F57" s="380">
        <f t="shared" si="2"/>
        <v>113.51958422568087</v>
      </c>
      <c r="G57" s="110">
        <f t="shared" si="21"/>
        <v>0.75826383680565501</v>
      </c>
      <c r="H57" s="409" t="b">
        <f>Wh_hp&gt;='2028'!Maxi_hp</f>
        <v>0</v>
      </c>
      <c r="I57" s="385">
        <f>IF(H57,Wh_hp,'2028'!Maxi_hp)</f>
        <v>113.58344330581436</v>
      </c>
      <c r="J57" s="85">
        <f>IF(H57,An,'2028'!An_max)</f>
        <v>2022</v>
      </c>
      <c r="K57" s="193">
        <f t="shared" si="3"/>
        <v>47161</v>
      </c>
      <c r="L57" s="143">
        <f>IF(t&lt;Tvie,1-EXP((T0-t)*PertePVj)+'2028'!Pspv,1-EXP((T0-t)*PertePVj)+Pspv)</f>
        <v>3.6774266414298373E-2</v>
      </c>
      <c r="M57" s="835"/>
      <c r="N57" s="835"/>
      <c r="O57" s="48">
        <f>IF(t&lt;Tnet,'2028'!Resal+('2028'!Salim-'2028'!Resal)*(1-EXP(('2028'!Tnet-t)/('2028'!Tau_j))),Resal+(Salim-Resal)*(1-EXP((Tnet-t)/(Tau_j))))*Salcycl</f>
        <v>2.7490835694030519E-2</v>
      </c>
      <c r="P57" s="165">
        <f>(INDEX(Models!$BJ57:$BT57,,T57)*(1-R57)+INDEX(Models!$BJ57:$BT57,,T57+1)*R57-ERP_i)*Q57*Ramure*Pc/MaxiM</f>
        <v>1.6301162834295242E-3</v>
      </c>
      <c r="Q57" s="301">
        <f t="shared" si="4"/>
        <v>0.5</v>
      </c>
      <c r="R57" s="173">
        <f t="shared" si="5"/>
        <v>0.49272560942095378</v>
      </c>
      <c r="S57" s="801">
        <f t="shared" si="6"/>
        <v>3</v>
      </c>
      <c r="T57" s="172">
        <f t="shared" si="7"/>
        <v>9</v>
      </c>
      <c r="U57" s="247">
        <f t="shared" si="8"/>
        <v>3.4927256094209538</v>
      </c>
      <c r="V57" s="378">
        <f t="shared" si="9"/>
        <v>140.0114969129699</v>
      </c>
      <c r="W57" s="397">
        <f t="shared" si="10"/>
        <v>106.22541164047881</v>
      </c>
      <c r="X57" s="153">
        <f t="shared" si="11"/>
        <v>47161</v>
      </c>
      <c r="Y57" s="380">
        <f t="shared" si="12"/>
        <v>103.06365567719013</v>
      </c>
      <c r="Z57" s="380">
        <f t="shared" si="22"/>
        <v>106.99844499951806</v>
      </c>
      <c r="AA57" s="381">
        <f t="shared" si="13"/>
        <v>113.39832599926761</v>
      </c>
      <c r="AB57" s="193">
        <f t="shared" si="14"/>
        <v>47161</v>
      </c>
      <c r="AC57" s="119">
        <f>IF(OR(t&lt;Tnet,NoTnet),'2028'!Resal_s+('2028'!Salim-'2028'!Resal_s)*(1-EXP(('2028'!Tnet_s-t)/'2028'!Tau_j)),Resal_s+(Salim-Resal_s)*(1-EXP((Tnet_s-t)/Tau_j)))*Salcycl</f>
        <v>5.6437173506343315E-2</v>
      </c>
      <c r="AD57" s="227">
        <f>(INDEX(Models!$BJ57:$BT57,,AH57)*(1-AF57)+INDEX(Models!$BJ57:$BT57,,AH57+1)*AF57-ERP_i)*AE57*Ramure*Pc/MaxiM</f>
        <v>1.6301162834295242E-3</v>
      </c>
      <c r="AE57" s="301">
        <f t="shared" si="15"/>
        <v>0.5</v>
      </c>
      <c r="AF57" s="173">
        <f t="shared" si="23"/>
        <v>0.49272560942095378</v>
      </c>
      <c r="AG57" s="801">
        <f t="shared" si="24"/>
        <v>3</v>
      </c>
      <c r="AH57" s="172">
        <f t="shared" si="16"/>
        <v>9</v>
      </c>
      <c r="AI57" s="221">
        <f t="shared" si="17"/>
        <v>3.4927256094209538</v>
      </c>
      <c r="AJ57" s="261" t="b">
        <f t="shared" si="18"/>
        <v>0</v>
      </c>
      <c r="AK57" s="261" t="b">
        <f t="shared" si="19"/>
        <v>1</v>
      </c>
      <c r="AL57" s="261"/>
      <c r="AM57" s="261"/>
      <c r="AN57" s="75"/>
    </row>
    <row r="58" spans="1:40" s="6" customFormat="1" ht="11.25" x14ac:dyDescent="0.2">
      <c r="A58" s="56">
        <f t="shared" si="20"/>
        <v>47162</v>
      </c>
      <c r="B58" s="406">
        <f>'2028'!Wh/'2028'!Env_an*'2029'!Env_an</f>
        <v>129.61463317468741</v>
      </c>
      <c r="C58" s="831"/>
      <c r="D58" s="388">
        <f t="shared" si="0"/>
        <v>134.56493425684306</v>
      </c>
      <c r="E58" s="380">
        <f t="shared" si="1"/>
        <v>138.37705253936383</v>
      </c>
      <c r="F58" s="380">
        <f t="shared" si="2"/>
        <v>138.55786042673444</v>
      </c>
      <c r="G58" s="110">
        <f t="shared" si="21"/>
        <v>0.91582774054735716</v>
      </c>
      <c r="H58" s="409" t="b">
        <f>Wh_hp&gt;='2028'!Maxi_hp</f>
        <v>0</v>
      </c>
      <c r="I58" s="385">
        <f>IF(H58,Wh_hp,'2028'!Maxi_hp)</f>
        <v>138.58254094560056</v>
      </c>
      <c r="J58" s="85">
        <f>IF(H58,An,'2028'!An_max)</f>
        <v>2022</v>
      </c>
      <c r="K58" s="193">
        <f t="shared" si="3"/>
        <v>47162</v>
      </c>
      <c r="L58" s="143">
        <f>IF(t&lt;Tvie,1-EXP((T0-t)*PertePVj)+'2028'!Pspv,1-EXP((T0-t)*PertePVj)+Pspv)</f>
        <v>3.6787452165710999E-2</v>
      </c>
      <c r="M58" s="835"/>
      <c r="N58" s="835"/>
      <c r="O58" s="48">
        <f>IF(t&lt;Tnet,'2028'!Resal+('2028'!Salim-'2028'!Resal)*(1-EXP(('2028'!Tnet-t)/('2028'!Tau_j))),Resal+(Salim-Resal)*(1-EXP((Tnet-t)/(Tau_j))))*Salcycl</f>
        <v>2.7548774977963538E-2</v>
      </c>
      <c r="P58" s="165">
        <f>(INDEX(Models!$BJ58:$BT58,,T58)*(1-R58)+INDEX(Models!$BJ58:$BT58,,T58+1)*R58-ERP_i)*Q58*Ramure*Pc/MaxiM</f>
        <v>1.4828932836939439E-3</v>
      </c>
      <c r="Q58" s="301">
        <f t="shared" si="4"/>
        <v>0.5</v>
      </c>
      <c r="R58" s="173">
        <f t="shared" si="5"/>
        <v>0.49288761149199312</v>
      </c>
      <c r="S58" s="801">
        <f t="shared" si="6"/>
        <v>3</v>
      </c>
      <c r="T58" s="172">
        <f t="shared" si="7"/>
        <v>9</v>
      </c>
      <c r="U58" s="247">
        <f t="shared" si="8"/>
        <v>3.4928876114919931</v>
      </c>
      <c r="V58" s="378">
        <f t="shared" si="9"/>
        <v>141.50208631716404</v>
      </c>
      <c r="W58" s="397">
        <f t="shared" si="10"/>
        <v>129.61463317468741</v>
      </c>
      <c r="X58" s="153">
        <f t="shared" si="11"/>
        <v>47162</v>
      </c>
      <c r="Y58" s="380">
        <f t="shared" si="12"/>
        <v>125.76064431764431</v>
      </c>
      <c r="Z58" s="380">
        <f t="shared" si="22"/>
        <v>130.56375210269806</v>
      </c>
      <c r="AA58" s="381">
        <f t="shared" si="13"/>
        <v>138.37705253936383</v>
      </c>
      <c r="AB58" s="193">
        <f t="shared" si="14"/>
        <v>47162</v>
      </c>
      <c r="AC58" s="119">
        <f>IF(OR(t&lt;Tnet,NoTnet),'2028'!Resal_s+('2028'!Salim-'2028'!Resal_s)*(1-EXP(('2028'!Tnet_s-t)/'2028'!Tau_j)),Resal_s+(Salim-Resal_s)*(1-EXP((Tnet_s-t)/Tau_j)))*Salcycl</f>
        <v>5.646384493153684E-2</v>
      </c>
      <c r="AD58" s="227">
        <f>(INDEX(Models!$BJ58:$BT58,,AH58)*(1-AF58)+INDEX(Models!$BJ58:$BT58,,AH58+1)*AF58-ERP_i)*AE58*Ramure*Pc/MaxiM</f>
        <v>1.4828932836939439E-3</v>
      </c>
      <c r="AE58" s="301">
        <f t="shared" si="15"/>
        <v>0.5</v>
      </c>
      <c r="AF58" s="173">
        <f t="shared" si="23"/>
        <v>0.49288761149199312</v>
      </c>
      <c r="AG58" s="801">
        <f t="shared" si="24"/>
        <v>3</v>
      </c>
      <c r="AH58" s="172">
        <f t="shared" si="16"/>
        <v>9</v>
      </c>
      <c r="AI58" s="221">
        <f t="shared" si="17"/>
        <v>3.4928876114919931</v>
      </c>
      <c r="AJ58" s="261" t="b">
        <f t="shared" si="18"/>
        <v>0</v>
      </c>
      <c r="AK58" s="261" t="b">
        <f t="shared" si="19"/>
        <v>1</v>
      </c>
      <c r="AL58" s="261"/>
      <c r="AM58" s="261"/>
      <c r="AN58" s="75"/>
    </row>
    <row r="59" spans="1:40" s="6" customFormat="1" ht="11.25" x14ac:dyDescent="0.2">
      <c r="A59" s="56">
        <f t="shared" si="20"/>
        <v>47163</v>
      </c>
      <c r="B59" s="406">
        <f>'2028'!Wh/'2028'!Env_an*'2029'!Env_an</f>
        <v>73.910890619877918</v>
      </c>
      <c r="C59" s="831"/>
      <c r="D59" s="388">
        <f t="shared" si="0"/>
        <v>76.734779439843166</v>
      </c>
      <c r="E59" s="380">
        <f t="shared" si="1"/>
        <v>78.913312607984139</v>
      </c>
      <c r="F59" s="380">
        <f t="shared" si="2"/>
        <v>78.946275013541779</v>
      </c>
      <c r="G59" s="110">
        <f t="shared" si="21"/>
        <v>0.51640417908004088</v>
      </c>
      <c r="H59" s="409" t="b">
        <f>Wh_hp&gt;='2028'!Maxi_hp</f>
        <v>0</v>
      </c>
      <c r="I59" s="385">
        <f>IF(H59,Wh_hp,'2028'!Maxi_hp)</f>
        <v>79.019753092234637</v>
      </c>
      <c r="J59" s="85">
        <f>IF(H59,An,'2028'!An_max)</f>
        <v>2022</v>
      </c>
      <c r="K59" s="193">
        <f t="shared" si="3"/>
        <v>47163</v>
      </c>
      <c r="L59" s="143">
        <f>IF(t&lt;Tvie,1-EXP((T0-t)*PertePVj)+'2028'!Pspv,1-EXP((T0-t)*PertePVj)+Pspv)</f>
        <v>3.6800637736621788E-2</v>
      </c>
      <c r="M59" s="835"/>
      <c r="N59" s="835"/>
      <c r="O59" s="48">
        <f>IF(t&lt;Tnet,'2028'!Resal+('2028'!Salim-'2028'!Resal)*(1-EXP(('2028'!Tnet-t)/('2028'!Tau_j))),Resal+(Salim-Resal)*(1-EXP((Tnet-t)/(Tau_j))))*Salcycl</f>
        <v>2.7606662249286467E-2</v>
      </c>
      <c r="P59" s="165">
        <f>(INDEX(Models!$BJ59:$BT59,,T59)*(1-R59)+INDEX(Models!$BJ59:$BT59,,T59+1)*R59-ERP_i)*Q59*Ramure*Pc/MaxiM</f>
        <v>1.3475831031897509E-3</v>
      </c>
      <c r="Q59" s="301">
        <f t="shared" si="4"/>
        <v>0.5</v>
      </c>
      <c r="R59" s="173">
        <f t="shared" si="5"/>
        <v>0.49305629755597469</v>
      </c>
      <c r="S59" s="801">
        <f t="shared" si="6"/>
        <v>3</v>
      </c>
      <c r="T59" s="172">
        <f t="shared" si="7"/>
        <v>9</v>
      </c>
      <c r="U59" s="247">
        <f t="shared" si="8"/>
        <v>3.4930562975559747</v>
      </c>
      <c r="V59" s="378">
        <f t="shared" si="9"/>
        <v>142.99288002326719</v>
      </c>
      <c r="W59" s="397">
        <f t="shared" si="10"/>
        <v>73.910890619877918</v>
      </c>
      <c r="X59" s="153">
        <f t="shared" si="11"/>
        <v>47163</v>
      </c>
      <c r="Y59" s="380">
        <f t="shared" si="12"/>
        <v>71.715451113971511</v>
      </c>
      <c r="Z59" s="380">
        <f t="shared" si="22"/>
        <v>74.455459506794782</v>
      </c>
      <c r="AA59" s="381">
        <f t="shared" si="13"/>
        <v>78.913312607984139</v>
      </c>
      <c r="AB59" s="193">
        <f t="shared" si="14"/>
        <v>47163</v>
      </c>
      <c r="AC59" s="119">
        <f>IF(OR(t&lt;Tnet,NoTnet),'2028'!Resal_s+('2028'!Salim-'2028'!Resal_s)*(1-EXP(('2028'!Tnet_s-t)/'2028'!Tau_j)),Resal_s+(Salim-Resal_s)*(1-EXP((Tnet_s-t)/Tau_j)))*Salcycl</f>
        <v>5.6490507797265277E-2</v>
      </c>
      <c r="AD59" s="227">
        <f>(INDEX(Models!$BJ59:$BT59,,AH59)*(1-AF59)+INDEX(Models!$BJ59:$BT59,,AH59+1)*AF59-ERP_i)*AE59*Ramure*Pc/MaxiM</f>
        <v>1.3475831031897509E-3</v>
      </c>
      <c r="AE59" s="301">
        <f t="shared" si="15"/>
        <v>0.5</v>
      </c>
      <c r="AF59" s="173">
        <f t="shared" si="23"/>
        <v>0.49305629755597469</v>
      </c>
      <c r="AG59" s="801">
        <f t="shared" si="24"/>
        <v>3</v>
      </c>
      <c r="AH59" s="172">
        <f t="shared" si="16"/>
        <v>9</v>
      </c>
      <c r="AI59" s="221">
        <f t="shared" si="17"/>
        <v>3.4930562975559747</v>
      </c>
      <c r="AJ59" s="261" t="b">
        <f t="shared" si="18"/>
        <v>0</v>
      </c>
      <c r="AK59" s="261" t="b">
        <f t="shared" si="19"/>
        <v>1</v>
      </c>
      <c r="AL59" s="261"/>
      <c r="AM59" s="261"/>
      <c r="AN59" s="75"/>
    </row>
    <row r="60" spans="1:40" s="6" customFormat="1" ht="11.25" x14ac:dyDescent="0.2">
      <c r="A60" s="56">
        <f t="shared" si="20"/>
        <v>47164</v>
      </c>
      <c r="B60" s="406">
        <f>'2028'!Wh/'2028'!Env_an*'2029'!Env_an</f>
        <v>78.045912390303627</v>
      </c>
      <c r="C60" s="831"/>
      <c r="D60" s="388">
        <f t="shared" si="0"/>
        <v>81.02889582955153</v>
      </c>
      <c r="E60" s="380">
        <f t="shared" si="1"/>
        <v>83.334297044688384</v>
      </c>
      <c r="F60" s="380">
        <f t="shared" si="2"/>
        <v>83.369305768309516</v>
      </c>
      <c r="G60" s="110">
        <f t="shared" si="21"/>
        <v>0.53974729469539939</v>
      </c>
      <c r="H60" s="409" t="b">
        <f>Wh_hp&gt;='2028'!Maxi_hp</f>
        <v>0</v>
      </c>
      <c r="I60" s="385">
        <f>IF(H60,Wh_hp,'2028'!Maxi_hp)</f>
        <v>83.436368101478877</v>
      </c>
      <c r="J60" s="85">
        <f>IF(H60,An,'2028'!An_max)</f>
        <v>2022</v>
      </c>
      <c r="K60" s="193">
        <f t="shared" si="3"/>
        <v>47164</v>
      </c>
      <c r="L60" s="143">
        <f>IF(t&lt;Tvie,1-EXP((T0-t)*PertePVj)+'2028'!Pspv,1-EXP((T0-t)*PertePVj)+Pspv)</f>
        <v>3.6813823127033185E-2</v>
      </c>
      <c r="M60" s="835"/>
      <c r="N60" s="835"/>
      <c r="O60" s="48">
        <f>IF(t&lt;Tnet,'2028'!Resal+('2028'!Salim-'2028'!Resal)*(1-EXP(('2028'!Tnet-t)/('2028'!Tau_j))),Resal+(Salim-Resal)*(1-EXP((Tnet-t)/(Tau_j))))*Salcycl</f>
        <v>2.7664494654590643E-2</v>
      </c>
      <c r="P60" s="165">
        <f>(INDEX(Models!$BJ60:$BT60,,T60)*(1-R60)+INDEX(Models!$BJ60:$BT60,,T60+1)*R60-ERP_i)*Q60*Ramure*Pc/MaxiM</f>
        <v>1.223849850150896E-3</v>
      </c>
      <c r="Q60" s="301">
        <f t="shared" si="4"/>
        <v>0.5</v>
      </c>
      <c r="R60" s="173">
        <f t="shared" si="5"/>
        <v>0.49323193852230496</v>
      </c>
      <c r="S60" s="801">
        <f t="shared" si="6"/>
        <v>3</v>
      </c>
      <c r="T60" s="172">
        <f t="shared" si="7"/>
        <v>9</v>
      </c>
      <c r="U60" s="247">
        <f t="shared" si="8"/>
        <v>3.493231938522305</v>
      </c>
      <c r="V60" s="378">
        <f t="shared" si="9"/>
        <v>144.48084061972983</v>
      </c>
      <c r="W60" s="397">
        <f t="shared" si="10"/>
        <v>78.045912390303627</v>
      </c>
      <c r="X60" s="153">
        <f t="shared" si="11"/>
        <v>47164</v>
      </c>
      <c r="Y60" s="380">
        <f t="shared" si="12"/>
        <v>75.730011887653205</v>
      </c>
      <c r="Z60" s="380">
        <f t="shared" si="22"/>
        <v>78.624479572074591</v>
      </c>
      <c r="AA60" s="381">
        <f t="shared" si="13"/>
        <v>83.334297044688384</v>
      </c>
      <c r="AB60" s="193">
        <f t="shared" si="14"/>
        <v>47164</v>
      </c>
      <c r="AC60" s="119">
        <f>IF(OR(t&lt;Tnet,NoTnet),'2028'!Resal_s+('2028'!Salim-'2028'!Resal_s)*(1-EXP(('2028'!Tnet_s-t)/'2028'!Tau_j)),Resal_s+(Salim-Resal_s)*(1-EXP((Tnet_s-t)/Tau_j)))*Salcycl</f>
        <v>5.6517156076664785E-2</v>
      </c>
      <c r="AD60" s="227">
        <f>(INDEX(Models!$BJ60:$BT60,,AH60)*(1-AF60)+INDEX(Models!$BJ60:$BT60,,AH60+1)*AF60-ERP_i)*AE60*Ramure*Pc/MaxiM</f>
        <v>1.223849850150896E-3</v>
      </c>
      <c r="AE60" s="301">
        <f t="shared" si="15"/>
        <v>0.5</v>
      </c>
      <c r="AF60" s="173">
        <f t="shared" si="23"/>
        <v>0.49323193852230496</v>
      </c>
      <c r="AG60" s="801">
        <f t="shared" si="24"/>
        <v>3</v>
      </c>
      <c r="AH60" s="172">
        <f t="shared" si="16"/>
        <v>9</v>
      </c>
      <c r="AI60" s="221">
        <f t="shared" si="17"/>
        <v>3.493231938522305</v>
      </c>
      <c r="AJ60" s="261" t="b">
        <f t="shared" si="18"/>
        <v>0</v>
      </c>
      <c r="AK60" s="261" t="b">
        <f t="shared" si="19"/>
        <v>1</v>
      </c>
      <c r="AL60" s="261"/>
      <c r="AM60" s="261"/>
      <c r="AN60" s="75"/>
    </row>
    <row r="61" spans="1:40" s="6" customFormat="1" ht="11.25" x14ac:dyDescent="0.2">
      <c r="A61" s="56">
        <f t="shared" si="20"/>
        <v>47165</v>
      </c>
      <c r="B61" s="406">
        <f>'2028'!Wh/'2028'!Env_an*'2029'!Env_an</f>
        <v>30.146652353294858</v>
      </c>
      <c r="C61" s="831"/>
      <c r="D61" s="388">
        <f t="shared" si="0"/>
        <v>31.29931239168414</v>
      </c>
      <c r="E61" s="380">
        <f t="shared" si="1"/>
        <v>32.191740495639088</v>
      </c>
      <c r="F61" s="380">
        <f t="shared" si="2"/>
        <v>32.191740495639088</v>
      </c>
      <c r="G61" s="110">
        <f t="shared" si="21"/>
        <v>0.20630682193076494</v>
      </c>
      <c r="H61" s="409" t="b">
        <f>Wh_hp&gt;='2028'!Maxi_hp</f>
        <v>0</v>
      </c>
      <c r="I61" s="385">
        <f>IF(H61,Wh_hp,'2028'!Maxi_hp)</f>
        <v>32.227533516382081</v>
      </c>
      <c r="J61" s="85">
        <f>IF(H61,An,'2028'!An_max)</f>
        <v>2022</v>
      </c>
      <c r="K61" s="193">
        <f t="shared" si="3"/>
        <v>47165</v>
      </c>
      <c r="L61" s="143">
        <f>IF(t&lt;Tvie,1-EXP((T0-t)*PertePVj)+'2028'!Pspv,1-EXP((T0-t)*PertePVj)+Pspv)</f>
        <v>3.6827008336947742E-2</v>
      </c>
      <c r="M61" s="835"/>
      <c r="N61" s="835"/>
      <c r="O61" s="48">
        <f>IF(t&lt;Tnet,'2028'!Resal+('2028'!Salim-'2028'!Resal)*(1-EXP(('2028'!Tnet-t)/('2028'!Tau_j))),Resal+(Salim-Resal)*(1-EXP((Tnet-t)/(Tau_j))))*Salcycl</f>
        <v>2.7722269445972964E-2</v>
      </c>
      <c r="P61" s="165">
        <f>(INDEX(Models!$BJ61:$BT61,,T61)*(1-R61)+INDEX(Models!$BJ61:$BT61,,T61+1)*R61-ERP_i)*Q61*Ramure*Pc/MaxiM</f>
        <v>1.1113617680401158E-3</v>
      </c>
      <c r="Q61" s="301">
        <f t="shared" si="4"/>
        <v>0.5</v>
      </c>
      <c r="R61" s="173">
        <f t="shared" si="5"/>
        <v>0.4934148158680931</v>
      </c>
      <c r="S61" s="801">
        <f t="shared" si="6"/>
        <v>3</v>
      </c>
      <c r="T61" s="172">
        <f t="shared" si="7"/>
        <v>9</v>
      </c>
      <c r="U61" s="247">
        <f t="shared" si="8"/>
        <v>3.4934148158680931</v>
      </c>
      <c r="V61" s="378">
        <f t="shared" si="9"/>
        <v>145.96293149501747</v>
      </c>
      <c r="W61" s="397">
        <f t="shared" si="10"/>
        <v>30.146652353294858</v>
      </c>
      <c r="X61" s="153">
        <f t="shared" si="11"/>
        <v>47165</v>
      </c>
      <c r="Y61" s="380">
        <f t="shared" si="12"/>
        <v>29.253006276479301</v>
      </c>
      <c r="Z61" s="380">
        <f t="shared" si="22"/>
        <v>30.371497674545374</v>
      </c>
      <c r="AA61" s="381">
        <f t="shared" si="13"/>
        <v>32.191740495639088</v>
      </c>
      <c r="AB61" s="193">
        <f t="shared" si="14"/>
        <v>47165</v>
      </c>
      <c r="AC61" s="119">
        <f>IF(OR(t&lt;Tnet,NoTnet),'2028'!Resal_s+('2028'!Salim-'2028'!Resal_s)*(1-EXP(('2028'!Tnet_s-t)/'2028'!Tau_j)),Resal_s+(Salim-Resal_s)*(1-EXP((Tnet_s-t)/Tau_j)))*Salcycl</f>
        <v>5.6543783997646695E-2</v>
      </c>
      <c r="AD61" s="227">
        <f>(INDEX(Models!$BJ61:$BT61,,AH61)*(1-AF61)+INDEX(Models!$BJ61:$BT61,,AH61+1)*AF61-ERP_i)*AE61*Ramure*Pc/MaxiM</f>
        <v>1.1113617680401158E-3</v>
      </c>
      <c r="AE61" s="301">
        <f t="shared" si="15"/>
        <v>0.5</v>
      </c>
      <c r="AF61" s="173">
        <f t="shared" si="23"/>
        <v>0.4934148158680931</v>
      </c>
      <c r="AG61" s="801">
        <f t="shared" si="24"/>
        <v>3</v>
      </c>
      <c r="AH61" s="172">
        <f t="shared" si="16"/>
        <v>9</v>
      </c>
      <c r="AI61" s="221">
        <f t="shared" si="17"/>
        <v>3.4934148158680931</v>
      </c>
      <c r="AJ61" s="261" t="b">
        <f t="shared" si="18"/>
        <v>0</v>
      </c>
      <c r="AK61" s="261" t="b">
        <f t="shared" si="19"/>
        <v>1</v>
      </c>
      <c r="AL61" s="261"/>
      <c r="AM61" s="261"/>
      <c r="AN61" s="75"/>
    </row>
    <row r="62" spans="1:40" s="6" customFormat="1" ht="11.25" x14ac:dyDescent="0.2">
      <c r="A62" s="56">
        <f t="shared" si="20"/>
        <v>47166</v>
      </c>
      <c r="B62" s="406">
        <f>'2028'!Wh/'2028'!Env_an*'2029'!Env_an</f>
        <v>44.415721823561405</v>
      </c>
      <c r="C62" s="831"/>
      <c r="D62" s="388">
        <f t="shared" si="0"/>
        <v>46.114592321704201</v>
      </c>
      <c r="E62" s="380">
        <f t="shared" si="1"/>
        <v>47.432259739577333</v>
      </c>
      <c r="F62" s="380">
        <f t="shared" si="2"/>
        <v>47.432345544261743</v>
      </c>
      <c r="G62" s="110">
        <f t="shared" si="21"/>
        <v>0.30095035292519767</v>
      </c>
      <c r="H62" s="409" t="b">
        <f>Wh_hp&gt;='2028'!Maxi_hp</f>
        <v>0</v>
      </c>
      <c r="I62" s="385">
        <f>IF(H62,Wh_hp,'2028'!Maxi_hp)</f>
        <v>47.480172549184005</v>
      </c>
      <c r="J62" s="85">
        <f>IF(H62,An,'2028'!An_max)</f>
        <v>2022</v>
      </c>
      <c r="K62" s="193">
        <f t="shared" si="3"/>
        <v>47166</v>
      </c>
      <c r="L62" s="143">
        <f>IF(t&lt;Tvie,1-EXP((T0-t)*PertePVj)+'2028'!Pspv,1-EXP((T0-t)*PertePVj)+Pspv)</f>
        <v>3.6840193366367679E-2</v>
      </c>
      <c r="M62" s="835"/>
      <c r="N62" s="835"/>
      <c r="O62" s="48">
        <f>IF(t&lt;Tnet,'2028'!Resal+('2028'!Salim-'2028'!Resal)*(1-EXP(('2028'!Tnet-t)/('2028'!Tau_j))),Resal+(Salim-Resal)*(1-EXP((Tnet-t)/(Tau_j))))*Salcycl</f>
        <v>2.7779984025801566E-2</v>
      </c>
      <c r="P62" s="165">
        <f>(INDEX(Models!$BJ62:$BT62,,T62)*(1-R62)+INDEX(Models!$BJ62:$BT62,,T62+1)*R62-ERP_i)*Q62*Ramure*Pc/MaxiM</f>
        <v>1.0097932728916797E-3</v>
      </c>
      <c r="Q62" s="301">
        <f t="shared" si="4"/>
        <v>0.5</v>
      </c>
      <c r="R62" s="173">
        <f t="shared" si="5"/>
        <v>0.49360522201524937</v>
      </c>
      <c r="S62" s="801">
        <f t="shared" si="6"/>
        <v>3</v>
      </c>
      <c r="T62" s="172">
        <f t="shared" si="7"/>
        <v>9</v>
      </c>
      <c r="U62" s="247">
        <f t="shared" si="8"/>
        <v>3.4936052220152494</v>
      </c>
      <c r="V62" s="378">
        <f t="shared" si="9"/>
        <v>147.43611682732256</v>
      </c>
      <c r="W62" s="397">
        <f t="shared" si="10"/>
        <v>44.415721823561405</v>
      </c>
      <c r="X62" s="153">
        <f t="shared" si="11"/>
        <v>47166</v>
      </c>
      <c r="Y62" s="380">
        <f t="shared" si="12"/>
        <v>43.100436733645161</v>
      </c>
      <c r="Z62" s="380">
        <f t="shared" si="22"/>
        <v>44.748998491005082</v>
      </c>
      <c r="AA62" s="381">
        <f t="shared" si="13"/>
        <v>47.432259739577333</v>
      </c>
      <c r="AB62" s="193">
        <f t="shared" si="14"/>
        <v>47166</v>
      </c>
      <c r="AC62" s="119">
        <f>IF(OR(t&lt;Tnet,NoTnet),'2028'!Resal_s+('2028'!Salim-'2028'!Resal_s)*(1-EXP(('2028'!Tnet_s-t)/'2028'!Tau_j)),Resal_s+(Salim-Resal_s)*(1-EXP((Tnet_s-t)/Tau_j)))*Salcycl</f>
        <v>5.6570386131811159E-2</v>
      </c>
      <c r="AD62" s="227">
        <f>(INDEX(Models!$BJ62:$BT62,,AH62)*(1-AF62)+INDEX(Models!$BJ62:$BT62,,AH62+1)*AF62-ERP_i)*AE62*Ramure*Pc/MaxiM</f>
        <v>1.0097932728916797E-3</v>
      </c>
      <c r="AE62" s="301">
        <f t="shared" si="15"/>
        <v>0.5</v>
      </c>
      <c r="AF62" s="173">
        <f t="shared" si="23"/>
        <v>0.49360522201524937</v>
      </c>
      <c r="AG62" s="801">
        <f t="shared" si="24"/>
        <v>3</v>
      </c>
      <c r="AH62" s="172">
        <f t="shared" si="16"/>
        <v>9</v>
      </c>
      <c r="AI62" s="221">
        <f t="shared" si="17"/>
        <v>3.4936052220152494</v>
      </c>
      <c r="AJ62" s="261" t="b">
        <f t="shared" si="18"/>
        <v>0</v>
      </c>
      <c r="AK62" s="261" t="b">
        <f t="shared" si="19"/>
        <v>1</v>
      </c>
      <c r="AL62" s="261"/>
      <c r="AM62" s="261"/>
      <c r="AN62" s="75"/>
    </row>
    <row r="63" spans="1:40" s="6" customFormat="1" ht="11.25" x14ac:dyDescent="0.2">
      <c r="A63" s="56">
        <f t="shared" si="20"/>
        <v>47167</v>
      </c>
      <c r="B63" s="406">
        <f>'2028'!Wh/'2028'!Env_an*'2029'!Env_an</f>
        <v>126.28775940798221</v>
      </c>
      <c r="C63" s="831"/>
      <c r="D63" s="388">
        <f t="shared" si="0"/>
        <v>131.11997337847879</v>
      </c>
      <c r="E63" s="380">
        <f t="shared" si="1"/>
        <v>134.87456234965435</v>
      </c>
      <c r="F63" s="380">
        <f t="shared" si="2"/>
        <v>134.9716759604876</v>
      </c>
      <c r="G63" s="110">
        <f t="shared" si="21"/>
        <v>0.84798393205614575</v>
      </c>
      <c r="H63" s="409" t="b">
        <f>Wh_hp&gt;='2028'!Maxi_hp</f>
        <v>0</v>
      </c>
      <c r="I63" s="385">
        <f>IF(H63,Wh_hp,'2028'!Maxi_hp)</f>
        <v>134.99858380946762</v>
      </c>
      <c r="J63" s="85">
        <f>IF(H63,An,'2028'!An_max)</f>
        <v>2022</v>
      </c>
      <c r="K63" s="193">
        <f t="shared" si="3"/>
        <v>47167</v>
      </c>
      <c r="L63" s="143">
        <f>IF(t&lt;Tvie,1-EXP((T0-t)*PertePVj)+'2028'!Pspv,1-EXP((T0-t)*PertePVj)+Pspv)</f>
        <v>3.6853378215295773E-2</v>
      </c>
      <c r="M63" s="835"/>
      <c r="N63" s="835"/>
      <c r="O63" s="48">
        <f>IF(t&lt;Tnet,'2028'!Resal+('2028'!Salim-'2028'!Resal)*(1-EXP(('2028'!Tnet-t)/('2028'!Tau_j))),Resal+(Salim-Resal)*(1-EXP((Tnet-t)/(Tau_j))))*Salcycl</f>
        <v>2.7837635991299809E-2</v>
      </c>
      <c r="P63" s="165">
        <f>(INDEX(Models!$BJ63:$BT63,,T63)*(1-R63)+INDEX(Models!$BJ63:$BT63,,T63+1)*R63-ERP_i)*Q63*Ramure*Pc/MaxiM</f>
        <v>9.1882673611193408E-4</v>
      </c>
      <c r="Q63" s="301">
        <f t="shared" si="4"/>
        <v>0.5</v>
      </c>
      <c r="R63" s="173">
        <f t="shared" si="5"/>
        <v>0.49380346071799774</v>
      </c>
      <c r="S63" s="801">
        <f t="shared" si="6"/>
        <v>3</v>
      </c>
      <c r="T63" s="172">
        <f t="shared" si="7"/>
        <v>9</v>
      </c>
      <c r="U63" s="247">
        <f t="shared" si="8"/>
        <v>3.4938034607179977</v>
      </c>
      <c r="V63" s="378">
        <f t="shared" si="9"/>
        <v>148.89736158691323</v>
      </c>
      <c r="W63" s="397">
        <f t="shared" si="10"/>
        <v>126.28775940798221</v>
      </c>
      <c r="X63" s="153">
        <f t="shared" si="11"/>
        <v>47167</v>
      </c>
      <c r="Y63" s="380">
        <f t="shared" si="12"/>
        <v>122.55180911034164</v>
      </c>
      <c r="Z63" s="380">
        <f t="shared" si="22"/>
        <v>127.24107247892741</v>
      </c>
      <c r="AA63" s="381">
        <f t="shared" si="13"/>
        <v>134.87456234965435</v>
      </c>
      <c r="AB63" s="193">
        <f t="shared" si="14"/>
        <v>47167</v>
      </c>
      <c r="AC63" s="119">
        <f>IF(OR(t&lt;Tnet,NoTnet),'2028'!Resal_s+('2028'!Salim-'2028'!Resal_s)*(1-EXP(('2028'!Tnet_s-t)/'2028'!Tau_j)),Resal_s+(Salim-Resal_s)*(1-EXP((Tnet_s-t)/Tau_j)))*Salcycl</f>
        <v>5.6596957482149754E-2</v>
      </c>
      <c r="AD63" s="227">
        <f>(INDEX(Models!$BJ63:$BT63,,AH63)*(1-AF63)+INDEX(Models!$BJ63:$BT63,,AH63+1)*AF63-ERP_i)*AE63*Ramure*Pc/MaxiM</f>
        <v>9.1882673611193408E-4</v>
      </c>
      <c r="AE63" s="301">
        <f t="shared" si="15"/>
        <v>0.5</v>
      </c>
      <c r="AF63" s="173">
        <f t="shared" si="23"/>
        <v>0.49380346071799774</v>
      </c>
      <c r="AG63" s="801">
        <f t="shared" si="24"/>
        <v>3</v>
      </c>
      <c r="AH63" s="172">
        <f t="shared" si="16"/>
        <v>9</v>
      </c>
      <c r="AI63" s="221">
        <f t="shared" si="17"/>
        <v>3.4938034607179977</v>
      </c>
      <c r="AJ63" s="261" t="b">
        <f t="shared" si="18"/>
        <v>0</v>
      </c>
      <c r="AK63" s="261" t="b">
        <f t="shared" si="19"/>
        <v>1</v>
      </c>
      <c r="AL63" s="261"/>
      <c r="AM63" s="261"/>
      <c r="AN63" s="75"/>
    </row>
    <row r="64" spans="1:40" s="6" customFormat="1" ht="11.25" x14ac:dyDescent="0.2">
      <c r="A64" s="56">
        <f t="shared" si="20"/>
        <v>47168</v>
      </c>
      <c r="B64" s="406">
        <f>'2028'!Wh/'2028'!Env_an*'2029'!Env_an</f>
        <v>71.985288835175041</v>
      </c>
      <c r="C64" s="831"/>
      <c r="D64" s="388">
        <f t="shared" si="0"/>
        <v>74.740722376649515</v>
      </c>
      <c r="E64" s="380">
        <f t="shared" si="1"/>
        <v>76.885459426534624</v>
      </c>
      <c r="F64" s="380">
        <f t="shared" si="2"/>
        <v>76.90192370748089</v>
      </c>
      <c r="G64" s="110">
        <f t="shared" si="21"/>
        <v>0.47850617535849815</v>
      </c>
      <c r="H64" s="409" t="b">
        <f>Wh_hp&gt;='2028'!Maxi_hp</f>
        <v>0</v>
      </c>
      <c r="I64" s="385">
        <f>IF(H64,Wh_hp,'2028'!Maxi_hp)</f>
        <v>76.949920298124354</v>
      </c>
      <c r="J64" s="85">
        <f>IF(H64,An,'2028'!An_max)</f>
        <v>2022</v>
      </c>
      <c r="K64" s="193">
        <f t="shared" si="3"/>
        <v>47168</v>
      </c>
      <c r="L64" s="143">
        <f>IF(t&lt;Tvie,1-EXP((T0-t)*PertePVj)+'2028'!Pspv,1-EXP((T0-t)*PertePVj)+Pspv)</f>
        <v>3.6866562883734355E-2</v>
      </c>
      <c r="M64" s="835"/>
      <c r="N64" s="835"/>
      <c r="O64" s="48">
        <f>IF(t&lt;Tnet,'2028'!Resal+('2028'!Salim-'2028'!Resal)*(1-EXP(('2028'!Tnet-t)/('2028'!Tau_j))),Resal+(Salim-Resal)*(1-EXP((Tnet-t)/(Tau_j))))*Salcycl</f>
        <v>2.7895223178505405E-2</v>
      </c>
      <c r="P64" s="165">
        <f>(INDEX(Models!$BJ64:$BT64,,T64)*(1-R64)+INDEX(Models!$BJ64:$BT64,,T64+1)*R64-ERP_i)*Q64*Ramure*Pc/MaxiM</f>
        <v>8.381540405491139E-4</v>
      </c>
      <c r="Q64" s="301">
        <f t="shared" si="4"/>
        <v>0.5</v>
      </c>
      <c r="R64" s="173">
        <f t="shared" si="5"/>
        <v>0.49400984746080656</v>
      </c>
      <c r="S64" s="801">
        <f t="shared" si="6"/>
        <v>3</v>
      </c>
      <c r="T64" s="172">
        <f t="shared" si="7"/>
        <v>9</v>
      </c>
      <c r="U64" s="247">
        <f t="shared" si="8"/>
        <v>3.4940098474608066</v>
      </c>
      <c r="V64" s="378">
        <f t="shared" si="9"/>
        <v>150.34363152588492</v>
      </c>
      <c r="W64" s="397">
        <f t="shared" si="10"/>
        <v>71.985288835175041</v>
      </c>
      <c r="X64" s="153">
        <f t="shared" si="11"/>
        <v>47168</v>
      </c>
      <c r="Y64" s="380">
        <f t="shared" si="12"/>
        <v>69.857932925525162</v>
      </c>
      <c r="Z64" s="380">
        <f t="shared" si="22"/>
        <v>72.531936109172989</v>
      </c>
      <c r="AA64" s="381">
        <f t="shared" si="13"/>
        <v>76.885459426534624</v>
      </c>
      <c r="AB64" s="193">
        <f t="shared" si="14"/>
        <v>47168</v>
      </c>
      <c r="AC64" s="119">
        <f>IF(OR(t&lt;Tnet,NoTnet),'2028'!Resal_s+('2028'!Salim-'2028'!Resal_s)*(1-EXP(('2028'!Tnet_s-t)/'2028'!Tau_j)),Resal_s+(Salim-Resal_s)*(1-EXP((Tnet_s-t)/Tau_j)))*Salcycl</f>
        <v>5.6623493568657202E-2</v>
      </c>
      <c r="AD64" s="227">
        <f>(INDEX(Models!$BJ64:$BT64,,AH64)*(1-AF64)+INDEX(Models!$BJ64:$BT64,,AH64+1)*AF64-ERP_i)*AE64*Ramure*Pc/MaxiM</f>
        <v>8.381540405491139E-4</v>
      </c>
      <c r="AE64" s="301">
        <f t="shared" si="15"/>
        <v>0.5</v>
      </c>
      <c r="AF64" s="173">
        <f t="shared" si="23"/>
        <v>0.49400984746080656</v>
      </c>
      <c r="AG64" s="801">
        <f t="shared" si="24"/>
        <v>3</v>
      </c>
      <c r="AH64" s="172">
        <f t="shared" si="16"/>
        <v>9</v>
      </c>
      <c r="AI64" s="221">
        <f t="shared" si="17"/>
        <v>3.4940098474608066</v>
      </c>
      <c r="AJ64" s="261" t="b">
        <f t="shared" si="18"/>
        <v>0</v>
      </c>
      <c r="AK64" s="261" t="b">
        <f t="shared" si="19"/>
        <v>1</v>
      </c>
      <c r="AL64" s="261"/>
      <c r="AM64" s="261"/>
      <c r="AN64" s="75"/>
    </row>
    <row r="65" spans="1:40" s="6" customFormat="1" ht="11.25" x14ac:dyDescent="0.2">
      <c r="A65" s="56">
        <f t="shared" si="20"/>
        <v>47169</v>
      </c>
      <c r="B65" s="406">
        <f>'2028'!Wh/'2028'!Env_an*'2029'!Env_an</f>
        <v>90.571273473998176</v>
      </c>
      <c r="C65" s="831"/>
      <c r="D65" s="388">
        <f t="shared" si="0"/>
        <v>94.039423661617576</v>
      </c>
      <c r="E65" s="380">
        <f t="shared" si="1"/>
        <v>96.743674808640421</v>
      </c>
      <c r="F65" s="380">
        <f t="shared" si="2"/>
        <v>96.775155350252788</v>
      </c>
      <c r="G65" s="110">
        <f t="shared" si="21"/>
        <v>0.59645250452429377</v>
      </c>
      <c r="H65" s="409" t="b">
        <f>Wh_hp&gt;='2028'!Maxi_hp</f>
        <v>0</v>
      </c>
      <c r="I65" s="385">
        <f>IF(H65,Wh_hp,'2028'!Maxi_hp)</f>
        <v>96.817942431119334</v>
      </c>
      <c r="J65" s="85">
        <f>IF(H65,An,'2028'!An_max)</f>
        <v>2022</v>
      </c>
      <c r="K65" s="193">
        <f t="shared" si="3"/>
        <v>47169</v>
      </c>
      <c r="L65" s="143">
        <f>IF(t&lt;Tvie,1-EXP((T0-t)*PertePVj)+'2028'!Pspv,1-EXP((T0-t)*PertePVj)+Pspv)</f>
        <v>3.6879747371685867E-2</v>
      </c>
      <c r="M65" s="835"/>
      <c r="N65" s="835"/>
      <c r="O65" s="48">
        <f>IF(t&lt;Tnet,'2028'!Resal+('2028'!Salim-'2028'!Resal)*(1-EXP(('2028'!Tnet-t)/('2028'!Tau_j))),Resal+(Salim-Resal)*(1-EXP((Tnet-t)/(Tau_j))))*Salcycl</f>
        <v>2.7952743705176284E-2</v>
      </c>
      <c r="P65" s="165">
        <f>(INDEX(Models!$BJ65:$BT65,,T65)*(1-R65)+INDEX(Models!$BJ65:$BT65,,T65+1)*R65-ERP_i)*Q65*Ramure*Pc/MaxiM</f>
        <v>7.6742295477515426E-4</v>
      </c>
      <c r="Q65" s="301">
        <f t="shared" si="4"/>
        <v>0.5</v>
      </c>
      <c r="R65" s="173">
        <f t="shared" si="5"/>
        <v>0.49422470986671696</v>
      </c>
      <c r="S65" s="801">
        <f t="shared" si="6"/>
        <v>3</v>
      </c>
      <c r="T65" s="172">
        <f t="shared" si="7"/>
        <v>9</v>
      </c>
      <c r="U65" s="247">
        <f t="shared" si="8"/>
        <v>3.494224709866717</v>
      </c>
      <c r="V65" s="378">
        <f t="shared" si="9"/>
        <v>151.78277520527698</v>
      </c>
      <c r="W65" s="397">
        <f t="shared" si="10"/>
        <v>90.571273473998176</v>
      </c>
      <c r="X65" s="153">
        <f t="shared" si="11"/>
        <v>47169</v>
      </c>
      <c r="Y65" s="380">
        <f t="shared" si="12"/>
        <v>87.8973847596681</v>
      </c>
      <c r="Z65" s="380">
        <f t="shared" si="22"/>
        <v>91.263146548730418</v>
      </c>
      <c r="AA65" s="381">
        <f t="shared" si="13"/>
        <v>96.743674808640421</v>
      </c>
      <c r="AB65" s="193">
        <f t="shared" si="14"/>
        <v>47169</v>
      </c>
      <c r="AC65" s="119">
        <f>IF(OR(t&lt;Tnet,NoTnet),'2028'!Resal_s+('2028'!Salim-'2028'!Resal_s)*(1-EXP(('2028'!Tnet_s-t)/'2028'!Tau_j)),Resal_s+(Salim-Resal_s)*(1-EXP((Tnet_s-t)/Tau_j)))*Salcycl</f>
        <v>5.6649990511012986E-2</v>
      </c>
      <c r="AD65" s="227">
        <f>(INDEX(Models!$BJ65:$BT65,,AH65)*(1-AF65)+INDEX(Models!$BJ65:$BT65,,AH65+1)*AF65-ERP_i)*AE65*Ramure*Pc/MaxiM</f>
        <v>7.6742295477515426E-4</v>
      </c>
      <c r="AE65" s="301">
        <f t="shared" si="15"/>
        <v>0.5</v>
      </c>
      <c r="AF65" s="173">
        <f t="shared" si="23"/>
        <v>0.49422470986671696</v>
      </c>
      <c r="AG65" s="801">
        <f t="shared" si="24"/>
        <v>3</v>
      </c>
      <c r="AH65" s="172">
        <f t="shared" si="16"/>
        <v>9</v>
      </c>
      <c r="AI65" s="221">
        <f t="shared" si="17"/>
        <v>3.494224709866717</v>
      </c>
      <c r="AJ65" s="261" t="b">
        <f t="shared" si="18"/>
        <v>0</v>
      </c>
      <c r="AK65" s="261" t="b">
        <f t="shared" si="19"/>
        <v>1</v>
      </c>
      <c r="AL65" s="261"/>
      <c r="AM65" s="261"/>
      <c r="AN65" s="75"/>
    </row>
    <row r="66" spans="1:40" s="6" customFormat="1" ht="11.25" x14ac:dyDescent="0.2">
      <c r="A66" s="56">
        <f t="shared" si="20"/>
        <v>47170</v>
      </c>
      <c r="B66" s="406">
        <f>'2028'!Wh/'2028'!Env_an*'2029'!Env_an</f>
        <v>98.563222674169722</v>
      </c>
      <c r="C66" s="831"/>
      <c r="D66" s="388">
        <f t="shared" si="0"/>
        <v>102.33880107017821</v>
      </c>
      <c r="E66" s="380">
        <f t="shared" si="1"/>
        <v>105.28793681817905</v>
      </c>
      <c r="F66" s="380">
        <f t="shared" si="2"/>
        <v>105.32445442706225</v>
      </c>
      <c r="G66" s="110">
        <f t="shared" si="21"/>
        <v>0.64303237219063736</v>
      </c>
      <c r="H66" s="409" t="b">
        <f>Wh_hp&gt;='2028'!Maxi_hp</f>
        <v>0</v>
      </c>
      <c r="I66" s="385">
        <f>IF(H66,Wh_hp,'2028'!Maxi_hp)</f>
        <v>105.36240150019904</v>
      </c>
      <c r="J66" s="85">
        <f>IF(H66,An,'2028'!An_max)</f>
        <v>2022</v>
      </c>
      <c r="K66" s="193">
        <f t="shared" si="3"/>
        <v>47170</v>
      </c>
      <c r="L66" s="143">
        <f>IF(t&lt;Tvie,1-EXP((T0-t)*PertePVj)+'2028'!Pspv,1-EXP((T0-t)*PertePVj)+Pspv)</f>
        <v>3.6892931679152752E-2</v>
      </c>
      <c r="M66" s="835"/>
      <c r="N66" s="835"/>
      <c r="O66" s="48">
        <f>IF(t&lt;Tnet,'2028'!Resal+('2028'!Salim-'2028'!Resal)*(1-EXP(('2028'!Tnet-t)/('2028'!Tau_j))),Resal+(Salim-Resal)*(1-EXP((Tnet-t)/(Tau_j))))*Salcycl</f>
        <v>2.8010196012233424E-2</v>
      </c>
      <c r="P66" s="165">
        <f>(INDEX(Models!$BJ66:$BT66,,T66)*(1-R66)+INDEX(Models!$BJ66:$BT66,,T66+1)*R66-ERP_i)*Q66*Ramure*Pc/MaxiM</f>
        <v>7.070377437594492E-4</v>
      </c>
      <c r="Q66" s="301">
        <f t="shared" si="4"/>
        <v>0.5</v>
      </c>
      <c r="R66" s="173">
        <f t="shared" si="5"/>
        <v>0.49444838811600356</v>
      </c>
      <c r="S66" s="801">
        <f t="shared" si="6"/>
        <v>3</v>
      </c>
      <c r="T66" s="172">
        <f t="shared" si="7"/>
        <v>9</v>
      </c>
      <c r="U66" s="247">
        <f t="shared" si="8"/>
        <v>3.4944483881160036</v>
      </c>
      <c r="V66" s="378">
        <f t="shared" si="9"/>
        <v>153.22353910120427</v>
      </c>
      <c r="W66" s="397">
        <f t="shared" si="10"/>
        <v>98.563222674169722</v>
      </c>
      <c r="X66" s="153">
        <f t="shared" si="11"/>
        <v>47170</v>
      </c>
      <c r="Y66" s="380">
        <f t="shared" si="12"/>
        <v>95.656363074179879</v>
      </c>
      <c r="Z66" s="380">
        <f t="shared" si="22"/>
        <v>99.320590846617208</v>
      </c>
      <c r="AA66" s="381">
        <f t="shared" si="13"/>
        <v>105.28793681817905</v>
      </c>
      <c r="AB66" s="193">
        <f t="shared" si="14"/>
        <v>47170</v>
      </c>
      <c r="AC66" s="119">
        <f>IF(OR(t&lt;Tnet,NoTnet),'2028'!Resal_s+('2028'!Salim-'2028'!Resal_s)*(1-EXP(('2028'!Tnet_s-t)/'2028'!Tau_j)),Resal_s+(Salim-Resal_s)*(1-EXP((Tnet_s-t)/Tau_j)))*Salcycl</f>
        <v>5.6676445107541683E-2</v>
      </c>
      <c r="AD66" s="227">
        <f>(INDEX(Models!$BJ66:$BT66,,AH66)*(1-AF66)+INDEX(Models!$BJ66:$BT66,,AH66+1)*AF66-ERP_i)*AE66*Ramure*Pc/MaxiM</f>
        <v>7.070377437594492E-4</v>
      </c>
      <c r="AE66" s="301">
        <f t="shared" si="15"/>
        <v>0.5</v>
      </c>
      <c r="AF66" s="173">
        <f t="shared" si="23"/>
        <v>0.49444838811600356</v>
      </c>
      <c r="AG66" s="801">
        <f t="shared" si="24"/>
        <v>3</v>
      </c>
      <c r="AH66" s="172">
        <f t="shared" si="16"/>
        <v>9</v>
      </c>
      <c r="AI66" s="221">
        <f t="shared" si="17"/>
        <v>3.4944483881160036</v>
      </c>
      <c r="AJ66" s="261" t="b">
        <f t="shared" si="18"/>
        <v>0</v>
      </c>
      <c r="AK66" s="261" t="b">
        <f t="shared" si="19"/>
        <v>1</v>
      </c>
      <c r="AL66" s="261"/>
      <c r="AM66" s="261"/>
      <c r="AN66" s="75"/>
    </row>
    <row r="67" spans="1:40" s="6" customFormat="1" ht="11.25" x14ac:dyDescent="0.2">
      <c r="A67" s="56">
        <f t="shared" si="20"/>
        <v>47171</v>
      </c>
      <c r="B67" s="406">
        <f>'2028'!Wh/'2028'!Env_an*'2029'!Env_an</f>
        <v>131.9517697227287</v>
      </c>
      <c r="C67" s="831"/>
      <c r="D67" s="388">
        <f t="shared" si="0"/>
        <v>137.00821060988895</v>
      </c>
      <c r="E67" s="380">
        <f t="shared" si="1"/>
        <v>140.96474984886342</v>
      </c>
      <c r="F67" s="380">
        <f t="shared" si="2"/>
        <v>141.03755009449557</v>
      </c>
      <c r="G67" s="110">
        <f t="shared" si="21"/>
        <v>0.85302895114015709</v>
      </c>
      <c r="H67" s="409" t="b">
        <f>Wh_hp&gt;='2028'!Maxi_hp</f>
        <v>0</v>
      </c>
      <c r="I67" s="385">
        <f>IF(H67,Wh_hp,'2028'!Maxi_hp)</f>
        <v>141.0568740138535</v>
      </c>
      <c r="J67" s="85">
        <f>IF(H67,An,'2028'!An_max)</f>
        <v>2022</v>
      </c>
      <c r="K67" s="193">
        <f t="shared" si="3"/>
        <v>47171</v>
      </c>
      <c r="L67" s="143">
        <f>IF(t&lt;Tvie,1-EXP((T0-t)*PertePVj)+'2028'!Pspv,1-EXP((T0-t)*PertePVj)+Pspv)</f>
        <v>3.6906115806137563E-2</v>
      </c>
      <c r="M67" s="835"/>
      <c r="N67" s="835"/>
      <c r="O67" s="48">
        <f>IF(t&lt;Tnet,'2028'!Resal+('2028'!Salim-'2028'!Resal)*(1-EXP(('2028'!Tnet-t)/('2028'!Tau_j))),Resal+(Salim-Resal)*(1-EXP((Tnet-t)/(Tau_j))))*Salcycl</f>
        <v>2.8067578903353506E-2</v>
      </c>
      <c r="P67" s="165">
        <f>(INDEX(Models!$BJ67:$BT67,,T67)*(1-R67)+INDEX(Models!$BJ67:$BT67,,T67+1)*R67-ERP_i)*Q67*Ramure*Pc/MaxiM</f>
        <v>6.5321539445843907E-4</v>
      </c>
      <c r="Q67" s="301">
        <f t="shared" si="4"/>
        <v>0.5</v>
      </c>
      <c r="R67" s="173">
        <f t="shared" si="5"/>
        <v>0.49468123537507314</v>
      </c>
      <c r="S67" s="801">
        <f t="shared" si="6"/>
        <v>3</v>
      </c>
      <c r="T67" s="172">
        <f t="shared" si="7"/>
        <v>9</v>
      </c>
      <c r="U67" s="247">
        <f t="shared" si="8"/>
        <v>3.4946812353750731</v>
      </c>
      <c r="V67" s="378">
        <f t="shared" si="9"/>
        <v>154.66494737523089</v>
      </c>
      <c r="W67" s="397">
        <f t="shared" si="10"/>
        <v>131.9517697227287</v>
      </c>
      <c r="X67" s="153">
        <f t="shared" si="11"/>
        <v>47171</v>
      </c>
      <c r="Y67" s="380">
        <f t="shared" si="12"/>
        <v>128.06417912123911</v>
      </c>
      <c r="Z67" s="380">
        <f t="shared" si="22"/>
        <v>132.97164609079886</v>
      </c>
      <c r="AA67" s="381">
        <f t="shared" si="13"/>
        <v>140.96474984886342</v>
      </c>
      <c r="AB67" s="193">
        <f t="shared" si="14"/>
        <v>47171</v>
      </c>
      <c r="AC67" s="119">
        <f>IF(OR(t&lt;Tnet,NoTnet),'2028'!Resal_s+('2028'!Salim-'2028'!Resal_s)*(1-EXP(('2028'!Tnet_s-t)/'2028'!Tau_j)),Resal_s+(Salim-Resal_s)*(1-EXP((Tnet_s-t)/Tau_j)))*Salcycl</f>
        <v>5.6702854909716438E-2</v>
      </c>
      <c r="AD67" s="227">
        <f>(INDEX(Models!$BJ67:$BT67,,AH67)*(1-AF67)+INDEX(Models!$BJ67:$BT67,,AH67+1)*AF67-ERP_i)*AE67*Ramure*Pc/MaxiM</f>
        <v>6.5321539445843907E-4</v>
      </c>
      <c r="AE67" s="301">
        <f t="shared" si="15"/>
        <v>0.5</v>
      </c>
      <c r="AF67" s="173">
        <f t="shared" si="23"/>
        <v>0.49468123537507314</v>
      </c>
      <c r="AG67" s="801">
        <f t="shared" si="24"/>
        <v>3</v>
      </c>
      <c r="AH67" s="172">
        <f t="shared" si="16"/>
        <v>9</v>
      </c>
      <c r="AI67" s="221">
        <f t="shared" si="17"/>
        <v>3.4946812353750731</v>
      </c>
      <c r="AJ67" s="261" t="b">
        <f t="shared" si="18"/>
        <v>0</v>
      </c>
      <c r="AK67" s="261" t="b">
        <f t="shared" si="19"/>
        <v>1</v>
      </c>
      <c r="AL67" s="261"/>
      <c r="AM67" s="261"/>
      <c r="AN67" s="75"/>
    </row>
    <row r="68" spans="1:40" s="6" customFormat="1" ht="11.25" x14ac:dyDescent="0.2">
      <c r="A68" s="56">
        <f t="shared" si="20"/>
        <v>47172</v>
      </c>
      <c r="B68" s="406">
        <f>'2028'!Wh/'2028'!Env_an*'2029'!Env_an</f>
        <v>136.35624376759915</v>
      </c>
      <c r="C68" s="831"/>
      <c r="D68" s="388">
        <f t="shared" si="0"/>
        <v>141.58340389603643</v>
      </c>
      <c r="E68" s="380">
        <f t="shared" si="1"/>
        <v>145.68065656764713</v>
      </c>
      <c r="F68" s="380">
        <f t="shared" si="2"/>
        <v>145.75299354833874</v>
      </c>
      <c r="G68" s="110">
        <f t="shared" si="21"/>
        <v>0.87339218167964527</v>
      </c>
      <c r="H68" s="409" t="b">
        <f>Wh_hp&gt;='2028'!Maxi_hp</f>
        <v>0</v>
      </c>
      <c r="I68" s="385">
        <f>IF(H68,Wh_hp,'2028'!Maxi_hp)</f>
        <v>145.76894661808049</v>
      </c>
      <c r="J68" s="85">
        <f>IF(H68,An,'2028'!An_max)</f>
        <v>2022</v>
      </c>
      <c r="K68" s="193">
        <f t="shared" si="3"/>
        <v>47172</v>
      </c>
      <c r="L68" s="143">
        <f>IF(t&lt;Tvie,1-EXP((T0-t)*PertePVj)+'2028'!Pspv,1-EXP((T0-t)*PertePVj)+Pspv)</f>
        <v>3.6919299752642853E-2</v>
      </c>
      <c r="M68" s="835"/>
      <c r="N68" s="835"/>
      <c r="O68" s="48">
        <f>IF(t&lt;Tnet,'2028'!Resal+('2028'!Salim-'2028'!Resal)*(1-EXP(('2028'!Tnet-t)/('2028'!Tau_j))),Resal+(Salim-Resal)*(1-EXP((Tnet-t)/(Tau_j))))*Salcycl</f>
        <v>2.8124891582350462E-2</v>
      </c>
      <c r="P68" s="165">
        <f>(INDEX(Models!$BJ68:$BT68,,T68)*(1-R68)+INDEX(Models!$BJ68:$BT68,,T68+1)*R68-ERP_i)*Q68*Ramure*Pc/MaxiM</f>
        <v>6.057824729801221E-4</v>
      </c>
      <c r="Q68" s="301">
        <f t="shared" si="4"/>
        <v>0.5</v>
      </c>
      <c r="R68" s="173">
        <f t="shared" si="5"/>
        <v>0.49492361823545084</v>
      </c>
      <c r="S68" s="801">
        <f t="shared" si="6"/>
        <v>3</v>
      </c>
      <c r="T68" s="172">
        <f t="shared" si="7"/>
        <v>9</v>
      </c>
      <c r="U68" s="247">
        <f t="shared" si="8"/>
        <v>3.4949236182354508</v>
      </c>
      <c r="V68" s="378">
        <f t="shared" si="9"/>
        <v>156.10548202825655</v>
      </c>
      <c r="W68" s="397">
        <f t="shared" si="10"/>
        <v>136.35624376759915</v>
      </c>
      <c r="X68" s="153">
        <f t="shared" si="11"/>
        <v>47172</v>
      </c>
      <c r="Y68" s="380">
        <f t="shared" si="12"/>
        <v>132.34299297870351</v>
      </c>
      <c r="Z68" s="380">
        <f t="shared" si="22"/>
        <v>137.41630680036741</v>
      </c>
      <c r="AA68" s="381">
        <f t="shared" si="13"/>
        <v>145.68065656764713</v>
      </c>
      <c r="AB68" s="193">
        <f t="shared" si="14"/>
        <v>47172</v>
      </c>
      <c r="AC68" s="119">
        <f>IF(OR(t&lt;Tnet,NoTnet),'2028'!Resal_s+('2028'!Salim-'2028'!Resal_s)*(1-EXP(('2028'!Tnet_s-t)/'2028'!Tau_j)),Resal_s+(Salim-Resal_s)*(1-EXP((Tnet_s-t)/Tau_j)))*Salcycl</f>
        <v>5.6729218291531811E-2</v>
      </c>
      <c r="AD68" s="227">
        <f>(INDEX(Models!$BJ68:$BT68,,AH68)*(1-AF68)+INDEX(Models!$BJ68:$BT68,,AH68+1)*AF68-ERP_i)*AE68*Ramure*Pc/MaxiM</f>
        <v>6.057824729801221E-4</v>
      </c>
      <c r="AE68" s="301">
        <f t="shared" si="15"/>
        <v>0.5</v>
      </c>
      <c r="AF68" s="173">
        <f t="shared" si="23"/>
        <v>0.49492361823545084</v>
      </c>
      <c r="AG68" s="801">
        <f t="shared" si="24"/>
        <v>3</v>
      </c>
      <c r="AH68" s="172">
        <f t="shared" si="16"/>
        <v>9</v>
      </c>
      <c r="AI68" s="221">
        <f t="shared" si="17"/>
        <v>3.4949236182354508</v>
      </c>
      <c r="AJ68" s="261" t="b">
        <f t="shared" si="18"/>
        <v>0</v>
      </c>
      <c r="AK68" s="261" t="b">
        <f t="shared" si="19"/>
        <v>1</v>
      </c>
      <c r="AL68" s="261"/>
      <c r="AM68" s="261"/>
      <c r="AN68" s="75"/>
    </row>
    <row r="69" spans="1:40" s="6" customFormat="1" ht="11.25" x14ac:dyDescent="0.2">
      <c r="A69" s="56">
        <f t="shared" si="20"/>
        <v>47173</v>
      </c>
      <c r="B69" s="406">
        <f>'2028'!Wh/'2028'!Env_an*'2029'!Env_an</f>
        <v>86.433307827412449</v>
      </c>
      <c r="C69" s="831"/>
      <c r="D69" s="388">
        <f t="shared" si="0"/>
        <v>89.747921457475627</v>
      </c>
      <c r="E69" s="380">
        <f t="shared" si="1"/>
        <v>92.350557206841472</v>
      </c>
      <c r="F69" s="380">
        <f t="shared" si="2"/>
        <v>92.369079898529037</v>
      </c>
      <c r="G69" s="110">
        <f t="shared" si="21"/>
        <v>0.54843117916718653</v>
      </c>
      <c r="H69" s="409" t="b">
        <f>Wh_hp&gt;='2028'!Maxi_hp</f>
        <v>0</v>
      </c>
      <c r="I69" s="385">
        <f>IF(H69,Wh_hp,'2028'!Maxi_hp)</f>
        <v>92.402693718208255</v>
      </c>
      <c r="J69" s="85">
        <f>IF(H69,An,'2028'!An_max)</f>
        <v>2022</v>
      </c>
      <c r="K69" s="193">
        <f t="shared" si="3"/>
        <v>47173</v>
      </c>
      <c r="L69" s="143">
        <f>IF(t&lt;Tvie,1-EXP((T0-t)*PertePVj)+'2028'!Pspv,1-EXP((T0-t)*PertePVj)+Pspv)</f>
        <v>3.6932483518670844E-2</v>
      </c>
      <c r="M69" s="835"/>
      <c r="N69" s="835"/>
      <c r="O69" s="48">
        <f>IF(t&lt;Tnet,'2028'!Resal+('2028'!Salim-'2028'!Resal)*(1-EXP(('2028'!Tnet-t)/('2028'!Tau_j))),Resal+(Salim-Resal)*(1-EXP((Tnet-t)/(Tau_j))))*Salcycl</f>
        <v>2.8182133688014629E-2</v>
      </c>
      <c r="P69" s="165">
        <f>(INDEX(Models!$BJ69:$BT69,,T69)*(1-R69)+INDEX(Models!$BJ69:$BT69,,T69+1)*R69-ERP_i)*Q69*Ramure*Pc/MaxiM</f>
        <v>5.6457330518820128E-4</v>
      </c>
      <c r="Q69" s="301">
        <f t="shared" si="4"/>
        <v>0.5</v>
      </c>
      <c r="R69" s="173">
        <f t="shared" si="5"/>
        <v>0.49517591716266907</v>
      </c>
      <c r="S69" s="801">
        <f t="shared" si="6"/>
        <v>3</v>
      </c>
      <c r="T69" s="172">
        <f t="shared" si="7"/>
        <v>9</v>
      </c>
      <c r="U69" s="247">
        <f t="shared" si="8"/>
        <v>3.4951759171626691</v>
      </c>
      <c r="V69" s="378">
        <f t="shared" si="9"/>
        <v>157.54362490069204</v>
      </c>
      <c r="W69" s="397">
        <f t="shared" si="10"/>
        <v>86.433307827412449</v>
      </c>
      <c r="X69" s="153">
        <f t="shared" si="11"/>
        <v>47173</v>
      </c>
      <c r="Y69" s="380">
        <f t="shared" si="12"/>
        <v>83.891994650524182</v>
      </c>
      <c r="Z69" s="380">
        <f t="shared" si="22"/>
        <v>87.1091519699809</v>
      </c>
      <c r="AA69" s="381">
        <f t="shared" si="13"/>
        <v>92.350557206841472</v>
      </c>
      <c r="AB69" s="193">
        <f t="shared" si="14"/>
        <v>47173</v>
      </c>
      <c r="AC69" s="119">
        <f>IF(OR(t&lt;Tnet,NoTnet),'2028'!Resal_s+('2028'!Salim-'2028'!Resal_s)*(1-EXP(('2028'!Tnet_s-t)/'2028'!Tau_j)),Resal_s+(Salim-Resal_s)*(1-EXP((Tnet_s-t)/Tau_j)))*Salcycl</f>
        <v>5.6755534513139604E-2</v>
      </c>
      <c r="AD69" s="227">
        <f>(INDEX(Models!$BJ69:$BT69,,AH69)*(1-AF69)+INDEX(Models!$BJ69:$BT69,,AH69+1)*AF69-ERP_i)*AE69*Ramure*Pc/MaxiM</f>
        <v>5.6457330518820128E-4</v>
      </c>
      <c r="AE69" s="301">
        <f t="shared" si="15"/>
        <v>0.5</v>
      </c>
      <c r="AF69" s="173">
        <f t="shared" si="23"/>
        <v>0.49517591716266907</v>
      </c>
      <c r="AG69" s="801">
        <f t="shared" si="24"/>
        <v>3</v>
      </c>
      <c r="AH69" s="172">
        <f t="shared" si="16"/>
        <v>9</v>
      </c>
      <c r="AI69" s="221">
        <f t="shared" si="17"/>
        <v>3.4951759171626691</v>
      </c>
      <c r="AJ69" s="261" t="b">
        <f t="shared" si="18"/>
        <v>0</v>
      </c>
      <c r="AK69" s="261" t="b">
        <f t="shared" si="19"/>
        <v>1</v>
      </c>
      <c r="AL69" s="261"/>
      <c r="AM69" s="261"/>
      <c r="AN69" s="75"/>
    </row>
    <row r="70" spans="1:40" s="6" customFormat="1" ht="11.25" x14ac:dyDescent="0.2">
      <c r="A70" s="56">
        <f t="shared" si="20"/>
        <v>47174</v>
      </c>
      <c r="B70" s="406">
        <f>'2028'!Wh/'2028'!Env_an*'2029'!Env_an</f>
        <v>122.42546866110931</v>
      </c>
      <c r="C70" s="831"/>
      <c r="D70" s="388">
        <f t="shared" si="0"/>
        <v>127.12207866091238</v>
      </c>
      <c r="E70" s="380">
        <f t="shared" si="1"/>
        <v>130.81623835750318</v>
      </c>
      <c r="F70" s="380">
        <f t="shared" si="2"/>
        <v>130.86276426376151</v>
      </c>
      <c r="G70" s="110">
        <f t="shared" si="21"/>
        <v>0.76994477923366023</v>
      </c>
      <c r="H70" s="409" t="b">
        <f>Wh_hp&gt;='2028'!Maxi_hp</f>
        <v>0</v>
      </c>
      <c r="I70" s="385">
        <f>IF(H70,Wh_hp,'2028'!Maxi_hp)</f>
        <v>130.88551017631676</v>
      </c>
      <c r="J70" s="85">
        <f>IF(H70,An,'2028'!An_max)</f>
        <v>2022</v>
      </c>
      <c r="K70" s="193">
        <f t="shared" si="3"/>
        <v>47174</v>
      </c>
      <c r="L70" s="143">
        <f>IF(t&lt;Tvie,1-EXP((T0-t)*PertePVj)+'2028'!Pspv,1-EXP((T0-t)*PertePVj)+Pspv)</f>
        <v>3.69456671042242E-2</v>
      </c>
      <c r="M70" s="835"/>
      <c r="N70" s="835"/>
      <c r="O70" s="48">
        <f>IF(t&lt;Tnet,'2028'!Resal+('2028'!Salim-'2028'!Resal)*(1-EXP(('2028'!Tnet-t)/('2028'!Tau_j))),Resal+(Salim-Resal)*(1-EXP((Tnet-t)/(Tau_j))))*Salcycl</f>
        <v>2.8239305326110707E-2</v>
      </c>
      <c r="P70" s="165">
        <f>(INDEX(Models!$BJ70:$BT70,,T70)*(1-R70)+INDEX(Models!$BJ70:$BT70,,T70+1)*R70-ERP_i)*Q70*Ramure*Pc/MaxiM</f>
        <v>5.2942711677878864E-4</v>
      </c>
      <c r="Q70" s="301">
        <f t="shared" si="4"/>
        <v>0.5</v>
      </c>
      <c r="R70" s="173">
        <f t="shared" si="5"/>
        <v>0.49543852695480517</v>
      </c>
      <c r="S70" s="801">
        <f t="shared" si="6"/>
        <v>3</v>
      </c>
      <c r="T70" s="172">
        <f t="shared" si="7"/>
        <v>9</v>
      </c>
      <c r="U70" s="247">
        <f t="shared" si="8"/>
        <v>3.4954385269548052</v>
      </c>
      <c r="V70" s="378">
        <f t="shared" si="9"/>
        <v>158.97785815972588</v>
      </c>
      <c r="W70" s="397">
        <f t="shared" si="10"/>
        <v>122.42546866110931</v>
      </c>
      <c r="X70" s="153">
        <f t="shared" si="11"/>
        <v>47174</v>
      </c>
      <c r="Y70" s="380">
        <f t="shared" si="12"/>
        <v>118.82959493529412</v>
      </c>
      <c r="Z70" s="380">
        <f t="shared" si="22"/>
        <v>123.38825638008335</v>
      </c>
      <c r="AA70" s="381">
        <f t="shared" si="13"/>
        <v>130.81623835750318</v>
      </c>
      <c r="AB70" s="193">
        <f t="shared" si="14"/>
        <v>47174</v>
      </c>
      <c r="AC70" s="119">
        <f>IF(OR(t&lt;Tnet,NoTnet),'2028'!Resal_s+('2028'!Salim-'2028'!Resal_s)*(1-EXP(('2028'!Tnet_s-t)/'2028'!Tau_j)),Resal_s+(Salim-Resal_s)*(1-EXP((Tnet_s-t)/Tau_j)))*Salcycl</f>
        <v>5.6781803778214075E-2</v>
      </c>
      <c r="AD70" s="227">
        <f>(INDEX(Models!$BJ70:$BT70,,AH70)*(1-AF70)+INDEX(Models!$BJ70:$BT70,,AH70+1)*AF70-ERP_i)*AE70*Ramure*Pc/MaxiM</f>
        <v>5.2942711677878864E-4</v>
      </c>
      <c r="AE70" s="301">
        <f t="shared" si="15"/>
        <v>0.5</v>
      </c>
      <c r="AF70" s="173">
        <f t="shared" si="23"/>
        <v>0.49543852695480517</v>
      </c>
      <c r="AG70" s="801">
        <f t="shared" si="24"/>
        <v>3</v>
      </c>
      <c r="AH70" s="172">
        <f t="shared" si="16"/>
        <v>9</v>
      </c>
      <c r="AI70" s="221">
        <f t="shared" si="17"/>
        <v>3.4954385269548052</v>
      </c>
      <c r="AJ70" s="261" t="b">
        <f t="shared" si="18"/>
        <v>0</v>
      </c>
      <c r="AK70" s="261" t="b">
        <f t="shared" si="19"/>
        <v>1</v>
      </c>
      <c r="AL70" s="261"/>
      <c r="AM70" s="261"/>
      <c r="AN70" s="75"/>
    </row>
    <row r="71" spans="1:40" s="6" customFormat="1" ht="11.25" x14ac:dyDescent="0.2">
      <c r="A71" s="56">
        <f t="shared" si="20"/>
        <v>47175</v>
      </c>
      <c r="B71" s="406">
        <f>'2028'!Wh/'2028'!Env_an*'2029'!Env_an</f>
        <v>162.45858715068911</v>
      </c>
      <c r="C71" s="831"/>
      <c r="D71" s="388">
        <f t="shared" si="0"/>
        <v>168.69329751548571</v>
      </c>
      <c r="E71" s="380">
        <f t="shared" si="1"/>
        <v>173.60571551632205</v>
      </c>
      <c r="F71" s="380">
        <f t="shared" si="2"/>
        <v>173.69259452617038</v>
      </c>
      <c r="G71" s="110">
        <f t="shared" si="21"/>
        <v>1.0127920050517858</v>
      </c>
      <c r="H71" s="409" t="b">
        <f>Wh_hp&gt;='2028'!Maxi_hp</f>
        <v>1</v>
      </c>
      <c r="I71" s="385">
        <f>IF(H71,Wh_hp,'2028'!Maxi_hp)</f>
        <v>173.69259452617038</v>
      </c>
      <c r="J71" s="85">
        <f>IF(H71,An,'2028'!An_max)</f>
        <v>2029</v>
      </c>
      <c r="K71" s="193">
        <f t="shared" si="3"/>
        <v>47175</v>
      </c>
      <c r="L71" s="143">
        <f>IF(t&lt;Tvie,1-EXP((T0-t)*PertePVj)+'2028'!Pspv,1-EXP((T0-t)*PertePVj)+Pspv)</f>
        <v>3.6958850509305363E-2</v>
      </c>
      <c r="M71" s="835"/>
      <c r="N71" s="835"/>
      <c r="O71" s="48">
        <f>IF(t&lt;Tnet,'2028'!Resal+('2028'!Salim-'2028'!Resal)*(1-EXP(('2028'!Tnet-t)/('2028'!Tau_j))),Resal+(Salim-Resal)*(1-EXP((Tnet-t)/(Tau_j))))*Salcycl</f>
        <v>2.8296407098270176E-2</v>
      </c>
      <c r="P71" s="165">
        <f>(INDEX(Models!$BJ71:$BT71,,T71)*(1-R71)+INDEX(Models!$BJ71:$BT71,,T71+1)*R71-ERP_i)*Q71*Ramure*Pc/MaxiM</f>
        <v>5.0018833609645377E-4</v>
      </c>
      <c r="Q71" s="301">
        <f t="shared" si="4"/>
        <v>0.5</v>
      </c>
      <c r="R71" s="173">
        <f t="shared" si="5"/>
        <v>0.49571185721037025</v>
      </c>
      <c r="S71" s="801">
        <f t="shared" si="6"/>
        <v>3</v>
      </c>
      <c r="T71" s="172">
        <f t="shared" si="7"/>
        <v>9</v>
      </c>
      <c r="U71" s="247">
        <f t="shared" si="8"/>
        <v>3.4957118572103703</v>
      </c>
      <c r="V71" s="378">
        <f t="shared" si="9"/>
        <v>160.40666429074184</v>
      </c>
      <c r="W71" s="397">
        <f t="shared" si="10"/>
        <v>162.45858715068911</v>
      </c>
      <c r="X71" s="153">
        <f t="shared" si="11"/>
        <v>47175</v>
      </c>
      <c r="Y71" s="380">
        <f t="shared" si="12"/>
        <v>157.69174511502862</v>
      </c>
      <c r="Z71" s="380">
        <f t="shared" si="22"/>
        <v>163.74351729251038</v>
      </c>
      <c r="AA71" s="381">
        <f t="shared" si="13"/>
        <v>173.60571551632205</v>
      </c>
      <c r="AB71" s="193">
        <f t="shared" si="14"/>
        <v>47175</v>
      </c>
      <c r="AC71" s="119">
        <f>IF(OR(t&lt;Tnet,NoTnet),'2028'!Resal_s+('2028'!Salim-'2028'!Resal_s)*(1-EXP(('2028'!Tnet_s-t)/'2028'!Tau_j)),Resal_s+(Salim-Resal_s)*(1-EXP((Tnet_s-t)/Tau_j)))*Salcycl</f>
        <v>5.6808027284588232E-2</v>
      </c>
      <c r="AD71" s="227">
        <f>(INDEX(Models!$BJ71:$BT71,,AH71)*(1-AF71)+INDEX(Models!$BJ71:$BT71,,AH71+1)*AF71-ERP_i)*AE71*Ramure*Pc/MaxiM</f>
        <v>5.0018833609645377E-4</v>
      </c>
      <c r="AE71" s="301">
        <f t="shared" si="15"/>
        <v>0.5</v>
      </c>
      <c r="AF71" s="173">
        <f t="shared" si="23"/>
        <v>0.49571185721037025</v>
      </c>
      <c r="AG71" s="801">
        <f t="shared" si="24"/>
        <v>3</v>
      </c>
      <c r="AH71" s="172">
        <f t="shared" si="16"/>
        <v>9</v>
      </c>
      <c r="AI71" s="221">
        <f t="shared" si="17"/>
        <v>3.4957118572103703</v>
      </c>
      <c r="AJ71" s="261" t="b">
        <f t="shared" si="18"/>
        <v>0</v>
      </c>
      <c r="AK71" s="261" t="b">
        <f t="shared" si="19"/>
        <v>1</v>
      </c>
      <c r="AL71" s="261"/>
      <c r="AM71" s="261"/>
      <c r="AN71" s="75"/>
    </row>
    <row r="72" spans="1:40" s="6" customFormat="1" ht="11.25" x14ac:dyDescent="0.2">
      <c r="A72" s="56">
        <f t="shared" si="20"/>
        <v>47176</v>
      </c>
      <c r="B72" s="406">
        <f>'2028'!Wh/'2028'!Env_an*'2029'!Env_an</f>
        <v>108.09265314957642</v>
      </c>
      <c r="C72" s="831"/>
      <c r="D72" s="388">
        <f t="shared" si="0"/>
        <v>112.24248613327454</v>
      </c>
      <c r="E72" s="380">
        <f t="shared" si="1"/>
        <v>115.51781354323839</v>
      </c>
      <c r="F72" s="380">
        <f t="shared" si="2"/>
        <v>115.54675815156951</v>
      </c>
      <c r="G72" s="110">
        <f t="shared" si="21"/>
        <v>0.66779447644117929</v>
      </c>
      <c r="H72" s="409" t="b">
        <f>Wh_hp&gt;='2028'!Maxi_hp</f>
        <v>0</v>
      </c>
      <c r="I72" s="385">
        <f>IF(H72,Wh_hp,'2028'!Maxi_hp)</f>
        <v>115.57286305662481</v>
      </c>
      <c r="J72" s="85">
        <f>IF(H72,An,'2028'!An_max)</f>
        <v>2022</v>
      </c>
      <c r="K72" s="193">
        <f t="shared" si="3"/>
        <v>47176</v>
      </c>
      <c r="L72" s="143">
        <f>IF(t&lt;Tvie,1-EXP((T0-t)*PertePVj)+'2028'!Pspv,1-EXP((T0-t)*PertePVj)+Pspv)</f>
        <v>3.6972033733916776E-2</v>
      </c>
      <c r="M72" s="835"/>
      <c r="N72" s="835"/>
      <c r="O72" s="48">
        <f>IF(t&lt;Tnet,'2028'!Resal+('2028'!Salim-'2028'!Resal)*(1-EXP(('2028'!Tnet-t)/('2028'!Tau_j))),Resal+(Salim-Resal)*(1-EXP((Tnet-t)/(Tau_j))))*Salcycl</f>
        <v>2.8353440127551355E-2</v>
      </c>
      <c r="P72" s="165">
        <f>(INDEX(Models!$BJ72:$BT72,,T72)*(1-R72)+INDEX(Models!$BJ72:$BT72,,T72+1)*R72-ERP_i)*Q72*Ramure*Pc/MaxiM</f>
        <v>4.7656751927626056E-4</v>
      </c>
      <c r="Q72" s="301">
        <f t="shared" si="4"/>
        <v>0.5</v>
      </c>
      <c r="R72" s="173">
        <f t="shared" si="5"/>
        <v>0.49599633280518063</v>
      </c>
      <c r="S72" s="801">
        <f t="shared" si="6"/>
        <v>3</v>
      </c>
      <c r="T72" s="172">
        <f t="shared" si="7"/>
        <v>9</v>
      </c>
      <c r="U72" s="247">
        <f t="shared" si="8"/>
        <v>3.4959963328051806</v>
      </c>
      <c r="V72" s="378">
        <f t="shared" si="9"/>
        <v>161.82854865881924</v>
      </c>
      <c r="W72" s="397">
        <f t="shared" si="10"/>
        <v>108.09265314957642</v>
      </c>
      <c r="X72" s="153">
        <f t="shared" si="11"/>
        <v>47176</v>
      </c>
      <c r="Y72" s="380">
        <f t="shared" si="12"/>
        <v>104.92425652156076</v>
      </c>
      <c r="Z72" s="380">
        <f t="shared" si="22"/>
        <v>108.9524501852009</v>
      </c>
      <c r="AA72" s="381">
        <f t="shared" si="13"/>
        <v>115.51781354323839</v>
      </c>
      <c r="AB72" s="193">
        <f t="shared" si="14"/>
        <v>47176</v>
      </c>
      <c r="AC72" s="119">
        <f>IF(OR(t&lt;Tnet,NoTnet),'2028'!Resal_s+('2028'!Salim-'2028'!Resal_s)*(1-EXP(('2028'!Tnet_s-t)/'2028'!Tau_j)),Resal_s+(Salim-Resal_s)*(1-EXP((Tnet_s-t)/Tau_j)))*Salcycl</f>
        <v>5.6834207267782703E-2</v>
      </c>
      <c r="AD72" s="227">
        <f>(INDEX(Models!$BJ72:$BT72,,AH72)*(1-AF72)+INDEX(Models!$BJ72:$BT72,,AH72+1)*AF72-ERP_i)*AE72*Ramure*Pc/MaxiM</f>
        <v>4.7656751927626056E-4</v>
      </c>
      <c r="AE72" s="301">
        <f t="shared" si="15"/>
        <v>0.5</v>
      </c>
      <c r="AF72" s="173">
        <f t="shared" si="23"/>
        <v>0.49599633280518063</v>
      </c>
      <c r="AG72" s="801">
        <f t="shared" si="24"/>
        <v>3</v>
      </c>
      <c r="AH72" s="172">
        <f t="shared" si="16"/>
        <v>9</v>
      </c>
      <c r="AI72" s="221">
        <f t="shared" si="17"/>
        <v>3.4959963328051806</v>
      </c>
      <c r="AJ72" s="261" t="b">
        <f t="shared" si="18"/>
        <v>0</v>
      </c>
      <c r="AK72" s="261" t="b">
        <f t="shared" si="19"/>
        <v>1</v>
      </c>
      <c r="AL72" s="261"/>
      <c r="AM72" s="261"/>
      <c r="AN72" s="75"/>
    </row>
    <row r="73" spans="1:40" s="6" customFormat="1" ht="11.25" x14ac:dyDescent="0.2">
      <c r="A73" s="56">
        <f t="shared" si="20"/>
        <v>47177</v>
      </c>
      <c r="B73" s="406">
        <f>'2028'!Wh/'2028'!Env_an*'2029'!Env_an</f>
        <v>146.64630348620955</v>
      </c>
      <c r="C73" s="831"/>
      <c r="D73" s="388">
        <f t="shared" si="0"/>
        <v>152.27835132040028</v>
      </c>
      <c r="E73" s="380">
        <f t="shared" si="1"/>
        <v>156.73114684780546</v>
      </c>
      <c r="F73" s="380">
        <f t="shared" si="2"/>
        <v>156.79198073121864</v>
      </c>
      <c r="G73" s="110">
        <f t="shared" si="21"/>
        <v>0.89827358038279348</v>
      </c>
      <c r="H73" s="409" t="b">
        <f>Wh_hp&gt;='2028'!Maxi_hp</f>
        <v>0</v>
      </c>
      <c r="I73" s="385">
        <f>IF(H73,Wh_hp,'2028'!Maxi_hp)</f>
        <v>156.80231017233547</v>
      </c>
      <c r="J73" s="85">
        <f>IF(H73,An,'2028'!An_max)</f>
        <v>2022</v>
      </c>
      <c r="K73" s="193">
        <f t="shared" si="3"/>
        <v>47177</v>
      </c>
      <c r="L73" s="143">
        <f>IF(t&lt;Tvie,1-EXP((T0-t)*PertePVj)+'2028'!Pspv,1-EXP((T0-t)*PertePVj)+Pspv)</f>
        <v>3.6985216778060881E-2</v>
      </c>
      <c r="M73" s="835"/>
      <c r="N73" s="835"/>
      <c r="O73" s="48">
        <f>IF(t&lt;Tnet,'2028'!Resal+('2028'!Salim-'2028'!Resal)*(1-EXP(('2028'!Tnet-t)/('2028'!Tau_j))),Resal+(Salim-Resal)*(1-EXP((Tnet-t)/(Tau_j))))*Salcycl</f>
        <v>2.8410406080478009E-2</v>
      </c>
      <c r="P73" s="165">
        <f>(INDEX(Models!$BJ73:$BT73,,T73)*(1-R73)+INDEX(Models!$BJ73:$BT73,,T73+1)*R73-ERP_i)*Q73*Ramure*Pc/MaxiM</f>
        <v>4.5391747618316286E-4</v>
      </c>
      <c r="Q73" s="301">
        <f t="shared" si="4"/>
        <v>0.5</v>
      </c>
      <c r="R73" s="173">
        <f t="shared" si="5"/>
        <v>0.49629239437776818</v>
      </c>
      <c r="S73" s="801">
        <f t="shared" si="6"/>
        <v>3</v>
      </c>
      <c r="T73" s="172">
        <f t="shared" si="7"/>
        <v>9</v>
      </c>
      <c r="U73" s="247">
        <f t="shared" si="8"/>
        <v>3.4962923943777682</v>
      </c>
      <c r="V73" s="378">
        <f t="shared" si="9"/>
        <v>163.24273035260916</v>
      </c>
      <c r="W73" s="397">
        <f t="shared" si="10"/>
        <v>146.64630348620955</v>
      </c>
      <c r="X73" s="153">
        <f t="shared" si="11"/>
        <v>47177</v>
      </c>
      <c r="Y73" s="380">
        <f t="shared" si="12"/>
        <v>142.35222839338863</v>
      </c>
      <c r="Z73" s="380">
        <f t="shared" si="22"/>
        <v>147.81935944651198</v>
      </c>
      <c r="AA73" s="381">
        <f t="shared" si="13"/>
        <v>156.73114684780546</v>
      </c>
      <c r="AB73" s="193">
        <f t="shared" si="14"/>
        <v>47177</v>
      </c>
      <c r="AC73" s="119">
        <f>IF(OR(t&lt;Tnet,NoTnet),'2028'!Resal_s+('2028'!Salim-'2028'!Resal_s)*(1-EXP(('2028'!Tnet_s-t)/'2028'!Tau_j)),Resal_s+(Salim-Resal_s)*(1-EXP((Tnet_s-t)/Tau_j)))*Salcycl</f>
        <v>5.6860347037129118E-2</v>
      </c>
      <c r="AD73" s="227">
        <f>(INDEX(Models!$BJ73:$BT73,,AH73)*(1-AF73)+INDEX(Models!$BJ73:$BT73,,AH73+1)*AF73-ERP_i)*AE73*Ramure*Pc/MaxiM</f>
        <v>4.5391747618316286E-4</v>
      </c>
      <c r="AE73" s="301">
        <f t="shared" si="15"/>
        <v>0.5</v>
      </c>
      <c r="AF73" s="173">
        <f t="shared" si="23"/>
        <v>0.49629239437776818</v>
      </c>
      <c r="AG73" s="801">
        <f t="shared" si="24"/>
        <v>3</v>
      </c>
      <c r="AH73" s="172">
        <f t="shared" si="16"/>
        <v>9</v>
      </c>
      <c r="AI73" s="221">
        <f t="shared" si="17"/>
        <v>3.4962923943777682</v>
      </c>
      <c r="AJ73" s="261" t="b">
        <f t="shared" si="18"/>
        <v>0</v>
      </c>
      <c r="AK73" s="261" t="b">
        <f t="shared" si="19"/>
        <v>1</v>
      </c>
      <c r="AL73" s="261"/>
      <c r="AM73" s="261"/>
      <c r="AN73" s="75"/>
    </row>
    <row r="74" spans="1:40" s="6" customFormat="1" ht="11.25" x14ac:dyDescent="0.2">
      <c r="A74" s="56">
        <f t="shared" si="20"/>
        <v>47178</v>
      </c>
      <c r="B74" s="406">
        <f>'2028'!Wh/'2028'!Env_an*'2029'!Env_an</f>
        <v>164.75854020514069</v>
      </c>
      <c r="C74" s="831"/>
      <c r="D74" s="388">
        <f t="shared" si="0"/>
        <v>171.0885424737057</v>
      </c>
      <c r="E74" s="380">
        <f t="shared" si="1"/>
        <v>176.10168318479452</v>
      </c>
      <c r="F74" s="380">
        <f t="shared" si="2"/>
        <v>176.17782993937291</v>
      </c>
      <c r="G74" s="110">
        <f t="shared" si="21"/>
        <v>1.0006732370823299</v>
      </c>
      <c r="H74" s="409" t="b">
        <f>Wh_hp&gt;='2028'!Maxi_hp</f>
        <v>1</v>
      </c>
      <c r="I74" s="385">
        <f>IF(H74,Wh_hp,'2028'!Maxi_hp)</f>
        <v>176.17782993937291</v>
      </c>
      <c r="J74" s="85">
        <f>IF(H74,An,'2028'!An_max)</f>
        <v>2029</v>
      </c>
      <c r="K74" s="193">
        <f t="shared" si="3"/>
        <v>47178</v>
      </c>
      <c r="L74" s="143">
        <f>IF(t&lt;Tvie,1-EXP((T0-t)*PertePVj)+'2028'!Pspv,1-EXP((T0-t)*PertePVj)+Pspv)</f>
        <v>3.6998399641740232E-2</v>
      </c>
      <c r="M74" s="835"/>
      <c r="N74" s="835"/>
      <c r="O74" s="48">
        <f>IF(t&lt;Tnet,'2028'!Resal+('2028'!Salim-'2028'!Resal)*(1-EXP(('2028'!Tnet-t)/('2028'!Tau_j))),Resal+(Salim-Resal)*(1-EXP((Tnet-t)/(Tau_j))))*Salcycl</f>
        <v>2.8467307185407312E-2</v>
      </c>
      <c r="P74" s="165">
        <f>(INDEX(Models!$BJ74:$BT74,,T74)*(1-R74)+INDEX(Models!$BJ74:$BT74,,T74+1)*R74-ERP_i)*Q74*Ramure*Pc/MaxiM</f>
        <v>4.3221530543642047E-4</v>
      </c>
      <c r="Q74" s="301">
        <f t="shared" si="4"/>
        <v>0.5</v>
      </c>
      <c r="R74" s="173">
        <f t="shared" si="5"/>
        <v>0.49660049882282697</v>
      </c>
      <c r="S74" s="801">
        <f t="shared" si="6"/>
        <v>3</v>
      </c>
      <c r="T74" s="172">
        <f t="shared" si="7"/>
        <v>9</v>
      </c>
      <c r="U74" s="247">
        <f t="shared" si="8"/>
        <v>3.496600498822827</v>
      </c>
      <c r="V74" s="378">
        <f t="shared" si="9"/>
        <v>164.64769327250954</v>
      </c>
      <c r="W74" s="397">
        <f t="shared" si="10"/>
        <v>164.75854020514069</v>
      </c>
      <c r="X74" s="153">
        <f t="shared" si="11"/>
        <v>47178</v>
      </c>
      <c r="Y74" s="380">
        <f t="shared" si="12"/>
        <v>159.93904551998381</v>
      </c>
      <c r="Z74" s="380">
        <f t="shared" si="22"/>
        <v>166.08388341253288</v>
      </c>
      <c r="AA74" s="381">
        <f t="shared" si="13"/>
        <v>176.10168318479452</v>
      </c>
      <c r="AB74" s="193">
        <f t="shared" si="14"/>
        <v>47178</v>
      </c>
      <c r="AC74" s="119">
        <f>IF(OR(t&lt;Tnet,NoTnet),'2028'!Resal_s+('2028'!Salim-'2028'!Resal_s)*(1-EXP(('2028'!Tnet_s-t)/'2028'!Tau_j)),Resal_s+(Salim-Resal_s)*(1-EXP((Tnet_s-t)/Tau_j)))*Salcycl</f>
        <v>5.6886451004271921E-2</v>
      </c>
      <c r="AD74" s="227">
        <f>(INDEX(Models!$BJ74:$BT74,,AH74)*(1-AF74)+INDEX(Models!$BJ74:$BT74,,AH74+1)*AF74-ERP_i)*AE74*Ramure*Pc/MaxiM</f>
        <v>4.3221530543642047E-4</v>
      </c>
      <c r="AE74" s="301">
        <f t="shared" si="15"/>
        <v>0.5</v>
      </c>
      <c r="AF74" s="173">
        <f t="shared" si="23"/>
        <v>0.49660049882282697</v>
      </c>
      <c r="AG74" s="801">
        <f t="shared" si="24"/>
        <v>3</v>
      </c>
      <c r="AH74" s="172">
        <f t="shared" si="16"/>
        <v>9</v>
      </c>
      <c r="AI74" s="221">
        <f t="shared" si="17"/>
        <v>3.496600498822827</v>
      </c>
      <c r="AJ74" s="261" t="b">
        <f t="shared" si="18"/>
        <v>0</v>
      </c>
      <c r="AK74" s="261" t="b">
        <f t="shared" si="19"/>
        <v>1</v>
      </c>
      <c r="AL74" s="261"/>
      <c r="AM74" s="261"/>
      <c r="AN74" s="75"/>
    </row>
    <row r="75" spans="1:40" s="6" customFormat="1" ht="11.25" x14ac:dyDescent="0.2">
      <c r="A75" s="56">
        <f t="shared" si="20"/>
        <v>47179</v>
      </c>
      <c r="B75" s="406">
        <f>'2028'!Wh/'2028'!Env_an*'2029'!Env_an</f>
        <v>50.423297926415017</v>
      </c>
      <c r="C75" s="831"/>
      <c r="D75" s="388">
        <f t="shared" si="0"/>
        <v>52.361271434762152</v>
      </c>
      <c r="E75" s="380">
        <f t="shared" si="1"/>
        <v>53.898685420215791</v>
      </c>
      <c r="F75" s="380">
        <f t="shared" si="2"/>
        <v>53.89880194314933</v>
      </c>
      <c r="G75" s="110">
        <f t="shared" si="21"/>
        <v>0.30355382731737202</v>
      </c>
      <c r="H75" s="409" t="b">
        <f>Wh_hp&gt;='2028'!Maxi_hp</f>
        <v>0</v>
      </c>
      <c r="I75" s="385">
        <f>IF(H75,Wh_hp,'2028'!Maxi_hp)</f>
        <v>53.920842364129726</v>
      </c>
      <c r="J75" s="85">
        <f>IF(H75,An,'2028'!An_max)</f>
        <v>2022</v>
      </c>
      <c r="K75" s="193">
        <f t="shared" si="3"/>
        <v>47179</v>
      </c>
      <c r="L75" s="143">
        <f>IF(t&lt;Tvie,1-EXP((T0-t)*PertePVj)+'2028'!Pspv,1-EXP((T0-t)*PertePVj)+Pspv)</f>
        <v>3.7011582324957271E-2</v>
      </c>
      <c r="M75" s="835"/>
      <c r="N75" s="835"/>
      <c r="O75" s="48">
        <f>IF(t&lt;Tnet,'2028'!Resal+('2028'!Salim-'2028'!Resal)*(1-EXP(('2028'!Tnet-t)/('2028'!Tau_j))),Resal+(Salim-Resal)*(1-EXP((Tnet-t)/(Tau_j))))*Salcycl</f>
        <v>2.852414624711792E-2</v>
      </c>
      <c r="P75" s="165">
        <f>(INDEX(Models!$BJ75:$BT75,,T75)*(1-R75)+INDEX(Models!$BJ75:$BT75,,T75+1)*R75-ERP_i)*Q75*Ramure*Pc/MaxiM</f>
        <v>4.1143849580737267E-4</v>
      </c>
      <c r="Q75" s="301">
        <f t="shared" si="4"/>
        <v>0.5</v>
      </c>
      <c r="R75" s="173">
        <f t="shared" si="5"/>
        <v>0.49692111979208864</v>
      </c>
      <c r="S75" s="801">
        <f t="shared" si="6"/>
        <v>3</v>
      </c>
      <c r="T75" s="172">
        <f t="shared" si="7"/>
        <v>9</v>
      </c>
      <c r="U75" s="247">
        <f t="shared" si="8"/>
        <v>3.4969211197920886</v>
      </c>
      <c r="V75" s="378">
        <f t="shared" si="9"/>
        <v>166.04192162778756</v>
      </c>
      <c r="W75" s="397">
        <f t="shared" si="10"/>
        <v>50.423297926415017</v>
      </c>
      <c r="X75" s="153">
        <f t="shared" si="11"/>
        <v>47179</v>
      </c>
      <c r="Y75" s="380">
        <f t="shared" si="12"/>
        <v>48.949832930815646</v>
      </c>
      <c r="Z75" s="380">
        <f t="shared" si="22"/>
        <v>50.83117515472923</v>
      </c>
      <c r="AA75" s="381">
        <f t="shared" si="13"/>
        <v>53.898685420215791</v>
      </c>
      <c r="AB75" s="193">
        <f t="shared" si="14"/>
        <v>47179</v>
      </c>
      <c r="AC75" s="119">
        <f>IF(OR(t&lt;Tnet,NoTnet),'2028'!Resal_s+('2028'!Salim-'2028'!Resal_s)*(1-EXP(('2028'!Tnet_s-t)/'2028'!Tau_j)),Resal_s+(Salim-Resal_s)*(1-EXP((Tnet_s-t)/Tau_j)))*Salcycl</f>
        <v>5.6912524703914724E-2</v>
      </c>
      <c r="AD75" s="227">
        <f>(INDEX(Models!$BJ75:$BT75,,AH75)*(1-AF75)+INDEX(Models!$BJ75:$BT75,,AH75+1)*AF75-ERP_i)*AE75*Ramure*Pc/MaxiM</f>
        <v>4.1143849580737267E-4</v>
      </c>
      <c r="AE75" s="301">
        <f t="shared" si="15"/>
        <v>0.5</v>
      </c>
      <c r="AF75" s="173">
        <f t="shared" si="23"/>
        <v>0.49692111979208864</v>
      </c>
      <c r="AG75" s="801">
        <f t="shared" si="24"/>
        <v>3</v>
      </c>
      <c r="AH75" s="172">
        <f t="shared" si="16"/>
        <v>9</v>
      </c>
      <c r="AI75" s="221">
        <f t="shared" si="17"/>
        <v>3.4969211197920886</v>
      </c>
      <c r="AJ75" s="261" t="b">
        <f t="shared" si="18"/>
        <v>0</v>
      </c>
      <c r="AK75" s="261" t="b">
        <f t="shared" si="19"/>
        <v>1</v>
      </c>
      <c r="AL75" s="261"/>
      <c r="AM75" s="261"/>
      <c r="AN75" s="75"/>
    </row>
    <row r="76" spans="1:40" s="6" customFormat="1" ht="11.25" x14ac:dyDescent="0.2">
      <c r="A76" s="56">
        <f t="shared" si="20"/>
        <v>47180</v>
      </c>
      <c r="B76" s="406">
        <f>'2028'!Wh/'2028'!Env_an*'2029'!Env_an</f>
        <v>152.02605053254428</v>
      </c>
      <c r="C76" s="831"/>
      <c r="D76" s="388">
        <f t="shared" si="0"/>
        <v>157.87119437743934</v>
      </c>
      <c r="E76" s="380">
        <f t="shared" si="1"/>
        <v>162.51605379152932</v>
      </c>
      <c r="F76" s="380">
        <f t="shared" si="2"/>
        <v>162.57134745244898</v>
      </c>
      <c r="G76" s="110">
        <f t="shared" si="21"/>
        <v>0.90798402656680222</v>
      </c>
      <c r="H76" s="409" t="b">
        <f>Wh_hp&gt;='2028'!Maxi_hp</f>
        <v>0</v>
      </c>
      <c r="I76" s="385">
        <f>IF(H76,Wh_hp,'2028'!Maxi_hp)</f>
        <v>162.57970315575704</v>
      </c>
      <c r="J76" s="85">
        <f>IF(H76,An,'2028'!An_max)</f>
        <v>2022</v>
      </c>
      <c r="K76" s="193">
        <f t="shared" si="3"/>
        <v>47180</v>
      </c>
      <c r="L76" s="143">
        <f>IF(t&lt;Tvie,1-EXP((T0-t)*PertePVj)+'2028'!Pspv,1-EXP((T0-t)*PertePVj)+Pspv)</f>
        <v>3.7024764827714329E-2</v>
      </c>
      <c r="M76" s="835"/>
      <c r="N76" s="835"/>
      <c r="O76" s="48">
        <f>IF(t&lt;Tnet,'2028'!Resal+('2028'!Salim-'2028'!Resal)*(1-EXP(('2028'!Tnet-t)/('2028'!Tau_j))),Resal+(Salim-Resal)*(1-EXP((Tnet-t)/(Tau_j))))*Salcycl</f>
        <v>2.8580926657548973E-2</v>
      </c>
      <c r="P76" s="165">
        <f>(INDEX(Models!$BJ76:$BT76,,T76)*(1-R76)+INDEX(Models!$BJ76:$BT76,,T76+1)*R76-ERP_i)*Q76*Ramure*Pc/MaxiM</f>
        <v>3.9156496927159837E-4</v>
      </c>
      <c r="Q76" s="301">
        <f t="shared" si="4"/>
        <v>0.5</v>
      </c>
      <c r="R76" s="173">
        <f t="shared" si="5"/>
        <v>0.49725474820194648</v>
      </c>
      <c r="S76" s="801">
        <f t="shared" si="6"/>
        <v>3</v>
      </c>
      <c r="T76" s="172">
        <f t="shared" si="7"/>
        <v>9</v>
      </c>
      <c r="U76" s="247">
        <f t="shared" si="8"/>
        <v>3.4972547482019465</v>
      </c>
      <c r="V76" s="378">
        <f t="shared" si="9"/>
        <v>167.42389992467935</v>
      </c>
      <c r="W76" s="397">
        <f t="shared" si="10"/>
        <v>152.02605053254428</v>
      </c>
      <c r="X76" s="153">
        <f t="shared" si="11"/>
        <v>47180</v>
      </c>
      <c r="Y76" s="380">
        <f t="shared" si="12"/>
        <v>147.588108794709</v>
      </c>
      <c r="Z76" s="380">
        <f t="shared" si="22"/>
        <v>153.26262130542125</v>
      </c>
      <c r="AA76" s="381">
        <f t="shared" si="13"/>
        <v>162.51605379152932</v>
      </c>
      <c r="AB76" s="193">
        <f t="shared" si="14"/>
        <v>47180</v>
      </c>
      <c r="AC76" s="119">
        <f>IF(OR(t&lt;Tnet,NoTnet),'2028'!Resal_s+('2028'!Salim-'2028'!Resal_s)*(1-EXP(('2028'!Tnet_s-t)/'2028'!Tau_j)),Resal_s+(Salim-Resal_s)*(1-EXP((Tnet_s-t)/Tau_j)))*Salcycl</f>
        <v>5.6938574806757826E-2</v>
      </c>
      <c r="AD76" s="227">
        <f>(INDEX(Models!$BJ76:$BT76,,AH76)*(1-AF76)+INDEX(Models!$BJ76:$BT76,,AH76+1)*AF76-ERP_i)*AE76*Ramure*Pc/MaxiM</f>
        <v>3.9156496927159837E-4</v>
      </c>
      <c r="AE76" s="301">
        <f t="shared" si="15"/>
        <v>0.5</v>
      </c>
      <c r="AF76" s="173">
        <f t="shared" si="23"/>
        <v>0.49725474820194648</v>
      </c>
      <c r="AG76" s="801">
        <f t="shared" si="24"/>
        <v>3</v>
      </c>
      <c r="AH76" s="172">
        <f t="shared" si="16"/>
        <v>9</v>
      </c>
      <c r="AI76" s="221">
        <f t="shared" si="17"/>
        <v>3.4972547482019465</v>
      </c>
      <c r="AJ76" s="261" t="b">
        <f t="shared" si="18"/>
        <v>0</v>
      </c>
      <c r="AK76" s="261" t="b">
        <f t="shared" si="19"/>
        <v>1</v>
      </c>
      <c r="AL76" s="261"/>
      <c r="AM76" s="261"/>
      <c r="AN76" s="75"/>
    </row>
    <row r="77" spans="1:40" s="6" customFormat="1" ht="11.25" x14ac:dyDescent="0.2">
      <c r="A77" s="56">
        <f t="shared" si="20"/>
        <v>47181</v>
      </c>
      <c r="B77" s="406">
        <f>'2028'!Wh/'2028'!Env_an*'2029'!Env_an</f>
        <v>19.411717911471381</v>
      </c>
      <c r="C77" s="831"/>
      <c r="D77" s="388">
        <f t="shared" si="0"/>
        <v>20.158341498525711</v>
      </c>
      <c r="E77" s="380">
        <f t="shared" si="1"/>
        <v>20.752648636615664</v>
      </c>
      <c r="F77" s="380">
        <f t="shared" si="2"/>
        <v>20.752648636615664</v>
      </c>
      <c r="G77" s="110">
        <f t="shared" si="21"/>
        <v>0.11496085501910518</v>
      </c>
      <c r="H77" s="409" t="b">
        <f>Wh_hp&gt;='2028'!Maxi_hp</f>
        <v>0</v>
      </c>
      <c r="I77" s="385">
        <f>IF(H77,Wh_hp,'2028'!Maxi_hp)</f>
        <v>20.760372655450283</v>
      </c>
      <c r="J77" s="85">
        <f>IF(H77,An,'2028'!An_max)</f>
        <v>2022</v>
      </c>
      <c r="K77" s="193">
        <f t="shared" si="3"/>
        <v>47181</v>
      </c>
      <c r="L77" s="143">
        <f>IF(t&lt;Tvie,1-EXP((T0-t)*PertePVj)+'2028'!Pspv,1-EXP((T0-t)*PertePVj)+Pspv)</f>
        <v>3.7037947150014072E-2</v>
      </c>
      <c r="M77" s="835"/>
      <c r="N77" s="835"/>
      <c r="O77" s="48">
        <f>IF(t&lt;Tnet,'2028'!Resal+('2028'!Salim-'2028'!Resal)*(1-EXP(('2028'!Tnet-t)/('2028'!Tau_j))),Resal+(Salim-Resal)*(1-EXP((Tnet-t)/(Tau_j))))*Salcycl</f>
        <v>2.8637652402660817E-2</v>
      </c>
      <c r="P77" s="165">
        <f>(INDEX(Models!$BJ77:$BT77,,T77)*(1-R77)+INDEX(Models!$BJ77:$BT77,,T77+1)*R77-ERP_i)*Q77*Ramure*Pc/MaxiM</f>
        <v>3.7257311968593538E-4</v>
      </c>
      <c r="Q77" s="301">
        <f t="shared" si="4"/>
        <v>0.5</v>
      </c>
      <c r="R77" s="173">
        <f t="shared" si="5"/>
        <v>0.49760189274704469</v>
      </c>
      <c r="S77" s="801">
        <f t="shared" si="6"/>
        <v>3</v>
      </c>
      <c r="T77" s="172">
        <f t="shared" si="7"/>
        <v>9</v>
      </c>
      <c r="U77" s="247">
        <f t="shared" si="8"/>
        <v>3.4976018927470447</v>
      </c>
      <c r="V77" s="378">
        <f t="shared" si="9"/>
        <v>168.7921129670255</v>
      </c>
      <c r="W77" s="397">
        <f t="shared" si="10"/>
        <v>19.411717911471381</v>
      </c>
      <c r="X77" s="153">
        <f t="shared" si="11"/>
        <v>47181</v>
      </c>
      <c r="Y77" s="380">
        <f t="shared" si="12"/>
        <v>18.84563163631578</v>
      </c>
      <c r="Z77" s="380">
        <f t="shared" si="22"/>
        <v>19.570482118729583</v>
      </c>
      <c r="AA77" s="381">
        <f t="shared" si="13"/>
        <v>20.752648636615664</v>
      </c>
      <c r="AB77" s="193">
        <f t="shared" si="14"/>
        <v>47181</v>
      </c>
      <c r="AC77" s="119">
        <f>IF(OR(t&lt;Tnet,NoTnet),'2028'!Resal_s+('2028'!Salim-'2028'!Resal_s)*(1-EXP(('2028'!Tnet_s-t)/'2028'!Tau_j)),Resal_s+(Salim-Resal_s)*(1-EXP((Tnet_s-t)/Tau_j)))*Salcycl</f>
        <v>5.6964609124653384E-2</v>
      </c>
      <c r="AD77" s="227">
        <f>(INDEX(Models!$BJ77:$BT77,,AH77)*(1-AF77)+INDEX(Models!$BJ77:$BT77,,AH77+1)*AF77-ERP_i)*AE77*Ramure*Pc/MaxiM</f>
        <v>3.7257311968593538E-4</v>
      </c>
      <c r="AE77" s="301">
        <f t="shared" si="15"/>
        <v>0.5</v>
      </c>
      <c r="AF77" s="173">
        <f t="shared" si="23"/>
        <v>0.49760189274704469</v>
      </c>
      <c r="AG77" s="801">
        <f t="shared" si="24"/>
        <v>3</v>
      </c>
      <c r="AH77" s="172">
        <f t="shared" si="16"/>
        <v>9</v>
      </c>
      <c r="AI77" s="221">
        <f t="shared" si="17"/>
        <v>3.4976018927470447</v>
      </c>
      <c r="AJ77" s="261" t="b">
        <f t="shared" si="18"/>
        <v>0</v>
      </c>
      <c r="AK77" s="261" t="b">
        <f t="shared" si="19"/>
        <v>1</v>
      </c>
      <c r="AL77" s="261"/>
      <c r="AM77" s="261"/>
      <c r="AN77" s="75"/>
    </row>
    <row r="78" spans="1:40" s="6" customFormat="1" ht="11.25" x14ac:dyDescent="0.2">
      <c r="A78" s="56">
        <f t="shared" si="20"/>
        <v>47182</v>
      </c>
      <c r="B78" s="406">
        <f>'2028'!Wh/'2028'!Env_an*'2029'!Env_an</f>
        <v>64.104625913531223</v>
      </c>
      <c r="C78" s="831"/>
      <c r="D78" s="388">
        <f t="shared" si="0"/>
        <v>66.571162668677772</v>
      </c>
      <c r="E78" s="380">
        <f t="shared" si="1"/>
        <v>68.537809046339021</v>
      </c>
      <c r="F78" s="380">
        <f t="shared" si="2"/>
        <v>68.540473173197981</v>
      </c>
      <c r="G78" s="110">
        <f t="shared" si="21"/>
        <v>0.3766456740095242</v>
      </c>
      <c r="H78" s="409" t="b">
        <f>Wh_hp&gt;='2028'!Maxi_hp</f>
        <v>0</v>
      </c>
      <c r="I78" s="385">
        <f>IF(H78,Wh_hp,'2028'!Maxi_hp)</f>
        <v>68.562079160993505</v>
      </c>
      <c r="J78" s="85">
        <f>IF(H78,An,'2028'!An_max)</f>
        <v>2022</v>
      </c>
      <c r="K78" s="193">
        <f t="shared" si="3"/>
        <v>47182</v>
      </c>
      <c r="L78" s="143">
        <f>IF(t&lt;Tvie,1-EXP((T0-t)*PertePVj)+'2028'!Pspv,1-EXP((T0-t)*PertePVj)+Pspv)</f>
        <v>3.7051129291858942E-2</v>
      </c>
      <c r="M78" s="835"/>
      <c r="N78" s="835"/>
      <c r="O78" s="48">
        <f>IF(t&lt;Tnet,'2028'!Resal+('2028'!Salim-'2028'!Resal)*(1-EXP(('2028'!Tnet-t)/('2028'!Tau_j))),Resal+(Salim-Resal)*(1-EXP((Tnet-t)/(Tau_j))))*Salcycl</f>
        <v>2.8694328065427075E-2</v>
      </c>
      <c r="P78" s="165">
        <f>(INDEX(Models!$BJ78:$BT78,,T78)*(1-R78)+INDEX(Models!$BJ78:$BT78,,T78+1)*R78-ERP_i)*Q78*Ramure*Pc/MaxiM</f>
        <v>3.5444184784201729E-4</v>
      </c>
      <c r="Q78" s="301">
        <f t="shared" si="4"/>
        <v>0.5</v>
      </c>
      <c r="R78" s="173">
        <f t="shared" si="5"/>
        <v>0.49796308041894033</v>
      </c>
      <c r="S78" s="801">
        <f t="shared" si="6"/>
        <v>3</v>
      </c>
      <c r="T78" s="172">
        <f t="shared" si="7"/>
        <v>9</v>
      </c>
      <c r="U78" s="247">
        <f t="shared" si="8"/>
        <v>3.4979630804189403</v>
      </c>
      <c r="V78" s="378">
        <f t="shared" si="9"/>
        <v>170.14504584925277</v>
      </c>
      <c r="W78" s="397">
        <f t="shared" si="10"/>
        <v>64.104625913531223</v>
      </c>
      <c r="X78" s="153">
        <f t="shared" si="11"/>
        <v>47182</v>
      </c>
      <c r="Y78" s="380">
        <f t="shared" si="12"/>
        <v>62.237114659069164</v>
      </c>
      <c r="Z78" s="380">
        <f t="shared" si="22"/>
        <v>64.631795677065114</v>
      </c>
      <c r="AA78" s="381">
        <f t="shared" si="13"/>
        <v>68.537809046339021</v>
      </c>
      <c r="AB78" s="193">
        <f t="shared" si="14"/>
        <v>47182</v>
      </c>
      <c r="AC78" s="119">
        <f>IF(OR(t&lt;Tnet,NoTnet),'2028'!Resal_s+('2028'!Salim-'2028'!Resal_s)*(1-EXP(('2028'!Tnet_s-t)/'2028'!Tau_j)),Resal_s+(Salim-Resal_s)*(1-EXP((Tnet_s-t)/Tau_j)))*Salcycl</f>
        <v>5.699063660808034E-2</v>
      </c>
      <c r="AD78" s="227">
        <f>(INDEX(Models!$BJ78:$BT78,,AH78)*(1-AF78)+INDEX(Models!$BJ78:$BT78,,AH78+1)*AF78-ERP_i)*AE78*Ramure*Pc/MaxiM</f>
        <v>3.5444184784201729E-4</v>
      </c>
      <c r="AE78" s="301">
        <f t="shared" si="15"/>
        <v>0.5</v>
      </c>
      <c r="AF78" s="173">
        <f t="shared" si="23"/>
        <v>0.49796308041894033</v>
      </c>
      <c r="AG78" s="801">
        <f t="shared" si="24"/>
        <v>3</v>
      </c>
      <c r="AH78" s="172">
        <f t="shared" si="16"/>
        <v>9</v>
      </c>
      <c r="AI78" s="221">
        <f t="shared" si="17"/>
        <v>3.4979630804189403</v>
      </c>
      <c r="AJ78" s="261" t="b">
        <f t="shared" si="18"/>
        <v>0</v>
      </c>
      <c r="AK78" s="261" t="b">
        <f t="shared" si="19"/>
        <v>1</v>
      </c>
      <c r="AL78" s="261"/>
      <c r="AM78" s="261"/>
      <c r="AN78" s="75"/>
    </row>
    <row r="79" spans="1:40" s="6" customFormat="1" ht="11.25" x14ac:dyDescent="0.2">
      <c r="A79" s="56">
        <f t="shared" si="20"/>
        <v>47183</v>
      </c>
      <c r="B79" s="406">
        <f>'2028'!Wh/'2028'!Env_an*'2029'!Env_an</f>
        <v>90.504432578227863</v>
      </c>
      <c r="C79" s="831"/>
      <c r="D79" s="388">
        <f t="shared" ref="D79:D142" si="25">Wh/(1-Ppv)</f>
        <v>93.988034336974764</v>
      </c>
      <c r="E79" s="380">
        <f t="shared" si="1"/>
        <v>96.77027245583713</v>
      </c>
      <c r="F79" s="380">
        <f t="shared" ref="F79:F142" si="26">Wh_sa/(1-Pvg*MEDIAN((-Sdif+Wh/Env_an)/Csdif,0,1))</f>
        <v>96.780889614089702</v>
      </c>
      <c r="G79" s="110">
        <f t="shared" si="21"/>
        <v>0.52765176087615062</v>
      </c>
      <c r="H79" s="409" t="b">
        <f>Wh_hp&gt;='2028'!Maxi_hp</f>
        <v>0</v>
      </c>
      <c r="I79" s="385">
        <f>IF(H79,Wh_hp,'2028'!Maxi_hp)</f>
        <v>96.802876321766419</v>
      </c>
      <c r="J79" s="85">
        <f>IF(H79,An,'2028'!An_max)</f>
        <v>2022</v>
      </c>
      <c r="K79" s="193">
        <f t="shared" ref="K79:K142" si="27">t</f>
        <v>47183</v>
      </c>
      <c r="L79" s="143">
        <f>IF(t&lt;Tvie,1-EXP((T0-t)*PertePVj)+'2028'!Pspv,1-EXP((T0-t)*PertePVj)+Pspv)</f>
        <v>3.706431125325127E-2</v>
      </c>
      <c r="M79" s="835"/>
      <c r="N79" s="835"/>
      <c r="O79" s="48">
        <f>IF(t&lt;Tnet,'2028'!Resal+('2028'!Salim-'2028'!Resal)*(1-EXP(('2028'!Tnet-t)/('2028'!Tau_j))),Resal+(Salim-Resal)*(1-EXP((Tnet-t)/(Tau_j))))*Salcycl</f>
        <v>2.8750958825005734E-2</v>
      </c>
      <c r="P79" s="165">
        <f>(INDEX(Models!$BJ79:$BT79,,T79)*(1-R79)+INDEX(Models!$BJ79:$BT79,,T79+1)*R79-ERP_i)*Q79*Ramure*Pc/MaxiM</f>
        <v>3.3714501690088083E-4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0.49833885702883851</v>
      </c>
      <c r="S79" s="801">
        <f t="shared" ref="S79:S142" si="30">INDEX(Echel_vg,T79)</f>
        <v>3</v>
      </c>
      <c r="T79" s="172">
        <f t="shared" ref="T79:T142" si="31">MIN(MATCH(Hp_vg,Echel_vg),10)</f>
        <v>9</v>
      </c>
      <c r="U79" s="247">
        <f t="shared" ref="U79:U142" si="32">IF(OR(t&lt;Ttai,Notai),Hdd+PousH*Croivg,Hdtf+PousH*(Croivg-Croi_tai))</f>
        <v>3.4983388570288385</v>
      </c>
      <c r="V79" s="378">
        <f t="shared" ref="V79:V142" si="33">MaxiM*(1-Ppv)*(1-Pvg)*(1-Psa)</f>
        <v>171.48402132290107</v>
      </c>
      <c r="W79" s="397">
        <f t="shared" ref="W79:W142" si="34">Wh*(A79&gt;Tmaj)</f>
        <v>90.504432578227863</v>
      </c>
      <c r="X79" s="153">
        <f t="shared" ref="X79:X142" si="35">t</f>
        <v>47183</v>
      </c>
      <c r="Y79" s="380">
        <f t="shared" ref="Y79:Y142" si="36">Wh_pvt_s*(1-Ppv)</f>
        <v>87.870533545365276</v>
      </c>
      <c r="Z79" s="380">
        <f t="shared" ref="Z79:Z142" si="37">Wh_sa_s*(1-Psa_s)</f>
        <v>91.25275402319744</v>
      </c>
      <c r="AA79" s="381">
        <f t="shared" ref="AA79:AA142" si="38">Wh_hp*(1-Pvg_s*MEDIAN((-Sdif+Wh/Env_an)/Csdif,0,1))</f>
        <v>96.77027245583713</v>
      </c>
      <c r="AB79" s="193">
        <f t="shared" ref="AB79:AB142" si="39">t</f>
        <v>47183</v>
      </c>
      <c r="AC79" s="119">
        <f>IF(OR(t&lt;Tnet,NoTnet),'2028'!Resal_s+('2028'!Salim-'2028'!Resal_s)*(1-EXP(('2028'!Tnet_s-t)/'2028'!Tau_j)),Resal_s+(Salim-Resal_s)*(1-EXP((Tnet_s-t)/Tau_j)))*Salcycl</f>
        <v>5.7016667336115094E-2</v>
      </c>
      <c r="AD79" s="227">
        <f>(INDEX(Models!$BJ79:$BT79,,AH79)*(1-AF79)+INDEX(Models!$BJ79:$BT79,,AH79+1)*AF79-ERP_i)*AE79*Ramure*Pc/MaxiM</f>
        <v>3.3714501690088083E-4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0.49833885702883851</v>
      </c>
      <c r="AG79" s="801">
        <f t="shared" si="24"/>
        <v>3</v>
      </c>
      <c r="AH79" s="172">
        <f t="shared" ref="AH79:AH142" si="42">MIN(MATCH(Hp_vg_s,Echel_vg),10)</f>
        <v>9</v>
      </c>
      <c r="AI79" s="221">
        <f t="shared" ref="AI79:AI142" si="43">IF(OR(t&lt;Ttai,Notai),Hdd_s+PousH*Croivg,Hdtai_s+PousH*(Croivg-Croi_tai))</f>
        <v>3.4983388570288385</v>
      </c>
      <c r="AJ79" s="261" t="b">
        <f t="shared" ref="AJ79:AJ142" si="44">t&lt;Tnet</f>
        <v>0</v>
      </c>
      <c r="AK79" s="261" t="b">
        <f t="shared" ref="AK79:AK142" si="45">t&lt;Ttai</f>
        <v>1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47184</v>
      </c>
      <c r="B80" s="406">
        <f>'2028'!Wh/'2028'!Env_an*'2029'!Env_an</f>
        <v>134.45724850310117</v>
      </c>
      <c r="C80" s="831"/>
      <c r="D80" s="388">
        <f t="shared" si="25"/>
        <v>139.63454746403158</v>
      </c>
      <c r="E80" s="380">
        <f t="shared" ref="E80:E143" si="47">Wh_pvt/(1-Psa)</f>
        <v>143.77639316393297</v>
      </c>
      <c r="F80" s="380">
        <f t="shared" si="26"/>
        <v>143.80797835342318</v>
      </c>
      <c r="G80" s="110">
        <f t="shared" ref="G80:G143" si="48">+Wh_hp/MaxiM</f>
        <v>0.77797792896462925</v>
      </c>
      <c r="H80" s="409" t="b">
        <f>Wh_hp&gt;='2028'!Maxi_hp</f>
        <v>0</v>
      </c>
      <c r="I80" s="385">
        <f>IF(H80,Wh_hp,'2028'!Maxi_hp)</f>
        <v>143.82262435298446</v>
      </c>
      <c r="J80" s="85">
        <f>IF(H80,An,'2028'!An_max)</f>
        <v>2022</v>
      </c>
      <c r="K80" s="193">
        <f t="shared" si="27"/>
        <v>47184</v>
      </c>
      <c r="L80" s="143">
        <f>IF(t&lt;Tvie,1-EXP((T0-t)*PertePVj)+'2028'!Pspv,1-EXP((T0-t)*PertePVj)+Pspv)</f>
        <v>3.707749303419372E-2</v>
      </c>
      <c r="M80" s="835"/>
      <c r="N80" s="835"/>
      <c r="O80" s="48">
        <f>IF(t&lt;Tnet,'2028'!Resal+('2028'!Salim-'2028'!Resal)*(1-EXP(('2028'!Tnet-t)/('2028'!Tau_j))),Resal+(Salim-Resal)*(1-EXP((Tnet-t)/(Tau_j))))*Salcycl</f>
        <v>2.8807550452172453E-2</v>
      </c>
      <c r="P80" s="165">
        <f>(INDEX(Models!$BJ80:$BT80,,T80)*(1-R80)+INDEX(Models!$BJ80:$BT80,,T80+1)*R80-ERP_i)*Q80*Ramure*Pc/MaxiM</f>
        <v>3.2160190078621762E-4</v>
      </c>
      <c r="Q80" s="301">
        <f t="shared" si="28"/>
        <v>0.5</v>
      </c>
      <c r="R80" s="173">
        <f t="shared" si="29"/>
        <v>0.49872978773327414</v>
      </c>
      <c r="S80" s="801">
        <f t="shared" si="30"/>
        <v>3</v>
      </c>
      <c r="T80" s="172">
        <f t="shared" si="31"/>
        <v>9</v>
      </c>
      <c r="U80" s="247">
        <f t="shared" si="32"/>
        <v>3.4987297877332741</v>
      </c>
      <c r="V80" s="378">
        <f t="shared" si="33"/>
        <v>172.81150303363412</v>
      </c>
      <c r="W80" s="397">
        <f t="shared" si="34"/>
        <v>134.45724850310117</v>
      </c>
      <c r="X80" s="153">
        <f t="shared" si="35"/>
        <v>47184</v>
      </c>
      <c r="Y80" s="380">
        <f t="shared" si="36"/>
        <v>130.54821667151904</v>
      </c>
      <c r="Z80" s="380">
        <f t="shared" si="37"/>
        <v>135.57499770451918</v>
      </c>
      <c r="AA80" s="381">
        <f t="shared" si="38"/>
        <v>143.77639316393297</v>
      </c>
      <c r="AB80" s="193">
        <f t="shared" si="39"/>
        <v>47184</v>
      </c>
      <c r="AC80" s="119">
        <f>IF(OR(t&lt;Tnet,NoTnet),'2028'!Resal_s+('2028'!Salim-'2028'!Resal_s)*(1-EXP(('2028'!Tnet_s-t)/'2028'!Tau_j)),Resal_s+(Salim-Resal_s)*(1-EXP((Tnet_s-t)/Tau_j)))*Salcycl</f>
        <v>5.7042712499141682E-2</v>
      </c>
      <c r="AD80" s="227">
        <f>(INDEX(Models!$BJ80:$BT80,,AH80)*(1-AF80)+INDEX(Models!$BJ80:$BT80,,AH80+1)*AF80-ERP_i)*AE80*Ramure*Pc/MaxiM</f>
        <v>3.2160190078621762E-4</v>
      </c>
      <c r="AE80" s="301">
        <f t="shared" si="40"/>
        <v>0.5</v>
      </c>
      <c r="AF80" s="173">
        <f t="shared" si="41"/>
        <v>0.49872978773327414</v>
      </c>
      <c r="AG80" s="801">
        <f t="shared" ref="AG80:AG143" si="49">INDEX(Echel_vg,AH80)</f>
        <v>3</v>
      </c>
      <c r="AH80" s="172">
        <f t="shared" si="42"/>
        <v>9</v>
      </c>
      <c r="AI80" s="221">
        <f t="shared" si="43"/>
        <v>3.4987297877332741</v>
      </c>
      <c r="AJ80" s="261" t="b">
        <f t="shared" si="44"/>
        <v>0</v>
      </c>
      <c r="AK80" s="261" t="b">
        <f t="shared" si="45"/>
        <v>1</v>
      </c>
      <c r="AL80" s="261"/>
      <c r="AM80" s="261"/>
      <c r="AN80" s="75"/>
    </row>
    <row r="81" spans="1:40" s="6" customFormat="1" ht="11.25" x14ac:dyDescent="0.2">
      <c r="A81" s="56">
        <f t="shared" si="46"/>
        <v>47185</v>
      </c>
      <c r="B81" s="406">
        <f>'2028'!Wh/'2028'!Env_an*'2029'!Env_an</f>
        <v>123.97325529154213</v>
      </c>
      <c r="C81" s="831"/>
      <c r="D81" s="388">
        <f t="shared" si="25"/>
        <v>128.74862879171806</v>
      </c>
      <c r="E81" s="380">
        <f t="shared" si="47"/>
        <v>132.57529664470096</v>
      </c>
      <c r="F81" s="380">
        <f t="shared" si="26"/>
        <v>132.59926375522929</v>
      </c>
      <c r="G81" s="110">
        <f t="shared" si="48"/>
        <v>0.71187605098853624</v>
      </c>
      <c r="H81" s="409" t="b">
        <f>Wh_hp&gt;='2028'!Maxi_hp</f>
        <v>0</v>
      </c>
      <c r="I81" s="385">
        <f>IF(H81,Wh_hp,'2028'!Maxi_hp)</f>
        <v>132.61599951897398</v>
      </c>
      <c r="J81" s="85">
        <f>IF(H81,An,'2028'!An_max)</f>
        <v>2022</v>
      </c>
      <c r="K81" s="193">
        <f t="shared" si="27"/>
        <v>47185</v>
      </c>
      <c r="L81" s="143">
        <f>IF(t&lt;Tvie,1-EXP((T0-t)*PertePVj)+'2028'!Pspv,1-EXP((T0-t)*PertePVj)+Pspv)</f>
        <v>3.7090674634688625E-2</v>
      </c>
      <c r="M81" s="835"/>
      <c r="N81" s="835"/>
      <c r="O81" s="48">
        <f>IF(t&lt;Tnet,'2028'!Resal+('2028'!Salim-'2028'!Resal)*(1-EXP(('2028'!Tnet-t)/('2028'!Tau_j))),Resal+(Salim-Resal)*(1-EXP((Tnet-t)/(Tau_j))))*Salcycl</f>
        <v>2.8864109301133842E-2</v>
      </c>
      <c r="P81" s="165">
        <f>(INDEX(Models!$BJ81:$BT81,,T81)*(1-R81)+INDEX(Models!$BJ81:$BT81,,T81+1)*R81-ERP_i)*Q81*Ramure*Pc/MaxiM</f>
        <v>3.0712218438667385E-4</v>
      </c>
      <c r="Q81" s="301">
        <f t="shared" si="28"/>
        <v>0.5</v>
      </c>
      <c r="R81" s="173">
        <f t="shared" si="29"/>
        <v>0.49913645756148428</v>
      </c>
      <c r="S81" s="801">
        <f t="shared" si="30"/>
        <v>3</v>
      </c>
      <c r="T81" s="172">
        <f t="shared" si="31"/>
        <v>9</v>
      </c>
      <c r="U81" s="247">
        <f t="shared" si="32"/>
        <v>3.4991364575614843</v>
      </c>
      <c r="V81" s="378">
        <f t="shared" si="33"/>
        <v>174.12804563810445</v>
      </c>
      <c r="W81" s="397">
        <f t="shared" si="34"/>
        <v>123.97325529154213</v>
      </c>
      <c r="X81" s="153">
        <f t="shared" si="35"/>
        <v>47185</v>
      </c>
      <c r="Y81" s="380">
        <f t="shared" si="36"/>
        <v>120.3727031785081</v>
      </c>
      <c r="Z81" s="380">
        <f t="shared" si="37"/>
        <v>125.00938562708463</v>
      </c>
      <c r="AA81" s="381">
        <f t="shared" si="38"/>
        <v>132.57529664470096</v>
      </c>
      <c r="AB81" s="193">
        <f t="shared" si="39"/>
        <v>47185</v>
      </c>
      <c r="AC81" s="119">
        <f>IF(OR(t&lt;Tnet,NoTnet),'2028'!Resal_s+('2028'!Salim-'2028'!Resal_s)*(1-EXP(('2028'!Tnet_s-t)/'2028'!Tau_j)),Resal_s+(Salim-Resal_s)*(1-EXP((Tnet_s-t)/Tau_j)))*Salcycl</f>
        <v>5.7068784374609452E-2</v>
      </c>
      <c r="AD81" s="227">
        <f>(INDEX(Models!$BJ81:$BT81,,AH81)*(1-AF81)+INDEX(Models!$BJ81:$BT81,,AH81+1)*AF81-ERP_i)*AE81*Ramure*Pc/MaxiM</f>
        <v>3.0712218438667385E-4</v>
      </c>
      <c r="AE81" s="301">
        <f t="shared" si="40"/>
        <v>0.5</v>
      </c>
      <c r="AF81" s="173">
        <f t="shared" si="41"/>
        <v>0.49913645756148428</v>
      </c>
      <c r="AG81" s="801">
        <f t="shared" si="49"/>
        <v>3</v>
      </c>
      <c r="AH81" s="172">
        <f t="shared" si="42"/>
        <v>9</v>
      </c>
      <c r="AI81" s="221">
        <f t="shared" si="43"/>
        <v>3.4991364575614843</v>
      </c>
      <c r="AJ81" s="261" t="b">
        <f t="shared" si="44"/>
        <v>0</v>
      </c>
      <c r="AK81" s="261" t="b">
        <f t="shared" si="45"/>
        <v>1</v>
      </c>
      <c r="AL81" s="261"/>
      <c r="AM81" s="261"/>
      <c r="AN81" s="75"/>
    </row>
    <row r="82" spans="1:40" s="6" customFormat="1" ht="11.25" x14ac:dyDescent="0.2">
      <c r="A82" s="56">
        <f t="shared" si="46"/>
        <v>47186</v>
      </c>
      <c r="B82" s="406">
        <f>'2028'!Wh/'2028'!Env_an*'2029'!Env_an</f>
        <v>133.54671975758495</v>
      </c>
      <c r="C82" s="831"/>
      <c r="D82" s="388">
        <f t="shared" si="25"/>
        <v>138.69275580480129</v>
      </c>
      <c r="E82" s="380">
        <f t="shared" si="47"/>
        <v>142.82329729775188</v>
      </c>
      <c r="F82" s="380">
        <f t="shared" si="26"/>
        <v>142.8509400669181</v>
      </c>
      <c r="G82" s="110">
        <f t="shared" si="48"/>
        <v>0.76115958412963636</v>
      </c>
      <c r="H82" s="409" t="b">
        <f>Wh_hp&gt;='2028'!Maxi_hp</f>
        <v>0</v>
      </c>
      <c r="I82" s="385">
        <f>IF(H82,Wh_hp,'2028'!Maxi_hp)</f>
        <v>142.86523052784904</v>
      </c>
      <c r="J82" s="85">
        <f>IF(H82,An,'2028'!An_max)</f>
        <v>2022</v>
      </c>
      <c r="K82" s="193">
        <f t="shared" si="27"/>
        <v>47186</v>
      </c>
      <c r="L82" s="143">
        <f>IF(t&lt;Tvie,1-EXP((T0-t)*PertePVj)+'2028'!Pspv,1-EXP((T0-t)*PertePVj)+Pspv)</f>
        <v>3.7103856054738427E-2</v>
      </c>
      <c r="M82" s="835"/>
      <c r="N82" s="835"/>
      <c r="O82" s="48">
        <f>IF(t&lt;Tnet,'2028'!Resal+('2028'!Salim-'2028'!Resal)*(1-EXP(('2028'!Tnet-t)/('2028'!Tau_j))),Resal+(Salim-Resal)*(1-EXP((Tnet-t)/(Tau_j))))*Salcycl</f>
        <v>2.8920642297869684E-2</v>
      </c>
      <c r="P82" s="165">
        <f>(INDEX(Models!$BJ82:$BT82,,T82)*(1-R82)+INDEX(Models!$BJ82:$BT82,,T82+1)*R82-ERP_i)*Q82*Ramure*Pc/MaxiM</f>
        <v>2.9367936040004415E-4</v>
      </c>
      <c r="Q82" s="301">
        <f t="shared" si="28"/>
        <v>0.5</v>
      </c>
      <c r="R82" s="173">
        <f t="shared" si="29"/>
        <v>0.49955947194307093</v>
      </c>
      <c r="S82" s="801">
        <f t="shared" si="30"/>
        <v>3</v>
      </c>
      <c r="T82" s="172">
        <f t="shared" si="31"/>
        <v>9</v>
      </c>
      <c r="U82" s="247">
        <f t="shared" si="32"/>
        <v>3.4995594719430709</v>
      </c>
      <c r="V82" s="378">
        <f t="shared" si="33"/>
        <v>175.43409078394328</v>
      </c>
      <c r="W82" s="397">
        <f t="shared" si="34"/>
        <v>133.54671975758495</v>
      </c>
      <c r="X82" s="153">
        <f t="shared" si="35"/>
        <v>47186</v>
      </c>
      <c r="Y82" s="380">
        <f t="shared" si="36"/>
        <v>129.67208358778936</v>
      </c>
      <c r="Z82" s="380">
        <f t="shared" si="37"/>
        <v>134.66881594985483</v>
      </c>
      <c r="AA82" s="381">
        <f t="shared" si="38"/>
        <v>142.82329729775188</v>
      </c>
      <c r="AB82" s="193">
        <f t="shared" si="39"/>
        <v>47186</v>
      </c>
      <c r="AC82" s="119">
        <f>IF(OR(t&lt;Tnet,NoTnet),'2028'!Resal_s+('2028'!Salim-'2028'!Resal_s)*(1-EXP(('2028'!Tnet_s-t)/'2028'!Tau_j)),Resal_s+(Salim-Resal_s)*(1-EXP((Tnet_s-t)/Tau_j)))*Salcycl</f>
        <v>5.7094896296203963E-2</v>
      </c>
      <c r="AD82" s="227">
        <f>(INDEX(Models!$BJ82:$BT82,,AH82)*(1-AF82)+INDEX(Models!$BJ82:$BT82,,AH82+1)*AF82-ERP_i)*AE82*Ramure*Pc/MaxiM</f>
        <v>2.9367936040004415E-4</v>
      </c>
      <c r="AE82" s="301">
        <f t="shared" si="40"/>
        <v>0.5</v>
      </c>
      <c r="AF82" s="173">
        <f t="shared" si="41"/>
        <v>0.49955947194307093</v>
      </c>
      <c r="AG82" s="801">
        <f t="shared" si="49"/>
        <v>3</v>
      </c>
      <c r="AH82" s="172">
        <f t="shared" si="42"/>
        <v>9</v>
      </c>
      <c r="AI82" s="221">
        <f t="shared" si="43"/>
        <v>3.4995594719430709</v>
      </c>
      <c r="AJ82" s="261" t="b">
        <f t="shared" si="44"/>
        <v>0</v>
      </c>
      <c r="AK82" s="261" t="b">
        <f t="shared" si="45"/>
        <v>1</v>
      </c>
      <c r="AL82" s="261"/>
      <c r="AM82" s="261"/>
      <c r="AN82" s="75"/>
    </row>
    <row r="83" spans="1:40" s="6" customFormat="1" ht="11.25" x14ac:dyDescent="0.2">
      <c r="A83" s="56">
        <f t="shared" si="46"/>
        <v>47187</v>
      </c>
      <c r="B83" s="406">
        <f>'2028'!Wh/'2028'!Env_an*'2029'!Env_an</f>
        <v>95.995538484771672</v>
      </c>
      <c r="C83" s="831"/>
      <c r="D83" s="388">
        <f t="shared" si="25"/>
        <v>99.695957040333198</v>
      </c>
      <c r="E83" s="380">
        <f t="shared" si="47"/>
        <v>102.67107282938711</v>
      </c>
      <c r="F83" s="380">
        <f t="shared" si="26"/>
        <v>102.68110518685877</v>
      </c>
      <c r="G83" s="110">
        <f t="shared" si="48"/>
        <v>0.54307629705592309</v>
      </c>
      <c r="H83" s="409" t="b">
        <f>Wh_hp&gt;='2028'!Maxi_hp</f>
        <v>0</v>
      </c>
      <c r="I83" s="385">
        <f>IF(H83,Wh_hp,'2028'!Maxi_hp)</f>
        <v>102.6999251260078</v>
      </c>
      <c r="J83" s="85">
        <f>IF(H83,An,'2028'!An_max)</f>
        <v>2022</v>
      </c>
      <c r="K83" s="193">
        <f t="shared" si="27"/>
        <v>47187</v>
      </c>
      <c r="L83" s="143">
        <f>IF(t&lt;Tvie,1-EXP((T0-t)*PertePVj)+'2028'!Pspv,1-EXP((T0-t)*PertePVj)+Pspv)</f>
        <v>3.7117037294345678E-2</v>
      </c>
      <c r="M83" s="835"/>
      <c r="N83" s="835"/>
      <c r="O83" s="48">
        <f>IF(t&lt;Tnet,'2028'!Resal+('2028'!Salim-'2028'!Resal)*(1-EXP(('2028'!Tnet-t)/('2028'!Tau_j))),Resal+(Salim-Resal)*(1-EXP((Tnet-t)/(Tau_j))))*Salcycl</f>
        <v>2.897715692518181E-2</v>
      </c>
      <c r="P83" s="165">
        <f>(INDEX(Models!$BJ83:$BT83,,T83)*(1-R83)+INDEX(Models!$BJ83:$BT83,,T83+1)*R83-ERP_i)*Q83*Ramure*Pc/MaxiM</f>
        <v>2.8124822299200561E-4</v>
      </c>
      <c r="Q83" s="301">
        <f t="shared" si="28"/>
        <v>0.5</v>
      </c>
      <c r="R83" s="173">
        <f t="shared" si="29"/>
        <v>0.49999945723440797</v>
      </c>
      <c r="S83" s="801">
        <f t="shared" si="30"/>
        <v>3</v>
      </c>
      <c r="T83" s="172">
        <f t="shared" si="31"/>
        <v>9</v>
      </c>
      <c r="U83" s="247">
        <f t="shared" si="32"/>
        <v>3.499999457234408</v>
      </c>
      <c r="V83" s="378">
        <f t="shared" si="33"/>
        <v>176.73007984235355</v>
      </c>
      <c r="W83" s="397">
        <f t="shared" si="34"/>
        <v>95.995538484771672</v>
      </c>
      <c r="X83" s="153">
        <f t="shared" si="35"/>
        <v>47187</v>
      </c>
      <c r="Y83" s="380">
        <f t="shared" si="36"/>
        <v>93.213225585333518</v>
      </c>
      <c r="Z83" s="380">
        <f t="shared" si="37"/>
        <v>96.806392049360682</v>
      </c>
      <c r="AA83" s="381">
        <f t="shared" si="38"/>
        <v>102.67107282938711</v>
      </c>
      <c r="AB83" s="193">
        <f t="shared" si="39"/>
        <v>47187</v>
      </c>
      <c r="AC83" s="119">
        <f>IF(OR(t&lt;Tnet,NoTnet),'2028'!Resal_s+('2028'!Salim-'2028'!Resal_s)*(1-EXP(('2028'!Tnet_s-t)/'2028'!Tau_j)),Resal_s+(Salim-Resal_s)*(1-EXP((Tnet_s-t)/Tau_j)))*Salcycl</f>
        <v>5.712106261684851E-2</v>
      </c>
      <c r="AD83" s="227">
        <f>(INDEX(Models!$BJ83:$BT83,,AH83)*(1-AF83)+INDEX(Models!$BJ83:$BT83,,AH83+1)*AF83-ERP_i)*AE83*Ramure*Pc/MaxiM</f>
        <v>2.8124822299200561E-4</v>
      </c>
      <c r="AE83" s="301">
        <f t="shared" si="40"/>
        <v>0.5</v>
      </c>
      <c r="AF83" s="173">
        <f t="shared" si="41"/>
        <v>0.49999945723440797</v>
      </c>
      <c r="AG83" s="801">
        <f t="shared" si="49"/>
        <v>3</v>
      </c>
      <c r="AH83" s="172">
        <f t="shared" si="42"/>
        <v>9</v>
      </c>
      <c r="AI83" s="221">
        <f t="shared" si="43"/>
        <v>3.499999457234408</v>
      </c>
      <c r="AJ83" s="261" t="b">
        <f t="shared" si="44"/>
        <v>0</v>
      </c>
      <c r="AK83" s="261" t="b">
        <f t="shared" si="45"/>
        <v>1</v>
      </c>
      <c r="AL83" s="261"/>
      <c r="AM83" s="261"/>
      <c r="AN83" s="75"/>
    </row>
    <row r="84" spans="1:40" s="6" customFormat="1" ht="11.25" x14ac:dyDescent="0.2">
      <c r="A84" s="56">
        <f t="shared" si="46"/>
        <v>47188</v>
      </c>
      <c r="B84" s="406">
        <f>'2028'!Wh/'2028'!Env_an*'2029'!Env_an</f>
        <v>65.704297217075876</v>
      </c>
      <c r="C84" s="831"/>
      <c r="D84" s="388">
        <f t="shared" si="25"/>
        <v>68.237988635101729</v>
      </c>
      <c r="E84" s="380">
        <f t="shared" si="47"/>
        <v>70.278428724689746</v>
      </c>
      <c r="F84" s="380">
        <f t="shared" si="26"/>
        <v>70.280300301377451</v>
      </c>
      <c r="G84" s="110">
        <f t="shared" si="48"/>
        <v>0.36900139132975102</v>
      </c>
      <c r="H84" s="409" t="b">
        <f>Wh_hp&gt;='2028'!Maxi_hp</f>
        <v>0</v>
      </c>
      <c r="I84" s="385">
        <f>IF(H84,Wh_hp,'2028'!Maxi_hp)</f>
        <v>70.297364846187307</v>
      </c>
      <c r="J84" s="85">
        <f>IF(H84,An,'2028'!An_max)</f>
        <v>2022</v>
      </c>
      <c r="K84" s="193">
        <f t="shared" si="27"/>
        <v>47188</v>
      </c>
      <c r="L84" s="143">
        <f>IF(t&lt;Tvie,1-EXP((T0-t)*PertePVj)+'2028'!Pspv,1-EXP((T0-t)*PertePVj)+Pspv)</f>
        <v>3.7130218353512823E-2</v>
      </c>
      <c r="M84" s="835"/>
      <c r="N84" s="835"/>
      <c r="O84" s="48">
        <f>IF(t&lt;Tnet,'2028'!Resal+('2028'!Salim-'2028'!Resal)*(1-EXP(('2028'!Tnet-t)/('2028'!Tau_j))),Resal+(Salim-Resal)*(1-EXP((Tnet-t)/(Tau_j))))*Salcycl</f>
        <v>2.9033661204653265E-2</v>
      </c>
      <c r="P84" s="165">
        <f>(INDEX(Models!$BJ84:$BT84,,T84)*(1-R84)+INDEX(Models!$BJ84:$BT84,,T84+1)*R84-ERP_i)*Q84*Ramure*Pc/MaxiM</f>
        <v>2.6980478889819309E-4</v>
      </c>
      <c r="Q84" s="301">
        <f t="shared" si="28"/>
        <v>0.5</v>
      </c>
      <c r="R84" s="173">
        <f t="shared" si="29"/>
        <v>0.50045706124207268</v>
      </c>
      <c r="S84" s="801">
        <f t="shared" si="30"/>
        <v>3</v>
      </c>
      <c r="T84" s="172">
        <f t="shared" si="31"/>
        <v>9</v>
      </c>
      <c r="U84" s="247">
        <f t="shared" si="32"/>
        <v>3.5004570612420727</v>
      </c>
      <c r="V84" s="378">
        <f t="shared" si="33"/>
        <v>178.01645391564844</v>
      </c>
      <c r="W84" s="397">
        <f t="shared" si="34"/>
        <v>65.704297217075876</v>
      </c>
      <c r="X84" s="153">
        <f t="shared" si="35"/>
        <v>47188</v>
      </c>
      <c r="Y84" s="380">
        <f t="shared" si="36"/>
        <v>63.80187617753176</v>
      </c>
      <c r="Z84" s="380">
        <f t="shared" si="37"/>
        <v>66.262206368582767</v>
      </c>
      <c r="AA84" s="381">
        <f t="shared" si="38"/>
        <v>70.278428724689746</v>
      </c>
      <c r="AB84" s="193">
        <f t="shared" si="39"/>
        <v>47188</v>
      </c>
      <c r="AC84" s="119">
        <f>IF(OR(t&lt;Tnet,NoTnet),'2028'!Resal_s+('2028'!Salim-'2028'!Resal_s)*(1-EXP(('2028'!Tnet_s-t)/'2028'!Tau_j)),Resal_s+(Salim-Resal_s)*(1-EXP((Tnet_s-t)/Tau_j)))*Salcycl</f>
        <v>5.7147298665999158E-2</v>
      </c>
      <c r="AD84" s="227">
        <f>(INDEX(Models!$BJ84:$BT84,,AH84)*(1-AF84)+INDEX(Models!$BJ84:$BT84,,AH84+1)*AF84-ERP_i)*AE84*Ramure*Pc/MaxiM</f>
        <v>2.6980478889819309E-4</v>
      </c>
      <c r="AE84" s="301">
        <f t="shared" si="40"/>
        <v>0.5</v>
      </c>
      <c r="AF84" s="173">
        <f t="shared" si="41"/>
        <v>0.50045706124207268</v>
      </c>
      <c r="AG84" s="801">
        <f t="shared" si="49"/>
        <v>3</v>
      </c>
      <c r="AH84" s="172">
        <f t="shared" si="42"/>
        <v>9</v>
      </c>
      <c r="AI84" s="221">
        <f t="shared" si="43"/>
        <v>3.5004570612420727</v>
      </c>
      <c r="AJ84" s="261" t="b">
        <f t="shared" si="44"/>
        <v>0</v>
      </c>
      <c r="AK84" s="261" t="b">
        <f t="shared" si="45"/>
        <v>1</v>
      </c>
      <c r="AL84" s="261"/>
      <c r="AM84" s="261"/>
      <c r="AN84" s="75"/>
    </row>
    <row r="85" spans="1:40" s="6" customFormat="1" ht="11.25" x14ac:dyDescent="0.2">
      <c r="A85" s="56">
        <f t="shared" si="46"/>
        <v>47189</v>
      </c>
      <c r="B85" s="406">
        <f>'2028'!Wh/'2028'!Env_an*'2029'!Env_an</f>
        <v>61.492901067817172</v>
      </c>
      <c r="C85" s="831"/>
      <c r="D85" s="388">
        <f t="shared" si="25"/>
        <v>63.865066738685982</v>
      </c>
      <c r="E85" s="380">
        <f t="shared" si="47"/>
        <v>65.778576289299082</v>
      </c>
      <c r="F85" s="380">
        <f t="shared" si="26"/>
        <v>65.779623505890697</v>
      </c>
      <c r="G85" s="110">
        <f t="shared" si="48"/>
        <v>0.34288962137539231</v>
      </c>
      <c r="H85" s="409" t="b">
        <f>Wh_hp&gt;='2028'!Maxi_hp</f>
        <v>0</v>
      </c>
      <c r="I85" s="385">
        <f>IF(H85,Wh_hp,'2028'!Maxi_hp)</f>
        <v>65.795608679472551</v>
      </c>
      <c r="J85" s="85">
        <f>IF(H85,An,'2028'!An_max)</f>
        <v>2022</v>
      </c>
      <c r="K85" s="193">
        <f t="shared" si="27"/>
        <v>47189</v>
      </c>
      <c r="L85" s="143">
        <f>IF(t&lt;Tvie,1-EXP((T0-t)*PertePVj)+'2028'!Pspv,1-EXP((T0-t)*PertePVj)+Pspv)</f>
        <v>3.7143399232242302E-2</v>
      </c>
      <c r="M85" s="835"/>
      <c r="N85" s="835"/>
      <c r="O85" s="48">
        <f>IF(t&lt;Tnet,'2028'!Resal+('2028'!Salim-'2028'!Resal)*(1-EXP(('2028'!Tnet-t)/('2028'!Tau_j))),Resal+(Salim-Resal)*(1-EXP((Tnet-t)/(Tau_j))))*Salcycl</f>
        <v>2.9090163675743651E-2</v>
      </c>
      <c r="P85" s="165">
        <f>(INDEX(Models!$BJ85:$BT85,,T85)*(1-R85)+INDEX(Models!$BJ85:$BT85,,T85+1)*R85-ERP_i)*Q85*Ramure*Pc/MaxiM</f>
        <v>2.5932622719771262E-4</v>
      </c>
      <c r="Q85" s="301">
        <f t="shared" si="28"/>
        <v>0.5</v>
      </c>
      <c r="R85" s="173">
        <f t="shared" si="29"/>
        <v>0.50093295374142777</v>
      </c>
      <c r="S85" s="801">
        <f t="shared" si="30"/>
        <v>3</v>
      </c>
      <c r="T85" s="172">
        <f t="shared" si="31"/>
        <v>9</v>
      </c>
      <c r="U85" s="247">
        <f t="shared" si="32"/>
        <v>3.5009329537414278</v>
      </c>
      <c r="V85" s="378">
        <f t="shared" si="33"/>
        <v>179.29365383687815</v>
      </c>
      <c r="W85" s="397">
        <f t="shared" si="34"/>
        <v>61.492901067817172</v>
      </c>
      <c r="X85" s="153">
        <f t="shared" si="35"/>
        <v>47189</v>
      </c>
      <c r="Y85" s="380">
        <f t="shared" si="36"/>
        <v>59.714225870664514</v>
      </c>
      <c r="Z85" s="380">
        <f t="shared" si="37"/>
        <v>62.017776918234645</v>
      </c>
      <c r="AA85" s="381">
        <f t="shared" si="38"/>
        <v>65.778576289299082</v>
      </c>
      <c r="AB85" s="193">
        <f t="shared" si="39"/>
        <v>47189</v>
      </c>
      <c r="AC85" s="119">
        <f>IF(OR(t&lt;Tnet,NoTnet),'2028'!Resal_s+('2028'!Salim-'2028'!Resal_s)*(1-EXP(('2028'!Tnet_s-t)/'2028'!Tau_j)),Resal_s+(Salim-Resal_s)*(1-EXP((Tnet_s-t)/Tau_j)))*Salcycl</f>
        <v>5.7173620701733707E-2</v>
      </c>
      <c r="AD85" s="227">
        <f>(INDEX(Models!$BJ85:$BT85,,AH85)*(1-AF85)+INDEX(Models!$BJ85:$BT85,,AH85+1)*AF85-ERP_i)*AE85*Ramure*Pc/MaxiM</f>
        <v>2.5932622719771262E-4</v>
      </c>
      <c r="AE85" s="301">
        <f t="shared" si="40"/>
        <v>0.5</v>
      </c>
      <c r="AF85" s="173">
        <f t="shared" si="41"/>
        <v>0.50093295374142777</v>
      </c>
      <c r="AG85" s="801">
        <f t="shared" si="49"/>
        <v>3</v>
      </c>
      <c r="AH85" s="172">
        <f t="shared" si="42"/>
        <v>9</v>
      </c>
      <c r="AI85" s="221">
        <f t="shared" si="43"/>
        <v>3.5009329537414278</v>
      </c>
      <c r="AJ85" s="261" t="b">
        <f t="shared" si="44"/>
        <v>0</v>
      </c>
      <c r="AK85" s="261" t="b">
        <f t="shared" si="45"/>
        <v>1</v>
      </c>
      <c r="AL85" s="261"/>
      <c r="AM85" s="261"/>
      <c r="AN85" s="75"/>
    </row>
    <row r="86" spans="1:40" s="6" customFormat="1" ht="11.25" x14ac:dyDescent="0.2">
      <c r="A86" s="56">
        <f t="shared" si="46"/>
        <v>47190</v>
      </c>
      <c r="B86" s="406">
        <f>'2028'!Wh/'2028'!Env_an*'2029'!Env_an</f>
        <v>54.307373120564193</v>
      </c>
      <c r="C86" s="831"/>
      <c r="D86" s="388">
        <f t="shared" si="25"/>
        <v>56.403120163241333</v>
      </c>
      <c r="E86" s="380">
        <f t="shared" si="47"/>
        <v>58.096438067692411</v>
      </c>
      <c r="F86" s="380">
        <f t="shared" si="26"/>
        <v>58.096454024122224</v>
      </c>
      <c r="G86" s="110">
        <f t="shared" si="48"/>
        <v>0.30069331541680838</v>
      </c>
      <c r="H86" s="409" t="b">
        <f>Wh_hp&gt;='2028'!Maxi_hp</f>
        <v>0</v>
      </c>
      <c r="I86" s="385">
        <f>IF(H86,Wh_hp,'2028'!Maxi_hp)</f>
        <v>58.110947281906434</v>
      </c>
      <c r="J86" s="85">
        <f>IF(H86,An,'2028'!An_max)</f>
        <v>2022</v>
      </c>
      <c r="K86" s="193">
        <f t="shared" si="27"/>
        <v>47190</v>
      </c>
      <c r="L86" s="143">
        <f>IF(t&lt;Tvie,1-EXP((T0-t)*PertePVj)+'2028'!Pspv,1-EXP((T0-t)*PertePVj)+Pspv)</f>
        <v>3.7156579930536671E-2</v>
      </c>
      <c r="M86" s="835"/>
      <c r="N86" s="835"/>
      <c r="O86" s="48">
        <f>IF(t&lt;Tnet,'2028'!Resal+('2028'!Salim-'2028'!Resal)*(1-EXP(('2028'!Tnet-t)/('2028'!Tau_j))),Resal+(Salim-Resal)*(1-EXP((Tnet-t)/(Tau_j))))*Salcycl</f>
        <v>2.9146673372265355E-2</v>
      </c>
      <c r="P86" s="165">
        <f>(INDEX(Models!$BJ86:$BT86,,T86)*(1-R86)+INDEX(Models!$BJ86:$BT86,,T86+1)*R86-ERP_i)*Q86*Ramure*Pc/MaxiM</f>
        <v>2.5017973683085583E-4</v>
      </c>
      <c r="Q86" s="301">
        <f t="shared" si="28"/>
        <v>0.5</v>
      </c>
      <c r="R86" s="173">
        <f t="shared" si="29"/>
        <v>0.50142782698827393</v>
      </c>
      <c r="S86" s="801">
        <f t="shared" si="30"/>
        <v>3</v>
      </c>
      <c r="T86" s="172">
        <f t="shared" si="31"/>
        <v>9</v>
      </c>
      <c r="U86" s="247">
        <f t="shared" si="32"/>
        <v>3.5014278269882739</v>
      </c>
      <c r="V86" s="378">
        <f t="shared" si="33"/>
        <v>180.56204991788658</v>
      </c>
      <c r="W86" s="397">
        <f t="shared" si="34"/>
        <v>54.307373120564193</v>
      </c>
      <c r="X86" s="153">
        <f t="shared" si="35"/>
        <v>47190</v>
      </c>
      <c r="Y86" s="380">
        <f t="shared" si="36"/>
        <v>52.738129935114245</v>
      </c>
      <c r="Z86" s="380">
        <f t="shared" si="37"/>
        <v>54.773319146024292</v>
      </c>
      <c r="AA86" s="381">
        <f t="shared" si="38"/>
        <v>58.096438067692411</v>
      </c>
      <c r="AB86" s="193">
        <f t="shared" si="39"/>
        <v>47190</v>
      </c>
      <c r="AC86" s="119">
        <f>IF(OR(t&lt;Tnet,NoTnet),'2028'!Resal_s+('2028'!Salim-'2028'!Resal_s)*(1-EXP(('2028'!Tnet_s-t)/'2028'!Tau_j)),Resal_s+(Salim-Resal_s)*(1-EXP((Tnet_s-t)/Tau_j)))*Salcycl</f>
        <v>5.7200045858166182E-2</v>
      </c>
      <c r="AD86" s="227">
        <f>(INDEX(Models!$BJ86:$BT86,,AH86)*(1-AF86)+INDEX(Models!$BJ86:$BT86,,AH86+1)*AF86-ERP_i)*AE86*Ramure*Pc/MaxiM</f>
        <v>2.5017973683085583E-4</v>
      </c>
      <c r="AE86" s="301">
        <f t="shared" si="40"/>
        <v>0.5</v>
      </c>
      <c r="AF86" s="173">
        <f t="shared" si="41"/>
        <v>0.50142782698827393</v>
      </c>
      <c r="AG86" s="801">
        <f t="shared" si="49"/>
        <v>3</v>
      </c>
      <c r="AH86" s="172">
        <f t="shared" si="42"/>
        <v>9</v>
      </c>
      <c r="AI86" s="221">
        <f t="shared" si="43"/>
        <v>3.5014278269882739</v>
      </c>
      <c r="AJ86" s="261" t="b">
        <f t="shared" si="44"/>
        <v>0</v>
      </c>
      <c r="AK86" s="261" t="b">
        <f t="shared" si="45"/>
        <v>1</v>
      </c>
      <c r="AL86" s="261"/>
      <c r="AM86" s="261"/>
      <c r="AN86" s="75"/>
    </row>
    <row r="87" spans="1:40" s="6" customFormat="1" ht="11.25" x14ac:dyDescent="0.2">
      <c r="A87" s="56">
        <f t="shared" si="46"/>
        <v>47191</v>
      </c>
      <c r="B87" s="406">
        <f>'2028'!Wh/'2028'!Env_an*'2029'!Env_an</f>
        <v>53.294792809606299</v>
      </c>
      <c r="C87" s="831"/>
      <c r="D87" s="388">
        <f t="shared" si="25"/>
        <v>55.352221627798215</v>
      </c>
      <c r="E87" s="380">
        <f t="shared" si="47"/>
        <v>57.017309509255945</v>
      </c>
      <c r="F87" s="380">
        <f t="shared" si="26"/>
        <v>57.017309509255945</v>
      </c>
      <c r="G87" s="110">
        <f t="shared" si="48"/>
        <v>0.29304403963380748</v>
      </c>
      <c r="H87" s="409" t="b">
        <f>Wh_hp&gt;='2028'!Maxi_hp</f>
        <v>0</v>
      </c>
      <c r="I87" s="385">
        <f>IF(H87,Wh_hp,'2028'!Maxi_hp)</f>
        <v>57.031108128817166</v>
      </c>
      <c r="J87" s="85">
        <f>IF(H87,An,'2028'!An_max)</f>
        <v>2022</v>
      </c>
      <c r="K87" s="193">
        <f t="shared" si="27"/>
        <v>47191</v>
      </c>
      <c r="L87" s="143">
        <f>IF(t&lt;Tvie,1-EXP((T0-t)*PertePVj)+'2028'!Pspv,1-EXP((T0-t)*PertePVj)+Pspv)</f>
        <v>3.716976044839837E-2</v>
      </c>
      <c r="M87" s="835"/>
      <c r="N87" s="835"/>
      <c r="O87" s="48">
        <f>IF(t&lt;Tnet,'2028'!Resal+('2028'!Salim-'2028'!Resal)*(1-EXP(('2028'!Tnet-t)/('2028'!Tau_j))),Resal+(Salim-Resal)*(1-EXP((Tnet-t)/(Tau_j))))*Salcycl</f>
        <v>2.9203199796500871E-2</v>
      </c>
      <c r="P87" s="165">
        <f>(INDEX(Models!$BJ87:$BT87,,T87)*(1-R87)+INDEX(Models!$BJ87:$BT87,,T87+1)*R87-ERP_i)*Q87*Ramure*Pc/MaxiM</f>
        <v>2.4246202222699453E-4</v>
      </c>
      <c r="Q87" s="301">
        <f t="shared" si="28"/>
        <v>0.5</v>
      </c>
      <c r="R87" s="173">
        <f t="shared" si="29"/>
        <v>0.50194239622131143</v>
      </c>
      <c r="S87" s="801">
        <f t="shared" si="30"/>
        <v>3</v>
      </c>
      <c r="T87" s="172">
        <f t="shared" si="31"/>
        <v>9</v>
      </c>
      <c r="U87" s="247">
        <f t="shared" si="32"/>
        <v>3.5019423962213114</v>
      </c>
      <c r="V87" s="378">
        <f t="shared" si="33"/>
        <v>181.82205962267443</v>
      </c>
      <c r="W87" s="397">
        <f t="shared" si="34"/>
        <v>53.294792809606299</v>
      </c>
      <c r="X87" s="153">
        <f t="shared" si="35"/>
        <v>47191</v>
      </c>
      <c r="Y87" s="380">
        <f t="shared" si="36"/>
        <v>51.756364906131338</v>
      </c>
      <c r="Z87" s="380">
        <f t="shared" si="37"/>
        <v>53.754403195972245</v>
      </c>
      <c r="AA87" s="381">
        <f t="shared" si="38"/>
        <v>57.017309509255945</v>
      </c>
      <c r="AB87" s="193">
        <f t="shared" si="39"/>
        <v>47191</v>
      </c>
      <c r="AC87" s="119">
        <f>IF(OR(t&lt;Tnet,NoTnet),'2028'!Resal_s+('2028'!Salim-'2028'!Resal_s)*(1-EXP(('2028'!Tnet_s-t)/'2028'!Tau_j)),Resal_s+(Salim-Resal_s)*(1-EXP((Tnet_s-t)/Tau_j)))*Salcycl</f>
        <v>5.7226592088741236E-2</v>
      </c>
      <c r="AD87" s="227">
        <f>(INDEX(Models!$BJ87:$BT87,,AH87)*(1-AF87)+INDEX(Models!$BJ87:$BT87,,AH87+1)*AF87-ERP_i)*AE87*Ramure*Pc/MaxiM</f>
        <v>2.4246202222699453E-4</v>
      </c>
      <c r="AE87" s="301">
        <f t="shared" si="40"/>
        <v>0.5</v>
      </c>
      <c r="AF87" s="173">
        <f t="shared" si="41"/>
        <v>0.50194239622131143</v>
      </c>
      <c r="AG87" s="801">
        <f t="shared" si="49"/>
        <v>3</v>
      </c>
      <c r="AH87" s="172">
        <f t="shared" si="42"/>
        <v>9</v>
      </c>
      <c r="AI87" s="221">
        <f t="shared" si="43"/>
        <v>3.5019423962213114</v>
      </c>
      <c r="AJ87" s="261" t="b">
        <f t="shared" si="44"/>
        <v>0</v>
      </c>
      <c r="AK87" s="261" t="b">
        <f t="shared" si="45"/>
        <v>1</v>
      </c>
      <c r="AL87" s="261"/>
      <c r="AM87" s="261"/>
      <c r="AN87" s="75"/>
    </row>
    <row r="88" spans="1:40" s="6" customFormat="1" ht="11.25" x14ac:dyDescent="0.2">
      <c r="A88" s="56">
        <f t="shared" si="46"/>
        <v>47192</v>
      </c>
      <c r="B88" s="406">
        <f>'2028'!Wh/'2028'!Env_an*'2029'!Env_an</f>
        <v>56.860494943082109</v>
      </c>
      <c r="C88" s="831"/>
      <c r="D88" s="388">
        <f t="shared" si="25"/>
        <v>59.056385009931567</v>
      </c>
      <c r="E88" s="380">
        <f t="shared" si="47"/>
        <v>60.836444338043947</v>
      </c>
      <c r="F88" s="380">
        <f t="shared" si="26"/>
        <v>60.836661622559838</v>
      </c>
      <c r="G88" s="110">
        <f t="shared" si="48"/>
        <v>0.3105150517656608</v>
      </c>
      <c r="H88" s="409" t="b">
        <f>Wh_hp&gt;='2028'!Maxi_hp</f>
        <v>0</v>
      </c>
      <c r="I88" s="385">
        <f>IF(H88,Wh_hp,'2028'!Maxi_hp)</f>
        <v>60.850782095593019</v>
      </c>
      <c r="J88" s="85">
        <f>IF(H88,An,'2028'!An_max)</f>
        <v>2022</v>
      </c>
      <c r="K88" s="193">
        <f t="shared" si="27"/>
        <v>47192</v>
      </c>
      <c r="L88" s="143">
        <f>IF(t&lt;Tvie,1-EXP((T0-t)*PertePVj)+'2028'!Pspv,1-EXP((T0-t)*PertePVj)+Pspv)</f>
        <v>3.7182940785829843E-2</v>
      </c>
      <c r="M88" s="835"/>
      <c r="N88" s="835"/>
      <c r="O88" s="48">
        <f>IF(t&lt;Tnet,'2028'!Resal+('2028'!Salim-'2028'!Resal)*(1-EXP(('2028'!Tnet-t)/('2028'!Tau_j))),Resal+(Salim-Resal)*(1-EXP((Tnet-t)/(Tau_j))))*Salcycl</f>
        <v>2.9259752891232414E-2</v>
      </c>
      <c r="P88" s="165">
        <f>(INDEX(Models!$BJ88:$BT88,,T88)*(1-R88)+INDEX(Models!$BJ88:$BT88,,T88+1)*R88-ERP_i)*Q88*Ramure*Pc/MaxiM</f>
        <v>2.3614393616670288E-4</v>
      </c>
      <c r="Q88" s="301">
        <f t="shared" si="28"/>
        <v>0.5</v>
      </c>
      <c r="R88" s="173">
        <f t="shared" si="29"/>
        <v>0.50247740015294307</v>
      </c>
      <c r="S88" s="801">
        <f t="shared" si="30"/>
        <v>3</v>
      </c>
      <c r="T88" s="172">
        <f t="shared" si="31"/>
        <v>9</v>
      </c>
      <c r="U88" s="247">
        <f t="shared" si="32"/>
        <v>3.5024774001529431</v>
      </c>
      <c r="V88" s="378">
        <f t="shared" si="33"/>
        <v>183.07412279931376</v>
      </c>
      <c r="W88" s="397">
        <f t="shared" si="34"/>
        <v>56.860494943082109</v>
      </c>
      <c r="X88" s="153">
        <f t="shared" si="35"/>
        <v>47192</v>
      </c>
      <c r="Y88" s="380">
        <f t="shared" si="36"/>
        <v>55.220791939469272</v>
      </c>
      <c r="Z88" s="380">
        <f t="shared" si="37"/>
        <v>57.353358471379032</v>
      </c>
      <c r="AA88" s="381">
        <f t="shared" si="38"/>
        <v>60.836444338043947</v>
      </c>
      <c r="AB88" s="193">
        <f t="shared" si="39"/>
        <v>47192</v>
      </c>
      <c r="AC88" s="119">
        <f>IF(OR(t&lt;Tnet,NoTnet),'2028'!Resal_s+('2028'!Salim-'2028'!Resal_s)*(1-EXP(('2028'!Tnet_s-t)/'2028'!Tau_j)),Resal_s+(Salim-Resal_s)*(1-EXP((Tnet_s-t)/Tau_j)))*Salcycl</f>
        <v>5.7253278105978612E-2</v>
      </c>
      <c r="AD88" s="227">
        <f>(INDEX(Models!$BJ88:$BT88,,AH88)*(1-AF88)+INDEX(Models!$BJ88:$BT88,,AH88+1)*AF88-ERP_i)*AE88*Ramure*Pc/MaxiM</f>
        <v>2.3614393616670288E-4</v>
      </c>
      <c r="AE88" s="301">
        <f t="shared" si="40"/>
        <v>0.5</v>
      </c>
      <c r="AF88" s="173">
        <f t="shared" si="41"/>
        <v>0.50247740015294307</v>
      </c>
      <c r="AG88" s="801">
        <f t="shared" si="49"/>
        <v>3</v>
      </c>
      <c r="AH88" s="172">
        <f t="shared" si="42"/>
        <v>9</v>
      </c>
      <c r="AI88" s="221">
        <f t="shared" si="43"/>
        <v>3.5024774001529431</v>
      </c>
      <c r="AJ88" s="261" t="b">
        <f t="shared" si="44"/>
        <v>0</v>
      </c>
      <c r="AK88" s="261" t="b">
        <f t="shared" si="45"/>
        <v>1</v>
      </c>
      <c r="AL88" s="261"/>
      <c r="AM88" s="261"/>
      <c r="AN88" s="75"/>
    </row>
    <row r="89" spans="1:40" s="6" customFormat="1" ht="11.25" x14ac:dyDescent="0.2">
      <c r="A89" s="56">
        <f t="shared" si="46"/>
        <v>47193</v>
      </c>
      <c r="B89" s="406">
        <f>'2028'!Wh/'2028'!Env_an*'2029'!Env_an</f>
        <v>37.791669240991013</v>
      </c>
      <c r="C89" s="831"/>
      <c r="D89" s="388">
        <f t="shared" si="25"/>
        <v>39.251679457293847</v>
      </c>
      <c r="E89" s="380">
        <f t="shared" si="47"/>
        <v>40.437148781311691</v>
      </c>
      <c r="F89" s="380">
        <f t="shared" si="26"/>
        <v>40.437148781311691</v>
      </c>
      <c r="G89" s="110">
        <f t="shared" si="48"/>
        <v>0.20498699370516996</v>
      </c>
      <c r="H89" s="409" t="b">
        <f>Wh_hp&gt;='2028'!Maxi_hp</f>
        <v>0</v>
      </c>
      <c r="I89" s="385">
        <f>IF(H89,Wh_hp,'2028'!Maxi_hp)</f>
        <v>40.446477610903443</v>
      </c>
      <c r="J89" s="85">
        <f>IF(H89,An,'2028'!An_max)</f>
        <v>2022</v>
      </c>
      <c r="K89" s="193">
        <f t="shared" si="27"/>
        <v>47193</v>
      </c>
      <c r="L89" s="143">
        <f>IF(t&lt;Tvie,1-EXP((T0-t)*PertePVj)+'2028'!Pspv,1-EXP((T0-t)*PertePVj)+Pspv)</f>
        <v>3.7196120942833533E-2</v>
      </c>
      <c r="M89" s="835"/>
      <c r="N89" s="835"/>
      <c r="O89" s="48">
        <f>IF(t&lt;Tnet,'2028'!Resal+('2028'!Salim-'2028'!Resal)*(1-EXP(('2028'!Tnet-t)/('2028'!Tau_j))),Resal+(Salim-Resal)*(1-EXP((Tnet-t)/(Tau_j))))*Salcycl</f>
        <v>2.9316343009963129E-2</v>
      </c>
      <c r="P89" s="165">
        <f>(INDEX(Models!$BJ89:$BT89,,T89)*(1-R89)+INDEX(Models!$BJ89:$BT89,,T89+1)*R89-ERP_i)*Q89*Ramure*Pc/MaxiM</f>
        <v>2.3119780223174841E-4</v>
      </c>
      <c r="Q89" s="301">
        <f t="shared" si="28"/>
        <v>0.5</v>
      </c>
      <c r="R89" s="173">
        <f t="shared" si="29"/>
        <v>0.50303360144571485</v>
      </c>
      <c r="S89" s="801">
        <f t="shared" si="30"/>
        <v>3</v>
      </c>
      <c r="T89" s="172">
        <f t="shared" si="31"/>
        <v>9</v>
      </c>
      <c r="U89" s="247">
        <f t="shared" si="32"/>
        <v>3.5030336014457149</v>
      </c>
      <c r="V89" s="378">
        <f t="shared" si="33"/>
        <v>184.31867899122665</v>
      </c>
      <c r="W89" s="397">
        <f t="shared" si="34"/>
        <v>37.791669240991013</v>
      </c>
      <c r="X89" s="153">
        <f t="shared" si="35"/>
        <v>47193</v>
      </c>
      <c r="Y89" s="380">
        <f t="shared" si="36"/>
        <v>36.702954160101186</v>
      </c>
      <c r="Z89" s="380">
        <f t="shared" si="37"/>
        <v>38.120903912479925</v>
      </c>
      <c r="AA89" s="381">
        <f t="shared" si="38"/>
        <v>40.437148781311691</v>
      </c>
      <c r="AB89" s="193">
        <f t="shared" si="39"/>
        <v>47193</v>
      </c>
      <c r="AC89" s="119">
        <f>IF(OR(t&lt;Tnet,NoTnet),'2028'!Resal_s+('2028'!Salim-'2028'!Resal_s)*(1-EXP(('2028'!Tnet_s-t)/'2028'!Tau_j)),Resal_s+(Salim-Resal_s)*(1-EXP((Tnet_s-t)/Tau_j)))*Salcycl</f>
        <v>5.7280123318245446E-2</v>
      </c>
      <c r="AD89" s="227">
        <f>(INDEX(Models!$BJ89:$BT89,,AH89)*(1-AF89)+INDEX(Models!$BJ89:$BT89,,AH89+1)*AF89-ERP_i)*AE89*Ramure*Pc/MaxiM</f>
        <v>2.3119780223174841E-4</v>
      </c>
      <c r="AE89" s="301">
        <f t="shared" si="40"/>
        <v>0.5</v>
      </c>
      <c r="AF89" s="173">
        <f t="shared" si="41"/>
        <v>0.50303360144571485</v>
      </c>
      <c r="AG89" s="801">
        <f t="shared" si="49"/>
        <v>3</v>
      </c>
      <c r="AH89" s="172">
        <f t="shared" si="42"/>
        <v>9</v>
      </c>
      <c r="AI89" s="221">
        <f t="shared" si="43"/>
        <v>3.5030336014457149</v>
      </c>
      <c r="AJ89" s="261" t="b">
        <f t="shared" si="44"/>
        <v>0</v>
      </c>
      <c r="AK89" s="261" t="b">
        <f t="shared" si="45"/>
        <v>1</v>
      </c>
      <c r="AL89" s="261"/>
      <c r="AM89" s="261"/>
      <c r="AN89" s="75"/>
    </row>
    <row r="90" spans="1:40" s="6" customFormat="1" ht="11.25" x14ac:dyDescent="0.2">
      <c r="A90" s="56">
        <f t="shared" si="46"/>
        <v>47194</v>
      </c>
      <c r="B90" s="406">
        <f>'2028'!Wh/'2028'!Env_an*'2029'!Env_an</f>
        <v>48.539926541287123</v>
      </c>
      <c r="C90" s="831"/>
      <c r="D90" s="388">
        <f t="shared" si="25"/>
        <v>50.415865657655473</v>
      </c>
      <c r="E90" s="380">
        <f t="shared" si="47"/>
        <v>51.941543625743641</v>
      </c>
      <c r="F90" s="380">
        <f t="shared" si="26"/>
        <v>51.941543625743641</v>
      </c>
      <c r="G90" s="110">
        <f t="shared" si="48"/>
        <v>0.26153201833023326</v>
      </c>
      <c r="H90" s="409" t="b">
        <f>Wh_hp&gt;='2028'!Maxi_hp</f>
        <v>0</v>
      </c>
      <c r="I90" s="385">
        <f>IF(H90,Wh_hp,'2028'!Maxi_hp)</f>
        <v>51.95333809562544</v>
      </c>
      <c r="J90" s="85">
        <f>IF(H90,An,'2028'!An_max)</f>
        <v>2022</v>
      </c>
      <c r="K90" s="193">
        <f t="shared" si="27"/>
        <v>47194</v>
      </c>
      <c r="L90" s="143">
        <f>IF(t&lt;Tvie,1-EXP((T0-t)*PertePVj)+'2028'!Pspv,1-EXP((T0-t)*PertePVj)+Pspv)</f>
        <v>3.7209300919411992E-2</v>
      </c>
      <c r="M90" s="835"/>
      <c r="N90" s="835"/>
      <c r="O90" s="48">
        <f>IF(t&lt;Tnet,'2028'!Resal+('2028'!Salim-'2028'!Resal)*(1-EXP(('2028'!Tnet-t)/('2028'!Tau_j))),Resal+(Salim-Resal)*(1-EXP((Tnet-t)/(Tau_j))))*Salcycl</f>
        <v>2.937298088561233E-2</v>
      </c>
      <c r="P90" s="165">
        <f>(INDEX(Models!$BJ90:$BT90,,T90)*(1-R90)+INDEX(Models!$BJ90:$BT90,,T90+1)*R90-ERP_i)*Q90*Ramure*Pc/MaxiM</f>
        <v>2.2759736863413207E-4</v>
      </c>
      <c r="Q90" s="301">
        <f t="shared" si="28"/>
        <v>0.5</v>
      </c>
      <c r="R90" s="173">
        <f t="shared" si="29"/>
        <v>0.50361178717147936</v>
      </c>
      <c r="S90" s="801">
        <f t="shared" si="30"/>
        <v>3</v>
      </c>
      <c r="T90" s="172">
        <f t="shared" si="31"/>
        <v>9</v>
      </c>
      <c r="U90" s="247">
        <f t="shared" si="32"/>
        <v>3.5036117871714794</v>
      </c>
      <c r="V90" s="378">
        <f t="shared" si="33"/>
        <v>185.5561674305431</v>
      </c>
      <c r="W90" s="397">
        <f t="shared" si="34"/>
        <v>48.539926541287123</v>
      </c>
      <c r="X90" s="153">
        <f t="shared" si="35"/>
        <v>47194</v>
      </c>
      <c r="Y90" s="380">
        <f t="shared" si="36"/>
        <v>47.142971396238011</v>
      </c>
      <c r="Z90" s="380">
        <f t="shared" si="37"/>
        <v>48.964921910085906</v>
      </c>
      <c r="AA90" s="381">
        <f t="shared" si="38"/>
        <v>51.941543625743641</v>
      </c>
      <c r="AB90" s="193">
        <f t="shared" si="39"/>
        <v>47194</v>
      </c>
      <c r="AC90" s="119">
        <f>IF(OR(t&lt;Tnet,NoTnet),'2028'!Resal_s+('2028'!Salim-'2028'!Resal_s)*(1-EXP(('2028'!Tnet_s-t)/'2028'!Tau_j)),Resal_s+(Salim-Resal_s)*(1-EXP((Tnet_s-t)/Tau_j)))*Salcycl</f>
        <v>5.7307147764134557E-2</v>
      </c>
      <c r="AD90" s="227">
        <f>(INDEX(Models!$BJ90:$BT90,,AH90)*(1-AF90)+INDEX(Models!$BJ90:$BT90,,AH90+1)*AF90-ERP_i)*AE90*Ramure*Pc/MaxiM</f>
        <v>2.2759736863413207E-4</v>
      </c>
      <c r="AE90" s="301">
        <f t="shared" si="40"/>
        <v>0.5</v>
      </c>
      <c r="AF90" s="173">
        <f t="shared" si="41"/>
        <v>0.50361178717147936</v>
      </c>
      <c r="AG90" s="801">
        <f t="shared" si="49"/>
        <v>3</v>
      </c>
      <c r="AH90" s="172">
        <f t="shared" si="42"/>
        <v>9</v>
      </c>
      <c r="AI90" s="221">
        <f t="shared" si="43"/>
        <v>3.5036117871714794</v>
      </c>
      <c r="AJ90" s="261" t="b">
        <f t="shared" si="44"/>
        <v>0</v>
      </c>
      <c r="AK90" s="261" t="b">
        <f t="shared" si="45"/>
        <v>1</v>
      </c>
      <c r="AL90" s="261"/>
      <c r="AM90" s="261"/>
      <c r="AN90" s="75"/>
    </row>
    <row r="91" spans="1:40" s="6" customFormat="1" ht="11.25" x14ac:dyDescent="0.2">
      <c r="A91" s="56">
        <f t="shared" si="46"/>
        <v>47195</v>
      </c>
      <c r="B91" s="406">
        <f>'2028'!Wh/'2028'!Env_an*'2029'!Env_an</f>
        <v>51.246217373693916</v>
      </c>
      <c r="C91" s="831"/>
      <c r="D91" s="388">
        <f t="shared" si="25"/>
        <v>53.227476075450717</v>
      </c>
      <c r="E91" s="380">
        <f t="shared" si="47"/>
        <v>54.841442033504393</v>
      </c>
      <c r="F91" s="380">
        <f t="shared" si="26"/>
        <v>54.841442033504393</v>
      </c>
      <c r="G91" s="110">
        <f t="shared" si="48"/>
        <v>0.27429458833880727</v>
      </c>
      <c r="H91" s="409" t="b">
        <f>Wh_hp&gt;='2028'!Maxi_hp</f>
        <v>0</v>
      </c>
      <c r="I91" s="385">
        <f>IF(H91,Wh_hp,'2028'!Maxi_hp)</f>
        <v>54.853768261754404</v>
      </c>
      <c r="J91" s="85">
        <f>IF(H91,An,'2028'!An_max)</f>
        <v>2022</v>
      </c>
      <c r="K91" s="193">
        <f t="shared" si="27"/>
        <v>47195</v>
      </c>
      <c r="L91" s="143">
        <f>IF(t&lt;Tvie,1-EXP((T0-t)*PertePVj)+'2028'!Pspv,1-EXP((T0-t)*PertePVj)+Pspv)</f>
        <v>3.7222480715567552E-2</v>
      </c>
      <c r="M91" s="835"/>
      <c r="N91" s="835"/>
      <c r="O91" s="48">
        <f>IF(t&lt;Tnet,'2028'!Resal+('2028'!Salim-'2028'!Resal)*(1-EXP(('2028'!Tnet-t)/('2028'!Tau_j))),Resal+(Salim-Resal)*(1-EXP((Tnet-t)/(Tau_j))))*Salcycl</f>
        <v>2.9429677597967833E-2</v>
      </c>
      <c r="P91" s="165">
        <f>(INDEX(Models!$BJ91:$BT91,,T91)*(1-R91)+INDEX(Models!$BJ91:$BT91,,T91+1)*R91-ERP_i)*Q91*Ramure*Pc/MaxiM</f>
        <v>2.2531776903692133E-4</v>
      </c>
      <c r="Q91" s="301">
        <f t="shared" si="28"/>
        <v>0.5</v>
      </c>
      <c r="R91" s="173">
        <f t="shared" si="29"/>
        <v>0.50421276925010439</v>
      </c>
      <c r="S91" s="801">
        <f t="shared" si="30"/>
        <v>3</v>
      </c>
      <c r="T91" s="172">
        <f t="shared" si="31"/>
        <v>9</v>
      </c>
      <c r="U91" s="247">
        <f t="shared" si="32"/>
        <v>3.5042127692501044</v>
      </c>
      <c r="V91" s="378">
        <f t="shared" si="33"/>
        <v>186.7870270449481</v>
      </c>
      <c r="W91" s="397">
        <f t="shared" si="34"/>
        <v>51.246217373693916</v>
      </c>
      <c r="X91" s="153">
        <f t="shared" si="35"/>
        <v>47195</v>
      </c>
      <c r="Y91" s="380">
        <f t="shared" si="36"/>
        <v>49.772846506716391</v>
      </c>
      <c r="Z91" s="380">
        <f t="shared" si="37"/>
        <v>51.697142392470056</v>
      </c>
      <c r="AA91" s="381">
        <f t="shared" si="38"/>
        <v>54.841442033504393</v>
      </c>
      <c r="AB91" s="193">
        <f t="shared" si="39"/>
        <v>47195</v>
      </c>
      <c r="AC91" s="119">
        <f>IF(OR(t&lt;Tnet,NoTnet),'2028'!Resal_s+('2028'!Salim-'2028'!Resal_s)*(1-EXP(('2028'!Tnet_s-t)/'2028'!Tau_j)),Resal_s+(Salim-Resal_s)*(1-EXP((Tnet_s-t)/Tau_j)))*Salcycl</f>
        <v>5.7334372045019982E-2</v>
      </c>
      <c r="AD91" s="227">
        <f>(INDEX(Models!$BJ91:$BT91,,AH91)*(1-AF91)+INDEX(Models!$BJ91:$BT91,,AH91+1)*AF91-ERP_i)*AE91*Ramure*Pc/MaxiM</f>
        <v>2.2531776903692133E-4</v>
      </c>
      <c r="AE91" s="301">
        <f t="shared" si="40"/>
        <v>0.5</v>
      </c>
      <c r="AF91" s="173">
        <f t="shared" si="41"/>
        <v>0.50421276925010439</v>
      </c>
      <c r="AG91" s="801">
        <f t="shared" si="49"/>
        <v>3</v>
      </c>
      <c r="AH91" s="172">
        <f t="shared" si="42"/>
        <v>9</v>
      </c>
      <c r="AI91" s="221">
        <f t="shared" si="43"/>
        <v>3.5042127692501044</v>
      </c>
      <c r="AJ91" s="261" t="b">
        <f t="shared" si="44"/>
        <v>0</v>
      </c>
      <c r="AK91" s="261" t="b">
        <f t="shared" si="45"/>
        <v>1</v>
      </c>
      <c r="AL91" s="261"/>
      <c r="AM91" s="261"/>
      <c r="AN91" s="75"/>
    </row>
    <row r="92" spans="1:40" s="6" customFormat="1" ht="11.25" x14ac:dyDescent="0.2">
      <c r="A92" s="56">
        <f t="shared" si="46"/>
        <v>47196</v>
      </c>
      <c r="B92" s="406">
        <f>'2028'!Wh/'2028'!Env_an*'2029'!Env_an</f>
        <v>116.45930842860467</v>
      </c>
      <c r="C92" s="831"/>
      <c r="D92" s="388">
        <f t="shared" si="25"/>
        <v>120.96346284354509</v>
      </c>
      <c r="E92" s="380">
        <f t="shared" si="47"/>
        <v>124.63861237490185</v>
      </c>
      <c r="F92" s="380">
        <f t="shared" si="26"/>
        <v>124.65137285735442</v>
      </c>
      <c r="G92" s="110">
        <f t="shared" si="48"/>
        <v>0.61935031219426795</v>
      </c>
      <c r="H92" s="409" t="b">
        <f>Wh_hp&gt;='2028'!Maxi_hp</f>
        <v>0</v>
      </c>
      <c r="I92" s="385">
        <f>IF(H92,Wh_hp,'2028'!Maxi_hp)</f>
        <v>124.66653595524753</v>
      </c>
      <c r="J92" s="85">
        <f>IF(H92,An,'2028'!An_max)</f>
        <v>2022</v>
      </c>
      <c r="K92" s="193">
        <f t="shared" si="27"/>
        <v>47196</v>
      </c>
      <c r="L92" s="143">
        <f>IF(t&lt;Tvie,1-EXP((T0-t)*PertePVj)+'2028'!Pspv,1-EXP((T0-t)*PertePVj)+Pspv)</f>
        <v>3.7235660331302878E-2</v>
      </c>
      <c r="M92" s="835"/>
      <c r="N92" s="835"/>
      <c r="O92" s="48">
        <f>IF(t&lt;Tnet,'2028'!Resal+('2028'!Salim-'2028'!Resal)*(1-EXP(('2028'!Tnet-t)/('2028'!Tau_j))),Resal+(Salim-Resal)*(1-EXP((Tnet-t)/(Tau_j))))*Salcycl</f>
        <v>2.9486444540173819E-2</v>
      </c>
      <c r="P92" s="165">
        <f>(INDEX(Models!$BJ92:$BT92,,T92)*(1-R92)+INDEX(Models!$BJ92:$BT92,,T92+1)*R92-ERP_i)*Q92*Ramure*Pc/MaxiM</f>
        <v>2.2433548957645819E-4</v>
      </c>
      <c r="Q92" s="301">
        <f t="shared" si="28"/>
        <v>0.5</v>
      </c>
      <c r="R92" s="173">
        <f t="shared" si="29"/>
        <v>0.50483738486431129</v>
      </c>
      <c r="S92" s="801">
        <f t="shared" si="30"/>
        <v>3</v>
      </c>
      <c r="T92" s="172">
        <f t="shared" si="31"/>
        <v>9</v>
      </c>
      <c r="U92" s="247">
        <f t="shared" si="32"/>
        <v>3.5048373848643113</v>
      </c>
      <c r="V92" s="378">
        <f t="shared" si="33"/>
        <v>188.01169643695448</v>
      </c>
      <c r="W92" s="397">
        <f t="shared" si="34"/>
        <v>116.45930842860467</v>
      </c>
      <c r="X92" s="153">
        <f t="shared" si="35"/>
        <v>47196</v>
      </c>
      <c r="Y92" s="380">
        <f t="shared" si="36"/>
        <v>113.11433028744214</v>
      </c>
      <c r="Z92" s="380">
        <f t="shared" si="37"/>
        <v>117.48911506876816</v>
      </c>
      <c r="AA92" s="381">
        <f t="shared" si="38"/>
        <v>124.63861237490185</v>
      </c>
      <c r="AB92" s="193">
        <f t="shared" si="39"/>
        <v>47196</v>
      </c>
      <c r="AC92" s="119">
        <f>IF(OR(t&lt;Tnet,NoTnet),'2028'!Resal_s+('2028'!Salim-'2028'!Resal_s)*(1-EXP(('2028'!Tnet_s-t)/'2028'!Tau_j)),Resal_s+(Salim-Resal_s)*(1-EXP((Tnet_s-t)/Tau_j)))*Salcycl</f>
        <v>5.7361817256346238E-2</v>
      </c>
      <c r="AD92" s="227">
        <f>(INDEX(Models!$BJ92:$BT92,,AH92)*(1-AF92)+INDEX(Models!$BJ92:$BT92,,AH92+1)*AF92-ERP_i)*AE92*Ramure*Pc/MaxiM</f>
        <v>2.2433548957645819E-4</v>
      </c>
      <c r="AE92" s="301">
        <f t="shared" si="40"/>
        <v>0.5</v>
      </c>
      <c r="AF92" s="173">
        <f t="shared" si="41"/>
        <v>0.50483738486431129</v>
      </c>
      <c r="AG92" s="801">
        <f t="shared" si="49"/>
        <v>3</v>
      </c>
      <c r="AH92" s="172">
        <f t="shared" si="42"/>
        <v>9</v>
      </c>
      <c r="AI92" s="221">
        <f t="shared" si="43"/>
        <v>3.5048373848643113</v>
      </c>
      <c r="AJ92" s="261" t="b">
        <f t="shared" si="44"/>
        <v>0</v>
      </c>
      <c r="AK92" s="261" t="b">
        <f t="shared" si="45"/>
        <v>1</v>
      </c>
      <c r="AL92" s="261"/>
      <c r="AM92" s="261"/>
      <c r="AN92" s="75"/>
    </row>
    <row r="93" spans="1:40" s="6" customFormat="1" ht="11.25" x14ac:dyDescent="0.2">
      <c r="A93" s="56">
        <f t="shared" si="46"/>
        <v>47197</v>
      </c>
      <c r="B93" s="406">
        <f>'2028'!Wh/'2028'!Env_an*'2029'!Env_an</f>
        <v>124.38671641279669</v>
      </c>
      <c r="C93" s="831"/>
      <c r="D93" s="388">
        <f t="shared" si="25"/>
        <v>129.19923813194285</v>
      </c>
      <c r="E93" s="380">
        <f t="shared" si="47"/>
        <v>133.13240791805433</v>
      </c>
      <c r="F93" s="380">
        <f t="shared" si="26"/>
        <v>133.14767405553525</v>
      </c>
      <c r="G93" s="110">
        <f t="shared" si="48"/>
        <v>0.65723571405960068</v>
      </c>
      <c r="H93" s="409" t="b">
        <f>Wh_hp&gt;='2028'!Maxi_hp</f>
        <v>0</v>
      </c>
      <c r="I93" s="385">
        <f>IF(H93,Wh_hp,'2028'!Maxi_hp)</f>
        <v>133.16227442268254</v>
      </c>
      <c r="J93" s="85">
        <f>IF(H93,An,'2028'!An_max)</f>
        <v>2022</v>
      </c>
      <c r="K93" s="193">
        <f t="shared" si="27"/>
        <v>47197</v>
      </c>
      <c r="L93" s="143">
        <f>IF(t&lt;Tvie,1-EXP((T0-t)*PertePVj)+'2028'!Pspv,1-EXP((T0-t)*PertePVj)+Pspv)</f>
        <v>3.7248839766620301E-2</v>
      </c>
      <c r="M93" s="835"/>
      <c r="N93" s="835"/>
      <c r="O93" s="48">
        <f>IF(t&lt;Tnet,'2028'!Resal+('2028'!Salim-'2028'!Resal)*(1-EXP(('2028'!Tnet-t)/('2028'!Tau_j))),Resal+(Salim-Resal)*(1-EXP((Tnet-t)/(Tau_j))))*Salcycl</f>
        <v>2.9543293384526045E-2</v>
      </c>
      <c r="P93" s="165">
        <f>(INDEX(Models!$BJ93:$BT93,,T93)*(1-R93)+INDEX(Models!$BJ93:$BT93,,T93+1)*R93-ERP_i)*Q93*Ramure*Pc/MaxiM</f>
        <v>2.2462127112545495E-4</v>
      </c>
      <c r="Q93" s="301">
        <f t="shared" si="28"/>
        <v>0.5</v>
      </c>
      <c r="R93" s="173">
        <f t="shared" si="29"/>
        <v>0.50548649684693281</v>
      </c>
      <c r="S93" s="801">
        <f t="shared" si="30"/>
        <v>3</v>
      </c>
      <c r="T93" s="172">
        <f t="shared" si="31"/>
        <v>9</v>
      </c>
      <c r="U93" s="247">
        <f t="shared" si="32"/>
        <v>3.5054864968469328</v>
      </c>
      <c r="V93" s="378">
        <f t="shared" si="33"/>
        <v>189.23657665778779</v>
      </c>
      <c r="W93" s="397">
        <f t="shared" si="34"/>
        <v>124.38671641279669</v>
      </c>
      <c r="X93" s="153">
        <f t="shared" si="35"/>
        <v>47197</v>
      </c>
      <c r="Y93" s="380">
        <f t="shared" si="36"/>
        <v>120.8175733551036</v>
      </c>
      <c r="Z93" s="380">
        <f t="shared" si="37"/>
        <v>125.49200493907098</v>
      </c>
      <c r="AA93" s="381">
        <f t="shared" si="38"/>
        <v>133.13240791805433</v>
      </c>
      <c r="AB93" s="193">
        <f t="shared" si="39"/>
        <v>47197</v>
      </c>
      <c r="AC93" s="119">
        <f>IF(OR(t&lt;Tnet,NoTnet),'2028'!Resal_s+('2028'!Salim-'2028'!Resal_s)*(1-EXP(('2028'!Tnet_s-t)/'2028'!Tau_j)),Resal_s+(Salim-Resal_s)*(1-EXP((Tnet_s-t)/Tau_j)))*Salcycl</f>
        <v>5.7389504918187562E-2</v>
      </c>
      <c r="AD93" s="227">
        <f>(INDEX(Models!$BJ93:$BT93,,AH93)*(1-AF93)+INDEX(Models!$BJ93:$BT93,,AH93+1)*AF93-ERP_i)*AE93*Ramure*Pc/MaxiM</f>
        <v>2.2462127112545495E-4</v>
      </c>
      <c r="AE93" s="301">
        <f t="shared" si="40"/>
        <v>0.5</v>
      </c>
      <c r="AF93" s="173">
        <f t="shared" si="41"/>
        <v>0.50548649684693281</v>
      </c>
      <c r="AG93" s="801">
        <f t="shared" si="49"/>
        <v>3</v>
      </c>
      <c r="AH93" s="172">
        <f t="shared" si="42"/>
        <v>9</v>
      </c>
      <c r="AI93" s="221">
        <f t="shared" si="43"/>
        <v>3.5054864968469328</v>
      </c>
      <c r="AJ93" s="261" t="b">
        <f t="shared" si="44"/>
        <v>0</v>
      </c>
      <c r="AK93" s="261" t="b">
        <f t="shared" si="45"/>
        <v>1</v>
      </c>
      <c r="AL93" s="261"/>
      <c r="AM93" s="261"/>
      <c r="AN93" s="75"/>
    </row>
    <row r="94" spans="1:40" s="6" customFormat="1" ht="11.25" x14ac:dyDescent="0.2">
      <c r="A94" s="56">
        <f t="shared" si="46"/>
        <v>47198</v>
      </c>
      <c r="B94" s="406">
        <f>'2028'!Wh/'2028'!Env_an*'2029'!Env_an</f>
        <v>179.25970878827633</v>
      </c>
      <c r="C94" s="831"/>
      <c r="D94" s="388">
        <f t="shared" si="25"/>
        <v>186.19781532467007</v>
      </c>
      <c r="E94" s="380">
        <f t="shared" si="47"/>
        <v>191.87743262255003</v>
      </c>
      <c r="F94" s="380">
        <f t="shared" si="26"/>
        <v>191.91715605461565</v>
      </c>
      <c r="G94" s="110">
        <f t="shared" si="48"/>
        <v>0.94114775595525679</v>
      </c>
      <c r="H94" s="409" t="b">
        <f>Wh_hp&gt;='2028'!Maxi_hp</f>
        <v>0</v>
      </c>
      <c r="I94" s="385">
        <f>IF(H94,Wh_hp,'2028'!Maxi_hp)</f>
        <v>191.92079017384989</v>
      </c>
      <c r="J94" s="85">
        <f>IF(H94,An,'2028'!An_max)</f>
        <v>2022</v>
      </c>
      <c r="K94" s="193">
        <f t="shared" si="27"/>
        <v>47198</v>
      </c>
      <c r="L94" s="143">
        <f>IF(t&lt;Tvie,1-EXP((T0-t)*PertePVj)+'2028'!Pspv,1-EXP((T0-t)*PertePVj)+Pspv)</f>
        <v>3.7262019021522264E-2</v>
      </c>
      <c r="M94" s="835"/>
      <c r="N94" s="835"/>
      <c r="O94" s="48">
        <f>IF(t&lt;Tnet,'2028'!Resal+('2028'!Salim-'2028'!Resal)*(1-EXP(('2028'!Tnet-t)/('2028'!Tau_j))),Resal+(Salim-Resal)*(1-EXP((Tnet-t)/(Tau_j))))*Salcycl</f>
        <v>2.9600236047834624E-2</v>
      </c>
      <c r="P94" s="165">
        <f>(INDEX(Models!$BJ94:$BT94,,T94)*(1-R94)+INDEX(Models!$BJ94:$BT94,,T94+1)*R94-ERP_i)*Q94*Ramure*Pc/MaxiM</f>
        <v>2.2597519375380361E-4</v>
      </c>
      <c r="Q94" s="301">
        <f t="shared" si="28"/>
        <v>0.5</v>
      </c>
      <c r="R94" s="173">
        <f t="shared" si="29"/>
        <v>0.50616099403663295</v>
      </c>
      <c r="S94" s="801">
        <f t="shared" si="30"/>
        <v>3</v>
      </c>
      <c r="T94" s="172">
        <f t="shared" si="31"/>
        <v>9</v>
      </c>
      <c r="U94" s="247">
        <f t="shared" si="32"/>
        <v>3.5061609940366329</v>
      </c>
      <c r="V94" s="378">
        <f t="shared" si="33"/>
        <v>190.46563333728832</v>
      </c>
      <c r="W94" s="397">
        <f t="shared" si="34"/>
        <v>179.25970878827633</v>
      </c>
      <c r="X94" s="153">
        <f t="shared" si="35"/>
        <v>47198</v>
      </c>
      <c r="Y94" s="380">
        <f t="shared" si="36"/>
        <v>174.12109777918977</v>
      </c>
      <c r="Z94" s="380">
        <f t="shared" si="37"/>
        <v>180.86031840379039</v>
      </c>
      <c r="AA94" s="381">
        <f t="shared" si="38"/>
        <v>191.87743262255003</v>
      </c>
      <c r="AB94" s="193">
        <f t="shared" si="39"/>
        <v>47198</v>
      </c>
      <c r="AC94" s="119">
        <f>IF(OR(t&lt;Tnet,NoTnet),'2028'!Resal_s+('2028'!Salim-'2028'!Resal_s)*(1-EXP(('2028'!Tnet_s-t)/'2028'!Tau_j)),Resal_s+(Salim-Resal_s)*(1-EXP((Tnet_s-t)/Tau_j)))*Salcycl</f>
        <v>5.7417456905585508E-2</v>
      </c>
      <c r="AD94" s="227">
        <f>(INDEX(Models!$BJ94:$BT94,,AH94)*(1-AF94)+INDEX(Models!$BJ94:$BT94,,AH94+1)*AF94-ERP_i)*AE94*Ramure*Pc/MaxiM</f>
        <v>2.2597519375380361E-4</v>
      </c>
      <c r="AE94" s="301">
        <f t="shared" si="40"/>
        <v>0.5</v>
      </c>
      <c r="AF94" s="173">
        <f t="shared" si="41"/>
        <v>0.50616099403663295</v>
      </c>
      <c r="AG94" s="801">
        <f t="shared" si="49"/>
        <v>3</v>
      </c>
      <c r="AH94" s="172">
        <f t="shared" si="42"/>
        <v>9</v>
      </c>
      <c r="AI94" s="221">
        <f t="shared" si="43"/>
        <v>3.5061609940366329</v>
      </c>
      <c r="AJ94" s="261" t="b">
        <f t="shared" si="44"/>
        <v>0</v>
      </c>
      <c r="AK94" s="261" t="b">
        <f t="shared" si="45"/>
        <v>1</v>
      </c>
      <c r="AL94" s="261"/>
      <c r="AM94" s="261"/>
      <c r="AN94" s="75"/>
    </row>
    <row r="95" spans="1:40" s="6" customFormat="1" ht="11.25" x14ac:dyDescent="0.2">
      <c r="A95" s="56">
        <f t="shared" si="46"/>
        <v>47199</v>
      </c>
      <c r="B95" s="406">
        <f>'2028'!Wh/'2028'!Env_an*'2029'!Env_an</f>
        <v>159.60283419511259</v>
      </c>
      <c r="C95" s="831"/>
      <c r="D95" s="388">
        <f t="shared" si="25"/>
        <v>165.78240622809838</v>
      </c>
      <c r="E95" s="380">
        <f t="shared" si="47"/>
        <v>170.84933354647686</v>
      </c>
      <c r="F95" s="380">
        <f t="shared" si="26"/>
        <v>170.87891433999482</v>
      </c>
      <c r="G95" s="110">
        <f t="shared" si="48"/>
        <v>0.83253871579887362</v>
      </c>
      <c r="H95" s="409" t="b">
        <f>Wh_hp&gt;='2028'!Maxi_hp</f>
        <v>0</v>
      </c>
      <c r="I95" s="385">
        <f>IF(H95,Wh_hp,'2028'!Maxi_hp)</f>
        <v>170.88818318875792</v>
      </c>
      <c r="J95" s="85">
        <f>IF(H95,An,'2028'!An_max)</f>
        <v>2022</v>
      </c>
      <c r="K95" s="193">
        <f t="shared" si="27"/>
        <v>47199</v>
      </c>
      <c r="L95" s="143">
        <f>IF(t&lt;Tvie,1-EXP((T0-t)*PertePVj)+'2028'!Pspv,1-EXP((T0-t)*PertePVj)+Pspv)</f>
        <v>3.7275198096011319E-2</v>
      </c>
      <c r="M95" s="835"/>
      <c r="N95" s="835"/>
      <c r="O95" s="48">
        <f>IF(t&lt;Tnet,'2028'!Resal+('2028'!Salim-'2028'!Resal)*(1-EXP(('2028'!Tnet-t)/('2028'!Tau_j))),Resal+(Salim-Resal)*(1-EXP((Tnet-t)/(Tau_j))))*Salcycl</f>
        <v>2.9657284656601245E-2</v>
      </c>
      <c r="P95" s="165">
        <f>(INDEX(Models!$BJ95:$BT95,,T95)*(1-R95)+INDEX(Models!$BJ95:$BT95,,T95+1)*R95-ERP_i)*Q95*Ramure*Pc/MaxiM</f>
        <v>2.2752611134548137E-4</v>
      </c>
      <c r="Q95" s="301">
        <f t="shared" si="28"/>
        <v>0.5</v>
      </c>
      <c r="R95" s="173">
        <f t="shared" si="29"/>
        <v>0.50686179159780753</v>
      </c>
      <c r="S95" s="801">
        <f t="shared" si="30"/>
        <v>3</v>
      </c>
      <c r="T95" s="172">
        <f t="shared" si="31"/>
        <v>9</v>
      </c>
      <c r="U95" s="247">
        <f t="shared" si="32"/>
        <v>3.5068617915978075</v>
      </c>
      <c r="V95" s="378">
        <f t="shared" si="33"/>
        <v>191.69576699020305</v>
      </c>
      <c r="W95" s="397">
        <f t="shared" si="34"/>
        <v>159.60283419511259</v>
      </c>
      <c r="X95" s="153">
        <f t="shared" si="35"/>
        <v>47199</v>
      </c>
      <c r="Y95" s="380">
        <f t="shared" si="36"/>
        <v>155.03217164572087</v>
      </c>
      <c r="Z95" s="380">
        <f t="shared" si="37"/>
        <v>161.03477477583675</v>
      </c>
      <c r="AA95" s="381">
        <f t="shared" si="38"/>
        <v>170.84933354647686</v>
      </c>
      <c r="AB95" s="193">
        <f t="shared" si="39"/>
        <v>47199</v>
      </c>
      <c r="AC95" s="119">
        <f>IF(OR(t&lt;Tnet,NoTnet),'2028'!Resal_s+('2028'!Salim-'2028'!Resal_s)*(1-EXP(('2028'!Tnet_s-t)/'2028'!Tau_j)),Resal_s+(Salim-Resal_s)*(1-EXP((Tnet_s-t)/Tau_j)))*Salcycl</f>
        <v>5.7445695379140557E-2</v>
      </c>
      <c r="AD95" s="227">
        <f>(INDEX(Models!$BJ95:$BT95,,AH95)*(1-AF95)+INDEX(Models!$BJ95:$BT95,,AH95+1)*AF95-ERP_i)*AE95*Ramure*Pc/MaxiM</f>
        <v>2.2752611134548137E-4</v>
      </c>
      <c r="AE95" s="301">
        <f t="shared" si="40"/>
        <v>0.5</v>
      </c>
      <c r="AF95" s="173">
        <f t="shared" si="41"/>
        <v>0.50686179159780753</v>
      </c>
      <c r="AG95" s="801">
        <f t="shared" si="49"/>
        <v>3</v>
      </c>
      <c r="AH95" s="172">
        <f t="shared" si="42"/>
        <v>9</v>
      </c>
      <c r="AI95" s="221">
        <f t="shared" si="43"/>
        <v>3.5068617915978075</v>
      </c>
      <c r="AJ95" s="261" t="b">
        <f t="shared" si="44"/>
        <v>0</v>
      </c>
      <c r="AK95" s="261" t="b">
        <f t="shared" si="45"/>
        <v>1</v>
      </c>
      <c r="AL95" s="261"/>
      <c r="AM95" s="261"/>
      <c r="AN95" s="75"/>
    </row>
    <row r="96" spans="1:40" s="6" customFormat="1" ht="11.25" x14ac:dyDescent="0.2">
      <c r="A96" s="56">
        <f t="shared" si="46"/>
        <v>47200</v>
      </c>
      <c r="B96" s="406">
        <f>'2028'!Wh/'2028'!Env_an*'2029'!Env_an</f>
        <v>191.04723011599444</v>
      </c>
      <c r="C96" s="831"/>
      <c r="D96" s="388">
        <f t="shared" si="25"/>
        <v>198.44699653535585</v>
      </c>
      <c r="E96" s="380">
        <f t="shared" si="47"/>
        <v>204.52432466364743</v>
      </c>
      <c r="F96" s="380">
        <f t="shared" si="26"/>
        <v>204.57057617329468</v>
      </c>
      <c r="G96" s="110">
        <f t="shared" si="48"/>
        <v>0.99027028195563471</v>
      </c>
      <c r="H96" s="409" t="b">
        <f>Wh_hp&gt;='2028'!Maxi_hp</f>
        <v>0</v>
      </c>
      <c r="I96" s="385">
        <f>IF(H96,Wh_hp,'2028'!Maxi_hp)</f>
        <v>204.57122568175365</v>
      </c>
      <c r="J96" s="85">
        <f>IF(H96,An,'2028'!An_max)</f>
        <v>2022</v>
      </c>
      <c r="K96" s="193">
        <f t="shared" si="27"/>
        <v>47200</v>
      </c>
      <c r="L96" s="143">
        <f>IF(t&lt;Tvie,1-EXP((T0-t)*PertePVj)+'2028'!Pspv,1-EXP((T0-t)*PertePVj)+Pspv)</f>
        <v>3.7288376990089911E-2</v>
      </c>
      <c r="M96" s="835"/>
      <c r="N96" s="835"/>
      <c r="O96" s="48">
        <f>IF(t&lt;Tnet,'2028'!Resal+('2028'!Salim-'2028'!Resal)*(1-EXP(('2028'!Tnet-t)/('2028'!Tau_j))),Resal+(Salim-Resal)*(1-EXP((Tnet-t)/(Tau_j))))*Salcycl</f>
        <v>2.9714451512240062E-2</v>
      </c>
      <c r="P96" s="165">
        <f>(INDEX(Models!$BJ96:$BT96,,T96)*(1-R96)+INDEX(Models!$BJ96:$BT96,,T96+1)*R96-ERP_i)*Q96*Ramure*Pc/MaxiM</f>
        <v>2.2927654187946943E-4</v>
      </c>
      <c r="Q96" s="301">
        <f t="shared" si="28"/>
        <v>0.5</v>
      </c>
      <c r="R96" s="173">
        <f t="shared" si="29"/>
        <v>0.50758983130010238</v>
      </c>
      <c r="S96" s="801">
        <f t="shared" si="30"/>
        <v>3</v>
      </c>
      <c r="T96" s="172">
        <f t="shared" si="31"/>
        <v>9</v>
      </c>
      <c r="U96" s="247">
        <f t="shared" si="32"/>
        <v>3.5075898313001024</v>
      </c>
      <c r="V96" s="378">
        <f t="shared" si="33"/>
        <v>192.9237146845993</v>
      </c>
      <c r="W96" s="397">
        <f t="shared" si="34"/>
        <v>191.04723011599444</v>
      </c>
      <c r="X96" s="153">
        <f t="shared" si="35"/>
        <v>47200</v>
      </c>
      <c r="Y96" s="380">
        <f t="shared" si="36"/>
        <v>185.58138428700246</v>
      </c>
      <c r="Z96" s="380">
        <f t="shared" si="37"/>
        <v>192.76944398654268</v>
      </c>
      <c r="AA96" s="381">
        <f t="shared" si="38"/>
        <v>204.52432466364743</v>
      </c>
      <c r="AB96" s="193">
        <f t="shared" si="39"/>
        <v>47200</v>
      </c>
      <c r="AC96" s="119">
        <f>IF(OR(t&lt;Tnet,NoTnet),'2028'!Resal_s+('2028'!Salim-'2028'!Resal_s)*(1-EXP(('2028'!Tnet_s-t)/'2028'!Tau_j)),Resal_s+(Salim-Resal_s)*(1-EXP((Tnet_s-t)/Tau_j)))*Salcycl</f>
        <v>5.7474242716294852E-2</v>
      </c>
      <c r="AD96" s="227">
        <f>(INDEX(Models!$BJ96:$BT96,,AH96)*(1-AF96)+INDEX(Models!$BJ96:$BT96,,AH96+1)*AF96-ERP_i)*AE96*Ramure*Pc/MaxiM</f>
        <v>2.2927654187946943E-4</v>
      </c>
      <c r="AE96" s="301">
        <f t="shared" si="40"/>
        <v>0.5</v>
      </c>
      <c r="AF96" s="173">
        <f t="shared" si="41"/>
        <v>0.50758983130010238</v>
      </c>
      <c r="AG96" s="801">
        <f t="shared" si="49"/>
        <v>3</v>
      </c>
      <c r="AH96" s="172">
        <f t="shared" si="42"/>
        <v>9</v>
      </c>
      <c r="AI96" s="221">
        <f t="shared" si="43"/>
        <v>3.5075898313001024</v>
      </c>
      <c r="AJ96" s="261" t="b">
        <f t="shared" si="44"/>
        <v>0</v>
      </c>
      <c r="AK96" s="261" t="b">
        <f t="shared" si="45"/>
        <v>1</v>
      </c>
      <c r="AL96" s="261"/>
      <c r="AM96" s="261"/>
      <c r="AN96" s="75"/>
    </row>
    <row r="97" spans="1:40" s="6" customFormat="1" ht="11.25" x14ac:dyDescent="0.2">
      <c r="A97" s="56">
        <f t="shared" si="46"/>
        <v>47201</v>
      </c>
      <c r="B97" s="406">
        <f>'2028'!Wh/'2028'!Env_an*'2029'!Env_an</f>
        <v>189.45436250873863</v>
      </c>
      <c r="C97" s="831"/>
      <c r="D97" s="388">
        <f t="shared" si="25"/>
        <v>196.79512689691245</v>
      </c>
      <c r="E97" s="380">
        <f t="shared" si="47"/>
        <v>202.83384523749885</v>
      </c>
      <c r="F97" s="380">
        <f t="shared" si="26"/>
        <v>202.87913726379244</v>
      </c>
      <c r="G97" s="110">
        <f t="shared" si="48"/>
        <v>0.97582561906648468</v>
      </c>
      <c r="H97" s="409" t="b">
        <f>Wh_hp&gt;='2028'!Maxi_hp</f>
        <v>0</v>
      </c>
      <c r="I97" s="385">
        <f>IF(H97,Wh_hp,'2028'!Maxi_hp)</f>
        <v>202.880750987478</v>
      </c>
      <c r="J97" s="85">
        <f>IF(H97,An,'2028'!An_max)</f>
        <v>2022</v>
      </c>
      <c r="K97" s="193">
        <f t="shared" si="27"/>
        <v>47201</v>
      </c>
      <c r="L97" s="143">
        <f>IF(t&lt;Tvie,1-EXP((T0-t)*PertePVj)+'2028'!Pspv,1-EXP((T0-t)*PertePVj)+Pspv)</f>
        <v>3.7301555703760592E-2</v>
      </c>
      <c r="M97" s="835"/>
      <c r="N97" s="835"/>
      <c r="O97" s="48">
        <f>IF(t&lt;Tnet,'2028'!Resal+('2028'!Salim-'2028'!Resal)*(1-EXP(('2028'!Tnet-t)/('2028'!Tau_j))),Resal+(Salim-Resal)*(1-EXP((Tnet-t)/(Tau_j))))*Salcycl</f>
        <v>2.9771749056552405E-2</v>
      </c>
      <c r="P97" s="165">
        <f>(INDEX(Models!$BJ97:$BT97,,T97)*(1-R97)+INDEX(Models!$BJ97:$BT97,,T97+1)*R97-ERP_i)*Q97*Ramure*Pc/MaxiM</f>
        <v>2.3122923558804419E-4</v>
      </c>
      <c r="Q97" s="301">
        <f t="shared" si="28"/>
        <v>0.5</v>
      </c>
      <c r="R97" s="173">
        <f t="shared" si="29"/>
        <v>0.50834608175266194</v>
      </c>
      <c r="S97" s="801">
        <f t="shared" si="30"/>
        <v>3</v>
      </c>
      <c r="T97" s="172">
        <f t="shared" si="31"/>
        <v>9</v>
      </c>
      <c r="U97" s="247">
        <f t="shared" si="32"/>
        <v>3.5083460817526619</v>
      </c>
      <c r="V97" s="378">
        <f t="shared" si="33"/>
        <v>194.14621431973973</v>
      </c>
      <c r="W97" s="397">
        <f t="shared" si="34"/>
        <v>189.45436250873863</v>
      </c>
      <c r="X97" s="153">
        <f t="shared" si="35"/>
        <v>47201</v>
      </c>
      <c r="Y97" s="380">
        <f t="shared" si="36"/>
        <v>184.03931767574102</v>
      </c>
      <c r="Z97" s="380">
        <f t="shared" si="37"/>
        <v>191.17026600191414</v>
      </c>
      <c r="AA97" s="381">
        <f t="shared" si="38"/>
        <v>202.83384523749885</v>
      </c>
      <c r="AB97" s="193">
        <f t="shared" si="39"/>
        <v>47201</v>
      </c>
      <c r="AC97" s="119">
        <f>IF(OR(t&lt;Tnet,NoTnet),'2028'!Resal_s+('2028'!Salim-'2028'!Resal_s)*(1-EXP(('2028'!Tnet_s-t)/'2028'!Tau_j)),Resal_s+(Salim-Resal_s)*(1-EXP((Tnet_s-t)/Tau_j)))*Salcycl</f>
        <v>5.7503121443700754E-2</v>
      </c>
      <c r="AD97" s="227">
        <f>(INDEX(Models!$BJ97:$BT97,,AH97)*(1-AF97)+INDEX(Models!$BJ97:$BT97,,AH97+1)*AF97-ERP_i)*AE97*Ramure*Pc/MaxiM</f>
        <v>2.3122923558804419E-4</v>
      </c>
      <c r="AE97" s="301">
        <f t="shared" si="40"/>
        <v>0.5</v>
      </c>
      <c r="AF97" s="173">
        <f t="shared" si="41"/>
        <v>0.50834608175266194</v>
      </c>
      <c r="AG97" s="801">
        <f t="shared" si="49"/>
        <v>3</v>
      </c>
      <c r="AH97" s="172">
        <f t="shared" si="42"/>
        <v>9</v>
      </c>
      <c r="AI97" s="221">
        <f t="shared" si="43"/>
        <v>3.5083460817526619</v>
      </c>
      <c r="AJ97" s="261" t="b">
        <f t="shared" si="44"/>
        <v>0</v>
      </c>
      <c r="AK97" s="261" t="b">
        <f t="shared" si="45"/>
        <v>1</v>
      </c>
      <c r="AL97" s="261"/>
      <c r="AM97" s="261"/>
      <c r="AN97" s="75"/>
    </row>
    <row r="98" spans="1:40" s="6" customFormat="1" ht="11.25" x14ac:dyDescent="0.2">
      <c r="A98" s="56">
        <f t="shared" si="46"/>
        <v>47202</v>
      </c>
      <c r="B98" s="406">
        <f>'2028'!Wh/'2028'!Env_an*'2029'!Env_an</f>
        <v>161.4091741083445</v>
      </c>
      <c r="C98" s="831"/>
      <c r="D98" s="388">
        <f t="shared" si="25"/>
        <v>167.66557030497393</v>
      </c>
      <c r="E98" s="380">
        <f t="shared" si="47"/>
        <v>172.82067090527627</v>
      </c>
      <c r="F98" s="380">
        <f t="shared" si="26"/>
        <v>172.85099677823919</v>
      </c>
      <c r="G98" s="110">
        <f t="shared" si="48"/>
        <v>0.82616613574439568</v>
      </c>
      <c r="H98" s="409" t="b">
        <f>Wh_hp&gt;='2028'!Maxi_hp</f>
        <v>0</v>
      </c>
      <c r="I98" s="385">
        <f>IF(H98,Wh_hp,'2028'!Maxi_hp)</f>
        <v>172.86097391722259</v>
      </c>
      <c r="J98" s="85">
        <f>IF(H98,An,'2028'!An_max)</f>
        <v>2022</v>
      </c>
      <c r="K98" s="193">
        <f t="shared" si="27"/>
        <v>47202</v>
      </c>
      <c r="L98" s="143">
        <f>IF(t&lt;Tvie,1-EXP((T0-t)*PertePVj)+'2028'!Pspv,1-EXP((T0-t)*PertePVj)+Pspv)</f>
        <v>3.7314734237025582E-2</v>
      </c>
      <c r="M98" s="835"/>
      <c r="N98" s="835"/>
      <c r="O98" s="48">
        <f>IF(t&lt;Tnet,'2028'!Resal+('2028'!Salim-'2028'!Resal)*(1-EXP(('2028'!Tnet-t)/('2028'!Tau_j))),Resal+(Salim-Resal)*(1-EXP((Tnet-t)/(Tau_j))))*Salcycl</f>
        <v>2.9829189837643211E-2</v>
      </c>
      <c r="P98" s="165">
        <f>(INDEX(Models!$BJ98:$BT98,,T98)*(1-R98)+INDEX(Models!$BJ98:$BT98,,T98+1)*R98-ERP_i)*Q98*Ramure*Pc/MaxiM</f>
        <v>2.3338720924614257E-4</v>
      </c>
      <c r="Q98" s="301">
        <f t="shared" si="28"/>
        <v>0.5</v>
      </c>
      <c r="R98" s="173">
        <f t="shared" si="29"/>
        <v>0.50913153858790938</v>
      </c>
      <c r="S98" s="801">
        <f t="shared" si="30"/>
        <v>3</v>
      </c>
      <c r="T98" s="172">
        <f t="shared" si="31"/>
        <v>9</v>
      </c>
      <c r="U98" s="247">
        <f t="shared" si="32"/>
        <v>3.5091315385879094</v>
      </c>
      <c r="V98" s="378">
        <f t="shared" si="33"/>
        <v>195.36000461398731</v>
      </c>
      <c r="W98" s="397">
        <f t="shared" si="34"/>
        <v>161.4091741083445</v>
      </c>
      <c r="X98" s="153">
        <f t="shared" si="35"/>
        <v>47202</v>
      </c>
      <c r="Y98" s="380">
        <f t="shared" si="36"/>
        <v>156.80014564820127</v>
      </c>
      <c r="Z98" s="380">
        <f t="shared" si="37"/>
        <v>162.87789085868019</v>
      </c>
      <c r="AA98" s="381">
        <f t="shared" si="38"/>
        <v>172.82067090527627</v>
      </c>
      <c r="AB98" s="193">
        <f t="shared" si="39"/>
        <v>47202</v>
      </c>
      <c r="AC98" s="119">
        <f>IF(OR(t&lt;Tnet,NoTnet),'2028'!Resal_s+('2028'!Salim-'2028'!Resal_s)*(1-EXP(('2028'!Tnet_s-t)/'2028'!Tau_j)),Resal_s+(Salim-Resal_s)*(1-EXP((Tnet_s-t)/Tau_j)))*Salcycl</f>
        <v>5.7532354171022572E-2</v>
      </c>
      <c r="AD98" s="227">
        <f>(INDEX(Models!$BJ98:$BT98,,AH98)*(1-AF98)+INDEX(Models!$BJ98:$BT98,,AH98+1)*AF98-ERP_i)*AE98*Ramure*Pc/MaxiM</f>
        <v>2.3338720924614257E-4</v>
      </c>
      <c r="AE98" s="301">
        <f t="shared" si="40"/>
        <v>0.5</v>
      </c>
      <c r="AF98" s="173">
        <f t="shared" si="41"/>
        <v>0.50913153858790938</v>
      </c>
      <c r="AG98" s="801">
        <f t="shared" si="49"/>
        <v>3</v>
      </c>
      <c r="AH98" s="172">
        <f t="shared" si="42"/>
        <v>9</v>
      </c>
      <c r="AI98" s="221">
        <f t="shared" si="43"/>
        <v>3.5091315385879094</v>
      </c>
      <c r="AJ98" s="261" t="b">
        <f t="shared" si="44"/>
        <v>0</v>
      </c>
      <c r="AK98" s="261" t="b">
        <f t="shared" si="45"/>
        <v>1</v>
      </c>
      <c r="AL98" s="261"/>
      <c r="AM98" s="261"/>
      <c r="AN98" s="75"/>
    </row>
    <row r="99" spans="1:40" s="6" customFormat="1" ht="11.25" x14ac:dyDescent="0.2">
      <c r="A99" s="56">
        <f t="shared" si="46"/>
        <v>47203</v>
      </c>
      <c r="B99" s="406">
        <f>'2028'!Wh/'2028'!Env_an*'2029'!Env_an</f>
        <v>177.9639781030136</v>
      </c>
      <c r="C99" s="831"/>
      <c r="D99" s="388">
        <f t="shared" si="25"/>
        <v>184.86458725711276</v>
      </c>
      <c r="E99" s="380">
        <f t="shared" si="47"/>
        <v>190.55980753593121</v>
      </c>
      <c r="F99" s="380">
        <f t="shared" si="26"/>
        <v>190.59866832329922</v>
      </c>
      <c r="G99" s="110">
        <f t="shared" si="48"/>
        <v>0.90535538049525432</v>
      </c>
      <c r="H99" s="409" t="b">
        <f>Wh_hp&gt;='2028'!Maxi_hp</f>
        <v>0</v>
      </c>
      <c r="I99" s="385">
        <f>IF(H99,Wh_hp,'2028'!Maxi_hp)</f>
        <v>190.60471742459274</v>
      </c>
      <c r="J99" s="85">
        <f>IF(H99,An,'2028'!An_max)</f>
        <v>2022</v>
      </c>
      <c r="K99" s="193">
        <f t="shared" si="27"/>
        <v>47203</v>
      </c>
      <c r="L99" s="143">
        <f>IF(t&lt;Tvie,1-EXP((T0-t)*PertePVj)+'2028'!Pspv,1-EXP((T0-t)*PertePVj)+Pspv)</f>
        <v>3.7327912589887657E-2</v>
      </c>
      <c r="M99" s="835"/>
      <c r="N99" s="835"/>
      <c r="O99" s="48">
        <f>IF(t&lt;Tnet,'2028'!Resal+('2028'!Salim-'2028'!Resal)*(1-EXP(('2028'!Tnet-t)/('2028'!Tau_j))),Resal+(Salim-Resal)*(1-EXP((Tnet-t)/(Tau_j))))*Salcycl</f>
        <v>2.9886786476443029E-2</v>
      </c>
      <c r="P99" s="165">
        <f>(INDEX(Models!$BJ99:$BT99,,T99)*(1-R99)+INDEX(Models!$BJ99:$BT99,,T99+1)*R99-ERP_i)*Q99*Ramure*Pc/MaxiM</f>
        <v>2.3575378012936218E-4</v>
      </c>
      <c r="Q99" s="301">
        <f t="shared" si="28"/>
        <v>0.5</v>
      </c>
      <c r="R99" s="173">
        <f t="shared" si="29"/>
        <v>0.50994722458931285</v>
      </c>
      <c r="S99" s="801">
        <f t="shared" si="30"/>
        <v>3</v>
      </c>
      <c r="T99" s="172">
        <f t="shared" si="31"/>
        <v>9</v>
      </c>
      <c r="U99" s="247">
        <f t="shared" si="32"/>
        <v>3.5099472245893129</v>
      </c>
      <c r="V99" s="378">
        <f t="shared" si="33"/>
        <v>196.56182514083076</v>
      </c>
      <c r="W99" s="397">
        <f t="shared" si="34"/>
        <v>177.9639781030136</v>
      </c>
      <c r="X99" s="153">
        <f t="shared" si="35"/>
        <v>47203</v>
      </c>
      <c r="Y99" s="380">
        <f t="shared" si="36"/>
        <v>172.88706075577005</v>
      </c>
      <c r="Z99" s="380">
        <f t="shared" si="37"/>
        <v>179.5908108449369</v>
      </c>
      <c r="AA99" s="381">
        <f t="shared" si="38"/>
        <v>190.55980753593121</v>
      </c>
      <c r="AB99" s="193">
        <f t="shared" si="39"/>
        <v>47203</v>
      </c>
      <c r="AC99" s="119">
        <f>IF(OR(t&lt;Tnet,NoTnet),'2028'!Resal_s+('2028'!Salim-'2028'!Resal_s)*(1-EXP(('2028'!Tnet_s-t)/'2028'!Tau_j)),Resal_s+(Salim-Resal_s)*(1-EXP((Tnet_s-t)/Tau_j)))*Salcycl</f>
        <v>5.7561963526469438E-2</v>
      </c>
      <c r="AD99" s="227">
        <f>(INDEX(Models!$BJ99:$BT99,,AH99)*(1-AF99)+INDEX(Models!$BJ99:$BT99,,AH99+1)*AF99-ERP_i)*AE99*Ramure*Pc/MaxiM</f>
        <v>2.3575378012936218E-4</v>
      </c>
      <c r="AE99" s="301">
        <f t="shared" si="40"/>
        <v>0.5</v>
      </c>
      <c r="AF99" s="173">
        <f t="shared" si="41"/>
        <v>0.50994722458931285</v>
      </c>
      <c r="AG99" s="801">
        <f t="shared" si="49"/>
        <v>3</v>
      </c>
      <c r="AH99" s="172">
        <f t="shared" si="42"/>
        <v>9</v>
      </c>
      <c r="AI99" s="221">
        <f t="shared" si="43"/>
        <v>3.5099472245893129</v>
      </c>
      <c r="AJ99" s="261" t="b">
        <f t="shared" si="44"/>
        <v>0</v>
      </c>
      <c r="AK99" s="261" t="b">
        <f t="shared" si="45"/>
        <v>1</v>
      </c>
      <c r="AL99" s="261"/>
      <c r="AM99" s="261"/>
      <c r="AN99" s="75"/>
    </row>
    <row r="100" spans="1:40" s="6" customFormat="1" ht="11.25" x14ac:dyDescent="0.2">
      <c r="A100" s="56">
        <f t="shared" si="46"/>
        <v>47204</v>
      </c>
      <c r="B100" s="406">
        <f>'2028'!Wh/'2028'!Env_an*'2029'!Env_an</f>
        <v>179.89915721117671</v>
      </c>
      <c r="C100" s="831"/>
      <c r="D100" s="388">
        <f t="shared" si="25"/>
        <v>186.87736173723516</v>
      </c>
      <c r="E100" s="380">
        <f t="shared" si="47"/>
        <v>192.6460616782411</v>
      </c>
      <c r="F100" s="380">
        <f t="shared" si="26"/>
        <v>192.68607535624426</v>
      </c>
      <c r="G100" s="110">
        <f t="shared" si="48"/>
        <v>0.90970962953830381</v>
      </c>
      <c r="H100" s="409" t="b">
        <f>Wh_hp&gt;='2028'!Maxi_hp</f>
        <v>0</v>
      </c>
      <c r="I100" s="385">
        <f>IF(H100,Wh_hp,'2028'!Maxi_hp)</f>
        <v>192.69197360418002</v>
      </c>
      <c r="J100" s="85">
        <f>IF(H100,An,'2028'!An_max)</f>
        <v>2022</v>
      </c>
      <c r="K100" s="193">
        <f t="shared" si="27"/>
        <v>47204</v>
      </c>
      <c r="L100" s="143">
        <f>IF(t&lt;Tvie,1-EXP((T0-t)*PertePVj)+'2028'!Pspv,1-EXP((T0-t)*PertePVj)+Pspv)</f>
        <v>3.7341090762349149E-2</v>
      </c>
      <c r="M100" s="835"/>
      <c r="N100" s="835"/>
      <c r="O100" s="48">
        <f>IF(t&lt;Tnet,'2028'!Resal+('2028'!Salim-'2028'!Resal)*(1-EXP(('2028'!Tnet-t)/('2028'!Tau_j))),Resal+(Salim-Resal)*(1-EXP((Tnet-t)/(Tau_j))))*Salcycl</f>
        <v>2.9944551633974477E-2</v>
      </c>
      <c r="P100" s="165">
        <f>(INDEX(Models!$BJ100:$BT100,,T100)*(1-R100)+INDEX(Models!$BJ100:$BT100,,T100+1)*R100-ERP_i)*Q100*Ramure*Pc/MaxiM</f>
        <v>2.3840381652381293E-4</v>
      </c>
      <c r="Q100" s="301">
        <f t="shared" si="28"/>
        <v>0.5</v>
      </c>
      <c r="R100" s="173">
        <f t="shared" si="29"/>
        <v>0.51079418975727764</v>
      </c>
      <c r="S100" s="801">
        <f t="shared" si="30"/>
        <v>3</v>
      </c>
      <c r="T100" s="172">
        <f t="shared" si="31"/>
        <v>9</v>
      </c>
      <c r="U100" s="247">
        <f t="shared" si="32"/>
        <v>3.5107941897572776</v>
      </c>
      <c r="V100" s="378">
        <f t="shared" si="33"/>
        <v>197.74840222626904</v>
      </c>
      <c r="W100" s="397">
        <f t="shared" si="34"/>
        <v>179.89915721117671</v>
      </c>
      <c r="X100" s="153">
        <f t="shared" si="35"/>
        <v>47204</v>
      </c>
      <c r="Y100" s="380">
        <f t="shared" si="36"/>
        <v>174.77187541686862</v>
      </c>
      <c r="Z100" s="380">
        <f t="shared" si="37"/>
        <v>181.55119506999009</v>
      </c>
      <c r="AA100" s="381">
        <f t="shared" si="38"/>
        <v>192.6460616782411</v>
      </c>
      <c r="AB100" s="193">
        <f t="shared" si="39"/>
        <v>47204</v>
      </c>
      <c r="AC100" s="119">
        <f>IF(OR(t&lt;Tnet,NoTnet),'2028'!Resal_s+('2028'!Salim-'2028'!Resal_s)*(1-EXP(('2028'!Tnet_s-t)/'2028'!Tau_j)),Resal_s+(Salim-Resal_s)*(1-EXP((Tnet_s-t)/Tau_j)))*Salcycl</f>
        <v>5.7591972094304944E-2</v>
      </c>
      <c r="AD100" s="227">
        <f>(INDEX(Models!$BJ100:$BT100,,AH100)*(1-AF100)+INDEX(Models!$BJ100:$BT100,,AH100+1)*AF100-ERP_i)*AE100*Ramure*Pc/MaxiM</f>
        <v>2.3840381652381293E-4</v>
      </c>
      <c r="AE100" s="301">
        <f t="shared" si="40"/>
        <v>0.5</v>
      </c>
      <c r="AF100" s="173">
        <f t="shared" si="41"/>
        <v>0.51079418975727764</v>
      </c>
      <c r="AG100" s="801">
        <f t="shared" si="49"/>
        <v>3</v>
      </c>
      <c r="AH100" s="172">
        <f t="shared" si="42"/>
        <v>9</v>
      </c>
      <c r="AI100" s="221">
        <f t="shared" si="43"/>
        <v>3.5107941897572776</v>
      </c>
      <c r="AJ100" s="261" t="b">
        <f t="shared" si="44"/>
        <v>0</v>
      </c>
      <c r="AK100" s="261" t="b">
        <f t="shared" si="45"/>
        <v>1</v>
      </c>
      <c r="AL100" s="261"/>
      <c r="AM100" s="261"/>
      <c r="AN100" s="75"/>
    </row>
    <row r="101" spans="1:40" s="6" customFormat="1" ht="11.25" x14ac:dyDescent="0.2">
      <c r="A101" s="56">
        <f t="shared" si="46"/>
        <v>47205</v>
      </c>
      <c r="B101" s="406">
        <f>'2028'!Wh/'2028'!Env_an*'2029'!Env_an</f>
        <v>141.84512857298932</v>
      </c>
      <c r="C101" s="831"/>
      <c r="D101" s="388">
        <f t="shared" si="25"/>
        <v>147.34925213811826</v>
      </c>
      <c r="E101" s="380">
        <f t="shared" si="47"/>
        <v>151.9068366992561</v>
      </c>
      <c r="F101" s="380">
        <f t="shared" si="26"/>
        <v>151.92844247329998</v>
      </c>
      <c r="G101" s="110">
        <f t="shared" si="48"/>
        <v>0.71301818486116453</v>
      </c>
      <c r="H101" s="409" t="b">
        <f>Wh_hp&gt;='2028'!Maxi_hp</f>
        <v>0</v>
      </c>
      <c r="I101" s="385">
        <f>IF(H101,Wh_hp,'2028'!Maxi_hp)</f>
        <v>151.9433815966527</v>
      </c>
      <c r="J101" s="85">
        <f>IF(H101,An,'2028'!An_max)</f>
        <v>2022</v>
      </c>
      <c r="K101" s="193">
        <f t="shared" si="27"/>
        <v>47205</v>
      </c>
      <c r="L101" s="143">
        <f>IF(t&lt;Tvie,1-EXP((T0-t)*PertePVj)+'2028'!Pspv,1-EXP((T0-t)*PertePVj)+Pspv)</f>
        <v>3.735426875441239E-2</v>
      </c>
      <c r="M101" s="835"/>
      <c r="N101" s="835"/>
      <c r="O101" s="48">
        <f>IF(t&lt;Tnet,'2028'!Resal+('2028'!Salim-'2028'!Resal)*(1-EXP(('2028'!Tnet-t)/('2028'!Tau_j))),Resal+(Salim-Resal)*(1-EXP((Tnet-t)/(Tau_j))))*Salcycl</f>
        <v>3.0002497979474733E-2</v>
      </c>
      <c r="P101" s="165">
        <f>(INDEX(Models!$BJ101:$BT101,,T101)*(1-R101)+INDEX(Models!$BJ101:$BT101,,T101+1)*R101-ERP_i)*Q101*Ramure*Pc/MaxiM</f>
        <v>2.4098252168657097E-4</v>
      </c>
      <c r="Q101" s="301">
        <f t="shared" si="28"/>
        <v>0.5</v>
      </c>
      <c r="R101" s="173">
        <f t="shared" si="29"/>
        <v>0.51167351130694172</v>
      </c>
      <c r="S101" s="801">
        <f t="shared" si="30"/>
        <v>3</v>
      </c>
      <c r="T101" s="172">
        <f t="shared" si="31"/>
        <v>9</v>
      </c>
      <c r="U101" s="247">
        <f t="shared" si="32"/>
        <v>3.5116735113069417</v>
      </c>
      <c r="V101" s="378">
        <f t="shared" si="33"/>
        <v>198.91654829967541</v>
      </c>
      <c r="W101" s="397">
        <f t="shared" si="34"/>
        <v>141.84512857298932</v>
      </c>
      <c r="X101" s="153">
        <f t="shared" si="35"/>
        <v>47205</v>
      </c>
      <c r="Y101" s="380">
        <f t="shared" si="36"/>
        <v>137.80620179318637</v>
      </c>
      <c r="Z101" s="380">
        <f t="shared" si="37"/>
        <v>143.15359983456844</v>
      </c>
      <c r="AA101" s="381">
        <f t="shared" si="38"/>
        <v>151.9068366992561</v>
      </c>
      <c r="AB101" s="193">
        <f t="shared" si="39"/>
        <v>47205</v>
      </c>
      <c r="AC101" s="119">
        <f>IF(OR(t&lt;Tnet,NoTnet),'2028'!Resal_s+('2028'!Salim-'2028'!Resal_s)*(1-EXP(('2028'!Tnet_s-t)/'2028'!Tau_j)),Resal_s+(Salim-Resal_s)*(1-EXP((Tnet_s-t)/Tau_j)))*Salcycl</f>
        <v>5.762240235452494E-2</v>
      </c>
      <c r="AD101" s="227">
        <f>(INDEX(Models!$BJ101:$BT101,,AH101)*(1-AF101)+INDEX(Models!$BJ101:$BT101,,AH101+1)*AF101-ERP_i)*AE101*Ramure*Pc/MaxiM</f>
        <v>2.4098252168657097E-4</v>
      </c>
      <c r="AE101" s="301">
        <f t="shared" si="40"/>
        <v>0.5</v>
      </c>
      <c r="AF101" s="173">
        <f t="shared" si="41"/>
        <v>0.51167351130694172</v>
      </c>
      <c r="AG101" s="801">
        <f t="shared" si="49"/>
        <v>3</v>
      </c>
      <c r="AH101" s="172">
        <f t="shared" si="42"/>
        <v>9</v>
      </c>
      <c r="AI101" s="221">
        <f t="shared" si="43"/>
        <v>3.5116735113069417</v>
      </c>
      <c r="AJ101" s="261" t="b">
        <f t="shared" si="44"/>
        <v>0</v>
      </c>
      <c r="AK101" s="261" t="b">
        <f t="shared" si="45"/>
        <v>1</v>
      </c>
      <c r="AL101" s="261"/>
      <c r="AM101" s="261"/>
      <c r="AN101" s="75"/>
    </row>
    <row r="102" spans="1:40" s="6" customFormat="1" ht="11.25" x14ac:dyDescent="0.2">
      <c r="A102" s="56">
        <f t="shared" si="46"/>
        <v>47206</v>
      </c>
      <c r="B102" s="406">
        <f>'2028'!Wh/'2028'!Env_an*'2029'!Env_an</f>
        <v>111.53478509561498</v>
      </c>
      <c r="C102" s="831"/>
      <c r="D102" s="388">
        <f t="shared" si="25"/>
        <v>115.86433961509626</v>
      </c>
      <c r="E102" s="380">
        <f t="shared" si="47"/>
        <v>119.45524037217537</v>
      </c>
      <c r="F102" s="380">
        <f t="shared" si="26"/>
        <v>119.46594115724785</v>
      </c>
      <c r="G102" s="110">
        <f t="shared" si="48"/>
        <v>0.55741247612220535</v>
      </c>
      <c r="H102" s="409" t="b">
        <f>Wh_hp&gt;='2028'!Maxi_hp</f>
        <v>0</v>
      </c>
      <c r="I102" s="385">
        <f>IF(H102,Wh_hp,'2028'!Maxi_hp)</f>
        <v>119.48424336256193</v>
      </c>
      <c r="J102" s="85">
        <f>IF(H102,An,'2028'!An_max)</f>
        <v>2022</v>
      </c>
      <c r="K102" s="193">
        <f t="shared" si="27"/>
        <v>47206</v>
      </c>
      <c r="L102" s="143">
        <f>IF(t&lt;Tvie,1-EXP((T0-t)*PertePVj)+'2028'!Pspv,1-EXP((T0-t)*PertePVj)+Pspv)</f>
        <v>3.7367446566080154E-2</v>
      </c>
      <c r="M102" s="835"/>
      <c r="N102" s="835"/>
      <c r="O102" s="48">
        <f>IF(t&lt;Tnet,'2028'!Resal+('2028'!Salim-'2028'!Resal)*(1-EXP(('2028'!Tnet-t)/('2028'!Tau_j))),Resal+(Salim-Resal)*(1-EXP((Tnet-t)/(Tau_j))))*Salcycl</f>
        <v>3.0060638159458621E-2</v>
      </c>
      <c r="P102" s="165">
        <f>(INDEX(Models!$BJ102:$BT102,,T102)*(1-R102)+INDEX(Models!$BJ102:$BT102,,T102+1)*R102-ERP_i)*Q102*Ramure*Pc/MaxiM</f>
        <v>2.4349789478163444E-4</v>
      </c>
      <c r="Q102" s="301">
        <f t="shared" si="28"/>
        <v>0.5</v>
      </c>
      <c r="R102" s="173">
        <f t="shared" si="29"/>
        <v>0.5125862935913279</v>
      </c>
      <c r="S102" s="801">
        <f t="shared" si="30"/>
        <v>3</v>
      </c>
      <c r="T102" s="172">
        <f t="shared" si="31"/>
        <v>9</v>
      </c>
      <c r="U102" s="247">
        <f t="shared" si="32"/>
        <v>3.5125862935913279</v>
      </c>
      <c r="V102" s="378">
        <f t="shared" si="33"/>
        <v>200.06300581017877</v>
      </c>
      <c r="W102" s="397">
        <f t="shared" si="34"/>
        <v>111.53478509561498</v>
      </c>
      <c r="X102" s="153">
        <f t="shared" si="35"/>
        <v>47206</v>
      </c>
      <c r="Y102" s="380">
        <f t="shared" si="36"/>
        <v>108.36186612507485</v>
      </c>
      <c r="Z102" s="380">
        <f t="shared" si="37"/>
        <v>112.56825435471146</v>
      </c>
      <c r="AA102" s="381">
        <f t="shared" si="38"/>
        <v>119.45524037217537</v>
      </c>
      <c r="AB102" s="193">
        <f t="shared" si="39"/>
        <v>47206</v>
      </c>
      <c r="AC102" s="119">
        <f>IF(OR(t&lt;Tnet,NoTnet),'2028'!Resal_s+('2028'!Salim-'2028'!Resal_s)*(1-EXP(('2028'!Tnet_s-t)/'2028'!Tau_j)),Resal_s+(Salim-Resal_s)*(1-EXP((Tnet_s-t)/Tau_j)))*Salcycl</f>
        <v>5.765327662484105E-2</v>
      </c>
      <c r="AD102" s="227">
        <f>(INDEX(Models!$BJ102:$BT102,,AH102)*(1-AF102)+INDEX(Models!$BJ102:$BT102,,AH102+1)*AF102-ERP_i)*AE102*Ramure*Pc/MaxiM</f>
        <v>2.4349789478163444E-4</v>
      </c>
      <c r="AE102" s="301">
        <f t="shared" si="40"/>
        <v>0.5</v>
      </c>
      <c r="AF102" s="173">
        <f t="shared" si="41"/>
        <v>0.5125862935913279</v>
      </c>
      <c r="AG102" s="801">
        <f t="shared" si="49"/>
        <v>3</v>
      </c>
      <c r="AH102" s="172">
        <f t="shared" si="42"/>
        <v>9</v>
      </c>
      <c r="AI102" s="221">
        <f t="shared" si="43"/>
        <v>3.5125862935913279</v>
      </c>
      <c r="AJ102" s="261" t="b">
        <f t="shared" si="44"/>
        <v>0</v>
      </c>
      <c r="AK102" s="261" t="b">
        <f t="shared" si="45"/>
        <v>1</v>
      </c>
      <c r="AL102" s="261"/>
      <c r="AM102" s="261"/>
      <c r="AN102" s="75"/>
    </row>
    <row r="103" spans="1:40" s="6" customFormat="1" ht="11.25" x14ac:dyDescent="0.2">
      <c r="A103" s="56">
        <f t="shared" si="46"/>
        <v>47207</v>
      </c>
      <c r="B103" s="406">
        <f>'2028'!Wh/'2028'!Env_an*'2029'!Env_an</f>
        <v>29.29992319567997</v>
      </c>
      <c r="C103" s="831"/>
      <c r="D103" s="388">
        <f t="shared" si="25"/>
        <v>30.437703553649424</v>
      </c>
      <c r="E103" s="380">
        <f t="shared" si="47"/>
        <v>31.38292540591863</v>
      </c>
      <c r="F103" s="380">
        <f t="shared" si="26"/>
        <v>31.38292540591863</v>
      </c>
      <c r="G103" s="110">
        <f t="shared" si="48"/>
        <v>0.14560124667042124</v>
      </c>
      <c r="H103" s="409" t="b">
        <f>Wh_hp&gt;='2028'!Maxi_hp</f>
        <v>0</v>
      </c>
      <c r="I103" s="385">
        <f>IF(H103,Wh_hp,'2028'!Maxi_hp)</f>
        <v>31.39060598359443</v>
      </c>
      <c r="J103" s="85">
        <f>IF(H103,An,'2028'!An_max)</f>
        <v>2022</v>
      </c>
      <c r="K103" s="193">
        <f t="shared" si="27"/>
        <v>47207</v>
      </c>
      <c r="L103" s="143">
        <f>IF(t&lt;Tvie,1-EXP((T0-t)*PertePVj)+'2028'!Pspv,1-EXP((T0-t)*PertePVj)+Pspv)</f>
        <v>3.7380624197354662E-2</v>
      </c>
      <c r="M103" s="835"/>
      <c r="N103" s="835"/>
      <c r="O103" s="48">
        <f>IF(t&lt;Tnet,'2028'!Resal+('2028'!Salim-'2028'!Resal)*(1-EXP(('2028'!Tnet-t)/('2028'!Tau_j))),Resal+(Salim-Resal)*(1-EXP((Tnet-t)/(Tau_j))))*Salcycl</f>
        <v>3.0118984767778929E-2</v>
      </c>
      <c r="P103" s="165">
        <f>(INDEX(Models!$BJ103:$BT103,,T103)*(1-R103)+INDEX(Models!$BJ103:$BT103,,T103+1)*R103-ERP_i)*Q103*Ramure*Pc/MaxiM</f>
        <v>2.4595787584362358E-4</v>
      </c>
      <c r="Q103" s="301">
        <f t="shared" si="28"/>
        <v>0.5</v>
      </c>
      <c r="R103" s="173">
        <f t="shared" si="29"/>
        <v>0.51353366794294653</v>
      </c>
      <c r="S103" s="801">
        <f t="shared" si="30"/>
        <v>3</v>
      </c>
      <c r="T103" s="172">
        <f t="shared" si="31"/>
        <v>9</v>
      </c>
      <c r="U103" s="247">
        <f t="shared" si="32"/>
        <v>3.5135336679429465</v>
      </c>
      <c r="V103" s="378">
        <f t="shared" si="33"/>
        <v>201.18451811827219</v>
      </c>
      <c r="W103" s="397">
        <f t="shared" si="34"/>
        <v>29.29992319567997</v>
      </c>
      <c r="X103" s="153">
        <f t="shared" si="35"/>
        <v>47207</v>
      </c>
      <c r="Y103" s="380">
        <f t="shared" si="36"/>
        <v>28.46717062633611</v>
      </c>
      <c r="Z103" s="380">
        <f t="shared" si="37"/>
        <v>29.572613373380097</v>
      </c>
      <c r="AA103" s="381">
        <f t="shared" si="38"/>
        <v>31.38292540591863</v>
      </c>
      <c r="AB103" s="193">
        <f t="shared" si="39"/>
        <v>47207</v>
      </c>
      <c r="AC103" s="119">
        <f>IF(OR(t&lt;Tnet,NoTnet),'2028'!Resal_s+('2028'!Salim-'2028'!Resal_s)*(1-EXP(('2028'!Tnet_s-t)/'2028'!Tau_j)),Resal_s+(Salim-Resal_s)*(1-EXP((Tnet_s-t)/Tau_j)))*Salcycl</f>
        <v>5.7684617005052063E-2</v>
      </c>
      <c r="AD103" s="227">
        <f>(INDEX(Models!$BJ103:$BT103,,AH103)*(1-AF103)+INDEX(Models!$BJ103:$BT103,,AH103+1)*AF103-ERP_i)*AE103*Ramure*Pc/MaxiM</f>
        <v>2.4595787584362358E-4</v>
      </c>
      <c r="AE103" s="301">
        <f t="shared" si="40"/>
        <v>0.5</v>
      </c>
      <c r="AF103" s="173">
        <f t="shared" si="41"/>
        <v>0.51353366794294653</v>
      </c>
      <c r="AG103" s="801">
        <f t="shared" si="49"/>
        <v>3</v>
      </c>
      <c r="AH103" s="172">
        <f t="shared" si="42"/>
        <v>9</v>
      </c>
      <c r="AI103" s="221">
        <f t="shared" si="43"/>
        <v>3.5135336679429465</v>
      </c>
      <c r="AJ103" s="261" t="b">
        <f t="shared" si="44"/>
        <v>0</v>
      </c>
      <c r="AK103" s="261" t="b">
        <f t="shared" si="45"/>
        <v>1</v>
      </c>
      <c r="AL103" s="261"/>
      <c r="AM103" s="261"/>
      <c r="AN103" s="75"/>
    </row>
    <row r="104" spans="1:40" s="6" customFormat="1" ht="11.25" x14ac:dyDescent="0.2">
      <c r="A104" s="56">
        <f t="shared" si="46"/>
        <v>47208</v>
      </c>
      <c r="B104" s="406">
        <f>'2028'!Wh/'2028'!Env_an*'2029'!Env_an</f>
        <v>84.794621827753787</v>
      </c>
      <c r="C104" s="831"/>
      <c r="D104" s="388">
        <f t="shared" si="25"/>
        <v>88.088589054324387</v>
      </c>
      <c r="E104" s="380">
        <f t="shared" si="47"/>
        <v>90.829603999259135</v>
      </c>
      <c r="F104" s="380">
        <f t="shared" si="26"/>
        <v>90.829603999259135</v>
      </c>
      <c r="G104" s="110">
        <f t="shared" si="48"/>
        <v>0.4190946755866109</v>
      </c>
      <c r="H104" s="409" t="b">
        <f>Wh_hp&gt;='2028'!Maxi_hp</f>
        <v>1</v>
      </c>
      <c r="I104" s="385">
        <f>IF(H104,Wh_hp,'2028'!Maxi_hp)</f>
        <v>90.829603999259135</v>
      </c>
      <c r="J104" s="85">
        <f>IF(H104,An,'2028'!An_max)</f>
        <v>2029</v>
      </c>
      <c r="K104" s="193">
        <f t="shared" si="27"/>
        <v>47208</v>
      </c>
      <c r="L104" s="143">
        <f>IF(t&lt;Tvie,1-EXP((T0-t)*PertePVj)+'2028'!Pspv,1-EXP((T0-t)*PertePVj)+Pspv)</f>
        <v>3.7393801648238467E-2</v>
      </c>
      <c r="M104" s="835"/>
      <c r="N104" s="835"/>
      <c r="O104" s="48">
        <f>IF(t&lt;Tnet,'2028'!Resal+('2028'!Salim-'2028'!Resal)*(1-EXP(('2028'!Tnet-t)/('2028'!Tau_j))),Resal+(Salim-Resal)*(1-EXP((Tnet-t)/(Tau_j))))*Salcycl</f>
        <v>3.0177550316712834E-2</v>
      </c>
      <c r="P104" s="165">
        <f>(INDEX(Models!$BJ104:$BT104,,T104)*(1-R104)+INDEX(Models!$BJ104:$BT104,,T104+1)*R104-ERP_i)*Q104*Ramure*Pc/MaxiM</f>
        <v>0</v>
      </c>
      <c r="Q104" s="301">
        <f t="shared" si="28"/>
        <v>0.5</v>
      </c>
      <c r="R104" s="173">
        <f t="shared" si="29"/>
        <v>0.98952922605263238</v>
      </c>
      <c r="S104" s="801">
        <f t="shared" si="30"/>
        <v>-1</v>
      </c>
      <c r="T104" s="172">
        <f t="shared" si="31"/>
        <v>5</v>
      </c>
      <c r="U104" s="247">
        <f t="shared" si="32"/>
        <v>-1.0470773947367618E-2</v>
      </c>
      <c r="V104" s="378">
        <f t="shared" si="33"/>
        <v>202.32808185660181</v>
      </c>
      <c r="W104" s="397">
        <f t="shared" si="34"/>
        <v>84.794621827753787</v>
      </c>
      <c r="X104" s="153">
        <f t="shared" si="35"/>
        <v>47208</v>
      </c>
      <c r="Y104" s="380">
        <f t="shared" si="36"/>
        <v>82.383328388221472</v>
      </c>
      <c r="Z104" s="380">
        <f t="shared" si="37"/>
        <v>85.583625504680626</v>
      </c>
      <c r="AA104" s="381">
        <f t="shared" si="38"/>
        <v>90.825765853562984</v>
      </c>
      <c r="AB104" s="193">
        <f t="shared" si="39"/>
        <v>47208</v>
      </c>
      <c r="AC104" s="119">
        <f>IF(OR(t&lt;Tnet,NoTnet),'2028'!Resal_s+('2028'!Salim-'2028'!Resal_s)*(1-EXP(('2028'!Tnet_s-t)/'2028'!Tau_j)),Resal_s+(Salim-Resal_s)*(1-EXP((Tnet_s-t)/Tau_j)))*Salcycl</f>
        <v>5.7716445323832223E-2</v>
      </c>
      <c r="AD104" s="227">
        <f>(INDEX(Models!$BJ104:$BT104,,AH104)*(1-AF104)+INDEX(Models!$BJ104:$BT104,,AH104+1)*AF104-ERP_i)*AE104*Ramure*Pc/MaxiM</f>
        <v>2.4837033899697712E-4</v>
      </c>
      <c r="AE104" s="301">
        <f t="shared" si="40"/>
        <v>0.5</v>
      </c>
      <c r="AF104" s="173">
        <f t="shared" si="41"/>
        <v>0.51451679242661053</v>
      </c>
      <c r="AG104" s="801">
        <f t="shared" si="49"/>
        <v>3</v>
      </c>
      <c r="AH104" s="172">
        <f t="shared" si="42"/>
        <v>9</v>
      </c>
      <c r="AI104" s="221">
        <f t="shared" si="43"/>
        <v>3.5145167924266105</v>
      </c>
      <c r="AJ104" s="261" t="b">
        <f t="shared" si="44"/>
        <v>0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47209</v>
      </c>
      <c r="B105" s="406">
        <f>'2028'!Wh/'2028'!Env_an*'2029'!Env_an</f>
        <v>143.93216686925223</v>
      </c>
      <c r="C105" s="831"/>
      <c r="D105" s="388">
        <f t="shared" si="25"/>
        <v>149.52546270029615</v>
      </c>
      <c r="E105" s="380">
        <f t="shared" si="47"/>
        <v>154.18753040492959</v>
      </c>
      <c r="F105" s="380">
        <f t="shared" si="26"/>
        <v>154.18753506658047</v>
      </c>
      <c r="G105" s="110">
        <f t="shared" si="48"/>
        <v>0.70766353806709348</v>
      </c>
      <c r="H105" s="409" t="b">
        <f>Wh_hp&gt;='2028'!Maxi_hp</f>
        <v>1</v>
      </c>
      <c r="I105" s="385">
        <f>IF(H105,Wh_hp,'2028'!Maxi_hp)</f>
        <v>154.18753506658047</v>
      </c>
      <c r="J105" s="85">
        <f>IF(H105,An,'2028'!An_max)</f>
        <v>2029</v>
      </c>
      <c r="K105" s="193">
        <f t="shared" si="27"/>
        <v>47209</v>
      </c>
      <c r="L105" s="143">
        <f>IF(t&lt;Tvie,1-EXP((T0-t)*PertePVj)+'2028'!Pspv,1-EXP((T0-t)*PertePVj)+Pspv)</f>
        <v>3.7406978918734013E-2</v>
      </c>
      <c r="M105" s="835"/>
      <c r="N105" s="835"/>
      <c r="O105" s="48">
        <f>IF(t&lt;Tnet,'2028'!Resal+('2028'!Salim-'2028'!Resal)*(1-EXP(('2028'!Tnet-t)/('2028'!Tau_j))),Resal+(Salim-Resal)*(1-EXP((Tnet-t)/(Tau_j))))*Salcycl</f>
        <v>3.0236347209076191E-2</v>
      </c>
      <c r="P105" s="165">
        <f>(INDEX(Models!$BJ105:$BT105,,T105)*(1-R105)+INDEX(Models!$BJ105:$BT105,,T105+1)*R105-ERP_i)*Q105*Ramure*Pc/MaxiM</f>
        <v>5.1914255916860718E-8</v>
      </c>
      <c r="Q105" s="301">
        <f t="shared" si="28"/>
        <v>0.5</v>
      </c>
      <c r="R105" s="173">
        <f t="shared" si="29"/>
        <v>0.99054928512191764</v>
      </c>
      <c r="S105" s="801">
        <f t="shared" si="30"/>
        <v>-1</v>
      </c>
      <c r="T105" s="172">
        <f t="shared" si="31"/>
        <v>5</v>
      </c>
      <c r="U105" s="247">
        <f t="shared" si="32"/>
        <v>-9.4507148780823801E-3</v>
      </c>
      <c r="V105" s="378">
        <f t="shared" si="33"/>
        <v>203.3906736834989</v>
      </c>
      <c r="W105" s="397">
        <f t="shared" si="34"/>
        <v>143.93216686925223</v>
      </c>
      <c r="X105" s="153">
        <f t="shared" si="35"/>
        <v>47209</v>
      </c>
      <c r="Y105" s="380">
        <f t="shared" si="36"/>
        <v>139.82835806536949</v>
      </c>
      <c r="Z105" s="380">
        <f t="shared" si="37"/>
        <v>145.26217726812774</v>
      </c>
      <c r="AA105" s="381">
        <f t="shared" si="38"/>
        <v>154.16501954136598</v>
      </c>
      <c r="AB105" s="193">
        <f t="shared" si="39"/>
        <v>47209</v>
      </c>
      <c r="AC105" s="119">
        <f>IF(OR(t&lt;Tnet,NoTnet),'2028'!Resal_s+('2028'!Salim-'2028'!Resal_s)*(1-EXP(('2028'!Tnet_s-t)/'2028'!Tau_j)),Resal_s+(Salim-Resal_s)*(1-EXP((Tnet_s-t)/Tau_j)))*Salcycl</f>
        <v>5.7748783087913064E-2</v>
      </c>
      <c r="AD105" s="227">
        <f>(INDEX(Models!$BJ105:$BT105,,AH105)*(1-AF105)+INDEX(Models!$BJ105:$BT105,,AH105+1)*AF105-ERP_i)*AE105*Ramure*Pc/MaxiM</f>
        <v>2.5074308843301319E-4</v>
      </c>
      <c r="AE105" s="301">
        <f t="shared" si="40"/>
        <v>0.5</v>
      </c>
      <c r="AF105" s="173">
        <f t="shared" si="41"/>
        <v>0.51553685149589557</v>
      </c>
      <c r="AG105" s="801">
        <f t="shared" si="49"/>
        <v>3</v>
      </c>
      <c r="AH105" s="172">
        <f t="shared" si="42"/>
        <v>9</v>
      </c>
      <c r="AI105" s="221">
        <f t="shared" si="43"/>
        <v>3.5155368514958956</v>
      </c>
      <c r="AJ105" s="261" t="b">
        <f t="shared" si="44"/>
        <v>0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47210</v>
      </c>
      <c r="B106" s="406">
        <f>'2028'!Wh/'2028'!Env_an*'2029'!Env_an</f>
        <v>70.408428575348609</v>
      </c>
      <c r="C106" s="831"/>
      <c r="D106" s="388">
        <f t="shared" si="25"/>
        <v>73.145546330383681</v>
      </c>
      <c r="E106" s="380">
        <f t="shared" si="47"/>
        <v>75.430750151583183</v>
      </c>
      <c r="F106" s="380">
        <f t="shared" si="26"/>
        <v>75.430750667202759</v>
      </c>
      <c r="G106" s="110">
        <f t="shared" si="48"/>
        <v>0.34443265145310159</v>
      </c>
      <c r="H106" s="409" t="b">
        <f>Wh_hp&gt;='2028'!Maxi_hp</f>
        <v>1</v>
      </c>
      <c r="I106" s="385">
        <f>IF(H106,Wh_hp,'2028'!Maxi_hp)</f>
        <v>75.430750667202759</v>
      </c>
      <c r="J106" s="85">
        <f>IF(H106,An,'2028'!An_max)</f>
        <v>2029</v>
      </c>
      <c r="K106" s="193">
        <f t="shared" si="27"/>
        <v>47210</v>
      </c>
      <c r="L106" s="143">
        <f>IF(t&lt;Tvie,1-EXP((T0-t)*PertePVj)+'2028'!Pspv,1-EXP((T0-t)*PertePVj)+Pspv)</f>
        <v>3.7420156008843852E-2</v>
      </c>
      <c r="M106" s="835"/>
      <c r="N106" s="835"/>
      <c r="O106" s="48">
        <f>IF(t&lt;Tnet,'2028'!Resal+('2028'!Salim-'2028'!Resal)*(1-EXP(('2028'!Tnet-t)/('2028'!Tau_j))),Resal+(Salim-Resal)*(1-EXP((Tnet-t)/(Tau_j))))*Salcycl</f>
        <v>3.0295387711340958E-2</v>
      </c>
      <c r="P106" s="165">
        <f>(INDEX(Models!$BJ106:$BT106,,T106)*(1-R106)+INDEX(Models!$BJ106:$BT106,,T106+1)*R106-ERP_i)*Q106*Ramure*Pc/MaxiM</f>
        <v>1.0769026286772413E-7</v>
      </c>
      <c r="Q106" s="301">
        <f t="shared" si="28"/>
        <v>0.5</v>
      </c>
      <c r="R106" s="173">
        <f t="shared" si="29"/>
        <v>0.99160748917135699</v>
      </c>
      <c r="S106" s="801">
        <f t="shared" si="30"/>
        <v>-1</v>
      </c>
      <c r="T106" s="172">
        <f t="shared" si="31"/>
        <v>5</v>
      </c>
      <c r="U106" s="247">
        <f t="shared" si="32"/>
        <v>-8.3925108286430176E-3</v>
      </c>
      <c r="V106" s="378">
        <f t="shared" si="33"/>
        <v>204.41854504006548</v>
      </c>
      <c r="W106" s="397">
        <f t="shared" si="34"/>
        <v>70.408428575348609</v>
      </c>
      <c r="X106" s="153">
        <f t="shared" si="35"/>
        <v>47210</v>
      </c>
      <c r="Y106" s="380">
        <f t="shared" si="36"/>
        <v>68.41160409586108</v>
      </c>
      <c r="Z106" s="380">
        <f t="shared" si="37"/>
        <v>71.071095580191297</v>
      </c>
      <c r="AA106" s="381">
        <f t="shared" si="38"/>
        <v>75.429538904995866</v>
      </c>
      <c r="AB106" s="193">
        <f t="shared" si="39"/>
        <v>47210</v>
      </c>
      <c r="AC106" s="119">
        <f>IF(OR(t&lt;Tnet,NoTnet),'2028'!Resal_s+('2028'!Salim-'2028'!Resal_s)*(1-EXP(('2028'!Tnet_s-t)/'2028'!Tau_j)),Resal_s+(Salim-Resal_s)*(1-EXP((Tnet_s-t)/Tau_j)))*Salcycl</f>
        <v>5.7781651433585816E-2</v>
      </c>
      <c r="AD106" s="227">
        <f>(INDEX(Models!$BJ106:$BT106,,AH106)*(1-AF106)+INDEX(Models!$BJ106:$BT106,,AH106+1)*AF106-ERP_i)*AE106*Ramure*Pc/MaxiM</f>
        <v>2.5308385684135961E-4</v>
      </c>
      <c r="AE106" s="301">
        <f t="shared" si="40"/>
        <v>0.5</v>
      </c>
      <c r="AF106" s="173">
        <f t="shared" si="41"/>
        <v>0.51659505554533514</v>
      </c>
      <c r="AG106" s="801">
        <f t="shared" si="49"/>
        <v>3</v>
      </c>
      <c r="AH106" s="172">
        <f t="shared" si="42"/>
        <v>9</v>
      </c>
      <c r="AI106" s="221">
        <f t="shared" si="43"/>
        <v>3.5165950555453351</v>
      </c>
      <c r="AJ106" s="261" t="b">
        <f t="shared" si="44"/>
        <v>0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47211</v>
      </c>
      <c r="B107" s="406">
        <f>'2028'!Wh/'2028'!Env_an*'2029'!Env_an</f>
        <v>113.02615612197893</v>
      </c>
      <c r="C107" s="831"/>
      <c r="D107" s="388">
        <f t="shared" si="25"/>
        <v>117.42163944309669</v>
      </c>
      <c r="E107" s="380">
        <f t="shared" si="47"/>
        <v>121.097516274025</v>
      </c>
      <c r="F107" s="380">
        <f t="shared" si="26"/>
        <v>121.09752352431266</v>
      </c>
      <c r="G107" s="110">
        <f t="shared" si="48"/>
        <v>0.55023328421734807</v>
      </c>
      <c r="H107" s="409" t="b">
        <f>Wh_hp&gt;='2028'!Maxi_hp</f>
        <v>1</v>
      </c>
      <c r="I107" s="385">
        <f>IF(H107,Wh_hp,'2028'!Maxi_hp)</f>
        <v>121.09752352431266</v>
      </c>
      <c r="J107" s="85">
        <f>IF(H107,An,'2028'!An_max)</f>
        <v>2029</v>
      </c>
      <c r="K107" s="193">
        <f t="shared" si="27"/>
        <v>47211</v>
      </c>
      <c r="L107" s="143">
        <f>IF(t&lt;Tvie,1-EXP((T0-t)*PertePVj)+'2028'!Pspv,1-EXP((T0-t)*PertePVj)+Pspv)</f>
        <v>3.7433332918570317E-2</v>
      </c>
      <c r="M107" s="835"/>
      <c r="N107" s="835"/>
      <c r="O107" s="48">
        <f>IF(t&lt;Tnet,'2028'!Resal+('2028'!Salim-'2028'!Resal)*(1-EXP(('2028'!Tnet-t)/('2028'!Tau_j))),Resal+(Salim-Resal)*(1-EXP((Tnet-t)/(Tau_j))))*Salcycl</f>
        <v>3.0354683927706384E-2</v>
      </c>
      <c r="P107" s="165">
        <f>(INDEX(Models!$BJ107:$BT107,,T107)*(1-R107)+INDEX(Models!$BJ107:$BT107,,T107+1)*R107-ERP_i)*Q107*Ramure*Pc/MaxiM</f>
        <v>1.6748381204184814E-7</v>
      </c>
      <c r="Q107" s="301">
        <f t="shared" si="28"/>
        <v>0.5</v>
      </c>
      <c r="R107" s="173">
        <f t="shared" si="29"/>
        <v>0.99270507397617058</v>
      </c>
      <c r="S107" s="801">
        <f t="shared" si="30"/>
        <v>-1</v>
      </c>
      <c r="T107" s="172">
        <f t="shared" si="31"/>
        <v>5</v>
      </c>
      <c r="U107" s="247">
        <f t="shared" si="32"/>
        <v>-7.294926023829449E-3</v>
      </c>
      <c r="V107" s="378">
        <f t="shared" si="33"/>
        <v>205.41495253188489</v>
      </c>
      <c r="W107" s="397">
        <f t="shared" si="34"/>
        <v>113.02615612197893</v>
      </c>
      <c r="X107" s="153">
        <f t="shared" si="35"/>
        <v>47211</v>
      </c>
      <c r="Y107" s="380">
        <f t="shared" si="36"/>
        <v>109.8152315720976</v>
      </c>
      <c r="Z107" s="380">
        <f t="shared" si="37"/>
        <v>114.08584498886208</v>
      </c>
      <c r="AA107" s="381">
        <f t="shared" si="38"/>
        <v>121.08646772739667</v>
      </c>
      <c r="AB107" s="193">
        <f t="shared" si="39"/>
        <v>47211</v>
      </c>
      <c r="AC107" s="119">
        <f>IF(OR(t&lt;Tnet,NoTnet),'2028'!Resal_s+('2028'!Salim-'2028'!Resal_s)*(1-EXP(('2028'!Tnet_s-t)/'2028'!Tau_j)),Resal_s+(Salim-Resal_s)*(1-EXP((Tnet_s-t)/Tau_j)))*Salcycl</f>
        <v>5.7815071080404803E-2</v>
      </c>
      <c r="AD107" s="227">
        <f>(INDEX(Models!$BJ107:$BT107,,AH107)*(1-AF107)+INDEX(Models!$BJ107:$BT107,,AH107+1)*AF107-ERP_i)*AE107*Ramure*Pc/MaxiM</f>
        <v>2.5539221344479738E-4</v>
      </c>
      <c r="AE107" s="301">
        <f t="shared" si="40"/>
        <v>0.5</v>
      </c>
      <c r="AF107" s="173">
        <f t="shared" si="41"/>
        <v>0.51769264035014873</v>
      </c>
      <c r="AG107" s="801">
        <f t="shared" si="49"/>
        <v>3</v>
      </c>
      <c r="AH107" s="172">
        <f t="shared" si="42"/>
        <v>9</v>
      </c>
      <c r="AI107" s="221">
        <f t="shared" si="43"/>
        <v>3.5176926403501487</v>
      </c>
      <c r="AJ107" s="261" t="b">
        <f t="shared" si="44"/>
        <v>0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47212</v>
      </c>
      <c r="B108" s="406">
        <f>'2028'!Wh/'2028'!Env_an*'2029'!Env_an</f>
        <v>172.43968728392804</v>
      </c>
      <c r="C108" s="831"/>
      <c r="D108" s="388">
        <f t="shared" si="25"/>
        <v>179.14816060856299</v>
      </c>
      <c r="E108" s="380">
        <f t="shared" si="47"/>
        <v>184.7677321964191</v>
      </c>
      <c r="F108" s="380">
        <f t="shared" si="26"/>
        <v>184.76776492355262</v>
      </c>
      <c r="G108" s="110">
        <f t="shared" si="48"/>
        <v>0.83552093658779858</v>
      </c>
      <c r="H108" s="409" t="b">
        <f>Wh_hp&gt;='2028'!Maxi_hp</f>
        <v>1</v>
      </c>
      <c r="I108" s="385">
        <f>IF(H108,Wh_hp,'2028'!Maxi_hp)</f>
        <v>184.76776492355262</v>
      </c>
      <c r="J108" s="85">
        <f>IF(H108,An,'2028'!An_max)</f>
        <v>2029</v>
      </c>
      <c r="K108" s="193">
        <f t="shared" si="27"/>
        <v>47212</v>
      </c>
      <c r="L108" s="143">
        <f>IF(t&lt;Tvie,1-EXP((T0-t)*PertePVj)+'2028'!Pspv,1-EXP((T0-t)*PertePVj)+Pspv)</f>
        <v>3.744650964791596E-2</v>
      </c>
      <c r="M108" s="835"/>
      <c r="N108" s="835"/>
      <c r="O108" s="48">
        <f>IF(t&lt;Tnet,'2028'!Resal+('2028'!Salim-'2028'!Resal)*(1-EXP(('2028'!Tnet-t)/('2028'!Tau_j))),Resal+(Salim-Resal)*(1-EXP((Tnet-t)/(Tau_j))))*Salcycl</f>
        <v>3.0414247775050772E-2</v>
      </c>
      <c r="P108" s="165">
        <f>(INDEX(Models!$BJ108:$BT108,,T108)*(1-R108)+INDEX(Models!$BJ108:$BT108,,T108+1)*R108-ERP_i)*Q108*Ramure*Pc/MaxiM</f>
        <v>2.3152788884122368E-7</v>
      </c>
      <c r="Q108" s="301">
        <f t="shared" si="28"/>
        <v>0.5</v>
      </c>
      <c r="R108" s="173">
        <f t="shared" si="29"/>
        <v>0.99384330001102317</v>
      </c>
      <c r="S108" s="801">
        <f t="shared" si="30"/>
        <v>-1</v>
      </c>
      <c r="T108" s="172">
        <f t="shared" si="31"/>
        <v>5</v>
      </c>
      <c r="U108" s="247">
        <f t="shared" si="32"/>
        <v>-6.1566999889767771E-3</v>
      </c>
      <c r="V108" s="378">
        <f t="shared" si="33"/>
        <v>206.38582512016137</v>
      </c>
      <c r="W108" s="397">
        <f t="shared" si="34"/>
        <v>172.43968728392804</v>
      </c>
      <c r="X108" s="153">
        <f t="shared" si="35"/>
        <v>47212</v>
      </c>
      <c r="Y108" s="380">
        <f t="shared" si="36"/>
        <v>167.52740580066001</v>
      </c>
      <c r="Z108" s="380">
        <f t="shared" si="37"/>
        <v>174.04477515258048</v>
      </c>
      <c r="AA108" s="381">
        <f t="shared" si="38"/>
        <v>184.73130810127719</v>
      </c>
      <c r="AB108" s="193">
        <f t="shared" si="39"/>
        <v>47212</v>
      </c>
      <c r="AC108" s="119">
        <f>IF(OR(t&lt;Tnet,NoTnet),'2028'!Resal_s+('2028'!Salim-'2028'!Resal_s)*(1-EXP(('2028'!Tnet_s-t)/'2028'!Tau_j)),Resal_s+(Salim-Resal_s)*(1-EXP((Tnet_s-t)/Tau_j)))*Salcycl</f>
        <v>5.7849062286929244E-2</v>
      </c>
      <c r="AD108" s="227">
        <f>(INDEX(Models!$BJ108:$BT108,,AH108)*(1-AF108)+INDEX(Models!$BJ108:$BT108,,AH108+1)*AF108-ERP_i)*AE108*Ramure*Pc/MaxiM</f>
        <v>2.5791354709423165E-4</v>
      </c>
      <c r="AE108" s="301">
        <f t="shared" si="40"/>
        <v>0.5</v>
      </c>
      <c r="AF108" s="173">
        <f t="shared" si="41"/>
        <v>0.51883086638500142</v>
      </c>
      <c r="AG108" s="801">
        <f t="shared" si="49"/>
        <v>3</v>
      </c>
      <c r="AH108" s="172">
        <f t="shared" si="42"/>
        <v>9</v>
      </c>
      <c r="AI108" s="221">
        <f t="shared" si="43"/>
        <v>3.5188308663850014</v>
      </c>
      <c r="AJ108" s="261" t="b">
        <f t="shared" si="44"/>
        <v>0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47213</v>
      </c>
      <c r="B109" s="406">
        <f>'2028'!Wh/'2028'!Env_an*'2029'!Env_an</f>
        <v>211.28130172751636</v>
      </c>
      <c r="C109" s="831"/>
      <c r="D109" s="388">
        <f t="shared" si="25"/>
        <v>219.5038469533994</v>
      </c>
      <c r="E109" s="380">
        <f t="shared" si="47"/>
        <v>226.40328113608169</v>
      </c>
      <c r="F109" s="380">
        <f t="shared" si="26"/>
        <v>226.40334911043371</v>
      </c>
      <c r="G109" s="110">
        <f t="shared" si="48"/>
        <v>1.0190486017817744</v>
      </c>
      <c r="H109" s="409" t="b">
        <f>Wh_hp&gt;='2028'!Maxi_hp</f>
        <v>1</v>
      </c>
      <c r="I109" s="385">
        <f>IF(H109,Wh_hp,'2028'!Maxi_hp)</f>
        <v>226.40334911043371</v>
      </c>
      <c r="J109" s="85">
        <f>IF(H109,An,'2028'!An_max)</f>
        <v>2029</v>
      </c>
      <c r="K109" s="193">
        <f t="shared" si="27"/>
        <v>47213</v>
      </c>
      <c r="L109" s="143">
        <f>IF(t&lt;Tvie,1-EXP((T0-t)*PertePVj)+'2028'!Pspv,1-EXP((T0-t)*PertePVj)+Pspv)</f>
        <v>3.7459686196883335E-2</v>
      </c>
      <c r="M109" s="835"/>
      <c r="N109" s="835"/>
      <c r="O109" s="48">
        <f>IF(t&lt;Tnet,'2028'!Resal+('2028'!Salim-'2028'!Resal)*(1-EXP(('2028'!Tnet-t)/('2028'!Tau_j))),Resal+(Salim-Resal)*(1-EXP((Tnet-t)/(Tau_j))))*Salcycl</f>
        <v>3.047409095866992E-2</v>
      </c>
      <c r="P109" s="165">
        <f>(INDEX(Models!$BJ109:$BT109,,T109)*(1-R109)+INDEX(Models!$BJ109:$BT109,,T109+1)*R109-ERP_i)*Q109*Ramure*Pc/MaxiM</f>
        <v>3.0023562936023472E-7</v>
      </c>
      <c r="Q109" s="301">
        <f t="shared" si="28"/>
        <v>0.5</v>
      </c>
      <c r="R109" s="173">
        <f t="shared" si="29"/>
        <v>0.99502345163904193</v>
      </c>
      <c r="S109" s="801">
        <f t="shared" si="30"/>
        <v>-1</v>
      </c>
      <c r="T109" s="172">
        <f t="shared" si="31"/>
        <v>5</v>
      </c>
      <c r="U109" s="247">
        <f t="shared" si="32"/>
        <v>-4.9765483609580489E-3</v>
      </c>
      <c r="V109" s="378">
        <f t="shared" si="33"/>
        <v>207.33191857394996</v>
      </c>
      <c r="W109" s="397">
        <f t="shared" si="34"/>
        <v>211.28130172751636</v>
      </c>
      <c r="X109" s="153">
        <f t="shared" si="35"/>
        <v>47213</v>
      </c>
      <c r="Y109" s="380">
        <f t="shared" si="36"/>
        <v>205.2546636425856</v>
      </c>
      <c r="Z109" s="380">
        <f t="shared" si="37"/>
        <v>213.24266703344492</v>
      </c>
      <c r="AA109" s="381">
        <f t="shared" si="38"/>
        <v>226.34430010511323</v>
      </c>
      <c r="AB109" s="193">
        <f t="shared" si="39"/>
        <v>47213</v>
      </c>
      <c r="AC109" s="119">
        <f>IF(OR(t&lt;Tnet,NoTnet),'2028'!Resal_s+('2028'!Salim-'2028'!Resal_s)*(1-EXP(('2028'!Tnet_s-t)/'2028'!Tau_j)),Resal_s+(Salim-Resal_s)*(1-EXP((Tnet_s-t)/Tau_j)))*Salcycl</f>
        <v>5.7883644808302999E-2</v>
      </c>
      <c r="AD109" s="227">
        <f>(INDEX(Models!$BJ109:$BT109,,AH109)*(1-AF109)+INDEX(Models!$BJ109:$BT109,,AH109+1)*AF109-ERP_i)*AE109*Ramure*Pc/MaxiM</f>
        <v>2.6081330312689049E-4</v>
      </c>
      <c r="AE109" s="301">
        <f t="shared" si="40"/>
        <v>0.5</v>
      </c>
      <c r="AF109" s="173">
        <f t="shared" si="41"/>
        <v>0.52001101801302019</v>
      </c>
      <c r="AG109" s="801">
        <f t="shared" si="49"/>
        <v>3</v>
      </c>
      <c r="AH109" s="172">
        <f t="shared" si="42"/>
        <v>9</v>
      </c>
      <c r="AI109" s="221">
        <f t="shared" si="43"/>
        <v>3.5200110180130202</v>
      </c>
      <c r="AJ109" s="261" t="b">
        <f t="shared" si="44"/>
        <v>0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47214</v>
      </c>
      <c r="B110" s="406">
        <f>'2028'!Wh/'2028'!Env_an*'2029'!Env_an</f>
        <v>52.456011145694447</v>
      </c>
      <c r="C110" s="831"/>
      <c r="D110" s="388">
        <f t="shared" si="25"/>
        <v>54.498215276826627</v>
      </c>
      <c r="E110" s="380">
        <f t="shared" si="47"/>
        <v>56.214687180619862</v>
      </c>
      <c r="F110" s="380">
        <f t="shared" si="26"/>
        <v>56.214687180619862</v>
      </c>
      <c r="G110" s="110">
        <f t="shared" si="48"/>
        <v>0.25188469093101312</v>
      </c>
      <c r="H110" s="409" t="b">
        <f>Wh_hp&gt;='2028'!Maxi_hp</f>
        <v>1</v>
      </c>
      <c r="I110" s="385">
        <f>IF(H110,Wh_hp,'2028'!Maxi_hp)</f>
        <v>56.214687180619862</v>
      </c>
      <c r="J110" s="85">
        <f>IF(H110,An,'2028'!An_max)</f>
        <v>2029</v>
      </c>
      <c r="K110" s="193">
        <f t="shared" si="27"/>
        <v>47214</v>
      </c>
      <c r="L110" s="143">
        <f>IF(t&lt;Tvie,1-EXP((T0-t)*PertePVj)+'2028'!Pspv,1-EXP((T0-t)*PertePVj)+Pspv)</f>
        <v>3.7472862565474774E-2</v>
      </c>
      <c r="M110" s="835"/>
      <c r="N110" s="835"/>
      <c r="O110" s="48">
        <f>IF(t&lt;Tnet,'2028'!Resal+('2028'!Salim-'2028'!Resal)*(1-EXP(('2028'!Tnet-t)/('2028'!Tau_j))),Resal+(Salim-Resal)*(1-EXP((Tnet-t)/(Tau_j))))*Salcycl</f>
        <v>3.0534224948689088E-2</v>
      </c>
      <c r="P110" s="165">
        <f>(INDEX(Models!$BJ110:$BT110,,T110)*(1-R110)+INDEX(Models!$BJ110:$BT110,,T110+1)*R110-ERP_i)*Q110*Ramure*Pc/MaxiM</f>
        <v>3.7396939003737789E-7</v>
      </c>
      <c r="Q110" s="301">
        <f t="shared" si="28"/>
        <v>0.5</v>
      </c>
      <c r="R110" s="173">
        <f t="shared" si="29"/>
        <v>0.99624683616208221</v>
      </c>
      <c r="S110" s="801">
        <f t="shared" si="30"/>
        <v>-1</v>
      </c>
      <c r="T110" s="172">
        <f t="shared" si="31"/>
        <v>5</v>
      </c>
      <c r="U110" s="247">
        <f t="shared" si="32"/>
        <v>-3.7531638379178466E-3</v>
      </c>
      <c r="V110" s="378">
        <f t="shared" si="33"/>
        <v>208.25398850110642</v>
      </c>
      <c r="W110" s="397">
        <f t="shared" si="34"/>
        <v>52.456011145694447</v>
      </c>
      <c r="X110" s="153">
        <f t="shared" si="35"/>
        <v>47214</v>
      </c>
      <c r="Y110" s="380">
        <f t="shared" si="36"/>
        <v>50.974280076043321</v>
      </c>
      <c r="Z110" s="380">
        <f t="shared" si="37"/>
        <v>52.95879782871139</v>
      </c>
      <c r="AA110" s="381">
        <f t="shared" si="38"/>
        <v>56.214687180619862</v>
      </c>
      <c r="AB110" s="193">
        <f t="shared" si="39"/>
        <v>47214</v>
      </c>
      <c r="AC110" s="119">
        <f>IF(OR(t&lt;Tnet,NoTnet),'2028'!Resal_s+('2028'!Salim-'2028'!Resal_s)*(1-EXP(('2028'!Tnet_s-t)/'2028'!Tau_j)),Resal_s+(Salim-Resal_s)*(1-EXP((Tnet_s-t)/Tau_j)))*Salcycl</f>
        <v>5.7918837855437624E-2</v>
      </c>
      <c r="AD110" s="227">
        <f>(INDEX(Models!$BJ110:$BT110,,AH110)*(1-AF110)+INDEX(Models!$BJ110:$BT110,,AH110+1)*AF110-ERP_i)*AE110*Ramure*Pc/MaxiM</f>
        <v>2.6409138958019405E-4</v>
      </c>
      <c r="AE110" s="301">
        <f t="shared" si="40"/>
        <v>0.5</v>
      </c>
      <c r="AF110" s="173">
        <f t="shared" si="41"/>
        <v>0.52123440253606024</v>
      </c>
      <c r="AG110" s="801">
        <f t="shared" si="49"/>
        <v>3</v>
      </c>
      <c r="AH110" s="172">
        <f t="shared" si="42"/>
        <v>9</v>
      </c>
      <c r="AI110" s="221">
        <f t="shared" si="43"/>
        <v>3.5212344025360602</v>
      </c>
      <c r="AJ110" s="261" t="b">
        <f t="shared" si="44"/>
        <v>0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47215</v>
      </c>
      <c r="B111" s="406">
        <f>'2028'!Wh/'2028'!Env_an*'2029'!Env_an</f>
        <v>161.20820775562643</v>
      </c>
      <c r="C111" s="831"/>
      <c r="D111" s="388">
        <f t="shared" si="25"/>
        <v>167.48661759345978</v>
      </c>
      <c r="E111" s="380">
        <f t="shared" si="47"/>
        <v>172.77253471577373</v>
      </c>
      <c r="F111" s="380">
        <f t="shared" si="26"/>
        <v>172.77258736468227</v>
      </c>
      <c r="G111" s="110">
        <f t="shared" si="48"/>
        <v>0.77076755033560307</v>
      </c>
      <c r="H111" s="409" t="b">
        <f>Wh_hp&gt;='2028'!Maxi_hp</f>
        <v>1</v>
      </c>
      <c r="I111" s="385">
        <f>IF(H111,Wh_hp,'2028'!Maxi_hp)</f>
        <v>172.77258736468227</v>
      </c>
      <c r="J111" s="85">
        <f>IF(H111,An,'2028'!An_max)</f>
        <v>2029</v>
      </c>
      <c r="K111" s="193">
        <f t="shared" si="27"/>
        <v>47215</v>
      </c>
      <c r="L111" s="143">
        <f>IF(t&lt;Tvie,1-EXP((T0-t)*PertePVj)+'2028'!Pspv,1-EXP((T0-t)*PertePVj)+Pspv)</f>
        <v>3.7486038753692719E-2</v>
      </c>
      <c r="M111" s="835"/>
      <c r="N111" s="835"/>
      <c r="O111" s="48">
        <f>IF(t&lt;Tnet,'2028'!Resal+('2028'!Salim-'2028'!Resal)*(1-EXP(('2028'!Tnet-t)/('2028'!Tau_j))),Resal+(Salim-Resal)*(1-EXP((Tnet-t)/(Tau_j))))*Salcycl</f>
        <v>3.0594660957019397E-2</v>
      </c>
      <c r="P111" s="165">
        <f>(INDEX(Models!$BJ111:$BT111,,T111)*(1-R111)+INDEX(Models!$BJ111:$BT111,,T111+1)*R111-ERP_i)*Q111*Ramure*Pc/MaxiM</f>
        <v>4.5311240287111107E-7</v>
      </c>
      <c r="Q111" s="301">
        <f t="shared" si="28"/>
        <v>0.5</v>
      </c>
      <c r="R111" s="173">
        <f t="shared" si="29"/>
        <v>0.99751478272303118</v>
      </c>
      <c r="S111" s="801">
        <f t="shared" si="30"/>
        <v>-1</v>
      </c>
      <c r="T111" s="172">
        <f t="shared" si="31"/>
        <v>5</v>
      </c>
      <c r="U111" s="247">
        <f t="shared" si="32"/>
        <v>-2.4852172769688381E-3</v>
      </c>
      <c r="V111" s="378">
        <f t="shared" si="33"/>
        <v>209.15279031257751</v>
      </c>
      <c r="W111" s="397">
        <f t="shared" si="34"/>
        <v>161.20820775562643</v>
      </c>
      <c r="X111" s="153">
        <f t="shared" si="35"/>
        <v>47215</v>
      </c>
      <c r="Y111" s="380">
        <f t="shared" si="36"/>
        <v>156.6301886406807</v>
      </c>
      <c r="Z111" s="380">
        <f t="shared" si="37"/>
        <v>162.73030308866245</v>
      </c>
      <c r="AA111" s="381">
        <f t="shared" si="38"/>
        <v>172.74147664512196</v>
      </c>
      <c r="AB111" s="193">
        <f t="shared" si="39"/>
        <v>47215</v>
      </c>
      <c r="AC111" s="119">
        <f>IF(OR(t&lt;Tnet,NoTnet),'2028'!Resal_s+('2028'!Salim-'2028'!Resal_s)*(1-EXP(('2028'!Tnet_s-t)/'2028'!Tau_j)),Resal_s+(Salim-Resal_s)*(1-EXP((Tnet_s-t)/Tau_j)))*Salcycl</f>
        <v>5.7954660055536934E-2</v>
      </c>
      <c r="AD111" s="227">
        <f>(INDEX(Models!$BJ111:$BT111,,AH111)*(1-AF111)+INDEX(Models!$BJ111:$BT111,,AH111+1)*AF111-ERP_i)*AE111*Ramure*Pc/MaxiM</f>
        <v>2.6774824560293751E-4</v>
      </c>
      <c r="AE111" s="301">
        <f t="shared" si="40"/>
        <v>0.5</v>
      </c>
      <c r="AF111" s="173">
        <f t="shared" si="41"/>
        <v>0.52250234909700932</v>
      </c>
      <c r="AG111" s="801">
        <f t="shared" si="49"/>
        <v>3</v>
      </c>
      <c r="AH111" s="172">
        <f t="shared" si="42"/>
        <v>9</v>
      </c>
      <c r="AI111" s="221">
        <f t="shared" si="43"/>
        <v>3.5225023490970093</v>
      </c>
      <c r="AJ111" s="261" t="b">
        <f t="shared" si="44"/>
        <v>0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47216</v>
      </c>
      <c r="B112" s="406">
        <f>'2028'!Wh/'2028'!Env_an*'2029'!Env_an</f>
        <v>128.30988863055038</v>
      </c>
      <c r="C112" s="831"/>
      <c r="D112" s="388">
        <f t="shared" si="25"/>
        <v>133.3088664429105</v>
      </c>
      <c r="E112" s="380">
        <f t="shared" si="47"/>
        <v>137.52474383870225</v>
      </c>
      <c r="F112" s="380">
        <f t="shared" si="26"/>
        <v>137.52477670593319</v>
      </c>
      <c r="G112" s="110">
        <f t="shared" si="48"/>
        <v>0.61091469193873915</v>
      </c>
      <c r="H112" s="409" t="b">
        <f>Wh_hp&gt;='2028'!Maxi_hp</f>
        <v>1</v>
      </c>
      <c r="I112" s="385">
        <f>IF(H112,Wh_hp,'2028'!Maxi_hp)</f>
        <v>137.52477670593319</v>
      </c>
      <c r="J112" s="85">
        <f>IF(H112,An,'2028'!An_max)</f>
        <v>2029</v>
      </c>
      <c r="K112" s="193">
        <f t="shared" si="27"/>
        <v>47216</v>
      </c>
      <c r="L112" s="143">
        <f>IF(t&lt;Tvie,1-EXP((T0-t)*PertePVj)+'2028'!Pspv,1-EXP((T0-t)*PertePVj)+Pspv)</f>
        <v>3.7499214761539834E-2</v>
      </c>
      <c r="M112" s="835"/>
      <c r="N112" s="835"/>
      <c r="O112" s="48">
        <f>IF(t&lt;Tnet,'2028'!Resal+('2028'!Salim-'2028'!Resal)*(1-EXP(('2028'!Tnet-t)/('2028'!Tau_j))),Resal+(Salim-Resal)*(1-EXP((Tnet-t)/(Tau_j))))*Salcycl</f>
        <v>3.0655409914716145E-2</v>
      </c>
      <c r="P112" s="165">
        <f>(INDEX(Models!$BJ112:$BT112,,T112)*(1-R112)+INDEX(Models!$BJ112:$BT112,,T112+1)*R112-ERP_i)*Q112*Ramure*Pc/MaxiM</f>
        <v>5.3806991248488083E-7</v>
      </c>
      <c r="Q112" s="301">
        <f t="shared" si="28"/>
        <v>0.5</v>
      </c>
      <c r="R112" s="173">
        <f t="shared" si="29"/>
        <v>0.99882864105077473</v>
      </c>
      <c r="S112" s="801">
        <f t="shared" si="30"/>
        <v>-1</v>
      </c>
      <c r="T112" s="172">
        <f t="shared" si="31"/>
        <v>5</v>
      </c>
      <c r="U112" s="247">
        <f t="shared" si="32"/>
        <v>-1.1713589492252548E-3</v>
      </c>
      <c r="V112" s="378">
        <f t="shared" si="33"/>
        <v>210.02907926246056</v>
      </c>
      <c r="W112" s="397">
        <f t="shared" si="34"/>
        <v>128.30988863055038</v>
      </c>
      <c r="X112" s="153">
        <f t="shared" si="35"/>
        <v>47216</v>
      </c>
      <c r="Y112" s="380">
        <f t="shared" si="36"/>
        <v>124.67650042716468</v>
      </c>
      <c r="Z112" s="380">
        <f t="shared" si="37"/>
        <v>129.53392073989426</v>
      </c>
      <c r="AA112" s="381">
        <f t="shared" si="38"/>
        <v>137.50817511863798</v>
      </c>
      <c r="AB112" s="193">
        <f t="shared" si="39"/>
        <v>47216</v>
      </c>
      <c r="AC112" s="119">
        <f>IF(OR(t&lt;Tnet,NoTnet),'2028'!Resal_s+('2028'!Salim-'2028'!Resal_s)*(1-EXP(('2028'!Tnet_s-t)/'2028'!Tau_j)),Resal_s+(Salim-Resal_s)*(1-EXP((Tnet_s-t)/Tau_j)))*Salcycl</f>
        <v>5.7991129413678517E-2</v>
      </c>
      <c r="AD112" s="227">
        <f>(INDEX(Models!$BJ112:$BT112,,AH112)*(1-AF112)+INDEX(Models!$BJ112:$BT112,,AH112+1)*AF112-ERP_i)*AE112*Ramure*Pc/MaxiM</f>
        <v>2.7178482540379589E-4</v>
      </c>
      <c r="AE112" s="301">
        <f t="shared" si="40"/>
        <v>0.5</v>
      </c>
      <c r="AF112" s="173">
        <f t="shared" si="41"/>
        <v>0.52381620742475299</v>
      </c>
      <c r="AG112" s="801">
        <f t="shared" si="49"/>
        <v>3</v>
      </c>
      <c r="AH112" s="172">
        <f t="shared" si="42"/>
        <v>9</v>
      </c>
      <c r="AI112" s="221">
        <f t="shared" si="43"/>
        <v>3.523816207424753</v>
      </c>
      <c r="AJ112" s="261" t="b">
        <f t="shared" si="44"/>
        <v>0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47217</v>
      </c>
      <c r="B113" s="406">
        <f>'2028'!Wh/'2028'!Env_an*'2029'!Env_an</f>
        <v>138.50189071839196</v>
      </c>
      <c r="C113" s="831"/>
      <c r="D113" s="388">
        <f t="shared" si="25"/>
        <v>143.89992075134521</v>
      </c>
      <c r="E113" s="380">
        <f t="shared" si="47"/>
        <v>148.46009257952829</v>
      </c>
      <c r="F113" s="380">
        <f t="shared" si="26"/>
        <v>148.46014028866742</v>
      </c>
      <c r="G113" s="110">
        <f t="shared" si="48"/>
        <v>0.65676914285407406</v>
      </c>
      <c r="H113" s="409" t="b">
        <f>Wh_hp&gt;='2028'!Maxi_hp</f>
        <v>1</v>
      </c>
      <c r="I113" s="385">
        <f>IF(H113,Wh_hp,'2028'!Maxi_hp)</f>
        <v>148.46014028866742</v>
      </c>
      <c r="J113" s="85">
        <f>IF(H113,An,'2028'!An_max)</f>
        <v>2029</v>
      </c>
      <c r="K113" s="193">
        <f t="shared" si="27"/>
        <v>47217</v>
      </c>
      <c r="L113" s="143">
        <f>IF(t&lt;Tvie,1-EXP((T0-t)*PertePVj)+'2028'!Pspv,1-EXP((T0-t)*PertePVj)+Pspv)</f>
        <v>3.7512390589018341E-2</v>
      </c>
      <c r="M113" s="835"/>
      <c r="N113" s="835"/>
      <c r="O113" s="48">
        <f>IF(t&lt;Tnet,'2028'!Resal+('2028'!Salim-'2028'!Resal)*(1-EXP(('2028'!Tnet-t)/('2028'!Tau_j))),Resal+(Salim-Resal)*(1-EXP((Tnet-t)/(Tau_j))))*Salcycl</f>
        <v>3.0716482449586725E-2</v>
      </c>
      <c r="P113" s="165">
        <f>(INDEX(Models!$BJ113:$BT113,,T113)*(1-R113)+INDEX(Models!$BJ113:$BT113,,T113+1)*R113-ERP_i)*Q113*Ramure*Pc/MaxiM</f>
        <v>6.3052487001369085E-7</v>
      </c>
      <c r="Q113" s="301">
        <f t="shared" si="28"/>
        <v>0.5</v>
      </c>
      <c r="R113" s="173">
        <f t="shared" si="29"/>
        <v>1.8978003834077897E-4</v>
      </c>
      <c r="S113" s="801">
        <f t="shared" si="30"/>
        <v>0</v>
      </c>
      <c r="T113" s="172">
        <f t="shared" si="31"/>
        <v>6</v>
      </c>
      <c r="U113" s="247">
        <f t="shared" si="32"/>
        <v>1.8978003834077897E-4</v>
      </c>
      <c r="V113" s="378">
        <f t="shared" si="33"/>
        <v>210.88361017780304</v>
      </c>
      <c r="W113" s="397">
        <f t="shared" si="34"/>
        <v>138.50189071839196</v>
      </c>
      <c r="X113" s="153">
        <f t="shared" si="35"/>
        <v>47217</v>
      </c>
      <c r="Y113" s="380">
        <f t="shared" si="36"/>
        <v>134.58037845254461</v>
      </c>
      <c r="Z113" s="380">
        <f t="shared" si="37"/>
        <v>139.82556984282056</v>
      </c>
      <c r="AA113" s="381">
        <f t="shared" si="38"/>
        <v>148.43924121224882</v>
      </c>
      <c r="AB113" s="193">
        <f t="shared" si="39"/>
        <v>47217</v>
      </c>
      <c r="AC113" s="119">
        <f>IF(OR(t&lt;Tnet,NoTnet),'2028'!Resal_s+('2028'!Salim-'2028'!Resal_s)*(1-EXP(('2028'!Tnet_s-t)/'2028'!Tau_j)),Resal_s+(Salim-Resal_s)*(1-EXP((Tnet_s-t)/Tau_j)))*Salcycl</f>
        <v>5.8028263275152529E-2</v>
      </c>
      <c r="AD113" s="227">
        <f>(INDEX(Models!$BJ113:$BT113,,AH113)*(1-AF113)+INDEX(Models!$BJ113:$BT113,,AH113+1)*AF113-ERP_i)*AE113*Ramure*Pc/MaxiM</f>
        <v>2.7620258271120055E-4</v>
      </c>
      <c r="AE113" s="301">
        <f t="shared" si="40"/>
        <v>0.5</v>
      </c>
      <c r="AF113" s="173">
        <f t="shared" si="41"/>
        <v>0.52517734641231906</v>
      </c>
      <c r="AG113" s="801">
        <f t="shared" si="49"/>
        <v>3</v>
      </c>
      <c r="AH113" s="172">
        <f t="shared" si="42"/>
        <v>9</v>
      </c>
      <c r="AI113" s="221">
        <f t="shared" si="43"/>
        <v>3.5251773464123191</v>
      </c>
      <c r="AJ113" s="261" t="b">
        <f t="shared" si="44"/>
        <v>0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47218</v>
      </c>
      <c r="B114" s="406">
        <f>'2028'!Wh/'2028'!Env_an*'2029'!Env_an</f>
        <v>216.22590746780807</v>
      </c>
      <c r="C114" s="831"/>
      <c r="D114" s="388">
        <f t="shared" si="25"/>
        <v>224.65626086526925</v>
      </c>
      <c r="E114" s="380">
        <f t="shared" si="47"/>
        <v>231.79027622670486</v>
      </c>
      <c r="F114" s="380">
        <f t="shared" si="26"/>
        <v>231.79044704559419</v>
      </c>
      <c r="G114" s="110">
        <f t="shared" si="48"/>
        <v>1.0212962014267877</v>
      </c>
      <c r="H114" s="409" t="b">
        <f>Wh_hp&gt;='2028'!Maxi_hp</f>
        <v>1</v>
      </c>
      <c r="I114" s="385">
        <f>IF(H114,Wh_hp,'2028'!Maxi_hp)</f>
        <v>231.79044704559419</v>
      </c>
      <c r="J114" s="85">
        <f>IF(H114,An,'2028'!An_max)</f>
        <v>2029</v>
      </c>
      <c r="K114" s="193">
        <f t="shared" si="27"/>
        <v>47218</v>
      </c>
      <c r="L114" s="143">
        <f>IF(t&lt;Tvie,1-EXP((T0-t)*PertePVj)+'2028'!Pspv,1-EXP((T0-t)*PertePVj)+Pspv)</f>
        <v>3.7525566236130903E-2</v>
      </c>
      <c r="M114" s="835"/>
      <c r="N114" s="835"/>
      <c r="O114" s="48">
        <f>IF(t&lt;Tnet,'2028'!Resal+('2028'!Salim-'2028'!Resal)*(1-EXP(('2028'!Tnet-t)/('2028'!Tau_j))),Resal+(Salim-Resal)*(1-EXP((Tnet-t)/(Tau_j))))*Salcycl</f>
        <v>3.0777888863888908E-2</v>
      </c>
      <c r="P114" s="165">
        <f>(INDEX(Models!$BJ114:$BT114,,T114)*(1-R114)+INDEX(Models!$BJ114:$BT114,,T114+1)*R114-ERP_i)*Q114*Ramure*Pc/MaxiM</f>
        <v>7.3695396640586947E-7</v>
      </c>
      <c r="Q114" s="301">
        <f t="shared" si="28"/>
        <v>0.5</v>
      </c>
      <c r="R114" s="173">
        <f t="shared" si="29"/>
        <v>1.5995861446833036E-3</v>
      </c>
      <c r="S114" s="801">
        <f t="shared" si="30"/>
        <v>0</v>
      </c>
      <c r="T114" s="172">
        <f t="shared" si="31"/>
        <v>6</v>
      </c>
      <c r="U114" s="247">
        <f t="shared" si="32"/>
        <v>1.5995861446833036E-3</v>
      </c>
      <c r="V114" s="378">
        <f t="shared" si="33"/>
        <v>211.71713667957707</v>
      </c>
      <c r="W114" s="397">
        <f t="shared" si="34"/>
        <v>216.22590746780807</v>
      </c>
      <c r="X114" s="153">
        <f t="shared" si="35"/>
        <v>47218</v>
      </c>
      <c r="Y114" s="380">
        <f t="shared" si="36"/>
        <v>210.07925410410934</v>
      </c>
      <c r="Z114" s="380">
        <f t="shared" si="37"/>
        <v>218.26995786534275</v>
      </c>
      <c r="AA114" s="381">
        <f t="shared" si="38"/>
        <v>231.72533957444327</v>
      </c>
      <c r="AB114" s="193">
        <f t="shared" si="39"/>
        <v>47218</v>
      </c>
      <c r="AC114" s="119">
        <f>IF(OR(t&lt;Tnet,NoTnet),'2028'!Resal_s+('2028'!Salim-'2028'!Resal_s)*(1-EXP(('2028'!Tnet_s-t)/'2028'!Tau_j)),Resal_s+(Salim-Resal_s)*(1-EXP((Tnet_s-t)/Tau_j)))*Salcycl</f>
        <v>5.806607828824812E-2</v>
      </c>
      <c r="AD114" s="227">
        <f>(INDEX(Models!$BJ114:$BT114,,AH114)*(1-AF114)+INDEX(Models!$BJ114:$BT114,,AH114+1)*AF114-ERP_i)*AE114*Ramure*Pc/MaxiM</f>
        <v>2.8088936356428224E-4</v>
      </c>
      <c r="AE114" s="301">
        <f t="shared" si="40"/>
        <v>0.5</v>
      </c>
      <c r="AF114" s="173">
        <f t="shared" si="41"/>
        <v>0.52658715251866139</v>
      </c>
      <c r="AG114" s="801">
        <f t="shared" si="49"/>
        <v>3</v>
      </c>
      <c r="AH114" s="172">
        <f t="shared" si="42"/>
        <v>9</v>
      </c>
      <c r="AI114" s="221">
        <f t="shared" si="43"/>
        <v>3.5265871525186614</v>
      </c>
      <c r="AJ114" s="261" t="b">
        <f t="shared" si="44"/>
        <v>0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47219</v>
      </c>
      <c r="B115" s="406">
        <f>'2028'!Wh/'2028'!Env_an*'2029'!Env_an</f>
        <v>173.90278353428087</v>
      </c>
      <c r="C115" s="831"/>
      <c r="D115" s="388">
        <f t="shared" si="25"/>
        <v>180.68548945228878</v>
      </c>
      <c r="E115" s="380">
        <f t="shared" si="47"/>
        <v>186.43508003848447</v>
      </c>
      <c r="F115" s="380">
        <f t="shared" si="26"/>
        <v>186.43519733585043</v>
      </c>
      <c r="G115" s="110">
        <f t="shared" si="48"/>
        <v>0.81824874323155194</v>
      </c>
      <c r="H115" s="409" t="b">
        <f>Wh_hp&gt;='2028'!Maxi_hp</f>
        <v>1</v>
      </c>
      <c r="I115" s="385">
        <f>IF(H115,Wh_hp,'2028'!Maxi_hp)</f>
        <v>186.43519733585043</v>
      </c>
      <c r="J115" s="85">
        <f>IF(H115,An,'2028'!An_max)</f>
        <v>2029</v>
      </c>
      <c r="K115" s="193">
        <f t="shared" si="27"/>
        <v>47219</v>
      </c>
      <c r="L115" s="143">
        <f>IF(t&lt;Tvie,1-EXP((T0-t)*PertePVj)+'2028'!Pspv,1-EXP((T0-t)*PertePVj)+Pspv)</f>
        <v>3.7538741702879963E-2</v>
      </c>
      <c r="M115" s="835"/>
      <c r="N115" s="835"/>
      <c r="O115" s="48">
        <f>IF(t&lt;Tnet,'2028'!Resal+('2028'!Salim-'2028'!Resal)*(1-EXP(('2028'!Tnet-t)/('2028'!Tau_j))),Resal+(Salim-Resal)*(1-EXP((Tnet-t)/(Tau_j))))*Salcycl</f>
        <v>3.0839639111957074E-2</v>
      </c>
      <c r="P115" s="165">
        <f>(INDEX(Models!$BJ115:$BT115,,T115)*(1-R115)+INDEX(Models!$BJ115:$BT115,,T115+1)*R115-ERP_i)*Q115*Ramure*Pc/MaxiM</f>
        <v>8.4980637379835294E-7</v>
      </c>
      <c r="Q115" s="301">
        <f t="shared" si="28"/>
        <v>0.5</v>
      </c>
      <c r="R115" s="173">
        <f t="shared" si="29"/>
        <v>3.0594616105804086E-3</v>
      </c>
      <c r="S115" s="801">
        <f t="shared" si="30"/>
        <v>0</v>
      </c>
      <c r="T115" s="172">
        <f t="shared" si="31"/>
        <v>6</v>
      </c>
      <c r="U115" s="247">
        <f t="shared" si="32"/>
        <v>3.0594616105804086E-3</v>
      </c>
      <c r="V115" s="378">
        <f t="shared" si="33"/>
        <v>212.53041523320391</v>
      </c>
      <c r="W115" s="397">
        <f t="shared" si="34"/>
        <v>173.90278353428087</v>
      </c>
      <c r="X115" s="153">
        <f t="shared" si="35"/>
        <v>47219</v>
      </c>
      <c r="Y115" s="380">
        <f t="shared" si="36"/>
        <v>168.97480232058919</v>
      </c>
      <c r="Z115" s="380">
        <f t="shared" si="37"/>
        <v>175.56530287728756</v>
      </c>
      <c r="AA115" s="381">
        <f t="shared" si="38"/>
        <v>186.39575167451719</v>
      </c>
      <c r="AB115" s="193">
        <f t="shared" si="39"/>
        <v>47219</v>
      </c>
      <c r="AC115" s="119">
        <f>IF(OR(t&lt;Tnet,NoTnet),'2028'!Resal_s+('2028'!Salim-'2028'!Resal_s)*(1-EXP(('2028'!Tnet_s-t)/'2028'!Tau_j)),Resal_s+(Salim-Resal_s)*(1-EXP((Tnet_s-t)/Tau_j)))*Salcycl</f>
        <v>5.8104590367175704E-2</v>
      </c>
      <c r="AD115" s="227">
        <f>(INDEX(Models!$BJ115:$BT115,,AH115)*(1-AF115)+INDEX(Models!$BJ115:$BT115,,AH115+1)*AF115-ERP_i)*AE115*Ramure*Pc/MaxiM</f>
        <v>2.8577943025575415E-4</v>
      </c>
      <c r="AE115" s="301">
        <f t="shared" si="40"/>
        <v>0.5</v>
      </c>
      <c r="AF115" s="173">
        <f t="shared" si="41"/>
        <v>0.5280470279845586</v>
      </c>
      <c r="AG115" s="801">
        <f t="shared" si="49"/>
        <v>3</v>
      </c>
      <c r="AH115" s="172">
        <f t="shared" si="42"/>
        <v>9</v>
      </c>
      <c r="AI115" s="221">
        <f t="shared" si="43"/>
        <v>3.5280470279845586</v>
      </c>
      <c r="AJ115" s="261" t="b">
        <f t="shared" si="44"/>
        <v>0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47220</v>
      </c>
      <c r="B116" s="406">
        <f>'2028'!Wh/'2028'!Env_an*'2029'!Env_an</f>
        <v>145.60399188609742</v>
      </c>
      <c r="C116" s="831"/>
      <c r="D116" s="388">
        <f t="shared" si="25"/>
        <v>151.28503496065855</v>
      </c>
      <c r="E116" s="380">
        <f t="shared" si="47"/>
        <v>156.10907751941096</v>
      </c>
      <c r="F116" s="380">
        <f t="shared" si="26"/>
        <v>156.10916021817334</v>
      </c>
      <c r="G116" s="110">
        <f t="shared" si="48"/>
        <v>0.68254763189154766</v>
      </c>
      <c r="H116" s="409" t="b">
        <f>Wh_hp&gt;='2028'!Maxi_hp</f>
        <v>1</v>
      </c>
      <c r="I116" s="385">
        <f>IF(H116,Wh_hp,'2028'!Maxi_hp)</f>
        <v>156.10916021817334</v>
      </c>
      <c r="J116" s="85">
        <f>IF(H116,An,'2028'!An_max)</f>
        <v>2029</v>
      </c>
      <c r="K116" s="193">
        <f t="shared" si="27"/>
        <v>47220</v>
      </c>
      <c r="L116" s="143">
        <f>IF(t&lt;Tvie,1-EXP((T0-t)*PertePVj)+'2028'!Pspv,1-EXP((T0-t)*PertePVj)+Pspv)</f>
        <v>3.7551916989267853E-2</v>
      </c>
      <c r="M116" s="835"/>
      <c r="N116" s="835"/>
      <c r="O116" s="48">
        <f>IF(t&lt;Tnet,'2028'!Resal+('2028'!Salim-'2028'!Resal)*(1-EXP(('2028'!Tnet-t)/('2028'!Tau_j))),Resal+(Salim-Resal)*(1-EXP((Tnet-t)/(Tau_j))))*Salcycl</f>
        <v>3.0901742777594624E-2</v>
      </c>
      <c r="P116" s="165">
        <f>(INDEX(Models!$BJ116:$BT116,,T116)*(1-R116)+INDEX(Models!$BJ116:$BT116,,T116+1)*R116-ERP_i)*Q116*Ramure*Pc/MaxiM</f>
        <v>9.6935488725664328E-7</v>
      </c>
      <c r="Q116" s="301">
        <f t="shared" si="28"/>
        <v>0.5</v>
      </c>
      <c r="R116" s="173">
        <f t="shared" si="29"/>
        <v>4.5708224792087339E-3</v>
      </c>
      <c r="S116" s="801">
        <f t="shared" si="30"/>
        <v>0</v>
      </c>
      <c r="T116" s="172">
        <f t="shared" si="31"/>
        <v>6</v>
      </c>
      <c r="U116" s="247">
        <f t="shared" si="32"/>
        <v>4.5708224792087339E-3</v>
      </c>
      <c r="V116" s="378">
        <f t="shared" si="33"/>
        <v>213.32420050196839</v>
      </c>
      <c r="W116" s="397">
        <f t="shared" si="34"/>
        <v>145.60399188609742</v>
      </c>
      <c r="X116" s="153">
        <f t="shared" si="35"/>
        <v>47220</v>
      </c>
      <c r="Y116" s="380">
        <f t="shared" si="36"/>
        <v>141.48853548278322</v>
      </c>
      <c r="Z116" s="380">
        <f t="shared" si="37"/>
        <v>147.00900545219903</v>
      </c>
      <c r="AA116" s="381">
        <f t="shared" si="38"/>
        <v>156.08434465854401</v>
      </c>
      <c r="AB116" s="193">
        <f t="shared" si="39"/>
        <v>47220</v>
      </c>
      <c r="AC116" s="119">
        <f>IF(OR(t&lt;Tnet,NoTnet),'2028'!Resal_s+('2028'!Salim-'2028'!Resal_s)*(1-EXP(('2028'!Tnet_s-t)/'2028'!Tau_j)),Resal_s+(Salim-Resal_s)*(1-EXP((Tnet_s-t)/Tau_j)))*Salcycl</f>
        <v>5.8143814654817154E-2</v>
      </c>
      <c r="AD116" s="227">
        <f>(INDEX(Models!$BJ116:$BT116,,AH116)*(1-AF116)+INDEX(Models!$BJ116:$BT116,,AH116+1)*AF116-ERP_i)*AE116*Ramure*Pc/MaxiM</f>
        <v>2.9087598549482578E-4</v>
      </c>
      <c r="AE116" s="301">
        <f t="shared" si="40"/>
        <v>0.5</v>
      </c>
      <c r="AF116" s="173">
        <f t="shared" si="41"/>
        <v>0.52955838885318673</v>
      </c>
      <c r="AG116" s="801">
        <f t="shared" si="49"/>
        <v>3</v>
      </c>
      <c r="AH116" s="172">
        <f t="shared" si="42"/>
        <v>9</v>
      </c>
      <c r="AI116" s="221">
        <f t="shared" si="43"/>
        <v>3.5295583888531867</v>
      </c>
      <c r="AJ116" s="261" t="b">
        <f t="shared" si="44"/>
        <v>0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47221</v>
      </c>
      <c r="B117" s="406">
        <f>'2028'!Wh/'2028'!Env_an*'2029'!Env_an</f>
        <v>24.155456370096896</v>
      </c>
      <c r="C117" s="831"/>
      <c r="D117" s="388">
        <f t="shared" si="25"/>
        <v>25.098275396811243</v>
      </c>
      <c r="E117" s="380">
        <f t="shared" si="47"/>
        <v>25.900256348874201</v>
      </c>
      <c r="F117" s="380">
        <f t="shared" si="26"/>
        <v>25.900256348874201</v>
      </c>
      <c r="G117" s="110">
        <f t="shared" si="48"/>
        <v>0.11282351635709009</v>
      </c>
      <c r="H117" s="409" t="b">
        <f>Wh_hp&gt;='2028'!Maxi_hp</f>
        <v>1</v>
      </c>
      <c r="I117" s="385">
        <f>IF(H117,Wh_hp,'2028'!Maxi_hp)</f>
        <v>25.900256348874201</v>
      </c>
      <c r="J117" s="85">
        <f>IF(H117,An,'2028'!An_max)</f>
        <v>2029</v>
      </c>
      <c r="K117" s="193">
        <f t="shared" si="27"/>
        <v>47221</v>
      </c>
      <c r="L117" s="143">
        <f>IF(t&lt;Tvie,1-EXP((T0-t)*PertePVj)+'2028'!Pspv,1-EXP((T0-t)*PertePVj)+Pspv)</f>
        <v>3.7565092095297237E-2</v>
      </c>
      <c r="M117" s="835"/>
      <c r="N117" s="835"/>
      <c r="O117" s="48">
        <f>IF(t&lt;Tnet,'2028'!Resal+('2028'!Salim-'2028'!Resal)*(1-EXP(('2028'!Tnet-t)/('2028'!Tau_j))),Resal+(Salim-Resal)*(1-EXP((Tnet-t)/(Tau_j))))*Salcycl</f>
        <v>3.0964209051074412E-2</v>
      </c>
      <c r="P117" s="165">
        <f>(INDEX(Models!$BJ117:$BT117,,T117)*(1-R117)+INDEX(Models!$BJ117:$BT117,,T117+1)*R117-ERP_i)*Q117*Ramure*Pc/MaxiM</f>
        <v>1.0958817139920649E-6</v>
      </c>
      <c r="Q117" s="301">
        <f t="shared" si="28"/>
        <v>0.5</v>
      </c>
      <c r="R117" s="173">
        <f t="shared" si="29"/>
        <v>6.1350964121302844E-3</v>
      </c>
      <c r="S117" s="801">
        <f t="shared" si="30"/>
        <v>0</v>
      </c>
      <c r="T117" s="172">
        <f t="shared" si="31"/>
        <v>6</v>
      </c>
      <c r="U117" s="247">
        <f t="shared" si="32"/>
        <v>6.1350964121302844E-3</v>
      </c>
      <c r="V117" s="378">
        <f t="shared" si="33"/>
        <v>214.09924702330002</v>
      </c>
      <c r="W117" s="397">
        <f t="shared" si="34"/>
        <v>24.155456370096896</v>
      </c>
      <c r="X117" s="153">
        <f t="shared" si="35"/>
        <v>47221</v>
      </c>
      <c r="Y117" s="380">
        <f t="shared" si="36"/>
        <v>23.476946026109097</v>
      </c>
      <c r="Z117" s="380">
        <f t="shared" si="37"/>
        <v>24.393281907469746</v>
      </c>
      <c r="AA117" s="381">
        <f t="shared" si="38"/>
        <v>25.900256348874201</v>
      </c>
      <c r="AB117" s="193">
        <f t="shared" si="39"/>
        <v>47221</v>
      </c>
      <c r="AC117" s="119">
        <f>IF(OR(t&lt;Tnet,NoTnet),'2028'!Resal_s+('2028'!Salim-'2028'!Resal_s)*(1-EXP(('2028'!Tnet_s-t)/'2028'!Tau_j)),Resal_s+(Salim-Resal_s)*(1-EXP((Tnet_s-t)/Tau_j)))*Salcycl</f>
        <v>5.8183765485006776E-2</v>
      </c>
      <c r="AD117" s="227">
        <f>(INDEX(Models!$BJ117:$BT117,,AH117)*(1-AF117)+INDEX(Models!$BJ117:$BT117,,AH117+1)*AF117-ERP_i)*AE117*Ramure*Pc/MaxiM</f>
        <v>2.961824079696466E-4</v>
      </c>
      <c r="AE117" s="301">
        <f t="shared" si="40"/>
        <v>0.5</v>
      </c>
      <c r="AF117" s="173">
        <f t="shared" si="41"/>
        <v>0.53112266278610853</v>
      </c>
      <c r="AG117" s="801">
        <f t="shared" si="49"/>
        <v>3</v>
      </c>
      <c r="AH117" s="172">
        <f t="shared" si="42"/>
        <v>9</v>
      </c>
      <c r="AI117" s="221">
        <f t="shared" si="43"/>
        <v>3.5311226627861085</v>
      </c>
      <c r="AJ117" s="261" t="b">
        <f t="shared" si="44"/>
        <v>0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47222</v>
      </c>
      <c r="B118" s="406">
        <f>'2028'!Wh/'2028'!Env_an*'2029'!Env_an</f>
        <v>173.41208984968304</v>
      </c>
      <c r="C118" s="831"/>
      <c r="D118" s="388">
        <f t="shared" si="25"/>
        <v>180.18305687353131</v>
      </c>
      <c r="E118" s="380">
        <f t="shared" si="47"/>
        <v>185.95261741922562</v>
      </c>
      <c r="F118" s="380">
        <f t="shared" si="26"/>
        <v>185.95278307096302</v>
      </c>
      <c r="G118" s="110">
        <f t="shared" si="48"/>
        <v>0.80710699981638812</v>
      </c>
      <c r="H118" s="409" t="b">
        <f>Wh_hp&gt;='2028'!Maxi_hp</f>
        <v>1</v>
      </c>
      <c r="I118" s="385">
        <f>IF(H118,Wh_hp,'2028'!Maxi_hp)</f>
        <v>185.95278307096302</v>
      </c>
      <c r="J118" s="85">
        <f>IF(H118,An,'2028'!An_max)</f>
        <v>2029</v>
      </c>
      <c r="K118" s="193">
        <f t="shared" si="27"/>
        <v>47222</v>
      </c>
      <c r="L118" s="143">
        <f>IF(t&lt;Tvie,1-EXP((T0-t)*PertePVj)+'2028'!Pspv,1-EXP((T0-t)*PertePVj)+Pspv)</f>
        <v>3.7578267020970446E-2</v>
      </c>
      <c r="M118" s="835"/>
      <c r="N118" s="835"/>
      <c r="O118" s="48">
        <f>IF(t&lt;Tnet,'2028'!Resal+('2028'!Salim-'2028'!Resal)*(1-EXP(('2028'!Tnet-t)/('2028'!Tau_j))),Resal+(Salim-Resal)*(1-EXP((Tnet-t)/(Tau_j))))*Salcycl</f>
        <v>3.1027046705596837E-2</v>
      </c>
      <c r="P118" s="165">
        <f>(INDEX(Models!$BJ118:$BT118,,T118)*(1-R118)+INDEX(Models!$BJ118:$BT118,,T118+1)*R118-ERP_i)*Q118*Ramure*Pc/MaxiM</f>
        <v>1.2296783109560454E-6</v>
      </c>
      <c r="Q118" s="301">
        <f t="shared" si="28"/>
        <v>0.5</v>
      </c>
      <c r="R118" s="173">
        <f t="shared" si="29"/>
        <v>7.7537202916938587E-3</v>
      </c>
      <c r="S118" s="801">
        <f t="shared" si="30"/>
        <v>0</v>
      </c>
      <c r="T118" s="172">
        <f t="shared" si="31"/>
        <v>6</v>
      </c>
      <c r="U118" s="247">
        <f t="shared" si="32"/>
        <v>7.7537202916938587E-3</v>
      </c>
      <c r="V118" s="378">
        <f t="shared" si="33"/>
        <v>214.85630917356175</v>
      </c>
      <c r="W118" s="397">
        <f t="shared" si="34"/>
        <v>173.41208984968304</v>
      </c>
      <c r="X118" s="153">
        <f t="shared" si="35"/>
        <v>47222</v>
      </c>
      <c r="Y118" s="380">
        <f t="shared" si="36"/>
        <v>168.50802193741276</v>
      </c>
      <c r="Z118" s="380">
        <f t="shared" si="37"/>
        <v>175.08750702856835</v>
      </c>
      <c r="AA118" s="381">
        <f t="shared" si="38"/>
        <v>185.91214032686108</v>
      </c>
      <c r="AB118" s="193">
        <f t="shared" si="39"/>
        <v>47222</v>
      </c>
      <c r="AC118" s="119">
        <f>IF(OR(t&lt;Tnet,NoTnet),'2028'!Resal_s+('2028'!Salim-'2028'!Resal_s)*(1-EXP(('2028'!Tnet_s-t)/'2028'!Tau_j)),Resal_s+(Salim-Resal_s)*(1-EXP((Tnet_s-t)/Tau_j)))*Salcycl</f>
        <v>5.8224456344063522E-2</v>
      </c>
      <c r="AD118" s="227">
        <f>(INDEX(Models!$BJ118:$BT118,,AH118)*(1-AF118)+INDEX(Models!$BJ118:$BT118,,AH118+1)*AF118-ERP_i)*AE118*Ramure*Pc/MaxiM</f>
        <v>3.0170224416598853E-4</v>
      </c>
      <c r="AE118" s="301">
        <f t="shared" si="40"/>
        <v>0.5</v>
      </c>
      <c r="AF118" s="173">
        <f t="shared" si="41"/>
        <v>0.53274128666567222</v>
      </c>
      <c r="AG118" s="801">
        <f t="shared" si="49"/>
        <v>3</v>
      </c>
      <c r="AH118" s="172">
        <f t="shared" si="42"/>
        <v>9</v>
      </c>
      <c r="AI118" s="221">
        <f t="shared" si="43"/>
        <v>3.5327412866656722</v>
      </c>
      <c r="AJ118" s="261" t="b">
        <f t="shared" si="44"/>
        <v>0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47223</v>
      </c>
      <c r="B119" s="406">
        <f>'2028'!Wh/'2028'!Env_an*'2029'!Env_an</f>
        <v>183.08670639658234</v>
      </c>
      <c r="C119" s="831"/>
      <c r="D119" s="388">
        <f t="shared" si="25"/>
        <v>190.23802815365426</v>
      </c>
      <c r="E119" s="380">
        <f t="shared" si="47"/>
        <v>196.34236410232575</v>
      </c>
      <c r="F119" s="380">
        <f t="shared" si="26"/>
        <v>196.34257530906228</v>
      </c>
      <c r="G119" s="110">
        <f t="shared" si="48"/>
        <v>0.84921117456735395</v>
      </c>
      <c r="H119" s="409" t="b">
        <f>Wh_hp&gt;='2028'!Maxi_hp</f>
        <v>1</v>
      </c>
      <c r="I119" s="385">
        <f>IF(H119,Wh_hp,'2028'!Maxi_hp)</f>
        <v>196.34257530906228</v>
      </c>
      <c r="J119" s="85">
        <f>IF(H119,An,'2028'!An_max)</f>
        <v>2029</v>
      </c>
      <c r="K119" s="193">
        <f t="shared" si="27"/>
        <v>47223</v>
      </c>
      <c r="L119" s="143">
        <f>IF(t&lt;Tvie,1-EXP((T0-t)*PertePVj)+'2028'!Pspv,1-EXP((T0-t)*PertePVj)+Pspv)</f>
        <v>3.7591441766289924E-2</v>
      </c>
      <c r="M119" s="835"/>
      <c r="N119" s="835"/>
      <c r="O119" s="48">
        <f>IF(t&lt;Tnet,'2028'!Resal+('2028'!Salim-'2028'!Resal)*(1-EXP(('2028'!Tnet-t)/('2028'!Tau_j))),Resal+(Salim-Resal)*(1-EXP((Tnet-t)/(Tau_j))))*Salcycl</f>
        <v>3.1090264073066604E-2</v>
      </c>
      <c r="P119" s="165">
        <f>(INDEX(Models!$BJ119:$BT119,,T119)*(1-R119)+INDEX(Models!$BJ119:$BT119,,T119+1)*R119-ERP_i)*Q119*Ramure*Pc/MaxiM</f>
        <v>1.3710451591054295E-6</v>
      </c>
      <c r="Q119" s="301">
        <f t="shared" si="28"/>
        <v>0.5</v>
      </c>
      <c r="R119" s="173">
        <f t="shared" si="29"/>
        <v>9.4281376012253608E-3</v>
      </c>
      <c r="S119" s="801">
        <f t="shared" si="30"/>
        <v>0</v>
      </c>
      <c r="T119" s="172">
        <f t="shared" si="31"/>
        <v>6</v>
      </c>
      <c r="U119" s="247">
        <f t="shared" si="32"/>
        <v>9.4281376012253608E-3</v>
      </c>
      <c r="V119" s="378">
        <f t="shared" si="33"/>
        <v>215.59614122716582</v>
      </c>
      <c r="W119" s="397">
        <f t="shared" si="34"/>
        <v>183.08670639658234</v>
      </c>
      <c r="X119" s="153">
        <f t="shared" si="35"/>
        <v>47223</v>
      </c>
      <c r="Y119" s="380">
        <f t="shared" si="36"/>
        <v>177.90882269920823</v>
      </c>
      <c r="Z119" s="380">
        <f t="shared" si="37"/>
        <v>184.85789759156015</v>
      </c>
      <c r="AA119" s="381">
        <f t="shared" si="38"/>
        <v>196.29521492154612</v>
      </c>
      <c r="AB119" s="193">
        <f t="shared" si="39"/>
        <v>47223</v>
      </c>
      <c r="AC119" s="119">
        <f>IF(OR(t&lt;Tnet,NoTnet),'2028'!Resal_s+('2028'!Salim-'2028'!Resal_s)*(1-EXP(('2028'!Tnet_s-t)/'2028'!Tau_j)),Resal_s+(Salim-Resal_s)*(1-EXP((Tnet_s-t)/Tau_j)))*Salcycl</f>
        <v>5.8265899831318711E-2</v>
      </c>
      <c r="AD119" s="227">
        <f>(INDEX(Models!$BJ119:$BT119,,AH119)*(1-AF119)+INDEX(Models!$BJ119:$BT119,,AH119+1)*AF119-ERP_i)*AE119*Ramure*Pc/MaxiM</f>
        <v>3.0743919959983564E-4</v>
      </c>
      <c r="AE119" s="301">
        <f t="shared" si="40"/>
        <v>0.5</v>
      </c>
      <c r="AF119" s="173">
        <f t="shared" si="41"/>
        <v>0.53441570397520355</v>
      </c>
      <c r="AG119" s="801">
        <f t="shared" si="49"/>
        <v>3</v>
      </c>
      <c r="AH119" s="172">
        <f t="shared" si="42"/>
        <v>9</v>
      </c>
      <c r="AI119" s="221">
        <f t="shared" si="43"/>
        <v>3.5344157039752035</v>
      </c>
      <c r="AJ119" s="261" t="b">
        <f t="shared" si="44"/>
        <v>0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47224</v>
      </c>
      <c r="B120" s="406">
        <f>'2028'!Wh/'2028'!Env_an*'2029'!Env_an</f>
        <v>184.19036479838036</v>
      </c>
      <c r="C120" s="831"/>
      <c r="D120" s="388">
        <f t="shared" si="25"/>
        <v>191.38741511438818</v>
      </c>
      <c r="E120" s="380">
        <f t="shared" si="47"/>
        <v>197.5416002545341</v>
      </c>
      <c r="F120" s="380">
        <f t="shared" si="26"/>
        <v>197.54183685343298</v>
      </c>
      <c r="G120" s="110">
        <f t="shared" si="48"/>
        <v>0.85147343471307324</v>
      </c>
      <c r="H120" s="409" t="b">
        <f>Wh_hp&gt;='2028'!Maxi_hp</f>
        <v>1</v>
      </c>
      <c r="I120" s="385">
        <f>IF(H120,Wh_hp,'2028'!Maxi_hp)</f>
        <v>197.54183685343298</v>
      </c>
      <c r="J120" s="85">
        <f>IF(H120,An,'2028'!An_max)</f>
        <v>2029</v>
      </c>
      <c r="K120" s="193">
        <f t="shared" si="27"/>
        <v>47224</v>
      </c>
      <c r="L120" s="143">
        <f>IF(t&lt;Tvie,1-EXP((T0-t)*PertePVj)+'2028'!Pspv,1-EXP((T0-t)*PertePVj)+Pspv)</f>
        <v>3.7604616331258223E-2</v>
      </c>
      <c r="M120" s="835"/>
      <c r="N120" s="835"/>
      <c r="O120" s="48">
        <f>IF(t&lt;Tnet,'2028'!Resal+('2028'!Salim-'2028'!Resal)*(1-EXP(('2028'!Tnet-t)/('2028'!Tau_j))),Resal+(Salim-Resal)*(1-EXP((Tnet-t)/(Tau_j))))*Salcycl</f>
        <v>3.1153869019063363E-2</v>
      </c>
      <c r="P120" s="165">
        <f>(INDEX(Models!$BJ120:$BT120,,T120)*(1-R120)+INDEX(Models!$BJ120:$BT120,,T120+1)*R120-ERP_i)*Q120*Ramure*Pc/MaxiM</f>
        <v>1.5202914686934839E-6</v>
      </c>
      <c r="Q120" s="301">
        <f t="shared" si="28"/>
        <v>0.5</v>
      </c>
      <c r="R120" s="173">
        <f t="shared" si="29"/>
        <v>1.1159795574867754E-2</v>
      </c>
      <c r="S120" s="801">
        <f t="shared" si="30"/>
        <v>0</v>
      </c>
      <c r="T120" s="172">
        <f t="shared" si="31"/>
        <v>6</v>
      </c>
      <c r="U120" s="247">
        <f t="shared" si="32"/>
        <v>1.1159795574867754E-2</v>
      </c>
      <c r="V120" s="378">
        <f t="shared" si="33"/>
        <v>216.31949732521261</v>
      </c>
      <c r="W120" s="397">
        <f t="shared" si="34"/>
        <v>184.19036479838036</v>
      </c>
      <c r="X120" s="153">
        <f t="shared" si="35"/>
        <v>47224</v>
      </c>
      <c r="Y120" s="380">
        <f t="shared" si="36"/>
        <v>178.9839999546127</v>
      </c>
      <c r="Z120" s="380">
        <f t="shared" si="37"/>
        <v>185.97761688372699</v>
      </c>
      <c r="AA120" s="381">
        <f t="shared" si="38"/>
        <v>197.493063695579</v>
      </c>
      <c r="AB120" s="193">
        <f t="shared" si="39"/>
        <v>47224</v>
      </c>
      <c r="AC120" s="119">
        <f>IF(OR(t&lt;Tnet,NoTnet),'2028'!Resal_s+('2028'!Salim-'2028'!Resal_s)*(1-EXP(('2028'!Tnet_s-t)/'2028'!Tau_j)),Resal_s+(Salim-Resal_s)*(1-EXP((Tnet_s-t)/Tau_j)))*Salcycl</f>
        <v>5.8308107618413436E-2</v>
      </c>
      <c r="AD120" s="227">
        <f>(INDEX(Models!$BJ120:$BT120,,AH120)*(1-AF120)+INDEX(Models!$BJ120:$BT120,,AH120+1)*AF120-ERP_i)*AE120*Ramure*Pc/MaxiM</f>
        <v>3.1339712962675647E-4</v>
      </c>
      <c r="AE120" s="301">
        <f t="shared" si="40"/>
        <v>0.5</v>
      </c>
      <c r="AF120" s="173">
        <f t="shared" si="41"/>
        <v>0.53614736194884571</v>
      </c>
      <c r="AG120" s="801">
        <f t="shared" si="49"/>
        <v>3</v>
      </c>
      <c r="AH120" s="172">
        <f t="shared" si="42"/>
        <v>9</v>
      </c>
      <c r="AI120" s="221">
        <f t="shared" si="43"/>
        <v>3.5361473619488457</v>
      </c>
      <c r="AJ120" s="261" t="b">
        <f t="shared" si="44"/>
        <v>0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47225</v>
      </c>
      <c r="B121" s="406">
        <f>'2028'!Wh/'2028'!Env_an*'2029'!Env_an</f>
        <v>220.95614663920267</v>
      </c>
      <c r="C121" s="831"/>
      <c r="D121" s="388">
        <f t="shared" si="25"/>
        <v>229.59292525114651</v>
      </c>
      <c r="E121" s="380">
        <f t="shared" si="47"/>
        <v>236.9912882212858</v>
      </c>
      <c r="F121" s="380">
        <f t="shared" si="26"/>
        <v>236.99168583798047</v>
      </c>
      <c r="G121" s="110">
        <f t="shared" si="48"/>
        <v>1.0181229862172456</v>
      </c>
      <c r="H121" s="409" t="b">
        <f>Wh_hp&gt;='2028'!Maxi_hp</f>
        <v>1</v>
      </c>
      <c r="I121" s="385">
        <f>IF(H121,Wh_hp,'2028'!Maxi_hp)</f>
        <v>236.99168583798047</v>
      </c>
      <c r="J121" s="85">
        <f>IF(H121,An,'2028'!An_max)</f>
        <v>2029</v>
      </c>
      <c r="K121" s="193">
        <f t="shared" si="27"/>
        <v>47225</v>
      </c>
      <c r="L121" s="143">
        <f>IF(t&lt;Tvie,1-EXP((T0-t)*PertePVj)+'2028'!Pspv,1-EXP((T0-t)*PertePVj)+Pspv)</f>
        <v>3.7617790715877897E-2</v>
      </c>
      <c r="M121" s="835"/>
      <c r="N121" s="835"/>
      <c r="O121" s="48">
        <f>IF(t&lt;Tnet,'2028'!Resal+('2028'!Salim-'2028'!Resal)*(1-EXP(('2028'!Tnet-t)/('2028'!Tau_j))),Resal+(Salim-Resal)*(1-EXP((Tnet-t)/(Tau_j))))*Salcycl</f>
        <v>3.1217868916899733E-2</v>
      </c>
      <c r="P121" s="165">
        <f>(INDEX(Models!$BJ121:$BT121,,T121)*(1-R121)+INDEX(Models!$BJ121:$BT121,,T121+1)*R121-ERP_i)*Q121*Ramure*Pc/MaxiM</f>
        <v>1.6777664299439428E-6</v>
      </c>
      <c r="Q121" s="301">
        <f t="shared" si="28"/>
        <v>0.5</v>
      </c>
      <c r="R121" s="173">
        <f t="shared" si="29"/>
        <v>1.2950142109544541E-2</v>
      </c>
      <c r="S121" s="801">
        <f t="shared" si="30"/>
        <v>0</v>
      </c>
      <c r="T121" s="172">
        <f t="shared" si="31"/>
        <v>6</v>
      </c>
      <c r="U121" s="247">
        <f t="shared" si="32"/>
        <v>1.2950142109544541E-2</v>
      </c>
      <c r="V121" s="378">
        <f t="shared" si="33"/>
        <v>217.02304105729655</v>
      </c>
      <c r="W121" s="397">
        <f t="shared" si="34"/>
        <v>220.95614663920267</v>
      </c>
      <c r="X121" s="153">
        <f t="shared" si="35"/>
        <v>47225</v>
      </c>
      <c r="Y121" s="380">
        <f t="shared" si="36"/>
        <v>214.69942805290961</v>
      </c>
      <c r="Z121" s="380">
        <f t="shared" si="37"/>
        <v>223.09164278152647</v>
      </c>
      <c r="AA121" s="381">
        <f t="shared" si="38"/>
        <v>236.91594660051476</v>
      </c>
      <c r="AB121" s="193">
        <f t="shared" si="39"/>
        <v>47225</v>
      </c>
      <c r="AC121" s="119">
        <f>IF(OR(t&lt;Tnet,NoTnet),'2028'!Resal_s+('2028'!Salim-'2028'!Resal_s)*(1-EXP(('2028'!Tnet_s-t)/'2028'!Tau_j)),Resal_s+(Salim-Resal_s)*(1-EXP((Tnet_s-t)/Tau_j)))*Salcycl</f>
        <v>5.8351090407175878E-2</v>
      </c>
      <c r="AD121" s="227">
        <f>(INDEX(Models!$BJ121:$BT121,,AH121)*(1-AF121)+INDEX(Models!$BJ121:$BT121,,AH121+1)*AF121-ERP_i)*AE121*Ramure*Pc/MaxiM</f>
        <v>3.1958605297865647E-4</v>
      </c>
      <c r="AE121" s="301">
        <f t="shared" si="40"/>
        <v>0.5</v>
      </c>
      <c r="AF121" s="173">
        <f t="shared" si="41"/>
        <v>0.53793770848352285</v>
      </c>
      <c r="AG121" s="801">
        <f t="shared" si="49"/>
        <v>3</v>
      </c>
      <c r="AH121" s="172">
        <f t="shared" si="42"/>
        <v>9</v>
      </c>
      <c r="AI121" s="221">
        <f t="shared" si="43"/>
        <v>3.5379377084835228</v>
      </c>
      <c r="AJ121" s="261" t="b">
        <f t="shared" si="44"/>
        <v>0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47226</v>
      </c>
      <c r="B122" s="406">
        <f>'2028'!Wh/'2028'!Env_an*'2029'!Env_an</f>
        <v>163.06839267255356</v>
      </c>
      <c r="C122" s="831"/>
      <c r="D122" s="388">
        <f t="shared" si="25"/>
        <v>169.44476258946091</v>
      </c>
      <c r="E122" s="380">
        <f t="shared" si="47"/>
        <v>174.91654942459687</v>
      </c>
      <c r="F122" s="380">
        <f t="shared" si="26"/>
        <v>174.91675612554513</v>
      </c>
      <c r="G122" s="110">
        <f t="shared" si="48"/>
        <v>0.74903802029630662</v>
      </c>
      <c r="H122" s="409" t="b">
        <f>Wh_hp&gt;='2028'!Maxi_hp</f>
        <v>1</v>
      </c>
      <c r="I122" s="385">
        <f>IF(H122,Wh_hp,'2028'!Maxi_hp)</f>
        <v>174.91675612554513</v>
      </c>
      <c r="J122" s="85">
        <f>IF(H122,An,'2028'!An_max)</f>
        <v>2029</v>
      </c>
      <c r="K122" s="193">
        <f t="shared" si="27"/>
        <v>47226</v>
      </c>
      <c r="L122" s="143">
        <f>IF(t&lt;Tvie,1-EXP((T0-t)*PertePVj)+'2028'!Pspv,1-EXP((T0-t)*PertePVj)+Pspv)</f>
        <v>3.7630964920151166E-2</v>
      </c>
      <c r="M122" s="835"/>
      <c r="N122" s="835"/>
      <c r="O122" s="48">
        <f>IF(t&lt;Tnet,'2028'!Resal+('2028'!Salim-'2028'!Resal)*(1-EXP(('2028'!Tnet-t)/('2028'!Tau_j))),Resal+(Salim-Resal)*(1-EXP((Tnet-t)/(Tau_j))))*Salcycl</f>
        <v>3.1282270620681014E-2</v>
      </c>
      <c r="P122" s="165">
        <f>(INDEX(Models!$BJ122:$BT122,,T122)*(1-R122)+INDEX(Models!$BJ122:$BT122,,T122+1)*R122-ERP_i)*Q122*Ramure*Pc/MaxiM</f>
        <v>1.8421521675622564E-6</v>
      </c>
      <c r="Q122" s="301">
        <f t="shared" si="28"/>
        <v>0.5</v>
      </c>
      <c r="R122" s="173">
        <f t="shared" si="29"/>
        <v>1.4800622432267454E-2</v>
      </c>
      <c r="S122" s="801">
        <f t="shared" si="30"/>
        <v>0</v>
      </c>
      <c r="T122" s="172">
        <f t="shared" si="31"/>
        <v>6</v>
      </c>
      <c r="U122" s="247">
        <f t="shared" si="32"/>
        <v>1.4800622432267454E-2</v>
      </c>
      <c r="V122" s="378">
        <f t="shared" si="33"/>
        <v>217.70361524604624</v>
      </c>
      <c r="W122" s="397">
        <f t="shared" si="34"/>
        <v>163.06839267255356</v>
      </c>
      <c r="X122" s="153">
        <f t="shared" si="35"/>
        <v>47226</v>
      </c>
      <c r="Y122" s="380">
        <f t="shared" si="36"/>
        <v>158.47149612507587</v>
      </c>
      <c r="Z122" s="380">
        <f t="shared" si="37"/>
        <v>164.66811623040979</v>
      </c>
      <c r="AA122" s="381">
        <f t="shared" si="38"/>
        <v>174.88022193751056</v>
      </c>
      <c r="AB122" s="193">
        <f t="shared" si="39"/>
        <v>47226</v>
      </c>
      <c r="AC122" s="119">
        <f>IF(OR(t&lt;Tnet,NoTnet),'2028'!Resal_s+('2028'!Salim-'2028'!Resal_s)*(1-EXP(('2028'!Tnet_s-t)/'2028'!Tau_j)),Resal_s+(Salim-Resal_s)*(1-EXP((Tnet_s-t)/Tau_j)))*Salcycl</f>
        <v>5.8394857885929692E-2</v>
      </c>
      <c r="AD122" s="227">
        <f>(INDEX(Models!$BJ122:$BT122,,AH122)*(1-AF122)+INDEX(Models!$BJ122:$BT122,,AH122+1)*AF122-ERP_i)*AE122*Ramure*Pc/MaxiM</f>
        <v>3.2559857242569151E-4</v>
      </c>
      <c r="AE122" s="301">
        <f t="shared" si="40"/>
        <v>0.5</v>
      </c>
      <c r="AF122" s="173">
        <f t="shared" si="41"/>
        <v>0.53978818880624546</v>
      </c>
      <c r="AG122" s="801">
        <f t="shared" si="49"/>
        <v>3</v>
      </c>
      <c r="AH122" s="172">
        <f t="shared" si="42"/>
        <v>9</v>
      </c>
      <c r="AI122" s="221">
        <f t="shared" si="43"/>
        <v>3.5397881888062455</v>
      </c>
      <c r="AJ122" s="261" t="b">
        <f t="shared" si="44"/>
        <v>0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47227</v>
      </c>
      <c r="B123" s="406">
        <f>'2028'!Wh/'2028'!Env_an*'2029'!Env_an</f>
        <v>36.831472063324163</v>
      </c>
      <c r="C123" s="831"/>
      <c r="D123" s="388">
        <f t="shared" si="25"/>
        <v>38.272195924397252</v>
      </c>
      <c r="E123" s="380">
        <f t="shared" si="47"/>
        <v>39.510742342753161</v>
      </c>
      <c r="F123" s="380">
        <f t="shared" si="26"/>
        <v>39.510742342753161</v>
      </c>
      <c r="G123" s="110">
        <f t="shared" si="48"/>
        <v>0.16867109225214702</v>
      </c>
      <c r="H123" s="409" t="b">
        <f>Wh_hp&gt;='2028'!Maxi_hp</f>
        <v>1</v>
      </c>
      <c r="I123" s="385">
        <f>IF(H123,Wh_hp,'2028'!Maxi_hp)</f>
        <v>39.510742342753161</v>
      </c>
      <c r="J123" s="85">
        <f>IF(H123,An,'2028'!An_max)</f>
        <v>2029</v>
      </c>
      <c r="K123" s="193">
        <f t="shared" si="27"/>
        <v>47227</v>
      </c>
      <c r="L123" s="143">
        <f>IF(t&lt;Tvie,1-EXP((T0-t)*PertePVj)+'2028'!Pspv,1-EXP((T0-t)*PertePVj)+Pspv)</f>
        <v>3.7644138944080696E-2</v>
      </c>
      <c r="M123" s="835"/>
      <c r="N123" s="835"/>
      <c r="O123" s="48">
        <f>IF(t&lt;Tnet,'2028'!Resal+('2028'!Salim-'2028'!Resal)*(1-EXP(('2028'!Tnet-t)/('2028'!Tau_j))),Resal+(Salim-Resal)*(1-EXP((Tnet-t)/(Tau_j))))*Salcycl</f>
        <v>3.1347080437304879E-2</v>
      </c>
      <c r="P123" s="165">
        <f>(INDEX(Models!$BJ123:$BT123,,T123)*(1-R123)+INDEX(Models!$BJ123:$BT123,,T123+1)*R123-ERP_i)*Q123*Ramure*Pc/MaxiM</f>
        <v>2.0121993230662123E-6</v>
      </c>
      <c r="Q123" s="301">
        <f t="shared" si="28"/>
        <v>0.5</v>
      </c>
      <c r="R123" s="173">
        <f t="shared" si="29"/>
        <v>1.6712675516904311E-2</v>
      </c>
      <c r="S123" s="801">
        <f t="shared" si="30"/>
        <v>0</v>
      </c>
      <c r="T123" s="172">
        <f t="shared" si="31"/>
        <v>6</v>
      </c>
      <c r="U123" s="247">
        <f t="shared" si="32"/>
        <v>1.6712675516904311E-2</v>
      </c>
      <c r="V123" s="378">
        <f t="shared" si="33"/>
        <v>218.36224251160726</v>
      </c>
      <c r="W123" s="397">
        <f t="shared" si="34"/>
        <v>36.831472063324163</v>
      </c>
      <c r="X123" s="153">
        <f t="shared" si="35"/>
        <v>47227</v>
      </c>
      <c r="Y123" s="380">
        <f t="shared" si="36"/>
        <v>35.801329399098691</v>
      </c>
      <c r="Z123" s="380">
        <f t="shared" si="37"/>
        <v>37.201757528464199</v>
      </c>
      <c r="AA123" s="381">
        <f t="shared" si="38"/>
        <v>39.510742342753161</v>
      </c>
      <c r="AB123" s="193">
        <f t="shared" si="39"/>
        <v>47227</v>
      </c>
      <c r="AC123" s="119">
        <f>IF(OR(t&lt;Tnet,NoTnet),'2028'!Resal_s+('2028'!Salim-'2028'!Resal_s)*(1-EXP(('2028'!Tnet_s-t)/'2028'!Tau_j)),Resal_s+(Salim-Resal_s)*(1-EXP((Tnet_s-t)/Tau_j)))*Salcycl</f>
        <v>5.8439418684130606E-2</v>
      </c>
      <c r="AD123" s="227">
        <f>(INDEX(Models!$BJ123:$BT123,,AH123)*(1-AF123)+INDEX(Models!$BJ123:$BT123,,AH123+1)*AF123-ERP_i)*AE123*Ramure*Pc/MaxiM</f>
        <v>3.3118832811777471E-4</v>
      </c>
      <c r="AE123" s="301">
        <f t="shared" si="40"/>
        <v>0.5</v>
      </c>
      <c r="AF123" s="173">
        <f t="shared" si="41"/>
        <v>0.54170024189088251</v>
      </c>
      <c r="AG123" s="801">
        <f t="shared" si="49"/>
        <v>3</v>
      </c>
      <c r="AH123" s="172">
        <f t="shared" si="42"/>
        <v>9</v>
      </c>
      <c r="AI123" s="221">
        <f t="shared" si="43"/>
        <v>3.5417002418908825</v>
      </c>
      <c r="AJ123" s="261" t="b">
        <f t="shared" si="44"/>
        <v>0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47228</v>
      </c>
      <c r="B124" s="406">
        <f>'2028'!Wh/'2028'!Env_an*'2029'!Env_an</f>
        <v>41.77142169360306</v>
      </c>
      <c r="C124" s="831"/>
      <c r="D124" s="388">
        <f t="shared" si="25"/>
        <v>43.405974034680455</v>
      </c>
      <c r="E124" s="380">
        <f t="shared" si="47"/>
        <v>44.813674815712055</v>
      </c>
      <c r="F124" s="380">
        <f t="shared" si="26"/>
        <v>44.813674815712055</v>
      </c>
      <c r="G124" s="110">
        <f t="shared" si="48"/>
        <v>0.1907367159067912</v>
      </c>
      <c r="H124" s="409" t="b">
        <f>Wh_hp&gt;='2028'!Maxi_hp</f>
        <v>1</v>
      </c>
      <c r="I124" s="385">
        <f>IF(H124,Wh_hp,'2028'!Maxi_hp)</f>
        <v>44.813674815712055</v>
      </c>
      <c r="J124" s="85">
        <f>IF(H124,An,'2028'!An_max)</f>
        <v>2029</v>
      </c>
      <c r="K124" s="193">
        <f t="shared" si="27"/>
        <v>47228</v>
      </c>
      <c r="L124" s="143">
        <f>IF(t&lt;Tvie,1-EXP((T0-t)*PertePVj)+'2028'!Pspv,1-EXP((T0-t)*PertePVj)+Pspv)</f>
        <v>3.7657312787668928E-2</v>
      </c>
      <c r="M124" s="835"/>
      <c r="N124" s="835"/>
      <c r="O124" s="48">
        <f>IF(t&lt;Tnet,'2028'!Resal+('2028'!Salim-'2028'!Resal)*(1-EXP(('2028'!Tnet-t)/('2028'!Tau_j))),Resal+(Salim-Resal)*(1-EXP((Tnet-t)/(Tau_j))))*Salcycl</f>
        <v>3.1412304097365576E-2</v>
      </c>
      <c r="P124" s="165">
        <f>(INDEX(Models!$BJ124:$BT124,,T124)*(1-R124)+INDEX(Models!$BJ124:$BT124,,T124+1)*R124-ERP_i)*Q124*Ramure*Pc/MaxiM</f>
        <v>2.1874202078232798E-6</v>
      </c>
      <c r="Q124" s="301">
        <f t="shared" si="28"/>
        <v>0.5</v>
      </c>
      <c r="R124" s="173">
        <f t="shared" si="29"/>
        <v>1.8687730245573523E-2</v>
      </c>
      <c r="S124" s="801">
        <f t="shared" si="30"/>
        <v>0</v>
      </c>
      <c r="T124" s="172">
        <f t="shared" si="31"/>
        <v>6</v>
      </c>
      <c r="U124" s="247">
        <f t="shared" si="32"/>
        <v>1.8687730245573523E-2</v>
      </c>
      <c r="V124" s="378">
        <f t="shared" si="33"/>
        <v>218.99994515142987</v>
      </c>
      <c r="W124" s="397">
        <f t="shared" si="34"/>
        <v>41.77142169360306</v>
      </c>
      <c r="X124" s="153">
        <f t="shared" si="35"/>
        <v>47228</v>
      </c>
      <c r="Y124" s="380">
        <f t="shared" si="36"/>
        <v>40.603891045020596</v>
      </c>
      <c r="Z124" s="380">
        <f t="shared" si="37"/>
        <v>42.192756888546668</v>
      </c>
      <c r="AA124" s="381">
        <f t="shared" si="38"/>
        <v>44.813674815712055</v>
      </c>
      <c r="AB124" s="193">
        <f t="shared" si="39"/>
        <v>47228</v>
      </c>
      <c r="AC124" s="119">
        <f>IF(OR(t&lt;Tnet,NoTnet),'2028'!Resal_s+('2028'!Salim-'2028'!Resal_s)*(1-EXP(('2028'!Tnet_s-t)/'2028'!Tau_j)),Resal_s+(Salim-Resal_s)*(1-EXP((Tnet_s-t)/Tau_j)))*Salcycl</f>
        <v>5.8484780325278651E-2</v>
      </c>
      <c r="AD124" s="227">
        <f>(INDEX(Models!$BJ124:$BT124,,AH124)*(1-AF124)+INDEX(Models!$BJ124:$BT124,,AH124+1)*AF124-ERP_i)*AE124*Ramure*Pc/MaxiM</f>
        <v>3.3635550824271412E-4</v>
      </c>
      <c r="AE124" s="301">
        <f t="shared" si="40"/>
        <v>0.5</v>
      </c>
      <c r="AF124" s="173">
        <f t="shared" si="41"/>
        <v>0.5436752966195515</v>
      </c>
      <c r="AG124" s="801">
        <f t="shared" si="49"/>
        <v>3</v>
      </c>
      <c r="AH124" s="172">
        <f t="shared" si="42"/>
        <v>9</v>
      </c>
      <c r="AI124" s="221">
        <f t="shared" si="43"/>
        <v>3.5436752966195515</v>
      </c>
      <c r="AJ124" s="261" t="b">
        <f t="shared" si="44"/>
        <v>0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47229</v>
      </c>
      <c r="B125" s="406">
        <f>'2028'!Wh/'2028'!Env_an*'2029'!Env_an</f>
        <v>37.223043522558925</v>
      </c>
      <c r="C125" s="831"/>
      <c r="D125" s="388">
        <f t="shared" si="25"/>
        <v>38.680143338096258</v>
      </c>
      <c r="E125" s="380">
        <f t="shared" si="47"/>
        <v>39.937287134866864</v>
      </c>
      <c r="F125" s="380">
        <f t="shared" si="26"/>
        <v>39.937287134866864</v>
      </c>
      <c r="G125" s="110">
        <f t="shared" si="48"/>
        <v>0.16948974388398938</v>
      </c>
      <c r="H125" s="409" t="b">
        <f>Wh_hp&gt;='2028'!Maxi_hp</f>
        <v>1</v>
      </c>
      <c r="I125" s="385">
        <f>IF(H125,Wh_hp,'2028'!Maxi_hp)</f>
        <v>39.937287134866864</v>
      </c>
      <c r="J125" s="85">
        <f>IF(H125,An,'2028'!An_max)</f>
        <v>2029</v>
      </c>
      <c r="K125" s="193">
        <f t="shared" si="27"/>
        <v>47229</v>
      </c>
      <c r="L125" s="143">
        <f>IF(t&lt;Tvie,1-EXP((T0-t)*PertePVj)+'2028'!Pspv,1-EXP((T0-t)*PertePVj)+Pspv)</f>
        <v>3.7670486450918306E-2</v>
      </c>
      <c r="M125" s="835"/>
      <c r="N125" s="835"/>
      <c r="O125" s="48">
        <f>IF(t&lt;Tnet,'2028'!Resal+('2028'!Salim-'2028'!Resal)*(1-EXP(('2028'!Tnet-t)/('2028'!Tau_j))),Resal+(Salim-Resal)*(1-EXP((Tnet-t)/(Tau_j))))*Salcycl</f>
        <v>3.1477946724955935E-2</v>
      </c>
      <c r="P125" s="165">
        <f>(INDEX(Models!$BJ125:$BT125,,T125)*(1-R125)+INDEX(Models!$BJ125:$BT125,,T125+1)*R125-ERP_i)*Q125*Ramure*Pc/MaxiM</f>
        <v>2.3672760709421602E-6</v>
      </c>
      <c r="Q125" s="301">
        <f t="shared" si="28"/>
        <v>0.5</v>
      </c>
      <c r="R125" s="173">
        <f t="shared" si="29"/>
        <v>2.0727201311046588E-2</v>
      </c>
      <c r="S125" s="801">
        <f t="shared" si="30"/>
        <v>0</v>
      </c>
      <c r="T125" s="172">
        <f t="shared" si="31"/>
        <v>6</v>
      </c>
      <c r="U125" s="247">
        <f t="shared" si="32"/>
        <v>2.0727201311046588E-2</v>
      </c>
      <c r="V125" s="378">
        <f t="shared" si="33"/>
        <v>219.61774531216884</v>
      </c>
      <c r="W125" s="397">
        <f t="shared" si="34"/>
        <v>37.223043522558925</v>
      </c>
      <c r="X125" s="153">
        <f t="shared" si="35"/>
        <v>47229</v>
      </c>
      <c r="Y125" s="380">
        <f t="shared" si="36"/>
        <v>36.183320075555947</v>
      </c>
      <c r="Z125" s="380">
        <f t="shared" si="37"/>
        <v>37.599719811264514</v>
      </c>
      <c r="AA125" s="381">
        <f t="shared" si="38"/>
        <v>39.937287134866864</v>
      </c>
      <c r="AB125" s="193">
        <f t="shared" si="39"/>
        <v>47229</v>
      </c>
      <c r="AC125" s="119">
        <f>IF(OR(t&lt;Tnet,NoTnet),'2028'!Resal_s+('2028'!Salim-'2028'!Resal_s)*(1-EXP(('2028'!Tnet_s-t)/'2028'!Tau_j)),Resal_s+(Salim-Resal_s)*(1-EXP((Tnet_s-t)/Tau_j)))*Salcycl</f>
        <v>5.8530949178106847E-2</v>
      </c>
      <c r="AD125" s="227">
        <f>(INDEX(Models!$BJ125:$BT125,,AH125)*(1-AF125)+INDEX(Models!$BJ125:$BT125,,AH125+1)*AF125-ERP_i)*AE125*Ramure*Pc/MaxiM</f>
        <v>3.4110016028285784E-4</v>
      </c>
      <c r="AE125" s="301">
        <f t="shared" si="40"/>
        <v>0.5</v>
      </c>
      <c r="AF125" s="173">
        <f t="shared" si="41"/>
        <v>0.54571476768502469</v>
      </c>
      <c r="AG125" s="801">
        <f t="shared" si="49"/>
        <v>3</v>
      </c>
      <c r="AH125" s="172">
        <f t="shared" si="42"/>
        <v>9</v>
      </c>
      <c r="AI125" s="221">
        <f t="shared" si="43"/>
        <v>3.5457147676850247</v>
      </c>
      <c r="AJ125" s="261" t="b">
        <f t="shared" si="44"/>
        <v>0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47230</v>
      </c>
      <c r="B126" s="406">
        <f>'2028'!Wh/'2028'!Env_an*'2029'!Env_an</f>
        <v>113.26707373576933</v>
      </c>
      <c r="C126" s="831"/>
      <c r="D126" s="388">
        <f t="shared" si="25"/>
        <v>117.7025360787089</v>
      </c>
      <c r="E126" s="380">
        <f t="shared" si="47"/>
        <v>121.53627798800359</v>
      </c>
      <c r="F126" s="380">
        <f t="shared" si="26"/>
        <v>121.53637292997469</v>
      </c>
      <c r="G126" s="110">
        <f t="shared" si="48"/>
        <v>0.51434287794068889</v>
      </c>
      <c r="H126" s="409" t="b">
        <f>Wh_hp&gt;='2028'!Maxi_hp</f>
        <v>1</v>
      </c>
      <c r="I126" s="385">
        <f>IF(H126,Wh_hp,'2028'!Maxi_hp)</f>
        <v>121.53637292997469</v>
      </c>
      <c r="J126" s="85">
        <f>IF(H126,An,'2028'!An_max)</f>
        <v>2029</v>
      </c>
      <c r="K126" s="193">
        <f t="shared" si="27"/>
        <v>47230</v>
      </c>
      <c r="L126" s="143">
        <f>IF(t&lt;Tvie,1-EXP((T0-t)*PertePVj)+'2028'!Pspv,1-EXP((T0-t)*PertePVj)+Pspv)</f>
        <v>3.7683659933831271E-2</v>
      </c>
      <c r="M126" s="835"/>
      <c r="N126" s="835"/>
      <c r="O126" s="48">
        <f>IF(t&lt;Tnet,'2028'!Resal+('2028'!Salim-'2028'!Resal)*(1-EXP(('2028'!Tnet-t)/('2028'!Tau_j))),Resal+(Salim-Resal)*(1-EXP((Tnet-t)/(Tau_j))))*Salcycl</f>
        <v>3.1544012806391131E-2</v>
      </c>
      <c r="P126" s="165">
        <f>(INDEX(Models!$BJ126:$BT126,,T126)*(1-R126)+INDEX(Models!$BJ126:$BT126,,T126+1)*R126-ERP_i)*Q126*Ramure*Pc/MaxiM</f>
        <v>2.5511683029955727E-6</v>
      </c>
      <c r="Q126" s="301">
        <f t="shared" si="28"/>
        <v>0.5</v>
      </c>
      <c r="R126" s="173">
        <f t="shared" si="29"/>
        <v>2.2832484857929047E-2</v>
      </c>
      <c r="S126" s="801">
        <f t="shared" si="30"/>
        <v>0</v>
      </c>
      <c r="T126" s="172">
        <f t="shared" si="31"/>
        <v>6</v>
      </c>
      <c r="U126" s="247">
        <f t="shared" si="32"/>
        <v>2.2832484857929047E-2</v>
      </c>
      <c r="V126" s="378">
        <f t="shared" si="33"/>
        <v>220.21666501514761</v>
      </c>
      <c r="W126" s="397">
        <f t="shared" si="34"/>
        <v>113.26707373576933</v>
      </c>
      <c r="X126" s="153">
        <f t="shared" si="35"/>
        <v>47230</v>
      </c>
      <c r="Y126" s="380">
        <f t="shared" si="36"/>
        <v>110.09372568547032</v>
      </c>
      <c r="Z126" s="380">
        <f t="shared" si="37"/>
        <v>114.40492185542676</v>
      </c>
      <c r="AA126" s="381">
        <f t="shared" si="38"/>
        <v>121.52351803774684</v>
      </c>
      <c r="AB126" s="193">
        <f t="shared" si="39"/>
        <v>47230</v>
      </c>
      <c r="AC126" s="119">
        <f>IF(OR(t&lt;Tnet,NoTnet),'2028'!Resal_s+('2028'!Salim-'2028'!Resal_s)*(1-EXP(('2028'!Tnet_s-t)/'2028'!Tau_j)),Resal_s+(Salim-Resal_s)*(1-EXP((Tnet_s-t)/Tau_j)))*Salcycl</f>
        <v>5.8577930406104116E-2</v>
      </c>
      <c r="AD126" s="227">
        <f>(INDEX(Models!$BJ126:$BT126,,AH126)*(1-AF126)+INDEX(Models!$BJ126:$BT126,,AH126+1)*AF126-ERP_i)*AE126*Ramure*Pc/MaxiM</f>
        <v>3.4542145282781989E-4</v>
      </c>
      <c r="AE126" s="301">
        <f t="shared" si="40"/>
        <v>0.5</v>
      </c>
      <c r="AF126" s="173">
        <f t="shared" si="41"/>
        <v>0.54782005123190736</v>
      </c>
      <c r="AG126" s="801">
        <f t="shared" si="49"/>
        <v>3</v>
      </c>
      <c r="AH126" s="172">
        <f t="shared" si="42"/>
        <v>9</v>
      </c>
      <c r="AI126" s="221">
        <f t="shared" si="43"/>
        <v>3.5478200512319074</v>
      </c>
      <c r="AJ126" s="261" t="b">
        <f t="shared" si="44"/>
        <v>0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47231</v>
      </c>
      <c r="B127" s="406">
        <f>'2028'!Wh/'2028'!Env_an*'2029'!Env_an</f>
        <v>41.264422133711712</v>
      </c>
      <c r="C127" s="831"/>
      <c r="D127" s="388">
        <f t="shared" si="25"/>
        <v>42.880896123923073</v>
      </c>
      <c r="E127" s="380">
        <f t="shared" si="47"/>
        <v>44.280629226772071</v>
      </c>
      <c r="F127" s="380">
        <f t="shared" si="26"/>
        <v>44.280629226772071</v>
      </c>
      <c r="G127" s="110">
        <f t="shared" si="48"/>
        <v>0.18688738265058114</v>
      </c>
      <c r="H127" s="409" t="b">
        <f>Wh_hp&gt;='2028'!Maxi_hp</f>
        <v>1</v>
      </c>
      <c r="I127" s="385">
        <f>IF(H127,Wh_hp,'2028'!Maxi_hp)</f>
        <v>44.280629226772071</v>
      </c>
      <c r="J127" s="85">
        <f>IF(H127,An,'2028'!An_max)</f>
        <v>2029</v>
      </c>
      <c r="K127" s="193">
        <f t="shared" si="27"/>
        <v>47231</v>
      </c>
      <c r="L127" s="143">
        <f>IF(t&lt;Tvie,1-EXP((T0-t)*PertePVj)+'2028'!Pspv,1-EXP((T0-t)*PertePVj)+Pspv)</f>
        <v>3.7696833236410376E-2</v>
      </c>
      <c r="M127" s="835"/>
      <c r="N127" s="835"/>
      <c r="O127" s="48">
        <f>IF(t&lt;Tnet,'2028'!Resal+('2028'!Salim-'2028'!Resal)*(1-EXP(('2028'!Tnet-t)/('2028'!Tau_j))),Resal+(Salim-Resal)*(1-EXP((Tnet-t)/(Tau_j))))*Salcycl</f>
        <v>3.1610506157909668E-2</v>
      </c>
      <c r="P127" s="165">
        <f>(INDEX(Models!$BJ127:$BT127,,T127)*(1-R127)+INDEX(Models!$BJ127:$BT127,,T127+1)*R127-ERP_i)*Q127*Ramure*Pc/MaxiM</f>
        <v>2.738426716211778E-6</v>
      </c>
      <c r="Q127" s="301">
        <f t="shared" si="28"/>
        <v>0.5</v>
      </c>
      <c r="R127" s="173">
        <f t="shared" si="29"/>
        <v>2.5004953861962428E-2</v>
      </c>
      <c r="S127" s="801">
        <f t="shared" si="30"/>
        <v>0</v>
      </c>
      <c r="T127" s="172">
        <f t="shared" si="31"/>
        <v>6</v>
      </c>
      <c r="U127" s="247">
        <f t="shared" si="32"/>
        <v>2.5004953861962428E-2</v>
      </c>
      <c r="V127" s="378">
        <f t="shared" si="33"/>
        <v>220.79772614327101</v>
      </c>
      <c r="W127" s="397">
        <f t="shared" si="34"/>
        <v>41.264422133711712</v>
      </c>
      <c r="X127" s="153">
        <f t="shared" si="35"/>
        <v>47231</v>
      </c>
      <c r="Y127" s="380">
        <f t="shared" si="36"/>
        <v>40.113265990724543</v>
      </c>
      <c r="Z127" s="380">
        <f t="shared" si="37"/>
        <v>41.684645105796712</v>
      </c>
      <c r="AA127" s="381">
        <f t="shared" si="38"/>
        <v>44.280629226772071</v>
      </c>
      <c r="AB127" s="193">
        <f t="shared" si="39"/>
        <v>47231</v>
      </c>
      <c r="AC127" s="119">
        <f>IF(OR(t&lt;Tnet,NoTnet),'2028'!Resal_s+('2028'!Salim-'2028'!Resal_s)*(1-EXP(('2028'!Tnet_s-t)/'2028'!Tau_j)),Resal_s+(Salim-Resal_s)*(1-EXP((Tnet_s-t)/Tau_j)))*Salcycl</f>
        <v>5.8625727915488396E-2</v>
      </c>
      <c r="AD127" s="227">
        <f>(INDEX(Models!$BJ127:$BT127,,AH127)*(1-AF127)+INDEX(Models!$BJ127:$BT127,,AH127+1)*AF127-ERP_i)*AE127*Ramure*Pc/MaxiM</f>
        <v>3.4931683671445609E-4</v>
      </c>
      <c r="AE127" s="301">
        <f t="shared" si="40"/>
        <v>0.5</v>
      </c>
      <c r="AF127" s="173">
        <f t="shared" si="41"/>
        <v>0.54999252023594059</v>
      </c>
      <c r="AG127" s="801">
        <f t="shared" si="49"/>
        <v>3</v>
      </c>
      <c r="AH127" s="172">
        <f t="shared" si="42"/>
        <v>9</v>
      </c>
      <c r="AI127" s="221">
        <f t="shared" si="43"/>
        <v>3.5499925202359406</v>
      </c>
      <c r="AJ127" s="261" t="b">
        <f t="shared" si="44"/>
        <v>0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47232</v>
      </c>
      <c r="B128" s="406">
        <f>'2028'!Wh/'2028'!Env_an*'2029'!Env_an</f>
        <v>111.45634601857681</v>
      </c>
      <c r="C128" s="831"/>
      <c r="D128" s="388">
        <f t="shared" si="25"/>
        <v>115.82407253017539</v>
      </c>
      <c r="E128" s="380">
        <f t="shared" si="47"/>
        <v>119.61310838526657</v>
      </c>
      <c r="F128" s="380">
        <f t="shared" si="26"/>
        <v>119.61321023265994</v>
      </c>
      <c r="G128" s="110">
        <f t="shared" si="48"/>
        <v>0.50350168265036188</v>
      </c>
      <c r="H128" s="409" t="b">
        <f>Wh_hp&gt;='2028'!Maxi_hp</f>
        <v>1</v>
      </c>
      <c r="I128" s="385">
        <f>IF(H128,Wh_hp,'2028'!Maxi_hp)</f>
        <v>119.61321023265994</v>
      </c>
      <c r="J128" s="85">
        <f>IF(H128,An,'2028'!An_max)</f>
        <v>2029</v>
      </c>
      <c r="K128" s="193">
        <f t="shared" si="27"/>
        <v>47232</v>
      </c>
      <c r="L128" s="143">
        <f>IF(t&lt;Tvie,1-EXP((T0-t)*PertePVj)+'2028'!Pspv,1-EXP((T0-t)*PertePVj)+Pspv)</f>
        <v>3.7710006358657955E-2</v>
      </c>
      <c r="M128" s="835"/>
      <c r="N128" s="835"/>
      <c r="O128" s="48">
        <f>IF(t&lt;Tnet,'2028'!Resal+('2028'!Salim-'2028'!Resal)*(1-EXP(('2028'!Tnet-t)/('2028'!Tau_j))),Resal+(Salim-Resal)*(1-EXP((Tnet-t)/(Tau_j))))*Salcycl</f>
        <v>3.1677429892440601E-2</v>
      </c>
      <c r="P128" s="165">
        <f>(INDEX(Models!$BJ128:$BT128,,T128)*(1-R128)+INDEX(Models!$BJ128:$BT128,,T128+1)*R128-ERP_i)*Q128*Ramure*Pc/MaxiM</f>
        <v>2.9288597470032914E-6</v>
      </c>
      <c r="Q128" s="301">
        <f t="shared" si="28"/>
        <v>0.5</v>
      </c>
      <c r="R128" s="173">
        <f t="shared" si="29"/>
        <v>2.7245953248543939E-2</v>
      </c>
      <c r="S128" s="801">
        <f t="shared" si="30"/>
        <v>0</v>
      </c>
      <c r="T128" s="172">
        <f t="shared" si="31"/>
        <v>6</v>
      </c>
      <c r="U128" s="247">
        <f t="shared" si="32"/>
        <v>2.7245953248543939E-2</v>
      </c>
      <c r="V128" s="378">
        <f t="shared" si="33"/>
        <v>221.36195035879615</v>
      </c>
      <c r="W128" s="397">
        <f t="shared" si="34"/>
        <v>111.45634601857681</v>
      </c>
      <c r="X128" s="153">
        <f t="shared" si="35"/>
        <v>47232</v>
      </c>
      <c r="Y128" s="380">
        <f t="shared" si="36"/>
        <v>108.33791671363684</v>
      </c>
      <c r="Z128" s="380">
        <f t="shared" si="37"/>
        <v>112.58343891084436</v>
      </c>
      <c r="AA128" s="381">
        <f t="shared" si="38"/>
        <v>119.60094599497526</v>
      </c>
      <c r="AB128" s="193">
        <f t="shared" si="39"/>
        <v>47232</v>
      </c>
      <c r="AC128" s="119">
        <f>IF(OR(t&lt;Tnet,NoTnet),'2028'!Resal_s+('2028'!Salim-'2028'!Resal_s)*(1-EXP(('2028'!Tnet_s-t)/'2028'!Tau_j)),Resal_s+(Salim-Resal_s)*(1-EXP((Tnet_s-t)/Tau_j)))*Salcycl</f>
        <v>5.8674344301806125E-2</v>
      </c>
      <c r="AD128" s="227">
        <f>(INDEX(Models!$BJ128:$BT128,,AH128)*(1-AF128)+INDEX(Models!$BJ128:$BT128,,AH128+1)*AF128-ERP_i)*AE128*Ramure*Pc/MaxiM</f>
        <v>3.5268680811284303E-4</v>
      </c>
      <c r="AE128" s="301">
        <f t="shared" si="40"/>
        <v>0.5</v>
      </c>
      <c r="AF128" s="173">
        <f t="shared" si="41"/>
        <v>0.5522335196225221</v>
      </c>
      <c r="AG128" s="801">
        <f t="shared" si="49"/>
        <v>3</v>
      </c>
      <c r="AH128" s="172">
        <f t="shared" si="42"/>
        <v>9</v>
      </c>
      <c r="AI128" s="221">
        <f t="shared" si="43"/>
        <v>3.5522335196225221</v>
      </c>
      <c r="AJ128" s="261" t="b">
        <f t="shared" si="44"/>
        <v>0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47233</v>
      </c>
      <c r="B129" s="406">
        <f>'2028'!Wh/'2028'!Env_an*'2029'!Env_an</f>
        <v>188.41987201307825</v>
      </c>
      <c r="C129" s="831"/>
      <c r="D129" s="388">
        <f t="shared" si="25"/>
        <v>195.80630849668262</v>
      </c>
      <c r="E129" s="380">
        <f t="shared" si="47"/>
        <v>202.22592736242441</v>
      </c>
      <c r="F129" s="380">
        <f t="shared" si="26"/>
        <v>202.22642306319699</v>
      </c>
      <c r="G129" s="110">
        <f t="shared" si="48"/>
        <v>0.84908044076786016</v>
      </c>
      <c r="H129" s="409" t="b">
        <f>Wh_hp&gt;='2028'!Maxi_hp</f>
        <v>1</v>
      </c>
      <c r="I129" s="385">
        <f>IF(H129,Wh_hp,'2028'!Maxi_hp)</f>
        <v>202.22642306319699</v>
      </c>
      <c r="J129" s="85">
        <f>IF(H129,An,'2028'!An_max)</f>
        <v>2029</v>
      </c>
      <c r="K129" s="193">
        <f t="shared" si="27"/>
        <v>47233</v>
      </c>
      <c r="L129" s="143">
        <f>IF(t&lt;Tvie,1-EXP((T0-t)*PertePVj)+'2028'!Pspv,1-EXP((T0-t)*PertePVj)+Pspv)</f>
        <v>3.7723179300576559E-2</v>
      </c>
      <c r="M129" s="835"/>
      <c r="N129" s="835"/>
      <c r="O129" s="48">
        <f>IF(t&lt;Tnet,'2028'!Resal+('2028'!Salim-'2028'!Resal)*(1-EXP(('2028'!Tnet-t)/('2028'!Tau_j))),Resal+(Salim-Resal)*(1-EXP((Tnet-t)/(Tau_j))))*Salcycl</f>
        <v>3.1744786385559325E-2</v>
      </c>
      <c r="P129" s="165">
        <f>(INDEX(Models!$BJ129:$BT129,,T129)*(1-R129)+INDEX(Models!$BJ129:$BT129,,T129+1)*R129-ERP_i)*Q129*Ramure*Pc/MaxiM</f>
        <v>3.1249517022002692E-6</v>
      </c>
      <c r="Q129" s="301">
        <f t="shared" si="28"/>
        <v>0.5</v>
      </c>
      <c r="R129" s="173">
        <f t="shared" si="29"/>
        <v>2.955679475350978E-2</v>
      </c>
      <c r="S129" s="801">
        <f t="shared" si="30"/>
        <v>0</v>
      </c>
      <c r="T129" s="172">
        <f t="shared" si="31"/>
        <v>6</v>
      </c>
      <c r="U129" s="247">
        <f t="shared" si="32"/>
        <v>2.955679475350978E-2</v>
      </c>
      <c r="V129" s="378">
        <f t="shared" si="33"/>
        <v>221.91035857250009</v>
      </c>
      <c r="W129" s="397">
        <f t="shared" si="34"/>
        <v>188.41987201307825</v>
      </c>
      <c r="X129" s="153">
        <f t="shared" si="35"/>
        <v>47233</v>
      </c>
      <c r="Y129" s="380">
        <f t="shared" si="36"/>
        <v>183.11918288311205</v>
      </c>
      <c r="Z129" s="380">
        <f t="shared" si="37"/>
        <v>190.29782173284948</v>
      </c>
      <c r="AA129" s="381">
        <f t="shared" si="38"/>
        <v>202.17000902631361</v>
      </c>
      <c r="AB129" s="193">
        <f t="shared" si="39"/>
        <v>47233</v>
      </c>
      <c r="AC129" s="119">
        <f>IF(OR(t&lt;Tnet,NoTnet),'2028'!Resal_s+('2028'!Salim-'2028'!Resal_s)*(1-EXP(('2028'!Tnet_s-t)/'2028'!Tau_j)),Resal_s+(Salim-Resal_s)*(1-EXP((Tnet_s-t)/Tau_j)))*Salcycl</f>
        <v>5.8723780795394295E-2</v>
      </c>
      <c r="AD129" s="227">
        <f>(INDEX(Models!$BJ129:$BT129,,AH129)*(1-AF129)+INDEX(Models!$BJ129:$BT129,,AH129+1)*AF129-ERP_i)*AE129*Ramure*Pc/MaxiM</f>
        <v>3.5564023769077218E-4</v>
      </c>
      <c r="AE129" s="301">
        <f t="shared" si="40"/>
        <v>0.5</v>
      </c>
      <c r="AF129" s="173">
        <f t="shared" si="41"/>
        <v>0.55454436112748784</v>
      </c>
      <c r="AG129" s="801">
        <f t="shared" si="49"/>
        <v>3</v>
      </c>
      <c r="AH129" s="172">
        <f t="shared" si="42"/>
        <v>9</v>
      </c>
      <c r="AI129" s="221">
        <f t="shared" si="43"/>
        <v>3.5545443611274878</v>
      </c>
      <c r="AJ129" s="261" t="b">
        <f t="shared" si="44"/>
        <v>0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47234</v>
      </c>
      <c r="B130" s="406">
        <f>'2028'!Wh/'2028'!Env_an*'2029'!Env_an</f>
        <v>221.41213741325791</v>
      </c>
      <c r="C130" s="831"/>
      <c r="D130" s="388">
        <f t="shared" si="25"/>
        <v>230.09508660932249</v>
      </c>
      <c r="E130" s="380">
        <f t="shared" si="47"/>
        <v>237.65552123532086</v>
      </c>
      <c r="F130" s="380">
        <f t="shared" si="26"/>
        <v>237.65630655679689</v>
      </c>
      <c r="G130" s="110">
        <f t="shared" si="48"/>
        <v>0.99536135035611972</v>
      </c>
      <c r="H130" s="409" t="b">
        <f>Wh_hp&gt;='2028'!Maxi_hp</f>
        <v>1</v>
      </c>
      <c r="I130" s="385">
        <f>IF(H130,Wh_hp,'2028'!Maxi_hp)</f>
        <v>237.65630655679689</v>
      </c>
      <c r="J130" s="85">
        <f>IF(H130,An,'2028'!An_max)</f>
        <v>2029</v>
      </c>
      <c r="K130" s="193">
        <f t="shared" si="27"/>
        <v>47234</v>
      </c>
      <c r="L130" s="143">
        <f>IF(t&lt;Tvie,1-EXP((T0-t)*PertePVj)+'2028'!Pspv,1-EXP((T0-t)*PertePVj)+Pspv)</f>
        <v>3.7736352062168632E-2</v>
      </c>
      <c r="M130" s="835"/>
      <c r="N130" s="835"/>
      <c r="O130" s="48">
        <f>IF(t&lt;Tnet,'2028'!Resal+('2028'!Salim-'2028'!Resal)*(1-EXP(('2028'!Tnet-t)/('2028'!Tau_j))),Resal+(Salim-Resal)*(1-EXP((Tnet-t)/(Tau_j))))*Salcycl</f>
        <v>3.1812577240788051E-2</v>
      </c>
      <c r="P130" s="165">
        <f>(INDEX(Models!$BJ130:$BT130,,T130)*(1-R130)+INDEX(Models!$BJ130:$BT130,,T130+1)*R130-ERP_i)*Q130*Ramure*Pc/MaxiM</f>
        <v>3.3264853034015931E-6</v>
      </c>
      <c r="Q130" s="301">
        <f t="shared" si="28"/>
        <v>0.5</v>
      </c>
      <c r="R130" s="173">
        <f t="shared" si="29"/>
        <v>3.1938751531368742E-2</v>
      </c>
      <c r="S130" s="801">
        <f t="shared" si="30"/>
        <v>0</v>
      </c>
      <c r="T130" s="172">
        <f t="shared" si="31"/>
        <v>6</v>
      </c>
      <c r="U130" s="247">
        <f t="shared" si="32"/>
        <v>3.1938751531368742E-2</v>
      </c>
      <c r="V130" s="378">
        <f t="shared" si="33"/>
        <v>222.44397218494126</v>
      </c>
      <c r="W130" s="397">
        <f t="shared" si="34"/>
        <v>221.41213741325791</v>
      </c>
      <c r="X130" s="153">
        <f t="shared" si="35"/>
        <v>47234</v>
      </c>
      <c r="Y130" s="380">
        <f t="shared" si="36"/>
        <v>215.17052164867255</v>
      </c>
      <c r="Z130" s="380">
        <f t="shared" si="37"/>
        <v>223.60869820842905</v>
      </c>
      <c r="AA130" s="381">
        <f t="shared" si="38"/>
        <v>237.57174902470172</v>
      </c>
      <c r="AB130" s="193">
        <f t="shared" si="39"/>
        <v>47234</v>
      </c>
      <c r="AC130" s="119">
        <f>IF(OR(t&lt;Tnet,NoTnet),'2028'!Resal_s+('2028'!Salim-'2028'!Resal_s)*(1-EXP(('2028'!Tnet_s-t)/'2028'!Tau_j)),Resal_s+(Salim-Resal_s)*(1-EXP((Tnet_s-t)/Tau_j)))*Salcycl</f>
        <v>5.8774037206001536E-2</v>
      </c>
      <c r="AD130" s="227">
        <f>(INDEX(Models!$BJ130:$BT130,,AH130)*(1-AF130)+INDEX(Models!$BJ130:$BT130,,AH130+1)*AF130-ERP_i)*AE130*Ramure*Pc/MaxiM</f>
        <v>3.5817101198998714E-4</v>
      </c>
      <c r="AE130" s="301">
        <f t="shared" si="40"/>
        <v>0.5</v>
      </c>
      <c r="AF130" s="173">
        <f t="shared" si="41"/>
        <v>0.55692631790534675</v>
      </c>
      <c r="AG130" s="801">
        <f t="shared" si="49"/>
        <v>3</v>
      </c>
      <c r="AH130" s="172">
        <f t="shared" si="42"/>
        <v>9</v>
      </c>
      <c r="AI130" s="221">
        <f t="shared" si="43"/>
        <v>3.5569263179053467</v>
      </c>
      <c r="AJ130" s="261" t="b">
        <f t="shared" si="44"/>
        <v>0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47235</v>
      </c>
      <c r="B131" s="406">
        <f>'2028'!Wh/'2028'!Env_an*'2029'!Env_an</f>
        <v>157.72673408192324</v>
      </c>
      <c r="C131" s="831"/>
      <c r="D131" s="388">
        <f t="shared" si="25"/>
        <v>163.91442573564578</v>
      </c>
      <c r="E131" s="380">
        <f t="shared" si="47"/>
        <v>169.3122358142063</v>
      </c>
      <c r="F131" s="380">
        <f t="shared" si="26"/>
        <v>169.3125839842487</v>
      </c>
      <c r="G131" s="110">
        <f t="shared" si="48"/>
        <v>0.70740852243173236</v>
      </c>
      <c r="H131" s="409" t="b">
        <f>Wh_hp&gt;='2028'!Maxi_hp</f>
        <v>1</v>
      </c>
      <c r="I131" s="385">
        <f>IF(H131,Wh_hp,'2028'!Maxi_hp)</f>
        <v>169.3125839842487</v>
      </c>
      <c r="J131" s="85">
        <f>IF(H131,An,'2028'!An_max)</f>
        <v>2029</v>
      </c>
      <c r="K131" s="193">
        <f t="shared" si="27"/>
        <v>47235</v>
      </c>
      <c r="L131" s="143">
        <f>IF(t&lt;Tvie,1-EXP((T0-t)*PertePVj)+'2028'!Pspv,1-EXP((T0-t)*PertePVj)+Pspv)</f>
        <v>3.7749524643436727E-2</v>
      </c>
      <c r="M131" s="835"/>
      <c r="N131" s="835"/>
      <c r="O131" s="48">
        <f>IF(t&lt;Tnet,'2028'!Resal+('2028'!Salim-'2028'!Resal)*(1-EXP(('2028'!Tnet-t)/('2028'!Tau_j))),Resal+(Salim-Resal)*(1-EXP((Tnet-t)/(Tau_j))))*Salcycl</f>
        <v>3.1880803254430982E-2</v>
      </c>
      <c r="P131" s="165">
        <f>(INDEX(Models!$BJ131:$BT131,,T131)*(1-R131)+INDEX(Models!$BJ131:$BT131,,T131+1)*R131-ERP_i)*Q131*Ramure*Pc/MaxiM</f>
        <v>3.5332061630903021E-6</v>
      </c>
      <c r="Q131" s="301">
        <f t="shared" si="28"/>
        <v>0.5</v>
      </c>
      <c r="R131" s="173">
        <f t="shared" si="29"/>
        <v>3.4393052518503692E-2</v>
      </c>
      <c r="S131" s="801">
        <f t="shared" si="30"/>
        <v>0</v>
      </c>
      <c r="T131" s="172">
        <f t="shared" si="31"/>
        <v>6</v>
      </c>
      <c r="U131" s="247">
        <f t="shared" si="32"/>
        <v>3.4393052518503692E-2</v>
      </c>
      <c r="V131" s="378">
        <f t="shared" si="33"/>
        <v>222.96381248473747</v>
      </c>
      <c r="W131" s="397">
        <f t="shared" si="34"/>
        <v>157.72673408192324</v>
      </c>
      <c r="X131" s="153">
        <f t="shared" si="35"/>
        <v>47235</v>
      </c>
      <c r="Y131" s="380">
        <f t="shared" si="36"/>
        <v>153.30510937960685</v>
      </c>
      <c r="Z131" s="380">
        <f t="shared" si="37"/>
        <v>159.3193386813339</v>
      </c>
      <c r="AA131" s="381">
        <f t="shared" si="38"/>
        <v>169.27708196439582</v>
      </c>
      <c r="AB131" s="193">
        <f t="shared" si="39"/>
        <v>47235</v>
      </c>
      <c r="AC131" s="119">
        <f>IF(OR(t&lt;Tnet,NoTnet),'2028'!Resal_s+('2028'!Salim-'2028'!Resal_s)*(1-EXP(('2028'!Tnet_s-t)/'2028'!Tau_j)),Resal_s+(Salim-Resal_s)*(1-EXP((Tnet_s-t)/Tau_j)))*Salcycl</f>
        <v>5.8825111866923137E-2</v>
      </c>
      <c r="AD131" s="227">
        <f>(INDEX(Models!$BJ131:$BT131,,AH131)*(1-AF131)+INDEX(Models!$BJ131:$BT131,,AH131+1)*AF131-ERP_i)*AE131*Ramure*Pc/MaxiM</f>
        <v>3.6027210865411519E-4</v>
      </c>
      <c r="AE131" s="301">
        <f t="shared" si="40"/>
        <v>0.5</v>
      </c>
      <c r="AF131" s="173">
        <f t="shared" si="41"/>
        <v>0.5593806188924817</v>
      </c>
      <c r="AG131" s="801">
        <f t="shared" si="49"/>
        <v>3</v>
      </c>
      <c r="AH131" s="172">
        <f t="shared" si="42"/>
        <v>9</v>
      </c>
      <c r="AI131" s="221">
        <f t="shared" si="43"/>
        <v>3.5593806188924817</v>
      </c>
      <c r="AJ131" s="261" t="b">
        <f t="shared" si="44"/>
        <v>0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47236</v>
      </c>
      <c r="B132" s="406">
        <f>'2028'!Wh/'2028'!Env_an*'2029'!Env_an</f>
        <v>91.861728750557631</v>
      </c>
      <c r="C132" s="831"/>
      <c r="D132" s="388">
        <f t="shared" si="25"/>
        <v>95.466813091109984</v>
      </c>
      <c r="E132" s="380">
        <f t="shared" si="47"/>
        <v>98.617592344994108</v>
      </c>
      <c r="F132" s="380">
        <f t="shared" si="26"/>
        <v>98.617650942123959</v>
      </c>
      <c r="G132" s="110">
        <f t="shared" si="48"/>
        <v>0.41106667160313781</v>
      </c>
      <c r="H132" s="409" t="b">
        <f>Wh_hp&gt;='2028'!Maxi_hp</f>
        <v>1</v>
      </c>
      <c r="I132" s="385">
        <f>IF(H132,Wh_hp,'2028'!Maxi_hp)</f>
        <v>98.617650942123959</v>
      </c>
      <c r="J132" s="85">
        <f>IF(H132,An,'2028'!An_max)</f>
        <v>2029</v>
      </c>
      <c r="K132" s="193">
        <f t="shared" si="27"/>
        <v>47236</v>
      </c>
      <c r="L132" s="143">
        <f>IF(t&lt;Tvie,1-EXP((T0-t)*PertePVj)+'2028'!Pspv,1-EXP((T0-t)*PertePVj)+Pspv)</f>
        <v>3.7762697044383287E-2</v>
      </c>
      <c r="M132" s="835"/>
      <c r="N132" s="835"/>
      <c r="O132" s="48">
        <f>IF(t&lt;Tnet,'2028'!Resal+('2028'!Salim-'2028'!Resal)*(1-EXP(('2028'!Tnet-t)/('2028'!Tau_j))),Resal+(Salim-Resal)*(1-EXP((Tnet-t)/(Tau_j))))*Salcycl</f>
        <v>3.1949464380166062E-2</v>
      </c>
      <c r="P132" s="165">
        <f>(INDEX(Models!$BJ132:$BT132,,T132)*(1-R132)+INDEX(Models!$BJ132:$BT132,,T132+1)*R132-ERP_i)*Q132*Ramure*Pc/MaxiM</f>
        <v>3.7448196706983745E-6</v>
      </c>
      <c r="Q132" s="301">
        <f t="shared" si="28"/>
        <v>0.5</v>
      </c>
      <c r="R132" s="173">
        <f t="shared" si="29"/>
        <v>3.6920876561381002E-2</v>
      </c>
      <c r="S132" s="801">
        <f t="shared" si="30"/>
        <v>0</v>
      </c>
      <c r="T132" s="172">
        <f t="shared" si="31"/>
        <v>6</v>
      </c>
      <c r="U132" s="247">
        <f t="shared" si="32"/>
        <v>3.6920876561381002E-2</v>
      </c>
      <c r="V132" s="378">
        <f t="shared" si="33"/>
        <v>223.47090064340256</v>
      </c>
      <c r="W132" s="397">
        <f t="shared" si="34"/>
        <v>91.861728750557631</v>
      </c>
      <c r="X132" s="153">
        <f t="shared" si="35"/>
        <v>47236</v>
      </c>
      <c r="Y132" s="380">
        <f t="shared" si="36"/>
        <v>89.30140418490997</v>
      </c>
      <c r="Z132" s="380">
        <f t="shared" si="37"/>
        <v>92.806009401850233</v>
      </c>
      <c r="AA132" s="381">
        <f t="shared" si="38"/>
        <v>98.611987548455019</v>
      </c>
      <c r="AB132" s="193">
        <f t="shared" si="39"/>
        <v>47236</v>
      </c>
      <c r="AC132" s="119">
        <f>IF(OR(t&lt;Tnet,NoTnet),'2028'!Resal_s+('2028'!Salim-'2028'!Resal_s)*(1-EXP(('2028'!Tnet_s-t)/'2028'!Tau_j)),Resal_s+(Salim-Resal_s)*(1-EXP((Tnet_s-t)/Tau_j)))*Salcycl</f>
        <v>5.8877001579061651E-2</v>
      </c>
      <c r="AD132" s="227">
        <f>(INDEX(Models!$BJ132:$BT132,,AH132)*(1-AF132)+INDEX(Models!$BJ132:$BT132,,AH132+1)*AF132-ERP_i)*AE132*Ramure*Pc/MaxiM</f>
        <v>3.6193561130618891E-4</v>
      </c>
      <c r="AE132" s="301">
        <f t="shared" si="40"/>
        <v>0.5</v>
      </c>
      <c r="AF132" s="173">
        <f t="shared" si="41"/>
        <v>0.56190844293535935</v>
      </c>
      <c r="AG132" s="801">
        <f t="shared" si="49"/>
        <v>3</v>
      </c>
      <c r="AH132" s="172">
        <f t="shared" si="42"/>
        <v>9</v>
      </c>
      <c r="AI132" s="221">
        <f t="shared" si="43"/>
        <v>3.5619084429353594</v>
      </c>
      <c r="AJ132" s="261" t="b">
        <f t="shared" si="44"/>
        <v>0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47237</v>
      </c>
      <c r="B133" s="406">
        <f>'2028'!Wh/'2028'!Env_an*'2029'!Env_an</f>
        <v>169.75876915408475</v>
      </c>
      <c r="C133" s="831"/>
      <c r="D133" s="388">
        <f t="shared" si="25"/>
        <v>176.42331316760419</v>
      </c>
      <c r="E133" s="380">
        <f t="shared" si="47"/>
        <v>182.25898330423433</v>
      </c>
      <c r="F133" s="380">
        <f t="shared" si="26"/>
        <v>182.25945561582537</v>
      </c>
      <c r="G133" s="110">
        <f t="shared" si="48"/>
        <v>0.75796478615016682</v>
      </c>
      <c r="H133" s="409" t="b">
        <f>Wh_hp&gt;='2028'!Maxi_hp</f>
        <v>1</v>
      </c>
      <c r="I133" s="385">
        <f>IF(H133,Wh_hp,'2028'!Maxi_hp)</f>
        <v>182.25945561582537</v>
      </c>
      <c r="J133" s="85">
        <f>IF(H133,An,'2028'!An_max)</f>
        <v>2029</v>
      </c>
      <c r="K133" s="193">
        <f t="shared" si="27"/>
        <v>47237</v>
      </c>
      <c r="L133" s="143">
        <f>IF(t&lt;Tvie,1-EXP((T0-t)*PertePVj)+'2028'!Pspv,1-EXP((T0-t)*PertePVj)+Pspv)</f>
        <v>3.7775869265010642E-2</v>
      </c>
      <c r="M133" s="835"/>
      <c r="N133" s="835"/>
      <c r="O133" s="48">
        <f>IF(t&lt;Tnet,'2028'!Resal+('2028'!Salim-'2028'!Resal)*(1-EXP(('2028'!Tnet-t)/('2028'!Tau_j))),Resal+(Salim-Resal)*(1-EXP((Tnet-t)/(Tau_j))))*Salcycl</f>
        <v>3.2018559693647489E-2</v>
      </c>
      <c r="P133" s="165">
        <f>(INDEX(Models!$BJ133:$BT133,,T133)*(1-R133)+INDEX(Models!$BJ133:$BT133,,T133+1)*R133-ERP_i)*Q133*Ramure*Pc/MaxiM</f>
        <v>3.9609878030744514E-6</v>
      </c>
      <c r="Q133" s="301">
        <f t="shared" si="28"/>
        <v>0.5</v>
      </c>
      <c r="R133" s="173">
        <f t="shared" si="29"/>
        <v>3.9523346322513087E-2</v>
      </c>
      <c r="S133" s="801">
        <f t="shared" si="30"/>
        <v>0</v>
      </c>
      <c r="T133" s="172">
        <f t="shared" si="31"/>
        <v>6</v>
      </c>
      <c r="U133" s="247">
        <f t="shared" si="32"/>
        <v>3.9523346322513087E-2</v>
      </c>
      <c r="V133" s="378">
        <f t="shared" si="33"/>
        <v>223.96625774702366</v>
      </c>
      <c r="W133" s="397">
        <f t="shared" si="34"/>
        <v>169.75876915408475</v>
      </c>
      <c r="X133" s="153">
        <f t="shared" si="35"/>
        <v>47237</v>
      </c>
      <c r="Y133" s="380">
        <f t="shared" si="36"/>
        <v>165.00047103696645</v>
      </c>
      <c r="Z133" s="380">
        <f t="shared" si="37"/>
        <v>171.47820945929902</v>
      </c>
      <c r="AA133" s="381">
        <f t="shared" si="38"/>
        <v>182.2161529725399</v>
      </c>
      <c r="AB133" s="193">
        <f t="shared" si="39"/>
        <v>47237</v>
      </c>
      <c r="AC133" s="119">
        <f>IF(OR(t&lt;Tnet,NoTnet),'2028'!Resal_s+('2028'!Salim-'2028'!Resal_s)*(1-EXP(('2028'!Tnet_s-t)/'2028'!Tau_j)),Resal_s+(Salim-Resal_s)*(1-EXP((Tnet_s-t)/Tau_j)))*Salcycl</f>
        <v>5.8929701555377967E-2</v>
      </c>
      <c r="AD133" s="227">
        <f>(INDEX(Models!$BJ133:$BT133,,AH133)*(1-AF133)+INDEX(Models!$BJ133:$BT133,,AH133+1)*AF133-ERP_i)*AE133*Ramure*Pc/MaxiM</f>
        <v>3.6315272618008627E-4</v>
      </c>
      <c r="AE133" s="301">
        <f t="shared" si="40"/>
        <v>0.5</v>
      </c>
      <c r="AF133" s="173">
        <f t="shared" si="41"/>
        <v>0.56451091269649112</v>
      </c>
      <c r="AG133" s="801">
        <f t="shared" si="49"/>
        <v>3</v>
      </c>
      <c r="AH133" s="172">
        <f t="shared" si="42"/>
        <v>9</v>
      </c>
      <c r="AI133" s="221">
        <f t="shared" si="43"/>
        <v>3.5645109126964911</v>
      </c>
      <c r="AJ133" s="261" t="b">
        <f t="shared" si="44"/>
        <v>0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47238</v>
      </c>
      <c r="B134" s="406">
        <f>'2028'!Wh/'2028'!Env_an*'2029'!Env_an</f>
        <v>158.95144431124788</v>
      </c>
      <c r="C134" s="831"/>
      <c r="D134" s="388">
        <f t="shared" si="25"/>
        <v>165.1939659125054</v>
      </c>
      <c r="E134" s="380">
        <f t="shared" si="47"/>
        <v>170.67045436138093</v>
      </c>
      <c r="F134" s="380">
        <f t="shared" si="26"/>
        <v>170.67087048863931</v>
      </c>
      <c r="G134" s="110">
        <f t="shared" si="48"/>
        <v>0.70817788583621899</v>
      </c>
      <c r="H134" s="409" t="b">
        <f>Wh_hp&gt;='2028'!Maxi_hp</f>
        <v>1</v>
      </c>
      <c r="I134" s="385">
        <f>IF(H134,Wh_hp,'2028'!Maxi_hp)</f>
        <v>170.67087048863931</v>
      </c>
      <c r="J134" s="85">
        <f>IF(H134,An,'2028'!An_max)</f>
        <v>2029</v>
      </c>
      <c r="K134" s="193">
        <f t="shared" si="27"/>
        <v>47238</v>
      </c>
      <c r="L134" s="143">
        <f>IF(t&lt;Tvie,1-EXP((T0-t)*PertePVj)+'2028'!Pspv,1-EXP((T0-t)*PertePVj)+Pspv)</f>
        <v>3.7789041305321347E-2</v>
      </c>
      <c r="M134" s="835"/>
      <c r="N134" s="835"/>
      <c r="O134" s="48">
        <f>IF(t&lt;Tnet,'2028'!Resal+('2028'!Salim-'2028'!Resal)*(1-EXP(('2028'!Tnet-t)/('2028'!Tau_j))),Resal+(Salim-Resal)*(1-EXP((Tnet-t)/(Tau_j))))*Salcycl</f>
        <v>3.2088087357402179E-2</v>
      </c>
      <c r="P134" s="165">
        <f>(INDEX(Models!$BJ134:$BT134,,T134)*(1-R134)+INDEX(Models!$BJ134:$BT134,,T134+1)*R134-ERP_i)*Q134*Ramure*Pc/MaxiM</f>
        <v>4.181325877640156E-6</v>
      </c>
      <c r="Q134" s="301">
        <f t="shared" si="28"/>
        <v>0.5</v>
      </c>
      <c r="R134" s="173">
        <f t="shared" si="29"/>
        <v>4.2201521979792211E-2</v>
      </c>
      <c r="S134" s="801">
        <f t="shared" si="30"/>
        <v>0</v>
      </c>
      <c r="T134" s="172">
        <f t="shared" si="31"/>
        <v>6</v>
      </c>
      <c r="U134" s="247">
        <f t="shared" si="32"/>
        <v>4.2201521979792211E-2</v>
      </c>
      <c r="V134" s="378">
        <f t="shared" si="33"/>
        <v>224.45090480087092</v>
      </c>
      <c r="W134" s="397">
        <f t="shared" si="34"/>
        <v>158.95144431124788</v>
      </c>
      <c r="X134" s="153">
        <f t="shared" si="35"/>
        <v>47238</v>
      </c>
      <c r="Y134" s="380">
        <f t="shared" si="36"/>
        <v>154.50228563064837</v>
      </c>
      <c r="Z134" s="380">
        <f t="shared" si="37"/>
        <v>160.57007482043639</v>
      </c>
      <c r="AA134" s="381">
        <f t="shared" si="38"/>
        <v>170.63465363860064</v>
      </c>
      <c r="AB134" s="193">
        <f t="shared" si="39"/>
        <v>47238</v>
      </c>
      <c r="AC134" s="119">
        <f>IF(OR(t&lt;Tnet,NoTnet),'2028'!Resal_s+('2028'!Salim-'2028'!Resal_s)*(1-EXP(('2028'!Tnet_s-t)/'2028'!Tau_j)),Resal_s+(Salim-Resal_s)*(1-EXP((Tnet_s-t)/Tau_j)))*Salcycl</f>
        <v>5.8983205366248459E-2</v>
      </c>
      <c r="AD134" s="227">
        <f>(INDEX(Models!$BJ134:$BT134,,AH134)*(1-AF134)+INDEX(Models!$BJ134:$BT134,,AH134+1)*AF134-ERP_i)*AE134*Ramure*Pc/MaxiM</f>
        <v>3.6391380094780916E-4</v>
      </c>
      <c r="AE134" s="301">
        <f t="shared" si="40"/>
        <v>0.5</v>
      </c>
      <c r="AF134" s="173">
        <f t="shared" si="41"/>
        <v>0.56718908835377047</v>
      </c>
      <c r="AG134" s="801">
        <f t="shared" si="49"/>
        <v>3</v>
      </c>
      <c r="AH134" s="172">
        <f t="shared" si="42"/>
        <v>9</v>
      </c>
      <c r="AI134" s="221">
        <f t="shared" si="43"/>
        <v>3.5671890883537705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47239</v>
      </c>
      <c r="B135" s="406">
        <f>'2028'!Wh/'2028'!Env_an*'2029'!Env_an</f>
        <v>189.20976643912439</v>
      </c>
      <c r="C135" s="831"/>
      <c r="D135" s="388">
        <f t="shared" si="25"/>
        <v>196.6433191054856</v>
      </c>
      <c r="E135" s="380">
        <f t="shared" si="47"/>
        <v>203.17709725803076</v>
      </c>
      <c r="F135" s="380">
        <f t="shared" si="26"/>
        <v>203.17778932297188</v>
      </c>
      <c r="G135" s="110">
        <f t="shared" si="48"/>
        <v>0.84122227718553078</v>
      </c>
      <c r="H135" s="409" t="b">
        <f>Wh_hp&gt;='2028'!Maxi_hp</f>
        <v>1</v>
      </c>
      <c r="I135" s="385">
        <f>IF(H135,Wh_hp,'2028'!Maxi_hp)</f>
        <v>203.17778932297188</v>
      </c>
      <c r="J135" s="85">
        <f>IF(H135,An,'2028'!An_max)</f>
        <v>2029</v>
      </c>
      <c r="K135" s="193">
        <f t="shared" si="27"/>
        <v>47239</v>
      </c>
      <c r="L135" s="143">
        <f>IF(t&lt;Tvie,1-EXP((T0-t)*PertePVj)+'2028'!Pspv,1-EXP((T0-t)*PertePVj)+Pspv)</f>
        <v>3.7802213165317955E-2</v>
      </c>
      <c r="M135" s="835"/>
      <c r="N135" s="835"/>
      <c r="O135" s="48">
        <f>IF(t&lt;Tnet,'2028'!Resal+('2028'!Salim-'2028'!Resal)*(1-EXP(('2028'!Tnet-t)/('2028'!Tau_j))),Resal+(Salim-Resal)*(1-EXP((Tnet-t)/(Tau_j))))*Salcycl</f>
        <v>3.2158044586331418E-2</v>
      </c>
      <c r="P135" s="165">
        <f>(INDEX(Models!$BJ135:$BT135,,T135)*(1-R135)+INDEX(Models!$BJ135:$BT135,,T135+1)*R135-ERP_i)*Q135*Ramure*Pc/MaxiM</f>
        <v>4.4054707258145509E-6</v>
      </c>
      <c r="Q135" s="301">
        <f t="shared" si="28"/>
        <v>0.5</v>
      </c>
      <c r="R135" s="173">
        <f t="shared" si="29"/>
        <v>4.4956394737852207E-2</v>
      </c>
      <c r="S135" s="801">
        <f t="shared" si="30"/>
        <v>0</v>
      </c>
      <c r="T135" s="172">
        <f t="shared" si="31"/>
        <v>6</v>
      </c>
      <c r="U135" s="247">
        <f t="shared" si="32"/>
        <v>4.4956394737852207E-2</v>
      </c>
      <c r="V135" s="378">
        <f t="shared" si="33"/>
        <v>224.9222143764899</v>
      </c>
      <c r="W135" s="397">
        <f t="shared" si="34"/>
        <v>189.20976643912439</v>
      </c>
      <c r="X135" s="153">
        <f t="shared" si="35"/>
        <v>47239</v>
      </c>
      <c r="Y135" s="380">
        <f t="shared" si="36"/>
        <v>183.90374899382894</v>
      </c>
      <c r="Z135" s="380">
        <f t="shared" si="37"/>
        <v>191.12884222984184</v>
      </c>
      <c r="AA135" s="381">
        <f t="shared" si="38"/>
        <v>203.12057411676605</v>
      </c>
      <c r="AB135" s="193">
        <f t="shared" si="39"/>
        <v>47239</v>
      </c>
      <c r="AC135" s="119">
        <f>IF(OR(t&lt;Tnet,NoTnet),'2028'!Resal_s+('2028'!Salim-'2028'!Resal_s)*(1-EXP(('2028'!Tnet_s-t)/'2028'!Tau_j)),Resal_s+(Salim-Resal_s)*(1-EXP((Tnet_s-t)/Tau_j)))*Salcycl</f>
        <v>5.9037504886288159E-2</v>
      </c>
      <c r="AD135" s="227">
        <f>(INDEX(Models!$BJ135:$BT135,,AH135)*(1-AF135)+INDEX(Models!$BJ135:$BT135,,AH135+1)*AF135-ERP_i)*AE135*Ramure*Pc/MaxiM</f>
        <v>3.6421425366049638E-4</v>
      </c>
      <c r="AE135" s="301">
        <f t="shared" si="40"/>
        <v>0.5</v>
      </c>
      <c r="AF135" s="173">
        <f t="shared" si="41"/>
        <v>0.56994396111183043</v>
      </c>
      <c r="AG135" s="801">
        <f t="shared" si="49"/>
        <v>3</v>
      </c>
      <c r="AH135" s="172">
        <f t="shared" si="42"/>
        <v>9</v>
      </c>
      <c r="AI135" s="221">
        <f t="shared" si="43"/>
        <v>3.5699439611118304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47240</v>
      </c>
      <c r="B136" s="406">
        <f>'2028'!Wh/'2028'!Env_an*'2029'!Env_an</f>
        <v>112.26893806270083</v>
      </c>
      <c r="C136" s="831"/>
      <c r="D136" s="388">
        <f t="shared" si="25"/>
        <v>116.68128578902247</v>
      </c>
      <c r="E136" s="380">
        <f t="shared" si="47"/>
        <v>120.56696964281369</v>
      </c>
      <c r="F136" s="380">
        <f t="shared" si="26"/>
        <v>120.56712774043629</v>
      </c>
      <c r="G136" s="110">
        <f t="shared" si="48"/>
        <v>0.49813625656025173</v>
      </c>
      <c r="H136" s="409" t="b">
        <f>Wh_hp&gt;='2028'!Maxi_hp</f>
        <v>1</v>
      </c>
      <c r="I136" s="385">
        <f>IF(H136,Wh_hp,'2028'!Maxi_hp)</f>
        <v>120.56712774043629</v>
      </c>
      <c r="J136" s="85">
        <f>IF(H136,An,'2028'!An_max)</f>
        <v>2029</v>
      </c>
      <c r="K136" s="193">
        <f t="shared" si="27"/>
        <v>47240</v>
      </c>
      <c r="L136" s="143">
        <f>IF(t&lt;Tvie,1-EXP((T0-t)*PertePVj)+'2028'!Pspv,1-EXP((T0-t)*PertePVj)+Pspv)</f>
        <v>3.7815384845002797E-2</v>
      </c>
      <c r="M136" s="835"/>
      <c r="N136" s="835"/>
      <c r="O136" s="48">
        <f>IF(t&lt;Tnet,'2028'!Resal+('2028'!Salim-'2028'!Resal)*(1-EXP(('2028'!Tnet-t)/('2028'!Tau_j))),Resal+(Salim-Resal)*(1-EXP((Tnet-t)/(Tau_j))))*Salcycl</f>
        <v>3.22284276141531E-2</v>
      </c>
      <c r="P136" s="165">
        <f>(INDEX(Models!$BJ136:$BT136,,T136)*(1-R136)+INDEX(Models!$BJ136:$BT136,,T136+1)*R136-ERP_i)*Q136*Ramure*Pc/MaxiM</f>
        <v>4.6326222045072135E-6</v>
      </c>
      <c r="Q136" s="301">
        <f t="shared" si="28"/>
        <v>0.5</v>
      </c>
      <c r="R136" s="173">
        <f t="shared" si="29"/>
        <v>4.7788880173287293E-2</v>
      </c>
      <c r="S136" s="801">
        <f t="shared" si="30"/>
        <v>0</v>
      </c>
      <c r="T136" s="172">
        <f t="shared" si="31"/>
        <v>6</v>
      </c>
      <c r="U136" s="247">
        <f t="shared" si="32"/>
        <v>4.7788880173287293E-2</v>
      </c>
      <c r="V136" s="378">
        <f t="shared" si="33"/>
        <v>225.37722099215415</v>
      </c>
      <c r="W136" s="397">
        <f t="shared" si="34"/>
        <v>112.26893806270083</v>
      </c>
      <c r="X136" s="153">
        <f t="shared" si="35"/>
        <v>47240</v>
      </c>
      <c r="Y136" s="380">
        <f t="shared" si="36"/>
        <v>109.14138530869675</v>
      </c>
      <c r="Z136" s="380">
        <f t="shared" si="37"/>
        <v>113.43081524029076</v>
      </c>
      <c r="AA136" s="381">
        <f t="shared" si="38"/>
        <v>120.55470502630492</v>
      </c>
      <c r="AB136" s="193">
        <f t="shared" si="39"/>
        <v>47240</v>
      </c>
      <c r="AC136" s="119">
        <f>IF(OR(t&lt;Tnet,NoTnet),'2028'!Resal_s+('2028'!Salim-'2028'!Resal_s)*(1-EXP(('2028'!Tnet_s-t)/'2028'!Tau_j)),Resal_s+(Salim-Resal_s)*(1-EXP((Tnet_s-t)/Tau_j)))*Salcycl</f>
        <v>5.9092590243240546E-2</v>
      </c>
      <c r="AD136" s="227">
        <f>(INDEX(Models!$BJ136:$BT136,,AH136)*(1-AF136)+INDEX(Models!$BJ136:$BT136,,AH136+1)*AF136-ERP_i)*AE136*Ramure*Pc/MaxiM</f>
        <v>3.6401395782353452E-4</v>
      </c>
      <c r="AE136" s="301">
        <f t="shared" si="40"/>
        <v>0.5</v>
      </c>
      <c r="AF136" s="173">
        <f t="shared" si="41"/>
        <v>0.57277644654726556</v>
      </c>
      <c r="AG136" s="801">
        <f t="shared" si="49"/>
        <v>3</v>
      </c>
      <c r="AH136" s="172">
        <f t="shared" si="42"/>
        <v>9</v>
      </c>
      <c r="AI136" s="221">
        <f t="shared" si="43"/>
        <v>3.5727764465472656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47241</v>
      </c>
      <c r="B137" s="406">
        <f>'2028'!Wh/'2028'!Env_an*'2029'!Env_an</f>
        <v>127.83701252639992</v>
      </c>
      <c r="C137" s="831"/>
      <c r="D137" s="388">
        <f t="shared" si="25"/>
        <v>132.8630291091398</v>
      </c>
      <c r="E137" s="380">
        <f t="shared" si="47"/>
        <v>137.29763730291415</v>
      </c>
      <c r="F137" s="380">
        <f t="shared" si="26"/>
        <v>137.29789133183914</v>
      </c>
      <c r="G137" s="110">
        <f t="shared" si="48"/>
        <v>0.56610859847349893</v>
      </c>
      <c r="H137" s="409" t="b">
        <f>Wh_hp&gt;='2028'!Maxi_hp</f>
        <v>1</v>
      </c>
      <c r="I137" s="385">
        <f>IF(H137,Wh_hp,'2028'!Maxi_hp)</f>
        <v>137.29789133183914</v>
      </c>
      <c r="J137" s="85">
        <f>IF(H137,An,'2028'!An_max)</f>
        <v>2029</v>
      </c>
      <c r="K137" s="193">
        <f t="shared" si="27"/>
        <v>47241</v>
      </c>
      <c r="L137" s="143">
        <f>IF(t&lt;Tvie,1-EXP((T0-t)*PertePVj)+'2028'!Pspv,1-EXP((T0-t)*PertePVj)+Pspv)</f>
        <v>3.7828556344378428E-2</v>
      </c>
      <c r="M137" s="835"/>
      <c r="N137" s="835"/>
      <c r="O137" s="48">
        <f>IF(t&lt;Tnet,'2028'!Resal+('2028'!Salim-'2028'!Resal)*(1-EXP(('2028'!Tnet-t)/('2028'!Tau_j))),Resal+(Salim-Resal)*(1-EXP((Tnet-t)/(Tau_j))))*Salcycl</f>
        <v>3.229923166114259E-2</v>
      </c>
      <c r="P137" s="165">
        <f>(INDEX(Models!$BJ137:$BT137,,T137)*(1-R137)+INDEX(Models!$BJ137:$BT137,,T137+1)*R137-ERP_i)*Q137*Ramure*Pc/MaxiM</f>
        <v>4.8669361452118659E-6</v>
      </c>
      <c r="Q137" s="301">
        <f t="shared" si="28"/>
        <v>0.5</v>
      </c>
      <c r="R137" s="173">
        <f t="shared" si="29"/>
        <v>5.0699811438851064E-2</v>
      </c>
      <c r="S137" s="801">
        <f t="shared" si="30"/>
        <v>0</v>
      </c>
      <c r="T137" s="172">
        <f t="shared" si="31"/>
        <v>6</v>
      </c>
      <c r="U137" s="247">
        <f t="shared" si="32"/>
        <v>5.0699811438851064E-2</v>
      </c>
      <c r="V137" s="378">
        <f t="shared" si="33"/>
        <v>225.81643737650373</v>
      </c>
      <c r="W137" s="397">
        <f t="shared" si="34"/>
        <v>127.83701252639992</v>
      </c>
      <c r="X137" s="153">
        <f t="shared" si="35"/>
        <v>47241</v>
      </c>
      <c r="Y137" s="380">
        <f t="shared" si="36"/>
        <v>124.27317020791604</v>
      </c>
      <c r="Z137" s="380">
        <f t="shared" si="37"/>
        <v>129.15907141845673</v>
      </c>
      <c r="AA137" s="381">
        <f t="shared" si="38"/>
        <v>137.27890588778152</v>
      </c>
      <c r="AB137" s="193">
        <f t="shared" si="39"/>
        <v>47241</v>
      </c>
      <c r="AC137" s="119">
        <f>IF(OR(t&lt;Tnet,NoTnet),'2028'!Resal_s+('2028'!Salim-'2028'!Resal_s)*(1-EXP(('2028'!Tnet_s-t)/'2028'!Tau_j)),Resal_s+(Salim-Resal_s)*(1-EXP((Tnet_s-t)/Tau_j)))*Salcycl</f>
        <v>5.9148449769568616E-2</v>
      </c>
      <c r="AD137" s="227">
        <f>(INDEX(Models!$BJ137:$BT137,,AH137)*(1-AF137)+INDEX(Models!$BJ137:$BT137,,AH137+1)*AF137-ERP_i)*AE137*Ramure*Pc/MaxiM</f>
        <v>3.6374182162165694E-4</v>
      </c>
      <c r="AE137" s="301">
        <f t="shared" si="40"/>
        <v>0.5</v>
      </c>
      <c r="AF137" s="173">
        <f t="shared" si="41"/>
        <v>0.5756873778128293</v>
      </c>
      <c r="AG137" s="801">
        <f t="shared" si="49"/>
        <v>3</v>
      </c>
      <c r="AH137" s="172">
        <f t="shared" si="42"/>
        <v>9</v>
      </c>
      <c r="AI137" s="221">
        <f t="shared" si="43"/>
        <v>3.5756873778128293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47242</v>
      </c>
      <c r="B138" s="406">
        <f>'2028'!Wh/'2028'!Env_an*'2029'!Env_an</f>
        <v>75.0332029883686</v>
      </c>
      <c r="C138" s="831"/>
      <c r="D138" s="388">
        <f t="shared" si="25"/>
        <v>77.984262200598522</v>
      </c>
      <c r="E138" s="380">
        <f t="shared" si="47"/>
        <v>80.593097093219455</v>
      </c>
      <c r="F138" s="380">
        <f t="shared" si="26"/>
        <v>80.59311571013663</v>
      </c>
      <c r="G138" s="110">
        <f t="shared" si="48"/>
        <v>0.33165095426150848</v>
      </c>
      <c r="H138" s="409" t="b">
        <f>Wh_hp&gt;='2028'!Maxi_hp</f>
        <v>1</v>
      </c>
      <c r="I138" s="385">
        <f>IF(H138,Wh_hp,'2028'!Maxi_hp)</f>
        <v>80.59311571013663</v>
      </c>
      <c r="J138" s="85">
        <f>IF(H138,An,'2028'!An_max)</f>
        <v>2029</v>
      </c>
      <c r="K138" s="193">
        <f t="shared" si="27"/>
        <v>47242</v>
      </c>
      <c r="L138" s="143">
        <f>IF(t&lt;Tvie,1-EXP((T0-t)*PertePVj)+'2028'!Pspv,1-EXP((T0-t)*PertePVj)+Pspv)</f>
        <v>3.7841727663447289E-2</v>
      </c>
      <c r="M138" s="835"/>
      <c r="N138" s="835"/>
      <c r="O138" s="48">
        <f>IF(t&lt;Tnet,'2028'!Resal+('2028'!Salim-'2028'!Resal)*(1-EXP(('2028'!Tnet-t)/('2028'!Tau_j))),Resal+(Salim-Resal)*(1-EXP((Tnet-t)/(Tau_j))))*Salcycl</f>
        <v>3.2370450903547995E-2</v>
      </c>
      <c r="P138" s="165">
        <f>(INDEX(Models!$BJ138:$BT138,,T138)*(1-R138)+INDEX(Models!$BJ138:$BT138,,T138+1)*R138-ERP_i)*Q138*Ramure*Pc/MaxiM</f>
        <v>5.1085642125004693E-6</v>
      </c>
      <c r="Q138" s="301">
        <f t="shared" si="28"/>
        <v>0.5</v>
      </c>
      <c r="R138" s="173">
        <f t="shared" si="29"/>
        <v>5.3689932355141468E-2</v>
      </c>
      <c r="S138" s="801">
        <f t="shared" si="30"/>
        <v>0</v>
      </c>
      <c r="T138" s="172">
        <f t="shared" si="31"/>
        <v>6</v>
      </c>
      <c r="U138" s="247">
        <f t="shared" si="32"/>
        <v>5.3689932355141468E-2</v>
      </c>
      <c r="V138" s="378">
        <f t="shared" si="33"/>
        <v>226.24037725448085</v>
      </c>
      <c r="W138" s="397">
        <f t="shared" si="34"/>
        <v>75.0332029883686</v>
      </c>
      <c r="X138" s="153">
        <f t="shared" si="35"/>
        <v>47242</v>
      </c>
      <c r="Y138" s="380">
        <f t="shared" si="36"/>
        <v>72.951175777298374</v>
      </c>
      <c r="Z138" s="380">
        <f t="shared" si="37"/>
        <v>75.820348766674456</v>
      </c>
      <c r="AA138" s="381">
        <f t="shared" si="38"/>
        <v>80.591791415417148</v>
      </c>
      <c r="AB138" s="193">
        <f t="shared" si="39"/>
        <v>47242</v>
      </c>
      <c r="AC138" s="119">
        <f>IF(OR(t&lt;Tnet,NoTnet),'2028'!Resal_s+('2028'!Salim-'2028'!Resal_s)*(1-EXP(('2028'!Tnet_s-t)/'2028'!Tau_j)),Resal_s+(Salim-Resal_s)*(1-EXP((Tnet_s-t)/Tau_j)))*Salcycl</f>
        <v>5.920506995740913E-2</v>
      </c>
      <c r="AD138" s="227">
        <f>(INDEX(Models!$BJ138:$BT138,,AH138)*(1-AF138)+INDEX(Models!$BJ138:$BT138,,AH138+1)*AF138-ERP_i)*AE138*Ramure*Pc/MaxiM</f>
        <v>3.6339231388299087E-4</v>
      </c>
      <c r="AE138" s="301">
        <f t="shared" si="40"/>
        <v>0.5</v>
      </c>
      <c r="AF138" s="173">
        <f t="shared" si="41"/>
        <v>0.57867749872911967</v>
      </c>
      <c r="AG138" s="801">
        <f t="shared" si="49"/>
        <v>3</v>
      </c>
      <c r="AH138" s="172">
        <f t="shared" si="42"/>
        <v>9</v>
      </c>
      <c r="AI138" s="221">
        <f t="shared" si="43"/>
        <v>3.5786774987291197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47243</v>
      </c>
      <c r="B139" s="406">
        <f>'2028'!Wh/'2028'!Env_an*'2029'!Env_an</f>
        <v>158.07425927316402</v>
      </c>
      <c r="C139" s="831"/>
      <c r="D139" s="388">
        <f t="shared" si="25"/>
        <v>164.2935759651794</v>
      </c>
      <c r="E139" s="380">
        <f t="shared" si="47"/>
        <v>169.8023160217104</v>
      </c>
      <c r="F139" s="380">
        <f t="shared" si="26"/>
        <v>169.80283254720402</v>
      </c>
      <c r="G139" s="110">
        <f t="shared" si="48"/>
        <v>0.69743747595241301</v>
      </c>
      <c r="H139" s="409" t="b">
        <f>Wh_hp&gt;='2028'!Maxi_hp</f>
        <v>1</v>
      </c>
      <c r="I139" s="385">
        <f>IF(H139,Wh_hp,'2028'!Maxi_hp)</f>
        <v>169.80283254720402</v>
      </c>
      <c r="J139" s="85">
        <f>IF(H139,An,'2028'!An_max)</f>
        <v>2029</v>
      </c>
      <c r="K139" s="193">
        <f t="shared" si="27"/>
        <v>47243</v>
      </c>
      <c r="L139" s="143">
        <f>IF(t&lt;Tvie,1-EXP((T0-t)*PertePVj)+'2028'!Pspv,1-EXP((T0-t)*PertePVj)+Pspv)</f>
        <v>3.7854898802211934E-2</v>
      </c>
      <c r="M139" s="835"/>
      <c r="N139" s="835"/>
      <c r="O139" s="48">
        <f>IF(t&lt;Tnet,'2028'!Resal+('2028'!Salim-'2028'!Resal)*(1-EXP(('2028'!Tnet-t)/('2028'!Tau_j))),Resal+(Salim-Resal)*(1-EXP((Tnet-t)/(Tau_j))))*Salcycl</f>
        <v>3.2442078445070674E-2</v>
      </c>
      <c r="P139" s="165">
        <f>(INDEX(Models!$BJ139:$BT139,,T139)*(1-R139)+INDEX(Models!$BJ139:$BT139,,T139+1)*R139-ERP_i)*Q139*Ramure*Pc/MaxiM</f>
        <v>5.3576493945541582E-6</v>
      </c>
      <c r="Q139" s="301">
        <f t="shared" si="28"/>
        <v>0.5</v>
      </c>
      <c r="R139" s="173">
        <f t="shared" si="29"/>
        <v>5.6759890421717862E-2</v>
      </c>
      <c r="S139" s="801">
        <f t="shared" si="30"/>
        <v>0</v>
      </c>
      <c r="T139" s="172">
        <f t="shared" si="31"/>
        <v>6</v>
      </c>
      <c r="U139" s="247">
        <f t="shared" si="32"/>
        <v>5.6759890421717862E-2</v>
      </c>
      <c r="V139" s="378">
        <f t="shared" si="33"/>
        <v>226.64955449650549</v>
      </c>
      <c r="W139" s="397">
        <f t="shared" si="34"/>
        <v>158.07425927316402</v>
      </c>
      <c r="X139" s="153">
        <f t="shared" si="35"/>
        <v>47243</v>
      </c>
      <c r="Y139" s="380">
        <f t="shared" si="36"/>
        <v>153.66129259865681</v>
      </c>
      <c r="Z139" s="380">
        <f t="shared" si="37"/>
        <v>159.70698432841542</v>
      </c>
      <c r="AA139" s="381">
        <f t="shared" si="38"/>
        <v>169.76783998128724</v>
      </c>
      <c r="AB139" s="193">
        <f t="shared" si="39"/>
        <v>47243</v>
      </c>
      <c r="AC139" s="119">
        <f>IF(OR(t&lt;Tnet,NoTnet),'2028'!Resal_s+('2028'!Salim-'2028'!Resal_s)*(1-EXP(('2028'!Tnet_s-t)/'2028'!Tau_j)),Resal_s+(Salim-Resal_s)*(1-EXP((Tnet_s-t)/Tau_j)))*Salcycl</f>
        <v>5.9262435417572451E-2</v>
      </c>
      <c r="AD139" s="227">
        <f>(INDEX(Models!$BJ139:$BT139,,AH139)*(1-AF139)+INDEX(Models!$BJ139:$BT139,,AH139+1)*AF139-ERP_i)*AE139*Ramure*Pc/MaxiM</f>
        <v>3.6295962526002241E-4</v>
      </c>
      <c r="AE139" s="301">
        <f t="shared" si="40"/>
        <v>0.5</v>
      </c>
      <c r="AF139" s="173">
        <f t="shared" si="41"/>
        <v>0.58174745679569595</v>
      </c>
      <c r="AG139" s="801">
        <f t="shared" si="49"/>
        <v>3</v>
      </c>
      <c r="AH139" s="172">
        <f t="shared" si="42"/>
        <v>9</v>
      </c>
      <c r="AI139" s="221">
        <f t="shared" si="43"/>
        <v>3.5817474567956959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47244</v>
      </c>
      <c r="B140" s="406">
        <f>'2028'!Wh/'2028'!Env_an*'2029'!Env_an</f>
        <v>147.05508278586791</v>
      </c>
      <c r="C140" s="831"/>
      <c r="D140" s="388">
        <f t="shared" si="25"/>
        <v>152.84295028987211</v>
      </c>
      <c r="E140" s="380">
        <f t="shared" si="47"/>
        <v>157.97951296622668</v>
      </c>
      <c r="F140" s="380">
        <f t="shared" si="26"/>
        <v>157.97995351825637</v>
      </c>
      <c r="G140" s="110">
        <f t="shared" si="48"/>
        <v>0.64769099539308927</v>
      </c>
      <c r="H140" s="409" t="b">
        <f>Wh_hp&gt;='2028'!Maxi_hp</f>
        <v>1</v>
      </c>
      <c r="I140" s="385">
        <f>IF(H140,Wh_hp,'2028'!Maxi_hp)</f>
        <v>157.97995351825637</v>
      </c>
      <c r="J140" s="85">
        <f>IF(H140,An,'2028'!An_max)</f>
        <v>2029</v>
      </c>
      <c r="K140" s="193">
        <f t="shared" si="27"/>
        <v>47244</v>
      </c>
      <c r="L140" s="143">
        <f>IF(t&lt;Tvie,1-EXP((T0-t)*PertePVj)+'2028'!Pspv,1-EXP((T0-t)*PertePVj)+Pspv)</f>
        <v>3.7868069760674583E-2</v>
      </c>
      <c r="M140" s="835"/>
      <c r="N140" s="835"/>
      <c r="O140" s="48">
        <f>IF(t&lt;Tnet,'2028'!Resal+('2028'!Salim-'2028'!Resal)*(1-EXP(('2028'!Tnet-t)/('2028'!Tau_j))),Resal+(Salim-Resal)*(1-EXP((Tnet-t)/(Tau_j))))*Salcycl</f>
        <v>3.2514106290811882E-2</v>
      </c>
      <c r="P140" s="165">
        <f>(INDEX(Models!$BJ140:$BT140,,T140)*(1-R140)+INDEX(Models!$BJ140:$BT140,,T140+1)*R140-ERP_i)*Q140*Ramure*Pc/MaxiM</f>
        <v>5.6143248199489887E-6</v>
      </c>
      <c r="Q140" s="301">
        <f t="shared" si="28"/>
        <v>0.5</v>
      </c>
      <c r="R140" s="173">
        <f t="shared" si="29"/>
        <v>5.9910229783059238E-2</v>
      </c>
      <c r="S140" s="801">
        <f t="shared" si="30"/>
        <v>0</v>
      </c>
      <c r="T140" s="172">
        <f t="shared" si="31"/>
        <v>6</v>
      </c>
      <c r="U140" s="247">
        <f t="shared" si="32"/>
        <v>5.9910229783059238E-2</v>
      </c>
      <c r="V140" s="378">
        <f t="shared" si="33"/>
        <v>227.04448309762731</v>
      </c>
      <c r="W140" s="397">
        <f t="shared" si="34"/>
        <v>147.05508278586791</v>
      </c>
      <c r="X140" s="153">
        <f t="shared" si="35"/>
        <v>47244</v>
      </c>
      <c r="Y140" s="380">
        <f t="shared" si="36"/>
        <v>142.95524207219353</v>
      </c>
      <c r="Z140" s="380">
        <f t="shared" si="37"/>
        <v>148.58174599468302</v>
      </c>
      <c r="AA140" s="381">
        <f t="shared" si="38"/>
        <v>157.95151329493541</v>
      </c>
      <c r="AB140" s="193">
        <f t="shared" si="39"/>
        <v>47244</v>
      </c>
      <c r="AC140" s="119">
        <f>IF(OR(t&lt;Tnet,NoTnet),'2028'!Resal_s+('2028'!Salim-'2028'!Resal_s)*(1-EXP(('2028'!Tnet_s-t)/'2028'!Tau_j)),Resal_s+(Salim-Resal_s)*(1-EXP((Tnet_s-t)/Tau_j)))*Salcycl</f>
        <v>5.9320528843282858E-2</v>
      </c>
      <c r="AD140" s="227">
        <f>(INDEX(Models!$BJ140:$BT140,,AH140)*(1-AF140)+INDEX(Models!$BJ140:$BT140,,AH140+1)*AF140-ERP_i)*AE140*Ramure*Pc/MaxiM</f>
        <v>3.6243767118788496E-4</v>
      </c>
      <c r="AE140" s="301">
        <f t="shared" si="40"/>
        <v>0.5</v>
      </c>
      <c r="AF140" s="173">
        <f t="shared" si="41"/>
        <v>0.58489779615703741</v>
      </c>
      <c r="AG140" s="801">
        <f t="shared" si="49"/>
        <v>3</v>
      </c>
      <c r="AH140" s="172">
        <f t="shared" si="42"/>
        <v>9</v>
      </c>
      <c r="AI140" s="221">
        <f t="shared" si="43"/>
        <v>3.5848977961570374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47245</v>
      </c>
      <c r="B141" s="406">
        <f>'2028'!Wh/'2028'!Env_an*'2029'!Env_an</f>
        <v>186.49880968894425</v>
      </c>
      <c r="C141" s="831"/>
      <c r="D141" s="388">
        <f t="shared" si="25"/>
        <v>193.84177665696237</v>
      </c>
      <c r="E141" s="380">
        <f t="shared" si="47"/>
        <v>200.37117709353936</v>
      </c>
      <c r="F141" s="380">
        <f t="shared" si="26"/>
        <v>200.37205219920017</v>
      </c>
      <c r="G141" s="110">
        <f t="shared" si="48"/>
        <v>0.82004165115916461</v>
      </c>
      <c r="H141" s="409" t="b">
        <f>Wh_hp&gt;='2028'!Maxi_hp</f>
        <v>1</v>
      </c>
      <c r="I141" s="385">
        <f>IF(H141,Wh_hp,'2028'!Maxi_hp)</f>
        <v>200.37205219920017</v>
      </c>
      <c r="J141" s="85">
        <f>IF(H141,An,'2028'!An_max)</f>
        <v>2029</v>
      </c>
      <c r="K141" s="193">
        <f t="shared" si="27"/>
        <v>47245</v>
      </c>
      <c r="L141" s="143">
        <f>IF(t&lt;Tvie,1-EXP((T0-t)*PertePVj)+'2028'!Pspv,1-EXP((T0-t)*PertePVj)+Pspv)</f>
        <v>3.7881240538838012E-2</v>
      </c>
      <c r="M141" s="835"/>
      <c r="N141" s="835"/>
      <c r="O141" s="48">
        <f>IF(t&lt;Tnet,'2028'!Resal+('2028'!Salim-'2028'!Resal)*(1-EXP(('2028'!Tnet-t)/('2028'!Tau_j))),Resal+(Salim-Resal)*(1-EXP((Tnet-t)/(Tau_j))))*Salcycl</f>
        <v>3.2586525324093264E-2</v>
      </c>
      <c r="P141" s="165">
        <f>(INDEX(Models!$BJ141:$BT141,,T141)*(1-R141)+INDEX(Models!$BJ141:$BT141,,T141+1)*R141-ERP_i)*Q141*Ramure*Pc/MaxiM</f>
        <v>5.8787125274638432E-6</v>
      </c>
      <c r="Q141" s="301">
        <f t="shared" si="28"/>
        <v>0.5</v>
      </c>
      <c r="R141" s="173">
        <f t="shared" si="29"/>
        <v>6.3141384188211566E-2</v>
      </c>
      <c r="S141" s="801">
        <f t="shared" si="30"/>
        <v>0</v>
      </c>
      <c r="T141" s="172">
        <f t="shared" si="31"/>
        <v>6</v>
      </c>
      <c r="U141" s="247">
        <f t="shared" si="32"/>
        <v>6.3141384188211566E-2</v>
      </c>
      <c r="V141" s="378">
        <f t="shared" si="33"/>
        <v>227.42567717970113</v>
      </c>
      <c r="W141" s="397">
        <f t="shared" si="34"/>
        <v>186.49880968894425</v>
      </c>
      <c r="X141" s="153">
        <f t="shared" si="35"/>
        <v>47245</v>
      </c>
      <c r="Y141" s="380">
        <f t="shared" si="36"/>
        <v>181.28571809718616</v>
      </c>
      <c r="Z141" s="380">
        <f t="shared" si="37"/>
        <v>188.42343142619512</v>
      </c>
      <c r="AA141" s="381">
        <f t="shared" si="38"/>
        <v>200.31819162806468</v>
      </c>
      <c r="AB141" s="193">
        <f t="shared" si="39"/>
        <v>47245</v>
      </c>
      <c r="AC141" s="119">
        <f>IF(OR(t&lt;Tnet,NoTnet),'2028'!Resal_s+('2028'!Salim-'2028'!Resal_s)*(1-EXP(('2028'!Tnet_s-t)/'2028'!Tau_j)),Resal_s+(Salim-Resal_s)*(1-EXP((Tnet_s-t)/Tau_j)))*Salcycl</f>
        <v>5.9379330979359247E-2</v>
      </c>
      <c r="AD141" s="227">
        <f>(INDEX(Models!$BJ141:$BT141,,AH141)*(1-AF141)+INDEX(Models!$BJ141:$BT141,,AH141+1)*AF141-ERP_i)*AE141*Ramure*Pc/MaxiM</f>
        <v>3.6182009607184937E-4</v>
      </c>
      <c r="AE141" s="301">
        <f t="shared" si="40"/>
        <v>0.5</v>
      </c>
      <c r="AF141" s="173">
        <f t="shared" si="41"/>
        <v>0.58812895056218961</v>
      </c>
      <c r="AG141" s="801">
        <f t="shared" si="49"/>
        <v>3</v>
      </c>
      <c r="AH141" s="172">
        <f t="shared" si="42"/>
        <v>9</v>
      </c>
      <c r="AI141" s="221">
        <f t="shared" si="43"/>
        <v>3.5881289505621896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47246</v>
      </c>
      <c r="B142" s="406">
        <f>'2028'!Wh/'2028'!Env_an*'2029'!Env_an</f>
        <v>203.74963410463798</v>
      </c>
      <c r="C142" s="831"/>
      <c r="D142" s="388">
        <f t="shared" si="25"/>
        <v>211.77471211383696</v>
      </c>
      <c r="E142" s="380">
        <f t="shared" si="47"/>
        <v>218.92464325101594</v>
      </c>
      <c r="F142" s="380">
        <f t="shared" si="26"/>
        <v>218.92578611235012</v>
      </c>
      <c r="G142" s="110">
        <f t="shared" si="48"/>
        <v>0.89444742459734827</v>
      </c>
      <c r="H142" s="409" t="b">
        <f>Wh_hp&gt;='2028'!Maxi_hp</f>
        <v>1</v>
      </c>
      <c r="I142" s="385">
        <f>IF(H142,Wh_hp,'2028'!Maxi_hp)</f>
        <v>218.92578611235012</v>
      </c>
      <c r="J142" s="85">
        <f>IF(H142,An,'2028'!An_max)</f>
        <v>2029</v>
      </c>
      <c r="K142" s="193">
        <f t="shared" si="27"/>
        <v>47246</v>
      </c>
      <c r="L142" s="143">
        <f>IF(t&lt;Tvie,1-EXP((T0-t)*PertePVj)+'2028'!Pspv,1-EXP((T0-t)*PertePVj)+Pspv)</f>
        <v>3.7894411136704553E-2</v>
      </c>
      <c r="M142" s="835"/>
      <c r="N142" s="835"/>
      <c r="O142" s="48">
        <f>IF(t&lt;Tnet,'2028'!Resal+('2028'!Salim-'2028'!Resal)*(1-EXP(('2028'!Tnet-t)/('2028'!Tau_j))),Resal+(Salim-Resal)*(1-EXP((Tnet-t)/(Tau_j))))*Salcycl</f>
        <v>3.2659325286559841E-2</v>
      </c>
      <c r="P142" s="165">
        <f>(INDEX(Models!$BJ142:$BT142,,T142)*(1-R142)+INDEX(Models!$BJ142:$BT142,,T142+1)*R142-ERP_i)*Q142*Ramure*Pc/MaxiM</f>
        <v>6.1472461881568625E-6</v>
      </c>
      <c r="Q142" s="301">
        <f t="shared" si="28"/>
        <v>0.5</v>
      </c>
      <c r="R142" s="173">
        <f t="shared" si="29"/>
        <v>6.6453669986344513E-2</v>
      </c>
      <c r="S142" s="801">
        <f t="shared" si="30"/>
        <v>0</v>
      </c>
      <c r="T142" s="172">
        <f t="shared" si="31"/>
        <v>6</v>
      </c>
      <c r="U142" s="247">
        <f t="shared" si="32"/>
        <v>6.6453669986344513E-2</v>
      </c>
      <c r="V142" s="378">
        <f t="shared" si="33"/>
        <v>227.79365185524259</v>
      </c>
      <c r="W142" s="397">
        <f t="shared" si="34"/>
        <v>203.74963410463798</v>
      </c>
      <c r="X142" s="153">
        <f t="shared" si="35"/>
        <v>47246</v>
      </c>
      <c r="Y142" s="380">
        <f t="shared" si="36"/>
        <v>198.0494181399709</v>
      </c>
      <c r="Z142" s="380">
        <f t="shared" si="37"/>
        <v>205.84998198998252</v>
      </c>
      <c r="AA142" s="381">
        <f t="shared" si="38"/>
        <v>218.85868404728083</v>
      </c>
      <c r="AB142" s="193">
        <f t="shared" si="39"/>
        <v>47246</v>
      </c>
      <c r="AC142" s="119">
        <f>IF(OR(t&lt;Tnet,NoTnet),'2028'!Resal_s+('2028'!Salim-'2028'!Resal_s)*(1-EXP(('2028'!Tnet_s-t)/'2028'!Tau_j)),Resal_s+(Salim-Resal_s)*(1-EXP((Tnet_s-t)/Tau_j)))*Salcycl</f>
        <v>5.9438820597532117E-2</v>
      </c>
      <c r="AD142" s="227">
        <f>(INDEX(Models!$BJ142:$BT142,,AH142)*(1-AF142)+INDEX(Models!$BJ142:$BT142,,AH142+1)*AF142-ERP_i)*AE142*Ramure*Pc/MaxiM</f>
        <v>3.6092997582054889E-4</v>
      </c>
      <c r="AE142" s="301">
        <f t="shared" si="40"/>
        <v>0.5</v>
      </c>
      <c r="AF142" s="173">
        <f t="shared" si="41"/>
        <v>0.59144123636032253</v>
      </c>
      <c r="AG142" s="801">
        <f t="shared" si="49"/>
        <v>3</v>
      </c>
      <c r="AH142" s="172">
        <f t="shared" si="42"/>
        <v>9</v>
      </c>
      <c r="AI142" s="221">
        <f t="shared" si="43"/>
        <v>3.5914412363603225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47247</v>
      </c>
      <c r="B143" s="406">
        <f>'2028'!Wh/'2028'!Env_an*'2029'!Env_an</f>
        <v>219.6997267298355</v>
      </c>
      <c r="C143" s="831"/>
      <c r="D143" s="388">
        <f t="shared" ref="D143:D206" si="50">Wh/(1-Ppv)</f>
        <v>228.35615635009796</v>
      </c>
      <c r="E143" s="380">
        <f t="shared" si="47"/>
        <v>236.08376701738081</v>
      </c>
      <c r="F143" s="380">
        <f t="shared" ref="F143:F206" si="51">Wh_sa/(1-Pvg*MEDIAN((-Sdif+Wh/Env_an)/Csdif,0,1))</f>
        <v>236.08520211895498</v>
      </c>
      <c r="G143" s="110">
        <f t="shared" si="48"/>
        <v>0.96296598847182391</v>
      </c>
      <c r="H143" s="409" t="b">
        <f>Wh_hp&gt;='2028'!Maxi_hp</f>
        <v>1</v>
      </c>
      <c r="I143" s="385">
        <f>IF(H143,Wh_hp,'2028'!Maxi_hp)</f>
        <v>236.08520211895498</v>
      </c>
      <c r="J143" s="85">
        <f>IF(H143,An,'2028'!An_max)</f>
        <v>2029</v>
      </c>
      <c r="K143" s="193">
        <f t="shared" ref="K143:K206" si="52">t</f>
        <v>47247</v>
      </c>
      <c r="L143" s="143">
        <f>IF(t&lt;Tvie,1-EXP((T0-t)*PertePVj)+'2028'!Pspv,1-EXP((T0-t)*PertePVj)+Pspv)</f>
        <v>3.7907581554276537E-2</v>
      </c>
      <c r="M143" s="835"/>
      <c r="N143" s="835"/>
      <c r="O143" s="48">
        <f>IF(t&lt;Tnet,'2028'!Resal+('2028'!Salim-'2028'!Resal)*(1-EXP(('2028'!Tnet-t)/('2028'!Tau_j))),Resal+(Salim-Resal)*(1-EXP((Tnet-t)/(Tau_j))))*Salcycl</f>
        <v>3.2732494761971181E-2</v>
      </c>
      <c r="P143" s="165">
        <f>(INDEX(Models!$BJ143:$BT143,,T143)*(1-R143)+INDEX(Models!$BJ143:$BT143,,T143+1)*R143-ERP_i)*Q143*Ramure*Pc/MaxiM</f>
        <v>6.4183064860576212E-6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6.984727920368991E-2</v>
      </c>
      <c r="S143" s="801">
        <f t="shared" ref="S143:S206" si="55">INDEX(Echel_vg,T143)</f>
        <v>0</v>
      </c>
      <c r="T143" s="172">
        <f t="shared" ref="T143:T206" si="56">MIN(MATCH(Hp_vg,Echel_vg),10)</f>
        <v>6</v>
      </c>
      <c r="U143" s="247">
        <f t="shared" ref="U143:U206" si="57">IF(OR(t&lt;Ttai,Notai),Hdd+PousH*Croivg,Hdtf+PousH*(Croivg-Croi_tai))</f>
        <v>6.984727920368991E-2</v>
      </c>
      <c r="V143" s="378">
        <f t="shared" ref="V143:V206" si="58">MaxiM*(1-Ppv)*(1-Pvg)*(1-Psa)</f>
        <v>228.1489219326551</v>
      </c>
      <c r="W143" s="397">
        <f t="shared" ref="W143:W206" si="59">Wh*(A143&gt;Tmaj)</f>
        <v>219.6997267298355</v>
      </c>
      <c r="X143" s="153">
        <f t="shared" ref="X143:X206" si="60">t</f>
        <v>47247</v>
      </c>
      <c r="Y143" s="380">
        <f t="shared" ref="Y143:Y206" si="61">Wh_pvt_s*(1-Ppv)</f>
        <v>213.54862932996701</v>
      </c>
      <c r="Z143" s="380">
        <f t="shared" ref="Z143:Z206" si="62">Wh_sa_s*(1-Psa_s)</f>
        <v>221.96269842242228</v>
      </c>
      <c r="AA143" s="381">
        <f t="shared" ref="AA143:AA206" si="63">Wh_hp*(1-Pvg_s*MEDIAN((-Sdif+Wh/Env_an)/Csdif,0,1))</f>
        <v>236.00473832483567</v>
      </c>
      <c r="AB143" s="193">
        <f t="shared" ref="AB143:AB206" si="64">t</f>
        <v>47247</v>
      </c>
      <c r="AC143" s="119">
        <f>IF(OR(t&lt;Tnet,NoTnet),'2028'!Resal_s+('2028'!Salim-'2028'!Resal_s)*(1-EXP(('2028'!Tnet_s-t)/'2028'!Tau_j)),Resal_s+(Salim-Resal_s)*(1-EXP((Tnet_s-t)/Tau_j)))*Salcycl</f>
        <v>5.9498974478580248E-2</v>
      </c>
      <c r="AD143" s="227">
        <f>(INDEX(Models!$BJ143:$BT143,,AH143)*(1-AF143)+INDEX(Models!$BJ143:$BT143,,AH143+1)*AF143-ERP_i)*AE143*Ramure*Pc/MaxiM</f>
        <v>3.5986392947957575E-4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0.59483484557766797</v>
      </c>
      <c r="AG143" s="801">
        <f t="shared" si="49"/>
        <v>3</v>
      </c>
      <c r="AH143" s="172">
        <f t="shared" ref="AH143:AH206" si="67">MIN(MATCH(Hp_vg_s,Echel_vg),10)</f>
        <v>9</v>
      </c>
      <c r="AI143" s="221">
        <f t="shared" ref="AI143:AI206" si="68">IF(OR(t&lt;Ttai,Notai),Hdd_s+PousH*Croivg,Hdtai_s+PousH*(Croivg-Croi_tai))</f>
        <v>3.594834845577668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47248</v>
      </c>
      <c r="B144" s="406">
        <f>'2028'!Wh/'2028'!Env_an*'2029'!Env_an</f>
        <v>210.25842708745287</v>
      </c>
      <c r="C144" s="831"/>
      <c r="D144" s="388">
        <f t="shared" si="50"/>
        <v>218.54585002118085</v>
      </c>
      <c r="E144" s="380">
        <f t="shared" ref="E144:E169" si="72">Wh_pvt/(1-Psa)</f>
        <v>225.95865442029995</v>
      </c>
      <c r="F144" s="380">
        <f t="shared" si="51"/>
        <v>225.95999400514879</v>
      </c>
      <c r="G144" s="110">
        <f t="shared" ref="G144:G169" si="73">+Wh_hp/MaxiM</f>
        <v>0.9201996775842971</v>
      </c>
      <c r="H144" s="409" t="b">
        <f>Wh_hp&gt;='2028'!Maxi_hp</f>
        <v>1</v>
      </c>
      <c r="I144" s="385">
        <f>IF(H144,Wh_hp,'2028'!Maxi_hp)</f>
        <v>225.95999400514879</v>
      </c>
      <c r="J144" s="85">
        <f>IF(H144,An,'2028'!An_max)</f>
        <v>2029</v>
      </c>
      <c r="K144" s="193">
        <f t="shared" si="52"/>
        <v>47248</v>
      </c>
      <c r="L144" s="143">
        <f>IF(t&lt;Tvie,1-EXP((T0-t)*PertePVj)+'2028'!Pspv,1-EXP((T0-t)*PertePVj)+Pspv)</f>
        <v>3.7920751791556739E-2</v>
      </c>
      <c r="M144" s="835"/>
      <c r="N144" s="835"/>
      <c r="O144" s="48">
        <f>IF(t&lt;Tnet,'2028'!Resal+('2028'!Salim-'2028'!Resal)*(1-EXP(('2028'!Tnet-t)/('2028'!Tau_j))),Resal+(Salim-Resal)*(1-EXP((Tnet-t)/(Tau_j))))*Salcycl</f>
        <v>3.280602116407863E-2</v>
      </c>
      <c r="P144" s="165">
        <f>(INDEX(Models!$BJ144:$BT144,,T144)*(1-R144)+INDEX(Models!$BJ144:$BT144,,T144+1)*R144-ERP_i)*Q144*Ramure*Pc/MaxiM</f>
        <v>6.6912103775832519E-6</v>
      </c>
      <c r="Q144" s="301">
        <f t="shared" si="53"/>
        <v>0.5</v>
      </c>
      <c r="R144" s="173">
        <f t="shared" si="54"/>
        <v>7.3322272750408146E-2</v>
      </c>
      <c r="S144" s="801">
        <f t="shared" si="55"/>
        <v>0</v>
      </c>
      <c r="T144" s="172">
        <f t="shared" si="56"/>
        <v>6</v>
      </c>
      <c r="U144" s="247">
        <f t="shared" si="57"/>
        <v>7.3322272750408146E-2</v>
      </c>
      <c r="V144" s="378">
        <f t="shared" si="58"/>
        <v>228.49200214297997</v>
      </c>
      <c r="W144" s="397">
        <f t="shared" si="59"/>
        <v>210.25842708745287</v>
      </c>
      <c r="X144" s="153">
        <f t="shared" si="60"/>
        <v>47248</v>
      </c>
      <c r="Y144" s="380">
        <f t="shared" si="61"/>
        <v>204.37868019624756</v>
      </c>
      <c r="Z144" s="380">
        <f t="shared" si="62"/>
        <v>212.43435047251643</v>
      </c>
      <c r="AA144" s="381">
        <f t="shared" si="63"/>
        <v>225.88819906784263</v>
      </c>
      <c r="AB144" s="193">
        <f t="shared" si="64"/>
        <v>47248</v>
      </c>
      <c r="AC144" s="119">
        <f>IF(OR(t&lt;Tnet,NoTnet),'2028'!Resal_s+('2028'!Salim-'2028'!Resal_s)*(1-EXP(('2028'!Tnet_s-t)/'2028'!Tau_j)),Resal_s+(Salim-Resal_s)*(1-EXP((Tnet_s-t)/Tau_j)))*Salcycl</f>
        <v>5.9559767401950542E-2</v>
      </c>
      <c r="AD144" s="227">
        <f>(INDEX(Models!$BJ144:$BT144,,AH144)*(1-AF144)+INDEX(Models!$BJ144:$BT144,,AH144+1)*AF144-ERP_i)*AE144*Ramure*Pc/MaxiM</f>
        <v>3.5861485741229057E-4</v>
      </c>
      <c r="AE144" s="301">
        <f t="shared" si="65"/>
        <v>0.5</v>
      </c>
      <c r="AF144" s="173">
        <f t="shared" si="66"/>
        <v>0.5983098391243864</v>
      </c>
      <c r="AG144" s="801">
        <f t="shared" ref="AG144:AG207" si="74">INDEX(Echel_vg,AH144)</f>
        <v>3</v>
      </c>
      <c r="AH144" s="172">
        <f t="shared" si="67"/>
        <v>9</v>
      </c>
      <c r="AI144" s="221">
        <f t="shared" si="68"/>
        <v>3.5983098391243864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47249</v>
      </c>
      <c r="B145" s="406">
        <f>'2028'!Wh/'2028'!Env_an*'2029'!Env_an</f>
        <v>226.46871344917594</v>
      </c>
      <c r="C145" s="831"/>
      <c r="D145" s="388">
        <f t="shared" si="50"/>
        <v>235.39829393457131</v>
      </c>
      <c r="E145" s="380">
        <f t="shared" si="72"/>
        <v>243.40130215263986</v>
      </c>
      <c r="F145" s="380">
        <f t="shared" si="51"/>
        <v>243.40297258238232</v>
      </c>
      <c r="G145" s="110">
        <f t="shared" si="73"/>
        <v>0.98970945694372359</v>
      </c>
      <c r="H145" s="409" t="b">
        <f>Wh_hp&gt;='2028'!Maxi_hp</f>
        <v>1</v>
      </c>
      <c r="I145" s="385">
        <f>IF(H145,Wh_hp,'2028'!Maxi_hp)</f>
        <v>243.40297258238232</v>
      </c>
      <c r="J145" s="85">
        <f>IF(H145,An,'2028'!An_max)</f>
        <v>2029</v>
      </c>
      <c r="K145" s="193">
        <f t="shared" si="52"/>
        <v>47249</v>
      </c>
      <c r="L145" s="143">
        <f>IF(t&lt;Tvie,1-EXP((T0-t)*PertePVj)+'2028'!Pspv,1-EXP((T0-t)*PertePVj)+Pspv)</f>
        <v>3.793392184854727E-2</v>
      </c>
      <c r="M145" s="835"/>
      <c r="N145" s="835"/>
      <c r="O145" s="48">
        <f>IF(t&lt;Tnet,'2028'!Resal+('2028'!Salim-'2028'!Resal)*(1-EXP(('2028'!Tnet-t)/('2028'!Tau_j))),Resal+(Salim-Resal)*(1-EXP((Tnet-t)/(Tau_j))))*Salcycl</f>
        <v>3.2879890728973009E-2</v>
      </c>
      <c r="P145" s="165">
        <f>(INDEX(Models!$BJ145:$BT145,,T145)*(1-R145)+INDEX(Models!$BJ145:$BT145,,T145+1)*R145-ERP_i)*Q145*Ramure*Pc/MaxiM</f>
        <v>6.9652086658330681E-6</v>
      </c>
      <c r="Q145" s="301">
        <f t="shared" si="53"/>
        <v>0.5</v>
      </c>
      <c r="R145" s="173">
        <f t="shared" si="54"/>
        <v>7.6878573808772402E-2</v>
      </c>
      <c r="S145" s="801">
        <f t="shared" si="55"/>
        <v>0</v>
      </c>
      <c r="T145" s="172">
        <f t="shared" si="56"/>
        <v>6</v>
      </c>
      <c r="U145" s="247">
        <f t="shared" si="57"/>
        <v>7.6878573808772402E-2</v>
      </c>
      <c r="V145" s="378">
        <f t="shared" si="58"/>
        <v>228.8234073862059</v>
      </c>
      <c r="W145" s="397">
        <f t="shared" si="59"/>
        <v>226.46871344917594</v>
      </c>
      <c r="X145" s="153">
        <f t="shared" si="60"/>
        <v>47249</v>
      </c>
      <c r="Y145" s="380">
        <f t="shared" si="61"/>
        <v>220.1307719321178</v>
      </c>
      <c r="Z145" s="380">
        <f t="shared" si="62"/>
        <v>228.81044964716429</v>
      </c>
      <c r="AA145" s="381">
        <f t="shared" si="63"/>
        <v>243.3173130542649</v>
      </c>
      <c r="AB145" s="193">
        <f t="shared" si="64"/>
        <v>47249</v>
      </c>
      <c r="AC145" s="119">
        <f>IF(OR(t&lt;Tnet,NoTnet),'2028'!Resal_s+('2028'!Salim-'2028'!Resal_s)*(1-EXP(('2028'!Tnet_s-t)/'2028'!Tau_j)),Resal_s+(Salim-Resal_s)*(1-EXP((Tnet_s-t)/Tau_j)))*Salcycl</f>
        <v>5.9621172143493335E-2</v>
      </c>
      <c r="AD145" s="227">
        <f>(INDEX(Models!$BJ145:$BT145,,AH145)*(1-AF145)+INDEX(Models!$BJ145:$BT145,,AH145+1)*AF145-ERP_i)*AE145*Ramure*Pc/MaxiM</f>
        <v>3.571754455703058E-4</v>
      </c>
      <c r="AE145" s="301">
        <f t="shared" si="65"/>
        <v>0.5</v>
      </c>
      <c r="AF145" s="173">
        <f t="shared" si="66"/>
        <v>0.60186614018275053</v>
      </c>
      <c r="AG145" s="801">
        <f t="shared" si="74"/>
        <v>3</v>
      </c>
      <c r="AH145" s="172">
        <f t="shared" si="67"/>
        <v>9</v>
      </c>
      <c r="AI145" s="221">
        <f t="shared" si="68"/>
        <v>3.6018661401827505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47250</v>
      </c>
      <c r="B146" s="406">
        <f>'2028'!Wh/'2028'!Env_an*'2029'!Env_an</f>
        <v>170.10054171308366</v>
      </c>
      <c r="C146" s="831"/>
      <c r="D146" s="388">
        <f t="shared" si="50"/>
        <v>176.80996569941794</v>
      </c>
      <c r="E146" s="380">
        <f t="shared" si="72"/>
        <v>182.83513078237263</v>
      </c>
      <c r="F146" s="380">
        <f t="shared" si="51"/>
        <v>182.83596719196737</v>
      </c>
      <c r="G146" s="110">
        <f t="shared" si="73"/>
        <v>0.74232947937392568</v>
      </c>
      <c r="H146" s="409" t="b">
        <f>Wh_hp&gt;='2028'!Maxi_hp</f>
        <v>1</v>
      </c>
      <c r="I146" s="385">
        <f>IF(H146,Wh_hp,'2028'!Maxi_hp)</f>
        <v>182.83596719196737</v>
      </c>
      <c r="J146" s="85">
        <f>IF(H146,An,'2028'!An_max)</f>
        <v>2029</v>
      </c>
      <c r="K146" s="193">
        <f t="shared" si="52"/>
        <v>47250</v>
      </c>
      <c r="L146" s="143">
        <f>IF(t&lt;Tvie,1-EXP((T0-t)*PertePVj)+'2028'!Pspv,1-EXP((T0-t)*PertePVj)+Pspv)</f>
        <v>3.7947091725250903E-2</v>
      </c>
      <c r="M146" s="835"/>
      <c r="N146" s="835"/>
      <c r="O146" s="48">
        <f>IF(t&lt;Tnet,'2028'!Resal+('2028'!Salim-'2028'!Resal)*(1-EXP(('2028'!Tnet-t)/('2028'!Tau_j))),Resal+(Salim-Resal)*(1-EXP((Tnet-t)/(Tau_j))))*Salcycl</f>
        <v>3.2954088512269504E-2</v>
      </c>
      <c r="P146" s="165">
        <f>(INDEX(Models!$BJ146:$BT146,,T146)*(1-R146)+INDEX(Models!$BJ146:$BT146,,T146+1)*R146-ERP_i)*Q146*Ramure*Pc/MaxiM</f>
        <v>7.2394835588962258E-6</v>
      </c>
      <c r="Q146" s="301">
        <f t="shared" si="53"/>
        <v>0.5</v>
      </c>
      <c r="R146" s="173">
        <f t="shared" si="54"/>
        <v>8.0515961456601143E-2</v>
      </c>
      <c r="S146" s="801">
        <f t="shared" si="55"/>
        <v>0</v>
      </c>
      <c r="T146" s="172">
        <f t="shared" si="56"/>
        <v>6</v>
      </c>
      <c r="U146" s="247">
        <f t="shared" si="57"/>
        <v>8.0515961456601143E-2</v>
      </c>
      <c r="V146" s="378">
        <f t="shared" si="58"/>
        <v>229.14365271327162</v>
      </c>
      <c r="W146" s="397">
        <f t="shared" si="59"/>
        <v>170.10054171308366</v>
      </c>
      <c r="X146" s="153">
        <f t="shared" si="60"/>
        <v>47250</v>
      </c>
      <c r="Y146" s="380">
        <f t="shared" si="61"/>
        <v>165.36257352540224</v>
      </c>
      <c r="Z146" s="380">
        <f t="shared" si="62"/>
        <v>171.88511370122791</v>
      </c>
      <c r="AA146" s="381">
        <f t="shared" si="63"/>
        <v>182.79489029094012</v>
      </c>
      <c r="AB146" s="193">
        <f t="shared" si="64"/>
        <v>47250</v>
      </c>
      <c r="AC146" s="119">
        <f>IF(OR(t&lt;Tnet,NoTnet),'2028'!Resal_s+('2028'!Salim-'2028'!Resal_s)*(1-EXP(('2028'!Tnet_s-t)/'2028'!Tau_j)),Resal_s+(Salim-Resal_s)*(1-EXP((Tnet_s-t)/Tau_j)))*Salcycl</f>
        <v>5.9683159481908832E-2</v>
      </c>
      <c r="AD146" s="227">
        <f>(INDEX(Models!$BJ146:$BT146,,AH146)*(1-AF146)+INDEX(Models!$BJ146:$BT146,,AH146+1)*AF146-ERP_i)*AE146*Ramure*Pc/MaxiM</f>
        <v>3.5553818548728539E-4</v>
      </c>
      <c r="AE146" s="301">
        <f t="shared" si="65"/>
        <v>0.5</v>
      </c>
      <c r="AF146" s="173">
        <f t="shared" si="66"/>
        <v>0.60550352783057937</v>
      </c>
      <c r="AG146" s="801">
        <f t="shared" si="74"/>
        <v>3</v>
      </c>
      <c r="AH146" s="172">
        <f t="shared" si="67"/>
        <v>9</v>
      </c>
      <c r="AI146" s="221">
        <f t="shared" si="68"/>
        <v>3.6055035278305794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47251</v>
      </c>
      <c r="B147" s="406">
        <f>'2028'!Wh/'2028'!Env_an*'2029'!Env_an</f>
        <v>161.632125621634</v>
      </c>
      <c r="C147" s="831"/>
      <c r="D147" s="388">
        <f t="shared" si="50"/>
        <v>168.00982240139948</v>
      </c>
      <c r="E147" s="380">
        <f t="shared" si="72"/>
        <v>173.74849154992629</v>
      </c>
      <c r="F147" s="380">
        <f t="shared" si="51"/>
        <v>173.74924574289659</v>
      </c>
      <c r="G147" s="110">
        <f t="shared" si="73"/>
        <v>0.70442066304944839</v>
      </c>
      <c r="H147" s="409" t="b">
        <f>Wh_hp&gt;='2028'!Maxi_hp</f>
        <v>1</v>
      </c>
      <c r="I147" s="385">
        <f>IF(H147,Wh_hp,'2028'!Maxi_hp)</f>
        <v>173.74924574289659</v>
      </c>
      <c r="J147" s="85">
        <f>IF(H147,An,'2028'!An_max)</f>
        <v>2029</v>
      </c>
      <c r="K147" s="193">
        <f t="shared" si="52"/>
        <v>47251</v>
      </c>
      <c r="L147" s="143">
        <f>IF(t&lt;Tvie,1-EXP((T0-t)*PertePVj)+'2028'!Pspv,1-EXP((T0-t)*PertePVj)+Pspv)</f>
        <v>3.7960261421669972E-2</v>
      </c>
      <c r="M147" s="835"/>
      <c r="N147" s="835"/>
      <c r="O147" s="48">
        <f>IF(t&lt;Tnet,'2028'!Resal+('2028'!Salim-'2028'!Resal)*(1-EXP(('2028'!Tnet-t)/('2028'!Tau_j))),Resal+(Salim-Resal)*(1-EXP((Tnet-t)/(Tau_j))))*Salcycl</f>
        <v>3.3028598391473339E-2</v>
      </c>
      <c r="P147" s="165">
        <f>(INDEX(Models!$BJ147:$BT147,,T147)*(1-R147)+INDEX(Models!$BJ147:$BT147,,T147+1)*R147-ERP_i)*Q147*Ramure*Pc/MaxiM</f>
        <v>7.5131464680936256E-6</v>
      </c>
      <c r="Q147" s="301">
        <f t="shared" si="53"/>
        <v>0.5</v>
      </c>
      <c r="R147" s="173">
        <f t="shared" si="54"/>
        <v>8.423406458205325E-2</v>
      </c>
      <c r="S147" s="801">
        <f t="shared" si="55"/>
        <v>0</v>
      </c>
      <c r="T147" s="172">
        <f t="shared" si="56"/>
        <v>6</v>
      </c>
      <c r="U147" s="247">
        <f t="shared" si="57"/>
        <v>8.423406458205325E-2</v>
      </c>
      <c r="V147" s="378">
        <f t="shared" si="58"/>
        <v>229.45325333030718</v>
      </c>
      <c r="W147" s="397">
        <f t="shared" si="59"/>
        <v>161.632125621634</v>
      </c>
      <c r="X147" s="153">
        <f t="shared" si="60"/>
        <v>47251</v>
      </c>
      <c r="Y147" s="380">
        <f t="shared" si="61"/>
        <v>157.134849182594</v>
      </c>
      <c r="Z147" s="380">
        <f t="shared" si="62"/>
        <v>163.33509197323033</v>
      </c>
      <c r="AA147" s="381">
        <f t="shared" si="63"/>
        <v>173.71374070084676</v>
      </c>
      <c r="AB147" s="193">
        <f t="shared" si="64"/>
        <v>47251</v>
      </c>
      <c r="AC147" s="119">
        <f>IF(OR(t&lt;Tnet,NoTnet),'2028'!Resal_s+('2028'!Salim-'2028'!Resal_s)*(1-EXP(('2028'!Tnet_s-t)/'2028'!Tau_j)),Resal_s+(Salim-Resal_s)*(1-EXP((Tnet_s-t)/Tau_j)))*Salcycl</f>
        <v>5.9745698214452338E-2</v>
      </c>
      <c r="AD147" s="227">
        <f>(INDEX(Models!$BJ147:$BT147,,AH147)*(1-AF147)+INDEX(Models!$BJ147:$BT147,,AH147+1)*AF147-ERP_i)*AE147*Ramure*Pc/MaxiM</f>
        <v>3.5369539598036754E-4</v>
      </c>
      <c r="AE147" s="301">
        <f t="shared" si="65"/>
        <v>0.5</v>
      </c>
      <c r="AF147" s="173">
        <f t="shared" si="66"/>
        <v>0.60922163095603121</v>
      </c>
      <c r="AG147" s="801">
        <f t="shared" si="74"/>
        <v>3</v>
      </c>
      <c r="AH147" s="172">
        <f t="shared" si="67"/>
        <v>9</v>
      </c>
      <c r="AI147" s="221">
        <f t="shared" si="68"/>
        <v>3.6092216309560312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47252</v>
      </c>
      <c r="B148" s="406">
        <f>'2028'!Wh/'2028'!Env_an*'2029'!Env_an</f>
        <v>199.42084263903359</v>
      </c>
      <c r="C148" s="831"/>
      <c r="D148" s="388">
        <f t="shared" si="50"/>
        <v>207.29244810092291</v>
      </c>
      <c r="E148" s="380">
        <f t="shared" si="72"/>
        <v>214.3894691117151</v>
      </c>
      <c r="F148" s="380">
        <f t="shared" si="51"/>
        <v>214.39082340655861</v>
      </c>
      <c r="G148" s="110">
        <f t="shared" si="73"/>
        <v>0.8679790421318162</v>
      </c>
      <c r="H148" s="409" t="b">
        <f>Wh_hp&gt;='2028'!Maxi_hp</f>
        <v>1</v>
      </c>
      <c r="I148" s="385">
        <f>IF(H148,Wh_hp,'2028'!Maxi_hp)</f>
        <v>214.39082340655861</v>
      </c>
      <c r="J148" s="85">
        <f>IF(H148,An,'2028'!An_max)</f>
        <v>2029</v>
      </c>
      <c r="K148" s="193">
        <f t="shared" si="52"/>
        <v>47252</v>
      </c>
      <c r="L148" s="143">
        <f>IF(t&lt;Tvie,1-EXP((T0-t)*PertePVj)+'2028'!Pspv,1-EXP((T0-t)*PertePVj)+Pspv)</f>
        <v>3.7973430937806918E-2</v>
      </c>
      <c r="M148" s="835"/>
      <c r="N148" s="835"/>
      <c r="O148" s="48">
        <f>IF(t&lt;Tnet,'2028'!Resal+('2028'!Salim-'2028'!Resal)*(1-EXP(('2028'!Tnet-t)/('2028'!Tau_j))),Resal+(Salim-Resal)*(1-EXP((Tnet-t)/(Tau_j))))*Salcycl</f>
        <v>3.3103403073842456E-2</v>
      </c>
      <c r="P148" s="165">
        <f>(INDEX(Models!$BJ148:$BT148,,T148)*(1-R148)+INDEX(Models!$BJ148:$BT148,,T148+1)*R148-ERP_i)*Q148*Ramure*Pc/MaxiM</f>
        <v>7.785236089015629E-6</v>
      </c>
      <c r="Q148" s="301">
        <f t="shared" si="53"/>
        <v>0.5</v>
      </c>
      <c r="R148" s="173">
        <f t="shared" si="54"/>
        <v>8.8032356147655616E-2</v>
      </c>
      <c r="S148" s="801">
        <f t="shared" si="55"/>
        <v>0</v>
      </c>
      <c r="T148" s="172">
        <f t="shared" si="56"/>
        <v>6</v>
      </c>
      <c r="U148" s="247">
        <f t="shared" si="57"/>
        <v>8.8032356147655616E-2</v>
      </c>
      <c r="V148" s="378">
        <f t="shared" si="58"/>
        <v>229.75272460423054</v>
      </c>
      <c r="W148" s="397">
        <f t="shared" si="59"/>
        <v>199.42084263903359</v>
      </c>
      <c r="X148" s="153">
        <f t="shared" si="60"/>
        <v>47252</v>
      </c>
      <c r="Y148" s="380">
        <f t="shared" si="61"/>
        <v>193.85880473610229</v>
      </c>
      <c r="Z148" s="380">
        <f t="shared" si="62"/>
        <v>201.51086359816503</v>
      </c>
      <c r="AA148" s="381">
        <f t="shared" si="63"/>
        <v>214.32965336457377</v>
      </c>
      <c r="AB148" s="193">
        <f t="shared" si="64"/>
        <v>47252</v>
      </c>
      <c r="AC148" s="119">
        <f>IF(OR(t&lt;Tnet,NoTnet),'2028'!Resal_s+('2028'!Salim-'2028'!Resal_s)*(1-EXP(('2028'!Tnet_s-t)/'2028'!Tau_j)),Resal_s+(Salim-Resal_s)*(1-EXP((Tnet_s-t)/Tau_j)))*Salcycl</f>
        <v>5.9808755182391996E-2</v>
      </c>
      <c r="AD148" s="227">
        <f>(INDEX(Models!$BJ148:$BT148,,AH148)*(1-AF148)+INDEX(Models!$BJ148:$BT148,,AH148+1)*AF148-ERP_i)*AE148*Ramure*Pc/MaxiM</f>
        <v>3.5163924658660324E-4</v>
      </c>
      <c r="AE148" s="301">
        <f t="shared" si="65"/>
        <v>0.5</v>
      </c>
      <c r="AF148" s="173">
        <f t="shared" si="66"/>
        <v>0.61301992252163373</v>
      </c>
      <c r="AG148" s="801">
        <f t="shared" si="74"/>
        <v>3</v>
      </c>
      <c r="AH148" s="172">
        <f t="shared" si="67"/>
        <v>9</v>
      </c>
      <c r="AI148" s="221">
        <f t="shared" si="68"/>
        <v>3.6130199225216337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47253</v>
      </c>
      <c r="B149" s="406">
        <f>'2028'!Wh/'2028'!Env_an*'2029'!Env_an</f>
        <v>209.82423204250171</v>
      </c>
      <c r="C149" s="831"/>
      <c r="D149" s="388">
        <f t="shared" si="50"/>
        <v>218.10946926746601</v>
      </c>
      <c r="E149" s="380">
        <f t="shared" si="72"/>
        <v>225.59434774958845</v>
      </c>
      <c r="F149" s="380">
        <f t="shared" si="51"/>
        <v>225.59593675151336</v>
      </c>
      <c r="G149" s="110">
        <f t="shared" si="73"/>
        <v>0.91211888763496685</v>
      </c>
      <c r="H149" s="409" t="b">
        <f>Wh_hp&gt;='2028'!Maxi_hp</f>
        <v>1</v>
      </c>
      <c r="I149" s="385">
        <f>IF(H149,Wh_hp,'2028'!Maxi_hp)</f>
        <v>225.59593675151336</v>
      </c>
      <c r="J149" s="85">
        <f>IF(H149,An,'2028'!An_max)</f>
        <v>2029</v>
      </c>
      <c r="K149" s="193">
        <f t="shared" si="52"/>
        <v>47253</v>
      </c>
      <c r="L149" s="143">
        <f>IF(t&lt;Tvie,1-EXP((T0-t)*PertePVj)+'2028'!Pspv,1-EXP((T0-t)*PertePVj)+Pspv)</f>
        <v>3.7986600273664295E-2</v>
      </c>
      <c r="M149" s="835"/>
      <c r="N149" s="835"/>
      <c r="O149" s="48">
        <f>IF(t&lt;Tnet,'2028'!Resal+('2028'!Salim-'2028'!Resal)*(1-EXP(('2028'!Tnet-t)/('2028'!Tau_j))),Resal+(Salim-Resal)*(1-EXP((Tnet-t)/(Tau_j))))*Salcycl</f>
        <v>3.3178484110030569E-2</v>
      </c>
      <c r="P149" s="165">
        <f>(INDEX(Models!$BJ149:$BT149,,T149)*(1-R149)+INDEX(Models!$BJ149:$BT149,,T149+1)*R149-ERP_i)*Q149*Ramure*Pc/MaxiM</f>
        <v>8.0547998873580057E-6</v>
      </c>
      <c r="Q149" s="301">
        <f t="shared" si="53"/>
        <v>0.5</v>
      </c>
      <c r="R149" s="173">
        <f t="shared" si="54"/>
        <v>9.1910147862695246E-2</v>
      </c>
      <c r="S149" s="801">
        <f t="shared" si="55"/>
        <v>0</v>
      </c>
      <c r="T149" s="172">
        <f t="shared" si="56"/>
        <v>6</v>
      </c>
      <c r="U149" s="247">
        <f t="shared" si="57"/>
        <v>9.1910147862695246E-2</v>
      </c>
      <c r="V149" s="378">
        <f t="shared" si="58"/>
        <v>230.04020934770634</v>
      </c>
      <c r="W149" s="397">
        <f t="shared" si="59"/>
        <v>209.82423204250171</v>
      </c>
      <c r="X149" s="153">
        <f t="shared" si="60"/>
        <v>47253</v>
      </c>
      <c r="Y149" s="380">
        <f t="shared" si="61"/>
        <v>203.97011758678195</v>
      </c>
      <c r="Z149" s="380">
        <f t="shared" si="62"/>
        <v>212.0241959673383</v>
      </c>
      <c r="AA149" s="381">
        <f t="shared" si="63"/>
        <v>225.52701607330687</v>
      </c>
      <c r="AB149" s="193">
        <f t="shared" si="64"/>
        <v>47253</v>
      </c>
      <c r="AC149" s="119">
        <f>IF(OR(t&lt;Tnet,NoTnet),'2028'!Resal_s+('2028'!Salim-'2028'!Resal_s)*(1-EXP(('2028'!Tnet_s-t)/'2028'!Tau_j)),Resal_s+(Salim-Resal_s)*(1-EXP((Tnet_s-t)/Tau_j)))*Salcycl</f>
        <v>5.9872295306649767E-2</v>
      </c>
      <c r="AD149" s="227">
        <f>(INDEX(Models!$BJ149:$BT149,,AH149)*(1-AF149)+INDEX(Models!$BJ149:$BT149,,AH149+1)*AF149-ERP_i)*AE149*Ramure*Pc/MaxiM</f>
        <v>3.4936538612972181E-4</v>
      </c>
      <c r="AE149" s="301">
        <f t="shared" si="65"/>
        <v>0.5</v>
      </c>
      <c r="AF149" s="173">
        <f t="shared" si="66"/>
        <v>0.61689771423667317</v>
      </c>
      <c r="AG149" s="801">
        <f t="shared" si="74"/>
        <v>3</v>
      </c>
      <c r="AH149" s="172">
        <f t="shared" si="67"/>
        <v>9</v>
      </c>
      <c r="AI149" s="221">
        <f t="shared" si="68"/>
        <v>3.6168977142366732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47254</v>
      </c>
      <c r="B150" s="406">
        <f>'2028'!Wh/'2028'!Env_an*'2029'!Env_an</f>
        <v>202.91183274752152</v>
      </c>
      <c r="C150" s="831"/>
      <c r="D150" s="388">
        <f t="shared" si="50"/>
        <v>210.92701051343172</v>
      </c>
      <c r="E150" s="380">
        <f t="shared" si="72"/>
        <v>218.18240950378515</v>
      </c>
      <c r="F150" s="380">
        <f t="shared" si="51"/>
        <v>218.18391555281727</v>
      </c>
      <c r="G150" s="110">
        <f t="shared" si="73"/>
        <v>0.88102189143000442</v>
      </c>
      <c r="H150" s="409" t="b">
        <f>Wh_hp&gt;='2028'!Maxi_hp</f>
        <v>1</v>
      </c>
      <c r="I150" s="385">
        <f>IF(H150,Wh_hp,'2028'!Maxi_hp)</f>
        <v>218.18391555281727</v>
      </c>
      <c r="J150" s="85">
        <f>IF(H150,An,'2028'!An_max)</f>
        <v>2029</v>
      </c>
      <c r="K150" s="193">
        <f t="shared" si="52"/>
        <v>47254</v>
      </c>
      <c r="L150" s="143">
        <f>IF(t&lt;Tvie,1-EXP((T0-t)*PertePVj)+'2028'!Pspv,1-EXP((T0-t)*PertePVj)+Pspv)</f>
        <v>3.7999769429244434E-2</v>
      </c>
      <c r="M150" s="835"/>
      <c r="N150" s="835"/>
      <c r="O150" s="48">
        <f>IF(t&lt;Tnet,'2028'!Resal+('2028'!Salim-'2028'!Resal)*(1-EXP(('2028'!Tnet-t)/('2028'!Tau_j))),Resal+(Salim-Resal)*(1-EXP((Tnet-t)/(Tau_j))))*Salcycl</f>
        <v>3.3253821913757642E-2</v>
      </c>
      <c r="P150" s="165">
        <f>(INDEX(Models!$BJ150:$BT150,,T150)*(1-R150)+INDEX(Models!$BJ150:$BT150,,T150+1)*R150-ERP_i)*Q150*Ramure*Pc/MaxiM</f>
        <v>8.3161247073254612E-6</v>
      </c>
      <c r="Q150" s="301">
        <f t="shared" si="53"/>
        <v>0.5</v>
      </c>
      <c r="R150" s="173">
        <f t="shared" si="54"/>
        <v>9.5866585323821363E-2</v>
      </c>
      <c r="S150" s="801">
        <f t="shared" si="55"/>
        <v>0</v>
      </c>
      <c r="T150" s="172">
        <f t="shared" si="56"/>
        <v>6</v>
      </c>
      <c r="U150" s="247">
        <f t="shared" si="57"/>
        <v>9.5866585323821363E-2</v>
      </c>
      <c r="V150" s="378">
        <f t="shared" si="58"/>
        <v>230.31385248231237</v>
      </c>
      <c r="W150" s="397">
        <f t="shared" si="59"/>
        <v>202.91183274752152</v>
      </c>
      <c r="X150" s="153">
        <f t="shared" si="60"/>
        <v>47254</v>
      </c>
      <c r="Y150" s="380">
        <f t="shared" si="61"/>
        <v>197.25590428407202</v>
      </c>
      <c r="Z150" s="380">
        <f t="shared" si="62"/>
        <v>205.04766840548459</v>
      </c>
      <c r="AA150" s="381">
        <f t="shared" si="63"/>
        <v>218.12103201035293</v>
      </c>
      <c r="AB150" s="193">
        <f t="shared" si="64"/>
        <v>47254</v>
      </c>
      <c r="AC150" s="119">
        <f>IF(OR(t&lt;Tnet,NoTnet),'2028'!Resal_s+('2028'!Salim-'2028'!Resal_s)*(1-EXP(('2028'!Tnet_s-t)/'2028'!Tau_j)),Resal_s+(Salim-Resal_s)*(1-EXP((Tnet_s-t)/Tau_j)))*Salcycl</f>
        <v>5.9936281633986718E-2</v>
      </c>
      <c r="AD150" s="227">
        <f>(INDEX(Models!$BJ150:$BT150,,AH150)*(1-AF150)+INDEX(Models!$BJ150:$BT150,,AH150+1)*AF150-ERP_i)*AE150*Ramure*Pc/MaxiM</f>
        <v>3.4723131187654812E-4</v>
      </c>
      <c r="AE150" s="301">
        <f t="shared" si="65"/>
        <v>0.5</v>
      </c>
      <c r="AF150" s="173">
        <f t="shared" si="66"/>
        <v>0.62085415169779967</v>
      </c>
      <c r="AG150" s="801">
        <f t="shared" si="74"/>
        <v>3</v>
      </c>
      <c r="AH150" s="172">
        <f t="shared" si="67"/>
        <v>9</v>
      </c>
      <c r="AI150" s="221">
        <f t="shared" si="68"/>
        <v>3.6208541516977997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47255</v>
      </c>
      <c r="B151" s="406">
        <f>'2028'!Wh/'2028'!Env_an*'2029'!Env_an</f>
        <v>221.20610748565335</v>
      </c>
      <c r="C151" s="831"/>
      <c r="D151" s="388">
        <f t="shared" si="50"/>
        <v>229.9470713449974</v>
      </c>
      <c r="E151" s="380">
        <f t="shared" si="72"/>
        <v>237.87531175872985</v>
      </c>
      <c r="F151" s="380">
        <f t="shared" si="51"/>
        <v>237.87723169197011</v>
      </c>
      <c r="G151" s="110">
        <f t="shared" si="73"/>
        <v>0.95937023866141491</v>
      </c>
      <c r="H151" s="409" t="b">
        <f>Wh_hp&gt;='2028'!Maxi_hp</f>
        <v>1</v>
      </c>
      <c r="I151" s="385">
        <f>IF(H151,Wh_hp,'2028'!Maxi_hp)</f>
        <v>237.87723169197011</v>
      </c>
      <c r="J151" s="85">
        <f>IF(H151,An,'2028'!An_max)</f>
        <v>2029</v>
      </c>
      <c r="K151" s="193">
        <f t="shared" si="52"/>
        <v>47255</v>
      </c>
      <c r="L151" s="143">
        <f>IF(t&lt;Tvie,1-EXP((T0-t)*PertePVj)+'2028'!Pspv,1-EXP((T0-t)*PertePVj)+Pspv)</f>
        <v>3.8012938404550001E-2</v>
      </c>
      <c r="M151" s="835"/>
      <c r="N151" s="835"/>
      <c r="O151" s="48">
        <f>IF(t&lt;Tnet,'2028'!Resal+('2028'!Salim-'2028'!Resal)*(1-EXP(('2028'!Tnet-t)/('2028'!Tau_j))),Resal+(Salim-Resal)*(1-EXP((Tnet-t)/(Tau_j))))*Salcycl</f>
        <v>3.3329395787713559E-2</v>
      </c>
      <c r="P151" s="165">
        <f>(INDEX(Models!$BJ151:$BT151,,T151)*(1-R151)+INDEX(Models!$BJ151:$BT151,,T151+1)*R151-ERP_i)*Q151*Ramure*Pc/MaxiM</f>
        <v>8.568437570347074E-6</v>
      </c>
      <c r="Q151" s="301">
        <f t="shared" si="53"/>
        <v>0.5</v>
      </c>
      <c r="R151" s="173">
        <f t="shared" si="54"/>
        <v>9.9900643683795171E-2</v>
      </c>
      <c r="S151" s="801">
        <f t="shared" si="55"/>
        <v>0</v>
      </c>
      <c r="T151" s="172">
        <f t="shared" si="56"/>
        <v>6</v>
      </c>
      <c r="U151" s="247">
        <f t="shared" si="57"/>
        <v>9.9900643683795171E-2</v>
      </c>
      <c r="V151" s="378">
        <f t="shared" si="58"/>
        <v>230.57417101186479</v>
      </c>
      <c r="W151" s="397">
        <f t="shared" si="59"/>
        <v>221.20610748565335</v>
      </c>
      <c r="X151" s="153">
        <f t="shared" si="60"/>
        <v>47255</v>
      </c>
      <c r="Y151" s="380">
        <f t="shared" si="61"/>
        <v>215.03461631880913</v>
      </c>
      <c r="Z151" s="380">
        <f t="shared" si="62"/>
        <v>223.53171357853344</v>
      </c>
      <c r="AA151" s="381">
        <f t="shared" si="63"/>
        <v>237.79986615653218</v>
      </c>
      <c r="AB151" s="193">
        <f t="shared" si="64"/>
        <v>47255</v>
      </c>
      <c r="AC151" s="119">
        <f>IF(OR(t&lt;Tnet,NoTnet),'2028'!Resal_s+('2028'!Salim-'2028'!Resal_s)*(1-EXP(('2028'!Tnet_s-t)/'2028'!Tau_j)),Resal_s+(Salim-Resal_s)*(1-EXP((Tnet_s-t)/Tau_j)))*Salcycl</f>
        <v>6.0000675394016927E-2</v>
      </c>
      <c r="AD151" s="227">
        <f>(INDEX(Models!$BJ151:$BT151,,AH151)*(1-AF151)+INDEX(Models!$BJ151:$BT151,,AH151+1)*AF151-ERP_i)*AE151*Ramure*Pc/MaxiM</f>
        <v>3.4527333898823548E-4</v>
      </c>
      <c r="AE151" s="301">
        <f t="shared" si="65"/>
        <v>0.5</v>
      </c>
      <c r="AF151" s="173">
        <f t="shared" si="66"/>
        <v>0.62488821005777329</v>
      </c>
      <c r="AG151" s="801">
        <f t="shared" si="74"/>
        <v>3</v>
      </c>
      <c r="AH151" s="172">
        <f t="shared" si="67"/>
        <v>9</v>
      </c>
      <c r="AI151" s="221">
        <f t="shared" si="68"/>
        <v>3.6248882100577733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47256</v>
      </c>
      <c r="B152" s="406">
        <f>'2028'!Wh/'2028'!Env_an*'2029'!Env_an</f>
        <v>212.45424974454878</v>
      </c>
      <c r="C152" s="831"/>
      <c r="D152" s="388">
        <f t="shared" si="50"/>
        <v>220.85240705033067</v>
      </c>
      <c r="E152" s="380">
        <f t="shared" si="72"/>
        <v>228.48499017839183</v>
      </c>
      <c r="F152" s="380">
        <f t="shared" si="51"/>
        <v>228.48677432647796</v>
      </c>
      <c r="G152" s="110">
        <f t="shared" si="73"/>
        <v>0.92042495691820181</v>
      </c>
      <c r="H152" s="409" t="b">
        <f>Wh_hp&gt;='2028'!Maxi_hp</f>
        <v>1</v>
      </c>
      <c r="I152" s="385">
        <f>IF(H152,Wh_hp,'2028'!Maxi_hp)</f>
        <v>228.48677432647796</v>
      </c>
      <c r="J152" s="85">
        <f>IF(H152,An,'2028'!An_max)</f>
        <v>2029</v>
      </c>
      <c r="K152" s="193">
        <f t="shared" si="52"/>
        <v>47256</v>
      </c>
      <c r="L152" s="143">
        <f>IF(t&lt;Tvie,1-EXP((T0-t)*PertePVj)+'2028'!Pspv,1-EXP((T0-t)*PertePVj)+Pspv)</f>
        <v>3.8026107199583326E-2</v>
      </c>
      <c r="M152" s="835"/>
      <c r="N152" s="835"/>
      <c r="O152" s="48">
        <f>IF(t&lt;Tnet,'2028'!Resal+('2028'!Salim-'2028'!Resal)*(1-EXP(('2028'!Tnet-t)/('2028'!Tau_j))),Resal+(Salim-Resal)*(1-EXP((Tnet-t)/(Tau_j))))*Salcycl</f>
        <v>3.3405183955856135E-2</v>
      </c>
      <c r="P152" s="165">
        <f>(INDEX(Models!$BJ152:$BT152,,T152)*(1-R152)+INDEX(Models!$BJ152:$BT152,,T152+1)*R152-ERP_i)*Q152*Ramure*Pc/MaxiM</f>
        <v>8.8100417687624078E-6</v>
      </c>
      <c r="Q152" s="301">
        <f t="shared" si="53"/>
        <v>0.5</v>
      </c>
      <c r="R152" s="173">
        <f t="shared" si="54"/>
        <v>0.10401112390775227</v>
      </c>
      <c r="S152" s="801">
        <f t="shared" si="55"/>
        <v>0</v>
      </c>
      <c r="T152" s="172">
        <f t="shared" si="56"/>
        <v>6</v>
      </c>
      <c r="U152" s="247">
        <f t="shared" si="57"/>
        <v>0.10401112390775227</v>
      </c>
      <c r="V152" s="378">
        <f t="shared" si="58"/>
        <v>230.82168228129945</v>
      </c>
      <c r="W152" s="397">
        <f t="shared" si="59"/>
        <v>212.45424974454878</v>
      </c>
      <c r="X152" s="153">
        <f t="shared" si="60"/>
        <v>47256</v>
      </c>
      <c r="Y152" s="380">
        <f t="shared" si="61"/>
        <v>206.53313332712347</v>
      </c>
      <c r="Z152" s="380">
        <f t="shared" si="62"/>
        <v>214.69723333746796</v>
      </c>
      <c r="AA152" s="381">
        <f t="shared" si="63"/>
        <v>228.41721283145571</v>
      </c>
      <c r="AB152" s="193">
        <f t="shared" si="64"/>
        <v>47256</v>
      </c>
      <c r="AC152" s="119">
        <f>IF(OR(t&lt;Tnet,NoTnet),'2028'!Resal_s+('2028'!Salim-'2028'!Resal_s)*(1-EXP(('2028'!Tnet_s-t)/'2028'!Tau_j)),Resal_s+(Salim-Resal_s)*(1-EXP((Tnet_s-t)/Tau_j)))*Salcycl</f>
        <v>6.0065436067252204E-2</v>
      </c>
      <c r="AD152" s="227">
        <f>(INDEX(Models!$BJ152:$BT152,,AH152)*(1-AF152)+INDEX(Models!$BJ152:$BT152,,AH152+1)*AF152-ERP_i)*AE152*Ramure*Pc/MaxiM</f>
        <v>3.4349148560323061E-4</v>
      </c>
      <c r="AE152" s="301">
        <f t="shared" si="65"/>
        <v>0.5</v>
      </c>
      <c r="AF152" s="173">
        <f t="shared" si="66"/>
        <v>0.62899869028173061</v>
      </c>
      <c r="AG152" s="801">
        <f t="shared" si="74"/>
        <v>3</v>
      </c>
      <c r="AH152" s="172">
        <f t="shared" si="67"/>
        <v>9</v>
      </c>
      <c r="AI152" s="221">
        <f t="shared" si="68"/>
        <v>3.6289986902817306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47257</v>
      </c>
      <c r="B153" s="406">
        <f>'2028'!Wh/'2028'!Env_an*'2029'!Env_an</f>
        <v>216.86933553702366</v>
      </c>
      <c r="C153" s="831"/>
      <c r="D153" s="388">
        <f t="shared" si="50"/>
        <v>225.44510403022346</v>
      </c>
      <c r="E153" s="380">
        <f t="shared" si="72"/>
        <v>233.25474428460967</v>
      </c>
      <c r="F153" s="380">
        <f t="shared" si="51"/>
        <v>233.25666777506135</v>
      </c>
      <c r="G153" s="110">
        <f t="shared" si="73"/>
        <v>0.93859633734562165</v>
      </c>
      <c r="H153" s="409" t="b">
        <f>Wh_hp&gt;='2028'!Maxi_hp</f>
        <v>1</v>
      </c>
      <c r="I153" s="385">
        <f>IF(H153,Wh_hp,'2028'!Maxi_hp)</f>
        <v>233.25666777506135</v>
      </c>
      <c r="J153" s="85">
        <f>IF(H153,An,'2028'!An_max)</f>
        <v>2029</v>
      </c>
      <c r="K153" s="193">
        <f t="shared" si="52"/>
        <v>47257</v>
      </c>
      <c r="L153" s="143">
        <f>IF(t&lt;Tvie,1-EXP((T0-t)*PertePVj)+'2028'!Pspv,1-EXP((T0-t)*PertePVj)+Pspv)</f>
        <v>3.8039275814346851E-2</v>
      </c>
      <c r="M153" s="835"/>
      <c r="N153" s="835"/>
      <c r="O153" s="48">
        <f>IF(t&lt;Tnet,'2028'!Resal+('2028'!Salim-'2028'!Resal)*(1-EXP(('2028'!Tnet-t)/('2028'!Tau_j))),Resal+(Salim-Resal)*(1-EXP((Tnet-t)/(Tau_j))))*Salcycl</f>
        <v>3.3481163602216493E-2</v>
      </c>
      <c r="P153" s="165">
        <f>(INDEX(Models!$BJ153:$BT153,,T153)*(1-R153)+INDEX(Models!$BJ153:$BT153,,T153+1)*R153-ERP_i)*Q153*Ramure*Pc/MaxiM</f>
        <v>9.0391392780918869E-6</v>
      </c>
      <c r="Q153" s="301">
        <f t="shared" si="53"/>
        <v>0.5</v>
      </c>
      <c r="R153" s="173">
        <f t="shared" si="54"/>
        <v>0.10819664967504874</v>
      </c>
      <c r="S153" s="801">
        <f t="shared" si="55"/>
        <v>0</v>
      </c>
      <c r="T153" s="172">
        <f t="shared" si="56"/>
        <v>6</v>
      </c>
      <c r="U153" s="247">
        <f t="shared" si="57"/>
        <v>0.10819664967504874</v>
      </c>
      <c r="V153" s="378">
        <f t="shared" si="58"/>
        <v>231.05690375200805</v>
      </c>
      <c r="W153" s="397">
        <f t="shared" si="59"/>
        <v>216.86933553702366</v>
      </c>
      <c r="X153" s="153">
        <f t="shared" si="60"/>
        <v>47257</v>
      </c>
      <c r="Y153" s="380">
        <f t="shared" si="61"/>
        <v>210.82566471698232</v>
      </c>
      <c r="Z153" s="380">
        <f t="shared" si="62"/>
        <v>219.16244542671589</v>
      </c>
      <c r="AA153" s="381">
        <f t="shared" si="63"/>
        <v>233.18391588602825</v>
      </c>
      <c r="AB153" s="193">
        <f t="shared" si="64"/>
        <v>47257</v>
      </c>
      <c r="AC153" s="119">
        <f>IF(OR(t&lt;Tnet,NoTnet),'2028'!Resal_s+('2028'!Salim-'2028'!Resal_s)*(1-EXP(('2028'!Tnet_s-t)/'2028'!Tau_j)),Resal_s+(Salim-Resal_s)*(1-EXP((Tnet_s-t)/Tau_j)))*Salcycl</f>
        <v>6.0130521464291431E-2</v>
      </c>
      <c r="AD153" s="227">
        <f>(INDEX(Models!$BJ153:$BT153,,AH153)*(1-AF153)+INDEX(Models!$BJ153:$BT153,,AH153+1)*AF153-ERP_i)*AE153*Ramure*Pc/MaxiM</f>
        <v>3.4188600059619417E-4</v>
      </c>
      <c r="AE153" s="301">
        <f t="shared" si="65"/>
        <v>0.5</v>
      </c>
      <c r="AF153" s="173">
        <f t="shared" si="66"/>
        <v>0.63318421604902708</v>
      </c>
      <c r="AG153" s="801">
        <f t="shared" si="74"/>
        <v>3</v>
      </c>
      <c r="AH153" s="172">
        <f t="shared" si="67"/>
        <v>9</v>
      </c>
      <c r="AI153" s="221">
        <f t="shared" si="68"/>
        <v>3.6331842160490271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47258</v>
      </c>
      <c r="B154" s="406">
        <f>'2028'!Wh/'2028'!Env_an*'2029'!Env_an</f>
        <v>194.51546642125393</v>
      </c>
      <c r="C154" s="831"/>
      <c r="D154" s="388">
        <f t="shared" si="50"/>
        <v>202.21005319709187</v>
      </c>
      <c r="E154" s="380">
        <f t="shared" si="72"/>
        <v>209.23129274101592</v>
      </c>
      <c r="F154" s="380">
        <f t="shared" si="51"/>
        <v>209.23278925477109</v>
      </c>
      <c r="G154" s="110">
        <f t="shared" si="73"/>
        <v>0.84103580406565415</v>
      </c>
      <c r="H154" s="409" t="b">
        <f>Wh_hp&gt;='2028'!Maxi_hp</f>
        <v>1</v>
      </c>
      <c r="I154" s="385">
        <f>IF(H154,Wh_hp,'2028'!Maxi_hp)</f>
        <v>209.23278925477109</v>
      </c>
      <c r="J154" s="85">
        <f>IF(H154,An,'2028'!An_max)</f>
        <v>2029</v>
      </c>
      <c r="K154" s="193">
        <f t="shared" si="52"/>
        <v>47258</v>
      </c>
      <c r="L154" s="143">
        <f>IF(t&lt;Tvie,1-EXP((T0-t)*PertePVj)+'2028'!Pspv,1-EXP((T0-t)*PertePVj)+Pspv)</f>
        <v>3.8052444248843131E-2</v>
      </c>
      <c r="M154" s="835"/>
      <c r="N154" s="835"/>
      <c r="O154" s="48">
        <f>IF(t&lt;Tnet,'2028'!Resal+('2028'!Salim-'2028'!Resal)*(1-EXP(('2028'!Tnet-t)/('2028'!Tau_j))),Resal+(Salim-Resal)*(1-EXP((Tnet-t)/(Tau_j))))*Salcycl</f>
        <v>3.3557310916273203E-2</v>
      </c>
      <c r="P154" s="165">
        <f>(INDEX(Models!$BJ154:$BT154,,T154)*(1-R154)+INDEX(Models!$BJ154:$BT154,,T154+1)*R154-ERP_i)*Q154*Ramure*Pc/MaxiM</f>
        <v>9.2538314161706609E-6</v>
      </c>
      <c r="Q154" s="301">
        <f t="shared" si="53"/>
        <v>0.5</v>
      </c>
      <c r="R154" s="173">
        <f t="shared" si="54"/>
        <v>0.11245566498270942</v>
      </c>
      <c r="S154" s="801">
        <f t="shared" si="55"/>
        <v>0</v>
      </c>
      <c r="T154" s="172">
        <f t="shared" si="56"/>
        <v>6</v>
      </c>
      <c r="U154" s="247">
        <f t="shared" si="57"/>
        <v>0.11245566498270942</v>
      </c>
      <c r="V154" s="378">
        <f t="shared" si="58"/>
        <v>231.28035300574101</v>
      </c>
      <c r="W154" s="397">
        <f t="shared" si="59"/>
        <v>194.51546642125393</v>
      </c>
      <c r="X154" s="153">
        <f t="shared" si="60"/>
        <v>47258</v>
      </c>
      <c r="Y154" s="380">
        <f t="shared" si="61"/>
        <v>189.10551054150704</v>
      </c>
      <c r="Z154" s="380">
        <f t="shared" si="62"/>
        <v>196.58609184139988</v>
      </c>
      <c r="AA154" s="381">
        <f t="shared" si="63"/>
        <v>209.17773107482219</v>
      </c>
      <c r="AB154" s="193">
        <f t="shared" si="64"/>
        <v>47258</v>
      </c>
      <c r="AC154" s="119">
        <f>IF(OR(t&lt;Tnet,NoTnet),'2028'!Resal_s+('2028'!Salim-'2028'!Resal_s)*(1-EXP(('2028'!Tnet_s-t)/'2028'!Tau_j)),Resal_s+(Salim-Resal_s)*(1-EXP((Tnet_s-t)/Tau_j)))*Salcycl</f>
        <v>6.0195887816176352E-2</v>
      </c>
      <c r="AD154" s="227">
        <f>(INDEX(Models!$BJ154:$BT154,,AH154)*(1-AF154)+INDEX(Models!$BJ154:$BT154,,AH154+1)*AF154-ERP_i)*AE154*Ramure*Pc/MaxiM</f>
        <v>3.4045735534868739E-4</v>
      </c>
      <c r="AE154" s="301">
        <f t="shared" si="65"/>
        <v>0.5</v>
      </c>
      <c r="AF154" s="173">
        <f t="shared" si="66"/>
        <v>0.63744323135668779</v>
      </c>
      <c r="AG154" s="801">
        <f t="shared" si="74"/>
        <v>3</v>
      </c>
      <c r="AH154" s="172">
        <f t="shared" si="67"/>
        <v>9</v>
      </c>
      <c r="AI154" s="221">
        <f t="shared" si="68"/>
        <v>3.6374432313566878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47259</v>
      </c>
      <c r="B155" s="406">
        <f>'2028'!Wh/'2028'!Env_an*'2029'!Env_an</f>
        <v>201.54091808287623</v>
      </c>
      <c r="C155" s="831"/>
      <c r="D155" s="388">
        <f t="shared" si="50"/>
        <v>209.5162837533141</v>
      </c>
      <c r="E155" s="380">
        <f t="shared" si="72"/>
        <v>216.80832860242106</v>
      </c>
      <c r="F155" s="380">
        <f t="shared" si="51"/>
        <v>216.80999913057556</v>
      </c>
      <c r="G155" s="110">
        <f t="shared" si="73"/>
        <v>0.87061362432173828</v>
      </c>
      <c r="H155" s="409" t="b">
        <f>Wh_hp&gt;='2028'!Maxi_hp</f>
        <v>1</v>
      </c>
      <c r="I155" s="385">
        <f>IF(H155,Wh_hp,'2028'!Maxi_hp)</f>
        <v>216.80999913057556</v>
      </c>
      <c r="J155" s="85">
        <f>IF(H155,An,'2028'!An_max)</f>
        <v>2029</v>
      </c>
      <c r="K155" s="193">
        <f t="shared" si="52"/>
        <v>47259</v>
      </c>
      <c r="L155" s="143">
        <f>IF(t&lt;Tvie,1-EXP((T0-t)*PertePVj)+'2028'!Pspv,1-EXP((T0-t)*PertePVj)+Pspv)</f>
        <v>3.8065612503074608E-2</v>
      </c>
      <c r="M155" s="835"/>
      <c r="N155" s="835"/>
      <c r="O155" s="48">
        <f>IF(t&lt;Tnet,'2028'!Resal+('2028'!Salim-'2028'!Resal)*(1-EXP(('2028'!Tnet-t)/('2028'!Tau_j))),Resal+(Salim-Resal)*(1-EXP((Tnet-t)/(Tau_j))))*Salcycl</f>
        <v>3.3633601144903338E-2</v>
      </c>
      <c r="P155" s="165">
        <f>(INDEX(Models!$BJ155:$BT155,,T155)*(1-R155)+INDEX(Models!$BJ155:$BT155,,T155+1)*R155-ERP_i)*Q155*Ramure*Pc/MaxiM</f>
        <v>9.452120230569138E-6</v>
      </c>
      <c r="Q155" s="301">
        <f t="shared" si="53"/>
        <v>0.5</v>
      </c>
      <c r="R155" s="173">
        <f t="shared" si="54"/>
        <v>0.11678643250365228</v>
      </c>
      <c r="S155" s="801">
        <f t="shared" si="55"/>
        <v>0</v>
      </c>
      <c r="T155" s="172">
        <f t="shared" si="56"/>
        <v>6</v>
      </c>
      <c r="U155" s="247">
        <f t="shared" si="57"/>
        <v>0.11678643250365228</v>
      </c>
      <c r="V155" s="378">
        <f t="shared" si="58"/>
        <v>231.49254771606729</v>
      </c>
      <c r="W155" s="397">
        <f t="shared" si="59"/>
        <v>201.54091808287623</v>
      </c>
      <c r="X155" s="153">
        <f t="shared" si="60"/>
        <v>47259</v>
      </c>
      <c r="Y155" s="380">
        <f t="shared" si="61"/>
        <v>195.93484584221886</v>
      </c>
      <c r="Z155" s="380">
        <f t="shared" si="62"/>
        <v>203.68836834294493</v>
      </c>
      <c r="AA155" s="381">
        <f t="shared" si="63"/>
        <v>216.75004924086079</v>
      </c>
      <c r="AB155" s="193">
        <f t="shared" si="64"/>
        <v>47259</v>
      </c>
      <c r="AC155" s="119">
        <f>IF(OR(t&lt;Tnet,NoTnet),'2028'!Resal_s+('2028'!Salim-'2028'!Resal_s)*(1-EXP(('2028'!Tnet_s-t)/'2028'!Tau_j)),Resal_s+(Salim-Resal_s)*(1-EXP((Tnet_s-t)/Tau_j)))*Salcycl</f>
        <v>6.0261489875839604E-2</v>
      </c>
      <c r="AD155" s="227">
        <f>(INDEX(Models!$BJ155:$BT155,,AH155)*(1-AF155)+INDEX(Models!$BJ155:$BT155,,AH155+1)*AF155-ERP_i)*AE155*Ramure*Pc/MaxiM</f>
        <v>3.3920623478641849E-4</v>
      </c>
      <c r="AE155" s="301">
        <f t="shared" si="65"/>
        <v>0.5</v>
      </c>
      <c r="AF155" s="173">
        <f t="shared" si="66"/>
        <v>0.64177399887763054</v>
      </c>
      <c r="AG155" s="801">
        <f t="shared" si="74"/>
        <v>3</v>
      </c>
      <c r="AH155" s="172">
        <f t="shared" si="67"/>
        <v>9</v>
      </c>
      <c r="AI155" s="221">
        <f t="shared" si="68"/>
        <v>3.6417739988776305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47260</v>
      </c>
      <c r="B156" s="406">
        <f>'2028'!Wh/'2028'!Env_an*'2029'!Env_an</f>
        <v>150.09189220843461</v>
      </c>
      <c r="C156" s="831"/>
      <c r="D156" s="388">
        <f t="shared" si="50"/>
        <v>156.03345593984582</v>
      </c>
      <c r="E156" s="380">
        <f t="shared" si="72"/>
        <v>161.47684166943642</v>
      </c>
      <c r="F156" s="380">
        <f t="shared" si="51"/>
        <v>161.47761462431231</v>
      </c>
      <c r="G156" s="110">
        <f t="shared" si="73"/>
        <v>0.64779908557294308</v>
      </c>
      <c r="H156" s="409" t="b">
        <f>Wh_hp&gt;='2028'!Maxi_hp</f>
        <v>1</v>
      </c>
      <c r="I156" s="385">
        <f>IF(H156,Wh_hp,'2028'!Maxi_hp)</f>
        <v>161.47761462431231</v>
      </c>
      <c r="J156" s="85">
        <f>IF(H156,An,'2028'!An_max)</f>
        <v>2029</v>
      </c>
      <c r="K156" s="193">
        <f t="shared" si="52"/>
        <v>47260</v>
      </c>
      <c r="L156" s="143">
        <f>IF(t&lt;Tvie,1-EXP((T0-t)*PertePVj)+'2028'!Pspv,1-EXP((T0-t)*PertePVj)+Pspv)</f>
        <v>3.8078780577043725E-2</v>
      </c>
      <c r="M156" s="835"/>
      <c r="N156" s="835"/>
      <c r="O156" s="48">
        <f>IF(t&lt;Tnet,'2028'!Resal+('2028'!Salim-'2028'!Resal)*(1-EXP(('2028'!Tnet-t)/('2028'!Tau_j))),Resal+(Salim-Resal)*(1-EXP((Tnet-t)/(Tau_j))))*Salcycl</f>
        <v>3.3710008650862176E-2</v>
      </c>
      <c r="P156" s="165">
        <f>(INDEX(Models!$BJ156:$BT156,,T156)*(1-R156)+INDEX(Models!$BJ156:$BT156,,T156+1)*R156-ERP_i)*Q156*Ramure*Pc/MaxiM</f>
        <v>9.6340190113580155E-6</v>
      </c>
      <c r="Q156" s="301">
        <f t="shared" si="53"/>
        <v>0.5</v>
      </c>
      <c r="R156" s="173">
        <f t="shared" si="54"/>
        <v>0.12118703274920786</v>
      </c>
      <c r="S156" s="801">
        <f t="shared" si="55"/>
        <v>0</v>
      </c>
      <c r="T156" s="172">
        <f t="shared" si="56"/>
        <v>6</v>
      </c>
      <c r="U156" s="247">
        <f t="shared" si="57"/>
        <v>0.12118703274920786</v>
      </c>
      <c r="V156" s="378">
        <f t="shared" si="58"/>
        <v>231.69400515315093</v>
      </c>
      <c r="W156" s="397">
        <f t="shared" si="59"/>
        <v>150.09189220843461</v>
      </c>
      <c r="X156" s="153">
        <f t="shared" si="60"/>
        <v>47260</v>
      </c>
      <c r="Y156" s="380">
        <f t="shared" si="61"/>
        <v>145.93365397275849</v>
      </c>
      <c r="Z156" s="380">
        <f t="shared" si="62"/>
        <v>151.7106089626572</v>
      </c>
      <c r="AA156" s="381">
        <f t="shared" si="63"/>
        <v>161.45047727790524</v>
      </c>
      <c r="AB156" s="193">
        <f t="shared" si="64"/>
        <v>47260</v>
      </c>
      <c r="AC156" s="119">
        <f>IF(OR(t&lt;Tnet,NoTnet),'2028'!Resal_s+('2028'!Salim-'2028'!Resal_s)*(1-EXP(('2028'!Tnet_s-t)/'2028'!Tau_j)),Resal_s+(Salim-Resal_s)*(1-EXP((Tnet_s-t)/Tau_j)))*Salcycl</f>
        <v>6.0327281030472121E-2</v>
      </c>
      <c r="AD156" s="227">
        <f>(INDEX(Models!$BJ156:$BT156,,AH156)*(1-AF156)+INDEX(Models!$BJ156:$BT156,,AH156+1)*AF156-ERP_i)*AE156*Ramure*Pc/MaxiM</f>
        <v>3.3823670612709343E-4</v>
      </c>
      <c r="AE156" s="301">
        <f t="shared" si="65"/>
        <v>0.5</v>
      </c>
      <c r="AF156" s="173">
        <f t="shared" si="66"/>
        <v>0.64617459912318598</v>
      </c>
      <c r="AG156" s="801">
        <f t="shared" si="74"/>
        <v>3</v>
      </c>
      <c r="AH156" s="172">
        <f t="shared" si="67"/>
        <v>9</v>
      </c>
      <c r="AI156" s="221">
        <f t="shared" si="68"/>
        <v>3.646174599123186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47261</v>
      </c>
      <c r="B157" s="406">
        <f>'2028'!Wh/'2028'!Env_an*'2029'!Env_an</f>
        <v>70.951280056083348</v>
      </c>
      <c r="C157" s="831"/>
      <c r="D157" s="388">
        <f t="shared" si="50"/>
        <v>73.760979485809059</v>
      </c>
      <c r="E157" s="380">
        <f t="shared" si="72"/>
        <v>76.340249870745325</v>
      </c>
      <c r="F157" s="380">
        <f t="shared" si="51"/>
        <v>76.340256260634632</v>
      </c>
      <c r="G157" s="110">
        <f t="shared" si="73"/>
        <v>0.30597285925965656</v>
      </c>
      <c r="H157" s="409" t="b">
        <f>Wh_hp&gt;='2028'!Maxi_hp</f>
        <v>1</v>
      </c>
      <c r="I157" s="385">
        <f>IF(H157,Wh_hp,'2028'!Maxi_hp)</f>
        <v>76.340256260634632</v>
      </c>
      <c r="J157" s="85">
        <f>IF(H157,An,'2028'!An_max)</f>
        <v>2029</v>
      </c>
      <c r="K157" s="193">
        <f t="shared" si="52"/>
        <v>47261</v>
      </c>
      <c r="L157" s="143">
        <f>IF(t&lt;Tvie,1-EXP((T0-t)*PertePVj)+'2028'!Pspv,1-EXP((T0-t)*PertePVj)+Pspv)</f>
        <v>3.8091948470753034E-2</v>
      </c>
      <c r="M157" s="835"/>
      <c r="N157" s="835"/>
      <c r="O157" s="48">
        <f>IF(t&lt;Tnet,'2028'!Resal+('2028'!Salim-'2028'!Resal)*(1-EXP(('2028'!Tnet-t)/('2028'!Tau_j))),Resal+(Salim-Resal)*(1-EXP((Tnet-t)/(Tau_j))))*Salcycl</f>
        <v>3.3786506977686433E-2</v>
      </c>
      <c r="P157" s="165">
        <f>(INDEX(Models!$BJ157:$BT157,,T157)*(1-R157)+INDEX(Models!$BJ157:$BT157,,T157+1)*R157-ERP_i)*Q157*Ramure*Pc/MaxiM</f>
        <v>9.8048117580106279E-6</v>
      </c>
      <c r="Q157" s="301">
        <f t="shared" si="53"/>
        <v>0.5</v>
      </c>
      <c r="R157" s="173">
        <f t="shared" si="54"/>
        <v>0.12565536408098021</v>
      </c>
      <c r="S157" s="801">
        <f t="shared" si="55"/>
        <v>0</v>
      </c>
      <c r="T157" s="172">
        <f t="shared" si="56"/>
        <v>6</v>
      </c>
      <c r="U157" s="247">
        <f t="shared" si="57"/>
        <v>0.12565536408098021</v>
      </c>
      <c r="V157" s="378">
        <f t="shared" si="58"/>
        <v>231.88524139877168</v>
      </c>
      <c r="W157" s="397">
        <f t="shared" si="59"/>
        <v>70.951280056083348</v>
      </c>
      <c r="X157" s="153">
        <f t="shared" si="60"/>
        <v>47261</v>
      </c>
      <c r="Y157" s="380">
        <f t="shared" si="61"/>
        <v>68.99729522056802</v>
      </c>
      <c r="Z157" s="380">
        <f t="shared" si="62"/>
        <v>71.729616059326801</v>
      </c>
      <c r="AA157" s="381">
        <f t="shared" si="63"/>
        <v>76.340036155715808</v>
      </c>
      <c r="AB157" s="193">
        <f t="shared" si="64"/>
        <v>47261</v>
      </c>
      <c r="AC157" s="119">
        <f>IF(OR(t&lt;Tnet,NoTnet),'2028'!Resal_s+('2028'!Salim-'2028'!Resal_s)*(1-EXP(('2028'!Tnet_s-t)/'2028'!Tau_j)),Resal_s+(Salim-Resal_s)*(1-EXP((Tnet_s-t)/Tau_j)))*Salcycl</f>
        <v>6.0393213424536962E-2</v>
      </c>
      <c r="AD157" s="227">
        <f>(INDEX(Models!$BJ157:$BT157,,AH157)*(1-AF157)+INDEX(Models!$BJ157:$BT157,,AH157+1)*AF157-ERP_i)*AE157*Ramure*Pc/MaxiM</f>
        <v>3.377346913743824E-4</v>
      </c>
      <c r="AE157" s="301">
        <f t="shared" si="65"/>
        <v>0.5</v>
      </c>
      <c r="AF157" s="173">
        <f t="shared" si="66"/>
        <v>0.65064293045495836</v>
      </c>
      <c r="AG157" s="801">
        <f t="shared" si="74"/>
        <v>3</v>
      </c>
      <c r="AH157" s="172">
        <f t="shared" si="67"/>
        <v>9</v>
      </c>
      <c r="AI157" s="221">
        <f t="shared" si="68"/>
        <v>3.6506429304549584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47262</v>
      </c>
      <c r="B158" s="406">
        <f>'2028'!Wh/'2028'!Env_an*'2029'!Env_an</f>
        <v>66.264462610819862</v>
      </c>
      <c r="C158" s="831"/>
      <c r="D158" s="388">
        <f t="shared" si="50"/>
        <v>68.889505210747799</v>
      </c>
      <c r="E158" s="380">
        <f t="shared" si="72"/>
        <v>71.30408019264982</v>
      </c>
      <c r="F158" s="380">
        <f t="shared" si="51"/>
        <v>71.30408019264982</v>
      </c>
      <c r="G158" s="110">
        <f t="shared" si="73"/>
        <v>0.28553765469342318</v>
      </c>
      <c r="H158" s="409" t="b">
        <f>Wh_hp&gt;='2028'!Maxi_hp</f>
        <v>1</v>
      </c>
      <c r="I158" s="385">
        <f>IF(H158,Wh_hp,'2028'!Maxi_hp)</f>
        <v>71.30408019264982</v>
      </c>
      <c r="J158" s="85">
        <f>IF(H158,An,'2028'!An_max)</f>
        <v>2029</v>
      </c>
      <c r="K158" s="193">
        <f t="shared" si="52"/>
        <v>47262</v>
      </c>
      <c r="L158" s="143">
        <f>IF(t&lt;Tvie,1-EXP((T0-t)*PertePVj)+'2028'!Pspv,1-EXP((T0-t)*PertePVj)+Pspv)</f>
        <v>3.8105116184204868E-2</v>
      </c>
      <c r="M158" s="835"/>
      <c r="N158" s="835"/>
      <c r="O158" s="48">
        <f>IF(t&lt;Tnet,'2028'!Resal+('2028'!Salim-'2028'!Resal)*(1-EXP(('2028'!Tnet-t)/('2028'!Tau_j))),Resal+(Salim-Resal)*(1-EXP((Tnet-t)/(Tau_j))))*Salcycl</f>
        <v>3.3863068920857019E-2</v>
      </c>
      <c r="P158" s="165">
        <f>(INDEX(Models!$BJ158:$BT158,,T158)*(1-R158)+INDEX(Models!$BJ158:$BT158,,T158+1)*R158-ERP_i)*Q158*Ramure*Pc/MaxiM</f>
        <v>9.9633544860276722E-6</v>
      </c>
      <c r="Q158" s="301">
        <f t="shared" si="53"/>
        <v>0.5</v>
      </c>
      <c r="R158" s="173">
        <f t="shared" si="54"/>
        <v>0.13018914361180972</v>
      </c>
      <c r="S158" s="801">
        <f t="shared" si="55"/>
        <v>0</v>
      </c>
      <c r="T158" s="172">
        <f t="shared" si="56"/>
        <v>6</v>
      </c>
      <c r="U158" s="247">
        <f t="shared" si="57"/>
        <v>0.13018914361180972</v>
      </c>
      <c r="V158" s="378">
        <f t="shared" si="58"/>
        <v>232.06677404994221</v>
      </c>
      <c r="W158" s="397">
        <f t="shared" si="59"/>
        <v>66.264462610819862</v>
      </c>
      <c r="X158" s="153">
        <f t="shared" si="60"/>
        <v>47262</v>
      </c>
      <c r="Y158" s="380">
        <f t="shared" si="61"/>
        <v>64.440310359716449</v>
      </c>
      <c r="Z158" s="380">
        <f t="shared" si="62"/>
        <v>66.993089831276095</v>
      </c>
      <c r="AA158" s="381">
        <f t="shared" si="63"/>
        <v>71.30408019264982</v>
      </c>
      <c r="AB158" s="193">
        <f t="shared" si="64"/>
        <v>47262</v>
      </c>
      <c r="AC158" s="119">
        <f>IF(OR(t&lt;Tnet,NoTnet),'2028'!Resal_s+('2028'!Salim-'2028'!Resal_s)*(1-EXP(('2028'!Tnet_s-t)/'2028'!Tau_j)),Resal_s+(Salim-Resal_s)*(1-EXP((Tnet_s-t)/Tau_j)))*Salcycl</f>
        <v>6.0459238093055298E-2</v>
      </c>
      <c r="AD158" s="227">
        <f>(INDEX(Models!$BJ158:$BT158,,AH158)*(1-AF158)+INDEX(Models!$BJ158:$BT158,,AH158+1)*AF158-ERP_i)*AE158*Ramure*Pc/MaxiM</f>
        <v>3.3770495194241463E-4</v>
      </c>
      <c r="AE158" s="301">
        <f t="shared" si="65"/>
        <v>0.5</v>
      </c>
      <c r="AF158" s="173">
        <f t="shared" si="66"/>
        <v>0.65517670998578792</v>
      </c>
      <c r="AG158" s="801">
        <f t="shared" si="74"/>
        <v>3</v>
      </c>
      <c r="AH158" s="172">
        <f t="shared" si="67"/>
        <v>9</v>
      </c>
      <c r="AI158" s="221">
        <f t="shared" si="68"/>
        <v>3.6551767099857879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47263</v>
      </c>
      <c r="B159" s="406">
        <f>'2028'!Wh/'2028'!Env_an*'2029'!Env_an</f>
        <v>164.42807527011243</v>
      </c>
      <c r="C159" s="831"/>
      <c r="D159" s="388">
        <f t="shared" si="50"/>
        <v>170.94417378633685</v>
      </c>
      <c r="E159" s="380">
        <f t="shared" si="72"/>
        <v>176.94979068811591</v>
      </c>
      <c r="F159" s="380">
        <f t="shared" si="51"/>
        <v>176.95083328160706</v>
      </c>
      <c r="G159" s="110">
        <f t="shared" si="73"/>
        <v>0.70800897568256671</v>
      </c>
      <c r="H159" s="409" t="b">
        <f>Wh_hp&gt;='2028'!Maxi_hp</f>
        <v>1</v>
      </c>
      <c r="I159" s="385">
        <f>IF(H159,Wh_hp,'2028'!Maxi_hp)</f>
        <v>176.95083328160706</v>
      </c>
      <c r="J159" s="85">
        <f>IF(H159,An,'2028'!An_max)</f>
        <v>2029</v>
      </c>
      <c r="K159" s="193">
        <f t="shared" si="52"/>
        <v>47263</v>
      </c>
      <c r="L159" s="143">
        <f>IF(t&lt;Tvie,1-EXP((T0-t)*PertePVj)+'2028'!Pspv,1-EXP((T0-t)*PertePVj)+Pspv)</f>
        <v>3.811828371740178E-2</v>
      </c>
      <c r="M159" s="835"/>
      <c r="N159" s="835"/>
      <c r="O159" s="48">
        <f>IF(t&lt;Tnet,'2028'!Resal+('2028'!Salim-'2028'!Resal)*(1-EXP(('2028'!Tnet-t)/('2028'!Tau_j))),Resal+(Salim-Resal)*(1-EXP((Tnet-t)/(Tau_j))))*Salcycl</f>
        <v>3.3939666604999204E-2</v>
      </c>
      <c r="P159" s="165">
        <f>(INDEX(Models!$BJ159:$BT159,,T159)*(1-R159)+INDEX(Models!$BJ159:$BT159,,T159+1)*R159-ERP_i)*Q159*Ramure*Pc/MaxiM</f>
        <v>1.0108519248524085E-5</v>
      </c>
      <c r="Q159" s="301">
        <f t="shared" si="53"/>
        <v>0.5</v>
      </c>
      <c r="R159" s="173">
        <f t="shared" si="54"/>
        <v>0.13478590902952681</v>
      </c>
      <c r="S159" s="801">
        <f t="shared" si="55"/>
        <v>0</v>
      </c>
      <c r="T159" s="172">
        <f t="shared" si="56"/>
        <v>6</v>
      </c>
      <c r="U159" s="247">
        <f t="shared" si="57"/>
        <v>0.13478590902952681</v>
      </c>
      <c r="V159" s="378">
        <f t="shared" si="58"/>
        <v>232.2391206871406</v>
      </c>
      <c r="W159" s="397">
        <f t="shared" si="59"/>
        <v>164.42807527011243</v>
      </c>
      <c r="X159" s="153">
        <f t="shared" si="60"/>
        <v>47263</v>
      </c>
      <c r="Y159" s="380">
        <f t="shared" si="61"/>
        <v>159.87249768825163</v>
      </c>
      <c r="Z159" s="380">
        <f t="shared" si="62"/>
        <v>166.2080638211045</v>
      </c>
      <c r="AA159" s="381">
        <f t="shared" si="63"/>
        <v>176.91595603820483</v>
      </c>
      <c r="AB159" s="193">
        <f t="shared" si="64"/>
        <v>47263</v>
      </c>
      <c r="AC159" s="119">
        <f>IF(OR(t&lt;Tnet,NoTnet),'2028'!Resal_s+('2028'!Salim-'2028'!Resal_s)*(1-EXP(('2028'!Tnet_s-t)/'2028'!Tau_j)),Resal_s+(Salim-Resal_s)*(1-EXP((Tnet_s-t)/Tau_j)))*Salcycl</f>
        <v>6.0525305104690265E-2</v>
      </c>
      <c r="AD159" s="227">
        <f>(INDEX(Models!$BJ159:$BT159,,AH159)*(1-AF159)+INDEX(Models!$BJ159:$BT159,,AH159+1)*AF159-ERP_i)*AE159*Ramure*Pc/MaxiM</f>
        <v>3.3815412167953333E-4</v>
      </c>
      <c r="AE159" s="301">
        <f t="shared" si="65"/>
        <v>0.5</v>
      </c>
      <c r="AF159" s="173">
        <f t="shared" si="66"/>
        <v>0.65977347540350495</v>
      </c>
      <c r="AG159" s="801">
        <f t="shared" si="74"/>
        <v>3</v>
      </c>
      <c r="AH159" s="172">
        <f t="shared" si="67"/>
        <v>9</v>
      </c>
      <c r="AI159" s="221">
        <f t="shared" si="68"/>
        <v>3.6597734754035049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47264</v>
      </c>
      <c r="B160" s="406">
        <f>'2028'!Wh/'2028'!Env_an*'2029'!Env_an</f>
        <v>105.74220907147649</v>
      </c>
      <c r="C160" s="831"/>
      <c r="D160" s="388">
        <f t="shared" si="50"/>
        <v>109.93415803972809</v>
      </c>
      <c r="E160" s="380">
        <f t="shared" si="72"/>
        <v>113.80539320061098</v>
      </c>
      <c r="F160" s="380">
        <f t="shared" si="51"/>
        <v>113.80565121774659</v>
      </c>
      <c r="G160" s="110">
        <f t="shared" si="73"/>
        <v>0.45499179271105111</v>
      </c>
      <c r="H160" s="409" t="b">
        <f>Wh_hp&gt;='2028'!Maxi_hp</f>
        <v>1</v>
      </c>
      <c r="I160" s="385">
        <f>IF(H160,Wh_hp,'2028'!Maxi_hp)</f>
        <v>113.80565121774659</v>
      </c>
      <c r="J160" s="85">
        <f>IF(H160,An,'2028'!An_max)</f>
        <v>2029</v>
      </c>
      <c r="K160" s="193">
        <f t="shared" si="52"/>
        <v>47264</v>
      </c>
      <c r="L160" s="143">
        <f>IF(t&lt;Tvie,1-EXP((T0-t)*PertePVj)+'2028'!Pspv,1-EXP((T0-t)*PertePVj)+Pspv)</f>
        <v>3.8131451070346212E-2</v>
      </c>
      <c r="M160" s="835"/>
      <c r="N160" s="835"/>
      <c r="O160" s="48">
        <f>IF(t&lt;Tnet,'2028'!Resal+('2028'!Salim-'2028'!Resal)*(1-EXP(('2028'!Tnet-t)/('2028'!Tau_j))),Resal+(Salim-Resal)*(1-EXP((Tnet-t)/(Tau_j))))*Salcycl</f>
        <v>3.4016271566839132E-2</v>
      </c>
      <c r="P160" s="165">
        <f>(INDEX(Models!$BJ160:$BT160,,T160)*(1-R160)+INDEX(Models!$BJ160:$BT160,,T160+1)*R160-ERP_i)*Q160*Ramure*Pc/MaxiM</f>
        <v>1.0239149786777457E-5</v>
      </c>
      <c r="Q160" s="301">
        <f t="shared" si="53"/>
        <v>0.5</v>
      </c>
      <c r="R160" s="173">
        <f t="shared" si="54"/>
        <v>0.13944302137035913</v>
      </c>
      <c r="S160" s="801">
        <f t="shared" si="55"/>
        <v>0</v>
      </c>
      <c r="T160" s="172">
        <f t="shared" si="56"/>
        <v>6</v>
      </c>
      <c r="U160" s="247">
        <f t="shared" si="57"/>
        <v>0.13944302137035913</v>
      </c>
      <c r="V160" s="378">
        <f t="shared" si="58"/>
        <v>232.40279888370449</v>
      </c>
      <c r="W160" s="397">
        <f t="shared" si="59"/>
        <v>105.74220907147649</v>
      </c>
      <c r="X160" s="153">
        <f t="shared" si="60"/>
        <v>47264</v>
      </c>
      <c r="Y160" s="380">
        <f t="shared" si="61"/>
        <v>102.82565682393158</v>
      </c>
      <c r="Z160" s="380">
        <f t="shared" si="62"/>
        <v>106.90198461978378</v>
      </c>
      <c r="AA160" s="381">
        <f t="shared" si="63"/>
        <v>113.79710648864422</v>
      </c>
      <c r="AB160" s="193">
        <f t="shared" si="64"/>
        <v>47264</v>
      </c>
      <c r="AC160" s="119">
        <f>IF(OR(t&lt;Tnet,NoTnet),'2028'!Resal_s+('2028'!Salim-'2028'!Resal_s)*(1-EXP(('2028'!Tnet_s-t)/'2028'!Tau_j)),Resal_s+(Salim-Resal_s)*(1-EXP((Tnet_s-t)/Tau_j)))*Salcycl</f>
        <v>6.0591363714054637E-2</v>
      </c>
      <c r="AD160" s="227">
        <f>(INDEX(Models!$BJ160:$BT160,,AH160)*(1-AF160)+INDEX(Models!$BJ160:$BT160,,AH160+1)*AF160-ERP_i)*AE160*Ramure*Pc/MaxiM</f>
        <v>3.3908895608749572E-4</v>
      </c>
      <c r="AE160" s="301">
        <f t="shared" si="65"/>
        <v>0.5</v>
      </c>
      <c r="AF160" s="173">
        <f t="shared" si="66"/>
        <v>0.66443058774433705</v>
      </c>
      <c r="AG160" s="801">
        <f t="shared" si="74"/>
        <v>3</v>
      </c>
      <c r="AH160" s="172">
        <f t="shared" si="67"/>
        <v>9</v>
      </c>
      <c r="AI160" s="221">
        <f t="shared" si="68"/>
        <v>3.6644305877443371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47265</v>
      </c>
      <c r="B161" s="406">
        <f>'2028'!Wh/'2028'!Env_an*'2029'!Env_an</f>
        <v>178.02918023952728</v>
      </c>
      <c r="C161" s="831"/>
      <c r="D161" s="388">
        <f t="shared" si="50"/>
        <v>185.08934255202982</v>
      </c>
      <c r="E161" s="380">
        <f t="shared" si="72"/>
        <v>191.62229359226441</v>
      </c>
      <c r="F161" s="380">
        <f t="shared" si="51"/>
        <v>191.62361307819157</v>
      </c>
      <c r="G161" s="110">
        <f t="shared" si="73"/>
        <v>0.76552220564354945</v>
      </c>
      <c r="H161" s="409" t="b">
        <f>Wh_hp&gt;='2028'!Maxi_hp</f>
        <v>1</v>
      </c>
      <c r="I161" s="385">
        <f>IF(H161,Wh_hp,'2028'!Maxi_hp)</f>
        <v>191.62361307819157</v>
      </c>
      <c r="J161" s="85">
        <f>IF(H161,An,'2028'!An_max)</f>
        <v>2029</v>
      </c>
      <c r="K161" s="193">
        <f t="shared" si="52"/>
        <v>47265</v>
      </c>
      <c r="L161" s="143">
        <f>IF(t&lt;Tvie,1-EXP((T0-t)*PertePVj)+'2028'!Pspv,1-EXP((T0-t)*PertePVj)+Pspv)</f>
        <v>3.8144618243040607E-2</v>
      </c>
      <c r="M161" s="835"/>
      <c r="N161" s="835"/>
      <c r="O161" s="48">
        <f>IF(t&lt;Tnet,'2028'!Resal+('2028'!Salim-'2028'!Resal)*(1-EXP(('2028'!Tnet-t)/('2028'!Tau_j))),Resal+(Salim-Resal)*(1-EXP((Tnet-t)/(Tau_j))))*Salcycl</f>
        <v>3.4092854843578185E-2</v>
      </c>
      <c r="P161" s="165">
        <f>(INDEX(Models!$BJ161:$BT161,,T161)*(1-R161)+INDEX(Models!$BJ161:$BT161,,T161+1)*R161-ERP_i)*Q161*Ramure*Pc/MaxiM</f>
        <v>1.0354065292409186E-5</v>
      </c>
      <c r="Q161" s="301">
        <f t="shared" si="53"/>
        <v>0.5</v>
      </c>
      <c r="R161" s="173">
        <f t="shared" si="54"/>
        <v>0.14415766876133498</v>
      </c>
      <c r="S161" s="801">
        <f t="shared" si="55"/>
        <v>0</v>
      </c>
      <c r="T161" s="172">
        <f t="shared" si="56"/>
        <v>6</v>
      </c>
      <c r="U161" s="247">
        <f t="shared" si="57"/>
        <v>0.14415766876133498</v>
      </c>
      <c r="V161" s="378">
        <f t="shared" si="58"/>
        <v>232.55832616501399</v>
      </c>
      <c r="W161" s="397">
        <f t="shared" si="59"/>
        <v>178.02918023952728</v>
      </c>
      <c r="X161" s="153">
        <f t="shared" si="60"/>
        <v>47265</v>
      </c>
      <c r="Y161" s="380">
        <f t="shared" si="61"/>
        <v>173.09498287327173</v>
      </c>
      <c r="Z161" s="380">
        <f t="shared" si="62"/>
        <v>179.95946808249931</v>
      </c>
      <c r="AA161" s="381">
        <f t="shared" si="63"/>
        <v>191.58021887069262</v>
      </c>
      <c r="AB161" s="193">
        <f t="shared" si="64"/>
        <v>47265</v>
      </c>
      <c r="AC161" s="119">
        <f>IF(OR(t&lt;Tnet,NoTnet),'2028'!Resal_s+('2028'!Salim-'2028'!Resal_s)*(1-EXP(('2028'!Tnet_s-t)/'2028'!Tau_j)),Resal_s+(Salim-Resal_s)*(1-EXP((Tnet_s-t)/Tau_j)))*Salcycl</f>
        <v>6.0657362522572138E-2</v>
      </c>
      <c r="AD161" s="227">
        <f>(INDEX(Models!$BJ161:$BT161,,AH161)*(1-AF161)+INDEX(Models!$BJ161:$BT161,,AH161+1)*AF161-ERP_i)*AE161*Ramure*Pc/MaxiM</f>
        <v>3.4051629388610221E-4</v>
      </c>
      <c r="AE161" s="301">
        <f t="shared" si="65"/>
        <v>0.5</v>
      </c>
      <c r="AF161" s="173">
        <f t="shared" si="66"/>
        <v>0.66914523513531332</v>
      </c>
      <c r="AG161" s="801">
        <f t="shared" si="74"/>
        <v>3</v>
      </c>
      <c r="AH161" s="172">
        <f t="shared" si="67"/>
        <v>9</v>
      </c>
      <c r="AI161" s="221">
        <f t="shared" si="68"/>
        <v>3.6691452351353133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47266</v>
      </c>
      <c r="B162" s="406">
        <f>'2028'!Wh/'2028'!Env_an*'2029'!Env_an</f>
        <v>219.03266262040736</v>
      </c>
      <c r="C162" s="831"/>
      <c r="D162" s="388">
        <f t="shared" si="50"/>
        <v>227.72203097161113</v>
      </c>
      <c r="E162" s="380">
        <f t="shared" si="72"/>
        <v>235.7784355994948</v>
      </c>
      <c r="F162" s="380">
        <f t="shared" si="51"/>
        <v>235.78069313008908</v>
      </c>
      <c r="G162" s="110">
        <f t="shared" si="73"/>
        <v>0.94124029194768144</v>
      </c>
      <c r="H162" s="409" t="b">
        <f>Wh_hp&gt;='2028'!Maxi_hp</f>
        <v>1</v>
      </c>
      <c r="I162" s="385">
        <f>IF(H162,Wh_hp,'2028'!Maxi_hp)</f>
        <v>235.78069313008908</v>
      </c>
      <c r="J162" s="85">
        <f>IF(H162,An,'2028'!An_max)</f>
        <v>2029</v>
      </c>
      <c r="K162" s="193">
        <f t="shared" si="52"/>
        <v>47266</v>
      </c>
      <c r="L162" s="143">
        <f>IF(t&lt;Tvie,1-EXP((T0-t)*PertePVj)+'2028'!Pspv,1-EXP((T0-t)*PertePVj)+Pspv)</f>
        <v>3.8157785235487518E-2</v>
      </c>
      <c r="M162" s="835"/>
      <c r="N162" s="835"/>
      <c r="O162" s="48">
        <f>IF(t&lt;Tnet,'2028'!Resal+('2028'!Salim-'2028'!Resal)*(1-EXP(('2028'!Tnet-t)/('2028'!Tau_j))),Resal+(Salim-Resal)*(1-EXP((Tnet-t)/(Tau_j))))*Salcycl</f>
        <v>3.4169387066290767E-2</v>
      </c>
      <c r="P162" s="165">
        <f>(INDEX(Models!$BJ162:$BT162,,T162)*(1-R162)+INDEX(Models!$BJ162:$BT162,,T162+1)*R162-ERP_i)*Q162*Ramure*Pc/MaxiM</f>
        <v>1.0452064523832172E-5</v>
      </c>
      <c r="Q162" s="301">
        <f t="shared" si="53"/>
        <v>0.5</v>
      </c>
      <c r="R162" s="173">
        <f t="shared" si="54"/>
        <v>0.14892687114287737</v>
      </c>
      <c r="S162" s="801">
        <f t="shared" si="55"/>
        <v>0</v>
      </c>
      <c r="T162" s="172">
        <f t="shared" si="56"/>
        <v>6</v>
      </c>
      <c r="U162" s="247">
        <f t="shared" si="57"/>
        <v>0.14892687114287737</v>
      </c>
      <c r="V162" s="378">
        <f t="shared" si="58"/>
        <v>232.7062199971796</v>
      </c>
      <c r="W162" s="397">
        <f t="shared" si="59"/>
        <v>219.03266262040736</v>
      </c>
      <c r="X162" s="153">
        <f t="shared" si="60"/>
        <v>47266</v>
      </c>
      <c r="Y162" s="380">
        <f t="shared" si="61"/>
        <v>212.94595164971815</v>
      </c>
      <c r="Z162" s="380">
        <f t="shared" si="62"/>
        <v>221.39385065548785</v>
      </c>
      <c r="AA162" s="381">
        <f t="shared" si="63"/>
        <v>235.70672921725549</v>
      </c>
      <c r="AB162" s="193">
        <f t="shared" si="64"/>
        <v>47266</v>
      </c>
      <c r="AC162" s="119">
        <f>IF(OR(t&lt;Tnet,NoTnet),'2028'!Resal_s+('2028'!Salim-'2028'!Resal_s)*(1-EXP(('2028'!Tnet_s-t)/'2028'!Tau_j)),Resal_s+(Salim-Resal_s)*(1-EXP((Tnet_s-t)/Tau_j)))*Salcycl</f>
        <v>6.0723249647128955E-2</v>
      </c>
      <c r="AD162" s="227">
        <f>(INDEX(Models!$BJ162:$BT162,,AH162)*(1-AF162)+INDEX(Models!$BJ162:$BT162,,AH162+1)*AF162-ERP_i)*AE162*Ramure*Pc/MaxiM</f>
        <v>3.4244301775186796E-4</v>
      </c>
      <c r="AE162" s="301">
        <f t="shared" si="65"/>
        <v>0.5</v>
      </c>
      <c r="AF162" s="173">
        <f t="shared" si="66"/>
        <v>0.67391443751685554</v>
      </c>
      <c r="AG162" s="801">
        <f t="shared" si="74"/>
        <v>3</v>
      </c>
      <c r="AH162" s="172">
        <f t="shared" si="67"/>
        <v>9</v>
      </c>
      <c r="AI162" s="221">
        <f t="shared" si="68"/>
        <v>3.6739144375168555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47267</v>
      </c>
      <c r="B163" s="406">
        <f>'2028'!Wh/'2028'!Env_an*'2029'!Env_an</f>
        <v>238.59710511179145</v>
      </c>
      <c r="C163" s="831"/>
      <c r="D163" s="388">
        <f t="shared" si="50"/>
        <v>248.06602131610978</v>
      </c>
      <c r="E163" s="380">
        <f t="shared" si="72"/>
        <v>256.86249277527048</v>
      </c>
      <c r="F163" s="380">
        <f t="shared" si="51"/>
        <v>256.86519806358928</v>
      </c>
      <c r="G163" s="110">
        <f t="shared" si="73"/>
        <v>1.024695533351327</v>
      </c>
      <c r="H163" s="409" t="b">
        <f>Wh_hp&gt;='2028'!Maxi_hp</f>
        <v>1</v>
      </c>
      <c r="I163" s="385">
        <f>IF(H163,Wh_hp,'2028'!Maxi_hp)</f>
        <v>256.86519806358928</v>
      </c>
      <c r="J163" s="85">
        <f>IF(H163,An,'2028'!An_max)</f>
        <v>2029</v>
      </c>
      <c r="K163" s="193">
        <f t="shared" si="52"/>
        <v>47267</v>
      </c>
      <c r="L163" s="143">
        <f>IF(t&lt;Tvie,1-EXP((T0-t)*PertePVj)+'2028'!Pspv,1-EXP((T0-t)*PertePVj)+Pspv)</f>
        <v>3.8170952047689388E-2</v>
      </c>
      <c r="M163" s="835"/>
      <c r="N163" s="835"/>
      <c r="O163" s="48">
        <f>IF(t&lt;Tnet,'2028'!Resal+('2028'!Salim-'2028'!Resal)*(1-EXP(('2028'!Tnet-t)/('2028'!Tau_j))),Resal+(Salim-Resal)*(1-EXP((Tnet-t)/(Tau_j))))*Salcycl</f>
        <v>3.4245838557896306E-2</v>
      </c>
      <c r="P163" s="165">
        <f>(INDEX(Models!$BJ163:$BT163,,T163)*(1-R163)+INDEX(Models!$BJ163:$BT163,,T163+1)*R163-ERP_i)*Q163*Ramure*Pc/MaxiM</f>
        <v>1.053193791595742E-5</v>
      </c>
      <c r="Q163" s="301">
        <f t="shared" si="53"/>
        <v>0.5</v>
      </c>
      <c r="R163" s="173">
        <f t="shared" si="54"/>
        <v>0.15374748597409935</v>
      </c>
      <c r="S163" s="801">
        <f t="shared" si="55"/>
        <v>0</v>
      </c>
      <c r="T163" s="172">
        <f t="shared" si="56"/>
        <v>6</v>
      </c>
      <c r="U163" s="247">
        <f t="shared" si="57"/>
        <v>0.15374748597409935</v>
      </c>
      <c r="V163" s="378">
        <f t="shared" si="58"/>
        <v>232.84682849299205</v>
      </c>
      <c r="W163" s="397">
        <f t="shared" si="59"/>
        <v>238.59710511179145</v>
      </c>
      <c r="X163" s="153">
        <f t="shared" si="60"/>
        <v>47267</v>
      </c>
      <c r="Y163" s="380">
        <f t="shared" si="61"/>
        <v>231.96183467484394</v>
      </c>
      <c r="Z163" s="380">
        <f t="shared" si="62"/>
        <v>241.16742488561758</v>
      </c>
      <c r="AA163" s="381">
        <f t="shared" si="63"/>
        <v>256.77661135342089</v>
      </c>
      <c r="AB163" s="193">
        <f t="shared" si="64"/>
        <v>47267</v>
      </c>
      <c r="AC163" s="119">
        <f>IF(OR(t&lt;Tnet,NoTnet),'2028'!Resal_s+('2028'!Salim-'2028'!Resal_s)*(1-EXP(('2028'!Tnet_s-t)/'2028'!Tau_j)),Resal_s+(Salim-Resal_s)*(1-EXP((Tnet_s-t)/Tau_j)))*Salcycl</f>
        <v>6.0788972895663124E-2</v>
      </c>
      <c r="AD163" s="227">
        <f>(INDEX(Models!$BJ163:$BT163,,AH163)*(1-AF163)+INDEX(Models!$BJ163:$BT163,,AH163+1)*AF163-ERP_i)*AE163*Ramure*Pc/MaxiM</f>
        <v>3.4487626520132415E-4</v>
      </c>
      <c r="AE163" s="301">
        <f t="shared" si="65"/>
        <v>0.5</v>
      </c>
      <c r="AF163" s="173">
        <f t="shared" si="66"/>
        <v>0.67873505234807752</v>
      </c>
      <c r="AG163" s="801">
        <f t="shared" si="74"/>
        <v>3</v>
      </c>
      <c r="AH163" s="172">
        <f t="shared" si="67"/>
        <v>9</v>
      </c>
      <c r="AI163" s="221">
        <f t="shared" si="68"/>
        <v>3.6787350523480775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47268</v>
      </c>
      <c r="B164" s="406">
        <f>'2028'!Wh/'2028'!Env_an*'2029'!Env_an</f>
        <v>201.12449248473735</v>
      </c>
      <c r="C164" s="831"/>
      <c r="D164" s="388">
        <f t="shared" si="50"/>
        <v>209.10914073142541</v>
      </c>
      <c r="E164" s="380">
        <f t="shared" si="72"/>
        <v>216.54131044360543</v>
      </c>
      <c r="F164" s="380">
        <f t="shared" si="51"/>
        <v>216.54315695417628</v>
      </c>
      <c r="G164" s="110">
        <f t="shared" si="73"/>
        <v>0.86326822103596379</v>
      </c>
      <c r="H164" s="409" t="b">
        <f>Wh_hp&gt;='2028'!Maxi_hp</f>
        <v>1</v>
      </c>
      <c r="I164" s="385">
        <f>IF(H164,Wh_hp,'2028'!Maxi_hp)</f>
        <v>216.54315695417628</v>
      </c>
      <c r="J164" s="85">
        <f>IF(H164,An,'2028'!An_max)</f>
        <v>2029</v>
      </c>
      <c r="K164" s="193">
        <f t="shared" si="52"/>
        <v>47268</v>
      </c>
      <c r="L164" s="143">
        <f>IF(t&lt;Tvie,1-EXP((T0-t)*PertePVj)+'2028'!Pspv,1-EXP((T0-t)*PertePVj)+Pspv)</f>
        <v>3.8184118679648549E-2</v>
      </c>
      <c r="M164" s="835"/>
      <c r="N164" s="835"/>
      <c r="O164" s="48">
        <f>IF(t&lt;Tnet,'2028'!Resal+('2028'!Salim-'2028'!Resal)*(1-EXP(('2028'!Tnet-t)/('2028'!Tau_j))),Resal+(Salim-Resal)*(1-EXP((Tnet-t)/(Tau_j))))*Salcycl</f>
        <v>3.4322179435205713E-2</v>
      </c>
      <c r="P164" s="165">
        <f>(INDEX(Models!$BJ164:$BT164,,T164)*(1-R164)+INDEX(Models!$BJ164:$BT164,,T164+1)*R164-ERP_i)*Q164*Ramure*Pc/MaxiM</f>
        <v>1.0597141831884074E-5</v>
      </c>
      <c r="Q164" s="301">
        <f t="shared" si="53"/>
        <v>0.5</v>
      </c>
      <c r="R164" s="173">
        <f t="shared" si="54"/>
        <v>0.1586162149141869</v>
      </c>
      <c r="S164" s="801">
        <f t="shared" si="55"/>
        <v>0</v>
      </c>
      <c r="T164" s="172">
        <f t="shared" si="56"/>
        <v>6</v>
      </c>
      <c r="U164" s="247">
        <f t="shared" si="57"/>
        <v>0.1586162149141869</v>
      </c>
      <c r="V164" s="378">
        <f t="shared" si="58"/>
        <v>232.97982164491492</v>
      </c>
      <c r="W164" s="397">
        <f t="shared" si="59"/>
        <v>201.12449248473735</v>
      </c>
      <c r="X164" s="153">
        <f t="shared" si="60"/>
        <v>47268</v>
      </c>
      <c r="Y164" s="380">
        <f t="shared" si="61"/>
        <v>195.54556346109285</v>
      </c>
      <c r="Z164" s="380">
        <f t="shared" si="62"/>
        <v>203.30872806202149</v>
      </c>
      <c r="AA164" s="381">
        <f t="shared" si="63"/>
        <v>216.48266825670245</v>
      </c>
      <c r="AB164" s="193">
        <f t="shared" si="64"/>
        <v>47268</v>
      </c>
      <c r="AC164" s="119">
        <f>IF(OR(t&lt;Tnet,NoTnet),'2028'!Resal_s+('2028'!Salim-'2028'!Resal_s)*(1-EXP(('2028'!Tnet_s-t)/'2028'!Tau_j)),Resal_s+(Salim-Resal_s)*(1-EXP((Tnet_s-t)/Tau_j)))*Salcycl</f>
        <v>6.0854479948757215E-2</v>
      </c>
      <c r="AD164" s="227">
        <f>(INDEX(Models!$BJ164:$BT164,,AH164)*(1-AF164)+INDEX(Models!$BJ164:$BT164,,AH164+1)*AF164-ERP_i)*AE164*Ramure*Pc/MaxiM</f>
        <v>3.4714521350187963E-4</v>
      </c>
      <c r="AE164" s="301">
        <f t="shared" si="65"/>
        <v>0.5</v>
      </c>
      <c r="AF164" s="173">
        <f t="shared" si="66"/>
        <v>0.68360378128816501</v>
      </c>
      <c r="AG164" s="801">
        <f t="shared" si="74"/>
        <v>3</v>
      </c>
      <c r="AH164" s="172">
        <f t="shared" si="67"/>
        <v>9</v>
      </c>
      <c r="AI164" s="221">
        <f t="shared" si="68"/>
        <v>3.683603781288165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47269</v>
      </c>
      <c r="B165" s="406">
        <f>'2028'!Wh/'2028'!Env_an*'2029'!Env_an</f>
        <v>220.4112722551599</v>
      </c>
      <c r="C165" s="831"/>
      <c r="D165" s="388">
        <f t="shared" si="50"/>
        <v>229.1647432969294</v>
      </c>
      <c r="E165" s="380">
        <f t="shared" si="72"/>
        <v>237.32845770201857</v>
      </c>
      <c r="F165" s="380">
        <f t="shared" si="51"/>
        <v>237.33078972971109</v>
      </c>
      <c r="G165" s="110">
        <f t="shared" si="73"/>
        <v>0.94554545672404833</v>
      </c>
      <c r="H165" s="409" t="b">
        <f>Wh_hp&gt;='2028'!Maxi_hp</f>
        <v>1</v>
      </c>
      <c r="I165" s="385">
        <f>IF(H165,Wh_hp,'2028'!Maxi_hp)</f>
        <v>237.33078972971109</v>
      </c>
      <c r="J165" s="85">
        <f>IF(H165,An,'2028'!An_max)</f>
        <v>2029</v>
      </c>
      <c r="K165" s="193">
        <f t="shared" si="52"/>
        <v>47269</v>
      </c>
      <c r="L165" s="143">
        <f>IF(t&lt;Tvie,1-EXP((T0-t)*PertePVj)+'2028'!Pspv,1-EXP((T0-t)*PertePVj)+Pspv)</f>
        <v>3.8197285131367664E-2</v>
      </c>
      <c r="M165" s="835"/>
      <c r="N165" s="835"/>
      <c r="O165" s="48">
        <f>IF(t&lt;Tnet,'2028'!Resal+('2028'!Salim-'2028'!Resal)*(1-EXP(('2028'!Tnet-t)/('2028'!Tau_j))),Resal+(Salim-Resal)*(1-EXP((Tnet-t)/(Tau_j))))*Salcycl</f>
        <v>3.4398379714493554E-2</v>
      </c>
      <c r="P165" s="165">
        <f>(INDEX(Models!$BJ165:$BT165,,T165)*(1-R165)+INDEX(Models!$BJ165:$BT165,,T165+1)*R165-ERP_i)*Q165*Ramure*Pc/MaxiM</f>
        <v>1.0654922685789286E-5</v>
      </c>
      <c r="Q165" s="301">
        <f t="shared" si="53"/>
        <v>0.5</v>
      </c>
      <c r="R165" s="173">
        <f t="shared" si="54"/>
        <v>0.16352961146381356</v>
      </c>
      <c r="S165" s="801">
        <f t="shared" si="55"/>
        <v>0</v>
      </c>
      <c r="T165" s="172">
        <f t="shared" si="56"/>
        <v>6</v>
      </c>
      <c r="U165" s="247">
        <f t="shared" si="57"/>
        <v>0.16352961146381356</v>
      </c>
      <c r="V165" s="378">
        <f t="shared" si="58"/>
        <v>233.10469951107254</v>
      </c>
      <c r="W165" s="397">
        <f t="shared" si="59"/>
        <v>220.4112722551599</v>
      </c>
      <c r="X165" s="153">
        <f t="shared" si="60"/>
        <v>47269</v>
      </c>
      <c r="Y165" s="380">
        <f t="shared" si="61"/>
        <v>214.29057400961293</v>
      </c>
      <c r="Z165" s="380">
        <f t="shared" si="62"/>
        <v>222.80096603686732</v>
      </c>
      <c r="AA165" s="381">
        <f t="shared" si="63"/>
        <v>237.25443972899973</v>
      </c>
      <c r="AB165" s="193">
        <f t="shared" si="64"/>
        <v>47269</v>
      </c>
      <c r="AC165" s="119">
        <f>IF(OR(t&lt;Tnet,NoTnet),'2028'!Resal_s+('2028'!Salim-'2028'!Resal_s)*(1-EXP(('2028'!Tnet_s-t)/'2028'!Tau_j)),Resal_s+(Salim-Resal_s)*(1-EXP((Tnet_s-t)/Tau_j)))*Salcycl</f>
        <v>6.0919718546222544E-2</v>
      </c>
      <c r="AD165" s="227">
        <f>(INDEX(Models!$BJ165:$BT165,,AH165)*(1-AF165)+INDEX(Models!$BJ165:$BT165,,AH165+1)*AF165-ERP_i)*AE165*Ramure*Pc/MaxiM</f>
        <v>3.4883949159202207E-4</v>
      </c>
      <c r="AE165" s="301">
        <f t="shared" si="65"/>
        <v>0.5</v>
      </c>
      <c r="AF165" s="173">
        <f t="shared" si="66"/>
        <v>0.68851717783779165</v>
      </c>
      <c r="AG165" s="801">
        <f t="shared" si="74"/>
        <v>3</v>
      </c>
      <c r="AH165" s="172">
        <f t="shared" si="67"/>
        <v>9</v>
      </c>
      <c r="AI165" s="221">
        <f t="shared" si="68"/>
        <v>3.6885171778377916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47270</v>
      </c>
      <c r="B166" s="406">
        <f>'2028'!Wh/'2028'!Env_an*'2029'!Env_an</f>
        <v>230.10230287237215</v>
      </c>
      <c r="C166" s="831"/>
      <c r="D166" s="388">
        <f t="shared" si="50"/>
        <v>239.2439210927123</v>
      </c>
      <c r="E166" s="380">
        <f t="shared" si="72"/>
        <v>247.78620414296537</v>
      </c>
      <c r="F166" s="380">
        <f t="shared" si="51"/>
        <v>247.78880612470752</v>
      </c>
      <c r="G166" s="110">
        <f t="shared" si="73"/>
        <v>0.98662766780491173</v>
      </c>
      <c r="H166" s="409" t="b">
        <f>Wh_hp&gt;='2028'!Maxi_hp</f>
        <v>1</v>
      </c>
      <c r="I166" s="385">
        <f>IF(H166,Wh_hp,'2028'!Maxi_hp)</f>
        <v>247.78880612470752</v>
      </c>
      <c r="J166" s="85">
        <f>IF(H166,An,'2028'!An_max)</f>
        <v>2029</v>
      </c>
      <c r="K166" s="193">
        <f t="shared" si="52"/>
        <v>47270</v>
      </c>
      <c r="L166" s="143">
        <f>IF(t&lt;Tvie,1-EXP((T0-t)*PertePVj)+'2028'!Pspv,1-EXP((T0-t)*PertePVj)+Pspv)</f>
        <v>3.8210451402849066E-2</v>
      </c>
      <c r="M166" s="835"/>
      <c r="N166" s="835"/>
      <c r="O166" s="48">
        <f>IF(t&lt;Tnet,'2028'!Resal+('2028'!Salim-'2028'!Resal)*(1-EXP(('2028'!Tnet-t)/('2028'!Tau_j))),Resal+(Salim-Resal)*(1-EXP((Tnet-t)/(Tau_j))))*Salcycl</f>
        <v>3.4474409420003162E-2</v>
      </c>
      <c r="P166" s="165">
        <f>(INDEX(Models!$BJ166:$BT166,,T166)*(1-R166)+INDEX(Models!$BJ166:$BT166,,T166+1)*R166-ERP_i)*Q166*Ramure*Pc/MaxiM</f>
        <v>1.0705308192165734E-5</v>
      </c>
      <c r="Q166" s="301">
        <f t="shared" si="53"/>
        <v>0.5</v>
      </c>
      <c r="R166" s="173">
        <f t="shared" si="54"/>
        <v>0.16848408954089591</v>
      </c>
      <c r="S166" s="801">
        <f t="shared" si="55"/>
        <v>0</v>
      </c>
      <c r="T166" s="172">
        <f t="shared" si="56"/>
        <v>6</v>
      </c>
      <c r="U166" s="247">
        <f t="shared" si="57"/>
        <v>0.16848408954089591</v>
      </c>
      <c r="V166" s="378">
        <f t="shared" si="58"/>
        <v>233.22096402078884</v>
      </c>
      <c r="W166" s="397">
        <f t="shared" si="59"/>
        <v>230.10230287237215</v>
      </c>
      <c r="X166" s="153">
        <f t="shared" si="60"/>
        <v>47270</v>
      </c>
      <c r="Y166" s="380">
        <f t="shared" si="61"/>
        <v>223.70996682184327</v>
      </c>
      <c r="Z166" s="380">
        <f t="shared" si="62"/>
        <v>232.59762715049527</v>
      </c>
      <c r="AA166" s="381">
        <f t="shared" si="63"/>
        <v>247.70375037051895</v>
      </c>
      <c r="AB166" s="193">
        <f t="shared" si="64"/>
        <v>47270</v>
      </c>
      <c r="AC166" s="119">
        <f>IF(OR(t&lt;Tnet,NoTnet),'2028'!Resal_s+('2028'!Salim-'2028'!Resal_s)*(1-EXP(('2028'!Tnet_s-t)/'2028'!Tau_j)),Resal_s+(Salim-Resal_s)*(1-EXP((Tnet_s-t)/Tau_j)))*Salcycl</f>
        <v>6.0984636677594586E-2</v>
      </c>
      <c r="AD166" s="227">
        <f>(INDEX(Models!$BJ166:$BT166,,AH166)*(1-AF166)+INDEX(Models!$BJ166:$BT166,,AH166+1)*AF166-ERP_i)*AE166*Ramure*Pc/MaxiM</f>
        <v>3.4994406277348089E-4</v>
      </c>
      <c r="AE166" s="301">
        <f t="shared" si="65"/>
        <v>0.5</v>
      </c>
      <c r="AF166" s="173">
        <f t="shared" si="66"/>
        <v>0.69347165591487414</v>
      </c>
      <c r="AG166" s="801">
        <f t="shared" si="74"/>
        <v>3</v>
      </c>
      <c r="AH166" s="172">
        <f t="shared" si="67"/>
        <v>9</v>
      </c>
      <c r="AI166" s="221">
        <f t="shared" si="68"/>
        <v>3.6934716559148741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47271</v>
      </c>
      <c r="B167" s="406">
        <f>'2028'!Wh/'2028'!Env_an*'2029'!Env_an</f>
        <v>161.84714928552589</v>
      </c>
      <c r="C167" s="831"/>
      <c r="D167" s="388">
        <f t="shared" si="50"/>
        <v>168.27939657224039</v>
      </c>
      <c r="E167" s="380">
        <f t="shared" si="72"/>
        <v>174.3015569704358</v>
      </c>
      <c r="F167" s="380">
        <f t="shared" si="51"/>
        <v>174.30261051803021</v>
      </c>
      <c r="G167" s="110">
        <f t="shared" si="73"/>
        <v>0.69364288303281341</v>
      </c>
      <c r="H167" s="409" t="b">
        <f>Wh_hp&gt;='2028'!Maxi_hp</f>
        <v>1</v>
      </c>
      <c r="I167" s="385">
        <f>IF(H167,Wh_hp,'2028'!Maxi_hp)</f>
        <v>174.30261051803021</v>
      </c>
      <c r="J167" s="85">
        <f>IF(H167,An,'2028'!An_max)</f>
        <v>2029</v>
      </c>
      <c r="K167" s="193">
        <f t="shared" si="52"/>
        <v>47271</v>
      </c>
      <c r="L167" s="143">
        <f>IF(t&lt;Tvie,1-EXP((T0-t)*PertePVj)+'2028'!Pspv,1-EXP((T0-t)*PertePVj)+Pspv)</f>
        <v>3.8223617494095308E-2</v>
      </c>
      <c r="M167" s="835"/>
      <c r="N167" s="835"/>
      <c r="O167" s="48">
        <f>IF(t&lt;Tnet,'2028'!Resal+('2028'!Salim-'2028'!Resal)*(1-EXP(('2028'!Tnet-t)/('2028'!Tau_j))),Resal+(Salim-Resal)*(1-EXP((Tnet-t)/(Tau_j))))*Salcycl</f>
        <v>3.4550238694751711E-2</v>
      </c>
      <c r="P167" s="165">
        <f>(INDEX(Models!$BJ167:$BT167,,T167)*(1-R167)+INDEX(Models!$BJ167:$BT167,,T167+1)*R167-ERP_i)*Q167*Ramure*Pc/MaxiM</f>
        <v>1.0748362485450298E-5</v>
      </c>
      <c r="Q167" s="301">
        <f t="shared" si="53"/>
        <v>0.5</v>
      </c>
      <c r="R167" s="173">
        <f t="shared" si="54"/>
        <v>0.17347593295530847</v>
      </c>
      <c r="S167" s="801">
        <f t="shared" si="55"/>
        <v>0</v>
      </c>
      <c r="T167" s="172">
        <f t="shared" si="56"/>
        <v>6</v>
      </c>
      <c r="U167" s="247">
        <f t="shared" si="57"/>
        <v>0.17347593295530847</v>
      </c>
      <c r="V167" s="378">
        <f t="shared" si="58"/>
        <v>233.32811726369619</v>
      </c>
      <c r="W167" s="397">
        <f t="shared" si="59"/>
        <v>161.84714928552589</v>
      </c>
      <c r="X167" s="153">
        <f t="shared" si="60"/>
        <v>47271</v>
      </c>
      <c r="Y167" s="380">
        <f t="shared" si="61"/>
        <v>157.37482061586482</v>
      </c>
      <c r="Z167" s="380">
        <f t="shared" si="62"/>
        <v>163.62932535921223</v>
      </c>
      <c r="AA167" s="381">
        <f t="shared" si="63"/>
        <v>174.26826022994055</v>
      </c>
      <c r="AB167" s="193">
        <f t="shared" si="64"/>
        <v>47271</v>
      </c>
      <c r="AC167" s="119">
        <f>IF(OR(t&lt;Tnet,NoTnet),'2028'!Resal_s+('2028'!Salim-'2028'!Resal_s)*(1-EXP(('2028'!Tnet_s-t)/'2028'!Tau_j)),Resal_s+(Salim-Resal_s)*(1-EXP((Tnet_s-t)/Tau_j)))*Salcycl</f>
        <v>6.1049182775398295E-2</v>
      </c>
      <c r="AD167" s="227">
        <f>(INDEX(Models!$BJ167:$BT167,,AH167)*(1-AF167)+INDEX(Models!$BJ167:$BT167,,AH167+1)*AF167-ERP_i)*AE167*Ramure*Pc/MaxiM</f>
        <v>3.5044391903029385E-4</v>
      </c>
      <c r="AE167" s="301">
        <f t="shared" si="65"/>
        <v>0.5</v>
      </c>
      <c r="AF167" s="173">
        <f t="shared" si="66"/>
        <v>0.69846349932928664</v>
      </c>
      <c r="AG167" s="801">
        <f t="shared" si="74"/>
        <v>3</v>
      </c>
      <c r="AH167" s="172">
        <f t="shared" si="67"/>
        <v>9</v>
      </c>
      <c r="AI167" s="221">
        <f t="shared" si="68"/>
        <v>3.6984634993292866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47272</v>
      </c>
      <c r="B168" s="406">
        <f>'2028'!Wh/'2028'!Env_an*'2029'!Env_an</f>
        <v>222.35557521332342</v>
      </c>
      <c r="C168" s="831"/>
      <c r="D168" s="388">
        <f t="shared" si="50"/>
        <v>231.19575730975669</v>
      </c>
      <c r="E168" s="380">
        <f t="shared" si="72"/>
        <v>239.4882382287266</v>
      </c>
      <c r="F168" s="380">
        <f t="shared" si="51"/>
        <v>239.49064596399853</v>
      </c>
      <c r="G168" s="110">
        <f t="shared" si="73"/>
        <v>0.95257484277277515</v>
      </c>
      <c r="H168" s="409" t="b">
        <f>Wh_hp&gt;='2028'!Maxi_hp</f>
        <v>1</v>
      </c>
      <c r="I168" s="385">
        <f>IF(H168,Wh_hp,'2028'!Maxi_hp)</f>
        <v>239.49064596399853</v>
      </c>
      <c r="J168" s="85">
        <f>IF(H168,An,'2028'!An_max)</f>
        <v>2029</v>
      </c>
      <c r="K168" s="193">
        <f t="shared" si="52"/>
        <v>47272</v>
      </c>
      <c r="L168" s="143">
        <f>IF(t&lt;Tvie,1-EXP((T0-t)*PertePVj)+'2028'!Pspv,1-EXP((T0-t)*PertePVj)+Pspv)</f>
        <v>3.8236783405108832E-2</v>
      </c>
      <c r="M168" s="835"/>
      <c r="N168" s="835"/>
      <c r="O168" s="48">
        <f>IF(t&lt;Tnet,'2028'!Resal+('2028'!Salim-'2028'!Resal)*(1-EXP(('2028'!Tnet-t)/('2028'!Tau_j))),Resal+(Salim-Resal)*(1-EXP((Tnet-t)/(Tau_j))))*Salcycl</f>
        <v>3.4625837912967056E-2</v>
      </c>
      <c r="P168" s="165">
        <f>(INDEX(Models!$BJ168:$BT168,,T168)*(1-R168)+INDEX(Models!$BJ168:$BT168,,T168+1)*R168-ERP_i)*Q168*Ramure*Pc/MaxiM</f>
        <v>1.0784187471622031E-5</v>
      </c>
      <c r="Q168" s="301">
        <f t="shared" si="53"/>
        <v>0.5</v>
      </c>
      <c r="R168" s="173">
        <f t="shared" si="54"/>
        <v>0.17850130573758038</v>
      </c>
      <c r="S168" s="801">
        <f t="shared" si="55"/>
        <v>0</v>
      </c>
      <c r="T168" s="172">
        <f t="shared" si="56"/>
        <v>6</v>
      </c>
      <c r="U168" s="247">
        <f t="shared" si="57"/>
        <v>0.17850130573758038</v>
      </c>
      <c r="V168" s="378">
        <f t="shared" si="58"/>
        <v>233.42566144927119</v>
      </c>
      <c r="W168" s="397">
        <f t="shared" si="59"/>
        <v>222.35557521332342</v>
      </c>
      <c r="X168" s="153">
        <f t="shared" si="60"/>
        <v>47272</v>
      </c>
      <c r="Y168" s="380">
        <f t="shared" si="61"/>
        <v>216.1862376334731</v>
      </c>
      <c r="Z168" s="380">
        <f t="shared" si="62"/>
        <v>224.78114561178307</v>
      </c>
      <c r="AA168" s="381">
        <f t="shared" si="63"/>
        <v>239.41243072961649</v>
      </c>
      <c r="AB168" s="193">
        <f t="shared" si="64"/>
        <v>47272</v>
      </c>
      <c r="AC168" s="119">
        <f>IF(OR(t&lt;Tnet,NoTnet),'2028'!Resal_s+('2028'!Salim-'2028'!Resal_s)*(1-EXP(('2028'!Tnet_s-t)/'2028'!Tau_j)),Resal_s+(Salim-Resal_s)*(1-EXP((Tnet_s-t)/Tau_j)))*Salcycl</f>
        <v>6.1113305909990333E-2</v>
      </c>
      <c r="AD168" s="227">
        <f>(INDEX(Models!$BJ168:$BT168,,AH168)*(1-AF168)+INDEX(Models!$BJ168:$BT168,,AH168+1)*AF168-ERP_i)*AE168*Ramure*Pc/MaxiM</f>
        <v>3.5032412431086466E-4</v>
      </c>
      <c r="AE168" s="301">
        <f t="shared" si="65"/>
        <v>0.5</v>
      </c>
      <c r="AF168" s="173">
        <f t="shared" si="66"/>
        <v>0.70348887211155864</v>
      </c>
      <c r="AG168" s="801">
        <f t="shared" si="74"/>
        <v>3</v>
      </c>
      <c r="AH168" s="172">
        <f t="shared" si="67"/>
        <v>9</v>
      </c>
      <c r="AI168" s="221">
        <f t="shared" si="68"/>
        <v>3.7034888721115586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47273</v>
      </c>
      <c r="B169" s="406">
        <f>'2028'!Wh/'2028'!Env_an*'2029'!Env_an</f>
        <v>96.878199195984365</v>
      </c>
      <c r="C169" s="831"/>
      <c r="D169" s="388">
        <f t="shared" si="50"/>
        <v>100.73116097986349</v>
      </c>
      <c r="E169" s="380">
        <f t="shared" si="72"/>
        <v>104.35230900790465</v>
      </c>
      <c r="F169" s="380">
        <f t="shared" si="51"/>
        <v>104.35249417533518</v>
      </c>
      <c r="G169" s="110">
        <f t="shared" si="73"/>
        <v>0.41486890466275417</v>
      </c>
      <c r="H169" s="409" t="b">
        <f>Wh_hp&gt;='2028'!Maxi_hp</f>
        <v>1</v>
      </c>
      <c r="I169" s="385">
        <f>IF(H169,Wh_hp,'2028'!Maxi_hp)</f>
        <v>104.35249417533518</v>
      </c>
      <c r="J169" s="85">
        <f>IF(H169,An,'2028'!An_max)</f>
        <v>2029</v>
      </c>
      <c r="K169" s="193">
        <f t="shared" si="52"/>
        <v>47273</v>
      </c>
      <c r="L169" s="143">
        <f>IF(t&lt;Tvie,1-EXP((T0-t)*PertePVj)+'2028'!Pspv,1-EXP((T0-t)*PertePVj)+Pspv)</f>
        <v>3.824994913589197E-2</v>
      </c>
      <c r="M169" s="835"/>
      <c r="N169" s="835"/>
      <c r="O169" s="48">
        <f>IF(t&lt;Tnet,'2028'!Resal+('2028'!Salim-'2028'!Resal)*(1-EXP(('2028'!Tnet-t)/('2028'!Tau_j))),Resal+(Salim-Resal)*(1-EXP((Tnet-t)/(Tau_j))))*Salcycl</f>
        <v>3.4701177793457924E-2</v>
      </c>
      <c r="P169" s="165">
        <f>(INDEX(Models!$BJ169:$BT169,,T169)*(1-R169)+INDEX(Models!$BJ169:$BT169,,T169+1)*R169-ERP_i)*Q169*Ramure*Pc/MaxiM</f>
        <v>1.0812923973491106E-5</v>
      </c>
      <c r="Q169" s="301">
        <f t="shared" si="53"/>
        <v>0.5</v>
      </c>
      <c r="R169" s="173">
        <f t="shared" si="54"/>
        <v>0.18355626326724017</v>
      </c>
      <c r="S169" s="801">
        <f t="shared" si="55"/>
        <v>0</v>
      </c>
      <c r="T169" s="172">
        <f t="shared" si="56"/>
        <v>6</v>
      </c>
      <c r="U169" s="247">
        <f t="shared" si="57"/>
        <v>0.18355626326724017</v>
      </c>
      <c r="V169" s="378">
        <f t="shared" si="58"/>
        <v>233.51309889399448</v>
      </c>
      <c r="W169" s="397">
        <f t="shared" si="59"/>
        <v>96.878199195984365</v>
      </c>
      <c r="X169" s="153">
        <f t="shared" si="60"/>
        <v>47273</v>
      </c>
      <c r="Y169" s="380">
        <f t="shared" si="61"/>
        <v>94.215830016177009</v>
      </c>
      <c r="Z169" s="380">
        <f t="shared" si="62"/>
        <v>97.96290619535344</v>
      </c>
      <c r="AA169" s="381">
        <f t="shared" si="63"/>
        <v>104.34650791737641</v>
      </c>
      <c r="AB169" s="193">
        <f t="shared" si="64"/>
        <v>47273</v>
      </c>
      <c r="AC169" s="119">
        <f>IF(OR(t&lt;Tnet,NoTnet),'2028'!Resal_s+('2028'!Salim-'2028'!Resal_s)*(1-EXP(('2028'!Tnet_s-t)/'2028'!Tau_j)),Resal_s+(Salim-Resal_s)*(1-EXP((Tnet_s-t)/Tau_j)))*Salcycl</f>
        <v>6.1176955984743091E-2</v>
      </c>
      <c r="AD169" s="227">
        <f>(INDEX(Models!$BJ169:$BT169,,AH169)*(1-AF169)+INDEX(Models!$BJ169:$BT169,,AH169+1)*AF169-ERP_i)*AE169*Ramure*Pc/MaxiM</f>
        <v>3.4956985691753659E-4</v>
      </c>
      <c r="AE169" s="301">
        <f t="shared" si="65"/>
        <v>0.5</v>
      </c>
      <c r="AF169" s="173">
        <f t="shared" si="66"/>
        <v>0.70854382964121854</v>
      </c>
      <c r="AG169" s="801">
        <f t="shared" si="74"/>
        <v>3</v>
      </c>
      <c r="AH169" s="172">
        <f t="shared" si="67"/>
        <v>9</v>
      </c>
      <c r="AI169" s="221">
        <f t="shared" si="68"/>
        <v>3.7085438296412185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47274</v>
      </c>
      <c r="B170" s="406">
        <f>'2028'!Wh/'2028'!Env_an*'2029'!Env_an</f>
        <v>125.51802612191196</v>
      </c>
      <c r="C170" s="831"/>
      <c r="D170" s="388">
        <f t="shared" si="50"/>
        <v>130.51181465395251</v>
      </c>
      <c r="E170" s="380">
        <f t="shared" ref="E170:E232" si="75">Wh_pvt/(1-Psa)</f>
        <v>135.21404947179201</v>
      </c>
      <c r="F170" s="380">
        <f t="shared" si="51"/>
        <v>135.21454646972202</v>
      </c>
      <c r="G170" s="110">
        <f t="shared" ref="G170:G232" si="76">+Wh_hp/MaxiM</f>
        <v>0.53733962959170667</v>
      </c>
      <c r="H170" s="409" t="b">
        <f>Wh_hp&gt;='2028'!Maxi_hp</f>
        <v>1</v>
      </c>
      <c r="I170" s="385">
        <f>IF(H170,Wh_hp,'2028'!Maxi_hp)</f>
        <v>135.21454646972202</v>
      </c>
      <c r="J170" s="85">
        <f>IF(H170,An,'2028'!An_max)</f>
        <v>2029</v>
      </c>
      <c r="K170" s="193">
        <f t="shared" si="52"/>
        <v>47274</v>
      </c>
      <c r="L170" s="143">
        <f>IF(t&lt;Tvie,1-EXP((T0-t)*PertePVj)+'2028'!Pspv,1-EXP((T0-t)*PertePVj)+Pspv)</f>
        <v>3.8263114686447386E-2</v>
      </c>
      <c r="M170" s="835"/>
      <c r="N170" s="835"/>
      <c r="O170" s="48">
        <f>IF(t&lt;Tnet,'2028'!Resal+('2028'!Salim-'2028'!Resal)*(1-EXP(('2028'!Tnet-t)/('2028'!Tau_j))),Resal+(Salim-Resal)*(1-EXP((Tnet-t)/(Tau_j))))*Salcycl</f>
        <v>3.4776229513194715E-2</v>
      </c>
      <c r="P170" s="165">
        <f>(INDEX(Models!$BJ170:$BT170,,T170)*(1-R170)+INDEX(Models!$BJ170:$BT170,,T170+1)*R170-ERP_i)*Q170*Ramure*Pc/MaxiM</f>
        <v>1.0840564529092768E-5</v>
      </c>
      <c r="Q170" s="301">
        <f t="shared" si="53"/>
        <v>0.5</v>
      </c>
      <c r="R170" s="173">
        <f t="shared" si="54"/>
        <v>0.18863676413751213</v>
      </c>
      <c r="S170" s="801">
        <f t="shared" si="55"/>
        <v>0</v>
      </c>
      <c r="T170" s="172">
        <f t="shared" si="56"/>
        <v>6</v>
      </c>
      <c r="U170" s="247">
        <f t="shared" si="57"/>
        <v>0.18863676413751213</v>
      </c>
      <c r="V170" s="378">
        <f t="shared" si="58"/>
        <v>233.58993060846436</v>
      </c>
      <c r="W170" s="397">
        <f t="shared" si="59"/>
        <v>125.51802612191196</v>
      </c>
      <c r="X170" s="153">
        <f t="shared" si="60"/>
        <v>47274</v>
      </c>
      <c r="Y170" s="380">
        <f t="shared" si="61"/>
        <v>122.06269086825766</v>
      </c>
      <c r="Z170" s="380">
        <f t="shared" si="62"/>
        <v>126.91900740446476</v>
      </c>
      <c r="AA170" s="381">
        <f t="shared" si="63"/>
        <v>135.19857977728344</v>
      </c>
      <c r="AB170" s="193">
        <f t="shared" si="64"/>
        <v>47274</v>
      </c>
      <c r="AC170" s="119">
        <f>IF(OR(t&lt;Tnet,NoTnet),'2028'!Resal_s+('2028'!Salim-'2028'!Resal_s)*(1-EXP(('2028'!Tnet_s-t)/'2028'!Tau_j)),Resal_s+(Salim-Resal_s)*(1-EXP((Tnet_s-t)/Tau_j)))*Salcycl</f>
        <v>6.1240083930303578E-2</v>
      </c>
      <c r="AD170" s="227">
        <f>(INDEX(Models!$BJ170:$BT170,,AH170)*(1-AF170)+INDEX(Models!$BJ170:$BT170,,AH170+1)*AF170-ERP_i)*AE170*Ramure*Pc/MaxiM</f>
        <v>3.4826696299072684E-4</v>
      </c>
      <c r="AE170" s="301">
        <f t="shared" si="65"/>
        <v>0.5</v>
      </c>
      <c r="AF170" s="173">
        <f t="shared" si="66"/>
        <v>0.71362433051149043</v>
      </c>
      <c r="AG170" s="801">
        <f t="shared" si="74"/>
        <v>3</v>
      </c>
      <c r="AH170" s="172">
        <f t="shared" si="67"/>
        <v>9</v>
      </c>
      <c r="AI170" s="221">
        <f t="shared" si="68"/>
        <v>3.7136243305114904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47275</v>
      </c>
      <c r="B171" s="406">
        <f>'2028'!Wh/'2028'!Env_an*'2029'!Env_an</f>
        <v>184.43262284827159</v>
      </c>
      <c r="C171" s="831"/>
      <c r="D171" s="388">
        <f t="shared" si="50"/>
        <v>191.77297910377004</v>
      </c>
      <c r="E171" s="380">
        <f t="shared" si="75"/>
        <v>198.69778874935719</v>
      </c>
      <c r="F171" s="380">
        <f t="shared" si="51"/>
        <v>198.69929778180276</v>
      </c>
      <c r="G171" s="110">
        <f t="shared" si="76"/>
        <v>0.78933255898031807</v>
      </c>
      <c r="H171" s="409" t="b">
        <f>Wh_hp&gt;='2028'!Maxi_hp</f>
        <v>1</v>
      </c>
      <c r="I171" s="385">
        <f>IF(H171,Wh_hp,'2028'!Maxi_hp)</f>
        <v>198.69929778180276</v>
      </c>
      <c r="J171" s="85">
        <f>IF(H171,An,'2028'!An_max)</f>
        <v>2029</v>
      </c>
      <c r="K171" s="193">
        <f t="shared" si="52"/>
        <v>47275</v>
      </c>
      <c r="L171" s="143">
        <f>IF(t&lt;Tvie,1-EXP((T0-t)*PertePVj)+'2028'!Pspv,1-EXP((T0-t)*PertePVj)+Pspv)</f>
        <v>3.8276280056777523E-2</v>
      </c>
      <c r="M171" s="835"/>
      <c r="N171" s="835"/>
      <c r="O171" s="48">
        <f>IF(t&lt;Tnet,'2028'!Resal+('2028'!Salim-'2028'!Resal)*(1-EXP(('2028'!Tnet-t)/('2028'!Tau_j))),Resal+(Salim-Resal)*(1-EXP((Tnet-t)/(Tau_j))))*Salcycl</f>
        <v>3.4850964820359868E-2</v>
      </c>
      <c r="P171" s="165">
        <f>(INDEX(Models!$BJ171:$BT171,,T171)*(1-R171)+INDEX(Models!$BJ171:$BT171,,T171+1)*R171-ERP_i)*Q171*Ramure*Pc/MaxiM</f>
        <v>1.0864103170629276E-5</v>
      </c>
      <c r="Q171" s="301">
        <f t="shared" si="53"/>
        <v>0.5</v>
      </c>
      <c r="R171" s="173">
        <f t="shared" si="54"/>
        <v>0.19373868268465208</v>
      </c>
      <c r="S171" s="801">
        <f t="shared" si="55"/>
        <v>0</v>
      </c>
      <c r="T171" s="172">
        <f t="shared" si="56"/>
        <v>6</v>
      </c>
      <c r="U171" s="247">
        <f t="shared" si="57"/>
        <v>0.19373868268465208</v>
      </c>
      <c r="V171" s="378">
        <f t="shared" si="58"/>
        <v>233.65565975173178</v>
      </c>
      <c r="W171" s="397">
        <f t="shared" si="59"/>
        <v>184.43262284827159</v>
      </c>
      <c r="X171" s="153">
        <f t="shared" si="60"/>
        <v>47275</v>
      </c>
      <c r="Y171" s="380">
        <f t="shared" si="61"/>
        <v>179.33584786632147</v>
      </c>
      <c r="Z171" s="380">
        <f t="shared" si="62"/>
        <v>186.47335419460069</v>
      </c>
      <c r="AA171" s="381">
        <f t="shared" si="63"/>
        <v>198.65119741187976</v>
      </c>
      <c r="AB171" s="193">
        <f t="shared" si="64"/>
        <v>47275</v>
      </c>
      <c r="AC171" s="119">
        <f>IF(OR(t&lt;Tnet,NoTnet),'2028'!Resal_s+('2028'!Salim-'2028'!Resal_s)*(1-EXP(('2028'!Tnet_s-t)/'2028'!Tau_j)),Resal_s+(Salim-Resal_s)*(1-EXP((Tnet_s-t)/Tau_j)))*Salcycl</f>
        <v>6.1302641896639358E-2</v>
      </c>
      <c r="AD171" s="227">
        <f>(INDEX(Models!$BJ171:$BT171,,AH171)*(1-AF171)+INDEX(Models!$BJ171:$BT171,,AH171+1)*AF171-ERP_i)*AE171*Ramure*Pc/MaxiM</f>
        <v>3.4629300577621643E-4</v>
      </c>
      <c r="AE171" s="301">
        <f t="shared" si="65"/>
        <v>0.5</v>
      </c>
      <c r="AF171" s="173">
        <f t="shared" si="66"/>
        <v>0.71872624905863036</v>
      </c>
      <c r="AG171" s="801">
        <f t="shared" si="74"/>
        <v>3</v>
      </c>
      <c r="AH171" s="172">
        <f t="shared" si="67"/>
        <v>9</v>
      </c>
      <c r="AI171" s="221">
        <f t="shared" si="68"/>
        <v>3.7187262490586304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47276</v>
      </c>
      <c r="B172" s="406">
        <f>'2028'!Wh/'2028'!Env_an*'2029'!Env_an</f>
        <v>114.92435295364869</v>
      </c>
      <c r="C172" s="831"/>
      <c r="D172" s="388">
        <f t="shared" si="50"/>
        <v>119.49993933793458</v>
      </c>
      <c r="E172" s="380">
        <f t="shared" si="75"/>
        <v>123.82455605789092</v>
      </c>
      <c r="F172" s="380">
        <f t="shared" si="51"/>
        <v>123.82492521296413</v>
      </c>
      <c r="G172" s="110">
        <f t="shared" si="76"/>
        <v>0.49173569231051539</v>
      </c>
      <c r="H172" s="409" t="b">
        <f>Wh_hp&gt;='2028'!Maxi_hp</f>
        <v>1</v>
      </c>
      <c r="I172" s="385">
        <f>IF(H172,Wh_hp,'2028'!Maxi_hp)</f>
        <v>123.82492521296413</v>
      </c>
      <c r="J172" s="85">
        <f>IF(H172,An,'2028'!An_max)</f>
        <v>2029</v>
      </c>
      <c r="K172" s="193">
        <f t="shared" si="52"/>
        <v>47276</v>
      </c>
      <c r="L172" s="143">
        <f>IF(t&lt;Tvie,1-EXP((T0-t)*PertePVj)+'2028'!Pspv,1-EXP((T0-t)*PertePVj)+Pspv)</f>
        <v>3.8289445246884712E-2</v>
      </c>
      <c r="M172" s="835"/>
      <c r="N172" s="835"/>
      <c r="O172" s="48">
        <f>IF(t&lt;Tnet,'2028'!Resal+('2028'!Salim-'2028'!Resal)*(1-EXP(('2028'!Tnet-t)/('2028'!Tau_j))),Resal+(Salim-Resal)*(1-EXP((Tnet-t)/(Tau_j))))*Salcycl</f>
        <v>3.492535614611441E-2</v>
      </c>
      <c r="P172" s="165">
        <f>(INDEX(Models!$BJ172:$BT172,,T172)*(1-R172)+INDEX(Models!$BJ172:$BT172,,T172+1)*R172-ERP_i)*Q172*Ramure*Pc/MaxiM</f>
        <v>1.0883962550848603E-5</v>
      </c>
      <c r="Q172" s="301">
        <f t="shared" si="53"/>
        <v>0.5</v>
      </c>
      <c r="R172" s="173">
        <f t="shared" si="54"/>
        <v>0.19885782210247807</v>
      </c>
      <c r="S172" s="801">
        <f t="shared" si="55"/>
        <v>0</v>
      </c>
      <c r="T172" s="172">
        <f t="shared" si="56"/>
        <v>6</v>
      </c>
      <c r="U172" s="247">
        <f t="shared" si="57"/>
        <v>0.19885782210247807</v>
      </c>
      <c r="V172" s="378">
        <f t="shared" si="58"/>
        <v>233.70978868484121</v>
      </c>
      <c r="W172" s="397">
        <f t="shared" si="59"/>
        <v>114.92435295364869</v>
      </c>
      <c r="X172" s="153">
        <f t="shared" si="60"/>
        <v>47276</v>
      </c>
      <c r="Y172" s="380">
        <f t="shared" si="61"/>
        <v>111.76569248943271</v>
      </c>
      <c r="Z172" s="380">
        <f t="shared" si="62"/>
        <v>116.2155202904314</v>
      </c>
      <c r="AA172" s="381">
        <f t="shared" si="63"/>
        <v>123.81327003038506</v>
      </c>
      <c r="AB172" s="193">
        <f t="shared" si="64"/>
        <v>47276</v>
      </c>
      <c r="AC172" s="119">
        <f>IF(OR(t&lt;Tnet,NoTnet),'2028'!Resal_s+('2028'!Salim-'2028'!Resal_s)*(1-EXP(('2028'!Tnet_s-t)/'2028'!Tau_j)),Resal_s+(Salim-Resal_s)*(1-EXP((Tnet_s-t)/Tau_j)))*Salcycl</f>
        <v>6.1364583441573688E-2</v>
      </c>
      <c r="AD172" s="227">
        <f>(INDEX(Models!$BJ172:$BT172,,AH172)*(1-AF172)+INDEX(Models!$BJ172:$BT172,,AH172+1)*AF172-ERP_i)*AE172*Ramure*Pc/MaxiM</f>
        <v>3.4363491094695583E-4</v>
      </c>
      <c r="AE172" s="301">
        <f t="shared" si="65"/>
        <v>0.5</v>
      </c>
      <c r="AF172" s="173">
        <f t="shared" si="66"/>
        <v>0.72384538847645619</v>
      </c>
      <c r="AG172" s="801">
        <f t="shared" si="74"/>
        <v>3</v>
      </c>
      <c r="AH172" s="172">
        <f t="shared" si="67"/>
        <v>9</v>
      </c>
      <c r="AI172" s="221">
        <f t="shared" si="68"/>
        <v>3.7238453884764562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47277</v>
      </c>
      <c r="B173" s="406">
        <f>'2028'!Wh/'2028'!Env_an*'2029'!Env_an</f>
        <v>87.559347955897039</v>
      </c>
      <c r="C173" s="831"/>
      <c r="D173" s="388">
        <f t="shared" si="50"/>
        <v>91.046673194439308</v>
      </c>
      <c r="E173" s="380">
        <f t="shared" si="75"/>
        <v>94.34882320017519</v>
      </c>
      <c r="F173" s="380">
        <f t="shared" si="51"/>
        <v>94.348932779037895</v>
      </c>
      <c r="G173" s="110">
        <f t="shared" si="76"/>
        <v>0.37457888154726293</v>
      </c>
      <c r="H173" s="409" t="b">
        <f>Wh_hp&gt;='2028'!Maxi_hp</f>
        <v>1</v>
      </c>
      <c r="I173" s="385">
        <f>IF(H173,Wh_hp,'2028'!Maxi_hp)</f>
        <v>94.348932779037895</v>
      </c>
      <c r="J173" s="85">
        <f>IF(H173,An,'2028'!An_max)</f>
        <v>2029</v>
      </c>
      <c r="K173" s="193">
        <f t="shared" si="52"/>
        <v>47277</v>
      </c>
      <c r="L173" s="143">
        <f>IF(t&lt;Tvie,1-EXP((T0-t)*PertePVj)+'2028'!Pspv,1-EXP((T0-t)*PertePVj)+Pspv)</f>
        <v>3.8302610256771619E-2</v>
      </c>
      <c r="M173" s="835"/>
      <c r="N173" s="835"/>
      <c r="O173" s="48">
        <f>IF(t&lt;Tnet,'2028'!Resal+('2028'!Salim-'2028'!Resal)*(1-EXP(('2028'!Tnet-t)/('2028'!Tau_j))),Resal+(Salim-Resal)*(1-EXP((Tnet-t)/(Tau_j))))*Salcycl</f>
        <v>3.4999376714321857E-2</v>
      </c>
      <c r="P173" s="165">
        <f>(INDEX(Models!$BJ173:$BT173,,T173)*(1-R173)+INDEX(Models!$BJ173:$BT173,,T173+1)*R173-ERP_i)*Q173*Ramure*Pc/MaxiM</f>
        <v>1.0900608122182885E-5</v>
      </c>
      <c r="Q173" s="301">
        <f t="shared" si="53"/>
        <v>0.5</v>
      </c>
      <c r="R173" s="173">
        <f t="shared" si="54"/>
        <v>0.20398992805574456</v>
      </c>
      <c r="S173" s="801">
        <f t="shared" si="55"/>
        <v>0</v>
      </c>
      <c r="T173" s="172">
        <f t="shared" si="56"/>
        <v>6</v>
      </c>
      <c r="U173" s="247">
        <f t="shared" si="57"/>
        <v>0.20398992805574456</v>
      </c>
      <c r="V173" s="378">
        <f t="shared" si="58"/>
        <v>233.75181974057293</v>
      </c>
      <c r="W173" s="397">
        <f t="shared" si="59"/>
        <v>87.559347955897039</v>
      </c>
      <c r="X173" s="153">
        <f t="shared" si="60"/>
        <v>47277</v>
      </c>
      <c r="Y173" s="380">
        <f t="shared" si="61"/>
        <v>85.158551529036771</v>
      </c>
      <c r="Z173" s="380">
        <f t="shared" si="62"/>
        <v>88.550257531398685</v>
      </c>
      <c r="AA173" s="381">
        <f t="shared" si="63"/>
        <v>94.345512099711556</v>
      </c>
      <c r="AB173" s="193">
        <f t="shared" si="64"/>
        <v>47277</v>
      </c>
      <c r="AC173" s="119">
        <f>IF(OR(t&lt;Tnet,NoTnet),'2028'!Resal_s+('2028'!Salim-'2028'!Resal_s)*(1-EXP(('2028'!Tnet_s-t)/'2028'!Tau_j)),Resal_s+(Salim-Resal_s)*(1-EXP((Tnet_s-t)/Tau_j)))*Salcycl</f>
        <v>6.1425863714513564E-2</v>
      </c>
      <c r="AD173" s="227">
        <f>(INDEX(Models!$BJ173:$BT173,,AH173)*(1-AF173)+INDEX(Models!$BJ173:$BT173,,AH173+1)*AF173-ERP_i)*AE173*Ramure*Pc/MaxiM</f>
        <v>3.4027990371789183E-4</v>
      </c>
      <c r="AE173" s="301">
        <f t="shared" si="65"/>
        <v>0.5</v>
      </c>
      <c r="AF173" s="173">
        <f t="shared" si="66"/>
        <v>0.72897749442972248</v>
      </c>
      <c r="AG173" s="801">
        <f t="shared" si="74"/>
        <v>3</v>
      </c>
      <c r="AH173" s="172">
        <f t="shared" si="67"/>
        <v>9</v>
      </c>
      <c r="AI173" s="221">
        <f t="shared" si="68"/>
        <v>3.7289774944297225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47278</v>
      </c>
      <c r="B174" s="406">
        <f>'2028'!Wh/'2028'!Env_an*'2029'!Env_an</f>
        <v>185.7526577074824</v>
      </c>
      <c r="C174" s="831"/>
      <c r="D174" s="388">
        <f t="shared" si="50"/>
        <v>193.15348312402512</v>
      </c>
      <c r="E174" s="380">
        <f t="shared" si="75"/>
        <v>200.17419271492287</v>
      </c>
      <c r="F174" s="380">
        <f t="shared" si="51"/>
        <v>200.17573631914226</v>
      </c>
      <c r="G174" s="110">
        <f t="shared" si="76"/>
        <v>0.79455498918226208</v>
      </c>
      <c r="H174" s="409" t="b">
        <f>Wh_hp&gt;='2028'!Maxi_hp</f>
        <v>1</v>
      </c>
      <c r="I174" s="385">
        <f>IF(H174,Wh_hp,'2028'!Maxi_hp)</f>
        <v>200.17573631914226</v>
      </c>
      <c r="J174" s="85">
        <f>IF(H174,An,'2028'!An_max)</f>
        <v>2029</v>
      </c>
      <c r="K174" s="193">
        <f t="shared" si="52"/>
        <v>47278</v>
      </c>
      <c r="L174" s="143">
        <f>IF(t&lt;Tvie,1-EXP((T0-t)*PertePVj)+'2028'!Pspv,1-EXP((T0-t)*PertePVj)+Pspv)</f>
        <v>3.8315775086440462E-2</v>
      </c>
      <c r="M174" s="835"/>
      <c r="N174" s="835"/>
      <c r="O174" s="48">
        <f>IF(t&lt;Tnet,'2028'!Resal+('2028'!Salim-'2028'!Resal)*(1-EXP(('2028'!Tnet-t)/('2028'!Tau_j))),Resal+(Salim-Resal)*(1-EXP((Tnet-t)/(Tau_j))))*Salcycl</f>
        <v>3.5073000648471547E-2</v>
      </c>
      <c r="P174" s="165">
        <f>(INDEX(Models!$BJ174:$BT174,,T174)*(1-R174)+INDEX(Models!$BJ174:$BT174,,T174+1)*R174-ERP_i)*Q174*Ramure*Pc/MaxiM</f>
        <v>1.0914547614215417E-5</v>
      </c>
      <c r="Q174" s="301">
        <f t="shared" si="53"/>
        <v>0.5</v>
      </c>
      <c r="R174" s="173">
        <f t="shared" si="54"/>
        <v>0.20913070270005044</v>
      </c>
      <c r="S174" s="801">
        <f t="shared" si="55"/>
        <v>0</v>
      </c>
      <c r="T174" s="172">
        <f t="shared" si="56"/>
        <v>6</v>
      </c>
      <c r="U174" s="247">
        <f t="shared" si="57"/>
        <v>0.20913070270005044</v>
      </c>
      <c r="V174" s="378">
        <f t="shared" si="58"/>
        <v>233.78125518053827</v>
      </c>
      <c r="W174" s="397">
        <f t="shared" si="59"/>
        <v>185.7526577074824</v>
      </c>
      <c r="X174" s="153">
        <f t="shared" si="60"/>
        <v>47278</v>
      </c>
      <c r="Y174" s="380">
        <f t="shared" si="61"/>
        <v>180.62643245874588</v>
      </c>
      <c r="Z174" s="380">
        <f t="shared" si="62"/>
        <v>187.82301693155193</v>
      </c>
      <c r="AA174" s="381">
        <f t="shared" si="63"/>
        <v>200.12818659575103</v>
      </c>
      <c r="AB174" s="193">
        <f t="shared" si="64"/>
        <v>47278</v>
      </c>
      <c r="AC174" s="119">
        <f>IF(OR(t&lt;Tnet,NoTnet),'2028'!Resal_s+('2028'!Salim-'2028'!Resal_s)*(1-EXP(('2028'!Tnet_s-t)/'2028'!Tau_j)),Resal_s+(Salim-Resal_s)*(1-EXP((Tnet_s-t)/Tau_j)))*Salcycl</f>
        <v>6.1486439634087703E-2</v>
      </c>
      <c r="AD174" s="227">
        <f>(INDEX(Models!$BJ174:$BT174,,AH174)*(1-AF174)+INDEX(Models!$BJ174:$BT174,,AH174+1)*AF174-ERP_i)*AE174*Ramure*Pc/MaxiM</f>
        <v>3.3621553600211406E-4</v>
      </c>
      <c r="AE174" s="301">
        <f t="shared" si="65"/>
        <v>0.5</v>
      </c>
      <c r="AF174" s="173">
        <f t="shared" si="66"/>
        <v>0.73411826907402844</v>
      </c>
      <c r="AG174" s="801">
        <f t="shared" si="74"/>
        <v>3</v>
      </c>
      <c r="AH174" s="172">
        <f t="shared" si="67"/>
        <v>9</v>
      </c>
      <c r="AI174" s="221">
        <f t="shared" si="68"/>
        <v>3.7341182690740284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47279</v>
      </c>
      <c r="B175" s="406">
        <f>'2028'!Wh/'2028'!Env_an*'2029'!Env_an</f>
        <v>234.82649192397443</v>
      </c>
      <c r="C175" s="831"/>
      <c r="D175" s="388">
        <f t="shared" si="50"/>
        <v>244.18587771527976</v>
      </c>
      <c r="E175" s="380">
        <f t="shared" si="75"/>
        <v>253.0807035154092</v>
      </c>
      <c r="F175" s="380">
        <f t="shared" si="51"/>
        <v>253.08346878897103</v>
      </c>
      <c r="G175" s="110">
        <f t="shared" si="76"/>
        <v>1.0044007926630025</v>
      </c>
      <c r="H175" s="409" t="b">
        <f>Wh_hp&gt;='2028'!Maxi_hp</f>
        <v>1</v>
      </c>
      <c r="I175" s="385">
        <f>IF(H175,Wh_hp,'2028'!Maxi_hp)</f>
        <v>253.08346878897103</v>
      </c>
      <c r="J175" s="85">
        <f>IF(H175,An,'2028'!An_max)</f>
        <v>2029</v>
      </c>
      <c r="K175" s="193">
        <f t="shared" si="52"/>
        <v>47279</v>
      </c>
      <c r="L175" s="143">
        <f>IF(t&lt;Tvie,1-EXP((T0-t)*PertePVj)+'2028'!Pspv,1-EXP((T0-t)*PertePVj)+Pspv)</f>
        <v>3.8328939735893908E-2</v>
      </c>
      <c r="M175" s="835"/>
      <c r="N175" s="835"/>
      <c r="O175" s="48">
        <f>IF(t&lt;Tnet,'2028'!Resal+('2028'!Salim-'2028'!Resal)*(1-EXP(('2028'!Tnet-t)/('2028'!Tau_j))),Resal+(Salim-Resal)*(1-EXP((Tnet-t)/(Tau_j))))*Salcycl</f>
        <v>3.5146203075051327E-2</v>
      </c>
      <c r="P175" s="165">
        <f>(INDEX(Models!$BJ175:$BT175,,T175)*(1-R175)+INDEX(Models!$BJ175:$BT175,,T175+1)*R175-ERP_i)*Q175*Ramure*Pc/MaxiM</f>
        <v>1.0926330254150431E-5</v>
      </c>
      <c r="Q175" s="301">
        <f t="shared" si="53"/>
        <v>0.5</v>
      </c>
      <c r="R175" s="173">
        <f t="shared" si="54"/>
        <v>0.21427581901106196</v>
      </c>
      <c r="S175" s="801">
        <f t="shared" si="55"/>
        <v>0</v>
      </c>
      <c r="T175" s="172">
        <f t="shared" si="56"/>
        <v>6</v>
      </c>
      <c r="U175" s="247">
        <f t="shared" si="57"/>
        <v>0.21427581901106196</v>
      </c>
      <c r="V175" s="378">
        <f t="shared" si="58"/>
        <v>233.79759717370476</v>
      </c>
      <c r="W175" s="397">
        <f t="shared" si="59"/>
        <v>234.82649192397443</v>
      </c>
      <c r="X175" s="153">
        <f t="shared" si="60"/>
        <v>47279</v>
      </c>
      <c r="Y175" s="380">
        <f t="shared" si="61"/>
        <v>228.3280291985935</v>
      </c>
      <c r="Z175" s="380">
        <f t="shared" si="62"/>
        <v>237.42840835398249</v>
      </c>
      <c r="AA175" s="381">
        <f t="shared" si="63"/>
        <v>252.99958940838434</v>
      </c>
      <c r="AB175" s="193">
        <f t="shared" si="64"/>
        <v>47279</v>
      </c>
      <c r="AC175" s="119">
        <f>IF(OR(t&lt;Tnet,NoTnet),'2028'!Resal_s+('2028'!Salim-'2028'!Resal_s)*(1-EXP(('2028'!Tnet_s-t)/'2028'!Tau_j)),Resal_s+(Salim-Resal_s)*(1-EXP((Tnet_s-t)/Tau_j)))*Salcycl</f>
        <v>6.1546270058435999E-2</v>
      </c>
      <c r="AD175" s="227">
        <f>(INDEX(Models!$BJ175:$BT175,,AH175)*(1-AF175)+INDEX(Models!$BJ175:$BT175,,AH175+1)*AF175-ERP_i)*AE175*Ramure*Pc/MaxiM</f>
        <v>3.3142970968461473E-4</v>
      </c>
      <c r="AE175" s="301">
        <f t="shared" si="65"/>
        <v>0.5</v>
      </c>
      <c r="AF175" s="173">
        <f t="shared" si="66"/>
        <v>0.73926338538504011</v>
      </c>
      <c r="AG175" s="801">
        <f t="shared" si="74"/>
        <v>3</v>
      </c>
      <c r="AH175" s="172">
        <f t="shared" si="67"/>
        <v>9</v>
      </c>
      <c r="AI175" s="221">
        <f t="shared" si="68"/>
        <v>3.7392633853850401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47280</v>
      </c>
      <c r="B176" s="406">
        <f>'2028'!Wh/'2028'!Env_an*'2029'!Env_an</f>
        <v>223.03670403398294</v>
      </c>
      <c r="C176" s="831"/>
      <c r="D176" s="388">
        <f t="shared" si="50"/>
        <v>231.92936387178548</v>
      </c>
      <c r="E176" s="380">
        <f t="shared" si="75"/>
        <v>240.3958559605461</v>
      </c>
      <c r="F176" s="380">
        <f t="shared" si="51"/>
        <v>240.3983121746576</v>
      </c>
      <c r="G176" s="110">
        <f t="shared" si="76"/>
        <v>0.95396155625428225</v>
      </c>
      <c r="H176" s="409" t="b">
        <f>Wh_hp&gt;='2028'!Maxi_hp</f>
        <v>1</v>
      </c>
      <c r="I176" s="385">
        <f>IF(H176,Wh_hp,'2028'!Maxi_hp)</f>
        <v>240.3983121746576</v>
      </c>
      <c r="J176" s="85">
        <f>IF(H176,An,'2028'!An_max)</f>
        <v>2029</v>
      </c>
      <c r="K176" s="193">
        <f t="shared" si="52"/>
        <v>47280</v>
      </c>
      <c r="L176" s="143">
        <f>IF(t&lt;Tvie,1-EXP((T0-t)*PertePVj)+'2028'!Pspv,1-EXP((T0-t)*PertePVj)+Pspv)</f>
        <v>3.8342104205134397E-2</v>
      </c>
      <c r="M176" s="835"/>
      <c r="N176" s="835"/>
      <c r="O176" s="48">
        <f>IF(t&lt;Tnet,'2028'!Resal+('2028'!Salim-'2028'!Resal)*(1-EXP(('2028'!Tnet-t)/('2028'!Tau_j))),Resal+(Salim-Resal)*(1-EXP((Tnet-t)/(Tau_j))))*Salcycl</f>
        <v>3.5218960222634363E-2</v>
      </c>
      <c r="P176" s="165">
        <f>(INDEX(Models!$BJ176:$BT176,,T176)*(1-R176)+INDEX(Models!$BJ176:$BT176,,T176+1)*R176-ERP_i)*Q176*Ramure*Pc/MaxiM</f>
        <v>1.0936545739808299E-5</v>
      </c>
      <c r="Q176" s="301">
        <f t="shared" si="53"/>
        <v>0.5</v>
      </c>
      <c r="R176" s="173">
        <f t="shared" si="54"/>
        <v>0.21942093532207349</v>
      </c>
      <c r="S176" s="801">
        <f t="shared" si="55"/>
        <v>0</v>
      </c>
      <c r="T176" s="172">
        <f t="shared" si="56"/>
        <v>6</v>
      </c>
      <c r="U176" s="247">
        <f t="shared" si="57"/>
        <v>0.21942093532207349</v>
      </c>
      <c r="V176" s="378">
        <f t="shared" si="58"/>
        <v>233.80034776545662</v>
      </c>
      <c r="W176" s="397">
        <f t="shared" si="59"/>
        <v>223.03670403398294</v>
      </c>
      <c r="X176" s="153">
        <f t="shared" si="60"/>
        <v>47280</v>
      </c>
      <c r="Y176" s="380">
        <f t="shared" si="61"/>
        <v>216.87290775993216</v>
      </c>
      <c r="Z176" s="380">
        <f t="shared" si="62"/>
        <v>225.51981188765077</v>
      </c>
      <c r="AA176" s="381">
        <f t="shared" si="63"/>
        <v>240.32511662746845</v>
      </c>
      <c r="AB176" s="193">
        <f t="shared" si="64"/>
        <v>47280</v>
      </c>
      <c r="AC176" s="119">
        <f>IF(OR(t&lt;Tnet,NoTnet),'2028'!Resal_s+('2028'!Salim-'2028'!Resal_s)*(1-EXP(('2028'!Tnet_s-t)/'2028'!Tau_j)),Resal_s+(Salim-Resal_s)*(1-EXP((Tnet_s-t)/Tau_j)))*Salcycl</f>
        <v>6.1605315946928627E-2</v>
      </c>
      <c r="AD176" s="227">
        <f>(INDEX(Models!$BJ176:$BT176,,AH176)*(1-AF176)+INDEX(Models!$BJ176:$BT176,,AH176+1)*AF176-ERP_i)*AE176*Ramure*Pc/MaxiM</f>
        <v>3.2591069566684613E-4</v>
      </c>
      <c r="AE176" s="301">
        <f t="shared" si="65"/>
        <v>0.5</v>
      </c>
      <c r="AF176" s="173">
        <f t="shared" si="66"/>
        <v>0.74440850169605177</v>
      </c>
      <c r="AG176" s="801">
        <f t="shared" si="74"/>
        <v>3</v>
      </c>
      <c r="AH176" s="172">
        <f t="shared" si="67"/>
        <v>9</v>
      </c>
      <c r="AI176" s="221">
        <f t="shared" si="68"/>
        <v>3.7444085016960518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47281</v>
      </c>
      <c r="B177" s="406">
        <f>'2028'!Wh/'2028'!Env_an*'2029'!Env_an</f>
        <v>176.08184471959146</v>
      </c>
      <c r="C177" s="831"/>
      <c r="D177" s="388">
        <f t="shared" si="50"/>
        <v>183.10488161658785</v>
      </c>
      <c r="E177" s="380">
        <f t="shared" si="75"/>
        <v>189.80327640307661</v>
      </c>
      <c r="F177" s="380">
        <f t="shared" si="51"/>
        <v>189.80462137520485</v>
      </c>
      <c r="G177" s="110">
        <f t="shared" si="76"/>
        <v>0.75316217233143712</v>
      </c>
      <c r="H177" s="409" t="b">
        <f>Wh_hp&gt;='2028'!Maxi_hp</f>
        <v>1</v>
      </c>
      <c r="I177" s="385">
        <f>IF(H177,Wh_hp,'2028'!Maxi_hp)</f>
        <v>189.80462137520485</v>
      </c>
      <c r="J177" s="85">
        <f>IF(H177,An,'2028'!An_max)</f>
        <v>2029</v>
      </c>
      <c r="K177" s="193">
        <f t="shared" si="52"/>
        <v>47281</v>
      </c>
      <c r="L177" s="143">
        <f>IF(t&lt;Tvie,1-EXP((T0-t)*PertePVj)+'2028'!Pspv,1-EXP((T0-t)*PertePVj)+Pspv)</f>
        <v>3.8355268494164263E-2</v>
      </c>
      <c r="M177" s="835"/>
      <c r="N177" s="835"/>
      <c r="O177" s="48">
        <f>IF(t&lt;Tnet,'2028'!Resal+('2028'!Salim-'2028'!Resal)*(1-EXP(('2028'!Tnet-t)/('2028'!Tau_j))),Resal+(Salim-Resal)*(1-EXP((Tnet-t)/(Tau_j))))*Salcycl</f>
        <v>3.5291249515965656E-2</v>
      </c>
      <c r="P177" s="165">
        <f>(INDEX(Models!$BJ177:$BT177,,T177)*(1-R177)+INDEX(Models!$BJ177:$BT177,,T177+1)*R177-ERP_i)*Q177*Ramure*Pc/MaxiM</f>
        <v>1.0945815062331991E-5</v>
      </c>
      <c r="Q177" s="301">
        <f t="shared" si="53"/>
        <v>0.5</v>
      </c>
      <c r="R177" s="173">
        <f t="shared" si="54"/>
        <v>0.22456170996637939</v>
      </c>
      <c r="S177" s="801">
        <f t="shared" si="55"/>
        <v>0</v>
      </c>
      <c r="T177" s="172">
        <f t="shared" si="56"/>
        <v>6</v>
      </c>
      <c r="U177" s="247">
        <f t="shared" si="57"/>
        <v>0.22456170996637939</v>
      </c>
      <c r="V177" s="378">
        <f t="shared" si="58"/>
        <v>233.7891778894533</v>
      </c>
      <c r="W177" s="397">
        <f t="shared" si="59"/>
        <v>176.08184471959146</v>
      </c>
      <c r="X177" s="153">
        <f t="shared" si="60"/>
        <v>47281</v>
      </c>
      <c r="Y177" s="380">
        <f t="shared" si="61"/>
        <v>171.23405897802292</v>
      </c>
      <c r="Z177" s="380">
        <f t="shared" si="62"/>
        <v>178.0637415960135</v>
      </c>
      <c r="AA177" s="381">
        <f t="shared" si="63"/>
        <v>189.76534461124953</v>
      </c>
      <c r="AB177" s="193">
        <f t="shared" si="64"/>
        <v>47281</v>
      </c>
      <c r="AC177" s="119">
        <f>IF(OR(t&lt;Tnet,NoTnet),'2028'!Resal_s+('2028'!Salim-'2028'!Resal_s)*(1-EXP(('2028'!Tnet_s-t)/'2028'!Tau_j)),Resal_s+(Salim-Resal_s)*(1-EXP((Tnet_s-t)/Tau_j)))*Salcycl</f>
        <v>6.1663540512140187E-2</v>
      </c>
      <c r="AD177" s="227">
        <f>(INDEX(Models!$BJ177:$BT177,,AH177)*(1-AF177)+INDEX(Models!$BJ177:$BT177,,AH177+1)*AF177-ERP_i)*AE177*Ramure*Pc/MaxiM</f>
        <v>3.1964691719237645E-4</v>
      </c>
      <c r="AE177" s="301">
        <f t="shared" si="65"/>
        <v>0.5</v>
      </c>
      <c r="AF177" s="173">
        <f t="shared" si="66"/>
        <v>0.74954927634035773</v>
      </c>
      <c r="AG177" s="801">
        <f t="shared" si="74"/>
        <v>3</v>
      </c>
      <c r="AH177" s="172">
        <f t="shared" si="67"/>
        <v>9</v>
      </c>
      <c r="AI177" s="221">
        <f t="shared" si="68"/>
        <v>3.7495492763403577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47282</v>
      </c>
      <c r="B178" s="406">
        <f>'2028'!Wh/'2028'!Env_an*'2029'!Env_an</f>
        <v>216.56111866873491</v>
      </c>
      <c r="C178" s="831"/>
      <c r="D178" s="388">
        <f t="shared" si="50"/>
        <v>225.20175710842352</v>
      </c>
      <c r="E178" s="380">
        <f t="shared" si="75"/>
        <v>233.45752723868441</v>
      </c>
      <c r="F178" s="380">
        <f t="shared" si="51"/>
        <v>233.4598192113329</v>
      </c>
      <c r="G178" s="110">
        <f t="shared" si="76"/>
        <v>0.92640641836352022</v>
      </c>
      <c r="H178" s="409" t="b">
        <f>Wh_hp&gt;='2028'!Maxi_hp</f>
        <v>1</v>
      </c>
      <c r="I178" s="385">
        <f>IF(H178,Wh_hp,'2028'!Maxi_hp)</f>
        <v>233.4598192113329</v>
      </c>
      <c r="J178" s="85">
        <f>IF(H178,An,'2028'!An_max)</f>
        <v>2029</v>
      </c>
      <c r="K178" s="193">
        <f t="shared" si="52"/>
        <v>47282</v>
      </c>
      <c r="L178" s="143">
        <f>IF(t&lt;Tvie,1-EXP((T0-t)*PertePVj)+'2028'!Pspv,1-EXP((T0-t)*PertePVj)+Pspv)</f>
        <v>3.8368432602986169E-2</v>
      </c>
      <c r="M178" s="835"/>
      <c r="N178" s="835"/>
      <c r="O178" s="48">
        <f>IF(t&lt;Tnet,'2028'!Resal+('2028'!Salim-'2028'!Resal)*(1-EXP(('2028'!Tnet-t)/('2028'!Tau_j))),Resal+(Salim-Resal)*(1-EXP((Tnet-t)/(Tau_j))))*Salcycl</f>
        <v>3.5363049664362683E-2</v>
      </c>
      <c r="P178" s="165">
        <f>(INDEX(Models!$BJ178:$BT178,,T178)*(1-R178)+INDEX(Models!$BJ178:$BT178,,T178+1)*R178-ERP_i)*Q178*Ramure*Pc/MaxiM</f>
        <v>1.0970802225659491E-5</v>
      </c>
      <c r="Q178" s="301">
        <f t="shared" si="53"/>
        <v>0.5</v>
      </c>
      <c r="R178" s="173">
        <f t="shared" si="54"/>
        <v>0.22969381591964591</v>
      </c>
      <c r="S178" s="801">
        <f t="shared" si="55"/>
        <v>0</v>
      </c>
      <c r="T178" s="172">
        <f t="shared" si="56"/>
        <v>6</v>
      </c>
      <c r="U178" s="247">
        <f t="shared" si="57"/>
        <v>0.22969381591964591</v>
      </c>
      <c r="V178" s="378">
        <f t="shared" si="58"/>
        <v>233.76443059480434</v>
      </c>
      <c r="W178" s="397">
        <f t="shared" si="59"/>
        <v>216.56111866873491</v>
      </c>
      <c r="X178" s="153">
        <f t="shared" si="60"/>
        <v>47282</v>
      </c>
      <c r="Y178" s="380">
        <f t="shared" si="61"/>
        <v>210.58680787028712</v>
      </c>
      <c r="Z178" s="380">
        <f t="shared" si="62"/>
        <v>218.98907545257967</v>
      </c>
      <c r="AA178" s="381">
        <f t="shared" si="63"/>
        <v>233.39438940649541</v>
      </c>
      <c r="AB178" s="193">
        <f t="shared" si="64"/>
        <v>47282</v>
      </c>
      <c r="AC178" s="119">
        <f>IF(OR(t&lt;Tnet,NoTnet),'2028'!Resal_s+('2028'!Salim-'2028'!Resal_s)*(1-EXP(('2028'!Tnet_s-t)/'2028'!Tau_j)),Resal_s+(Salim-Resal_s)*(1-EXP((Tnet_s-t)/Tau_j)))*Salcycl</f>
        <v>6.1720909360963569E-2</v>
      </c>
      <c r="AD178" s="227">
        <f>(INDEX(Models!$BJ178:$BT178,,AH178)*(1-AF178)+INDEX(Models!$BJ178:$BT178,,AH178+1)*AF178-ERP_i)*AE178*Ramure*Pc/MaxiM</f>
        <v>3.1318761548554175E-4</v>
      </c>
      <c r="AE178" s="301">
        <f t="shared" si="65"/>
        <v>0.5</v>
      </c>
      <c r="AF178" s="173">
        <f t="shared" si="66"/>
        <v>0.75468138229362403</v>
      </c>
      <c r="AG178" s="801">
        <f t="shared" si="74"/>
        <v>3</v>
      </c>
      <c r="AH178" s="172">
        <f t="shared" si="67"/>
        <v>9</v>
      </c>
      <c r="AI178" s="221">
        <f t="shared" si="68"/>
        <v>3.754681382293624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47283</v>
      </c>
      <c r="B179" s="406">
        <f>'2028'!Wh/'2028'!Env_an*'2029'!Env_an</f>
        <v>195.52665292080101</v>
      </c>
      <c r="C179" s="831"/>
      <c r="D179" s="388">
        <f t="shared" si="50"/>
        <v>203.33081419362287</v>
      </c>
      <c r="E179" s="380">
        <f t="shared" si="75"/>
        <v>210.80038693313176</v>
      </c>
      <c r="F179" s="380">
        <f t="shared" si="51"/>
        <v>210.80216538755784</v>
      </c>
      <c r="G179" s="110">
        <f t="shared" si="76"/>
        <v>0.83655917461571649</v>
      </c>
      <c r="H179" s="409" t="b">
        <f>Wh_hp&gt;='2028'!Maxi_hp</f>
        <v>1</v>
      </c>
      <c r="I179" s="385">
        <f>IF(H179,Wh_hp,'2028'!Maxi_hp)</f>
        <v>210.80216538755784</v>
      </c>
      <c r="J179" s="85">
        <f>IF(H179,An,'2028'!An_max)</f>
        <v>2029</v>
      </c>
      <c r="K179" s="193">
        <f t="shared" si="52"/>
        <v>47283</v>
      </c>
      <c r="L179" s="143">
        <f>IF(t&lt;Tvie,1-EXP((T0-t)*PertePVj)+'2028'!Pspv,1-EXP((T0-t)*PertePVj)+Pspv)</f>
        <v>3.8381596531602447E-2</v>
      </c>
      <c r="M179" s="835"/>
      <c r="N179" s="835"/>
      <c r="O179" s="48">
        <f>IF(t&lt;Tnet,'2028'!Resal+('2028'!Salim-'2028'!Resal)*(1-EXP(('2028'!Tnet-t)/('2028'!Tau_j))),Resal+(Salim-Resal)*(1-EXP((Tnet-t)/(Tau_j))))*Salcycl</f>
        <v>3.5434340743778242E-2</v>
      </c>
      <c r="P179" s="165">
        <f>(INDEX(Models!$BJ179:$BT179,,T179)*(1-R179)+INDEX(Models!$BJ179:$BT179,,T179+1)*R179-ERP_i)*Q179*Ramure*Pc/MaxiM</f>
        <v>1.1006426749266719E-5</v>
      </c>
      <c r="Q179" s="301">
        <f t="shared" si="53"/>
        <v>0.5</v>
      </c>
      <c r="R179" s="173">
        <f t="shared" si="54"/>
        <v>0.23481295533747185</v>
      </c>
      <c r="S179" s="801">
        <f t="shared" si="55"/>
        <v>0</v>
      </c>
      <c r="T179" s="172">
        <f t="shared" si="56"/>
        <v>6</v>
      </c>
      <c r="U179" s="247">
        <f t="shared" si="57"/>
        <v>0.23481295533747185</v>
      </c>
      <c r="V179" s="378">
        <f t="shared" si="58"/>
        <v>233.72662255191958</v>
      </c>
      <c r="W179" s="397">
        <f t="shared" si="59"/>
        <v>195.52665292080101</v>
      </c>
      <c r="X179" s="153">
        <f t="shared" si="60"/>
        <v>47283</v>
      </c>
      <c r="Y179" s="380">
        <f t="shared" si="61"/>
        <v>190.14347400200117</v>
      </c>
      <c r="Z179" s="380">
        <f t="shared" si="62"/>
        <v>197.73277353697193</v>
      </c>
      <c r="AA179" s="381">
        <f t="shared" si="63"/>
        <v>210.75251391398783</v>
      </c>
      <c r="AB179" s="193">
        <f t="shared" si="64"/>
        <v>47283</v>
      </c>
      <c r="AC179" s="119">
        <f>IF(OR(t&lt;Tnet,NoTnet),'2028'!Resal_s+('2028'!Salim-'2028'!Resal_s)*(1-EXP(('2028'!Tnet_s-t)/'2028'!Tau_j)),Resal_s+(Salim-Resal_s)*(1-EXP((Tnet_s-t)/Tau_j)))*Salcycl</f>
        <v>6.1777390623817187E-2</v>
      </c>
      <c r="AD179" s="227">
        <f>(INDEX(Models!$BJ179:$BT179,,AH179)*(1-AF179)+INDEX(Models!$BJ179:$BT179,,AH179+1)*AF179-ERP_i)*AE179*Ramure*Pc/MaxiM</f>
        <v>3.0728102943477869E-4</v>
      </c>
      <c r="AE179" s="301">
        <f t="shared" si="65"/>
        <v>0.5</v>
      </c>
      <c r="AF179" s="173">
        <f t="shared" si="66"/>
        <v>0.75980052171144985</v>
      </c>
      <c r="AG179" s="801">
        <f t="shared" si="74"/>
        <v>3</v>
      </c>
      <c r="AH179" s="172">
        <f t="shared" si="67"/>
        <v>9</v>
      </c>
      <c r="AI179" s="221">
        <f t="shared" si="68"/>
        <v>3.7598005217114498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47284</v>
      </c>
      <c r="B180" s="406">
        <f>'2028'!Wh/'2028'!Env_an*'2029'!Env_an</f>
        <v>219.48677051461456</v>
      </c>
      <c r="C180" s="831"/>
      <c r="D180" s="388">
        <f t="shared" si="50"/>
        <v>228.25038950341849</v>
      </c>
      <c r="E180" s="380">
        <f t="shared" si="75"/>
        <v>236.65277080716447</v>
      </c>
      <c r="F180" s="380">
        <f t="shared" si="51"/>
        <v>236.65515989721396</v>
      </c>
      <c r="G180" s="110">
        <f t="shared" si="76"/>
        <v>0.93927621160651109</v>
      </c>
      <c r="H180" s="409" t="b">
        <f>Wh_hp&gt;='2028'!Maxi_hp</f>
        <v>1</v>
      </c>
      <c r="I180" s="385">
        <f>IF(H180,Wh_hp,'2028'!Maxi_hp)</f>
        <v>236.65515989721396</v>
      </c>
      <c r="J180" s="85">
        <f>IF(H180,An,'2028'!An_max)</f>
        <v>2029</v>
      </c>
      <c r="K180" s="193">
        <f t="shared" si="52"/>
        <v>47284</v>
      </c>
      <c r="L180" s="143">
        <f>IF(t&lt;Tvie,1-EXP((T0-t)*PertePVj)+'2028'!Pspv,1-EXP((T0-t)*PertePVj)+Pspv)</f>
        <v>3.8394760280015539E-2</v>
      </c>
      <c r="M180" s="835"/>
      <c r="N180" s="835"/>
      <c r="O180" s="48">
        <f>IF(t&lt;Tnet,'2028'!Resal+('2028'!Salim-'2028'!Resal)*(1-EXP(('2028'!Tnet-t)/('2028'!Tau_j))),Resal+(Salim-Resal)*(1-EXP((Tnet-t)/(Tau_j))))*Salcycl</f>
        <v>3.5505104271914965E-2</v>
      </c>
      <c r="P180" s="165">
        <f>(INDEX(Models!$BJ180:$BT180,,T180)*(1-R180)+INDEX(Models!$BJ180:$BT180,,T180+1)*R180-ERP_i)*Q180*Ramure*Pc/MaxiM</f>
        <v>1.1054151834837583E-5</v>
      </c>
      <c r="Q180" s="301">
        <f t="shared" si="53"/>
        <v>0.5</v>
      </c>
      <c r="R180" s="173">
        <f t="shared" si="54"/>
        <v>0.23991487388461186</v>
      </c>
      <c r="S180" s="801">
        <f t="shared" si="55"/>
        <v>0</v>
      </c>
      <c r="T180" s="172">
        <f t="shared" si="56"/>
        <v>6</v>
      </c>
      <c r="U180" s="247">
        <f t="shared" si="57"/>
        <v>0.23991487388461186</v>
      </c>
      <c r="V180" s="378">
        <f t="shared" si="58"/>
        <v>233.67626831310901</v>
      </c>
      <c r="W180" s="397">
        <f t="shared" si="59"/>
        <v>219.48677051461456</v>
      </c>
      <c r="X180" s="153">
        <f t="shared" si="60"/>
        <v>47284</v>
      </c>
      <c r="Y180" s="380">
        <f t="shared" si="61"/>
        <v>213.43871656376015</v>
      </c>
      <c r="Z180" s="380">
        <f t="shared" si="62"/>
        <v>221.96085019868718</v>
      </c>
      <c r="AA180" s="381">
        <f t="shared" si="63"/>
        <v>236.58990304384443</v>
      </c>
      <c r="AB180" s="193">
        <f t="shared" si="64"/>
        <v>47284</v>
      </c>
      <c r="AC180" s="119">
        <f>IF(OR(t&lt;Tnet,NoTnet),'2028'!Resal_s+('2028'!Salim-'2028'!Resal_s)*(1-EXP(('2028'!Tnet_s-t)/'2028'!Tau_j)),Resal_s+(Salim-Resal_s)*(1-EXP((Tnet_s-t)/Tau_j)))*Salcycl</f>
        <v>6.1832955070978739E-2</v>
      </c>
      <c r="AD180" s="227">
        <f>(INDEX(Models!$BJ180:$BT180,,AH180)*(1-AF180)+INDEX(Models!$BJ180:$BT180,,AH180+1)*AF180-ERP_i)*AE180*Ramure*Pc/MaxiM</f>
        <v>3.0193887650686608E-4</v>
      </c>
      <c r="AE180" s="301">
        <f t="shared" si="65"/>
        <v>0.5</v>
      </c>
      <c r="AF180" s="173">
        <f t="shared" si="66"/>
        <v>0.76490244025858978</v>
      </c>
      <c r="AG180" s="801">
        <f t="shared" si="74"/>
        <v>3</v>
      </c>
      <c r="AH180" s="172">
        <f t="shared" si="67"/>
        <v>9</v>
      </c>
      <c r="AI180" s="221">
        <f t="shared" si="68"/>
        <v>3.7649024402585898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47285</v>
      </c>
      <c r="B181" s="406">
        <f>'2028'!Wh/'2028'!Env_an*'2029'!Env_an</f>
        <v>207.20713854812351</v>
      </c>
      <c r="C181" s="831"/>
      <c r="D181" s="388">
        <f t="shared" si="50"/>
        <v>215.4834089080193</v>
      </c>
      <c r="E181" s="380">
        <f t="shared" si="75"/>
        <v>223.43207728771955</v>
      </c>
      <c r="F181" s="380">
        <f t="shared" si="51"/>
        <v>223.43415981643923</v>
      </c>
      <c r="G181" s="110">
        <f t="shared" si="76"/>
        <v>0.88696255969284621</v>
      </c>
      <c r="H181" s="409" t="b">
        <f>Wh_hp&gt;='2028'!Maxi_hp</f>
        <v>1</v>
      </c>
      <c r="I181" s="385">
        <f>IF(H181,Wh_hp,'2028'!Maxi_hp)</f>
        <v>223.43415981643923</v>
      </c>
      <c r="J181" s="85">
        <f>IF(H181,An,'2028'!An_max)</f>
        <v>2029</v>
      </c>
      <c r="K181" s="193">
        <f t="shared" si="52"/>
        <v>47285</v>
      </c>
      <c r="L181" s="143">
        <f>IF(t&lt;Tvie,1-EXP((T0-t)*PertePVj)+'2028'!Pspv,1-EXP((T0-t)*PertePVj)+Pspv)</f>
        <v>3.8407923848227998E-2</v>
      </c>
      <c r="M181" s="835"/>
      <c r="N181" s="835"/>
      <c r="O181" s="48">
        <f>IF(t&lt;Tnet,'2028'!Resal+('2028'!Salim-'2028'!Resal)*(1-EXP(('2028'!Tnet-t)/('2028'!Tau_j))),Resal+(Salim-Resal)*(1-EXP((Tnet-t)/(Tau_j))))*Salcycl</f>
        <v>3.557532327582727E-2</v>
      </c>
      <c r="P181" s="165">
        <f>(INDEX(Models!$BJ181:$BT181,,T181)*(1-R181)+INDEX(Models!$BJ181:$BT181,,T181+1)*R181-ERP_i)*Q181*Ramure*Pc/MaxiM</f>
        <v>1.1115471521265781E-5</v>
      </c>
      <c r="Q181" s="301">
        <f t="shared" si="53"/>
        <v>0.5</v>
      </c>
      <c r="R181" s="173">
        <f t="shared" si="54"/>
        <v>0.24499537475488375</v>
      </c>
      <c r="S181" s="801">
        <f t="shared" si="55"/>
        <v>0</v>
      </c>
      <c r="T181" s="172">
        <f t="shared" si="56"/>
        <v>6</v>
      </c>
      <c r="U181" s="247">
        <f t="shared" si="57"/>
        <v>0.24499537475488375</v>
      </c>
      <c r="V181" s="378">
        <f t="shared" si="58"/>
        <v>233.61388184791087</v>
      </c>
      <c r="W181" s="397">
        <f t="shared" si="59"/>
        <v>207.20713854812351</v>
      </c>
      <c r="X181" s="153">
        <f t="shared" si="60"/>
        <v>47285</v>
      </c>
      <c r="Y181" s="380">
        <f t="shared" si="61"/>
        <v>201.50559128297076</v>
      </c>
      <c r="Z181" s="380">
        <f t="shared" si="62"/>
        <v>209.55413036407583</v>
      </c>
      <c r="AA181" s="381">
        <f t="shared" si="63"/>
        <v>223.37848327242671</v>
      </c>
      <c r="AB181" s="193">
        <f t="shared" si="64"/>
        <v>47285</v>
      </c>
      <c r="AC181" s="119">
        <f>IF(OR(t&lt;Tnet,NoTnet),'2028'!Resal_s+('2028'!Salim-'2028'!Resal_s)*(1-EXP(('2028'!Tnet_s-t)/'2028'!Tau_j)),Resal_s+(Salim-Resal_s)*(1-EXP((Tnet_s-t)/Tau_j)))*Salcycl</f>
        <v>6.1887576215167731E-2</v>
      </c>
      <c r="AD181" s="227">
        <f>(INDEX(Models!$BJ181:$BT181,,AH181)*(1-AF181)+INDEX(Models!$BJ181:$BT181,,AH181+1)*AF181-ERP_i)*AE181*Ramure*Pc/MaxiM</f>
        <v>2.9717287138465677E-4</v>
      </c>
      <c r="AE181" s="301">
        <f t="shared" si="65"/>
        <v>0.5</v>
      </c>
      <c r="AF181" s="173">
        <f t="shared" si="66"/>
        <v>0.76998294112886168</v>
      </c>
      <c r="AG181" s="801">
        <f t="shared" si="74"/>
        <v>3</v>
      </c>
      <c r="AH181" s="172">
        <f t="shared" si="67"/>
        <v>9</v>
      </c>
      <c r="AI181" s="221">
        <f t="shared" si="68"/>
        <v>3.7699829411288617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47286</v>
      </c>
      <c r="B182" s="406">
        <f>'2028'!Wh/'2028'!Env_an*'2029'!Env_an</f>
        <v>213.6713667206603</v>
      </c>
      <c r="C182" s="831"/>
      <c r="D182" s="388">
        <f t="shared" si="50"/>
        <v>222.20887322344541</v>
      </c>
      <c r="E182" s="380">
        <f t="shared" si="75"/>
        <v>230.42227100687782</v>
      </c>
      <c r="F182" s="380">
        <f t="shared" si="51"/>
        <v>230.42453646624156</v>
      </c>
      <c r="G182" s="110">
        <f t="shared" si="76"/>
        <v>0.9149229149557353</v>
      </c>
      <c r="H182" s="409" t="b">
        <f>Wh_hp&gt;='2028'!Maxi_hp</f>
        <v>1</v>
      </c>
      <c r="I182" s="385">
        <f>IF(H182,Wh_hp,'2028'!Maxi_hp)</f>
        <v>230.42453646624156</v>
      </c>
      <c r="J182" s="85">
        <f>IF(H182,An,'2028'!An_max)</f>
        <v>2029</v>
      </c>
      <c r="K182" s="193">
        <f t="shared" si="52"/>
        <v>47286</v>
      </c>
      <c r="L182" s="143">
        <f>IF(t&lt;Tvie,1-EXP((T0-t)*PertePVj)+'2028'!Pspv,1-EXP((T0-t)*PertePVj)+Pspv)</f>
        <v>3.8421087236242268E-2</v>
      </c>
      <c r="M182" s="835"/>
      <c r="N182" s="835"/>
      <c r="O182" s="48">
        <f>IF(t&lt;Tnet,'2028'!Resal+('2028'!Salim-'2028'!Resal)*(1-EXP(('2028'!Tnet-t)/('2028'!Tau_j))),Resal+(Salim-Resal)*(1-EXP((Tnet-t)/(Tau_j))))*Salcycl</f>
        <v>3.5644982351498683E-2</v>
      </c>
      <c r="P182" s="165">
        <f>(INDEX(Models!$BJ182:$BT182,,T182)*(1-R182)+INDEX(Models!$BJ182:$BT182,,T182+1)*R182-ERP_i)*Q182*Ramure*Pc/MaxiM</f>
        <v>1.1191905586151572E-5</v>
      </c>
      <c r="Q182" s="301">
        <f t="shared" si="53"/>
        <v>0.5</v>
      </c>
      <c r="R182" s="173">
        <f t="shared" si="54"/>
        <v>0.25005033228454354</v>
      </c>
      <c r="S182" s="801">
        <f t="shared" si="55"/>
        <v>0</v>
      </c>
      <c r="T182" s="172">
        <f t="shared" si="56"/>
        <v>6</v>
      </c>
      <c r="U182" s="247">
        <f t="shared" si="57"/>
        <v>0.25005033228454354</v>
      </c>
      <c r="V182" s="378">
        <f t="shared" si="58"/>
        <v>233.53997651923046</v>
      </c>
      <c r="W182" s="397">
        <f t="shared" si="59"/>
        <v>213.6713667206603</v>
      </c>
      <c r="X182" s="153">
        <f t="shared" si="60"/>
        <v>47286</v>
      </c>
      <c r="Y182" s="380">
        <f t="shared" si="61"/>
        <v>207.79347494970492</v>
      </c>
      <c r="Z182" s="380">
        <f t="shared" si="62"/>
        <v>216.09612294062021</v>
      </c>
      <c r="AA182" s="381">
        <f t="shared" si="63"/>
        <v>230.3652286441214</v>
      </c>
      <c r="AB182" s="193">
        <f t="shared" si="64"/>
        <v>47286</v>
      </c>
      <c r="AC182" s="119">
        <f>IF(OR(t&lt;Tnet,NoTnet),'2028'!Resal_s+('2028'!Salim-'2028'!Resal_s)*(1-EXP(('2028'!Tnet_s-t)/'2028'!Tau_j)),Resal_s+(Salim-Resal_s)*(1-EXP((Tnet_s-t)/Tau_j)))*Salcycl</f>
        <v>6.1941230399596189E-2</v>
      </c>
      <c r="AD182" s="227">
        <f>(INDEX(Models!$BJ182:$BT182,,AH182)*(1-AF182)+INDEX(Models!$BJ182:$BT182,,AH182+1)*AF182-ERP_i)*AE182*Ramure*Pc/MaxiM</f>
        <v>2.9299468192197167E-4</v>
      </c>
      <c r="AE182" s="301">
        <f t="shared" si="65"/>
        <v>0.5</v>
      </c>
      <c r="AF182" s="173">
        <f t="shared" si="66"/>
        <v>0.77503789865852157</v>
      </c>
      <c r="AG182" s="801">
        <f t="shared" si="74"/>
        <v>3</v>
      </c>
      <c r="AH182" s="172">
        <f t="shared" si="67"/>
        <v>9</v>
      </c>
      <c r="AI182" s="221">
        <f t="shared" si="68"/>
        <v>3.7750378986585216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47287</v>
      </c>
      <c r="B183" s="406">
        <f>'2028'!Wh/'2028'!Env_an*'2029'!Env_an</f>
        <v>220.28578080377312</v>
      </c>
      <c r="C183" s="831"/>
      <c r="D183" s="388">
        <f t="shared" si="50"/>
        <v>229.09071054735813</v>
      </c>
      <c r="E183" s="380">
        <f t="shared" si="75"/>
        <v>237.57549796924226</v>
      </c>
      <c r="F183" s="380">
        <f t="shared" si="51"/>
        <v>237.57796297820991</v>
      </c>
      <c r="G183" s="110">
        <f t="shared" si="76"/>
        <v>0.94358878183942174</v>
      </c>
      <c r="H183" s="409" t="b">
        <f>Wh_hp&gt;='2028'!Maxi_hp</f>
        <v>1</v>
      </c>
      <c r="I183" s="385">
        <f>IF(H183,Wh_hp,'2028'!Maxi_hp)</f>
        <v>237.57796297820991</v>
      </c>
      <c r="J183" s="85">
        <f>IF(H183,An,'2028'!An_max)</f>
        <v>2029</v>
      </c>
      <c r="K183" s="193">
        <f t="shared" si="52"/>
        <v>47287</v>
      </c>
      <c r="L183" s="143">
        <f>IF(t&lt;Tvie,1-EXP((T0-t)*PertePVj)+'2028'!Pspv,1-EXP((T0-t)*PertePVj)+Pspv)</f>
        <v>3.8434250444060791E-2</v>
      </c>
      <c r="M183" s="835"/>
      <c r="N183" s="835"/>
      <c r="O183" s="48">
        <f>IF(t&lt;Tnet,'2028'!Resal+('2028'!Salim-'2028'!Resal)*(1-EXP(('2028'!Tnet-t)/('2028'!Tau_j))),Resal+(Salim-Resal)*(1-EXP((Tnet-t)/(Tau_j))))*Salcycl</f>
        <v>3.5714067714940151E-2</v>
      </c>
      <c r="P183" s="165">
        <f>(INDEX(Models!$BJ183:$BT183,,T183)*(1-R183)+INDEX(Models!$BJ183:$BT183,,T183+1)*R183-ERP_i)*Q183*Ramure*Pc/MaxiM</f>
        <v>1.128499431776079E-5</v>
      </c>
      <c r="Q183" s="301">
        <f t="shared" si="53"/>
        <v>0.5</v>
      </c>
      <c r="R183" s="173">
        <f t="shared" si="54"/>
        <v>0.25507570506681548</v>
      </c>
      <c r="S183" s="801">
        <f t="shared" si="55"/>
        <v>0</v>
      </c>
      <c r="T183" s="172">
        <f t="shared" si="56"/>
        <v>6</v>
      </c>
      <c r="U183" s="247">
        <f t="shared" si="57"/>
        <v>0.25507570506681548</v>
      </c>
      <c r="V183" s="378">
        <f t="shared" si="58"/>
        <v>233.45506507723607</v>
      </c>
      <c r="W183" s="397">
        <f t="shared" si="59"/>
        <v>220.28578080377312</v>
      </c>
      <c r="X183" s="153">
        <f t="shared" si="60"/>
        <v>47287</v>
      </c>
      <c r="Y183" s="380">
        <f t="shared" si="61"/>
        <v>214.22750310125889</v>
      </c>
      <c r="Z183" s="380">
        <f t="shared" si="62"/>
        <v>222.79028054003723</v>
      </c>
      <c r="AA183" s="381">
        <f t="shared" si="63"/>
        <v>237.51474515657111</v>
      </c>
      <c r="AB183" s="193">
        <f t="shared" si="64"/>
        <v>47287</v>
      </c>
      <c r="AC183" s="119">
        <f>IF(OR(t&lt;Tnet,NoTnet),'2028'!Resal_s+('2028'!Salim-'2028'!Resal_s)*(1-EXP(('2028'!Tnet_s-t)/'2028'!Tau_j)),Resal_s+(Salim-Resal_s)*(1-EXP((Tnet_s-t)/Tau_j)))*Salcycl</f>
        <v>6.1993896870812942E-2</v>
      </c>
      <c r="AD183" s="227">
        <f>(INDEX(Models!$BJ183:$BT183,,AH183)*(1-AF183)+INDEX(Models!$BJ183:$BT183,,AH183+1)*AF183-ERP_i)*AE183*Ramure*Pc/MaxiM</f>
        <v>2.8941588746299958E-4</v>
      </c>
      <c r="AE183" s="301">
        <f t="shared" si="65"/>
        <v>0.5</v>
      </c>
      <c r="AF183" s="173">
        <f t="shared" si="66"/>
        <v>0.78006327144079357</v>
      </c>
      <c r="AG183" s="801">
        <f t="shared" si="74"/>
        <v>3</v>
      </c>
      <c r="AH183" s="172">
        <f t="shared" si="67"/>
        <v>9</v>
      </c>
      <c r="AI183" s="221">
        <f t="shared" si="68"/>
        <v>3.7800632714407936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47288</v>
      </c>
      <c r="B184" s="406">
        <f>'2028'!Wh/'2028'!Env_an*'2029'!Env_an</f>
        <v>224.4699440969525</v>
      </c>
      <c r="C184" s="831"/>
      <c r="D184" s="388">
        <f t="shared" si="50"/>
        <v>233.4453125516529</v>
      </c>
      <c r="E184" s="380">
        <f t="shared" si="75"/>
        <v>242.10857906240344</v>
      </c>
      <c r="F184" s="380">
        <f t="shared" si="51"/>
        <v>242.11119232632598</v>
      </c>
      <c r="G184" s="110">
        <f t="shared" si="76"/>
        <v>0.96190493749222261</v>
      </c>
      <c r="H184" s="409" t="b">
        <f>Wh_hp&gt;='2028'!Maxi_hp</f>
        <v>1</v>
      </c>
      <c r="I184" s="385">
        <f>IF(H184,Wh_hp,'2028'!Maxi_hp)</f>
        <v>242.11119232632598</v>
      </c>
      <c r="J184" s="85">
        <f>IF(H184,An,'2028'!An_max)</f>
        <v>2029</v>
      </c>
      <c r="K184" s="193">
        <f t="shared" si="52"/>
        <v>47288</v>
      </c>
      <c r="L184" s="143">
        <f>IF(t&lt;Tvie,1-EXP((T0-t)*PertePVj)+'2028'!Pspv,1-EXP((T0-t)*PertePVj)+Pspv)</f>
        <v>3.844741347168612E-2</v>
      </c>
      <c r="M184" s="835"/>
      <c r="N184" s="835"/>
      <c r="O184" s="48">
        <f>IF(t&lt;Tnet,'2028'!Resal+('2028'!Salim-'2028'!Resal)*(1-EXP(('2028'!Tnet-t)/('2028'!Tau_j))),Resal+(Salim-Resal)*(1-EXP((Tnet-t)/(Tau_j))))*Salcycl</f>
        <v>3.5782567244416322E-2</v>
      </c>
      <c r="P184" s="165">
        <f>(INDEX(Models!$BJ184:$BT184,,T184)*(1-R184)+INDEX(Models!$BJ184:$BT184,,T184+1)*R184-ERP_i)*Q184*Ramure*Pc/MaxiM</f>
        <v>1.1414855905243996E-5</v>
      </c>
      <c r="Q184" s="301">
        <f t="shared" si="53"/>
        <v>0.5</v>
      </c>
      <c r="R184" s="173">
        <f t="shared" si="54"/>
        <v>0.26006754848122798</v>
      </c>
      <c r="S184" s="801">
        <f t="shared" si="55"/>
        <v>0</v>
      </c>
      <c r="T184" s="172">
        <f t="shared" si="56"/>
        <v>6</v>
      </c>
      <c r="U184" s="247">
        <f t="shared" si="57"/>
        <v>0.26006754848122798</v>
      </c>
      <c r="V184" s="378">
        <f t="shared" si="58"/>
        <v>233.35965530962469</v>
      </c>
      <c r="W184" s="397">
        <f t="shared" si="59"/>
        <v>224.4699440969525</v>
      </c>
      <c r="X184" s="153">
        <f t="shared" si="60"/>
        <v>47288</v>
      </c>
      <c r="Y184" s="380">
        <f t="shared" si="61"/>
        <v>218.29900921562188</v>
      </c>
      <c r="Z184" s="380">
        <f t="shared" si="62"/>
        <v>227.02763455069115</v>
      </c>
      <c r="AA184" s="381">
        <f t="shared" si="63"/>
        <v>242.04548147013531</v>
      </c>
      <c r="AB184" s="193">
        <f t="shared" si="64"/>
        <v>47288</v>
      </c>
      <c r="AC184" s="119">
        <f>IF(OR(t&lt;Tnet,NoTnet),'2028'!Resal_s+('2028'!Salim-'2028'!Resal_s)*(1-EXP(('2028'!Tnet_s-t)/'2028'!Tau_j)),Resal_s+(Salim-Resal_s)*(1-EXP((Tnet_s-t)/Tau_j)))*Salcycl</f>
        <v>6.2045557835778732E-2</v>
      </c>
      <c r="AD184" s="227">
        <f>(INDEX(Models!$BJ184:$BT184,,AH184)*(1-AF184)+INDEX(Models!$BJ184:$BT184,,AH184+1)*AF184-ERP_i)*AE184*Ramure*Pc/MaxiM</f>
        <v>2.8702801441440288E-4</v>
      </c>
      <c r="AE184" s="301">
        <f t="shared" si="65"/>
        <v>0.5</v>
      </c>
      <c r="AF184" s="173">
        <f t="shared" si="66"/>
        <v>0.78505511485520607</v>
      </c>
      <c r="AG184" s="801">
        <f t="shared" si="74"/>
        <v>3</v>
      </c>
      <c r="AH184" s="172">
        <f t="shared" si="67"/>
        <v>9</v>
      </c>
      <c r="AI184" s="221">
        <f t="shared" si="68"/>
        <v>3.7850551148552061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47289</v>
      </c>
      <c r="B185" s="406">
        <f>'2028'!Wh/'2028'!Env_an*'2029'!Env_an</f>
        <v>120.88413628414933</v>
      </c>
      <c r="C185" s="831"/>
      <c r="D185" s="388">
        <f t="shared" si="50"/>
        <v>125.7193759371732</v>
      </c>
      <c r="E185" s="380">
        <f t="shared" si="75"/>
        <v>130.39406450172416</v>
      </c>
      <c r="F185" s="380">
        <f t="shared" si="51"/>
        <v>130.39453511978883</v>
      </c>
      <c r="G185" s="110">
        <f t="shared" si="76"/>
        <v>0.51824636782344791</v>
      </c>
      <c r="H185" s="409" t="b">
        <f>Wh_hp&gt;='2028'!Maxi_hp</f>
        <v>1</v>
      </c>
      <c r="I185" s="385">
        <f>IF(H185,Wh_hp,'2028'!Maxi_hp)</f>
        <v>130.39453511978883</v>
      </c>
      <c r="J185" s="85">
        <f>IF(H185,An,'2028'!An_max)</f>
        <v>2029</v>
      </c>
      <c r="K185" s="193">
        <f t="shared" si="52"/>
        <v>47289</v>
      </c>
      <c r="L185" s="143">
        <f>IF(t&lt;Tvie,1-EXP((T0-t)*PertePVj)+'2028'!Pspv,1-EXP((T0-t)*PertePVj)+Pspv)</f>
        <v>3.8460576319120587E-2</v>
      </c>
      <c r="M185" s="835"/>
      <c r="N185" s="835"/>
      <c r="O185" s="48">
        <f>IF(t&lt;Tnet,'2028'!Resal+('2028'!Salim-'2028'!Resal)*(1-EXP(('2028'!Tnet-t)/('2028'!Tau_j))),Resal+(Salim-Resal)*(1-EXP((Tnet-t)/(Tau_j))))*Salcycl</f>
        <v>3.5850470513472975E-2</v>
      </c>
      <c r="P185" s="165">
        <f>(INDEX(Models!$BJ185:$BT185,,T185)*(1-R185)+INDEX(Models!$BJ185:$BT185,,T185+1)*R185-ERP_i)*Q185*Ramure*Pc/MaxiM</f>
        <v>1.1575826335884611E-5</v>
      </c>
      <c r="Q185" s="301">
        <f t="shared" si="53"/>
        <v>0.5</v>
      </c>
      <c r="R185" s="173">
        <f t="shared" si="54"/>
        <v>0.26502202655831031</v>
      </c>
      <c r="S185" s="801">
        <f t="shared" si="55"/>
        <v>0</v>
      </c>
      <c r="T185" s="172">
        <f t="shared" si="56"/>
        <v>6</v>
      </c>
      <c r="U185" s="247">
        <f t="shared" si="57"/>
        <v>0.26502202655831031</v>
      </c>
      <c r="V185" s="378">
        <f t="shared" si="58"/>
        <v>233.25426041646239</v>
      </c>
      <c r="W185" s="397">
        <f t="shared" si="59"/>
        <v>120.88413628414933</v>
      </c>
      <c r="X185" s="153">
        <f t="shared" si="60"/>
        <v>47289</v>
      </c>
      <c r="Y185" s="380">
        <f t="shared" si="61"/>
        <v>117.58342031249427</v>
      </c>
      <c r="Z185" s="380">
        <f t="shared" si="62"/>
        <v>122.28663476154927</v>
      </c>
      <c r="AA185" s="381">
        <f t="shared" si="63"/>
        <v>130.38291834016511</v>
      </c>
      <c r="AB185" s="193">
        <f t="shared" si="64"/>
        <v>47289</v>
      </c>
      <c r="AC185" s="119">
        <f>IF(OR(t&lt;Tnet,NoTnet),'2028'!Resal_s+('2028'!Salim-'2028'!Resal_s)*(1-EXP(('2028'!Tnet_s-t)/'2028'!Tau_j)),Resal_s+(Salim-Resal_s)*(1-EXP((Tnet_s-t)/Tau_j)))*Salcycl</f>
        <v>6.2096198502727733E-2</v>
      </c>
      <c r="AD185" s="227">
        <f>(INDEX(Models!$BJ185:$BT185,,AH185)*(1-AF185)+INDEX(Models!$BJ185:$BT185,,AH185+1)*AF185-ERP_i)*AE185*Ramure*Pc/MaxiM</f>
        <v>2.8573876271526639E-4</v>
      </c>
      <c r="AE185" s="301">
        <f t="shared" si="65"/>
        <v>0.5</v>
      </c>
      <c r="AF185" s="173">
        <f t="shared" si="66"/>
        <v>0.79000959293228856</v>
      </c>
      <c r="AG185" s="801">
        <f t="shared" si="74"/>
        <v>3</v>
      </c>
      <c r="AH185" s="172">
        <f t="shared" si="67"/>
        <v>9</v>
      </c>
      <c r="AI185" s="221">
        <f t="shared" si="68"/>
        <v>3.7900095929322886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47290</v>
      </c>
      <c r="B186" s="406">
        <f>'2028'!Wh/'2028'!Env_an*'2029'!Env_an</f>
        <v>86.219616665614808</v>
      </c>
      <c r="C186" s="831"/>
      <c r="D186" s="388">
        <f t="shared" si="50"/>
        <v>89.669539108295155</v>
      </c>
      <c r="E186" s="380">
        <f t="shared" si="75"/>
        <v>93.010260128985365</v>
      </c>
      <c r="F186" s="380">
        <f t="shared" si="51"/>
        <v>93.010369322438692</v>
      </c>
      <c r="G186" s="110">
        <f t="shared" si="76"/>
        <v>0.36981611153586552</v>
      </c>
      <c r="H186" s="409" t="b">
        <f>Wh_hp&gt;='2028'!Maxi_hp</f>
        <v>1</v>
      </c>
      <c r="I186" s="385">
        <f>IF(H186,Wh_hp,'2028'!Maxi_hp)</f>
        <v>93.010369322438692</v>
      </c>
      <c r="J186" s="85">
        <f>IF(H186,An,'2028'!An_max)</f>
        <v>2029</v>
      </c>
      <c r="K186" s="193">
        <f t="shared" si="52"/>
        <v>47290</v>
      </c>
      <c r="L186" s="143">
        <f>IF(t&lt;Tvie,1-EXP((T0-t)*PertePVj)+'2028'!Pspv,1-EXP((T0-t)*PertePVj)+Pspv)</f>
        <v>3.8473738986366746E-2</v>
      </c>
      <c r="M186" s="835"/>
      <c r="N186" s="835"/>
      <c r="O186" s="48">
        <f>IF(t&lt;Tnet,'2028'!Resal+('2028'!Salim-'2028'!Resal)*(1-EXP(('2028'!Tnet-t)/('2028'!Tau_j))),Resal+(Salim-Resal)*(1-EXP((Tnet-t)/(Tau_j))))*Salcycl</f>
        <v>3.5917768814508665E-2</v>
      </c>
      <c r="P186" s="165">
        <f>(INDEX(Models!$BJ186:$BT186,,T186)*(1-R186)+INDEX(Models!$BJ186:$BT186,,T186+1)*R186-ERP_i)*Q186*Ramure*Pc/MaxiM</f>
        <v>1.1770183666148197E-5</v>
      </c>
      <c r="Q186" s="301">
        <f t="shared" si="53"/>
        <v>0.5</v>
      </c>
      <c r="R186" s="173">
        <f t="shared" si="54"/>
        <v>0.269935423107937</v>
      </c>
      <c r="S186" s="801">
        <f t="shared" si="55"/>
        <v>0</v>
      </c>
      <c r="T186" s="172">
        <f t="shared" si="56"/>
        <v>6</v>
      </c>
      <c r="U186" s="247">
        <f t="shared" si="57"/>
        <v>0.269935423107937</v>
      </c>
      <c r="V186" s="378">
        <f t="shared" si="58"/>
        <v>233.13939110686661</v>
      </c>
      <c r="W186" s="397">
        <f t="shared" si="59"/>
        <v>86.219616665614808</v>
      </c>
      <c r="X186" s="153">
        <f t="shared" si="60"/>
        <v>47290</v>
      </c>
      <c r="Y186" s="380">
        <f t="shared" si="61"/>
        <v>83.871705260078258</v>
      </c>
      <c r="Z186" s="380">
        <f t="shared" si="62"/>
        <v>87.227680262899298</v>
      </c>
      <c r="AA186" s="381">
        <f t="shared" si="63"/>
        <v>93.007720095261234</v>
      </c>
      <c r="AB186" s="193">
        <f t="shared" si="64"/>
        <v>47290</v>
      </c>
      <c r="AC186" s="119">
        <f>IF(OR(t&lt;Tnet,NoTnet),'2028'!Resal_s+('2028'!Salim-'2028'!Resal_s)*(1-EXP(('2028'!Tnet_s-t)/'2028'!Tau_j)),Resal_s+(Salim-Resal_s)*(1-EXP((Tnet_s-t)/Tau_j)))*Salcycl</f>
        <v>6.2145807105494597E-2</v>
      </c>
      <c r="AD186" s="227">
        <f>(INDEX(Models!$BJ186:$BT186,,AH186)*(1-AF186)+INDEX(Models!$BJ186:$BT186,,AH186+1)*AF186-ERP_i)*AE186*Ramure*Pc/MaxiM</f>
        <v>2.8556556736465151E-4</v>
      </c>
      <c r="AE186" s="301">
        <f t="shared" si="65"/>
        <v>0.5</v>
      </c>
      <c r="AF186" s="173">
        <f t="shared" si="66"/>
        <v>0.7949229894819152</v>
      </c>
      <c r="AG186" s="801">
        <f t="shared" si="74"/>
        <v>3</v>
      </c>
      <c r="AH186" s="172">
        <f t="shared" si="67"/>
        <v>9</v>
      </c>
      <c r="AI186" s="221">
        <f t="shared" si="68"/>
        <v>3.7949229894819152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47291</v>
      </c>
      <c r="B187" s="406">
        <f>'2028'!Wh/'2028'!Env_an*'2029'!Env_an</f>
        <v>170.4287288073898</v>
      </c>
      <c r="C187" s="831"/>
      <c r="D187" s="388">
        <f t="shared" si="50"/>
        <v>177.25055339189404</v>
      </c>
      <c r="E187" s="380">
        <f t="shared" si="75"/>
        <v>183.86690374754153</v>
      </c>
      <c r="F187" s="380">
        <f t="shared" si="51"/>
        <v>183.86826356986123</v>
      </c>
      <c r="G187" s="110">
        <f t="shared" si="76"/>
        <v>0.73140156778385901</v>
      </c>
      <c r="H187" s="409" t="b">
        <f>Wh_hp&gt;='2028'!Maxi_hp</f>
        <v>1</v>
      </c>
      <c r="I187" s="385">
        <f>IF(H187,Wh_hp,'2028'!Maxi_hp)</f>
        <v>183.86826356986123</v>
      </c>
      <c r="J187" s="85">
        <f>IF(H187,An,'2028'!An_max)</f>
        <v>2029</v>
      </c>
      <c r="K187" s="193">
        <f t="shared" si="52"/>
        <v>47291</v>
      </c>
      <c r="L187" s="143">
        <f>IF(t&lt;Tvie,1-EXP((T0-t)*PertePVj)+'2028'!Pspv,1-EXP((T0-t)*PertePVj)+Pspv)</f>
        <v>3.8486901473427038E-2</v>
      </c>
      <c r="M187" s="835"/>
      <c r="N187" s="835"/>
      <c r="O187" s="48">
        <f>IF(t&lt;Tnet,'2028'!Resal+('2028'!Salim-'2028'!Resal)*(1-EXP(('2028'!Tnet-t)/('2028'!Tau_j))),Resal+(Salim-Resal)*(1-EXP((Tnet-t)/(Tau_j))))*Salcycl</f>
        <v>3.5984455172705015E-2</v>
      </c>
      <c r="P187" s="165">
        <f>(INDEX(Models!$BJ187:$BT187,,T187)*(1-R187)+INDEX(Models!$BJ187:$BT187,,T187+1)*R187-ERP_i)*Q187*Ramure*Pc/MaxiM</f>
        <v>1.2000195494148832E-5</v>
      </c>
      <c r="Q187" s="301">
        <f t="shared" si="53"/>
        <v>0.5</v>
      </c>
      <c r="R187" s="173">
        <f t="shared" si="54"/>
        <v>0.27480415204802461</v>
      </c>
      <c r="S187" s="801">
        <f t="shared" si="55"/>
        <v>0</v>
      </c>
      <c r="T187" s="172">
        <f t="shared" si="56"/>
        <v>6</v>
      </c>
      <c r="U187" s="247">
        <f t="shared" si="57"/>
        <v>0.27480415204802461</v>
      </c>
      <c r="V187" s="378">
        <f t="shared" si="58"/>
        <v>233.01555747051765</v>
      </c>
      <c r="W187" s="397">
        <f t="shared" si="59"/>
        <v>170.4287288073898</v>
      </c>
      <c r="X187" s="153">
        <f t="shared" si="60"/>
        <v>47291</v>
      </c>
      <c r="Y187" s="380">
        <f t="shared" si="61"/>
        <v>165.76701493812274</v>
      </c>
      <c r="Z187" s="380">
        <f t="shared" si="62"/>
        <v>172.40224308139418</v>
      </c>
      <c r="AA187" s="381">
        <f t="shared" si="63"/>
        <v>183.83579546673485</v>
      </c>
      <c r="AB187" s="193">
        <f t="shared" si="64"/>
        <v>47291</v>
      </c>
      <c r="AC187" s="119">
        <f>IF(OR(t&lt;Tnet,NoTnet),'2028'!Resal_s+('2028'!Salim-'2028'!Resal_s)*(1-EXP(('2028'!Tnet_s-t)/'2028'!Tau_j)),Resal_s+(Salim-Resal_s)*(1-EXP((Tnet_s-t)/Tau_j)))*Salcycl</f>
        <v>6.2194374911112307E-2</v>
      </c>
      <c r="AD187" s="227">
        <f>(INDEX(Models!$BJ187:$BT187,,AH187)*(1-AF187)+INDEX(Models!$BJ187:$BT187,,AH187+1)*AF187-ERP_i)*AE187*Ramure*Pc/MaxiM</f>
        <v>2.8652536378856382E-4</v>
      </c>
      <c r="AE187" s="301">
        <f t="shared" si="65"/>
        <v>0.5</v>
      </c>
      <c r="AF187" s="173">
        <f t="shared" si="66"/>
        <v>0.7997917184220027</v>
      </c>
      <c r="AG187" s="801">
        <f t="shared" si="74"/>
        <v>3</v>
      </c>
      <c r="AH187" s="172">
        <f t="shared" si="67"/>
        <v>9</v>
      </c>
      <c r="AI187" s="221">
        <f t="shared" si="68"/>
        <v>3.7997917184220027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47292</v>
      </c>
      <c r="B188" s="406">
        <f>'2028'!Wh/'2028'!Env_an*'2029'!Env_an</f>
        <v>166.7531250024376</v>
      </c>
      <c r="C188" s="831"/>
      <c r="D188" s="388">
        <f t="shared" si="50"/>
        <v>173.4301987143717</v>
      </c>
      <c r="E188" s="380">
        <f t="shared" si="75"/>
        <v>179.91627475855319</v>
      </c>
      <c r="F188" s="380">
        <f t="shared" si="51"/>
        <v>179.91758660176592</v>
      </c>
      <c r="G188" s="110">
        <f t="shared" si="76"/>
        <v>0.71603381316418946</v>
      </c>
      <c r="H188" s="409" t="b">
        <f>Wh_hp&gt;='2028'!Maxi_hp</f>
        <v>1</v>
      </c>
      <c r="I188" s="385">
        <f>IF(H188,Wh_hp,'2028'!Maxi_hp)</f>
        <v>179.91758660176592</v>
      </c>
      <c r="J188" s="85">
        <f>IF(H188,An,'2028'!An_max)</f>
        <v>2029</v>
      </c>
      <c r="K188" s="193">
        <f t="shared" si="52"/>
        <v>47292</v>
      </c>
      <c r="L188" s="143">
        <f>IF(t&lt;Tvie,1-EXP((T0-t)*PertePVj)+'2028'!Pspv,1-EXP((T0-t)*PertePVj)+Pspv)</f>
        <v>3.8500063780304017E-2</v>
      </c>
      <c r="M188" s="835"/>
      <c r="N188" s="835"/>
      <c r="O188" s="48">
        <f>IF(t&lt;Tnet,'2028'!Resal+('2028'!Salim-'2028'!Resal)*(1-EXP(('2028'!Tnet-t)/('2028'!Tau_j))),Resal+(Salim-Resal)*(1-EXP((Tnet-t)/(Tau_j))))*Salcycl</f>
        <v>3.6050524350205497E-2</v>
      </c>
      <c r="P188" s="165">
        <f>(INDEX(Models!$BJ188:$BT188,,T188)*(1-R188)+INDEX(Models!$BJ188:$BT188,,T188+1)*R188-ERP_i)*Q188*Ramure*Pc/MaxiM</f>
        <v>1.2268006758209201E-5</v>
      </c>
      <c r="Q188" s="301">
        <f t="shared" si="53"/>
        <v>0.5</v>
      </c>
      <c r="R188" s="173">
        <f t="shared" si="54"/>
        <v>0.27962476687924653</v>
      </c>
      <c r="S188" s="801">
        <f t="shared" si="55"/>
        <v>0</v>
      </c>
      <c r="T188" s="172">
        <f t="shared" si="56"/>
        <v>6</v>
      </c>
      <c r="U188" s="247">
        <f t="shared" si="57"/>
        <v>0.27962476687924653</v>
      </c>
      <c r="V188" s="378">
        <f t="shared" si="58"/>
        <v>232.88326900020161</v>
      </c>
      <c r="W188" s="397">
        <f t="shared" si="59"/>
        <v>166.7531250024376</v>
      </c>
      <c r="X188" s="153">
        <f t="shared" si="60"/>
        <v>47292</v>
      </c>
      <c r="Y188" s="380">
        <f t="shared" si="61"/>
        <v>162.19564717663957</v>
      </c>
      <c r="Z188" s="380">
        <f t="shared" si="62"/>
        <v>168.69023186245849</v>
      </c>
      <c r="AA188" s="381">
        <f t="shared" si="63"/>
        <v>179.88672257888106</v>
      </c>
      <c r="AB188" s="193">
        <f t="shared" si="64"/>
        <v>47292</v>
      </c>
      <c r="AC188" s="119">
        <f>IF(OR(t&lt;Tnet,NoTnet),'2028'!Resal_s+('2028'!Salim-'2028'!Resal_s)*(1-EXP(('2028'!Tnet_s-t)/'2028'!Tau_j)),Resal_s+(Salim-Resal_s)*(1-EXP((Tnet_s-t)/Tau_j)))*Salcycl</f>
        <v>6.2241896210615939E-2</v>
      </c>
      <c r="AD188" s="227">
        <f>(INDEX(Models!$BJ188:$BT188,,AH188)*(1-AF188)+INDEX(Models!$BJ188:$BT188,,AH188+1)*AF188-ERP_i)*AE188*Ramure*Pc/MaxiM</f>
        <v>2.886320847328319E-4</v>
      </c>
      <c r="AE188" s="301">
        <f t="shared" si="65"/>
        <v>0.5</v>
      </c>
      <c r="AF188" s="173">
        <f t="shared" si="66"/>
        <v>0.80461233325322468</v>
      </c>
      <c r="AG188" s="801">
        <f t="shared" si="74"/>
        <v>3</v>
      </c>
      <c r="AH188" s="172">
        <f t="shared" si="67"/>
        <v>9</v>
      </c>
      <c r="AI188" s="221">
        <f t="shared" si="68"/>
        <v>3.8046123332532247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47293</v>
      </c>
      <c r="B189" s="406">
        <f>'2028'!Wh/'2028'!Env_an*'2029'!Env_an</f>
        <v>166.62173244013138</v>
      </c>
      <c r="C189" s="831"/>
      <c r="D189" s="388">
        <f t="shared" si="50"/>
        <v>173.29591724993904</v>
      </c>
      <c r="E189" s="380">
        <f t="shared" si="75"/>
        <v>179.78917833157962</v>
      </c>
      <c r="F189" s="380">
        <f t="shared" si="51"/>
        <v>179.79052169971587</v>
      </c>
      <c r="G189" s="110">
        <f t="shared" si="76"/>
        <v>0.71590061682053463</v>
      </c>
      <c r="H189" s="409" t="b">
        <f>Wh_hp&gt;='2028'!Maxi_hp</f>
        <v>1</v>
      </c>
      <c r="I189" s="385">
        <f>IF(H189,Wh_hp,'2028'!Maxi_hp)</f>
        <v>179.79052169971587</v>
      </c>
      <c r="J189" s="85">
        <f>IF(H189,An,'2028'!An_max)</f>
        <v>2029</v>
      </c>
      <c r="K189" s="193">
        <f t="shared" si="52"/>
        <v>47293</v>
      </c>
      <c r="L189" s="143">
        <f>IF(t&lt;Tvie,1-EXP((T0-t)*PertePVj)+'2028'!Pspv,1-EXP((T0-t)*PertePVj)+Pspv)</f>
        <v>3.8513225906999904E-2</v>
      </c>
      <c r="M189" s="835"/>
      <c r="N189" s="835"/>
      <c r="O189" s="48">
        <f>IF(t&lt;Tnet,'2028'!Resal+('2028'!Salim-'2028'!Resal)*(1-EXP(('2028'!Tnet-t)/('2028'!Tau_j))),Resal+(Salim-Resal)*(1-EXP((Tnet-t)/(Tau_j))))*Salcycl</f>
        <v>3.6115972840508069E-2</v>
      </c>
      <c r="P189" s="165">
        <f>(INDEX(Models!$BJ189:$BT189,,T189)*(1-R189)+INDEX(Models!$BJ189:$BT189,,T189+1)*R189-ERP_i)*Q189*Ramure*Pc/MaxiM</f>
        <v>1.2575721482093587E-5</v>
      </c>
      <c r="Q189" s="301">
        <f t="shared" si="53"/>
        <v>0.5</v>
      </c>
      <c r="R189" s="173">
        <f t="shared" si="54"/>
        <v>0.28439396926078891</v>
      </c>
      <c r="S189" s="801">
        <f t="shared" si="55"/>
        <v>0</v>
      </c>
      <c r="T189" s="172">
        <f t="shared" si="56"/>
        <v>6</v>
      </c>
      <c r="U189" s="247">
        <f t="shared" si="57"/>
        <v>0.28439396926078891</v>
      </c>
      <c r="V189" s="378">
        <f t="shared" si="58"/>
        <v>232.74303458232768</v>
      </c>
      <c r="W189" s="397">
        <f t="shared" si="59"/>
        <v>166.62173244013138</v>
      </c>
      <c r="X189" s="153">
        <f t="shared" si="60"/>
        <v>47293</v>
      </c>
      <c r="Y189" s="380">
        <f t="shared" si="61"/>
        <v>162.07054165039006</v>
      </c>
      <c r="Z189" s="380">
        <f t="shared" si="62"/>
        <v>168.56242437996733</v>
      </c>
      <c r="AA189" s="381">
        <f t="shared" si="63"/>
        <v>179.75934037753092</v>
      </c>
      <c r="AB189" s="193">
        <f t="shared" si="64"/>
        <v>47293</v>
      </c>
      <c r="AC189" s="119">
        <f>IF(OR(t&lt;Tnet,NoTnet),'2028'!Resal_s+('2028'!Salim-'2028'!Resal_s)*(1-EXP(('2028'!Tnet_s-t)/'2028'!Tau_j)),Resal_s+(Salim-Resal_s)*(1-EXP((Tnet_s-t)/Tau_j)))*Salcycl</f>
        <v>6.228836829311795E-2</v>
      </c>
      <c r="AD189" s="227">
        <f>(INDEX(Models!$BJ189:$BT189,,AH189)*(1-AF189)+INDEX(Models!$BJ189:$BT189,,AH189+1)*AF189-ERP_i)*AE189*Ramure*Pc/MaxiM</f>
        <v>2.9189885680748544E-4</v>
      </c>
      <c r="AE189" s="301">
        <f t="shared" si="65"/>
        <v>0.5</v>
      </c>
      <c r="AF189" s="173">
        <f t="shared" si="66"/>
        <v>0.80938153563476689</v>
      </c>
      <c r="AG189" s="801">
        <f t="shared" si="74"/>
        <v>3</v>
      </c>
      <c r="AH189" s="172">
        <f t="shared" si="67"/>
        <v>9</v>
      </c>
      <c r="AI189" s="221">
        <f t="shared" si="68"/>
        <v>3.8093815356347669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47294</v>
      </c>
      <c r="B190" s="406">
        <f>'2028'!Wh/'2028'!Env_an*'2029'!Env_an</f>
        <v>142.12519885778869</v>
      </c>
      <c r="C190" s="831"/>
      <c r="D190" s="388">
        <f t="shared" si="50"/>
        <v>147.8201763025979</v>
      </c>
      <c r="E190" s="380">
        <f t="shared" si="75"/>
        <v>153.36919634585081</v>
      </c>
      <c r="F190" s="380">
        <f t="shared" si="51"/>
        <v>153.37007720635765</v>
      </c>
      <c r="G190" s="110">
        <f t="shared" si="76"/>
        <v>0.61103616416512796</v>
      </c>
      <c r="H190" s="409" t="b">
        <f>Wh_hp&gt;='2028'!Maxi_hp</f>
        <v>1</v>
      </c>
      <c r="I190" s="385">
        <f>IF(H190,Wh_hp,'2028'!Maxi_hp)</f>
        <v>153.37007720635765</v>
      </c>
      <c r="J190" s="85">
        <f>IF(H190,An,'2028'!An_max)</f>
        <v>2029</v>
      </c>
      <c r="K190" s="193">
        <f t="shared" si="52"/>
        <v>47294</v>
      </c>
      <c r="L190" s="143">
        <f>IF(t&lt;Tvie,1-EXP((T0-t)*PertePVj)+'2028'!Pspv,1-EXP((T0-t)*PertePVj)+Pspv)</f>
        <v>3.8526387853517474E-2</v>
      </c>
      <c r="M190" s="835"/>
      <c r="N190" s="835"/>
      <c r="O190" s="48">
        <f>IF(t&lt;Tnet,'2028'!Resal+('2028'!Salim-'2028'!Resal)*(1-EXP(('2028'!Tnet-t)/('2028'!Tau_j))),Resal+(Salim-Resal)*(1-EXP((Tnet-t)/(Tau_j))))*Salcycl</f>
        <v>3.618079885311367E-2</v>
      </c>
      <c r="P190" s="165">
        <f>(INDEX(Models!$BJ190:$BT190,,T190)*(1-R190)+INDEX(Models!$BJ190:$BT190,,T190+1)*R190-ERP_i)*Q190*Ramure*Pc/MaxiM</f>
        <v>1.2925505229247724E-5</v>
      </c>
      <c r="Q190" s="301">
        <f t="shared" si="53"/>
        <v>0.5</v>
      </c>
      <c r="R190" s="173">
        <f t="shared" si="54"/>
        <v>0.28910861665176479</v>
      </c>
      <c r="S190" s="801">
        <f t="shared" si="55"/>
        <v>0</v>
      </c>
      <c r="T190" s="172">
        <f t="shared" si="56"/>
        <v>6</v>
      </c>
      <c r="U190" s="247">
        <f t="shared" si="57"/>
        <v>0.28910861665176479</v>
      </c>
      <c r="V190" s="378">
        <f t="shared" si="58"/>
        <v>232.59536247443836</v>
      </c>
      <c r="W190" s="397">
        <f t="shared" si="59"/>
        <v>142.12519885778869</v>
      </c>
      <c r="X190" s="153">
        <f t="shared" si="60"/>
        <v>47294</v>
      </c>
      <c r="Y190" s="380">
        <f t="shared" si="61"/>
        <v>138.25125441812926</v>
      </c>
      <c r="Z190" s="380">
        <f t="shared" si="62"/>
        <v>143.79100234429148</v>
      </c>
      <c r="AA190" s="381">
        <f t="shared" si="63"/>
        <v>153.34988189400067</v>
      </c>
      <c r="AB190" s="193">
        <f t="shared" si="64"/>
        <v>47294</v>
      </c>
      <c r="AC190" s="119">
        <f>IF(OR(t&lt;Tnet,NoTnet),'2028'!Resal_s+('2028'!Salim-'2028'!Resal_s)*(1-EXP(('2028'!Tnet_s-t)/'2028'!Tau_j)),Resal_s+(Salim-Resal_s)*(1-EXP((Tnet_s-t)/Tau_j)))*Salcycl</f>
        <v>6.2333791403351241E-2</v>
      </c>
      <c r="AD190" s="227">
        <f>(INDEX(Models!$BJ190:$BT190,,AH190)*(1-AF190)+INDEX(Models!$BJ190:$BT190,,AH190+1)*AF190-ERP_i)*AE190*Ramure*Pc/MaxiM</f>
        <v>2.9634046871877812E-4</v>
      </c>
      <c r="AE190" s="301">
        <f t="shared" si="65"/>
        <v>0.5</v>
      </c>
      <c r="AF190" s="173">
        <f t="shared" si="66"/>
        <v>0.81409618302574316</v>
      </c>
      <c r="AG190" s="801">
        <f t="shared" si="74"/>
        <v>3</v>
      </c>
      <c r="AH190" s="172">
        <f t="shared" si="67"/>
        <v>9</v>
      </c>
      <c r="AI190" s="221">
        <f t="shared" si="68"/>
        <v>3.8140961830257432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47295</v>
      </c>
      <c r="B191" s="406">
        <f>'2028'!Wh/'2028'!Env_an*'2029'!Env_an</f>
        <v>47.265727715015728</v>
      </c>
      <c r="C191" s="831"/>
      <c r="D191" s="388">
        <f t="shared" si="50"/>
        <v>49.160345281314342</v>
      </c>
      <c r="E191" s="380">
        <f t="shared" si="75"/>
        <v>51.009172868676558</v>
      </c>
      <c r="F191" s="380">
        <f t="shared" si="51"/>
        <v>51.009172868676558</v>
      </c>
      <c r="G191" s="110">
        <f t="shared" si="76"/>
        <v>0.20334174291088056</v>
      </c>
      <c r="H191" s="409" t="b">
        <f>Wh_hp&gt;='2028'!Maxi_hp</f>
        <v>1</v>
      </c>
      <c r="I191" s="385">
        <f>IF(H191,Wh_hp,'2028'!Maxi_hp)</f>
        <v>51.009172868676558</v>
      </c>
      <c r="J191" s="85">
        <f>IF(H191,An,'2028'!An_max)</f>
        <v>2029</v>
      </c>
      <c r="K191" s="193">
        <f t="shared" si="52"/>
        <v>47295</v>
      </c>
      <c r="L191" s="143">
        <f>IF(t&lt;Tvie,1-EXP((T0-t)*PertePVj)+'2028'!Pspv,1-EXP((T0-t)*PertePVj)+Pspv)</f>
        <v>3.8539549619858948E-2</v>
      </c>
      <c r="M191" s="835"/>
      <c r="N191" s="835"/>
      <c r="O191" s="48">
        <f>IF(t&lt;Tnet,'2028'!Resal+('2028'!Salim-'2028'!Resal)*(1-EXP(('2028'!Tnet-t)/('2028'!Tau_j))),Resal+(Salim-Resal)*(1-EXP((Tnet-t)/(Tau_j))))*Salcycl</f>
        <v>3.6245002288549794E-2</v>
      </c>
      <c r="P191" s="165">
        <f>(INDEX(Models!$BJ191:$BT191,,T191)*(1-R191)+INDEX(Models!$BJ191:$BT191,,T191+1)*R191-ERP_i)*Q191*Ramure*Pc/MaxiM</f>
        <v>1.3319427053242748E-5</v>
      </c>
      <c r="Q191" s="301">
        <f t="shared" si="53"/>
        <v>0.5</v>
      </c>
      <c r="R191" s="173">
        <f t="shared" si="54"/>
        <v>0.29376572899259706</v>
      </c>
      <c r="S191" s="801">
        <f t="shared" si="55"/>
        <v>0</v>
      </c>
      <c r="T191" s="172">
        <f t="shared" si="56"/>
        <v>6</v>
      </c>
      <c r="U191" s="247">
        <f t="shared" si="57"/>
        <v>0.29376572899259706</v>
      </c>
      <c r="V191" s="378">
        <f t="shared" si="58"/>
        <v>232.44168898128501</v>
      </c>
      <c r="W191" s="397">
        <f t="shared" si="59"/>
        <v>47.265727715015728</v>
      </c>
      <c r="X191" s="153">
        <f t="shared" si="60"/>
        <v>47295</v>
      </c>
      <c r="Y191" s="380">
        <f t="shared" si="61"/>
        <v>45.984070934957828</v>
      </c>
      <c r="Z191" s="380">
        <f t="shared" si="62"/>
        <v>47.827314079093632</v>
      </c>
      <c r="AA191" s="381">
        <f t="shared" si="63"/>
        <v>51.009172868676558</v>
      </c>
      <c r="AB191" s="193">
        <f t="shared" si="64"/>
        <v>47295</v>
      </c>
      <c r="AC191" s="119">
        <f>IF(OR(t&lt;Tnet,NoTnet),'2028'!Resal_s+('2028'!Salim-'2028'!Resal_s)*(1-EXP(('2028'!Tnet_s-t)/'2028'!Tau_j)),Resal_s+(Salim-Resal_s)*(1-EXP((Tnet_s-t)/Tau_j)))*Salcycl</f>
        <v>6.237816868300608E-2</v>
      </c>
      <c r="AD191" s="227">
        <f>(INDEX(Models!$BJ191:$BT191,,AH191)*(1-AF191)+INDEX(Models!$BJ191:$BT191,,AH191+1)*AF191-ERP_i)*AE191*Ramure*Pc/MaxiM</f>
        <v>3.019697608615558E-4</v>
      </c>
      <c r="AE191" s="301">
        <f t="shared" si="65"/>
        <v>0.5</v>
      </c>
      <c r="AF191" s="173">
        <f t="shared" si="66"/>
        <v>0.81875329536657526</v>
      </c>
      <c r="AG191" s="801">
        <f t="shared" si="74"/>
        <v>3</v>
      </c>
      <c r="AH191" s="172">
        <f t="shared" si="67"/>
        <v>9</v>
      </c>
      <c r="AI191" s="221">
        <f t="shared" si="68"/>
        <v>3.8187532953665753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47296</v>
      </c>
      <c r="B192" s="406">
        <f>'2028'!Wh/'2028'!Env_an*'2029'!Env_an</f>
        <v>55.220778558412043</v>
      </c>
      <c r="C192" s="831"/>
      <c r="D192" s="388">
        <f t="shared" si="50"/>
        <v>57.435055672870291</v>
      </c>
      <c r="E192" s="380">
        <f t="shared" si="75"/>
        <v>59.599011427560399</v>
      </c>
      <c r="F192" s="380">
        <f t="shared" si="51"/>
        <v>59.599011427560399</v>
      </c>
      <c r="G192" s="110">
        <f t="shared" si="76"/>
        <v>0.23772791245189717</v>
      </c>
      <c r="H192" s="409" t="b">
        <f>Wh_hp&gt;='2028'!Maxi_hp</f>
        <v>1</v>
      </c>
      <c r="I192" s="385">
        <f>IF(H192,Wh_hp,'2028'!Maxi_hp)</f>
        <v>59.599011427560399</v>
      </c>
      <c r="J192" s="85">
        <f>IF(H192,An,'2028'!An_max)</f>
        <v>2029</v>
      </c>
      <c r="K192" s="193">
        <f t="shared" si="52"/>
        <v>47296</v>
      </c>
      <c r="L192" s="143">
        <f>IF(t&lt;Tvie,1-EXP((T0-t)*PertePVj)+'2028'!Pspv,1-EXP((T0-t)*PertePVj)+Pspv)</f>
        <v>3.8552711206026991E-2</v>
      </c>
      <c r="M192" s="835"/>
      <c r="N192" s="835"/>
      <c r="O192" s="48">
        <f>IF(t&lt;Tnet,'2028'!Resal+('2028'!Salim-'2028'!Resal)*(1-EXP(('2028'!Tnet-t)/('2028'!Tau_j))),Resal+(Salim-Resal)*(1-EXP((Tnet-t)/(Tau_j))))*Salcycl</f>
        <v>3.630858470396426E-2</v>
      </c>
      <c r="P192" s="165">
        <f>(INDEX(Models!$BJ192:$BT192,,T192)*(1-R192)+INDEX(Models!$BJ192:$BT192,,T192+1)*R192-ERP_i)*Q192*Ramure*Pc/MaxiM</f>
        <v>1.376925597344506E-5</v>
      </c>
      <c r="Q192" s="301">
        <f t="shared" si="53"/>
        <v>0.5</v>
      </c>
      <c r="R192" s="173">
        <f t="shared" si="54"/>
        <v>0.29836249441031421</v>
      </c>
      <c r="S192" s="801">
        <f t="shared" si="55"/>
        <v>0</v>
      </c>
      <c r="T192" s="172">
        <f t="shared" si="56"/>
        <v>6</v>
      </c>
      <c r="U192" s="247">
        <f t="shared" si="57"/>
        <v>0.29836249441031421</v>
      </c>
      <c r="V192" s="378">
        <f t="shared" si="58"/>
        <v>232.28243431679675</v>
      </c>
      <c r="W192" s="397">
        <f t="shared" si="59"/>
        <v>55.220778558412043</v>
      </c>
      <c r="X192" s="153">
        <f t="shared" si="60"/>
        <v>47296</v>
      </c>
      <c r="Y192" s="380">
        <f t="shared" si="61"/>
        <v>53.724474008187102</v>
      </c>
      <c r="Z192" s="380">
        <f t="shared" si="62"/>
        <v>55.87875137240065</v>
      </c>
      <c r="AA192" s="381">
        <f t="shared" si="63"/>
        <v>59.599011427560399</v>
      </c>
      <c r="AB192" s="193">
        <f t="shared" si="64"/>
        <v>47296</v>
      </c>
      <c r="AC192" s="119">
        <f>IF(OR(t&lt;Tnet,NoTnet),'2028'!Resal_s+('2028'!Salim-'2028'!Resal_s)*(1-EXP(('2028'!Tnet_s-t)/'2028'!Tau_j)),Resal_s+(Salim-Resal_s)*(1-EXP((Tnet_s-t)/Tau_j)))*Salcycl</f>
        <v>6.2421506096314083E-2</v>
      </c>
      <c r="AD192" s="227">
        <f>(INDEX(Models!$BJ192:$BT192,,AH192)*(1-AF192)+INDEX(Models!$BJ192:$BT192,,AH192+1)*AF192-ERP_i)*AE192*Ramure*Pc/MaxiM</f>
        <v>3.0891740232567654E-4</v>
      </c>
      <c r="AE192" s="301">
        <f t="shared" si="65"/>
        <v>0.5</v>
      </c>
      <c r="AF192" s="173">
        <f t="shared" si="66"/>
        <v>0.82335006078429229</v>
      </c>
      <c r="AG192" s="801">
        <f t="shared" si="74"/>
        <v>3</v>
      </c>
      <c r="AH192" s="172">
        <f t="shared" si="67"/>
        <v>9</v>
      </c>
      <c r="AI192" s="221">
        <f t="shared" si="68"/>
        <v>3.8233500607842923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47297</v>
      </c>
      <c r="B193" s="406">
        <f>'2028'!Wh/'2028'!Env_an*'2029'!Env_an</f>
        <v>241.44459365518946</v>
      </c>
      <c r="C193" s="831"/>
      <c r="D193" s="388">
        <f t="shared" si="50"/>
        <v>251.12962685352772</v>
      </c>
      <c r="E193" s="380">
        <f t="shared" si="75"/>
        <v>260.608356533235</v>
      </c>
      <c r="F193" s="380">
        <f t="shared" si="51"/>
        <v>260.61207165828807</v>
      </c>
      <c r="G193" s="110">
        <f t="shared" si="76"/>
        <v>1.0401867145003136</v>
      </c>
      <c r="H193" s="409" t="b">
        <f>Wh_hp&gt;='2028'!Maxi_hp</f>
        <v>1</v>
      </c>
      <c r="I193" s="385">
        <f>IF(H193,Wh_hp,'2028'!Maxi_hp)</f>
        <v>260.61207165828807</v>
      </c>
      <c r="J193" s="85">
        <f>IF(H193,An,'2028'!An_max)</f>
        <v>2029</v>
      </c>
      <c r="K193" s="193">
        <f t="shared" si="52"/>
        <v>47297</v>
      </c>
      <c r="L193" s="143">
        <f>IF(t&lt;Tvie,1-EXP((T0-t)*PertePVj)+'2028'!Pspv,1-EXP((T0-t)*PertePVj)+Pspv)</f>
        <v>3.8565872612023933E-2</v>
      </c>
      <c r="M193" s="835"/>
      <c r="N193" s="835"/>
      <c r="O193" s="48">
        <f>IF(t&lt;Tnet,'2028'!Resal+('2028'!Salim-'2028'!Resal)*(1-EXP(('2028'!Tnet-t)/('2028'!Tau_j))),Resal+(Salim-Resal)*(1-EXP((Tnet-t)/(Tau_j))))*Salcycl</f>
        <v>3.6371549269558649E-2</v>
      </c>
      <c r="P193" s="165">
        <f>(INDEX(Models!$BJ193:$BT193,,T193)*(1-R193)+INDEX(Models!$BJ193:$BT193,,T193+1)*R193-ERP_i)*Q193*Ramure*Pc/MaxiM</f>
        <v>1.4255383603024923E-5</v>
      </c>
      <c r="Q193" s="301">
        <f t="shared" si="53"/>
        <v>0.5</v>
      </c>
      <c r="R193" s="173">
        <f t="shared" si="54"/>
        <v>0.30289627394114371</v>
      </c>
      <c r="S193" s="801">
        <f t="shared" si="55"/>
        <v>0</v>
      </c>
      <c r="T193" s="172">
        <f t="shared" si="56"/>
        <v>6</v>
      </c>
      <c r="U193" s="247">
        <f t="shared" si="57"/>
        <v>0.30289627394114371</v>
      </c>
      <c r="V193" s="378">
        <f t="shared" si="58"/>
        <v>232.11659050190326</v>
      </c>
      <c r="W193" s="397">
        <f t="shared" si="59"/>
        <v>241.44459365518946</v>
      </c>
      <c r="X193" s="153">
        <f t="shared" si="60"/>
        <v>47297</v>
      </c>
      <c r="Y193" s="380">
        <f t="shared" si="61"/>
        <v>234.83595168692833</v>
      </c>
      <c r="Z193" s="380">
        <f t="shared" si="62"/>
        <v>244.25589335478506</v>
      </c>
      <c r="AA193" s="381">
        <f t="shared" si="63"/>
        <v>260.52956309296496</v>
      </c>
      <c r="AB193" s="193">
        <f t="shared" si="64"/>
        <v>47297</v>
      </c>
      <c r="AC193" s="119">
        <f>IF(OR(t&lt;Tnet,NoTnet),'2028'!Resal_s+('2028'!Salim-'2028'!Resal_s)*(1-EXP(('2028'!Tnet_s-t)/'2028'!Tau_j)),Resal_s+(Salim-Resal_s)*(1-EXP((Tnet_s-t)/Tau_j)))*Salcycl</f>
        <v>6.246381234045581E-2</v>
      </c>
      <c r="AD193" s="227">
        <f>(INDEX(Models!$BJ193:$BT193,,AH193)*(1-AF193)+INDEX(Models!$BJ193:$BT193,,AH193+1)*AF193-ERP_i)*AE193*Ramure*Pc/MaxiM</f>
        <v>3.1659533189740249E-4</v>
      </c>
      <c r="AE193" s="301">
        <f t="shared" si="65"/>
        <v>0.5</v>
      </c>
      <c r="AF193" s="173">
        <f t="shared" si="66"/>
        <v>0.82788384031512186</v>
      </c>
      <c r="AG193" s="801">
        <f t="shared" si="74"/>
        <v>3</v>
      </c>
      <c r="AH193" s="172">
        <f t="shared" si="67"/>
        <v>9</v>
      </c>
      <c r="AI193" s="221">
        <f t="shared" si="68"/>
        <v>3.8278838403151219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47298</v>
      </c>
      <c r="B194" s="406">
        <f>'2028'!Wh/'2028'!Env_an*'2029'!Env_an</f>
        <v>229.23255676644388</v>
      </c>
      <c r="C194" s="831"/>
      <c r="D194" s="388">
        <f t="shared" si="50"/>
        <v>238.43099415806043</v>
      </c>
      <c r="E194" s="380">
        <f t="shared" si="75"/>
        <v>247.44643292793575</v>
      </c>
      <c r="F194" s="380">
        <f t="shared" si="51"/>
        <v>247.45002898638091</v>
      </c>
      <c r="G194" s="110">
        <f t="shared" si="76"/>
        <v>0.98831332388929638</v>
      </c>
      <c r="H194" s="409" t="b">
        <f>Wh_hp&gt;='2028'!Maxi_hp</f>
        <v>1</v>
      </c>
      <c r="I194" s="385">
        <f>IF(H194,Wh_hp,'2028'!Maxi_hp)</f>
        <v>247.45002898638091</v>
      </c>
      <c r="J194" s="85">
        <f>IF(H194,An,'2028'!An_max)</f>
        <v>2029</v>
      </c>
      <c r="K194" s="193">
        <f t="shared" si="52"/>
        <v>47298</v>
      </c>
      <c r="L194" s="143">
        <f>IF(t&lt;Tvie,1-EXP((T0-t)*PertePVj)+'2028'!Pspv,1-EXP((T0-t)*PertePVj)+Pspv)</f>
        <v>3.8579033837852217E-2</v>
      </c>
      <c r="M194" s="835"/>
      <c r="N194" s="835"/>
      <c r="O194" s="48">
        <f>IF(t&lt;Tnet,'2028'!Resal+('2028'!Salim-'2028'!Resal)*(1-EXP(('2028'!Tnet-t)/('2028'!Tau_j))),Resal+(Salim-Resal)*(1-EXP((Tnet-t)/(Tau_j))))*Salcycl</f>
        <v>3.6433900716204379E-2</v>
      </c>
      <c r="P194" s="165">
        <f>(INDEX(Models!$BJ194:$BT194,,T194)*(1-R194)+INDEX(Models!$BJ194:$BT194,,T194+1)*R194-ERP_i)*Q194*Ramure*Pc/MaxiM</f>
        <v>1.477920054336218E-5</v>
      </c>
      <c r="Q194" s="301">
        <f t="shared" si="53"/>
        <v>0.5</v>
      </c>
      <c r="R194" s="173">
        <f t="shared" si="54"/>
        <v>0.30736460527291604</v>
      </c>
      <c r="S194" s="801">
        <f t="shared" si="55"/>
        <v>0</v>
      </c>
      <c r="T194" s="172">
        <f t="shared" si="56"/>
        <v>6</v>
      </c>
      <c r="U194" s="247">
        <f t="shared" si="57"/>
        <v>0.30736460527291604</v>
      </c>
      <c r="V194" s="378">
        <f t="shared" si="58"/>
        <v>231.94314461257986</v>
      </c>
      <c r="W194" s="397">
        <f t="shared" si="59"/>
        <v>229.23255676644388</v>
      </c>
      <c r="X194" s="153">
        <f t="shared" si="60"/>
        <v>47298</v>
      </c>
      <c r="Y194" s="380">
        <f t="shared" si="61"/>
        <v>222.96217665867684</v>
      </c>
      <c r="Z194" s="380">
        <f t="shared" si="62"/>
        <v>231.90900188988942</v>
      </c>
      <c r="AA194" s="381">
        <f t="shared" si="63"/>
        <v>247.37094738176185</v>
      </c>
      <c r="AB194" s="193">
        <f t="shared" si="64"/>
        <v>47298</v>
      </c>
      <c r="AC194" s="119">
        <f>IF(OR(t&lt;Tnet,NoTnet),'2028'!Resal_s+('2028'!Salim-'2028'!Resal_s)*(1-EXP(('2028'!Tnet_s-t)/'2028'!Tau_j)),Resal_s+(Salim-Resal_s)*(1-EXP((Tnet_s-t)/Tau_j)))*Salcycl</f>
        <v>6.2505098741487908E-2</v>
      </c>
      <c r="AD194" s="227">
        <f>(INDEX(Models!$BJ194:$BT194,,AH194)*(1-AF194)+INDEX(Models!$BJ194:$BT194,,AH194+1)*AF194-ERP_i)*AE194*Ramure*Pc/MaxiM</f>
        <v>3.2501220760725854E-4</v>
      </c>
      <c r="AE194" s="301">
        <f t="shared" si="65"/>
        <v>0.5</v>
      </c>
      <c r="AF194" s="173">
        <f t="shared" si="66"/>
        <v>0.83235217164689423</v>
      </c>
      <c r="AG194" s="801">
        <f t="shared" si="74"/>
        <v>3</v>
      </c>
      <c r="AH194" s="172">
        <f t="shared" si="67"/>
        <v>9</v>
      </c>
      <c r="AI194" s="221">
        <f t="shared" si="68"/>
        <v>3.8323521716468942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47299</v>
      </c>
      <c r="B195" s="406">
        <f>'2028'!Wh/'2028'!Env_an*'2029'!Env_an</f>
        <v>53.525216408474385</v>
      </c>
      <c r="C195" s="831"/>
      <c r="D195" s="388">
        <f t="shared" si="50"/>
        <v>55.673790168563478</v>
      </c>
      <c r="E195" s="380">
        <f t="shared" si="75"/>
        <v>57.782603571556919</v>
      </c>
      <c r="F195" s="380">
        <f t="shared" si="51"/>
        <v>57.782603571556919</v>
      </c>
      <c r="G195" s="110">
        <f t="shared" si="76"/>
        <v>0.23094643145157837</v>
      </c>
      <c r="H195" s="409" t="b">
        <f>Wh_hp&gt;='2028'!Maxi_hp</f>
        <v>1</v>
      </c>
      <c r="I195" s="385">
        <f>IF(H195,Wh_hp,'2028'!Maxi_hp)</f>
        <v>57.782603571556919</v>
      </c>
      <c r="J195" s="85">
        <f>IF(H195,An,'2028'!An_max)</f>
        <v>2029</v>
      </c>
      <c r="K195" s="193">
        <f t="shared" si="52"/>
        <v>47299</v>
      </c>
      <c r="L195" s="143">
        <f>IF(t&lt;Tvie,1-EXP((T0-t)*PertePVj)+'2028'!Pspv,1-EXP((T0-t)*PertePVj)+Pspv)</f>
        <v>3.8592194883514508E-2</v>
      </c>
      <c r="M195" s="835"/>
      <c r="N195" s="835"/>
      <c r="O195" s="48">
        <f>IF(t&lt;Tnet,'2028'!Resal+('2028'!Salim-'2028'!Resal)*(1-EXP(('2028'!Tnet-t)/('2028'!Tau_j))),Resal+(Salim-Resal)*(1-EXP((Tnet-t)/(Tau_j))))*Salcycl</f>
        <v>3.6495645274652946E-2</v>
      </c>
      <c r="P195" s="165">
        <f>(INDEX(Models!$BJ195:$BT195,,T195)*(1-R195)+INDEX(Models!$BJ195:$BT195,,T195+1)*R195-ERP_i)*Q195*Ramure*Pc/MaxiM</f>
        <v>1.5342066245105328E-5</v>
      </c>
      <c r="Q195" s="301">
        <f t="shared" si="53"/>
        <v>0.5</v>
      </c>
      <c r="R195" s="173">
        <f t="shared" si="54"/>
        <v>0.31176520551847164</v>
      </c>
      <c r="S195" s="801">
        <f t="shared" si="55"/>
        <v>0</v>
      </c>
      <c r="T195" s="172">
        <f t="shared" si="56"/>
        <v>6</v>
      </c>
      <c r="U195" s="247">
        <f t="shared" si="57"/>
        <v>0.31176520551847164</v>
      </c>
      <c r="V195" s="378">
        <f t="shared" si="58"/>
        <v>231.76108366186514</v>
      </c>
      <c r="W195" s="397">
        <f t="shared" si="59"/>
        <v>53.525216408474385</v>
      </c>
      <c r="X195" s="153">
        <f t="shared" si="60"/>
        <v>47299</v>
      </c>
      <c r="Y195" s="380">
        <f t="shared" si="61"/>
        <v>52.078084762929066</v>
      </c>
      <c r="Z195" s="380">
        <f t="shared" si="62"/>
        <v>54.168568723674149</v>
      </c>
      <c r="AA195" s="381">
        <f t="shared" si="63"/>
        <v>57.782603571556919</v>
      </c>
      <c r="AB195" s="193">
        <f t="shared" si="64"/>
        <v>47299</v>
      </c>
      <c r="AC195" s="119">
        <f>IF(OR(t&lt;Tnet,NoTnet),'2028'!Resal_s+('2028'!Salim-'2028'!Resal_s)*(1-EXP(('2028'!Tnet_s-t)/'2028'!Tau_j)),Resal_s+(Salim-Resal_s)*(1-EXP((Tnet_s-t)/Tau_j)))*Salcycl</f>
        <v>6.2545379136597953E-2</v>
      </c>
      <c r="AD195" s="227">
        <f>(INDEX(Models!$BJ195:$BT195,,AH195)*(1-AF195)+INDEX(Models!$BJ195:$BT195,,AH195+1)*AF195-ERP_i)*AE195*Ramure*Pc/MaxiM</f>
        <v>3.3417650729666067E-4</v>
      </c>
      <c r="AE195" s="301">
        <f t="shared" si="65"/>
        <v>0.5</v>
      </c>
      <c r="AF195" s="173">
        <f t="shared" si="66"/>
        <v>0.83675277189244968</v>
      </c>
      <c r="AG195" s="801">
        <f t="shared" si="74"/>
        <v>3</v>
      </c>
      <c r="AH195" s="172">
        <f t="shared" si="67"/>
        <v>9</v>
      </c>
      <c r="AI195" s="221">
        <f t="shared" si="68"/>
        <v>3.8367527718924497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47300</v>
      </c>
      <c r="B196" s="406">
        <f>'2028'!Wh/'2028'!Env_an*'2029'!Env_an</f>
        <v>205.258200128959</v>
      </c>
      <c r="C196" s="831"/>
      <c r="D196" s="388">
        <f t="shared" si="50"/>
        <v>213.50046139363886</v>
      </c>
      <c r="E196" s="380">
        <f t="shared" si="75"/>
        <v>221.60150106627546</v>
      </c>
      <c r="F196" s="380">
        <f t="shared" si="51"/>
        <v>221.60446106591681</v>
      </c>
      <c r="G196" s="110">
        <f t="shared" si="76"/>
        <v>0.88637649725966949</v>
      </c>
      <c r="H196" s="409" t="b">
        <f>Wh_hp&gt;='2028'!Maxi_hp</f>
        <v>1</v>
      </c>
      <c r="I196" s="385">
        <f>IF(H196,Wh_hp,'2028'!Maxi_hp)</f>
        <v>221.60446106591681</v>
      </c>
      <c r="J196" s="85">
        <f>IF(H196,An,'2028'!An_max)</f>
        <v>2029</v>
      </c>
      <c r="K196" s="193">
        <f t="shared" si="52"/>
        <v>47300</v>
      </c>
      <c r="L196" s="143">
        <f>IF(t&lt;Tvie,1-EXP((T0-t)*PertePVj)+'2028'!Pspv,1-EXP((T0-t)*PertePVj)+Pspv)</f>
        <v>3.8605355749013026E-2</v>
      </c>
      <c r="M196" s="835"/>
      <c r="N196" s="835"/>
      <c r="O196" s="48">
        <f>IF(t&lt;Tnet,'2028'!Resal+('2028'!Salim-'2028'!Resal)*(1-EXP(('2028'!Tnet-t)/('2028'!Tau_j))),Resal+(Salim-Resal)*(1-EXP((Tnet-t)/(Tau_j))))*Salcycl</f>
        <v>3.6556790606818976E-2</v>
      </c>
      <c r="P196" s="165">
        <f>(INDEX(Models!$BJ196:$BT196,,T196)*(1-R196)+INDEX(Models!$BJ196:$BT196,,T196+1)*R196-ERP_i)*Q196*Ramure*Pc/MaxiM</f>
        <v>1.5945309215646534E-5</v>
      </c>
      <c r="Q196" s="301">
        <f t="shared" si="53"/>
        <v>0.5</v>
      </c>
      <c r="R196" s="173">
        <f t="shared" si="54"/>
        <v>0.3160959730394145</v>
      </c>
      <c r="S196" s="801">
        <f t="shared" si="55"/>
        <v>0</v>
      </c>
      <c r="T196" s="172">
        <f t="shared" si="56"/>
        <v>6</v>
      </c>
      <c r="U196" s="247">
        <f t="shared" si="57"/>
        <v>0.3160959730394145</v>
      </c>
      <c r="V196" s="378">
        <f t="shared" si="58"/>
        <v>231.56939462121926</v>
      </c>
      <c r="W196" s="397">
        <f t="shared" si="59"/>
        <v>205.258200128959</v>
      </c>
      <c r="X196" s="153">
        <f t="shared" si="60"/>
        <v>47300</v>
      </c>
      <c r="Y196" s="380">
        <f t="shared" si="61"/>
        <v>199.65815240484619</v>
      </c>
      <c r="Z196" s="380">
        <f t="shared" si="62"/>
        <v>207.67554052727002</v>
      </c>
      <c r="AA196" s="381">
        <f t="shared" si="63"/>
        <v>221.54058486590711</v>
      </c>
      <c r="AB196" s="193">
        <f t="shared" si="64"/>
        <v>47300</v>
      </c>
      <c r="AC196" s="119">
        <f>IF(OR(t&lt;Tnet,NoTnet),'2028'!Resal_s+('2028'!Salim-'2028'!Resal_s)*(1-EXP(('2028'!Tnet_s-t)/'2028'!Tau_j)),Resal_s+(Salim-Resal_s)*(1-EXP((Tnet_s-t)/Tau_j)))*Salcycl</f>
        <v>6.2584669743601384E-2</v>
      </c>
      <c r="AD196" s="227">
        <f>(INDEX(Models!$BJ196:$BT196,,AH196)*(1-AF196)+INDEX(Models!$BJ196:$BT196,,AH196+1)*AF196-ERP_i)*AE196*Ramure*Pc/MaxiM</f>
        <v>3.4409658245998303E-4</v>
      </c>
      <c r="AE196" s="301">
        <f t="shared" si="65"/>
        <v>0.5</v>
      </c>
      <c r="AF196" s="173">
        <f t="shared" si="66"/>
        <v>0.84108353941339242</v>
      </c>
      <c r="AG196" s="801">
        <f t="shared" si="74"/>
        <v>3</v>
      </c>
      <c r="AH196" s="172">
        <f t="shared" si="67"/>
        <v>9</v>
      </c>
      <c r="AI196" s="221">
        <f t="shared" si="68"/>
        <v>3.8410835394133924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47301</v>
      </c>
      <c r="B197" s="406">
        <f>'2028'!Wh/'2028'!Env_an*'2029'!Env_an</f>
        <v>226.83784552333026</v>
      </c>
      <c r="C197" s="831"/>
      <c r="D197" s="388">
        <f t="shared" si="50"/>
        <v>235.94987983543811</v>
      </c>
      <c r="E197" s="380">
        <f t="shared" si="75"/>
        <v>244.91813174085962</v>
      </c>
      <c r="F197" s="380">
        <f t="shared" si="51"/>
        <v>244.92208142110059</v>
      </c>
      <c r="G197" s="110">
        <f t="shared" si="76"/>
        <v>0.98042364341988908</v>
      </c>
      <c r="H197" s="409" t="b">
        <f>Wh_hp&gt;='2028'!Maxi_hp</f>
        <v>1</v>
      </c>
      <c r="I197" s="385">
        <f>IF(H197,Wh_hp,'2028'!Maxi_hp)</f>
        <v>244.92208142110059</v>
      </c>
      <c r="J197" s="85">
        <f>IF(H197,An,'2028'!An_max)</f>
        <v>2029</v>
      </c>
      <c r="K197" s="193">
        <f t="shared" si="52"/>
        <v>47301</v>
      </c>
      <c r="L197" s="143">
        <f>IF(t&lt;Tvie,1-EXP((T0-t)*PertePVj)+'2028'!Pspv,1-EXP((T0-t)*PertePVj)+Pspv)</f>
        <v>3.8618516434350325E-2</v>
      </c>
      <c r="M197" s="835"/>
      <c r="N197" s="835"/>
      <c r="O197" s="48">
        <f>IF(t&lt;Tnet,'2028'!Resal+('2028'!Salim-'2028'!Resal)*(1-EXP(('2028'!Tnet-t)/('2028'!Tau_j))),Resal+(Salim-Resal)*(1-EXP((Tnet-t)/(Tau_j))))*Salcycl</f>
        <v>3.6617345729676405E-2</v>
      </c>
      <c r="P197" s="165">
        <f>(INDEX(Models!$BJ197:$BT197,,T197)*(1-R197)+INDEX(Models!$BJ197:$BT197,,T197+1)*R197-ERP_i)*Q197*Ramure*Pc/MaxiM</f>
        <v>1.6590227800866534E-5</v>
      </c>
      <c r="Q197" s="301">
        <f t="shared" si="53"/>
        <v>0.5</v>
      </c>
      <c r="R197" s="173">
        <f t="shared" si="54"/>
        <v>0.32035498834707515</v>
      </c>
      <c r="S197" s="801">
        <f t="shared" si="55"/>
        <v>0</v>
      </c>
      <c r="T197" s="172">
        <f t="shared" si="56"/>
        <v>6</v>
      </c>
      <c r="U197" s="247">
        <f t="shared" si="57"/>
        <v>0.32035498834707515</v>
      </c>
      <c r="V197" s="378">
        <f t="shared" si="58"/>
        <v>231.36706443326491</v>
      </c>
      <c r="W197" s="397">
        <f t="shared" si="59"/>
        <v>226.83784552333026</v>
      </c>
      <c r="X197" s="153">
        <f t="shared" si="60"/>
        <v>47301</v>
      </c>
      <c r="Y197" s="380">
        <f t="shared" si="61"/>
        <v>220.64200579215498</v>
      </c>
      <c r="Z197" s="380">
        <f t="shared" si="62"/>
        <v>229.50515436787902</v>
      </c>
      <c r="AA197" s="381">
        <f t="shared" si="63"/>
        <v>244.8376178199826</v>
      </c>
      <c r="AB197" s="193">
        <f t="shared" si="64"/>
        <v>47301</v>
      </c>
      <c r="AC197" s="119">
        <f>IF(OR(t&lt;Tnet,NoTnet),'2028'!Resal_s+('2028'!Salim-'2028'!Resal_s)*(1-EXP(('2028'!Tnet_s-t)/'2028'!Tau_j)),Resal_s+(Salim-Resal_s)*(1-EXP((Tnet_s-t)/Tau_j)))*Salcycl</f>
        <v>6.262298901869251E-2</v>
      </c>
      <c r="AD197" s="227">
        <f>(INDEX(Models!$BJ197:$BT197,,AH197)*(1-AF197)+INDEX(Models!$BJ197:$BT197,,AH197+1)*AF197-ERP_i)*AE197*Ramure*Pc/MaxiM</f>
        <v>3.5478071589138102E-4</v>
      </c>
      <c r="AE197" s="301">
        <f t="shared" si="65"/>
        <v>0.5</v>
      </c>
      <c r="AF197" s="173">
        <f t="shared" si="66"/>
        <v>0.84534255472105313</v>
      </c>
      <c r="AG197" s="801">
        <f t="shared" si="74"/>
        <v>3</v>
      </c>
      <c r="AH197" s="172">
        <f t="shared" si="67"/>
        <v>9</v>
      </c>
      <c r="AI197" s="221">
        <f t="shared" si="68"/>
        <v>3.8453425547210531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47302</v>
      </c>
      <c r="B198" s="406">
        <f>'2028'!Wh/'2028'!Env_an*'2029'!Env_an</f>
        <v>187.87522260591027</v>
      </c>
      <c r="C198" s="831"/>
      <c r="D198" s="388">
        <f t="shared" si="50"/>
        <v>195.42481076120575</v>
      </c>
      <c r="E198" s="380">
        <f t="shared" si="75"/>
        <v>202.86536900631293</v>
      </c>
      <c r="F198" s="380">
        <f t="shared" si="51"/>
        <v>202.86793814339714</v>
      </c>
      <c r="G198" s="110">
        <f t="shared" si="76"/>
        <v>0.81277028937234086</v>
      </c>
      <c r="H198" s="409" t="b">
        <f>Wh_hp&gt;='2028'!Maxi_hp</f>
        <v>1</v>
      </c>
      <c r="I198" s="385">
        <f>IF(H198,Wh_hp,'2028'!Maxi_hp)</f>
        <v>202.86793814339714</v>
      </c>
      <c r="J198" s="85">
        <f>IF(H198,An,'2028'!An_max)</f>
        <v>2029</v>
      </c>
      <c r="K198" s="193">
        <f t="shared" si="52"/>
        <v>47302</v>
      </c>
      <c r="L198" s="143">
        <f>IF(t&lt;Tvie,1-EXP((T0-t)*PertePVj)+'2028'!Pspv,1-EXP((T0-t)*PertePVj)+Pspv)</f>
        <v>3.8631676939528958E-2</v>
      </c>
      <c r="M198" s="835"/>
      <c r="N198" s="835"/>
      <c r="O198" s="48">
        <f>IF(t&lt;Tnet,'2028'!Resal+('2028'!Salim-'2028'!Resal)*(1-EXP(('2028'!Tnet-t)/('2028'!Tau_j))),Resal+(Salim-Resal)*(1-EXP((Tnet-t)/(Tau_j))))*Salcycl</f>
        <v>3.6677320932365025E-2</v>
      </c>
      <c r="P198" s="165">
        <f>(INDEX(Models!$BJ198:$BT198,,T198)*(1-R198)+INDEX(Models!$BJ198:$BT198,,T198+1)*R198-ERP_i)*Q198*Ramure*Pc/MaxiM</f>
        <v>1.728804427284265E-5</v>
      </c>
      <c r="Q198" s="301">
        <f t="shared" si="53"/>
        <v>0.5</v>
      </c>
      <c r="R198" s="173">
        <f t="shared" si="54"/>
        <v>0.32454051411437163</v>
      </c>
      <c r="S198" s="801">
        <f t="shared" si="55"/>
        <v>0</v>
      </c>
      <c r="T198" s="172">
        <f t="shared" si="56"/>
        <v>6</v>
      </c>
      <c r="U198" s="247">
        <f t="shared" si="57"/>
        <v>0.32454051411437163</v>
      </c>
      <c r="V198" s="378">
        <f t="shared" si="58"/>
        <v>231.1530777199888</v>
      </c>
      <c r="W198" s="397">
        <f t="shared" si="59"/>
        <v>187.87522260591027</v>
      </c>
      <c r="X198" s="153">
        <f t="shared" si="60"/>
        <v>47302</v>
      </c>
      <c r="Y198" s="380">
        <f t="shared" si="61"/>
        <v>182.76117488549738</v>
      </c>
      <c r="Z198" s="380">
        <f t="shared" si="62"/>
        <v>190.10525986927232</v>
      </c>
      <c r="AA198" s="381">
        <f t="shared" si="63"/>
        <v>202.8136347279181</v>
      </c>
      <c r="AB198" s="193">
        <f t="shared" si="64"/>
        <v>47302</v>
      </c>
      <c r="AC198" s="119">
        <f>IF(OR(t&lt;Tnet,NoTnet),'2028'!Resal_s+('2028'!Salim-'2028'!Resal_s)*(1-EXP(('2028'!Tnet_s-t)/'2028'!Tau_j)),Resal_s+(Salim-Resal_s)*(1-EXP((Tnet_s-t)/Tau_j)))*Salcycl</f>
        <v>6.2660357503550174E-2</v>
      </c>
      <c r="AD198" s="227">
        <f>(INDEX(Models!$BJ198:$BT198,,AH198)*(1-AF198)+INDEX(Models!$BJ198:$BT198,,AH198+1)*AF198-ERP_i)*AE198*Ramure*Pc/MaxiM</f>
        <v>3.6541446415615545E-4</v>
      </c>
      <c r="AE198" s="301">
        <f t="shared" si="65"/>
        <v>0.5</v>
      </c>
      <c r="AF198" s="173">
        <f t="shared" si="66"/>
        <v>0.8495280804883496</v>
      </c>
      <c r="AG198" s="801">
        <f t="shared" si="74"/>
        <v>3</v>
      </c>
      <c r="AH198" s="172">
        <f t="shared" si="67"/>
        <v>9</v>
      </c>
      <c r="AI198" s="221">
        <f t="shared" si="68"/>
        <v>3.8495280804883496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47303</v>
      </c>
      <c r="B199" s="406">
        <f>'2028'!Wh/'2028'!Env_an*'2029'!Env_an</f>
        <v>183.27918331574651</v>
      </c>
      <c r="C199" s="831"/>
      <c r="D199" s="388">
        <f t="shared" si="50"/>
        <v>190.64669377157372</v>
      </c>
      <c r="E199" s="380">
        <f t="shared" si="75"/>
        <v>197.91753641122597</v>
      </c>
      <c r="F199" s="380">
        <f t="shared" si="51"/>
        <v>197.92005110878949</v>
      </c>
      <c r="G199" s="110">
        <f t="shared" si="76"/>
        <v>0.793664945275117</v>
      </c>
      <c r="H199" s="409" t="b">
        <f>Wh_hp&gt;='2028'!Maxi_hp</f>
        <v>1</v>
      </c>
      <c r="I199" s="385">
        <f>IF(H199,Wh_hp,'2028'!Maxi_hp)</f>
        <v>197.92005110878949</v>
      </c>
      <c r="J199" s="85">
        <f>IF(H199,An,'2028'!An_max)</f>
        <v>2029</v>
      </c>
      <c r="K199" s="193">
        <f t="shared" si="52"/>
        <v>47303</v>
      </c>
      <c r="L199" s="143">
        <f>IF(t&lt;Tvie,1-EXP((T0-t)*PertePVj)+'2028'!Pspv,1-EXP((T0-t)*PertePVj)+Pspv)</f>
        <v>3.8644837264551368E-2</v>
      </c>
      <c r="M199" s="835"/>
      <c r="N199" s="835"/>
      <c r="O199" s="48">
        <f>IF(t&lt;Tnet,'2028'!Resal+('2028'!Salim-'2028'!Resal)*(1-EXP(('2028'!Tnet-t)/('2028'!Tau_j))),Resal+(Salim-Resal)*(1-EXP((Tnet-t)/(Tau_j))))*Salcycl</f>
        <v>3.6736727687157272E-2</v>
      </c>
      <c r="P199" s="165">
        <f>(INDEX(Models!$BJ199:$BT199,,T199)*(1-R199)+INDEX(Models!$BJ199:$BT199,,T199+1)*R199-ERP_i)*Q199*Ramure*Pc/MaxiM</f>
        <v>1.8015984906439699E-5</v>
      </c>
      <c r="Q199" s="301">
        <f t="shared" si="53"/>
        <v>0.5</v>
      </c>
      <c r="R199" s="173">
        <f t="shared" si="54"/>
        <v>0.32865099433832873</v>
      </c>
      <c r="S199" s="801">
        <f t="shared" si="55"/>
        <v>0</v>
      </c>
      <c r="T199" s="172">
        <f t="shared" si="56"/>
        <v>6</v>
      </c>
      <c r="U199" s="247">
        <f t="shared" si="57"/>
        <v>0.32865099433832873</v>
      </c>
      <c r="V199" s="378">
        <f t="shared" si="58"/>
        <v>230.92642697109972</v>
      </c>
      <c r="W199" s="397">
        <f t="shared" si="59"/>
        <v>183.27918331574651</v>
      </c>
      <c r="X199" s="153">
        <f t="shared" si="60"/>
        <v>47303</v>
      </c>
      <c r="Y199" s="380">
        <f t="shared" si="61"/>
        <v>178.29483846189956</v>
      </c>
      <c r="Z199" s="380">
        <f t="shared" si="62"/>
        <v>185.46198675895994</v>
      </c>
      <c r="AA199" s="381">
        <f t="shared" si="63"/>
        <v>197.8676550944655</v>
      </c>
      <c r="AB199" s="193">
        <f t="shared" si="64"/>
        <v>47303</v>
      </c>
      <c r="AC199" s="119">
        <f>IF(OR(t&lt;Tnet,NoTnet),'2028'!Resal_s+('2028'!Salim-'2028'!Resal_s)*(1-EXP(('2028'!Tnet_s-t)/'2028'!Tau_j)),Resal_s+(Salim-Resal_s)*(1-EXP((Tnet_s-t)/Tau_j)))*Salcycl</f>
        <v>6.2696797662977699E-2</v>
      </c>
      <c r="AD199" s="227">
        <f>(INDEX(Models!$BJ199:$BT199,,AH199)*(1-AF199)+INDEX(Models!$BJ199:$BT199,,AH199+1)*AF199-ERP_i)*AE199*Ramure*Pc/MaxiM</f>
        <v>3.7537945592909446E-4</v>
      </c>
      <c r="AE199" s="301">
        <f t="shared" si="65"/>
        <v>0.5</v>
      </c>
      <c r="AF199" s="173">
        <f t="shared" si="66"/>
        <v>0.85363856071230693</v>
      </c>
      <c r="AG199" s="801">
        <f t="shared" si="74"/>
        <v>3</v>
      </c>
      <c r="AH199" s="172">
        <f t="shared" si="67"/>
        <v>9</v>
      </c>
      <c r="AI199" s="221">
        <f t="shared" si="68"/>
        <v>3.8536385607123069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47304</v>
      </c>
      <c r="B200" s="406">
        <f>'2028'!Wh/'2028'!Env_an*'2029'!Env_an</f>
        <v>220.46893147406755</v>
      </c>
      <c r="C200" s="831"/>
      <c r="D200" s="388">
        <f t="shared" si="50"/>
        <v>229.33454574954391</v>
      </c>
      <c r="E200" s="380">
        <f t="shared" si="75"/>
        <v>238.09540388684192</v>
      </c>
      <c r="F200" s="380">
        <f t="shared" si="51"/>
        <v>238.09959127534054</v>
      </c>
      <c r="G200" s="110">
        <f t="shared" si="76"/>
        <v>0.9557085158895261</v>
      </c>
      <c r="H200" s="409" t="b">
        <f>Wh_hp&gt;='2028'!Maxi_hp</f>
        <v>1</v>
      </c>
      <c r="I200" s="385">
        <f>IF(H200,Wh_hp,'2028'!Maxi_hp)</f>
        <v>238.09959127534054</v>
      </c>
      <c r="J200" s="85">
        <f>IF(H200,An,'2028'!An_max)</f>
        <v>2029</v>
      </c>
      <c r="K200" s="193">
        <f t="shared" si="52"/>
        <v>47304</v>
      </c>
      <c r="L200" s="143">
        <f>IF(t&lt;Tvie,1-EXP((T0-t)*PertePVj)+'2028'!Pspv,1-EXP((T0-t)*PertePVj)+Pspv)</f>
        <v>3.8657997409419886E-2</v>
      </c>
      <c r="M200" s="835"/>
      <c r="N200" s="835"/>
      <c r="O200" s="48">
        <f>IF(t&lt;Tnet,'2028'!Resal+('2028'!Salim-'2028'!Resal)*(1-EXP(('2028'!Tnet-t)/('2028'!Tau_j))),Resal+(Salim-Resal)*(1-EXP((Tnet-t)/(Tau_j))))*Salcycl</f>
        <v>3.6795578554980196E-2</v>
      </c>
      <c r="P200" s="165">
        <f>(INDEX(Models!$BJ200:$BT200,,T200)*(1-R200)+INDEX(Models!$BJ200:$BT200,,T200+1)*R200-ERP_i)*Q200*Ramure*Pc/MaxiM</f>
        <v>1.8774616299350017E-5</v>
      </c>
      <c r="Q200" s="301">
        <f t="shared" si="53"/>
        <v>0.5</v>
      </c>
      <c r="R200" s="173">
        <f t="shared" si="54"/>
        <v>0.33268505269830256</v>
      </c>
      <c r="S200" s="801">
        <f t="shared" si="55"/>
        <v>0</v>
      </c>
      <c r="T200" s="172">
        <f t="shared" si="56"/>
        <v>6</v>
      </c>
      <c r="U200" s="247">
        <f t="shared" si="57"/>
        <v>0.33268505269830256</v>
      </c>
      <c r="V200" s="378">
        <f t="shared" si="58"/>
        <v>230.68609927354348</v>
      </c>
      <c r="W200" s="397">
        <f t="shared" si="59"/>
        <v>220.46893147406755</v>
      </c>
      <c r="X200" s="153">
        <f t="shared" si="60"/>
        <v>47304</v>
      </c>
      <c r="Y200" s="380">
        <f t="shared" si="61"/>
        <v>214.45870781670533</v>
      </c>
      <c r="Z200" s="380">
        <f t="shared" si="62"/>
        <v>223.08263577248459</v>
      </c>
      <c r="AA200" s="381">
        <f t="shared" si="63"/>
        <v>238.01379669539344</v>
      </c>
      <c r="AB200" s="193">
        <f t="shared" si="64"/>
        <v>47304</v>
      </c>
      <c r="AC200" s="119">
        <f>IF(OR(t&lt;Tnet,NoTnet),'2028'!Resal_s+('2028'!Salim-'2028'!Resal_s)*(1-EXP(('2028'!Tnet_s-t)/'2028'!Tau_j)),Resal_s+(Salim-Resal_s)*(1-EXP((Tnet_s-t)/Tau_j)))*Salcycl</f>
        <v>6.2732333714324601E-2</v>
      </c>
      <c r="AD200" s="227">
        <f>(INDEX(Models!$BJ200:$BT200,,AH200)*(1-AF200)+INDEX(Models!$BJ200:$BT200,,AH200+1)*AF200-ERP_i)*AE200*Ramure*Pc/MaxiM</f>
        <v>3.8466942334046969E-4</v>
      </c>
      <c r="AE200" s="301">
        <f t="shared" si="65"/>
        <v>0.5</v>
      </c>
      <c r="AF200" s="173">
        <f t="shared" si="66"/>
        <v>0.85767261907228054</v>
      </c>
      <c r="AG200" s="801">
        <f t="shared" si="74"/>
        <v>3</v>
      </c>
      <c r="AH200" s="172">
        <f t="shared" si="67"/>
        <v>9</v>
      </c>
      <c r="AI200" s="221">
        <f t="shared" si="68"/>
        <v>3.8576726190722805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47305</v>
      </c>
      <c r="B201" s="406">
        <f>'2028'!Wh/'2028'!Env_an*'2029'!Env_an</f>
        <v>175.01576711866656</v>
      </c>
      <c r="C201" s="831"/>
      <c r="D201" s="388">
        <f t="shared" si="50"/>
        <v>182.0560866982959</v>
      </c>
      <c r="E201" s="380">
        <f t="shared" si="75"/>
        <v>189.02229293905162</v>
      </c>
      <c r="F201" s="380">
        <f t="shared" si="51"/>
        <v>189.02472060372321</v>
      </c>
      <c r="G201" s="110">
        <f t="shared" si="76"/>
        <v>0.75950947854433715</v>
      </c>
      <c r="H201" s="409" t="b">
        <f>Wh_hp&gt;='2028'!Maxi_hp</f>
        <v>1</v>
      </c>
      <c r="I201" s="385">
        <f>IF(H201,Wh_hp,'2028'!Maxi_hp)</f>
        <v>189.02472060372321</v>
      </c>
      <c r="J201" s="85">
        <f>IF(H201,An,'2028'!An_max)</f>
        <v>2029</v>
      </c>
      <c r="K201" s="193">
        <f t="shared" si="52"/>
        <v>47305</v>
      </c>
      <c r="L201" s="143">
        <f>IF(t&lt;Tvie,1-EXP((T0-t)*PertePVj)+'2028'!Pspv,1-EXP((T0-t)*PertePVj)+Pspv)</f>
        <v>3.8671157374137066E-2</v>
      </c>
      <c r="M201" s="835"/>
      <c r="N201" s="835"/>
      <c r="O201" s="48">
        <f>IF(t&lt;Tnet,'2028'!Resal+('2028'!Salim-'2028'!Resal)*(1-EXP(('2028'!Tnet-t)/('2028'!Tau_j))),Resal+(Salim-Resal)*(1-EXP((Tnet-t)/(Tau_j))))*Salcycl</f>
        <v>3.6853887086228027E-2</v>
      </c>
      <c r="P201" s="165">
        <f>(INDEX(Models!$BJ201:$BT201,,T201)*(1-R201)+INDEX(Models!$BJ201:$BT201,,T201+1)*R201-ERP_i)*Q201*Ramure*Pc/MaxiM</f>
        <v>1.9564503651688119E-5</v>
      </c>
      <c r="Q201" s="301">
        <f t="shared" si="53"/>
        <v>0.5</v>
      </c>
      <c r="R201" s="173">
        <f t="shared" si="54"/>
        <v>0.33664149015942868</v>
      </c>
      <c r="S201" s="801">
        <f t="shared" si="55"/>
        <v>0</v>
      </c>
      <c r="T201" s="172">
        <f t="shared" si="56"/>
        <v>6</v>
      </c>
      <c r="U201" s="247">
        <f t="shared" si="57"/>
        <v>0.33664149015942868</v>
      </c>
      <c r="V201" s="378">
        <f t="shared" si="58"/>
        <v>230.43108176682594</v>
      </c>
      <c r="W201" s="397">
        <f t="shared" si="59"/>
        <v>175.01576711866656</v>
      </c>
      <c r="X201" s="153">
        <f t="shared" si="60"/>
        <v>47305</v>
      </c>
      <c r="Y201" s="380">
        <f t="shared" si="61"/>
        <v>170.26524898649541</v>
      </c>
      <c r="Z201" s="380">
        <f t="shared" si="62"/>
        <v>177.11447055038636</v>
      </c>
      <c r="AA201" s="381">
        <f t="shared" si="63"/>
        <v>188.97592053912018</v>
      </c>
      <c r="AB201" s="193">
        <f t="shared" si="64"/>
        <v>47305</v>
      </c>
      <c r="AC201" s="119">
        <f>IF(OR(t&lt;Tnet,NoTnet),'2028'!Resal_s+('2028'!Salim-'2028'!Resal_s)*(1-EXP(('2028'!Tnet_s-t)/'2028'!Tau_j)),Resal_s+(Salim-Resal_s)*(1-EXP((Tnet_s-t)/Tau_j)))*Salcycl</f>
        <v>6.2766991449994619E-2</v>
      </c>
      <c r="AD201" s="227">
        <f>(INDEX(Models!$BJ201:$BT201,,AH201)*(1-AF201)+INDEX(Models!$BJ201:$BT201,,AH201+1)*AF201-ERP_i)*AE201*Ramure*Pc/MaxiM</f>
        <v>3.932787972335622E-4</v>
      </c>
      <c r="AE201" s="301">
        <f t="shared" si="65"/>
        <v>0.5</v>
      </c>
      <c r="AF201" s="173">
        <f t="shared" si="66"/>
        <v>0.86162905653340705</v>
      </c>
      <c r="AG201" s="801">
        <f t="shared" si="74"/>
        <v>3</v>
      </c>
      <c r="AH201" s="172">
        <f t="shared" si="67"/>
        <v>9</v>
      </c>
      <c r="AI201" s="221">
        <f t="shared" si="68"/>
        <v>3.861629056533407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47306</v>
      </c>
      <c r="B202" s="406">
        <f>'2028'!Wh/'2028'!Env_an*'2029'!Env_an</f>
        <v>217.50155195913382</v>
      </c>
      <c r="C202" s="831"/>
      <c r="D202" s="388">
        <f t="shared" si="50"/>
        <v>226.2540347997647</v>
      </c>
      <c r="E202" s="380">
        <f t="shared" si="75"/>
        <v>234.92552782108623</v>
      </c>
      <c r="F202" s="380">
        <f t="shared" si="51"/>
        <v>234.92994084873499</v>
      </c>
      <c r="G202" s="110">
        <f t="shared" si="76"/>
        <v>0.94499853069667084</v>
      </c>
      <c r="H202" s="409" t="b">
        <f>Wh_hp&gt;='2028'!Maxi_hp</f>
        <v>1</v>
      </c>
      <c r="I202" s="385">
        <f>IF(H202,Wh_hp,'2028'!Maxi_hp)</f>
        <v>234.92994084873499</v>
      </c>
      <c r="J202" s="85">
        <f>IF(H202,An,'2028'!An_max)</f>
        <v>2029</v>
      </c>
      <c r="K202" s="193">
        <f t="shared" si="52"/>
        <v>47306</v>
      </c>
      <c r="L202" s="143">
        <f>IF(t&lt;Tvie,1-EXP((T0-t)*PertePVj)+'2028'!Pspv,1-EXP((T0-t)*PertePVj)+Pspv)</f>
        <v>3.8684317158705461E-2</v>
      </c>
      <c r="M202" s="835"/>
      <c r="N202" s="835"/>
      <c r="O202" s="48">
        <f>IF(t&lt;Tnet,'2028'!Resal+('2028'!Salim-'2028'!Resal)*(1-EXP(('2028'!Tnet-t)/('2028'!Tau_j))),Resal+(Salim-Resal)*(1-EXP((Tnet-t)/(Tau_j))))*Salcycl</f>
        <v>3.6911667717633163E-2</v>
      </c>
      <c r="P202" s="165">
        <f>(INDEX(Models!$BJ202:$BT202,,T202)*(1-R202)+INDEX(Models!$BJ202:$BT202,,T202+1)*R202-ERP_i)*Q202*Ramure*Pc/MaxiM</f>
        <v>2.0386213800456415E-5</v>
      </c>
      <c r="Q202" s="301">
        <f t="shared" si="53"/>
        <v>0.5</v>
      </c>
      <c r="R202" s="173">
        <f t="shared" si="54"/>
        <v>0.34051928187446828</v>
      </c>
      <c r="S202" s="801">
        <f t="shared" si="55"/>
        <v>0</v>
      </c>
      <c r="T202" s="172">
        <f t="shared" si="56"/>
        <v>6</v>
      </c>
      <c r="U202" s="247">
        <f t="shared" si="57"/>
        <v>0.34051928187446828</v>
      </c>
      <c r="V202" s="378">
        <f t="shared" si="58"/>
        <v>230.16036162956414</v>
      </c>
      <c r="W202" s="397">
        <f t="shared" si="59"/>
        <v>217.50155195913382</v>
      </c>
      <c r="X202" s="153">
        <f t="shared" si="60"/>
        <v>47306</v>
      </c>
      <c r="Y202" s="380">
        <f t="shared" si="61"/>
        <v>211.58054300090771</v>
      </c>
      <c r="Z202" s="380">
        <f t="shared" si="62"/>
        <v>220.09475844142443</v>
      </c>
      <c r="AA202" s="381">
        <f t="shared" si="63"/>
        <v>234.84309203903632</v>
      </c>
      <c r="AB202" s="193">
        <f t="shared" si="64"/>
        <v>47306</v>
      </c>
      <c r="AC202" s="119">
        <f>IF(OR(t&lt;Tnet,NoTnet),'2028'!Resal_s+('2028'!Salim-'2028'!Resal_s)*(1-EXP(('2028'!Tnet_s-t)/'2028'!Tau_j)),Resal_s+(Salim-Resal_s)*(1-EXP((Tnet_s-t)/Tau_j)))*Salcycl</f>
        <v>6.2800798054389304E-2</v>
      </c>
      <c r="AD202" s="227">
        <f>(INDEX(Models!$BJ202:$BT202,,AH202)*(1-AF202)+INDEX(Models!$BJ202:$BT202,,AH202+1)*AF202-ERP_i)*AE202*Ramure*Pc/MaxiM</f>
        <v>4.0120265354340648E-4</v>
      </c>
      <c r="AE202" s="301">
        <f t="shared" si="65"/>
        <v>0.5</v>
      </c>
      <c r="AF202" s="173">
        <f t="shared" si="66"/>
        <v>0.86550684824844648</v>
      </c>
      <c r="AG202" s="801">
        <f t="shared" si="74"/>
        <v>3</v>
      </c>
      <c r="AH202" s="172">
        <f t="shared" si="67"/>
        <v>9</v>
      </c>
      <c r="AI202" s="221">
        <f t="shared" si="68"/>
        <v>3.8655068482484465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47307</v>
      </c>
      <c r="B203" s="406">
        <f>'2028'!Wh/'2028'!Env_an*'2029'!Env_an</f>
        <v>230.66274921156463</v>
      </c>
      <c r="C203" s="831"/>
      <c r="D203" s="388">
        <f t="shared" si="50"/>
        <v>239.94813665409208</v>
      </c>
      <c r="E203" s="380">
        <f t="shared" si="75"/>
        <v>249.15929043268147</v>
      </c>
      <c r="F203" s="380">
        <f t="shared" si="51"/>
        <v>249.16458276776109</v>
      </c>
      <c r="G203" s="110">
        <f t="shared" si="76"/>
        <v>1.0034359116923777</v>
      </c>
      <c r="H203" s="409" t="b">
        <f>Wh_hp&gt;='2028'!Maxi_hp</f>
        <v>1</v>
      </c>
      <c r="I203" s="385">
        <f>IF(H203,Wh_hp,'2028'!Maxi_hp)</f>
        <v>249.16458276776109</v>
      </c>
      <c r="J203" s="85">
        <f>IF(H203,An,'2028'!An_max)</f>
        <v>2029</v>
      </c>
      <c r="K203" s="193">
        <f t="shared" si="52"/>
        <v>47307</v>
      </c>
      <c r="L203" s="143">
        <f>IF(t&lt;Tvie,1-EXP((T0-t)*PertePVj)+'2028'!Pspv,1-EXP((T0-t)*PertePVj)+Pspv)</f>
        <v>3.8697476763127403E-2</v>
      </c>
      <c r="M203" s="835"/>
      <c r="N203" s="835"/>
      <c r="O203" s="48">
        <f>IF(t&lt;Tnet,'2028'!Resal+('2028'!Salim-'2028'!Resal)*(1-EXP(('2028'!Tnet-t)/('2028'!Tau_j))),Resal+(Salim-Resal)*(1-EXP((Tnet-t)/(Tau_j))))*Salcycl</f>
        <v>3.6968935665989515E-2</v>
      </c>
      <c r="P203" s="165">
        <f>(INDEX(Models!$BJ203:$BT203,,T203)*(1-R203)+INDEX(Models!$BJ203:$BT203,,T203+1)*R203-ERP_i)*Q203*Ramure*Pc/MaxiM</f>
        <v>2.1240318430670429E-5</v>
      </c>
      <c r="Q203" s="301">
        <f t="shared" si="53"/>
        <v>0.5</v>
      </c>
      <c r="R203" s="173">
        <f t="shared" si="54"/>
        <v>0.34431757344007069</v>
      </c>
      <c r="S203" s="801">
        <f t="shared" si="55"/>
        <v>0</v>
      </c>
      <c r="T203" s="172">
        <f t="shared" si="56"/>
        <v>6</v>
      </c>
      <c r="U203" s="247">
        <f t="shared" si="57"/>
        <v>0.34431757344007069</v>
      </c>
      <c r="V203" s="378">
        <f t="shared" si="58"/>
        <v>229.87292613688982</v>
      </c>
      <c r="W203" s="397">
        <f t="shared" si="59"/>
        <v>230.66274921156463</v>
      </c>
      <c r="X203" s="153">
        <f t="shared" si="60"/>
        <v>47307</v>
      </c>
      <c r="Y203" s="380">
        <f t="shared" si="61"/>
        <v>224.38075216999351</v>
      </c>
      <c r="Z203" s="380">
        <f t="shared" si="62"/>
        <v>233.41325622912603</v>
      </c>
      <c r="AA203" s="381">
        <f t="shared" si="63"/>
        <v>249.06281481901587</v>
      </c>
      <c r="AB203" s="193">
        <f t="shared" si="64"/>
        <v>47307</v>
      </c>
      <c r="AC203" s="119">
        <f>IF(OR(t&lt;Tnet,NoTnet),'2028'!Resal_s+('2028'!Salim-'2028'!Resal_s)*(1-EXP(('2028'!Tnet_s-t)/'2028'!Tau_j)),Resal_s+(Salim-Resal_s)*(1-EXP((Tnet_s-t)/Tau_j)))*Salcycl</f>
        <v>6.2833781916669273E-2</v>
      </c>
      <c r="AD203" s="227">
        <f>(INDEX(Models!$BJ203:$BT203,,AH203)*(1-AF203)+INDEX(Models!$BJ203:$BT203,,AH203+1)*AF203-ERP_i)*AE203*Ramure*Pc/MaxiM</f>
        <v>4.084366550605726E-4</v>
      </c>
      <c r="AE203" s="301">
        <f t="shared" si="65"/>
        <v>0.5</v>
      </c>
      <c r="AF203" s="173">
        <f t="shared" si="66"/>
        <v>0.869305139814049</v>
      </c>
      <c r="AG203" s="801">
        <f t="shared" si="74"/>
        <v>3</v>
      </c>
      <c r="AH203" s="172">
        <f t="shared" si="67"/>
        <v>9</v>
      </c>
      <c r="AI203" s="221">
        <f t="shared" si="68"/>
        <v>3.869305139814049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47308</v>
      </c>
      <c r="B204" s="406">
        <f>'2028'!Wh/'2028'!Env_an*'2029'!Env_an</f>
        <v>228.25299242639304</v>
      </c>
      <c r="C204" s="831"/>
      <c r="D204" s="388">
        <f t="shared" si="50"/>
        <v>237.44462491617816</v>
      </c>
      <c r="E204" s="380">
        <f t="shared" si="75"/>
        <v>246.57420929894076</v>
      </c>
      <c r="F204" s="380">
        <f t="shared" si="51"/>
        <v>246.57962082377705</v>
      </c>
      <c r="G204" s="110">
        <f t="shared" si="76"/>
        <v>0.99427266461200425</v>
      </c>
      <c r="H204" s="409" t="b">
        <f>Wh_hp&gt;='2028'!Maxi_hp</f>
        <v>1</v>
      </c>
      <c r="I204" s="385">
        <f>IF(H204,Wh_hp,'2028'!Maxi_hp)</f>
        <v>246.57962082377705</v>
      </c>
      <c r="J204" s="85">
        <f>IF(H204,An,'2028'!An_max)</f>
        <v>2029</v>
      </c>
      <c r="K204" s="193">
        <f t="shared" si="52"/>
        <v>47308</v>
      </c>
      <c r="L204" s="143">
        <f>IF(t&lt;Tvie,1-EXP((T0-t)*PertePVj)+'2028'!Pspv,1-EXP((T0-t)*PertePVj)+Pspv)</f>
        <v>3.8710636187405445E-2</v>
      </c>
      <c r="M204" s="835"/>
      <c r="N204" s="835"/>
      <c r="O204" s="48">
        <f>IF(t&lt;Tnet,'2028'!Resal+('2028'!Salim-'2028'!Resal)*(1-EXP(('2028'!Tnet-t)/('2028'!Tau_j))),Resal+(Salim-Resal)*(1-EXP((Tnet-t)/(Tau_j))))*Salcycl</f>
        <v>3.702570681954058E-2</v>
      </c>
      <c r="P204" s="165">
        <f>(INDEX(Models!$BJ204:$BT204,,T204)*(1-R204)+INDEX(Models!$BJ204:$BT204,,T204+1)*R204-ERP_i)*Q204*Ramure*Pc/MaxiM</f>
        <v>2.2127397453528751E-5</v>
      </c>
      <c r="Q204" s="301">
        <f t="shared" si="53"/>
        <v>0.5</v>
      </c>
      <c r="R204" s="173">
        <f t="shared" si="54"/>
        <v>0.34803567656552276</v>
      </c>
      <c r="S204" s="801">
        <f t="shared" si="55"/>
        <v>0</v>
      </c>
      <c r="T204" s="172">
        <f t="shared" si="56"/>
        <v>6</v>
      </c>
      <c r="U204" s="247">
        <f t="shared" si="57"/>
        <v>0.34803567656552276</v>
      </c>
      <c r="V204" s="378">
        <f t="shared" si="58"/>
        <v>229.567762673982</v>
      </c>
      <c r="W204" s="397">
        <f t="shared" si="59"/>
        <v>228.25299242639304</v>
      </c>
      <c r="X204" s="153">
        <f t="shared" si="60"/>
        <v>47308</v>
      </c>
      <c r="Y204" s="380">
        <f t="shared" si="61"/>
        <v>222.04154497183089</v>
      </c>
      <c r="Z204" s="380">
        <f t="shared" si="62"/>
        <v>230.983045616136</v>
      </c>
      <c r="AA204" s="381">
        <f t="shared" si="63"/>
        <v>246.47813314145017</v>
      </c>
      <c r="AB204" s="193">
        <f t="shared" si="64"/>
        <v>47308</v>
      </c>
      <c r="AC204" s="119">
        <f>IF(OR(t&lt;Tnet,NoTnet),'2028'!Resal_s+('2028'!Salim-'2028'!Resal_s)*(1-EXP(('2028'!Tnet_s-t)/'2028'!Tau_j)),Resal_s+(Salim-Resal_s)*(1-EXP((Tnet_s-t)/Tau_j)))*Salcycl</f>
        <v>6.286597244073476E-2</v>
      </c>
      <c r="AD204" s="227">
        <f>(INDEX(Models!$BJ204:$BT204,,AH204)*(1-AF204)+INDEX(Models!$BJ204:$BT204,,AH204+1)*AF204-ERP_i)*AE204*Ramure*Pc/MaxiM</f>
        <v>4.1497698918688052E-4</v>
      </c>
      <c r="AE204" s="301">
        <f t="shared" si="65"/>
        <v>0.5</v>
      </c>
      <c r="AF204" s="173">
        <f t="shared" si="66"/>
        <v>0.87302324293950084</v>
      </c>
      <c r="AG204" s="801">
        <f t="shared" si="74"/>
        <v>3</v>
      </c>
      <c r="AH204" s="172">
        <f t="shared" si="67"/>
        <v>9</v>
      </c>
      <c r="AI204" s="221">
        <f t="shared" si="68"/>
        <v>3.8730232429395008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47309</v>
      </c>
      <c r="B205" s="406">
        <f>'2028'!Wh/'2028'!Env_an*'2029'!Env_an</f>
        <v>226.42018828927343</v>
      </c>
      <c r="C205" s="831"/>
      <c r="D205" s="388">
        <f t="shared" si="50"/>
        <v>235.54123904577392</v>
      </c>
      <c r="E205" s="380">
        <f t="shared" si="75"/>
        <v>244.61193836393039</v>
      </c>
      <c r="F205" s="380">
        <f t="shared" si="51"/>
        <v>244.61747709166897</v>
      </c>
      <c r="G205" s="110">
        <f t="shared" si="76"/>
        <v>0.98768082392599377</v>
      </c>
      <c r="H205" s="409" t="b">
        <f>Wh_hp&gt;='2028'!Maxi_hp</f>
        <v>1</v>
      </c>
      <c r="I205" s="385">
        <f>IF(H205,Wh_hp,'2028'!Maxi_hp)</f>
        <v>244.61747709166897</v>
      </c>
      <c r="J205" s="85">
        <f>IF(H205,An,'2028'!An_max)</f>
        <v>2029</v>
      </c>
      <c r="K205" s="193">
        <f t="shared" si="52"/>
        <v>47309</v>
      </c>
      <c r="L205" s="143">
        <f>IF(t&lt;Tvie,1-EXP((T0-t)*PertePVj)+'2028'!Pspv,1-EXP((T0-t)*PertePVj)+Pspv)</f>
        <v>3.872379543154203E-2</v>
      </c>
      <c r="M205" s="835"/>
      <c r="N205" s="835"/>
      <c r="O205" s="48">
        <f>IF(t&lt;Tnet,'2028'!Resal+('2028'!Salim-'2028'!Resal)*(1-EXP(('2028'!Tnet-t)/('2028'!Tau_j))),Resal+(Salim-Resal)*(1-EXP((Tnet-t)/(Tau_j))))*Salcycl</f>
        <v>3.7081997627855849E-2</v>
      </c>
      <c r="P205" s="165">
        <f>(INDEX(Models!$BJ205:$BT205,,T205)*(1-R205)+INDEX(Models!$BJ205:$BT205,,T205+1)*R205-ERP_i)*Q205*Ramure*Pc/MaxiM</f>
        <v>2.3048008619696181E-5</v>
      </c>
      <c r="Q205" s="301">
        <f t="shared" si="53"/>
        <v>0.5</v>
      </c>
      <c r="R205" s="173">
        <f t="shared" si="54"/>
        <v>0.35167306421335148</v>
      </c>
      <c r="S205" s="801">
        <f t="shared" si="55"/>
        <v>0</v>
      </c>
      <c r="T205" s="172">
        <f t="shared" si="56"/>
        <v>6</v>
      </c>
      <c r="U205" s="247">
        <f t="shared" si="57"/>
        <v>0.35167306421335148</v>
      </c>
      <c r="V205" s="378">
        <f t="shared" si="58"/>
        <v>229.24419606539018</v>
      </c>
      <c r="W205" s="397">
        <f t="shared" si="59"/>
        <v>226.42018828927343</v>
      </c>
      <c r="X205" s="153">
        <f t="shared" si="60"/>
        <v>47309</v>
      </c>
      <c r="Y205" s="380">
        <f t="shared" si="61"/>
        <v>220.26385555914365</v>
      </c>
      <c r="Z205" s="380">
        <f t="shared" si="62"/>
        <v>229.13690624228639</v>
      </c>
      <c r="AA205" s="381">
        <f t="shared" si="63"/>
        <v>244.51634880379865</v>
      </c>
      <c r="AB205" s="193">
        <f t="shared" si="64"/>
        <v>47309</v>
      </c>
      <c r="AC205" s="119">
        <f>IF(OR(t&lt;Tnet,NoTnet),'2028'!Resal_s+('2028'!Salim-'2028'!Resal_s)*(1-EXP(('2028'!Tnet_s-t)/'2028'!Tau_j)),Resal_s+(Salim-Resal_s)*(1-EXP((Tnet_s-t)/Tau_j)))*Salcycl</f>
        <v>6.2897399853834787E-2</v>
      </c>
      <c r="AD205" s="227">
        <f>(INDEX(Models!$BJ205:$BT205,,AH205)*(1-AF205)+INDEX(Models!$BJ205:$BT205,,AH205+1)*AF205-ERP_i)*AE205*Ramure*Pc/MaxiM</f>
        <v>4.2081968288400321E-4</v>
      </c>
      <c r="AE205" s="301">
        <f t="shared" si="65"/>
        <v>0.5</v>
      </c>
      <c r="AF205" s="173">
        <f t="shared" si="66"/>
        <v>0.87666063058732968</v>
      </c>
      <c r="AG205" s="801">
        <f t="shared" si="74"/>
        <v>3</v>
      </c>
      <c r="AH205" s="172">
        <f t="shared" si="67"/>
        <v>9</v>
      </c>
      <c r="AI205" s="221">
        <f t="shared" si="68"/>
        <v>3.8766606305873297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47310</v>
      </c>
      <c r="B206" s="406">
        <f>'2028'!Wh/'2028'!Env_an*'2029'!Env_an</f>
        <v>220.29045401423144</v>
      </c>
      <c r="C206" s="831"/>
      <c r="D206" s="388">
        <f t="shared" si="50"/>
        <v>229.16771329602648</v>
      </c>
      <c r="E206" s="380">
        <f t="shared" si="75"/>
        <v>238.00676695383709</v>
      </c>
      <c r="F206" s="380">
        <f t="shared" si="51"/>
        <v>238.01217455982328</v>
      </c>
      <c r="G206" s="110">
        <f t="shared" si="76"/>
        <v>0.96237387568417976</v>
      </c>
      <c r="H206" s="409" t="b">
        <f>Wh_hp&gt;='2028'!Maxi_hp</f>
        <v>1</v>
      </c>
      <c r="I206" s="385">
        <f>IF(H206,Wh_hp,'2028'!Maxi_hp)</f>
        <v>238.01217455982328</v>
      </c>
      <c r="J206" s="85">
        <f>IF(H206,An,'2028'!An_max)</f>
        <v>2029</v>
      </c>
      <c r="K206" s="193">
        <f t="shared" si="52"/>
        <v>47310</v>
      </c>
      <c r="L206" s="143">
        <f>IF(t&lt;Tvie,1-EXP((T0-t)*PertePVj)+'2028'!Pspv,1-EXP((T0-t)*PertePVj)+Pspv)</f>
        <v>3.8736954495539599E-2</v>
      </c>
      <c r="M206" s="835"/>
      <c r="N206" s="835"/>
      <c r="O206" s="48">
        <f>IF(t&lt;Tnet,'2028'!Resal+('2028'!Salim-'2028'!Resal)*(1-EXP(('2028'!Tnet-t)/('2028'!Tau_j))),Resal+(Salim-Resal)*(1-EXP((Tnet-t)/(Tau_j))))*Salcycl</f>
        <v>3.713782499102225E-2</v>
      </c>
      <c r="P206" s="165">
        <f>(INDEX(Models!$BJ206:$BT206,,T206)*(1-R206)+INDEX(Models!$BJ206:$BT206,,T206+1)*R206-ERP_i)*Q206*Ramure*Pc/MaxiM</f>
        <v>2.4010427809103114E-5</v>
      </c>
      <c r="Q206" s="301">
        <f t="shared" si="53"/>
        <v>0.5</v>
      </c>
      <c r="R206" s="173">
        <f t="shared" si="54"/>
        <v>0.35522936527171578</v>
      </c>
      <c r="S206" s="801">
        <f t="shared" si="55"/>
        <v>0</v>
      </c>
      <c r="T206" s="172">
        <f t="shared" si="56"/>
        <v>6</v>
      </c>
      <c r="U206" s="247">
        <f t="shared" si="57"/>
        <v>0.35522936527171578</v>
      </c>
      <c r="V206" s="378">
        <f t="shared" si="58"/>
        <v>228.90289863063197</v>
      </c>
      <c r="W206" s="397">
        <f t="shared" si="59"/>
        <v>220.29045401423144</v>
      </c>
      <c r="X206" s="153">
        <f t="shared" si="60"/>
        <v>47310</v>
      </c>
      <c r="Y206" s="380">
        <f t="shared" si="61"/>
        <v>214.30840462148561</v>
      </c>
      <c r="Z206" s="380">
        <f t="shared" si="62"/>
        <v>222.94459942441549</v>
      </c>
      <c r="AA206" s="381">
        <f t="shared" si="63"/>
        <v>237.91621351408858</v>
      </c>
      <c r="AB206" s="193">
        <f t="shared" si="64"/>
        <v>47310</v>
      </c>
      <c r="AC206" s="119">
        <f>IF(OR(t&lt;Tnet,NoTnet),'2028'!Resal_s+('2028'!Salim-'2028'!Resal_s)*(1-EXP(('2028'!Tnet_s-t)/'2028'!Tau_j)),Resal_s+(Salim-Resal_s)*(1-EXP((Tnet_s-t)/Tau_j)))*Salcycl</f>
        <v>6.2928095015208046E-2</v>
      </c>
      <c r="AD206" s="227">
        <f>(INDEX(Models!$BJ206:$BT206,,AH206)*(1-AF206)+INDEX(Models!$BJ206:$BT206,,AH206+1)*AF206-ERP_i)*AE206*Ramure*Pc/MaxiM</f>
        <v>4.2607870598925548E-4</v>
      </c>
      <c r="AE206" s="301">
        <f t="shared" si="65"/>
        <v>0.5</v>
      </c>
      <c r="AF206" s="173">
        <f t="shared" si="66"/>
        <v>0.88021693164569381</v>
      </c>
      <c r="AG206" s="801">
        <f t="shared" si="74"/>
        <v>3</v>
      </c>
      <c r="AH206" s="172">
        <f t="shared" si="67"/>
        <v>9</v>
      </c>
      <c r="AI206" s="221">
        <f t="shared" si="68"/>
        <v>3.8802169316456938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47311</v>
      </c>
      <c r="B207" s="406">
        <f>'2028'!Wh/'2028'!Env_an*'2029'!Env_an</f>
        <v>217.70969883223395</v>
      </c>
      <c r="C207" s="831"/>
      <c r="D207" s="388">
        <f t="shared" ref="D207:D270" si="77">Wh/(1-Ppv)</f>
        <v>226.48605930932391</v>
      </c>
      <c r="E207" s="380">
        <f t="shared" si="75"/>
        <v>235.23521100575834</v>
      </c>
      <c r="F207" s="380">
        <f t="shared" ref="F207:F270" si="78">Wh_sa/(1-Pvg*MEDIAN((-Sdif+Wh/Env_an)/Csdif,0,1))</f>
        <v>235.24069445483727</v>
      </c>
      <c r="G207" s="110">
        <f t="shared" si="76"/>
        <v>0.95258894538227268</v>
      </c>
      <c r="H207" s="409" t="b">
        <f>Wh_hp&gt;='2028'!Maxi_hp</f>
        <v>1</v>
      </c>
      <c r="I207" s="385">
        <f>IF(H207,Wh_hp,'2028'!Maxi_hp)</f>
        <v>235.24069445483727</v>
      </c>
      <c r="J207" s="85">
        <f>IF(H207,An,'2028'!An_max)</f>
        <v>2029</v>
      </c>
      <c r="K207" s="193">
        <f t="shared" ref="K207:K270" si="79">t</f>
        <v>47311</v>
      </c>
      <c r="L207" s="143">
        <f>IF(t&lt;Tvie,1-EXP((T0-t)*PertePVj)+'2028'!Pspv,1-EXP((T0-t)*PertePVj)+Pspv)</f>
        <v>3.8750113379400597E-2</v>
      </c>
      <c r="M207" s="835"/>
      <c r="N207" s="835"/>
      <c r="O207" s="48">
        <f>IF(t&lt;Tnet,'2028'!Resal+('2028'!Salim-'2028'!Resal)*(1-EXP(('2028'!Tnet-t)/('2028'!Tau_j))),Resal+(Salim-Resal)*(1-EXP((Tnet-t)/(Tau_j))))*Salcycl</f>
        <v>3.719320614897343E-2</v>
      </c>
      <c r="P207" s="165">
        <f>(INDEX(Models!$BJ207:$BT207,,T207)*(1-R207)+INDEX(Models!$BJ207:$BT207,,T207+1)*R207-ERP_i)*Q207*Ramure*Pc/MaxiM</f>
        <v>2.5003373921892308E-5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0.35870435881843399</v>
      </c>
      <c r="S207" s="801">
        <f t="shared" ref="S207:S270" si="82">INDEX(Echel_vg,T207)</f>
        <v>0</v>
      </c>
      <c r="T207" s="172">
        <f t="shared" ref="T207:T270" si="83">MIN(MATCH(Hp_vg,Echel_vg),10)</f>
        <v>6</v>
      </c>
      <c r="U207" s="247">
        <f t="shared" ref="U207:U270" si="84">IF(OR(t&lt;Ttai,Notai),Hdd+PousH*Croivg,Hdtf+PousH*(Croivg-Croi_tai))</f>
        <v>0.35870435881843399</v>
      </c>
      <c r="V207" s="378">
        <f t="shared" ref="V207:V270" si="85">MaxiM*(1-Ppv)*(1-Pvg)*(1-Psa)</f>
        <v>228.54488413330876</v>
      </c>
      <c r="W207" s="397">
        <f t="shared" ref="W207:W270" si="86">Wh*(A207&gt;Tmaj)</f>
        <v>217.70969883223395</v>
      </c>
      <c r="X207" s="153">
        <f t="shared" ref="X207:X270" si="87">t</f>
        <v>47311</v>
      </c>
      <c r="Y207" s="380">
        <f t="shared" ref="Y207:Y270" si="88">Wh_pvt_s*(1-Ppv)</f>
        <v>211.80362300140081</v>
      </c>
      <c r="Z207" s="380">
        <f t="shared" ref="Z207:Z270" si="89">Wh_sa_s*(1-Psa_s)</f>
        <v>220.34189647191985</v>
      </c>
      <c r="AA207" s="381">
        <f t="shared" ref="AA207:AA270" si="90">Wh_hp*(1-Pvg_s*MEDIAN((-Sdif+Wh/Env_an)/Csdif,0,1))</f>
        <v>235.14625540062519</v>
      </c>
      <c r="AB207" s="193">
        <f t="shared" ref="AB207:AB270" si="91">t</f>
        <v>47311</v>
      </c>
      <c r="AC207" s="119">
        <f>IF(OR(t&lt;Tnet,NoTnet),'2028'!Resal_s+('2028'!Salim-'2028'!Resal_s)*(1-EXP(('2028'!Tnet_s-t)/'2028'!Tau_j)),Resal_s+(Salim-Resal_s)*(1-EXP((Tnet_s-t)/Tau_j)))*Salcycl</f>
        <v>6.2958089226140337E-2</v>
      </c>
      <c r="AD207" s="227">
        <f>(INDEX(Models!$BJ207:$BT207,,AH207)*(1-AF207)+INDEX(Models!$BJ207:$BT207,,AH207+1)*AF207-ERP_i)*AE207*Ramure*Pc/MaxiM</f>
        <v>4.3062221446787811E-4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0.88369192519241224</v>
      </c>
      <c r="AG207" s="801">
        <f t="shared" si="74"/>
        <v>3</v>
      </c>
      <c r="AH207" s="172">
        <f t="shared" ref="AH207:AH270" si="94">MIN(MATCH(Hp_vg_s,Echel_vg),10)</f>
        <v>9</v>
      </c>
      <c r="AI207" s="221">
        <f t="shared" ref="AI207:AI270" si="95">IF(OR(t&lt;Ttai,Notai),Hdd_s+PousH*Croivg,Hdtai_s+PousH*(Croivg-Croi_tai))</f>
        <v>3.8836919251924122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47312</v>
      </c>
      <c r="B208" s="406">
        <f>'2028'!Wh/'2028'!Env_an*'2029'!Env_an</f>
        <v>217.83870291432177</v>
      </c>
      <c r="C208" s="831"/>
      <c r="D208" s="388">
        <f t="shared" si="77"/>
        <v>226.62336611544916</v>
      </c>
      <c r="E208" s="380">
        <f t="shared" si="75"/>
        <v>235.39125698191941</v>
      </c>
      <c r="F208" s="380">
        <f t="shared" si="78"/>
        <v>235.39698733659677</v>
      </c>
      <c r="G208" s="110">
        <f t="shared" si="76"/>
        <v>0.95471457896437906</v>
      </c>
      <c r="H208" s="409" t="b">
        <f>Wh_hp&gt;='2028'!Maxi_hp</f>
        <v>1</v>
      </c>
      <c r="I208" s="385">
        <f>IF(H208,Wh_hp,'2028'!Maxi_hp)</f>
        <v>235.39698733659677</v>
      </c>
      <c r="J208" s="85">
        <f>IF(H208,An,'2028'!An_max)</f>
        <v>2029</v>
      </c>
      <c r="K208" s="193">
        <f t="shared" si="79"/>
        <v>47312</v>
      </c>
      <c r="L208" s="143">
        <f>IF(t&lt;Tvie,1-EXP((T0-t)*PertePVj)+'2028'!Pspv,1-EXP((T0-t)*PertePVj)+Pspv)</f>
        <v>3.8763272083127576E-2</v>
      </c>
      <c r="M208" s="835"/>
      <c r="N208" s="835"/>
      <c r="O208" s="48">
        <f>IF(t&lt;Tnet,'2028'!Resal+('2028'!Salim-'2028'!Resal)*(1-EXP(('2028'!Tnet-t)/('2028'!Tau_j))),Resal+(Salim-Resal)*(1-EXP((Tnet-t)/(Tau_j))))*Salcycl</f>
        <v>3.7248158571767699E-2</v>
      </c>
      <c r="P208" s="165">
        <f>(INDEX(Models!$BJ208:$BT208,,T208)*(1-R208)+INDEX(Models!$BJ208:$BT208,,T208+1)*R208-ERP_i)*Q208*Ramure*Pc/MaxiM</f>
        <v>2.6027087062661517E-5</v>
      </c>
      <c r="Q208" s="301">
        <f t="shared" si="80"/>
        <v>0.5</v>
      </c>
      <c r="R208" s="173">
        <f t="shared" si="81"/>
        <v>0.36209796803577943</v>
      </c>
      <c r="S208" s="801">
        <f t="shared" si="82"/>
        <v>0</v>
      </c>
      <c r="T208" s="172">
        <f t="shared" si="83"/>
        <v>6</v>
      </c>
      <c r="U208" s="247">
        <f t="shared" si="84"/>
        <v>0.36209796803577943</v>
      </c>
      <c r="V208" s="378">
        <f t="shared" si="85"/>
        <v>228.17116332481703</v>
      </c>
      <c r="W208" s="397">
        <f t="shared" si="86"/>
        <v>217.83870291432177</v>
      </c>
      <c r="X208" s="153">
        <f t="shared" si="87"/>
        <v>47312</v>
      </c>
      <c r="Y208" s="380">
        <f t="shared" si="88"/>
        <v>211.93377545856487</v>
      </c>
      <c r="Z208" s="380">
        <f t="shared" si="89"/>
        <v>220.4803138534391</v>
      </c>
      <c r="AA208" s="381">
        <f t="shared" si="90"/>
        <v>235.30133656444625</v>
      </c>
      <c r="AB208" s="193">
        <f t="shared" si="91"/>
        <v>47312</v>
      </c>
      <c r="AC208" s="119">
        <f>IF(OR(t&lt;Tnet,NoTnet),'2028'!Resal_s+('2028'!Salim-'2028'!Resal_s)*(1-EXP(('2028'!Tnet_s-t)/'2028'!Tau_j)),Resal_s+(Salim-Resal_s)*(1-EXP((Tnet_s-t)/Tau_j)))*Salcycl</f>
        <v>6.2987414042792081E-2</v>
      </c>
      <c r="AD208" s="227">
        <f>(INDEX(Models!$BJ208:$BT208,,AH208)*(1-AF208)+INDEX(Models!$BJ208:$BT208,,AH208+1)*AF208-ERP_i)*AE208*Ramure*Pc/MaxiM</f>
        <v>4.3444273776269615E-4</v>
      </c>
      <c r="AE208" s="301">
        <f t="shared" si="92"/>
        <v>0.5</v>
      </c>
      <c r="AF208" s="173">
        <f t="shared" si="93"/>
        <v>0.88708553440975768</v>
      </c>
      <c r="AG208" s="801">
        <f t="shared" ref="AG208:AG271" si="99">INDEX(Echel_vg,AH208)</f>
        <v>3</v>
      </c>
      <c r="AH208" s="172">
        <f t="shared" si="94"/>
        <v>9</v>
      </c>
      <c r="AI208" s="221">
        <f t="shared" si="95"/>
        <v>3.8870855344097577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47313</v>
      </c>
      <c r="B209" s="406">
        <f>'2028'!Wh/'2028'!Env_an*'2029'!Env_an</f>
        <v>215.48705798296129</v>
      </c>
      <c r="C209" s="831"/>
      <c r="D209" s="388">
        <f t="shared" si="77"/>
        <v>224.17995650998904</v>
      </c>
      <c r="E209" s="380">
        <f t="shared" si="75"/>
        <v>232.86650588449044</v>
      </c>
      <c r="F209" s="380">
        <f t="shared" si="78"/>
        <v>232.87232615690147</v>
      </c>
      <c r="G209" s="110">
        <f t="shared" si="76"/>
        <v>0.94601812970783195</v>
      </c>
      <c r="H209" s="409" t="b">
        <f>Wh_hp&gt;='2028'!Maxi_hp</f>
        <v>1</v>
      </c>
      <c r="I209" s="385">
        <f>IF(H209,Wh_hp,'2028'!Maxi_hp)</f>
        <v>232.87232615690147</v>
      </c>
      <c r="J209" s="85">
        <f>IF(H209,An,'2028'!An_max)</f>
        <v>2029</v>
      </c>
      <c r="K209" s="193">
        <f t="shared" si="79"/>
        <v>47313</v>
      </c>
      <c r="L209" s="143">
        <f>IF(t&lt;Tvie,1-EXP((T0-t)*PertePVj)+'2028'!Pspv,1-EXP((T0-t)*PertePVj)+Pspv)</f>
        <v>3.8776430606722867E-2</v>
      </c>
      <c r="M209" s="835"/>
      <c r="N209" s="835"/>
      <c r="O209" s="48">
        <f>IF(t&lt;Tnet,'2028'!Resal+('2028'!Salim-'2028'!Resal)*(1-EXP(('2028'!Tnet-t)/('2028'!Tau_j))),Resal+(Salim-Resal)*(1-EXP((Tnet-t)/(Tau_j))))*Salcycl</f>
        <v>3.7302699851606093E-2</v>
      </c>
      <c r="P209" s="165">
        <f>(INDEX(Models!$BJ209:$BT209,,T209)*(1-R209)+INDEX(Models!$BJ209:$BT209,,T209+1)*R209-ERP_i)*Q209*Ramure*Pc/MaxiM</f>
        <v>2.7081794365148964E-5</v>
      </c>
      <c r="Q209" s="301">
        <f t="shared" si="80"/>
        <v>0.5</v>
      </c>
      <c r="R209" s="173">
        <f t="shared" si="81"/>
        <v>0.36541025383391235</v>
      </c>
      <c r="S209" s="801">
        <f t="shared" si="82"/>
        <v>0</v>
      </c>
      <c r="T209" s="172">
        <f t="shared" si="83"/>
        <v>6</v>
      </c>
      <c r="U209" s="247">
        <f t="shared" si="84"/>
        <v>0.36541025383391235</v>
      </c>
      <c r="V209" s="378">
        <f t="shared" si="85"/>
        <v>227.78274663449679</v>
      </c>
      <c r="W209" s="397">
        <f t="shared" si="86"/>
        <v>215.48705798296129</v>
      </c>
      <c r="X209" s="153">
        <f t="shared" si="87"/>
        <v>47313</v>
      </c>
      <c r="Y209" s="380">
        <f t="shared" si="88"/>
        <v>209.65200503104913</v>
      </c>
      <c r="Z209" s="380">
        <f t="shared" si="89"/>
        <v>218.10951344376747</v>
      </c>
      <c r="AA209" s="381">
        <f t="shared" si="90"/>
        <v>232.77829394744012</v>
      </c>
      <c r="AB209" s="193">
        <f t="shared" si="91"/>
        <v>47313</v>
      </c>
      <c r="AC209" s="119">
        <f>IF(OR(t&lt;Tnet,NoTnet),'2028'!Resal_s+('2028'!Salim-'2028'!Resal_s)*(1-EXP(('2028'!Tnet_s-t)/'2028'!Tau_j)),Resal_s+(Salim-Resal_s)*(1-EXP((Tnet_s-t)/Tau_j)))*Salcycl</f>
        <v>6.3016101093106111E-2</v>
      </c>
      <c r="AD209" s="227">
        <f>(INDEX(Models!$BJ209:$BT209,,AH209)*(1-AF209)+INDEX(Models!$BJ209:$BT209,,AH209+1)*AF209-ERP_i)*AE209*Ramure*Pc/MaxiM</f>
        <v>4.3753295043449621E-4</v>
      </c>
      <c r="AE209" s="301">
        <f t="shared" si="92"/>
        <v>0.5</v>
      </c>
      <c r="AF209" s="173">
        <f t="shared" si="93"/>
        <v>0.8903978202078906</v>
      </c>
      <c r="AG209" s="801">
        <f t="shared" si="99"/>
        <v>3</v>
      </c>
      <c r="AH209" s="172">
        <f t="shared" si="94"/>
        <v>9</v>
      </c>
      <c r="AI209" s="221">
        <f t="shared" si="95"/>
        <v>3.8903978202078906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47314</v>
      </c>
      <c r="B210" s="406">
        <f>'2028'!Wh/'2028'!Env_an*'2029'!Env_an</f>
        <v>206.70368265440004</v>
      </c>
      <c r="C210" s="831"/>
      <c r="D210" s="388">
        <f t="shared" si="77"/>
        <v>215.04519746997252</v>
      </c>
      <c r="E210" s="380">
        <f t="shared" si="75"/>
        <v>223.39035699079653</v>
      </c>
      <c r="F210" s="380">
        <f t="shared" si="78"/>
        <v>223.395832088715</v>
      </c>
      <c r="G210" s="110">
        <f t="shared" si="76"/>
        <v>0.90906122205536766</v>
      </c>
      <c r="H210" s="409" t="b">
        <f>Wh_hp&gt;='2028'!Maxi_hp</f>
        <v>1</v>
      </c>
      <c r="I210" s="385">
        <f>IF(H210,Wh_hp,'2028'!Maxi_hp)</f>
        <v>223.395832088715</v>
      </c>
      <c r="J210" s="85">
        <f>IF(H210,An,'2028'!An_max)</f>
        <v>2029</v>
      </c>
      <c r="K210" s="193">
        <f t="shared" si="79"/>
        <v>47314</v>
      </c>
      <c r="L210" s="143">
        <f>IF(t&lt;Tvie,1-EXP((T0-t)*PertePVj)+'2028'!Pspv,1-EXP((T0-t)*PertePVj)+Pspv)</f>
        <v>3.8789588950189136E-2</v>
      </c>
      <c r="M210" s="835"/>
      <c r="N210" s="835"/>
      <c r="O210" s="48">
        <f>IF(t&lt;Tnet,'2028'!Resal+('2028'!Salim-'2028'!Resal)*(1-EXP(('2028'!Tnet-t)/('2028'!Tau_j))),Resal+(Salim-Resal)*(1-EXP((Tnet-t)/(Tau_j))))*Salcycl</f>
        <v>3.7356847597355428E-2</v>
      </c>
      <c r="P210" s="165">
        <f>(INDEX(Models!$BJ210:$BT210,,T210)*(1-R210)+INDEX(Models!$BJ210:$BT210,,T210+1)*R210-ERP_i)*Q210*Ramure*Pc/MaxiM</f>
        <v>2.8167710136270646E-5</v>
      </c>
      <c r="Q210" s="301">
        <f t="shared" si="80"/>
        <v>0.5</v>
      </c>
      <c r="R210" s="173">
        <f t="shared" si="81"/>
        <v>0.36864140823906472</v>
      </c>
      <c r="S210" s="801">
        <f t="shared" si="82"/>
        <v>0</v>
      </c>
      <c r="T210" s="172">
        <f t="shared" si="83"/>
        <v>6</v>
      </c>
      <c r="U210" s="247">
        <f t="shared" si="84"/>
        <v>0.36864140823906472</v>
      </c>
      <c r="V210" s="378">
        <f t="shared" si="85"/>
        <v>227.38064417419645</v>
      </c>
      <c r="W210" s="397">
        <f t="shared" si="86"/>
        <v>206.70368265440004</v>
      </c>
      <c r="X210" s="153">
        <f t="shared" si="87"/>
        <v>47314</v>
      </c>
      <c r="Y210" s="380">
        <f t="shared" si="88"/>
        <v>201.11589243045444</v>
      </c>
      <c r="Z210" s="380">
        <f t="shared" si="89"/>
        <v>209.23191230398817</v>
      </c>
      <c r="AA210" s="381">
        <f t="shared" si="90"/>
        <v>223.31032932595025</v>
      </c>
      <c r="AB210" s="193">
        <f t="shared" si="91"/>
        <v>47314</v>
      </c>
      <c r="AC210" s="119">
        <f>IF(OR(t&lt;Tnet,NoTnet),'2028'!Resal_s+('2028'!Salim-'2028'!Resal_s)*(1-EXP(('2028'!Tnet_s-t)/'2028'!Tau_j)),Resal_s+(Salim-Resal_s)*(1-EXP((Tnet_s-t)/Tau_j)))*Salcycl</f>
        <v>6.3044181899050505E-2</v>
      </c>
      <c r="AD210" s="227">
        <f>(INDEX(Models!$BJ210:$BT210,,AH210)*(1-AF210)+INDEX(Models!$BJ210:$BT210,,AH210+1)*AF210-ERP_i)*AE210*Ramure*Pc/MaxiM</f>
        <v>4.3988565561327032E-4</v>
      </c>
      <c r="AE210" s="301">
        <f t="shared" si="92"/>
        <v>0.5</v>
      </c>
      <c r="AF210" s="173">
        <f t="shared" si="93"/>
        <v>0.8936289746130428</v>
      </c>
      <c r="AG210" s="801">
        <f t="shared" si="99"/>
        <v>3</v>
      </c>
      <c r="AH210" s="172">
        <f t="shared" si="94"/>
        <v>9</v>
      </c>
      <c r="AI210" s="221">
        <f t="shared" si="95"/>
        <v>3.8936289746130428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47315</v>
      </c>
      <c r="B211" s="406">
        <f>'2028'!Wh/'2028'!Env_an*'2029'!Env_an</f>
        <v>212.15343467063005</v>
      </c>
      <c r="C211" s="831"/>
      <c r="D211" s="388">
        <f t="shared" si="77"/>
        <v>220.71789534721844</v>
      </c>
      <c r="E211" s="380">
        <f t="shared" si="75"/>
        <v>229.29600074553002</v>
      </c>
      <c r="F211" s="380">
        <f t="shared" si="78"/>
        <v>229.3020897974196</v>
      </c>
      <c r="G211" s="110">
        <f t="shared" si="76"/>
        <v>0.93473463357193787</v>
      </c>
      <c r="H211" s="409" t="b">
        <f>Wh_hp&gt;='2028'!Maxi_hp</f>
        <v>1</v>
      </c>
      <c r="I211" s="385">
        <f>IF(H211,Wh_hp,'2028'!Maxi_hp)</f>
        <v>229.3020897974196</v>
      </c>
      <c r="J211" s="85">
        <f>IF(H211,An,'2028'!An_max)</f>
        <v>2029</v>
      </c>
      <c r="K211" s="193">
        <f t="shared" si="79"/>
        <v>47315</v>
      </c>
      <c r="L211" s="143">
        <f>IF(t&lt;Tvie,1-EXP((T0-t)*PertePVj)+'2028'!Pspv,1-EXP((T0-t)*PertePVj)+Pspv)</f>
        <v>3.8802747113528602E-2</v>
      </c>
      <c r="M211" s="835"/>
      <c r="N211" s="835"/>
      <c r="O211" s="48">
        <f>IF(t&lt;Tnet,'2028'!Resal+('2028'!Salim-'2028'!Resal)*(1-EXP(('2028'!Tnet-t)/('2028'!Tau_j))),Resal+(Salim-Resal)*(1-EXP((Tnet-t)/(Tau_j))))*Salcycl</f>
        <v>3.7410619332307694E-2</v>
      </c>
      <c r="P211" s="165">
        <f>(INDEX(Models!$BJ211:$BT211,,T211)*(1-R211)+INDEX(Models!$BJ211:$BT211,,T211+1)*R211-ERP_i)*Q211*Ramure*Pc/MaxiM</f>
        <v>2.9285035866804438E-5</v>
      </c>
      <c r="Q211" s="301">
        <f t="shared" si="80"/>
        <v>0.5</v>
      </c>
      <c r="R211" s="173">
        <f t="shared" si="81"/>
        <v>0.37179174760040612</v>
      </c>
      <c r="S211" s="801">
        <f t="shared" si="82"/>
        <v>0</v>
      </c>
      <c r="T211" s="172">
        <f t="shared" si="83"/>
        <v>6</v>
      </c>
      <c r="U211" s="247">
        <f t="shared" si="84"/>
        <v>0.37179174760040612</v>
      </c>
      <c r="V211" s="378">
        <f t="shared" si="85"/>
        <v>226.96586580708791</v>
      </c>
      <c r="W211" s="397">
        <f t="shared" si="86"/>
        <v>212.15343467063005</v>
      </c>
      <c r="X211" s="153">
        <f t="shared" si="87"/>
        <v>47315</v>
      </c>
      <c r="Y211" s="380">
        <f t="shared" si="88"/>
        <v>206.42058266157943</v>
      </c>
      <c r="Z211" s="380">
        <f t="shared" si="89"/>
        <v>214.75361279040203</v>
      </c>
      <c r="AA211" s="381">
        <f t="shared" si="90"/>
        <v>229.21029279652427</v>
      </c>
      <c r="AB211" s="193">
        <f t="shared" si="91"/>
        <v>47315</v>
      </c>
      <c r="AC211" s="119">
        <f>IF(OR(t&lt;Tnet,NoTnet),'2028'!Resal_s+('2028'!Salim-'2028'!Resal_s)*(1-EXP(('2028'!Tnet_s-t)/'2028'!Tau_j)),Resal_s+(Salim-Resal_s)*(1-EXP((Tnet_s-t)/Tau_j)))*Salcycl</f>
        <v>6.3071687705385099E-2</v>
      </c>
      <c r="AD211" s="227">
        <f>(INDEX(Models!$BJ211:$BT211,,AH211)*(1-AF211)+INDEX(Models!$BJ211:$BT211,,AH211+1)*AF211-ERP_i)*AE211*Ramure*Pc/MaxiM</f>
        <v>4.414937682307371E-4</v>
      </c>
      <c r="AE211" s="301">
        <f t="shared" si="92"/>
        <v>0.5</v>
      </c>
      <c r="AF211" s="173">
        <f t="shared" si="93"/>
        <v>0.89677931397438426</v>
      </c>
      <c r="AG211" s="801">
        <f t="shared" si="99"/>
        <v>3</v>
      </c>
      <c r="AH211" s="172">
        <f t="shared" si="94"/>
        <v>9</v>
      </c>
      <c r="AI211" s="221">
        <f t="shared" si="95"/>
        <v>3.8967793139743843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47316</v>
      </c>
      <c r="B212" s="406">
        <f>'2028'!Wh/'2028'!Env_an*'2029'!Env_an</f>
        <v>211.45945168063969</v>
      </c>
      <c r="C212" s="831"/>
      <c r="D212" s="388">
        <f t="shared" si="77"/>
        <v>219.99890843171229</v>
      </c>
      <c r="E212" s="380">
        <f t="shared" si="75"/>
        <v>228.561753364205</v>
      </c>
      <c r="F212" s="380">
        <f t="shared" si="78"/>
        <v>228.56804395764479</v>
      </c>
      <c r="G212" s="110">
        <f t="shared" si="76"/>
        <v>0.93343063552023098</v>
      </c>
      <c r="H212" s="409" t="b">
        <f>Wh_hp&gt;='2028'!Maxi_hp</f>
        <v>1</v>
      </c>
      <c r="I212" s="385">
        <f>IF(H212,Wh_hp,'2028'!Maxi_hp)</f>
        <v>228.56804395764479</v>
      </c>
      <c r="J212" s="85">
        <f>IF(H212,An,'2028'!An_max)</f>
        <v>2029</v>
      </c>
      <c r="K212" s="193">
        <f t="shared" si="79"/>
        <v>47316</v>
      </c>
      <c r="L212" s="143">
        <f>IF(t&lt;Tvie,1-EXP((T0-t)*PertePVj)+'2028'!Pspv,1-EXP((T0-t)*PertePVj)+Pspv)</f>
        <v>3.881590509674393E-2</v>
      </c>
      <c r="M212" s="835"/>
      <c r="N212" s="835"/>
      <c r="O212" s="48">
        <f>IF(t&lt;Tnet,'2028'!Resal+('2028'!Salim-'2028'!Resal)*(1-EXP(('2028'!Tnet-t)/('2028'!Tau_j))),Resal+(Salim-Resal)*(1-EXP((Tnet-t)/(Tau_j))))*Salcycl</f>
        <v>3.7464032395866806E-2</v>
      </c>
      <c r="P212" s="165">
        <f>(INDEX(Models!$BJ212:$BT212,,T212)*(1-R212)+INDEX(Models!$BJ212:$BT212,,T212+1)*R212-ERP_i)*Q212*Ramure*Pc/MaxiM</f>
        <v>3.0413978250632974E-5</v>
      </c>
      <c r="Q212" s="301">
        <f t="shared" si="80"/>
        <v>0.5</v>
      </c>
      <c r="R212" s="173">
        <f t="shared" si="81"/>
        <v>0.37486170566698246</v>
      </c>
      <c r="S212" s="801">
        <f t="shared" si="82"/>
        <v>0</v>
      </c>
      <c r="T212" s="172">
        <f t="shared" si="83"/>
        <v>6</v>
      </c>
      <c r="U212" s="247">
        <f t="shared" si="84"/>
        <v>0.37486170566698246</v>
      </c>
      <c r="V212" s="378">
        <f t="shared" si="85"/>
        <v>226.53942567222987</v>
      </c>
      <c r="W212" s="397">
        <f t="shared" si="86"/>
        <v>211.45945168063969</v>
      </c>
      <c r="X212" s="153">
        <f t="shared" si="87"/>
        <v>47316</v>
      </c>
      <c r="Y212" s="380">
        <f t="shared" si="88"/>
        <v>205.75096258178314</v>
      </c>
      <c r="Z212" s="380">
        <f t="shared" si="89"/>
        <v>214.05989099569123</v>
      </c>
      <c r="AA212" s="381">
        <f t="shared" si="90"/>
        <v>228.47644614817528</v>
      </c>
      <c r="AB212" s="193">
        <f t="shared" si="91"/>
        <v>47316</v>
      </c>
      <c r="AC212" s="119">
        <f>IF(OR(t&lt;Tnet,NoTnet),'2028'!Resal_s+('2028'!Salim-'2028'!Resal_s)*(1-EXP(('2028'!Tnet_s-t)/'2028'!Tau_j)),Resal_s+(Salim-Resal_s)*(1-EXP((Tnet_s-t)/Tau_j)))*Salcycl</f>
        <v>6.3098649316062932E-2</v>
      </c>
      <c r="AD212" s="227">
        <f>(INDEX(Models!$BJ212:$BT212,,AH212)*(1-AF212)+INDEX(Models!$BJ212:$BT212,,AH212+1)*AF212-ERP_i)*AE212*Ramure*Pc/MaxiM</f>
        <v>4.4286025025590562E-4</v>
      </c>
      <c r="AE212" s="301">
        <f t="shared" si="92"/>
        <v>0.5</v>
      </c>
      <c r="AF212" s="173">
        <f t="shared" si="93"/>
        <v>0.89984927204096055</v>
      </c>
      <c r="AG212" s="801">
        <f t="shared" si="99"/>
        <v>3</v>
      </c>
      <c r="AH212" s="172">
        <f t="shared" si="94"/>
        <v>9</v>
      </c>
      <c r="AI212" s="221">
        <f t="shared" si="95"/>
        <v>3.8998492720409605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47317</v>
      </c>
      <c r="B213" s="406">
        <f>'2028'!Wh/'2028'!Env_an*'2029'!Env_an</f>
        <v>214.93709866812333</v>
      </c>
      <c r="C213" s="831"/>
      <c r="D213" s="388">
        <f t="shared" si="77"/>
        <v>223.62005588369658</v>
      </c>
      <c r="E213" s="380">
        <f t="shared" si="75"/>
        <v>232.33665427006321</v>
      </c>
      <c r="F213" s="380">
        <f t="shared" si="78"/>
        <v>232.34346592643129</v>
      </c>
      <c r="G213" s="110">
        <f t="shared" si="76"/>
        <v>0.95061654046166744</v>
      </c>
      <c r="H213" s="409" t="b">
        <f>Wh_hp&gt;='2028'!Maxi_hp</f>
        <v>1</v>
      </c>
      <c r="I213" s="385">
        <f>IF(H213,Wh_hp,'2028'!Maxi_hp)</f>
        <v>232.34346592643129</v>
      </c>
      <c r="J213" s="85">
        <f>IF(H213,An,'2028'!An_max)</f>
        <v>2029</v>
      </c>
      <c r="K213" s="193">
        <f t="shared" si="79"/>
        <v>47317</v>
      </c>
      <c r="L213" s="143">
        <f>IF(t&lt;Tvie,1-EXP((T0-t)*PertePVj)+'2028'!Pspv,1-EXP((T0-t)*PertePVj)+Pspv)</f>
        <v>3.8829062899837563E-2</v>
      </c>
      <c r="M213" s="835"/>
      <c r="N213" s="835"/>
      <c r="O213" s="48">
        <f>IF(t&lt;Tnet,'2028'!Resal+('2028'!Salim-'2028'!Resal)*(1-EXP(('2028'!Tnet-t)/('2028'!Tau_j))),Resal+(Salim-Resal)*(1-EXP((Tnet-t)/(Tau_j))))*Salcycl</f>
        <v>3.7517103849806922E-2</v>
      </c>
      <c r="P213" s="165">
        <f>(INDEX(Models!$BJ213:$BT213,,T213)*(1-R213)+INDEX(Models!$BJ213:$BT213,,T213+1)*R213-ERP_i)*Q213*Ramure*Pc/MaxiM</f>
        <v>3.1542331747254712E-5</v>
      </c>
      <c r="Q213" s="301">
        <f t="shared" si="80"/>
        <v>0.5</v>
      </c>
      <c r="R213" s="173">
        <f t="shared" si="81"/>
        <v>0.37785182658327288</v>
      </c>
      <c r="S213" s="801">
        <f t="shared" si="82"/>
        <v>0</v>
      </c>
      <c r="T213" s="172">
        <f t="shared" si="83"/>
        <v>6</v>
      </c>
      <c r="U213" s="247">
        <f t="shared" si="84"/>
        <v>0.37785182658327288</v>
      </c>
      <c r="V213" s="378">
        <f t="shared" si="85"/>
        <v>226.10233594623321</v>
      </c>
      <c r="W213" s="397">
        <f t="shared" si="86"/>
        <v>214.93709866812333</v>
      </c>
      <c r="X213" s="153">
        <f t="shared" si="87"/>
        <v>47317</v>
      </c>
      <c r="Y213" s="380">
        <f t="shared" si="88"/>
        <v>209.13807038594564</v>
      </c>
      <c r="Z213" s="380">
        <f t="shared" si="89"/>
        <v>217.58676039135338</v>
      </c>
      <c r="AA213" s="381">
        <f t="shared" si="90"/>
        <v>232.24740003229002</v>
      </c>
      <c r="AB213" s="193">
        <f t="shared" si="91"/>
        <v>47317</v>
      </c>
      <c r="AC213" s="119">
        <f>IF(OR(t&lt;Tnet,NoTnet),'2028'!Resal_s+('2028'!Salim-'2028'!Resal_s)*(1-EXP(('2028'!Tnet_s-t)/'2028'!Tau_j)),Resal_s+(Salim-Resal_s)*(1-EXP((Tnet_s-t)/Tau_j)))*Salcycl</f>
        <v>6.3125096939291081E-2</v>
      </c>
      <c r="AD213" s="227">
        <f>(INDEX(Models!$BJ213:$BT213,,AH213)*(1-AF213)+INDEX(Models!$BJ213:$BT213,,AH213+1)*AF213-ERP_i)*AE213*Ramure*Pc/MaxiM</f>
        <v>4.4484661862805356E-4</v>
      </c>
      <c r="AE213" s="301">
        <f t="shared" si="92"/>
        <v>0.5</v>
      </c>
      <c r="AF213" s="173">
        <f t="shared" si="93"/>
        <v>0.90283939295725091</v>
      </c>
      <c r="AG213" s="801">
        <f t="shared" si="99"/>
        <v>3</v>
      </c>
      <c r="AH213" s="172">
        <f t="shared" si="94"/>
        <v>9</v>
      </c>
      <c r="AI213" s="221">
        <f t="shared" si="95"/>
        <v>3.9028393929572509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47318</v>
      </c>
      <c r="B214" s="406">
        <f>'2028'!Wh/'2028'!Env_an*'2029'!Env_an</f>
        <v>152.12599016181417</v>
      </c>
      <c r="C214" s="831"/>
      <c r="D214" s="388">
        <f t="shared" si="77"/>
        <v>158.27369180173679</v>
      </c>
      <c r="E214" s="380">
        <f t="shared" si="75"/>
        <v>164.45213386740113</v>
      </c>
      <c r="F214" s="380">
        <f t="shared" si="78"/>
        <v>164.45500555412158</v>
      </c>
      <c r="G214" s="110">
        <f t="shared" si="76"/>
        <v>0.67414091479838045</v>
      </c>
      <c r="H214" s="409" t="b">
        <f>Wh_hp&gt;='2028'!Maxi_hp</f>
        <v>1</v>
      </c>
      <c r="I214" s="385">
        <f>IF(H214,Wh_hp,'2028'!Maxi_hp)</f>
        <v>164.45500555412158</v>
      </c>
      <c r="J214" s="85">
        <f>IF(H214,An,'2028'!An_max)</f>
        <v>2029</v>
      </c>
      <c r="K214" s="193">
        <f t="shared" si="79"/>
        <v>47318</v>
      </c>
      <c r="L214" s="143">
        <f>IF(t&lt;Tvie,1-EXP((T0-t)*PertePVj)+'2028'!Pspv,1-EXP((T0-t)*PertePVj)+Pspv)</f>
        <v>3.8842220522811832E-2</v>
      </c>
      <c r="M214" s="835"/>
      <c r="N214" s="835"/>
      <c r="O214" s="48">
        <f>IF(t&lt;Tnet,'2028'!Resal+('2028'!Salim-'2028'!Resal)*(1-EXP(('2028'!Tnet-t)/('2028'!Tau_j))),Resal+(Salim-Resal)*(1-EXP((Tnet-t)/(Tau_j))))*Salcycl</f>
        <v>3.7569850389694806E-2</v>
      </c>
      <c r="P214" s="165">
        <f>(INDEX(Models!$BJ214:$BT214,,T214)*(1-R214)+INDEX(Models!$BJ214:$BT214,,T214+1)*R214-ERP_i)*Q214*Ramure*Pc/MaxiM</f>
        <v>3.2669380474344923E-5</v>
      </c>
      <c r="Q214" s="301">
        <f t="shared" si="80"/>
        <v>0.5</v>
      </c>
      <c r="R214" s="173">
        <f t="shared" si="81"/>
        <v>0.38076275784883662</v>
      </c>
      <c r="S214" s="801">
        <f t="shared" si="82"/>
        <v>0</v>
      </c>
      <c r="T214" s="172">
        <f t="shared" si="83"/>
        <v>6</v>
      </c>
      <c r="U214" s="247">
        <f t="shared" si="84"/>
        <v>0.38076275784883662</v>
      </c>
      <c r="V214" s="378">
        <f t="shared" si="85"/>
        <v>225.65560600116814</v>
      </c>
      <c r="W214" s="397">
        <f t="shared" si="86"/>
        <v>152.12599016181417</v>
      </c>
      <c r="X214" s="153">
        <f t="shared" si="87"/>
        <v>47318</v>
      </c>
      <c r="Y214" s="380">
        <f t="shared" si="88"/>
        <v>148.04967912320367</v>
      </c>
      <c r="Z214" s="380">
        <f t="shared" si="89"/>
        <v>154.03264925320977</v>
      </c>
      <c r="AA214" s="381">
        <f t="shared" si="90"/>
        <v>164.41567331030427</v>
      </c>
      <c r="AB214" s="193">
        <f t="shared" si="91"/>
        <v>47318</v>
      </c>
      <c r="AC214" s="119">
        <f>IF(OR(t&lt;Tnet,NoTnet),'2028'!Resal_s+('2028'!Salim-'2028'!Resal_s)*(1-EXP(('2028'!Tnet_s-t)/'2028'!Tau_j)),Resal_s+(Salim-Resal_s)*(1-EXP((Tnet_s-t)/Tau_j)))*Salcycl</f>
        <v>6.3151060042180143E-2</v>
      </c>
      <c r="AD214" s="227">
        <f>(INDEX(Models!$BJ214:$BT214,,AH214)*(1-AF214)+INDEX(Models!$BJ214:$BT214,,AH214+1)*AF214-ERP_i)*AE214*Ramure*Pc/MaxiM</f>
        <v>4.4745829307430156E-4</v>
      </c>
      <c r="AE214" s="301">
        <f t="shared" si="92"/>
        <v>0.5</v>
      </c>
      <c r="AF214" s="173">
        <f t="shared" si="93"/>
        <v>0.90575032422281465</v>
      </c>
      <c r="AG214" s="801">
        <f t="shared" si="99"/>
        <v>3</v>
      </c>
      <c r="AH214" s="172">
        <f t="shared" si="94"/>
        <v>9</v>
      </c>
      <c r="AI214" s="221">
        <f t="shared" si="95"/>
        <v>3.9057503242228147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47319</v>
      </c>
      <c r="B215" s="406">
        <f>'2028'!Wh/'2028'!Env_an*'2029'!Env_an</f>
        <v>155.98270925194336</v>
      </c>
      <c r="C215" s="831"/>
      <c r="D215" s="388">
        <f t="shared" si="77"/>
        <v>162.28848986513071</v>
      </c>
      <c r="E215" s="380">
        <f t="shared" si="75"/>
        <v>168.63284330644836</v>
      </c>
      <c r="F215" s="380">
        <f t="shared" si="78"/>
        <v>168.63603993388253</v>
      </c>
      <c r="G215" s="110">
        <f t="shared" si="76"/>
        <v>0.6926297731686808</v>
      </c>
      <c r="H215" s="409" t="b">
        <f>Wh_hp&gt;='2028'!Maxi_hp</f>
        <v>1</v>
      </c>
      <c r="I215" s="385">
        <f>IF(H215,Wh_hp,'2028'!Maxi_hp)</f>
        <v>168.63603993388253</v>
      </c>
      <c r="J215" s="85">
        <f>IF(H215,An,'2028'!An_max)</f>
        <v>2029</v>
      </c>
      <c r="K215" s="193">
        <f t="shared" si="79"/>
        <v>47319</v>
      </c>
      <c r="L215" s="143">
        <f>IF(t&lt;Tvie,1-EXP((T0-t)*PertePVj)+'2028'!Pspv,1-EXP((T0-t)*PertePVj)+Pspv)</f>
        <v>3.8855377965669402E-2</v>
      </c>
      <c r="M215" s="835"/>
      <c r="N215" s="835"/>
      <c r="O215" s="48">
        <f>IF(t&lt;Tnet,'2028'!Resal+('2028'!Salim-'2028'!Resal)*(1-EXP(('2028'!Tnet-t)/('2028'!Tau_j))),Resal+(Salim-Resal)*(1-EXP((Tnet-t)/(Tau_j))))*Salcycl</f>
        <v>3.76222882620105E-2</v>
      </c>
      <c r="P215" s="165">
        <f>(INDEX(Models!$BJ215:$BT215,,T215)*(1-R215)+INDEX(Models!$BJ215:$BT215,,T215+1)*R215-ERP_i)*Q215*Ramure*Pc/MaxiM</f>
        <v>3.3794425626393426E-5</v>
      </c>
      <c r="Q215" s="301">
        <f t="shared" si="80"/>
        <v>0.5</v>
      </c>
      <c r="R215" s="173">
        <f t="shared" si="81"/>
        <v>0.38359524328427175</v>
      </c>
      <c r="S215" s="801">
        <f t="shared" si="82"/>
        <v>0</v>
      </c>
      <c r="T215" s="172">
        <f t="shared" si="83"/>
        <v>6</v>
      </c>
      <c r="U215" s="247">
        <f t="shared" si="84"/>
        <v>0.38359524328427175</v>
      </c>
      <c r="V215" s="378">
        <f t="shared" si="85"/>
        <v>225.20024503438961</v>
      </c>
      <c r="W215" s="397">
        <f t="shared" si="86"/>
        <v>155.98270925194336</v>
      </c>
      <c r="X215" s="153">
        <f t="shared" si="87"/>
        <v>47319</v>
      </c>
      <c r="Y215" s="380">
        <f t="shared" si="88"/>
        <v>151.80534920010624</v>
      </c>
      <c r="Z215" s="380">
        <f t="shared" si="89"/>
        <v>157.9422552235682</v>
      </c>
      <c r="AA215" s="381">
        <f t="shared" si="90"/>
        <v>168.59340799596751</v>
      </c>
      <c r="AB215" s="193">
        <f t="shared" si="91"/>
        <v>47319</v>
      </c>
      <c r="AC215" s="119">
        <f>IF(OR(t&lt;Tnet,NoTnet),'2028'!Resal_s+('2028'!Salim-'2028'!Resal_s)*(1-EXP(('2028'!Tnet_s-t)/'2028'!Tau_j)),Resal_s+(Salim-Resal_s)*(1-EXP((Tnet_s-t)/Tau_j)))*Salcycl</f>
        <v>6.3176567215807555E-2</v>
      </c>
      <c r="AD215" s="227">
        <f>(INDEX(Models!$BJ215:$BT215,,AH215)*(1-AF215)+INDEX(Models!$BJ215:$BT215,,AH215+1)*AF215-ERP_i)*AE215*Ramure*Pc/MaxiM</f>
        <v>4.5070058517871446E-4</v>
      </c>
      <c r="AE215" s="301">
        <f t="shared" si="92"/>
        <v>0.5</v>
      </c>
      <c r="AF215" s="173">
        <f t="shared" si="93"/>
        <v>0.90858280965824978</v>
      </c>
      <c r="AG215" s="801">
        <f t="shared" si="99"/>
        <v>3</v>
      </c>
      <c r="AH215" s="172">
        <f t="shared" si="94"/>
        <v>9</v>
      </c>
      <c r="AI215" s="221">
        <f t="shared" si="95"/>
        <v>3.9085828096582498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47320</v>
      </c>
      <c r="B216" s="406">
        <f>'2028'!Wh/'2028'!Env_an*'2029'!Env_an</f>
        <v>208.37672262941825</v>
      </c>
      <c r="C216" s="831"/>
      <c r="D216" s="388">
        <f t="shared" si="77"/>
        <v>216.80355941623333</v>
      </c>
      <c r="E216" s="380">
        <f t="shared" si="75"/>
        <v>225.29128071940931</v>
      </c>
      <c r="F216" s="380">
        <f t="shared" si="78"/>
        <v>225.29832929317698</v>
      </c>
      <c r="G216" s="110">
        <f t="shared" si="76"/>
        <v>0.92719811563767729</v>
      </c>
      <c r="H216" s="409" t="b">
        <f>Wh_hp&gt;='2028'!Maxi_hp</f>
        <v>1</v>
      </c>
      <c r="I216" s="385">
        <f>IF(H216,Wh_hp,'2028'!Maxi_hp)</f>
        <v>225.29832929317698</v>
      </c>
      <c r="J216" s="85">
        <f>IF(H216,An,'2028'!An_max)</f>
        <v>2029</v>
      </c>
      <c r="K216" s="193">
        <f t="shared" si="79"/>
        <v>47320</v>
      </c>
      <c r="L216" s="143">
        <f>IF(t&lt;Tvie,1-EXP((T0-t)*PertePVj)+'2028'!Pspv,1-EXP((T0-t)*PertePVj)+Pspv)</f>
        <v>3.8868535228412493E-2</v>
      </c>
      <c r="M216" s="835"/>
      <c r="N216" s="835"/>
      <c r="O216" s="48">
        <f>IF(t&lt;Tnet,'2028'!Resal+('2028'!Salim-'2028'!Resal)*(1-EXP(('2028'!Tnet-t)/('2028'!Tau_j))),Resal+(Salim-Resal)*(1-EXP((Tnet-t)/(Tau_j))))*Salcycl</f>
        <v>3.7674433187439113E-2</v>
      </c>
      <c r="P216" s="165">
        <f>(INDEX(Models!$BJ216:$BT216,,T216)*(1-R216)+INDEX(Models!$BJ216:$BT216,,T216+1)*R216-ERP_i)*Q216*Ramure*Pc/MaxiM</f>
        <v>3.4916784436713139E-5</v>
      </c>
      <c r="Q216" s="301">
        <f t="shared" si="80"/>
        <v>0.5</v>
      </c>
      <c r="R216" s="173">
        <f t="shared" si="81"/>
        <v>0.38635011604233171</v>
      </c>
      <c r="S216" s="801">
        <f t="shared" si="82"/>
        <v>0</v>
      </c>
      <c r="T216" s="172">
        <f t="shared" si="83"/>
        <v>6</v>
      </c>
      <c r="U216" s="247">
        <f t="shared" si="84"/>
        <v>0.38635011604233171</v>
      </c>
      <c r="V216" s="378">
        <f t="shared" si="85"/>
        <v>224.73726210061881</v>
      </c>
      <c r="W216" s="397">
        <f t="shared" si="86"/>
        <v>208.37672262941825</v>
      </c>
      <c r="X216" s="153">
        <f t="shared" si="87"/>
        <v>47320</v>
      </c>
      <c r="Y216" s="380">
        <f t="shared" si="88"/>
        <v>202.77292204150024</v>
      </c>
      <c r="Z216" s="380">
        <f t="shared" si="89"/>
        <v>210.97313892401715</v>
      </c>
      <c r="AA216" s="381">
        <f t="shared" si="90"/>
        <v>225.20656450213517</v>
      </c>
      <c r="AB216" s="193">
        <f t="shared" si="91"/>
        <v>47320</v>
      </c>
      <c r="AC216" s="119">
        <f>IF(OR(t&lt;Tnet,NoTnet),'2028'!Resal_s+('2028'!Salim-'2028'!Resal_s)*(1-EXP(('2028'!Tnet_s-t)/'2028'!Tau_j)),Resal_s+(Salim-Resal_s)*(1-EXP((Tnet_s-t)/Tau_j)))*Salcycl</f>
        <v>6.3201646051410168E-2</v>
      </c>
      <c r="AD216" s="227">
        <f>(INDEX(Models!$BJ216:$BT216,,AH216)*(1-AF216)+INDEX(Models!$BJ216:$BT216,,AH216+1)*AF216-ERP_i)*AE216*Ramure*Pc/MaxiM</f>
        <v>4.5457868971783582E-4</v>
      </c>
      <c r="AE216" s="301">
        <f t="shared" si="92"/>
        <v>0.5</v>
      </c>
      <c r="AF216" s="173">
        <f t="shared" si="93"/>
        <v>0.91133768241630975</v>
      </c>
      <c r="AG216" s="801">
        <f t="shared" si="99"/>
        <v>3</v>
      </c>
      <c r="AH216" s="172">
        <f t="shared" si="94"/>
        <v>9</v>
      </c>
      <c r="AI216" s="221">
        <f t="shared" si="95"/>
        <v>3.9113376824163097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47321</v>
      </c>
      <c r="B217" s="406">
        <f>'2028'!Wh/'2028'!Env_an*'2029'!Env_an</f>
        <v>158.07608027770814</v>
      </c>
      <c r="C217" s="831"/>
      <c r="D217" s="388">
        <f t="shared" si="77"/>
        <v>164.47099073350066</v>
      </c>
      <c r="E217" s="380">
        <f t="shared" si="75"/>
        <v>170.91913743791775</v>
      </c>
      <c r="F217" s="380">
        <f t="shared" si="78"/>
        <v>170.92269977278428</v>
      </c>
      <c r="G217" s="110">
        <f t="shared" si="76"/>
        <v>0.70484381969896914</v>
      </c>
      <c r="H217" s="409" t="b">
        <f>Wh_hp&gt;='2028'!Maxi_hp</f>
        <v>1</v>
      </c>
      <c r="I217" s="385">
        <f>IF(H217,Wh_hp,'2028'!Maxi_hp)</f>
        <v>170.92269977278428</v>
      </c>
      <c r="J217" s="85">
        <f>IF(H217,An,'2028'!An_max)</f>
        <v>2029</v>
      </c>
      <c r="K217" s="193">
        <f t="shared" si="79"/>
        <v>47321</v>
      </c>
      <c r="L217" s="143">
        <f>IF(t&lt;Tvie,1-EXP((T0-t)*PertePVj)+'2028'!Pspv,1-EXP((T0-t)*PertePVj)+Pspv)</f>
        <v>3.888169231104377E-2</v>
      </c>
      <c r="M217" s="835"/>
      <c r="N217" s="835"/>
      <c r="O217" s="48">
        <f>IF(t&lt;Tnet,'2028'!Resal+('2028'!Salim-'2028'!Resal)*(1-EXP(('2028'!Tnet-t)/('2028'!Tau_j))),Resal+(Salim-Resal)*(1-EXP((Tnet-t)/(Tau_j))))*Salcycl</f>
        <v>3.7726300290739721E-2</v>
      </c>
      <c r="P217" s="165">
        <f>(INDEX(Models!$BJ217:$BT217,,T217)*(1-R217)+INDEX(Models!$BJ217:$BT217,,T217+1)*R217-ERP_i)*Q217*Ramure*Pc/MaxiM</f>
        <v>3.603578898090939E-5</v>
      </c>
      <c r="Q217" s="301">
        <f t="shared" si="80"/>
        <v>0.5</v>
      </c>
      <c r="R217" s="173">
        <f t="shared" si="81"/>
        <v>0.38902829169961084</v>
      </c>
      <c r="S217" s="801">
        <f t="shared" si="82"/>
        <v>0</v>
      </c>
      <c r="T217" s="172">
        <f t="shared" si="83"/>
        <v>6</v>
      </c>
      <c r="U217" s="247">
        <f t="shared" si="84"/>
        <v>0.38902829169961084</v>
      </c>
      <c r="V217" s="378">
        <f t="shared" si="85"/>
        <v>224.26766611533992</v>
      </c>
      <c r="W217" s="397">
        <f t="shared" si="86"/>
        <v>158.07608027770814</v>
      </c>
      <c r="X217" s="153">
        <f t="shared" si="87"/>
        <v>47321</v>
      </c>
      <c r="Y217" s="380">
        <f t="shared" si="88"/>
        <v>153.84944754824994</v>
      </c>
      <c r="Z217" s="380">
        <f t="shared" si="89"/>
        <v>160.07337111097854</v>
      </c>
      <c r="AA217" s="381">
        <f t="shared" si="90"/>
        <v>170.87731545622333</v>
      </c>
      <c r="AB217" s="193">
        <f t="shared" si="91"/>
        <v>47321</v>
      </c>
      <c r="AC217" s="119">
        <f>IF(OR(t&lt;Tnet,NoTnet),'2028'!Resal_s+('2028'!Salim-'2028'!Resal_s)*(1-EXP(('2028'!Tnet_s-t)/'2028'!Tau_j)),Resal_s+(Salim-Resal_s)*(1-EXP((Tnet_s-t)/Tau_j)))*Salcycl</f>
        <v>6.3226323028305192E-2</v>
      </c>
      <c r="AD217" s="227">
        <f>(INDEX(Models!$BJ217:$BT217,,AH217)*(1-AF217)+INDEX(Models!$BJ217:$BT217,,AH217+1)*AF217-ERP_i)*AE217*Ramure*Pc/MaxiM</f>
        <v>4.5909767495458045E-4</v>
      </c>
      <c r="AE217" s="301">
        <f t="shared" si="92"/>
        <v>0.5</v>
      </c>
      <c r="AF217" s="173">
        <f t="shared" si="93"/>
        <v>0.91401585807358909</v>
      </c>
      <c r="AG217" s="801">
        <f t="shared" si="99"/>
        <v>3</v>
      </c>
      <c r="AH217" s="172">
        <f t="shared" si="94"/>
        <v>9</v>
      </c>
      <c r="AI217" s="221">
        <f t="shared" si="95"/>
        <v>3.9140158580735891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47322</v>
      </c>
      <c r="B218" s="406">
        <f>'2028'!Wh/'2028'!Env_an*'2029'!Env_an</f>
        <v>181.92551125332849</v>
      </c>
      <c r="C218" s="831"/>
      <c r="D218" s="388">
        <f t="shared" si="77"/>
        <v>189.28783297484782</v>
      </c>
      <c r="E218" s="380">
        <f t="shared" si="75"/>
        <v>196.71948271517391</v>
      </c>
      <c r="F218" s="380">
        <f t="shared" si="78"/>
        <v>196.72483795977595</v>
      </c>
      <c r="G218" s="110">
        <f t="shared" si="76"/>
        <v>0.81291255355279324</v>
      </c>
      <c r="H218" s="409" t="b">
        <f>Wh_hp&gt;='2028'!Maxi_hp</f>
        <v>1</v>
      </c>
      <c r="I218" s="385">
        <f>IF(H218,Wh_hp,'2028'!Maxi_hp)</f>
        <v>196.72483795977595</v>
      </c>
      <c r="J218" s="85">
        <f>IF(H218,An,'2028'!An_max)</f>
        <v>2029</v>
      </c>
      <c r="K218" s="193">
        <f t="shared" si="79"/>
        <v>47322</v>
      </c>
      <c r="L218" s="143">
        <f>IF(t&lt;Tvie,1-EXP((T0-t)*PertePVj)+'2028'!Pspv,1-EXP((T0-t)*PertePVj)+Pspv)</f>
        <v>3.8894849213565674E-2</v>
      </c>
      <c r="M218" s="835"/>
      <c r="N218" s="835"/>
      <c r="O218" s="48">
        <f>IF(t&lt;Tnet,'2028'!Resal+('2028'!Salim-'2028'!Resal)*(1-EXP(('2028'!Tnet-t)/('2028'!Tau_j))),Resal+(Salim-Resal)*(1-EXP((Tnet-t)/(Tau_j))))*Salcycl</f>
        <v>3.7777904037528516E-2</v>
      </c>
      <c r="P218" s="165">
        <f>(INDEX(Models!$BJ218:$BT218,,T218)*(1-R218)+INDEX(Models!$BJ218:$BT218,,T218+1)*R218-ERP_i)*Q218*Ramure*Pc/MaxiM</f>
        <v>3.7150784840638173E-5</v>
      </c>
      <c r="Q218" s="301">
        <f t="shared" si="80"/>
        <v>0.5</v>
      </c>
      <c r="R218" s="173">
        <f t="shared" si="81"/>
        <v>0.39163076146074294</v>
      </c>
      <c r="S218" s="801">
        <f t="shared" si="82"/>
        <v>0</v>
      </c>
      <c r="T218" s="172">
        <f t="shared" si="83"/>
        <v>6</v>
      </c>
      <c r="U218" s="247">
        <f t="shared" si="84"/>
        <v>0.39163076146074294</v>
      </c>
      <c r="V218" s="378">
        <f t="shared" si="85"/>
        <v>223.79246588183761</v>
      </c>
      <c r="W218" s="397">
        <f t="shared" si="86"/>
        <v>181.92551125332849</v>
      </c>
      <c r="X218" s="153">
        <f t="shared" si="87"/>
        <v>47322</v>
      </c>
      <c r="Y218" s="380">
        <f t="shared" si="88"/>
        <v>177.05400211027634</v>
      </c>
      <c r="Z218" s="380">
        <f t="shared" si="89"/>
        <v>184.21917931185789</v>
      </c>
      <c r="AA218" s="381">
        <f t="shared" si="90"/>
        <v>196.65791503726606</v>
      </c>
      <c r="AB218" s="193">
        <f t="shared" si="91"/>
        <v>47322</v>
      </c>
      <c r="AC218" s="119">
        <f>IF(OR(t&lt;Tnet,NoTnet),'2028'!Resal_s+('2028'!Salim-'2028'!Resal_s)*(1-EXP(('2028'!Tnet_s-t)/'2028'!Tau_j)),Resal_s+(Salim-Resal_s)*(1-EXP((Tnet_s-t)/Tau_j)))*Salcycl</f>
        <v>6.3250623414018617E-2</v>
      </c>
      <c r="AD218" s="227">
        <f>(INDEX(Models!$BJ218:$BT218,,AH218)*(1-AF218)+INDEX(Models!$BJ218:$BT218,,AH218+1)*AF218-ERP_i)*AE218*Ramure*Pc/MaxiM</f>
        <v>4.6426247162082844E-4</v>
      </c>
      <c r="AE218" s="301">
        <f t="shared" si="92"/>
        <v>0.5</v>
      </c>
      <c r="AF218" s="173">
        <f t="shared" si="93"/>
        <v>0.91661832783472086</v>
      </c>
      <c r="AG218" s="801">
        <f t="shared" si="99"/>
        <v>3</v>
      </c>
      <c r="AH218" s="172">
        <f t="shared" si="94"/>
        <v>9</v>
      </c>
      <c r="AI218" s="221">
        <f t="shared" si="95"/>
        <v>3.9166183278347209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47323</v>
      </c>
      <c r="B219" s="406">
        <f>'2028'!Wh/'2028'!Env_an*'2029'!Env_an</f>
        <v>211.13120530490505</v>
      </c>
      <c r="C219" s="831"/>
      <c r="D219" s="388">
        <f t="shared" si="77"/>
        <v>219.67845597394643</v>
      </c>
      <c r="E219" s="380">
        <f t="shared" si="75"/>
        <v>228.3154604743132</v>
      </c>
      <c r="F219" s="380">
        <f t="shared" si="78"/>
        <v>228.32351583987924</v>
      </c>
      <c r="G219" s="110">
        <f t="shared" si="76"/>
        <v>0.94545896318471079</v>
      </c>
      <c r="H219" s="409" t="b">
        <f>Wh_hp&gt;='2028'!Maxi_hp</f>
        <v>1</v>
      </c>
      <c r="I219" s="385">
        <f>IF(H219,Wh_hp,'2028'!Maxi_hp)</f>
        <v>228.32351583987924</v>
      </c>
      <c r="J219" s="85">
        <f>IF(H219,An,'2028'!An_max)</f>
        <v>2029</v>
      </c>
      <c r="K219" s="193">
        <f t="shared" si="79"/>
        <v>47323</v>
      </c>
      <c r="L219" s="143">
        <f>IF(t&lt;Tvie,1-EXP((T0-t)*PertePVj)+'2028'!Pspv,1-EXP((T0-t)*PertePVj)+Pspv)</f>
        <v>3.890800593598065E-2</v>
      </c>
      <c r="M219" s="835"/>
      <c r="N219" s="835"/>
      <c r="O219" s="48">
        <f>IF(t&lt;Tnet,'2028'!Resal+('2028'!Salim-'2028'!Resal)*(1-EXP(('2028'!Tnet-t)/('2028'!Tau_j))),Resal+(Salim-Resal)*(1-EXP((Tnet-t)/(Tau_j))))*Salcycl</f>
        <v>3.7829258178241003E-2</v>
      </c>
      <c r="P219" s="165">
        <f>(INDEX(Models!$BJ219:$BT219,,T219)*(1-R219)+INDEX(Models!$BJ219:$BT219,,T219+1)*R219-ERP_i)*Q219*Ramure*Pc/MaxiM</f>
        <v>3.8261511135834564E-5</v>
      </c>
      <c r="Q219" s="301">
        <f t="shared" si="80"/>
        <v>0.5</v>
      </c>
      <c r="R219" s="173">
        <f t="shared" si="81"/>
        <v>0.39415858550362021</v>
      </c>
      <c r="S219" s="801">
        <f t="shared" si="82"/>
        <v>0</v>
      </c>
      <c r="T219" s="172">
        <f t="shared" si="83"/>
        <v>6</v>
      </c>
      <c r="U219" s="247">
        <f t="shared" si="84"/>
        <v>0.39415858550362021</v>
      </c>
      <c r="V219" s="378">
        <f t="shared" si="85"/>
        <v>223.31014260521744</v>
      </c>
      <c r="W219" s="397">
        <f t="shared" si="86"/>
        <v>211.13120530490505</v>
      </c>
      <c r="X219" s="153">
        <f t="shared" si="87"/>
        <v>47323</v>
      </c>
      <c r="Y219" s="380">
        <f t="shared" si="88"/>
        <v>205.46583801117734</v>
      </c>
      <c r="Z219" s="380">
        <f t="shared" si="89"/>
        <v>213.78373691612609</v>
      </c>
      <c r="AA219" s="381">
        <f t="shared" si="90"/>
        <v>228.22454727714714</v>
      </c>
      <c r="AB219" s="193">
        <f t="shared" si="91"/>
        <v>47323</v>
      </c>
      <c r="AC219" s="119">
        <f>IF(OR(t&lt;Tnet,NoTnet),'2028'!Resal_s+('2028'!Salim-'2028'!Resal_s)*(1-EXP(('2028'!Tnet_s-t)/'2028'!Tau_j)),Resal_s+(Salim-Resal_s)*(1-EXP((Tnet_s-t)/Tau_j)))*Salcycl</f>
        <v>6.3274571176976296E-2</v>
      </c>
      <c r="AD219" s="227">
        <f>(INDEX(Models!$BJ219:$BT219,,AH219)*(1-AF219)+INDEX(Models!$BJ219:$BT219,,AH219+1)*AF219-ERP_i)*AE219*Ramure*Pc/MaxiM</f>
        <v>4.7008254734448124E-4</v>
      </c>
      <c r="AE219" s="301">
        <f t="shared" si="92"/>
        <v>0.5</v>
      </c>
      <c r="AF219" s="173">
        <f t="shared" si="93"/>
        <v>0.91914615187759852</v>
      </c>
      <c r="AG219" s="801">
        <f t="shared" si="99"/>
        <v>3</v>
      </c>
      <c r="AH219" s="172">
        <f t="shared" si="94"/>
        <v>9</v>
      </c>
      <c r="AI219" s="221">
        <f t="shared" si="95"/>
        <v>3.9191461518775985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47324</v>
      </c>
      <c r="B220" s="406">
        <f>'2028'!Wh/'2028'!Env_an*'2029'!Env_an</f>
        <v>113.66813838814487</v>
      </c>
      <c r="C220" s="831"/>
      <c r="D220" s="388">
        <f t="shared" si="77"/>
        <v>118.27139871402831</v>
      </c>
      <c r="E220" s="380">
        <f t="shared" si="75"/>
        <v>122.92795586620743</v>
      </c>
      <c r="F220" s="380">
        <f t="shared" si="78"/>
        <v>122.92940764051831</v>
      </c>
      <c r="G220" s="110">
        <f t="shared" si="76"/>
        <v>0.51012372750656843</v>
      </c>
      <c r="H220" s="409" t="b">
        <f>Wh_hp&gt;='2028'!Maxi_hp</f>
        <v>1</v>
      </c>
      <c r="I220" s="385">
        <f>IF(H220,Wh_hp,'2028'!Maxi_hp)</f>
        <v>122.92940764051831</v>
      </c>
      <c r="J220" s="85">
        <f>IF(H220,An,'2028'!An_max)</f>
        <v>2029</v>
      </c>
      <c r="K220" s="193">
        <f t="shared" si="79"/>
        <v>47324</v>
      </c>
      <c r="L220" s="143">
        <f>IF(t&lt;Tvie,1-EXP((T0-t)*PertePVj)+'2028'!Pspv,1-EXP((T0-t)*PertePVj)+Pspv)</f>
        <v>3.8921162478291027E-2</v>
      </c>
      <c r="M220" s="835"/>
      <c r="N220" s="835"/>
      <c r="O220" s="48">
        <f>IF(t&lt;Tnet,'2028'!Resal+('2028'!Salim-'2028'!Resal)*(1-EXP(('2028'!Tnet-t)/('2028'!Tau_j))),Resal+(Salim-Resal)*(1-EXP((Tnet-t)/(Tau_j))))*Salcycl</f>
        <v>3.7880375699464452E-2</v>
      </c>
      <c r="P220" s="165">
        <f>(INDEX(Models!$BJ220:$BT220,,T220)*(1-R220)+INDEX(Models!$BJ220:$BT220,,T220+1)*R220-ERP_i)*Q220*Ramure*Pc/MaxiM</f>
        <v>3.9340260841422964E-5</v>
      </c>
      <c r="Q220" s="301">
        <f t="shared" si="80"/>
        <v>0.5</v>
      </c>
      <c r="R220" s="173">
        <f t="shared" si="81"/>
        <v>0.39661288649075521</v>
      </c>
      <c r="S220" s="801">
        <f t="shared" si="82"/>
        <v>0</v>
      </c>
      <c r="T220" s="172">
        <f t="shared" si="83"/>
        <v>6</v>
      </c>
      <c r="U220" s="247">
        <f t="shared" si="84"/>
        <v>0.39661288649075521</v>
      </c>
      <c r="V220" s="378">
        <f t="shared" si="85"/>
        <v>222.81851027187986</v>
      </c>
      <c r="W220" s="397">
        <f t="shared" si="86"/>
        <v>113.66813838814487</v>
      </c>
      <c r="X220" s="153">
        <f t="shared" si="87"/>
        <v>47324</v>
      </c>
      <c r="Y220" s="380">
        <f t="shared" si="88"/>
        <v>110.65067224850328</v>
      </c>
      <c r="Z220" s="380">
        <f t="shared" si="89"/>
        <v>115.13173314047079</v>
      </c>
      <c r="AA220" s="381">
        <f t="shared" si="90"/>
        <v>122.9118293331164</v>
      </c>
      <c r="AB220" s="193">
        <f t="shared" si="91"/>
        <v>47324</v>
      </c>
      <c r="AC220" s="119">
        <f>IF(OR(t&lt;Tnet,NoTnet),'2028'!Resal_s+('2028'!Salim-'2028'!Resal_s)*(1-EXP(('2028'!Tnet_s-t)/'2028'!Tau_j)),Resal_s+(Salim-Resal_s)*(1-EXP((Tnet_s-t)/Tau_j)))*Salcycl</f>
        <v>6.3298188911987921E-2</v>
      </c>
      <c r="AD220" s="227">
        <f>(INDEX(Models!$BJ220:$BT220,,AH220)*(1-AF220)+INDEX(Models!$BJ220:$BT220,,AH220+1)*AF220-ERP_i)*AE220*Ramure*Pc/MaxiM</f>
        <v>4.7633794947176241E-4</v>
      </c>
      <c r="AE220" s="301">
        <f t="shared" si="92"/>
        <v>0.5</v>
      </c>
      <c r="AF220" s="173">
        <f t="shared" si="93"/>
        <v>0.92160045286473347</v>
      </c>
      <c r="AG220" s="801">
        <f t="shared" si="99"/>
        <v>3</v>
      </c>
      <c r="AH220" s="172">
        <f t="shared" si="94"/>
        <v>9</v>
      </c>
      <c r="AI220" s="221">
        <f t="shared" si="95"/>
        <v>3.9216004528647335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47325</v>
      </c>
      <c r="B221" s="406">
        <f>'2028'!Wh/'2028'!Env_an*'2029'!Env_an</f>
        <v>202.82199653785437</v>
      </c>
      <c r="C221" s="831"/>
      <c r="D221" s="388">
        <f t="shared" si="77"/>
        <v>211.03864232583453</v>
      </c>
      <c r="E221" s="380">
        <f t="shared" si="75"/>
        <v>219.35921569638899</v>
      </c>
      <c r="F221" s="380">
        <f t="shared" si="78"/>
        <v>219.36696344341152</v>
      </c>
      <c r="G221" s="110">
        <f t="shared" si="76"/>
        <v>0.912302930997692</v>
      </c>
      <c r="H221" s="409" t="b">
        <f>Wh_hp&gt;='2028'!Maxi_hp</f>
        <v>1</v>
      </c>
      <c r="I221" s="385">
        <f>IF(H221,Wh_hp,'2028'!Maxi_hp)</f>
        <v>219.36696344341152</v>
      </c>
      <c r="J221" s="85">
        <f>IF(H221,An,'2028'!An_max)</f>
        <v>2029</v>
      </c>
      <c r="K221" s="193">
        <f t="shared" si="79"/>
        <v>47325</v>
      </c>
      <c r="L221" s="143">
        <f>IF(t&lt;Tvie,1-EXP((T0-t)*PertePVj)+'2028'!Pspv,1-EXP((T0-t)*PertePVj)+Pspv)</f>
        <v>3.8934318840499471E-2</v>
      </c>
      <c r="M221" s="835"/>
      <c r="N221" s="835"/>
      <c r="O221" s="48">
        <f>IF(t&lt;Tnet,'2028'!Resal+('2028'!Salim-'2028'!Resal)*(1-EXP(('2028'!Tnet-t)/('2028'!Tau_j))),Resal+(Salim-Resal)*(1-EXP((Tnet-t)/(Tau_j))))*Salcycl</f>
        <v>3.793126878275678E-2</v>
      </c>
      <c r="P221" s="165">
        <f>(INDEX(Models!$BJ221:$BT221,,T221)*(1-R221)+INDEX(Models!$BJ221:$BT221,,T221+1)*R221-ERP_i)*Q221*Ramure*Pc/MaxiM</f>
        <v>4.0376868801370955E-5</v>
      </c>
      <c r="Q221" s="301">
        <f t="shared" si="80"/>
        <v>0.5</v>
      </c>
      <c r="R221" s="173">
        <f t="shared" si="81"/>
        <v>0.39899484326861412</v>
      </c>
      <c r="S221" s="801">
        <f t="shared" si="82"/>
        <v>0</v>
      </c>
      <c r="T221" s="172">
        <f t="shared" si="83"/>
        <v>6</v>
      </c>
      <c r="U221" s="247">
        <f t="shared" si="84"/>
        <v>0.39899484326861412</v>
      </c>
      <c r="V221" s="378">
        <f t="shared" si="85"/>
        <v>222.31756984891553</v>
      </c>
      <c r="W221" s="397">
        <f t="shared" si="86"/>
        <v>202.82199653785437</v>
      </c>
      <c r="X221" s="153">
        <f t="shared" si="87"/>
        <v>47325</v>
      </c>
      <c r="Y221" s="380">
        <f t="shared" si="88"/>
        <v>197.39282137958071</v>
      </c>
      <c r="Z221" s="380">
        <f t="shared" si="89"/>
        <v>205.38952253651536</v>
      </c>
      <c r="AA221" s="381">
        <f t="shared" si="90"/>
        <v>219.27429961232744</v>
      </c>
      <c r="AB221" s="193">
        <f t="shared" si="91"/>
        <v>47325</v>
      </c>
      <c r="AC221" s="119">
        <f>IF(OR(t&lt;Tnet,NoTnet),'2028'!Resal_s+('2028'!Salim-'2028'!Resal_s)*(1-EXP(('2028'!Tnet_s-t)/'2028'!Tau_j)),Resal_s+(Salim-Resal_s)*(1-EXP((Tnet_s-t)/Tau_j)))*Salcycl</f>
        <v>6.3321497778627459E-2</v>
      </c>
      <c r="AD221" s="227">
        <f>(INDEX(Models!$BJ221:$BT221,,AH221)*(1-AF221)+INDEX(Models!$BJ221:$BT221,,AH221+1)*AF221-ERP_i)*AE221*Ramure*Pc/MaxiM</f>
        <v>4.8291139855639919E-4</v>
      </c>
      <c r="AE221" s="301">
        <f t="shared" si="92"/>
        <v>0.5</v>
      </c>
      <c r="AF221" s="173">
        <f t="shared" si="93"/>
        <v>0.92398240964259237</v>
      </c>
      <c r="AG221" s="801">
        <f t="shared" si="99"/>
        <v>3</v>
      </c>
      <c r="AH221" s="172">
        <f t="shared" si="94"/>
        <v>9</v>
      </c>
      <c r="AI221" s="221">
        <f t="shared" si="95"/>
        <v>3.9239824096425924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47326</v>
      </c>
      <c r="B222" s="406">
        <f>'2028'!Wh/'2028'!Env_an*'2029'!Env_an</f>
        <v>222.58306021778253</v>
      </c>
      <c r="C222" s="831"/>
      <c r="D222" s="388">
        <f t="shared" si="77"/>
        <v>231.60342898325842</v>
      </c>
      <c r="E222" s="380">
        <f t="shared" si="75"/>
        <v>240.74748772892372</v>
      </c>
      <c r="F222" s="380">
        <f t="shared" si="78"/>
        <v>240.75744789111334</v>
      </c>
      <c r="G222" s="110">
        <f t="shared" si="76"/>
        <v>1.0034973585030094</v>
      </c>
      <c r="H222" s="409" t="b">
        <f>Wh_hp&gt;='2028'!Maxi_hp</f>
        <v>1</v>
      </c>
      <c r="I222" s="385">
        <f>IF(H222,Wh_hp,'2028'!Maxi_hp)</f>
        <v>240.75744789111334</v>
      </c>
      <c r="J222" s="85">
        <f>IF(H222,An,'2028'!An_max)</f>
        <v>2029</v>
      </c>
      <c r="K222" s="193">
        <f t="shared" si="79"/>
        <v>47326</v>
      </c>
      <c r="L222" s="143">
        <f>IF(t&lt;Tvie,1-EXP((T0-t)*PertePVj)+'2028'!Pspv,1-EXP((T0-t)*PertePVj)+Pspv)</f>
        <v>3.8947475022608313E-2</v>
      </c>
      <c r="M222" s="835"/>
      <c r="N222" s="835"/>
      <c r="O222" s="48">
        <f>IF(t&lt;Tnet,'2028'!Resal+('2028'!Salim-'2028'!Resal)*(1-EXP(('2028'!Tnet-t)/('2028'!Tau_j))),Resal+(Salim-Resal)*(1-EXP((Tnet-t)/(Tau_j))))*Salcycl</f>
        <v>3.7981948770993187E-2</v>
      </c>
      <c r="P222" s="165">
        <f>(INDEX(Models!$BJ222:$BT222,,T222)*(1-R222)+INDEX(Models!$BJ222:$BT222,,T222+1)*R222-ERP_i)*Q222*Ramure*Pc/MaxiM</f>
        <v>4.1370110361568278E-5</v>
      </c>
      <c r="Q222" s="301">
        <f t="shared" si="80"/>
        <v>0.5</v>
      </c>
      <c r="R222" s="173">
        <f t="shared" si="81"/>
        <v>0.40130568477357997</v>
      </c>
      <c r="S222" s="801">
        <f t="shared" si="82"/>
        <v>0</v>
      </c>
      <c r="T222" s="172">
        <f t="shared" si="83"/>
        <v>6</v>
      </c>
      <c r="U222" s="247">
        <f t="shared" si="84"/>
        <v>0.40130568477357997</v>
      </c>
      <c r="V222" s="378">
        <f t="shared" si="85"/>
        <v>221.80732049940426</v>
      </c>
      <c r="W222" s="397">
        <f t="shared" si="86"/>
        <v>222.58306021778253</v>
      </c>
      <c r="X222" s="153">
        <f t="shared" si="87"/>
        <v>47326</v>
      </c>
      <c r="Y222" s="380">
        <f t="shared" si="88"/>
        <v>216.61771068958922</v>
      </c>
      <c r="Z222" s="380">
        <f t="shared" si="89"/>
        <v>225.39632856662547</v>
      </c>
      <c r="AA222" s="381">
        <f t="shared" si="90"/>
        <v>240.6395230331579</v>
      </c>
      <c r="AB222" s="193">
        <f t="shared" si="91"/>
        <v>47326</v>
      </c>
      <c r="AC222" s="119">
        <f>IF(OR(t&lt;Tnet,NoTnet),'2028'!Resal_s+('2028'!Salim-'2028'!Resal_s)*(1-EXP(('2028'!Tnet_s-t)/'2028'!Tau_j)),Resal_s+(Salim-Resal_s)*(1-EXP((Tnet_s-t)/Tau_j)))*Salcycl</f>
        <v>6.3344517452488674E-2</v>
      </c>
      <c r="AD222" s="227">
        <f>(INDEX(Models!$BJ222:$BT222,,AH222)*(1-AF222)+INDEX(Models!$BJ222:$BT222,,AH222+1)*AF222-ERP_i)*AE222*Ramure*Pc/MaxiM</f>
        <v>4.8980772552784265E-4</v>
      </c>
      <c r="AE222" s="301">
        <f t="shared" si="92"/>
        <v>0.5</v>
      </c>
      <c r="AF222" s="173">
        <f t="shared" si="93"/>
        <v>0.92629325114755812</v>
      </c>
      <c r="AG222" s="801">
        <f t="shared" si="99"/>
        <v>3</v>
      </c>
      <c r="AH222" s="172">
        <f t="shared" si="94"/>
        <v>9</v>
      </c>
      <c r="AI222" s="221">
        <f t="shared" si="95"/>
        <v>3.9262932511475581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47327</v>
      </c>
      <c r="B223" s="406">
        <f>'2028'!Wh/'2028'!Env_an*'2029'!Env_an</f>
        <v>179.79686682815293</v>
      </c>
      <c r="C223" s="831"/>
      <c r="D223" s="388">
        <f t="shared" si="77"/>
        <v>187.08584958371148</v>
      </c>
      <c r="E223" s="380">
        <f t="shared" si="75"/>
        <v>194.48249054117105</v>
      </c>
      <c r="F223" s="380">
        <f t="shared" si="78"/>
        <v>194.48851648937162</v>
      </c>
      <c r="G223" s="110">
        <f t="shared" si="76"/>
        <v>0.81249332292933629</v>
      </c>
      <c r="H223" s="409" t="b">
        <f>Wh_hp&gt;='2028'!Maxi_hp</f>
        <v>1</v>
      </c>
      <c r="I223" s="385">
        <f>IF(H223,Wh_hp,'2028'!Maxi_hp)</f>
        <v>194.48851648937162</v>
      </c>
      <c r="J223" s="85">
        <f>IF(H223,An,'2028'!An_max)</f>
        <v>2029</v>
      </c>
      <c r="K223" s="193">
        <f t="shared" si="79"/>
        <v>47327</v>
      </c>
      <c r="L223" s="143">
        <f>IF(t&lt;Tvie,1-EXP((T0-t)*PertePVj)+'2028'!Pspv,1-EXP((T0-t)*PertePVj)+Pspv)</f>
        <v>3.8960631024620107E-2</v>
      </c>
      <c r="M223" s="835"/>
      <c r="N223" s="835"/>
      <c r="O223" s="48">
        <f>IF(t&lt;Tnet,'2028'!Resal+('2028'!Salim-'2028'!Resal)*(1-EXP(('2028'!Tnet-t)/('2028'!Tau_j))),Resal+(Salim-Resal)*(1-EXP((Tnet-t)/(Tau_j))))*Salcycl</f>
        <v>3.8032426142207025E-2</v>
      </c>
      <c r="P223" s="165">
        <f>(INDEX(Models!$BJ223:$BT223,,T223)*(1-R223)+INDEX(Models!$BJ223:$BT223,,T223+1)*R223-ERP_i)*Q223*Ramure*Pc/MaxiM</f>
        <v>4.2318810712085291E-5</v>
      </c>
      <c r="Q223" s="301">
        <f t="shared" si="80"/>
        <v>0.5</v>
      </c>
      <c r="R223" s="173">
        <f t="shared" si="81"/>
        <v>0.40354668416016148</v>
      </c>
      <c r="S223" s="801">
        <f t="shared" si="82"/>
        <v>0</v>
      </c>
      <c r="T223" s="172">
        <f t="shared" si="83"/>
        <v>6</v>
      </c>
      <c r="U223" s="247">
        <f t="shared" si="84"/>
        <v>0.40354668416016148</v>
      </c>
      <c r="V223" s="378">
        <f t="shared" si="85"/>
        <v>221.28776157283039</v>
      </c>
      <c r="W223" s="397">
        <f t="shared" si="86"/>
        <v>179.79686682815293</v>
      </c>
      <c r="X223" s="153">
        <f t="shared" si="87"/>
        <v>47327</v>
      </c>
      <c r="Y223" s="380">
        <f t="shared" si="88"/>
        <v>175.00336749618174</v>
      </c>
      <c r="Z223" s="380">
        <f t="shared" si="89"/>
        <v>182.09802131494678</v>
      </c>
      <c r="AA223" s="381">
        <f t="shared" si="90"/>
        <v>194.41774211180103</v>
      </c>
      <c r="AB223" s="193">
        <f t="shared" si="91"/>
        <v>47327</v>
      </c>
      <c r="AC223" s="119">
        <f>IF(OR(t&lt;Tnet,NoTnet),'2028'!Resal_s+('2028'!Salim-'2028'!Resal_s)*(1-EXP(('2028'!Tnet_s-t)/'2028'!Tau_j)),Resal_s+(Salim-Resal_s)*(1-EXP((Tnet_s-t)/Tau_j)))*Salcycl</f>
        <v>6.336726608917069E-2</v>
      </c>
      <c r="AD223" s="227">
        <f>(INDEX(Models!$BJ223:$BT223,,AH223)*(1-AF223)+INDEX(Models!$BJ223:$BT223,,AH223+1)*AF223-ERP_i)*AE223*Ramure*Pc/MaxiM</f>
        <v>4.9703173475540571E-4</v>
      </c>
      <c r="AE223" s="301">
        <f t="shared" si="92"/>
        <v>0.5</v>
      </c>
      <c r="AF223" s="173">
        <f t="shared" si="93"/>
        <v>0.92853425053413963</v>
      </c>
      <c r="AG223" s="801">
        <f t="shared" si="99"/>
        <v>3</v>
      </c>
      <c r="AH223" s="172">
        <f t="shared" si="94"/>
        <v>9</v>
      </c>
      <c r="AI223" s="221">
        <f t="shared" si="95"/>
        <v>3.9285342505341396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47328</v>
      </c>
      <c r="B224" s="406">
        <f>'2028'!Wh/'2028'!Env_an*'2029'!Env_an</f>
        <v>109.21526846804804</v>
      </c>
      <c r="C224" s="831"/>
      <c r="D224" s="388">
        <f t="shared" si="77"/>
        <v>113.64442194523976</v>
      </c>
      <c r="E224" s="380">
        <f t="shared" si="75"/>
        <v>118.14365245813063</v>
      </c>
      <c r="F224" s="380">
        <f t="shared" si="78"/>
        <v>118.14507297317589</v>
      </c>
      <c r="G224" s="110">
        <f t="shared" si="76"/>
        <v>0.49471103876620443</v>
      </c>
      <c r="H224" s="409" t="b">
        <f>Wh_hp&gt;='2028'!Maxi_hp</f>
        <v>1</v>
      </c>
      <c r="I224" s="385">
        <f>IF(H224,Wh_hp,'2028'!Maxi_hp)</f>
        <v>118.14507297317589</v>
      </c>
      <c r="J224" s="85">
        <f>IF(H224,An,'2028'!An_max)</f>
        <v>2029</v>
      </c>
      <c r="K224" s="193">
        <f t="shared" si="79"/>
        <v>47328</v>
      </c>
      <c r="L224" s="143">
        <f>IF(t&lt;Tvie,1-EXP((T0-t)*PertePVj)+'2028'!Pspv,1-EXP((T0-t)*PertePVj)+Pspv)</f>
        <v>3.8973786846537295E-2</v>
      </c>
      <c r="M224" s="835"/>
      <c r="N224" s="835"/>
      <c r="O224" s="48">
        <f>IF(t&lt;Tnet,'2028'!Resal+('2028'!Salim-'2028'!Resal)*(1-EXP(('2028'!Tnet-t)/('2028'!Tau_j))),Resal+(Salim-Resal)*(1-EXP((Tnet-t)/(Tau_j))))*Salcycl</f>
        <v>3.8082710490818523E-2</v>
      </c>
      <c r="P224" s="165">
        <f>(INDEX(Models!$BJ224:$BT224,,T224)*(1-R224)+INDEX(Models!$BJ224:$BT224,,T224+1)*R224-ERP_i)*Q224*Ramure*Pc/MaxiM</f>
        <v>4.3221841254686645E-5</v>
      </c>
      <c r="Q224" s="301">
        <f t="shared" si="80"/>
        <v>0.5</v>
      </c>
      <c r="R224" s="173">
        <f t="shared" si="81"/>
        <v>0.40571915316419488</v>
      </c>
      <c r="S224" s="801">
        <f t="shared" si="82"/>
        <v>0</v>
      </c>
      <c r="T224" s="172">
        <f t="shared" si="83"/>
        <v>6</v>
      </c>
      <c r="U224" s="247">
        <f t="shared" si="84"/>
        <v>0.40571915316419488</v>
      </c>
      <c r="V224" s="378">
        <f t="shared" si="85"/>
        <v>220.75889262985635</v>
      </c>
      <c r="W224" s="397">
        <f t="shared" si="86"/>
        <v>109.21526846804804</v>
      </c>
      <c r="X224" s="153">
        <f t="shared" si="87"/>
        <v>47328</v>
      </c>
      <c r="Y224" s="380">
        <f t="shared" si="88"/>
        <v>106.32827919313151</v>
      </c>
      <c r="Z224" s="380">
        <f t="shared" si="89"/>
        <v>110.6403527165313</v>
      </c>
      <c r="AA224" s="381">
        <f t="shared" si="90"/>
        <v>118.12848934051365</v>
      </c>
      <c r="AB224" s="193">
        <f t="shared" si="91"/>
        <v>47328</v>
      </c>
      <c r="AC224" s="119">
        <f>IF(OR(t&lt;Tnet,NoTnet),'2028'!Resal_s+('2028'!Salim-'2028'!Resal_s)*(1-EXP(('2028'!Tnet_s-t)/'2028'!Tau_j)),Resal_s+(Salim-Resal_s)*(1-EXP((Tnet_s-t)/Tau_j)))*Salcycl</f>
        <v>6.3389760300728765E-2</v>
      </c>
      <c r="AD224" s="227">
        <f>(INDEX(Models!$BJ224:$BT224,,AH224)*(1-AF224)+INDEX(Models!$BJ224:$BT224,,AH224+1)*AF224-ERP_i)*AE224*Ramure*Pc/MaxiM</f>
        <v>5.0458820605177432E-4</v>
      </c>
      <c r="AE224" s="301">
        <f t="shared" si="92"/>
        <v>0.5</v>
      </c>
      <c r="AF224" s="173">
        <f t="shared" si="93"/>
        <v>0.93070671953817286</v>
      </c>
      <c r="AG224" s="801">
        <f t="shared" si="99"/>
        <v>3</v>
      </c>
      <c r="AH224" s="172">
        <f t="shared" si="94"/>
        <v>9</v>
      </c>
      <c r="AI224" s="221">
        <f t="shared" si="95"/>
        <v>3.9307067195381729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47329</v>
      </c>
      <c r="B225" s="406">
        <f>'2028'!Wh/'2028'!Env_an*'2029'!Env_an</f>
        <v>189.0434192039591</v>
      </c>
      <c r="C225" s="831"/>
      <c r="D225" s="388">
        <f t="shared" si="77"/>
        <v>196.7126437318671</v>
      </c>
      <c r="E225" s="380">
        <f t="shared" si="75"/>
        <v>204.51123178181169</v>
      </c>
      <c r="F225" s="380">
        <f t="shared" si="78"/>
        <v>204.51842335448276</v>
      </c>
      <c r="G225" s="110">
        <f t="shared" si="76"/>
        <v>0.85841940547258422</v>
      </c>
      <c r="H225" s="409" t="b">
        <f>Wh_hp&gt;='2028'!Maxi_hp</f>
        <v>1</v>
      </c>
      <c r="I225" s="385">
        <f>IF(H225,Wh_hp,'2028'!Maxi_hp)</f>
        <v>204.51842335448276</v>
      </c>
      <c r="J225" s="85">
        <f>IF(H225,An,'2028'!An_max)</f>
        <v>2029</v>
      </c>
      <c r="K225" s="193">
        <f t="shared" si="79"/>
        <v>47329</v>
      </c>
      <c r="L225" s="143">
        <f>IF(t&lt;Tvie,1-EXP((T0-t)*PertePVj)+'2028'!Pspv,1-EXP((T0-t)*PertePVj)+Pspv)</f>
        <v>3.8986942488362319E-2</v>
      </c>
      <c r="M225" s="835"/>
      <c r="N225" s="835"/>
      <c r="O225" s="48">
        <f>IF(t&lt;Tnet,'2028'!Resal+('2028'!Salim-'2028'!Resal)*(1-EXP(('2028'!Tnet-t)/('2028'!Tau_j))),Resal+(Salim-Resal)*(1-EXP((Tnet-t)/(Tau_j))))*Salcycl</f>
        <v>3.8132810516073305E-2</v>
      </c>
      <c r="P225" s="165">
        <f>(INDEX(Models!$BJ225:$BT225,,T225)*(1-R225)+INDEX(Models!$BJ225:$BT225,,T225+1)*R225-ERP_i)*Q225*Ramure*Pc/MaxiM</f>
        <v>4.4078116015730348E-5</v>
      </c>
      <c r="Q225" s="301">
        <f t="shared" si="80"/>
        <v>0.5</v>
      </c>
      <c r="R225" s="173">
        <f t="shared" si="81"/>
        <v>0.40782443671107732</v>
      </c>
      <c r="S225" s="801">
        <f t="shared" si="82"/>
        <v>0</v>
      </c>
      <c r="T225" s="172">
        <f t="shared" si="83"/>
        <v>6</v>
      </c>
      <c r="U225" s="247">
        <f t="shared" si="84"/>
        <v>0.40782443671107732</v>
      </c>
      <c r="V225" s="378">
        <f t="shared" si="85"/>
        <v>220.2207134181094</v>
      </c>
      <c r="W225" s="397">
        <f t="shared" si="86"/>
        <v>189.0434192039591</v>
      </c>
      <c r="X225" s="153">
        <f t="shared" si="87"/>
        <v>47329</v>
      </c>
      <c r="Y225" s="380">
        <f t="shared" si="88"/>
        <v>184.00630994039028</v>
      </c>
      <c r="Z225" s="380">
        <f t="shared" si="89"/>
        <v>191.47118605946935</v>
      </c>
      <c r="AA225" s="381">
        <f t="shared" si="90"/>
        <v>204.43480928164021</v>
      </c>
      <c r="AB225" s="193">
        <f t="shared" si="91"/>
        <v>47329</v>
      </c>
      <c r="AC225" s="119">
        <f>IF(OR(t&lt;Tnet,NoTnet),'2028'!Resal_s+('2028'!Salim-'2028'!Resal_s)*(1-EXP(('2028'!Tnet_s-t)/'2028'!Tau_j)),Resal_s+(Salim-Resal_s)*(1-EXP((Tnet_s-t)/Tau_j)))*Salcycl</f>
        <v>6.3412015144209091E-2</v>
      </c>
      <c r="AD225" s="227">
        <f>(INDEX(Models!$BJ225:$BT225,,AH225)*(1-AF225)+INDEX(Models!$BJ225:$BT225,,AH225+1)*AF225-ERP_i)*AE225*Ramure*Pc/MaxiM</f>
        <v>5.1248189677915036E-4</v>
      </c>
      <c r="AE225" s="301">
        <f t="shared" si="92"/>
        <v>0.5</v>
      </c>
      <c r="AF225" s="173">
        <f t="shared" si="93"/>
        <v>0.93281200308505552</v>
      </c>
      <c r="AG225" s="801">
        <f t="shared" si="99"/>
        <v>3</v>
      </c>
      <c r="AH225" s="172">
        <f t="shared" si="94"/>
        <v>9</v>
      </c>
      <c r="AI225" s="221">
        <f t="shared" si="95"/>
        <v>3.9328120030850555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47330</v>
      </c>
      <c r="B226" s="406">
        <f>'2028'!Wh/'2028'!Env_an*'2029'!Env_an</f>
        <v>216.33967219370106</v>
      </c>
      <c r="C226" s="831"/>
      <c r="D226" s="388">
        <f t="shared" si="77"/>
        <v>225.11934884928539</v>
      </c>
      <c r="E226" s="380">
        <f t="shared" si="75"/>
        <v>234.05625664175639</v>
      </c>
      <c r="F226" s="380">
        <f t="shared" si="78"/>
        <v>234.06653411113189</v>
      </c>
      <c r="G226" s="110">
        <f t="shared" si="76"/>
        <v>0.98482398861234977</v>
      </c>
      <c r="H226" s="409" t="b">
        <f>Wh_hp&gt;='2028'!Maxi_hp</f>
        <v>1</v>
      </c>
      <c r="I226" s="385">
        <f>IF(H226,Wh_hp,'2028'!Maxi_hp)</f>
        <v>234.06653411113189</v>
      </c>
      <c r="J226" s="85">
        <f>IF(H226,An,'2028'!An_max)</f>
        <v>2029</v>
      </c>
      <c r="K226" s="193">
        <f t="shared" si="79"/>
        <v>47330</v>
      </c>
      <c r="L226" s="143">
        <f>IF(t&lt;Tvie,1-EXP((T0-t)*PertePVj)+'2028'!Pspv,1-EXP((T0-t)*PertePVj)+Pspv)</f>
        <v>3.9000097950097623E-2</v>
      </c>
      <c r="M226" s="835"/>
      <c r="N226" s="835"/>
      <c r="O226" s="48">
        <f>IF(t&lt;Tnet,'2028'!Resal+('2028'!Salim-'2028'!Resal)*(1-EXP(('2028'!Tnet-t)/('2028'!Tau_j))),Resal+(Salim-Resal)*(1-EXP((Tnet-t)/(Tau_j))))*Salcycl</f>
        <v>3.8182734017444896E-2</v>
      </c>
      <c r="P226" s="165">
        <f>(INDEX(Models!$BJ226:$BT226,,T226)*(1-R226)+INDEX(Models!$BJ226:$BT226,,T226+1)*R226-ERP_i)*Q226*Ramure*Pc/MaxiM</f>
        <v>4.4881290341700097E-5</v>
      </c>
      <c r="Q226" s="301">
        <f t="shared" si="80"/>
        <v>0.5</v>
      </c>
      <c r="R226" s="173">
        <f t="shared" si="81"/>
        <v>0.40986390777655041</v>
      </c>
      <c r="S226" s="801">
        <f t="shared" si="82"/>
        <v>0</v>
      </c>
      <c r="T226" s="172">
        <f t="shared" si="83"/>
        <v>6</v>
      </c>
      <c r="U226" s="247">
        <f t="shared" si="84"/>
        <v>0.40986390777655041</v>
      </c>
      <c r="V226" s="378">
        <f t="shared" si="85"/>
        <v>219.67322505843376</v>
      </c>
      <c r="W226" s="397">
        <f t="shared" si="86"/>
        <v>216.33967219370106</v>
      </c>
      <c r="X226" s="153">
        <f t="shared" si="87"/>
        <v>47330</v>
      </c>
      <c r="Y226" s="380">
        <f t="shared" si="88"/>
        <v>210.56188198824515</v>
      </c>
      <c r="Z226" s="380">
        <f t="shared" si="89"/>
        <v>219.10707955234651</v>
      </c>
      <c r="AA226" s="381">
        <f t="shared" si="90"/>
        <v>233.94730309931956</v>
      </c>
      <c r="AB226" s="193">
        <f t="shared" si="91"/>
        <v>47330</v>
      </c>
      <c r="AC226" s="119">
        <f>IF(OR(t&lt;Tnet,NoTnet),'2028'!Resal_s+('2028'!Salim-'2028'!Resal_s)*(1-EXP(('2028'!Tnet_s-t)/'2028'!Tau_j)),Resal_s+(Salim-Resal_s)*(1-EXP((Tnet_s-t)/Tau_j)))*Salcycl</f>
        <v>6.3434044121777333E-2</v>
      </c>
      <c r="AD226" s="227">
        <f>(INDEX(Models!$BJ226:$BT226,,AH226)*(1-AF226)+INDEX(Models!$BJ226:$BT226,,AH226+1)*AF226-ERP_i)*AE226*Ramure*Pc/MaxiM</f>
        <v>5.2067697439668625E-4</v>
      </c>
      <c r="AE226" s="301">
        <f t="shared" si="92"/>
        <v>0.5</v>
      </c>
      <c r="AF226" s="173">
        <f t="shared" si="93"/>
        <v>0.93485147415052872</v>
      </c>
      <c r="AG226" s="801">
        <f t="shared" si="99"/>
        <v>3</v>
      </c>
      <c r="AH226" s="172">
        <f t="shared" si="94"/>
        <v>9</v>
      </c>
      <c r="AI226" s="221">
        <f t="shared" si="95"/>
        <v>3.9348514741505287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47331</v>
      </c>
      <c r="B227" s="406">
        <f>'2028'!Wh/'2028'!Env_an*'2029'!Env_an</f>
        <v>215.29234001042056</v>
      </c>
      <c r="C227" s="831"/>
      <c r="D227" s="388">
        <f t="shared" si="77"/>
        <v>224.03257977743908</v>
      </c>
      <c r="E227" s="380">
        <f t="shared" si="75"/>
        <v>232.93839411096084</v>
      </c>
      <c r="F227" s="380">
        <f t="shared" si="78"/>
        <v>232.94876372391144</v>
      </c>
      <c r="G227" s="110">
        <f t="shared" si="76"/>
        <v>0.98254659428074398</v>
      </c>
      <c r="H227" s="409" t="b">
        <f>Wh_hp&gt;='2028'!Maxi_hp</f>
        <v>1</v>
      </c>
      <c r="I227" s="385">
        <f>IF(H227,Wh_hp,'2028'!Maxi_hp)</f>
        <v>232.94876372391144</v>
      </c>
      <c r="J227" s="85">
        <f>IF(H227,An,'2028'!An_max)</f>
        <v>2029</v>
      </c>
      <c r="K227" s="193">
        <f t="shared" si="79"/>
        <v>47331</v>
      </c>
      <c r="L227" s="143">
        <f>IF(t&lt;Tvie,1-EXP((T0-t)*PertePVj)+'2028'!Pspv,1-EXP((T0-t)*PertePVj)+Pspv)</f>
        <v>3.9013253231745759E-2</v>
      </c>
      <c r="M227" s="835"/>
      <c r="N227" s="835"/>
      <c r="O227" s="48">
        <f>IF(t&lt;Tnet,'2028'!Resal+('2028'!Salim-'2028'!Resal)*(1-EXP(('2028'!Tnet-t)/('2028'!Tau_j))),Resal+(Salim-Resal)*(1-EXP((Tnet-t)/(Tau_j))))*Salcycl</f>
        <v>3.8232487896690232E-2</v>
      </c>
      <c r="P227" s="165">
        <f>(INDEX(Models!$BJ227:$BT227,,T227)*(1-R227)+INDEX(Models!$BJ227:$BT227,,T227+1)*R227-ERP_i)*Q227*Ramure*Pc/MaxiM</f>
        <v>4.5652772868637256E-5</v>
      </c>
      <c r="Q227" s="301">
        <f t="shared" si="80"/>
        <v>0.5</v>
      </c>
      <c r="R227" s="173">
        <f t="shared" si="81"/>
        <v>0.41183896250521962</v>
      </c>
      <c r="S227" s="801">
        <f t="shared" si="82"/>
        <v>0</v>
      </c>
      <c r="T227" s="172">
        <f t="shared" si="83"/>
        <v>6</v>
      </c>
      <c r="U227" s="247">
        <f t="shared" si="84"/>
        <v>0.41183896250521962</v>
      </c>
      <c r="V227" s="378">
        <f t="shared" si="85"/>
        <v>219.11642277864533</v>
      </c>
      <c r="W227" s="397">
        <f t="shared" si="86"/>
        <v>215.29234001042056</v>
      </c>
      <c r="X227" s="153">
        <f t="shared" si="87"/>
        <v>47331</v>
      </c>
      <c r="Y227" s="380">
        <f t="shared" si="88"/>
        <v>209.54733307740196</v>
      </c>
      <c r="Z227" s="380">
        <f t="shared" si="89"/>
        <v>218.05434235393793</v>
      </c>
      <c r="AA227" s="381">
        <f t="shared" si="90"/>
        <v>232.82868671387627</v>
      </c>
      <c r="AB227" s="193">
        <f t="shared" si="91"/>
        <v>47331</v>
      </c>
      <c r="AC227" s="119">
        <f>IF(OR(t&lt;Tnet,NoTnet),'2028'!Resal_s+('2028'!Salim-'2028'!Resal_s)*(1-EXP(('2028'!Tnet_s-t)/'2028'!Tau_j)),Resal_s+(Salim-Resal_s)*(1-EXP((Tnet_s-t)/Tau_j)))*Salcycl</f>
        <v>6.3455859191846806E-2</v>
      </c>
      <c r="AD227" s="227">
        <f>(INDEX(Models!$BJ227:$BT227,,AH227)*(1-AF227)+INDEX(Models!$BJ227:$BT227,,AH227+1)*AF227-ERP_i)*AE227*Ramure*Pc/MaxiM</f>
        <v>5.2864542698024663E-4</v>
      </c>
      <c r="AE227" s="301">
        <f t="shared" si="92"/>
        <v>0.5</v>
      </c>
      <c r="AF227" s="173">
        <f t="shared" si="93"/>
        <v>0.93682652887919771</v>
      </c>
      <c r="AG227" s="801">
        <f t="shared" si="99"/>
        <v>3</v>
      </c>
      <c r="AH227" s="172">
        <f t="shared" si="94"/>
        <v>9</v>
      </c>
      <c r="AI227" s="221">
        <f t="shared" si="95"/>
        <v>3.9368265288791977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47332</v>
      </c>
      <c r="B228" s="406">
        <f>'2028'!Wh/'2028'!Env_an*'2029'!Env_an</f>
        <v>215.35048052596423</v>
      </c>
      <c r="C228" s="831"/>
      <c r="D228" s="388">
        <f t="shared" si="77"/>
        <v>224.09614831606896</v>
      </c>
      <c r="E228" s="380">
        <f t="shared" si="75"/>
        <v>233.0165043495916</v>
      </c>
      <c r="F228" s="380">
        <f t="shared" si="78"/>
        <v>233.02708881208648</v>
      </c>
      <c r="G228" s="110">
        <f t="shared" si="76"/>
        <v>0.98535790056901151</v>
      </c>
      <c r="H228" s="409" t="b">
        <f>Wh_hp&gt;='2028'!Maxi_hp</f>
        <v>1</v>
      </c>
      <c r="I228" s="385">
        <f>IF(H228,Wh_hp,'2028'!Maxi_hp)</f>
        <v>233.02708881208648</v>
      </c>
      <c r="J228" s="85">
        <f>IF(H228,An,'2028'!An_max)</f>
        <v>2029</v>
      </c>
      <c r="K228" s="193">
        <f t="shared" si="79"/>
        <v>47332</v>
      </c>
      <c r="L228" s="143">
        <f>IF(t&lt;Tvie,1-EXP((T0-t)*PertePVj)+'2028'!Pspv,1-EXP((T0-t)*PertePVj)+Pspv)</f>
        <v>3.902640833330917E-2</v>
      </c>
      <c r="M228" s="835"/>
      <c r="N228" s="835"/>
      <c r="O228" s="48">
        <f>IF(t&lt;Tnet,'2028'!Resal+('2028'!Salim-'2028'!Resal)*(1-EXP(('2028'!Tnet-t)/('2028'!Tau_j))),Resal+(Salim-Resal)*(1-EXP((Tnet-t)/(Tau_j))))*Salcycl</f>
        <v>3.828207816618668E-2</v>
      </c>
      <c r="P228" s="165">
        <f>(INDEX(Models!$BJ228:$BT228,,T228)*(1-R228)+INDEX(Models!$BJ228:$BT228,,T228+1)*R228-ERP_i)*Q228*Ramure*Pc/MaxiM</f>
        <v>4.6391926678621361E-5</v>
      </c>
      <c r="Q228" s="301">
        <f t="shared" si="80"/>
        <v>0.5</v>
      </c>
      <c r="R228" s="173">
        <f t="shared" si="81"/>
        <v>0.41375101558985644</v>
      </c>
      <c r="S228" s="801">
        <f t="shared" si="82"/>
        <v>0</v>
      </c>
      <c r="T228" s="172">
        <f t="shared" si="83"/>
        <v>6</v>
      </c>
      <c r="U228" s="247">
        <f t="shared" si="84"/>
        <v>0.41375101558985644</v>
      </c>
      <c r="V228" s="378">
        <f t="shared" si="85"/>
        <v>218.55030687949099</v>
      </c>
      <c r="W228" s="397">
        <f t="shared" si="86"/>
        <v>215.35048052596423</v>
      </c>
      <c r="X228" s="153">
        <f t="shared" si="87"/>
        <v>47332</v>
      </c>
      <c r="Y228" s="380">
        <f t="shared" si="88"/>
        <v>209.60804843020907</v>
      </c>
      <c r="Z228" s="380">
        <f t="shared" si="89"/>
        <v>218.12050845920709</v>
      </c>
      <c r="AA228" s="381">
        <f t="shared" si="90"/>
        <v>232.90471041131522</v>
      </c>
      <c r="AB228" s="193">
        <f t="shared" si="91"/>
        <v>47332</v>
      </c>
      <c r="AC228" s="119">
        <f>IF(OR(t&lt;Tnet,NoTnet),'2028'!Resal_s+('2028'!Salim-'2028'!Resal_s)*(1-EXP(('2028'!Tnet_s-t)/'2028'!Tau_j)),Resal_s+(Salim-Resal_s)*(1-EXP((Tnet_s-t)/Tau_j)))*Salcycl</f>
        <v>6.3477470790517215E-2</v>
      </c>
      <c r="AD228" s="227">
        <f>(INDEX(Models!$BJ228:$BT228,,AH228)*(1-AF228)+INDEX(Models!$BJ228:$BT228,,AH228+1)*AF228-ERP_i)*AE228*Ramure*Pc/MaxiM</f>
        <v>5.3638716168878144E-4</v>
      </c>
      <c r="AE228" s="301">
        <f t="shared" si="92"/>
        <v>0.5</v>
      </c>
      <c r="AF228" s="173">
        <f t="shared" si="93"/>
        <v>0.93873858196383475</v>
      </c>
      <c r="AG228" s="801">
        <f t="shared" si="99"/>
        <v>3</v>
      </c>
      <c r="AH228" s="172">
        <f t="shared" si="94"/>
        <v>9</v>
      </c>
      <c r="AI228" s="221">
        <f t="shared" si="95"/>
        <v>3.9387385819638348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47333</v>
      </c>
      <c r="B229" s="406">
        <f>'2028'!Wh/'2028'!Env_an*'2029'!Env_an</f>
        <v>204.47266351857897</v>
      </c>
      <c r="C229" s="831"/>
      <c r="D229" s="388">
        <f t="shared" si="77"/>
        <v>212.7794815477852</v>
      </c>
      <c r="E229" s="380">
        <f t="shared" si="75"/>
        <v>221.26073979987214</v>
      </c>
      <c r="F229" s="380">
        <f t="shared" si="78"/>
        <v>221.2702390111952</v>
      </c>
      <c r="G229" s="110">
        <f t="shared" si="76"/>
        <v>0.93805218883175556</v>
      </c>
      <c r="H229" s="409" t="b">
        <f>Wh_hp&gt;='2028'!Maxi_hp</f>
        <v>1</v>
      </c>
      <c r="I229" s="385">
        <f>IF(H229,Wh_hp,'2028'!Maxi_hp)</f>
        <v>221.2702390111952</v>
      </c>
      <c r="J229" s="85">
        <f>IF(H229,An,'2028'!An_max)</f>
        <v>2029</v>
      </c>
      <c r="K229" s="193">
        <f t="shared" si="79"/>
        <v>47333</v>
      </c>
      <c r="L229" s="143">
        <f>IF(t&lt;Tvie,1-EXP((T0-t)*PertePVj)+'2028'!Pspv,1-EXP((T0-t)*PertePVj)+Pspv)</f>
        <v>3.9039563254790188E-2</v>
      </c>
      <c r="M229" s="835"/>
      <c r="N229" s="835"/>
      <c r="O229" s="48">
        <f>IF(t&lt;Tnet,'2028'!Resal+('2028'!Salim-'2028'!Resal)*(1-EXP(('2028'!Tnet-t)/('2028'!Tau_j))),Resal+(Salim-Resal)*(1-EXP((Tnet-t)/(Tau_j))))*Salcycl</f>
        <v>3.833150996312383E-2</v>
      </c>
      <c r="P229" s="165">
        <f>(INDEX(Models!$BJ229:$BT229,,T229)*(1-R229)+INDEX(Models!$BJ229:$BT229,,T229+1)*R229-ERP_i)*Q229*Ramure*Pc/MaxiM</f>
        <v>4.7098136089631699E-5</v>
      </c>
      <c r="Q229" s="301">
        <f t="shared" si="80"/>
        <v>0.5</v>
      </c>
      <c r="R229" s="173">
        <f t="shared" si="81"/>
        <v>0.41560149591257939</v>
      </c>
      <c r="S229" s="801">
        <f t="shared" si="82"/>
        <v>0</v>
      </c>
      <c r="T229" s="172">
        <f t="shared" si="83"/>
        <v>6</v>
      </c>
      <c r="U229" s="247">
        <f t="shared" si="84"/>
        <v>0.41560149591257939</v>
      </c>
      <c r="V229" s="378">
        <f t="shared" si="85"/>
        <v>217.97487785902842</v>
      </c>
      <c r="W229" s="397">
        <f t="shared" si="86"/>
        <v>204.47266351857897</v>
      </c>
      <c r="X229" s="153">
        <f t="shared" si="87"/>
        <v>47333</v>
      </c>
      <c r="Y229" s="380">
        <f t="shared" si="88"/>
        <v>199.03133047186421</v>
      </c>
      <c r="Z229" s="380">
        <f t="shared" si="89"/>
        <v>207.11709125714569</v>
      </c>
      <c r="AA229" s="381">
        <f t="shared" si="90"/>
        <v>221.16053955817068</v>
      </c>
      <c r="AB229" s="193">
        <f t="shared" si="91"/>
        <v>47333</v>
      </c>
      <c r="AC229" s="119">
        <f>IF(OR(t&lt;Tnet,NoTnet),'2028'!Resal_s+('2028'!Salim-'2028'!Resal_s)*(1-EXP(('2028'!Tnet_s-t)/'2028'!Tau_j)),Resal_s+(Salim-Resal_s)*(1-EXP((Tnet_s-t)/Tau_j)))*Salcycl</f>
        <v>6.3498887862548439E-2</v>
      </c>
      <c r="AD229" s="227">
        <f>(INDEX(Models!$BJ229:$BT229,,AH229)*(1-AF229)+INDEX(Models!$BJ229:$BT229,,AH229+1)*AF229-ERP_i)*AE229*Ramure*Pc/MaxiM</f>
        <v>5.439019716260259E-4</v>
      </c>
      <c r="AE229" s="301">
        <f t="shared" si="92"/>
        <v>0.5</v>
      </c>
      <c r="AF229" s="173">
        <f t="shared" si="93"/>
        <v>0.94058906228655736</v>
      </c>
      <c r="AG229" s="801">
        <f t="shared" si="99"/>
        <v>3</v>
      </c>
      <c r="AH229" s="172">
        <f t="shared" si="94"/>
        <v>9</v>
      </c>
      <c r="AI229" s="221">
        <f t="shared" si="95"/>
        <v>3.9405890622865574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47334</v>
      </c>
      <c r="B230" s="406">
        <f>'2028'!Wh/'2028'!Env_an*'2029'!Env_an</f>
        <v>194.04720180474447</v>
      </c>
      <c r="C230" s="831"/>
      <c r="D230" s="388">
        <f t="shared" si="77"/>
        <v>201.93324383009741</v>
      </c>
      <c r="E230" s="380">
        <f t="shared" si="75"/>
        <v>209.9929381814448</v>
      </c>
      <c r="F230" s="380">
        <f t="shared" si="78"/>
        <v>210.00143124713034</v>
      </c>
      <c r="G230" s="110">
        <f t="shared" si="76"/>
        <v>0.89261538263280771</v>
      </c>
      <c r="H230" s="409" t="b">
        <f>Wh_hp&gt;='2028'!Maxi_hp</f>
        <v>1</v>
      </c>
      <c r="I230" s="385">
        <f>IF(H230,Wh_hp,'2028'!Maxi_hp)</f>
        <v>210.00143124713034</v>
      </c>
      <c r="J230" s="85">
        <f>IF(H230,An,'2028'!An_max)</f>
        <v>2029</v>
      </c>
      <c r="K230" s="193">
        <f t="shared" si="79"/>
        <v>47334</v>
      </c>
      <c r="L230" s="143">
        <f>IF(t&lt;Tvie,1-EXP((T0-t)*PertePVj)+'2028'!Pspv,1-EXP((T0-t)*PertePVj)+Pspv)</f>
        <v>3.9052717996191366E-2</v>
      </c>
      <c r="M230" s="835"/>
      <c r="N230" s="835"/>
      <c r="O230" s="48">
        <f>IF(t&lt;Tnet,'2028'!Resal+('2028'!Salim-'2028'!Resal)*(1-EXP(('2028'!Tnet-t)/('2028'!Tau_j))),Resal+(Salim-Resal)*(1-EXP((Tnet-t)/(Tau_j))))*Salcycl</f>
        <v>3.8380787569072379E-2</v>
      </c>
      <c r="P230" s="165">
        <f>(INDEX(Models!$BJ230:$BT230,,T230)*(1-R230)+INDEX(Models!$BJ230:$BT230,,T230+1)*R230-ERP_i)*Q230*Ramure*Pc/MaxiM</f>
        <v>4.7770804389286427E-5</v>
      </c>
      <c r="Q230" s="301">
        <f t="shared" si="80"/>
        <v>0.5</v>
      </c>
      <c r="R230" s="173">
        <f t="shared" si="81"/>
        <v>0.41739184244725619</v>
      </c>
      <c r="S230" s="801">
        <f t="shared" si="82"/>
        <v>0</v>
      </c>
      <c r="T230" s="172">
        <f t="shared" si="83"/>
        <v>6</v>
      </c>
      <c r="U230" s="247">
        <f t="shared" si="84"/>
        <v>0.41739184244725619</v>
      </c>
      <c r="V230" s="378">
        <f t="shared" si="85"/>
        <v>217.39013640392176</v>
      </c>
      <c r="W230" s="397">
        <f t="shared" si="86"/>
        <v>194.04720180474447</v>
      </c>
      <c r="X230" s="153">
        <f t="shared" si="87"/>
        <v>47334</v>
      </c>
      <c r="Y230" s="380">
        <f t="shared" si="88"/>
        <v>188.89373917951374</v>
      </c>
      <c r="Z230" s="380">
        <f t="shared" si="89"/>
        <v>196.57034544665592</v>
      </c>
      <c r="AA230" s="381">
        <f t="shared" si="90"/>
        <v>209.90343647967339</v>
      </c>
      <c r="AB230" s="193">
        <f t="shared" si="91"/>
        <v>47334</v>
      </c>
      <c r="AC230" s="119">
        <f>IF(OR(t&lt;Tnet,NoTnet),'2028'!Resal_s+('2028'!Salim-'2028'!Resal_s)*(1-EXP(('2028'!Tnet_s-t)/'2028'!Tau_j)),Resal_s+(Salim-Resal_s)*(1-EXP((Tnet_s-t)/Tau_j)))*Salcycl</f>
        <v>6.3520117901016901E-2</v>
      </c>
      <c r="AD230" s="227">
        <f>(INDEX(Models!$BJ230:$BT230,,AH230)*(1-AF230)+INDEX(Models!$BJ230:$BT230,,AH230+1)*AF230-ERP_i)*AE230*Ramure*Pc/MaxiM</f>
        <v>5.5118952810354288E-4</v>
      </c>
      <c r="AE230" s="301">
        <f t="shared" si="92"/>
        <v>0.5</v>
      </c>
      <c r="AF230" s="173">
        <f t="shared" si="93"/>
        <v>0.9423794088212345</v>
      </c>
      <c r="AG230" s="801">
        <f t="shared" si="99"/>
        <v>3</v>
      </c>
      <c r="AH230" s="172">
        <f t="shared" si="94"/>
        <v>9</v>
      </c>
      <c r="AI230" s="221">
        <f t="shared" si="95"/>
        <v>3.9423794088212345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47335</v>
      </c>
      <c r="B231" s="406">
        <f>'2028'!Wh/'2028'!Env_an*'2029'!Env_an</f>
        <v>180.54850905348232</v>
      </c>
      <c r="C231" s="831"/>
      <c r="D231" s="388">
        <f t="shared" si="77"/>
        <v>187.8885387638486</v>
      </c>
      <c r="E231" s="380">
        <f t="shared" si="75"/>
        <v>195.39765388326683</v>
      </c>
      <c r="F231" s="380">
        <f t="shared" si="78"/>
        <v>195.40485390053539</v>
      </c>
      <c r="G231" s="110">
        <f t="shared" si="76"/>
        <v>0.83279374120510474</v>
      </c>
      <c r="H231" s="409" t="b">
        <f>Wh_hp&gt;='2028'!Maxi_hp</f>
        <v>1</v>
      </c>
      <c r="I231" s="385">
        <f>IF(H231,Wh_hp,'2028'!Maxi_hp)</f>
        <v>195.40485390053539</v>
      </c>
      <c r="J231" s="85">
        <f>IF(H231,An,'2028'!An_max)</f>
        <v>2029</v>
      </c>
      <c r="K231" s="193">
        <f t="shared" si="79"/>
        <v>47335</v>
      </c>
      <c r="L231" s="143">
        <f>IF(t&lt;Tvie,1-EXP((T0-t)*PertePVj)+'2028'!Pspv,1-EXP((T0-t)*PertePVj)+Pspv)</f>
        <v>3.9065872557515258E-2</v>
      </c>
      <c r="M231" s="835"/>
      <c r="N231" s="835"/>
      <c r="O231" s="48">
        <f>IF(t&lt;Tnet,'2028'!Resal+('2028'!Salim-'2028'!Resal)*(1-EXP(('2028'!Tnet-t)/('2028'!Tau_j))),Resal+(Salim-Resal)*(1-EXP((Tnet-t)/(Tau_j))))*Salcycl</f>
        <v>3.842991443440897E-2</v>
      </c>
      <c r="P231" s="165">
        <f>(INDEX(Models!$BJ231:$BT231,,T231)*(1-R231)+INDEX(Models!$BJ231:$BT231,,T231+1)*R231-ERP_i)*Q231*Ramure*Pc/MaxiM</f>
        <v>4.8409351707176434E-5</v>
      </c>
      <c r="Q231" s="301">
        <f t="shared" si="80"/>
        <v>0.5</v>
      </c>
      <c r="R231" s="173">
        <f t="shared" si="81"/>
        <v>0.41912350042089852</v>
      </c>
      <c r="S231" s="801">
        <f t="shared" si="82"/>
        <v>0</v>
      </c>
      <c r="T231" s="172">
        <f t="shared" si="83"/>
        <v>6</v>
      </c>
      <c r="U231" s="247">
        <f t="shared" si="84"/>
        <v>0.41912350042089852</v>
      </c>
      <c r="V231" s="378">
        <f t="shared" si="85"/>
        <v>216.79608337296276</v>
      </c>
      <c r="W231" s="397">
        <f t="shared" si="86"/>
        <v>180.54850905348232</v>
      </c>
      <c r="X231" s="153">
        <f t="shared" si="87"/>
        <v>47335</v>
      </c>
      <c r="Y231" s="380">
        <f t="shared" si="88"/>
        <v>175.76527585531144</v>
      </c>
      <c r="Z231" s="380">
        <f t="shared" si="89"/>
        <v>182.91084772179829</v>
      </c>
      <c r="AA231" s="381">
        <f t="shared" si="90"/>
        <v>195.32182438261029</v>
      </c>
      <c r="AB231" s="193">
        <f t="shared" si="91"/>
        <v>47335</v>
      </c>
      <c r="AC231" s="119">
        <f>IF(OR(t&lt;Tnet,NoTnet),'2028'!Resal_s+('2028'!Salim-'2028'!Resal_s)*(1-EXP(('2028'!Tnet_s-t)/'2028'!Tau_j)),Resal_s+(Salim-Resal_s)*(1-EXP((Tnet_s-t)/Tau_j)))*Salcycl</f>
        <v>6.3541166994736331E-2</v>
      </c>
      <c r="AD231" s="227">
        <f>(INDEX(Models!$BJ231:$BT231,,AH231)*(1-AF231)+INDEX(Models!$BJ231:$BT231,,AH231+1)*AF231-ERP_i)*AE231*Ramure*Pc/MaxiM</f>
        <v>5.5824937432582752E-4</v>
      </c>
      <c r="AE231" s="301">
        <f t="shared" si="92"/>
        <v>0.5</v>
      </c>
      <c r="AF231" s="173">
        <f t="shared" si="93"/>
        <v>0.94411106679487666</v>
      </c>
      <c r="AG231" s="801">
        <f t="shared" si="99"/>
        <v>3</v>
      </c>
      <c r="AH231" s="172">
        <f t="shared" si="94"/>
        <v>9</v>
      </c>
      <c r="AI231" s="221">
        <f t="shared" si="95"/>
        <v>3.9441110667948767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47336</v>
      </c>
      <c r="B232" s="406">
        <f>'2028'!Wh/'2028'!Env_an*'2029'!Env_an</f>
        <v>193.65858199566031</v>
      </c>
      <c r="C232" s="831"/>
      <c r="D232" s="388">
        <f t="shared" si="77"/>
        <v>201.53434821878864</v>
      </c>
      <c r="E232" s="380">
        <f t="shared" si="75"/>
        <v>209.59950519545237</v>
      </c>
      <c r="F232" s="380">
        <f t="shared" si="78"/>
        <v>209.60824900891876</v>
      </c>
      <c r="G232" s="110">
        <f t="shared" si="76"/>
        <v>0.89576174788995377</v>
      </c>
      <c r="H232" s="409" t="b">
        <f>Wh_hp&gt;='2028'!Maxi_hp</f>
        <v>1</v>
      </c>
      <c r="I232" s="385">
        <f>IF(H232,Wh_hp,'2028'!Maxi_hp)</f>
        <v>209.60824900891876</v>
      </c>
      <c r="J232" s="85">
        <f>IF(H232,An,'2028'!An_max)</f>
        <v>2029</v>
      </c>
      <c r="K232" s="193">
        <f t="shared" si="79"/>
        <v>47336</v>
      </c>
      <c r="L232" s="143">
        <f>IF(t&lt;Tvie,1-EXP((T0-t)*PertePVj)+'2028'!Pspv,1-EXP((T0-t)*PertePVj)+Pspv)</f>
        <v>3.9079026938764194E-2</v>
      </c>
      <c r="M232" s="835"/>
      <c r="N232" s="835"/>
      <c r="O232" s="48">
        <f>IF(t&lt;Tnet,'2028'!Resal+('2028'!Salim-'2028'!Resal)*(1-EXP(('2028'!Tnet-t)/('2028'!Tau_j))),Resal+(Salim-Resal)*(1-EXP((Tnet-t)/(Tau_j))))*Salcycl</f>
        <v>3.8478893207037554E-2</v>
      </c>
      <c r="P232" s="165">
        <f>(INDEX(Models!$BJ232:$BT232,,T232)*(1-R232)+INDEX(Models!$BJ232:$BT232,,T232+1)*R232-ERP_i)*Q232*Ramure*Pc/MaxiM</f>
        <v>4.9013213022789885E-5</v>
      </c>
      <c r="Q232" s="301">
        <f t="shared" si="80"/>
        <v>0.5</v>
      </c>
      <c r="R232" s="173">
        <f t="shared" si="81"/>
        <v>0.42079791773043007</v>
      </c>
      <c r="S232" s="801">
        <f t="shared" si="82"/>
        <v>0</v>
      </c>
      <c r="T232" s="172">
        <f t="shared" si="83"/>
        <v>6</v>
      </c>
      <c r="U232" s="247">
        <f t="shared" si="84"/>
        <v>0.42079791773043007</v>
      </c>
      <c r="V232" s="378">
        <f t="shared" si="85"/>
        <v>216.19271981220723</v>
      </c>
      <c r="W232" s="397">
        <f t="shared" si="86"/>
        <v>193.65858199566031</v>
      </c>
      <c r="X232" s="153">
        <f t="shared" si="87"/>
        <v>47336</v>
      </c>
      <c r="Y232" s="380">
        <f t="shared" si="88"/>
        <v>188.52377752793967</v>
      </c>
      <c r="Z232" s="380">
        <f t="shared" si="89"/>
        <v>196.19071995832667</v>
      </c>
      <c r="AA232" s="381">
        <f t="shared" si="90"/>
        <v>209.50744022989312</v>
      </c>
      <c r="AB232" s="193">
        <f t="shared" si="91"/>
        <v>47336</v>
      </c>
      <c r="AC232" s="119">
        <f>IF(OR(t&lt;Tnet,NoTnet),'2028'!Resal_s+('2028'!Salim-'2028'!Resal_s)*(1-EXP(('2028'!Tnet_s-t)/'2028'!Tau_j)),Resal_s+(Salim-Resal_s)*(1-EXP((Tnet_s-t)/Tau_j)))*Salcycl</f>
        <v>6.3562039882469057E-2</v>
      </c>
      <c r="AD232" s="227">
        <f>(INDEX(Models!$BJ232:$BT232,,AH232)*(1-AF232)+INDEX(Models!$BJ232:$BT232,,AH232+1)*AF232-ERP_i)*AE232*Ramure*Pc/MaxiM</f>
        <v>5.65080920349271E-4</v>
      </c>
      <c r="AE232" s="301">
        <f t="shared" si="92"/>
        <v>0.5</v>
      </c>
      <c r="AF232" s="173">
        <f t="shared" si="93"/>
        <v>0.94578548410440799</v>
      </c>
      <c r="AG232" s="801">
        <f t="shared" si="99"/>
        <v>3</v>
      </c>
      <c r="AH232" s="172">
        <f t="shared" si="94"/>
        <v>9</v>
      </c>
      <c r="AI232" s="221">
        <f t="shared" si="95"/>
        <v>3.945785484104408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47337</v>
      </c>
      <c r="B233" s="406">
        <f>'2028'!Wh/'2028'!Env_an*'2029'!Env_an</f>
        <v>206.9579645889975</v>
      </c>
      <c r="C233" s="831"/>
      <c r="D233" s="388">
        <f t="shared" si="77"/>
        <v>215.37754249363391</v>
      </c>
      <c r="E233" s="380">
        <f t="shared" ref="E233:E296" si="100">Wh_pvt/(1-Psa)</f>
        <v>224.00806374261711</v>
      </c>
      <c r="F233" s="380">
        <f t="shared" si="78"/>
        <v>224.01853624492227</v>
      </c>
      <c r="G233" s="110">
        <f t="shared" ref="G233:G296" si="101">+Wh_hp/MaxiM</f>
        <v>0.95999760035262083</v>
      </c>
      <c r="H233" s="409" t="b">
        <f>Wh_hp&gt;='2028'!Maxi_hp</f>
        <v>1</v>
      </c>
      <c r="I233" s="385">
        <f>IF(H233,Wh_hp,'2028'!Maxi_hp)</f>
        <v>224.01853624492227</v>
      </c>
      <c r="J233" s="85">
        <f>IF(H233,An,'2028'!An_max)</f>
        <v>2029</v>
      </c>
      <c r="K233" s="193">
        <f t="shared" si="79"/>
        <v>47337</v>
      </c>
      <c r="L233" s="143">
        <f>IF(t&lt;Tvie,1-EXP((T0-t)*PertePVj)+'2028'!Pspv,1-EXP((T0-t)*PertePVj)+Pspv)</f>
        <v>3.9092181139940729E-2</v>
      </c>
      <c r="M233" s="835"/>
      <c r="N233" s="835"/>
      <c r="O233" s="48">
        <f>IF(t&lt;Tnet,'2028'!Resal+('2028'!Salim-'2028'!Resal)*(1-EXP(('2028'!Tnet-t)/('2028'!Tau_j))),Resal+(Salim-Resal)*(1-EXP((Tnet-t)/(Tau_j))))*Salcycl</f>
        <v>3.8527725764817042E-2</v>
      </c>
      <c r="P233" s="165">
        <f>(INDEX(Models!$BJ233:$BT233,,T233)*(1-R233)+INDEX(Models!$BJ233:$BT233,,T233+1)*R233-ERP_i)*Q233*Ramure*Pc/MaxiM</f>
        <v>4.9581584673040151E-5</v>
      </c>
      <c r="Q233" s="301">
        <f t="shared" si="80"/>
        <v>0.5</v>
      </c>
      <c r="R233" s="173">
        <f t="shared" si="81"/>
        <v>0.42241654160999365</v>
      </c>
      <c r="S233" s="801">
        <f t="shared" si="82"/>
        <v>0</v>
      </c>
      <c r="T233" s="172">
        <f t="shared" si="83"/>
        <v>6</v>
      </c>
      <c r="U233" s="247">
        <f t="shared" si="84"/>
        <v>0.42241654160999365</v>
      </c>
      <c r="V233" s="378">
        <f t="shared" si="85"/>
        <v>215.58114117164783</v>
      </c>
      <c r="W233" s="397">
        <f t="shared" si="86"/>
        <v>206.9579645889975</v>
      </c>
      <c r="X233" s="153">
        <f t="shared" si="87"/>
        <v>47337</v>
      </c>
      <c r="Y233" s="380">
        <f t="shared" si="88"/>
        <v>201.46561726267018</v>
      </c>
      <c r="Z233" s="380">
        <f t="shared" si="89"/>
        <v>209.66175246827751</v>
      </c>
      <c r="AA233" s="381">
        <f t="shared" si="90"/>
        <v>223.89778726544222</v>
      </c>
      <c r="AB233" s="193">
        <f t="shared" si="91"/>
        <v>47337</v>
      </c>
      <c r="AC233" s="119">
        <f>IF(OR(t&lt;Tnet,NoTnet),'2028'!Resal_s+('2028'!Salim-'2028'!Resal_s)*(1-EXP(('2028'!Tnet_s-t)/'2028'!Tau_j)),Resal_s+(Salim-Resal_s)*(1-EXP((Tnet_s-t)/Tau_j)))*Salcycl</f>
        <v>6.3582740012911171E-2</v>
      </c>
      <c r="AD233" s="227">
        <f>(INDEX(Models!$BJ233:$BT233,,AH233)*(1-AF233)+INDEX(Models!$BJ233:$BT233,,AH233+1)*AF233-ERP_i)*AE233*Ramure*Pc/MaxiM</f>
        <v>5.7168053783278989E-4</v>
      </c>
      <c r="AE233" s="301">
        <f t="shared" si="92"/>
        <v>0.5</v>
      </c>
      <c r="AF233" s="173">
        <f t="shared" si="93"/>
        <v>0.94740410798397168</v>
      </c>
      <c r="AG233" s="801">
        <f t="shared" si="99"/>
        <v>3</v>
      </c>
      <c r="AH233" s="172">
        <f t="shared" si="94"/>
        <v>9</v>
      </c>
      <c r="AI233" s="221">
        <f t="shared" si="95"/>
        <v>3.9474041079839717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47338</v>
      </c>
      <c r="B234" s="406">
        <f>'2028'!Wh/'2028'!Env_an*'2029'!Env_an</f>
        <v>210.59024485630846</v>
      </c>
      <c r="C234" s="831"/>
      <c r="D234" s="388">
        <f t="shared" si="77"/>
        <v>219.16059331186284</v>
      </c>
      <c r="E234" s="380">
        <f t="shared" si="100"/>
        <v>227.95425068877358</v>
      </c>
      <c r="F234" s="380">
        <f t="shared" si="78"/>
        <v>227.96534476449787</v>
      </c>
      <c r="G234" s="110">
        <f t="shared" si="101"/>
        <v>0.97966075829631361</v>
      </c>
      <c r="H234" s="409" t="b">
        <f>Wh_hp&gt;='2028'!Maxi_hp</f>
        <v>1</v>
      </c>
      <c r="I234" s="385">
        <f>IF(H234,Wh_hp,'2028'!Maxi_hp)</f>
        <v>227.96534476449787</v>
      </c>
      <c r="J234" s="85">
        <f>IF(H234,An,'2028'!An_max)</f>
        <v>2029</v>
      </c>
      <c r="K234" s="193">
        <f t="shared" si="79"/>
        <v>47338</v>
      </c>
      <c r="L234" s="143">
        <f>IF(t&lt;Tvie,1-EXP((T0-t)*PertePVj)+'2028'!Pspv,1-EXP((T0-t)*PertePVj)+Pspv)</f>
        <v>3.9105335161047305E-2</v>
      </c>
      <c r="M234" s="835"/>
      <c r="N234" s="835"/>
      <c r="O234" s="48">
        <f>IF(t&lt;Tnet,'2028'!Resal+('2028'!Salim-'2028'!Resal)*(1-EXP(('2028'!Tnet-t)/('2028'!Tau_j))),Resal+(Salim-Resal)*(1-EXP((Tnet-t)/(Tau_j))))*Salcycl</f>
        <v>3.8576413251081458E-2</v>
      </c>
      <c r="P234" s="165">
        <f>(INDEX(Models!$BJ234:$BT234,,T234)*(1-R234)+INDEX(Models!$BJ234:$BT234,,T234+1)*R234-ERP_i)*Q234*Ramure*Pc/MaxiM</f>
        <v>5.0121865631319015E-5</v>
      </c>
      <c r="Q234" s="301">
        <f t="shared" si="80"/>
        <v>0.5</v>
      </c>
      <c r="R234" s="173">
        <f t="shared" si="81"/>
        <v>0.42398081554291517</v>
      </c>
      <c r="S234" s="801">
        <f t="shared" si="82"/>
        <v>0</v>
      </c>
      <c r="T234" s="172">
        <f t="shared" si="83"/>
        <v>6</v>
      </c>
      <c r="U234" s="247">
        <f t="shared" si="84"/>
        <v>0.42398081554291517</v>
      </c>
      <c r="V234" s="378">
        <f t="shared" si="85"/>
        <v>214.9621043689684</v>
      </c>
      <c r="W234" s="397">
        <f t="shared" si="86"/>
        <v>210.59024485630846</v>
      </c>
      <c r="X234" s="153">
        <f t="shared" si="87"/>
        <v>47338</v>
      </c>
      <c r="Y234" s="380">
        <f t="shared" si="88"/>
        <v>205.00326063205347</v>
      </c>
      <c r="Z234" s="380">
        <f t="shared" si="89"/>
        <v>213.34623672451372</v>
      </c>
      <c r="AA234" s="381">
        <f t="shared" si="90"/>
        <v>227.83744304139245</v>
      </c>
      <c r="AB234" s="193">
        <f t="shared" si="91"/>
        <v>47338</v>
      </c>
      <c r="AC234" s="119">
        <f>IF(OR(t&lt;Tnet,NoTnet),'2028'!Resal_s+('2028'!Salim-'2028'!Resal_s)*(1-EXP(('2028'!Tnet_s-t)/'2028'!Tau_j)),Resal_s+(Salim-Resal_s)*(1-EXP((Tnet_s-t)/Tau_j)))*Salcycl</f>
        <v>6.3603269609403254E-2</v>
      </c>
      <c r="AD234" s="227">
        <f>(INDEX(Models!$BJ234:$BT234,,AH234)*(1-AF234)+INDEX(Models!$BJ234:$BT234,,AH234+1)*AF234-ERP_i)*AE234*Ramure*Pc/MaxiM</f>
        <v>5.77846513654976E-4</v>
      </c>
      <c r="AE234" s="301">
        <f t="shared" si="92"/>
        <v>0.5</v>
      </c>
      <c r="AF234" s="173">
        <f t="shared" si="93"/>
        <v>0.94896838191689348</v>
      </c>
      <c r="AG234" s="801">
        <f t="shared" si="99"/>
        <v>3</v>
      </c>
      <c r="AH234" s="172">
        <f t="shared" si="94"/>
        <v>9</v>
      </c>
      <c r="AI234" s="221">
        <f t="shared" si="95"/>
        <v>3.9489683819168935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47339</v>
      </c>
      <c r="B235" s="406">
        <f>'2028'!Wh/'2028'!Env_an*'2029'!Env_an</f>
        <v>200.70355318442486</v>
      </c>
      <c r="C235" s="831"/>
      <c r="D235" s="388">
        <f t="shared" si="77"/>
        <v>208.87440427070581</v>
      </c>
      <c r="E235" s="380">
        <f t="shared" si="100"/>
        <v>217.26630579686108</v>
      </c>
      <c r="F235" s="380">
        <f t="shared" si="78"/>
        <v>217.27631381130089</v>
      </c>
      <c r="G235" s="110">
        <f t="shared" si="101"/>
        <v>0.93639646615819272</v>
      </c>
      <c r="H235" s="409" t="b">
        <f>Wh_hp&gt;='2028'!Maxi_hp</f>
        <v>1</v>
      </c>
      <c r="I235" s="385">
        <f>IF(H235,Wh_hp,'2028'!Maxi_hp)</f>
        <v>217.27631381130089</v>
      </c>
      <c r="J235" s="85">
        <f>IF(H235,An,'2028'!An_max)</f>
        <v>2029</v>
      </c>
      <c r="K235" s="193">
        <f t="shared" si="79"/>
        <v>47339</v>
      </c>
      <c r="L235" s="143">
        <f>IF(t&lt;Tvie,1-EXP((T0-t)*PertePVj)+'2028'!Pspv,1-EXP((T0-t)*PertePVj)+Pspv)</f>
        <v>3.9118489002086365E-2</v>
      </c>
      <c r="M235" s="835"/>
      <c r="N235" s="835"/>
      <c r="O235" s="48">
        <f>IF(t&lt;Tnet,'2028'!Resal+('2028'!Salim-'2028'!Resal)*(1-EXP(('2028'!Tnet-t)/('2028'!Tau_j))),Resal+(Salim-Resal)*(1-EXP((Tnet-t)/(Tau_j))))*Salcycl</f>
        <v>3.8624956112621928E-2</v>
      </c>
      <c r="P235" s="165">
        <f>(INDEX(Models!$BJ235:$BT235,,T235)*(1-R235)+INDEX(Models!$BJ235:$BT235,,T235+1)*R235-ERP_i)*Q235*Ramure*Pc/MaxiM</f>
        <v>5.0664396939075123E-5</v>
      </c>
      <c r="Q235" s="301">
        <f t="shared" si="80"/>
        <v>0.5</v>
      </c>
      <c r="R235" s="173">
        <f t="shared" si="81"/>
        <v>0.42549217641154347</v>
      </c>
      <c r="S235" s="801">
        <f t="shared" si="82"/>
        <v>0</v>
      </c>
      <c r="T235" s="172">
        <f t="shared" si="83"/>
        <v>6</v>
      </c>
      <c r="U235" s="247">
        <f t="shared" si="84"/>
        <v>0.42549217641154347</v>
      </c>
      <c r="V235" s="378">
        <f t="shared" si="85"/>
        <v>214.33509899231487</v>
      </c>
      <c r="W235" s="397">
        <f t="shared" si="86"/>
        <v>200.70355318442486</v>
      </c>
      <c r="X235" s="153">
        <f t="shared" si="87"/>
        <v>47339</v>
      </c>
      <c r="Y235" s="380">
        <f t="shared" si="88"/>
        <v>195.38989270573128</v>
      </c>
      <c r="Z235" s="380">
        <f t="shared" si="89"/>
        <v>203.34441912906735</v>
      </c>
      <c r="AA235" s="381">
        <f t="shared" si="90"/>
        <v>217.16098951988315</v>
      </c>
      <c r="AB235" s="193">
        <f t="shared" si="91"/>
        <v>47339</v>
      </c>
      <c r="AC235" s="119">
        <f>IF(OR(t&lt;Tnet,NoTnet),'2028'!Resal_s+('2028'!Salim-'2028'!Resal_s)*(1-EXP(('2028'!Tnet_s-t)/'2028'!Tau_j)),Resal_s+(Salim-Resal_s)*(1-EXP((Tnet_s-t)/Tau_j)))*Salcycl</f>
        <v>6.3623629738299645E-2</v>
      </c>
      <c r="AD235" s="227">
        <f>(INDEX(Models!$BJ235:$BT235,,AH235)*(1-AF235)+INDEX(Models!$BJ235:$BT235,,AH235+1)*AF235-ERP_i)*AE235*Ramure*Pc/MaxiM</f>
        <v>5.8381567215417044E-4</v>
      </c>
      <c r="AE235" s="301">
        <f t="shared" si="92"/>
        <v>0.5</v>
      </c>
      <c r="AF235" s="173">
        <f t="shared" si="93"/>
        <v>0.95047974278552161</v>
      </c>
      <c r="AG235" s="801">
        <f t="shared" si="99"/>
        <v>3</v>
      </c>
      <c r="AH235" s="172">
        <f t="shared" si="94"/>
        <v>9</v>
      </c>
      <c r="AI235" s="221">
        <f t="shared" si="95"/>
        <v>3.9504797427855216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47340</v>
      </c>
      <c r="B236" s="406">
        <f>'2028'!Wh/'2028'!Env_an*'2029'!Env_an</f>
        <v>195.10671210690273</v>
      </c>
      <c r="C236" s="831"/>
      <c r="D236" s="388">
        <f t="shared" si="77"/>
        <v>203.05248957062523</v>
      </c>
      <c r="E236" s="380">
        <f t="shared" si="100"/>
        <v>211.22111869568297</v>
      </c>
      <c r="F236" s="380">
        <f t="shared" si="78"/>
        <v>211.23059122556415</v>
      </c>
      <c r="G236" s="110">
        <f t="shared" si="101"/>
        <v>0.91298931146701934</v>
      </c>
      <c r="H236" s="409" t="b">
        <f>Wh_hp&gt;='2028'!Maxi_hp</f>
        <v>1</v>
      </c>
      <c r="I236" s="385">
        <f>IF(H236,Wh_hp,'2028'!Maxi_hp)</f>
        <v>211.23059122556415</v>
      </c>
      <c r="J236" s="85">
        <f>IF(H236,An,'2028'!An_max)</f>
        <v>2029</v>
      </c>
      <c r="K236" s="193">
        <f t="shared" si="79"/>
        <v>47340</v>
      </c>
      <c r="L236" s="143">
        <f>IF(t&lt;Tvie,1-EXP((T0-t)*PertePVj)+'2028'!Pspv,1-EXP((T0-t)*PertePVj)+Pspv)</f>
        <v>3.9131642663060351E-2</v>
      </c>
      <c r="M236" s="835"/>
      <c r="N236" s="835"/>
      <c r="O236" s="48">
        <f>IF(t&lt;Tnet,'2028'!Resal+('2028'!Salim-'2028'!Resal)*(1-EXP(('2028'!Tnet-t)/('2028'!Tau_j))),Resal+(Salim-Resal)*(1-EXP((Tnet-t)/(Tau_j))))*Salcycl</f>
        <v>3.8673354139491647E-2</v>
      </c>
      <c r="P236" s="165">
        <f>(INDEX(Models!$BJ236:$BT236,,T236)*(1-R236)+INDEX(Models!$BJ236:$BT236,,T236+1)*R236-ERP_i)*Q236*Ramure*Pc/MaxiM</f>
        <v>5.1209459277356269E-5</v>
      </c>
      <c r="Q236" s="301">
        <f t="shared" si="80"/>
        <v>0.5</v>
      </c>
      <c r="R236" s="173">
        <f t="shared" si="81"/>
        <v>0.42695205187744062</v>
      </c>
      <c r="S236" s="801">
        <f t="shared" si="82"/>
        <v>0</v>
      </c>
      <c r="T236" s="172">
        <f t="shared" si="83"/>
        <v>6</v>
      </c>
      <c r="U236" s="247">
        <f t="shared" si="84"/>
        <v>0.42695205187744062</v>
      </c>
      <c r="V236" s="378">
        <f t="shared" si="85"/>
        <v>213.69962140202108</v>
      </c>
      <c r="W236" s="397">
        <f t="shared" si="86"/>
        <v>195.10671210690273</v>
      </c>
      <c r="X236" s="153">
        <f t="shared" si="87"/>
        <v>47340</v>
      </c>
      <c r="Y236" s="380">
        <f t="shared" si="88"/>
        <v>189.94921385089808</v>
      </c>
      <c r="Z236" s="380">
        <f t="shared" si="89"/>
        <v>197.6849507016185</v>
      </c>
      <c r="AA236" s="381">
        <f t="shared" si="90"/>
        <v>211.12153153282807</v>
      </c>
      <c r="AB236" s="193">
        <f t="shared" si="91"/>
        <v>47340</v>
      </c>
      <c r="AC236" s="119">
        <f>IF(OR(t&lt;Tnet,NoTnet),'2028'!Resal_s+('2028'!Salim-'2028'!Resal_s)*(1-EXP(('2028'!Tnet_s-t)/'2028'!Tau_j)),Resal_s+(Salim-Resal_s)*(1-EXP((Tnet_s-t)/Tau_j)))*Salcycl</f>
        <v>6.3643820379923041E-2</v>
      </c>
      <c r="AD236" s="227">
        <f>(INDEX(Models!$BJ236:$BT236,,AH236)*(1-AF236)+INDEX(Models!$BJ236:$BT236,,AH236+1)*AF236-ERP_i)*AE236*Ramure*Pc/MaxiM</f>
        <v>5.8958778320317704E-4</v>
      </c>
      <c r="AE236" s="301">
        <f t="shared" si="92"/>
        <v>0.5</v>
      </c>
      <c r="AF236" s="173">
        <f t="shared" si="93"/>
        <v>0.95193961825141882</v>
      </c>
      <c r="AG236" s="801">
        <f t="shared" si="99"/>
        <v>3</v>
      </c>
      <c r="AH236" s="172">
        <f t="shared" si="94"/>
        <v>9</v>
      </c>
      <c r="AI236" s="221">
        <f t="shared" si="95"/>
        <v>3.9519396182514188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47341</v>
      </c>
      <c r="B237" s="406">
        <f>'2028'!Wh/'2028'!Env_an*'2029'!Env_an</f>
        <v>181.07625901291956</v>
      </c>
      <c r="C237" s="831"/>
      <c r="D237" s="388">
        <f t="shared" si="77"/>
        <v>188.45322196959398</v>
      </c>
      <c r="E237" s="380">
        <f t="shared" si="100"/>
        <v>196.0443751207323</v>
      </c>
      <c r="F237" s="380">
        <f t="shared" si="78"/>
        <v>196.05234647519208</v>
      </c>
      <c r="G237" s="110">
        <f t="shared" si="101"/>
        <v>0.84989371933893632</v>
      </c>
      <c r="H237" s="409" t="b">
        <f>Wh_hp&gt;='2028'!Maxi_hp</f>
        <v>1</v>
      </c>
      <c r="I237" s="385">
        <f>IF(H237,Wh_hp,'2028'!Maxi_hp)</f>
        <v>196.05234647519208</v>
      </c>
      <c r="J237" s="85">
        <f>IF(H237,An,'2028'!An_max)</f>
        <v>2029</v>
      </c>
      <c r="K237" s="193">
        <f t="shared" si="79"/>
        <v>47341</v>
      </c>
      <c r="L237" s="143">
        <f>IF(t&lt;Tvie,1-EXP((T0-t)*PertePVj)+'2028'!Pspv,1-EXP((T0-t)*PertePVj)+Pspv)</f>
        <v>3.9144796143971816E-2</v>
      </c>
      <c r="M237" s="835"/>
      <c r="N237" s="835"/>
      <c r="O237" s="48">
        <f>IF(t&lt;Tnet,'2028'!Resal+('2028'!Salim-'2028'!Resal)*(1-EXP(('2028'!Tnet-t)/('2028'!Tau_j))),Resal+(Salim-Resal)*(1-EXP((Tnet-t)/(Tau_j))))*Salcycl</f>
        <v>3.8721606505993218E-2</v>
      </c>
      <c r="P237" s="165">
        <f>(INDEX(Models!$BJ237:$BT237,,T237)*(1-R237)+INDEX(Models!$BJ237:$BT237,,T237+1)*R237-ERP_i)*Q237*Ramure*Pc/MaxiM</f>
        <v>5.1757335161094664E-5</v>
      </c>
      <c r="Q237" s="301">
        <f t="shared" si="80"/>
        <v>0.5</v>
      </c>
      <c r="R237" s="173">
        <f t="shared" si="81"/>
        <v>0.42836185798378312</v>
      </c>
      <c r="S237" s="801">
        <f t="shared" si="82"/>
        <v>0</v>
      </c>
      <c r="T237" s="172">
        <f t="shared" si="83"/>
        <v>6</v>
      </c>
      <c r="U237" s="247">
        <f t="shared" si="84"/>
        <v>0.42836185798378312</v>
      </c>
      <c r="V237" s="378">
        <f t="shared" si="85"/>
        <v>213.05516822079701</v>
      </c>
      <c r="W237" s="397">
        <f t="shared" si="86"/>
        <v>181.07625901291956</v>
      </c>
      <c r="X237" s="153">
        <f t="shared" si="87"/>
        <v>47341</v>
      </c>
      <c r="Y237" s="380">
        <f t="shared" si="88"/>
        <v>176.30258763192387</v>
      </c>
      <c r="Z237" s="380">
        <f t="shared" si="89"/>
        <v>183.48507342667267</v>
      </c>
      <c r="AA237" s="381">
        <f t="shared" si="90"/>
        <v>195.96068310002707</v>
      </c>
      <c r="AB237" s="193">
        <f t="shared" si="91"/>
        <v>47341</v>
      </c>
      <c r="AC237" s="119">
        <f>IF(OR(t&lt;Tnet,NoTnet),'2028'!Resal_s+('2028'!Salim-'2028'!Resal_s)*(1-EXP(('2028'!Tnet_s-t)/'2028'!Tau_j)),Resal_s+(Salim-Resal_s)*(1-EXP((Tnet_s-t)/Tau_j)))*Salcycl</f>
        <v>6.3663840501037169E-2</v>
      </c>
      <c r="AD237" s="227">
        <f>(INDEX(Models!$BJ237:$BT237,,AH237)*(1-AF237)+INDEX(Models!$BJ237:$BT237,,AH237+1)*AF237-ERP_i)*AE237*Ramure*Pc/MaxiM</f>
        <v>5.9516259807052528E-4</v>
      </c>
      <c r="AE237" s="301">
        <f t="shared" si="92"/>
        <v>0.5</v>
      </c>
      <c r="AF237" s="173">
        <f t="shared" si="93"/>
        <v>0.95334942435776115</v>
      </c>
      <c r="AG237" s="801">
        <f t="shared" si="99"/>
        <v>3</v>
      </c>
      <c r="AH237" s="172">
        <f t="shared" si="94"/>
        <v>9</v>
      </c>
      <c r="AI237" s="221">
        <f t="shared" si="95"/>
        <v>3.9533494243577612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47342</v>
      </c>
      <c r="B238" s="406">
        <f>'2028'!Wh/'2028'!Env_an*'2029'!Env_an</f>
        <v>189.70859632295574</v>
      </c>
      <c r="C238" s="831"/>
      <c r="D238" s="388">
        <f t="shared" si="77"/>
        <v>197.4399394919713</v>
      </c>
      <c r="E238" s="380">
        <f t="shared" si="100"/>
        <v>205.40336890986481</v>
      </c>
      <c r="F238" s="380">
        <f t="shared" si="78"/>
        <v>205.41247375101565</v>
      </c>
      <c r="G238" s="110">
        <f t="shared" si="101"/>
        <v>0.89315431952555258</v>
      </c>
      <c r="H238" s="409" t="b">
        <f>Wh_hp&gt;='2028'!Maxi_hp</f>
        <v>1</v>
      </c>
      <c r="I238" s="385">
        <f>IF(H238,Wh_hp,'2028'!Maxi_hp)</f>
        <v>205.41247375101565</v>
      </c>
      <c r="J238" s="85">
        <f>IF(H238,An,'2028'!An_max)</f>
        <v>2029</v>
      </c>
      <c r="K238" s="193">
        <f t="shared" si="79"/>
        <v>47342</v>
      </c>
      <c r="L238" s="143">
        <f>IF(t&lt;Tvie,1-EXP((T0-t)*PertePVj)+'2028'!Pspv,1-EXP((T0-t)*PertePVj)+Pspv)</f>
        <v>3.9157949444823203E-2</v>
      </c>
      <c r="M238" s="835"/>
      <c r="N238" s="835"/>
      <c r="O238" s="48">
        <f>IF(t&lt;Tnet,'2028'!Resal+('2028'!Salim-'2028'!Resal)*(1-EXP(('2028'!Tnet-t)/('2028'!Tau_j))),Resal+(Salim-Resal)*(1-EXP((Tnet-t)/(Tau_j))))*Salcycl</f>
        <v>3.8769711812214759E-2</v>
      </c>
      <c r="P238" s="165">
        <f>(INDEX(Models!$BJ238:$BT238,,T238)*(1-R238)+INDEX(Models!$BJ238:$BT238,,T238+1)*R238-ERP_i)*Q238*Ramure*Pc/MaxiM</f>
        <v>5.2308309162894891E-5</v>
      </c>
      <c r="Q238" s="301">
        <f t="shared" si="80"/>
        <v>0.5</v>
      </c>
      <c r="R238" s="173">
        <f t="shared" si="81"/>
        <v>0.42972299697134919</v>
      </c>
      <c r="S238" s="801">
        <f t="shared" si="82"/>
        <v>0</v>
      </c>
      <c r="T238" s="172">
        <f t="shared" si="83"/>
        <v>6</v>
      </c>
      <c r="U238" s="247">
        <f t="shared" si="84"/>
        <v>0.42972299697134919</v>
      </c>
      <c r="V238" s="378">
        <f t="shared" si="85"/>
        <v>212.40123632002684</v>
      </c>
      <c r="W238" s="397">
        <f t="shared" si="86"/>
        <v>189.70859632295574</v>
      </c>
      <c r="X238" s="153">
        <f t="shared" si="87"/>
        <v>47342</v>
      </c>
      <c r="Y238" s="380">
        <f t="shared" si="88"/>
        <v>184.70571912018221</v>
      </c>
      <c r="Z238" s="380">
        <f t="shared" si="89"/>
        <v>192.23317611199346</v>
      </c>
      <c r="AA238" s="381">
        <f t="shared" si="90"/>
        <v>205.30794313260839</v>
      </c>
      <c r="AB238" s="193">
        <f t="shared" si="91"/>
        <v>47342</v>
      </c>
      <c r="AC238" s="119">
        <f>IF(OR(t&lt;Tnet,NoTnet),'2028'!Resal_s+('2028'!Salim-'2028'!Resal_s)*(1-EXP(('2028'!Tnet_s-t)/'2028'!Tau_j)),Resal_s+(Salim-Resal_s)*(1-EXP((Tnet_s-t)/Tau_j)))*Salcycl</f>
        <v>6.368368812778924E-2</v>
      </c>
      <c r="AD238" s="227">
        <f>(INDEX(Models!$BJ238:$BT238,,AH238)*(1-AF238)+INDEX(Models!$BJ238:$BT238,,AH238+1)*AF238-ERP_i)*AE238*Ramure*Pc/MaxiM</f>
        <v>6.0053984622557223E-4</v>
      </c>
      <c r="AE238" s="301">
        <f t="shared" si="92"/>
        <v>0.5</v>
      </c>
      <c r="AF238" s="173">
        <f t="shared" si="93"/>
        <v>0.95471056334532722</v>
      </c>
      <c r="AG238" s="801">
        <f t="shared" si="99"/>
        <v>3</v>
      </c>
      <c r="AH238" s="172">
        <f t="shared" si="94"/>
        <v>9</v>
      </c>
      <c r="AI238" s="221">
        <f t="shared" si="95"/>
        <v>3.9547105633453272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47343</v>
      </c>
      <c r="B239" s="406">
        <f>'2028'!Wh/'2028'!Env_an*'2029'!Env_an</f>
        <v>131.87183755952506</v>
      </c>
      <c r="C239" s="831"/>
      <c r="D239" s="388">
        <f t="shared" si="77"/>
        <v>137.2479927608868</v>
      </c>
      <c r="E239" s="380">
        <f t="shared" si="100"/>
        <v>142.79079859200561</v>
      </c>
      <c r="F239" s="380">
        <f t="shared" si="78"/>
        <v>142.79427961604301</v>
      </c>
      <c r="G239" s="110">
        <f t="shared" si="101"/>
        <v>0.62279091558997945</v>
      </c>
      <c r="H239" s="409" t="b">
        <f>Wh_hp&gt;='2028'!Maxi_hp</f>
        <v>1</v>
      </c>
      <c r="I239" s="385">
        <f>IF(H239,Wh_hp,'2028'!Maxi_hp)</f>
        <v>142.79427961604301</v>
      </c>
      <c r="J239" s="85">
        <f>IF(H239,An,'2028'!An_max)</f>
        <v>2029</v>
      </c>
      <c r="K239" s="193">
        <f t="shared" si="79"/>
        <v>47343</v>
      </c>
      <c r="L239" s="143">
        <f>IF(t&lt;Tvie,1-EXP((T0-t)*PertePVj)+'2028'!Pspv,1-EXP((T0-t)*PertePVj)+Pspv)</f>
        <v>3.9171102565616844E-2</v>
      </c>
      <c r="M239" s="835"/>
      <c r="N239" s="835"/>
      <c r="O239" s="48">
        <f>IF(t&lt;Tnet,'2028'!Resal+('2028'!Salim-'2028'!Resal)*(1-EXP(('2028'!Tnet-t)/('2028'!Tau_j))),Resal+(Salim-Resal)*(1-EXP((Tnet-t)/(Tau_j))))*Salcycl</f>
        <v>3.8817668125494594E-2</v>
      </c>
      <c r="P239" s="165">
        <f>(INDEX(Models!$BJ239:$BT239,,T239)*(1-R239)+INDEX(Models!$BJ239:$BT239,,T239+1)*R239-ERP_i)*Q239*Ramure*Pc/MaxiM</f>
        <v>5.2862668195100247E-5</v>
      </c>
      <c r="Q239" s="301">
        <f t="shared" si="80"/>
        <v>0.5</v>
      </c>
      <c r="R239" s="173">
        <f t="shared" si="81"/>
        <v>0.4310368552990928</v>
      </c>
      <c r="S239" s="801">
        <f t="shared" si="82"/>
        <v>0</v>
      </c>
      <c r="T239" s="172">
        <f t="shared" si="83"/>
        <v>6</v>
      </c>
      <c r="U239" s="247">
        <f t="shared" si="84"/>
        <v>0.4310368552990928</v>
      </c>
      <c r="V239" s="378">
        <f t="shared" si="85"/>
        <v>211.73732279592235</v>
      </c>
      <c r="W239" s="397">
        <f t="shared" si="86"/>
        <v>131.87183755952506</v>
      </c>
      <c r="X239" s="153">
        <f t="shared" si="87"/>
        <v>47343</v>
      </c>
      <c r="Y239" s="380">
        <f t="shared" si="88"/>
        <v>128.42483074988053</v>
      </c>
      <c r="Z239" s="380">
        <f t="shared" si="89"/>
        <v>133.66045826973152</v>
      </c>
      <c r="AA239" s="381">
        <f t="shared" si="90"/>
        <v>142.75439280591434</v>
      </c>
      <c r="AB239" s="193">
        <f t="shared" si="91"/>
        <v>47343</v>
      </c>
      <c r="AC239" s="119">
        <f>IF(OR(t&lt;Tnet,NoTnet),'2028'!Resal_s+('2028'!Salim-'2028'!Resal_s)*(1-EXP(('2028'!Tnet_s-t)/'2028'!Tau_j)),Resal_s+(Salim-Resal_s)*(1-EXP((Tnet_s-t)/Tau_j)))*Salcycl</f>
        <v>6.3703360418104399E-2</v>
      </c>
      <c r="AD239" s="227">
        <f>(INDEX(Models!$BJ239:$BT239,,AH239)*(1-AF239)+INDEX(Models!$BJ239:$BT239,,AH239+1)*AF239-ERP_i)*AE239*Ramure*Pc/MaxiM</f>
        <v>6.0571923277006148E-4</v>
      </c>
      <c r="AE239" s="301">
        <f t="shared" si="92"/>
        <v>0.5</v>
      </c>
      <c r="AF239" s="173">
        <f t="shared" si="93"/>
        <v>0.95602442167307089</v>
      </c>
      <c r="AG239" s="801">
        <f t="shared" si="99"/>
        <v>3</v>
      </c>
      <c r="AH239" s="172">
        <f t="shared" si="94"/>
        <v>9</v>
      </c>
      <c r="AI239" s="221">
        <f t="shared" si="95"/>
        <v>3.9560244216730709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47344</v>
      </c>
      <c r="B240" s="406">
        <f>'2028'!Wh/'2028'!Env_an*'2029'!Env_an</f>
        <v>144.64671277448903</v>
      </c>
      <c r="C240" s="831"/>
      <c r="D240" s="388">
        <f t="shared" si="77"/>
        <v>150.54573533317637</v>
      </c>
      <c r="E240" s="380">
        <f t="shared" si="100"/>
        <v>156.63336516106611</v>
      </c>
      <c r="F240" s="380">
        <f t="shared" si="78"/>
        <v>156.63796668199029</v>
      </c>
      <c r="G240" s="110">
        <f t="shared" si="101"/>
        <v>0.68530858659174188</v>
      </c>
      <c r="H240" s="409" t="b">
        <f>Wh_hp&gt;='2028'!Maxi_hp</f>
        <v>1</v>
      </c>
      <c r="I240" s="385">
        <f>IF(H240,Wh_hp,'2028'!Maxi_hp)</f>
        <v>156.63796668199029</v>
      </c>
      <c r="J240" s="85">
        <f>IF(H240,An,'2028'!An_max)</f>
        <v>2029</v>
      </c>
      <c r="K240" s="193">
        <f t="shared" si="79"/>
        <v>47344</v>
      </c>
      <c r="L240" s="143">
        <f>IF(t&lt;Tvie,1-EXP((T0-t)*PertePVj)+'2028'!Pspv,1-EXP((T0-t)*PertePVj)+Pspv)</f>
        <v>3.9184255506355403E-2</v>
      </c>
      <c r="M240" s="835"/>
      <c r="N240" s="835"/>
      <c r="O240" s="48">
        <f>IF(t&lt;Tnet,'2028'!Resal+('2028'!Salim-'2028'!Resal)*(1-EXP(('2028'!Tnet-t)/('2028'!Tau_j))),Resal+(Salim-Resal)*(1-EXP((Tnet-t)/(Tau_j))))*Salcycl</f>
        <v>3.8865473021216394E-2</v>
      </c>
      <c r="P240" s="165">
        <f>(INDEX(Models!$BJ240:$BT240,,T240)*(1-R240)+INDEX(Models!$BJ240:$BT240,,T240+1)*R240-ERP_i)*Q240*Ramure*Pc/MaxiM</f>
        <v>5.3367294354166122E-5</v>
      </c>
      <c r="Q240" s="301">
        <f t="shared" si="80"/>
        <v>0.5</v>
      </c>
      <c r="R240" s="173">
        <f t="shared" si="81"/>
        <v>0.43230480186004172</v>
      </c>
      <c r="S240" s="801">
        <f t="shared" si="82"/>
        <v>0</v>
      </c>
      <c r="T240" s="172">
        <f t="shared" si="83"/>
        <v>6</v>
      </c>
      <c r="U240" s="247">
        <f t="shared" si="84"/>
        <v>0.43230480186004172</v>
      </c>
      <c r="V240" s="378">
        <f t="shared" si="85"/>
        <v>211.06293625264317</v>
      </c>
      <c r="W240" s="397">
        <f t="shared" si="86"/>
        <v>144.64671277448903</v>
      </c>
      <c r="X240" s="153">
        <f t="shared" si="87"/>
        <v>47344</v>
      </c>
      <c r="Y240" s="380">
        <f t="shared" si="88"/>
        <v>140.86260847458826</v>
      </c>
      <c r="Z240" s="380">
        <f t="shared" si="89"/>
        <v>146.60730663694906</v>
      </c>
      <c r="AA240" s="381">
        <f t="shared" si="90"/>
        <v>156.58537348840883</v>
      </c>
      <c r="AB240" s="193">
        <f t="shared" si="91"/>
        <v>47344</v>
      </c>
      <c r="AC240" s="119">
        <f>IF(OR(t&lt;Tnet,NoTnet),'2028'!Resal_s+('2028'!Salim-'2028'!Resal_s)*(1-EXP(('2028'!Tnet_s-t)/'2028'!Tau_j)),Resal_s+(Salim-Resal_s)*(1-EXP((Tnet_s-t)/Tau_j)))*Salcycl</f>
        <v>6.3722853732557483E-2</v>
      </c>
      <c r="AD240" s="227">
        <f>(INDEX(Models!$BJ240:$BT240,,AH240)*(1-AF240)+INDEX(Models!$BJ240:$BT240,,AH240+1)*AF240-ERP_i)*AE240*Ramure*Pc/MaxiM</f>
        <v>6.0996276864171714E-4</v>
      </c>
      <c r="AE240" s="301">
        <f t="shared" si="92"/>
        <v>0.5</v>
      </c>
      <c r="AF240" s="173">
        <f t="shared" si="93"/>
        <v>0.95729236823401997</v>
      </c>
      <c r="AG240" s="801">
        <f t="shared" si="99"/>
        <v>3</v>
      </c>
      <c r="AH240" s="172">
        <f t="shared" si="94"/>
        <v>9</v>
      </c>
      <c r="AI240" s="221">
        <f t="shared" si="95"/>
        <v>3.95729236823402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47345</v>
      </c>
      <c r="B241" s="406">
        <f>'2028'!Wh/'2028'!Env_an*'2029'!Env_an</f>
        <v>148.89863382303045</v>
      </c>
      <c r="C241" s="831"/>
      <c r="D241" s="388">
        <f t="shared" si="77"/>
        <v>154.97318086379047</v>
      </c>
      <c r="E241" s="380">
        <f t="shared" si="100"/>
        <v>161.24783791439225</v>
      </c>
      <c r="F241" s="380">
        <f t="shared" si="78"/>
        <v>161.25289414254411</v>
      </c>
      <c r="G241" s="110">
        <f t="shared" si="101"/>
        <v>0.70775266374334334</v>
      </c>
      <c r="H241" s="409" t="b">
        <f>Wh_hp&gt;='2028'!Maxi_hp</f>
        <v>1</v>
      </c>
      <c r="I241" s="385">
        <f>IF(H241,Wh_hp,'2028'!Maxi_hp)</f>
        <v>161.25289414254411</v>
      </c>
      <c r="J241" s="85">
        <f>IF(H241,An,'2028'!An_max)</f>
        <v>2029</v>
      </c>
      <c r="K241" s="193">
        <f t="shared" si="79"/>
        <v>47345</v>
      </c>
      <c r="L241" s="143">
        <f>IF(t&lt;Tvie,1-EXP((T0-t)*PertePVj)+'2028'!Pspv,1-EXP((T0-t)*PertePVj)+Pspv)</f>
        <v>3.9197408267041212E-2</v>
      </c>
      <c r="M241" s="835"/>
      <c r="N241" s="835"/>
      <c r="O241" s="48">
        <f>IF(t&lt;Tnet,'2028'!Resal+('2028'!Salim-'2028'!Resal)*(1-EXP(('2028'!Tnet-t)/('2028'!Tau_j))),Resal+(Salim-Resal)*(1-EXP((Tnet-t)/(Tau_j))))*Salcycl</f>
        <v>3.8913123622364681E-2</v>
      </c>
      <c r="P241" s="165">
        <f>(INDEX(Models!$BJ241:$BT241,,T241)*(1-R241)+INDEX(Models!$BJ241:$BT241,,T241+1)*R241-ERP_i)*Q241*Ramure*Pc/MaxiM</f>
        <v>5.3827404286013519E-5</v>
      </c>
      <c r="Q241" s="301">
        <f t="shared" si="80"/>
        <v>0.5</v>
      </c>
      <c r="R241" s="173">
        <f t="shared" si="81"/>
        <v>0.43352818638308194</v>
      </c>
      <c r="S241" s="801">
        <f t="shared" si="82"/>
        <v>0</v>
      </c>
      <c r="T241" s="172">
        <f t="shared" si="83"/>
        <v>6</v>
      </c>
      <c r="U241" s="247">
        <f t="shared" si="84"/>
        <v>0.43352818638308194</v>
      </c>
      <c r="V241" s="378">
        <f t="shared" si="85"/>
        <v>210.37757308174386</v>
      </c>
      <c r="W241" s="397">
        <f t="shared" si="86"/>
        <v>148.89863382303045</v>
      </c>
      <c r="X241" s="153">
        <f t="shared" si="87"/>
        <v>47345</v>
      </c>
      <c r="Y241" s="380">
        <f t="shared" si="88"/>
        <v>145.00466128147573</v>
      </c>
      <c r="Z241" s="380">
        <f t="shared" si="89"/>
        <v>150.92034776877213</v>
      </c>
      <c r="AA241" s="381">
        <f t="shared" si="90"/>
        <v>161.19528394618959</v>
      </c>
      <c r="AB241" s="193">
        <f t="shared" si="91"/>
        <v>47345</v>
      </c>
      <c r="AC241" s="119">
        <f>IF(OR(t&lt;Tnet,NoTnet),'2028'!Resal_s+('2028'!Salim-'2028'!Resal_s)*(1-EXP(('2028'!Tnet_s-t)/'2028'!Tau_j)),Resal_s+(Salim-Resal_s)*(1-EXP((Tnet_s-t)/Tau_j)))*Salcycl</f>
        <v>6.3742163702800628E-2</v>
      </c>
      <c r="AD241" s="227">
        <f>(INDEX(Models!$BJ241:$BT241,,AH241)*(1-AF241)+INDEX(Models!$BJ241:$BT241,,AH241+1)*AF241-ERP_i)*AE241*Ramure*Pc/MaxiM</f>
        <v>6.1330447065143933E-4</v>
      </c>
      <c r="AE241" s="301">
        <f t="shared" si="92"/>
        <v>0.5</v>
      </c>
      <c r="AF241" s="173">
        <f t="shared" si="93"/>
        <v>0.95851575275706002</v>
      </c>
      <c r="AG241" s="801">
        <f t="shared" si="99"/>
        <v>3</v>
      </c>
      <c r="AH241" s="172">
        <f t="shared" si="94"/>
        <v>9</v>
      </c>
      <c r="AI241" s="221">
        <f t="shared" si="95"/>
        <v>3.95851575275706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47346</v>
      </c>
      <c r="B242" s="406">
        <f>'2028'!Wh/'2028'!Env_an*'2029'!Env_an</f>
        <v>133.95212382386796</v>
      </c>
      <c r="C242" s="831"/>
      <c r="D242" s="388">
        <f t="shared" si="77"/>
        <v>139.41881370183467</v>
      </c>
      <c r="E242" s="380">
        <f t="shared" si="100"/>
        <v>145.07086402016716</v>
      </c>
      <c r="F242" s="380">
        <f t="shared" si="78"/>
        <v>145.0746731521381</v>
      </c>
      <c r="G242" s="110">
        <f t="shared" si="101"/>
        <v>0.63882062136769924</v>
      </c>
      <c r="H242" s="409" t="b">
        <f>Wh_hp&gt;='2028'!Maxi_hp</f>
        <v>1</v>
      </c>
      <c r="I242" s="385">
        <f>IF(H242,Wh_hp,'2028'!Maxi_hp)</f>
        <v>145.0746731521381</v>
      </c>
      <c r="J242" s="85">
        <f>IF(H242,An,'2028'!An_max)</f>
        <v>2029</v>
      </c>
      <c r="K242" s="193">
        <f t="shared" si="79"/>
        <v>47346</v>
      </c>
      <c r="L242" s="143">
        <f>IF(t&lt;Tvie,1-EXP((T0-t)*PertePVj)+'2028'!Pspv,1-EXP((T0-t)*PertePVj)+Pspv)</f>
        <v>3.9210560847676823E-2</v>
      </c>
      <c r="M242" s="835"/>
      <c r="N242" s="835"/>
      <c r="O242" s="48">
        <f>IF(t&lt;Tnet,'2028'!Resal+('2028'!Salim-'2028'!Resal)*(1-EXP(('2028'!Tnet-t)/('2028'!Tau_j))),Resal+(Salim-Resal)*(1-EXP((Tnet-t)/(Tau_j))))*Salcycl</f>
        <v>3.8960616637306114E-2</v>
      </c>
      <c r="P242" s="165">
        <f>(INDEX(Models!$BJ242:$BT242,,T242)*(1-R242)+INDEX(Models!$BJ242:$BT242,,T242+1)*R242-ERP_i)*Q242*Ramure*Pc/MaxiM</f>
        <v>5.4242501240416964E-5</v>
      </c>
      <c r="Q242" s="301">
        <f t="shared" si="80"/>
        <v>0.5</v>
      </c>
      <c r="R242" s="173">
        <f t="shared" si="81"/>
        <v>0.4347083380111007</v>
      </c>
      <c r="S242" s="801">
        <f t="shared" si="82"/>
        <v>0</v>
      </c>
      <c r="T242" s="172">
        <f t="shared" si="83"/>
        <v>6</v>
      </c>
      <c r="U242" s="247">
        <f t="shared" si="84"/>
        <v>0.4347083380111007</v>
      </c>
      <c r="V242" s="378">
        <f t="shared" si="85"/>
        <v>209.68073108659402</v>
      </c>
      <c r="W242" s="397">
        <f t="shared" si="86"/>
        <v>133.95212382386796</v>
      </c>
      <c r="X242" s="153">
        <f t="shared" si="87"/>
        <v>47346</v>
      </c>
      <c r="Y242" s="380">
        <f t="shared" si="88"/>
        <v>130.45987447982546</v>
      </c>
      <c r="Z242" s="380">
        <f t="shared" si="89"/>
        <v>135.78404295838894</v>
      </c>
      <c r="AA242" s="381">
        <f t="shared" si="90"/>
        <v>145.03143357131773</v>
      </c>
      <c r="AB242" s="193">
        <f t="shared" si="91"/>
        <v>47346</v>
      </c>
      <c r="AC242" s="119">
        <f>IF(OR(t&lt;Tnet,NoTnet),'2028'!Resal_s+('2028'!Salim-'2028'!Resal_s)*(1-EXP(('2028'!Tnet_s-t)/'2028'!Tau_j)),Resal_s+(Salim-Resal_s)*(1-EXP((Tnet_s-t)/Tau_j)))*Salcycl</f>
        <v>6.3761285296690409E-2</v>
      </c>
      <c r="AD242" s="227">
        <f>(INDEX(Models!$BJ242:$BT242,,AH242)*(1-AF242)+INDEX(Models!$BJ242:$BT242,,AH242+1)*AF242-ERP_i)*AE242*Ramure*Pc/MaxiM</f>
        <v>6.1573687500833952E-4</v>
      </c>
      <c r="AE242" s="301">
        <f t="shared" si="92"/>
        <v>0.5</v>
      </c>
      <c r="AF242" s="173">
        <f t="shared" si="93"/>
        <v>0.95969590438507879</v>
      </c>
      <c r="AG242" s="801">
        <f t="shared" si="99"/>
        <v>3</v>
      </c>
      <c r="AH242" s="172">
        <f t="shared" si="94"/>
        <v>9</v>
      </c>
      <c r="AI242" s="221">
        <f t="shared" si="95"/>
        <v>3.9596959043850788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47347</v>
      </c>
      <c r="B243" s="406">
        <f>'2028'!Wh/'2028'!Env_an*'2029'!Env_an</f>
        <v>103.16536871033223</v>
      </c>
      <c r="C243" s="831"/>
      <c r="D243" s="388">
        <f t="shared" si="77"/>
        <v>107.37709717953328</v>
      </c>
      <c r="E243" s="380">
        <f t="shared" si="100"/>
        <v>111.73567668976183</v>
      </c>
      <c r="F243" s="380">
        <f t="shared" si="78"/>
        <v>111.73736508947414</v>
      </c>
      <c r="G243" s="110">
        <f t="shared" si="101"/>
        <v>0.49366105859268111</v>
      </c>
      <c r="H243" s="409" t="b">
        <f>Wh_hp&gt;='2028'!Maxi_hp</f>
        <v>1</v>
      </c>
      <c r="I243" s="385">
        <f>IF(H243,Wh_hp,'2028'!Maxi_hp)</f>
        <v>111.73736508947414</v>
      </c>
      <c r="J243" s="85">
        <f>IF(H243,An,'2028'!An_max)</f>
        <v>2029</v>
      </c>
      <c r="K243" s="193">
        <f t="shared" si="79"/>
        <v>47347</v>
      </c>
      <c r="L243" s="143">
        <f>IF(t&lt;Tvie,1-EXP((T0-t)*PertePVj)+'2028'!Pspv,1-EXP((T0-t)*PertePVj)+Pspv)</f>
        <v>3.9223713248264569E-2</v>
      </c>
      <c r="M243" s="835"/>
      <c r="N243" s="835"/>
      <c r="O243" s="48">
        <f>IF(t&lt;Tnet,'2028'!Resal+('2028'!Salim-'2028'!Resal)*(1-EXP(('2028'!Tnet-t)/('2028'!Tau_j))),Resal+(Salim-Resal)*(1-EXP((Tnet-t)/(Tau_j))))*Salcycl</f>
        <v>3.9007948395303561E-2</v>
      </c>
      <c r="P243" s="165">
        <f>(INDEX(Models!$BJ243:$BT243,,T243)*(1-R243)+INDEX(Models!$BJ243:$BT243,,T243+1)*R243-ERP_i)*Q243*Ramure*Pc/MaxiM</f>
        <v>5.4612096785832798E-5</v>
      </c>
      <c r="Q243" s="301">
        <f t="shared" si="80"/>
        <v>0.5</v>
      </c>
      <c r="R243" s="173">
        <f t="shared" si="81"/>
        <v>0.43584656404595334</v>
      </c>
      <c r="S243" s="801">
        <f t="shared" si="82"/>
        <v>0</v>
      </c>
      <c r="T243" s="172">
        <f t="shared" si="83"/>
        <v>6</v>
      </c>
      <c r="U243" s="247">
        <f t="shared" si="84"/>
        <v>0.43584656404595334</v>
      </c>
      <c r="V243" s="378">
        <f t="shared" si="85"/>
        <v>208.97190825401015</v>
      </c>
      <c r="W243" s="397">
        <f t="shared" si="86"/>
        <v>103.16536871033223</v>
      </c>
      <c r="X243" s="153">
        <f t="shared" si="87"/>
        <v>47347</v>
      </c>
      <c r="Y243" s="380">
        <f t="shared" si="88"/>
        <v>100.49034558297559</v>
      </c>
      <c r="Z243" s="380">
        <f t="shared" si="89"/>
        <v>104.59286617358229</v>
      </c>
      <c r="AA243" s="381">
        <f t="shared" si="90"/>
        <v>111.71828198083307</v>
      </c>
      <c r="AB243" s="193">
        <f t="shared" si="91"/>
        <v>47347</v>
      </c>
      <c r="AC243" s="119">
        <f>IF(OR(t&lt;Tnet,NoTnet),'2028'!Resal_s+('2028'!Salim-'2028'!Resal_s)*(1-EXP(('2028'!Tnet_s-t)/'2028'!Tau_j)),Resal_s+(Salim-Resal_s)*(1-EXP((Tnet_s-t)/Tau_j)))*Salcycl</f>
        <v>6.3780212879331985E-2</v>
      </c>
      <c r="AD243" s="227">
        <f>(INDEX(Models!$BJ243:$BT243,,AH243)*(1-AF243)+INDEX(Models!$BJ243:$BT243,,AH243+1)*AF243-ERP_i)*AE243*Ramure*Pc/MaxiM</f>
        <v>6.1725228243227634E-4</v>
      </c>
      <c r="AE243" s="301">
        <f t="shared" si="92"/>
        <v>0.5</v>
      </c>
      <c r="AF243" s="173">
        <f t="shared" si="93"/>
        <v>0.96083413041993149</v>
      </c>
      <c r="AG243" s="801">
        <f t="shared" si="99"/>
        <v>3</v>
      </c>
      <c r="AH243" s="172">
        <f t="shared" si="94"/>
        <v>9</v>
      </c>
      <c r="AI243" s="221">
        <f t="shared" si="95"/>
        <v>3.9608341304199315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47348</v>
      </c>
      <c r="B244" s="406">
        <f>'2028'!Wh/'2028'!Env_an*'2029'!Env_an</f>
        <v>126.67764080070157</v>
      </c>
      <c r="C244" s="831"/>
      <c r="D244" s="388">
        <f t="shared" si="77"/>
        <v>131.85106323059978</v>
      </c>
      <c r="E244" s="380">
        <f t="shared" si="100"/>
        <v>137.20980804642195</v>
      </c>
      <c r="F244" s="380">
        <f t="shared" si="78"/>
        <v>137.21312789105099</v>
      </c>
      <c r="G244" s="110">
        <f t="shared" si="101"/>
        <v>0.60827553366290876</v>
      </c>
      <c r="H244" s="409" t="b">
        <f>Wh_hp&gt;='2028'!Maxi_hp</f>
        <v>1</v>
      </c>
      <c r="I244" s="385">
        <f>IF(H244,Wh_hp,'2028'!Maxi_hp)</f>
        <v>137.21312789105099</v>
      </c>
      <c r="J244" s="85">
        <f>IF(H244,An,'2028'!An_max)</f>
        <v>2029</v>
      </c>
      <c r="K244" s="193">
        <f t="shared" si="79"/>
        <v>47348</v>
      </c>
      <c r="L244" s="143">
        <f>IF(t&lt;Tvie,1-EXP((T0-t)*PertePVj)+'2028'!Pspv,1-EXP((T0-t)*PertePVj)+Pspv)</f>
        <v>3.9236865468807003E-2</v>
      </c>
      <c r="M244" s="835"/>
      <c r="N244" s="835"/>
      <c r="O244" s="48">
        <f>IF(t&lt;Tnet,'2028'!Resal+('2028'!Salim-'2028'!Resal)*(1-EXP(('2028'!Tnet-t)/('2028'!Tau_j))),Resal+(Salim-Resal)*(1-EXP((Tnet-t)/(Tau_j))))*Salcycl</f>
        <v>3.9055114879317968E-2</v>
      </c>
      <c r="P244" s="165">
        <f>(INDEX(Models!$BJ244:$BT244,,T244)*(1-R244)+INDEX(Models!$BJ244:$BT244,,T244+1)*R244-ERP_i)*Q244*Ramure*Pc/MaxiM</f>
        <v>5.4935708842811374E-5</v>
      </c>
      <c r="Q244" s="301">
        <f t="shared" si="80"/>
        <v>0.5</v>
      </c>
      <c r="R244" s="173">
        <f t="shared" si="81"/>
        <v>0.43694414885076693</v>
      </c>
      <c r="S244" s="801">
        <f t="shared" si="82"/>
        <v>0</v>
      </c>
      <c r="T244" s="172">
        <f t="shared" si="83"/>
        <v>6</v>
      </c>
      <c r="U244" s="247">
        <f t="shared" si="84"/>
        <v>0.43694414885076693</v>
      </c>
      <c r="V244" s="378">
        <f t="shared" si="85"/>
        <v>208.25060274622155</v>
      </c>
      <c r="W244" s="397">
        <f t="shared" si="86"/>
        <v>126.67764080070157</v>
      </c>
      <c r="X244" s="153">
        <f t="shared" si="87"/>
        <v>47348</v>
      </c>
      <c r="Y244" s="380">
        <f t="shared" si="88"/>
        <v>123.38516073076006</v>
      </c>
      <c r="Z244" s="380">
        <f t="shared" si="89"/>
        <v>128.42412067670165</v>
      </c>
      <c r="AA244" s="381">
        <f t="shared" si="90"/>
        <v>137.17579075764857</v>
      </c>
      <c r="AB244" s="193">
        <f t="shared" si="91"/>
        <v>47348</v>
      </c>
      <c r="AC244" s="119">
        <f>IF(OR(t&lt;Tnet,NoTnet),'2028'!Resal_s+('2028'!Salim-'2028'!Resal_s)*(1-EXP(('2028'!Tnet_s-t)/'2028'!Tau_j)),Resal_s+(Salim-Resal_s)*(1-EXP((Tnet_s-t)/Tau_j)))*Salcycl</f>
        <v>6.3798940269341645E-2</v>
      </c>
      <c r="AD244" s="227">
        <f>(INDEX(Models!$BJ244:$BT244,,AH244)*(1-AF244)+INDEX(Models!$BJ244:$BT244,,AH244+1)*AF244-ERP_i)*AE244*Ramure*Pc/MaxiM</f>
        <v>6.1784273627548487E-4</v>
      </c>
      <c r="AE244" s="301">
        <f t="shared" si="92"/>
        <v>0.5</v>
      </c>
      <c r="AF244" s="173">
        <f t="shared" si="93"/>
        <v>0.96193171522474508</v>
      </c>
      <c r="AG244" s="801">
        <f t="shared" si="99"/>
        <v>3</v>
      </c>
      <c r="AH244" s="172">
        <f t="shared" si="94"/>
        <v>9</v>
      </c>
      <c r="AI244" s="221">
        <f t="shared" si="95"/>
        <v>3.9619317152247451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47349</v>
      </c>
      <c r="B245" s="406">
        <f>'2028'!Wh/'2028'!Env_an*'2029'!Env_an</f>
        <v>136.67991213545056</v>
      </c>
      <c r="C245" s="831"/>
      <c r="D245" s="388">
        <f t="shared" si="77"/>
        <v>142.26376750079675</v>
      </c>
      <c r="E245" s="380">
        <f t="shared" si="100"/>
        <v>148.05295051770179</v>
      </c>
      <c r="F245" s="380">
        <f t="shared" si="78"/>
        <v>148.05713882233269</v>
      </c>
      <c r="G245" s="110">
        <f t="shared" si="101"/>
        <v>0.65862885719015341</v>
      </c>
      <c r="H245" s="409" t="b">
        <f>Wh_hp&gt;='2028'!Maxi_hp</f>
        <v>1</v>
      </c>
      <c r="I245" s="385">
        <f>IF(H245,Wh_hp,'2028'!Maxi_hp)</f>
        <v>148.05713882233269</v>
      </c>
      <c r="J245" s="85">
        <f>IF(H245,An,'2028'!An_max)</f>
        <v>2029</v>
      </c>
      <c r="K245" s="193">
        <f t="shared" si="79"/>
        <v>47349</v>
      </c>
      <c r="L245" s="143">
        <f>IF(t&lt;Tvie,1-EXP((T0-t)*PertePVj)+'2028'!Pspv,1-EXP((T0-t)*PertePVj)+Pspv)</f>
        <v>3.9250017509306567E-2</v>
      </c>
      <c r="M245" s="835"/>
      <c r="N245" s="835"/>
      <c r="O245" s="48">
        <f>IF(t&lt;Tnet,'2028'!Resal+('2028'!Salim-'2028'!Resal)*(1-EXP(('2028'!Tnet-t)/('2028'!Tau_j))),Resal+(Salim-Resal)*(1-EXP((Tnet-t)/(Tau_j))))*Salcycl</f>
        <v>3.910211175570516E-2</v>
      </c>
      <c r="P245" s="165">
        <f>(INDEX(Models!$BJ245:$BT245,,T245)*(1-R245)+INDEX(Models!$BJ245:$BT245,,T245+1)*R245-ERP_i)*Q245*Ramure*Pc/MaxiM</f>
        <v>5.5212859743595143E-5</v>
      </c>
      <c r="Q245" s="301">
        <f t="shared" si="80"/>
        <v>0.5</v>
      </c>
      <c r="R245" s="173">
        <f t="shared" si="81"/>
        <v>0.43800235290020628</v>
      </c>
      <c r="S245" s="801">
        <f t="shared" si="82"/>
        <v>0</v>
      </c>
      <c r="T245" s="172">
        <f t="shared" si="83"/>
        <v>6</v>
      </c>
      <c r="U245" s="247">
        <f t="shared" si="84"/>
        <v>0.43800235290020628</v>
      </c>
      <c r="V245" s="378">
        <f t="shared" si="85"/>
        <v>207.51631288419119</v>
      </c>
      <c r="W245" s="397">
        <f t="shared" si="86"/>
        <v>136.67991213545056</v>
      </c>
      <c r="X245" s="153">
        <f t="shared" si="87"/>
        <v>47349</v>
      </c>
      <c r="Y245" s="380">
        <f t="shared" si="88"/>
        <v>133.12599039693362</v>
      </c>
      <c r="Z245" s="380">
        <f t="shared" si="89"/>
        <v>138.56465555358278</v>
      </c>
      <c r="AA245" s="381">
        <f t="shared" si="90"/>
        <v>148.01029687059685</v>
      </c>
      <c r="AB245" s="193">
        <f t="shared" si="91"/>
        <v>47349</v>
      </c>
      <c r="AC245" s="119">
        <f>IF(OR(t&lt;Tnet,NoTnet),'2028'!Resal_s+('2028'!Salim-'2028'!Resal_s)*(1-EXP(('2028'!Tnet_s-t)/'2028'!Tau_j)),Resal_s+(Salim-Resal_s)*(1-EXP((Tnet_s-t)/Tau_j)))*Salcycl</f>
        <v>6.3817460789719574E-2</v>
      </c>
      <c r="AD245" s="227">
        <f>(INDEX(Models!$BJ245:$BT245,,AH245)*(1-AF245)+INDEX(Models!$BJ245:$BT245,,AH245+1)*AF245-ERP_i)*AE245*Ramure*Pc/MaxiM</f>
        <v>6.1750000041283989E-4</v>
      </c>
      <c r="AE245" s="301">
        <f t="shared" si="92"/>
        <v>0.5</v>
      </c>
      <c r="AF245" s="173">
        <f t="shared" si="93"/>
        <v>0.9629899192741842</v>
      </c>
      <c r="AG245" s="801">
        <f t="shared" si="99"/>
        <v>3</v>
      </c>
      <c r="AH245" s="172">
        <f t="shared" si="94"/>
        <v>9</v>
      </c>
      <c r="AI245" s="221">
        <f t="shared" si="95"/>
        <v>3.9629899192741842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47350</v>
      </c>
      <c r="B246" s="406">
        <f>'2028'!Wh/'2028'!Env_an*'2029'!Env_an</f>
        <v>199.65429996015561</v>
      </c>
      <c r="C246" s="831"/>
      <c r="D246" s="388">
        <f t="shared" si="77"/>
        <v>207.81372546026398</v>
      </c>
      <c r="E246" s="380">
        <f t="shared" si="100"/>
        <v>216.28089190971323</v>
      </c>
      <c r="F246" s="380">
        <f t="shared" si="78"/>
        <v>216.29229438679943</v>
      </c>
      <c r="G246" s="110">
        <f t="shared" si="101"/>
        <v>0.96559059993464547</v>
      </c>
      <c r="H246" s="409" t="b">
        <f>Wh_hp&gt;='2028'!Maxi_hp</f>
        <v>1</v>
      </c>
      <c r="I246" s="385">
        <f>IF(H246,Wh_hp,'2028'!Maxi_hp)</f>
        <v>216.29229438679943</v>
      </c>
      <c r="J246" s="85">
        <f>IF(H246,An,'2028'!An_max)</f>
        <v>2029</v>
      </c>
      <c r="K246" s="193">
        <f t="shared" si="79"/>
        <v>47350</v>
      </c>
      <c r="L246" s="143">
        <f>IF(t&lt;Tvie,1-EXP((T0-t)*PertePVj)+'2028'!Pspv,1-EXP((T0-t)*PertePVj)+Pspv)</f>
        <v>3.9263169369765816E-2</v>
      </c>
      <c r="M246" s="835"/>
      <c r="N246" s="835"/>
      <c r="O246" s="48">
        <f>IF(t&lt;Tnet,'2028'!Resal+('2028'!Salim-'2028'!Resal)*(1-EXP(('2028'!Tnet-t)/('2028'!Tau_j))),Resal+(Salim-Resal)*(1-EXP((Tnet-t)/(Tau_j))))*Salcycl</f>
        <v>3.9148934400473401E-2</v>
      </c>
      <c r="P246" s="165">
        <f>(INDEX(Models!$BJ246:$BT246,,T246)*(1-R246)+INDEX(Models!$BJ246:$BT246,,T246+1)*R246-ERP_i)*Q246*Ramure*Pc/MaxiM</f>
        <v>5.5443074296167401E-5</v>
      </c>
      <c r="Q246" s="301">
        <f t="shared" si="80"/>
        <v>0.5</v>
      </c>
      <c r="R246" s="173">
        <f t="shared" si="81"/>
        <v>0.43902241196949154</v>
      </c>
      <c r="S246" s="801">
        <f t="shared" si="82"/>
        <v>0</v>
      </c>
      <c r="T246" s="172">
        <f t="shared" si="83"/>
        <v>6</v>
      </c>
      <c r="U246" s="247">
        <f t="shared" si="84"/>
        <v>0.43902241196949154</v>
      </c>
      <c r="V246" s="378">
        <f t="shared" si="85"/>
        <v>206.76853715605677</v>
      </c>
      <c r="W246" s="397">
        <f t="shared" si="86"/>
        <v>199.65429996015561</v>
      </c>
      <c r="X246" s="153">
        <f t="shared" si="87"/>
        <v>47350</v>
      </c>
      <c r="Y246" s="380">
        <f t="shared" si="88"/>
        <v>194.42091940021072</v>
      </c>
      <c r="Z246" s="380">
        <f t="shared" si="89"/>
        <v>202.36646832064557</v>
      </c>
      <c r="AA246" s="381">
        <f t="shared" si="90"/>
        <v>216.16556289463298</v>
      </c>
      <c r="AB246" s="193">
        <f t="shared" si="91"/>
        <v>47350</v>
      </c>
      <c r="AC246" s="119">
        <f>IF(OR(t&lt;Tnet,NoTnet),'2028'!Resal_s+('2028'!Salim-'2028'!Resal_s)*(1-EXP(('2028'!Tnet_s-t)/'2028'!Tau_j)),Resal_s+(Salim-Resal_s)*(1-EXP((Tnet_s-t)/Tau_j)))*Salcycl</f>
        <v>6.3835767312823991E-2</v>
      </c>
      <c r="AD246" s="227">
        <f>(INDEX(Models!$BJ246:$BT246,,AH246)*(1-AF246)+INDEX(Models!$BJ246:$BT246,,AH246+1)*AF246-ERP_i)*AE246*Ramure*Pc/MaxiM</f>
        <v>6.1621553656627289E-4</v>
      </c>
      <c r="AE246" s="301">
        <f t="shared" si="92"/>
        <v>0.5</v>
      </c>
      <c r="AF246" s="173">
        <f t="shared" si="93"/>
        <v>0.96400997834346969</v>
      </c>
      <c r="AG246" s="801">
        <f t="shared" si="99"/>
        <v>3</v>
      </c>
      <c r="AH246" s="172">
        <f t="shared" si="94"/>
        <v>9</v>
      </c>
      <c r="AI246" s="221">
        <f t="shared" si="95"/>
        <v>3.9640099783434697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47351</v>
      </c>
      <c r="B247" s="406">
        <f>'2028'!Wh/'2028'!Env_an*'2029'!Env_an</f>
        <v>127.37576283458617</v>
      </c>
      <c r="C247" s="831"/>
      <c r="D247" s="388">
        <f t="shared" si="77"/>
        <v>132.58314084006264</v>
      </c>
      <c r="E247" s="380">
        <f t="shared" si="100"/>
        <v>137.99180956441896</v>
      </c>
      <c r="F247" s="380">
        <f t="shared" si="78"/>
        <v>137.9953000327186</v>
      </c>
      <c r="G247" s="110">
        <f t="shared" si="101"/>
        <v>0.6182860723485516</v>
      </c>
      <c r="H247" s="409" t="b">
        <f>Wh_hp&gt;='2028'!Maxi_hp</f>
        <v>1</v>
      </c>
      <c r="I247" s="385">
        <f>IF(H247,Wh_hp,'2028'!Maxi_hp)</f>
        <v>137.9953000327186</v>
      </c>
      <c r="J247" s="85">
        <f>IF(H247,An,'2028'!An_max)</f>
        <v>2029</v>
      </c>
      <c r="K247" s="193">
        <f t="shared" si="79"/>
        <v>47351</v>
      </c>
      <c r="L247" s="143">
        <f>IF(t&lt;Tvie,1-EXP((T0-t)*PertePVj)+'2028'!Pspv,1-EXP((T0-t)*PertePVj)+Pspv)</f>
        <v>3.927632105018708E-2</v>
      </c>
      <c r="M247" s="835"/>
      <c r="N247" s="835"/>
      <c r="O247" s="48">
        <f>IF(t&lt;Tnet,'2028'!Resal+('2028'!Salim-'2028'!Resal)*(1-EXP(('2028'!Tnet-t)/('2028'!Tau_j))),Resal+(Salim-Resal)*(1-EXP((Tnet-t)/(Tau_j))))*Salcycl</f>
        <v>3.9195577921828623E-2</v>
      </c>
      <c r="P247" s="165">
        <f>(INDEX(Models!$BJ247:$BT247,,T247)*(1-R247)+INDEX(Models!$BJ247:$BT247,,T247+1)*R247-ERP_i)*Q247*Ramure*Pc/MaxiM</f>
        <v>5.5625537252031793E-5</v>
      </c>
      <c r="Q247" s="301">
        <f t="shared" si="80"/>
        <v>0.5</v>
      </c>
      <c r="R247" s="173">
        <f t="shared" si="81"/>
        <v>0.44000553645315577</v>
      </c>
      <c r="S247" s="801">
        <f t="shared" si="82"/>
        <v>0</v>
      </c>
      <c r="T247" s="172">
        <f t="shared" si="83"/>
        <v>6</v>
      </c>
      <c r="U247" s="247">
        <f t="shared" si="84"/>
        <v>0.44000553645315577</v>
      </c>
      <c r="V247" s="378">
        <f t="shared" si="85"/>
        <v>206.00803567247868</v>
      </c>
      <c r="W247" s="397">
        <f t="shared" si="86"/>
        <v>127.37576283458617</v>
      </c>
      <c r="X247" s="153">
        <f t="shared" si="87"/>
        <v>47351</v>
      </c>
      <c r="Y247" s="380">
        <f t="shared" si="88"/>
        <v>124.07525533577558</v>
      </c>
      <c r="Z247" s="380">
        <f t="shared" si="89"/>
        <v>129.14770194006755</v>
      </c>
      <c r="AA247" s="381">
        <f t="shared" si="90"/>
        <v>137.95677337052109</v>
      </c>
      <c r="AB247" s="193">
        <f t="shared" si="91"/>
        <v>47351</v>
      </c>
      <c r="AC247" s="119">
        <f>IF(OR(t&lt;Tnet,NoTnet),'2028'!Resal_s+('2028'!Salim-'2028'!Resal_s)*(1-EXP(('2028'!Tnet_s-t)/'2028'!Tau_j)),Resal_s+(Salim-Resal_s)*(1-EXP((Tnet_s-t)/Tau_j)))*Salcycl</f>
        <v>6.3853852299041058E-2</v>
      </c>
      <c r="AD247" s="227">
        <f>(INDEX(Models!$BJ247:$BT247,,AH247)*(1-AF247)+INDEX(Models!$BJ247:$BT247,,AH247+1)*AF247-ERP_i)*AE247*Ramure*Pc/MaxiM</f>
        <v>6.1397672154365405E-4</v>
      </c>
      <c r="AE247" s="301">
        <f t="shared" si="92"/>
        <v>0.5</v>
      </c>
      <c r="AF247" s="173">
        <f t="shared" si="93"/>
        <v>0.96499310282713413</v>
      </c>
      <c r="AG247" s="801">
        <f t="shared" si="99"/>
        <v>3</v>
      </c>
      <c r="AH247" s="172">
        <f t="shared" si="94"/>
        <v>9</v>
      </c>
      <c r="AI247" s="221">
        <f t="shared" si="95"/>
        <v>3.9649931028271341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47352</v>
      </c>
      <c r="B248" s="406">
        <f>'2028'!Wh/'2028'!Env_an*'2029'!Env_an</f>
        <v>100.45244704910573</v>
      </c>
      <c r="C248" s="831"/>
      <c r="D248" s="388">
        <f t="shared" si="77"/>
        <v>104.5605769677523</v>
      </c>
      <c r="E248" s="380">
        <f t="shared" si="100"/>
        <v>108.83134047696807</v>
      </c>
      <c r="F248" s="380">
        <f t="shared" si="78"/>
        <v>108.83298124459706</v>
      </c>
      <c r="G248" s="110">
        <f t="shared" si="101"/>
        <v>0.4894287886333325</v>
      </c>
      <c r="H248" s="409" t="b">
        <f>Wh_hp&gt;='2028'!Maxi_hp</f>
        <v>1</v>
      </c>
      <c r="I248" s="385">
        <f>IF(H248,Wh_hp,'2028'!Maxi_hp)</f>
        <v>108.83298124459706</v>
      </c>
      <c r="J248" s="85">
        <f>IF(H248,An,'2028'!An_max)</f>
        <v>2029</v>
      </c>
      <c r="K248" s="193">
        <f t="shared" si="79"/>
        <v>47352</v>
      </c>
      <c r="L248" s="143">
        <f>IF(t&lt;Tvie,1-EXP((T0-t)*PertePVj)+'2028'!Pspv,1-EXP((T0-t)*PertePVj)+Pspv)</f>
        <v>3.9289472550572913E-2</v>
      </c>
      <c r="M248" s="835"/>
      <c r="N248" s="835"/>
      <c r="O248" s="48">
        <f>IF(t&lt;Tnet,'2028'!Resal+('2028'!Salim-'2028'!Resal)*(1-EXP(('2028'!Tnet-t)/('2028'!Tau_j))),Resal+(Salim-Resal)*(1-EXP((Tnet-t)/(Tau_j))))*Salcycl</f>
        <v>3.9242037178799434E-2</v>
      </c>
      <c r="P248" s="165">
        <f>(INDEX(Models!$BJ248:$BT248,,T248)*(1-R248)+INDEX(Models!$BJ248:$BT248,,T248+1)*R248-ERP_i)*Q248*Ramure*Pc/MaxiM</f>
        <v>5.5704851638189326E-5</v>
      </c>
      <c r="Q248" s="301">
        <f t="shared" si="80"/>
        <v>0.5</v>
      </c>
      <c r="R248" s="173">
        <f t="shared" si="81"/>
        <v>0.44095291080477417</v>
      </c>
      <c r="S248" s="801">
        <f t="shared" si="82"/>
        <v>0</v>
      </c>
      <c r="T248" s="172">
        <f t="shared" si="83"/>
        <v>6</v>
      </c>
      <c r="U248" s="247">
        <f t="shared" si="84"/>
        <v>0.44095291080477417</v>
      </c>
      <c r="V248" s="378">
        <f t="shared" si="85"/>
        <v>205.23591593779608</v>
      </c>
      <c r="W248" s="397">
        <f t="shared" si="86"/>
        <v>100.45244704910573</v>
      </c>
      <c r="X248" s="153">
        <f t="shared" si="87"/>
        <v>47352</v>
      </c>
      <c r="Y248" s="380">
        <f t="shared" si="88"/>
        <v>97.862582100652105</v>
      </c>
      <c r="Z248" s="380">
        <f t="shared" si="89"/>
        <v>101.86479621542786</v>
      </c>
      <c r="AA248" s="381">
        <f t="shared" si="90"/>
        <v>108.81499583692168</v>
      </c>
      <c r="AB248" s="193">
        <f t="shared" si="91"/>
        <v>47352</v>
      </c>
      <c r="AC248" s="119">
        <f>IF(OR(t&lt;Tnet,NoTnet),'2028'!Resal_s+('2028'!Salim-'2028'!Resal_s)*(1-EXP(('2028'!Tnet_s-t)/'2028'!Tau_j)),Resal_s+(Salim-Resal_s)*(1-EXP((Tnet_s-t)/Tau_j)))*Salcycl</f>
        <v>6.3871707828854027E-2</v>
      </c>
      <c r="AD248" s="227">
        <f>(INDEX(Models!$BJ248:$BT248,,AH248)*(1-AF248)+INDEX(Models!$BJ248:$BT248,,AH248+1)*AF248-ERP_i)*AE248*Ramure*Pc/MaxiM</f>
        <v>6.1061325717273371E-4</v>
      </c>
      <c r="AE248" s="301">
        <f t="shared" si="92"/>
        <v>0.5</v>
      </c>
      <c r="AF248" s="173">
        <f t="shared" si="93"/>
        <v>0.96594047717875231</v>
      </c>
      <c r="AG248" s="801">
        <f t="shared" si="99"/>
        <v>3</v>
      </c>
      <c r="AH248" s="172">
        <f t="shared" si="94"/>
        <v>9</v>
      </c>
      <c r="AI248" s="221">
        <f t="shared" si="95"/>
        <v>3.9659404771787523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47353</v>
      </c>
      <c r="B249" s="406">
        <f>'2028'!Wh/'2028'!Env_an*'2029'!Env_an</f>
        <v>174.34406558999848</v>
      </c>
      <c r="C249" s="831"/>
      <c r="D249" s="388">
        <f t="shared" si="77"/>
        <v>181.47657100145398</v>
      </c>
      <c r="E249" s="380">
        <f t="shared" si="100"/>
        <v>188.89805576966305</v>
      </c>
      <c r="F249" s="380">
        <f t="shared" si="78"/>
        <v>188.90635990161761</v>
      </c>
      <c r="G249" s="110">
        <f t="shared" si="101"/>
        <v>0.8527276222701301</v>
      </c>
      <c r="H249" s="409" t="b">
        <f>Wh_hp&gt;='2028'!Maxi_hp</f>
        <v>1</v>
      </c>
      <c r="I249" s="385">
        <f>IF(H249,Wh_hp,'2028'!Maxi_hp)</f>
        <v>188.90635990161761</v>
      </c>
      <c r="J249" s="85">
        <f>IF(H249,An,'2028'!An_max)</f>
        <v>2029</v>
      </c>
      <c r="K249" s="193">
        <f t="shared" si="79"/>
        <v>47353</v>
      </c>
      <c r="L249" s="143">
        <f>IF(t&lt;Tvie,1-EXP((T0-t)*PertePVj)+'2028'!Pspv,1-EXP((T0-t)*PertePVj)+Pspv)</f>
        <v>3.9302623870925757E-2</v>
      </c>
      <c r="M249" s="835"/>
      <c r="N249" s="835"/>
      <c r="O249" s="48">
        <f>IF(t&lt;Tnet,'2028'!Resal+('2028'!Salim-'2028'!Resal)*(1-EXP(('2028'!Tnet-t)/('2028'!Tau_j))),Resal+(Salim-Resal)*(1-EXP((Tnet-t)/(Tau_j))))*Salcycl</f>
        <v>3.9288306795802176E-2</v>
      </c>
      <c r="P249" s="165">
        <f>(INDEX(Models!$BJ249:$BT249,,T249)*(1-R249)+INDEX(Models!$BJ249:$BT249,,T249+1)*R249-ERP_i)*Q249*Ramure*Pc/MaxiM</f>
        <v>5.5670700487901307E-5</v>
      </c>
      <c r="Q249" s="301">
        <f t="shared" si="80"/>
        <v>0.5</v>
      </c>
      <c r="R249" s="173">
        <f t="shared" si="81"/>
        <v>0.44186569308916046</v>
      </c>
      <c r="S249" s="801">
        <f t="shared" si="82"/>
        <v>0</v>
      </c>
      <c r="T249" s="172">
        <f t="shared" si="83"/>
        <v>6</v>
      </c>
      <c r="U249" s="247">
        <f t="shared" si="84"/>
        <v>0.44186569308916046</v>
      </c>
      <c r="V249" s="378">
        <f t="shared" si="85"/>
        <v>204.45218271235817</v>
      </c>
      <c r="W249" s="397">
        <f t="shared" si="86"/>
        <v>174.34406558999848</v>
      </c>
      <c r="X249" s="153">
        <f t="shared" si="87"/>
        <v>47353</v>
      </c>
      <c r="Y249" s="380">
        <f t="shared" si="88"/>
        <v>169.80575517710807</v>
      </c>
      <c r="Z249" s="380">
        <f t="shared" si="89"/>
        <v>176.75259597492007</v>
      </c>
      <c r="AA249" s="381">
        <f t="shared" si="90"/>
        <v>188.81591761948491</v>
      </c>
      <c r="AB249" s="193">
        <f t="shared" si="91"/>
        <v>47353</v>
      </c>
      <c r="AC249" s="119">
        <f>IF(OR(t&lt;Tnet,NoTnet),'2028'!Resal_s+('2028'!Salim-'2028'!Resal_s)*(1-EXP(('2028'!Tnet_s-t)/'2028'!Tau_j)),Resal_s+(Salim-Resal_s)*(1-EXP((Tnet_s-t)/Tau_j)))*Salcycl</f>
        <v>6.3889325628126867E-2</v>
      </c>
      <c r="AD249" s="227">
        <f>(INDEX(Models!$BJ249:$BT249,,AH249)*(1-AF249)+INDEX(Models!$BJ249:$BT249,,AH249+1)*AF249-ERP_i)*AE249*Ramure*Pc/MaxiM</f>
        <v>6.0632287969443986E-4</v>
      </c>
      <c r="AE249" s="301">
        <f t="shared" si="92"/>
        <v>0.5</v>
      </c>
      <c r="AF249" s="173">
        <f t="shared" si="93"/>
        <v>0.96685325946313849</v>
      </c>
      <c r="AG249" s="801">
        <f t="shared" si="99"/>
        <v>3</v>
      </c>
      <c r="AH249" s="172">
        <f t="shared" si="94"/>
        <v>9</v>
      </c>
      <c r="AI249" s="221">
        <f t="shared" si="95"/>
        <v>3.9668532594631385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47354</v>
      </c>
      <c r="B250" s="406">
        <f>'2028'!Wh/'2028'!Env_an*'2029'!Env_an</f>
        <v>185.69784334942128</v>
      </c>
      <c r="C250" s="831"/>
      <c r="D250" s="388">
        <f t="shared" si="77"/>
        <v>193.29748372998995</v>
      </c>
      <c r="E250" s="380">
        <f t="shared" si="100"/>
        <v>201.21203459537443</v>
      </c>
      <c r="F250" s="380">
        <f t="shared" si="78"/>
        <v>201.22179931817598</v>
      </c>
      <c r="G250" s="110">
        <f t="shared" si="101"/>
        <v>0.91181099242740271</v>
      </c>
      <c r="H250" s="409" t="b">
        <f>Wh_hp&gt;='2028'!Maxi_hp</f>
        <v>1</v>
      </c>
      <c r="I250" s="385">
        <f>IF(H250,Wh_hp,'2028'!Maxi_hp)</f>
        <v>201.22179931817598</v>
      </c>
      <c r="J250" s="85">
        <f>IF(H250,An,'2028'!An_max)</f>
        <v>2029</v>
      </c>
      <c r="K250" s="193">
        <f t="shared" si="79"/>
        <v>47354</v>
      </c>
      <c r="L250" s="143">
        <f>IF(t&lt;Tvie,1-EXP((T0-t)*PertePVj)+'2028'!Pspv,1-EXP((T0-t)*PertePVj)+Pspv)</f>
        <v>3.9315775011248055E-2</v>
      </c>
      <c r="M250" s="835"/>
      <c r="N250" s="835"/>
      <c r="O250" s="48">
        <f>IF(t&lt;Tnet,'2028'!Resal+('2028'!Salim-'2028'!Resal)*(1-EXP(('2028'!Tnet-t)/('2028'!Tau_j))),Resal+(Salim-Resal)*(1-EXP((Tnet-t)/(Tau_j))))*Salcycl</f>
        <v>3.9334381173075278E-2</v>
      </c>
      <c r="P250" s="165">
        <f>(INDEX(Models!$BJ250:$BT250,,T250)*(1-R250)+INDEX(Models!$BJ250:$BT250,,T250+1)*R250-ERP_i)*Q250*Ramure*Pc/MaxiM</f>
        <v>5.5521491982883035E-5</v>
      </c>
      <c r="Q250" s="301">
        <f t="shared" si="80"/>
        <v>0.5</v>
      </c>
      <c r="R250" s="173">
        <f t="shared" si="81"/>
        <v>0.44274501463882471</v>
      </c>
      <c r="S250" s="801">
        <f t="shared" si="82"/>
        <v>0</v>
      </c>
      <c r="T250" s="172">
        <f t="shared" si="83"/>
        <v>6</v>
      </c>
      <c r="U250" s="247">
        <f t="shared" si="84"/>
        <v>0.44274501463882471</v>
      </c>
      <c r="V250" s="378">
        <f t="shared" si="85"/>
        <v>203.65683896833821</v>
      </c>
      <c r="W250" s="397">
        <f t="shared" si="86"/>
        <v>185.69784334942128</v>
      </c>
      <c r="X250" s="153">
        <f t="shared" si="87"/>
        <v>47354</v>
      </c>
      <c r="Y250" s="380">
        <f t="shared" si="88"/>
        <v>180.86169611554405</v>
      </c>
      <c r="Z250" s="380">
        <f t="shared" si="89"/>
        <v>188.2634183127777</v>
      </c>
      <c r="AA250" s="381">
        <f t="shared" si="90"/>
        <v>201.11608290202739</v>
      </c>
      <c r="AB250" s="193">
        <f t="shared" si="91"/>
        <v>47354</v>
      </c>
      <c r="AC250" s="119">
        <f>IF(OR(t&lt;Tnet,NoTnet),'2028'!Resal_s+('2028'!Salim-'2028'!Resal_s)*(1-EXP(('2028'!Tnet_s-t)/'2028'!Tau_j)),Resal_s+(Salim-Resal_s)*(1-EXP((Tnet_s-t)/Tau_j)))*Salcycl</f>
        <v>6.3906697086531808E-2</v>
      </c>
      <c r="AD250" s="227">
        <f>(INDEX(Models!$BJ250:$BT250,,AH250)*(1-AF250)+INDEX(Models!$BJ250:$BT250,,AH250+1)*AF250-ERP_i)*AE250*Ramure*Pc/MaxiM</f>
        <v>6.01095727030889E-4</v>
      </c>
      <c r="AE250" s="301">
        <f t="shared" si="92"/>
        <v>0.5</v>
      </c>
      <c r="AF250" s="173">
        <f t="shared" si="93"/>
        <v>0.96773258101280302</v>
      </c>
      <c r="AG250" s="801">
        <f t="shared" si="99"/>
        <v>3</v>
      </c>
      <c r="AH250" s="172">
        <f t="shared" si="94"/>
        <v>9</v>
      </c>
      <c r="AI250" s="221">
        <f t="shared" si="95"/>
        <v>3.967732581012803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47355</v>
      </c>
      <c r="B251" s="406">
        <f>'2028'!Wh/'2028'!Env_an*'2029'!Env_an</f>
        <v>130.07590136362546</v>
      </c>
      <c r="C251" s="831"/>
      <c r="D251" s="388">
        <f t="shared" si="77"/>
        <v>135.40108043241892</v>
      </c>
      <c r="E251" s="380">
        <f t="shared" si="100"/>
        <v>140.95179811336689</v>
      </c>
      <c r="F251" s="380">
        <f t="shared" si="78"/>
        <v>140.95559496487385</v>
      </c>
      <c r="G251" s="110">
        <f t="shared" si="101"/>
        <v>0.64122400620550235</v>
      </c>
      <c r="H251" s="409" t="b">
        <f>Wh_hp&gt;='2028'!Maxi_hp</f>
        <v>1</v>
      </c>
      <c r="I251" s="385">
        <f>IF(H251,Wh_hp,'2028'!Maxi_hp)</f>
        <v>140.95559496487385</v>
      </c>
      <c r="J251" s="85">
        <f>IF(H251,An,'2028'!An_max)</f>
        <v>2029</v>
      </c>
      <c r="K251" s="193">
        <f t="shared" si="79"/>
        <v>47355</v>
      </c>
      <c r="L251" s="143">
        <f>IF(t&lt;Tvie,1-EXP((T0-t)*PertePVj)+'2028'!Pspv,1-EXP((T0-t)*PertePVj)+Pspv)</f>
        <v>3.9328925971542361E-2</v>
      </c>
      <c r="M251" s="835"/>
      <c r="N251" s="835"/>
      <c r="O251" s="48">
        <f>IF(t&lt;Tnet,'2028'!Resal+('2028'!Salim-'2028'!Resal)*(1-EXP(('2028'!Tnet-t)/('2028'!Tau_j))),Resal+(Salim-Resal)*(1-EXP((Tnet-t)/(Tau_j))))*Salcycl</f>
        <v>3.9380254492983241E-2</v>
      </c>
      <c r="P251" s="165">
        <f>(INDEX(Models!$BJ251:$BT251,,T251)*(1-R251)+INDEX(Models!$BJ251:$BT251,,T251+1)*R251-ERP_i)*Q251*Ramure*Pc/MaxiM</f>
        <v>5.5255643791919343E-5</v>
      </c>
      <c r="Q251" s="301">
        <f t="shared" si="80"/>
        <v>0.5</v>
      </c>
      <c r="R251" s="173">
        <f t="shared" si="81"/>
        <v>0.44359197980678933</v>
      </c>
      <c r="S251" s="801">
        <f t="shared" si="82"/>
        <v>0</v>
      </c>
      <c r="T251" s="172">
        <f t="shared" si="83"/>
        <v>6</v>
      </c>
      <c r="U251" s="247">
        <f t="shared" si="84"/>
        <v>0.44359197980678933</v>
      </c>
      <c r="V251" s="378">
        <f t="shared" si="85"/>
        <v>202.84988766561284</v>
      </c>
      <c r="W251" s="397">
        <f t="shared" si="86"/>
        <v>130.07590136362546</v>
      </c>
      <c r="X251" s="153">
        <f t="shared" si="87"/>
        <v>47355</v>
      </c>
      <c r="Y251" s="380">
        <f t="shared" si="88"/>
        <v>126.71915232087871</v>
      </c>
      <c r="Z251" s="380">
        <f t="shared" si="89"/>
        <v>131.90690939563456</v>
      </c>
      <c r="AA251" s="381">
        <f t="shared" si="90"/>
        <v>140.91471534630961</v>
      </c>
      <c r="AB251" s="193">
        <f t="shared" si="91"/>
        <v>47355</v>
      </c>
      <c r="AC251" s="119">
        <f>IF(OR(t&lt;Tnet,NoTnet),'2028'!Resal_s+('2028'!Salim-'2028'!Resal_s)*(1-EXP(('2028'!Tnet_s-t)/'2028'!Tau_j)),Resal_s+(Salim-Resal_s)*(1-EXP((Tnet_s-t)/Tau_j)))*Salcycl</f>
        <v>6.3923813269165103E-2</v>
      </c>
      <c r="AD251" s="227">
        <f>(INDEX(Models!$BJ251:$BT251,,AH251)*(1-AF251)+INDEX(Models!$BJ251:$BT251,,AH251+1)*AF251-ERP_i)*AE251*Ramure*Pc/MaxiM</f>
        <v>5.9492177600276735E-4</v>
      </c>
      <c r="AE251" s="301">
        <f t="shared" si="92"/>
        <v>0.5</v>
      </c>
      <c r="AF251" s="173">
        <f t="shared" si="93"/>
        <v>0.96857954618076736</v>
      </c>
      <c r="AG251" s="801">
        <f t="shared" si="99"/>
        <v>3</v>
      </c>
      <c r="AH251" s="172">
        <f t="shared" si="94"/>
        <v>9</v>
      </c>
      <c r="AI251" s="221">
        <f t="shared" si="95"/>
        <v>3.9685795461807674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47356</v>
      </c>
      <c r="B252" s="406">
        <f>'2028'!Wh/'2028'!Env_an*'2029'!Env_an</f>
        <v>175.63450994379835</v>
      </c>
      <c r="C252" s="831"/>
      <c r="D252" s="388">
        <f t="shared" si="77"/>
        <v>182.82731625211673</v>
      </c>
      <c r="E252" s="380">
        <f t="shared" si="100"/>
        <v>190.33130311988594</v>
      </c>
      <c r="F252" s="380">
        <f t="shared" si="78"/>
        <v>190.33979790914634</v>
      </c>
      <c r="G252" s="110">
        <f t="shared" si="101"/>
        <v>0.8693340259622977</v>
      </c>
      <c r="H252" s="409" t="b">
        <f>Wh_hp&gt;='2028'!Maxi_hp</f>
        <v>1</v>
      </c>
      <c r="I252" s="385">
        <f>IF(H252,Wh_hp,'2028'!Maxi_hp)</f>
        <v>190.33979790914634</v>
      </c>
      <c r="J252" s="85">
        <f>IF(H252,An,'2028'!An_max)</f>
        <v>2029</v>
      </c>
      <c r="K252" s="193">
        <f t="shared" si="79"/>
        <v>47356</v>
      </c>
      <c r="L252" s="143">
        <f>IF(t&lt;Tvie,1-EXP((T0-t)*PertePVj)+'2028'!Pspv,1-EXP((T0-t)*PertePVj)+Pspv)</f>
        <v>3.9342076751810895E-2</v>
      </c>
      <c r="M252" s="835"/>
      <c r="N252" s="835"/>
      <c r="O252" s="48">
        <f>IF(t&lt;Tnet,'2028'!Resal+('2028'!Salim-'2028'!Resal)*(1-EXP(('2028'!Tnet-t)/('2028'!Tau_j))),Resal+(Salim-Resal)*(1-EXP((Tnet-t)/(Tau_j))))*Salcycl</f>
        <v>3.9425920722260775E-2</v>
      </c>
      <c r="P252" s="165">
        <f>(INDEX(Models!$BJ252:$BT252,,T252)*(1-R252)+INDEX(Models!$BJ252:$BT252,,T252+1)*R252-ERP_i)*Q252*Ramure*Pc/MaxiM</f>
        <v>5.4871535485361114E-5</v>
      </c>
      <c r="Q252" s="301">
        <f t="shared" si="80"/>
        <v>0.5</v>
      </c>
      <c r="R252" s="173">
        <f t="shared" si="81"/>
        <v>0.44440766580819296</v>
      </c>
      <c r="S252" s="801">
        <f t="shared" si="82"/>
        <v>0</v>
      </c>
      <c r="T252" s="172">
        <f t="shared" si="83"/>
        <v>6</v>
      </c>
      <c r="U252" s="247">
        <f t="shared" si="84"/>
        <v>0.44440766580819296</v>
      </c>
      <c r="V252" s="378">
        <f t="shared" si="85"/>
        <v>202.03133177949434</v>
      </c>
      <c r="W252" s="397">
        <f t="shared" si="86"/>
        <v>175.63450994379835</v>
      </c>
      <c r="X252" s="153">
        <f t="shared" si="87"/>
        <v>47356</v>
      </c>
      <c r="Y252" s="380">
        <f t="shared" si="88"/>
        <v>171.07796498356342</v>
      </c>
      <c r="Z252" s="380">
        <f t="shared" si="89"/>
        <v>178.08416590695714</v>
      </c>
      <c r="AA252" s="381">
        <f t="shared" si="90"/>
        <v>190.24880072589013</v>
      </c>
      <c r="AB252" s="193">
        <f t="shared" si="91"/>
        <v>47356</v>
      </c>
      <c r="AC252" s="119">
        <f>IF(OR(t&lt;Tnet,NoTnet),'2028'!Resal_s+('2028'!Salim-'2028'!Resal_s)*(1-EXP(('2028'!Tnet_s-t)/'2028'!Tau_j)),Resal_s+(Salim-Resal_s)*(1-EXP((Tnet_s-t)/Tau_j)))*Salcycl</f>
        <v>6.3940664921508655E-2</v>
      </c>
      <c r="AD252" s="227">
        <f>(INDEX(Models!$BJ252:$BT252,,AH252)*(1-AF252)+INDEX(Models!$BJ252:$BT252,,AH252+1)*AF252-ERP_i)*AE252*Ramure*Pc/MaxiM</f>
        <v>5.8779035206741324E-4</v>
      </c>
      <c r="AE252" s="301">
        <f t="shared" si="92"/>
        <v>0.5</v>
      </c>
      <c r="AF252" s="173">
        <f t="shared" si="93"/>
        <v>0.96939523218217127</v>
      </c>
      <c r="AG252" s="801">
        <f t="shared" si="99"/>
        <v>3</v>
      </c>
      <c r="AH252" s="172">
        <f t="shared" si="94"/>
        <v>9</v>
      </c>
      <c r="AI252" s="221">
        <f t="shared" si="95"/>
        <v>3.9693952321821713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47357</v>
      </c>
      <c r="B253" s="406">
        <f>'2028'!Wh/'2028'!Env_an*'2029'!Env_an</f>
        <v>192.1288205396539</v>
      </c>
      <c r="C253" s="831"/>
      <c r="D253" s="388">
        <f t="shared" si="77"/>
        <v>199.99986052083077</v>
      </c>
      <c r="E253" s="380">
        <f t="shared" si="100"/>
        <v>208.21853198958797</v>
      </c>
      <c r="F253" s="380">
        <f t="shared" si="78"/>
        <v>208.229123650536</v>
      </c>
      <c r="G253" s="110">
        <f t="shared" si="101"/>
        <v>0.95490569745158382</v>
      </c>
      <c r="H253" s="409" t="b">
        <f>Wh_hp&gt;='2028'!Maxi_hp</f>
        <v>1</v>
      </c>
      <c r="I253" s="385">
        <f>IF(H253,Wh_hp,'2028'!Maxi_hp)</f>
        <v>208.229123650536</v>
      </c>
      <c r="J253" s="85">
        <f>IF(H253,An,'2028'!An_max)</f>
        <v>2029</v>
      </c>
      <c r="K253" s="193">
        <f t="shared" si="79"/>
        <v>47357</v>
      </c>
      <c r="L253" s="143">
        <f>IF(t&lt;Tvie,1-EXP((T0-t)*PertePVj)+'2028'!Pspv,1-EXP((T0-t)*PertePVj)+Pspv)</f>
        <v>3.9355227352056432E-2</v>
      </c>
      <c r="M253" s="835"/>
      <c r="N253" s="835"/>
      <c r="O253" s="48">
        <f>IF(t&lt;Tnet,'2028'!Resal+('2028'!Salim-'2028'!Resal)*(1-EXP(('2028'!Tnet-t)/('2028'!Tau_j))),Resal+(Salim-Resal)*(1-EXP((Tnet-t)/(Tau_j))))*Salcycl</f>
        <v>3.9471373610338277E-2</v>
      </c>
      <c r="P253" s="165">
        <f>(INDEX(Models!$BJ253:$BT253,,T253)*(1-R253)+INDEX(Models!$BJ253:$BT253,,T253+1)*R253-ERP_i)*Q253*Ramure*Pc/MaxiM</f>
        <v>5.4367536189895899E-5</v>
      </c>
      <c r="Q253" s="301">
        <f t="shared" si="80"/>
        <v>0.5</v>
      </c>
      <c r="R253" s="173">
        <f t="shared" si="81"/>
        <v>0.44519312264344019</v>
      </c>
      <c r="S253" s="801">
        <f t="shared" si="82"/>
        <v>0</v>
      </c>
      <c r="T253" s="172">
        <f t="shared" si="83"/>
        <v>6</v>
      </c>
      <c r="U253" s="247">
        <f t="shared" si="84"/>
        <v>0.44519312264344019</v>
      </c>
      <c r="V253" s="378">
        <f t="shared" si="85"/>
        <v>201.20117427291919</v>
      </c>
      <c r="W253" s="397">
        <f t="shared" si="86"/>
        <v>192.1288205396539</v>
      </c>
      <c r="X253" s="153">
        <f t="shared" si="87"/>
        <v>47357</v>
      </c>
      <c r="Y253" s="380">
        <f t="shared" si="88"/>
        <v>187.13903229061648</v>
      </c>
      <c r="Z253" s="380">
        <f t="shared" si="89"/>
        <v>194.80565305610534</v>
      </c>
      <c r="AA253" s="381">
        <f t="shared" si="90"/>
        <v>208.11619072801528</v>
      </c>
      <c r="AB253" s="193">
        <f t="shared" si="91"/>
        <v>47357</v>
      </c>
      <c r="AC253" s="119">
        <f>IF(OR(t&lt;Tnet,NoTnet),'2028'!Resal_s+('2028'!Salim-'2028'!Resal_s)*(1-EXP(('2028'!Tnet_s-t)/'2028'!Tau_j)),Resal_s+(Salim-Resal_s)*(1-EXP((Tnet_s-t)/Tau_j)))*Salcycl</f>
        <v>6.3957242468008435E-2</v>
      </c>
      <c r="AD253" s="227">
        <f>(INDEX(Models!$BJ253:$BT253,,AH253)*(1-AF253)+INDEX(Models!$BJ253:$BT253,,AH253+1)*AF253-ERP_i)*AE253*Ramure*Pc/MaxiM</f>
        <v>5.7969045481192814E-4</v>
      </c>
      <c r="AE253" s="301">
        <f t="shared" si="92"/>
        <v>0.5</v>
      </c>
      <c r="AF253" s="173">
        <f t="shared" si="93"/>
        <v>0.97018068901741827</v>
      </c>
      <c r="AG253" s="801">
        <f t="shared" si="99"/>
        <v>3</v>
      </c>
      <c r="AH253" s="172">
        <f t="shared" si="94"/>
        <v>9</v>
      </c>
      <c r="AI253" s="221">
        <f t="shared" si="95"/>
        <v>3.9701806890174183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47358</v>
      </c>
      <c r="B254" s="406">
        <f>'2028'!Wh/'2028'!Env_an*'2029'!Env_an</f>
        <v>189.21241732259693</v>
      </c>
      <c r="C254" s="831"/>
      <c r="D254" s="388">
        <f t="shared" si="77"/>
        <v>196.96667582502704</v>
      </c>
      <c r="E254" s="380">
        <f t="shared" si="100"/>
        <v>205.07036060769886</v>
      </c>
      <c r="F254" s="380">
        <f t="shared" si="78"/>
        <v>205.08051372704736</v>
      </c>
      <c r="G254" s="110">
        <f t="shared" si="101"/>
        <v>0.94436097853796697</v>
      </c>
      <c r="H254" s="409" t="b">
        <f>Wh_hp&gt;='2028'!Maxi_hp</f>
        <v>1</v>
      </c>
      <c r="I254" s="385">
        <f>IF(H254,Wh_hp,'2028'!Maxi_hp)</f>
        <v>205.08051372704736</v>
      </c>
      <c r="J254" s="85">
        <f>IF(H254,An,'2028'!An_max)</f>
        <v>2029</v>
      </c>
      <c r="K254" s="193">
        <f t="shared" si="79"/>
        <v>47358</v>
      </c>
      <c r="L254" s="143">
        <f>IF(t&lt;Tvie,1-EXP((T0-t)*PertePVj)+'2028'!Pspv,1-EXP((T0-t)*PertePVj)+Pspv)</f>
        <v>3.9368377772281193E-2</v>
      </c>
      <c r="M254" s="835"/>
      <c r="N254" s="835"/>
      <c r="O254" s="48">
        <f>IF(t&lt;Tnet,'2028'!Resal+('2028'!Salim-'2028'!Resal)*(1-EXP(('2028'!Tnet-t)/('2028'!Tau_j))),Resal+(Salim-Resal)*(1-EXP((Tnet-t)/(Tau_j))))*Salcycl</f>
        <v>3.9516606683957782E-2</v>
      </c>
      <c r="P254" s="165">
        <f>(INDEX(Models!$BJ254:$BT254,,T254)*(1-R254)+INDEX(Models!$BJ254:$BT254,,T254+1)*R254-ERP_i)*Q254*Ramure*Pc/MaxiM</f>
        <v>5.3782524210350727E-5</v>
      </c>
      <c r="Q254" s="301">
        <f t="shared" si="80"/>
        <v>0.5</v>
      </c>
      <c r="R254" s="173">
        <f t="shared" si="81"/>
        <v>0.44594937309600002</v>
      </c>
      <c r="S254" s="801">
        <f t="shared" si="82"/>
        <v>0</v>
      </c>
      <c r="T254" s="172">
        <f t="shared" si="83"/>
        <v>6</v>
      </c>
      <c r="U254" s="247">
        <f t="shared" si="84"/>
        <v>0.44594937309600002</v>
      </c>
      <c r="V254" s="378">
        <f t="shared" si="85"/>
        <v>200.35940999618759</v>
      </c>
      <c r="W254" s="397">
        <f t="shared" si="86"/>
        <v>189.21241732259693</v>
      </c>
      <c r="X254" s="153">
        <f t="shared" si="87"/>
        <v>47358</v>
      </c>
      <c r="Y254" s="380">
        <f t="shared" si="88"/>
        <v>184.30666832589409</v>
      </c>
      <c r="Z254" s="380">
        <f t="shared" si="89"/>
        <v>191.85988058407261</v>
      </c>
      <c r="AA254" s="381">
        <f t="shared" si="90"/>
        <v>204.97270960175047</v>
      </c>
      <c r="AB254" s="193">
        <f t="shared" si="91"/>
        <v>47358</v>
      </c>
      <c r="AC254" s="119">
        <f>IF(OR(t&lt;Tnet,NoTnet),'2028'!Resal_s+('2028'!Salim-'2028'!Resal_s)*(1-EXP(('2028'!Tnet_s-t)/'2028'!Tau_j)),Resal_s+(Salim-Resal_s)*(1-EXP((Tnet_s-t)/Tau_j)))*Salcycl</f>
        <v>6.3973536004648071E-2</v>
      </c>
      <c r="AD254" s="227">
        <f>(INDEX(Models!$BJ254:$BT254,,AH254)*(1-AF254)+INDEX(Models!$BJ254:$BT254,,AH254+1)*AF254-ERP_i)*AE254*Ramure*Pc/MaxiM</f>
        <v>5.7105385839849115E-4</v>
      </c>
      <c r="AE254" s="301">
        <f t="shared" si="92"/>
        <v>0.5</v>
      </c>
      <c r="AF254" s="173">
        <f t="shared" si="93"/>
        <v>0.97093693946997828</v>
      </c>
      <c r="AG254" s="801">
        <f t="shared" si="99"/>
        <v>3</v>
      </c>
      <c r="AH254" s="172">
        <f t="shared" si="94"/>
        <v>9</v>
      </c>
      <c r="AI254" s="221">
        <f t="shared" si="95"/>
        <v>3.9709369394699783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47359</v>
      </c>
      <c r="B255" s="406">
        <f>'2028'!Wh/'2028'!Env_an*'2029'!Env_an</f>
        <v>127.37165974349907</v>
      </c>
      <c r="C255" s="831"/>
      <c r="D255" s="388">
        <f t="shared" si="77"/>
        <v>132.59339004794285</v>
      </c>
      <c r="E255" s="380">
        <f t="shared" si="100"/>
        <v>138.05507138777972</v>
      </c>
      <c r="F255" s="380">
        <f t="shared" si="78"/>
        <v>138.05862062184124</v>
      </c>
      <c r="G255" s="110">
        <f t="shared" si="101"/>
        <v>0.63841760145640603</v>
      </c>
      <c r="H255" s="409" t="b">
        <f>Wh_hp&gt;='2028'!Maxi_hp</f>
        <v>1</v>
      </c>
      <c r="I255" s="385">
        <f>IF(H255,Wh_hp,'2028'!Maxi_hp)</f>
        <v>138.05862062184124</v>
      </c>
      <c r="J255" s="85">
        <f>IF(H255,An,'2028'!An_max)</f>
        <v>2029</v>
      </c>
      <c r="K255" s="193">
        <f t="shared" si="79"/>
        <v>47359</v>
      </c>
      <c r="L255" s="143">
        <f>IF(t&lt;Tvie,1-EXP((T0-t)*PertePVj)+'2028'!Pspv,1-EXP((T0-t)*PertePVj)+Pspv)</f>
        <v>3.9381528012487843E-2</v>
      </c>
      <c r="M255" s="835"/>
      <c r="N255" s="835"/>
      <c r="O255" s="48">
        <f>IF(t&lt;Tnet,'2028'!Resal+('2028'!Salim-'2028'!Resal)*(1-EXP(('2028'!Tnet-t)/('2028'!Tau_j))),Resal+(Salim-Resal)*(1-EXP((Tnet-t)/(Tau_j))))*Salcycl</f>
        <v>3.956161323835538E-2</v>
      </c>
      <c r="P255" s="165">
        <f>(INDEX(Models!$BJ255:$BT255,,T255)*(1-R255)+INDEX(Models!$BJ255:$BT255,,T255+1)*R255-ERP_i)*Q255*Ramure*Pc/MaxiM</f>
        <v>5.3173311177892055E-5</v>
      </c>
      <c r="Q255" s="301">
        <f t="shared" si="80"/>
        <v>0.5</v>
      </c>
      <c r="R255" s="173">
        <f t="shared" si="81"/>
        <v>0.44667741279829465</v>
      </c>
      <c r="S255" s="801">
        <f t="shared" si="82"/>
        <v>0</v>
      </c>
      <c r="T255" s="172">
        <f t="shared" si="83"/>
        <v>6</v>
      </c>
      <c r="U255" s="247">
        <f t="shared" si="84"/>
        <v>0.44667741279829465</v>
      </c>
      <c r="V255" s="378">
        <f t="shared" si="85"/>
        <v>199.50603035065032</v>
      </c>
      <c r="W255" s="397">
        <f t="shared" si="86"/>
        <v>127.37165974349907</v>
      </c>
      <c r="X255" s="153">
        <f t="shared" si="87"/>
        <v>47359</v>
      </c>
      <c r="Y255" s="380">
        <f t="shared" si="88"/>
        <v>124.10149421450961</v>
      </c>
      <c r="Z255" s="380">
        <f t="shared" si="89"/>
        <v>129.18916076821279</v>
      </c>
      <c r="AA255" s="381">
        <f t="shared" si="90"/>
        <v>138.02106454834029</v>
      </c>
      <c r="AB255" s="193">
        <f t="shared" si="91"/>
        <v>47359</v>
      </c>
      <c r="AC255" s="119">
        <f>IF(OR(t&lt;Tnet,NoTnet),'2028'!Resal_s+('2028'!Salim-'2028'!Resal_s)*(1-EXP(('2028'!Tnet_s-t)/'2028'!Tau_j)),Resal_s+(Salim-Resal_s)*(1-EXP((Tnet_s-t)/Tau_j)))*Salcycl</f>
        <v>6.3989535286001514E-2</v>
      </c>
      <c r="AD255" s="227">
        <f>(INDEX(Models!$BJ255:$BT255,,AH255)*(1-AF255)+INDEX(Models!$BJ255:$BT255,,AH255+1)*AF255-ERP_i)*AE255*Ramure*Pc/MaxiM</f>
        <v>5.6265119410715521E-4</v>
      </c>
      <c r="AE255" s="301">
        <f t="shared" si="92"/>
        <v>0.5</v>
      </c>
      <c r="AF255" s="173">
        <f t="shared" si="93"/>
        <v>0.97166497917227268</v>
      </c>
      <c r="AG255" s="801">
        <f t="shared" si="99"/>
        <v>3</v>
      </c>
      <c r="AH255" s="172">
        <f t="shared" si="94"/>
        <v>9</v>
      </c>
      <c r="AI255" s="221">
        <f t="shared" si="95"/>
        <v>3.9716649791722727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47360</v>
      </c>
      <c r="B256" s="406">
        <f>'2028'!Wh/'2028'!Env_an*'2029'!Env_an</f>
        <v>189.13406476611823</v>
      </c>
      <c r="C256" s="831"/>
      <c r="D256" s="388">
        <f t="shared" si="77"/>
        <v>196.89050273701062</v>
      </c>
      <c r="E256" s="380">
        <f t="shared" si="100"/>
        <v>205.01021657533681</v>
      </c>
      <c r="F256" s="380">
        <f t="shared" si="78"/>
        <v>205.02025180731076</v>
      </c>
      <c r="G256" s="110">
        <f t="shared" si="101"/>
        <v>0.9521365120483436</v>
      </c>
      <c r="H256" s="409" t="b">
        <f>Wh_hp&gt;='2028'!Maxi_hp</f>
        <v>1</v>
      </c>
      <c r="I256" s="385">
        <f>IF(H256,Wh_hp,'2028'!Maxi_hp)</f>
        <v>205.02025180731076</v>
      </c>
      <c r="J256" s="85">
        <f>IF(H256,An,'2028'!An_max)</f>
        <v>2029</v>
      </c>
      <c r="K256" s="193">
        <f t="shared" si="79"/>
        <v>47360</v>
      </c>
      <c r="L256" s="143">
        <f>IF(t&lt;Tvie,1-EXP((T0-t)*PertePVj)+'2028'!Pspv,1-EXP((T0-t)*PertePVj)+Pspv)</f>
        <v>3.9394678072678713E-2</v>
      </c>
      <c r="M256" s="835"/>
      <c r="N256" s="835"/>
      <c r="O256" s="48">
        <f>IF(t&lt;Tnet,'2028'!Resal+('2028'!Salim-'2028'!Resal)*(1-EXP(('2028'!Tnet-t)/('2028'!Tau_j))),Resal+(Salim-Resal)*(1-EXP((Tnet-t)/(Tau_j))))*Salcycl</f>
        <v>3.9606386325348672E-2</v>
      </c>
      <c r="P256" s="165">
        <f>(INDEX(Models!$BJ256:$BT256,,T256)*(1-R256)+INDEX(Models!$BJ256:$BT256,,T256+1)*R256-ERP_i)*Q256*Ramure*Pc/MaxiM</f>
        <v>5.2539737582026142E-5</v>
      </c>
      <c r="Q256" s="301">
        <f t="shared" si="80"/>
        <v>0.5</v>
      </c>
      <c r="R256" s="173">
        <f t="shared" si="81"/>
        <v>0.44737821035946934</v>
      </c>
      <c r="S256" s="801">
        <f t="shared" si="82"/>
        <v>0</v>
      </c>
      <c r="T256" s="172">
        <f t="shared" si="83"/>
        <v>6</v>
      </c>
      <c r="U256" s="247">
        <f t="shared" si="84"/>
        <v>0.44737821035946934</v>
      </c>
      <c r="V256" s="378">
        <f t="shared" si="85"/>
        <v>198.64103826291804</v>
      </c>
      <c r="W256" s="397">
        <f t="shared" si="86"/>
        <v>189.13406476611823</v>
      </c>
      <c r="X256" s="153">
        <f t="shared" si="87"/>
        <v>47360</v>
      </c>
      <c r="Y256" s="380">
        <f t="shared" si="88"/>
        <v>184.24290396840044</v>
      </c>
      <c r="Z256" s="380">
        <f t="shared" si="89"/>
        <v>191.79875414258856</v>
      </c>
      <c r="AA256" s="381">
        <f t="shared" si="90"/>
        <v>204.91434378700589</v>
      </c>
      <c r="AB256" s="193">
        <f t="shared" si="91"/>
        <v>47360</v>
      </c>
      <c r="AC256" s="119">
        <f>IF(OR(t&lt;Tnet,NoTnet),'2028'!Resal_s+('2028'!Salim-'2028'!Resal_s)*(1-EXP(('2028'!Tnet_s-t)/'2028'!Tau_j)),Resal_s+(Salim-Resal_s)*(1-EXP((Tnet_s-t)/Tau_j)))*Salcycl</f>
        <v>6.4005229707345679E-2</v>
      </c>
      <c r="AD256" s="227">
        <f>(INDEX(Models!$BJ256:$BT256,,AH256)*(1-AF256)+INDEX(Models!$BJ256:$BT256,,AH256+1)*AF256-ERP_i)*AE256*Ramure*Pc/MaxiM</f>
        <v>5.5448440146569505E-4</v>
      </c>
      <c r="AE256" s="301">
        <f t="shared" si="92"/>
        <v>0.5</v>
      </c>
      <c r="AF256" s="173">
        <f t="shared" si="93"/>
        <v>0.97236577673344726</v>
      </c>
      <c r="AG256" s="801">
        <f t="shared" si="99"/>
        <v>3</v>
      </c>
      <c r="AH256" s="172">
        <f t="shared" si="94"/>
        <v>9</v>
      </c>
      <c r="AI256" s="221">
        <f t="shared" si="95"/>
        <v>3.9723657767334473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47361</v>
      </c>
      <c r="B257" s="406">
        <f>'2028'!Wh/'2028'!Env_an*'2029'!Env_an</f>
        <v>84.13946965240244</v>
      </c>
      <c r="C257" s="831"/>
      <c r="D257" s="388">
        <f t="shared" si="77"/>
        <v>87.591250585657548</v>
      </c>
      <c r="E257" s="380">
        <f t="shared" si="100"/>
        <v>91.207720499528946</v>
      </c>
      <c r="F257" s="380">
        <f t="shared" si="78"/>
        <v>91.208568570550895</v>
      </c>
      <c r="G257" s="110">
        <f t="shared" si="101"/>
        <v>0.42543486628607552</v>
      </c>
      <c r="H257" s="409" t="b">
        <f>Wh_hp&gt;='2028'!Maxi_hp</f>
        <v>1</v>
      </c>
      <c r="I257" s="385">
        <f>IF(H257,Wh_hp,'2028'!Maxi_hp)</f>
        <v>91.208568570550895</v>
      </c>
      <c r="J257" s="85">
        <f>IF(H257,An,'2028'!An_max)</f>
        <v>2029</v>
      </c>
      <c r="K257" s="193">
        <f t="shared" si="79"/>
        <v>47361</v>
      </c>
      <c r="L257" s="143">
        <f>IF(t&lt;Tvie,1-EXP((T0-t)*PertePVj)+'2028'!Pspv,1-EXP((T0-t)*PertePVj)+Pspv)</f>
        <v>3.9407827952856245E-2</v>
      </c>
      <c r="M257" s="835"/>
      <c r="N257" s="835"/>
      <c r="O257" s="48">
        <f>IF(t&lt;Tnet,'2028'!Resal+('2028'!Salim-'2028'!Resal)*(1-EXP(('2028'!Tnet-t)/('2028'!Tau_j))),Resal+(Salim-Resal)*(1-EXP((Tnet-t)/(Tau_j))))*Salcycl</f>
        <v>3.9650918738727461E-2</v>
      </c>
      <c r="P257" s="165">
        <f>(INDEX(Models!$BJ257:$BT257,,T257)*(1-R257)+INDEX(Models!$BJ257:$BT257,,T257+1)*R257-ERP_i)*Q257*Ramure*Pc/MaxiM</f>
        <v>5.1881632024372474E-5</v>
      </c>
      <c r="Q257" s="301">
        <f t="shared" si="80"/>
        <v>0.5</v>
      </c>
      <c r="R257" s="173">
        <f t="shared" si="81"/>
        <v>0.44805270754916954</v>
      </c>
      <c r="S257" s="801">
        <f t="shared" si="82"/>
        <v>0</v>
      </c>
      <c r="T257" s="172">
        <f t="shared" si="83"/>
        <v>6</v>
      </c>
      <c r="U257" s="247">
        <f t="shared" si="84"/>
        <v>0.44805270754916954</v>
      </c>
      <c r="V257" s="378">
        <f t="shared" si="85"/>
        <v>197.76443666228081</v>
      </c>
      <c r="W257" s="397">
        <f t="shared" si="86"/>
        <v>84.13946965240244</v>
      </c>
      <c r="X257" s="153">
        <f t="shared" si="87"/>
        <v>47361</v>
      </c>
      <c r="Y257" s="380">
        <f t="shared" si="88"/>
        <v>81.997087608599642</v>
      </c>
      <c r="Z257" s="380">
        <f t="shared" si="89"/>
        <v>85.360978357603571</v>
      </c>
      <c r="AA257" s="381">
        <f t="shared" si="90"/>
        <v>91.199634428882874</v>
      </c>
      <c r="AB257" s="193">
        <f t="shared" si="91"/>
        <v>47361</v>
      </c>
      <c r="AC257" s="119">
        <f>IF(OR(t&lt;Tnet,NoTnet),'2028'!Resal_s+('2028'!Salim-'2028'!Resal_s)*(1-EXP(('2028'!Tnet_s-t)/'2028'!Tau_j)),Resal_s+(Salim-Resal_s)*(1-EXP((Tnet_s-t)/Tau_j)))*Salcycl</f>
        <v>6.402060828250658E-2</v>
      </c>
      <c r="AD257" s="227">
        <f>(INDEX(Models!$BJ257:$BT257,,AH257)*(1-AF257)+INDEX(Models!$BJ257:$BT257,,AH257+1)*AF257-ERP_i)*AE257*Ramure*Pc/MaxiM</f>
        <v>5.4655546349404165E-4</v>
      </c>
      <c r="AE257" s="301">
        <f t="shared" si="92"/>
        <v>0.5</v>
      </c>
      <c r="AF257" s="173">
        <f t="shared" si="93"/>
        <v>0.97304027392314785</v>
      </c>
      <c r="AG257" s="801">
        <f t="shared" si="99"/>
        <v>3</v>
      </c>
      <c r="AH257" s="172">
        <f t="shared" si="94"/>
        <v>9</v>
      </c>
      <c r="AI257" s="221">
        <f t="shared" si="95"/>
        <v>3.9730402739231478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47362</v>
      </c>
      <c r="B258" s="406">
        <f>'2028'!Wh/'2028'!Env_an*'2029'!Env_an</f>
        <v>167.34647357037548</v>
      </c>
      <c r="C258" s="831"/>
      <c r="D258" s="388">
        <f t="shared" si="77"/>
        <v>174.21416632803292</v>
      </c>
      <c r="E258" s="380">
        <f t="shared" si="100"/>
        <v>181.41549107305073</v>
      </c>
      <c r="F258" s="380">
        <f t="shared" si="78"/>
        <v>181.42278939640917</v>
      </c>
      <c r="G258" s="110">
        <f t="shared" si="101"/>
        <v>0.8499992045271223</v>
      </c>
      <c r="H258" s="409" t="b">
        <f>Wh_hp&gt;='2028'!Maxi_hp</f>
        <v>1</v>
      </c>
      <c r="I258" s="385">
        <f>IF(H258,Wh_hp,'2028'!Maxi_hp)</f>
        <v>181.42278939640917</v>
      </c>
      <c r="J258" s="85">
        <f>IF(H258,An,'2028'!An_max)</f>
        <v>2029</v>
      </c>
      <c r="K258" s="193">
        <f t="shared" si="79"/>
        <v>47362</v>
      </c>
      <c r="L258" s="143">
        <f>IF(t&lt;Tvie,1-EXP((T0-t)*PertePVj)+'2028'!Pspv,1-EXP((T0-t)*PertePVj)+Pspv)</f>
        <v>3.9420977653023104E-2</v>
      </c>
      <c r="M258" s="835"/>
      <c r="N258" s="835"/>
      <c r="O258" s="48">
        <f>IF(t&lt;Tnet,'2028'!Resal+('2028'!Salim-'2028'!Resal)*(1-EXP(('2028'!Tnet-t)/('2028'!Tau_j))),Resal+(Salim-Resal)*(1-EXP((Tnet-t)/(Tau_j))))*Salcycl</f>
        <v>3.9695202997400411E-2</v>
      </c>
      <c r="P258" s="165">
        <f>(INDEX(Models!$BJ258:$BT258,,T258)*(1-R258)+INDEX(Models!$BJ258:$BT258,,T258+1)*R258-ERP_i)*Q258*Ramure*Pc/MaxiM</f>
        <v>5.1198811112766105E-5</v>
      </c>
      <c r="Q258" s="301">
        <f t="shared" si="80"/>
        <v>0.5</v>
      </c>
      <c r="R258" s="173">
        <f t="shared" si="81"/>
        <v>0.448701819531791</v>
      </c>
      <c r="S258" s="801">
        <f t="shared" si="82"/>
        <v>0</v>
      </c>
      <c r="T258" s="172">
        <f t="shared" si="83"/>
        <v>6</v>
      </c>
      <c r="U258" s="247">
        <f t="shared" si="84"/>
        <v>0.448701819531791</v>
      </c>
      <c r="V258" s="378">
        <f t="shared" si="85"/>
        <v>196.8762284980896</v>
      </c>
      <c r="W258" s="397">
        <f t="shared" si="86"/>
        <v>167.34647357037548</v>
      </c>
      <c r="X258" s="153">
        <f t="shared" si="87"/>
        <v>47362</v>
      </c>
      <c r="Y258" s="380">
        <f t="shared" si="88"/>
        <v>163.04231037624743</v>
      </c>
      <c r="Z258" s="380">
        <f t="shared" si="89"/>
        <v>169.73336558806702</v>
      </c>
      <c r="AA258" s="381">
        <f t="shared" si="90"/>
        <v>181.34597469688654</v>
      </c>
      <c r="AB258" s="193">
        <f t="shared" si="91"/>
        <v>47362</v>
      </c>
      <c r="AC258" s="119">
        <f>IF(OR(t&lt;Tnet,NoTnet),'2028'!Resal_s+('2028'!Salim-'2028'!Resal_s)*(1-EXP(('2028'!Tnet_s-t)/'2028'!Tau_j)),Resal_s+(Salim-Resal_s)*(1-EXP((Tnet_s-t)/Tau_j)))*Salcycl</f>
        <v>6.4035659618194435E-2</v>
      </c>
      <c r="AD258" s="227">
        <f>(INDEX(Models!$BJ258:$BT258,,AH258)*(1-AF258)+INDEX(Models!$BJ258:$BT258,,AH258+1)*AF258-ERP_i)*AE258*Ramure*Pc/MaxiM</f>
        <v>5.3886640785774718E-4</v>
      </c>
      <c r="AE258" s="301">
        <f t="shared" si="92"/>
        <v>0.5</v>
      </c>
      <c r="AF258" s="173">
        <f t="shared" si="93"/>
        <v>0.97368938590576892</v>
      </c>
      <c r="AG258" s="801">
        <f t="shared" si="99"/>
        <v>3</v>
      </c>
      <c r="AH258" s="172">
        <f t="shared" si="94"/>
        <v>9</v>
      </c>
      <c r="AI258" s="221">
        <f t="shared" si="95"/>
        <v>3.9736893859057689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47363</v>
      </c>
      <c r="B259" s="406">
        <f>'2028'!Wh/'2028'!Env_an*'2029'!Env_an</f>
        <v>164.95086767759406</v>
      </c>
      <c r="C259" s="831"/>
      <c r="D259" s="388">
        <f t="shared" si="77"/>
        <v>171.72259846392984</v>
      </c>
      <c r="E259" s="380">
        <f t="shared" si="100"/>
        <v>178.82913065499932</v>
      </c>
      <c r="F259" s="380">
        <f t="shared" si="78"/>
        <v>178.83611813422939</v>
      </c>
      <c r="G259" s="110">
        <f t="shared" si="101"/>
        <v>0.84167772206959579</v>
      </c>
      <c r="H259" s="409" t="b">
        <f>Wh_hp&gt;='2028'!Maxi_hp</f>
        <v>1</v>
      </c>
      <c r="I259" s="385">
        <f>IF(H259,Wh_hp,'2028'!Maxi_hp)</f>
        <v>178.83611813422939</v>
      </c>
      <c r="J259" s="85">
        <f>IF(H259,An,'2028'!An_max)</f>
        <v>2029</v>
      </c>
      <c r="K259" s="193">
        <f t="shared" si="79"/>
        <v>47363</v>
      </c>
      <c r="L259" s="143">
        <f>IF(t&lt;Tvie,1-EXP((T0-t)*PertePVj)+'2028'!Pspv,1-EXP((T0-t)*PertePVj)+Pspv)</f>
        <v>3.943412717318151E-2</v>
      </c>
      <c r="M259" s="835"/>
      <c r="N259" s="835"/>
      <c r="O259" s="48">
        <f>IF(t&lt;Tnet,'2028'!Resal+('2028'!Salim-'2028'!Resal)*(1-EXP(('2028'!Tnet-t)/('2028'!Tau_j))),Resal+(Salim-Resal)*(1-EXP((Tnet-t)/(Tau_j))))*Salcycl</f>
        <v>3.9739231326799504E-2</v>
      </c>
      <c r="P259" s="165">
        <f>(INDEX(Models!$BJ259:$BT259,,T259)*(1-R259)+INDEX(Models!$BJ259:$BT259,,T259+1)*R259-ERP_i)*Q259*Ramure*Pc/MaxiM</f>
        <v>5.049107937928992E-5</v>
      </c>
      <c r="Q259" s="301">
        <f t="shared" si="80"/>
        <v>0.5</v>
      </c>
      <c r="R259" s="173">
        <f t="shared" si="81"/>
        <v>0.44932643514599763</v>
      </c>
      <c r="S259" s="801">
        <f t="shared" si="82"/>
        <v>0</v>
      </c>
      <c r="T259" s="172">
        <f t="shared" si="83"/>
        <v>6</v>
      </c>
      <c r="U259" s="247">
        <f t="shared" si="84"/>
        <v>0.44932643514599763</v>
      </c>
      <c r="V259" s="378">
        <f t="shared" si="85"/>
        <v>195.97641672896754</v>
      </c>
      <c r="W259" s="397">
        <f t="shared" si="86"/>
        <v>164.95086767759406</v>
      </c>
      <c r="X259" s="153">
        <f t="shared" si="87"/>
        <v>47363</v>
      </c>
      <c r="Y259" s="380">
        <f t="shared" si="88"/>
        <v>160.71493255306856</v>
      </c>
      <c r="Z259" s="380">
        <f t="shared" si="89"/>
        <v>167.3127654224335</v>
      </c>
      <c r="AA259" s="381">
        <f t="shared" si="90"/>
        <v>178.76257481881646</v>
      </c>
      <c r="AB259" s="193">
        <f t="shared" si="91"/>
        <v>47363</v>
      </c>
      <c r="AC259" s="119">
        <f>IF(OR(t&lt;Tnet,NoTnet),'2028'!Resal_s+('2028'!Salim-'2028'!Resal_s)*(1-EXP(('2028'!Tnet_s-t)/'2028'!Tau_j)),Resal_s+(Salim-Resal_s)*(1-EXP((Tnet_s-t)/Tau_j)))*Salcycl</f>
        <v>6.4050371885658083E-2</v>
      </c>
      <c r="AD259" s="227">
        <f>(INDEX(Models!$BJ259:$BT259,,AH259)*(1-AF259)+INDEX(Models!$BJ259:$BT259,,AH259+1)*AF259-ERP_i)*AE259*Ramure*Pc/MaxiM</f>
        <v>5.3141930788792033E-4</v>
      </c>
      <c r="AE259" s="301">
        <f t="shared" si="92"/>
        <v>0.5</v>
      </c>
      <c r="AF259" s="173">
        <f t="shared" si="93"/>
        <v>0.97431400151997583</v>
      </c>
      <c r="AG259" s="801">
        <f t="shared" si="99"/>
        <v>3</v>
      </c>
      <c r="AH259" s="172">
        <f t="shared" si="94"/>
        <v>9</v>
      </c>
      <c r="AI259" s="221">
        <f t="shared" si="95"/>
        <v>3.9743140015199758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47364</v>
      </c>
      <c r="B260" s="406">
        <f>'2028'!Wh/'2028'!Env_an*'2029'!Env_an</f>
        <v>128.84857457576749</v>
      </c>
      <c r="C260" s="831"/>
      <c r="D260" s="388">
        <f t="shared" si="77"/>
        <v>134.14003357157324</v>
      </c>
      <c r="E260" s="380">
        <f t="shared" si="100"/>
        <v>139.69762351881309</v>
      </c>
      <c r="F260" s="380">
        <f t="shared" si="78"/>
        <v>139.70120384469499</v>
      </c>
      <c r="G260" s="110">
        <f t="shared" si="101"/>
        <v>0.66052578651370097</v>
      </c>
      <c r="H260" s="409" t="b">
        <f>Wh_hp&gt;='2028'!Maxi_hp</f>
        <v>1</v>
      </c>
      <c r="I260" s="385">
        <f>IF(H260,Wh_hp,'2028'!Maxi_hp)</f>
        <v>139.70120384469499</v>
      </c>
      <c r="J260" s="85">
        <f>IF(H260,An,'2028'!An_max)</f>
        <v>2029</v>
      </c>
      <c r="K260" s="193">
        <f t="shared" si="79"/>
        <v>47364</v>
      </c>
      <c r="L260" s="143">
        <f>IF(t&lt;Tvie,1-EXP((T0-t)*PertePVj)+'2028'!Pspv,1-EXP((T0-t)*PertePVj)+Pspv)</f>
        <v>3.9447276513334018E-2</v>
      </c>
      <c r="M260" s="835"/>
      <c r="N260" s="835"/>
      <c r="O260" s="48">
        <f>IF(t&lt;Tnet,'2028'!Resal+('2028'!Salim-'2028'!Resal)*(1-EXP(('2028'!Tnet-t)/('2028'!Tau_j))),Resal+(Salim-Resal)*(1-EXP((Tnet-t)/(Tau_j))))*Salcycl</f>
        <v>3.9782995639087708E-2</v>
      </c>
      <c r="P260" s="165">
        <f>(INDEX(Models!$BJ260:$BT260,,T260)*(1-R260)+INDEX(Models!$BJ260:$BT260,,T260+1)*R260-ERP_i)*Q260*Ramure*Pc/MaxiM</f>
        <v>4.9758229217470166E-5</v>
      </c>
      <c r="Q260" s="301">
        <f t="shared" si="80"/>
        <v>0.5</v>
      </c>
      <c r="R260" s="173">
        <f t="shared" si="81"/>
        <v>0.44992741722462309</v>
      </c>
      <c r="S260" s="801">
        <f t="shared" si="82"/>
        <v>0</v>
      </c>
      <c r="T260" s="172">
        <f t="shared" si="83"/>
        <v>6</v>
      </c>
      <c r="U260" s="247">
        <f t="shared" si="84"/>
        <v>0.44992741722462309</v>
      </c>
      <c r="V260" s="378">
        <f t="shared" si="85"/>
        <v>195.06500433389991</v>
      </c>
      <c r="W260" s="397">
        <f t="shared" si="86"/>
        <v>128.84857457576749</v>
      </c>
      <c r="X260" s="153">
        <f t="shared" si="87"/>
        <v>47364</v>
      </c>
      <c r="Y260" s="380">
        <f t="shared" si="88"/>
        <v>125.55959093704705</v>
      </c>
      <c r="Z260" s="380">
        <f t="shared" si="89"/>
        <v>130.71598035897924</v>
      </c>
      <c r="AA260" s="381">
        <f t="shared" si="90"/>
        <v>139.66348415175923</v>
      </c>
      <c r="AB260" s="193">
        <f t="shared" si="91"/>
        <v>47364</v>
      </c>
      <c r="AC260" s="119">
        <f>IF(OR(t&lt;Tnet,NoTnet),'2028'!Resal_s+('2028'!Salim-'2028'!Resal_s)*(1-EXP(('2028'!Tnet_s-t)/'2028'!Tau_j)),Resal_s+(Salim-Resal_s)*(1-EXP((Tnet_s-t)/Tau_j)))*Salcycl</f>
        <v>6.406473279055222E-2</v>
      </c>
      <c r="AD260" s="227">
        <f>(INDEX(Models!$BJ260:$BT260,,AH260)*(1-AF260)+INDEX(Models!$BJ260:$BT260,,AH260+1)*AF260-ERP_i)*AE260*Ramure*Pc/MaxiM</f>
        <v>5.2421628338403432E-4</v>
      </c>
      <c r="AE260" s="301">
        <f t="shared" si="92"/>
        <v>0.5</v>
      </c>
      <c r="AF260" s="173">
        <f t="shared" si="93"/>
        <v>0.97491498359860129</v>
      </c>
      <c r="AG260" s="801">
        <f t="shared" si="99"/>
        <v>3</v>
      </c>
      <c r="AH260" s="172">
        <f t="shared" si="94"/>
        <v>9</v>
      </c>
      <c r="AI260" s="221">
        <f t="shared" si="95"/>
        <v>3.9749149835986013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47365</v>
      </c>
      <c r="B261" s="406">
        <f>'2028'!Wh/'2028'!Env_an*'2029'!Env_an</f>
        <v>181.50236045903122</v>
      </c>
      <c r="C261" s="831"/>
      <c r="D261" s="388">
        <f t="shared" si="77"/>
        <v>188.95875329893798</v>
      </c>
      <c r="E261" s="380">
        <f t="shared" si="100"/>
        <v>196.79646526538349</v>
      </c>
      <c r="F261" s="380">
        <f t="shared" si="78"/>
        <v>196.80521181645327</v>
      </c>
      <c r="G261" s="110">
        <f t="shared" si="101"/>
        <v>0.93489063969467645</v>
      </c>
      <c r="H261" s="409" t="b">
        <f>Wh_hp&gt;='2028'!Maxi_hp</f>
        <v>1</v>
      </c>
      <c r="I261" s="385">
        <f>IF(H261,Wh_hp,'2028'!Maxi_hp)</f>
        <v>196.80521181645327</v>
      </c>
      <c r="J261" s="85">
        <f>IF(H261,An,'2028'!An_max)</f>
        <v>2029</v>
      </c>
      <c r="K261" s="193">
        <f t="shared" si="79"/>
        <v>47365</v>
      </c>
      <c r="L261" s="143">
        <f>IF(t&lt;Tvie,1-EXP((T0-t)*PertePVj)+'2028'!Pspv,1-EXP((T0-t)*PertePVj)+Pspv)</f>
        <v>3.9460425673483068E-2</v>
      </c>
      <c r="M261" s="835"/>
      <c r="N261" s="835"/>
      <c r="O261" s="48">
        <f>IF(t&lt;Tnet,'2028'!Resal+('2028'!Salim-'2028'!Resal)*(1-EXP(('2028'!Tnet-t)/('2028'!Tau_j))),Resal+(Salim-Resal)*(1-EXP((Tnet-t)/(Tau_j))))*Salcycl</f>
        <v>3.982648751275196E-2</v>
      </c>
      <c r="P261" s="165">
        <f>(INDEX(Models!$BJ261:$BT261,,T261)*(1-R261)+INDEX(Models!$BJ261:$BT261,,T261+1)*R261-ERP_i)*Q261*Ramure*Pc/MaxiM</f>
        <v>4.9000040857411345E-5</v>
      </c>
      <c r="Q261" s="301">
        <f t="shared" si="80"/>
        <v>0.5</v>
      </c>
      <c r="R261" s="173">
        <f t="shared" si="81"/>
        <v>0.45050560295038733</v>
      </c>
      <c r="S261" s="801">
        <f t="shared" si="82"/>
        <v>0</v>
      </c>
      <c r="T261" s="172">
        <f t="shared" si="83"/>
        <v>6</v>
      </c>
      <c r="U261" s="247">
        <f t="shared" si="84"/>
        <v>0.45050560295038733</v>
      </c>
      <c r="V261" s="378">
        <f t="shared" si="85"/>
        <v>194.1419943083483</v>
      </c>
      <c r="W261" s="397">
        <f t="shared" si="86"/>
        <v>181.50236045903122</v>
      </c>
      <c r="X261" s="153">
        <f t="shared" si="87"/>
        <v>47365</v>
      </c>
      <c r="Y261" s="380">
        <f t="shared" si="88"/>
        <v>176.84279812715391</v>
      </c>
      <c r="Z261" s="380">
        <f t="shared" si="89"/>
        <v>184.10776906422348</v>
      </c>
      <c r="AA261" s="381">
        <f t="shared" si="90"/>
        <v>196.71288053334015</v>
      </c>
      <c r="AB261" s="193">
        <f t="shared" si="91"/>
        <v>47365</v>
      </c>
      <c r="AC261" s="119">
        <f>IF(OR(t&lt;Tnet,NoTnet),'2028'!Resal_s+('2028'!Salim-'2028'!Resal_s)*(1-EXP(('2028'!Tnet_s-t)/'2028'!Tau_j)),Resal_s+(Salim-Resal_s)*(1-EXP((Tnet_s-t)/Tau_j)))*Salcycl</f>
        <v>6.4078729541964516E-2</v>
      </c>
      <c r="AD261" s="227">
        <f>(INDEX(Models!$BJ261:$BT261,,AH261)*(1-AF261)+INDEX(Models!$BJ261:$BT261,,AH261+1)*AF261-ERP_i)*AE261*Ramure*Pc/MaxiM</f>
        <v>5.1725950135804053E-4</v>
      </c>
      <c r="AE261" s="301">
        <f t="shared" si="92"/>
        <v>0.5</v>
      </c>
      <c r="AF261" s="173">
        <f t="shared" si="93"/>
        <v>0.97549316932436536</v>
      </c>
      <c r="AG261" s="801">
        <f t="shared" si="99"/>
        <v>3</v>
      </c>
      <c r="AH261" s="172">
        <f t="shared" si="94"/>
        <v>9</v>
      </c>
      <c r="AI261" s="221">
        <f t="shared" si="95"/>
        <v>3.9754931693243654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47366</v>
      </c>
      <c r="B262" s="406">
        <f>'2028'!Wh/'2028'!Env_an*'2029'!Env_an</f>
        <v>160.3004816484538</v>
      </c>
      <c r="C262" s="831"/>
      <c r="D262" s="388">
        <f t="shared" si="77"/>
        <v>166.88815363996773</v>
      </c>
      <c r="E262" s="380">
        <f t="shared" si="100"/>
        <v>173.81823417328005</v>
      </c>
      <c r="F262" s="380">
        <f t="shared" si="78"/>
        <v>173.82457901661357</v>
      </c>
      <c r="G262" s="110">
        <f t="shared" si="101"/>
        <v>0.82967118370258286</v>
      </c>
      <c r="H262" s="409" t="b">
        <f>Wh_hp&gt;='2028'!Maxi_hp</f>
        <v>1</v>
      </c>
      <c r="I262" s="385">
        <f>IF(H262,Wh_hp,'2028'!Maxi_hp)</f>
        <v>173.82457901661357</v>
      </c>
      <c r="J262" s="85">
        <f>IF(H262,An,'2028'!An_max)</f>
        <v>2029</v>
      </c>
      <c r="K262" s="193">
        <f t="shared" si="79"/>
        <v>47366</v>
      </c>
      <c r="L262" s="143">
        <f>IF(t&lt;Tvie,1-EXP((T0-t)*PertePVj)+'2028'!Pspv,1-EXP((T0-t)*PertePVj)+Pspv)</f>
        <v>3.9473574653631216E-2</v>
      </c>
      <c r="M262" s="835"/>
      <c r="N262" s="835"/>
      <c r="O262" s="48">
        <f>IF(t&lt;Tnet,'2028'!Resal+('2028'!Salim-'2028'!Resal)*(1-EXP(('2028'!Tnet-t)/('2028'!Tau_j))),Resal+(Salim-Resal)*(1-EXP((Tnet-t)/(Tau_j))))*Salcycl</f>
        <v>3.9869698172193498E-2</v>
      </c>
      <c r="P262" s="165">
        <f>(INDEX(Models!$BJ262:$BT262,,T262)*(1-R262)+INDEX(Models!$BJ262:$BT262,,T262+1)*R262-ERP_i)*Q262*Ramure*Pc/MaxiM</f>
        <v>4.82384590286303E-5</v>
      </c>
      <c r="Q262" s="301">
        <f t="shared" si="80"/>
        <v>0.5</v>
      </c>
      <c r="R262" s="173">
        <f t="shared" si="81"/>
        <v>0.45106180424315923</v>
      </c>
      <c r="S262" s="801">
        <f t="shared" si="82"/>
        <v>0</v>
      </c>
      <c r="T262" s="172">
        <f t="shared" si="83"/>
        <v>6</v>
      </c>
      <c r="U262" s="247">
        <f t="shared" si="84"/>
        <v>0.45106180424315923</v>
      </c>
      <c r="V262" s="378">
        <f t="shared" si="85"/>
        <v>193.20738537744242</v>
      </c>
      <c r="W262" s="397">
        <f t="shared" si="86"/>
        <v>160.3004816484538</v>
      </c>
      <c r="X262" s="153">
        <f t="shared" si="87"/>
        <v>47366</v>
      </c>
      <c r="Y262" s="380">
        <f t="shared" si="88"/>
        <v>156.20166127006286</v>
      </c>
      <c r="Z262" s="380">
        <f t="shared" si="89"/>
        <v>162.62088907521317</v>
      </c>
      <c r="AA262" s="381">
        <f t="shared" si="90"/>
        <v>173.75740958037443</v>
      </c>
      <c r="AB262" s="193">
        <f t="shared" si="91"/>
        <v>47366</v>
      </c>
      <c r="AC262" s="119">
        <f>IF(OR(t&lt;Tnet,NoTnet),'2028'!Resal_s+('2028'!Salim-'2028'!Resal_s)*(1-EXP(('2028'!Tnet_s-t)/'2028'!Tau_j)),Resal_s+(Salim-Resal_s)*(1-EXP((Tnet_s-t)/Tau_j)))*Salcycl</f>
        <v>6.4092348821590081E-2</v>
      </c>
      <c r="AD262" s="227">
        <f>(INDEX(Models!$BJ262:$BT262,,AH262)*(1-AF262)+INDEX(Models!$BJ262:$BT262,,AH262+1)*AF262-ERP_i)*AE262*Ramure*Pc/MaxiM</f>
        <v>5.1067456321259529E-4</v>
      </c>
      <c r="AE262" s="301">
        <f t="shared" si="92"/>
        <v>0.5</v>
      </c>
      <c r="AF262" s="173">
        <f t="shared" si="93"/>
        <v>0.97604937061713759</v>
      </c>
      <c r="AG262" s="801">
        <f t="shared" si="99"/>
        <v>3</v>
      </c>
      <c r="AH262" s="172">
        <f t="shared" si="94"/>
        <v>9</v>
      </c>
      <c r="AI262" s="221">
        <f t="shared" si="95"/>
        <v>3.9760493706171376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47367</v>
      </c>
      <c r="B263" s="406">
        <f>'2028'!Wh/'2028'!Env_an*'2029'!Env_an</f>
        <v>179.76888488684168</v>
      </c>
      <c r="C263" s="831"/>
      <c r="D263" s="388">
        <f t="shared" si="77"/>
        <v>187.15918798462474</v>
      </c>
      <c r="E263" s="380">
        <f t="shared" si="100"/>
        <v>194.93974359497071</v>
      </c>
      <c r="F263" s="380">
        <f t="shared" si="78"/>
        <v>194.94814982272536</v>
      </c>
      <c r="G263" s="110">
        <f t="shared" si="101"/>
        <v>0.93502027677991728</v>
      </c>
      <c r="H263" s="409" t="b">
        <f>Wh_hp&gt;='2028'!Maxi_hp</f>
        <v>1</v>
      </c>
      <c r="I263" s="385">
        <f>IF(H263,Wh_hp,'2028'!Maxi_hp)</f>
        <v>194.94814982272536</v>
      </c>
      <c r="J263" s="85">
        <f>IF(H263,An,'2028'!An_max)</f>
        <v>2029</v>
      </c>
      <c r="K263" s="193">
        <f t="shared" si="79"/>
        <v>47367</v>
      </c>
      <c r="L263" s="143">
        <f>IF(t&lt;Tvie,1-EXP((T0-t)*PertePVj)+'2028'!Pspv,1-EXP((T0-t)*PertePVj)+Pspv)</f>
        <v>3.9486723453780903E-2</v>
      </c>
      <c r="M263" s="835"/>
      <c r="N263" s="835"/>
      <c r="O263" s="48">
        <f>IF(t&lt;Tnet,'2028'!Resal+('2028'!Salim-'2028'!Resal)*(1-EXP(('2028'!Tnet-t)/('2028'!Tau_j))),Resal+(Salim-Resal)*(1-EXP((Tnet-t)/(Tau_j))))*Salcycl</f>
        <v>3.991261846794953E-2</v>
      </c>
      <c r="P263" s="165">
        <f>(INDEX(Models!$BJ263:$BT263,,T263)*(1-R263)+INDEX(Models!$BJ263:$BT263,,T263+1)*R263-ERP_i)*Q263*Ramure*Pc/MaxiM</f>
        <v>4.7532390914408454E-5</v>
      </c>
      <c r="Q263" s="301">
        <f t="shared" si="80"/>
        <v>0.5</v>
      </c>
      <c r="R263" s="173">
        <f t="shared" si="81"/>
        <v>0.45159680817479086</v>
      </c>
      <c r="S263" s="801">
        <f t="shared" si="82"/>
        <v>0</v>
      </c>
      <c r="T263" s="172">
        <f t="shared" si="83"/>
        <v>6</v>
      </c>
      <c r="U263" s="247">
        <f t="shared" si="84"/>
        <v>0.45159680817479086</v>
      </c>
      <c r="V263" s="378">
        <f t="shared" si="85"/>
        <v>192.26116926547201</v>
      </c>
      <c r="W263" s="397">
        <f t="shared" si="86"/>
        <v>179.76888488684168</v>
      </c>
      <c r="X263" s="153">
        <f t="shared" si="87"/>
        <v>47367</v>
      </c>
      <c r="Y263" s="380">
        <f t="shared" si="88"/>
        <v>175.16627268327531</v>
      </c>
      <c r="Z263" s="380">
        <f t="shared" si="89"/>
        <v>182.36736228481112</v>
      </c>
      <c r="AA263" s="381">
        <f t="shared" si="90"/>
        <v>194.85890476012545</v>
      </c>
      <c r="AB263" s="193">
        <f t="shared" si="91"/>
        <v>47367</v>
      </c>
      <c r="AC263" s="119">
        <f>IF(OR(t&lt;Tnet,NoTnet),'2028'!Resal_s+('2028'!Salim-'2028'!Resal_s)*(1-EXP(('2028'!Tnet_s-t)/'2028'!Tau_j)),Resal_s+(Salim-Resal_s)*(1-EXP((Tnet_s-t)/Tau_j)))*Salcycl</f>
        <v>6.4105576754070456E-2</v>
      </c>
      <c r="AD263" s="227">
        <f>(INDEX(Models!$BJ263:$BT263,,AH263)*(1-AF263)+INDEX(Models!$BJ263:$BT263,,AH263+1)*AF263-ERP_i)*AE263*Ramure*Pc/MaxiM</f>
        <v>5.0462958255324721E-4</v>
      </c>
      <c r="AE263" s="301">
        <f t="shared" si="92"/>
        <v>0.5</v>
      </c>
      <c r="AF263" s="173">
        <f t="shared" si="93"/>
        <v>0.97658437454876879</v>
      </c>
      <c r="AG263" s="801">
        <f t="shared" si="99"/>
        <v>3</v>
      </c>
      <c r="AH263" s="172">
        <f t="shared" si="94"/>
        <v>9</v>
      </c>
      <c r="AI263" s="221">
        <f t="shared" si="95"/>
        <v>3.9765843745487688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47368</v>
      </c>
      <c r="B264" s="406">
        <f>'2028'!Wh/'2028'!Env_an*'2029'!Env_an</f>
        <v>136.63404820422863</v>
      </c>
      <c r="C264" s="831"/>
      <c r="D264" s="388">
        <f t="shared" si="77"/>
        <v>142.25302447304415</v>
      </c>
      <c r="E264" s="380">
        <f t="shared" si="100"/>
        <v>148.17332506857196</v>
      </c>
      <c r="F264" s="380">
        <f t="shared" si="78"/>
        <v>148.17743596191121</v>
      </c>
      <c r="G264" s="110">
        <f t="shared" si="101"/>
        <v>0.71421349224978758</v>
      </c>
      <c r="H264" s="409" t="b">
        <f>Wh_hp&gt;='2028'!Maxi_hp</f>
        <v>1</v>
      </c>
      <c r="I264" s="385">
        <f>IF(H264,Wh_hp,'2028'!Maxi_hp)</f>
        <v>148.17743596191121</v>
      </c>
      <c r="J264" s="85">
        <f>IF(H264,An,'2028'!An_max)</f>
        <v>2029</v>
      </c>
      <c r="K264" s="193">
        <f t="shared" si="79"/>
        <v>47368</v>
      </c>
      <c r="L264" s="143">
        <f>IF(t&lt;Tvie,1-EXP((T0-t)*PertePVj)+'2028'!Pspv,1-EXP((T0-t)*PertePVj)+Pspv)</f>
        <v>3.9499872073934461E-2</v>
      </c>
      <c r="M264" s="835"/>
      <c r="N264" s="835"/>
      <c r="O264" s="48">
        <f>IF(t&lt;Tnet,'2028'!Resal+('2028'!Salim-'2028'!Resal)*(1-EXP(('2028'!Tnet-t)/('2028'!Tau_j))),Resal+(Salim-Resal)*(1-EXP((Tnet-t)/(Tau_j))))*Salcycl</f>
        <v>3.9955238858195269E-2</v>
      </c>
      <c r="P264" s="165">
        <f>(INDEX(Models!$BJ264:$BT264,,T264)*(1-R264)+INDEX(Models!$BJ264:$BT264,,T264+1)*R264-ERP_i)*Q264*Ramure*Pc/MaxiM</f>
        <v>4.6882806234221673E-5</v>
      </c>
      <c r="Q264" s="301">
        <f t="shared" si="80"/>
        <v>0.5</v>
      </c>
      <c r="R264" s="173">
        <f t="shared" si="81"/>
        <v>0.45211137740782847</v>
      </c>
      <c r="S264" s="801">
        <f t="shared" si="82"/>
        <v>0</v>
      </c>
      <c r="T264" s="172">
        <f t="shared" si="83"/>
        <v>6</v>
      </c>
      <c r="U264" s="247">
        <f t="shared" si="84"/>
        <v>0.45211137740782847</v>
      </c>
      <c r="V264" s="378">
        <f t="shared" si="85"/>
        <v>191.30334902843114</v>
      </c>
      <c r="W264" s="397">
        <f t="shared" si="86"/>
        <v>136.63404820422863</v>
      </c>
      <c r="X264" s="153">
        <f t="shared" si="87"/>
        <v>47368</v>
      </c>
      <c r="Y264" s="380">
        <f t="shared" si="88"/>
        <v>133.15948873119214</v>
      </c>
      <c r="Z264" s="380">
        <f t="shared" si="89"/>
        <v>138.63557625829083</v>
      </c>
      <c r="AA264" s="381">
        <f t="shared" si="90"/>
        <v>148.13366999875996</v>
      </c>
      <c r="AB264" s="193">
        <f t="shared" si="91"/>
        <v>47368</v>
      </c>
      <c r="AC264" s="119">
        <f>IF(OR(t&lt;Tnet,NoTnet),'2028'!Resal_s+('2028'!Salim-'2028'!Resal_s)*(1-EXP(('2028'!Tnet_s-t)/'2028'!Tau_j)),Resal_s+(Salim-Resal_s)*(1-EXP((Tnet_s-t)/Tau_j)))*Salcycl</f>
        <v>6.41183988795299E-2</v>
      </c>
      <c r="AD264" s="227">
        <f>(INDEX(Models!$BJ264:$BT264,,AH264)*(1-AF264)+INDEX(Models!$BJ264:$BT264,,AH264+1)*AF264-ERP_i)*AE264*Ramure*Pc/MaxiM</f>
        <v>4.9913023781850304E-4</v>
      </c>
      <c r="AE264" s="301">
        <f t="shared" si="92"/>
        <v>0.5</v>
      </c>
      <c r="AF264" s="173">
        <f t="shared" si="93"/>
        <v>0.97709894378180673</v>
      </c>
      <c r="AG264" s="801">
        <f t="shared" si="99"/>
        <v>3</v>
      </c>
      <c r="AH264" s="172">
        <f t="shared" si="94"/>
        <v>9</v>
      </c>
      <c r="AI264" s="221">
        <f t="shared" si="95"/>
        <v>3.9770989437818067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47369</v>
      </c>
      <c r="B265" s="406">
        <f>'2028'!Wh/'2028'!Env_an*'2029'!Env_an</f>
        <v>158.83314665411604</v>
      </c>
      <c r="C265" s="831"/>
      <c r="D265" s="388">
        <f t="shared" si="77"/>
        <v>165.36730850753486</v>
      </c>
      <c r="E265" s="380">
        <f t="shared" si="100"/>
        <v>172.2571733049574</v>
      </c>
      <c r="F265" s="380">
        <f t="shared" si="78"/>
        <v>172.26326213194801</v>
      </c>
      <c r="G265" s="110">
        <f t="shared" si="101"/>
        <v>0.83448815512070296</v>
      </c>
      <c r="H265" s="409" t="b">
        <f>Wh_hp&gt;='2028'!Maxi_hp</f>
        <v>1</v>
      </c>
      <c r="I265" s="385">
        <f>IF(H265,Wh_hp,'2028'!Maxi_hp)</f>
        <v>172.26326213194801</v>
      </c>
      <c r="J265" s="85">
        <f>IF(H265,An,'2028'!An_max)</f>
        <v>2029</v>
      </c>
      <c r="K265" s="193">
        <f t="shared" si="79"/>
        <v>47369</v>
      </c>
      <c r="L265" s="143">
        <f>IF(t&lt;Tvie,1-EXP((T0-t)*PertePVj)+'2028'!Pspv,1-EXP((T0-t)*PertePVj)+Pspv)</f>
        <v>3.9513020514094555E-2</v>
      </c>
      <c r="M265" s="835"/>
      <c r="N265" s="835"/>
      <c r="O265" s="48">
        <f>IF(t&lt;Tnet,'2028'!Resal+('2028'!Salim-'2028'!Resal)*(1-EXP(('2028'!Tnet-t)/('2028'!Tau_j))),Resal+(Salim-Resal)*(1-EXP((Tnet-t)/(Tau_j))))*Salcycl</f>
        <v>3.9997549392181246E-2</v>
      </c>
      <c r="P265" s="165">
        <f>(INDEX(Models!$BJ265:$BT265,,T265)*(1-R265)+INDEX(Models!$BJ265:$BT265,,T265+1)*R265-ERP_i)*Q265*Ramure*Pc/MaxiM</f>
        <v>4.6290673592801964E-5</v>
      </c>
      <c r="Q265" s="301">
        <f t="shared" si="80"/>
        <v>0.5</v>
      </c>
      <c r="R265" s="173">
        <f t="shared" si="81"/>
        <v>0.4526062506546743</v>
      </c>
      <c r="S265" s="801">
        <f t="shared" si="82"/>
        <v>0</v>
      </c>
      <c r="T265" s="172">
        <f t="shared" si="83"/>
        <v>6</v>
      </c>
      <c r="U265" s="247">
        <f t="shared" si="84"/>
        <v>0.4526062506546743</v>
      </c>
      <c r="V265" s="378">
        <f t="shared" si="85"/>
        <v>190.3339277496618</v>
      </c>
      <c r="W265" s="397">
        <f t="shared" si="86"/>
        <v>158.83314665411604</v>
      </c>
      <c r="X265" s="153">
        <f t="shared" si="87"/>
        <v>47369</v>
      </c>
      <c r="Y265" s="380">
        <f t="shared" si="88"/>
        <v>154.78732512658362</v>
      </c>
      <c r="Z265" s="380">
        <f t="shared" si="89"/>
        <v>161.15504783774639</v>
      </c>
      <c r="AA265" s="381">
        <f t="shared" si="90"/>
        <v>172.19826003464959</v>
      </c>
      <c r="AB265" s="193">
        <f t="shared" si="91"/>
        <v>47369</v>
      </c>
      <c r="AC265" s="119">
        <f>IF(OR(t&lt;Tnet,NoTnet),'2028'!Resal_s+('2028'!Salim-'2028'!Resal_s)*(1-EXP(('2028'!Tnet_s-t)/'2028'!Tau_j)),Resal_s+(Salim-Resal_s)*(1-EXP((Tnet_s-t)/Tau_j)))*Salcycl</f>
        <v>6.4130800129345605E-2</v>
      </c>
      <c r="AD265" s="227">
        <f>(INDEX(Models!$BJ265:$BT265,,AH265)*(1-AF265)+INDEX(Models!$BJ265:$BT265,,AH265+1)*AF265-ERP_i)*AE265*Ramure*Pc/MaxiM</f>
        <v>4.9418235622908271E-4</v>
      </c>
      <c r="AE265" s="301">
        <f t="shared" si="92"/>
        <v>0.5</v>
      </c>
      <c r="AF265" s="173">
        <f t="shared" si="93"/>
        <v>0.97759381702865245</v>
      </c>
      <c r="AG265" s="801">
        <f t="shared" si="99"/>
        <v>3</v>
      </c>
      <c r="AH265" s="172">
        <f t="shared" si="94"/>
        <v>9</v>
      </c>
      <c r="AI265" s="221">
        <f t="shared" si="95"/>
        <v>3.9775938170286524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47370</v>
      </c>
      <c r="B266" s="406">
        <f>'2028'!Wh/'2028'!Env_an*'2029'!Env_an</f>
        <v>84.951042029358064</v>
      </c>
      <c r="C266" s="831"/>
      <c r="D266" s="388">
        <f t="shared" si="77"/>
        <v>88.447013617169901</v>
      </c>
      <c r="E266" s="380">
        <f t="shared" si="100"/>
        <v>92.13610067771377</v>
      </c>
      <c r="F266" s="380">
        <f t="shared" si="78"/>
        <v>92.136995888017253</v>
      </c>
      <c r="G266" s="110">
        <f t="shared" si="101"/>
        <v>0.44862252681058318</v>
      </c>
      <c r="H266" s="409" t="b">
        <f>Wh_hp&gt;='2028'!Maxi_hp</f>
        <v>1</v>
      </c>
      <c r="I266" s="385">
        <f>IF(H266,Wh_hp,'2028'!Maxi_hp)</f>
        <v>92.136995888017253</v>
      </c>
      <c r="J266" s="85">
        <f>IF(H266,An,'2028'!An_max)</f>
        <v>2029</v>
      </c>
      <c r="K266" s="193">
        <f t="shared" si="79"/>
        <v>47370</v>
      </c>
      <c r="L266" s="143">
        <f>IF(t&lt;Tvie,1-EXP((T0-t)*PertePVj)+'2028'!Pspv,1-EXP((T0-t)*PertePVj)+Pspv)</f>
        <v>3.9526168774263404E-2</v>
      </c>
      <c r="M266" s="835"/>
      <c r="N266" s="835"/>
      <c r="O266" s="48">
        <f>IF(t&lt;Tnet,'2028'!Resal+('2028'!Salim-'2028'!Resal)*(1-EXP(('2028'!Tnet-t)/('2028'!Tau_j))),Resal+(Salim-Resal)*(1-EXP((Tnet-t)/(Tau_j))))*Salcycl</f>
        <v>4.003953969625941E-2</v>
      </c>
      <c r="P266" s="165">
        <f>(INDEX(Models!$BJ266:$BT266,,T266)*(1-R266)+INDEX(Models!$BJ266:$BT266,,T266+1)*R266-ERP_i)*Q266*Ramure*Pc/MaxiM</f>
        <v>4.5756961418447397E-5</v>
      </c>
      <c r="Q266" s="301">
        <f t="shared" si="80"/>
        <v>0.5</v>
      </c>
      <c r="R266" s="173">
        <f t="shared" si="81"/>
        <v>0.4530821431540295</v>
      </c>
      <c r="S266" s="801">
        <f t="shared" si="82"/>
        <v>0</v>
      </c>
      <c r="T266" s="172">
        <f t="shared" si="83"/>
        <v>6</v>
      </c>
      <c r="U266" s="247">
        <f t="shared" si="84"/>
        <v>0.4530821431540295</v>
      </c>
      <c r="V266" s="378">
        <f t="shared" si="85"/>
        <v>189.3529085420497</v>
      </c>
      <c r="W266" s="397">
        <f t="shared" si="86"/>
        <v>84.951042029358064</v>
      </c>
      <c r="X266" s="153">
        <f t="shared" si="87"/>
        <v>47370</v>
      </c>
      <c r="Y266" s="380">
        <f t="shared" si="88"/>
        <v>82.810234941291938</v>
      </c>
      <c r="Z266" s="380">
        <f t="shared" si="89"/>
        <v>86.218106364867069</v>
      </c>
      <c r="AA266" s="381">
        <f t="shared" si="90"/>
        <v>92.127413373056555</v>
      </c>
      <c r="AB266" s="193">
        <f t="shared" si="91"/>
        <v>47370</v>
      </c>
      <c r="AC266" s="119">
        <f>IF(OR(t&lt;Tnet,NoTnet),'2028'!Resal_s+('2028'!Salim-'2028'!Resal_s)*(1-EXP(('2028'!Tnet_s-t)/'2028'!Tau_j)),Resal_s+(Salim-Resal_s)*(1-EXP((Tnet_s-t)/Tau_j)))*Salcycl</f>
        <v>6.4142764806177713E-2</v>
      </c>
      <c r="AD266" s="227">
        <f>(INDEX(Models!$BJ266:$BT266,,AH266)*(1-AF266)+INDEX(Models!$BJ266:$BT266,,AH266+1)*AF266-ERP_i)*AE266*Ramure*Pc/MaxiM</f>
        <v>4.8979191329429886E-4</v>
      </c>
      <c r="AE266" s="301">
        <f t="shared" si="92"/>
        <v>0.5</v>
      </c>
      <c r="AF266" s="173">
        <f t="shared" si="93"/>
        <v>0.97806970952800754</v>
      </c>
      <c r="AG266" s="801">
        <f t="shared" si="99"/>
        <v>3</v>
      </c>
      <c r="AH266" s="172">
        <f t="shared" si="94"/>
        <v>9</v>
      </c>
      <c r="AI266" s="221">
        <f t="shared" si="95"/>
        <v>3.9780697095280075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47371</v>
      </c>
      <c r="B267" s="406">
        <f>'2028'!Wh/'2028'!Env_an*'2029'!Env_an</f>
        <v>176.72224370108682</v>
      </c>
      <c r="C267" s="831"/>
      <c r="D267" s="388">
        <f t="shared" si="77"/>
        <v>183.99737417914156</v>
      </c>
      <c r="E267" s="380">
        <f t="shared" si="100"/>
        <v>191.68014417510759</v>
      </c>
      <c r="F267" s="380">
        <f t="shared" si="78"/>
        <v>191.68805815593115</v>
      </c>
      <c r="G267" s="110">
        <f t="shared" si="101"/>
        <v>0.93821013475939163</v>
      </c>
      <c r="H267" s="409" t="b">
        <f>Wh_hp&gt;='2028'!Maxi_hp</f>
        <v>1</v>
      </c>
      <c r="I267" s="385">
        <f>IF(H267,Wh_hp,'2028'!Maxi_hp)</f>
        <v>191.68805815593115</v>
      </c>
      <c r="J267" s="85">
        <f>IF(H267,An,'2028'!An_max)</f>
        <v>2029</v>
      </c>
      <c r="K267" s="193">
        <f t="shared" si="79"/>
        <v>47371</v>
      </c>
      <c r="L267" s="143">
        <f>IF(t&lt;Tvie,1-EXP((T0-t)*PertePVj)+'2028'!Pspv,1-EXP((T0-t)*PertePVj)+Pspv)</f>
        <v>3.9539316854443785E-2</v>
      </c>
      <c r="M267" s="835"/>
      <c r="N267" s="835"/>
      <c r="O267" s="48">
        <f>IF(t&lt;Tnet,'2028'!Resal+('2028'!Salim-'2028'!Resal)*(1-EXP(('2028'!Tnet-t)/('2028'!Tau_j))),Resal+(Salim-Resal)*(1-EXP((Tnet-t)/(Tau_j))))*Salcycl</f>
        <v>4.008119896314092E-2</v>
      </c>
      <c r="P267" s="165">
        <f>(INDEX(Models!$BJ267:$BT267,,T267)*(1-R267)+INDEX(Models!$BJ267:$BT267,,T267+1)*R267-ERP_i)*Q267*Ramure*Pc/MaxiM</f>
        <v>4.5282638832571652E-5</v>
      </c>
      <c r="Q267" s="301">
        <f t="shared" si="80"/>
        <v>0.5</v>
      </c>
      <c r="R267" s="173">
        <f t="shared" si="81"/>
        <v>0.45353974716169437</v>
      </c>
      <c r="S267" s="801">
        <f t="shared" si="82"/>
        <v>0</v>
      </c>
      <c r="T267" s="172">
        <f t="shared" si="83"/>
        <v>6</v>
      </c>
      <c r="U267" s="247">
        <f t="shared" si="84"/>
        <v>0.45353974716169437</v>
      </c>
      <c r="V267" s="378">
        <f t="shared" si="85"/>
        <v>188.36029454531993</v>
      </c>
      <c r="W267" s="397">
        <f t="shared" si="86"/>
        <v>176.72224370108682</v>
      </c>
      <c r="X267" s="153">
        <f t="shared" si="87"/>
        <v>47371</v>
      </c>
      <c r="Y267" s="380">
        <f t="shared" si="88"/>
        <v>172.22113363922497</v>
      </c>
      <c r="Z267" s="380">
        <f t="shared" si="89"/>
        <v>179.31096676981326</v>
      </c>
      <c r="AA267" s="381">
        <f t="shared" si="90"/>
        <v>191.60312675520188</v>
      </c>
      <c r="AB267" s="193">
        <f t="shared" si="91"/>
        <v>47371</v>
      </c>
      <c r="AC267" s="119">
        <f>IF(OR(t&lt;Tnet,NoTnet),'2028'!Resal_s+('2028'!Salim-'2028'!Resal_s)*(1-EXP(('2028'!Tnet_s-t)/'2028'!Tau_j)),Resal_s+(Salim-Resal_s)*(1-EXP((Tnet_s-t)/Tau_j)))*Salcycl</f>
        <v>6.4154276569262245E-2</v>
      </c>
      <c r="AD267" s="227">
        <f>(INDEX(Models!$BJ267:$BT267,,AH267)*(1-AF267)+INDEX(Models!$BJ267:$BT267,,AH267+1)*AF267-ERP_i)*AE267*Ramure*Pc/MaxiM</f>
        <v>4.8596503207532117E-4</v>
      </c>
      <c r="AE267" s="301">
        <f t="shared" si="92"/>
        <v>0.5</v>
      </c>
      <c r="AF267" s="173">
        <f t="shared" si="93"/>
        <v>0.97852731353567268</v>
      </c>
      <c r="AG267" s="801">
        <f t="shared" si="99"/>
        <v>3</v>
      </c>
      <c r="AH267" s="172">
        <f t="shared" si="94"/>
        <v>9</v>
      </c>
      <c r="AI267" s="221">
        <f t="shared" si="95"/>
        <v>3.9785273135356727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47372</v>
      </c>
      <c r="B268" s="406">
        <f>'2028'!Wh/'2028'!Env_an*'2029'!Env_an</f>
        <v>180.14257042959906</v>
      </c>
      <c r="C268" s="831"/>
      <c r="D268" s="388">
        <f t="shared" si="77"/>
        <v>187.56107316531214</v>
      </c>
      <c r="E268" s="380">
        <f t="shared" si="100"/>
        <v>195.40105511482867</v>
      </c>
      <c r="F268" s="380">
        <f t="shared" si="78"/>
        <v>195.40933295481071</v>
      </c>
      <c r="G268" s="110">
        <f t="shared" si="101"/>
        <v>0.96149593963881907</v>
      </c>
      <c r="H268" s="409" t="b">
        <f>Wh_hp&gt;='2028'!Maxi_hp</f>
        <v>1</v>
      </c>
      <c r="I268" s="385">
        <f>IF(H268,Wh_hp,'2028'!Maxi_hp)</f>
        <v>195.40933295481071</v>
      </c>
      <c r="J268" s="85">
        <f>IF(H268,An,'2028'!An_max)</f>
        <v>2029</v>
      </c>
      <c r="K268" s="193">
        <f t="shared" si="79"/>
        <v>47372</v>
      </c>
      <c r="L268" s="143">
        <f>IF(t&lt;Tvie,1-EXP((T0-t)*PertePVj)+'2028'!Pspv,1-EXP((T0-t)*PertePVj)+Pspv)</f>
        <v>3.9552464754637917E-2</v>
      </c>
      <c r="M268" s="835"/>
      <c r="N268" s="835"/>
      <c r="O268" s="48">
        <f>IF(t&lt;Tnet,'2028'!Resal+('2028'!Salim-'2028'!Resal)*(1-EXP(('2028'!Tnet-t)/('2028'!Tau_j))),Resal+(Salim-Resal)*(1-EXP((Tnet-t)/(Tau_j))))*Salcycl</f>
        <v>4.0122515945010186E-2</v>
      </c>
      <c r="P268" s="165">
        <f>(INDEX(Models!$BJ268:$BT268,,T268)*(1-R268)+INDEX(Models!$BJ268:$BT268,,T268+1)*R268-ERP_i)*Q268*Ramure*Pc/MaxiM</f>
        <v>4.4827139368774425E-5</v>
      </c>
      <c r="Q268" s="301">
        <f t="shared" si="80"/>
        <v>0.5</v>
      </c>
      <c r="R268" s="173">
        <f t="shared" si="81"/>
        <v>0.45397973245303108</v>
      </c>
      <c r="S268" s="801">
        <f t="shared" si="82"/>
        <v>0</v>
      </c>
      <c r="T268" s="172">
        <f t="shared" si="83"/>
        <v>6</v>
      </c>
      <c r="U268" s="247">
        <f t="shared" si="84"/>
        <v>0.45397973245303108</v>
      </c>
      <c r="V268" s="378">
        <f t="shared" si="85"/>
        <v>187.35609670777708</v>
      </c>
      <c r="W268" s="397">
        <f t="shared" si="86"/>
        <v>180.14257042959906</v>
      </c>
      <c r="X268" s="153">
        <f t="shared" si="87"/>
        <v>47372</v>
      </c>
      <c r="Y268" s="380">
        <f t="shared" si="88"/>
        <v>175.5577666887352</v>
      </c>
      <c r="Z268" s="380">
        <f t="shared" si="89"/>
        <v>182.78746130978001</v>
      </c>
      <c r="AA268" s="381">
        <f t="shared" si="90"/>
        <v>195.32024716409629</v>
      </c>
      <c r="AB268" s="193">
        <f t="shared" si="91"/>
        <v>47372</v>
      </c>
      <c r="AC268" s="119">
        <f>IF(OR(t&lt;Tnet,NoTnet),'2028'!Resal_s+('2028'!Salim-'2028'!Resal_s)*(1-EXP(('2028'!Tnet_s-t)/'2028'!Tau_j)),Resal_s+(Salim-Resal_s)*(1-EXP((Tnet_s-t)/Tau_j)))*Salcycl</f>
        <v>6.4165318425933579E-2</v>
      </c>
      <c r="AD268" s="227">
        <f>(INDEX(Models!$BJ268:$BT268,,AH268)*(1-AF268)+INDEX(Models!$BJ268:$BT268,,AH268+1)*AF268-ERP_i)*AE268*Ramure*Pc/MaxiM</f>
        <v>4.8242792380499952E-4</v>
      </c>
      <c r="AE268" s="301">
        <f t="shared" si="92"/>
        <v>0.5</v>
      </c>
      <c r="AF268" s="173">
        <f t="shared" si="93"/>
        <v>0.97896729882700928</v>
      </c>
      <c r="AG268" s="801">
        <f t="shared" si="99"/>
        <v>3</v>
      </c>
      <c r="AH268" s="172">
        <f t="shared" si="94"/>
        <v>9</v>
      </c>
      <c r="AI268" s="221">
        <f t="shared" si="95"/>
        <v>3.9789672988270093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47373</v>
      </c>
      <c r="B269" s="406">
        <f>'2028'!Wh/'2028'!Env_an*'2029'!Env_an</f>
        <v>124.72880725985735</v>
      </c>
      <c r="C269" s="831"/>
      <c r="D269" s="388">
        <f t="shared" si="77"/>
        <v>129.86707773058674</v>
      </c>
      <c r="E269" s="380">
        <f t="shared" si="100"/>
        <v>135.30124649629741</v>
      </c>
      <c r="F269" s="380">
        <f t="shared" si="78"/>
        <v>135.30441262985983</v>
      </c>
      <c r="G269" s="110">
        <f t="shared" si="101"/>
        <v>0.66934622763728857</v>
      </c>
      <c r="H269" s="409" t="b">
        <f>Wh_hp&gt;='2028'!Maxi_hp</f>
        <v>1</v>
      </c>
      <c r="I269" s="385">
        <f>IF(H269,Wh_hp,'2028'!Maxi_hp)</f>
        <v>135.30441262985983</v>
      </c>
      <c r="J269" s="85">
        <f>IF(H269,An,'2028'!An_max)</f>
        <v>2029</v>
      </c>
      <c r="K269" s="193">
        <f t="shared" si="79"/>
        <v>47373</v>
      </c>
      <c r="L269" s="143">
        <f>IF(t&lt;Tvie,1-EXP((T0-t)*PertePVj)+'2028'!Pspv,1-EXP((T0-t)*PertePVj)+Pspv)</f>
        <v>3.9565612474848244E-2</v>
      </c>
      <c r="M269" s="835"/>
      <c r="N269" s="835"/>
      <c r="O269" s="48">
        <f>IF(t&lt;Tnet,'2028'!Resal+('2028'!Salim-'2028'!Resal)*(1-EXP(('2028'!Tnet-t)/('2028'!Tau_j))),Resal+(Salim-Resal)*(1-EXP((Tnet-t)/(Tau_j))))*Salcycl</f>
        <v>4.0163478951092874E-2</v>
      </c>
      <c r="P269" s="165">
        <f>(INDEX(Models!$BJ269:$BT269,,T269)*(1-R269)+INDEX(Models!$BJ269:$BT269,,T269+1)*R269-ERP_i)*Q269*Ramure*Pc/MaxiM</f>
        <v>4.4347093019126365E-5</v>
      </c>
      <c r="Q269" s="301">
        <f t="shared" si="80"/>
        <v>0.5</v>
      </c>
      <c r="R269" s="173">
        <f t="shared" si="81"/>
        <v>0.45440274683461807</v>
      </c>
      <c r="S269" s="801">
        <f t="shared" si="82"/>
        <v>0</v>
      </c>
      <c r="T269" s="172">
        <f t="shared" si="83"/>
        <v>6</v>
      </c>
      <c r="U269" s="247">
        <f t="shared" si="84"/>
        <v>0.45440274683461807</v>
      </c>
      <c r="V269" s="378">
        <f t="shared" si="85"/>
        <v>186.34032635480816</v>
      </c>
      <c r="W269" s="397">
        <f t="shared" si="86"/>
        <v>124.72880725985735</v>
      </c>
      <c r="X269" s="153">
        <f t="shared" si="87"/>
        <v>47373</v>
      </c>
      <c r="Y269" s="380">
        <f t="shared" si="88"/>
        <v>121.58057254551335</v>
      </c>
      <c r="Z269" s="380">
        <f t="shared" si="89"/>
        <v>126.58914978960956</v>
      </c>
      <c r="AA269" s="381">
        <f t="shared" si="90"/>
        <v>135.27023518717883</v>
      </c>
      <c r="AB269" s="193">
        <f t="shared" si="91"/>
        <v>47373</v>
      </c>
      <c r="AC269" s="119">
        <f>IF(OR(t&lt;Tnet,NoTnet),'2028'!Resal_s+('2028'!Salim-'2028'!Resal_s)*(1-EXP(('2028'!Tnet_s-t)/'2028'!Tau_j)),Resal_s+(Salim-Resal_s)*(1-EXP((Tnet_s-t)/Tau_j)))*Salcycl</f>
        <v>6.4175872730293557E-2</v>
      </c>
      <c r="AD269" s="227">
        <f>(INDEX(Models!$BJ269:$BT269,,AH269)*(1-AF269)+INDEX(Models!$BJ269:$BT269,,AH269+1)*AF269-ERP_i)*AE269*Ramure*Pc/MaxiM</f>
        <v>4.787132948896552E-4</v>
      </c>
      <c r="AE269" s="301">
        <f t="shared" si="92"/>
        <v>0.5</v>
      </c>
      <c r="AF269" s="173">
        <f t="shared" si="93"/>
        <v>0.97939031320859637</v>
      </c>
      <c r="AG269" s="801">
        <f t="shared" si="99"/>
        <v>3</v>
      </c>
      <c r="AH269" s="172">
        <f t="shared" si="94"/>
        <v>9</v>
      </c>
      <c r="AI269" s="221">
        <f t="shared" si="95"/>
        <v>3.9793903132085964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47374</v>
      </c>
      <c r="B270" s="406">
        <f>'2028'!Wh/'2028'!Env_an*'2029'!Env_an</f>
        <v>44.902763415895066</v>
      </c>
      <c r="C270" s="831"/>
      <c r="D270" s="388">
        <f t="shared" si="77"/>
        <v>46.753196979067212</v>
      </c>
      <c r="E270" s="380">
        <f t="shared" si="100"/>
        <v>48.711601917338598</v>
      </c>
      <c r="F270" s="380">
        <f t="shared" si="78"/>
        <v>48.711601917338598</v>
      </c>
      <c r="G270" s="110">
        <f t="shared" si="101"/>
        <v>0.24229707582665372</v>
      </c>
      <c r="H270" s="409" t="b">
        <f>Wh_hp&gt;='2028'!Maxi_hp</f>
        <v>1</v>
      </c>
      <c r="I270" s="385">
        <f>IF(H270,Wh_hp,'2028'!Maxi_hp)</f>
        <v>48.711601917338598</v>
      </c>
      <c r="J270" s="85">
        <f>IF(H270,An,'2028'!An_max)</f>
        <v>2029</v>
      </c>
      <c r="K270" s="193">
        <f t="shared" si="79"/>
        <v>47374</v>
      </c>
      <c r="L270" s="143">
        <f>IF(t&lt;Tvie,1-EXP((T0-t)*PertePVj)+'2028'!Pspv,1-EXP((T0-t)*PertePVj)+Pspv)</f>
        <v>3.957876001507743E-2</v>
      </c>
      <c r="M270" s="835"/>
      <c r="N270" s="835"/>
      <c r="O270" s="48">
        <f>IF(t&lt;Tnet,'2028'!Resal+('2028'!Salim-'2028'!Resal)*(1-EXP(('2028'!Tnet-t)/('2028'!Tau_j))),Resal+(Salim-Resal)*(1-EXP((Tnet-t)/(Tau_j))))*Salcycl</f>
        <v>4.0204075850240266E-2</v>
      </c>
      <c r="P270" s="165">
        <f>(INDEX(Models!$BJ270:$BT270,,T270)*(1-R270)+INDEX(Models!$BJ270:$BT270,,T270+1)*R270-ERP_i)*Q270*Ramure*Pc/MaxiM</f>
        <v>4.3842183057295726E-5</v>
      </c>
      <c r="Q270" s="301">
        <f t="shared" si="80"/>
        <v>0.5</v>
      </c>
      <c r="R270" s="173">
        <f t="shared" si="81"/>
        <v>0.45480941666282815</v>
      </c>
      <c r="S270" s="801">
        <f t="shared" si="82"/>
        <v>0</v>
      </c>
      <c r="T270" s="172">
        <f t="shared" si="83"/>
        <v>6</v>
      </c>
      <c r="U270" s="247">
        <f t="shared" si="84"/>
        <v>0.45480941666282815</v>
      </c>
      <c r="V270" s="378">
        <f t="shared" si="85"/>
        <v>185.31298666123783</v>
      </c>
      <c r="W270" s="397">
        <f t="shared" si="86"/>
        <v>44.902763415895066</v>
      </c>
      <c r="X270" s="153">
        <f t="shared" si="87"/>
        <v>47374</v>
      </c>
      <c r="Y270" s="380">
        <f t="shared" si="88"/>
        <v>43.780804986537824</v>
      </c>
      <c r="Z270" s="380">
        <f t="shared" si="89"/>
        <v>45.585002875639368</v>
      </c>
      <c r="AA270" s="381">
        <f t="shared" si="90"/>
        <v>48.711601917338598</v>
      </c>
      <c r="AB270" s="193">
        <f t="shared" si="91"/>
        <v>47374</v>
      </c>
      <c r="AC270" s="119">
        <f>IF(OR(t&lt;Tnet,NoTnet),'2028'!Resal_s+('2028'!Salim-'2028'!Resal_s)*(1-EXP(('2028'!Tnet_s-t)/'2028'!Tau_j)),Resal_s+(Salim-Resal_s)*(1-EXP((Tnet_s-t)/Tau_j)))*Salcycl</f>
        <v>6.4185921189882575E-2</v>
      </c>
      <c r="AD270" s="227">
        <f>(INDEX(Models!$BJ270:$BT270,,AH270)*(1-AF270)+INDEX(Models!$BJ270:$BT270,,AH270+1)*AF270-ERP_i)*AE270*Ramure*Pc/MaxiM</f>
        <v>4.7481815863907416E-4</v>
      </c>
      <c r="AE270" s="301">
        <f t="shared" si="92"/>
        <v>0.5</v>
      </c>
      <c r="AF270" s="173">
        <f t="shared" si="93"/>
        <v>0.97979698303680607</v>
      </c>
      <c r="AG270" s="801">
        <f t="shared" si="99"/>
        <v>3</v>
      </c>
      <c r="AH270" s="172">
        <f t="shared" si="94"/>
        <v>9</v>
      </c>
      <c r="AI270" s="221">
        <f t="shared" si="95"/>
        <v>3.9797969830368061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47375</v>
      </c>
      <c r="B271" s="406">
        <f>'2028'!Wh/'2028'!Env_an*'2029'!Env_an</f>
        <v>143.1990064187284</v>
      </c>
      <c r="C271" s="831"/>
      <c r="D271" s="388">
        <f t="shared" ref="D271:D334" si="102">Wh/(1-Ppv)</f>
        <v>149.10224884443016</v>
      </c>
      <c r="E271" s="380">
        <f t="shared" si="100"/>
        <v>155.35437604026185</v>
      </c>
      <c r="F271" s="380">
        <f t="shared" ref="F271:F334" si="103">Wh_sa/(1-Pvg*MEDIAN((-Sdif+Wh/Env_an)/Csdif,0,1))</f>
        <v>155.35896226024306</v>
      </c>
      <c r="G271" s="110">
        <f t="shared" si="101"/>
        <v>0.77708721019426197</v>
      </c>
      <c r="H271" s="409" t="b">
        <f>Wh_hp&gt;='2028'!Maxi_hp</f>
        <v>1</v>
      </c>
      <c r="I271" s="385">
        <f>IF(H271,Wh_hp,'2028'!Maxi_hp)</f>
        <v>155.35896226024306</v>
      </c>
      <c r="J271" s="85">
        <f>IF(H271,An,'2028'!An_max)</f>
        <v>2029</v>
      </c>
      <c r="K271" s="193">
        <f t="shared" ref="K271:K334" si="104">t</f>
        <v>47375</v>
      </c>
      <c r="L271" s="143">
        <f>IF(t&lt;Tvie,1-EXP((T0-t)*PertePVj)+'2028'!Pspv,1-EXP((T0-t)*PertePVj)+Pspv)</f>
        <v>3.9591907375327806E-2</v>
      </c>
      <c r="M271" s="835"/>
      <c r="N271" s="835"/>
      <c r="O271" s="48">
        <f>IF(t&lt;Tnet,'2028'!Resal+('2028'!Salim-'2028'!Resal)*(1-EXP(('2028'!Tnet-t)/('2028'!Tau_j))),Resal+(Salim-Resal)*(1-EXP((Tnet-t)/(Tau_j))))*Salcycl</f>
        <v>4.0244294079050336E-2</v>
      </c>
      <c r="P271" s="165">
        <f>(INDEX(Models!$BJ271:$BT271,,T271)*(1-R271)+INDEX(Models!$BJ271:$BT271,,T271+1)*R271-ERP_i)*Q271*Ramure*Pc/MaxiM</f>
        <v>4.3312083915916934E-5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0.45520034736726372</v>
      </c>
      <c r="S271" s="801">
        <f t="shared" ref="S271:S334" si="107">INDEX(Echel_vg,T271)</f>
        <v>0</v>
      </c>
      <c r="T271" s="172">
        <f t="shared" ref="T271:T334" si="108">MIN(MATCH(Hp_vg,Echel_vg),10)</f>
        <v>6</v>
      </c>
      <c r="U271" s="247">
        <f t="shared" ref="U271:U334" si="109">IF(OR(t&lt;Ttai,Notai),Hdd+PousH*Croivg,Hdtf+PousH*(Croivg-Croi_tai))</f>
        <v>0.45520034736726372</v>
      </c>
      <c r="V271" s="378">
        <f t="shared" ref="V271:V334" si="110">MaxiM*(1-Ppv)*(1-Pvg)*(1-Psa)</f>
        <v>184.27408081198067</v>
      </c>
      <c r="W271" s="397">
        <f t="shared" ref="W271:W334" si="111">Wh*(A271&gt;Tmaj)</f>
        <v>143.1990064187284</v>
      </c>
      <c r="X271" s="153">
        <f t="shared" ref="X271:X334" si="112">t</f>
        <v>47375</v>
      </c>
      <c r="Y271" s="380">
        <f t="shared" ref="Y271:Y334" si="113">Wh_pvt_s*(1-Ppv)</f>
        <v>139.58473147882884</v>
      </c>
      <c r="Z271" s="380">
        <f t="shared" ref="Z271:Z334" si="114">Wh_sa_s*(1-Psa_s)</f>
        <v>145.33897886820347</v>
      </c>
      <c r="AA271" s="381">
        <f t="shared" ref="AA271:AA334" si="115">Wh_hp*(1-Pvg_s*MEDIAN((-Sdif+Wh/Env_an)/Csdif,0,1))</f>
        <v>155.30911670946352</v>
      </c>
      <c r="AB271" s="193">
        <f t="shared" ref="AB271:AB334" si="116">t</f>
        <v>47375</v>
      </c>
      <c r="AC271" s="119">
        <f>IF(OR(t&lt;Tnet,NoTnet),'2028'!Resal_s+('2028'!Salim-'2028'!Resal_s)*(1-EXP(('2028'!Tnet_s-t)/'2028'!Tau_j)),Resal_s+(Salim-Resal_s)*(1-EXP((Tnet_s-t)/Tau_j)))*Salcycl</f>
        <v>6.4195444881134614E-2</v>
      </c>
      <c r="AD271" s="227">
        <f>(INDEX(Models!$BJ271:$BT271,,AH271)*(1-AF271)+INDEX(Models!$BJ271:$BT271,,AH271+1)*AF271-ERP_i)*AE271*Ramure*Pc/MaxiM</f>
        <v>4.70739451455637E-4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0.9801879137412417</v>
      </c>
      <c r="AG271" s="801">
        <f t="shared" si="99"/>
        <v>3</v>
      </c>
      <c r="AH271" s="172">
        <f t="shared" ref="AH271:AH334" si="119">MIN(MATCH(Hp_vg_s,Echel_vg),10)</f>
        <v>9</v>
      </c>
      <c r="AI271" s="221">
        <f t="shared" ref="AI271:AI334" si="120">IF(OR(t&lt;Ttai,Notai),Hdd_s+PousH*Croivg,Hdtai_s+PousH*(Croivg-Croi_tai))</f>
        <v>3.9801879137412417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47376</v>
      </c>
      <c r="B272" s="406">
        <f>'2028'!Wh/'2028'!Env_an*'2029'!Env_an</f>
        <v>160.23948325940458</v>
      </c>
      <c r="C272" s="831"/>
      <c r="D272" s="388">
        <f t="shared" si="102"/>
        <v>166.84748708798946</v>
      </c>
      <c r="E272" s="380">
        <f t="shared" si="100"/>
        <v>173.85091846352981</v>
      </c>
      <c r="F272" s="380">
        <f t="shared" si="103"/>
        <v>173.85701985696772</v>
      </c>
      <c r="G272" s="110">
        <f t="shared" si="101"/>
        <v>0.87455024875265197</v>
      </c>
      <c r="H272" s="409" t="b">
        <f>Wh_hp&gt;='2028'!Maxi_hp</f>
        <v>1</v>
      </c>
      <c r="I272" s="385">
        <f>IF(H272,Wh_hp,'2028'!Maxi_hp)</f>
        <v>173.85701985696772</v>
      </c>
      <c r="J272" s="85">
        <f>IF(H272,An,'2028'!An_max)</f>
        <v>2029</v>
      </c>
      <c r="K272" s="193">
        <f t="shared" si="104"/>
        <v>47376</v>
      </c>
      <c r="L272" s="143">
        <f>IF(t&lt;Tvie,1-EXP((T0-t)*PertePVj)+'2028'!Pspv,1-EXP((T0-t)*PertePVj)+Pspv)</f>
        <v>3.9605054555601815E-2</v>
      </c>
      <c r="M272" s="835"/>
      <c r="N272" s="835"/>
      <c r="O272" s="48">
        <f>IF(t&lt;Tnet,'2028'!Resal+('2028'!Salim-'2028'!Resal)*(1-EXP(('2028'!Tnet-t)/('2028'!Tau_j))),Resal+(Salim-Resal)*(1-EXP((Tnet-t)/(Tau_j))))*Salcycl</f>
        <v>4.0284120655994682E-2</v>
      </c>
      <c r="P272" s="165">
        <f>(INDEX(Models!$BJ272:$BT272,,T272)*(1-R272)+INDEX(Models!$BJ272:$BT272,,T272+1)*R272-ERP_i)*Q272*Ramure*Pc/MaxiM</f>
        <v>4.2756461626159297E-5</v>
      </c>
      <c r="Q272" s="301">
        <f t="shared" si="105"/>
        <v>0.5</v>
      </c>
      <c r="R272" s="173">
        <f t="shared" si="106"/>
        <v>0.4555761239771618</v>
      </c>
      <c r="S272" s="801">
        <f t="shared" si="107"/>
        <v>0</v>
      </c>
      <c r="T272" s="172">
        <f t="shared" si="108"/>
        <v>6</v>
      </c>
      <c r="U272" s="247">
        <f t="shared" si="109"/>
        <v>0.4555761239771618</v>
      </c>
      <c r="V272" s="378">
        <f t="shared" si="110"/>
        <v>183.22361198436332</v>
      </c>
      <c r="W272" s="397">
        <f t="shared" si="111"/>
        <v>160.23948325940458</v>
      </c>
      <c r="X272" s="153">
        <f t="shared" si="112"/>
        <v>47376</v>
      </c>
      <c r="Y272" s="380">
        <f t="shared" si="113"/>
        <v>156.19127489537232</v>
      </c>
      <c r="Z272" s="380">
        <f t="shared" si="114"/>
        <v>162.63233749434073</v>
      </c>
      <c r="AA272" s="381">
        <f t="shared" si="115"/>
        <v>173.79045350606961</v>
      </c>
      <c r="AB272" s="193">
        <f t="shared" si="116"/>
        <v>47376</v>
      </c>
      <c r="AC272" s="119">
        <f>IF(OR(t&lt;Tnet,NoTnet),'2028'!Resal_s+('2028'!Salim-'2028'!Resal_s)*(1-EXP(('2028'!Tnet_s-t)/'2028'!Tau_j)),Resal_s+(Salim-Resal_s)*(1-EXP((Tnet_s-t)/Tau_j)))*Salcycl</f>
        <v>6.4204424274312583E-2</v>
      </c>
      <c r="AD272" s="227">
        <f>(INDEX(Models!$BJ272:$BT272,,AH272)*(1-AF272)+INDEX(Models!$BJ272:$BT272,,AH272+1)*AF272-ERP_i)*AE272*Ramure*Pc/MaxiM</f>
        <v>4.6647403691070911E-4</v>
      </c>
      <c r="AE272" s="301">
        <f t="shared" si="117"/>
        <v>0.5</v>
      </c>
      <c r="AF272" s="173">
        <f t="shared" si="118"/>
        <v>0.98056369035113988</v>
      </c>
      <c r="AG272" s="801">
        <f t="shared" ref="AG272:AG335" si="124">INDEX(Echel_vg,AH272)</f>
        <v>3</v>
      </c>
      <c r="AH272" s="172">
        <f t="shared" si="119"/>
        <v>9</v>
      </c>
      <c r="AI272" s="221">
        <f t="shared" si="120"/>
        <v>3.9805636903511399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47377</v>
      </c>
      <c r="B273" s="406">
        <f>'2028'!Wh/'2028'!Env_an*'2029'!Env_an</f>
        <v>102.29755311587525</v>
      </c>
      <c r="C273" s="831"/>
      <c r="D273" s="388">
        <f t="shared" si="102"/>
        <v>106.5175884024522</v>
      </c>
      <c r="E273" s="380">
        <f t="shared" si="100"/>
        <v>110.99322853751703</v>
      </c>
      <c r="F273" s="380">
        <f t="shared" si="103"/>
        <v>110.99497781145503</v>
      </c>
      <c r="G273" s="110">
        <f t="shared" si="101"/>
        <v>0.56156105475015017</v>
      </c>
      <c r="H273" s="409" t="b">
        <f>Wh_hp&gt;='2028'!Maxi_hp</f>
        <v>1</v>
      </c>
      <c r="I273" s="385">
        <f>IF(H273,Wh_hp,'2028'!Maxi_hp)</f>
        <v>110.99497781145503</v>
      </c>
      <c r="J273" s="85">
        <f>IF(H273,An,'2028'!An_max)</f>
        <v>2029</v>
      </c>
      <c r="K273" s="193">
        <f t="shared" si="104"/>
        <v>47377</v>
      </c>
      <c r="L273" s="143">
        <f>IF(t&lt;Tvie,1-EXP((T0-t)*PertePVj)+'2028'!Pspv,1-EXP((T0-t)*PertePVj)+Pspv)</f>
        <v>3.9618201555902011E-2</v>
      </c>
      <c r="M273" s="835"/>
      <c r="N273" s="835"/>
      <c r="O273" s="48">
        <f>IF(t&lt;Tnet,'2028'!Resal+('2028'!Salim-'2028'!Resal)*(1-EXP(('2028'!Tnet-t)/('2028'!Tau_j))),Resal+(Salim-Resal)*(1-EXP((Tnet-t)/(Tau_j))))*Salcycl</f>
        <v>4.0323542201964248E-2</v>
      </c>
      <c r="P273" s="165">
        <f>(INDEX(Models!$BJ273:$BT273,,T273)*(1-R273)+INDEX(Models!$BJ273:$BT273,,T273+1)*R273-ERP_i)*Q273*Ramure*Pc/MaxiM</f>
        <v>4.2174974336522325E-5</v>
      </c>
      <c r="Q273" s="301">
        <f t="shared" si="105"/>
        <v>0.5</v>
      </c>
      <c r="R273" s="173">
        <f t="shared" si="106"/>
        <v>0.45593731164905743</v>
      </c>
      <c r="S273" s="801">
        <f t="shared" si="107"/>
        <v>0</v>
      </c>
      <c r="T273" s="172">
        <f t="shared" si="108"/>
        <v>6</v>
      </c>
      <c r="U273" s="247">
        <f t="shared" si="109"/>
        <v>0.45593731164905743</v>
      </c>
      <c r="V273" s="378">
        <f t="shared" si="110"/>
        <v>182.16158334767405</v>
      </c>
      <c r="W273" s="397">
        <f t="shared" si="111"/>
        <v>102.29755311587525</v>
      </c>
      <c r="X273" s="153">
        <f t="shared" si="112"/>
        <v>47377</v>
      </c>
      <c r="Y273" s="380">
        <f t="shared" si="113"/>
        <v>99.735402653510022</v>
      </c>
      <c r="Z273" s="380">
        <f t="shared" si="114"/>
        <v>103.84974269096941</v>
      </c>
      <c r="AA273" s="381">
        <f t="shared" si="115"/>
        <v>110.97581485280628</v>
      </c>
      <c r="AB273" s="193">
        <f t="shared" si="116"/>
        <v>47377</v>
      </c>
      <c r="AC273" s="119">
        <f>IF(OR(t&lt;Tnet,NoTnet),'2028'!Resal_s+('2028'!Salim-'2028'!Resal_s)*(1-EXP(('2028'!Tnet_s-t)/'2028'!Tau_j)),Resal_s+(Salim-Resal_s)*(1-EXP((Tnet_s-t)/Tau_j)))*Salcycl</f>
        <v>6.4212839268525293E-2</v>
      </c>
      <c r="AD273" s="227">
        <f>(INDEX(Models!$BJ273:$BT273,,AH273)*(1-AF273)+INDEX(Models!$BJ273:$BT273,,AH273+1)*AF273-ERP_i)*AE273*Ramure*Pc/MaxiM</f>
        <v>4.6201871054092083E-4</v>
      </c>
      <c r="AE273" s="301">
        <f t="shared" si="117"/>
        <v>0.5</v>
      </c>
      <c r="AF273" s="173">
        <f t="shared" si="118"/>
        <v>0.98092487802303552</v>
      </c>
      <c r="AG273" s="801">
        <f t="shared" si="124"/>
        <v>3</v>
      </c>
      <c r="AH273" s="172">
        <f t="shared" si="119"/>
        <v>9</v>
      </c>
      <c r="AI273" s="221">
        <f t="shared" si="120"/>
        <v>3.9809248780230355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47378</v>
      </c>
      <c r="B274" s="406">
        <f>'2028'!Wh/'2028'!Env_an*'2029'!Env_an</f>
        <v>185.89996268409931</v>
      </c>
      <c r="C274" s="831"/>
      <c r="D274" s="388">
        <f t="shared" si="102"/>
        <v>193.57146067792189</v>
      </c>
      <c r="E274" s="380">
        <f t="shared" si="100"/>
        <v>201.71311536749343</v>
      </c>
      <c r="F274" s="380">
        <f t="shared" si="103"/>
        <v>201.72150038015275</v>
      </c>
      <c r="G274" s="110">
        <f t="shared" si="101"/>
        <v>1.0265725210341587</v>
      </c>
      <c r="H274" s="409" t="b">
        <f>Wh_hp&gt;='2028'!Maxi_hp</f>
        <v>1</v>
      </c>
      <c r="I274" s="385">
        <f>IF(H274,Wh_hp,'2028'!Maxi_hp)</f>
        <v>201.72150038015275</v>
      </c>
      <c r="J274" s="85">
        <f>IF(H274,An,'2028'!An_max)</f>
        <v>2029</v>
      </c>
      <c r="K274" s="193">
        <f t="shared" si="104"/>
        <v>47378</v>
      </c>
      <c r="L274" s="143">
        <f>IF(t&lt;Tvie,1-EXP((T0-t)*PertePVj)+'2028'!Pspv,1-EXP((T0-t)*PertePVj)+Pspv)</f>
        <v>3.9631348376230835E-2</v>
      </c>
      <c r="M274" s="835"/>
      <c r="N274" s="835"/>
      <c r="O274" s="48">
        <f>IF(t&lt;Tnet,'2028'!Resal+('2028'!Salim-'2028'!Resal)*(1-EXP(('2028'!Tnet-t)/('2028'!Tau_j))),Resal+(Salim-Resal)*(1-EXP((Tnet-t)/(Tau_j))))*Salcycl</f>
        <v>4.0362544967582209E-2</v>
      </c>
      <c r="P274" s="165">
        <f>(INDEX(Models!$BJ274:$BT274,,T274)*(1-R274)+INDEX(Models!$BJ274:$BT274,,T274+1)*R274-ERP_i)*Q274*Ramure*Pc/MaxiM</f>
        <v>4.1567272915978672E-5</v>
      </c>
      <c r="Q274" s="301">
        <f t="shared" si="105"/>
        <v>0.5</v>
      </c>
      <c r="R274" s="173">
        <f t="shared" si="106"/>
        <v>0.45628445619415575</v>
      </c>
      <c r="S274" s="801">
        <f t="shared" si="107"/>
        <v>0</v>
      </c>
      <c r="T274" s="172">
        <f t="shared" si="108"/>
        <v>6</v>
      </c>
      <c r="U274" s="247">
        <f t="shared" si="109"/>
        <v>0.45628445619415575</v>
      </c>
      <c r="V274" s="378">
        <f t="shared" si="110"/>
        <v>181.0879980469627</v>
      </c>
      <c r="W274" s="397">
        <f t="shared" si="111"/>
        <v>185.89996268409931</v>
      </c>
      <c r="X274" s="153">
        <f t="shared" si="112"/>
        <v>47378</v>
      </c>
      <c r="Y274" s="380">
        <f t="shared" si="113"/>
        <v>181.20281270200476</v>
      </c>
      <c r="Z274" s="380">
        <f t="shared" si="114"/>
        <v>188.68047431122542</v>
      </c>
      <c r="AA274" s="381">
        <f t="shared" si="115"/>
        <v>201.62923897608133</v>
      </c>
      <c r="AB274" s="193">
        <f t="shared" si="116"/>
        <v>47378</v>
      </c>
      <c r="AC274" s="119">
        <f>IF(OR(t&lt;Tnet,NoTnet),'2028'!Resal_s+('2028'!Salim-'2028'!Resal_s)*(1-EXP(('2028'!Tnet_s-t)/'2028'!Tau_j)),Resal_s+(Salim-Resal_s)*(1-EXP((Tnet_s-t)/Tau_j)))*Salcycl</f>
        <v>6.4220669237322114E-2</v>
      </c>
      <c r="AD274" s="227">
        <f>(INDEX(Models!$BJ274:$BT274,,AH274)*(1-AF274)+INDEX(Models!$BJ274:$BT274,,AH274+1)*AF274-ERP_i)*AE274*Ramure*Pc/MaxiM</f>
        <v>4.5737020544441373E-4</v>
      </c>
      <c r="AE274" s="301">
        <f t="shared" si="117"/>
        <v>0.5</v>
      </c>
      <c r="AF274" s="173">
        <f t="shared" si="118"/>
        <v>0.98127202256813373</v>
      </c>
      <c r="AG274" s="801">
        <f t="shared" si="124"/>
        <v>3</v>
      </c>
      <c r="AH274" s="172">
        <f t="shared" si="119"/>
        <v>9</v>
      </c>
      <c r="AI274" s="221">
        <f t="shared" si="120"/>
        <v>3.9812720225681337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47379</v>
      </c>
      <c r="B275" s="406">
        <f>'2028'!Wh/'2028'!Env_an*'2029'!Env_an</f>
        <v>179.52912541093178</v>
      </c>
      <c r="C275" s="831"/>
      <c r="D275" s="388">
        <f t="shared" si="102"/>
        <v>186.94027834414638</v>
      </c>
      <c r="E275" s="380">
        <f t="shared" si="100"/>
        <v>194.81085403548204</v>
      </c>
      <c r="F275" s="380">
        <f t="shared" si="103"/>
        <v>194.81879892285977</v>
      </c>
      <c r="G275" s="110">
        <f t="shared" si="101"/>
        <v>0.99738617867161516</v>
      </c>
      <c r="H275" s="409" t="b">
        <f>Wh_hp&gt;='2028'!Maxi_hp</f>
        <v>1</v>
      </c>
      <c r="I275" s="385">
        <f>IF(H275,Wh_hp,'2028'!Maxi_hp)</f>
        <v>194.81879892285977</v>
      </c>
      <c r="J275" s="85">
        <f>IF(H275,An,'2028'!An_max)</f>
        <v>2029</v>
      </c>
      <c r="K275" s="193">
        <f t="shared" si="104"/>
        <v>47379</v>
      </c>
      <c r="L275" s="143">
        <f>IF(t&lt;Tvie,1-EXP((T0-t)*PertePVj)+'2028'!Pspv,1-EXP((T0-t)*PertePVj)+Pspv)</f>
        <v>3.9644495016590731E-2</v>
      </c>
      <c r="M275" s="835"/>
      <c r="N275" s="835"/>
      <c r="O275" s="48">
        <f>IF(t&lt;Tnet,'2028'!Resal+('2028'!Salim-'2028'!Resal)*(1-EXP(('2028'!Tnet-t)/('2028'!Tau_j))),Resal+(Salim-Resal)*(1-EXP((Tnet-t)/(Tau_j))))*Salcycl</f>
        <v>4.0401114867563433E-2</v>
      </c>
      <c r="P275" s="165">
        <f>(INDEX(Models!$BJ275:$BT275,,T275)*(1-R275)+INDEX(Models!$BJ275:$BT275,,T275+1)*R275-ERP_i)*Q275*Ramure*Pc/MaxiM</f>
        <v>4.0933746233765525E-5</v>
      </c>
      <c r="Q275" s="301">
        <f t="shared" si="105"/>
        <v>0.5</v>
      </c>
      <c r="R275" s="173">
        <f t="shared" si="106"/>
        <v>0.4566180846040136</v>
      </c>
      <c r="S275" s="801">
        <f t="shared" si="107"/>
        <v>0</v>
      </c>
      <c r="T275" s="172">
        <f t="shared" si="108"/>
        <v>6</v>
      </c>
      <c r="U275" s="247">
        <f t="shared" si="109"/>
        <v>0.4566180846040136</v>
      </c>
      <c r="V275" s="378">
        <f t="shared" si="110"/>
        <v>179.99958472442444</v>
      </c>
      <c r="W275" s="397">
        <f t="shared" si="111"/>
        <v>179.52912541093178</v>
      </c>
      <c r="X275" s="153">
        <f t="shared" si="112"/>
        <v>47379</v>
      </c>
      <c r="Y275" s="380">
        <f t="shared" si="113"/>
        <v>174.99963562864087</v>
      </c>
      <c r="Z275" s="380">
        <f t="shared" si="114"/>
        <v>182.22380641392178</v>
      </c>
      <c r="AA275" s="381">
        <f t="shared" si="115"/>
        <v>194.73096608394866</v>
      </c>
      <c r="AB275" s="193">
        <f t="shared" si="116"/>
        <v>47379</v>
      </c>
      <c r="AC275" s="119">
        <f>IF(OR(t&lt;Tnet,NoTnet),'2028'!Resal_s+('2028'!Salim-'2028'!Resal_s)*(1-EXP(('2028'!Tnet_s-t)/'2028'!Tau_j)),Resal_s+(Salim-Resal_s)*(1-EXP((Tnet_s-t)/Tau_j)))*Salcycl</f>
        <v>6.4227893085247872E-2</v>
      </c>
      <c r="AD275" s="227">
        <f>(INDEX(Models!$BJ275:$BT275,,AH275)*(1-AF275)+INDEX(Models!$BJ275:$BT275,,AH275+1)*AF275-ERP_i)*AE275*Ramure*Pc/MaxiM</f>
        <v>4.5253343037347956E-4</v>
      </c>
      <c r="AE275" s="301">
        <f t="shared" si="117"/>
        <v>0.5</v>
      </c>
      <c r="AF275" s="173">
        <f t="shared" si="118"/>
        <v>0.98160565097799157</v>
      </c>
      <c r="AG275" s="801">
        <f t="shared" si="124"/>
        <v>3</v>
      </c>
      <c r="AH275" s="172">
        <f t="shared" si="119"/>
        <v>9</v>
      </c>
      <c r="AI275" s="221">
        <f t="shared" si="120"/>
        <v>3.9816056509779916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47380</v>
      </c>
      <c r="B276" s="406">
        <f>'2028'!Wh/'2028'!Env_an*'2029'!Env_an</f>
        <v>177.1479029217098</v>
      </c>
      <c r="C276" s="831"/>
      <c r="D276" s="388">
        <f t="shared" si="102"/>
        <v>184.46328160944515</v>
      </c>
      <c r="E276" s="380">
        <f t="shared" si="100"/>
        <v>192.23720771277033</v>
      </c>
      <c r="F276" s="380">
        <f t="shared" si="103"/>
        <v>192.24485214165745</v>
      </c>
      <c r="G276" s="110">
        <f t="shared" si="101"/>
        <v>0.99023853859359967</v>
      </c>
      <c r="H276" s="409" t="b">
        <f>Wh_hp&gt;='2028'!Maxi_hp</f>
        <v>1</v>
      </c>
      <c r="I276" s="385">
        <f>IF(H276,Wh_hp,'2028'!Maxi_hp)</f>
        <v>192.24485214165745</v>
      </c>
      <c r="J276" s="85">
        <f>IF(H276,An,'2028'!An_max)</f>
        <v>2029</v>
      </c>
      <c r="K276" s="193">
        <f t="shared" si="104"/>
        <v>47380</v>
      </c>
      <c r="L276" s="143">
        <f>IF(t&lt;Tvie,1-EXP((T0-t)*PertePVj)+'2028'!Pspv,1-EXP((T0-t)*PertePVj)+Pspv)</f>
        <v>3.965764147698414E-2</v>
      </c>
      <c r="M276" s="835"/>
      <c r="N276" s="835"/>
      <c r="O276" s="48">
        <f>IF(t&lt;Tnet,'2028'!Resal+('2028'!Salim-'2028'!Resal)*(1-EXP(('2028'!Tnet-t)/('2028'!Tau_j))),Resal+(Salim-Resal)*(1-EXP((Tnet-t)/(Tau_j))))*Salcycl</f>
        <v>4.0439237522324728E-2</v>
      </c>
      <c r="P276" s="165">
        <f>(INDEX(Models!$BJ276:$BT276,,T276)*(1-R276)+INDEX(Models!$BJ276:$BT276,,T276+1)*R276-ERP_i)*Q276*Ramure*Pc/MaxiM</f>
        <v>4.0326340371444252E-5</v>
      </c>
      <c r="Q276" s="301">
        <f t="shared" si="105"/>
        <v>0.5</v>
      </c>
      <c r="R276" s="173">
        <f t="shared" si="106"/>
        <v>0.45693870557327521</v>
      </c>
      <c r="S276" s="801">
        <f t="shared" si="107"/>
        <v>0</v>
      </c>
      <c r="T276" s="172">
        <f t="shared" si="108"/>
        <v>6</v>
      </c>
      <c r="U276" s="247">
        <f t="shared" si="109"/>
        <v>0.45693870557327521</v>
      </c>
      <c r="V276" s="378">
        <f t="shared" si="110"/>
        <v>178.89407087322024</v>
      </c>
      <c r="W276" s="397">
        <f t="shared" si="111"/>
        <v>177.1479029217098</v>
      </c>
      <c r="X276" s="153">
        <f t="shared" si="112"/>
        <v>47380</v>
      </c>
      <c r="Y276" s="380">
        <f t="shared" si="113"/>
        <v>172.68549363646417</v>
      </c>
      <c r="Z276" s="380">
        <f t="shared" si="114"/>
        <v>179.81659572118679</v>
      </c>
      <c r="AA276" s="381">
        <f t="shared" si="115"/>
        <v>192.15988799338885</v>
      </c>
      <c r="AB276" s="193">
        <f t="shared" si="116"/>
        <v>47380</v>
      </c>
      <c r="AC276" s="119">
        <f>IF(OR(t&lt;Tnet,NoTnet),'2028'!Resal_s+('2028'!Salim-'2028'!Resal_s)*(1-EXP(('2028'!Tnet_s-t)/'2028'!Tau_j)),Resal_s+(Salim-Resal_s)*(1-EXP((Tnet_s-t)/Tau_j)))*Salcycl</f>
        <v>6.4234489315619966E-2</v>
      </c>
      <c r="AD276" s="227">
        <f>(INDEX(Models!$BJ276:$BT276,,AH276)*(1-AF276)+INDEX(Models!$BJ276:$BT276,,AH276+1)*AF276-ERP_i)*AE276*Ramure*Pc/MaxiM</f>
        <v>4.4820786654479133E-4</v>
      </c>
      <c r="AE276" s="301">
        <f t="shared" si="117"/>
        <v>0.5</v>
      </c>
      <c r="AF276" s="173">
        <f t="shared" si="118"/>
        <v>0.98192627194725324</v>
      </c>
      <c r="AG276" s="801">
        <f t="shared" si="124"/>
        <v>3</v>
      </c>
      <c r="AH276" s="172">
        <f t="shared" si="119"/>
        <v>9</v>
      </c>
      <c r="AI276" s="221">
        <f t="shared" si="120"/>
        <v>3.9819262719472532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47381</v>
      </c>
      <c r="B277" s="406">
        <f>'2028'!Wh/'2028'!Env_an*'2029'!Env_an</f>
        <v>181.17819389008929</v>
      </c>
      <c r="C277" s="831"/>
      <c r="D277" s="388">
        <f t="shared" si="102"/>
        <v>188.66258735064105</v>
      </c>
      <c r="E277" s="380">
        <f t="shared" si="100"/>
        <v>196.62120382276956</v>
      </c>
      <c r="F277" s="380">
        <f t="shared" si="103"/>
        <v>196.62901416079936</v>
      </c>
      <c r="G277" s="110">
        <f t="shared" si="101"/>
        <v>1.0191548690504904</v>
      </c>
      <c r="H277" s="409" t="b">
        <f>Wh_hp&gt;='2028'!Maxi_hp</f>
        <v>1</v>
      </c>
      <c r="I277" s="385">
        <f>IF(H277,Wh_hp,'2028'!Maxi_hp)</f>
        <v>196.62901416079936</v>
      </c>
      <c r="J277" s="85">
        <f>IF(H277,An,'2028'!An_max)</f>
        <v>2029</v>
      </c>
      <c r="K277" s="193">
        <f t="shared" si="104"/>
        <v>47381</v>
      </c>
      <c r="L277" s="143">
        <f>IF(t&lt;Tvie,1-EXP((T0-t)*PertePVj)+'2028'!Pspv,1-EXP((T0-t)*PertePVj)+Pspv)</f>
        <v>3.9670787757413506E-2</v>
      </c>
      <c r="M277" s="835"/>
      <c r="N277" s="835"/>
      <c r="O277" s="48">
        <f>IF(t&lt;Tnet,'2028'!Resal+('2028'!Salim-'2028'!Resal)*(1-EXP(('2028'!Tnet-t)/('2028'!Tau_j))),Resal+(Salim-Resal)*(1-EXP((Tnet-t)/(Tau_j))))*Salcycl</f>
        <v>4.0476898306971237E-2</v>
      </c>
      <c r="P277" s="165">
        <f>(INDEX(Models!$BJ277:$BT277,,T277)*(1-R277)+INDEX(Models!$BJ277:$BT277,,T277+1)*R277-ERP_i)*Q277*Ramure*Pc/MaxiM</f>
        <v>3.9721187959534467E-5</v>
      </c>
      <c r="Q277" s="301">
        <f t="shared" si="105"/>
        <v>0.5</v>
      </c>
      <c r="R277" s="173">
        <f t="shared" si="106"/>
        <v>0.45724681001833395</v>
      </c>
      <c r="S277" s="801">
        <f t="shared" si="107"/>
        <v>0</v>
      </c>
      <c r="T277" s="172">
        <f t="shared" si="108"/>
        <v>6</v>
      </c>
      <c r="U277" s="247">
        <f t="shared" si="109"/>
        <v>0.45724681001833395</v>
      </c>
      <c r="V277" s="378">
        <f t="shared" si="110"/>
        <v>177.77297581758745</v>
      </c>
      <c r="W277" s="397">
        <f t="shared" si="111"/>
        <v>181.17819389008929</v>
      </c>
      <c r="X277" s="153">
        <f t="shared" si="112"/>
        <v>47381</v>
      </c>
      <c r="Y277" s="380">
        <f t="shared" si="113"/>
        <v>176.6196548928223</v>
      </c>
      <c r="Z277" s="380">
        <f t="shared" si="114"/>
        <v>183.91573706310083</v>
      </c>
      <c r="AA277" s="381">
        <f t="shared" si="115"/>
        <v>196.54165894761184</v>
      </c>
      <c r="AB277" s="193">
        <f t="shared" si="116"/>
        <v>47381</v>
      </c>
      <c r="AC277" s="119">
        <f>IF(OR(t&lt;Tnet,NoTnet),'2028'!Resal_s+('2028'!Salim-'2028'!Resal_s)*(1-EXP(('2028'!Tnet_s-t)/'2028'!Tau_j)),Resal_s+(Salim-Resal_s)*(1-EXP((Tnet_s-t)/Tau_j)))*Salcycl</f>
        <v>6.4240436109661847E-2</v>
      </c>
      <c r="AD277" s="227">
        <f>(INDEX(Models!$BJ277:$BT277,,AH277)*(1-AF277)+INDEX(Models!$BJ277:$BT277,,AH277+1)*AF277-ERP_i)*AE277*Ramure*Pc/MaxiM</f>
        <v>4.4426410598831165E-4</v>
      </c>
      <c r="AE277" s="301">
        <f t="shared" si="117"/>
        <v>0.5</v>
      </c>
      <c r="AF277" s="173">
        <f t="shared" si="118"/>
        <v>0.98223437639231204</v>
      </c>
      <c r="AG277" s="801">
        <f t="shared" si="124"/>
        <v>3</v>
      </c>
      <c r="AH277" s="172">
        <f t="shared" si="119"/>
        <v>9</v>
      </c>
      <c r="AI277" s="221">
        <f t="shared" si="120"/>
        <v>3.982234376392312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47382</v>
      </c>
      <c r="B278" s="406">
        <f>'2028'!Wh/'2028'!Env_an*'2029'!Env_an</f>
        <v>176.27534464362796</v>
      </c>
      <c r="C278" s="831"/>
      <c r="D278" s="388">
        <f t="shared" si="102"/>
        <v>183.55971628359774</v>
      </c>
      <c r="E278" s="380">
        <f t="shared" si="100"/>
        <v>191.31048503996408</v>
      </c>
      <c r="F278" s="380">
        <f t="shared" si="103"/>
        <v>191.31794707345679</v>
      </c>
      <c r="G278" s="110">
        <f t="shared" si="101"/>
        <v>0.99794783592225833</v>
      </c>
      <c r="H278" s="409" t="b">
        <f>Wh_hp&gt;='2028'!Maxi_hp</f>
        <v>1</v>
      </c>
      <c r="I278" s="385">
        <f>IF(H278,Wh_hp,'2028'!Maxi_hp)</f>
        <v>191.31794707345679</v>
      </c>
      <c r="J278" s="85">
        <f>IF(H278,An,'2028'!An_max)</f>
        <v>2029</v>
      </c>
      <c r="K278" s="193">
        <f t="shared" si="104"/>
        <v>47382</v>
      </c>
      <c r="L278" s="143">
        <f>IF(t&lt;Tvie,1-EXP((T0-t)*PertePVj)+'2028'!Pspv,1-EXP((T0-t)*PertePVj)+Pspv)</f>
        <v>3.9683933857881382E-2</v>
      </c>
      <c r="M278" s="835"/>
      <c r="N278" s="835"/>
      <c r="O278" s="48">
        <f>IF(t&lt;Tnet,'2028'!Resal+('2028'!Salim-'2028'!Resal)*(1-EXP(('2028'!Tnet-t)/('2028'!Tau_j))),Resal+(Salim-Resal)*(1-EXP((Tnet-t)/(Tau_j))))*Salcycl</f>
        <v>4.0514082407700977E-2</v>
      </c>
      <c r="P278" s="165">
        <f>(INDEX(Models!$BJ278:$BT278,,T278)*(1-R278)+INDEX(Models!$BJ278:$BT278,,T278+1)*R278-ERP_i)*Q278*Ramure*Pc/MaxiM</f>
        <v>3.9117985894318459E-5</v>
      </c>
      <c r="Q278" s="301">
        <f t="shared" si="105"/>
        <v>0.5</v>
      </c>
      <c r="R278" s="173">
        <f t="shared" si="106"/>
        <v>0.45754287159092161</v>
      </c>
      <c r="S278" s="801">
        <f t="shared" si="107"/>
        <v>0</v>
      </c>
      <c r="T278" s="172">
        <f t="shared" si="108"/>
        <v>6</v>
      </c>
      <c r="U278" s="247">
        <f t="shared" si="109"/>
        <v>0.45754287159092161</v>
      </c>
      <c r="V278" s="378">
        <f t="shared" si="110"/>
        <v>176.63781420566167</v>
      </c>
      <c r="W278" s="397">
        <f t="shared" si="111"/>
        <v>176.27534464362796</v>
      </c>
      <c r="X278" s="153">
        <f t="shared" si="112"/>
        <v>47382</v>
      </c>
      <c r="Y278" s="380">
        <f t="shared" si="113"/>
        <v>171.84656570271034</v>
      </c>
      <c r="Z278" s="380">
        <f t="shared" si="114"/>
        <v>178.94792325309123</v>
      </c>
      <c r="AA278" s="381">
        <f t="shared" si="115"/>
        <v>191.23387991528082</v>
      </c>
      <c r="AB278" s="193">
        <f t="shared" si="116"/>
        <v>47382</v>
      </c>
      <c r="AC278" s="119">
        <f>IF(OR(t&lt;Tnet,NoTnet),'2028'!Resal_s+('2028'!Salim-'2028'!Resal_s)*(1-EXP(('2028'!Tnet_s-t)/'2028'!Tau_j)),Resal_s+(Salim-Resal_s)*(1-EXP((Tnet_s-t)/Tau_j)))*Salcycl</f>
        <v>6.4245711416995949E-2</v>
      </c>
      <c r="AD278" s="227">
        <f>(INDEX(Models!$BJ278:$BT278,,AH278)*(1-AF278)+INDEX(Models!$BJ278:$BT278,,AH278+1)*AF278-ERP_i)*AE278*Ramure*Pc/MaxiM</f>
        <v>4.4070264639098122E-4</v>
      </c>
      <c r="AE278" s="301">
        <f t="shared" si="117"/>
        <v>0.5</v>
      </c>
      <c r="AF278" s="173">
        <f t="shared" si="118"/>
        <v>0.98253043796489958</v>
      </c>
      <c r="AG278" s="801">
        <f t="shared" si="124"/>
        <v>3</v>
      </c>
      <c r="AH278" s="172">
        <f t="shared" si="119"/>
        <v>9</v>
      </c>
      <c r="AI278" s="221">
        <f t="shared" si="120"/>
        <v>3.9825304379648996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47383</v>
      </c>
      <c r="B279" s="406">
        <f>'2028'!Wh/'2028'!Env_an*'2029'!Env_an</f>
        <v>171.22505199349428</v>
      </c>
      <c r="C279" s="831"/>
      <c r="D279" s="388">
        <f t="shared" si="102"/>
        <v>178.30316704022991</v>
      </c>
      <c r="E279" s="380">
        <f t="shared" si="100"/>
        <v>185.83908598077929</v>
      </c>
      <c r="F279" s="380">
        <f t="shared" si="103"/>
        <v>185.84599558132493</v>
      </c>
      <c r="G279" s="110">
        <f t="shared" si="101"/>
        <v>0.9756950547700719</v>
      </c>
      <c r="H279" s="409" t="b">
        <f>Wh_hp&gt;='2028'!Maxi_hp</f>
        <v>1</v>
      </c>
      <c r="I279" s="385">
        <f>IF(H279,Wh_hp,'2028'!Maxi_hp)</f>
        <v>185.84599558132493</v>
      </c>
      <c r="J279" s="85">
        <f>IF(H279,An,'2028'!An_max)</f>
        <v>2029</v>
      </c>
      <c r="K279" s="193">
        <f t="shared" si="104"/>
        <v>47383</v>
      </c>
      <c r="L279" s="143">
        <f>IF(t&lt;Tvie,1-EXP((T0-t)*PertePVj)+'2028'!Pspv,1-EXP((T0-t)*PertePVj)+Pspv)</f>
        <v>3.969707977839021E-2</v>
      </c>
      <c r="M279" s="835"/>
      <c r="N279" s="835"/>
      <c r="O279" s="48">
        <f>IF(t&lt;Tnet,'2028'!Resal+('2028'!Salim-'2028'!Resal)*(1-EXP(('2028'!Tnet-t)/('2028'!Tau_j))),Resal+(Salim-Resal)*(1-EXP((Tnet-t)/(Tau_j))))*Salcycl</f>
        <v>4.0550774885584576E-2</v>
      </c>
      <c r="P279" s="165">
        <f>(INDEX(Models!$BJ279:$BT279,,T279)*(1-R279)+INDEX(Models!$BJ279:$BT279,,T279+1)*R279-ERP_i)*Q279*Ramure*Pc/MaxiM</f>
        <v>3.8516444849461719E-5</v>
      </c>
      <c r="Q279" s="301">
        <f t="shared" si="105"/>
        <v>0.5</v>
      </c>
      <c r="R279" s="173">
        <f t="shared" si="106"/>
        <v>0.45782734718573176</v>
      </c>
      <c r="S279" s="801">
        <f t="shared" si="107"/>
        <v>0</v>
      </c>
      <c r="T279" s="172">
        <f t="shared" si="108"/>
        <v>6</v>
      </c>
      <c r="U279" s="247">
        <f t="shared" si="109"/>
        <v>0.45782734718573176</v>
      </c>
      <c r="V279" s="378">
        <f t="shared" si="110"/>
        <v>175.49010028651196</v>
      </c>
      <c r="W279" s="397">
        <f t="shared" si="111"/>
        <v>171.22505199349428</v>
      </c>
      <c r="X279" s="153">
        <f t="shared" si="112"/>
        <v>47383</v>
      </c>
      <c r="Y279" s="380">
        <f t="shared" si="113"/>
        <v>166.93127144307195</v>
      </c>
      <c r="Z279" s="380">
        <f t="shared" si="114"/>
        <v>173.83188984216471</v>
      </c>
      <c r="AA279" s="381">
        <f t="shared" si="115"/>
        <v>185.76750658049741</v>
      </c>
      <c r="AB279" s="193">
        <f t="shared" si="116"/>
        <v>47383</v>
      </c>
      <c r="AC279" s="119">
        <f>IF(OR(t&lt;Tnet,NoTnet),'2028'!Resal_s+('2028'!Salim-'2028'!Resal_s)*(1-EXP(('2028'!Tnet_s-t)/'2028'!Tau_j)),Resal_s+(Salim-Resal_s)*(1-EXP((Tnet_s-t)/Tau_j)))*Salcycl</f>
        <v>6.4250293057363628E-2</v>
      </c>
      <c r="AD279" s="227">
        <f>(INDEX(Models!$BJ279:$BT279,,AH279)*(1-AF279)+INDEX(Models!$BJ279:$BT279,,AH279+1)*AF279-ERP_i)*AE279*Ramure*Pc/MaxiM</f>
        <v>4.3752417403921171E-4</v>
      </c>
      <c r="AE279" s="301">
        <f t="shared" si="117"/>
        <v>0.5</v>
      </c>
      <c r="AF279" s="173">
        <f t="shared" si="118"/>
        <v>0.98281491355970996</v>
      </c>
      <c r="AG279" s="801">
        <f t="shared" si="124"/>
        <v>3</v>
      </c>
      <c r="AH279" s="172">
        <f t="shared" si="119"/>
        <v>9</v>
      </c>
      <c r="AI279" s="221">
        <f t="shared" si="120"/>
        <v>3.98281491355971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47384</v>
      </c>
      <c r="B280" s="406">
        <f>'2028'!Wh/'2028'!Env_an*'2029'!Env_an</f>
        <v>109.79390987515994</v>
      </c>
      <c r="C280" s="831"/>
      <c r="D280" s="388">
        <f t="shared" si="102"/>
        <v>114.33414453933217</v>
      </c>
      <c r="E280" s="380">
        <f t="shared" si="100"/>
        <v>119.17093041431147</v>
      </c>
      <c r="F280" s="380">
        <f t="shared" si="103"/>
        <v>119.17305933098852</v>
      </c>
      <c r="G280" s="110">
        <f t="shared" si="101"/>
        <v>0.62978752562065998</v>
      </c>
      <c r="H280" s="409" t="b">
        <f>Wh_hp&gt;='2028'!Maxi_hp</f>
        <v>1</v>
      </c>
      <c r="I280" s="385">
        <f>IF(H280,Wh_hp,'2028'!Maxi_hp)</f>
        <v>119.17305933098852</v>
      </c>
      <c r="J280" s="85">
        <f>IF(H280,An,'2028'!An_max)</f>
        <v>2029</v>
      </c>
      <c r="K280" s="193">
        <f t="shared" si="104"/>
        <v>47384</v>
      </c>
      <c r="L280" s="143">
        <f>IF(t&lt;Tvie,1-EXP((T0-t)*PertePVj)+'2028'!Pspv,1-EXP((T0-t)*PertePVj)+Pspv)</f>
        <v>3.9710225518942321E-2</v>
      </c>
      <c r="M280" s="835"/>
      <c r="N280" s="835"/>
      <c r="O280" s="48">
        <f>IF(t&lt;Tnet,'2028'!Resal+('2028'!Salim-'2028'!Resal)*(1-EXP(('2028'!Tnet-t)/('2028'!Tau_j))),Resal+(Salim-Resal)*(1-EXP((Tnet-t)/(Tau_j))))*Salcycl</f>
        <v>4.0586960747588822E-2</v>
      </c>
      <c r="P280" s="165">
        <f>(INDEX(Models!$BJ280:$BT280,,T280)*(1-R280)+INDEX(Models!$BJ280:$BT280,,T280+1)*R280-ERP_i)*Q280*Ramure*Pc/MaxiM</f>
        <v>3.7916457992747298E-5</v>
      </c>
      <c r="Q280" s="301">
        <f t="shared" si="105"/>
        <v>0.5</v>
      </c>
      <c r="R280" s="173">
        <f t="shared" si="106"/>
        <v>0.45810067744129701</v>
      </c>
      <c r="S280" s="801">
        <f t="shared" si="107"/>
        <v>0</v>
      </c>
      <c r="T280" s="172">
        <f t="shared" si="108"/>
        <v>6</v>
      </c>
      <c r="U280" s="247">
        <f t="shared" si="109"/>
        <v>0.45810067744129701</v>
      </c>
      <c r="V280" s="378">
        <f t="shared" si="110"/>
        <v>174.33134785940459</v>
      </c>
      <c r="W280" s="397">
        <f t="shared" si="111"/>
        <v>109.79390987515994</v>
      </c>
      <c r="X280" s="153">
        <f t="shared" si="112"/>
        <v>47384</v>
      </c>
      <c r="Y280" s="380">
        <f t="shared" si="113"/>
        <v>107.0654475503601</v>
      </c>
      <c r="Z280" s="380">
        <f t="shared" si="114"/>
        <v>111.49285392340917</v>
      </c>
      <c r="AA280" s="381">
        <f t="shared" si="115"/>
        <v>119.14865021937867</v>
      </c>
      <c r="AB280" s="193">
        <f t="shared" si="116"/>
        <v>47384</v>
      </c>
      <c r="AC280" s="119">
        <f>IF(OR(t&lt;Tnet,NoTnet),'2028'!Resal_s+('2028'!Salim-'2028'!Resal_s)*(1-EXP(('2028'!Tnet_s-t)/'2028'!Tau_j)),Resal_s+(Salim-Resal_s)*(1-EXP((Tnet_s-t)/Tau_j)))*Salcycl</f>
        <v>6.4254158833301961E-2</v>
      </c>
      <c r="AD280" s="227">
        <f>(INDEX(Models!$BJ280:$BT280,,AH280)*(1-AF280)+INDEX(Models!$BJ280:$BT280,,AH280+1)*AF280-ERP_i)*AE280*Ramure*Pc/MaxiM</f>
        <v>4.3473145988831482E-4</v>
      </c>
      <c r="AE280" s="301">
        <f t="shared" si="117"/>
        <v>0.5</v>
      </c>
      <c r="AF280" s="173">
        <f t="shared" si="118"/>
        <v>0.98308824381527504</v>
      </c>
      <c r="AG280" s="801">
        <f t="shared" si="124"/>
        <v>3</v>
      </c>
      <c r="AH280" s="172">
        <f t="shared" si="119"/>
        <v>9</v>
      </c>
      <c r="AI280" s="221">
        <f t="shared" si="120"/>
        <v>3.983088243815275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47385</v>
      </c>
      <c r="B281" s="406">
        <f>'2028'!Wh/'2028'!Env_an*'2029'!Env_an</f>
        <v>73.863204452376692</v>
      </c>
      <c r="C281" s="831"/>
      <c r="D281" s="388">
        <f t="shared" si="102"/>
        <v>76.918673461222838</v>
      </c>
      <c r="E281" s="380">
        <f t="shared" si="100"/>
        <v>80.175617507341315</v>
      </c>
      <c r="F281" s="380">
        <f t="shared" si="103"/>
        <v>80.176158430643952</v>
      </c>
      <c r="G281" s="110">
        <f t="shared" si="101"/>
        <v>0.42653982872580071</v>
      </c>
      <c r="H281" s="409" t="b">
        <f>Wh_hp&gt;='2028'!Maxi_hp</f>
        <v>1</v>
      </c>
      <c r="I281" s="385">
        <f>IF(H281,Wh_hp,'2028'!Maxi_hp)</f>
        <v>80.176158430643952</v>
      </c>
      <c r="J281" s="85">
        <f>IF(H281,An,'2028'!An_max)</f>
        <v>2029</v>
      </c>
      <c r="K281" s="193">
        <f t="shared" si="104"/>
        <v>47385</v>
      </c>
      <c r="L281" s="143">
        <f>IF(t&lt;Tvie,1-EXP((T0-t)*PertePVj)+'2028'!Pspv,1-EXP((T0-t)*PertePVj)+Pspv)</f>
        <v>3.9723371079540382E-2</v>
      </c>
      <c r="M281" s="835"/>
      <c r="N281" s="835"/>
      <c r="O281" s="48">
        <f>IF(t&lt;Tnet,'2028'!Resal+('2028'!Salim-'2028'!Resal)*(1-EXP(('2028'!Tnet-t)/('2028'!Tau_j))),Resal+(Salim-Resal)*(1-EXP((Tnet-t)/(Tau_j))))*Salcycl</f>
        <v>4.0622625024624825E-2</v>
      </c>
      <c r="P281" s="165">
        <f>(INDEX(Models!$BJ281:$BT281,,T281)*(1-R281)+INDEX(Models!$BJ281:$BT281,,T281+1)*R281-ERP_i)*Q281*Ramure*Pc/MaxiM</f>
        <v>3.7317839464374596E-5</v>
      </c>
      <c r="Q281" s="301">
        <f t="shared" si="105"/>
        <v>0.5</v>
      </c>
      <c r="R281" s="173">
        <f t="shared" si="106"/>
        <v>0.45836328723343306</v>
      </c>
      <c r="S281" s="801">
        <f t="shared" si="107"/>
        <v>0</v>
      </c>
      <c r="T281" s="172">
        <f t="shared" si="108"/>
        <v>6</v>
      </c>
      <c r="U281" s="247">
        <f t="shared" si="109"/>
        <v>0.45836328723343306</v>
      </c>
      <c r="V281" s="378">
        <f t="shared" si="110"/>
        <v>173.16307031483922</v>
      </c>
      <c r="W281" s="397">
        <f t="shared" si="111"/>
        <v>73.863204452376692</v>
      </c>
      <c r="X281" s="153">
        <f t="shared" si="112"/>
        <v>47385</v>
      </c>
      <c r="Y281" s="380">
        <f t="shared" si="113"/>
        <v>72.038408696063442</v>
      </c>
      <c r="Z281" s="380">
        <f t="shared" si="114"/>
        <v>75.018392124203658</v>
      </c>
      <c r="AA281" s="381">
        <f t="shared" si="115"/>
        <v>80.169891845488905</v>
      </c>
      <c r="AB281" s="193">
        <f t="shared" si="116"/>
        <v>47385</v>
      </c>
      <c r="AC281" s="119">
        <f>IF(OR(t&lt;Tnet,NoTnet),'2028'!Resal_s+('2028'!Salim-'2028'!Resal_s)*(1-EXP(('2028'!Tnet_s-t)/'2028'!Tau_j)),Resal_s+(Salim-Resal_s)*(1-EXP((Tnet_s-t)/Tau_j)))*Salcycl</f>
        <v>6.4257286653369952E-2</v>
      </c>
      <c r="AD281" s="227">
        <f>(INDEX(Models!$BJ281:$BT281,,AH281)*(1-AF281)+INDEX(Models!$BJ281:$BT281,,AH281+1)*AF281-ERP_i)*AE281*Ramure*Pc/MaxiM</f>
        <v>4.3232639020386436E-4</v>
      </c>
      <c r="AE281" s="301">
        <f t="shared" si="117"/>
        <v>0.5</v>
      </c>
      <c r="AF281" s="173">
        <f t="shared" si="118"/>
        <v>0.98335085360741115</v>
      </c>
      <c r="AG281" s="801">
        <f t="shared" si="124"/>
        <v>3</v>
      </c>
      <c r="AH281" s="172">
        <f t="shared" si="119"/>
        <v>9</v>
      </c>
      <c r="AI281" s="221">
        <f t="shared" si="120"/>
        <v>3.9833508536074111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47386</v>
      </c>
      <c r="B282" s="406">
        <f>'2028'!Wh/'2028'!Env_an*'2029'!Env_an</f>
        <v>128.29172565743119</v>
      </c>
      <c r="C282" s="831"/>
      <c r="D282" s="388">
        <f t="shared" si="102"/>
        <v>133.60054595069073</v>
      </c>
      <c r="E282" s="380">
        <f t="shared" si="100"/>
        <v>139.2626524563766</v>
      </c>
      <c r="F282" s="380">
        <f t="shared" si="103"/>
        <v>139.26592630992718</v>
      </c>
      <c r="G282" s="110">
        <f t="shared" si="101"/>
        <v>0.74592960054331126</v>
      </c>
      <c r="H282" s="409" t="b">
        <f>Wh_hp&gt;='2028'!Maxi_hp</f>
        <v>1</v>
      </c>
      <c r="I282" s="385">
        <f>IF(H282,Wh_hp,'2028'!Maxi_hp)</f>
        <v>139.26592630992718</v>
      </c>
      <c r="J282" s="85">
        <f>IF(H282,An,'2028'!An_max)</f>
        <v>2029</v>
      </c>
      <c r="K282" s="193">
        <f t="shared" si="104"/>
        <v>47386</v>
      </c>
      <c r="L282" s="143">
        <f>IF(t&lt;Tvie,1-EXP((T0-t)*PertePVj)+'2028'!Pspv,1-EXP((T0-t)*PertePVj)+Pspv)</f>
        <v>3.9736516460186722E-2</v>
      </c>
      <c r="M282" s="835"/>
      <c r="N282" s="835"/>
      <c r="O282" s="48">
        <f>IF(t&lt;Tnet,'2028'!Resal+('2028'!Salim-'2028'!Resal)*(1-EXP(('2028'!Tnet-t)/('2028'!Tau_j))),Resal+(Salim-Resal)*(1-EXP((Tnet-t)/(Tau_j))))*Salcycl</f>
        <v>4.0657752856312346E-2</v>
      </c>
      <c r="P282" s="165">
        <f>(INDEX(Models!$BJ282:$BT282,,T282)*(1-R282)+INDEX(Models!$BJ282:$BT282,,T282+1)*R282-ERP_i)*Q282*Ramure*Pc/MaxiM</f>
        <v>3.6900851244838509E-5</v>
      </c>
      <c r="Q282" s="301">
        <f t="shared" si="105"/>
        <v>0.5</v>
      </c>
      <c r="R282" s="173">
        <f t="shared" si="106"/>
        <v>0.45861558616065135</v>
      </c>
      <c r="S282" s="801">
        <f t="shared" si="107"/>
        <v>0</v>
      </c>
      <c r="T282" s="172">
        <f t="shared" si="108"/>
        <v>6</v>
      </c>
      <c r="U282" s="247">
        <f t="shared" si="109"/>
        <v>0.45861558616065135</v>
      </c>
      <c r="V282" s="378">
        <f t="shared" si="110"/>
        <v>171.9867495840486</v>
      </c>
      <c r="W282" s="397">
        <f t="shared" si="111"/>
        <v>128.29172565743119</v>
      </c>
      <c r="X282" s="153">
        <f t="shared" si="112"/>
        <v>47386</v>
      </c>
      <c r="Y282" s="380">
        <f t="shared" si="113"/>
        <v>125.10397942690567</v>
      </c>
      <c r="Z282" s="380">
        <f t="shared" si="114"/>
        <v>130.28088808056685</v>
      </c>
      <c r="AA282" s="381">
        <f t="shared" si="115"/>
        <v>139.22760595940574</v>
      </c>
      <c r="AB282" s="193">
        <f t="shared" si="116"/>
        <v>47386</v>
      </c>
      <c r="AC282" s="119">
        <f>IF(OR(t&lt;Tnet,NoTnet),'2028'!Resal_s+('2028'!Salim-'2028'!Resal_s)*(1-EXP(('2028'!Tnet_s-t)/'2028'!Tau_j)),Resal_s+(Salim-Resal_s)*(1-EXP((Tnet_s-t)/Tau_j)))*Salcycl</f>
        <v>6.4259654665379001E-2</v>
      </c>
      <c r="AD282" s="227">
        <f>(INDEX(Models!$BJ282:$BT282,,AH282)*(1-AF282)+INDEX(Models!$BJ282:$BT282,,AH282+1)*AF282-ERP_i)*AE282*Ramure*Pc/MaxiM</f>
        <v>4.3192327707870256E-4</v>
      </c>
      <c r="AE282" s="301">
        <f t="shared" si="117"/>
        <v>0.5</v>
      </c>
      <c r="AF282" s="173">
        <f t="shared" si="118"/>
        <v>0.98360315253462938</v>
      </c>
      <c r="AG282" s="801">
        <f t="shared" si="124"/>
        <v>3</v>
      </c>
      <c r="AH282" s="172">
        <f t="shared" si="119"/>
        <v>9</v>
      </c>
      <c r="AI282" s="221">
        <f t="shared" si="120"/>
        <v>3.9836031525346294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47387</v>
      </c>
      <c r="B283" s="406">
        <f>'2028'!Wh/'2028'!Env_an*'2029'!Env_an</f>
        <v>129.853422193922</v>
      </c>
      <c r="C283" s="831"/>
      <c r="D283" s="388">
        <f t="shared" si="102"/>
        <v>135.22871798048121</v>
      </c>
      <c r="E283" s="380">
        <f t="shared" si="100"/>
        <v>140.96490849652747</v>
      </c>
      <c r="F283" s="380">
        <f t="shared" si="103"/>
        <v>140.96831126778343</v>
      </c>
      <c r="G283" s="110">
        <f t="shared" si="101"/>
        <v>0.76023906012277853</v>
      </c>
      <c r="H283" s="409" t="b">
        <f>Wh_hp&gt;='2028'!Maxi_hp</f>
        <v>1</v>
      </c>
      <c r="I283" s="385">
        <f>IF(H283,Wh_hp,'2028'!Maxi_hp)</f>
        <v>140.96831126778343</v>
      </c>
      <c r="J283" s="85">
        <f>IF(H283,An,'2028'!An_max)</f>
        <v>2029</v>
      </c>
      <c r="K283" s="193">
        <f t="shared" si="104"/>
        <v>47387</v>
      </c>
      <c r="L283" s="143">
        <f>IF(t&lt;Tvie,1-EXP((T0-t)*PertePVj)+'2028'!Pspv,1-EXP((T0-t)*PertePVj)+Pspv)</f>
        <v>3.9749661660883895E-2</v>
      </c>
      <c r="M283" s="835"/>
      <c r="N283" s="835"/>
      <c r="O283" s="48">
        <f>IF(t&lt;Tnet,'2028'!Resal+('2028'!Salim-'2028'!Resal)*(1-EXP(('2028'!Tnet-t)/('2028'!Tau_j))),Resal+(Salim-Resal)*(1-EXP((Tnet-t)/(Tau_j))))*Salcycl</f>
        <v>4.0692329582064514E-2</v>
      </c>
      <c r="P283" s="165">
        <f>(INDEX(Models!$BJ283:$BT283,,T283)*(1-R283)+INDEX(Models!$BJ283:$BT283,,T283+1)*R283-ERP_i)*Q283*Ramure*Pc/MaxiM</f>
        <v>3.6712740417600749E-5</v>
      </c>
      <c r="Q283" s="301">
        <f t="shared" si="105"/>
        <v>0.5</v>
      </c>
      <c r="R283" s="173">
        <f t="shared" si="106"/>
        <v>0.45885796902102927</v>
      </c>
      <c r="S283" s="801">
        <f t="shared" si="107"/>
        <v>0</v>
      </c>
      <c r="T283" s="172">
        <f t="shared" si="108"/>
        <v>6</v>
      </c>
      <c r="U283" s="247">
        <f t="shared" si="109"/>
        <v>0.45885796902102927</v>
      </c>
      <c r="V283" s="378">
        <f t="shared" si="110"/>
        <v>170.80389072939261</v>
      </c>
      <c r="W283" s="397">
        <f t="shared" si="111"/>
        <v>129.853422193922</v>
      </c>
      <c r="X283" s="153">
        <f t="shared" si="112"/>
        <v>47387</v>
      </c>
      <c r="Y283" s="380">
        <f t="shared" si="113"/>
        <v>126.63002238778519</v>
      </c>
      <c r="Z283" s="380">
        <f t="shared" si="114"/>
        <v>131.87188520736069</v>
      </c>
      <c r="AA283" s="381">
        <f t="shared" si="115"/>
        <v>140.92809985183462</v>
      </c>
      <c r="AB283" s="193">
        <f t="shared" si="116"/>
        <v>47387</v>
      </c>
      <c r="AC283" s="119">
        <f>IF(OR(t&lt;Tnet,NoTnet),'2028'!Resal_s+('2028'!Salim-'2028'!Resal_s)*(1-EXP(('2028'!Tnet_s-t)/'2028'!Tau_j)),Resal_s+(Salim-Resal_s)*(1-EXP((Tnet_s-t)/Tau_j)))*Salcycl</f>
        <v>6.4261241398948926E-2</v>
      </c>
      <c r="AD283" s="227">
        <f>(INDEX(Models!$BJ283:$BT283,,AH283)*(1-AF283)+INDEX(Models!$BJ283:$BT283,,AH283+1)*AF283-ERP_i)*AE283*Ramure*Pc/MaxiM</f>
        <v>4.3384381861360653E-4</v>
      </c>
      <c r="AE283" s="301">
        <f t="shared" si="117"/>
        <v>0.5</v>
      </c>
      <c r="AF283" s="173">
        <f t="shared" si="118"/>
        <v>0.98384553539500752</v>
      </c>
      <c r="AG283" s="801">
        <f t="shared" si="124"/>
        <v>3</v>
      </c>
      <c r="AH283" s="172">
        <f t="shared" si="119"/>
        <v>9</v>
      </c>
      <c r="AI283" s="221">
        <f t="shared" si="120"/>
        <v>3.9838455353950075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47388</v>
      </c>
      <c r="B284" s="406">
        <f>'2028'!Wh/'2028'!Env_an*'2029'!Env_an</f>
        <v>59.635104063519464</v>
      </c>
      <c r="C284" s="831"/>
      <c r="D284" s="388">
        <f t="shared" si="102"/>
        <v>62.104555497828443</v>
      </c>
      <c r="E284" s="380">
        <f t="shared" si="100"/>
        <v>64.741228850255638</v>
      </c>
      <c r="F284" s="380">
        <f t="shared" si="103"/>
        <v>64.741404228586603</v>
      </c>
      <c r="G284" s="110">
        <f t="shared" si="101"/>
        <v>0.35157692363098569</v>
      </c>
      <c r="H284" s="409" t="b">
        <f>Wh_hp&gt;='2028'!Maxi_hp</f>
        <v>1</v>
      </c>
      <c r="I284" s="385">
        <f>IF(H284,Wh_hp,'2028'!Maxi_hp)</f>
        <v>64.741404228586603</v>
      </c>
      <c r="J284" s="85">
        <f>IF(H284,An,'2028'!An_max)</f>
        <v>2029</v>
      </c>
      <c r="K284" s="193">
        <f t="shared" si="104"/>
        <v>47388</v>
      </c>
      <c r="L284" s="143">
        <f>IF(t&lt;Tvie,1-EXP((T0-t)*PertePVj)+'2028'!Pspv,1-EXP((T0-t)*PertePVj)+Pspv)</f>
        <v>3.9762806681634233E-2</v>
      </c>
      <c r="M284" s="835"/>
      <c r="N284" s="835"/>
      <c r="O284" s="48">
        <f>IF(t&lt;Tnet,'2028'!Resal+('2028'!Salim-'2028'!Resal)*(1-EXP(('2028'!Tnet-t)/('2028'!Tau_j))),Resal+(Salim-Resal)*(1-EXP((Tnet-t)/(Tau_j))))*Salcycl</f>
        <v>4.0726340838011271E-2</v>
      </c>
      <c r="P284" s="165">
        <f>(INDEX(Models!$BJ284:$BT284,,T284)*(1-R284)+INDEX(Models!$BJ284:$BT284,,T284+1)*R284-ERP_i)*Q284*Ramure*Pc/MaxiM</f>
        <v>3.6756625768445713E-5</v>
      </c>
      <c r="Q284" s="301">
        <f t="shared" si="105"/>
        <v>0.5</v>
      </c>
      <c r="R284" s="173">
        <f t="shared" si="106"/>
        <v>0.45909081628009851</v>
      </c>
      <c r="S284" s="801">
        <f t="shared" si="107"/>
        <v>0</v>
      </c>
      <c r="T284" s="172">
        <f t="shared" si="108"/>
        <v>6</v>
      </c>
      <c r="U284" s="247">
        <f t="shared" si="109"/>
        <v>0.45909081628009851</v>
      </c>
      <c r="V284" s="378">
        <f t="shared" si="110"/>
        <v>169.61600608706257</v>
      </c>
      <c r="W284" s="397">
        <f t="shared" si="111"/>
        <v>59.635104063519464</v>
      </c>
      <c r="X284" s="153">
        <f t="shared" si="112"/>
        <v>47388</v>
      </c>
      <c r="Y284" s="380">
        <f t="shared" si="113"/>
        <v>58.170241938264624</v>
      </c>
      <c r="Z284" s="380">
        <f t="shared" si="114"/>
        <v>60.579034370915409</v>
      </c>
      <c r="AA284" s="381">
        <f t="shared" si="115"/>
        <v>64.739313834360658</v>
      </c>
      <c r="AB284" s="193">
        <f t="shared" si="116"/>
        <v>47388</v>
      </c>
      <c r="AC284" s="119">
        <f>IF(OR(t&lt;Tnet,NoTnet),'2028'!Resal_s+('2028'!Salim-'2028'!Resal_s)*(1-EXP(('2028'!Tnet_s-t)/'2028'!Tau_j)),Resal_s+(Salim-Resal_s)*(1-EXP((Tnet_s-t)/Tau_j)))*Salcycl</f>
        <v>6.4262025916579327E-2</v>
      </c>
      <c r="AD284" s="227">
        <f>(INDEX(Models!$BJ284:$BT284,,AH284)*(1-AF284)+INDEX(Models!$BJ284:$BT284,,AH284+1)*AF284-ERP_i)*AE284*Ramure*Pc/MaxiM</f>
        <v>4.3811477646740711E-4</v>
      </c>
      <c r="AE284" s="301">
        <f t="shared" si="117"/>
        <v>0.5</v>
      </c>
      <c r="AF284" s="173">
        <f t="shared" si="118"/>
        <v>0.98407838265407666</v>
      </c>
      <c r="AG284" s="801">
        <f t="shared" si="124"/>
        <v>3</v>
      </c>
      <c r="AH284" s="172">
        <f t="shared" si="119"/>
        <v>9</v>
      </c>
      <c r="AI284" s="221">
        <f t="shared" si="120"/>
        <v>3.9840783826540767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47389</v>
      </c>
      <c r="B285" s="406">
        <f>'2028'!Wh/'2028'!Env_an*'2029'!Env_an</f>
        <v>59.816395742489433</v>
      </c>
      <c r="C285" s="831"/>
      <c r="D285" s="388">
        <f t="shared" si="102"/>
        <v>62.294207104403021</v>
      </c>
      <c r="E285" s="380">
        <f t="shared" si="100"/>
        <v>64.94119546789068</v>
      </c>
      <c r="F285" s="380">
        <f t="shared" si="103"/>
        <v>64.941384966890908</v>
      </c>
      <c r="G285" s="110">
        <f t="shared" si="101"/>
        <v>0.35514023640975101</v>
      </c>
      <c r="H285" s="409" t="b">
        <f>Wh_hp&gt;='2028'!Maxi_hp</f>
        <v>1</v>
      </c>
      <c r="I285" s="385">
        <f>IF(H285,Wh_hp,'2028'!Maxi_hp)</f>
        <v>64.941384966890908</v>
      </c>
      <c r="J285" s="85">
        <f>IF(H285,An,'2028'!An_max)</f>
        <v>2029</v>
      </c>
      <c r="K285" s="193">
        <f t="shared" si="104"/>
        <v>47389</v>
      </c>
      <c r="L285" s="143">
        <f>IF(t&lt;Tvie,1-EXP((T0-t)*PertePVj)+'2028'!Pspv,1-EXP((T0-t)*PertePVj)+Pspv)</f>
        <v>3.9775951522440289E-2</v>
      </c>
      <c r="M285" s="835"/>
      <c r="N285" s="835"/>
      <c r="O285" s="48">
        <f>IF(t&lt;Tnet,'2028'!Resal+('2028'!Salim-'2028'!Resal)*(1-EXP(('2028'!Tnet-t)/('2028'!Tau_j))),Resal+(Salim-Resal)*(1-EXP((Tnet-t)/(Tau_j))))*Salcycl</f>
        <v>4.0759772659196399E-2</v>
      </c>
      <c r="P285" s="165">
        <f>(INDEX(Models!$BJ285:$BT285,,T285)*(1-R285)+INDEX(Models!$BJ285:$BT285,,T285+1)*R285-ERP_i)*Q285*Ramure*Pc/MaxiM</f>
        <v>3.7035598548307415E-5</v>
      </c>
      <c r="Q285" s="301">
        <f t="shared" si="105"/>
        <v>0.5</v>
      </c>
      <c r="R285" s="173">
        <f t="shared" si="106"/>
        <v>0.45931449452938516</v>
      </c>
      <c r="S285" s="801">
        <f t="shared" si="107"/>
        <v>0</v>
      </c>
      <c r="T285" s="172">
        <f t="shared" si="108"/>
        <v>6</v>
      </c>
      <c r="U285" s="247">
        <f t="shared" si="109"/>
        <v>0.45931449452938516</v>
      </c>
      <c r="V285" s="378">
        <f t="shared" si="110"/>
        <v>168.42460755638373</v>
      </c>
      <c r="W285" s="397">
        <f t="shared" si="111"/>
        <v>59.816395742489433</v>
      </c>
      <c r="X285" s="153">
        <f t="shared" si="112"/>
        <v>47389</v>
      </c>
      <c r="Y285" s="380">
        <f t="shared" si="113"/>
        <v>58.348967812144593</v>
      </c>
      <c r="Z285" s="380">
        <f t="shared" si="114"/>
        <v>60.765993004088152</v>
      </c>
      <c r="AA285" s="381">
        <f t="shared" si="115"/>
        <v>64.93910926244321</v>
      </c>
      <c r="AB285" s="193">
        <f t="shared" si="116"/>
        <v>47389</v>
      </c>
      <c r="AC285" s="119">
        <f>IF(OR(t&lt;Tnet,NoTnet),'2028'!Resal_s+('2028'!Salim-'2028'!Resal_s)*(1-EXP(('2028'!Tnet_s-t)/'2028'!Tau_j)),Resal_s+(Salim-Resal_s)*(1-EXP((Tnet_s-t)/Tau_j)))*Salcycl</f>
        <v>6.4261987972300913E-2</v>
      </c>
      <c r="AD285" s="227">
        <f>(INDEX(Models!$BJ285:$BT285,,AH285)*(1-AF285)+INDEX(Models!$BJ285:$BT285,,AH285+1)*AF285-ERP_i)*AE285*Ramure*Pc/MaxiM</f>
        <v>4.4476264382051537E-4</v>
      </c>
      <c r="AE285" s="301">
        <f t="shared" si="117"/>
        <v>0.5</v>
      </c>
      <c r="AF285" s="173">
        <f t="shared" si="118"/>
        <v>0.98430206090336325</v>
      </c>
      <c r="AG285" s="801">
        <f t="shared" si="124"/>
        <v>3</v>
      </c>
      <c r="AH285" s="172">
        <f t="shared" si="119"/>
        <v>9</v>
      </c>
      <c r="AI285" s="221">
        <f t="shared" si="120"/>
        <v>3.9843020609033633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47390</v>
      </c>
      <c r="B286" s="406">
        <f>'2028'!Wh/'2028'!Env_an*'2029'!Env_an</f>
        <v>89.017102483429653</v>
      </c>
      <c r="C286" s="831"/>
      <c r="D286" s="388">
        <f t="shared" si="102"/>
        <v>92.705781750238316</v>
      </c>
      <c r="E286" s="380">
        <f t="shared" si="100"/>
        <v>96.648319091413185</v>
      </c>
      <c r="F286" s="380">
        <f t="shared" si="103"/>
        <v>96.649523548208606</v>
      </c>
      <c r="G286" s="110">
        <f t="shared" si="101"/>
        <v>0.532286232770385</v>
      </c>
      <c r="H286" s="409" t="b">
        <f>Wh_hp&gt;='2028'!Maxi_hp</f>
        <v>1</v>
      </c>
      <c r="I286" s="385">
        <f>IF(H286,Wh_hp,'2028'!Maxi_hp)</f>
        <v>96.649523548208606</v>
      </c>
      <c r="J286" s="85">
        <f>IF(H286,An,'2028'!An_max)</f>
        <v>2029</v>
      </c>
      <c r="K286" s="193">
        <f t="shared" si="104"/>
        <v>47390</v>
      </c>
      <c r="L286" s="143">
        <f>IF(t&lt;Tvie,1-EXP((T0-t)*PertePVj)+'2028'!Pspv,1-EXP((T0-t)*PertePVj)+Pspv)</f>
        <v>3.9789096183304506E-2</v>
      </c>
      <c r="M286" s="835"/>
      <c r="N286" s="835"/>
      <c r="O286" s="48">
        <f>IF(t&lt;Tnet,'2028'!Resal+('2028'!Salim-'2028'!Resal)*(1-EXP(('2028'!Tnet-t)/('2028'!Tau_j))),Resal+(Salim-Resal)*(1-EXP((Tnet-t)/(Tau_j))))*Salcycl</f>
        <v>4.0792611586404195E-2</v>
      </c>
      <c r="P286" s="165">
        <f>(INDEX(Models!$BJ286:$BT286,,T286)*(1-R286)+INDEX(Models!$BJ286:$BT286,,T286+1)*R286-ERP_i)*Q286*Ramure*Pc/MaxiM</f>
        <v>3.7552694833751939E-5</v>
      </c>
      <c r="Q286" s="301">
        <f t="shared" si="105"/>
        <v>0.5</v>
      </c>
      <c r="R286" s="173">
        <f t="shared" si="106"/>
        <v>0.4595293569352954</v>
      </c>
      <c r="S286" s="801">
        <f t="shared" si="107"/>
        <v>0</v>
      </c>
      <c r="T286" s="172">
        <f t="shared" si="108"/>
        <v>6</v>
      </c>
      <c r="U286" s="247">
        <f t="shared" si="109"/>
        <v>0.4595293569352954</v>
      </c>
      <c r="V286" s="378">
        <f t="shared" si="110"/>
        <v>167.23120660280114</v>
      </c>
      <c r="W286" s="397">
        <f t="shared" si="111"/>
        <v>89.017102483429653</v>
      </c>
      <c r="X286" s="153">
        <f t="shared" si="112"/>
        <v>47390</v>
      </c>
      <c r="Y286" s="380">
        <f t="shared" si="113"/>
        <v>86.827164986754894</v>
      </c>
      <c r="Z286" s="380">
        <f t="shared" si="114"/>
        <v>90.425097904668476</v>
      </c>
      <c r="AA286" s="381">
        <f t="shared" si="115"/>
        <v>96.634968039523059</v>
      </c>
      <c r="AB286" s="193">
        <f t="shared" si="116"/>
        <v>47390</v>
      </c>
      <c r="AC286" s="119">
        <f>IF(OR(t&lt;Tnet,NoTnet),'2028'!Resal_s+('2028'!Salim-'2028'!Resal_s)*(1-EXP(('2028'!Tnet_s-t)/'2028'!Tau_j)),Resal_s+(Salim-Resal_s)*(1-EXP((Tnet_s-t)/Tau_j)))*Salcycl</f>
        <v>6.4261108176853557E-2</v>
      </c>
      <c r="AD286" s="227">
        <f>(INDEX(Models!$BJ286:$BT286,,AH286)*(1-AF286)+INDEX(Models!$BJ286:$BT286,,AH286+1)*AF286-ERP_i)*AE286*Ramure*Pc/MaxiM</f>
        <v>4.5381335212463963E-4</v>
      </c>
      <c r="AE286" s="301">
        <f t="shared" si="117"/>
        <v>0.5</v>
      </c>
      <c r="AF286" s="173">
        <f t="shared" si="118"/>
        <v>0.98451692330927365</v>
      </c>
      <c r="AG286" s="801">
        <f t="shared" si="124"/>
        <v>3</v>
      </c>
      <c r="AH286" s="172">
        <f t="shared" si="119"/>
        <v>9</v>
      </c>
      <c r="AI286" s="221">
        <f t="shared" si="120"/>
        <v>3.9845169233092737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47391</v>
      </c>
      <c r="B287" s="406">
        <f>'2028'!Wh/'2028'!Env_an*'2029'!Env_an</f>
        <v>127.64412914857243</v>
      </c>
      <c r="C287" s="831"/>
      <c r="D287" s="388">
        <f t="shared" si="102"/>
        <v>132.93524996024976</v>
      </c>
      <c r="E287" s="380">
        <f t="shared" si="100"/>
        <v>138.59329991645706</v>
      </c>
      <c r="F287" s="380">
        <f t="shared" si="103"/>
        <v>138.59685569757437</v>
      </c>
      <c r="G287" s="110">
        <f t="shared" si="101"/>
        <v>0.7687580006429886</v>
      </c>
      <c r="H287" s="409" t="b">
        <f>Wh_hp&gt;='2028'!Maxi_hp</f>
        <v>1</v>
      </c>
      <c r="I287" s="385">
        <f>IF(H287,Wh_hp,'2028'!Maxi_hp)</f>
        <v>138.59685569757437</v>
      </c>
      <c r="J287" s="85">
        <f>IF(H287,An,'2028'!An_max)</f>
        <v>2029</v>
      </c>
      <c r="K287" s="193">
        <f t="shared" si="104"/>
        <v>47391</v>
      </c>
      <c r="L287" s="143">
        <f>IF(t&lt;Tvie,1-EXP((T0-t)*PertePVj)+'2028'!Pspv,1-EXP((T0-t)*PertePVj)+Pspv)</f>
        <v>3.9802240664229327E-2</v>
      </c>
      <c r="M287" s="835"/>
      <c r="N287" s="835"/>
      <c r="O287" s="48">
        <f>IF(t&lt;Tnet,'2028'!Resal+('2028'!Salim-'2028'!Resal)*(1-EXP(('2028'!Tnet-t)/('2028'!Tau_j))),Resal+(Salim-Resal)*(1-EXP((Tnet-t)/(Tau_j))))*Salcycl</f>
        <v>4.082484477689699E-2</v>
      </c>
      <c r="P287" s="165">
        <f>(INDEX(Models!$BJ287:$BT287,,T287)*(1-R287)+INDEX(Models!$BJ287:$BT287,,T287+1)*R287-ERP_i)*Q287*Ramure*Pc/MaxiM</f>
        <v>3.8310866481264293E-5</v>
      </c>
      <c r="Q287" s="301">
        <f t="shared" si="105"/>
        <v>0.5</v>
      </c>
      <c r="R287" s="173">
        <f t="shared" si="106"/>
        <v>0.45973574367810438</v>
      </c>
      <c r="S287" s="801">
        <f t="shared" si="107"/>
        <v>0</v>
      </c>
      <c r="T287" s="172">
        <f t="shared" si="108"/>
        <v>6</v>
      </c>
      <c r="U287" s="247">
        <f t="shared" si="109"/>
        <v>0.45973574367810438</v>
      </c>
      <c r="V287" s="378">
        <f t="shared" si="110"/>
        <v>166.03731424696807</v>
      </c>
      <c r="W287" s="397">
        <f t="shared" si="111"/>
        <v>127.64412914857243</v>
      </c>
      <c r="X287" s="153">
        <f t="shared" si="112"/>
        <v>47391</v>
      </c>
      <c r="Y287" s="380">
        <f t="shared" si="113"/>
        <v>124.48992643684321</v>
      </c>
      <c r="Z287" s="380">
        <f t="shared" si="114"/>
        <v>129.65029883319113</v>
      </c>
      <c r="AA287" s="381">
        <f t="shared" si="115"/>
        <v>138.55367013334904</v>
      </c>
      <c r="AB287" s="193">
        <f t="shared" si="116"/>
        <v>47391</v>
      </c>
      <c r="AC287" s="119">
        <f>IF(OR(t&lt;Tnet,NoTnet),'2028'!Resal_s+('2028'!Salim-'2028'!Resal_s)*(1-EXP(('2028'!Tnet_s-t)/'2028'!Tau_j)),Resal_s+(Salim-Resal_s)*(1-EXP((Tnet_s-t)/Tau_j)))*Salcycl</f>
        <v>6.4259368168226638E-2</v>
      </c>
      <c r="AD287" s="227">
        <f>(INDEX(Models!$BJ287:$BT287,,AH287)*(1-AF287)+INDEX(Models!$BJ287:$BT287,,AH287+1)*AF287-ERP_i)*AE287*Ramure*Pc/MaxiM</f>
        <v>4.6529196549615026E-4</v>
      </c>
      <c r="AE287" s="301">
        <f t="shared" si="117"/>
        <v>0.5</v>
      </c>
      <c r="AF287" s="173">
        <f t="shared" si="118"/>
        <v>0.98472331005208247</v>
      </c>
      <c r="AG287" s="801">
        <f t="shared" si="124"/>
        <v>3</v>
      </c>
      <c r="AH287" s="172">
        <f t="shared" si="119"/>
        <v>9</v>
      </c>
      <c r="AI287" s="221">
        <f t="shared" si="120"/>
        <v>3.9847233100520825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47392</v>
      </c>
      <c r="B288" s="406">
        <f>'2028'!Wh/'2028'!Env_an*'2029'!Env_an</f>
        <v>144.68839571990799</v>
      </c>
      <c r="C288" s="831"/>
      <c r="D288" s="388">
        <f t="shared" si="102"/>
        <v>150.68810044896068</v>
      </c>
      <c r="E288" s="380">
        <f t="shared" si="100"/>
        <v>157.10693361657061</v>
      </c>
      <c r="F288" s="380">
        <f t="shared" si="103"/>
        <v>157.11203126188397</v>
      </c>
      <c r="G288" s="110">
        <f t="shared" si="101"/>
        <v>0.87772084503845793</v>
      </c>
      <c r="H288" s="409" t="b">
        <f>Wh_hp&gt;='2028'!Maxi_hp</f>
        <v>1</v>
      </c>
      <c r="I288" s="385">
        <f>IF(H288,Wh_hp,'2028'!Maxi_hp)</f>
        <v>157.11203126188397</v>
      </c>
      <c r="J288" s="85">
        <f>IF(H288,An,'2028'!An_max)</f>
        <v>2029</v>
      </c>
      <c r="K288" s="193">
        <f t="shared" si="104"/>
        <v>47392</v>
      </c>
      <c r="L288" s="143">
        <f>IF(t&lt;Tvie,1-EXP((T0-t)*PertePVj)+'2028'!Pspv,1-EXP((T0-t)*PertePVj)+Pspv)</f>
        <v>3.9815384965217304E-2</v>
      </c>
      <c r="M288" s="835"/>
      <c r="N288" s="835"/>
      <c r="O288" s="48">
        <f>IF(t&lt;Tnet,'2028'!Resal+('2028'!Salim-'2028'!Resal)*(1-EXP(('2028'!Tnet-t)/('2028'!Tau_j))),Resal+(Salim-Resal)*(1-EXP((Tnet-t)/(Tau_j))))*Salcycl</f>
        <v>4.0856460118275262E-2</v>
      </c>
      <c r="P288" s="165">
        <f>(INDEX(Models!$BJ288:$BT288,,T288)*(1-R288)+INDEX(Models!$BJ288:$BT288,,T288+1)*R288-ERP_i)*Q288*Ramure*Pc/MaxiM</f>
        <v>3.9312950735301357E-5</v>
      </c>
      <c r="Q288" s="301">
        <f t="shared" si="105"/>
        <v>0.5</v>
      </c>
      <c r="R288" s="173">
        <f t="shared" si="106"/>
        <v>0.45993398238085265</v>
      </c>
      <c r="S288" s="801">
        <f t="shared" si="107"/>
        <v>0</v>
      </c>
      <c r="T288" s="172">
        <f t="shared" si="108"/>
        <v>6</v>
      </c>
      <c r="U288" s="247">
        <f t="shared" si="109"/>
        <v>0.45993398238085265</v>
      </c>
      <c r="V288" s="378">
        <f t="shared" si="110"/>
        <v>164.84444106202454</v>
      </c>
      <c r="W288" s="397">
        <f t="shared" si="111"/>
        <v>144.68839571990799</v>
      </c>
      <c r="X288" s="153">
        <f t="shared" si="112"/>
        <v>47392</v>
      </c>
      <c r="Y288" s="380">
        <f t="shared" si="113"/>
        <v>141.10717126783356</v>
      </c>
      <c r="Z288" s="380">
        <f t="shared" si="114"/>
        <v>146.95837556480944</v>
      </c>
      <c r="AA288" s="381">
        <f t="shared" si="115"/>
        <v>157.04989129047658</v>
      </c>
      <c r="AB288" s="193">
        <f t="shared" si="116"/>
        <v>47392</v>
      </c>
      <c r="AC288" s="119">
        <f>IF(OR(t&lt;Tnet,NoTnet),'2028'!Resal_s+('2028'!Salim-'2028'!Resal_s)*(1-EXP(('2028'!Tnet_s-t)/'2028'!Tau_j)),Resal_s+(Salim-Resal_s)*(1-EXP((Tnet_s-t)/Tau_j)))*Salcycl</f>
        <v>6.4256750786296626E-2</v>
      </c>
      <c r="AD288" s="227">
        <f>(INDEX(Models!$BJ288:$BT288,,AH288)*(1-AF288)+INDEX(Models!$BJ288:$BT288,,AH288+1)*AF288-ERP_i)*AE288*Ramure*Pc/MaxiM</f>
        <v>4.7922236335699652E-4</v>
      </c>
      <c r="AE288" s="301">
        <f t="shared" si="117"/>
        <v>0.5</v>
      </c>
      <c r="AF288" s="173">
        <f t="shared" si="118"/>
        <v>0.98492154875483084</v>
      </c>
      <c r="AG288" s="801">
        <f t="shared" si="124"/>
        <v>3</v>
      </c>
      <c r="AH288" s="172">
        <f t="shared" si="119"/>
        <v>9</v>
      </c>
      <c r="AI288" s="221">
        <f t="shared" si="120"/>
        <v>3.9849215487548308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47393</v>
      </c>
      <c r="B289" s="406">
        <f>'2028'!Wh/'2028'!Env_an*'2029'!Env_an</f>
        <v>149.79000400739417</v>
      </c>
      <c r="C289" s="831"/>
      <c r="D289" s="388">
        <f t="shared" si="102"/>
        <v>156.00338954546248</v>
      </c>
      <c r="E289" s="380">
        <f t="shared" si="100"/>
        <v>162.65389181999447</v>
      </c>
      <c r="F289" s="380">
        <f t="shared" si="103"/>
        <v>162.6596915163866</v>
      </c>
      <c r="G289" s="110">
        <f t="shared" si="101"/>
        <v>0.91530689229527951</v>
      </c>
      <c r="H289" s="409" t="b">
        <f>Wh_hp&gt;='2028'!Maxi_hp</f>
        <v>1</v>
      </c>
      <c r="I289" s="385">
        <f>IF(H289,Wh_hp,'2028'!Maxi_hp)</f>
        <v>162.6596915163866</v>
      </c>
      <c r="J289" s="85">
        <f>IF(H289,An,'2028'!An_max)</f>
        <v>2029</v>
      </c>
      <c r="K289" s="193">
        <f t="shared" si="104"/>
        <v>47393</v>
      </c>
      <c r="L289" s="143">
        <f>IF(t&lt;Tvie,1-EXP((T0-t)*PertePVj)+'2028'!Pspv,1-EXP((T0-t)*PertePVj)+Pspv)</f>
        <v>3.9828529086270881E-2</v>
      </c>
      <c r="M289" s="835"/>
      <c r="N289" s="835"/>
      <c r="O289" s="48">
        <f>IF(t&lt;Tnet,'2028'!Resal+('2028'!Salim-'2028'!Resal)*(1-EXP(('2028'!Tnet-t)/('2028'!Tau_j))),Resal+(Salim-Resal)*(1-EXP((Tnet-t)/(Tau_j))))*Salcycl</f>
        <v>4.0887446344609779E-2</v>
      </c>
      <c r="P289" s="165">
        <f>(INDEX(Models!$BJ289:$BT289,,T289)*(1-R289)+INDEX(Models!$BJ289:$BT289,,T289+1)*R289-ERP_i)*Q289*Ramure*Pc/MaxiM</f>
        <v>4.0562844689992413E-5</v>
      </c>
      <c r="Q289" s="301">
        <f t="shared" si="105"/>
        <v>0.5</v>
      </c>
      <c r="R289" s="173">
        <f t="shared" si="106"/>
        <v>0.46012438852800902</v>
      </c>
      <c r="S289" s="801">
        <f t="shared" si="107"/>
        <v>0</v>
      </c>
      <c r="T289" s="172">
        <f t="shared" si="108"/>
        <v>6</v>
      </c>
      <c r="U289" s="247">
        <f t="shared" si="109"/>
        <v>0.46012438852800902</v>
      </c>
      <c r="V289" s="378">
        <f t="shared" si="110"/>
        <v>163.6492308272999</v>
      </c>
      <c r="W289" s="397">
        <f t="shared" si="111"/>
        <v>149.79000400739417</v>
      </c>
      <c r="X289" s="153">
        <f t="shared" si="112"/>
        <v>47393</v>
      </c>
      <c r="Y289" s="380">
        <f t="shared" si="113"/>
        <v>146.08237491808703</v>
      </c>
      <c r="Z289" s="380">
        <f t="shared" si="114"/>
        <v>152.14196562106815</v>
      </c>
      <c r="AA289" s="381">
        <f t="shared" si="115"/>
        <v>162.58882441842385</v>
      </c>
      <c r="AB289" s="193">
        <f t="shared" si="116"/>
        <v>47393</v>
      </c>
      <c r="AC289" s="119">
        <f>IF(OR(t&lt;Tnet,NoTnet),'2028'!Resal_s+('2028'!Salim-'2028'!Resal_s)*(1-EXP(('2028'!Tnet_s-t)/'2028'!Tau_j)),Resal_s+(Salim-Resal_s)*(1-EXP((Tnet_s-t)/Tau_j)))*Salcycl</f>
        <v>6.42532402502069E-2</v>
      </c>
      <c r="AD289" s="227">
        <f>(INDEX(Models!$BJ289:$BT289,,AH289)*(1-AF289)+INDEX(Models!$BJ289:$BT289,,AH289+1)*AF289-ERP_i)*AE289*Ramure*Pc/MaxiM</f>
        <v>4.9564164982857594E-4</v>
      </c>
      <c r="AE289" s="301">
        <f t="shared" si="117"/>
        <v>0.5</v>
      </c>
      <c r="AF289" s="173">
        <f t="shared" si="118"/>
        <v>0.98511195490198711</v>
      </c>
      <c r="AG289" s="801">
        <f t="shared" si="124"/>
        <v>3</v>
      </c>
      <c r="AH289" s="172">
        <f t="shared" si="119"/>
        <v>9</v>
      </c>
      <c r="AI289" s="221">
        <f t="shared" si="120"/>
        <v>3.9851119549019871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47394</v>
      </c>
      <c r="B290" s="406">
        <f>'2028'!Wh/'2028'!Env_an*'2029'!Env_an</f>
        <v>140.69571250919182</v>
      </c>
      <c r="C290" s="831"/>
      <c r="D290" s="388">
        <f t="shared" si="102"/>
        <v>146.53386692255989</v>
      </c>
      <c r="E290" s="380">
        <f t="shared" si="100"/>
        <v>152.78551293787015</v>
      </c>
      <c r="F290" s="380">
        <f t="shared" si="103"/>
        <v>152.79071462961011</v>
      </c>
      <c r="G290" s="110">
        <f t="shared" si="101"/>
        <v>0.86609180495671434</v>
      </c>
      <c r="H290" s="409" t="b">
        <f>Wh_hp&gt;='2028'!Maxi_hp</f>
        <v>1</v>
      </c>
      <c r="I290" s="385">
        <f>IF(H290,Wh_hp,'2028'!Maxi_hp)</f>
        <v>152.79071462961011</v>
      </c>
      <c r="J290" s="85">
        <f>IF(H290,An,'2028'!An_max)</f>
        <v>2029</v>
      </c>
      <c r="K290" s="193">
        <f t="shared" si="104"/>
        <v>47394</v>
      </c>
      <c r="L290" s="143">
        <f>IF(t&lt;Tvie,1-EXP((T0-t)*PertePVj)+'2028'!Pspv,1-EXP((T0-t)*PertePVj)+Pspv)</f>
        <v>3.9841673027392388E-2</v>
      </c>
      <c r="M290" s="835"/>
      <c r="N290" s="835"/>
      <c r="O290" s="48">
        <f>IF(t&lt;Tnet,'2028'!Resal+('2028'!Salim-'2028'!Resal)*(1-EXP(('2028'!Tnet-t)/('2028'!Tau_j))),Resal+(Salim-Resal)*(1-EXP((Tnet-t)/(Tau_j))))*Salcycl</f>
        <v>4.0917793153939112E-2</v>
      </c>
      <c r="P290" s="165">
        <f>(INDEX(Models!$BJ290:$BT290,,T290)*(1-R290)+INDEX(Models!$BJ290:$BT290,,T290+1)*R290-ERP_i)*Q290*Ramure*Pc/MaxiM</f>
        <v>4.2097225222451854E-5</v>
      </c>
      <c r="Q290" s="301">
        <f t="shared" si="105"/>
        <v>0.5</v>
      </c>
      <c r="R290" s="173">
        <f t="shared" si="106"/>
        <v>0.46030726587379711</v>
      </c>
      <c r="S290" s="801">
        <f t="shared" si="107"/>
        <v>0</v>
      </c>
      <c r="T290" s="172">
        <f t="shared" si="108"/>
        <v>6</v>
      </c>
      <c r="U290" s="247">
        <f t="shared" si="109"/>
        <v>0.46030726587379711</v>
      </c>
      <c r="V290" s="378">
        <f t="shared" si="110"/>
        <v>162.44765126410579</v>
      </c>
      <c r="W290" s="397">
        <f t="shared" si="111"/>
        <v>140.69571250919182</v>
      </c>
      <c r="X290" s="153">
        <f t="shared" si="112"/>
        <v>47394</v>
      </c>
      <c r="Y290" s="380">
        <f t="shared" si="113"/>
        <v>137.22066725603543</v>
      </c>
      <c r="Z290" s="380">
        <f t="shared" si="114"/>
        <v>142.91462501678663</v>
      </c>
      <c r="AA290" s="381">
        <f t="shared" si="115"/>
        <v>152.72716554171856</v>
      </c>
      <c r="AB290" s="193">
        <f t="shared" si="116"/>
        <v>47394</v>
      </c>
      <c r="AC290" s="119">
        <f>IF(OR(t&lt;Tnet,NoTnet),'2028'!Resal_s+('2028'!Salim-'2028'!Resal_s)*(1-EXP(('2028'!Tnet_s-t)/'2028'!Tau_j)),Resal_s+(Salim-Resal_s)*(1-EXP((Tnet_s-t)/Tau_j)))*Salcycl</f>
        <v>6.4248822337055464E-2</v>
      </c>
      <c r="AD290" s="227">
        <f>(INDEX(Models!$BJ290:$BT290,,AH290)*(1-AF290)+INDEX(Models!$BJ290:$BT290,,AH290+1)*AF290-ERP_i)*AE290*Ramure*Pc/MaxiM</f>
        <v>5.1430196163046178E-4</v>
      </c>
      <c r="AE290" s="301">
        <f t="shared" si="117"/>
        <v>0.5</v>
      </c>
      <c r="AF290" s="173">
        <f t="shared" si="118"/>
        <v>0.98529483224777525</v>
      </c>
      <c r="AG290" s="801">
        <f t="shared" si="124"/>
        <v>3</v>
      </c>
      <c r="AH290" s="172">
        <f t="shared" si="119"/>
        <v>9</v>
      </c>
      <c r="AI290" s="221">
        <f t="shared" si="120"/>
        <v>3.9852948322477753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47395</v>
      </c>
      <c r="B291" s="406">
        <f>'2028'!Wh/'2028'!Env_an*'2029'!Env_an</f>
        <v>160.99695764618809</v>
      </c>
      <c r="C291" s="831"/>
      <c r="D291" s="388">
        <f t="shared" si="102"/>
        <v>167.67980557658848</v>
      </c>
      <c r="E291" s="380">
        <f t="shared" si="100"/>
        <v>174.83902503780124</v>
      </c>
      <c r="F291" s="380">
        <f t="shared" si="103"/>
        <v>174.84667794074412</v>
      </c>
      <c r="G291" s="110">
        <f t="shared" si="101"/>
        <v>0.99849123971096421</v>
      </c>
      <c r="H291" s="409" t="b">
        <f>Wh_hp&gt;='2028'!Maxi_hp</f>
        <v>1</v>
      </c>
      <c r="I291" s="385">
        <f>IF(H291,Wh_hp,'2028'!Maxi_hp)</f>
        <v>174.84667794074412</v>
      </c>
      <c r="J291" s="85">
        <f>IF(H291,An,'2028'!An_max)</f>
        <v>2029</v>
      </c>
      <c r="K291" s="193">
        <f t="shared" si="104"/>
        <v>47395</v>
      </c>
      <c r="L291" s="143">
        <f>IF(t&lt;Tvie,1-EXP((T0-t)*PertePVj)+'2028'!Pspv,1-EXP((T0-t)*PertePVj)+Pspv)</f>
        <v>3.985481678858438E-2</v>
      </c>
      <c r="M291" s="835"/>
      <c r="N291" s="835"/>
      <c r="O291" s="48">
        <f>IF(t&lt;Tnet,'2028'!Resal+('2028'!Salim-'2028'!Resal)*(1-EXP(('2028'!Tnet-t)/('2028'!Tau_j))),Resal+(Salim-Resal)*(1-EXP((Tnet-t)/(Tau_j))))*Salcycl</f>
        <v>4.0947491326177948E-2</v>
      </c>
      <c r="P291" s="165">
        <f>(INDEX(Models!$BJ291:$BT291,,T291)*(1-R291)+INDEX(Models!$BJ291:$BT291,,T291+1)*R291-ERP_i)*Q291*Ramure*Pc/MaxiM</f>
        <v>4.3863758108290232E-5</v>
      </c>
      <c r="Q291" s="301">
        <f t="shared" si="105"/>
        <v>0.5</v>
      </c>
      <c r="R291" s="173">
        <f t="shared" si="106"/>
        <v>0.46048290684012755</v>
      </c>
      <c r="S291" s="801">
        <f t="shared" si="107"/>
        <v>0</v>
      </c>
      <c r="T291" s="172">
        <f t="shared" si="108"/>
        <v>6</v>
      </c>
      <c r="U291" s="247">
        <f t="shared" si="109"/>
        <v>0.46048290684012755</v>
      </c>
      <c r="V291" s="378">
        <f t="shared" si="110"/>
        <v>161.24021525916427</v>
      </c>
      <c r="W291" s="397">
        <f t="shared" si="111"/>
        <v>160.99695764618809</v>
      </c>
      <c r="X291" s="153">
        <f t="shared" si="112"/>
        <v>47395</v>
      </c>
      <c r="Y291" s="380">
        <f t="shared" si="113"/>
        <v>157.00933306753024</v>
      </c>
      <c r="Z291" s="380">
        <f t="shared" si="114"/>
        <v>163.52665806475034</v>
      </c>
      <c r="AA291" s="381">
        <f t="shared" si="115"/>
        <v>174.75342716467981</v>
      </c>
      <c r="AB291" s="193">
        <f t="shared" si="116"/>
        <v>47395</v>
      </c>
      <c r="AC291" s="119">
        <f>IF(OR(t&lt;Tnet,NoTnet),'2028'!Resal_s+('2028'!Salim-'2028'!Resal_s)*(1-EXP(('2028'!Tnet_s-t)/'2028'!Tau_j)),Resal_s+(Salim-Resal_s)*(1-EXP((Tnet_s-t)/Tau_j)))*Salcycl</f>
        <v>6.4243484560390737E-2</v>
      </c>
      <c r="AD291" s="227">
        <f>(INDEX(Models!$BJ291:$BT291,,AH291)*(1-AF291)+INDEX(Models!$BJ291:$BT291,,AH291+1)*AF291-ERP_i)*AE291*Ramure*Pc/MaxiM</f>
        <v>5.3448077353447827E-4</v>
      </c>
      <c r="AE291" s="301">
        <f t="shared" si="117"/>
        <v>0.5</v>
      </c>
      <c r="AF291" s="173">
        <f t="shared" si="118"/>
        <v>0.98547047321410552</v>
      </c>
      <c r="AG291" s="801">
        <f t="shared" si="124"/>
        <v>3</v>
      </c>
      <c r="AH291" s="172">
        <f t="shared" si="119"/>
        <v>9</v>
      </c>
      <c r="AI291" s="221">
        <f t="shared" si="120"/>
        <v>3.9854704732141055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47396</v>
      </c>
      <c r="B292" s="406">
        <f>'2028'!Wh/'2028'!Env_an*'2029'!Env_an</f>
        <v>163.62551326734882</v>
      </c>
      <c r="C292" s="831"/>
      <c r="D292" s="388">
        <f t="shared" si="102"/>
        <v>170.4198032287085</v>
      </c>
      <c r="E292" s="380">
        <f t="shared" si="100"/>
        <v>177.70139007490513</v>
      </c>
      <c r="F292" s="380">
        <f t="shared" si="103"/>
        <v>177.70954073163574</v>
      </c>
      <c r="G292" s="110">
        <f t="shared" si="101"/>
        <v>1.022484189466115</v>
      </c>
      <c r="H292" s="409" t="b">
        <f>Wh_hp&gt;='2028'!Maxi_hp</f>
        <v>1</v>
      </c>
      <c r="I292" s="385">
        <f>IF(H292,Wh_hp,'2028'!Maxi_hp)</f>
        <v>177.70954073163574</v>
      </c>
      <c r="J292" s="85">
        <f>IF(H292,An,'2028'!An_max)</f>
        <v>2029</v>
      </c>
      <c r="K292" s="193">
        <f t="shared" si="104"/>
        <v>47396</v>
      </c>
      <c r="L292" s="143">
        <f>IF(t&lt;Tvie,1-EXP((T0-t)*PertePVj)+'2028'!Pspv,1-EXP((T0-t)*PertePVj)+Pspv)</f>
        <v>3.9867960369849409E-2</v>
      </c>
      <c r="M292" s="835"/>
      <c r="N292" s="835"/>
      <c r="O292" s="48">
        <f>IF(t&lt;Tnet,'2028'!Resal+('2028'!Salim-'2028'!Resal)*(1-EXP(('2028'!Tnet-t)/('2028'!Tau_j))),Resal+(Salim-Resal)*(1-EXP((Tnet-t)/(Tau_j))))*Salcycl</f>
        <v>4.0976532840442489E-2</v>
      </c>
      <c r="P292" s="165">
        <f>(INDEX(Models!$BJ292:$BT292,,T292)*(1-R292)+INDEX(Models!$BJ292:$BT292,,T292+1)*R292-ERP_i)*Q292*Ramure*Pc/MaxiM</f>
        <v>4.5865048646547906E-5</v>
      </c>
      <c r="Q292" s="301">
        <f t="shared" si="105"/>
        <v>0.5</v>
      </c>
      <c r="R292" s="173">
        <f t="shared" si="106"/>
        <v>0.46065159290410923</v>
      </c>
      <c r="S292" s="801">
        <f t="shared" si="107"/>
        <v>0</v>
      </c>
      <c r="T292" s="172">
        <f t="shared" si="108"/>
        <v>6</v>
      </c>
      <c r="U292" s="247">
        <f t="shared" si="109"/>
        <v>0.46065159290410923</v>
      </c>
      <c r="V292" s="378">
        <f t="shared" si="110"/>
        <v>160.02742629476262</v>
      </c>
      <c r="W292" s="397">
        <f t="shared" si="111"/>
        <v>163.62551326734882</v>
      </c>
      <c r="X292" s="153">
        <f t="shared" si="112"/>
        <v>47396</v>
      </c>
      <c r="Y292" s="380">
        <f t="shared" si="113"/>
        <v>159.57536912034021</v>
      </c>
      <c r="Z292" s="380">
        <f t="shared" si="114"/>
        <v>166.20148326870722</v>
      </c>
      <c r="AA292" s="381">
        <f t="shared" si="115"/>
        <v>177.61070024594153</v>
      </c>
      <c r="AB292" s="193">
        <f t="shared" si="116"/>
        <v>47396</v>
      </c>
      <c r="AC292" s="119">
        <f>IF(OR(t&lt;Tnet,NoTnet),'2028'!Resal_s+('2028'!Salim-'2028'!Resal_s)*(1-EXP(('2028'!Tnet_s-t)/'2028'!Tau_j)),Resal_s+(Salim-Resal_s)*(1-EXP((Tnet_s-t)/Tau_j)))*Salcycl</f>
        <v>6.4237216346963985E-2</v>
      </c>
      <c r="AD292" s="227">
        <f>(INDEX(Models!$BJ292:$BT292,,AH292)*(1-AF292)+INDEX(Models!$BJ292:$BT292,,AH292+1)*AF292-ERP_i)*AE292*Ramure*Pc/MaxiM</f>
        <v>5.5619121678704658E-4</v>
      </c>
      <c r="AE292" s="301">
        <f t="shared" si="117"/>
        <v>0.5</v>
      </c>
      <c r="AF292" s="173">
        <f t="shared" si="118"/>
        <v>0.98563915927808754</v>
      </c>
      <c r="AG292" s="801">
        <f t="shared" si="124"/>
        <v>3</v>
      </c>
      <c r="AH292" s="172">
        <f t="shared" si="119"/>
        <v>9</v>
      </c>
      <c r="AI292" s="221">
        <f t="shared" si="120"/>
        <v>3.9856391592780875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47397</v>
      </c>
      <c r="B293" s="406">
        <f>'2028'!Wh/'2028'!Env_an*'2029'!Env_an</f>
        <v>54.941287802538035</v>
      </c>
      <c r="C293" s="831"/>
      <c r="D293" s="388">
        <f t="shared" si="102"/>
        <v>57.223420993314903</v>
      </c>
      <c r="E293" s="380">
        <f t="shared" si="100"/>
        <v>59.670191901018207</v>
      </c>
      <c r="F293" s="380">
        <f t="shared" si="103"/>
        <v>59.670380346633422</v>
      </c>
      <c r="G293" s="110">
        <f t="shared" si="101"/>
        <v>0.34594101088268397</v>
      </c>
      <c r="H293" s="409" t="b">
        <f>Wh_hp&gt;='2028'!Maxi_hp</f>
        <v>1</v>
      </c>
      <c r="I293" s="385">
        <f>IF(H293,Wh_hp,'2028'!Maxi_hp)</f>
        <v>59.670380346633422</v>
      </c>
      <c r="J293" s="85">
        <f>IF(H293,An,'2028'!An_max)</f>
        <v>2029</v>
      </c>
      <c r="K293" s="193">
        <f t="shared" si="104"/>
        <v>47397</v>
      </c>
      <c r="L293" s="143">
        <f>IF(t&lt;Tvie,1-EXP((T0-t)*PertePVj)+'2028'!Pspv,1-EXP((T0-t)*PertePVj)+Pspv)</f>
        <v>3.9881103771189697E-2</v>
      </c>
      <c r="M293" s="835"/>
      <c r="N293" s="835"/>
      <c r="O293" s="48">
        <f>IF(t&lt;Tnet,'2028'!Resal+('2028'!Salim-'2028'!Resal)*(1-EXP(('2028'!Tnet-t)/('2028'!Tau_j))),Resal+(Salim-Resal)*(1-EXP((Tnet-t)/(Tau_j))))*Salcycl</f>
        <v>4.1004910990768119E-2</v>
      </c>
      <c r="P293" s="165">
        <f>(INDEX(Models!$BJ293:$BT293,,T293)*(1-R293)+INDEX(Models!$BJ293:$BT293,,T293+1)*R293-ERP_i)*Q293*Ramure*Pc/MaxiM</f>
        <v>4.8103619606040029E-5</v>
      </c>
      <c r="Q293" s="301">
        <f t="shared" si="105"/>
        <v>0.5</v>
      </c>
      <c r="R293" s="173">
        <f t="shared" si="106"/>
        <v>0.4608135949751484</v>
      </c>
      <c r="S293" s="801">
        <f t="shared" si="107"/>
        <v>0</v>
      </c>
      <c r="T293" s="172">
        <f t="shared" si="108"/>
        <v>6</v>
      </c>
      <c r="U293" s="247">
        <f t="shared" si="109"/>
        <v>0.4608135949751484</v>
      </c>
      <c r="V293" s="378">
        <f t="shared" si="110"/>
        <v>158.80978751369503</v>
      </c>
      <c r="W293" s="397">
        <f t="shared" si="111"/>
        <v>54.941287802538035</v>
      </c>
      <c r="X293" s="153">
        <f t="shared" si="112"/>
        <v>47397</v>
      </c>
      <c r="Y293" s="380">
        <f t="shared" si="113"/>
        <v>53.608840654491438</v>
      </c>
      <c r="Z293" s="380">
        <f t="shared" si="114"/>
        <v>55.83562709270506</v>
      </c>
      <c r="AA293" s="381">
        <f t="shared" si="115"/>
        <v>59.668110371413036</v>
      </c>
      <c r="AB293" s="193">
        <f t="shared" si="116"/>
        <v>47397</v>
      </c>
      <c r="AC293" s="119">
        <f>IF(OR(t&lt;Tnet,NoTnet),'2028'!Resal_s+('2028'!Salim-'2028'!Resal_s)*(1-EXP(('2028'!Tnet_s-t)/'2028'!Tau_j)),Resal_s+(Salim-Resal_s)*(1-EXP((Tnet_s-t)/Tau_j)))*Salcycl</f>
        <v>6.4230009210147737E-2</v>
      </c>
      <c r="AD293" s="227">
        <f>(INDEX(Models!$BJ293:$BT293,,AH293)*(1-AF293)+INDEX(Models!$BJ293:$BT293,,AH293+1)*AF293-ERP_i)*AE293*Ramure*Pc/MaxiM</f>
        <v>5.7944582255414832E-4</v>
      </c>
      <c r="AE293" s="301">
        <f t="shared" si="117"/>
        <v>0.5</v>
      </c>
      <c r="AF293" s="173">
        <f t="shared" si="118"/>
        <v>0.98580116134912643</v>
      </c>
      <c r="AG293" s="801">
        <f t="shared" si="124"/>
        <v>3</v>
      </c>
      <c r="AH293" s="172">
        <f t="shared" si="119"/>
        <v>9</v>
      </c>
      <c r="AI293" s="221">
        <f t="shared" si="120"/>
        <v>3.9858011613491264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47398</v>
      </c>
      <c r="B294" s="406">
        <f>'2028'!Wh/'2028'!Env_an*'2029'!Env_an</f>
        <v>112.90055329754973</v>
      </c>
      <c r="C294" s="831"/>
      <c r="D294" s="388">
        <f t="shared" si="102"/>
        <v>117.59178917937439</v>
      </c>
      <c r="E294" s="380">
        <f t="shared" si="100"/>
        <v>122.62334641725226</v>
      </c>
      <c r="F294" s="380">
        <f t="shared" si="103"/>
        <v>122.6270364044056</v>
      </c>
      <c r="G294" s="110">
        <f t="shared" si="101"/>
        <v>0.71641484038812542</v>
      </c>
      <c r="H294" s="409" t="b">
        <f>Wh_hp&gt;='2028'!Maxi_hp</f>
        <v>1</v>
      </c>
      <c r="I294" s="385">
        <f>IF(H294,Wh_hp,'2028'!Maxi_hp)</f>
        <v>122.6270364044056</v>
      </c>
      <c r="J294" s="85">
        <f>IF(H294,An,'2028'!An_max)</f>
        <v>2029</v>
      </c>
      <c r="K294" s="193">
        <f t="shared" si="104"/>
        <v>47398</v>
      </c>
      <c r="L294" s="143">
        <f>IF(t&lt;Tvie,1-EXP((T0-t)*PertePVj)+'2028'!Pspv,1-EXP((T0-t)*PertePVj)+Pspv)</f>
        <v>3.9894246992608018E-2</v>
      </c>
      <c r="M294" s="835"/>
      <c r="N294" s="835"/>
      <c r="O294" s="48">
        <f>IF(t&lt;Tnet,'2028'!Resal+('2028'!Salim-'2028'!Resal)*(1-EXP(('2028'!Tnet-t)/('2028'!Tau_j))),Resal+(Salim-Resal)*(1-EXP((Tnet-t)/(Tau_j))))*Salcycl</f>
        <v>4.1032620499174076E-2</v>
      </c>
      <c r="P294" s="165">
        <f>(INDEX(Models!$BJ294:$BT294,,T294)*(1-R294)+INDEX(Models!$BJ294:$BT294,,T294+1)*R294-ERP_i)*Q294*Ramure*Pc/MaxiM</f>
        <v>5.0581901580603532E-5</v>
      </c>
      <c r="Q294" s="301">
        <f t="shared" si="105"/>
        <v>0.5</v>
      </c>
      <c r="R294" s="173">
        <f t="shared" si="106"/>
        <v>0.46096917376167124</v>
      </c>
      <c r="S294" s="801">
        <f t="shared" si="107"/>
        <v>0</v>
      </c>
      <c r="T294" s="172">
        <f t="shared" si="108"/>
        <v>6</v>
      </c>
      <c r="U294" s="247">
        <f t="shared" si="109"/>
        <v>0.46096917376167124</v>
      </c>
      <c r="V294" s="378">
        <f t="shared" si="110"/>
        <v>157.5878017103845</v>
      </c>
      <c r="W294" s="397">
        <f t="shared" si="111"/>
        <v>112.90055329754973</v>
      </c>
      <c r="X294" s="153">
        <f t="shared" si="112"/>
        <v>47398</v>
      </c>
      <c r="Y294" s="380">
        <f t="shared" si="113"/>
        <v>110.13416338068386</v>
      </c>
      <c r="Z294" s="380">
        <f t="shared" si="114"/>
        <v>114.71045042247124</v>
      </c>
      <c r="AA294" s="381">
        <f t="shared" si="115"/>
        <v>122.58295544788064</v>
      </c>
      <c r="AB294" s="193">
        <f t="shared" si="116"/>
        <v>47398</v>
      </c>
      <c r="AC294" s="119">
        <f>IF(OR(t&lt;Tnet,NoTnet),'2028'!Resal_s+('2028'!Salim-'2028'!Resal_s)*(1-EXP(('2028'!Tnet_s-t)/'2028'!Tau_j)),Resal_s+(Salim-Resal_s)*(1-EXP((Tnet_s-t)/Tau_j)))*Salcycl</f>
        <v>6.4221856918408163E-2</v>
      </c>
      <c r="AD294" s="227">
        <f>(INDEX(Models!$BJ294:$BT294,,AH294)*(1-AF294)+INDEX(Models!$BJ294:$BT294,,AH294+1)*AF294-ERP_i)*AE294*Ramure*Pc/MaxiM</f>
        <v>6.0425646807567204E-4</v>
      </c>
      <c r="AE294" s="301">
        <f t="shared" si="117"/>
        <v>0.5</v>
      </c>
      <c r="AF294" s="173">
        <f t="shared" si="118"/>
        <v>0.98595674013564949</v>
      </c>
      <c r="AG294" s="801">
        <f t="shared" si="124"/>
        <v>3</v>
      </c>
      <c r="AH294" s="172">
        <f t="shared" si="119"/>
        <v>9</v>
      </c>
      <c r="AI294" s="221">
        <f t="shared" si="120"/>
        <v>3.9859567401356495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47399</v>
      </c>
      <c r="B295" s="406">
        <f>'2028'!Wh/'2028'!Env_an*'2029'!Env_an</f>
        <v>63.081541522490774</v>
      </c>
      <c r="C295" s="831"/>
      <c r="D295" s="388">
        <f t="shared" si="102"/>
        <v>65.703600744027909</v>
      </c>
      <c r="E295" s="380">
        <f t="shared" si="100"/>
        <v>68.516880394562989</v>
      </c>
      <c r="F295" s="380">
        <f t="shared" si="103"/>
        <v>68.517420037381285</v>
      </c>
      <c r="G295" s="110">
        <f t="shared" si="101"/>
        <v>0.40341443260323934</v>
      </c>
      <c r="H295" s="409" t="b">
        <f>Wh_hp&gt;='2028'!Maxi_hp</f>
        <v>1</v>
      </c>
      <c r="I295" s="385">
        <f>IF(H295,Wh_hp,'2028'!Maxi_hp)</f>
        <v>68.517420037381285</v>
      </c>
      <c r="J295" s="85">
        <f>IF(H295,An,'2028'!An_max)</f>
        <v>2029</v>
      </c>
      <c r="K295" s="193">
        <f t="shared" si="104"/>
        <v>47399</v>
      </c>
      <c r="L295" s="143">
        <f>IF(t&lt;Tvie,1-EXP((T0-t)*PertePVj)+'2028'!Pspv,1-EXP((T0-t)*PertePVj)+Pspv)</f>
        <v>3.9907390034106593E-2</v>
      </c>
      <c r="M295" s="835"/>
      <c r="N295" s="835"/>
      <c r="O295" s="48">
        <f>IF(t&lt;Tnet,'2028'!Resal+('2028'!Salim-'2028'!Resal)*(1-EXP(('2028'!Tnet-t)/('2028'!Tau_j))),Resal+(Salim-Resal)*(1-EXP((Tnet-t)/(Tau_j))))*Salcycl</f>
        <v>4.1059657625018127E-2</v>
      </c>
      <c r="P295" s="165">
        <f>(INDEX(Models!$BJ295:$BT295,,T295)*(1-R295)+INDEX(Models!$BJ295:$BT295,,T295+1)*R295-ERP_i)*Q295*Ramure*Pc/MaxiM</f>
        <v>5.3302223996586273E-5</v>
      </c>
      <c r="Q295" s="301">
        <f t="shared" si="105"/>
        <v>0.5</v>
      </c>
      <c r="R295" s="173">
        <f t="shared" si="106"/>
        <v>0.46111858012753243</v>
      </c>
      <c r="S295" s="801">
        <f t="shared" si="107"/>
        <v>0</v>
      </c>
      <c r="T295" s="172">
        <f t="shared" si="108"/>
        <v>6</v>
      </c>
      <c r="U295" s="247">
        <f t="shared" si="109"/>
        <v>0.46111858012753243</v>
      </c>
      <c r="V295" s="378">
        <f t="shared" si="110"/>
        <v>156.36197132632807</v>
      </c>
      <c r="W295" s="397">
        <f t="shared" si="111"/>
        <v>63.081541522490774</v>
      </c>
      <c r="X295" s="153">
        <f t="shared" si="112"/>
        <v>47399</v>
      </c>
      <c r="Y295" s="380">
        <f t="shared" si="113"/>
        <v>61.553220258064037</v>
      </c>
      <c r="Z295" s="380">
        <f t="shared" si="114"/>
        <v>64.111752990423156</v>
      </c>
      <c r="AA295" s="381">
        <f t="shared" si="115"/>
        <v>68.511035364079305</v>
      </c>
      <c r="AB295" s="193">
        <f t="shared" si="116"/>
        <v>47399</v>
      </c>
      <c r="AC295" s="119">
        <f>IF(OR(t&lt;Tnet,NoTnet),'2028'!Resal_s+('2028'!Salim-'2028'!Resal_s)*(1-EXP(('2028'!Tnet_s-t)/'2028'!Tau_j)),Resal_s+(Salim-Resal_s)*(1-EXP((Tnet_s-t)/Tau_j)))*Salcycl</f>
        <v>6.4212755657210727E-2</v>
      </c>
      <c r="AD295" s="227">
        <f>(INDEX(Models!$BJ295:$BT295,,AH295)*(1-AF295)+INDEX(Models!$BJ295:$BT295,,AH295+1)*AF295-ERP_i)*AE295*Ramure*Pc/MaxiM</f>
        <v>6.3063432875614105E-4</v>
      </c>
      <c r="AE295" s="301">
        <f t="shared" si="117"/>
        <v>0.5</v>
      </c>
      <c r="AF295" s="173">
        <f t="shared" si="118"/>
        <v>0.98610614650151041</v>
      </c>
      <c r="AG295" s="801">
        <f t="shared" si="124"/>
        <v>3</v>
      </c>
      <c r="AH295" s="172">
        <f t="shared" si="119"/>
        <v>9</v>
      </c>
      <c r="AI295" s="221">
        <f t="shared" si="120"/>
        <v>3.9861061465015104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47400</v>
      </c>
      <c r="B296" s="406">
        <f>'2028'!Wh/'2028'!Env_an*'2029'!Env_an</f>
        <v>148.75185833607523</v>
      </c>
      <c r="C296" s="831"/>
      <c r="D296" s="388">
        <f t="shared" si="102"/>
        <v>154.93702701998672</v>
      </c>
      <c r="E296" s="380">
        <f t="shared" si="100"/>
        <v>161.57552220017149</v>
      </c>
      <c r="F296" s="380">
        <f t="shared" si="103"/>
        <v>161.58405468510185</v>
      </c>
      <c r="G296" s="110">
        <f t="shared" si="101"/>
        <v>0.95886456561217304</v>
      </c>
      <c r="H296" s="409" t="b">
        <f>Wh_hp&gt;='2028'!Maxi_hp</f>
        <v>1</v>
      </c>
      <c r="I296" s="385">
        <f>IF(H296,Wh_hp,'2028'!Maxi_hp)</f>
        <v>161.58405468510185</v>
      </c>
      <c r="J296" s="85">
        <f>IF(H296,An,'2028'!An_max)</f>
        <v>2029</v>
      </c>
      <c r="K296" s="193">
        <f t="shared" si="104"/>
        <v>47400</v>
      </c>
      <c r="L296" s="143">
        <f>IF(t&lt;Tvie,1-EXP((T0-t)*PertePVj)+'2028'!Pspv,1-EXP((T0-t)*PertePVj)+Pspv)</f>
        <v>3.9920532895687977E-2</v>
      </c>
      <c r="M296" s="835"/>
      <c r="N296" s="835"/>
      <c r="O296" s="48">
        <f>IF(t&lt;Tnet,'2028'!Resal+('2028'!Salim-'2028'!Resal)*(1-EXP(('2028'!Tnet-t)/('2028'!Tau_j))),Resal+(Salim-Resal)*(1-EXP((Tnet-t)/(Tau_j))))*Salcycl</f>
        <v>4.1086020269583537E-2</v>
      </c>
      <c r="P296" s="165">
        <f>(INDEX(Models!$BJ296:$BT296,,T296)*(1-R296)+INDEX(Models!$BJ296:$BT296,,T296+1)*R296-ERP_i)*Q296*Ramure*Pc/MaxiM</f>
        <v>5.6101804834106814E-5</v>
      </c>
      <c r="Q296" s="301">
        <f t="shared" si="105"/>
        <v>0.5</v>
      </c>
      <c r="R296" s="173">
        <f t="shared" si="106"/>
        <v>0.46126205543819498</v>
      </c>
      <c r="S296" s="801">
        <f t="shared" si="107"/>
        <v>0</v>
      </c>
      <c r="T296" s="172">
        <f t="shared" si="108"/>
        <v>6</v>
      </c>
      <c r="U296" s="247">
        <f t="shared" si="109"/>
        <v>0.46126205543819498</v>
      </c>
      <c r="V296" s="378">
        <f t="shared" si="110"/>
        <v>155.13282404507007</v>
      </c>
      <c r="W296" s="397">
        <f t="shared" si="111"/>
        <v>148.75185833607523</v>
      </c>
      <c r="X296" s="153">
        <f t="shared" si="112"/>
        <v>47400</v>
      </c>
      <c r="Y296" s="380">
        <f t="shared" si="113"/>
        <v>145.08328241447356</v>
      </c>
      <c r="Z296" s="380">
        <f t="shared" si="114"/>
        <v>151.11591007362972</v>
      </c>
      <c r="AA296" s="381">
        <f t="shared" si="115"/>
        <v>161.48359345455992</v>
      </c>
      <c r="AB296" s="193">
        <f t="shared" si="116"/>
        <v>47400</v>
      </c>
      <c r="AC296" s="119">
        <f>IF(OR(t&lt;Tnet,NoTnet),'2028'!Resal_s+('2028'!Salim-'2028'!Resal_s)*(1-EXP(('2028'!Tnet_s-t)/'2028'!Tau_j)),Resal_s+(Salim-Resal_s)*(1-EXP((Tnet_s-t)/Tau_j)))*Salcycl</f>
        <v>6.4202704182747775E-2</v>
      </c>
      <c r="AD296" s="227">
        <f>(INDEX(Models!$BJ296:$BT296,,AH296)*(1-AF296)+INDEX(Models!$BJ296:$BT296,,AH296+1)*AF296-ERP_i)*AE296*Ramure*Pc/MaxiM</f>
        <v>6.6054102588613856E-4</v>
      </c>
      <c r="AE296" s="301">
        <f t="shared" si="117"/>
        <v>0.5</v>
      </c>
      <c r="AF296" s="173">
        <f t="shared" si="118"/>
        <v>0.98624962181217324</v>
      </c>
      <c r="AG296" s="801">
        <f t="shared" si="124"/>
        <v>3</v>
      </c>
      <c r="AH296" s="172">
        <f t="shared" si="119"/>
        <v>9</v>
      </c>
      <c r="AI296" s="221">
        <f t="shared" si="120"/>
        <v>3.9862496218121732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47401</v>
      </c>
      <c r="B297" s="406">
        <f>'2028'!Wh/'2028'!Env_an*'2029'!Env_an</f>
        <v>119.01350388870718</v>
      </c>
      <c r="C297" s="831"/>
      <c r="D297" s="388">
        <f t="shared" si="102"/>
        <v>123.96383547801061</v>
      </c>
      <c r="E297" s="380">
        <f t="shared" ref="E297:E360" si="125">Wh_pvt/(1-Psa)</f>
        <v>129.27870380931404</v>
      </c>
      <c r="F297" s="380">
        <f t="shared" si="103"/>
        <v>129.28384279715198</v>
      </c>
      <c r="G297" s="110">
        <f t="shared" ref="G297:G360" si="126">+Wh_hp/MaxiM</f>
        <v>0.77329791427048045</v>
      </c>
      <c r="H297" s="409" t="b">
        <f>Wh_hp&gt;='2028'!Maxi_hp</f>
        <v>1</v>
      </c>
      <c r="I297" s="385">
        <f>IF(H297,Wh_hp,'2028'!Maxi_hp)</f>
        <v>129.28384279715198</v>
      </c>
      <c r="J297" s="85">
        <f>IF(H297,An,'2028'!An_max)</f>
        <v>2029</v>
      </c>
      <c r="K297" s="193">
        <f t="shared" si="104"/>
        <v>47401</v>
      </c>
      <c r="L297" s="143">
        <f>IF(t&lt;Tvie,1-EXP((T0-t)*PertePVj)+'2028'!Pspv,1-EXP((T0-t)*PertePVj)+Pspv)</f>
        <v>3.993367557735461E-2</v>
      </c>
      <c r="M297" s="835"/>
      <c r="N297" s="835"/>
      <c r="O297" s="48">
        <f>IF(t&lt;Tnet,'2028'!Resal+('2028'!Salim-'2028'!Resal)*(1-EXP(('2028'!Tnet-t)/('2028'!Tau_j))),Resal+(Salim-Resal)*(1-EXP((Tnet-t)/(Tau_j))))*Salcycl</f>
        <v>4.1111708074849297E-2</v>
      </c>
      <c r="P297" s="165">
        <f>(INDEX(Models!$BJ297:$BT297,,T297)*(1-R297)+INDEX(Models!$BJ297:$BT297,,T297+1)*R297-ERP_i)*Q297*Ramure*Pc/MaxiM</f>
        <v>5.8787267973675542E-5</v>
      </c>
      <c r="Q297" s="301">
        <f t="shared" si="105"/>
        <v>0.5</v>
      </c>
      <c r="R297" s="173">
        <f t="shared" si="106"/>
        <v>0.46139983189678607</v>
      </c>
      <c r="S297" s="801">
        <f t="shared" si="107"/>
        <v>0</v>
      </c>
      <c r="T297" s="172">
        <f t="shared" si="108"/>
        <v>6</v>
      </c>
      <c r="U297" s="247">
        <f t="shared" si="109"/>
        <v>0.46139983189678607</v>
      </c>
      <c r="V297" s="378">
        <f t="shared" si="110"/>
        <v>153.90089106551366</v>
      </c>
      <c r="W297" s="397">
        <f t="shared" si="111"/>
        <v>119.01350388870718</v>
      </c>
      <c r="X297" s="153">
        <f t="shared" si="112"/>
        <v>47401</v>
      </c>
      <c r="Y297" s="380">
        <f t="shared" si="113"/>
        <v>116.09914981236551</v>
      </c>
      <c r="Z297" s="380">
        <f t="shared" si="114"/>
        <v>120.92825970349912</v>
      </c>
      <c r="AA297" s="381">
        <f t="shared" si="115"/>
        <v>129.22332513612662</v>
      </c>
      <c r="AB297" s="193">
        <f t="shared" si="116"/>
        <v>47401</v>
      </c>
      <c r="AC297" s="119">
        <f>IF(OR(t&lt;Tnet,NoTnet),'2028'!Resal_s+('2028'!Salim-'2028'!Resal_s)*(1-EXP(('2028'!Tnet_s-t)/'2028'!Tau_j)),Resal_s+(Salim-Resal_s)*(1-EXP((Tnet_s-t)/Tau_j)))*Salcycl</f>
        <v>6.4191703965900182E-2</v>
      </c>
      <c r="AD297" s="227">
        <f>(INDEX(Models!$BJ297:$BT297,,AH297)*(1-AF297)+INDEX(Models!$BJ297:$BT297,,AH297+1)*AF297-ERP_i)*AE297*Ramure*Pc/MaxiM</f>
        <v>6.9228962356478565E-4</v>
      </c>
      <c r="AE297" s="301">
        <f t="shared" si="117"/>
        <v>0.5</v>
      </c>
      <c r="AF297" s="173">
        <f t="shared" si="118"/>
        <v>0.98638739827076405</v>
      </c>
      <c r="AG297" s="801">
        <f t="shared" si="124"/>
        <v>3</v>
      </c>
      <c r="AH297" s="172">
        <f t="shared" si="119"/>
        <v>9</v>
      </c>
      <c r="AI297" s="221">
        <f t="shared" si="120"/>
        <v>3.986387398270764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47402</v>
      </c>
      <c r="B298" s="406">
        <f>'2028'!Wh/'2028'!Env_an*'2029'!Env_an</f>
        <v>91.625418994197034</v>
      </c>
      <c r="C298" s="831"/>
      <c r="D298" s="388">
        <f t="shared" si="102"/>
        <v>95.437857734996825</v>
      </c>
      <c r="E298" s="380">
        <f t="shared" si="125"/>
        <v>99.532289927049646</v>
      </c>
      <c r="F298" s="380">
        <f t="shared" si="103"/>
        <v>99.534908703912748</v>
      </c>
      <c r="G298" s="110">
        <f t="shared" si="126"/>
        <v>0.60014544070440967</v>
      </c>
      <c r="H298" s="409" t="b">
        <f>Wh_hp&gt;='2028'!Maxi_hp</f>
        <v>1</v>
      </c>
      <c r="I298" s="385">
        <f>IF(H298,Wh_hp,'2028'!Maxi_hp)</f>
        <v>99.534908703912748</v>
      </c>
      <c r="J298" s="85">
        <f>IF(H298,An,'2028'!An_max)</f>
        <v>2029</v>
      </c>
      <c r="K298" s="193">
        <f t="shared" si="104"/>
        <v>47402</v>
      </c>
      <c r="L298" s="143">
        <f>IF(t&lt;Tvie,1-EXP((T0-t)*PertePVj)+'2028'!Pspv,1-EXP((T0-t)*PertePVj)+Pspv)</f>
        <v>3.9946818079108937E-2</v>
      </c>
      <c r="M298" s="835"/>
      <c r="N298" s="835"/>
      <c r="O298" s="48">
        <f>IF(t&lt;Tnet,'2028'!Resal+('2028'!Salim-'2028'!Resal)*(1-EXP(('2028'!Tnet-t)/('2028'!Tau_j))),Resal+(Salim-Resal)*(1-EXP((Tnet-t)/(Tau_j))))*Salcycl</f>
        <v>4.1136722515414503E-2</v>
      </c>
      <c r="P298" s="165">
        <f>(INDEX(Models!$BJ298:$BT298,,T298)*(1-R298)+INDEX(Models!$BJ298:$BT298,,T298+1)*R298-ERP_i)*Q298*Ramure*Pc/MaxiM</f>
        <v>6.1356266913194861E-5</v>
      </c>
      <c r="Q298" s="301">
        <f t="shared" si="105"/>
        <v>0.5</v>
      </c>
      <c r="R298" s="173">
        <f t="shared" si="106"/>
        <v>0.46153213287015238</v>
      </c>
      <c r="S298" s="801">
        <f t="shared" si="107"/>
        <v>0</v>
      </c>
      <c r="T298" s="172">
        <f t="shared" si="108"/>
        <v>6</v>
      </c>
      <c r="U298" s="247">
        <f t="shared" si="109"/>
        <v>0.46153213287015238</v>
      </c>
      <c r="V298" s="378">
        <f t="shared" si="110"/>
        <v>152.66667307449507</v>
      </c>
      <c r="W298" s="397">
        <f t="shared" si="111"/>
        <v>91.625418994197034</v>
      </c>
      <c r="X298" s="153">
        <f t="shared" si="112"/>
        <v>47402</v>
      </c>
      <c r="Y298" s="380">
        <f t="shared" si="113"/>
        <v>89.398029140991071</v>
      </c>
      <c r="Z298" s="380">
        <f t="shared" si="114"/>
        <v>93.117788498051681</v>
      </c>
      <c r="AA298" s="381">
        <f t="shared" si="115"/>
        <v>99.503926556317239</v>
      </c>
      <c r="AB298" s="193">
        <f t="shared" si="116"/>
        <v>47402</v>
      </c>
      <c r="AC298" s="119">
        <f>IF(OR(t&lt;Tnet,NoTnet),'2028'!Resal_s+('2028'!Salim-'2028'!Resal_s)*(1-EXP(('2028'!Tnet_s-t)/'2028'!Tau_j)),Resal_s+(Salim-Resal_s)*(1-EXP((Tnet_s-t)/Tau_j)))*Salcycl</f>
        <v>6.4179759324885843E-2</v>
      </c>
      <c r="AD298" s="227">
        <f>(INDEX(Models!$BJ298:$BT298,,AH298)*(1-AF298)+INDEX(Models!$BJ298:$BT298,,AH298+1)*AF298-ERP_i)*AE298*Ramure*Pc/MaxiM</f>
        <v>7.258919017507305E-4</v>
      </c>
      <c r="AE298" s="301">
        <f t="shared" si="117"/>
        <v>0.5</v>
      </c>
      <c r="AF298" s="173">
        <f t="shared" si="118"/>
        <v>0.98651969924413052</v>
      </c>
      <c r="AG298" s="801">
        <f t="shared" si="124"/>
        <v>3</v>
      </c>
      <c r="AH298" s="172">
        <f t="shared" si="119"/>
        <v>9</v>
      </c>
      <c r="AI298" s="221">
        <f t="shared" si="120"/>
        <v>3.9865196992441305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47403</v>
      </c>
      <c r="B299" s="406">
        <f>'2028'!Wh/'2028'!Env_an*'2029'!Env_an</f>
        <v>115.08779702671832</v>
      </c>
      <c r="C299" s="831"/>
      <c r="D299" s="388">
        <f t="shared" si="102"/>
        <v>119.87812203622661</v>
      </c>
      <c r="E299" s="380">
        <f t="shared" si="125"/>
        <v>125.02425371795823</v>
      </c>
      <c r="F299" s="380">
        <f t="shared" si="103"/>
        <v>125.02949623795888</v>
      </c>
      <c r="G299" s="110">
        <f t="shared" si="126"/>
        <v>0.75998659300537708</v>
      </c>
      <c r="H299" s="409" t="b">
        <f>Wh_hp&gt;='2028'!Maxi_hp</f>
        <v>1</v>
      </c>
      <c r="I299" s="385">
        <f>IF(H299,Wh_hp,'2028'!Maxi_hp)</f>
        <v>125.02949623795888</v>
      </c>
      <c r="J299" s="85">
        <f>IF(H299,An,'2028'!An_max)</f>
        <v>2029</v>
      </c>
      <c r="K299" s="193">
        <f t="shared" si="104"/>
        <v>47403</v>
      </c>
      <c r="L299" s="143">
        <f>IF(t&lt;Tvie,1-EXP((T0-t)*PertePVj)+'2028'!Pspv,1-EXP((T0-t)*PertePVj)+Pspv)</f>
        <v>3.9959960400953509E-2</v>
      </c>
      <c r="M299" s="835"/>
      <c r="N299" s="835"/>
      <c r="O299" s="48">
        <f>IF(t&lt;Tnet,'2028'!Resal+('2028'!Salim-'2028'!Resal)*(1-EXP(('2028'!Tnet-t)/('2028'!Tau_j))),Resal+(Salim-Resal)*(1-EXP((Tnet-t)/(Tau_j))))*Salcycl</f>
        <v>4.1161066982577321E-2</v>
      </c>
      <c r="P299" s="165">
        <f>(INDEX(Models!$BJ299:$BT299,,T299)*(1-R299)+INDEX(Models!$BJ299:$BT299,,T299+1)*R299-ERP_i)*Q299*Ramure*Pc/MaxiM</f>
        <v>6.3806479499180858E-5</v>
      </c>
      <c r="Q299" s="301">
        <f t="shared" si="105"/>
        <v>0.5</v>
      </c>
      <c r="R299" s="173">
        <f t="shared" si="106"/>
        <v>0.46165917320505384</v>
      </c>
      <c r="S299" s="801">
        <f t="shared" si="107"/>
        <v>0</v>
      </c>
      <c r="T299" s="172">
        <f t="shared" si="108"/>
        <v>6</v>
      </c>
      <c r="U299" s="247">
        <f t="shared" si="109"/>
        <v>0.46165917320505384</v>
      </c>
      <c r="V299" s="378">
        <f t="shared" si="110"/>
        <v>151.43067035010424</v>
      </c>
      <c r="W299" s="397">
        <f t="shared" si="111"/>
        <v>115.08779702671832</v>
      </c>
      <c r="X299" s="153">
        <f t="shared" si="112"/>
        <v>47403</v>
      </c>
      <c r="Y299" s="380">
        <f t="shared" si="113"/>
        <v>112.27495693489195</v>
      </c>
      <c r="Z299" s="380">
        <f t="shared" si="114"/>
        <v>116.94820247474547</v>
      </c>
      <c r="AA299" s="381">
        <f t="shared" si="115"/>
        <v>124.9669408665132</v>
      </c>
      <c r="AB299" s="193">
        <f t="shared" si="116"/>
        <v>47403</v>
      </c>
      <c r="AC299" s="119">
        <f>IF(OR(t&lt;Tnet,NoTnet),'2028'!Resal_s+('2028'!Salim-'2028'!Resal_s)*(1-EXP(('2028'!Tnet_s-t)/'2028'!Tau_j)),Resal_s+(Salim-Resal_s)*(1-EXP((Tnet_s-t)/Tau_j)))*Salcycl</f>
        <v>6.4166877545103376E-2</v>
      </c>
      <c r="AD299" s="227">
        <f>(INDEX(Models!$BJ299:$BT299,,AH299)*(1-AF299)+INDEX(Models!$BJ299:$BT299,,AH299+1)*AF299-ERP_i)*AE299*Ramure*Pc/MaxiM</f>
        <v>7.6135866438752954E-4</v>
      </c>
      <c r="AE299" s="301">
        <f t="shared" si="117"/>
        <v>0.5</v>
      </c>
      <c r="AF299" s="173">
        <f t="shared" si="118"/>
        <v>0.98664673957903215</v>
      </c>
      <c r="AG299" s="801">
        <f t="shared" si="124"/>
        <v>3</v>
      </c>
      <c r="AH299" s="172">
        <f t="shared" si="119"/>
        <v>9</v>
      </c>
      <c r="AI299" s="221">
        <f t="shared" si="120"/>
        <v>3.9866467395790322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47404</v>
      </c>
      <c r="B300" s="406">
        <f>'2028'!Wh/'2028'!Env_an*'2029'!Env_an</f>
        <v>88.982933316862855</v>
      </c>
      <c r="C300" s="831"/>
      <c r="D300" s="388">
        <f t="shared" si="102"/>
        <v>92.687958590075141</v>
      </c>
      <c r="E300" s="380">
        <f t="shared" si="125"/>
        <v>96.669257488860239</v>
      </c>
      <c r="F300" s="380">
        <f t="shared" si="103"/>
        <v>96.671928636693281</v>
      </c>
      <c r="G300" s="110">
        <f t="shared" si="126"/>
        <v>0.5924329376876909</v>
      </c>
      <c r="H300" s="409" t="b">
        <f>Wh_hp&gt;='2028'!Maxi_hp</f>
        <v>1</v>
      </c>
      <c r="I300" s="385">
        <f>IF(H300,Wh_hp,'2028'!Maxi_hp)</f>
        <v>96.671928636693281</v>
      </c>
      <c r="J300" s="85">
        <f>IF(H300,An,'2028'!An_max)</f>
        <v>2029</v>
      </c>
      <c r="K300" s="193">
        <f t="shared" si="104"/>
        <v>47404</v>
      </c>
      <c r="L300" s="143">
        <f>IF(t&lt;Tvie,1-EXP((T0-t)*PertePVj)+'2028'!Pspv,1-EXP((T0-t)*PertePVj)+Pspv)</f>
        <v>3.997310254289077E-2</v>
      </c>
      <c r="M300" s="835"/>
      <c r="N300" s="835"/>
      <c r="O300" s="48">
        <f>IF(t&lt;Tnet,'2028'!Resal+('2028'!Salim-'2028'!Resal)*(1-EXP(('2028'!Tnet-t)/('2028'!Tau_j))),Resal+(Salim-Resal)*(1-EXP((Tnet-t)/(Tau_j))))*Salcycl</f>
        <v>4.1184746859609225E-2</v>
      </c>
      <c r="P300" s="165">
        <f>(INDEX(Models!$BJ300:$BT300,,T300)*(1-R300)+INDEX(Models!$BJ300:$BT300,,T300+1)*R300-ERP_i)*Q300*Ramure*Pc/MaxiM</f>
        <v>6.6135618000497744E-5</v>
      </c>
      <c r="Q300" s="301">
        <f t="shared" si="105"/>
        <v>0.5</v>
      </c>
      <c r="R300" s="173">
        <f t="shared" si="106"/>
        <v>0.46178115953464799</v>
      </c>
      <c r="S300" s="801">
        <f t="shared" si="107"/>
        <v>0</v>
      </c>
      <c r="T300" s="172">
        <f t="shared" si="108"/>
        <v>6</v>
      </c>
      <c r="U300" s="247">
        <f t="shared" si="109"/>
        <v>0.46178115953464799</v>
      </c>
      <c r="V300" s="378">
        <f t="shared" si="110"/>
        <v>150.19338276656373</v>
      </c>
      <c r="W300" s="397">
        <f t="shared" si="111"/>
        <v>88.982933316862855</v>
      </c>
      <c r="X300" s="153">
        <f t="shared" si="112"/>
        <v>47404</v>
      </c>
      <c r="Y300" s="380">
        <f t="shared" si="113"/>
        <v>86.824773642504823</v>
      </c>
      <c r="Z300" s="380">
        <f t="shared" si="114"/>
        <v>90.43993858139153</v>
      </c>
      <c r="AA300" s="381">
        <f t="shared" si="115"/>
        <v>96.639669997398215</v>
      </c>
      <c r="AB300" s="193">
        <f t="shared" si="116"/>
        <v>47404</v>
      </c>
      <c r="AC300" s="119">
        <f>IF(OR(t&lt;Tnet,NoTnet),'2028'!Resal_s+('2028'!Salim-'2028'!Resal_s)*(1-EXP(('2028'!Tnet_s-t)/'2028'!Tau_j)),Resal_s+(Salim-Resal_s)*(1-EXP((Tnet_s-t)/Tau_j)))*Salcycl</f>
        <v>6.415306898475126E-2</v>
      </c>
      <c r="AD300" s="227">
        <f>(INDEX(Models!$BJ300:$BT300,,AH300)*(1-AF300)+INDEX(Models!$BJ300:$BT300,,AH300+1)*AF300-ERP_i)*AE300*Ramure*Pc/MaxiM</f>
        <v>7.9869972722453508E-4</v>
      </c>
      <c r="AE300" s="301">
        <f t="shared" si="117"/>
        <v>0.5</v>
      </c>
      <c r="AF300" s="173">
        <f t="shared" si="118"/>
        <v>0.98676872590862619</v>
      </c>
      <c r="AG300" s="801">
        <f t="shared" si="124"/>
        <v>3</v>
      </c>
      <c r="AH300" s="172">
        <f t="shared" si="119"/>
        <v>9</v>
      </c>
      <c r="AI300" s="221">
        <f t="shared" si="120"/>
        <v>3.9867687259086262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47405</v>
      </c>
      <c r="B301" s="406">
        <f>'2028'!Wh/'2028'!Env_an*'2029'!Env_an</f>
        <v>79.304804110108208</v>
      </c>
      <c r="C301" s="831"/>
      <c r="D301" s="388">
        <f t="shared" si="102"/>
        <v>82.607987287860155</v>
      </c>
      <c r="E301" s="380">
        <f t="shared" si="125"/>
        <v>86.158382043108418</v>
      </c>
      <c r="F301" s="380">
        <f t="shared" si="103"/>
        <v>86.160337022132481</v>
      </c>
      <c r="G301" s="110">
        <f t="shared" si="126"/>
        <v>0.53238238877629496</v>
      </c>
      <c r="H301" s="409" t="b">
        <f>Wh_hp&gt;='2028'!Maxi_hp</f>
        <v>1</v>
      </c>
      <c r="I301" s="385">
        <f>IF(H301,Wh_hp,'2028'!Maxi_hp)</f>
        <v>86.160337022132481</v>
      </c>
      <c r="J301" s="85">
        <f>IF(H301,An,'2028'!An_max)</f>
        <v>2029</v>
      </c>
      <c r="K301" s="193">
        <f t="shared" si="104"/>
        <v>47405</v>
      </c>
      <c r="L301" s="143">
        <f>IF(t&lt;Tvie,1-EXP((T0-t)*PertePVj)+'2028'!Pspv,1-EXP((T0-t)*PertePVj)+Pspv)</f>
        <v>3.9986244504923052E-2</v>
      </c>
      <c r="M301" s="835"/>
      <c r="N301" s="835"/>
      <c r="O301" s="48">
        <f>IF(t&lt;Tnet,'2028'!Resal+('2028'!Salim-'2028'!Resal)*(1-EXP(('2028'!Tnet-t)/('2028'!Tau_j))),Resal+(Salim-Resal)*(1-EXP((Tnet-t)/(Tau_j))))*Salcycl</f>
        <v>4.1207769587314931E-2</v>
      </c>
      <c r="P301" s="165">
        <f>(INDEX(Models!$BJ301:$BT301,,T301)*(1-R301)+INDEX(Models!$BJ301:$BT301,,T301+1)*R301-ERP_i)*Q301*Ramure*Pc/MaxiM</f>
        <v>6.8341439024272057E-5</v>
      </c>
      <c r="Q301" s="301">
        <f t="shared" si="105"/>
        <v>0.5</v>
      </c>
      <c r="R301" s="173">
        <f t="shared" si="106"/>
        <v>0.4618982905754288</v>
      </c>
      <c r="S301" s="801">
        <f t="shared" si="107"/>
        <v>0</v>
      </c>
      <c r="T301" s="172">
        <f t="shared" si="108"/>
        <v>6</v>
      </c>
      <c r="U301" s="247">
        <f t="shared" si="109"/>
        <v>0.4618982905754288</v>
      </c>
      <c r="V301" s="378">
        <f t="shared" si="110"/>
        <v>148.9553097966058</v>
      </c>
      <c r="W301" s="397">
        <f t="shared" si="111"/>
        <v>79.304804110108208</v>
      </c>
      <c r="X301" s="153">
        <f t="shared" si="112"/>
        <v>47405</v>
      </c>
      <c r="Y301" s="380">
        <f t="shared" si="113"/>
        <v>77.388363023245432</v>
      </c>
      <c r="Z301" s="380">
        <f t="shared" si="114"/>
        <v>80.611723092797178</v>
      </c>
      <c r="AA301" s="381">
        <f t="shared" si="115"/>
        <v>86.136367323728805</v>
      </c>
      <c r="AB301" s="193">
        <f t="shared" si="116"/>
        <v>47405</v>
      </c>
      <c r="AC301" s="119">
        <f>IF(OR(t&lt;Tnet,NoTnet),'2028'!Resal_s+('2028'!Salim-'2028'!Resal_s)*(1-EXP(('2028'!Tnet_s-t)/'2028'!Tau_j)),Resal_s+(Salim-Resal_s)*(1-EXP((Tnet_s-t)/Tau_j)))*Salcycl</f>
        <v>6.4138347164887949E-2</v>
      </c>
      <c r="AD301" s="227">
        <f>(INDEX(Models!$BJ301:$BT301,,AH301)*(1-AF301)+INDEX(Models!$BJ301:$BT301,,AH301+1)*AF301-ERP_i)*AE301*Ramure*Pc/MaxiM</f>
        <v>8.3792391719642598E-4</v>
      </c>
      <c r="AE301" s="301">
        <f t="shared" si="117"/>
        <v>0.5</v>
      </c>
      <c r="AF301" s="173">
        <f t="shared" si="118"/>
        <v>0.986885856949407</v>
      </c>
      <c r="AG301" s="801">
        <f t="shared" si="124"/>
        <v>3</v>
      </c>
      <c r="AH301" s="172">
        <f t="shared" si="119"/>
        <v>9</v>
      </c>
      <c r="AI301" s="221">
        <f t="shared" si="120"/>
        <v>3.986885856949407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47406</v>
      </c>
      <c r="B302" s="406">
        <f>'2028'!Wh/'2028'!Env_an*'2029'!Env_an</f>
        <v>144.87298132777704</v>
      </c>
      <c r="C302" s="831"/>
      <c r="D302" s="388">
        <f t="shared" si="102"/>
        <v>150.90925907584469</v>
      </c>
      <c r="E302" s="380">
        <f t="shared" si="125"/>
        <v>157.39883585682833</v>
      </c>
      <c r="F302" s="380">
        <f t="shared" si="103"/>
        <v>157.40961603397284</v>
      </c>
      <c r="G302" s="110">
        <f t="shared" si="126"/>
        <v>0.98074527123742983</v>
      </c>
      <c r="H302" s="409" t="b">
        <f>Wh_hp&gt;='2028'!Maxi_hp</f>
        <v>1</v>
      </c>
      <c r="I302" s="385">
        <f>IF(H302,Wh_hp,'2028'!Maxi_hp)</f>
        <v>157.40961603397284</v>
      </c>
      <c r="J302" s="85">
        <f>IF(H302,An,'2028'!An_max)</f>
        <v>2029</v>
      </c>
      <c r="K302" s="193">
        <f t="shared" si="104"/>
        <v>47406</v>
      </c>
      <c r="L302" s="143">
        <f>IF(t&lt;Tvie,1-EXP((T0-t)*PertePVj)+'2028'!Pspv,1-EXP((T0-t)*PertePVj)+Pspv)</f>
        <v>3.9999386287052907E-2</v>
      </c>
      <c r="M302" s="835"/>
      <c r="N302" s="835"/>
      <c r="O302" s="48">
        <f>IF(t&lt;Tnet,'2028'!Resal+('2028'!Salim-'2028'!Resal)*(1-EXP(('2028'!Tnet-t)/('2028'!Tau_j))),Resal+(Salim-Resal)*(1-EXP((Tnet-t)/(Tau_j))))*Salcycl</f>
        <v>4.1230144719028451E-2</v>
      </c>
      <c r="P302" s="165">
        <f>(INDEX(Models!$BJ302:$BT302,,T302)*(1-R302)+INDEX(Models!$BJ302:$BT302,,T302+1)*R302-ERP_i)*Q302*Ramure*Pc/MaxiM</f>
        <v>7.0421753161434053E-5</v>
      </c>
      <c r="Q302" s="301">
        <f t="shared" si="105"/>
        <v>0.5</v>
      </c>
      <c r="R302" s="173">
        <f t="shared" si="106"/>
        <v>0.4620107574147948</v>
      </c>
      <c r="S302" s="801">
        <f t="shared" si="107"/>
        <v>0</v>
      </c>
      <c r="T302" s="172">
        <f t="shared" si="108"/>
        <v>6</v>
      </c>
      <c r="U302" s="247">
        <f t="shared" si="109"/>
        <v>0.4620107574147948</v>
      </c>
      <c r="V302" s="378">
        <f t="shared" si="110"/>
        <v>147.71695052251505</v>
      </c>
      <c r="W302" s="397">
        <f t="shared" si="111"/>
        <v>144.87298132777704</v>
      </c>
      <c r="X302" s="153">
        <f t="shared" si="112"/>
        <v>47406</v>
      </c>
      <c r="Y302" s="380">
        <f t="shared" si="113"/>
        <v>141.30263144653929</v>
      </c>
      <c r="Z302" s="380">
        <f t="shared" si="114"/>
        <v>147.19014699379207</v>
      </c>
      <c r="AA302" s="381">
        <f t="shared" si="115"/>
        <v>157.27505254164117</v>
      </c>
      <c r="AB302" s="193">
        <f t="shared" si="116"/>
        <v>47406</v>
      </c>
      <c r="AC302" s="119">
        <f>IF(OR(t&lt;Tnet,NoTnet),'2028'!Resal_s+('2028'!Salim-'2028'!Resal_s)*(1-EXP(('2028'!Tnet_s-t)/'2028'!Tau_j)),Resal_s+(Salim-Resal_s)*(1-EXP((Tnet_s-t)/Tau_j)))*Salcycl</f>
        <v>6.4122728842700358E-2</v>
      </c>
      <c r="AD302" s="227">
        <f>(INDEX(Models!$BJ302:$BT302,,AH302)*(1-AF302)+INDEX(Models!$BJ302:$BT302,,AH302+1)*AF302-ERP_i)*AE302*Ramure*Pc/MaxiM</f>
        <v>8.790390839123021E-4</v>
      </c>
      <c r="AE302" s="301">
        <f t="shared" si="117"/>
        <v>0.5</v>
      </c>
      <c r="AF302" s="173">
        <f t="shared" si="118"/>
        <v>0.98699832378877295</v>
      </c>
      <c r="AG302" s="801">
        <f t="shared" si="124"/>
        <v>3</v>
      </c>
      <c r="AH302" s="172">
        <f t="shared" si="119"/>
        <v>9</v>
      </c>
      <c r="AI302" s="221">
        <f t="shared" si="120"/>
        <v>3.9869983237887729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47407</v>
      </c>
      <c r="B303" s="406">
        <f>'2028'!Wh/'2028'!Env_an*'2029'!Env_an</f>
        <v>129.89191521108185</v>
      </c>
      <c r="C303" s="831"/>
      <c r="D303" s="388">
        <f t="shared" si="102"/>
        <v>135.30584407053718</v>
      </c>
      <c r="E303" s="380">
        <f t="shared" si="125"/>
        <v>141.12762445886659</v>
      </c>
      <c r="F303" s="380">
        <f t="shared" si="103"/>
        <v>141.13618721344673</v>
      </c>
      <c r="G303" s="110">
        <f t="shared" si="126"/>
        <v>0.88677296735445155</v>
      </c>
      <c r="H303" s="409" t="b">
        <f>Wh_hp&gt;='2028'!Maxi_hp</f>
        <v>1</v>
      </c>
      <c r="I303" s="385">
        <f>IF(H303,Wh_hp,'2028'!Maxi_hp)</f>
        <v>141.13618721344673</v>
      </c>
      <c r="J303" s="85">
        <f>IF(H303,An,'2028'!An_max)</f>
        <v>2029</v>
      </c>
      <c r="K303" s="193">
        <f t="shared" si="104"/>
        <v>47407</v>
      </c>
      <c r="L303" s="143">
        <f>IF(t&lt;Tvie,1-EXP((T0-t)*PertePVj)+'2028'!Pspv,1-EXP((T0-t)*PertePVj)+Pspv)</f>
        <v>4.001252788928289E-2</v>
      </c>
      <c r="M303" s="835"/>
      <c r="N303" s="835"/>
      <c r="O303" s="48">
        <f>IF(t&lt;Tnet,'2028'!Resal+('2028'!Salim-'2028'!Resal)*(1-EXP(('2028'!Tnet-t)/('2028'!Tau_j))),Resal+(Salim-Resal)*(1-EXP((Tnet-t)/(Tau_j))))*Salcycl</f>
        <v>4.1251883964264137E-2</v>
      </c>
      <c r="P303" s="165">
        <f>(INDEX(Models!$BJ303:$BT303,,T303)*(1-R303)+INDEX(Models!$BJ303:$BT303,,T303+1)*R303-ERP_i)*Q303*Ramure*Pc/MaxiM</f>
        <v>7.2376132890678753E-5</v>
      </c>
      <c r="Q303" s="301">
        <f t="shared" si="105"/>
        <v>0.5</v>
      </c>
      <c r="R303" s="173">
        <f t="shared" si="106"/>
        <v>0.4621187437894278</v>
      </c>
      <c r="S303" s="801">
        <f t="shared" si="107"/>
        <v>0</v>
      </c>
      <c r="T303" s="172">
        <f t="shared" si="108"/>
        <v>6</v>
      </c>
      <c r="U303" s="247">
        <f t="shared" si="109"/>
        <v>0.4621187437894278</v>
      </c>
      <c r="V303" s="378">
        <f t="shared" si="110"/>
        <v>146.47536561094597</v>
      </c>
      <c r="W303" s="397">
        <f t="shared" si="111"/>
        <v>129.89191521108185</v>
      </c>
      <c r="X303" s="153">
        <f t="shared" si="112"/>
        <v>47407</v>
      </c>
      <c r="Y303" s="380">
        <f t="shared" si="113"/>
        <v>126.70527261508224</v>
      </c>
      <c r="Z303" s="380">
        <f t="shared" si="114"/>
        <v>131.98638138109899</v>
      </c>
      <c r="AA303" s="381">
        <f t="shared" si="115"/>
        <v>141.02709750342348</v>
      </c>
      <c r="AB303" s="193">
        <f t="shared" si="116"/>
        <v>47407</v>
      </c>
      <c r="AC303" s="119">
        <f>IF(OR(t&lt;Tnet,NoTnet),'2028'!Resal_s+('2028'!Salim-'2028'!Resal_s)*(1-EXP(('2028'!Tnet_s-t)/'2028'!Tau_j)),Resal_s+(Salim-Resal_s)*(1-EXP((Tnet_s-t)/Tau_j)))*Salcycl</f>
        <v>6.4106234066860932E-2</v>
      </c>
      <c r="AD303" s="227">
        <f>(INDEX(Models!$BJ303:$BT303,,AH303)*(1-AF303)+INDEX(Models!$BJ303:$BT303,,AH303+1)*AF303-ERP_i)*AE303*Ramure*Pc/MaxiM</f>
        <v>9.2207376443573989E-4</v>
      </c>
      <c r="AE303" s="301">
        <f t="shared" si="117"/>
        <v>0.5</v>
      </c>
      <c r="AF303" s="173">
        <f t="shared" si="118"/>
        <v>0.98710631016340589</v>
      </c>
      <c r="AG303" s="801">
        <f t="shared" si="124"/>
        <v>3</v>
      </c>
      <c r="AH303" s="172">
        <f t="shared" si="119"/>
        <v>9</v>
      </c>
      <c r="AI303" s="221">
        <f t="shared" si="120"/>
        <v>3.9871063101634059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47408</v>
      </c>
      <c r="B304" s="406">
        <f>'2028'!Wh/'2028'!Env_an*'2029'!Env_an</f>
        <v>83.243090872934985</v>
      </c>
      <c r="C304" s="831"/>
      <c r="D304" s="388">
        <f t="shared" si="102"/>
        <v>86.713871623257347</v>
      </c>
      <c r="E304" s="380">
        <f t="shared" si="125"/>
        <v>90.4468860620713</v>
      </c>
      <c r="F304" s="380">
        <f t="shared" si="103"/>
        <v>90.449542221699417</v>
      </c>
      <c r="G304" s="110">
        <f t="shared" si="126"/>
        <v>0.57316348252445859</v>
      </c>
      <c r="H304" s="409" t="b">
        <f>Wh_hp&gt;='2028'!Maxi_hp</f>
        <v>1</v>
      </c>
      <c r="I304" s="385">
        <f>IF(H304,Wh_hp,'2028'!Maxi_hp)</f>
        <v>90.449542221699417</v>
      </c>
      <c r="J304" s="85">
        <f>IF(H304,An,'2028'!An_max)</f>
        <v>2029</v>
      </c>
      <c r="K304" s="193">
        <f t="shared" si="104"/>
        <v>47408</v>
      </c>
      <c r="L304" s="143">
        <f>IF(t&lt;Tvie,1-EXP((T0-t)*PertePVj)+'2028'!Pspv,1-EXP((T0-t)*PertePVj)+Pspv)</f>
        <v>4.0025669311615331E-2</v>
      </c>
      <c r="M304" s="835"/>
      <c r="N304" s="835"/>
      <c r="O304" s="48">
        <f>IF(t&lt;Tnet,'2028'!Resal+('2028'!Salim-'2028'!Resal)*(1-EXP(('2028'!Tnet-t)/('2028'!Tau_j))),Resal+(Salim-Resal)*(1-EXP((Tnet-t)/(Tau_j))))*Salcycl</f>
        <v>4.1273001220319357E-2</v>
      </c>
      <c r="P304" s="165">
        <f>(INDEX(Models!$BJ304:$BT304,,T304)*(1-R304)+INDEX(Models!$BJ304:$BT304,,T304+1)*R304-ERP_i)*Q304*Ramure*Pc/MaxiM</f>
        <v>7.5245648309151672E-5</v>
      </c>
      <c r="Q304" s="301">
        <f t="shared" si="105"/>
        <v>0.5</v>
      </c>
      <c r="R304" s="173">
        <f t="shared" si="106"/>
        <v>0.46222242635467264</v>
      </c>
      <c r="S304" s="801">
        <f t="shared" si="107"/>
        <v>0</v>
      </c>
      <c r="T304" s="172">
        <f t="shared" si="108"/>
        <v>6</v>
      </c>
      <c r="U304" s="247">
        <f t="shared" si="109"/>
        <v>0.46222242635467264</v>
      </c>
      <c r="V304" s="378">
        <f t="shared" si="110"/>
        <v>145.2278000114913</v>
      </c>
      <c r="W304" s="397">
        <f t="shared" si="111"/>
        <v>83.243090872934985</v>
      </c>
      <c r="X304" s="153">
        <f t="shared" si="112"/>
        <v>47408</v>
      </c>
      <c r="Y304" s="380">
        <f t="shared" si="113"/>
        <v>81.233518475213103</v>
      </c>
      <c r="Z304" s="380">
        <f t="shared" si="114"/>
        <v>84.620511068209126</v>
      </c>
      <c r="AA304" s="381">
        <f t="shared" si="115"/>
        <v>90.4151150913208</v>
      </c>
      <c r="AB304" s="193">
        <f t="shared" si="116"/>
        <v>47408</v>
      </c>
      <c r="AC304" s="119">
        <f>IF(OR(t&lt;Tnet,NoTnet),'2028'!Resal_s+('2028'!Salim-'2028'!Resal_s)*(1-EXP(('2028'!Tnet_s-t)/'2028'!Tau_j)),Resal_s+(Salim-Resal_s)*(1-EXP((Tnet_s-t)/Tau_j)))*Salcycl</f>
        <v>6.4088886213981233E-2</v>
      </c>
      <c r="AD304" s="227">
        <f>(INDEX(Models!$BJ304:$BT304,,AH304)*(1-AF304)+INDEX(Models!$BJ304:$BT304,,AH304+1)*AF304-ERP_i)*AE304*Ramure*Pc/MaxiM</f>
        <v>9.752771321959819E-4</v>
      </c>
      <c r="AE304" s="301">
        <f t="shared" si="117"/>
        <v>0.5</v>
      </c>
      <c r="AF304" s="173">
        <f t="shared" si="118"/>
        <v>0.98720999272865084</v>
      </c>
      <c r="AG304" s="801">
        <f t="shared" si="124"/>
        <v>3</v>
      </c>
      <c r="AH304" s="172">
        <f t="shared" si="119"/>
        <v>9</v>
      </c>
      <c r="AI304" s="221">
        <f t="shared" si="120"/>
        <v>3.9872099927286508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47409</v>
      </c>
      <c r="B305" s="406">
        <f>'2028'!Wh/'2028'!Env_an*'2029'!Env_an</f>
        <v>132.8994803628581</v>
      </c>
      <c r="C305" s="831"/>
      <c r="D305" s="388">
        <f t="shared" si="102"/>
        <v>138.44255561994393</v>
      </c>
      <c r="E305" s="380">
        <f t="shared" si="125"/>
        <v>144.40556879314462</v>
      </c>
      <c r="F305" s="380">
        <f t="shared" si="103"/>
        <v>144.41572444095902</v>
      </c>
      <c r="G305" s="110">
        <f t="shared" si="126"/>
        <v>0.92306361398737657</v>
      </c>
      <c r="H305" s="409" t="b">
        <f>Wh_hp&gt;='2028'!Maxi_hp</f>
        <v>1</v>
      </c>
      <c r="I305" s="385">
        <f>IF(H305,Wh_hp,'2028'!Maxi_hp)</f>
        <v>144.41572444095902</v>
      </c>
      <c r="J305" s="85">
        <f>IF(H305,An,'2028'!An_max)</f>
        <v>2029</v>
      </c>
      <c r="K305" s="193">
        <f t="shared" si="104"/>
        <v>47409</v>
      </c>
      <c r="L305" s="143">
        <f>IF(t&lt;Tvie,1-EXP((T0-t)*PertePVj)+'2028'!Pspv,1-EXP((T0-t)*PertePVj)+Pspv)</f>
        <v>4.0038810554052673E-2</v>
      </c>
      <c r="M305" s="835"/>
      <c r="N305" s="835"/>
      <c r="O305" s="48">
        <f>IF(t&lt;Tnet,'2028'!Resal+('2028'!Salim-'2028'!Resal)*(1-EXP(('2028'!Tnet-t)/('2028'!Tau_j))),Resal+(Salim-Resal)*(1-EXP((Tnet-t)/(Tau_j))))*Salcycl</f>
        <v>4.1293512591210987E-2</v>
      </c>
      <c r="P305" s="165">
        <f>(INDEX(Models!$BJ305:$BT305,,T305)*(1-R305)+INDEX(Models!$BJ305:$BT305,,T305+1)*R305-ERP_i)*Q305*Ramure*Pc/MaxiM</f>
        <v>7.9004751602659265E-5</v>
      </c>
      <c r="Q305" s="301">
        <f t="shared" si="105"/>
        <v>0.5</v>
      </c>
      <c r="R305" s="173">
        <f t="shared" si="106"/>
        <v>0.46232197494511312</v>
      </c>
      <c r="S305" s="801">
        <f t="shared" si="107"/>
        <v>0</v>
      </c>
      <c r="T305" s="172">
        <f t="shared" si="108"/>
        <v>6</v>
      </c>
      <c r="U305" s="247">
        <f t="shared" si="109"/>
        <v>0.46232197494511312</v>
      </c>
      <c r="V305" s="378">
        <f t="shared" si="110"/>
        <v>143.97526278398195</v>
      </c>
      <c r="W305" s="397">
        <f t="shared" si="111"/>
        <v>132.8994803628581</v>
      </c>
      <c r="X305" s="153">
        <f t="shared" si="112"/>
        <v>47409</v>
      </c>
      <c r="Y305" s="380">
        <f t="shared" si="113"/>
        <v>129.6311429290611</v>
      </c>
      <c r="Z305" s="380">
        <f t="shared" si="114"/>
        <v>135.03789981746993</v>
      </c>
      <c r="AA305" s="381">
        <f t="shared" si="115"/>
        <v>144.28216057518623</v>
      </c>
      <c r="AB305" s="193">
        <f t="shared" si="116"/>
        <v>47409</v>
      </c>
      <c r="AC305" s="119">
        <f>IF(OR(t&lt;Tnet,NoTnet),'2028'!Resal_s+('2028'!Salim-'2028'!Resal_s)*(1-EXP(('2028'!Tnet_s-t)/'2028'!Tau_j)),Resal_s+(Salim-Resal_s)*(1-EXP((Tnet_s-t)/Tau_j)))*Salcycl</f>
        <v>6.4070712005307451E-2</v>
      </c>
      <c r="AD305" s="227">
        <f>(INDEX(Models!$BJ305:$BT305,,AH305)*(1-AF305)+INDEX(Models!$BJ305:$BT305,,AH305+1)*AF305-ERP_i)*AE305*Ramure*Pc/MaxiM</f>
        <v>1.039045487922411E-3</v>
      </c>
      <c r="AE305" s="301">
        <f t="shared" si="117"/>
        <v>0.5</v>
      </c>
      <c r="AF305" s="173">
        <f t="shared" si="118"/>
        <v>0.9873095413190911</v>
      </c>
      <c r="AG305" s="801">
        <f t="shared" si="124"/>
        <v>3</v>
      </c>
      <c r="AH305" s="172">
        <f t="shared" si="119"/>
        <v>9</v>
      </c>
      <c r="AI305" s="221">
        <f t="shared" si="120"/>
        <v>3.9873095413190911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47410</v>
      </c>
      <c r="B306" s="406">
        <f>'2028'!Wh/'2028'!Env_an*'2029'!Env_an</f>
        <v>58.662546376770273</v>
      </c>
      <c r="C306" s="831"/>
      <c r="D306" s="388">
        <f t="shared" si="102"/>
        <v>61.110126194392244</v>
      </c>
      <c r="E306" s="380">
        <f t="shared" si="125"/>
        <v>63.743593072271622</v>
      </c>
      <c r="F306" s="380">
        <f t="shared" si="103"/>
        <v>63.744439004631843</v>
      </c>
      <c r="G306" s="110">
        <f t="shared" si="126"/>
        <v>0.41100706014757665</v>
      </c>
      <c r="H306" s="409" t="b">
        <f>Wh_hp&gt;='2028'!Maxi_hp</f>
        <v>1</v>
      </c>
      <c r="I306" s="385">
        <f>IF(H306,Wh_hp,'2028'!Maxi_hp)</f>
        <v>63.744439004631843</v>
      </c>
      <c r="J306" s="85">
        <f>IF(H306,An,'2028'!An_max)</f>
        <v>2029</v>
      </c>
      <c r="K306" s="193">
        <f t="shared" si="104"/>
        <v>47410</v>
      </c>
      <c r="L306" s="143">
        <f>IF(t&lt;Tvie,1-EXP((T0-t)*PertePVj)+'2028'!Pspv,1-EXP((T0-t)*PertePVj)+Pspv)</f>
        <v>4.0051951616597581E-2</v>
      </c>
      <c r="M306" s="835"/>
      <c r="N306" s="835"/>
      <c r="O306" s="48">
        <f>IF(t&lt;Tnet,'2028'!Resal+('2028'!Salim-'2028'!Resal)*(1-EXP(('2028'!Tnet-t)/('2028'!Tau_j))),Resal+(Salim-Resal)*(1-EXP((Tnet-t)/(Tau_j))))*Salcycl</f>
        <v>4.131343639342052E-2</v>
      </c>
      <c r="P306" s="165">
        <f>(INDEX(Models!$BJ306:$BT306,,T306)*(1-R306)+INDEX(Models!$BJ306:$BT306,,T306+1)*R306-ERP_i)*Q306*Ramure*Pc/MaxiM</f>
        <v>8.36618745435614E-5</v>
      </c>
      <c r="Q306" s="301">
        <f t="shared" si="105"/>
        <v>0.5</v>
      </c>
      <c r="R306" s="173">
        <f t="shared" si="106"/>
        <v>0.46241755282654323</v>
      </c>
      <c r="S306" s="801">
        <f t="shared" si="107"/>
        <v>0</v>
      </c>
      <c r="T306" s="172">
        <f t="shared" si="108"/>
        <v>6</v>
      </c>
      <c r="U306" s="247">
        <f t="shared" si="109"/>
        <v>0.46241755282654323</v>
      </c>
      <c r="V306" s="378">
        <f t="shared" si="110"/>
        <v>142.71875761569154</v>
      </c>
      <c r="W306" s="397">
        <f t="shared" si="111"/>
        <v>58.662546376770273</v>
      </c>
      <c r="X306" s="153">
        <f t="shared" si="112"/>
        <v>47410</v>
      </c>
      <c r="Y306" s="380">
        <f t="shared" si="113"/>
        <v>57.261821820941172</v>
      </c>
      <c r="Z306" s="380">
        <f t="shared" si="114"/>
        <v>59.65095915072984</v>
      </c>
      <c r="AA306" s="381">
        <f t="shared" si="115"/>
        <v>63.73318034323583</v>
      </c>
      <c r="AB306" s="193">
        <f t="shared" si="116"/>
        <v>47410</v>
      </c>
      <c r="AC306" s="119">
        <f>IF(OR(t&lt;Tnet,NoTnet),'2028'!Resal_s+('2028'!Salim-'2028'!Resal_s)*(1-EXP(('2028'!Tnet_s-t)/'2028'!Tau_j)),Resal_s+(Salim-Resal_s)*(1-EXP((Tnet_s-t)/Tau_j)))*Salcycl</f>
        <v>6.4051741502952494E-2</v>
      </c>
      <c r="AD306" s="227">
        <f>(INDEX(Models!$BJ306:$BT306,,AH306)*(1-AF306)+INDEX(Models!$BJ306:$BT306,,AH306+1)*AF306-ERP_i)*AE306*Ramure*Pc/MaxiM</f>
        <v>1.1134704871573295E-3</v>
      </c>
      <c r="AE306" s="301">
        <f t="shared" si="117"/>
        <v>0.5</v>
      </c>
      <c r="AF306" s="173">
        <f t="shared" si="118"/>
        <v>0.98740511920052132</v>
      </c>
      <c r="AG306" s="801">
        <f t="shared" si="124"/>
        <v>3</v>
      </c>
      <c r="AH306" s="172">
        <f t="shared" si="119"/>
        <v>9</v>
      </c>
      <c r="AI306" s="221">
        <f t="shared" si="120"/>
        <v>3.9874051192005213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47411</v>
      </c>
      <c r="B307" s="406">
        <f>'2028'!Wh/'2028'!Env_an*'2029'!Env_an</f>
        <v>37.333096024845659</v>
      </c>
      <c r="C307" s="831"/>
      <c r="D307" s="388">
        <f t="shared" si="102"/>
        <v>38.891278703516235</v>
      </c>
      <c r="E307" s="380">
        <f t="shared" si="125"/>
        <v>40.56807036429818</v>
      </c>
      <c r="F307" s="380">
        <f t="shared" si="103"/>
        <v>40.56807036429818</v>
      </c>
      <c r="G307" s="110">
        <f t="shared" si="126"/>
        <v>0.26389051951204057</v>
      </c>
      <c r="H307" s="409" t="b">
        <f>Wh_hp&gt;='2028'!Maxi_hp</f>
        <v>1</v>
      </c>
      <c r="I307" s="385">
        <f>IF(H307,Wh_hp,'2028'!Maxi_hp)</f>
        <v>40.56807036429818</v>
      </c>
      <c r="J307" s="85">
        <f>IF(H307,An,'2028'!An_max)</f>
        <v>2029</v>
      </c>
      <c r="K307" s="193">
        <f t="shared" si="104"/>
        <v>47411</v>
      </c>
      <c r="L307" s="143">
        <f>IF(t&lt;Tvie,1-EXP((T0-t)*PertePVj)+'2028'!Pspv,1-EXP((T0-t)*PertePVj)+Pspv)</f>
        <v>4.0065092499252275E-2</v>
      </c>
      <c r="M307" s="835"/>
      <c r="N307" s="835"/>
      <c r="O307" s="48">
        <f>IF(t&lt;Tnet,'2028'!Resal+('2028'!Salim-'2028'!Resal)*(1-EXP(('2028'!Tnet-t)/('2028'!Tau_j))),Resal+(Salim-Resal)*(1-EXP((Tnet-t)/(Tau_j))))*Salcycl</f>
        <v>4.1332793148022212E-2</v>
      </c>
      <c r="P307" s="165">
        <f>(INDEX(Models!$BJ307:$BT307,,T307)*(1-R307)+INDEX(Models!$BJ307:$BT307,,T307+1)*R307-ERP_i)*Q307*Ramure*Pc/MaxiM</f>
        <v>8.9225176637440162E-5</v>
      </c>
      <c r="Q307" s="301">
        <f t="shared" si="105"/>
        <v>0.5</v>
      </c>
      <c r="R307" s="173">
        <f t="shared" si="106"/>
        <v>0.46250931693953662</v>
      </c>
      <c r="S307" s="801">
        <f t="shared" si="107"/>
        <v>0</v>
      </c>
      <c r="T307" s="172">
        <f t="shared" si="108"/>
        <v>6</v>
      </c>
      <c r="U307" s="247">
        <f t="shared" si="109"/>
        <v>0.46250931693953662</v>
      </c>
      <c r="V307" s="378">
        <f t="shared" si="110"/>
        <v>141.45928789630187</v>
      </c>
      <c r="W307" s="397">
        <f t="shared" si="111"/>
        <v>37.333096024845659</v>
      </c>
      <c r="X307" s="153">
        <f t="shared" si="112"/>
        <v>47411</v>
      </c>
      <c r="Y307" s="380">
        <f t="shared" si="113"/>
        <v>36.44912715131143</v>
      </c>
      <c r="Z307" s="380">
        <f t="shared" si="114"/>
        <v>37.970415354733873</v>
      </c>
      <c r="AA307" s="381">
        <f t="shared" si="115"/>
        <v>40.56807036429818</v>
      </c>
      <c r="AB307" s="193">
        <f t="shared" si="116"/>
        <v>47411</v>
      </c>
      <c r="AC307" s="119">
        <f>IF(OR(t&lt;Tnet,NoTnet),'2028'!Resal_s+('2028'!Salim-'2028'!Resal_s)*(1-EXP(('2028'!Tnet_s-t)/'2028'!Tau_j)),Resal_s+(Salim-Resal_s)*(1-EXP((Tnet_s-t)/Tau_j)))*Salcycl</f>
        <v>6.4032008085116304E-2</v>
      </c>
      <c r="AD307" s="227">
        <f>(INDEX(Models!$BJ307:$BT307,,AH307)*(1-AF307)+INDEX(Models!$BJ307:$BT307,,AH307+1)*AF307-ERP_i)*AE307*Ramure*Pc/MaxiM</f>
        <v>1.1986406523243193E-3</v>
      </c>
      <c r="AE307" s="301">
        <f t="shared" si="117"/>
        <v>0.5</v>
      </c>
      <c r="AF307" s="173">
        <f t="shared" si="118"/>
        <v>0.98749688331351493</v>
      </c>
      <c r="AG307" s="801">
        <f t="shared" si="124"/>
        <v>3</v>
      </c>
      <c r="AH307" s="172">
        <f t="shared" si="119"/>
        <v>9</v>
      </c>
      <c r="AI307" s="221">
        <f t="shared" si="120"/>
        <v>3.9874968833135149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47412</v>
      </c>
      <c r="B308" s="406">
        <f>'2028'!Wh/'2028'!Env_an*'2029'!Env_an</f>
        <v>60.834986241260417</v>
      </c>
      <c r="C308" s="831"/>
      <c r="D308" s="388">
        <f t="shared" si="102"/>
        <v>63.374941943642142</v>
      </c>
      <c r="E308" s="380">
        <f t="shared" si="125"/>
        <v>66.108640364008053</v>
      </c>
      <c r="F308" s="380">
        <f t="shared" si="103"/>
        <v>66.109850807853107</v>
      </c>
      <c r="G308" s="110">
        <f t="shared" si="126"/>
        <v>0.43388878671925224</v>
      </c>
      <c r="H308" s="409" t="b">
        <f>Wh_hp&gt;='2028'!Maxi_hp</f>
        <v>1</v>
      </c>
      <c r="I308" s="385">
        <f>IF(H308,Wh_hp,'2028'!Maxi_hp)</f>
        <v>66.109850807853107</v>
      </c>
      <c r="J308" s="85">
        <f>IF(H308,An,'2028'!An_max)</f>
        <v>2029</v>
      </c>
      <c r="K308" s="193">
        <f t="shared" si="104"/>
        <v>47412</v>
      </c>
      <c r="L308" s="143">
        <f>IF(t&lt;Tvie,1-EXP((T0-t)*PertePVj)+'2028'!Pspv,1-EXP((T0-t)*PertePVj)+Pspv)</f>
        <v>4.0078233202019309E-2</v>
      </c>
      <c r="M308" s="835"/>
      <c r="N308" s="835"/>
      <c r="O308" s="48">
        <f>IF(t&lt;Tnet,'2028'!Resal+('2028'!Salim-'2028'!Resal)*(1-EXP(('2028'!Tnet-t)/('2028'!Tau_j))),Resal+(Salim-Resal)*(1-EXP((Tnet-t)/(Tau_j))))*Salcycl</f>
        <v>4.1351605558873954E-2</v>
      </c>
      <c r="P308" s="165">
        <f>(INDEX(Models!$BJ308:$BT308,,T308)*(1-R308)+INDEX(Models!$BJ308:$BT308,,T308+1)*R308-ERP_i)*Q308*Ramure*Pc/MaxiM</f>
        <v>9.5702522178502491E-5</v>
      </c>
      <c r="Q308" s="301">
        <f t="shared" si="105"/>
        <v>0.5</v>
      </c>
      <c r="R308" s="173">
        <f t="shared" si="106"/>
        <v>0.46259741813482191</v>
      </c>
      <c r="S308" s="801">
        <f t="shared" si="107"/>
        <v>0</v>
      </c>
      <c r="T308" s="172">
        <f t="shared" si="108"/>
        <v>6</v>
      </c>
      <c r="U308" s="247">
        <f t="shared" si="109"/>
        <v>0.46259741813482191</v>
      </c>
      <c r="V308" s="378">
        <f t="shared" si="110"/>
        <v>140.19785672881386</v>
      </c>
      <c r="W308" s="397">
        <f t="shared" si="111"/>
        <v>60.834986241260417</v>
      </c>
      <c r="X308" s="153">
        <f t="shared" si="112"/>
        <v>47412</v>
      </c>
      <c r="Y308" s="380">
        <f t="shared" si="113"/>
        <v>59.383381520302805</v>
      </c>
      <c r="Z308" s="380">
        <f t="shared" si="114"/>
        <v>61.862730458116879</v>
      </c>
      <c r="AA308" s="381">
        <f t="shared" si="115"/>
        <v>66.09347620941422</v>
      </c>
      <c r="AB308" s="193">
        <f t="shared" si="116"/>
        <v>47412</v>
      </c>
      <c r="AC308" s="119">
        <f>IF(OR(t&lt;Tnet,NoTnet),'2028'!Resal_s+('2028'!Salim-'2028'!Resal_s)*(1-EXP(('2028'!Tnet_s-t)/'2028'!Tau_j)),Resal_s+(Salim-Resal_s)*(1-EXP((Tnet_s-t)/Tau_j)))*Salcycl</f>
        <v>6.4011548399911841E-2</v>
      </c>
      <c r="AD308" s="227">
        <f>(INDEX(Models!$BJ308:$BT308,,AH308)*(1-AF308)+INDEX(Models!$BJ308:$BT308,,AH308+1)*AF308-ERP_i)*AE308*Ramure*Pc/MaxiM</f>
        <v>1.2946411158787792E-3</v>
      </c>
      <c r="AE308" s="301">
        <f t="shared" si="117"/>
        <v>0.5</v>
      </c>
      <c r="AF308" s="173">
        <f t="shared" si="118"/>
        <v>0.98758498450879983</v>
      </c>
      <c r="AG308" s="801">
        <f t="shared" si="124"/>
        <v>3</v>
      </c>
      <c r="AH308" s="172">
        <f t="shared" si="119"/>
        <v>9</v>
      </c>
      <c r="AI308" s="221">
        <f t="shared" si="120"/>
        <v>3.9875849845087998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47413</v>
      </c>
      <c r="B309" s="406">
        <f>'2028'!Wh/'2028'!Env_an*'2029'!Env_an</f>
        <v>127.50948617500732</v>
      </c>
      <c r="C309" s="831"/>
      <c r="D309" s="388">
        <f t="shared" si="102"/>
        <v>132.83502479793799</v>
      </c>
      <c r="E309" s="380">
        <f t="shared" si="125"/>
        <v>138.56755028540462</v>
      </c>
      <c r="F309" s="380">
        <f t="shared" si="103"/>
        <v>138.58015949853942</v>
      </c>
      <c r="G309" s="110">
        <f t="shared" si="126"/>
        <v>0.91774940065257893</v>
      </c>
      <c r="H309" s="409" t="b">
        <f>Wh_hp&gt;='2028'!Maxi_hp</f>
        <v>1</v>
      </c>
      <c r="I309" s="385">
        <f>IF(H309,Wh_hp,'2028'!Maxi_hp)</f>
        <v>138.58015949853942</v>
      </c>
      <c r="J309" s="85">
        <f>IF(H309,An,'2028'!An_max)</f>
        <v>2029</v>
      </c>
      <c r="K309" s="193">
        <f t="shared" si="104"/>
        <v>47413</v>
      </c>
      <c r="L309" s="143">
        <f>IF(t&lt;Tvie,1-EXP((T0-t)*PertePVj)+'2028'!Pspv,1-EXP((T0-t)*PertePVj)+Pspv)</f>
        <v>4.0091373724901236E-2</v>
      </c>
      <c r="M309" s="835"/>
      <c r="N309" s="835"/>
      <c r="O309" s="48">
        <f>IF(t&lt;Tnet,'2028'!Resal+('2028'!Salim-'2028'!Resal)*(1-EXP(('2028'!Tnet-t)/('2028'!Tau_j))),Resal+(Salim-Resal)*(1-EXP((Tnet-t)/(Tau_j))))*Salcycl</f>
        <v>4.1369898476659762E-2</v>
      </c>
      <c r="P309" s="165">
        <f>(INDEX(Models!$BJ309:$BT309,,T309)*(1-R309)+INDEX(Models!$BJ309:$BT309,,T309+1)*R309-ERP_i)*Q309*Ramure*Pc/MaxiM</f>
        <v>1.0310146115832252E-4</v>
      </c>
      <c r="Q309" s="301">
        <f t="shared" si="105"/>
        <v>0.5</v>
      </c>
      <c r="R309" s="173">
        <f t="shared" si="106"/>
        <v>0.46268200140066784</v>
      </c>
      <c r="S309" s="801">
        <f t="shared" si="107"/>
        <v>0</v>
      </c>
      <c r="T309" s="172">
        <f t="shared" si="108"/>
        <v>6</v>
      </c>
      <c r="U309" s="247">
        <f t="shared" si="109"/>
        <v>0.46268200140066784</v>
      </c>
      <c r="V309" s="378">
        <f t="shared" si="110"/>
        <v>138.93546695606958</v>
      </c>
      <c r="W309" s="397">
        <f t="shared" si="111"/>
        <v>127.50948617500732</v>
      </c>
      <c r="X309" s="153">
        <f t="shared" si="112"/>
        <v>47413</v>
      </c>
      <c r="Y309" s="380">
        <f t="shared" si="113"/>
        <v>124.3580047611719</v>
      </c>
      <c r="Z309" s="380">
        <f t="shared" si="114"/>
        <v>129.55191916936928</v>
      </c>
      <c r="AA309" s="381">
        <f t="shared" si="115"/>
        <v>138.40875081556345</v>
      </c>
      <c r="AB309" s="193">
        <f t="shared" si="116"/>
        <v>47413</v>
      </c>
      <c r="AC309" s="119">
        <f>IF(OR(t&lt;Tnet,NoTnet),'2028'!Resal_s+('2028'!Salim-'2028'!Resal_s)*(1-EXP(('2028'!Tnet_s-t)/'2028'!Tau_j)),Resal_s+(Salim-Resal_s)*(1-EXP((Tnet_s-t)/Tau_j)))*Salcycl</f>
        <v>6.3990402297585403E-2</v>
      </c>
      <c r="AD309" s="227">
        <f>(INDEX(Models!$BJ309:$BT309,,AH309)*(1-AF309)+INDEX(Models!$BJ309:$BT309,,AH309+1)*AF309-ERP_i)*AE309*Ramure*Pc/MaxiM</f>
        <v>1.401553410284119E-3</v>
      </c>
      <c r="AE309" s="301">
        <f t="shared" si="117"/>
        <v>0.5</v>
      </c>
      <c r="AF309" s="173">
        <f t="shared" si="118"/>
        <v>0.98766956777464587</v>
      </c>
      <c r="AG309" s="801">
        <f t="shared" si="124"/>
        <v>3</v>
      </c>
      <c r="AH309" s="172">
        <f t="shared" si="119"/>
        <v>9</v>
      </c>
      <c r="AI309" s="221">
        <f t="shared" si="120"/>
        <v>3.9876695677746459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47414</v>
      </c>
      <c r="B310" s="406">
        <f>'2028'!Wh/'2028'!Env_an*'2029'!Env_an</f>
        <v>77.444440863463569</v>
      </c>
      <c r="C310" s="831"/>
      <c r="D310" s="388">
        <f t="shared" si="102"/>
        <v>80.68007611085045</v>
      </c>
      <c r="E310" s="380">
        <f t="shared" si="125"/>
        <v>84.163405804361204</v>
      </c>
      <c r="F310" s="380">
        <f t="shared" si="103"/>
        <v>84.166956159489558</v>
      </c>
      <c r="G310" s="110">
        <f t="shared" si="126"/>
        <v>0.56248508924145435</v>
      </c>
      <c r="H310" s="409" t="b">
        <f>Wh_hp&gt;='2028'!Maxi_hp</f>
        <v>1</v>
      </c>
      <c r="I310" s="385">
        <f>IF(H310,Wh_hp,'2028'!Maxi_hp)</f>
        <v>84.166956159489558</v>
      </c>
      <c r="J310" s="85">
        <f>IF(H310,An,'2028'!An_max)</f>
        <v>2029</v>
      </c>
      <c r="K310" s="193">
        <f t="shared" si="104"/>
        <v>47414</v>
      </c>
      <c r="L310" s="143">
        <f>IF(t&lt;Tvie,1-EXP((T0-t)*PertePVj)+'2028'!Pspv,1-EXP((T0-t)*PertePVj)+Pspv)</f>
        <v>4.0104514067900388E-2</v>
      </c>
      <c r="M310" s="835"/>
      <c r="N310" s="835"/>
      <c r="O310" s="48">
        <f>IF(t&lt;Tnet,'2028'!Resal+('2028'!Salim-'2028'!Resal)*(1-EXP(('2028'!Tnet-t)/('2028'!Tau_j))),Resal+(Salim-Resal)*(1-EXP((Tnet-t)/(Tau_j))))*Salcycl</f>
        <v>4.1387698848687253E-2</v>
      </c>
      <c r="P310" s="165">
        <f>(INDEX(Models!$BJ310:$BT310,,T310)*(1-R310)+INDEX(Models!$BJ310:$BT310,,T310+1)*R310-ERP_i)*Q310*Ramure*Pc/MaxiM</f>
        <v>1.1247555768216891E-4</v>
      </c>
      <c r="Q310" s="301">
        <f t="shared" si="105"/>
        <v>0.5</v>
      </c>
      <c r="R310" s="173">
        <f t="shared" si="106"/>
        <v>0.46276320608248961</v>
      </c>
      <c r="S310" s="801">
        <f t="shared" si="107"/>
        <v>0</v>
      </c>
      <c r="T310" s="172">
        <f t="shared" si="108"/>
        <v>6</v>
      </c>
      <c r="U310" s="247">
        <f t="shared" si="109"/>
        <v>0.46276320608248961</v>
      </c>
      <c r="V310" s="378">
        <f t="shared" si="110"/>
        <v>137.67297710167094</v>
      </c>
      <c r="W310" s="397">
        <f t="shared" si="111"/>
        <v>77.444440863463569</v>
      </c>
      <c r="X310" s="153">
        <f t="shared" si="112"/>
        <v>47414</v>
      </c>
      <c r="Y310" s="380">
        <f t="shared" si="113"/>
        <v>75.580131445917601</v>
      </c>
      <c r="Z310" s="380">
        <f t="shared" si="114"/>
        <v>78.737875689170536</v>
      </c>
      <c r="AA310" s="381">
        <f t="shared" si="115"/>
        <v>84.11884127064198</v>
      </c>
      <c r="AB310" s="193">
        <f t="shared" si="116"/>
        <v>47414</v>
      </c>
      <c r="AC310" s="119">
        <f>IF(OR(t&lt;Tnet,NoTnet),'2028'!Resal_s+('2028'!Salim-'2028'!Resal_s)*(1-EXP(('2028'!Tnet_s-t)/'2028'!Tau_j)),Resal_s+(Salim-Resal_s)*(1-EXP((Tnet_s-t)/Tau_j)))*Salcycl</f>
        <v>6.3968612741096192E-2</v>
      </c>
      <c r="AD310" s="227">
        <f>(INDEX(Models!$BJ310:$BT310,,AH310)*(1-AF310)+INDEX(Models!$BJ310:$BT310,,AH310+1)*AF310-ERP_i)*AE310*Ramure*Pc/MaxiM</f>
        <v>1.5242838421190121E-3</v>
      </c>
      <c r="AE310" s="301">
        <f t="shared" si="117"/>
        <v>0.5</v>
      </c>
      <c r="AF310" s="173">
        <f t="shared" si="118"/>
        <v>0.98775077245646781</v>
      </c>
      <c r="AG310" s="801">
        <f t="shared" si="124"/>
        <v>3</v>
      </c>
      <c r="AH310" s="172">
        <f t="shared" si="119"/>
        <v>9</v>
      </c>
      <c r="AI310" s="221">
        <f t="shared" si="120"/>
        <v>3.9877507724564678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47415</v>
      </c>
      <c r="B311" s="406">
        <f>'2028'!Wh/'2028'!Env_an*'2029'!Env_an</f>
        <v>99.620186024605601</v>
      </c>
      <c r="C311" s="831"/>
      <c r="D311" s="388">
        <f t="shared" si="102"/>
        <v>103.78374648071885</v>
      </c>
      <c r="E311" s="380">
        <f t="shared" si="125"/>
        <v>108.26652584345136</v>
      </c>
      <c r="F311" s="380">
        <f t="shared" si="103"/>
        <v>108.27478002131488</v>
      </c>
      <c r="G311" s="110">
        <f t="shared" si="126"/>
        <v>0.73025750552082846</v>
      </c>
      <c r="H311" s="409" t="b">
        <f>Wh_hp&gt;='2028'!Maxi_hp</f>
        <v>1</v>
      </c>
      <c r="I311" s="385">
        <f>IF(H311,Wh_hp,'2028'!Maxi_hp)</f>
        <v>108.27478002131488</v>
      </c>
      <c r="J311" s="85">
        <f>IF(H311,An,'2028'!An_max)</f>
        <v>2029</v>
      </c>
      <c r="K311" s="193">
        <f t="shared" si="104"/>
        <v>47415</v>
      </c>
      <c r="L311" s="143">
        <f>IF(t&lt;Tvie,1-EXP((T0-t)*PertePVj)+'2028'!Pspv,1-EXP((T0-t)*PertePVj)+Pspv)</f>
        <v>4.0117654231019317E-2</v>
      </c>
      <c r="M311" s="835"/>
      <c r="N311" s="835"/>
      <c r="O311" s="48">
        <f>IF(t&lt;Tnet,'2028'!Resal+('2028'!Salim-'2028'!Resal)*(1-EXP(('2028'!Tnet-t)/('2028'!Tau_j))),Resal+(Salim-Resal)*(1-EXP((Tnet-t)/(Tau_j))))*Salcycl</f>
        <v>4.1405035654459077E-2</v>
      </c>
      <c r="P311" s="165">
        <f>(INDEX(Models!$BJ311:$BT311,,T311)*(1-R311)+INDEX(Models!$BJ311:$BT311,,T311+1)*R311-ERP_i)*Q311*Ramure*Pc/MaxiM</f>
        <v>1.2401690062516859E-4</v>
      </c>
      <c r="Q311" s="301">
        <f t="shared" si="105"/>
        <v>0.5</v>
      </c>
      <c r="R311" s="173">
        <f t="shared" si="106"/>
        <v>0.46284116609488229</v>
      </c>
      <c r="S311" s="801">
        <f t="shared" si="107"/>
        <v>0</v>
      </c>
      <c r="T311" s="172">
        <f t="shared" si="108"/>
        <v>6</v>
      </c>
      <c r="U311" s="247">
        <f t="shared" si="109"/>
        <v>0.46284116609488229</v>
      </c>
      <c r="V311" s="378">
        <f t="shared" si="110"/>
        <v>136.41136822115106</v>
      </c>
      <c r="W311" s="397">
        <f t="shared" si="111"/>
        <v>99.620186024605601</v>
      </c>
      <c r="X311" s="153">
        <f t="shared" si="112"/>
        <v>47415</v>
      </c>
      <c r="Y311" s="380">
        <f t="shared" si="113"/>
        <v>97.185726597670723</v>
      </c>
      <c r="Z311" s="380">
        <f t="shared" si="114"/>
        <v>101.24754041581348</v>
      </c>
      <c r="AA311" s="381">
        <f t="shared" si="115"/>
        <v>108.16423499922229</v>
      </c>
      <c r="AB311" s="193">
        <f t="shared" si="116"/>
        <v>47415</v>
      </c>
      <c r="AC311" s="119">
        <f>IF(OR(t&lt;Tnet,NoTnet),'2028'!Resal_s+('2028'!Salim-'2028'!Resal_s)*(1-EXP(('2028'!Tnet_s-t)/'2028'!Tau_j)),Resal_s+(Salim-Resal_s)*(1-EXP((Tnet_s-t)/Tau_j)))*Salcycl</f>
        <v>6.3946225695199088E-2</v>
      </c>
      <c r="AD311" s="227">
        <f>(INDEX(Models!$BJ311:$BT311,,AH311)*(1-AF311)+INDEX(Models!$BJ311:$BT311,,AH311+1)*AF311-ERP_i)*AE311*Ramure*Pc/MaxiM</f>
        <v>1.6609105408363397E-3</v>
      </c>
      <c r="AE311" s="301">
        <f t="shared" si="117"/>
        <v>0.5</v>
      </c>
      <c r="AF311" s="173">
        <f t="shared" si="118"/>
        <v>0.9878287324688606</v>
      </c>
      <c r="AG311" s="801">
        <f t="shared" si="124"/>
        <v>3</v>
      </c>
      <c r="AH311" s="172">
        <f t="shared" si="119"/>
        <v>9</v>
      </c>
      <c r="AI311" s="221">
        <f t="shared" si="120"/>
        <v>3.9878287324688606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47416</v>
      </c>
      <c r="B312" s="406">
        <f>'2028'!Wh/'2028'!Env_an*'2029'!Env_an</f>
        <v>86.153856534164717</v>
      </c>
      <c r="C312" s="831"/>
      <c r="D312" s="388">
        <f t="shared" si="102"/>
        <v>89.75582924721499</v>
      </c>
      <c r="E312" s="380">
        <f t="shared" si="125"/>
        <v>93.634345471072876</v>
      </c>
      <c r="F312" s="380">
        <f t="shared" si="103"/>
        <v>93.640563650250286</v>
      </c>
      <c r="G312" s="110">
        <f t="shared" si="126"/>
        <v>0.6374151765672752</v>
      </c>
      <c r="H312" s="409" t="b">
        <f>Wh_hp&gt;='2028'!Maxi_hp</f>
        <v>1</v>
      </c>
      <c r="I312" s="385">
        <f>IF(H312,Wh_hp,'2028'!Maxi_hp)</f>
        <v>93.640563650250286</v>
      </c>
      <c r="J312" s="85">
        <f>IF(H312,An,'2028'!An_max)</f>
        <v>2029</v>
      </c>
      <c r="K312" s="193">
        <f t="shared" si="104"/>
        <v>47416</v>
      </c>
      <c r="L312" s="143">
        <f>IF(t&lt;Tvie,1-EXP((T0-t)*PertePVj)+'2028'!Pspv,1-EXP((T0-t)*PertePVj)+Pspv)</f>
        <v>4.0130794214260357E-2</v>
      </c>
      <c r="M312" s="835"/>
      <c r="N312" s="835"/>
      <c r="O312" s="48">
        <f>IF(t&lt;Tnet,'2028'!Resal+('2028'!Salim-'2028'!Resal)*(1-EXP(('2028'!Tnet-t)/('2028'!Tau_j))),Resal+(Salim-Resal)*(1-EXP((Tnet-t)/(Tau_j))))*Salcycl</f>
        <v>4.1421939827155703E-2</v>
      </c>
      <c r="P312" s="165">
        <f>(INDEX(Models!$BJ312:$BT312,,T312)*(1-R312)+INDEX(Models!$BJ312:$BT312,,T312+1)*R312-ERP_i)*Q312*Ramure*Pc/MaxiM</f>
        <v>1.3774444919937074E-4</v>
      </c>
      <c r="Q312" s="301">
        <f t="shared" si="105"/>
        <v>0.5</v>
      </c>
      <c r="R312" s="173">
        <f t="shared" si="106"/>
        <v>0.46291601012629052</v>
      </c>
      <c r="S312" s="801">
        <f t="shared" si="107"/>
        <v>0</v>
      </c>
      <c r="T312" s="172">
        <f t="shared" si="108"/>
        <v>6</v>
      </c>
      <c r="U312" s="247">
        <f t="shared" si="109"/>
        <v>0.46291601012629052</v>
      </c>
      <c r="V312" s="378">
        <f t="shared" si="110"/>
        <v>135.15164543243466</v>
      </c>
      <c r="W312" s="397">
        <f t="shared" si="111"/>
        <v>86.153856534164717</v>
      </c>
      <c r="X312" s="153">
        <f t="shared" si="112"/>
        <v>47416</v>
      </c>
      <c r="Y312" s="380">
        <f t="shared" si="113"/>
        <v>84.063617287778186</v>
      </c>
      <c r="Z312" s="380">
        <f t="shared" si="114"/>
        <v>87.578200010036284</v>
      </c>
      <c r="AA312" s="381">
        <f t="shared" si="115"/>
        <v>93.558785379360771</v>
      </c>
      <c r="AB312" s="193">
        <f t="shared" si="116"/>
        <v>47416</v>
      </c>
      <c r="AC312" s="119">
        <f>IF(OR(t&lt;Tnet,NoTnet),'2028'!Resal_s+('2028'!Salim-'2028'!Resal_s)*(1-EXP(('2028'!Tnet_s-t)/'2028'!Tau_j)),Resal_s+(Salim-Resal_s)*(1-EXP((Tnet_s-t)/Tau_j)))*Salcycl</f>
        <v>6.3923289994354981E-2</v>
      </c>
      <c r="AD312" s="227">
        <f>(INDEX(Models!$BJ312:$BT312,,AH312)*(1-AF312)+INDEX(Models!$BJ312:$BT312,,AH312+1)*AF312-ERP_i)*AE312*Ramure*Pc/MaxiM</f>
        <v>1.8115436301805107E-3</v>
      </c>
      <c r="AE312" s="301">
        <f t="shared" si="117"/>
        <v>0.5</v>
      </c>
      <c r="AF312" s="173">
        <f t="shared" si="118"/>
        <v>0.98790357650026861</v>
      </c>
      <c r="AG312" s="801">
        <f t="shared" si="124"/>
        <v>3</v>
      </c>
      <c r="AH312" s="172">
        <f t="shared" si="119"/>
        <v>9</v>
      </c>
      <c r="AI312" s="221">
        <f t="shared" si="120"/>
        <v>3.9879035765002686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47417</v>
      </c>
      <c r="B313" s="406">
        <f>'2028'!Wh/'2028'!Env_an*'2029'!Env_an</f>
        <v>56.89875197523363</v>
      </c>
      <c r="C313" s="831"/>
      <c r="D313" s="388">
        <f t="shared" si="102"/>
        <v>59.278420996381435</v>
      </c>
      <c r="E313" s="380">
        <f t="shared" si="125"/>
        <v>61.841016505731318</v>
      </c>
      <c r="F313" s="380">
        <f t="shared" si="103"/>
        <v>61.842712937282592</v>
      </c>
      <c r="G313" s="110">
        <f t="shared" si="126"/>
        <v>0.42489747735281003</v>
      </c>
      <c r="H313" s="409" t="b">
        <f>Wh_hp&gt;='2028'!Maxi_hp</f>
        <v>1</v>
      </c>
      <c r="I313" s="385">
        <f>IF(H313,Wh_hp,'2028'!Maxi_hp)</f>
        <v>61.842712937282592</v>
      </c>
      <c r="J313" s="85">
        <f>IF(H313,An,'2028'!An_max)</f>
        <v>2029</v>
      </c>
      <c r="K313" s="193">
        <f t="shared" si="104"/>
        <v>47417</v>
      </c>
      <c r="L313" s="143">
        <f>IF(t&lt;Tvie,1-EXP((T0-t)*PertePVj)+'2028'!Pspv,1-EXP((T0-t)*PertePVj)+Pspv)</f>
        <v>4.0143934017626171E-2</v>
      </c>
      <c r="M313" s="835"/>
      <c r="N313" s="835"/>
      <c r="O313" s="48">
        <f>IF(t&lt;Tnet,'2028'!Resal+('2028'!Salim-'2028'!Resal)*(1-EXP(('2028'!Tnet-t)/('2028'!Tau_j))),Resal+(Salim-Resal)*(1-EXP((Tnet-t)/(Tau_j))))*Salcycl</f>
        <v>4.143844416128549E-2</v>
      </c>
      <c r="P313" s="165">
        <f>(INDEX(Models!$BJ313:$BT313,,T313)*(1-R313)+INDEX(Models!$BJ313:$BT313,,T313+1)*R313-ERP_i)*Q313*Ramure*Pc/MaxiM</f>
        <v>1.5367586699810033E-4</v>
      </c>
      <c r="Q313" s="301">
        <f t="shared" si="105"/>
        <v>0.5</v>
      </c>
      <c r="R313" s="173">
        <f t="shared" si="106"/>
        <v>0.46298786183652002</v>
      </c>
      <c r="S313" s="801">
        <f t="shared" si="107"/>
        <v>0</v>
      </c>
      <c r="T313" s="172">
        <f t="shared" si="108"/>
        <v>6</v>
      </c>
      <c r="U313" s="247">
        <f t="shared" si="109"/>
        <v>0.46298786183652002</v>
      </c>
      <c r="V313" s="378">
        <f t="shared" si="110"/>
        <v>133.89481382525619</v>
      </c>
      <c r="W313" s="397">
        <f t="shared" si="111"/>
        <v>56.89875197523363</v>
      </c>
      <c r="X313" s="153">
        <f t="shared" si="112"/>
        <v>47417</v>
      </c>
      <c r="Y313" s="380">
        <f t="shared" si="113"/>
        <v>55.547398710077964</v>
      </c>
      <c r="Z313" s="380">
        <f t="shared" si="114"/>
        <v>57.870550261332617</v>
      </c>
      <c r="AA313" s="381">
        <f t="shared" si="115"/>
        <v>61.820896733990708</v>
      </c>
      <c r="AB313" s="193">
        <f t="shared" si="116"/>
        <v>47417</v>
      </c>
      <c r="AC313" s="119">
        <f>IF(OR(t&lt;Tnet,NoTnet),'2028'!Resal_s+('2028'!Salim-'2028'!Resal_s)*(1-EXP(('2028'!Tnet_s-t)/'2028'!Tau_j)),Resal_s+(Salim-Resal_s)*(1-EXP((Tnet_s-t)/Tau_j)))*Salcycl</f>
        <v>6.3899857189973278E-2</v>
      </c>
      <c r="AD313" s="227">
        <f>(INDEX(Models!$BJ313:$BT313,,AH313)*(1-AF313)+INDEX(Models!$BJ313:$BT313,,AH313+1)*AF313-ERP_i)*AE313*Ramure*Pc/MaxiM</f>
        <v>1.9762801233967151E-3</v>
      </c>
      <c r="AE313" s="301">
        <f t="shared" si="117"/>
        <v>0.5</v>
      </c>
      <c r="AF313" s="173">
        <f t="shared" si="118"/>
        <v>0.98797542821049822</v>
      </c>
      <c r="AG313" s="801">
        <f t="shared" si="124"/>
        <v>3</v>
      </c>
      <c r="AH313" s="172">
        <f t="shared" si="119"/>
        <v>9</v>
      </c>
      <c r="AI313" s="221">
        <f t="shared" si="120"/>
        <v>3.9879754282104982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47418</v>
      </c>
      <c r="B314" s="406">
        <f>'2028'!Wh/'2028'!Env_an*'2029'!Env_an</f>
        <v>51.068280364885517</v>
      </c>
      <c r="C314" s="831"/>
      <c r="D314" s="388">
        <f t="shared" si="102"/>
        <v>53.204830668087162</v>
      </c>
      <c r="E314" s="380">
        <f t="shared" si="125"/>
        <v>55.505800493092316</v>
      </c>
      <c r="F314" s="380">
        <f t="shared" si="103"/>
        <v>55.506958756661589</v>
      </c>
      <c r="G314" s="110">
        <f t="shared" si="126"/>
        <v>0.38495060159281935</v>
      </c>
      <c r="H314" s="409" t="b">
        <f>Wh_hp&gt;='2028'!Maxi_hp</f>
        <v>1</v>
      </c>
      <c r="I314" s="385">
        <f>IF(H314,Wh_hp,'2028'!Maxi_hp)</f>
        <v>55.506958756661589</v>
      </c>
      <c r="J314" s="85">
        <f>IF(H314,An,'2028'!An_max)</f>
        <v>2029</v>
      </c>
      <c r="K314" s="193">
        <f t="shared" si="104"/>
        <v>47418</v>
      </c>
      <c r="L314" s="143">
        <f>IF(t&lt;Tvie,1-EXP((T0-t)*PertePVj)+'2028'!Pspv,1-EXP((T0-t)*PertePVj)+Pspv)</f>
        <v>4.015707364111909E-2</v>
      </c>
      <c r="M314" s="835"/>
      <c r="N314" s="835"/>
      <c r="O314" s="48">
        <f>IF(t&lt;Tnet,'2028'!Resal+('2028'!Salim-'2028'!Resal)*(1-EXP(('2028'!Tnet-t)/('2028'!Tau_j))),Resal+(Salim-Resal)*(1-EXP((Tnet-t)/(Tau_j))))*Salcycl</f>
        <v>4.1454583206876026E-2</v>
      </c>
      <c r="P314" s="165">
        <f>(INDEX(Models!$BJ314:$BT314,,T314)*(1-R314)+INDEX(Models!$BJ314:$BT314,,T314+1)*R314-ERP_i)*Q314*Ramure*Pc/MaxiM</f>
        <v>1.7182822567920024E-4</v>
      </c>
      <c r="Q314" s="301">
        <f t="shared" si="105"/>
        <v>0.5</v>
      </c>
      <c r="R314" s="173">
        <f t="shared" si="106"/>
        <v>0.4630568400472973</v>
      </c>
      <c r="S314" s="801">
        <f t="shared" si="107"/>
        <v>0</v>
      </c>
      <c r="T314" s="172">
        <f t="shared" si="108"/>
        <v>6</v>
      </c>
      <c r="U314" s="247">
        <f t="shared" si="109"/>
        <v>0.4630568400472973</v>
      </c>
      <c r="V314" s="378">
        <f t="shared" si="110"/>
        <v>132.64187836676146</v>
      </c>
      <c r="W314" s="397">
        <f t="shared" si="111"/>
        <v>51.068280364885517</v>
      </c>
      <c r="X314" s="153">
        <f t="shared" si="112"/>
        <v>47418</v>
      </c>
      <c r="Y314" s="380">
        <f t="shared" si="113"/>
        <v>49.861725840688926</v>
      </c>
      <c r="Z314" s="380">
        <f t="shared" si="114"/>
        <v>51.947797364967876</v>
      </c>
      <c r="AA314" s="381">
        <f t="shared" si="115"/>
        <v>55.492430844171807</v>
      </c>
      <c r="AB314" s="193">
        <f t="shared" si="116"/>
        <v>47418</v>
      </c>
      <c r="AC314" s="119">
        <f>IF(OR(t&lt;Tnet,NoTnet),'2028'!Resal_s+('2028'!Salim-'2028'!Resal_s)*(1-EXP(('2028'!Tnet_s-t)/'2028'!Tau_j)),Resal_s+(Salim-Resal_s)*(1-EXP((Tnet_s-t)/Tau_j)))*Salcycl</f>
        <v>6.387598137766945E-2</v>
      </c>
      <c r="AD314" s="227">
        <f>(INDEX(Models!$BJ314:$BT314,,AH314)*(1-AF314)+INDEX(Models!$BJ314:$BT314,,AH314+1)*AF314-ERP_i)*AE314*Ramure*Pc/MaxiM</f>
        <v>2.1552136250904555E-3</v>
      </c>
      <c r="AE314" s="301">
        <f t="shared" si="117"/>
        <v>0.5</v>
      </c>
      <c r="AF314" s="173">
        <f t="shared" si="118"/>
        <v>0.98804440642127567</v>
      </c>
      <c r="AG314" s="801">
        <f t="shared" si="124"/>
        <v>3</v>
      </c>
      <c r="AH314" s="172">
        <f t="shared" si="119"/>
        <v>9</v>
      </c>
      <c r="AI314" s="221">
        <f t="shared" si="120"/>
        <v>3.9880444064212757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47419</v>
      </c>
      <c r="B315" s="406">
        <f>'2028'!Wh/'2028'!Env_an*'2029'!Env_an</f>
        <v>67.393620364517602</v>
      </c>
      <c r="C315" s="831"/>
      <c r="D315" s="388">
        <f t="shared" si="102"/>
        <v>70.214137218131214</v>
      </c>
      <c r="E315" s="380">
        <f t="shared" si="125"/>
        <v>73.251923275407052</v>
      </c>
      <c r="F315" s="380">
        <f t="shared" si="103"/>
        <v>73.256206223121353</v>
      </c>
      <c r="G315" s="110">
        <f t="shared" si="126"/>
        <v>0.51284446635317404</v>
      </c>
      <c r="H315" s="409" t="b">
        <f>Wh_hp&gt;='2028'!Maxi_hp</f>
        <v>1</v>
      </c>
      <c r="I315" s="385">
        <f>IF(H315,Wh_hp,'2028'!Maxi_hp)</f>
        <v>73.256206223121353</v>
      </c>
      <c r="J315" s="85">
        <f>IF(H315,An,'2028'!An_max)</f>
        <v>2029</v>
      </c>
      <c r="K315" s="193">
        <f t="shared" si="104"/>
        <v>47419</v>
      </c>
      <c r="L315" s="143">
        <f>IF(t&lt;Tvie,1-EXP((T0-t)*PertePVj)+'2028'!Pspv,1-EXP((T0-t)*PertePVj)+Pspv)</f>
        <v>4.0170213084741557E-2</v>
      </c>
      <c r="M315" s="835"/>
      <c r="N315" s="835"/>
      <c r="O315" s="48">
        <f>IF(t&lt;Tnet,'2028'!Resal+('2028'!Salim-'2028'!Resal)*(1-EXP(('2028'!Tnet-t)/('2028'!Tau_j))),Resal+(Salim-Resal)*(1-EXP((Tnet-t)/(Tau_j))))*Salcycl</f>
        <v>4.1470393150697275E-2</v>
      </c>
      <c r="P315" s="165">
        <f>(INDEX(Models!$BJ315:$BT315,,T315)*(1-R315)+INDEX(Models!$BJ315:$BT315,,T315+1)*R315-ERP_i)*Q315*Ramure*Pc/MaxiM</f>
        <v>1.9221800209080856E-4</v>
      </c>
      <c r="Q315" s="301">
        <f t="shared" si="105"/>
        <v>0.5</v>
      </c>
      <c r="R315" s="173">
        <f t="shared" si="106"/>
        <v>0.46312305892607941</v>
      </c>
      <c r="S315" s="801">
        <f t="shared" si="107"/>
        <v>0</v>
      </c>
      <c r="T315" s="172">
        <f t="shared" si="108"/>
        <v>6</v>
      </c>
      <c r="U315" s="247">
        <f t="shared" si="109"/>
        <v>0.46312305892607941</v>
      </c>
      <c r="V315" s="378">
        <f t="shared" si="110"/>
        <v>131.39384390618113</v>
      </c>
      <c r="W315" s="397">
        <f t="shared" si="111"/>
        <v>67.393620364517602</v>
      </c>
      <c r="X315" s="153">
        <f t="shared" si="112"/>
        <v>47419</v>
      </c>
      <c r="Y315" s="380">
        <f t="shared" si="113"/>
        <v>65.776833478570936</v>
      </c>
      <c r="Z315" s="380">
        <f t="shared" si="114"/>
        <v>68.529685549734083</v>
      </c>
      <c r="AA315" s="381">
        <f t="shared" si="115"/>
        <v>73.20387906595856</v>
      </c>
      <c r="AB315" s="193">
        <f t="shared" si="116"/>
        <v>47419</v>
      </c>
      <c r="AC315" s="119">
        <f>IF(OR(t&lt;Tnet,NoTnet),'2028'!Resal_s+('2028'!Salim-'2028'!Resal_s)*(1-EXP(('2028'!Tnet_s-t)/'2028'!Tau_j)),Resal_s+(Salim-Resal_s)*(1-EXP((Tnet_s-t)/Tau_j)))*Salcycl</f>
        <v>6.3851719005394547E-2</v>
      </c>
      <c r="AD315" s="227">
        <f>(INDEX(Models!$BJ315:$BT315,,AH315)*(1-AF315)+INDEX(Models!$BJ315:$BT315,,AH315+1)*AF315-ERP_i)*AE315*Ramure*Pc/MaxiM</f>
        <v>2.348434367136464E-3</v>
      </c>
      <c r="AE315" s="301">
        <f t="shared" si="117"/>
        <v>0.5</v>
      </c>
      <c r="AF315" s="173">
        <f t="shared" si="118"/>
        <v>0.98811062530005778</v>
      </c>
      <c r="AG315" s="801">
        <f t="shared" si="124"/>
        <v>3</v>
      </c>
      <c r="AH315" s="172">
        <f t="shared" si="119"/>
        <v>9</v>
      </c>
      <c r="AI315" s="221">
        <f t="shared" si="120"/>
        <v>3.9881106253000578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47420</v>
      </c>
      <c r="B316" s="406">
        <f>'2028'!Wh/'2028'!Env_an*'2029'!Env_an</f>
        <v>97.841963744430927</v>
      </c>
      <c r="C316" s="831"/>
      <c r="D316" s="388">
        <f t="shared" si="102"/>
        <v>101.93818161399091</v>
      </c>
      <c r="E316" s="380">
        <f t="shared" si="125"/>
        <v>106.35021733817585</v>
      </c>
      <c r="F316" s="380">
        <f t="shared" si="103"/>
        <v>106.36496623468116</v>
      </c>
      <c r="G316" s="110">
        <f t="shared" si="126"/>
        <v>0.7516958744500436</v>
      </c>
      <c r="H316" s="409" t="b">
        <f>Wh_hp&gt;='2028'!Maxi_hp</f>
        <v>1</v>
      </c>
      <c r="I316" s="385">
        <f>IF(H316,Wh_hp,'2028'!Maxi_hp)</f>
        <v>106.36496623468116</v>
      </c>
      <c r="J316" s="85">
        <f>IF(H316,An,'2028'!An_max)</f>
        <v>2029</v>
      </c>
      <c r="K316" s="193">
        <f t="shared" si="104"/>
        <v>47420</v>
      </c>
      <c r="L316" s="143">
        <f>IF(t&lt;Tvie,1-EXP((T0-t)*PertePVj)+'2028'!Pspv,1-EXP((T0-t)*PertePVj)+Pspv)</f>
        <v>4.0183352348496015E-2</v>
      </c>
      <c r="M316" s="835"/>
      <c r="N316" s="835"/>
      <c r="O316" s="48">
        <f>IF(t&lt;Tnet,'2028'!Resal+('2028'!Salim-'2028'!Resal)*(1-EXP(('2028'!Tnet-t)/('2028'!Tau_j))),Resal+(Salim-Resal)*(1-EXP((Tnet-t)/(Tau_j))))*Salcycl</f>
        <v>4.1485911685120586E-2</v>
      </c>
      <c r="P316" s="165">
        <f>(INDEX(Models!$BJ316:$BT316,,T316)*(1-R316)+INDEX(Models!$BJ316:$BT316,,T316+1)*R316-ERP_i)*Q316*Ramure*Pc/MaxiM</f>
        <v>2.1486108187630738E-4</v>
      </c>
      <c r="Q316" s="301">
        <f t="shared" si="105"/>
        <v>0.5</v>
      </c>
      <c r="R316" s="173">
        <f t="shared" si="106"/>
        <v>0.46318662816331557</v>
      </c>
      <c r="S316" s="801">
        <f t="shared" si="107"/>
        <v>0</v>
      </c>
      <c r="T316" s="172">
        <f t="shared" si="108"/>
        <v>6</v>
      </c>
      <c r="U316" s="247">
        <f t="shared" si="109"/>
        <v>0.46318662816331557</v>
      </c>
      <c r="V316" s="378">
        <f t="shared" si="110"/>
        <v>130.15171517658408</v>
      </c>
      <c r="W316" s="397">
        <f t="shared" si="111"/>
        <v>97.841963744430927</v>
      </c>
      <c r="X316" s="153">
        <f t="shared" si="112"/>
        <v>47420</v>
      </c>
      <c r="Y316" s="380">
        <f t="shared" si="113"/>
        <v>95.417042007180797</v>
      </c>
      <c r="Z316" s="380">
        <f t="shared" si="114"/>
        <v>99.411738940607947</v>
      </c>
      <c r="AA316" s="381">
        <f t="shared" si="115"/>
        <v>106.18951048931991</v>
      </c>
      <c r="AB316" s="193">
        <f t="shared" si="116"/>
        <v>47420</v>
      </c>
      <c r="AC316" s="119">
        <f>IF(OR(t&lt;Tnet,NoTnet),'2028'!Resal_s+('2028'!Salim-'2028'!Resal_s)*(1-EXP(('2028'!Tnet_s-t)/'2028'!Tau_j)),Resal_s+(Salim-Resal_s)*(1-EXP((Tnet_s-t)/Tau_j)))*Salcycl</f>
        <v>6.3827128663463004E-2</v>
      </c>
      <c r="AD316" s="227">
        <f>(INDEX(Models!$BJ316:$BT316,,AH316)*(1-AF316)+INDEX(Models!$BJ316:$BT316,,AH316+1)*AF316-ERP_i)*AE316*Ramure*Pc/MaxiM</f>
        <v>2.556029276914667E-3</v>
      </c>
      <c r="AE316" s="301">
        <f t="shared" si="117"/>
        <v>0.5</v>
      </c>
      <c r="AF316" s="173">
        <f t="shared" si="118"/>
        <v>0.98817419453729372</v>
      </c>
      <c r="AG316" s="801">
        <f t="shared" si="124"/>
        <v>3</v>
      </c>
      <c r="AH316" s="172">
        <f t="shared" si="119"/>
        <v>9</v>
      </c>
      <c r="AI316" s="221">
        <f t="shared" si="120"/>
        <v>3.9881741945372937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47421</v>
      </c>
      <c r="B317" s="406">
        <f>'2028'!Wh/'2028'!Env_an*'2029'!Env_an</f>
        <v>81.803078521800941</v>
      </c>
      <c r="C317" s="831"/>
      <c r="D317" s="388">
        <f t="shared" si="102"/>
        <v>85.228984674041953</v>
      </c>
      <c r="E317" s="380">
        <f t="shared" si="125"/>
        <v>88.919237776660523</v>
      </c>
      <c r="F317" s="380">
        <f t="shared" si="103"/>
        <v>88.929429943369428</v>
      </c>
      <c r="G317" s="110">
        <f t="shared" si="126"/>
        <v>0.6344975272841733</v>
      </c>
      <c r="H317" s="409" t="b">
        <f>Wh_hp&gt;='2028'!Maxi_hp</f>
        <v>1</v>
      </c>
      <c r="I317" s="385">
        <f>IF(H317,Wh_hp,'2028'!Maxi_hp)</f>
        <v>88.929429943369428</v>
      </c>
      <c r="J317" s="85">
        <f>IF(H317,An,'2028'!An_max)</f>
        <v>2029</v>
      </c>
      <c r="K317" s="193">
        <f t="shared" si="104"/>
        <v>47421</v>
      </c>
      <c r="L317" s="143">
        <f>IF(t&lt;Tvie,1-EXP((T0-t)*PertePVj)+'2028'!Pspv,1-EXP((T0-t)*PertePVj)+Pspv)</f>
        <v>4.0196491432385129E-2</v>
      </c>
      <c r="M317" s="835"/>
      <c r="N317" s="835"/>
      <c r="O317" s="48">
        <f>IF(t&lt;Tnet,'2028'!Resal+('2028'!Salim-'2028'!Resal)*(1-EXP(('2028'!Tnet-t)/('2028'!Tau_j))),Resal+(Salim-Resal)*(1-EXP((Tnet-t)/(Tau_j))))*Salcycl</f>
        <v>4.1501177865327921E-2</v>
      </c>
      <c r="P317" s="165">
        <f>(INDEX(Models!$BJ317:$BT317,,T317)*(1-R317)+INDEX(Models!$BJ317:$BT317,,T317+1)*R317-ERP_i)*Q317*Ramure*Pc/MaxiM</f>
        <v>2.3978554901662275E-4</v>
      </c>
      <c r="Q317" s="301">
        <f t="shared" si="105"/>
        <v>0.5</v>
      </c>
      <c r="R317" s="173">
        <f t="shared" si="106"/>
        <v>0.46324765314335825</v>
      </c>
      <c r="S317" s="801">
        <f t="shared" si="107"/>
        <v>0</v>
      </c>
      <c r="T317" s="172">
        <f t="shared" si="108"/>
        <v>6</v>
      </c>
      <c r="U317" s="247">
        <f t="shared" si="109"/>
        <v>0.46324765314335825</v>
      </c>
      <c r="V317" s="378">
        <f t="shared" si="110"/>
        <v>128.90962384122903</v>
      </c>
      <c r="W317" s="397">
        <f t="shared" si="111"/>
        <v>81.803078521800941</v>
      </c>
      <c r="X317" s="153">
        <f t="shared" si="112"/>
        <v>47421</v>
      </c>
      <c r="Y317" s="380">
        <f t="shared" si="113"/>
        <v>79.802838850483695</v>
      </c>
      <c r="Z317" s="380">
        <f t="shared" si="114"/>
        <v>83.14497513098209</v>
      </c>
      <c r="AA317" s="381">
        <f t="shared" si="115"/>
        <v>88.811340321400536</v>
      </c>
      <c r="AB317" s="193">
        <f t="shared" si="116"/>
        <v>47421</v>
      </c>
      <c r="AC317" s="119">
        <f>IF(OR(t&lt;Tnet,NoTnet),'2028'!Resal_s+('2028'!Salim-'2028'!Resal_s)*(1-EXP(('2028'!Tnet_s-t)/'2028'!Tau_j)),Resal_s+(Salim-Resal_s)*(1-EXP((Tnet_s-t)/Tau_j)))*Salcycl</f>
        <v>6.3802270857667126E-2</v>
      </c>
      <c r="AD317" s="227">
        <f>(INDEX(Models!$BJ317:$BT317,,AH317)*(1-AF317)+INDEX(Models!$BJ317:$BT317,,AH317+1)*AF317-ERP_i)*AE317*Ramure*Pc/MaxiM</f>
        <v>2.7782301492613919E-3</v>
      </c>
      <c r="AE317" s="301">
        <f t="shared" si="117"/>
        <v>0.5</v>
      </c>
      <c r="AF317" s="173">
        <f t="shared" si="118"/>
        <v>0.98823521951733628</v>
      </c>
      <c r="AG317" s="801">
        <f t="shared" si="124"/>
        <v>3</v>
      </c>
      <c r="AH317" s="172">
        <f t="shared" si="119"/>
        <v>9</v>
      </c>
      <c r="AI317" s="221">
        <f t="shared" si="120"/>
        <v>3.9882352195173363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47422</v>
      </c>
      <c r="B318" s="406">
        <f>'2028'!Wh/'2028'!Env_an*'2029'!Env_an</f>
        <v>82.823411797098601</v>
      </c>
      <c r="C318" s="831"/>
      <c r="D318" s="388">
        <f t="shared" si="102"/>
        <v>86.293230704251187</v>
      </c>
      <c r="E318" s="380">
        <f t="shared" si="125"/>
        <v>90.030977655807249</v>
      </c>
      <c r="F318" s="380">
        <f t="shared" si="103"/>
        <v>90.0429004935324</v>
      </c>
      <c r="G318" s="110">
        <f t="shared" si="126"/>
        <v>0.64868182832643917</v>
      </c>
      <c r="H318" s="409" t="b">
        <f>Wh_hp&gt;='2028'!Maxi_hp</f>
        <v>1</v>
      </c>
      <c r="I318" s="385">
        <f>IF(H318,Wh_hp,'2028'!Maxi_hp)</f>
        <v>90.0429004935324</v>
      </c>
      <c r="J318" s="85">
        <f>IF(H318,An,'2028'!An_max)</f>
        <v>2029</v>
      </c>
      <c r="K318" s="193">
        <f t="shared" si="104"/>
        <v>47422</v>
      </c>
      <c r="L318" s="143">
        <f>IF(t&lt;Tvie,1-EXP((T0-t)*PertePVj)+'2028'!Pspv,1-EXP((T0-t)*PertePVj)+Pspv)</f>
        <v>4.0209630336411117E-2</v>
      </c>
      <c r="M318" s="835"/>
      <c r="N318" s="835"/>
      <c r="O318" s="48">
        <f>IF(t&lt;Tnet,'2028'!Resal+('2028'!Salim-'2028'!Resal)*(1-EXP(('2028'!Tnet-t)/('2028'!Tau_j))),Resal+(Salim-Resal)*(1-EXP((Tnet-t)/(Tau_j))))*Salcycl</f>
        <v>4.1516231955690173E-2</v>
      </c>
      <c r="P318" s="165">
        <f>(INDEX(Models!$BJ318:$BT318,,T318)*(1-R318)+INDEX(Models!$BJ318:$BT318,,T318+1)*R318-ERP_i)*Q318*Ramure*Pc/MaxiM</f>
        <v>2.6576092574378765E-4</v>
      </c>
      <c r="Q318" s="301">
        <f t="shared" si="105"/>
        <v>0.5</v>
      </c>
      <c r="R318" s="173">
        <f t="shared" si="106"/>
        <v>0.46330623510921914</v>
      </c>
      <c r="S318" s="801">
        <f t="shared" si="107"/>
        <v>0</v>
      </c>
      <c r="T318" s="172">
        <f t="shared" si="108"/>
        <v>6</v>
      </c>
      <c r="U318" s="247">
        <f t="shared" si="109"/>
        <v>0.46330623510921914</v>
      </c>
      <c r="V318" s="378">
        <f t="shared" si="110"/>
        <v>127.6625340440782</v>
      </c>
      <c r="W318" s="397">
        <f t="shared" si="111"/>
        <v>82.823411797098601</v>
      </c>
      <c r="X318" s="153">
        <f t="shared" si="112"/>
        <v>47422</v>
      </c>
      <c r="Y318" s="380">
        <f t="shared" si="113"/>
        <v>80.789171287960983</v>
      </c>
      <c r="Z318" s="380">
        <f t="shared" si="114"/>
        <v>84.173767357426158</v>
      </c>
      <c r="AA318" s="381">
        <f t="shared" si="115"/>
        <v>89.907838236501121</v>
      </c>
      <c r="AB318" s="193">
        <f t="shared" si="116"/>
        <v>47422</v>
      </c>
      <c r="AC318" s="119">
        <f>IF(OR(t&lt;Tnet,NoTnet),'2028'!Resal_s+('2028'!Salim-'2028'!Resal_s)*(1-EXP(('2028'!Tnet_s-t)/'2028'!Tau_j)),Resal_s+(Salim-Resal_s)*(1-EXP((Tnet_s-t)/Tau_j)))*Salcycl</f>
        <v>6.3777207766819832E-2</v>
      </c>
      <c r="AD318" s="227">
        <f>(INDEX(Models!$BJ318:$BT318,,AH318)*(1-AF318)+INDEX(Models!$BJ318:$BT318,,AH318+1)*AF318-ERP_i)*AE318*Ramure*Pc/MaxiM</f>
        <v>3.0105475968978152E-3</v>
      </c>
      <c r="AE318" s="301">
        <f t="shared" si="117"/>
        <v>0.5</v>
      </c>
      <c r="AF318" s="173">
        <f t="shared" si="118"/>
        <v>0.98829380148319723</v>
      </c>
      <c r="AG318" s="801">
        <f t="shared" si="124"/>
        <v>3</v>
      </c>
      <c r="AH318" s="172">
        <f t="shared" si="119"/>
        <v>9</v>
      </c>
      <c r="AI318" s="221">
        <f t="shared" si="120"/>
        <v>3.9882938014831972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47423</v>
      </c>
      <c r="B319" s="406">
        <f>'2028'!Wh/'2028'!Env_an*'2029'!Env_an</f>
        <v>82.199805056025951</v>
      </c>
      <c r="C319" s="831"/>
      <c r="D319" s="388">
        <f t="shared" si="102"/>
        <v>85.644670873854068</v>
      </c>
      <c r="E319" s="380">
        <f t="shared" si="125"/>
        <v>89.355713302726073</v>
      </c>
      <c r="F319" s="380">
        <f t="shared" si="103"/>
        <v>89.368757360620421</v>
      </c>
      <c r="G319" s="110">
        <f t="shared" si="126"/>
        <v>0.65015534931425512</v>
      </c>
      <c r="H319" s="409" t="b">
        <f>Wh_hp&gt;='2028'!Maxi_hp</f>
        <v>1</v>
      </c>
      <c r="I319" s="385">
        <f>IF(H319,Wh_hp,'2028'!Maxi_hp)</f>
        <v>89.368757360620421</v>
      </c>
      <c r="J319" s="85">
        <f>IF(H319,An,'2028'!An_max)</f>
        <v>2029</v>
      </c>
      <c r="K319" s="193">
        <f t="shared" si="104"/>
        <v>47423</v>
      </c>
      <c r="L319" s="143">
        <f>IF(t&lt;Tvie,1-EXP((T0-t)*PertePVj)+'2028'!Pspv,1-EXP((T0-t)*PertePVj)+Pspv)</f>
        <v>4.0222769060576535E-2</v>
      </c>
      <c r="M319" s="835"/>
      <c r="N319" s="835"/>
      <c r="O319" s="48">
        <f>IF(t&lt;Tnet,'2028'!Resal+('2028'!Salim-'2028'!Resal)*(1-EXP(('2028'!Tnet-t)/('2028'!Tau_j))),Resal+(Salim-Resal)*(1-EXP((Tnet-t)/(Tau_j))))*Salcycl</f>
        <v>4.1531115266233237E-2</v>
      </c>
      <c r="P319" s="165">
        <f>(INDEX(Models!$BJ319:$BT319,,T319)*(1-R319)+INDEX(Models!$BJ319:$BT319,,T319+1)*R319-ERP_i)*Q319*Ramure*Pc/MaxiM</f>
        <v>2.9170691552304185E-4</v>
      </c>
      <c r="Q319" s="301">
        <f t="shared" si="105"/>
        <v>0.5</v>
      </c>
      <c r="R319" s="173">
        <f t="shared" si="106"/>
        <v>0.46336247132136082</v>
      </c>
      <c r="S319" s="801">
        <f t="shared" si="107"/>
        <v>0</v>
      </c>
      <c r="T319" s="172">
        <f t="shared" si="108"/>
        <v>6</v>
      </c>
      <c r="U319" s="247">
        <f t="shared" si="109"/>
        <v>0.46336247132136082</v>
      </c>
      <c r="V319" s="378">
        <f t="shared" si="110"/>
        <v>126.41259175418399</v>
      </c>
      <c r="W319" s="397">
        <f t="shared" si="111"/>
        <v>82.199805056025951</v>
      </c>
      <c r="X319" s="153">
        <f t="shared" si="112"/>
        <v>47423</v>
      </c>
      <c r="Y319" s="380">
        <f t="shared" si="113"/>
        <v>80.175459153512719</v>
      </c>
      <c r="Z319" s="380">
        <f t="shared" si="114"/>
        <v>83.535487787137356</v>
      </c>
      <c r="AA319" s="381">
        <f t="shared" si="115"/>
        <v>89.223675835439025</v>
      </c>
      <c r="AB319" s="193">
        <f t="shared" si="116"/>
        <v>47423</v>
      </c>
      <c r="AC319" s="119">
        <f>IF(OR(t&lt;Tnet,NoTnet),'2028'!Resal_s+('2028'!Salim-'2028'!Resal_s)*(1-EXP(('2028'!Tnet_s-t)/'2028'!Tau_j)),Resal_s+(Salim-Resal_s)*(1-EXP((Tnet_s-t)/Tau_j)))*Salcycl</f>
        <v>6.3752002986211448E-2</v>
      </c>
      <c r="AD319" s="227">
        <f>(INDEX(Models!$BJ319:$BT319,,AH319)*(1-AF319)+INDEX(Models!$BJ319:$BT319,,AH319+1)*AF319-ERP_i)*AE319*Ramure*Pc/MaxiM</f>
        <v>3.2444876090593445E-3</v>
      </c>
      <c r="AE319" s="301">
        <f t="shared" si="117"/>
        <v>0.5</v>
      </c>
      <c r="AF319" s="173">
        <f t="shared" si="118"/>
        <v>0.98835003769533891</v>
      </c>
      <c r="AG319" s="801">
        <f t="shared" si="124"/>
        <v>3</v>
      </c>
      <c r="AH319" s="172">
        <f t="shared" si="119"/>
        <v>9</v>
      </c>
      <c r="AI319" s="221">
        <f t="shared" si="120"/>
        <v>3.9883500376953389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47424</v>
      </c>
      <c r="B320" s="406">
        <f>'2028'!Wh/'2028'!Env_an*'2029'!Env_an</f>
        <v>109.18557960014337</v>
      </c>
      <c r="C320" s="831"/>
      <c r="D320" s="388">
        <f t="shared" si="102"/>
        <v>113.76293452244909</v>
      </c>
      <c r="E320" s="380">
        <f t="shared" si="125"/>
        <v>118.69418781689549</v>
      </c>
      <c r="F320" s="380">
        <f t="shared" si="103"/>
        <v>118.72502140694162</v>
      </c>
      <c r="G320" s="110">
        <f t="shared" si="126"/>
        <v>0.8723049083748512</v>
      </c>
      <c r="H320" s="409" t="b">
        <f>Wh_hp&gt;='2028'!Maxi_hp</f>
        <v>1</v>
      </c>
      <c r="I320" s="385">
        <f>IF(H320,Wh_hp,'2028'!Maxi_hp)</f>
        <v>118.72502140694162</v>
      </c>
      <c r="J320" s="85">
        <f>IF(H320,An,'2028'!An_max)</f>
        <v>2029</v>
      </c>
      <c r="K320" s="193">
        <f t="shared" si="104"/>
        <v>47424</v>
      </c>
      <c r="L320" s="143">
        <f>IF(t&lt;Tvie,1-EXP((T0-t)*PertePVj)+'2028'!Pspv,1-EXP((T0-t)*PertePVj)+Pspv)</f>
        <v>4.0235907604883936E-2</v>
      </c>
      <c r="M320" s="835"/>
      <c r="N320" s="835"/>
      <c r="O320" s="48">
        <f>IF(t&lt;Tnet,'2028'!Resal+('2028'!Salim-'2028'!Resal)*(1-EXP(('2028'!Tnet-t)/('2028'!Tau_j))),Resal+(Salim-Resal)*(1-EXP((Tnet-t)/(Tau_j))))*Salcycl</f>
        <v>4.154586998020194E-2</v>
      </c>
      <c r="P320" s="165">
        <f>(INDEX(Models!$BJ320:$BT320,,T320)*(1-R320)+INDEX(Models!$BJ320:$BT320,,T320+1)*R320-ERP_i)*Q320*Ramure*Pc/MaxiM</f>
        <v>3.1762454573944877E-4</v>
      </c>
      <c r="Q320" s="301">
        <f t="shared" si="105"/>
        <v>0.5</v>
      </c>
      <c r="R320" s="173">
        <f t="shared" si="106"/>
        <v>0.46341645521071495</v>
      </c>
      <c r="S320" s="801">
        <f t="shared" si="107"/>
        <v>0</v>
      </c>
      <c r="T320" s="172">
        <f t="shared" si="108"/>
        <v>6</v>
      </c>
      <c r="U320" s="247">
        <f t="shared" si="109"/>
        <v>0.46341645521071495</v>
      </c>
      <c r="V320" s="378">
        <f t="shared" si="110"/>
        <v>125.16180183057494</v>
      </c>
      <c r="W320" s="397">
        <f t="shared" si="111"/>
        <v>109.18557960014337</v>
      </c>
      <c r="X320" s="153">
        <f t="shared" si="112"/>
        <v>47424</v>
      </c>
      <c r="Y320" s="380">
        <f t="shared" si="113"/>
        <v>106.38290433366693</v>
      </c>
      <c r="Z320" s="380">
        <f t="shared" si="114"/>
        <v>110.84276352555099</v>
      </c>
      <c r="AA320" s="381">
        <f t="shared" si="115"/>
        <v>118.38719105019511</v>
      </c>
      <c r="AB320" s="193">
        <f t="shared" si="116"/>
        <v>47424</v>
      </c>
      <c r="AC320" s="119">
        <f>IF(OR(t&lt;Tnet,NoTnet),'2028'!Resal_s+('2028'!Salim-'2028'!Resal_s)*(1-EXP(('2028'!Tnet_s-t)/'2028'!Tau_j)),Resal_s+(Salim-Resal_s)*(1-EXP((Tnet_s-t)/Tau_j)))*Salcycl</f>
        <v>6.372672125859756E-2</v>
      </c>
      <c r="AD320" s="227">
        <f>(INDEX(Models!$BJ320:$BT320,,AH320)*(1-AF320)+INDEX(Models!$BJ320:$BT320,,AH320+1)*AF320-ERP_i)*AE320*Ramure*Pc/MaxiM</f>
        <v>3.480075250337447E-3</v>
      </c>
      <c r="AE320" s="301">
        <f t="shared" si="117"/>
        <v>0.5</v>
      </c>
      <c r="AF320" s="173">
        <f t="shared" si="118"/>
        <v>0.9884040215846932</v>
      </c>
      <c r="AG320" s="801">
        <f t="shared" si="124"/>
        <v>3</v>
      </c>
      <c r="AH320" s="172">
        <f t="shared" si="119"/>
        <v>9</v>
      </c>
      <c r="AI320" s="221">
        <f t="shared" si="120"/>
        <v>3.9884040215846932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47425</v>
      </c>
      <c r="B321" s="406">
        <f>'2028'!Wh/'2028'!Env_an*'2029'!Env_an</f>
        <v>41.695493098941846</v>
      </c>
      <c r="C321" s="831"/>
      <c r="D321" s="388">
        <f t="shared" si="102"/>
        <v>43.444075698839747</v>
      </c>
      <c r="E321" s="380">
        <f t="shared" si="125"/>
        <v>45.327928852517203</v>
      </c>
      <c r="F321" s="380">
        <f t="shared" si="103"/>
        <v>45.328740601797037</v>
      </c>
      <c r="G321" s="110">
        <f t="shared" si="126"/>
        <v>0.33638275333259493</v>
      </c>
      <c r="H321" s="409" t="b">
        <f>Wh_hp&gt;='2028'!Maxi_hp</f>
        <v>1</v>
      </c>
      <c r="I321" s="385">
        <f>IF(H321,Wh_hp,'2028'!Maxi_hp)</f>
        <v>45.328740601797037</v>
      </c>
      <c r="J321" s="85">
        <f>IF(H321,An,'2028'!An_max)</f>
        <v>2029</v>
      </c>
      <c r="K321" s="193">
        <f t="shared" si="104"/>
        <v>47425</v>
      </c>
      <c r="L321" s="143">
        <f>IF(t&lt;Tvie,1-EXP((T0-t)*PertePVj)+'2028'!Pspv,1-EXP((T0-t)*PertePVj)+Pspv)</f>
        <v>4.0249045969335651E-2</v>
      </c>
      <c r="M321" s="835"/>
      <c r="N321" s="835"/>
      <c r="O321" s="48">
        <f>IF(t&lt;Tnet,'2028'!Resal+('2028'!Salim-'2028'!Resal)*(1-EXP(('2028'!Tnet-t)/('2028'!Tau_j))),Resal+(Salim-Resal)*(1-EXP((Tnet-t)/(Tau_j))))*Salcycl</f>
        <v>4.1560538973817333E-2</v>
      </c>
      <c r="P321" s="165">
        <f>(INDEX(Models!$BJ321:$BT321,,T321)*(1-R321)+INDEX(Models!$BJ321:$BT321,,T321+1)*R321-ERP_i)*Q321*Ramure*Pc/MaxiM</f>
        <v>3.4351430954051199E-4</v>
      </c>
      <c r="Q321" s="301">
        <f t="shared" si="105"/>
        <v>0.5</v>
      </c>
      <c r="R321" s="173">
        <f t="shared" si="106"/>
        <v>0.46346827652610817</v>
      </c>
      <c r="S321" s="801">
        <f t="shared" si="107"/>
        <v>0</v>
      </c>
      <c r="T321" s="172">
        <f t="shared" si="108"/>
        <v>6</v>
      </c>
      <c r="U321" s="247">
        <f t="shared" si="109"/>
        <v>0.46346827652610817</v>
      </c>
      <c r="V321" s="378">
        <f t="shared" si="110"/>
        <v>123.91216888870809</v>
      </c>
      <c r="W321" s="397">
        <f t="shared" si="111"/>
        <v>41.695493098941846</v>
      </c>
      <c r="X321" s="153">
        <f t="shared" si="112"/>
        <v>47425</v>
      </c>
      <c r="Y321" s="380">
        <f t="shared" si="113"/>
        <v>40.725122153822419</v>
      </c>
      <c r="Z321" s="380">
        <f t="shared" si="114"/>
        <v>42.433010337514325</v>
      </c>
      <c r="AA321" s="381">
        <f t="shared" si="115"/>
        <v>45.319956278142243</v>
      </c>
      <c r="AB321" s="193">
        <f t="shared" si="116"/>
        <v>47425</v>
      </c>
      <c r="AC321" s="119">
        <f>IF(OR(t&lt;Tnet,NoTnet),'2028'!Resal_s+('2028'!Salim-'2028'!Resal_s)*(1-EXP(('2028'!Tnet_s-t)/'2028'!Tau_j)),Resal_s+(Salim-Resal_s)*(1-EXP((Tnet_s-t)/Tau_j)))*Salcycl</f>
        <v>6.3701428194454998E-2</v>
      </c>
      <c r="AD321" s="227">
        <f>(INDEX(Models!$BJ321:$BT321,,AH321)*(1-AF321)+INDEX(Models!$BJ321:$BT321,,AH321+1)*AF321-ERP_i)*AE321*Ramure*Pc/MaxiM</f>
        <v>3.7173311390665165E-3</v>
      </c>
      <c r="AE321" s="301">
        <f t="shared" si="117"/>
        <v>0.5</v>
      </c>
      <c r="AF321" s="173">
        <f t="shared" si="118"/>
        <v>0.98845584290008626</v>
      </c>
      <c r="AG321" s="801">
        <f t="shared" si="124"/>
        <v>3</v>
      </c>
      <c r="AH321" s="172">
        <f t="shared" si="119"/>
        <v>9</v>
      </c>
      <c r="AI321" s="221">
        <f t="shared" si="120"/>
        <v>3.9884558429000863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47426</v>
      </c>
      <c r="B322" s="406">
        <f>'2028'!Wh/'2028'!Env_an*'2029'!Env_an</f>
        <v>49.417988687466135</v>
      </c>
      <c r="C322" s="831"/>
      <c r="D322" s="388">
        <f t="shared" si="102"/>
        <v>51.491134215547447</v>
      </c>
      <c r="E322" s="380">
        <f t="shared" si="125"/>
        <v>53.724749577635578</v>
      </c>
      <c r="F322" s="380">
        <f t="shared" si="103"/>
        <v>53.727665968753364</v>
      </c>
      <c r="G322" s="110">
        <f t="shared" si="126"/>
        <v>0.40274027333783885</v>
      </c>
      <c r="H322" s="409" t="b">
        <f>Wh_hp&gt;='2028'!Maxi_hp</f>
        <v>1</v>
      </c>
      <c r="I322" s="385">
        <f>IF(H322,Wh_hp,'2028'!Maxi_hp)</f>
        <v>53.727665968753364</v>
      </c>
      <c r="J322" s="85">
        <f>IF(H322,An,'2028'!An_max)</f>
        <v>2029</v>
      </c>
      <c r="K322" s="193">
        <f t="shared" si="104"/>
        <v>47426</v>
      </c>
      <c r="L322" s="143">
        <f>IF(t&lt;Tvie,1-EXP((T0-t)*PertePVj)+'2028'!Pspv,1-EXP((T0-t)*PertePVj)+Pspv)</f>
        <v>4.0262184153934122E-2</v>
      </c>
      <c r="M322" s="835"/>
      <c r="N322" s="835"/>
      <c r="O322" s="48">
        <f>IF(t&lt;Tnet,'2028'!Resal+('2028'!Salim-'2028'!Resal)*(1-EXP(('2028'!Tnet-t)/('2028'!Tau_j))),Resal+(Salim-Resal)*(1-EXP((Tnet-t)/(Tau_j))))*Salcycl</f>
        <v>4.1575165629398017E-2</v>
      </c>
      <c r="P322" s="165">
        <f>(INDEX(Models!$BJ322:$BT322,,T322)*(1-R322)+INDEX(Models!$BJ322:$BT322,,T322+1)*R322-ERP_i)*Q322*Ramure*Pc/MaxiM</f>
        <v>3.6937612593775912E-4</v>
      </c>
      <c r="Q322" s="301">
        <f t="shared" si="105"/>
        <v>0.5</v>
      </c>
      <c r="R322" s="173">
        <f t="shared" si="106"/>
        <v>0.46351802147628052</v>
      </c>
      <c r="S322" s="801">
        <f t="shared" si="107"/>
        <v>0</v>
      </c>
      <c r="T322" s="172">
        <f t="shared" si="108"/>
        <v>6</v>
      </c>
      <c r="U322" s="247">
        <f t="shared" si="109"/>
        <v>0.46351802147628052</v>
      </c>
      <c r="V322" s="378">
        <f t="shared" si="110"/>
        <v>122.66569733662452</v>
      </c>
      <c r="W322" s="397">
        <f t="shared" si="111"/>
        <v>49.417988687466135</v>
      </c>
      <c r="X322" s="153">
        <f t="shared" si="112"/>
        <v>47426</v>
      </c>
      <c r="Y322" s="380">
        <f t="shared" si="113"/>
        <v>48.252973671129034</v>
      </c>
      <c r="Z322" s="380">
        <f t="shared" si="114"/>
        <v>50.27724538351255</v>
      </c>
      <c r="AA322" s="381">
        <f t="shared" si="115"/>
        <v>53.69642942500672</v>
      </c>
      <c r="AB322" s="193">
        <f t="shared" si="116"/>
        <v>47426</v>
      </c>
      <c r="AC322" s="119">
        <f>IF(OR(t&lt;Tnet,NoTnet),'2028'!Resal_s+('2028'!Salim-'2028'!Resal_s)*(1-EXP(('2028'!Tnet_s-t)/'2028'!Tau_j)),Resal_s+(Salim-Resal_s)*(1-EXP((Tnet_s-t)/Tau_j)))*Salcycl</f>
        <v>6.3676189983348147E-2</v>
      </c>
      <c r="AD322" s="227">
        <f>(INDEX(Models!$BJ322:$BT322,,AH322)*(1-AF322)+INDEX(Models!$BJ322:$BT322,,AH322+1)*AF322-ERP_i)*AE322*Ramure*Pc/MaxiM</f>
        <v>3.9562709701191148E-3</v>
      </c>
      <c r="AE322" s="301">
        <f t="shared" si="117"/>
        <v>0.5</v>
      </c>
      <c r="AF322" s="173">
        <f t="shared" si="118"/>
        <v>0.98850558785025866</v>
      </c>
      <c r="AG322" s="801">
        <f t="shared" si="124"/>
        <v>3</v>
      </c>
      <c r="AH322" s="172">
        <f t="shared" si="119"/>
        <v>9</v>
      </c>
      <c r="AI322" s="221">
        <f t="shared" si="120"/>
        <v>3.9885055878502587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47427</v>
      </c>
      <c r="B323" s="406">
        <f>'2028'!Wh/'2028'!Env_an*'2029'!Env_an</f>
        <v>116.21863755189635</v>
      </c>
      <c r="C323" s="831"/>
      <c r="D323" s="388">
        <f t="shared" si="102"/>
        <v>121.09581032479409</v>
      </c>
      <c r="E323" s="380">
        <f t="shared" si="125"/>
        <v>126.35071029251682</v>
      </c>
      <c r="F323" s="380">
        <f t="shared" si="103"/>
        <v>126.39760433382892</v>
      </c>
      <c r="G323" s="110">
        <f t="shared" si="126"/>
        <v>0.95710443414837898</v>
      </c>
      <c r="H323" s="409" t="b">
        <f>Wh_hp&gt;='2028'!Maxi_hp</f>
        <v>1</v>
      </c>
      <c r="I323" s="385">
        <f>IF(H323,Wh_hp,'2028'!Maxi_hp)</f>
        <v>126.39760433382892</v>
      </c>
      <c r="J323" s="85">
        <f>IF(H323,An,'2028'!An_max)</f>
        <v>2029</v>
      </c>
      <c r="K323" s="193">
        <f t="shared" si="104"/>
        <v>47427</v>
      </c>
      <c r="L323" s="143">
        <f>IF(t&lt;Tvie,1-EXP((T0-t)*PertePVj)+'2028'!Pspv,1-EXP((T0-t)*PertePVj)+Pspv)</f>
        <v>4.0275322158682014E-2</v>
      </c>
      <c r="M323" s="835"/>
      <c r="N323" s="835"/>
      <c r="O323" s="48">
        <f>IF(t&lt;Tnet,'2028'!Resal+('2028'!Salim-'2028'!Resal)*(1-EXP(('2028'!Tnet-t)/('2028'!Tau_j))),Resal+(Salim-Resal)*(1-EXP((Tnet-t)/(Tau_j))))*Salcycl</f>
        <v>4.1589793643083024E-2</v>
      </c>
      <c r="P323" s="165">
        <f>(INDEX(Models!$BJ323:$BT323,,T323)*(1-R323)+INDEX(Models!$BJ323:$BT323,,T323+1)*R323-ERP_i)*Q323*Ramure*Pc/MaxiM</f>
        <v>3.95209289281498E-4</v>
      </c>
      <c r="Q323" s="301">
        <f t="shared" si="105"/>
        <v>0.5</v>
      </c>
      <c r="R323" s="173">
        <f t="shared" si="106"/>
        <v>0.46356577286666995</v>
      </c>
      <c r="S323" s="801">
        <f t="shared" si="107"/>
        <v>0</v>
      </c>
      <c r="T323" s="172">
        <f t="shared" si="108"/>
        <v>6</v>
      </c>
      <c r="U323" s="247">
        <f t="shared" si="109"/>
        <v>0.46356577286666995</v>
      </c>
      <c r="V323" s="378">
        <f t="shared" si="110"/>
        <v>121.42439140201954</v>
      </c>
      <c r="W323" s="397">
        <f t="shared" si="111"/>
        <v>116.21863755189635</v>
      </c>
      <c r="X323" s="153">
        <f t="shared" si="112"/>
        <v>47427</v>
      </c>
      <c r="Y323" s="380">
        <f t="shared" si="113"/>
        <v>113.1380744104098</v>
      </c>
      <c r="Z323" s="380">
        <f t="shared" si="114"/>
        <v>117.88596982302062</v>
      </c>
      <c r="AA323" s="381">
        <f t="shared" si="115"/>
        <v>125.89961544901875</v>
      </c>
      <c r="AB323" s="193">
        <f t="shared" si="116"/>
        <v>47427</v>
      </c>
      <c r="AC323" s="119">
        <f>IF(OR(t&lt;Tnet,NoTnet),'2028'!Resal_s+('2028'!Salim-'2028'!Resal_s)*(1-EXP(('2028'!Tnet_s-t)/'2028'!Tau_j)),Resal_s+(Salim-Resal_s)*(1-EXP((Tnet_s-t)/Tau_j)))*Salcycl</f>
        <v>6.3651073098337937E-2</v>
      </c>
      <c r="AD323" s="227">
        <f>(INDEX(Models!$BJ323:$BT323,,AH323)*(1-AF323)+INDEX(Models!$BJ323:$BT323,,AH323+1)*AF323-ERP_i)*AE323*Ramure*Pc/MaxiM</f>
        <v>4.1969049313978274E-3</v>
      </c>
      <c r="AE323" s="301">
        <f t="shared" si="117"/>
        <v>0.5</v>
      </c>
      <c r="AF323" s="173">
        <f t="shared" si="118"/>
        <v>0.98855333924064803</v>
      </c>
      <c r="AG323" s="801">
        <f t="shared" si="124"/>
        <v>3</v>
      </c>
      <c r="AH323" s="172">
        <f t="shared" si="119"/>
        <v>9</v>
      </c>
      <c r="AI323" s="221">
        <f t="shared" si="120"/>
        <v>3.988553339240648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47428</v>
      </c>
      <c r="B324" s="406">
        <f>'2028'!Wh/'2028'!Env_an*'2029'!Env_an</f>
        <v>116.63072629907866</v>
      </c>
      <c r="C324" s="831"/>
      <c r="D324" s="388">
        <f t="shared" si="102"/>
        <v>121.52685618126816</v>
      </c>
      <c r="E324" s="380">
        <f t="shared" si="125"/>
        <v>126.80240253114286</v>
      </c>
      <c r="F324" s="380">
        <f t="shared" si="103"/>
        <v>126.85349150450422</v>
      </c>
      <c r="G324" s="110">
        <f t="shared" si="126"/>
        <v>0.97036647567043433</v>
      </c>
      <c r="H324" s="409" t="b">
        <f>Wh_hp&gt;='2028'!Maxi_hp</f>
        <v>1</v>
      </c>
      <c r="I324" s="385">
        <f>IF(H324,Wh_hp,'2028'!Maxi_hp)</f>
        <v>126.85349150450422</v>
      </c>
      <c r="J324" s="85">
        <f>IF(H324,An,'2028'!An_max)</f>
        <v>2029</v>
      </c>
      <c r="K324" s="193">
        <f t="shared" si="104"/>
        <v>47428</v>
      </c>
      <c r="L324" s="143">
        <f>IF(t&lt;Tvie,1-EXP((T0-t)*PertePVj)+'2028'!Pspv,1-EXP((T0-t)*PertePVj)+Pspv)</f>
        <v>4.0288459983581548E-2</v>
      </c>
      <c r="M324" s="835"/>
      <c r="N324" s="835"/>
      <c r="O324" s="48">
        <f>IF(t&lt;Tnet,'2028'!Resal+('2028'!Salim-'2028'!Resal)*(1-EXP(('2028'!Tnet-t)/('2028'!Tau_j))),Resal+(Salim-Resal)*(1-EXP((Tnet-t)/(Tau_j))))*Salcycl</f>
        <v>4.1604466828449954E-2</v>
      </c>
      <c r="P324" s="165">
        <f>(INDEX(Models!$BJ324:$BT324,,T324)*(1-R324)+INDEX(Models!$BJ324:$BT324,,T324+1)*R324-ERP_i)*Q324*Ramure*Pc/MaxiM</f>
        <v>4.2053225616970323E-4</v>
      </c>
      <c r="Q324" s="301">
        <f t="shared" si="105"/>
        <v>0.5</v>
      </c>
      <c r="R324" s="173">
        <f t="shared" si="106"/>
        <v>0.46361161023113912</v>
      </c>
      <c r="S324" s="801">
        <f t="shared" si="107"/>
        <v>0</v>
      </c>
      <c r="T324" s="172">
        <f t="shared" si="108"/>
        <v>6</v>
      </c>
      <c r="U324" s="247">
        <f t="shared" si="109"/>
        <v>0.46361161023113912</v>
      </c>
      <c r="V324" s="378">
        <f t="shared" si="110"/>
        <v>120.19031289905719</v>
      </c>
      <c r="W324" s="397">
        <f t="shared" si="111"/>
        <v>116.63072629907866</v>
      </c>
      <c r="X324" s="153">
        <f t="shared" si="112"/>
        <v>47428</v>
      </c>
      <c r="Y324" s="380">
        <f t="shared" si="113"/>
        <v>113.51281942635292</v>
      </c>
      <c r="Z324" s="380">
        <f t="shared" si="114"/>
        <v>118.27806032676337</v>
      </c>
      <c r="AA324" s="381">
        <f t="shared" si="115"/>
        <v>126.31499648169107</v>
      </c>
      <c r="AB324" s="193">
        <f t="shared" si="116"/>
        <v>47428</v>
      </c>
      <c r="AC324" s="119">
        <f>IF(OR(t&lt;Tnet,NoTnet),'2028'!Resal_s+('2028'!Salim-'2028'!Resal_s)*(1-EXP(('2028'!Tnet_s-t)/'2028'!Tau_j)),Resal_s+(Salim-Resal_s)*(1-EXP((Tnet_s-t)/Tau_j)))*Salcycl</f>
        <v>6.3626143995440976E-2</v>
      </c>
      <c r="AD324" s="227">
        <f>(INDEX(Models!$BJ324:$BT324,,AH324)*(1-AF324)+INDEX(Models!$BJ324:$BT324,,AH324+1)*AF324-ERP_i)*AE324*Ramure*Pc/MaxiM</f>
        <v>4.4325519183568592E-3</v>
      </c>
      <c r="AE324" s="301">
        <f t="shared" si="117"/>
        <v>0.5</v>
      </c>
      <c r="AF324" s="173">
        <f t="shared" si="118"/>
        <v>0.98859917660511742</v>
      </c>
      <c r="AG324" s="801">
        <f t="shared" si="124"/>
        <v>3</v>
      </c>
      <c r="AH324" s="172">
        <f t="shared" si="119"/>
        <v>9</v>
      </c>
      <c r="AI324" s="221">
        <f t="shared" si="120"/>
        <v>3.9885991766051174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47429</v>
      </c>
      <c r="B325" s="406">
        <f>'2028'!Wh/'2028'!Env_an*'2029'!Env_an</f>
        <v>112.6136954715604</v>
      </c>
      <c r="C325" s="831"/>
      <c r="D325" s="388">
        <f t="shared" si="102"/>
        <v>117.34279768862577</v>
      </c>
      <c r="E325" s="380">
        <f t="shared" si="125"/>
        <v>122.43859771525868</v>
      </c>
      <c r="F325" s="380">
        <f t="shared" si="103"/>
        <v>122.48886210517838</v>
      </c>
      <c r="G325" s="110">
        <f t="shared" si="126"/>
        <v>0.94657516870298397</v>
      </c>
      <c r="H325" s="409" t="b">
        <f>Wh_hp&gt;='2028'!Maxi_hp</f>
        <v>1</v>
      </c>
      <c r="I325" s="385">
        <f>IF(H325,Wh_hp,'2028'!Maxi_hp)</f>
        <v>122.48886210517838</v>
      </c>
      <c r="J325" s="85">
        <f>IF(H325,An,'2028'!An_max)</f>
        <v>2029</v>
      </c>
      <c r="K325" s="193">
        <f t="shared" si="104"/>
        <v>47429</v>
      </c>
      <c r="L325" s="143">
        <f>IF(t&lt;Tvie,1-EXP((T0-t)*PertePVj)+'2028'!Pspv,1-EXP((T0-t)*PertePVj)+Pspv)</f>
        <v>4.0301597628635388E-2</v>
      </c>
      <c r="M325" s="835"/>
      <c r="N325" s="835"/>
      <c r="O325" s="48">
        <f>IF(t&lt;Tnet,'2028'!Resal+('2028'!Salim-'2028'!Resal)*(1-EXP(('2028'!Tnet-t)/('2028'!Tau_j))),Resal+(Salim-Resal)*(1-EXP((Tnet-t)/(Tau_j))))*Salcycl</f>
        <v>4.1619228917368203E-2</v>
      </c>
      <c r="P325" s="165">
        <f>(INDEX(Models!$BJ325:$BT325,,T325)*(1-R325)+INDEX(Models!$BJ325:$BT325,,T325+1)*R325-ERP_i)*Q325*Ramure*Pc/MaxiM</f>
        <v>4.4424370319999355E-4</v>
      </c>
      <c r="Q325" s="301">
        <f t="shared" si="105"/>
        <v>0.5</v>
      </c>
      <c r="R325" s="173">
        <f t="shared" si="106"/>
        <v>0.46365560995881022</v>
      </c>
      <c r="S325" s="801">
        <f t="shared" si="107"/>
        <v>0</v>
      </c>
      <c r="T325" s="172">
        <f t="shared" si="108"/>
        <v>6</v>
      </c>
      <c r="U325" s="247">
        <f t="shared" si="109"/>
        <v>0.46365560995881022</v>
      </c>
      <c r="V325" s="378">
        <f t="shared" si="110"/>
        <v>118.96559484231192</v>
      </c>
      <c r="W325" s="397">
        <f t="shared" si="111"/>
        <v>112.6136954715604</v>
      </c>
      <c r="X325" s="153">
        <f t="shared" si="112"/>
        <v>47429</v>
      </c>
      <c r="Y325" s="380">
        <f t="shared" si="113"/>
        <v>109.60222688588638</v>
      </c>
      <c r="Z325" s="380">
        <f t="shared" si="114"/>
        <v>114.20486541924527</v>
      </c>
      <c r="AA325" s="381">
        <f t="shared" si="115"/>
        <v>121.96181605938179</v>
      </c>
      <c r="AB325" s="193">
        <f t="shared" si="116"/>
        <v>47429</v>
      </c>
      <c r="AC325" s="119">
        <f>IF(OR(t&lt;Tnet,NoTnet),'2028'!Resal_s+('2028'!Salim-'2028'!Resal_s)*(1-EXP(('2028'!Tnet_s-t)/'2028'!Tau_j)),Resal_s+(Salim-Resal_s)*(1-EXP((Tnet_s-t)/Tau_j)))*Salcycl</f>
        <v>6.3601468810203371E-2</v>
      </c>
      <c r="AD325" s="227">
        <f>(INDEX(Models!$BJ325:$BT325,,AH325)*(1-AF325)+INDEX(Models!$BJ325:$BT325,,AH325+1)*AF325-ERP_i)*AE325*Ramure*Pc/MaxiM</f>
        <v>4.6581066141583262E-3</v>
      </c>
      <c r="AE325" s="301">
        <f t="shared" si="117"/>
        <v>0.5</v>
      </c>
      <c r="AF325" s="173">
        <f t="shared" si="118"/>
        <v>0.98864317633278853</v>
      </c>
      <c r="AG325" s="801">
        <f t="shared" si="124"/>
        <v>3</v>
      </c>
      <c r="AH325" s="172">
        <f t="shared" si="119"/>
        <v>9</v>
      </c>
      <c r="AI325" s="221">
        <f t="shared" si="120"/>
        <v>3.9886431763327885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47430</v>
      </c>
      <c r="B326" s="406">
        <f>'2028'!Wh/'2028'!Env_an*'2029'!Env_an</f>
        <v>75.383767265691105</v>
      </c>
      <c r="C326" s="831"/>
      <c r="D326" s="388">
        <f t="shared" si="102"/>
        <v>78.550510279078566</v>
      </c>
      <c r="E326" s="380">
        <f t="shared" si="125"/>
        <v>81.962966538865075</v>
      </c>
      <c r="F326" s="380">
        <f t="shared" si="103"/>
        <v>81.981545807683716</v>
      </c>
      <c r="G326" s="110">
        <f t="shared" si="126"/>
        <v>0.64003619506836384</v>
      </c>
      <c r="H326" s="409" t="b">
        <f>Wh_hp&gt;='2028'!Maxi_hp</f>
        <v>1</v>
      </c>
      <c r="I326" s="385">
        <f>IF(H326,Wh_hp,'2028'!Maxi_hp)</f>
        <v>81.981545807683716</v>
      </c>
      <c r="J326" s="85">
        <f>IF(H326,An,'2028'!An_max)</f>
        <v>2029</v>
      </c>
      <c r="K326" s="193">
        <f t="shared" si="104"/>
        <v>47430</v>
      </c>
      <c r="L326" s="143">
        <f>IF(t&lt;Tvie,1-EXP((T0-t)*PertePVj)+'2028'!Pspv,1-EXP((T0-t)*PertePVj)+Pspv)</f>
        <v>4.0314735093845755E-2</v>
      </c>
      <c r="M326" s="835"/>
      <c r="N326" s="835"/>
      <c r="O326" s="48">
        <f>IF(t&lt;Tnet,'2028'!Resal+('2028'!Salim-'2028'!Resal)*(1-EXP(('2028'!Tnet-t)/('2028'!Tau_j))),Resal+(Salim-Resal)*(1-EXP((Tnet-t)/(Tau_j))))*Salcycl</f>
        <v>4.1634123359461213E-2</v>
      </c>
      <c r="P326" s="165">
        <f>(INDEX(Models!$BJ326:$BT326,,T326)*(1-R326)+INDEX(Models!$BJ326:$BT326,,T326+1)*R326-ERP_i)*Q326*Ramure*Pc/MaxiM</f>
        <v>4.6632577211972527E-4</v>
      </c>
      <c r="Q326" s="301">
        <f t="shared" si="105"/>
        <v>0.5</v>
      </c>
      <c r="R326" s="173">
        <f t="shared" si="106"/>
        <v>0.46369784541617626</v>
      </c>
      <c r="S326" s="801">
        <f t="shared" si="107"/>
        <v>0</v>
      </c>
      <c r="T326" s="172">
        <f t="shared" si="108"/>
        <v>6</v>
      </c>
      <c r="U326" s="247">
        <f t="shared" si="109"/>
        <v>0.46369784541617626</v>
      </c>
      <c r="V326" s="378">
        <f t="shared" si="110"/>
        <v>117.75223712043999</v>
      </c>
      <c r="W326" s="397">
        <f t="shared" si="111"/>
        <v>75.383767265691105</v>
      </c>
      <c r="X326" s="153">
        <f t="shared" si="112"/>
        <v>47430</v>
      </c>
      <c r="Y326" s="380">
        <f t="shared" si="113"/>
        <v>73.499965527615871</v>
      </c>
      <c r="Z326" s="380">
        <f t="shared" si="114"/>
        <v>76.587573254866314</v>
      </c>
      <c r="AA326" s="381">
        <f t="shared" si="115"/>
        <v>81.787378675251801</v>
      </c>
      <c r="AB326" s="193">
        <f t="shared" si="116"/>
        <v>47430</v>
      </c>
      <c r="AC326" s="119">
        <f>IF(OR(t&lt;Tnet,NoTnet),'2028'!Resal_s+('2028'!Salim-'2028'!Resal_s)*(1-EXP(('2028'!Tnet_s-t)/'2028'!Tau_j)),Resal_s+(Salim-Resal_s)*(1-EXP((Tnet_s-t)/Tau_j)))*Salcycl</f>
        <v>6.3577113053494935E-2</v>
      </c>
      <c r="AD326" s="227">
        <f>(INDEX(Models!$BJ326:$BT326,,AH326)*(1-AF326)+INDEX(Models!$BJ326:$BT326,,AH326+1)*AF326-ERP_i)*AE326*Ramure*Pc/MaxiM</f>
        <v>4.8734500176190283E-3</v>
      </c>
      <c r="AE326" s="301">
        <f t="shared" si="117"/>
        <v>0.5</v>
      </c>
      <c r="AF326" s="173">
        <f t="shared" si="118"/>
        <v>0.98868541179015423</v>
      </c>
      <c r="AG326" s="801">
        <f t="shared" si="124"/>
        <v>3</v>
      </c>
      <c r="AH326" s="172">
        <f t="shared" si="119"/>
        <v>9</v>
      </c>
      <c r="AI326" s="221">
        <f t="shared" si="120"/>
        <v>3.9886854117901542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47431</v>
      </c>
      <c r="B327" s="406">
        <f>'2028'!Wh/'2028'!Env_an*'2029'!Env_an</f>
        <v>42.533306403215235</v>
      </c>
      <c r="C327" s="831"/>
      <c r="D327" s="388">
        <f t="shared" si="102"/>
        <v>44.32066450514057</v>
      </c>
      <c r="E327" s="380">
        <f t="shared" si="125"/>
        <v>46.246806688151544</v>
      </c>
      <c r="F327" s="380">
        <f t="shared" si="103"/>
        <v>46.248894817272948</v>
      </c>
      <c r="G327" s="110">
        <f t="shared" si="126"/>
        <v>0.36476795788288846</v>
      </c>
      <c r="H327" s="409" t="b">
        <f>Wh_hp&gt;='2028'!Maxi_hp</f>
        <v>1</v>
      </c>
      <c r="I327" s="385">
        <f>IF(H327,Wh_hp,'2028'!Maxi_hp)</f>
        <v>46.248894817272948</v>
      </c>
      <c r="J327" s="85">
        <f>IF(H327,An,'2028'!An_max)</f>
        <v>2029</v>
      </c>
      <c r="K327" s="193">
        <f t="shared" si="104"/>
        <v>47431</v>
      </c>
      <c r="L327" s="143">
        <f>IF(t&lt;Tvie,1-EXP((T0-t)*PertePVj)+'2028'!Pspv,1-EXP((T0-t)*PertePVj)+Pspv)</f>
        <v>4.0327872379215424E-2</v>
      </c>
      <c r="M327" s="835"/>
      <c r="N327" s="835"/>
      <c r="O327" s="48">
        <f>IF(t&lt;Tnet,'2028'!Resal+('2028'!Salim-'2028'!Resal)*(1-EXP(('2028'!Tnet-t)/('2028'!Tau_j))),Resal+(Salim-Resal)*(1-EXP((Tnet-t)/(Tau_j))))*Salcycl</f>
        <v>4.164919312157514E-2</v>
      </c>
      <c r="P327" s="165">
        <f>(INDEX(Models!$BJ327:$BT327,,T327)*(1-R327)+INDEX(Models!$BJ327:$BT327,,T327+1)*R327-ERP_i)*Q327*Ramure*Pc/MaxiM</f>
        <v>4.8675957667992963E-4</v>
      </c>
      <c r="Q327" s="301">
        <f t="shared" si="105"/>
        <v>0.5</v>
      </c>
      <c r="R327" s="173">
        <f t="shared" si="106"/>
        <v>0.46373838706464576</v>
      </c>
      <c r="S327" s="801">
        <f t="shared" si="107"/>
        <v>0</v>
      </c>
      <c r="T327" s="172">
        <f t="shared" si="108"/>
        <v>6</v>
      </c>
      <c r="U327" s="247">
        <f t="shared" si="109"/>
        <v>0.46373838706464576</v>
      </c>
      <c r="V327" s="378">
        <f t="shared" si="110"/>
        <v>116.55223961732436</v>
      </c>
      <c r="W327" s="397">
        <f t="shared" si="111"/>
        <v>42.533306403215235</v>
      </c>
      <c r="X327" s="153">
        <f t="shared" si="112"/>
        <v>47431</v>
      </c>
      <c r="Y327" s="380">
        <f t="shared" si="113"/>
        <v>41.543468405365239</v>
      </c>
      <c r="Z327" s="380">
        <f t="shared" si="114"/>
        <v>43.289230988045517</v>
      </c>
      <c r="AA327" s="381">
        <f t="shared" si="115"/>
        <v>46.2271089771615</v>
      </c>
      <c r="AB327" s="193">
        <f t="shared" si="116"/>
        <v>47431</v>
      </c>
      <c r="AC327" s="119">
        <f>IF(OR(t&lt;Tnet,NoTnet),'2028'!Resal_s+('2028'!Salim-'2028'!Resal_s)*(1-EXP(('2028'!Tnet_s-t)/'2028'!Tau_j)),Resal_s+(Salim-Resal_s)*(1-EXP((Tnet_s-t)/Tau_j)))*Salcycl</f>
        <v>6.3553141308651667E-2</v>
      </c>
      <c r="AD327" s="227">
        <f>(INDEX(Models!$BJ327:$BT327,,AH327)*(1-AF327)+INDEX(Models!$BJ327:$BT327,,AH327+1)*AF327-ERP_i)*AE327*Ramure*Pc/MaxiM</f>
        <v>5.0784533396672571E-3</v>
      </c>
      <c r="AE327" s="301">
        <f t="shared" si="117"/>
        <v>0.5</v>
      </c>
      <c r="AF327" s="173">
        <f t="shared" si="118"/>
        <v>0.98872595343862368</v>
      </c>
      <c r="AG327" s="801">
        <f t="shared" si="124"/>
        <v>3</v>
      </c>
      <c r="AH327" s="172">
        <f t="shared" si="119"/>
        <v>9</v>
      </c>
      <c r="AI327" s="221">
        <f t="shared" si="120"/>
        <v>3.9887259534386237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47432</v>
      </c>
      <c r="B328" s="406">
        <f>'2028'!Wh/'2028'!Env_an*'2029'!Env_an</f>
        <v>88.322228056022425</v>
      </c>
      <c r="C328" s="831"/>
      <c r="D328" s="388">
        <f t="shared" si="102"/>
        <v>92.035013404710639</v>
      </c>
      <c r="E328" s="380">
        <f t="shared" si="125"/>
        <v>96.036316645802685</v>
      </c>
      <c r="F328" s="380">
        <f t="shared" si="103"/>
        <v>96.068617451676303</v>
      </c>
      <c r="G328" s="110">
        <f t="shared" si="126"/>
        <v>0.76544253724433653</v>
      </c>
      <c r="H328" s="409" t="b">
        <f>Wh_hp&gt;='2028'!Maxi_hp</f>
        <v>1</v>
      </c>
      <c r="I328" s="385">
        <f>IF(H328,Wh_hp,'2028'!Maxi_hp)</f>
        <v>96.068617451676303</v>
      </c>
      <c r="J328" s="85">
        <f>IF(H328,An,'2028'!An_max)</f>
        <v>2029</v>
      </c>
      <c r="K328" s="193">
        <f t="shared" si="104"/>
        <v>47432</v>
      </c>
      <c r="L328" s="143">
        <f>IF(t&lt;Tvie,1-EXP((T0-t)*PertePVj)+'2028'!Pspv,1-EXP((T0-t)*PertePVj)+Pspv)</f>
        <v>4.0341009484746615E-2</v>
      </c>
      <c r="M328" s="835"/>
      <c r="N328" s="835"/>
      <c r="O328" s="48">
        <f>IF(t&lt;Tnet,'2028'!Resal+('2028'!Salim-'2028'!Resal)*(1-EXP(('2028'!Tnet-t)/('2028'!Tau_j))),Resal+(Salim-Resal)*(1-EXP((Tnet-t)/(Tau_j))))*Salcycl</f>
        <v>4.1664480488662323E-2</v>
      </c>
      <c r="P328" s="165">
        <f>(INDEX(Models!$BJ328:$BT328,,T328)*(1-R328)+INDEX(Models!$BJ328:$BT328,,T328+1)*R328-ERP_i)*Q328*Ramure*Pc/MaxiM</f>
        <v>5.0552521790975333E-4</v>
      </c>
      <c r="Q328" s="301">
        <f t="shared" si="105"/>
        <v>0.5</v>
      </c>
      <c r="R328" s="173">
        <f t="shared" si="106"/>
        <v>0.46377730257368094</v>
      </c>
      <c r="S328" s="801">
        <f t="shared" si="107"/>
        <v>0</v>
      </c>
      <c r="T328" s="172">
        <f t="shared" si="108"/>
        <v>6</v>
      </c>
      <c r="U328" s="247">
        <f t="shared" si="109"/>
        <v>0.46377730257368094</v>
      </c>
      <c r="V328" s="378">
        <f t="shared" si="110"/>
        <v>115.36760224527741</v>
      </c>
      <c r="W328" s="397">
        <f t="shared" si="111"/>
        <v>88.322228056022425</v>
      </c>
      <c r="X328" s="153">
        <f t="shared" si="112"/>
        <v>47432</v>
      </c>
      <c r="Y328" s="380">
        <f t="shared" si="113"/>
        <v>86.03333216628063</v>
      </c>
      <c r="Z328" s="380">
        <f t="shared" si="114"/>
        <v>89.649899617038145</v>
      </c>
      <c r="AA328" s="381">
        <f t="shared" si="115"/>
        <v>95.731697700190779</v>
      </c>
      <c r="AB328" s="193">
        <f t="shared" si="116"/>
        <v>47432</v>
      </c>
      <c r="AC328" s="119">
        <f>IF(OR(t&lt;Tnet,NoTnet),'2028'!Resal_s+('2028'!Salim-'2028'!Resal_s)*(1-EXP(('2028'!Tnet_s-t)/'2028'!Tau_j)),Resal_s+(Salim-Resal_s)*(1-EXP((Tnet_s-t)/Tau_j)))*Salcycl</f>
        <v>6.3529616932099103E-2</v>
      </c>
      <c r="AD328" s="227">
        <f>(INDEX(Models!$BJ328:$BT328,,AH328)*(1-AF328)+INDEX(Models!$BJ328:$BT328,,AH328+1)*AF328-ERP_i)*AE328*Ramure*Pc/MaxiM</f>
        <v>5.2729777533812739E-3</v>
      </c>
      <c r="AE328" s="301">
        <f t="shared" si="117"/>
        <v>0.5</v>
      </c>
      <c r="AF328" s="173">
        <f t="shared" si="118"/>
        <v>0.98876486894765891</v>
      </c>
      <c r="AG328" s="801">
        <f t="shared" si="124"/>
        <v>3</v>
      </c>
      <c r="AH328" s="172">
        <f t="shared" si="119"/>
        <v>9</v>
      </c>
      <c r="AI328" s="221">
        <f t="shared" si="120"/>
        <v>3.9887648689476589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47433</v>
      </c>
      <c r="B329" s="406">
        <f>'2028'!Wh/'2028'!Env_an*'2029'!Env_an</f>
        <v>107.47337441709927</v>
      </c>
      <c r="C329" s="831"/>
      <c r="D329" s="388">
        <f t="shared" si="102"/>
        <v>111.99274608971091</v>
      </c>
      <c r="E329" s="380">
        <f t="shared" si="125"/>
        <v>116.86362512474214</v>
      </c>
      <c r="F329" s="380">
        <f t="shared" si="103"/>
        <v>116.9195857607769</v>
      </c>
      <c r="G329" s="110">
        <f t="shared" si="126"/>
        <v>0.94105376521471684</v>
      </c>
      <c r="H329" s="409" t="b">
        <f>Wh_hp&gt;='2028'!Maxi_hp</f>
        <v>1</v>
      </c>
      <c r="I329" s="385">
        <f>IF(H329,Wh_hp,'2028'!Maxi_hp)</f>
        <v>116.9195857607769</v>
      </c>
      <c r="J329" s="85">
        <f>IF(H329,An,'2028'!An_max)</f>
        <v>2029</v>
      </c>
      <c r="K329" s="193">
        <f t="shared" si="104"/>
        <v>47433</v>
      </c>
      <c r="L329" s="143">
        <f>IF(t&lt;Tvie,1-EXP((T0-t)*PertePVj)+'2028'!Pspv,1-EXP((T0-t)*PertePVj)+Pspv)</f>
        <v>4.0354146410441882E-2</v>
      </c>
      <c r="M329" s="835"/>
      <c r="N329" s="835"/>
      <c r="O329" s="48">
        <f>IF(t&lt;Tnet,'2028'!Resal+('2028'!Salim-'2028'!Resal)*(1-EXP(('2028'!Tnet-t)/('2028'!Tau_j))),Resal+(Salim-Resal)*(1-EXP((Tnet-t)/(Tau_j))))*Salcycl</f>
        <v>4.16800268674875E-2</v>
      </c>
      <c r="P329" s="165">
        <f>(INDEX(Models!$BJ329:$BT329,,T329)*(1-R329)+INDEX(Models!$BJ329:$BT329,,T329+1)*R329-ERP_i)*Q329*Ramure*Pc/MaxiM</f>
        <v>5.2260180821099523E-4</v>
      </c>
      <c r="Q329" s="301">
        <f t="shared" si="105"/>
        <v>0.5</v>
      </c>
      <c r="R329" s="173">
        <f t="shared" si="106"/>
        <v>0.46381465692967805</v>
      </c>
      <c r="S329" s="801">
        <f t="shared" si="107"/>
        <v>0</v>
      </c>
      <c r="T329" s="172">
        <f t="shared" si="108"/>
        <v>6</v>
      </c>
      <c r="U329" s="247">
        <f t="shared" si="109"/>
        <v>0.46381465692967805</v>
      </c>
      <c r="V329" s="378">
        <f t="shared" si="110"/>
        <v>114.2003249864629</v>
      </c>
      <c r="W329" s="397">
        <f t="shared" si="111"/>
        <v>107.47337441709927</v>
      </c>
      <c r="X329" s="153">
        <f t="shared" si="112"/>
        <v>47433</v>
      </c>
      <c r="Y329" s="380">
        <f t="shared" si="113"/>
        <v>104.55073081902931</v>
      </c>
      <c r="Z329" s="380">
        <f t="shared" si="114"/>
        <v>108.94720216625436</v>
      </c>
      <c r="AA329" s="381">
        <f t="shared" si="115"/>
        <v>116.33525913899136</v>
      </c>
      <c r="AB329" s="193">
        <f t="shared" si="116"/>
        <v>47433</v>
      </c>
      <c r="AC329" s="119">
        <f>IF(OR(t&lt;Tnet,NoTnet),'2028'!Resal_s+('2028'!Salim-'2028'!Resal_s)*(1-EXP(('2028'!Tnet_s-t)/'2028'!Tau_j)),Resal_s+(Salim-Resal_s)*(1-EXP((Tnet_s-t)/Tau_j)))*Salcycl</f>
        <v>6.3506601759575995E-2</v>
      </c>
      <c r="AD329" s="227">
        <f>(INDEX(Models!$BJ329:$BT329,,AH329)*(1-AF329)+INDEX(Models!$BJ329:$BT329,,AH329+1)*AF329-ERP_i)*AE329*Ramure*Pc/MaxiM</f>
        <v>5.456874166714018E-3</v>
      </c>
      <c r="AE329" s="301">
        <f t="shared" si="117"/>
        <v>0.5</v>
      </c>
      <c r="AF329" s="173">
        <f t="shared" si="118"/>
        <v>0.98880222330365619</v>
      </c>
      <c r="AG329" s="801">
        <f t="shared" si="124"/>
        <v>3</v>
      </c>
      <c r="AH329" s="172">
        <f t="shared" si="119"/>
        <v>9</v>
      </c>
      <c r="AI329" s="221">
        <f t="shared" si="120"/>
        <v>3.9888022233036562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47434</v>
      </c>
      <c r="B330" s="406">
        <f>'2028'!Wh/'2028'!Env_an*'2029'!Env_an</f>
        <v>105.98592205313393</v>
      </c>
      <c r="C330" s="831"/>
      <c r="D330" s="388">
        <f t="shared" si="102"/>
        <v>110.44425663365202</v>
      </c>
      <c r="E330" s="380">
        <f t="shared" si="125"/>
        <v>115.24969315604771</v>
      </c>
      <c r="F330" s="380">
        <f t="shared" si="103"/>
        <v>115.30618509981954</v>
      </c>
      <c r="G330" s="110">
        <f t="shared" si="126"/>
        <v>0.93744865937084032</v>
      </c>
      <c r="H330" s="409" t="b">
        <f>Wh_hp&gt;='2028'!Maxi_hp</f>
        <v>1</v>
      </c>
      <c r="I330" s="385">
        <f>IF(H330,Wh_hp,'2028'!Maxi_hp)</f>
        <v>115.30618509981954</v>
      </c>
      <c r="J330" s="85">
        <f>IF(H330,An,'2028'!An_max)</f>
        <v>2029</v>
      </c>
      <c r="K330" s="193">
        <f t="shared" si="104"/>
        <v>47434</v>
      </c>
      <c r="L330" s="143">
        <f>IF(t&lt;Tvie,1-EXP((T0-t)*PertePVj)+'2028'!Pspv,1-EXP((T0-t)*PertePVj)+Pspv)</f>
        <v>4.0367283156303557E-2</v>
      </c>
      <c r="M330" s="835"/>
      <c r="N330" s="835"/>
      <c r="O330" s="48">
        <f>IF(t&lt;Tnet,'2028'!Resal+('2028'!Salim-'2028'!Resal)*(1-EXP(('2028'!Tnet-t)/('2028'!Tau_j))),Resal+(Salim-Resal)*(1-EXP((Tnet-t)/(Tau_j))))*Salcycl</f>
        <v>4.1695872594551327E-2</v>
      </c>
      <c r="P330" s="165">
        <f>(INDEX(Models!$BJ330:$BT330,,T330)*(1-R330)+INDEX(Models!$BJ330:$BT330,,T330+1)*R330-ERP_i)*Q330*Ramure*Pc/MaxiM</f>
        <v>5.3796750791062261E-4</v>
      </c>
      <c r="Q330" s="301">
        <f t="shared" si="105"/>
        <v>0.5</v>
      </c>
      <c r="R330" s="173">
        <f t="shared" si="106"/>
        <v>0.46385051254074128</v>
      </c>
      <c r="S330" s="801">
        <f t="shared" si="107"/>
        <v>0</v>
      </c>
      <c r="T330" s="172">
        <f t="shared" si="108"/>
        <v>6</v>
      </c>
      <c r="U330" s="247">
        <f t="shared" si="109"/>
        <v>0.46385051254074128</v>
      </c>
      <c r="V330" s="378">
        <f t="shared" si="110"/>
        <v>113.05240792049541</v>
      </c>
      <c r="W330" s="397">
        <f t="shared" si="111"/>
        <v>105.98592205313393</v>
      </c>
      <c r="X330" s="153">
        <f t="shared" si="112"/>
        <v>47434</v>
      </c>
      <c r="Y330" s="380">
        <f t="shared" si="113"/>
        <v>103.09564312129612</v>
      </c>
      <c r="Z330" s="380">
        <f t="shared" si="114"/>
        <v>107.43239711583134</v>
      </c>
      <c r="AA330" s="381">
        <f t="shared" si="115"/>
        <v>114.71498083398983</v>
      </c>
      <c r="AB330" s="193">
        <f t="shared" si="116"/>
        <v>47434</v>
      </c>
      <c r="AC330" s="119">
        <f>IF(OR(t&lt;Tnet,NoTnet),'2028'!Resal_s+('2028'!Salim-'2028'!Resal_s)*(1-EXP(('2028'!Tnet_s-t)/'2028'!Tau_j)),Resal_s+(Salim-Resal_s)*(1-EXP((Tnet_s-t)/Tau_j)))*Salcycl</f>
        <v>6.3484155820045046E-2</v>
      </c>
      <c r="AD330" s="227">
        <f>(INDEX(Models!$BJ330:$BT330,,AH330)*(1-AF330)+INDEX(Models!$BJ330:$BT330,,AH330+1)*AF330-ERP_i)*AE330*Ramure*Pc/MaxiM</f>
        <v>5.6299830439386217E-3</v>
      </c>
      <c r="AE330" s="301">
        <f t="shared" si="117"/>
        <v>0.5</v>
      </c>
      <c r="AF330" s="173">
        <f t="shared" si="118"/>
        <v>0.98883807891471953</v>
      </c>
      <c r="AG330" s="801">
        <f t="shared" si="124"/>
        <v>3</v>
      </c>
      <c r="AH330" s="172">
        <f t="shared" si="119"/>
        <v>9</v>
      </c>
      <c r="AI330" s="221">
        <f t="shared" si="120"/>
        <v>3.9888380789147195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47435</v>
      </c>
      <c r="B331" s="406">
        <f>'2028'!Wh/'2028'!Env_an*'2029'!Env_an</f>
        <v>104.67824187008584</v>
      </c>
      <c r="C331" s="831"/>
      <c r="D331" s="388">
        <f t="shared" si="102"/>
        <v>109.08306168554545</v>
      </c>
      <c r="E331" s="380">
        <f t="shared" si="125"/>
        <v>113.83119494913889</v>
      </c>
      <c r="F331" s="380">
        <f t="shared" si="103"/>
        <v>113.88822170257234</v>
      </c>
      <c r="G331" s="110">
        <f t="shared" si="126"/>
        <v>0.9353134863791317</v>
      </c>
      <c r="H331" s="409" t="b">
        <f>Wh_hp&gt;='2028'!Maxi_hp</f>
        <v>1</v>
      </c>
      <c r="I331" s="385">
        <f>IF(H331,Wh_hp,'2028'!Maxi_hp)</f>
        <v>113.88822170257234</v>
      </c>
      <c r="J331" s="85">
        <f>IF(H331,An,'2028'!An_max)</f>
        <v>2029</v>
      </c>
      <c r="K331" s="193">
        <f t="shared" si="104"/>
        <v>47435</v>
      </c>
      <c r="L331" s="143">
        <f>IF(t&lt;Tvie,1-EXP((T0-t)*PertePVj)+'2028'!Pspv,1-EXP((T0-t)*PertePVj)+Pspv)</f>
        <v>4.0380419722334304E-2</v>
      </c>
      <c r="M331" s="835"/>
      <c r="N331" s="835"/>
      <c r="O331" s="48">
        <f>IF(t&lt;Tnet,'2028'!Resal+('2028'!Salim-'2028'!Resal)*(1-EXP(('2028'!Tnet-t)/('2028'!Tau_j))),Resal+(Salim-Resal)*(1-EXP((Tnet-t)/(Tau_j))))*Salcycl</f>
        <v>4.1712056749601614E-2</v>
      </c>
      <c r="P331" s="165">
        <f>(INDEX(Models!$BJ331:$BT331,,T331)*(1-R331)+INDEX(Models!$BJ331:$BT331,,T331+1)*R331-ERP_i)*Q331*Ramure*Pc/MaxiM</f>
        <v>5.5166726436843886E-4</v>
      </c>
      <c r="Q331" s="301">
        <f t="shared" si="105"/>
        <v>0.5</v>
      </c>
      <c r="R331" s="173">
        <f t="shared" si="106"/>
        <v>0.46388492933749198</v>
      </c>
      <c r="S331" s="801">
        <f t="shared" si="107"/>
        <v>0</v>
      </c>
      <c r="T331" s="172">
        <f t="shared" si="108"/>
        <v>6</v>
      </c>
      <c r="U331" s="247">
        <f t="shared" si="109"/>
        <v>0.46388492933749198</v>
      </c>
      <c r="V331" s="378">
        <f t="shared" si="110"/>
        <v>111.9121110130198</v>
      </c>
      <c r="W331" s="397">
        <f t="shared" si="111"/>
        <v>104.67824187008584</v>
      </c>
      <c r="X331" s="153">
        <f t="shared" si="112"/>
        <v>47435</v>
      </c>
      <c r="Y331" s="380">
        <f t="shared" si="113"/>
        <v>101.81544105004112</v>
      </c>
      <c r="Z331" s="380">
        <f t="shared" si="114"/>
        <v>106.09979531741197</v>
      </c>
      <c r="AA331" s="381">
        <f t="shared" si="115"/>
        <v>113.28940577174983</v>
      </c>
      <c r="AB331" s="193">
        <f t="shared" si="116"/>
        <v>47435</v>
      </c>
      <c r="AC331" s="119">
        <f>IF(OR(t&lt;Tnet,NoTnet),'2028'!Resal_s+('2028'!Salim-'2028'!Resal_s)*(1-EXP(('2028'!Tnet_s-t)/'2028'!Tau_j)),Resal_s+(Salim-Resal_s)*(1-EXP((Tnet_s-t)/Tau_j)))*Salcycl</f>
        <v>6.3462337059328799E-2</v>
      </c>
      <c r="AD331" s="227">
        <f>(INDEX(Models!$BJ331:$BT331,,AH331)*(1-AF331)+INDEX(Models!$BJ331:$BT331,,AH331+1)*AF331-ERP_i)*AE331*Ramure*Pc/MaxiM</f>
        <v>5.7928450512729325E-3</v>
      </c>
      <c r="AE331" s="301">
        <f t="shared" si="117"/>
        <v>0.5</v>
      </c>
      <c r="AF331" s="173">
        <f t="shared" si="118"/>
        <v>0.98887249571147029</v>
      </c>
      <c r="AG331" s="801">
        <f t="shared" si="124"/>
        <v>3</v>
      </c>
      <c r="AH331" s="172">
        <f t="shared" si="119"/>
        <v>9</v>
      </c>
      <c r="AI331" s="221">
        <f t="shared" si="120"/>
        <v>3.9888724957114703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47436</v>
      </c>
      <c r="B332" s="406">
        <f>'2028'!Wh/'2028'!Env_an*'2029'!Env_an</f>
        <v>39.945563910943164</v>
      </c>
      <c r="C332" s="831"/>
      <c r="D332" s="388">
        <f t="shared" si="102"/>
        <v>41.627027585343328</v>
      </c>
      <c r="E332" s="380">
        <f t="shared" si="125"/>
        <v>43.439706457668088</v>
      </c>
      <c r="F332" s="380">
        <f t="shared" si="103"/>
        <v>43.441828167821527</v>
      </c>
      <c r="G332" s="110">
        <f t="shared" si="126"/>
        <v>0.36043461162028673</v>
      </c>
      <c r="H332" s="409" t="b">
        <f>Wh_hp&gt;='2028'!Maxi_hp</f>
        <v>1</v>
      </c>
      <c r="I332" s="385">
        <f>IF(H332,Wh_hp,'2028'!Maxi_hp)</f>
        <v>43.441828167821527</v>
      </c>
      <c r="J332" s="85">
        <f>IF(H332,An,'2028'!An_max)</f>
        <v>2029</v>
      </c>
      <c r="K332" s="193">
        <f t="shared" si="104"/>
        <v>47436</v>
      </c>
      <c r="L332" s="143">
        <f>IF(t&lt;Tvie,1-EXP((T0-t)*PertePVj)+'2028'!Pspv,1-EXP((T0-t)*PertePVj)+Pspv)</f>
        <v>4.0393556108536566E-2</v>
      </c>
      <c r="M332" s="835"/>
      <c r="N332" s="835"/>
      <c r="O332" s="48">
        <f>IF(t&lt;Tnet,'2028'!Resal+('2028'!Salim-'2028'!Resal)*(1-EXP(('2028'!Tnet-t)/('2028'!Tau_j))),Resal+(Salim-Resal)*(1-EXP((Tnet-t)/(Tau_j))))*Salcycl</f>
        <v>4.172861697606562E-2</v>
      </c>
      <c r="P332" s="165">
        <f>(INDEX(Models!$BJ332:$BT332,,T332)*(1-R332)+INDEX(Models!$BJ332:$BT332,,T332+1)*R332-ERP_i)*Q332*Ramure*Pc/MaxiM</f>
        <v>5.6397167508477522E-4</v>
      </c>
      <c r="Q332" s="301">
        <f t="shared" si="105"/>
        <v>0.5</v>
      </c>
      <c r="R332" s="173">
        <f t="shared" si="106"/>
        <v>0.46391796487005366</v>
      </c>
      <c r="S332" s="801">
        <f t="shared" si="107"/>
        <v>0</v>
      </c>
      <c r="T332" s="172">
        <f t="shared" si="108"/>
        <v>6</v>
      </c>
      <c r="U332" s="247">
        <f t="shared" si="109"/>
        <v>0.46391796487005366</v>
      </c>
      <c r="V332" s="378">
        <f t="shared" si="110"/>
        <v>110.76901164272043</v>
      </c>
      <c r="W332" s="397">
        <f t="shared" si="111"/>
        <v>39.945563910943164</v>
      </c>
      <c r="X332" s="153">
        <f t="shared" si="112"/>
        <v>47436</v>
      </c>
      <c r="Y332" s="380">
        <f t="shared" si="113"/>
        <v>39.022306738612293</v>
      </c>
      <c r="Z332" s="380">
        <f t="shared" si="114"/>
        <v>40.664906938688631</v>
      </c>
      <c r="AA332" s="381">
        <f t="shared" si="115"/>
        <v>43.419491638307939</v>
      </c>
      <c r="AB332" s="193">
        <f t="shared" si="116"/>
        <v>47436</v>
      </c>
      <c r="AC332" s="119">
        <f>IF(OR(t&lt;Tnet,NoTnet),'2028'!Resal_s+('2028'!Salim-'2028'!Resal_s)*(1-EXP(('2028'!Tnet_s-t)/'2028'!Tau_j)),Resal_s+(Salim-Resal_s)*(1-EXP((Tnet_s-t)/Tau_j)))*Salcycl</f>
        <v>6.3441201075440656E-2</v>
      </c>
      <c r="AD332" s="227">
        <f>(INDEX(Models!$BJ332:$BT332,,AH332)*(1-AF332)+INDEX(Models!$BJ332:$BT332,,AH332+1)*AF332-ERP_i)*AE332*Ramure*Pc/MaxiM</f>
        <v>5.9372718488087759E-3</v>
      </c>
      <c r="AE332" s="301">
        <f t="shared" si="117"/>
        <v>0.5</v>
      </c>
      <c r="AF332" s="173">
        <f t="shared" si="118"/>
        <v>0.9889055312440318</v>
      </c>
      <c r="AG332" s="801">
        <f t="shared" si="124"/>
        <v>3</v>
      </c>
      <c r="AH332" s="172">
        <f t="shared" si="119"/>
        <v>9</v>
      </c>
      <c r="AI332" s="221">
        <f t="shared" si="120"/>
        <v>3.9889055312440318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47437</v>
      </c>
      <c r="B333" s="406">
        <f>'2028'!Wh/'2028'!Env_an*'2029'!Env_an</f>
        <v>50.253887462571065</v>
      </c>
      <c r="C333" s="831"/>
      <c r="D333" s="388">
        <f t="shared" si="102"/>
        <v>52.369985347024773</v>
      </c>
      <c r="E333" s="380">
        <f t="shared" si="125"/>
        <v>54.651441999936381</v>
      </c>
      <c r="F333" s="380">
        <f t="shared" si="103"/>
        <v>54.658568853194588</v>
      </c>
      <c r="G333" s="110">
        <f t="shared" si="126"/>
        <v>0.4582036484117174</v>
      </c>
      <c r="H333" s="409" t="b">
        <f>Wh_hp&gt;='2028'!Maxi_hp</f>
        <v>1</v>
      </c>
      <c r="I333" s="385">
        <f>IF(H333,Wh_hp,'2028'!Maxi_hp)</f>
        <v>54.658568853194588</v>
      </c>
      <c r="J333" s="85">
        <f>IF(H333,An,'2028'!An_max)</f>
        <v>2029</v>
      </c>
      <c r="K333" s="193">
        <f t="shared" si="104"/>
        <v>47437</v>
      </c>
      <c r="L333" s="143">
        <f>IF(t&lt;Tvie,1-EXP((T0-t)*PertePVj)+'2028'!Pspv,1-EXP((T0-t)*PertePVj)+Pspv)</f>
        <v>4.0406692314912562E-2</v>
      </c>
      <c r="M333" s="835"/>
      <c r="N333" s="835"/>
      <c r="O333" s="48">
        <f>IF(t&lt;Tnet,'2028'!Resal+('2028'!Salim-'2028'!Resal)*(1-EXP(('2028'!Tnet-t)/('2028'!Tau_j))),Resal+(Salim-Resal)*(1-EXP((Tnet-t)/(Tau_j))))*Salcycl</f>
        <v>4.1745589309688511E-2</v>
      </c>
      <c r="P333" s="165">
        <f>(INDEX(Models!$BJ333:$BT333,,T333)*(1-R333)+INDEX(Models!$BJ333:$BT333,,T333+1)*R333-ERP_i)*Q333*Ramure*Pc/MaxiM</f>
        <v>5.7618295349217276E-4</v>
      </c>
      <c r="Q333" s="301">
        <f t="shared" si="105"/>
        <v>0.5</v>
      </c>
      <c r="R333" s="173">
        <f t="shared" si="106"/>
        <v>0.46394967440134877</v>
      </c>
      <c r="S333" s="801">
        <f t="shared" si="107"/>
        <v>0</v>
      </c>
      <c r="T333" s="172">
        <f t="shared" si="108"/>
        <v>6</v>
      </c>
      <c r="U333" s="247">
        <f t="shared" si="109"/>
        <v>0.46394967440134877</v>
      </c>
      <c r="V333" s="378">
        <f t="shared" si="110"/>
        <v>109.62697877902887</v>
      </c>
      <c r="W333" s="397">
        <f t="shared" si="111"/>
        <v>50.253887462571065</v>
      </c>
      <c r="X333" s="153">
        <f t="shared" si="112"/>
        <v>47437</v>
      </c>
      <c r="Y333" s="380">
        <f t="shared" si="113"/>
        <v>49.05612107459627</v>
      </c>
      <c r="Z333" s="380">
        <f t="shared" si="114"/>
        <v>51.121783240588378</v>
      </c>
      <c r="AA333" s="381">
        <f t="shared" si="115"/>
        <v>54.583513372856679</v>
      </c>
      <c r="AB333" s="193">
        <f t="shared" si="116"/>
        <v>47437</v>
      </c>
      <c r="AC333" s="119">
        <f>IF(OR(t&lt;Tnet,NoTnet),'2028'!Resal_s+('2028'!Salim-'2028'!Resal_s)*(1-EXP(('2028'!Tnet_s-t)/'2028'!Tau_j)),Resal_s+(Salim-Resal_s)*(1-EXP((Tnet_s-t)/Tau_j)))*Salcycl</f>
        <v>6.342080086749706E-2</v>
      </c>
      <c r="AD333" s="227">
        <f>(INDEX(Models!$BJ333:$BT333,,AH333)*(1-AF333)+INDEX(Models!$BJ333:$BT333,,AH333+1)*AF333-ERP_i)*AE333*Ramure*Pc/MaxiM</f>
        <v>6.0679919692566541E-3</v>
      </c>
      <c r="AE333" s="301">
        <f t="shared" si="117"/>
        <v>0.5</v>
      </c>
      <c r="AF333" s="173">
        <f t="shared" si="118"/>
        <v>0.98893724077532674</v>
      </c>
      <c r="AG333" s="801">
        <f t="shared" si="124"/>
        <v>3</v>
      </c>
      <c r="AH333" s="172">
        <f t="shared" si="119"/>
        <v>9</v>
      </c>
      <c r="AI333" s="221">
        <f t="shared" si="120"/>
        <v>3.9889372407753267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47438</v>
      </c>
      <c r="B334" s="406">
        <f>'2028'!Wh/'2028'!Env_an*'2029'!Env_an</f>
        <v>104.76871761275254</v>
      </c>
      <c r="C334" s="831"/>
      <c r="D334" s="388">
        <f t="shared" si="102"/>
        <v>109.18182837362163</v>
      </c>
      <c r="E334" s="380">
        <f t="shared" si="125"/>
        <v>113.94031882199923</v>
      </c>
      <c r="F334" s="380">
        <f t="shared" si="103"/>
        <v>114.00409995295183</v>
      </c>
      <c r="G334" s="110">
        <f t="shared" si="126"/>
        <v>0.9656711888070294</v>
      </c>
      <c r="H334" s="409" t="b">
        <f>Wh_hp&gt;='2028'!Maxi_hp</f>
        <v>1</v>
      </c>
      <c r="I334" s="385">
        <f>IF(H334,Wh_hp,'2028'!Maxi_hp)</f>
        <v>114.00409995295183</v>
      </c>
      <c r="J334" s="85">
        <f>IF(H334,An,'2028'!An_max)</f>
        <v>2029</v>
      </c>
      <c r="K334" s="193">
        <f t="shared" si="104"/>
        <v>47438</v>
      </c>
      <c r="L334" s="143">
        <f>IF(t&lt;Tvie,1-EXP((T0-t)*PertePVj)+'2028'!Pspv,1-EXP((T0-t)*PertePVj)+Pspv)</f>
        <v>4.0419828341465069E-2</v>
      </c>
      <c r="M334" s="835"/>
      <c r="N334" s="835"/>
      <c r="O334" s="48">
        <f>IF(t&lt;Tnet,'2028'!Resal+('2028'!Salim-'2028'!Resal)*(1-EXP(('2028'!Tnet-t)/('2028'!Tau_j))),Resal+(Salim-Resal)*(1-EXP((Tnet-t)/(Tau_j))))*Salcycl</f>
        <v>4.1763008016604222E-2</v>
      </c>
      <c r="P334" s="165">
        <f>(INDEX(Models!$BJ334:$BT334,,T334)*(1-R334)+INDEX(Models!$BJ334:$BT334,,T334+1)*R334-ERP_i)*Q334*Ramure*Pc/MaxiM</f>
        <v>5.8829052429730272E-4</v>
      </c>
      <c r="Q334" s="301">
        <f t="shared" si="105"/>
        <v>0.5</v>
      </c>
      <c r="R334" s="173">
        <f t="shared" si="106"/>
        <v>0.46398011099683834</v>
      </c>
      <c r="S334" s="801">
        <f t="shared" si="107"/>
        <v>0</v>
      </c>
      <c r="T334" s="172">
        <f t="shared" si="108"/>
        <v>6</v>
      </c>
      <c r="U334" s="247">
        <f t="shared" si="109"/>
        <v>0.46398011099683834</v>
      </c>
      <c r="V334" s="378">
        <f t="shared" si="110"/>
        <v>108.49002948872695</v>
      </c>
      <c r="W334" s="397">
        <f t="shared" si="111"/>
        <v>104.76871761275254</v>
      </c>
      <c r="X334" s="153">
        <f t="shared" si="112"/>
        <v>47438</v>
      </c>
      <c r="Y334" s="380">
        <f t="shared" si="113"/>
        <v>101.85759253352003</v>
      </c>
      <c r="Z334" s="380">
        <f t="shared" si="114"/>
        <v>106.14807969350777</v>
      </c>
      <c r="AA334" s="381">
        <f t="shared" si="115"/>
        <v>113.33356200631221</v>
      </c>
      <c r="AB334" s="193">
        <f t="shared" si="116"/>
        <v>47438</v>
      </c>
      <c r="AC334" s="119">
        <f>IF(OR(t&lt;Tnet,NoTnet),'2028'!Resal_s+('2028'!Salim-'2028'!Resal_s)*(1-EXP(('2028'!Tnet_s-t)/'2028'!Tau_j)),Resal_s+(Salim-Resal_s)*(1-EXP((Tnet_s-t)/Tau_j)))*Salcycl</f>
        <v>6.3401186599996162E-2</v>
      </c>
      <c r="AD334" s="227">
        <f>(INDEX(Models!$BJ334:$BT334,,AH334)*(1-AF334)+INDEX(Models!$BJ334:$BT334,,AH334+1)*AF334-ERP_i)*AE334*Ramure*Pc/MaxiM</f>
        <v>6.1847620808574916E-3</v>
      </c>
      <c r="AE334" s="301">
        <f t="shared" si="117"/>
        <v>0.5</v>
      </c>
      <c r="AF334" s="173">
        <f t="shared" si="118"/>
        <v>0.98896767737081648</v>
      </c>
      <c r="AG334" s="801">
        <f t="shared" si="124"/>
        <v>3</v>
      </c>
      <c r="AH334" s="172">
        <f t="shared" si="119"/>
        <v>9</v>
      </c>
      <c r="AI334" s="221">
        <f t="shared" si="120"/>
        <v>3.9889676773708165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47439</v>
      </c>
      <c r="B335" s="406">
        <f>'2028'!Wh/'2028'!Env_an*'2029'!Env_an</f>
        <v>62.22115531783227</v>
      </c>
      <c r="C335" s="831"/>
      <c r="D335" s="388">
        <f t="shared" ref="D335:D379" si="127">Wh/(1-Ppv)</f>
        <v>64.842947908472624</v>
      </c>
      <c r="E335" s="380">
        <f t="shared" si="125"/>
        <v>67.670273194026137</v>
      </c>
      <c r="F335" s="380">
        <f t="shared" ref="F335:F379" si="128">Wh_sa/(1-Pvg*MEDIAN((-Sdif+Wh/Env_an)/Csdif,0,1))</f>
        <v>67.686499129807729</v>
      </c>
      <c r="G335" s="110">
        <f t="shared" si="126"/>
        <v>0.57933543343271998</v>
      </c>
      <c r="H335" s="409" t="b">
        <f>Wh_hp&gt;='2028'!Maxi_hp</f>
        <v>1</v>
      </c>
      <c r="I335" s="385">
        <f>IF(H335,Wh_hp,'2028'!Maxi_hp)</f>
        <v>67.686499129807729</v>
      </c>
      <c r="J335" s="85">
        <f>IF(H335,An,'2028'!An_max)</f>
        <v>2029</v>
      </c>
      <c r="K335" s="193">
        <f t="shared" ref="K335:K379" si="129">t</f>
        <v>47439</v>
      </c>
      <c r="L335" s="143">
        <f>IF(t&lt;Tvie,1-EXP((T0-t)*PertePVj)+'2028'!Pspv,1-EXP((T0-t)*PertePVj)+Pspv)</f>
        <v>4.0432964188196308E-2</v>
      </c>
      <c r="M335" s="835"/>
      <c r="N335" s="835"/>
      <c r="O335" s="48">
        <f>IF(t&lt;Tnet,'2028'!Resal+('2028'!Salim-'2028'!Resal)*(1-EXP(('2028'!Tnet-t)/('2028'!Tau_j))),Resal+(Salim-Resal)*(1-EXP((Tnet-t)/(Tau_j))))*Salcycl</f>
        <v>4.1780905441994108E-2</v>
      </c>
      <c r="P335" s="165">
        <f>(INDEX(Models!$BJ335:$BT335,,T335)*(1-R335)+INDEX(Models!$BJ335:$BT335,,T335+1)*R335-ERP_i)*Q335*Ramure*Pc/MaxiM</f>
        <v>6.0028138513725047E-4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0.46400932561083258</v>
      </c>
      <c r="S335" s="801">
        <f t="shared" ref="S335:S379" si="132">INDEX(Echel_vg,T335)</f>
        <v>0</v>
      </c>
      <c r="T335" s="172">
        <f t="shared" ref="T335:T379" si="133">MIN(MATCH(Hp_vg,Echel_vg),10)</f>
        <v>6</v>
      </c>
      <c r="U335" s="247">
        <f t="shared" ref="U335:U379" si="134">IF(OR(t&lt;Ttai,Notai),Hdd+PousH*Croivg,Hdtf+PousH*(Croivg-Croi_tai))</f>
        <v>0.46400932561083258</v>
      </c>
      <c r="V335" s="378">
        <f t="shared" ref="V335:V379" si="135">MaxiM*(1-Ppv)*(1-Pvg)*(1-Psa)</f>
        <v>107.36218073506477</v>
      </c>
      <c r="W335" s="397">
        <f t="shared" ref="W335:W379" si="136">Wh*(A335&gt;Tmaj)</f>
        <v>62.22115531783227</v>
      </c>
      <c r="X335" s="153">
        <f t="shared" ref="X335:X379" si="137">t</f>
        <v>47439</v>
      </c>
      <c r="Y335" s="380">
        <f t="shared" ref="Y335:Y379" si="138">Wh_pvt_s*(1-Ppv)</f>
        <v>60.680321602461376</v>
      </c>
      <c r="Z335" s="380">
        <f t="shared" ref="Z335:Z379" si="139">Wh_sa_s*(1-Psa_s)</f>
        <v>63.237188583833742</v>
      </c>
      <c r="AA335" s="381">
        <f t="shared" ref="AA335:AA379" si="140">Wh_hp*(1-Pvg_s*MEDIAN((-Sdif+Wh/Env_an)/Csdif,0,1))</f>
        <v>67.516549921068943</v>
      </c>
      <c r="AB335" s="193">
        <f t="shared" ref="AB335:AB379" si="141">t</f>
        <v>47439</v>
      </c>
      <c r="AC335" s="119">
        <f>IF(OR(t&lt;Tnet,NoTnet),'2028'!Resal_s+('2028'!Salim-'2028'!Resal_s)*(1-EXP(('2028'!Tnet_s-t)/'2028'!Tau_j)),Resal_s+(Salim-Resal_s)*(1-EXP((Tnet_s-t)/Tau_j)))*Salcycl</f>
        <v>6.3382405384132257E-2</v>
      </c>
      <c r="AD335" s="227">
        <f>(INDEX(Models!$BJ335:$BT335,,AH335)*(1-AF335)+INDEX(Models!$BJ335:$BT335,,AH335+1)*AF335-ERP_i)*AE335*Ramure*Pc/MaxiM</f>
        <v>6.2873012563287485E-3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0.98899689198481067</v>
      </c>
      <c r="AG335" s="801">
        <f t="shared" si="124"/>
        <v>3</v>
      </c>
      <c r="AH335" s="172">
        <f t="shared" ref="AH335:AH379" si="144">MIN(MATCH(Hp_vg_s,Echel_vg),10)</f>
        <v>9</v>
      </c>
      <c r="AI335" s="221">
        <f t="shared" ref="AI335:AI379" si="145">IF(OR(t&lt;Ttai,Notai),Hdd_s+PousH*Croivg,Hdtai_s+PousH*(Croivg-Croi_tai))</f>
        <v>3.9889968919848107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47440</v>
      </c>
      <c r="B336" s="406">
        <f>'2028'!Wh/'2028'!Env_an*'2029'!Env_an</f>
        <v>49.380633049882661</v>
      </c>
      <c r="C336" s="831"/>
      <c r="D336" s="388">
        <f t="shared" si="127"/>
        <v>51.462073201334775</v>
      </c>
      <c r="E336" s="380">
        <f t="shared" si="125"/>
        <v>53.706988357302102</v>
      </c>
      <c r="F336" s="380">
        <f t="shared" si="128"/>
        <v>53.714728061427358</v>
      </c>
      <c r="G336" s="110">
        <f t="shared" si="126"/>
        <v>0.46455248927547449</v>
      </c>
      <c r="H336" s="409" t="b">
        <f>Wh_hp&gt;='2028'!Maxi_hp</f>
        <v>1</v>
      </c>
      <c r="I336" s="385">
        <f>IF(H336,Wh_hp,'2028'!Maxi_hp)</f>
        <v>53.714728061427358</v>
      </c>
      <c r="J336" s="85">
        <f>IF(H336,An,'2028'!An_max)</f>
        <v>2029</v>
      </c>
      <c r="K336" s="193">
        <f t="shared" si="129"/>
        <v>47440</v>
      </c>
      <c r="L336" s="143">
        <f>IF(t&lt;Tvie,1-EXP((T0-t)*PertePVj)+'2028'!Pspv,1-EXP((T0-t)*PertePVj)+Pspv)</f>
        <v>4.0446099855108941E-2</v>
      </c>
      <c r="M336" s="835"/>
      <c r="N336" s="835"/>
      <c r="O336" s="48">
        <f>IF(t&lt;Tnet,'2028'!Resal+('2028'!Salim-'2028'!Resal)*(1-EXP(('2028'!Tnet-t)/('2028'!Tau_j))),Resal+(Salim-Resal)*(1-EXP((Tnet-t)/(Tau_j))))*Salcycl</f>
        <v>4.1799311870409632E-2</v>
      </c>
      <c r="P336" s="165">
        <f>(INDEX(Models!$BJ336:$BT336,,T336)*(1-R336)+INDEX(Models!$BJ336:$BT336,,T336+1)*R336-ERP_i)*Q336*Ramure*Pc/MaxiM</f>
        <v>6.1213995358570274E-4</v>
      </c>
      <c r="Q336" s="301">
        <f t="shared" si="130"/>
        <v>0.5</v>
      </c>
      <c r="R336" s="173">
        <f t="shared" si="131"/>
        <v>0.46403736716949595</v>
      </c>
      <c r="S336" s="801">
        <f t="shared" si="132"/>
        <v>0</v>
      </c>
      <c r="T336" s="172">
        <f t="shared" si="133"/>
        <v>6</v>
      </c>
      <c r="U336" s="247">
        <f t="shared" si="134"/>
        <v>0.46403736716949595</v>
      </c>
      <c r="V336" s="378">
        <f t="shared" si="135"/>
        <v>106.24744933811931</v>
      </c>
      <c r="W336" s="397">
        <f t="shared" si="136"/>
        <v>49.380633049882661</v>
      </c>
      <c r="X336" s="153">
        <f t="shared" si="137"/>
        <v>47440</v>
      </c>
      <c r="Y336" s="380">
        <f t="shared" si="138"/>
        <v>48.203786599293238</v>
      </c>
      <c r="Z336" s="380">
        <f t="shared" si="139"/>
        <v>50.235621565411329</v>
      </c>
      <c r="AA336" s="381">
        <f t="shared" si="140"/>
        <v>53.634120875422724</v>
      </c>
      <c r="AB336" s="193">
        <f t="shared" si="141"/>
        <v>47440</v>
      </c>
      <c r="AC336" s="119">
        <f>IF(OR(t&lt;Tnet,NoTnet),'2028'!Resal_s+('2028'!Salim-'2028'!Resal_s)*(1-EXP(('2028'!Tnet_s-t)/'2028'!Tau_j)),Resal_s+(Salim-Resal_s)*(1-EXP((Tnet_s-t)/Tau_j)))*Salcycl</f>
        <v>6.336450107768471E-2</v>
      </c>
      <c r="AD336" s="227">
        <f>(INDEX(Models!$BJ336:$BT336,,AH336)*(1-AF336)+INDEX(Models!$BJ336:$BT336,,AH336+1)*AF336-ERP_i)*AE336*Ramure*Pc/MaxiM</f>
        <v>6.3752926857380777E-3</v>
      </c>
      <c r="AE336" s="301">
        <f t="shared" si="142"/>
        <v>0.5</v>
      </c>
      <c r="AF336" s="173">
        <f t="shared" si="143"/>
        <v>0.98902493354347421</v>
      </c>
      <c r="AG336" s="801">
        <f t="shared" ref="AG336:AG379" si="149">INDEX(Echel_vg,AH336)</f>
        <v>3</v>
      </c>
      <c r="AH336" s="172">
        <f t="shared" si="144"/>
        <v>9</v>
      </c>
      <c r="AI336" s="221">
        <f t="shared" si="145"/>
        <v>3.9890249335434742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47441</v>
      </c>
      <c r="B337" s="406">
        <f>'2028'!Wh/'2028'!Env_an*'2029'!Env_an</f>
        <v>23.482073191773232</v>
      </c>
      <c r="C337" s="831"/>
      <c r="D337" s="388">
        <f t="shared" si="127"/>
        <v>24.472199677882102</v>
      </c>
      <c r="E337" s="380">
        <f t="shared" si="125"/>
        <v>25.540248304423862</v>
      </c>
      <c r="F337" s="380">
        <f t="shared" si="128"/>
        <v>25.540248304423862</v>
      </c>
      <c r="G337" s="110">
        <f t="shared" si="126"/>
        <v>0.22318076071007084</v>
      </c>
      <c r="H337" s="409" t="b">
        <f>Wh_hp&gt;='2028'!Maxi_hp</f>
        <v>1</v>
      </c>
      <c r="I337" s="385">
        <f>IF(H337,Wh_hp,'2028'!Maxi_hp)</f>
        <v>25.540248304423862</v>
      </c>
      <c r="J337" s="85">
        <f>IF(H337,An,'2028'!An_max)</f>
        <v>2029</v>
      </c>
      <c r="K337" s="193">
        <f t="shared" si="129"/>
        <v>47441</v>
      </c>
      <c r="L337" s="143">
        <f>IF(t&lt;Tvie,1-EXP((T0-t)*PertePVj)+'2028'!Pspv,1-EXP((T0-t)*PertePVj)+Pspv)</f>
        <v>4.0459235342205191E-2</v>
      </c>
      <c r="M337" s="835"/>
      <c r="N337" s="835"/>
      <c r="O337" s="48">
        <f>IF(t&lt;Tnet,'2028'!Resal+('2028'!Salim-'2028'!Resal)*(1-EXP(('2028'!Tnet-t)/('2028'!Tau_j))),Resal+(Salim-Resal)*(1-EXP((Tnet-t)/(Tau_j))))*Salcycl</f>
        <v>4.1818255398744938E-2</v>
      </c>
      <c r="P337" s="165">
        <f>(INDEX(Models!$BJ337:$BT337,,T337)*(1-R337)+INDEX(Models!$BJ337:$BT337,,T337+1)*R337-ERP_i)*Q337*Ramure*Pc/MaxiM</f>
        <v>6.2384792087102979E-4</v>
      </c>
      <c r="Q337" s="301">
        <f t="shared" si="130"/>
        <v>0.5</v>
      </c>
      <c r="R337" s="173">
        <f t="shared" si="131"/>
        <v>0.46406428265066646</v>
      </c>
      <c r="S337" s="801">
        <f t="shared" si="132"/>
        <v>0</v>
      </c>
      <c r="T337" s="172">
        <f t="shared" si="133"/>
        <v>6</v>
      </c>
      <c r="U337" s="247">
        <f t="shared" si="134"/>
        <v>0.46406428265066646</v>
      </c>
      <c r="V337" s="378">
        <f t="shared" si="135"/>
        <v>105.14985196112318</v>
      </c>
      <c r="W337" s="397">
        <f t="shared" si="136"/>
        <v>23.482073191773232</v>
      </c>
      <c r="X337" s="153">
        <f t="shared" si="137"/>
        <v>47441</v>
      </c>
      <c r="Y337" s="380">
        <f t="shared" si="138"/>
        <v>22.954457599480371</v>
      </c>
      <c r="Z337" s="380">
        <f t="shared" si="139"/>
        <v>23.922337064717329</v>
      </c>
      <c r="AA337" s="381">
        <f t="shared" si="140"/>
        <v>25.540248304423862</v>
      </c>
      <c r="AB337" s="193">
        <f t="shared" si="141"/>
        <v>47441</v>
      </c>
      <c r="AC337" s="119">
        <f>IF(OR(t&lt;Tnet,NoTnet),'2028'!Resal_s+('2028'!Salim-'2028'!Resal_s)*(1-EXP(('2028'!Tnet_s-t)/'2028'!Tau_j)),Resal_s+(Salim-Resal_s)*(1-EXP((Tnet_s-t)/Tau_j)))*Salcycl</f>
        <v>6.3347514104876226E-2</v>
      </c>
      <c r="AD337" s="227">
        <f>(INDEX(Models!$BJ337:$BT337,,AH337)*(1-AF337)+INDEX(Models!$BJ337:$BT337,,AH337+1)*AF337-ERP_i)*AE337*Ramure*Pc/MaxiM</f>
        <v>6.4483859169577615E-3</v>
      </c>
      <c r="AE337" s="301">
        <f t="shared" si="142"/>
        <v>0.5</v>
      </c>
      <c r="AF337" s="173">
        <f t="shared" si="143"/>
        <v>0.98905184902464471</v>
      </c>
      <c r="AG337" s="801">
        <f t="shared" si="149"/>
        <v>3</v>
      </c>
      <c r="AH337" s="172">
        <f t="shared" si="144"/>
        <v>9</v>
      </c>
      <c r="AI337" s="221">
        <f t="shared" si="145"/>
        <v>3.9890518490246447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47442</v>
      </c>
      <c r="B338" s="406">
        <f>'2028'!Wh/'2028'!Env_an*'2029'!Env_an</f>
        <v>68.667598680312437</v>
      </c>
      <c r="C338" s="831"/>
      <c r="D338" s="388">
        <f t="shared" si="127"/>
        <v>71.563961870271882</v>
      </c>
      <c r="E338" s="380">
        <f t="shared" si="125"/>
        <v>74.688772964389287</v>
      </c>
      <c r="F338" s="380">
        <f t="shared" si="128"/>
        <v>74.713119728216455</v>
      </c>
      <c r="G338" s="110">
        <f t="shared" si="126"/>
        <v>0.65959538934652717</v>
      </c>
      <c r="H338" s="409" t="b">
        <f>Wh_hp&gt;='2028'!Maxi_hp</f>
        <v>1</v>
      </c>
      <c r="I338" s="385">
        <f>IF(H338,Wh_hp,'2028'!Maxi_hp)</f>
        <v>74.713119728216455</v>
      </c>
      <c r="J338" s="85">
        <f>IF(H338,An,'2028'!An_max)</f>
        <v>2029</v>
      </c>
      <c r="K338" s="193">
        <f t="shared" si="129"/>
        <v>47442</v>
      </c>
      <c r="L338" s="143">
        <f>IF(t&lt;Tvie,1-EXP((T0-t)*PertePVj)+'2028'!Pspv,1-EXP((T0-t)*PertePVj)+Pspv)</f>
        <v>4.0472370649487721E-2</v>
      </c>
      <c r="M338" s="835"/>
      <c r="N338" s="835"/>
      <c r="O338" s="48">
        <f>IF(t&lt;Tnet,'2028'!Resal+('2028'!Salim-'2028'!Resal)*(1-EXP(('2028'!Tnet-t)/('2028'!Tau_j))),Resal+(Salim-Resal)*(1-EXP((Tnet-t)/(Tau_j))))*Salcycl</f>
        <v>4.183776182274785E-2</v>
      </c>
      <c r="P338" s="165">
        <f>(INDEX(Models!$BJ338:$BT338,,T338)*(1-R338)+INDEX(Models!$BJ338:$BT338,,T338+1)*R338-ERP_i)*Q338*Ramure*Pc/MaxiM</f>
        <v>6.3399051089196975E-4</v>
      </c>
      <c r="Q338" s="301">
        <f t="shared" si="130"/>
        <v>0.5</v>
      </c>
      <c r="R338" s="173">
        <f t="shared" si="131"/>
        <v>0.4640901171606055</v>
      </c>
      <c r="S338" s="801">
        <f t="shared" si="132"/>
        <v>0</v>
      </c>
      <c r="T338" s="172">
        <f t="shared" si="133"/>
        <v>6</v>
      </c>
      <c r="U338" s="247">
        <f t="shared" si="134"/>
        <v>0.4640901171606055</v>
      </c>
      <c r="V338" s="378">
        <f t="shared" si="135"/>
        <v>104.07355023403862</v>
      </c>
      <c r="W338" s="397">
        <f t="shared" si="136"/>
        <v>68.667598680312437</v>
      </c>
      <c r="X338" s="153">
        <f t="shared" si="137"/>
        <v>47442</v>
      </c>
      <c r="Y338" s="380">
        <f t="shared" si="138"/>
        <v>66.92479815580792</v>
      </c>
      <c r="Z338" s="380">
        <f t="shared" si="139"/>
        <v>69.747650936438546</v>
      </c>
      <c r="AA338" s="381">
        <f t="shared" si="140"/>
        <v>74.463537039816927</v>
      </c>
      <c r="AB338" s="193">
        <f t="shared" si="141"/>
        <v>47442</v>
      </c>
      <c r="AC338" s="119">
        <f>IF(OR(t&lt;Tnet,NoTnet),'2028'!Resal_s+('2028'!Salim-'2028'!Resal_s)*(1-EXP(('2028'!Tnet_s-t)/'2028'!Tau_j)),Resal_s+(Salim-Resal_s)*(1-EXP((Tnet_s-t)/Tau_j)))*Salcycl</f>
        <v>6.3331481297439804E-2</v>
      </c>
      <c r="AD338" s="227">
        <f>(INDEX(Models!$BJ338:$BT338,,AH338)*(1-AF338)+INDEX(Models!$BJ338:$BT338,,AH338+1)*AF338-ERP_i)*AE338*Ramure*Pc/MaxiM</f>
        <v>6.4991412103681664E-3</v>
      </c>
      <c r="AE338" s="301">
        <f t="shared" si="142"/>
        <v>0.5</v>
      </c>
      <c r="AF338" s="173">
        <f t="shared" si="143"/>
        <v>0.98907768353458358</v>
      </c>
      <c r="AG338" s="801">
        <f t="shared" si="149"/>
        <v>3</v>
      </c>
      <c r="AH338" s="172">
        <f t="shared" si="144"/>
        <v>9</v>
      </c>
      <c r="AI338" s="221">
        <f t="shared" si="145"/>
        <v>3.9890776835345836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47443</v>
      </c>
      <c r="B339" s="406">
        <f>'2028'!Wh/'2028'!Env_an*'2029'!Env_an</f>
        <v>13.603329806358181</v>
      </c>
      <c r="C339" s="831"/>
      <c r="D339" s="388">
        <f t="shared" si="127"/>
        <v>14.177305177003465</v>
      </c>
      <c r="E339" s="380">
        <f t="shared" si="125"/>
        <v>14.796661689654837</v>
      </c>
      <c r="F339" s="380">
        <f t="shared" si="128"/>
        <v>14.796661689654837</v>
      </c>
      <c r="G339" s="110">
        <f t="shared" si="126"/>
        <v>0.1319574041915578</v>
      </c>
      <c r="H339" s="409" t="b">
        <f>Wh_hp&gt;='2028'!Maxi_hp</f>
        <v>1</v>
      </c>
      <c r="I339" s="385">
        <f>IF(H339,Wh_hp,'2028'!Maxi_hp)</f>
        <v>14.796661689654837</v>
      </c>
      <c r="J339" s="85">
        <f>IF(H339,An,'2028'!An_max)</f>
        <v>2029</v>
      </c>
      <c r="K339" s="193">
        <f t="shared" si="129"/>
        <v>47443</v>
      </c>
      <c r="L339" s="143">
        <f>IF(t&lt;Tvie,1-EXP((T0-t)*PertePVj)+'2028'!Pspv,1-EXP((T0-t)*PertePVj)+Pspv)</f>
        <v>4.0485505776958974E-2</v>
      </c>
      <c r="M339" s="835"/>
      <c r="N339" s="835"/>
      <c r="O339" s="48">
        <f>IF(t&lt;Tnet,'2028'!Resal+('2028'!Salim-'2028'!Resal)*(1-EXP(('2028'!Tnet-t)/('2028'!Tau_j))),Resal+(Salim-Resal)*(1-EXP((Tnet-t)/(Tau_j))))*Salcycl</f>
        <v>4.1857854537851472E-2</v>
      </c>
      <c r="P339" s="165">
        <f>(INDEX(Models!$BJ339:$BT339,,T339)*(1-R339)+INDEX(Models!$BJ339:$BT339,,T339+1)*R339-ERP_i)*Q339*Ramure*Pc/MaxiM</f>
        <v>6.4303272843180455E-4</v>
      </c>
      <c r="Q339" s="301">
        <f t="shared" si="130"/>
        <v>0.5</v>
      </c>
      <c r="R339" s="173">
        <f t="shared" si="131"/>
        <v>0.46411491400779059</v>
      </c>
      <c r="S339" s="801">
        <f t="shared" si="132"/>
        <v>0</v>
      </c>
      <c r="T339" s="172">
        <f t="shared" si="133"/>
        <v>6</v>
      </c>
      <c r="U339" s="247">
        <f t="shared" si="134"/>
        <v>0.46411491400779059</v>
      </c>
      <c r="V339" s="378">
        <f t="shared" si="135"/>
        <v>103.02250565904036</v>
      </c>
      <c r="W339" s="397">
        <f t="shared" si="136"/>
        <v>13.603329806358181</v>
      </c>
      <c r="X339" s="153">
        <f t="shared" si="137"/>
        <v>47443</v>
      </c>
      <c r="Y339" s="380">
        <f t="shared" si="138"/>
        <v>13.298669209915099</v>
      </c>
      <c r="Z339" s="380">
        <f t="shared" si="139"/>
        <v>13.859789810349438</v>
      </c>
      <c r="AA339" s="381">
        <f t="shared" si="140"/>
        <v>14.796661689654837</v>
      </c>
      <c r="AB339" s="193">
        <f t="shared" si="141"/>
        <v>47443</v>
      </c>
      <c r="AC339" s="119">
        <f>IF(OR(t&lt;Tnet,NoTnet),'2028'!Resal_s+('2028'!Salim-'2028'!Resal_s)*(1-EXP(('2028'!Tnet_s-t)/'2028'!Tau_j)),Resal_s+(Salim-Resal_s)*(1-EXP((Tnet_s-t)/Tau_j)))*Salcycl</f>
        <v>6.3316435757966708E-2</v>
      </c>
      <c r="AD339" s="227">
        <f>(INDEX(Models!$BJ339:$BT339,,AH339)*(1-AF339)+INDEX(Models!$BJ339:$BT339,,AH339+1)*AF339-ERP_i)*AE339*Ramure*Pc/MaxiM</f>
        <v>6.5341036071240397E-3</v>
      </c>
      <c r="AE339" s="301">
        <f t="shared" si="142"/>
        <v>0.5</v>
      </c>
      <c r="AF339" s="173">
        <f t="shared" si="143"/>
        <v>0.98910248038176896</v>
      </c>
      <c r="AG339" s="801">
        <f t="shared" si="149"/>
        <v>3</v>
      </c>
      <c r="AH339" s="172">
        <f t="shared" si="144"/>
        <v>9</v>
      </c>
      <c r="AI339" s="221">
        <f t="shared" si="145"/>
        <v>3.989102480381769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47444</v>
      </c>
      <c r="B340" s="406">
        <f>'2028'!Wh/'2028'!Env_an*'2029'!Env_an</f>
        <v>33.027588751891805</v>
      </c>
      <c r="C340" s="831"/>
      <c r="D340" s="388">
        <f t="shared" si="127"/>
        <v>34.421617471010613</v>
      </c>
      <c r="E340" s="380">
        <f t="shared" si="125"/>
        <v>35.926152818164638</v>
      </c>
      <c r="F340" s="380">
        <f t="shared" si="128"/>
        <v>35.926947866668051</v>
      </c>
      <c r="G340" s="110">
        <f t="shared" si="126"/>
        <v>0.32359395292099996</v>
      </c>
      <c r="H340" s="409" t="b">
        <f>Wh_hp&gt;='2028'!Maxi_hp</f>
        <v>1</v>
      </c>
      <c r="I340" s="385">
        <f>IF(H340,Wh_hp,'2028'!Maxi_hp)</f>
        <v>35.926947866668051</v>
      </c>
      <c r="J340" s="85">
        <f>IF(H340,An,'2028'!An_max)</f>
        <v>2029</v>
      </c>
      <c r="K340" s="193">
        <f t="shared" si="129"/>
        <v>47444</v>
      </c>
      <c r="L340" s="143">
        <f>IF(t&lt;Tvie,1-EXP((T0-t)*PertePVj)+'2028'!Pspv,1-EXP((T0-t)*PertePVj)+Pspv)</f>
        <v>4.0498640724621282E-2</v>
      </c>
      <c r="M340" s="835"/>
      <c r="N340" s="835"/>
      <c r="O340" s="48">
        <f>IF(t&lt;Tnet,'2028'!Resal+('2028'!Salim-'2028'!Resal)*(1-EXP(('2028'!Tnet-t)/('2028'!Tau_j))),Resal+(Salim-Resal)*(1-EXP((Tnet-t)/(Tau_j))))*Salcycl</f>
        <v>4.1878554454996338E-2</v>
      </c>
      <c r="P340" s="165">
        <f>(INDEX(Models!$BJ340:$BT340,,T340)*(1-R340)+INDEX(Models!$BJ340:$BT340,,T340+1)*R340-ERP_i)*Q340*Ramure*Pc/MaxiM</f>
        <v>6.5093682763071891E-4</v>
      </c>
      <c r="Q340" s="301">
        <f t="shared" si="130"/>
        <v>0.5</v>
      </c>
      <c r="R340" s="173">
        <f t="shared" si="131"/>
        <v>0.46413871477385921</v>
      </c>
      <c r="S340" s="801">
        <f t="shared" si="132"/>
        <v>0</v>
      </c>
      <c r="T340" s="172">
        <f t="shared" si="133"/>
        <v>6</v>
      </c>
      <c r="U340" s="247">
        <f t="shared" si="134"/>
        <v>0.46413871477385921</v>
      </c>
      <c r="V340" s="378">
        <f t="shared" si="135"/>
        <v>102.00073273121743</v>
      </c>
      <c r="W340" s="397">
        <f t="shared" si="136"/>
        <v>33.027588751891805</v>
      </c>
      <c r="X340" s="153">
        <f t="shared" si="137"/>
        <v>47444</v>
      </c>
      <c r="Y340" s="380">
        <f t="shared" si="138"/>
        <v>32.282604254822189</v>
      </c>
      <c r="Z340" s="380">
        <f t="shared" si="139"/>
        <v>33.645188662580125</v>
      </c>
      <c r="AA340" s="381">
        <f t="shared" si="140"/>
        <v>35.918944283517845</v>
      </c>
      <c r="AB340" s="193">
        <f t="shared" si="141"/>
        <v>47444</v>
      </c>
      <c r="AC340" s="119">
        <f>IF(OR(t&lt;Tnet,NoTnet),'2028'!Resal_s+('2028'!Salim-'2028'!Resal_s)*(1-EXP(('2028'!Tnet_s-t)/'2028'!Tau_j)),Resal_s+(Salim-Resal_s)*(1-EXP((Tnet_s-t)/Tau_j)))*Salcycl</f>
        <v>6.3302406746433199E-2</v>
      </c>
      <c r="AD340" s="227">
        <f>(INDEX(Models!$BJ340:$BT340,,AH340)*(1-AF340)+INDEX(Models!$BJ340:$BT340,,AH340+1)*AF340-ERP_i)*AE340*Ramure*Pc/MaxiM</f>
        <v>6.5528417487664241E-3</v>
      </c>
      <c r="AE340" s="301">
        <f t="shared" si="142"/>
        <v>0.5</v>
      </c>
      <c r="AF340" s="173">
        <f t="shared" si="143"/>
        <v>0.98912628114783718</v>
      </c>
      <c r="AG340" s="801">
        <f t="shared" si="149"/>
        <v>3</v>
      </c>
      <c r="AH340" s="172">
        <f t="shared" si="144"/>
        <v>9</v>
      </c>
      <c r="AI340" s="221">
        <f t="shared" si="145"/>
        <v>3.9891262811478372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47445</v>
      </c>
      <c r="B341" s="406">
        <f>'2028'!Wh/'2028'!Env_an*'2029'!Env_an</f>
        <v>54.470926810670875</v>
      </c>
      <c r="C341" s="831"/>
      <c r="D341" s="388">
        <f t="shared" si="127"/>
        <v>56.770813251646949</v>
      </c>
      <c r="E341" s="380">
        <f t="shared" si="125"/>
        <v>59.253529002394224</v>
      </c>
      <c r="F341" s="380">
        <f t="shared" si="128"/>
        <v>59.266850955124269</v>
      </c>
      <c r="G341" s="110">
        <f t="shared" si="126"/>
        <v>0.53901724000264717</v>
      </c>
      <c r="H341" s="409" t="b">
        <f>Wh_hp&gt;='2028'!Maxi_hp</f>
        <v>1</v>
      </c>
      <c r="I341" s="385">
        <f>IF(H341,Wh_hp,'2028'!Maxi_hp)</f>
        <v>59.266850955124269</v>
      </c>
      <c r="J341" s="85">
        <f>IF(H341,An,'2028'!An_max)</f>
        <v>2029</v>
      </c>
      <c r="K341" s="193">
        <f t="shared" si="129"/>
        <v>47445</v>
      </c>
      <c r="L341" s="143">
        <f>IF(t&lt;Tvie,1-EXP((T0-t)*PertePVj)+'2028'!Pspv,1-EXP((T0-t)*PertePVj)+Pspv)</f>
        <v>4.0511775492477309E-2</v>
      </c>
      <c r="M341" s="835"/>
      <c r="N341" s="835"/>
      <c r="O341" s="48">
        <f>IF(t&lt;Tnet,'2028'!Resal+('2028'!Salim-'2028'!Resal)*(1-EXP(('2028'!Tnet-t)/('2028'!Tau_j))),Resal+(Salim-Resal)*(1-EXP((Tnet-t)/(Tau_j))))*Salcycl</f>
        <v>4.1899879931994524E-2</v>
      </c>
      <c r="P341" s="165">
        <f>(INDEX(Models!$BJ341:$BT341,,T341)*(1-R341)+INDEX(Models!$BJ341:$BT341,,T341+1)*R341-ERP_i)*Q341*Ramure*Pc/MaxiM</f>
        <v>6.5765907395370351E-4</v>
      </c>
      <c r="Q341" s="301">
        <f t="shared" si="130"/>
        <v>0.5</v>
      </c>
      <c r="R341" s="173">
        <f t="shared" si="131"/>
        <v>0.46416155938180892</v>
      </c>
      <c r="S341" s="801">
        <f t="shared" si="132"/>
        <v>0</v>
      </c>
      <c r="T341" s="172">
        <f t="shared" si="133"/>
        <v>6</v>
      </c>
      <c r="U341" s="247">
        <f t="shared" si="134"/>
        <v>0.46416155938180892</v>
      </c>
      <c r="V341" s="378">
        <f t="shared" si="135"/>
        <v>101.01224617365915</v>
      </c>
      <c r="W341" s="397">
        <f t="shared" si="136"/>
        <v>54.470926810670875</v>
      </c>
      <c r="X341" s="153">
        <f t="shared" si="137"/>
        <v>47445</v>
      </c>
      <c r="Y341" s="380">
        <f t="shared" si="138"/>
        <v>53.147501858781439</v>
      </c>
      <c r="Z341" s="380">
        <f t="shared" si="139"/>
        <v>55.391510287747927</v>
      </c>
      <c r="AA341" s="381">
        <f t="shared" si="140"/>
        <v>59.134071340946704</v>
      </c>
      <c r="AB341" s="193">
        <f t="shared" si="141"/>
        <v>47445</v>
      </c>
      <c r="AC341" s="119">
        <f>IF(OR(t&lt;Tnet,NoTnet),'2028'!Resal_s+('2028'!Salim-'2028'!Resal_s)*(1-EXP(('2028'!Tnet_s-t)/'2028'!Tau_j)),Resal_s+(Salim-Resal_s)*(1-EXP((Tnet_s-t)/Tau_j)))*Salcycl</f>
        <v>6.3289419590619081E-2</v>
      </c>
      <c r="AD341" s="227">
        <f>(INDEX(Models!$BJ341:$BT341,,AH341)*(1-AF341)+INDEX(Models!$BJ341:$BT341,,AH341+1)*AF341-ERP_i)*AE341*Ramure*Pc/MaxiM</f>
        <v>6.5548737388179948E-3</v>
      </c>
      <c r="AE341" s="301">
        <f t="shared" si="142"/>
        <v>0.5</v>
      </c>
      <c r="AF341" s="173">
        <f t="shared" si="143"/>
        <v>0.98914912575578695</v>
      </c>
      <c r="AG341" s="801">
        <f t="shared" si="149"/>
        <v>3</v>
      </c>
      <c r="AH341" s="172">
        <f t="shared" si="144"/>
        <v>9</v>
      </c>
      <c r="AI341" s="221">
        <f t="shared" si="145"/>
        <v>3.989149125755787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47446</v>
      </c>
      <c r="B342" s="406">
        <f>'2028'!Wh/'2028'!Env_an*'2029'!Env_an</f>
        <v>53.601758282835497</v>
      </c>
      <c r="C342" s="831"/>
      <c r="D342" s="388">
        <f t="shared" si="127"/>
        <v>55.865711206045297</v>
      </c>
      <c r="E342" s="380">
        <f t="shared" si="125"/>
        <v>58.310181705780771</v>
      </c>
      <c r="F342" s="380">
        <f t="shared" si="128"/>
        <v>58.323204402620291</v>
      </c>
      <c r="G342" s="110">
        <f t="shared" si="126"/>
        <v>0.53545480143890067</v>
      </c>
      <c r="H342" s="409" t="b">
        <f>Wh_hp&gt;='2028'!Maxi_hp</f>
        <v>1</v>
      </c>
      <c r="I342" s="385">
        <f>IF(H342,Wh_hp,'2028'!Maxi_hp)</f>
        <v>58.323204402620291</v>
      </c>
      <c r="J342" s="85">
        <f>IF(H342,An,'2028'!An_max)</f>
        <v>2029</v>
      </c>
      <c r="K342" s="193">
        <f t="shared" si="129"/>
        <v>47446</v>
      </c>
      <c r="L342" s="143">
        <f>IF(t&lt;Tvie,1-EXP((T0-t)*PertePVj)+'2028'!Pspv,1-EXP((T0-t)*PertePVj)+Pspv)</f>
        <v>4.0524910080529275E-2</v>
      </c>
      <c r="M342" s="835"/>
      <c r="N342" s="835"/>
      <c r="O342" s="48">
        <f>IF(t&lt;Tnet,'2028'!Resal+('2028'!Salim-'2028'!Resal)*(1-EXP(('2028'!Tnet-t)/('2028'!Tau_j))),Resal+(Salim-Resal)*(1-EXP((Tnet-t)/(Tau_j))))*Salcycl</f>
        <v>4.1921846720864034E-2</v>
      </c>
      <c r="P342" s="165">
        <f>(INDEX(Models!$BJ342:$BT342,,T342)*(1-R342)+INDEX(Models!$BJ342:$BT342,,T342+1)*R342-ERP_i)*Q342*Ramure*Pc/MaxiM</f>
        <v>6.6315574564556809E-4</v>
      </c>
      <c r="Q342" s="301">
        <f t="shared" si="130"/>
        <v>0.5</v>
      </c>
      <c r="R342" s="173">
        <f t="shared" si="131"/>
        <v>0.46418348616155691</v>
      </c>
      <c r="S342" s="801">
        <f t="shared" si="132"/>
        <v>0</v>
      </c>
      <c r="T342" s="172">
        <f t="shared" si="133"/>
        <v>6</v>
      </c>
      <c r="U342" s="247">
        <f t="shared" si="134"/>
        <v>0.46418348616155691</v>
      </c>
      <c r="V342" s="378">
        <f t="shared" si="135"/>
        <v>100.06106029463471</v>
      </c>
      <c r="W342" s="397">
        <f t="shared" si="136"/>
        <v>53.601758282835497</v>
      </c>
      <c r="X342" s="153">
        <f t="shared" si="137"/>
        <v>47446</v>
      </c>
      <c r="Y342" s="380">
        <f t="shared" si="138"/>
        <v>52.303252181782398</v>
      </c>
      <c r="Z342" s="380">
        <f t="shared" si="139"/>
        <v>54.512360697318613</v>
      </c>
      <c r="AA342" s="381">
        <f t="shared" si="140"/>
        <v>58.19478067675368</v>
      </c>
      <c r="AB342" s="193">
        <f t="shared" si="141"/>
        <v>47446</v>
      </c>
      <c r="AC342" s="119">
        <f>IF(OR(t&lt;Tnet,NoTnet),'2028'!Resal_s+('2028'!Salim-'2028'!Resal_s)*(1-EXP(('2028'!Tnet_s-t)/'2028'!Tau_j)),Resal_s+(Salim-Resal_s)*(1-EXP((Tnet_s-t)/Tau_j)))*Salcycl</f>
        <v>6.3277495620943897E-2</v>
      </c>
      <c r="AD342" s="227">
        <f>(INDEX(Models!$BJ342:$BT342,,AH342)*(1-AF342)+INDEX(Models!$BJ342:$BT342,,AH342+1)*AF342-ERP_i)*AE342*Ramure*Pc/MaxiM</f>
        <v>6.539730805005123E-3</v>
      </c>
      <c r="AE342" s="301">
        <f t="shared" si="142"/>
        <v>0.5</v>
      </c>
      <c r="AF342" s="173">
        <f t="shared" si="143"/>
        <v>0.98917105253553483</v>
      </c>
      <c r="AG342" s="801">
        <f t="shared" si="149"/>
        <v>3</v>
      </c>
      <c r="AH342" s="172">
        <f t="shared" si="144"/>
        <v>9</v>
      </c>
      <c r="AI342" s="221">
        <f t="shared" si="145"/>
        <v>3.9891710525355348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47447</v>
      </c>
      <c r="B343" s="406">
        <f>'2028'!Wh/'2028'!Env_an*'2029'!Env_an</f>
        <v>17.357666735431298</v>
      </c>
      <c r="C343" s="831"/>
      <c r="D343" s="388">
        <f t="shared" si="127"/>
        <v>18.09104220936284</v>
      </c>
      <c r="E343" s="380">
        <f t="shared" si="125"/>
        <v>18.883083082148648</v>
      </c>
      <c r="F343" s="380">
        <f t="shared" si="128"/>
        <v>18.883083082148648</v>
      </c>
      <c r="G343" s="110">
        <f t="shared" si="126"/>
        <v>0.17494578429986085</v>
      </c>
      <c r="H343" s="409" t="b">
        <f>Wh_hp&gt;='2028'!Maxi_hp</f>
        <v>1</v>
      </c>
      <c r="I343" s="385">
        <f>IF(H343,Wh_hp,'2028'!Maxi_hp)</f>
        <v>18.883083082148648</v>
      </c>
      <c r="J343" s="85">
        <f>IF(H343,An,'2028'!An_max)</f>
        <v>2029</v>
      </c>
      <c r="K343" s="193">
        <f t="shared" si="129"/>
        <v>47447</v>
      </c>
      <c r="L343" s="143">
        <f>IF(t&lt;Tvie,1-EXP((T0-t)*PertePVj)+'2028'!Pspv,1-EXP((T0-t)*PertePVj)+Pspv)</f>
        <v>4.0538044488779734E-2</v>
      </c>
      <c r="M343" s="835"/>
      <c r="N343" s="835"/>
      <c r="O343" s="48">
        <f>IF(t&lt;Tnet,'2028'!Resal+('2028'!Salim-'2028'!Resal)*(1-EXP(('2028'!Tnet-t)/('2028'!Tau_j))),Resal+(Salim-Resal)*(1-EXP((Tnet-t)/(Tau_j))))*Salcycl</f>
        <v>4.1944467931435164E-2</v>
      </c>
      <c r="P343" s="165">
        <f>(INDEX(Models!$BJ343:$BT343,,T343)*(1-R343)+INDEX(Models!$BJ343:$BT343,,T343+1)*R343-ERP_i)*Q343*Ramure*Pc/MaxiM</f>
        <v>6.6738428426731079E-4</v>
      </c>
      <c r="Q343" s="301">
        <f t="shared" si="130"/>
        <v>0.5</v>
      </c>
      <c r="R343" s="173">
        <f t="shared" si="131"/>
        <v>0.46420453191295424</v>
      </c>
      <c r="S343" s="801">
        <f t="shared" si="132"/>
        <v>0</v>
      </c>
      <c r="T343" s="172">
        <f t="shared" si="133"/>
        <v>6</v>
      </c>
      <c r="U343" s="247">
        <f t="shared" si="134"/>
        <v>0.46420453191295424</v>
      </c>
      <c r="V343" s="378">
        <f t="shared" si="135"/>
        <v>99.15118887179905</v>
      </c>
      <c r="W343" s="397">
        <f t="shared" si="136"/>
        <v>17.357666735431298</v>
      </c>
      <c r="X343" s="153">
        <f t="shared" si="137"/>
        <v>47447</v>
      </c>
      <c r="Y343" s="380">
        <f t="shared" si="138"/>
        <v>16.971359934830744</v>
      </c>
      <c r="Z343" s="380">
        <f t="shared" si="139"/>
        <v>17.688413633647485</v>
      </c>
      <c r="AA343" s="381">
        <f t="shared" si="140"/>
        <v>18.883083082148648</v>
      </c>
      <c r="AB343" s="193">
        <f t="shared" si="141"/>
        <v>47447</v>
      </c>
      <c r="AC343" s="119">
        <f>IF(OR(t&lt;Tnet,NoTnet),'2028'!Resal_s+('2028'!Salim-'2028'!Resal_s)*(1-EXP(('2028'!Tnet_s-t)/'2028'!Tau_j)),Resal_s+(Salim-Resal_s)*(1-EXP((Tnet_s-t)/Tau_j)))*Salcycl</f>
        <v>6.3266652130051657E-2</v>
      </c>
      <c r="AD343" s="227">
        <f>(INDEX(Models!$BJ343:$BT343,,AH343)*(1-AF343)+INDEX(Models!$BJ343:$BT343,,AH343+1)*AF343-ERP_i)*AE343*Ramure*Pc/MaxiM</f>
        <v>6.5069704219123271E-3</v>
      </c>
      <c r="AE343" s="301">
        <f t="shared" si="142"/>
        <v>0.5</v>
      </c>
      <c r="AF343" s="173">
        <f t="shared" si="143"/>
        <v>0.98919209828693244</v>
      </c>
      <c r="AG343" s="801">
        <f t="shared" si="149"/>
        <v>3</v>
      </c>
      <c r="AH343" s="172">
        <f t="shared" si="144"/>
        <v>9</v>
      </c>
      <c r="AI343" s="221">
        <f t="shared" si="145"/>
        <v>3.9891920982869324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47448</v>
      </c>
      <c r="B344" s="406">
        <f>'2028'!Wh/'2028'!Env_an*'2029'!Env_an</f>
        <v>52.250660756230545</v>
      </c>
      <c r="C344" s="831"/>
      <c r="D344" s="388">
        <f t="shared" si="127"/>
        <v>54.45903897862128</v>
      </c>
      <c r="E344" s="380">
        <f t="shared" si="125"/>
        <v>56.844682636360211</v>
      </c>
      <c r="F344" s="380">
        <f t="shared" si="128"/>
        <v>56.857292919262221</v>
      </c>
      <c r="G344" s="110">
        <f t="shared" si="126"/>
        <v>0.53137656930929877</v>
      </c>
      <c r="H344" s="409" t="b">
        <f>Wh_hp&gt;='2028'!Maxi_hp</f>
        <v>1</v>
      </c>
      <c r="I344" s="385">
        <f>IF(H344,Wh_hp,'2028'!Maxi_hp)</f>
        <v>56.857292919262221</v>
      </c>
      <c r="J344" s="85">
        <f>IF(H344,An,'2028'!An_max)</f>
        <v>2029</v>
      </c>
      <c r="K344" s="193">
        <f t="shared" si="129"/>
        <v>47448</v>
      </c>
      <c r="L344" s="143">
        <f>IF(t&lt;Tvie,1-EXP((T0-t)*PertePVj)+'2028'!Pspv,1-EXP((T0-t)*PertePVj)+Pspv)</f>
        <v>4.055117871723124E-2</v>
      </c>
      <c r="M344" s="835"/>
      <c r="N344" s="835"/>
      <c r="O344" s="48">
        <f>IF(t&lt;Tnet,'2028'!Resal+('2028'!Salim-'2028'!Resal)*(1-EXP(('2028'!Tnet-t)/('2028'!Tau_j))),Resal+(Salim-Resal)*(1-EXP((Tnet-t)/(Tau_j))))*Salcycl</f>
        <v>4.1967754011401182E-2</v>
      </c>
      <c r="P344" s="165">
        <f>(INDEX(Models!$BJ344:$BT344,,T344)*(1-R344)+INDEX(Models!$BJ344:$BT344,,T344+1)*R344-ERP_i)*Q344*Ramure*Pc/MaxiM</f>
        <v>6.7030105058272832E-4</v>
      </c>
      <c r="Q344" s="301">
        <f t="shared" si="130"/>
        <v>0.5</v>
      </c>
      <c r="R344" s="173">
        <f t="shared" si="131"/>
        <v>0.46422473196635261</v>
      </c>
      <c r="S344" s="801">
        <f t="shared" si="132"/>
        <v>0</v>
      </c>
      <c r="T344" s="172">
        <f t="shared" si="133"/>
        <v>6</v>
      </c>
      <c r="U344" s="247">
        <f t="shared" si="134"/>
        <v>0.46422473196635261</v>
      </c>
      <c r="V344" s="378">
        <f t="shared" si="135"/>
        <v>98.286645454235156</v>
      </c>
      <c r="W344" s="397">
        <f t="shared" si="136"/>
        <v>52.250660756230545</v>
      </c>
      <c r="X344" s="153">
        <f t="shared" si="137"/>
        <v>47448</v>
      </c>
      <c r="Y344" s="380">
        <f t="shared" si="138"/>
        <v>50.991731525380004</v>
      </c>
      <c r="Z344" s="380">
        <f t="shared" si="139"/>
        <v>53.146901006355733</v>
      </c>
      <c r="AA344" s="381">
        <f t="shared" si="140"/>
        <v>56.735834125811017</v>
      </c>
      <c r="AB344" s="193">
        <f t="shared" si="141"/>
        <v>47448</v>
      </c>
      <c r="AC344" s="119">
        <f>IF(OR(t&lt;Tnet,NoTnet),'2028'!Resal_s+('2028'!Salim-'2028'!Resal_s)*(1-EXP(('2028'!Tnet_s-t)/'2028'!Tau_j)),Resal_s+(Salim-Resal_s)*(1-EXP((Tnet_s-t)/Tau_j)))*Salcycl</f>
        <v>6.3256902357280403E-2</v>
      </c>
      <c r="AD344" s="227">
        <f>(INDEX(Models!$BJ344:$BT344,,AH344)*(1-AF344)+INDEX(Models!$BJ344:$BT344,,AH344+1)*AF344-ERP_i)*AE344*Ramure*Pc/MaxiM</f>
        <v>6.4561562564046434E-3</v>
      </c>
      <c r="AE344" s="301">
        <f t="shared" si="142"/>
        <v>0.5</v>
      </c>
      <c r="AF344" s="173">
        <f t="shared" si="143"/>
        <v>0.98921229834033086</v>
      </c>
      <c r="AG344" s="801">
        <f t="shared" si="149"/>
        <v>3</v>
      </c>
      <c r="AH344" s="172">
        <f t="shared" si="144"/>
        <v>9</v>
      </c>
      <c r="AI344" s="221">
        <f t="shared" si="145"/>
        <v>3.9892122983403309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47449</v>
      </c>
      <c r="B345" s="406">
        <f>'2028'!Wh/'2028'!Env_an*'2029'!Env_an</f>
        <v>56.911068118559434</v>
      </c>
      <c r="C345" s="831"/>
      <c r="D345" s="388">
        <f t="shared" si="127"/>
        <v>59.317230822030545</v>
      </c>
      <c r="E345" s="380">
        <f t="shared" si="125"/>
        <v>61.917241855872227</v>
      </c>
      <c r="F345" s="380">
        <f t="shared" si="128"/>
        <v>61.934124171738382</v>
      </c>
      <c r="G345" s="110">
        <f t="shared" si="126"/>
        <v>0.58372633799233986</v>
      </c>
      <c r="H345" s="409" t="b">
        <f>Wh_hp&gt;='2028'!Maxi_hp</f>
        <v>1</v>
      </c>
      <c r="I345" s="385">
        <f>IF(H345,Wh_hp,'2028'!Maxi_hp)</f>
        <v>61.934124171738382</v>
      </c>
      <c r="J345" s="85">
        <f>IF(H345,An,'2028'!An_max)</f>
        <v>2029</v>
      </c>
      <c r="K345" s="193">
        <f t="shared" si="129"/>
        <v>47449</v>
      </c>
      <c r="L345" s="143">
        <f>IF(t&lt;Tvie,1-EXP((T0-t)*PertePVj)+'2028'!Pspv,1-EXP((T0-t)*PertePVj)+Pspv)</f>
        <v>4.0564312765886235E-2</v>
      </c>
      <c r="M345" s="835"/>
      <c r="N345" s="835"/>
      <c r="O345" s="48">
        <f>IF(t&lt;Tnet,'2028'!Resal+('2028'!Salim-'2028'!Resal)*(1-EXP(('2028'!Tnet-t)/('2028'!Tau_j))),Resal+(Salim-Resal)*(1-EXP((Tnet-t)/(Tau_j))))*Salcycl</f>
        <v>4.199171274285534E-2</v>
      </c>
      <c r="P345" s="165">
        <f>(INDEX(Models!$BJ345:$BT345,,T345)*(1-R345)+INDEX(Models!$BJ345:$BT345,,T345+1)*R345-ERP_i)*Q345*Ramure*Pc/MaxiM</f>
        <v>6.719600814738667E-4</v>
      </c>
      <c r="Q345" s="301">
        <f t="shared" si="130"/>
        <v>0.5</v>
      </c>
      <c r="R345" s="173">
        <f t="shared" si="131"/>
        <v>0.46424412024081319</v>
      </c>
      <c r="S345" s="801">
        <f t="shared" si="132"/>
        <v>0</v>
      </c>
      <c r="T345" s="172">
        <f t="shared" si="133"/>
        <v>6</v>
      </c>
      <c r="U345" s="247">
        <f t="shared" si="134"/>
        <v>0.46424412024081319</v>
      </c>
      <c r="V345" s="378">
        <f t="shared" si="135"/>
        <v>97.457197591824936</v>
      </c>
      <c r="W345" s="397">
        <f t="shared" si="136"/>
        <v>56.911068118559434</v>
      </c>
      <c r="X345" s="153">
        <f t="shared" si="137"/>
        <v>47449</v>
      </c>
      <c r="Y345" s="380">
        <f t="shared" si="138"/>
        <v>55.519245044957323</v>
      </c>
      <c r="Z345" s="380">
        <f t="shared" si="139"/>
        <v>57.866562380027425</v>
      </c>
      <c r="AA345" s="381">
        <f t="shared" si="140"/>
        <v>61.773637166577096</v>
      </c>
      <c r="AB345" s="193">
        <f t="shared" si="141"/>
        <v>47449</v>
      </c>
      <c r="AC345" s="119">
        <f>IF(OR(t&lt;Tnet,NoTnet),'2028'!Resal_s+('2028'!Salim-'2028'!Resal_s)*(1-EXP(('2028'!Tnet_s-t)/'2028'!Tau_j)),Resal_s+(Salim-Resal_s)*(1-EXP((Tnet_s-t)/Tau_j)))*Salcycl</f>
        <v>6.3248255497955569E-2</v>
      </c>
      <c r="AD345" s="227">
        <f>(INDEX(Models!$BJ345:$BT345,,AH345)*(1-AF345)+INDEX(Models!$BJ345:$BT345,,AH345+1)*AF345-ERP_i)*AE345*Ramure*Pc/MaxiM</f>
        <v>6.387800223538148E-3</v>
      </c>
      <c r="AE345" s="301">
        <f t="shared" si="142"/>
        <v>0.5</v>
      </c>
      <c r="AF345" s="173">
        <f t="shared" si="143"/>
        <v>0.98923168661479144</v>
      </c>
      <c r="AG345" s="801">
        <f t="shared" si="149"/>
        <v>3</v>
      </c>
      <c r="AH345" s="172">
        <f t="shared" si="144"/>
        <v>9</v>
      </c>
      <c r="AI345" s="221">
        <f t="shared" si="145"/>
        <v>3.9892316866147914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47450</v>
      </c>
      <c r="B346" s="406">
        <f>'2028'!Wh/'2028'!Env_an*'2029'!Env_an</f>
        <v>36.995095202932696</v>
      </c>
      <c r="C346" s="831"/>
      <c r="D346" s="388">
        <f t="shared" si="127"/>
        <v>38.55975146005207</v>
      </c>
      <c r="E346" s="380">
        <f t="shared" si="125"/>
        <v>40.250949408243223</v>
      </c>
      <c r="F346" s="380">
        <f t="shared" si="128"/>
        <v>40.254147848519523</v>
      </c>
      <c r="G346" s="110">
        <f t="shared" si="126"/>
        <v>0.38254203055576191</v>
      </c>
      <c r="H346" s="409" t="b">
        <f>Wh_hp&gt;='2028'!Maxi_hp</f>
        <v>1</v>
      </c>
      <c r="I346" s="385">
        <f>IF(H346,Wh_hp,'2028'!Maxi_hp)</f>
        <v>40.254147848519523</v>
      </c>
      <c r="J346" s="85">
        <f>IF(H346,An,'2028'!An_max)</f>
        <v>2029</v>
      </c>
      <c r="K346" s="193">
        <f t="shared" si="129"/>
        <v>47450</v>
      </c>
      <c r="L346" s="143">
        <f>IF(t&lt;Tvie,1-EXP((T0-t)*PertePVj)+'2028'!Pspv,1-EXP((T0-t)*PertePVj)+Pspv)</f>
        <v>4.057744663474705E-2</v>
      </c>
      <c r="M346" s="835"/>
      <c r="N346" s="835"/>
      <c r="O346" s="48">
        <f>IF(t&lt;Tnet,'2028'!Resal+('2028'!Salim-'2028'!Resal)*(1-EXP(('2028'!Tnet-t)/('2028'!Tau_j))),Resal+(Salim-Resal)*(1-EXP((Tnet-t)/(Tau_j))))*Salcycl</f>
        <v>4.2016349255225315E-2</v>
      </c>
      <c r="P346" s="165">
        <f>(INDEX(Models!$BJ346:$BT346,,T346)*(1-R346)+INDEX(Models!$BJ346:$BT346,,T346+1)*R346-ERP_i)*Q346*Ramure*Pc/MaxiM</f>
        <v>6.7198368499967864E-4</v>
      </c>
      <c r="Q346" s="301">
        <f t="shared" si="130"/>
        <v>0.5</v>
      </c>
      <c r="R346" s="173">
        <f t="shared" si="131"/>
        <v>0.46426272930004792</v>
      </c>
      <c r="S346" s="801">
        <f t="shared" si="132"/>
        <v>0</v>
      </c>
      <c r="T346" s="172">
        <f t="shared" si="133"/>
        <v>6</v>
      </c>
      <c r="U346" s="247">
        <f t="shared" si="134"/>
        <v>0.46426272930004792</v>
      </c>
      <c r="V346" s="378">
        <f t="shared" si="135"/>
        <v>96.651269392271701</v>
      </c>
      <c r="W346" s="397">
        <f t="shared" si="136"/>
        <v>36.995095202932696</v>
      </c>
      <c r="X346" s="153">
        <f t="shared" si="137"/>
        <v>47450</v>
      </c>
      <c r="Y346" s="380">
        <f t="shared" si="138"/>
        <v>36.151354277317147</v>
      </c>
      <c r="Z346" s="380">
        <f t="shared" si="139"/>
        <v>37.680325681852402</v>
      </c>
      <c r="AA346" s="381">
        <f t="shared" si="140"/>
        <v>40.224128391459509</v>
      </c>
      <c r="AB346" s="193">
        <f t="shared" si="141"/>
        <v>47450</v>
      </c>
      <c r="AC346" s="119">
        <f>IF(OR(t&lt;Tnet,NoTnet),'2028'!Resal_s+('2028'!Salim-'2028'!Resal_s)*(1-EXP(('2028'!Tnet_s-t)/'2028'!Tau_j)),Resal_s+(Salim-Resal_s)*(1-EXP((Tnet_s-t)/Tau_j)))*Salcycl</f>
        <v>6.3240716737251082E-2</v>
      </c>
      <c r="AD346" s="227">
        <f>(INDEX(Models!$BJ346:$BT346,,AH346)*(1-AF346)+INDEX(Models!$BJ346:$BT346,,AH346+1)*AF346-ERP_i)*AE346*Ramure*Pc/MaxiM</f>
        <v>6.3070070516402432E-3</v>
      </c>
      <c r="AE346" s="301">
        <f t="shared" si="142"/>
        <v>0.5</v>
      </c>
      <c r="AF346" s="173">
        <f t="shared" si="143"/>
        <v>0.98925029567402589</v>
      </c>
      <c r="AG346" s="801">
        <f t="shared" si="149"/>
        <v>3</v>
      </c>
      <c r="AH346" s="172">
        <f t="shared" si="144"/>
        <v>9</v>
      </c>
      <c r="AI346" s="221">
        <f t="shared" si="145"/>
        <v>3.9892502956740259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47451</v>
      </c>
      <c r="B347" s="406">
        <f>'2028'!Wh/'2028'!Env_an*'2029'!Env_an</f>
        <v>52.707415269599586</v>
      </c>
      <c r="C347" s="831"/>
      <c r="D347" s="388">
        <f t="shared" si="127"/>
        <v>54.937354364718658</v>
      </c>
      <c r="E347" s="380">
        <f t="shared" si="125"/>
        <v>57.348375621353128</v>
      </c>
      <c r="F347" s="380">
        <f t="shared" si="128"/>
        <v>57.362091369638662</v>
      </c>
      <c r="G347" s="110">
        <f t="shared" si="126"/>
        <v>0.54953837807218642</v>
      </c>
      <c r="H347" s="409" t="b">
        <f>Wh_hp&gt;='2028'!Maxi_hp</f>
        <v>1</v>
      </c>
      <c r="I347" s="385">
        <f>IF(H347,Wh_hp,'2028'!Maxi_hp)</f>
        <v>57.362091369638662</v>
      </c>
      <c r="J347" s="85">
        <f>IF(H347,An,'2028'!An_max)</f>
        <v>2029</v>
      </c>
      <c r="K347" s="193">
        <f t="shared" si="129"/>
        <v>47451</v>
      </c>
      <c r="L347" s="143">
        <f>IF(t&lt;Tvie,1-EXP((T0-t)*PertePVj)+'2028'!Pspv,1-EXP((T0-t)*PertePVj)+Pspv)</f>
        <v>4.0590580323816239E-2</v>
      </c>
      <c r="M347" s="835"/>
      <c r="N347" s="835"/>
      <c r="O347" s="48">
        <f>IF(t&lt;Tnet,'2028'!Resal+('2028'!Salim-'2028'!Resal)*(1-EXP(('2028'!Tnet-t)/('2028'!Tau_j))),Resal+(Salim-Resal)*(1-EXP((Tnet-t)/(Tau_j))))*Salcycl</f>
        <v>4.2041666054386868E-2</v>
      </c>
      <c r="P347" s="165">
        <f>(INDEX(Models!$BJ347:$BT347,,T347)*(1-R347)+INDEX(Models!$BJ347:$BT347,,T347+1)*R347-ERP_i)*Q347*Ramure*Pc/MaxiM</f>
        <v>6.7010511064867723E-4</v>
      </c>
      <c r="Q347" s="301">
        <f t="shared" si="130"/>
        <v>0.5</v>
      </c>
      <c r="R347" s="173">
        <f t="shared" si="131"/>
        <v>0.46428059040617708</v>
      </c>
      <c r="S347" s="801">
        <f t="shared" si="132"/>
        <v>0</v>
      </c>
      <c r="T347" s="172">
        <f t="shared" si="133"/>
        <v>6</v>
      </c>
      <c r="U347" s="247">
        <f t="shared" si="134"/>
        <v>0.46428059040617708</v>
      </c>
      <c r="V347" s="378">
        <f t="shared" si="135"/>
        <v>95.87081668423734</v>
      </c>
      <c r="W347" s="397">
        <f t="shared" si="136"/>
        <v>52.707415269599586</v>
      </c>
      <c r="X347" s="153">
        <f t="shared" si="137"/>
        <v>47451</v>
      </c>
      <c r="Y347" s="380">
        <f t="shared" si="138"/>
        <v>51.439241039142686</v>
      </c>
      <c r="Z347" s="380">
        <f t="shared" si="139"/>
        <v>53.615526368819964</v>
      </c>
      <c r="AA347" s="381">
        <f t="shared" si="140"/>
        <v>57.234723306379117</v>
      </c>
      <c r="AB347" s="193">
        <f t="shared" si="141"/>
        <v>47451</v>
      </c>
      <c r="AC347" s="119">
        <f>IF(OR(t&lt;Tnet,NoTnet),'2028'!Resal_s+('2028'!Salim-'2028'!Resal_s)*(1-EXP(('2028'!Tnet_s-t)/'2028'!Tau_j)),Resal_s+(Salim-Resal_s)*(1-EXP((Tnet_s-t)/Tau_j)))*Salcycl</f>
        <v>6.3234287308169393E-2</v>
      </c>
      <c r="AD347" s="227">
        <f>(INDEX(Models!$BJ347:$BT347,,AH347)*(1-AF347)+INDEX(Models!$BJ347:$BT347,,AH347+1)*AF347-ERP_i)*AE347*Ramure*Pc/MaxiM</f>
        <v>6.2227731471005366E-3</v>
      </c>
      <c r="AE347" s="301">
        <f t="shared" si="142"/>
        <v>0.5</v>
      </c>
      <c r="AF347" s="173">
        <f t="shared" si="143"/>
        <v>0.98926815678015512</v>
      </c>
      <c r="AG347" s="801">
        <f t="shared" si="149"/>
        <v>3</v>
      </c>
      <c r="AH347" s="172">
        <f t="shared" si="144"/>
        <v>9</v>
      </c>
      <c r="AI347" s="221">
        <f t="shared" si="145"/>
        <v>3.9892681567801551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47452</v>
      </c>
      <c r="B348" s="406">
        <f>'2028'!Wh/'2028'!Env_an*'2029'!Env_an</f>
        <v>20.906922696537929</v>
      </c>
      <c r="C348" s="831"/>
      <c r="D348" s="388">
        <f t="shared" si="127"/>
        <v>21.791748621487582</v>
      </c>
      <c r="E348" s="380">
        <f t="shared" si="125"/>
        <v>22.748734729293979</v>
      </c>
      <c r="F348" s="380">
        <f t="shared" si="128"/>
        <v>22.748734729293979</v>
      </c>
      <c r="G348" s="110">
        <f t="shared" si="126"/>
        <v>0.2196539309766648</v>
      </c>
      <c r="H348" s="409" t="b">
        <f>Wh_hp&gt;='2028'!Maxi_hp</f>
        <v>1</v>
      </c>
      <c r="I348" s="385">
        <f>IF(H348,Wh_hp,'2028'!Maxi_hp)</f>
        <v>22.748734729293979</v>
      </c>
      <c r="J348" s="85">
        <f>IF(H348,An,'2028'!An_max)</f>
        <v>2029</v>
      </c>
      <c r="K348" s="193">
        <f t="shared" si="129"/>
        <v>47452</v>
      </c>
      <c r="L348" s="143">
        <f>IF(t&lt;Tvie,1-EXP((T0-t)*PertePVj)+'2028'!Pspv,1-EXP((T0-t)*PertePVj)+Pspv)</f>
        <v>4.0603713833096355E-2</v>
      </c>
      <c r="M348" s="835"/>
      <c r="N348" s="835"/>
      <c r="O348" s="48">
        <f>IF(t&lt;Tnet,'2028'!Resal+('2028'!Salim-'2028'!Resal)*(1-EXP(('2028'!Tnet-t)/('2028'!Tau_j))),Resal+(Salim-Resal)*(1-EXP((Tnet-t)/(Tau_j))))*Salcycl</f>
        <v>4.2067663067610915E-2</v>
      </c>
      <c r="P348" s="165">
        <f>(INDEX(Models!$BJ348:$BT348,,T348)*(1-R348)+INDEX(Models!$BJ348:$BT348,,T348+1)*R348-ERP_i)*Q348*Ramure*Pc/MaxiM</f>
        <v>6.6629178231561404E-4</v>
      </c>
      <c r="Q348" s="301">
        <f t="shared" si="130"/>
        <v>0.5</v>
      </c>
      <c r="R348" s="173">
        <f t="shared" si="131"/>
        <v>0.46429773357138615</v>
      </c>
      <c r="S348" s="801">
        <f t="shared" si="132"/>
        <v>0</v>
      </c>
      <c r="T348" s="172">
        <f t="shared" si="133"/>
        <v>6</v>
      </c>
      <c r="U348" s="247">
        <f t="shared" si="134"/>
        <v>0.46429773357138615</v>
      </c>
      <c r="V348" s="378">
        <f t="shared" si="135"/>
        <v>95.117772274111076</v>
      </c>
      <c r="W348" s="397">
        <f t="shared" si="136"/>
        <v>20.906922696537929</v>
      </c>
      <c r="X348" s="153">
        <f t="shared" si="137"/>
        <v>47452</v>
      </c>
      <c r="Y348" s="380">
        <f t="shared" si="138"/>
        <v>20.445076198957381</v>
      </c>
      <c r="Z348" s="380">
        <f t="shared" si="139"/>
        <v>21.310355787014799</v>
      </c>
      <c r="AA348" s="381">
        <f t="shared" si="140"/>
        <v>22.748734729293979</v>
      </c>
      <c r="AB348" s="193">
        <f t="shared" si="141"/>
        <v>47452</v>
      </c>
      <c r="AC348" s="119">
        <f>IF(OR(t&lt;Tnet,NoTnet),'2028'!Resal_s+('2028'!Salim-'2028'!Resal_s)*(1-EXP(('2028'!Tnet_s-t)/'2028'!Tau_j)),Resal_s+(Salim-Resal_s)*(1-EXP((Tnet_s-t)/Tau_j)))*Salcycl</f>
        <v>6.3228964573003352E-2</v>
      </c>
      <c r="AD348" s="227">
        <f>(INDEX(Models!$BJ348:$BT348,,AH348)*(1-AF348)+INDEX(Models!$BJ348:$BT348,,AH348+1)*AF348-ERP_i)*AE348*Ramure*Pc/MaxiM</f>
        <v>6.1349403179908014E-3</v>
      </c>
      <c r="AE348" s="301">
        <f t="shared" si="142"/>
        <v>0.5</v>
      </c>
      <c r="AF348" s="173">
        <f t="shared" si="143"/>
        <v>0.98928529994536429</v>
      </c>
      <c r="AG348" s="801">
        <f t="shared" si="149"/>
        <v>3</v>
      </c>
      <c r="AH348" s="172">
        <f t="shared" si="144"/>
        <v>9</v>
      </c>
      <c r="AI348" s="221">
        <f t="shared" si="145"/>
        <v>3.9892852999453643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47453</v>
      </c>
      <c r="B349" s="406">
        <f>'2028'!Wh/'2028'!Env_an*'2029'!Env_an</f>
        <v>15.702722418674867</v>
      </c>
      <c r="C349" s="831"/>
      <c r="D349" s="388">
        <f t="shared" si="127"/>
        <v>16.36751945480124</v>
      </c>
      <c r="E349" s="380">
        <f t="shared" si="125"/>
        <v>17.086775972873831</v>
      </c>
      <c r="F349" s="380">
        <f t="shared" si="128"/>
        <v>17.086775972873831</v>
      </c>
      <c r="G349" s="110">
        <f t="shared" si="126"/>
        <v>0.1662429721830892</v>
      </c>
      <c r="H349" s="409" t="b">
        <f>Wh_hp&gt;='2028'!Maxi_hp</f>
        <v>1</v>
      </c>
      <c r="I349" s="385">
        <f>IF(H349,Wh_hp,'2028'!Maxi_hp)</f>
        <v>17.086775972873831</v>
      </c>
      <c r="J349" s="85">
        <f>IF(H349,An,'2028'!An_max)</f>
        <v>2029</v>
      </c>
      <c r="K349" s="193">
        <f t="shared" si="129"/>
        <v>47453</v>
      </c>
      <c r="L349" s="143">
        <f>IF(t&lt;Tvie,1-EXP((T0-t)*PertePVj)+'2028'!Pspv,1-EXP((T0-t)*PertePVj)+Pspv)</f>
        <v>4.061684716258962E-2</v>
      </c>
      <c r="M349" s="835"/>
      <c r="N349" s="835"/>
      <c r="O349" s="48">
        <f>IF(t&lt;Tnet,'2028'!Resal+('2028'!Salim-'2028'!Resal)*(1-EXP(('2028'!Tnet-t)/('2028'!Tau_j))),Resal+(Salim-Resal)*(1-EXP((Tnet-t)/(Tau_j))))*Salcycl</f>
        <v>4.2094337703873899E-2</v>
      </c>
      <c r="P349" s="165">
        <f>(INDEX(Models!$BJ349:$BT349,,T349)*(1-R349)+INDEX(Models!$BJ349:$BT349,,T349+1)*R349-ERP_i)*Q349*Ramure*Pc/MaxiM</f>
        <v>6.6051071237697078E-4</v>
      </c>
      <c r="Q349" s="301">
        <f t="shared" si="130"/>
        <v>0.5</v>
      </c>
      <c r="R349" s="173">
        <f t="shared" si="131"/>
        <v>0.46431418760756166</v>
      </c>
      <c r="S349" s="801">
        <f t="shared" si="132"/>
        <v>0</v>
      </c>
      <c r="T349" s="172">
        <f t="shared" si="133"/>
        <v>6</v>
      </c>
      <c r="U349" s="247">
        <f t="shared" si="134"/>
        <v>0.46431418760756166</v>
      </c>
      <c r="V349" s="378">
        <f t="shared" si="135"/>
        <v>94.39406909196326</v>
      </c>
      <c r="W349" s="397">
        <f t="shared" si="136"/>
        <v>15.702722418674867</v>
      </c>
      <c r="X349" s="153">
        <f t="shared" si="137"/>
        <v>47453</v>
      </c>
      <c r="Y349" s="380">
        <f t="shared" si="138"/>
        <v>15.356336664505113</v>
      </c>
      <c r="Z349" s="380">
        <f t="shared" si="139"/>
        <v>16.006468968199194</v>
      </c>
      <c r="AA349" s="381">
        <f t="shared" si="140"/>
        <v>17.086775972873831</v>
      </c>
      <c r="AB349" s="193">
        <f t="shared" si="141"/>
        <v>47453</v>
      </c>
      <c r="AC349" s="119">
        <f>IF(OR(t&lt;Tnet,NoTnet),'2028'!Resal_s+('2028'!Salim-'2028'!Resal_s)*(1-EXP(('2028'!Tnet_s-t)/'2028'!Tau_j)),Resal_s+(Salim-Resal_s)*(1-EXP((Tnet_s-t)/Tau_j)))*Salcycl</f>
        <v>6.3224742127460598E-2</v>
      </c>
      <c r="AD349" s="227">
        <f>(INDEX(Models!$BJ349:$BT349,,AH349)*(1-AF349)+INDEX(Models!$BJ349:$BT349,,AH349+1)*AF349-ERP_i)*AE349*Ramure*Pc/MaxiM</f>
        <v>6.0433496055407885E-3</v>
      </c>
      <c r="AE349" s="301">
        <f t="shared" si="142"/>
        <v>0.5</v>
      </c>
      <c r="AF349" s="173">
        <f t="shared" si="143"/>
        <v>0.98930175398153963</v>
      </c>
      <c r="AG349" s="801">
        <f t="shared" si="149"/>
        <v>3</v>
      </c>
      <c r="AH349" s="172">
        <f t="shared" si="144"/>
        <v>9</v>
      </c>
      <c r="AI349" s="221">
        <f t="shared" si="145"/>
        <v>3.9893017539815396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47454</v>
      </c>
      <c r="B350" s="406">
        <f>'2028'!Wh/'2028'!Env_an*'2029'!Env_an</f>
        <v>25.320870248569221</v>
      </c>
      <c r="C350" s="831"/>
      <c r="D350" s="388">
        <f t="shared" si="127"/>
        <v>26.393226522558827</v>
      </c>
      <c r="E350" s="380">
        <f t="shared" si="125"/>
        <v>27.553840719946681</v>
      </c>
      <c r="F350" s="380">
        <f t="shared" si="128"/>
        <v>27.553840719946681</v>
      </c>
      <c r="G350" s="110">
        <f t="shared" si="126"/>
        <v>0.27005229095877392</v>
      </c>
      <c r="H350" s="409" t="b">
        <f>Wh_hp&gt;='2028'!Maxi_hp</f>
        <v>1</v>
      </c>
      <c r="I350" s="385">
        <f>IF(H350,Wh_hp,'2028'!Maxi_hp)</f>
        <v>27.553840719946681</v>
      </c>
      <c r="J350" s="85">
        <f>IF(H350,An,'2028'!An_max)</f>
        <v>2029</v>
      </c>
      <c r="K350" s="193">
        <f t="shared" si="129"/>
        <v>47454</v>
      </c>
      <c r="L350" s="143">
        <f>IF(t&lt;Tvie,1-EXP((T0-t)*PertePVj)+'2028'!Pspv,1-EXP((T0-t)*PertePVj)+Pspv)</f>
        <v>4.0629980312298697E-2</v>
      </c>
      <c r="M350" s="835"/>
      <c r="N350" s="835"/>
      <c r="O350" s="48">
        <f>IF(t&lt;Tnet,'2028'!Resal+('2028'!Salim-'2028'!Resal)*(1-EXP(('2028'!Tnet-t)/('2028'!Tau_j))),Resal+(Salim-Resal)*(1-EXP((Tnet-t)/(Tau_j))))*Salcycl</f>
        <v>4.2121684928942256E-2</v>
      </c>
      <c r="P350" s="165">
        <f>(INDEX(Models!$BJ350:$BT350,,T350)*(1-R350)+INDEX(Models!$BJ350:$BT350,,T350+1)*R350-ERP_i)*Q350*Ramure*Pc/MaxiM</f>
        <v>6.5272901981452025E-4</v>
      </c>
      <c r="Q350" s="301">
        <f t="shared" si="130"/>
        <v>0.5</v>
      </c>
      <c r="R350" s="173">
        <f t="shared" si="131"/>
        <v>0.46432998017398358</v>
      </c>
      <c r="S350" s="801">
        <f t="shared" si="132"/>
        <v>0</v>
      </c>
      <c r="T350" s="172">
        <f t="shared" si="133"/>
        <v>6</v>
      </c>
      <c r="U350" s="247">
        <f t="shared" si="134"/>
        <v>0.46432998017398358</v>
      </c>
      <c r="V350" s="378">
        <f t="shared" si="135"/>
        <v>93.701640122778954</v>
      </c>
      <c r="W350" s="397">
        <f t="shared" si="136"/>
        <v>25.320870248569221</v>
      </c>
      <c r="X350" s="153">
        <f t="shared" si="137"/>
        <v>47454</v>
      </c>
      <c r="Y350" s="380">
        <f t="shared" si="138"/>
        <v>24.763107895344852</v>
      </c>
      <c r="Z350" s="380">
        <f t="shared" si="139"/>
        <v>25.811842549974468</v>
      </c>
      <c r="AA350" s="381">
        <f t="shared" si="140"/>
        <v>27.553840719946681</v>
      </c>
      <c r="AB350" s="193">
        <f t="shared" si="141"/>
        <v>47454</v>
      </c>
      <c r="AC350" s="119">
        <f>IF(OR(t&lt;Tnet,NoTnet),'2028'!Resal_s+('2028'!Salim-'2028'!Resal_s)*(1-EXP(('2028'!Tnet_s-t)/'2028'!Tau_j)),Resal_s+(Salim-Resal_s)*(1-EXP((Tnet_s-t)/Tau_j)))*Salcycl</f>
        <v>6.3221609926457673E-2</v>
      </c>
      <c r="AD350" s="227">
        <f>(INDEX(Models!$BJ350:$BT350,,AH350)*(1-AF350)+INDEX(Models!$BJ350:$BT350,,AH350+1)*AF350-ERP_i)*AE350*Ramure*Pc/MaxiM</f>
        <v>5.9478430931986775E-3</v>
      </c>
      <c r="AE350" s="301">
        <f t="shared" si="142"/>
        <v>0.5</v>
      </c>
      <c r="AF350" s="173">
        <f t="shared" si="143"/>
        <v>0.98931754654796178</v>
      </c>
      <c r="AG350" s="801">
        <f t="shared" si="149"/>
        <v>3</v>
      </c>
      <c r="AH350" s="172">
        <f t="shared" si="144"/>
        <v>9</v>
      </c>
      <c r="AI350" s="221">
        <f t="shared" si="145"/>
        <v>3.9893175465479618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47455</v>
      </c>
      <c r="B351" s="406">
        <f>'2028'!Wh/'2028'!Env_an*'2029'!Env_an</f>
        <v>34.718377344822805</v>
      </c>
      <c r="C351" s="831"/>
      <c r="D351" s="388">
        <f t="shared" si="127"/>
        <v>36.189219909187294</v>
      </c>
      <c r="E351" s="380">
        <f t="shared" si="125"/>
        <v>37.781707443466701</v>
      </c>
      <c r="F351" s="380">
        <f t="shared" si="128"/>
        <v>37.784245812043743</v>
      </c>
      <c r="G351" s="110">
        <f t="shared" si="126"/>
        <v>0.37293084238752827</v>
      </c>
      <c r="H351" s="409" t="b">
        <f>Wh_hp&gt;='2028'!Maxi_hp</f>
        <v>1</v>
      </c>
      <c r="I351" s="385">
        <f>IF(H351,Wh_hp,'2028'!Maxi_hp)</f>
        <v>37.784245812043743</v>
      </c>
      <c r="J351" s="85">
        <f>IF(H351,An,'2028'!An_max)</f>
        <v>2029</v>
      </c>
      <c r="K351" s="193">
        <f t="shared" si="129"/>
        <v>47455</v>
      </c>
      <c r="L351" s="143">
        <f>IF(t&lt;Tvie,1-EXP((T0-t)*PertePVj)+'2028'!Pspv,1-EXP((T0-t)*PertePVj)+Pspv)</f>
        <v>4.0643113282226029E-2</v>
      </c>
      <c r="M351" s="835"/>
      <c r="N351" s="835"/>
      <c r="O351" s="48">
        <f>IF(t&lt;Tnet,'2028'!Resal+('2028'!Salim-'2028'!Resal)*(1-EXP(('2028'!Tnet-t)/('2028'!Tau_j))),Resal+(Salim-Resal)*(1-EXP((Tnet-t)/(Tau_j))))*Salcycl</f>
        <v>4.2149697354527248E-2</v>
      </c>
      <c r="P351" s="165">
        <f>(INDEX(Models!$BJ351:$BT351,,T351)*(1-R351)+INDEX(Models!$BJ351:$BT351,,T351+1)*R351-ERP_i)*Q351*Ramure*Pc/MaxiM</f>
        <v>6.4291450954229873E-4</v>
      </c>
      <c r="Q351" s="301">
        <f t="shared" si="130"/>
        <v>0.5</v>
      </c>
      <c r="R351" s="173">
        <f t="shared" si="131"/>
        <v>0.46434513782314618</v>
      </c>
      <c r="S351" s="801">
        <f t="shared" si="132"/>
        <v>0</v>
      </c>
      <c r="T351" s="172">
        <f t="shared" si="133"/>
        <v>6</v>
      </c>
      <c r="U351" s="247">
        <f t="shared" si="134"/>
        <v>0.46434513782314618</v>
      </c>
      <c r="V351" s="378">
        <f t="shared" si="135"/>
        <v>93.042418355310772</v>
      </c>
      <c r="W351" s="397">
        <f t="shared" si="136"/>
        <v>34.718377344822805</v>
      </c>
      <c r="X351" s="153">
        <f t="shared" si="137"/>
        <v>47455</v>
      </c>
      <c r="Y351" s="380">
        <f t="shared" si="138"/>
        <v>33.936206217904314</v>
      </c>
      <c r="Z351" s="380">
        <f t="shared" si="139"/>
        <v>35.373912136086801</v>
      </c>
      <c r="AA351" s="381">
        <f t="shared" si="140"/>
        <v>37.761155565730242</v>
      </c>
      <c r="AB351" s="193">
        <f t="shared" si="141"/>
        <v>47455</v>
      </c>
      <c r="AC351" s="119">
        <f>IF(OR(t&lt;Tnet,NoTnet),'2028'!Resal_s+('2028'!Salim-'2028'!Resal_s)*(1-EXP(('2028'!Tnet_s-t)/'2028'!Tau_j)),Resal_s+(Salim-Resal_s)*(1-EXP((Tnet_s-t)/Tau_j)))*Salcycl</f>
        <v>6.3219554430425345E-2</v>
      </c>
      <c r="AD351" s="227">
        <f>(INDEX(Models!$BJ351:$BT351,,AH351)*(1-AF351)+INDEX(Models!$BJ351:$BT351,,AH351+1)*AF351-ERP_i)*AE351*Ramure*Pc/MaxiM</f>
        <v>5.8482658972920489E-3</v>
      </c>
      <c r="AE351" s="301">
        <f t="shared" si="142"/>
        <v>0.5</v>
      </c>
      <c r="AF351" s="173">
        <f t="shared" si="143"/>
        <v>0.98933270419712427</v>
      </c>
      <c r="AG351" s="801">
        <f t="shared" si="149"/>
        <v>3</v>
      </c>
      <c r="AH351" s="172">
        <f t="shared" si="144"/>
        <v>9</v>
      </c>
      <c r="AI351" s="221">
        <f t="shared" si="145"/>
        <v>3.9893327041971243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47456</v>
      </c>
      <c r="B352" s="406">
        <f>'2028'!Wh/'2028'!Env_an*'2029'!Env_an</f>
        <v>74.48968082981277</v>
      </c>
      <c r="C352" s="831"/>
      <c r="D352" s="388">
        <f t="shared" si="127"/>
        <v>77.64649587266959</v>
      </c>
      <c r="E352" s="380">
        <f t="shared" si="125"/>
        <v>81.065715226080272</v>
      </c>
      <c r="F352" s="380">
        <f t="shared" si="128"/>
        <v>81.102756829153492</v>
      </c>
      <c r="G352" s="110">
        <f t="shared" si="126"/>
        <v>0.80586486428962067</v>
      </c>
      <c r="H352" s="409" t="b">
        <f>Wh_hp&gt;='2028'!Maxi_hp</f>
        <v>1</v>
      </c>
      <c r="I352" s="385">
        <f>IF(H352,Wh_hp,'2028'!Maxi_hp)</f>
        <v>81.102756829153492</v>
      </c>
      <c r="J352" s="85">
        <f>IF(H352,An,'2028'!An_max)</f>
        <v>2029</v>
      </c>
      <c r="K352" s="193">
        <f t="shared" si="129"/>
        <v>47456</v>
      </c>
      <c r="L352" s="143">
        <f>IF(t&lt;Tvie,1-EXP((T0-t)*PertePVj)+'2028'!Pspv,1-EXP((T0-t)*PertePVj)+Pspv)</f>
        <v>4.0656246072373947E-2</v>
      </c>
      <c r="M352" s="835"/>
      <c r="N352" s="835"/>
      <c r="O352" s="48">
        <f>IF(t&lt;Tnet,'2028'!Resal+('2028'!Salim-'2028'!Resal)*(1-EXP(('2028'!Tnet-t)/('2028'!Tau_j))),Resal+(Salim-Resal)*(1-EXP((Tnet-t)/(Tau_j))))*Salcycl</f>
        <v>4.217836534069893E-2</v>
      </c>
      <c r="P352" s="165">
        <f>(INDEX(Models!$BJ352:$BT352,,T352)*(1-R352)+INDEX(Models!$BJ352:$BT352,,T352+1)*R352-ERP_i)*Q352*Ramure*Pc/MaxiM</f>
        <v>6.3182452306622229E-4</v>
      </c>
      <c r="Q352" s="301">
        <f t="shared" si="130"/>
        <v>0.5</v>
      </c>
      <c r="R352" s="173">
        <f t="shared" si="131"/>
        <v>0.46435968604478117</v>
      </c>
      <c r="S352" s="801">
        <f t="shared" si="132"/>
        <v>0</v>
      </c>
      <c r="T352" s="172">
        <f t="shared" si="133"/>
        <v>6</v>
      </c>
      <c r="U352" s="247">
        <f t="shared" si="134"/>
        <v>0.46435968604478117</v>
      </c>
      <c r="V352" s="378">
        <f t="shared" si="135"/>
        <v>92.418263921774255</v>
      </c>
      <c r="W352" s="397">
        <f t="shared" si="136"/>
        <v>74.48968082981277</v>
      </c>
      <c r="X352" s="153">
        <f t="shared" si="137"/>
        <v>47456</v>
      </c>
      <c r="Y352" s="380">
        <f t="shared" si="138"/>
        <v>72.583776220210325</v>
      </c>
      <c r="Z352" s="380">
        <f t="shared" si="139"/>
        <v>75.659820500260565</v>
      </c>
      <c r="AA352" s="381">
        <f t="shared" si="140"/>
        <v>80.765712438735349</v>
      </c>
      <c r="AB352" s="193">
        <f t="shared" si="141"/>
        <v>47456</v>
      </c>
      <c r="AC352" s="119">
        <f>IF(OR(t&lt;Tnet,NoTnet),'2028'!Resal_s+('2028'!Salim-'2028'!Resal_s)*(1-EXP(('2028'!Tnet_s-t)/'2028'!Tau_j)),Resal_s+(Salim-Resal_s)*(1-EXP((Tnet_s-t)/Tau_j)))*Salcycl</f>
        <v>6.3218558770813046E-2</v>
      </c>
      <c r="AD352" s="227">
        <f>(INDEX(Models!$BJ352:$BT352,,AH352)*(1-AF352)+INDEX(Models!$BJ352:$BT352,,AH352+1)*AF352-ERP_i)*AE352*Ramure*Pc/MaxiM</f>
        <v>5.7490198468770131E-3</v>
      </c>
      <c r="AE352" s="301">
        <f t="shared" si="142"/>
        <v>0.5</v>
      </c>
      <c r="AF352" s="173">
        <f t="shared" si="143"/>
        <v>0.9893472524187592</v>
      </c>
      <c r="AG352" s="801">
        <f t="shared" si="149"/>
        <v>3</v>
      </c>
      <c r="AH352" s="172">
        <f t="shared" si="144"/>
        <v>9</v>
      </c>
      <c r="AI352" s="221">
        <f t="shared" si="145"/>
        <v>3.9893472524187592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47457</v>
      </c>
      <c r="B353" s="406">
        <f>'2028'!Wh/'2028'!Env_an*'2029'!Env_an</f>
        <v>93.481307353578373</v>
      </c>
      <c r="C353" s="831"/>
      <c r="D353" s="388">
        <f t="shared" si="127"/>
        <v>97.444306765919109</v>
      </c>
      <c r="E353" s="380">
        <f t="shared" si="125"/>
        <v>101.73845043146821</v>
      </c>
      <c r="F353" s="380">
        <f t="shared" si="128"/>
        <v>101.80165922756322</v>
      </c>
      <c r="G353" s="110">
        <f t="shared" si="126"/>
        <v>1.0179714021442381</v>
      </c>
      <c r="H353" s="409" t="b">
        <f>Wh_hp&gt;='2028'!Maxi_hp</f>
        <v>1</v>
      </c>
      <c r="I353" s="385">
        <f>IF(H353,Wh_hp,'2028'!Maxi_hp)</f>
        <v>101.80165922756322</v>
      </c>
      <c r="J353" s="85">
        <f>IF(H353,An,'2028'!An_max)</f>
        <v>2029</v>
      </c>
      <c r="K353" s="193">
        <f t="shared" si="129"/>
        <v>47457</v>
      </c>
      <c r="L353" s="143">
        <f>IF(t&lt;Tvie,1-EXP((T0-t)*PertePVj)+'2028'!Pspv,1-EXP((T0-t)*PertePVj)+Pspv)</f>
        <v>4.0669378682745005E-2</v>
      </c>
      <c r="M353" s="835"/>
      <c r="N353" s="835"/>
      <c r="O353" s="48">
        <f>IF(t&lt;Tnet,'2028'!Resal+('2028'!Salim-'2028'!Resal)*(1-EXP(('2028'!Tnet-t)/('2028'!Tau_j))),Resal+(Salim-Resal)*(1-EXP((Tnet-t)/(Tau_j))))*Salcycl</f>
        <v>4.2207677110648205E-2</v>
      </c>
      <c r="P353" s="165">
        <f>(INDEX(Models!$BJ353:$BT353,,T353)*(1-R353)+INDEX(Models!$BJ353:$BT353,,T353+1)*R353-ERP_i)*Q353*Ramure*Pc/MaxiM</f>
        <v>6.2090143298849964E-4</v>
      </c>
      <c r="Q353" s="301">
        <f t="shared" si="130"/>
        <v>0.5</v>
      </c>
      <c r="R353" s="173">
        <f t="shared" si="131"/>
        <v>0.46437364930815012</v>
      </c>
      <c r="S353" s="801">
        <f t="shared" si="132"/>
        <v>0</v>
      </c>
      <c r="T353" s="172">
        <f t="shared" si="133"/>
        <v>6</v>
      </c>
      <c r="U353" s="247">
        <f t="shared" si="134"/>
        <v>0.46437364930815012</v>
      </c>
      <c r="V353" s="378">
        <f t="shared" si="135"/>
        <v>91.830975955386265</v>
      </c>
      <c r="W353" s="397">
        <f t="shared" si="136"/>
        <v>93.481307353578373</v>
      </c>
      <c r="X353" s="153">
        <f t="shared" si="137"/>
        <v>47457</v>
      </c>
      <c r="Y353" s="380">
        <f t="shared" si="138"/>
        <v>90.969846384204288</v>
      </c>
      <c r="Z353" s="380">
        <f t="shared" si="139"/>
        <v>94.826376186443184</v>
      </c>
      <c r="AA353" s="381">
        <f t="shared" si="140"/>
        <v>101.22572510873133</v>
      </c>
      <c r="AB353" s="193">
        <f t="shared" si="141"/>
        <v>47457</v>
      </c>
      <c r="AC353" s="119">
        <f>IF(OR(t&lt;Tnet,NoTnet),'2028'!Resal_s+('2028'!Salim-'2028'!Resal_s)*(1-EXP(('2028'!Tnet_s-t)/'2028'!Tau_j)),Resal_s+(Salim-Resal_s)*(1-EXP((Tnet_s-t)/Tau_j)))*Salcycl</f>
        <v>6.3218602933338419E-2</v>
      </c>
      <c r="AD353" s="227">
        <f>(INDEX(Models!$BJ353:$BT353,,AH353)*(1-AF353)+INDEX(Models!$BJ353:$BT353,,AH353+1)*AF353-ERP_i)*AE353*Ramure*Pc/MaxiM</f>
        <v>5.6574138693012577E-3</v>
      </c>
      <c r="AE353" s="301">
        <f t="shared" si="142"/>
        <v>0.5</v>
      </c>
      <c r="AF353" s="173">
        <f t="shared" si="143"/>
        <v>0.98936121568212831</v>
      </c>
      <c r="AG353" s="801">
        <f t="shared" si="149"/>
        <v>3</v>
      </c>
      <c r="AH353" s="172">
        <f t="shared" si="144"/>
        <v>9</v>
      </c>
      <c r="AI353" s="221">
        <f t="shared" si="145"/>
        <v>3.9893612156821283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47458</v>
      </c>
      <c r="B354" s="406">
        <f>'2028'!Wh/'2028'!Env_an*'2029'!Env_an</f>
        <v>48.580023353143218</v>
      </c>
      <c r="C354" s="831"/>
      <c r="D354" s="388">
        <f t="shared" si="127"/>
        <v>50.640193591720148</v>
      </c>
      <c r="E354" s="380">
        <f t="shared" si="125"/>
        <v>52.873441878488038</v>
      </c>
      <c r="F354" s="380">
        <f t="shared" si="128"/>
        <v>52.884144870708397</v>
      </c>
      <c r="G354" s="110">
        <f t="shared" si="126"/>
        <v>0.5319772841783037</v>
      </c>
      <c r="H354" s="409" t="b">
        <f>Wh_hp&gt;='2028'!Maxi_hp</f>
        <v>1</v>
      </c>
      <c r="I354" s="385">
        <f>IF(H354,Wh_hp,'2028'!Maxi_hp)</f>
        <v>52.884144870708397</v>
      </c>
      <c r="J354" s="85">
        <f>IF(H354,An,'2028'!An_max)</f>
        <v>2029</v>
      </c>
      <c r="K354" s="193">
        <f t="shared" si="129"/>
        <v>47458</v>
      </c>
      <c r="L354" s="143">
        <f>IF(t&lt;Tvie,1-EXP((T0-t)*PertePVj)+'2028'!Pspv,1-EXP((T0-t)*PertePVj)+Pspv)</f>
        <v>4.0682511113341646E-2</v>
      </c>
      <c r="M354" s="835"/>
      <c r="N354" s="835"/>
      <c r="O354" s="48">
        <f>IF(t&lt;Tnet,'2028'!Resal+('2028'!Salim-'2028'!Resal)*(1-EXP(('2028'!Tnet-t)/('2028'!Tau_j))),Resal+(Salim-Resal)*(1-EXP((Tnet-t)/(Tau_j))))*Salcycl</f>
        <v>4.2237618876793906E-2</v>
      </c>
      <c r="P354" s="165">
        <f>(INDEX(Models!$BJ354:$BT354,,T354)*(1-R354)+INDEX(Models!$BJ354:$BT354,,T354+1)*R354-ERP_i)*Q354*Ramure*Pc/MaxiM</f>
        <v>6.1013530075046179E-4</v>
      </c>
      <c r="Q354" s="301">
        <f t="shared" si="130"/>
        <v>0.5</v>
      </c>
      <c r="R354" s="173">
        <f t="shared" si="131"/>
        <v>0.46438705110267309</v>
      </c>
      <c r="S354" s="801">
        <f t="shared" si="132"/>
        <v>0</v>
      </c>
      <c r="T354" s="172">
        <f t="shared" si="133"/>
        <v>6</v>
      </c>
      <c r="U354" s="247">
        <f t="shared" si="134"/>
        <v>0.46438705110267309</v>
      </c>
      <c r="V354" s="378">
        <f t="shared" si="135"/>
        <v>91.282489497647802</v>
      </c>
      <c r="W354" s="397">
        <f t="shared" si="136"/>
        <v>48.580023353143218</v>
      </c>
      <c r="X354" s="153">
        <f t="shared" si="137"/>
        <v>47458</v>
      </c>
      <c r="Y354" s="380">
        <f t="shared" si="138"/>
        <v>47.437520093849855</v>
      </c>
      <c r="Z354" s="380">
        <f t="shared" si="139"/>
        <v>49.449239322118224</v>
      </c>
      <c r="AA354" s="381">
        <f t="shared" si="140"/>
        <v>52.786376292883112</v>
      </c>
      <c r="AB354" s="193">
        <f t="shared" si="141"/>
        <v>47458</v>
      </c>
      <c r="AC354" s="119">
        <f>IF(OR(t&lt;Tnet,NoTnet),'2028'!Resal_s+('2028'!Salim-'2028'!Resal_s)*(1-EXP(('2028'!Tnet_s-t)/'2028'!Tau_j)),Resal_s+(Salim-Resal_s)*(1-EXP((Tnet_s-t)/Tau_j)))*Salcycl</f>
        <v>6.3219663957399044E-2</v>
      </c>
      <c r="AD354" s="227">
        <f>(INDEX(Models!$BJ354:$BT354,,AH354)*(1-AF354)+INDEX(Models!$BJ354:$BT354,,AH354+1)*AF354-ERP_i)*AE354*Ramure*Pc/MaxiM</f>
        <v>5.5734003545196333E-3</v>
      </c>
      <c r="AE354" s="301">
        <f t="shared" si="142"/>
        <v>0.5</v>
      </c>
      <c r="AF354" s="173">
        <f t="shared" si="143"/>
        <v>0.98937461747665134</v>
      </c>
      <c r="AG354" s="801">
        <f t="shared" si="149"/>
        <v>3</v>
      </c>
      <c r="AH354" s="172">
        <f t="shared" si="144"/>
        <v>9</v>
      </c>
      <c r="AI354" s="221">
        <f t="shared" si="145"/>
        <v>3.9893746174766513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47459</v>
      </c>
      <c r="B355" s="406">
        <f>'2028'!Wh/'2028'!Env_an*'2029'!Env_an</f>
        <v>75.145581929801551</v>
      </c>
      <c r="C355" s="831"/>
      <c r="D355" s="388">
        <f t="shared" si="127"/>
        <v>78.333410465608836</v>
      </c>
      <c r="E355" s="380">
        <f t="shared" si="125"/>
        <v>81.790547644942137</v>
      </c>
      <c r="F355" s="380">
        <f t="shared" si="128"/>
        <v>81.827538342656013</v>
      </c>
      <c r="G355" s="110">
        <f t="shared" si="126"/>
        <v>0.82770269156522991</v>
      </c>
      <c r="H355" s="409" t="b">
        <f>Wh_hp&gt;='2028'!Maxi_hp</f>
        <v>1</v>
      </c>
      <c r="I355" s="385">
        <f>IF(H355,Wh_hp,'2028'!Maxi_hp)</f>
        <v>81.827538342656013</v>
      </c>
      <c r="J355" s="85">
        <f>IF(H355,An,'2028'!An_max)</f>
        <v>2029</v>
      </c>
      <c r="K355" s="193">
        <f t="shared" si="129"/>
        <v>47459</v>
      </c>
      <c r="L355" s="143">
        <f>IF(t&lt;Tvie,1-EXP((T0-t)*PertePVj)+'2028'!Pspv,1-EXP((T0-t)*PertePVj)+Pspv)</f>
        <v>4.0695643364166423E-2</v>
      </c>
      <c r="M355" s="835"/>
      <c r="N355" s="835"/>
      <c r="O355" s="48">
        <f>IF(t&lt;Tnet,'2028'!Resal+('2028'!Salim-'2028'!Resal)*(1-EXP(('2028'!Tnet-t)/('2028'!Tau_j))),Resal+(Salim-Resal)*(1-EXP((Tnet-t)/(Tau_j))))*Salcycl</f>
        <v>4.2268174977149478E-2</v>
      </c>
      <c r="P355" s="165">
        <f>(INDEX(Models!$BJ355:$BT355,,T355)*(1-R355)+INDEX(Models!$BJ355:$BT355,,T355+1)*R355-ERP_i)*Q355*Ramure*Pc/MaxiM</f>
        <v>5.9951667949725796E-4</v>
      </c>
      <c r="Q355" s="301">
        <f t="shared" si="130"/>
        <v>0.5</v>
      </c>
      <c r="R355" s="173">
        <f t="shared" si="131"/>
        <v>0.46439991397695812</v>
      </c>
      <c r="S355" s="801">
        <f t="shared" si="132"/>
        <v>0</v>
      </c>
      <c r="T355" s="172">
        <f t="shared" si="133"/>
        <v>6</v>
      </c>
      <c r="U355" s="247">
        <f t="shared" si="134"/>
        <v>0.46439991397695812</v>
      </c>
      <c r="V355" s="378">
        <f t="shared" si="135"/>
        <v>90.774739200307508</v>
      </c>
      <c r="W355" s="397">
        <f t="shared" si="136"/>
        <v>75.145581929801551</v>
      </c>
      <c r="X355" s="153">
        <f t="shared" si="137"/>
        <v>47459</v>
      </c>
      <c r="Y355" s="380">
        <f t="shared" si="138"/>
        <v>73.22997379214253</v>
      </c>
      <c r="Z355" s="380">
        <f t="shared" si="139"/>
        <v>76.336538331746297</v>
      </c>
      <c r="AA355" s="381">
        <f t="shared" si="140"/>
        <v>81.488373127109611</v>
      </c>
      <c r="AB355" s="193">
        <f t="shared" si="141"/>
        <v>47459</v>
      </c>
      <c r="AC355" s="119">
        <f>IF(OR(t&lt;Tnet,NoTnet),'2028'!Resal_s+('2028'!Salim-'2028'!Resal_s)*(1-EXP(('2028'!Tnet_s-t)/'2028'!Tau_j)),Resal_s+(Salim-Resal_s)*(1-EXP((Tnet_s-t)/Tau_j)))*Salcycl</f>
        <v>6.3221716149949744E-2</v>
      </c>
      <c r="AD355" s="227">
        <f>(INDEX(Models!$BJ355:$BT355,,AH355)*(1-AF355)+INDEX(Models!$BJ355:$BT355,,AH355+1)*AF355-ERP_i)*AE355*Ramure*Pc/MaxiM</f>
        <v>5.496928049266183E-3</v>
      </c>
      <c r="AE355" s="301">
        <f t="shared" si="142"/>
        <v>0.5</v>
      </c>
      <c r="AF355" s="173">
        <f t="shared" si="143"/>
        <v>0.98938748035093615</v>
      </c>
      <c r="AG355" s="801">
        <f t="shared" si="149"/>
        <v>3</v>
      </c>
      <c r="AH355" s="172">
        <f t="shared" si="144"/>
        <v>9</v>
      </c>
      <c r="AI355" s="221">
        <f t="shared" si="145"/>
        <v>3.9893874803509362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47460</v>
      </c>
      <c r="B356" s="406">
        <f>'2028'!Wh/'2028'!Env_an*'2029'!Env_an</f>
        <v>14.219783992320858</v>
      </c>
      <c r="C356" s="831"/>
      <c r="D356" s="388">
        <f t="shared" si="127"/>
        <v>14.823219089460808</v>
      </c>
      <c r="E356" s="380">
        <f t="shared" si="125"/>
        <v>15.477924912412107</v>
      </c>
      <c r="F356" s="380">
        <f t="shared" si="128"/>
        <v>15.477924912412107</v>
      </c>
      <c r="G356" s="110">
        <f t="shared" si="126"/>
        <v>0.15736310077808774</v>
      </c>
      <c r="H356" s="409" t="b">
        <f>Wh_hp&gt;='2028'!Maxi_hp</f>
        <v>1</v>
      </c>
      <c r="I356" s="385">
        <f>IF(H356,Wh_hp,'2028'!Maxi_hp)</f>
        <v>15.477924912412107</v>
      </c>
      <c r="J356" s="85">
        <f>IF(H356,An,'2028'!An_max)</f>
        <v>2029</v>
      </c>
      <c r="K356" s="193">
        <f t="shared" si="129"/>
        <v>47460</v>
      </c>
      <c r="L356" s="143">
        <f>IF(t&lt;Tvie,1-EXP((T0-t)*PertePVj)+'2028'!Pspv,1-EXP((T0-t)*PertePVj)+Pspv)</f>
        <v>4.0708775435221667E-2</v>
      </c>
      <c r="M356" s="835"/>
      <c r="N356" s="835"/>
      <c r="O356" s="48">
        <f>IF(t&lt;Tnet,'2028'!Resal+('2028'!Salim-'2028'!Resal)*(1-EXP(('2028'!Tnet-t)/('2028'!Tau_j))),Resal+(Salim-Resal)*(1-EXP((Tnet-t)/(Tau_j))))*Salcycl</f>
        <v>4.2299328020791407E-2</v>
      </c>
      <c r="P356" s="165">
        <f>(INDEX(Models!$BJ356:$BT356,,T356)*(1-R356)+INDEX(Models!$BJ356:$BT356,,T356+1)*R356-ERP_i)*Q356*Ramure*Pc/MaxiM</f>
        <v>5.8903669171683011E-4</v>
      </c>
      <c r="Q356" s="301">
        <f t="shared" si="130"/>
        <v>0.5</v>
      </c>
      <c r="R356" s="173">
        <f t="shared" si="131"/>
        <v>0.46441225957629217</v>
      </c>
      <c r="S356" s="801">
        <f t="shared" si="132"/>
        <v>0</v>
      </c>
      <c r="T356" s="172">
        <f t="shared" si="133"/>
        <v>6</v>
      </c>
      <c r="U356" s="247">
        <f t="shared" si="134"/>
        <v>0.46441225957629217</v>
      </c>
      <c r="V356" s="378">
        <f t="shared" si="135"/>
        <v>90.309659300892363</v>
      </c>
      <c r="W356" s="397">
        <f t="shared" si="136"/>
        <v>14.219783992320858</v>
      </c>
      <c r="X356" s="153">
        <f t="shared" si="137"/>
        <v>47460</v>
      </c>
      <c r="Y356" s="380">
        <f t="shared" si="138"/>
        <v>13.909087003731553</v>
      </c>
      <c r="Z356" s="380">
        <f t="shared" si="139"/>
        <v>14.49933726855677</v>
      </c>
      <c r="AA356" s="381">
        <f t="shared" si="140"/>
        <v>15.477924912412107</v>
      </c>
      <c r="AB356" s="193">
        <f t="shared" si="141"/>
        <v>47460</v>
      </c>
      <c r="AC356" s="119">
        <f>IF(OR(t&lt;Tnet,NoTnet),'2028'!Resal_s+('2028'!Salim-'2028'!Resal_s)*(1-EXP(('2028'!Tnet_s-t)/'2028'!Tau_j)),Resal_s+(Salim-Resal_s)*(1-EXP((Tnet_s-t)/Tau_j)))*Salcycl</f>
        <v>6.3224731312049767E-2</v>
      </c>
      <c r="AD356" s="227">
        <f>(INDEX(Models!$BJ356:$BT356,,AH356)*(1-AF356)+INDEX(Models!$BJ356:$BT356,,AH356+1)*AF356-ERP_i)*AE356*Ramure*Pc/MaxiM</f>
        <v>5.4279407787354572E-3</v>
      </c>
      <c r="AE356" s="301">
        <f t="shared" si="142"/>
        <v>0.5</v>
      </c>
      <c r="AF356" s="173">
        <f t="shared" si="143"/>
        <v>0.98939982595027054</v>
      </c>
      <c r="AG356" s="801">
        <f t="shared" si="149"/>
        <v>3</v>
      </c>
      <c r="AH356" s="172">
        <f t="shared" si="144"/>
        <v>9</v>
      </c>
      <c r="AI356" s="221">
        <f t="shared" si="145"/>
        <v>3.9893998259502705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47461</v>
      </c>
      <c r="B357" s="406">
        <f>'2028'!Wh/'2028'!Env_an*'2029'!Env_an</f>
        <v>27.33373461763518</v>
      </c>
      <c r="C357" s="831"/>
      <c r="D357" s="388">
        <f t="shared" si="127"/>
        <v>28.494067389214081</v>
      </c>
      <c r="E357" s="380">
        <f t="shared" si="125"/>
        <v>29.753567407842027</v>
      </c>
      <c r="F357" s="380">
        <f t="shared" si="128"/>
        <v>29.753667827947368</v>
      </c>
      <c r="G357" s="110">
        <f t="shared" si="126"/>
        <v>0.30390763416471361</v>
      </c>
      <c r="H357" s="409" t="b">
        <f>Wh_hp&gt;='2028'!Maxi_hp</f>
        <v>1</v>
      </c>
      <c r="I357" s="385">
        <f>IF(H357,Wh_hp,'2028'!Maxi_hp)</f>
        <v>29.753667827947368</v>
      </c>
      <c r="J357" s="85">
        <f>IF(H357,An,'2028'!An_max)</f>
        <v>2029</v>
      </c>
      <c r="K357" s="193">
        <f t="shared" si="129"/>
        <v>47461</v>
      </c>
      <c r="L357" s="143">
        <f>IF(t&lt;Tvie,1-EXP((T0-t)*PertePVj)+'2028'!Pspv,1-EXP((T0-t)*PertePVj)+Pspv)</f>
        <v>4.0721907326509821E-2</v>
      </c>
      <c r="M357" s="835"/>
      <c r="N357" s="835"/>
      <c r="O357" s="48">
        <f>IF(t&lt;Tnet,'2028'!Resal+('2028'!Salim-'2028'!Resal)*(1-EXP(('2028'!Tnet-t)/('2028'!Tau_j))),Resal+(Salim-Resal)*(1-EXP((Tnet-t)/(Tau_j))))*Salcycl</f>
        <v>4.233105904120886E-2</v>
      </c>
      <c r="P357" s="165">
        <f>(INDEX(Models!$BJ357:$BT357,,T357)*(1-R357)+INDEX(Models!$BJ357:$BT357,,T357+1)*R357-ERP_i)*Q357*Ramure*Pc/MaxiM</f>
        <v>5.7868710408465359E-4</v>
      </c>
      <c r="Q357" s="301">
        <f t="shared" si="130"/>
        <v>0.5</v>
      </c>
      <c r="R357" s="173">
        <f t="shared" si="131"/>
        <v>0.46442410867865225</v>
      </c>
      <c r="S357" s="801">
        <f t="shared" si="132"/>
        <v>0</v>
      </c>
      <c r="T357" s="172">
        <f t="shared" si="133"/>
        <v>6</v>
      </c>
      <c r="U357" s="247">
        <f t="shared" si="134"/>
        <v>0.46442410867865225</v>
      </c>
      <c r="V357" s="378">
        <f t="shared" si="135"/>
        <v>89.88918364168471</v>
      </c>
      <c r="W357" s="397">
        <f t="shared" si="136"/>
        <v>27.33373461763518</v>
      </c>
      <c r="X357" s="153">
        <f t="shared" si="137"/>
        <v>47461</v>
      </c>
      <c r="Y357" s="380">
        <f t="shared" si="138"/>
        <v>26.736529302763667</v>
      </c>
      <c r="Z357" s="380">
        <f t="shared" si="139"/>
        <v>27.871510364892686</v>
      </c>
      <c r="AA357" s="381">
        <f t="shared" si="140"/>
        <v>29.75273659577012</v>
      </c>
      <c r="AB357" s="193">
        <f t="shared" si="141"/>
        <v>47461</v>
      </c>
      <c r="AC357" s="119">
        <f>IF(OR(t&lt;Tnet,NoTnet),'2028'!Resal_s+('2028'!Salim-'2028'!Resal_s)*(1-EXP(('2028'!Tnet_s-t)/'2028'!Tau_j)),Resal_s+(Salim-Resal_s)*(1-EXP((Tnet_s-t)/Tau_j)))*Salcycl</f>
        <v>6.3228678976201672E-2</v>
      </c>
      <c r="AD357" s="227">
        <f>(INDEX(Models!$BJ357:$BT357,,AH357)*(1-AF357)+INDEX(Models!$BJ357:$BT357,,AH357+1)*AF357-ERP_i)*AE357*Ramure*Pc/MaxiM</f>
        <v>5.3663760863450387E-3</v>
      </c>
      <c r="AE357" s="301">
        <f t="shared" si="142"/>
        <v>0.5</v>
      </c>
      <c r="AF357" s="173">
        <f t="shared" si="143"/>
        <v>0.98941167505263028</v>
      </c>
      <c r="AG357" s="801">
        <f t="shared" si="149"/>
        <v>3</v>
      </c>
      <c r="AH357" s="172">
        <f t="shared" si="144"/>
        <v>9</v>
      </c>
      <c r="AI357" s="221">
        <f t="shared" si="145"/>
        <v>3.9894116750526303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47462</v>
      </c>
      <c r="B358" s="406">
        <f>'2028'!Wh/'2028'!Env_an*'2029'!Env_an</f>
        <v>65.883811799890509</v>
      </c>
      <c r="C358" s="831"/>
      <c r="D358" s="388">
        <f t="shared" si="127"/>
        <v>68.681557735436471</v>
      </c>
      <c r="E358" s="380">
        <f t="shared" si="125"/>
        <v>71.719850704694764</v>
      </c>
      <c r="F358" s="380">
        <f t="shared" si="128"/>
        <v>71.745253904201206</v>
      </c>
      <c r="G358" s="110">
        <f t="shared" si="126"/>
        <v>0.73584875799180727</v>
      </c>
      <c r="H358" s="409" t="b">
        <f>Wh_hp&gt;='2028'!Maxi_hp</f>
        <v>1</v>
      </c>
      <c r="I358" s="385">
        <f>IF(H358,Wh_hp,'2028'!Maxi_hp)</f>
        <v>71.745253904201206</v>
      </c>
      <c r="J358" s="85">
        <f>IF(H358,An,'2028'!An_max)</f>
        <v>2029</v>
      </c>
      <c r="K358" s="193">
        <f t="shared" si="129"/>
        <v>47462</v>
      </c>
      <c r="L358" s="143">
        <f>IF(t&lt;Tvie,1-EXP((T0-t)*PertePVj)+'2028'!Pspv,1-EXP((T0-t)*PertePVj)+Pspv)</f>
        <v>4.0735039038033549E-2</v>
      </c>
      <c r="M358" s="835"/>
      <c r="N358" s="835"/>
      <c r="O358" s="48">
        <f>IF(t&lt;Tnet,'2028'!Resal+('2028'!Salim-'2028'!Resal)*(1-EXP(('2028'!Tnet-t)/('2028'!Tau_j))),Resal+(Salim-Resal)*(1-EXP((Tnet-t)/(Tau_j))))*Salcycl</f>
        <v>4.2363347656263498E-2</v>
      </c>
      <c r="P358" s="165">
        <f>(INDEX(Models!$BJ358:$BT358,,T358)*(1-R358)+INDEX(Models!$BJ358:$BT358,,T358+1)*R358-ERP_i)*Q358*Ramure*Pc/MaxiM</f>
        <v>5.6846039928633079E-4</v>
      </c>
      <c r="Q358" s="301">
        <f t="shared" si="130"/>
        <v>0.5</v>
      </c>
      <c r="R358" s="173">
        <f t="shared" si="131"/>
        <v>0.46443548122929679</v>
      </c>
      <c r="S358" s="801">
        <f t="shared" si="132"/>
        <v>0</v>
      </c>
      <c r="T358" s="172">
        <f t="shared" si="133"/>
        <v>6</v>
      </c>
      <c r="U358" s="247">
        <f t="shared" si="134"/>
        <v>0.46443548122929679</v>
      </c>
      <c r="V358" s="378">
        <f t="shared" si="135"/>
        <v>89.515245562519681</v>
      </c>
      <c r="W358" s="397">
        <f t="shared" si="136"/>
        <v>65.883811799890509</v>
      </c>
      <c r="X358" s="153">
        <f t="shared" si="137"/>
        <v>47462</v>
      </c>
      <c r="Y358" s="380">
        <f t="shared" si="138"/>
        <v>64.257486611503609</v>
      </c>
      <c r="Z358" s="380">
        <f t="shared" si="139"/>
        <v>66.98617089804381</v>
      </c>
      <c r="AA358" s="381">
        <f t="shared" si="140"/>
        <v>71.507865411401824</v>
      </c>
      <c r="AB358" s="193">
        <f t="shared" si="141"/>
        <v>47462</v>
      </c>
      <c r="AC358" s="119">
        <f>IF(OR(t&lt;Tnet,NoTnet),'2028'!Resal_s+('2028'!Salim-'2028'!Resal_s)*(1-EXP(('2028'!Tnet_s-t)/'2028'!Tau_j)),Resal_s+(Salim-Resal_s)*(1-EXP((Tnet_s-t)/Tau_j)))*Salcycl</f>
        <v>6.3233526652538452E-2</v>
      </c>
      <c r="AD358" s="227">
        <f>(INDEX(Models!$BJ358:$BT358,,AH358)*(1-AF358)+INDEX(Models!$BJ358:$BT358,,AH358+1)*AF358-ERP_i)*AE358*Ramure*Pc/MaxiM</f>
        <v>5.3121638228487067E-3</v>
      </c>
      <c r="AE358" s="301">
        <f t="shared" si="142"/>
        <v>0.5</v>
      </c>
      <c r="AF358" s="173">
        <f t="shared" si="143"/>
        <v>0.98942304760327504</v>
      </c>
      <c r="AG358" s="801">
        <f t="shared" si="149"/>
        <v>3</v>
      </c>
      <c r="AH358" s="172">
        <f t="shared" si="144"/>
        <v>9</v>
      </c>
      <c r="AI358" s="221">
        <f t="shared" si="145"/>
        <v>3.989423047603275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47463</v>
      </c>
      <c r="B359" s="406">
        <f>'2028'!Wh/'2028'!Env_an*'2029'!Env_an</f>
        <v>62.019694524032779</v>
      </c>
      <c r="C359" s="831"/>
      <c r="D359" s="388">
        <f t="shared" si="127"/>
        <v>64.654236375939405</v>
      </c>
      <c r="E359" s="380">
        <f t="shared" si="125"/>
        <v>67.516685398735746</v>
      </c>
      <c r="F359" s="380">
        <f t="shared" si="128"/>
        <v>67.537987775821165</v>
      </c>
      <c r="G359" s="110">
        <f t="shared" si="126"/>
        <v>0.69523957210055609</v>
      </c>
      <c r="H359" s="409" t="b">
        <f>Wh_hp&gt;='2028'!Maxi_hp</f>
        <v>1</v>
      </c>
      <c r="I359" s="385">
        <f>IF(H359,Wh_hp,'2028'!Maxi_hp)</f>
        <v>67.537987775821165</v>
      </c>
      <c r="J359" s="85">
        <f>IF(H359,An,'2028'!An_max)</f>
        <v>2029</v>
      </c>
      <c r="K359" s="193">
        <f t="shared" si="129"/>
        <v>47463</v>
      </c>
      <c r="L359" s="143">
        <f>IF(t&lt;Tvie,1-EXP((T0-t)*PertePVj)+'2028'!Pspv,1-EXP((T0-t)*PertePVj)+Pspv)</f>
        <v>4.0748170569795072E-2</v>
      </c>
      <c r="M359" s="835"/>
      <c r="N359" s="835"/>
      <c r="O359" s="48">
        <f>IF(t&lt;Tnet,'2028'!Resal+('2028'!Salim-'2028'!Resal)*(1-EXP(('2028'!Tnet-t)/('2028'!Tau_j))),Resal+(Salim-Resal)*(1-EXP((Tnet-t)/(Tau_j))))*Salcycl</f>
        <v>4.2396172233448229E-2</v>
      </c>
      <c r="P359" s="165">
        <f>(INDEX(Models!$BJ359:$BT359,,T359)*(1-R359)+INDEX(Models!$BJ359:$BT359,,T359+1)*R359-ERP_i)*Q359*Ramure*Pc/MaxiM</f>
        <v>5.5838262097408341E-4</v>
      </c>
      <c r="Q359" s="301">
        <f t="shared" si="130"/>
        <v>0.5</v>
      </c>
      <c r="R359" s="173">
        <f t="shared" si="131"/>
        <v>0.4644463963739881</v>
      </c>
      <c r="S359" s="801">
        <f t="shared" si="132"/>
        <v>0</v>
      </c>
      <c r="T359" s="172">
        <f t="shared" si="133"/>
        <v>6</v>
      </c>
      <c r="U359" s="247">
        <f t="shared" si="134"/>
        <v>0.4644463963739881</v>
      </c>
      <c r="V359" s="378">
        <f t="shared" si="135"/>
        <v>89.184539218467293</v>
      </c>
      <c r="W359" s="397">
        <f t="shared" si="136"/>
        <v>62.019694524032779</v>
      </c>
      <c r="X359" s="153">
        <f t="shared" si="137"/>
        <v>47463</v>
      </c>
      <c r="Y359" s="380">
        <f t="shared" si="138"/>
        <v>60.508415387120507</v>
      </c>
      <c r="Z359" s="380">
        <f t="shared" si="139"/>
        <v>63.078759435947568</v>
      </c>
      <c r="AA359" s="381">
        <f t="shared" si="140"/>
        <v>67.337106905994062</v>
      </c>
      <c r="AB359" s="193">
        <f t="shared" si="141"/>
        <v>47463</v>
      </c>
      <c r="AC359" s="119">
        <f>IF(OR(t&lt;Tnet,NoTnet),'2028'!Resal_s+('2028'!Salim-'2028'!Resal_s)*(1-EXP(('2028'!Tnet_s-t)/'2028'!Tau_j)),Resal_s+(Salim-Resal_s)*(1-EXP((Tnet_s-t)/Tau_j)))*Salcycl</f>
        <v>6.3239240081866849E-2</v>
      </c>
      <c r="AD359" s="227">
        <f>(INDEX(Models!$BJ359:$BT359,,AH359)*(1-AF359)+INDEX(Models!$BJ359:$BT359,,AH359+1)*AF359-ERP_i)*AE359*Ramure*Pc/MaxiM</f>
        <v>5.2655338015964639E-3</v>
      </c>
      <c r="AE359" s="301">
        <f t="shared" si="142"/>
        <v>0.5</v>
      </c>
      <c r="AF359" s="173">
        <f t="shared" si="143"/>
        <v>0.98943396274796624</v>
      </c>
      <c r="AG359" s="801">
        <f t="shared" si="149"/>
        <v>3</v>
      </c>
      <c r="AH359" s="172">
        <f t="shared" si="144"/>
        <v>9</v>
      </c>
      <c r="AI359" s="221">
        <f t="shared" si="145"/>
        <v>3.9894339627479662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47464</v>
      </c>
      <c r="B360" s="406">
        <f>'2028'!Wh/'2028'!Env_an*'2029'!Env_an</f>
        <v>21.628765194239666</v>
      </c>
      <c r="C360" s="831"/>
      <c r="D360" s="388">
        <f t="shared" si="127"/>
        <v>22.547844699731197</v>
      </c>
      <c r="E360" s="380">
        <f t="shared" si="125"/>
        <v>23.546929376575672</v>
      </c>
      <c r="F360" s="380">
        <f t="shared" si="128"/>
        <v>23.546929376575672</v>
      </c>
      <c r="G360" s="110">
        <f t="shared" si="126"/>
        <v>0.24318001878223303</v>
      </c>
      <c r="H360" s="409" t="b">
        <f>Wh_hp&gt;='2028'!Maxi_hp</f>
        <v>1</v>
      </c>
      <c r="I360" s="385">
        <f>IF(H360,Wh_hp,'2028'!Maxi_hp)</f>
        <v>23.546929376575672</v>
      </c>
      <c r="J360" s="85">
        <f>IF(H360,An,'2028'!An_max)</f>
        <v>2029</v>
      </c>
      <c r="K360" s="193">
        <f t="shared" si="129"/>
        <v>47464</v>
      </c>
      <c r="L360" s="143">
        <f>IF(t&lt;Tvie,1-EXP((T0-t)*PertePVj)+'2028'!Pspv,1-EXP((T0-t)*PertePVj)+Pspv)</f>
        <v>4.0761301921796944E-2</v>
      </c>
      <c r="M360" s="835"/>
      <c r="N360" s="835"/>
      <c r="O360" s="48">
        <f>IF(t&lt;Tnet,'2028'!Resal+('2028'!Salim-'2028'!Resal)*(1-EXP(('2028'!Tnet-t)/('2028'!Tau_j))),Resal+(Salim-Resal)*(1-EXP((Tnet-t)/(Tau_j))))*Salcycl</f>
        <v>4.2429510059105988E-2</v>
      </c>
      <c r="P360" s="165">
        <f>(INDEX(Models!$BJ360:$BT360,,T360)*(1-R360)+INDEX(Models!$BJ360:$BT360,,T360+1)*R360-ERP_i)*Q360*Ramure*Pc/MaxiM</f>
        <v>5.4848592203587618E-4</v>
      </c>
      <c r="Q360" s="301">
        <f t="shared" si="130"/>
        <v>0.5</v>
      </c>
      <c r="R360" s="173">
        <f t="shared" si="131"/>
        <v>0.46445687249090284</v>
      </c>
      <c r="S360" s="801">
        <f t="shared" si="132"/>
        <v>0</v>
      </c>
      <c r="T360" s="172">
        <f t="shared" si="133"/>
        <v>6</v>
      </c>
      <c r="U360" s="247">
        <f t="shared" si="134"/>
        <v>0.46445687249090284</v>
      </c>
      <c r="V360" s="378">
        <f t="shared" si="135"/>
        <v>88.892591707452226</v>
      </c>
      <c r="W360" s="397">
        <f t="shared" si="136"/>
        <v>21.628765194239666</v>
      </c>
      <c r="X360" s="153">
        <f t="shared" si="137"/>
        <v>47464</v>
      </c>
      <c r="Y360" s="380">
        <f t="shared" si="138"/>
        <v>21.158585405845869</v>
      </c>
      <c r="Z360" s="380">
        <f t="shared" si="139"/>
        <v>22.057685379286994</v>
      </c>
      <c r="AA360" s="381">
        <f t="shared" si="140"/>
        <v>23.546929376575672</v>
      </c>
      <c r="AB360" s="193">
        <f t="shared" si="141"/>
        <v>47464</v>
      </c>
      <c r="AC360" s="119">
        <f>IF(OR(t&lt;Tnet,NoTnet),'2028'!Resal_s+('2028'!Salim-'2028'!Resal_s)*(1-EXP(('2028'!Tnet_s-t)/'2028'!Tau_j)),Resal_s+(Salim-Resal_s)*(1-EXP((Tnet_s-t)/Tau_j)))*Salcycl</f>
        <v>6.3245783493544067E-2</v>
      </c>
      <c r="AD360" s="227">
        <f>(INDEX(Models!$BJ360:$BT360,,AH360)*(1-AF360)+INDEX(Models!$BJ360:$BT360,,AH360+1)*AF360-ERP_i)*AE360*Ramure*Pc/MaxiM</f>
        <v>5.2267684823230553E-3</v>
      </c>
      <c r="AE360" s="301">
        <f t="shared" si="142"/>
        <v>0.5</v>
      </c>
      <c r="AF360" s="173">
        <f t="shared" si="143"/>
        <v>0.98944443886488109</v>
      </c>
      <c r="AG360" s="801">
        <f t="shared" si="149"/>
        <v>3</v>
      </c>
      <c r="AH360" s="172">
        <f t="shared" si="144"/>
        <v>9</v>
      </c>
      <c r="AI360" s="221">
        <f t="shared" si="145"/>
        <v>3.9894444388648811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47465</v>
      </c>
      <c r="B361" s="406">
        <f>'2028'!Wh/'2028'!Env_an*'2029'!Env_an</f>
        <v>22.527513965632782</v>
      </c>
      <c r="C361" s="831"/>
      <c r="D361" s="388">
        <f t="shared" si="127"/>
        <v>23.485105842514894</v>
      </c>
      <c r="E361" s="380">
        <f t="shared" ref="E361:E379" si="150">Wh_pvt/(1-Psa)</f>
        <v>24.526586565834364</v>
      </c>
      <c r="F361" s="380">
        <f t="shared" si="128"/>
        <v>24.526586565834364</v>
      </c>
      <c r="G361" s="110">
        <f t="shared" ref="G361:G379" si="151">+Wh_hp/MaxiM</f>
        <v>0.25401040262561159</v>
      </c>
      <c r="H361" s="409" t="b">
        <f>Wh_hp&gt;='2028'!Maxi_hp</f>
        <v>1</v>
      </c>
      <c r="I361" s="385">
        <f>IF(H361,Wh_hp,'2028'!Maxi_hp)</f>
        <v>24.526586565834364</v>
      </c>
      <c r="J361" s="85">
        <f>IF(H361,An,'2028'!An_max)</f>
        <v>2029</v>
      </c>
      <c r="K361" s="193">
        <f t="shared" si="129"/>
        <v>47465</v>
      </c>
      <c r="L361" s="143">
        <f>IF(t&lt;Tvie,1-EXP((T0-t)*PertePVj)+'2028'!Pspv,1-EXP((T0-t)*PertePVj)+Pspv)</f>
        <v>4.0774433094041718E-2</v>
      </c>
      <c r="M361" s="835"/>
      <c r="N361" s="835"/>
      <c r="O361" s="48">
        <f>IF(t&lt;Tnet,'2028'!Resal+('2028'!Salim-'2028'!Resal)*(1-EXP(('2028'!Tnet-t)/('2028'!Tau_j))),Resal+(Salim-Resal)*(1-EXP((Tnet-t)/(Tau_j))))*Salcycl</f>
        <v>4.2463337510253288E-2</v>
      </c>
      <c r="P361" s="165">
        <f>(INDEX(Models!$BJ361:$BT361,,T361)*(1-R361)+INDEX(Models!$BJ361:$BT361,,T361+1)*R361-ERP_i)*Q361*Ramure*Pc/MaxiM</f>
        <v>5.3960394524176826E-4</v>
      </c>
      <c r="Q361" s="301">
        <f t="shared" si="130"/>
        <v>0.5</v>
      </c>
      <c r="R361" s="173">
        <f t="shared" si="131"/>
        <v>0.46446692722127875</v>
      </c>
      <c r="S361" s="801">
        <f t="shared" si="132"/>
        <v>0</v>
      </c>
      <c r="T361" s="172">
        <f t="shared" si="133"/>
        <v>6</v>
      </c>
      <c r="U361" s="247">
        <f t="shared" si="134"/>
        <v>0.46446692722127875</v>
      </c>
      <c r="V361" s="378">
        <f t="shared" si="135"/>
        <v>88.639511600656945</v>
      </c>
      <c r="W361" s="397">
        <f t="shared" si="136"/>
        <v>22.527513965632782</v>
      </c>
      <c r="X361" s="153">
        <f t="shared" si="137"/>
        <v>47465</v>
      </c>
      <c r="Y361" s="380">
        <f t="shared" si="138"/>
        <v>22.038402550152117</v>
      </c>
      <c r="Z361" s="380">
        <f t="shared" si="139"/>
        <v>22.975203445878069</v>
      </c>
      <c r="AA361" s="381">
        <f t="shared" si="140"/>
        <v>24.526586565834364</v>
      </c>
      <c r="AB361" s="193">
        <f t="shared" si="141"/>
        <v>47465</v>
      </c>
      <c r="AC361" s="119">
        <f>IF(OR(t&lt;Tnet,NoTnet),'2028'!Resal_s+('2028'!Salim-'2028'!Resal_s)*(1-EXP(('2028'!Tnet_s-t)/'2028'!Tau_j)),Resal_s+(Salim-Resal_s)*(1-EXP((Tnet_s-t)/Tau_j)))*Salcycl</f>
        <v>6.3253119866152785E-2</v>
      </c>
      <c r="AD361" s="227">
        <f>(INDEX(Models!$BJ361:$BT361,,AH361)*(1-AF361)+INDEX(Models!$BJ361:$BT361,,AH361+1)*AF361-ERP_i)*AE361*Ramure*Pc/MaxiM</f>
        <v>5.1922393573455355E-3</v>
      </c>
      <c r="AE361" s="301">
        <f t="shared" si="142"/>
        <v>0.5</v>
      </c>
      <c r="AF361" s="173">
        <f t="shared" si="143"/>
        <v>0.98945449359525695</v>
      </c>
      <c r="AG361" s="801">
        <f t="shared" si="149"/>
        <v>3</v>
      </c>
      <c r="AH361" s="172">
        <f t="shared" si="144"/>
        <v>9</v>
      </c>
      <c r="AI361" s="221">
        <f t="shared" si="145"/>
        <v>3.9894544935952569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47466</v>
      </c>
      <c r="B362" s="406">
        <f>'2028'!Wh/'2028'!Env_an*'2029'!Env_an</f>
        <v>66.113302496662556</v>
      </c>
      <c r="C362" s="831"/>
      <c r="D362" s="388">
        <f t="shared" si="127"/>
        <v>68.924567719664878</v>
      </c>
      <c r="E362" s="380">
        <f t="shared" si="150"/>
        <v>71.983704579291995</v>
      </c>
      <c r="F362" s="380">
        <f t="shared" si="128"/>
        <v>72.008192027910425</v>
      </c>
      <c r="G362" s="110">
        <f t="shared" si="151"/>
        <v>0.7475291598007775</v>
      </c>
      <c r="H362" s="409" t="b">
        <f>Wh_hp&gt;='2028'!Maxi_hp</f>
        <v>1</v>
      </c>
      <c r="I362" s="385">
        <f>IF(H362,Wh_hp,'2028'!Maxi_hp)</f>
        <v>72.008192027910425</v>
      </c>
      <c r="J362" s="85">
        <f>IF(H362,An,'2028'!An_max)</f>
        <v>2029</v>
      </c>
      <c r="K362" s="193">
        <f t="shared" si="129"/>
        <v>47466</v>
      </c>
      <c r="L362" s="143">
        <f>IF(t&lt;Tvie,1-EXP((T0-t)*PertePVj)+'2028'!Pspv,1-EXP((T0-t)*PertePVj)+Pspv)</f>
        <v>4.0787564086531725E-2</v>
      </c>
      <c r="M362" s="835"/>
      <c r="N362" s="835"/>
      <c r="O362" s="48">
        <f>IF(t&lt;Tnet,'2028'!Resal+('2028'!Salim-'2028'!Resal)*(1-EXP(('2028'!Tnet-t)/('2028'!Tau_j))),Resal+(Salim-Resal)*(1-EXP((Tnet-t)/(Tau_j))))*Salcycl</f>
        <v>4.2497630227649644E-2</v>
      </c>
      <c r="P362" s="165">
        <f>(INDEX(Models!$BJ362:$BT362,,T362)*(1-R362)+INDEX(Models!$BJ362:$BT362,,T362+1)*R362-ERP_i)*Q362*Ramure*Pc/MaxiM</f>
        <v>5.3173988301672499E-4</v>
      </c>
      <c r="Q362" s="301">
        <f t="shared" si="130"/>
        <v>0.5</v>
      </c>
      <c r="R362" s="173">
        <f t="shared" si="131"/>
        <v>0.46447657749884808</v>
      </c>
      <c r="S362" s="801">
        <f t="shared" si="132"/>
        <v>0</v>
      </c>
      <c r="T362" s="172">
        <f t="shared" si="133"/>
        <v>6</v>
      </c>
      <c r="U362" s="247">
        <f t="shared" si="134"/>
        <v>0.46447657749884808</v>
      </c>
      <c r="V362" s="378">
        <f t="shared" si="135"/>
        <v>88.425481526502011</v>
      </c>
      <c r="W362" s="397">
        <f t="shared" si="136"/>
        <v>66.113302496662556</v>
      </c>
      <c r="X362" s="153">
        <f t="shared" si="137"/>
        <v>47466</v>
      </c>
      <c r="Y362" s="380">
        <f t="shared" si="138"/>
        <v>64.48803427240982</v>
      </c>
      <c r="Z362" s="380">
        <f t="shared" si="139"/>
        <v>67.230189953695898</v>
      </c>
      <c r="AA362" s="381">
        <f t="shared" si="140"/>
        <v>71.770477273634626</v>
      </c>
      <c r="AB362" s="193">
        <f t="shared" si="141"/>
        <v>47466</v>
      </c>
      <c r="AC362" s="119">
        <f>IF(OR(t&lt;Tnet,NoTnet),'2028'!Resal_s+('2028'!Salim-'2028'!Resal_s)*(1-EXP(('2028'!Tnet_s-t)/'2028'!Tau_j)),Resal_s+(Salim-Resal_s)*(1-EXP((Tnet_s-t)/Tau_j)))*Salcycl</f>
        <v>6.3261211188944275E-2</v>
      </c>
      <c r="AD362" s="227">
        <f>(INDEX(Models!$BJ362:$BT362,,AH362)*(1-AF362)+INDEX(Models!$BJ362:$BT362,,AH362+1)*AF362-ERP_i)*AE362*Ramure*Pc/MaxiM</f>
        <v>5.1619267323284165E-3</v>
      </c>
      <c r="AE362" s="301">
        <f t="shared" si="142"/>
        <v>0.5</v>
      </c>
      <c r="AF362" s="173">
        <f t="shared" si="143"/>
        <v>0.98946414387282644</v>
      </c>
      <c r="AG362" s="801">
        <f t="shared" si="149"/>
        <v>3</v>
      </c>
      <c r="AH362" s="172">
        <f t="shared" si="144"/>
        <v>9</v>
      </c>
      <c r="AI362" s="221">
        <f t="shared" si="145"/>
        <v>3.9894641438728264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47467</v>
      </c>
      <c r="B363" s="406">
        <f>'2028'!Wh/'2028'!Env_an*'2029'!Env_an</f>
        <v>32.906488121169509</v>
      </c>
      <c r="C363" s="831"/>
      <c r="D363" s="388">
        <f t="shared" si="127"/>
        <v>34.306205129823176</v>
      </c>
      <c r="E363" s="380">
        <f t="shared" si="150"/>
        <v>35.830145912461305</v>
      </c>
      <c r="F363" s="380">
        <f t="shared" si="128"/>
        <v>35.832103976015588</v>
      </c>
      <c r="G363" s="110">
        <f t="shared" si="151"/>
        <v>0.37269980870352526</v>
      </c>
      <c r="H363" s="409" t="b">
        <f>Wh_hp&gt;='2028'!Maxi_hp</f>
        <v>0</v>
      </c>
      <c r="I363" s="385">
        <f>IF(H363,Wh_hp,'2028'!Maxi_hp)</f>
        <v>91.83152399747874</v>
      </c>
      <c r="J363" s="85">
        <f>IF(H363,An,'2028'!An_max)</f>
        <v>2021</v>
      </c>
      <c r="K363" s="193">
        <f t="shared" si="129"/>
        <v>47467</v>
      </c>
      <c r="L363" s="143">
        <f>IF(t&lt;Tvie,1-EXP((T0-t)*PertePVj)+'2028'!Pspv,1-EXP((T0-t)*PertePVj)+Pspv)</f>
        <v>4.0800694899269407E-2</v>
      </c>
      <c r="M363" s="835"/>
      <c r="N363" s="835"/>
      <c r="O363" s="48">
        <f>IF(t&lt;Tnet,'2028'!Resal+('2028'!Salim-'2028'!Resal)*(1-EXP(('2028'!Tnet-t)/('2028'!Tau_j))),Resal+(Salim-Resal)*(1-EXP((Tnet-t)/(Tau_j))))*Salcycl</f>
        <v>4.2532363288761178E-2</v>
      </c>
      <c r="P363" s="165">
        <f>(INDEX(Models!$BJ363:$BT363,,T363)*(1-R363)+INDEX(Models!$BJ363:$BT363,,T363+1)*R363-ERP_i)*Q363*Ramure*Pc/MaxiM</f>
        <v>5.2489565262011815E-4</v>
      </c>
      <c r="Q363" s="301">
        <f t="shared" si="130"/>
        <v>0.5</v>
      </c>
      <c r="R363" s="173">
        <f t="shared" si="131"/>
        <v>0.46448583957810458</v>
      </c>
      <c r="S363" s="801">
        <f t="shared" si="132"/>
        <v>0</v>
      </c>
      <c r="T363" s="172">
        <f t="shared" si="133"/>
        <v>6</v>
      </c>
      <c r="U363" s="247">
        <f t="shared" si="134"/>
        <v>0.46448583957810458</v>
      </c>
      <c r="V363" s="378">
        <f t="shared" si="135"/>
        <v>88.250683865837189</v>
      </c>
      <c r="W363" s="397">
        <f t="shared" si="136"/>
        <v>32.906488121169509</v>
      </c>
      <c r="X363" s="153">
        <f t="shared" si="137"/>
        <v>47467</v>
      </c>
      <c r="Y363" s="380">
        <f t="shared" si="138"/>
        <v>32.178316360692698</v>
      </c>
      <c r="Z363" s="380">
        <f t="shared" si="139"/>
        <v>33.547059708632169</v>
      </c>
      <c r="AA363" s="381">
        <f t="shared" si="140"/>
        <v>35.812945436917403</v>
      </c>
      <c r="AB363" s="193">
        <f t="shared" si="141"/>
        <v>47467</v>
      </c>
      <c r="AC363" s="119">
        <f>IF(OR(t&lt;Tnet,NoTnet),'2028'!Resal_s+('2028'!Salim-'2028'!Resal_s)*(1-EXP(('2028'!Tnet_s-t)/'2028'!Tau_j)),Resal_s+(Salim-Resal_s)*(1-EXP((Tnet_s-t)/Tau_j)))*Salcycl</f>
        <v>6.3270018722041979E-2</v>
      </c>
      <c r="AD363" s="227">
        <f>(INDEX(Models!$BJ363:$BT363,,AH363)*(1-AF363)+INDEX(Models!$BJ363:$BT363,,AH363+1)*AF363-ERP_i)*AE363*Ramure*Pc/MaxiM</f>
        <v>5.1358056592200382E-3</v>
      </c>
      <c r="AE363" s="301">
        <f t="shared" si="142"/>
        <v>0.5</v>
      </c>
      <c r="AF363" s="173">
        <f t="shared" si="143"/>
        <v>0.98947340595208289</v>
      </c>
      <c r="AG363" s="801">
        <f t="shared" si="149"/>
        <v>3</v>
      </c>
      <c r="AH363" s="172">
        <f t="shared" si="144"/>
        <v>9</v>
      </c>
      <c r="AI363" s="221">
        <f t="shared" si="145"/>
        <v>3.9894734059520829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47468</v>
      </c>
      <c r="B364" s="406">
        <f>'2028'!Wh/'2028'!Env_an*'2029'!Env_an</f>
        <v>20.055880111580187</v>
      </c>
      <c r="C364" s="831"/>
      <c r="D364" s="388">
        <f t="shared" si="127"/>
        <v>20.909267299134395</v>
      </c>
      <c r="E364" s="380">
        <f t="shared" si="150"/>
        <v>21.838894697689334</v>
      </c>
      <c r="F364" s="380">
        <f t="shared" si="128"/>
        <v>21.838894697689334</v>
      </c>
      <c r="G364" s="110">
        <f t="shared" si="151"/>
        <v>0.22749136073628562</v>
      </c>
      <c r="H364" s="409" t="b">
        <f>Wh_hp&gt;='2028'!Maxi_hp</f>
        <v>0</v>
      </c>
      <c r="I364" s="385">
        <f>IF(H364,Wh_hp,'2028'!Maxi_hp)</f>
        <v>96.573538746410236</v>
      </c>
      <c r="J364" s="85">
        <f>IF(H364,An,'2028'!An_max)</f>
        <v>2021</v>
      </c>
      <c r="K364" s="193">
        <f t="shared" si="129"/>
        <v>47468</v>
      </c>
      <c r="L364" s="143">
        <f>IF(t&lt;Tvie,1-EXP((T0-t)*PertePVj)+'2028'!Pspv,1-EXP((T0-t)*PertePVj)+Pspv)</f>
        <v>4.0813825532257431E-2</v>
      </c>
      <c r="M364" s="835"/>
      <c r="N364" s="835"/>
      <c r="O364" s="48">
        <f>IF(t&lt;Tnet,'2028'!Resal+('2028'!Salim-'2028'!Resal)*(1-EXP(('2028'!Tnet-t)/('2028'!Tau_j))),Resal+(Salim-Resal)*(1-EXP((Tnet-t)/(Tau_j))))*Salcycl</f>
        <v>4.2567511379286965E-2</v>
      </c>
      <c r="P364" s="165">
        <f>(INDEX(Models!$BJ364:$BT364,,T364)*(1-R364)+INDEX(Models!$BJ364:$BT364,,T364+1)*R364-ERP_i)*Q364*Ramure*Pc/MaxiM</f>
        <v>5.1907181102873795E-4</v>
      </c>
      <c r="Q364" s="301">
        <f t="shared" si="130"/>
        <v>0.5</v>
      </c>
      <c r="R364" s="173">
        <f t="shared" si="131"/>
        <v>0.46449472906144978</v>
      </c>
      <c r="S364" s="801">
        <f t="shared" si="132"/>
        <v>0</v>
      </c>
      <c r="T364" s="172">
        <f t="shared" si="133"/>
        <v>6</v>
      </c>
      <c r="U364" s="247">
        <f t="shared" si="134"/>
        <v>0.46449472906144978</v>
      </c>
      <c r="V364" s="378">
        <f t="shared" si="135"/>
        <v>88.115300751161996</v>
      </c>
      <c r="W364" s="397">
        <f t="shared" si="136"/>
        <v>20.055880111580187</v>
      </c>
      <c r="X364" s="153">
        <f t="shared" si="137"/>
        <v>47468</v>
      </c>
      <c r="Y364" s="380">
        <f t="shared" si="138"/>
        <v>19.622014297711239</v>
      </c>
      <c r="Z364" s="380">
        <f t="shared" si="139"/>
        <v>20.45694028961541</v>
      </c>
      <c r="AA364" s="381">
        <f t="shared" si="140"/>
        <v>21.838894697689334</v>
      </c>
      <c r="AB364" s="193">
        <f t="shared" si="141"/>
        <v>47468</v>
      </c>
      <c r="AC364" s="119">
        <f>IF(OR(t&lt;Tnet,NoTnet),'2028'!Resal_s+('2028'!Salim-'2028'!Resal_s)*(1-EXP(('2028'!Tnet_s-t)/'2028'!Tau_j)),Resal_s+(Salim-Resal_s)*(1-EXP((Tnet_s-t)/Tau_j)))*Salcycl</f>
        <v>6.3279503253438063E-2</v>
      </c>
      <c r="AD364" s="227">
        <f>(INDEX(Models!$BJ364:$BT364,,AH364)*(1-AF364)+INDEX(Models!$BJ364:$BT364,,AH364+1)*AF364-ERP_i)*AE364*Ramure*Pc/MaxiM</f>
        <v>5.113845838402368E-3</v>
      </c>
      <c r="AE364" s="301">
        <f t="shared" si="142"/>
        <v>0.5</v>
      </c>
      <c r="AF364" s="173">
        <f t="shared" si="143"/>
        <v>0.98948229543542787</v>
      </c>
      <c r="AG364" s="801">
        <f t="shared" si="149"/>
        <v>3</v>
      </c>
      <c r="AH364" s="172">
        <f t="shared" si="144"/>
        <v>9</v>
      </c>
      <c r="AI364" s="221">
        <f t="shared" si="145"/>
        <v>3.9894822954354279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47469</v>
      </c>
      <c r="B365" s="406">
        <f>'2028'!Wh/'2028'!Env_an*'2029'!Env_an</f>
        <v>12.44350940938801</v>
      </c>
      <c r="C365" s="831"/>
      <c r="D365" s="388">
        <f t="shared" si="127"/>
        <v>12.973164213734799</v>
      </c>
      <c r="E365" s="380">
        <f t="shared" si="150"/>
        <v>13.550454907620832</v>
      </c>
      <c r="F365" s="380">
        <f t="shared" si="128"/>
        <v>13.550454907620832</v>
      </c>
      <c r="G365" s="110">
        <f t="shared" si="151"/>
        <v>0.1412994634943476</v>
      </c>
      <c r="H365" s="409" t="b">
        <f>Wh_hp&gt;='2028'!Maxi_hp</f>
        <v>0</v>
      </c>
      <c r="I365" s="385">
        <f>IF(H365,Wh_hp,'2028'!Maxi_hp)</f>
        <v>97.364376896272645</v>
      </c>
      <c r="J365" s="85">
        <f>IF(H365,An,'2028'!An_max)</f>
        <v>2021</v>
      </c>
      <c r="K365" s="193">
        <f t="shared" si="129"/>
        <v>47469</v>
      </c>
      <c r="L365" s="143">
        <f>IF(t&lt;Tvie,1-EXP((T0-t)*PertePVj)+'2028'!Pspv,1-EXP((T0-t)*PertePVj)+Pspv)</f>
        <v>4.0826955985498015E-2</v>
      </c>
      <c r="M365" s="835"/>
      <c r="N365" s="835"/>
      <c r="O365" s="48">
        <f>IF(t&lt;Tnet,'2028'!Resal+('2028'!Salim-'2028'!Resal)*(1-EXP(('2028'!Tnet-t)/('2028'!Tau_j))),Resal+(Salim-Resal)*(1-EXP((Tnet-t)/(Tau_j))))*Salcycl</f>
        <v>4.2603048961947519E-2</v>
      </c>
      <c r="P365" s="165">
        <f>(INDEX(Models!$BJ365:$BT365,,T365)*(1-R365)+INDEX(Models!$BJ365:$BT365,,T365+1)*R365-ERP_i)*Q365*Ramure*Pc/MaxiM</f>
        <v>5.1426747280657796E-4</v>
      </c>
      <c r="Q365" s="301">
        <f t="shared" si="130"/>
        <v>0.5</v>
      </c>
      <c r="R365" s="173">
        <f t="shared" si="131"/>
        <v>0.46450326092526223</v>
      </c>
      <c r="S365" s="801">
        <f t="shared" si="132"/>
        <v>0</v>
      </c>
      <c r="T365" s="172">
        <f t="shared" si="133"/>
        <v>6</v>
      </c>
      <c r="U365" s="247">
        <f t="shared" si="134"/>
        <v>0.46450326092526223</v>
      </c>
      <c r="V365" s="378">
        <f t="shared" si="135"/>
        <v>88.019514085053288</v>
      </c>
      <c r="W365" s="397">
        <f t="shared" si="136"/>
        <v>12.44350940938801</v>
      </c>
      <c r="X365" s="153">
        <f t="shared" si="137"/>
        <v>47469</v>
      </c>
      <c r="Y365" s="380">
        <f t="shared" si="138"/>
        <v>12.174641195775555</v>
      </c>
      <c r="Z365" s="380">
        <f t="shared" si="139"/>
        <v>12.692851693183616</v>
      </c>
      <c r="AA365" s="381">
        <f t="shared" si="140"/>
        <v>13.550454907620832</v>
      </c>
      <c r="AB365" s="193">
        <f t="shared" si="141"/>
        <v>47469</v>
      </c>
      <c r="AC365" s="119">
        <f>IF(OR(t&lt;Tnet,NoTnet),'2028'!Resal_s+('2028'!Salim-'2028'!Resal_s)*(1-EXP(('2028'!Tnet_s-t)/'2028'!Tau_j)),Resal_s+(Salim-Resal_s)*(1-EXP((Tnet_s-t)/Tau_j)))*Salcycl</f>
        <v>6.3289625350872611E-2</v>
      </c>
      <c r="AD365" s="227">
        <f>(INDEX(Models!$BJ365:$BT365,,AH365)*(1-AF365)+INDEX(Models!$BJ365:$BT365,,AH365+1)*AF365-ERP_i)*AE365*Ramure*Pc/MaxiM</f>
        <v>5.0960115309493202E-3</v>
      </c>
      <c r="AE365" s="301">
        <f t="shared" si="142"/>
        <v>0.5</v>
      </c>
      <c r="AF365" s="173">
        <f t="shared" si="143"/>
        <v>0.98949082729924021</v>
      </c>
      <c r="AG365" s="801">
        <f t="shared" si="149"/>
        <v>3</v>
      </c>
      <c r="AH365" s="172">
        <f t="shared" si="144"/>
        <v>9</v>
      </c>
      <c r="AI365" s="221">
        <f t="shared" si="145"/>
        <v>3.9894908272992402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47470</v>
      </c>
      <c r="B366" s="406">
        <f>'2028'!Wh/'2028'!Env_an*'2029'!Env_an</f>
        <v>67.778186342070754</v>
      </c>
      <c r="C366" s="831"/>
      <c r="D366" s="388">
        <f t="shared" si="127"/>
        <v>70.664114889576496</v>
      </c>
      <c r="E366" s="380">
        <f t="shared" si="150"/>
        <v>73.811353534957135</v>
      </c>
      <c r="F366" s="380">
        <f t="shared" si="128"/>
        <v>73.836707896090843</v>
      </c>
      <c r="G366" s="110">
        <f t="shared" si="151"/>
        <v>0.7703974118960667</v>
      </c>
      <c r="H366" s="409" t="b">
        <f>Wh_hp&gt;='2028'!Maxi_hp</f>
        <v>0</v>
      </c>
      <c r="I366" s="385">
        <f>IF(H366,Wh_hp,'2028'!Maxi_hp)</f>
        <v>98.158403846650032</v>
      </c>
      <c r="J366" s="85">
        <f>IF(H366,An,'2028'!An_max)</f>
        <v>2021</v>
      </c>
      <c r="K366" s="193">
        <f t="shared" si="129"/>
        <v>47470</v>
      </c>
      <c r="L366" s="143">
        <f>IF(t&lt;Tvie,1-EXP((T0-t)*PertePVj)+'2028'!Pspv,1-EXP((T0-t)*PertePVj)+Pspv)</f>
        <v>4.0840086258993713E-2</v>
      </c>
      <c r="M366" s="835"/>
      <c r="N366" s="835"/>
      <c r="O366" s="48">
        <f>IF(t&lt;Tnet,'2028'!Resal+('2028'!Salim-'2028'!Resal)*(1-EXP(('2028'!Tnet-t)/('2028'!Tau_j))),Resal+(Salim-Resal)*(1-EXP((Tnet-t)/(Tau_j))))*Salcycl</f>
        <v>4.2638950441277267E-2</v>
      </c>
      <c r="P366" s="165">
        <f>(INDEX(Models!$BJ366:$BT366,,T366)*(1-R366)+INDEX(Models!$BJ366:$BT366,,T366+1)*R366-ERP_i)*Q366*Ramure*Pc/MaxiM</f>
        <v>5.1085106701837879E-4</v>
      </c>
      <c r="Q366" s="301">
        <f t="shared" si="130"/>
        <v>0.5</v>
      </c>
      <c r="R366" s="173">
        <f t="shared" si="131"/>
        <v>0.46451144954493151</v>
      </c>
      <c r="S366" s="801">
        <f t="shared" si="132"/>
        <v>0</v>
      </c>
      <c r="T366" s="172">
        <f t="shared" si="133"/>
        <v>6</v>
      </c>
      <c r="U366" s="247">
        <f t="shared" si="134"/>
        <v>0.46451144954493151</v>
      </c>
      <c r="V366" s="378">
        <f t="shared" si="135"/>
        <v>87.963472875497402</v>
      </c>
      <c r="W366" s="397">
        <f t="shared" si="136"/>
        <v>67.778186342070754</v>
      </c>
      <c r="X366" s="153">
        <f t="shared" si="137"/>
        <v>47470</v>
      </c>
      <c r="Y366" s="380">
        <f t="shared" si="138"/>
        <v>66.11153317074367</v>
      </c>
      <c r="Z366" s="380">
        <f t="shared" si="139"/>
        <v>68.926497264558535</v>
      </c>
      <c r="AA366" s="381">
        <f t="shared" si="140"/>
        <v>73.584416244080344</v>
      </c>
      <c r="AB366" s="193">
        <f t="shared" si="141"/>
        <v>47470</v>
      </c>
      <c r="AC366" s="119">
        <f>IF(OR(t&lt;Tnet,NoTnet),'2028'!Resal_s+('2028'!Salim-'2028'!Resal_s)*(1-EXP(('2028'!Tnet_s-t)/'2028'!Tau_j)),Resal_s+(Salim-Resal_s)*(1-EXP((Tnet_s-t)/Tau_j)))*Salcycl</f>
        <v>6.3300345606757735E-2</v>
      </c>
      <c r="AD366" s="227">
        <f>(INDEX(Models!$BJ366:$BT366,,AH366)*(1-AF366)+INDEX(Models!$BJ366:$BT366,,AH366+1)*AF366-ERP_i)*AE366*Ramure*Pc/MaxiM</f>
        <v>5.0832856308120154E-3</v>
      </c>
      <c r="AE366" s="301">
        <f t="shared" si="142"/>
        <v>0.5</v>
      </c>
      <c r="AF366" s="173">
        <f t="shared" si="143"/>
        <v>0.98949901591890965</v>
      </c>
      <c r="AG366" s="801">
        <f t="shared" si="149"/>
        <v>3</v>
      </c>
      <c r="AH366" s="172">
        <f t="shared" si="144"/>
        <v>9</v>
      </c>
      <c r="AI366" s="221">
        <f t="shared" si="145"/>
        <v>3.9894990159189097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47471</v>
      </c>
      <c r="B367" s="406">
        <f>'2028'!Wh/'2028'!Env_an*'2029'!Env_an</f>
        <v>65.148455394302559</v>
      </c>
      <c r="C367" s="831"/>
      <c r="D367" s="388">
        <f t="shared" si="127"/>
        <v>67.92334239663397</v>
      </c>
      <c r="E367" s="380">
        <f t="shared" si="150"/>
        <v>70.951198287200484</v>
      </c>
      <c r="F367" s="380">
        <f t="shared" si="128"/>
        <v>70.973901579066151</v>
      </c>
      <c r="G367" s="110">
        <f t="shared" si="151"/>
        <v>0.74062647956364114</v>
      </c>
      <c r="H367" s="409" t="b">
        <f>Wh_hp&gt;='2028'!Maxi_hp</f>
        <v>0</v>
      </c>
      <c r="I367" s="385">
        <f>IF(H367,Wh_hp,'2028'!Maxi_hp)</f>
        <v>96.560601713863988</v>
      </c>
      <c r="J367" s="85">
        <f>IF(H367,An,'2028'!An_max)</f>
        <v>2021</v>
      </c>
      <c r="K367" s="193">
        <f t="shared" si="129"/>
        <v>47471</v>
      </c>
      <c r="L367" s="143">
        <f>IF(t&lt;Tvie,1-EXP((T0-t)*PertePVj)+'2028'!Pspv,1-EXP((T0-t)*PertePVj)+Pspv)</f>
        <v>4.0853216352747079E-2</v>
      </c>
      <c r="M367" s="835"/>
      <c r="N367" s="835"/>
      <c r="O367" s="48">
        <f>IF(t&lt;Tnet,'2028'!Resal+('2028'!Salim-'2028'!Resal)*(1-EXP(('2028'!Tnet-t)/('2028'!Tau_j))),Resal+(Salim-Resal)*(1-EXP((Tnet-t)/(Tau_j))))*Salcycl</f>
        <v>4.2675190323215997E-2</v>
      </c>
      <c r="P367" s="165">
        <f>(INDEX(Models!$BJ367:$BT367,,T367)*(1-R367)+INDEX(Models!$BJ367:$BT367,,T367+1)*R367-ERP_i)*Q367*Ramure*Pc/MaxiM</f>
        <v>5.0801930355671098E-4</v>
      </c>
      <c r="Q367" s="301">
        <f t="shared" si="130"/>
        <v>0.5</v>
      </c>
      <c r="R367" s="173">
        <f t="shared" si="131"/>
        <v>0.46451930871889774</v>
      </c>
      <c r="S367" s="801">
        <f t="shared" si="132"/>
        <v>0</v>
      </c>
      <c r="T367" s="172">
        <f t="shared" si="133"/>
        <v>6</v>
      </c>
      <c r="U367" s="247">
        <f t="shared" si="134"/>
        <v>0.46451930871889774</v>
      </c>
      <c r="V367" s="378">
        <f t="shared" si="135"/>
        <v>87.947428874985889</v>
      </c>
      <c r="W367" s="397">
        <f t="shared" si="136"/>
        <v>65.148455394302559</v>
      </c>
      <c r="X367" s="153">
        <f t="shared" si="137"/>
        <v>47471</v>
      </c>
      <c r="Y367" s="380">
        <f t="shared" si="138"/>
        <v>63.560886580110612</v>
      </c>
      <c r="Z367" s="380">
        <f t="shared" si="139"/>
        <v>66.26815380479502</v>
      </c>
      <c r="AA367" s="381">
        <f t="shared" si="140"/>
        <v>70.747278993303382</v>
      </c>
      <c r="AB367" s="193">
        <f t="shared" si="141"/>
        <v>47471</v>
      </c>
      <c r="AC367" s="119">
        <f>IF(OR(t&lt;Tnet,NoTnet),'2028'!Resal_s+('2028'!Salim-'2028'!Resal_s)*(1-EXP(('2028'!Tnet_s-t)/'2028'!Tau_j)),Resal_s+(Salim-Resal_s)*(1-EXP((Tnet_s-t)/Tau_j)))*Salcycl</f>
        <v>6.3311624874397454E-2</v>
      </c>
      <c r="AD367" s="227">
        <f>(INDEX(Models!$BJ367:$BT367,,AH367)*(1-AF367)+INDEX(Models!$BJ367:$BT367,,AH367+1)*AF367-ERP_i)*AE367*Ramure*Pc/MaxiM</f>
        <v>5.0710112379578126E-3</v>
      </c>
      <c r="AE367" s="301">
        <f t="shared" si="142"/>
        <v>0.5</v>
      </c>
      <c r="AF367" s="173">
        <f t="shared" si="143"/>
        <v>0.98950687509287594</v>
      </c>
      <c r="AG367" s="801">
        <f t="shared" si="149"/>
        <v>3</v>
      </c>
      <c r="AH367" s="172">
        <f t="shared" si="144"/>
        <v>9</v>
      </c>
      <c r="AI367" s="221">
        <f t="shared" si="145"/>
        <v>3.9895068750928759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47472</v>
      </c>
      <c r="B368" s="406">
        <f>'2028'!Wh/'2028'!Env_an*'2029'!Env_an</f>
        <v>17.032116779163182</v>
      </c>
      <c r="C368" s="831"/>
      <c r="D368" s="388">
        <f t="shared" si="127"/>
        <v>17.757813744590244</v>
      </c>
      <c r="E368" s="380">
        <f t="shared" si="150"/>
        <v>18.550121785755188</v>
      </c>
      <c r="F368" s="380">
        <f t="shared" si="128"/>
        <v>18.550121785755188</v>
      </c>
      <c r="G368" s="110">
        <f t="shared" si="151"/>
        <v>0.19351142436339794</v>
      </c>
      <c r="H368" s="409" t="b">
        <f>Wh_hp&gt;='2028'!Maxi_hp</f>
        <v>0</v>
      </c>
      <c r="I368" s="385">
        <f>IF(H368,Wh_hp,'2028'!Maxi_hp)</f>
        <v>98.669245392496961</v>
      </c>
      <c r="J368" s="85">
        <f>IF(H368,An,'2028'!An_max)</f>
        <v>2021</v>
      </c>
      <c r="K368" s="193">
        <f t="shared" si="129"/>
        <v>47472</v>
      </c>
      <c r="L368" s="143">
        <f>IF(t&lt;Tvie,1-EXP((T0-t)*PertePVj)+'2028'!Pspv,1-EXP((T0-t)*PertePVj)+Pspv)</f>
        <v>4.0866346266760334E-2</v>
      </c>
      <c r="M368" s="835"/>
      <c r="N368" s="835"/>
      <c r="O368" s="48">
        <f>IF(t&lt;Tnet,'2028'!Resal+('2028'!Salim-'2028'!Resal)*(1-EXP(('2028'!Tnet-t)/('2028'!Tau_j))),Resal+(Salim-Resal)*(1-EXP((Tnet-t)/(Tau_j))))*Salcycl</f>
        <v>4.2711743368357057E-2</v>
      </c>
      <c r="P368" s="165">
        <f>(INDEX(Models!$BJ368:$BT368,,T368)*(1-R368)+INDEX(Models!$BJ368:$BT368,,T368+1)*R368-ERP_i)*Q368*Ramure*Pc/MaxiM</f>
        <v>5.057681274950001E-4</v>
      </c>
      <c r="Q368" s="301">
        <f t="shared" si="130"/>
        <v>0.5</v>
      </c>
      <c r="R368" s="173">
        <f t="shared" si="131"/>
        <v>0.46452685169173608</v>
      </c>
      <c r="S368" s="801">
        <f t="shared" si="132"/>
        <v>0</v>
      </c>
      <c r="T368" s="172">
        <f t="shared" si="133"/>
        <v>6</v>
      </c>
      <c r="U368" s="247">
        <f t="shared" si="134"/>
        <v>0.46452685169173608</v>
      </c>
      <c r="V368" s="378">
        <f t="shared" si="135"/>
        <v>87.971563091716106</v>
      </c>
      <c r="W368" s="397">
        <f t="shared" si="136"/>
        <v>17.032116779163182</v>
      </c>
      <c r="X368" s="153">
        <f t="shared" si="137"/>
        <v>47472</v>
      </c>
      <c r="Y368" s="380">
        <f t="shared" si="138"/>
        <v>16.665392798677264</v>
      </c>
      <c r="Z368" s="380">
        <f t="shared" si="139"/>
        <v>17.375464549503075</v>
      </c>
      <c r="AA368" s="381">
        <f t="shared" si="140"/>
        <v>18.550121785755188</v>
      </c>
      <c r="AB368" s="193">
        <f t="shared" si="141"/>
        <v>47472</v>
      </c>
      <c r="AC368" s="119">
        <f>IF(OR(t&lt;Tnet,NoTnet),'2028'!Resal_s+('2028'!Salim-'2028'!Resal_s)*(1-EXP(('2028'!Tnet_s-t)/'2028'!Tau_j)),Resal_s+(Salim-Resal_s)*(1-EXP((Tnet_s-t)/Tau_j)))*Salcycl</f>
        <v>6.3323424493856681E-2</v>
      </c>
      <c r="AD368" s="227">
        <f>(INDEX(Models!$BJ368:$BT368,,AH368)*(1-AF368)+INDEX(Models!$BJ368:$BT368,,AH368+1)*AF368-ERP_i)*AE368*Ramure*Pc/MaxiM</f>
        <v>5.0591514731826871E-3</v>
      </c>
      <c r="AE368" s="301">
        <f t="shared" si="142"/>
        <v>0.5</v>
      </c>
      <c r="AF368" s="173">
        <f t="shared" si="143"/>
        <v>0.98951441806571427</v>
      </c>
      <c r="AG368" s="801">
        <f t="shared" si="149"/>
        <v>3</v>
      </c>
      <c r="AH368" s="172">
        <f t="shared" si="144"/>
        <v>9</v>
      </c>
      <c r="AI368" s="221">
        <f t="shared" si="145"/>
        <v>3.9895144180657143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47473</v>
      </c>
      <c r="B369" s="406">
        <f>'2028'!Wh/'2028'!Env_an*'2029'!Env_an</f>
        <v>80.479475911663798</v>
      </c>
      <c r="C369" s="831"/>
      <c r="D369" s="388">
        <f t="shared" si="127"/>
        <v>83.909658794613335</v>
      </c>
      <c r="E369" s="380">
        <f t="shared" si="150"/>
        <v>87.656865747885305</v>
      </c>
      <c r="F369" s="380">
        <f t="shared" si="128"/>
        <v>87.695651782795125</v>
      </c>
      <c r="G369" s="110">
        <f t="shared" si="151"/>
        <v>0.91410840586796227</v>
      </c>
      <c r="H369" s="409" t="b">
        <f>Wh_hp&gt;='2028'!Maxi_hp</f>
        <v>1</v>
      </c>
      <c r="I369" s="385">
        <f>IF(H369,Wh_hp,'2028'!Maxi_hp)</f>
        <v>87.695651782795125</v>
      </c>
      <c r="J369" s="85">
        <f>IF(H369,An,'2028'!An_max)</f>
        <v>2029</v>
      </c>
      <c r="K369" s="193">
        <f t="shared" si="129"/>
        <v>47473</v>
      </c>
      <c r="L369" s="143">
        <f>IF(t&lt;Tvie,1-EXP((T0-t)*PertePVj)+'2028'!Pspv,1-EXP((T0-t)*PertePVj)+Pspv)</f>
        <v>4.0879476001036252E-2</v>
      </c>
      <c r="M369" s="835"/>
      <c r="N369" s="835"/>
      <c r="O369" s="48">
        <f>IF(t&lt;Tnet,'2028'!Resal+('2028'!Salim-'2028'!Resal)*(1-EXP(('2028'!Tnet-t)/('2028'!Tau_j))),Resal+(Salim-Resal)*(1-EXP((Tnet-t)/(Tau_j))))*Salcycl</f>
        <v>4.2748584737783368E-2</v>
      </c>
      <c r="P369" s="165">
        <f>(INDEX(Models!$BJ369:$BT369,,T369)*(1-R369)+INDEX(Models!$BJ369:$BT369,,T369+1)*R369-ERP_i)*Q369*Ramure*Pc/MaxiM</f>
        <v>5.0409262598865678E-4</v>
      </c>
      <c r="Q369" s="301">
        <f t="shared" si="130"/>
        <v>0.5</v>
      </c>
      <c r="R369" s="173">
        <f t="shared" si="131"/>
        <v>0.46453409117632299</v>
      </c>
      <c r="S369" s="801">
        <f t="shared" si="132"/>
        <v>0</v>
      </c>
      <c r="T369" s="172">
        <f t="shared" si="133"/>
        <v>6</v>
      </c>
      <c r="U369" s="247">
        <f t="shared" si="134"/>
        <v>0.46453409117632299</v>
      </c>
      <c r="V369" s="378">
        <f t="shared" si="135"/>
        <v>88.036056279582098</v>
      </c>
      <c r="W369" s="397">
        <f t="shared" si="136"/>
        <v>80.479475911663798</v>
      </c>
      <c r="X369" s="153">
        <f t="shared" si="137"/>
        <v>47473</v>
      </c>
      <c r="Y369" s="380">
        <f t="shared" si="138"/>
        <v>78.43457906549331</v>
      </c>
      <c r="Z369" s="380">
        <f t="shared" si="139"/>
        <v>81.777604694004083</v>
      </c>
      <c r="AA369" s="381">
        <f t="shared" si="140"/>
        <v>87.307272479607462</v>
      </c>
      <c r="AB369" s="193">
        <f t="shared" si="141"/>
        <v>47473</v>
      </c>
      <c r="AC369" s="119">
        <f>IF(OR(t&lt;Tnet,NoTnet),'2028'!Resal_s+('2028'!Salim-'2028'!Resal_s)*(1-EXP(('2028'!Tnet_s-t)/'2028'!Tau_j)),Resal_s+(Salim-Resal_s)*(1-EXP((Tnet_s-t)/Tau_j)))*Salcycl</f>
        <v>6.3335706505949468E-2</v>
      </c>
      <c r="AD369" s="227">
        <f>(INDEX(Models!$BJ369:$BT369,,AH369)*(1-AF369)+INDEX(Models!$BJ369:$BT369,,AH369+1)*AF369-ERP_i)*AE369*Ramure*Pc/MaxiM</f>
        <v>5.0476709794827889E-3</v>
      </c>
      <c r="AE369" s="301">
        <f t="shared" si="142"/>
        <v>0.5</v>
      </c>
      <c r="AF369" s="173">
        <f t="shared" si="143"/>
        <v>0.98952165755030119</v>
      </c>
      <c r="AG369" s="801">
        <f t="shared" si="149"/>
        <v>3</v>
      </c>
      <c r="AH369" s="172">
        <f t="shared" si="144"/>
        <v>9</v>
      </c>
      <c r="AI369" s="221">
        <f t="shared" si="145"/>
        <v>3.9895216575503012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47474</v>
      </c>
      <c r="B370" s="406">
        <f>'2028'!Wh/'2028'!Env_an*'2029'!Env_an</f>
        <v>67.03842902252147</v>
      </c>
      <c r="C370" s="831"/>
      <c r="D370" s="388">
        <f t="shared" si="127"/>
        <v>69.896686659739984</v>
      </c>
      <c r="E370" s="380">
        <f t="shared" si="150"/>
        <v>73.020937880953142</v>
      </c>
      <c r="F370" s="380">
        <f t="shared" si="128"/>
        <v>73.045112287373755</v>
      </c>
      <c r="G370" s="110">
        <f t="shared" si="151"/>
        <v>0.76045001200878659</v>
      </c>
      <c r="H370" s="409" t="b">
        <f>Wh_hp&gt;='2028'!Maxi_hp</f>
        <v>0</v>
      </c>
      <c r="I370" s="385">
        <f>IF(H370,Wh_hp,'2028'!Maxi_hp)</f>
        <v>94.664901862942699</v>
      </c>
      <c r="J370" s="85">
        <f>IF(H370,An,'2028'!An_max)</f>
        <v>2021</v>
      </c>
      <c r="K370" s="193">
        <f t="shared" si="129"/>
        <v>47474</v>
      </c>
      <c r="L370" s="143">
        <f>IF(t&lt;Tvie,1-EXP((T0-t)*PertePVj)+'2028'!Pspv,1-EXP((T0-t)*PertePVj)+Pspv)</f>
        <v>4.0892605555577055E-2</v>
      </c>
      <c r="M370" s="835"/>
      <c r="N370" s="835"/>
      <c r="O370" s="48">
        <f>IF(t&lt;Tnet,'2028'!Resal+('2028'!Salim-'2028'!Resal)*(1-EXP(('2028'!Tnet-t)/('2028'!Tau_j))),Resal+(Salim-Resal)*(1-EXP((Tnet-t)/(Tau_j))))*Salcycl</f>
        <v>4.2785690130502763E-2</v>
      </c>
      <c r="P370" s="165">
        <f>(INDEX(Models!$BJ370:$BT370,,T370)*(1-R370)+INDEX(Models!$BJ370:$BT370,,T370+1)*R370-ERP_i)*Q370*Ramure*Pc/MaxiM</f>
        <v>5.0298701337231182E-4</v>
      </c>
      <c r="Q370" s="301">
        <f t="shared" si="130"/>
        <v>0.5</v>
      </c>
      <c r="R370" s="173">
        <f t="shared" si="131"/>
        <v>0.46454103937512026</v>
      </c>
      <c r="S370" s="801">
        <f t="shared" si="132"/>
        <v>0</v>
      </c>
      <c r="T370" s="172">
        <f t="shared" si="133"/>
        <v>6</v>
      </c>
      <c r="U370" s="247">
        <f t="shared" si="134"/>
        <v>0.46454103937512026</v>
      </c>
      <c r="V370" s="378">
        <f t="shared" si="135"/>
        <v>88.141089053755053</v>
      </c>
      <c r="W370" s="397">
        <f t="shared" si="136"/>
        <v>67.03842902252147</v>
      </c>
      <c r="X370" s="153">
        <f t="shared" si="137"/>
        <v>47474</v>
      </c>
      <c r="Y370" s="380">
        <f t="shared" si="138"/>
        <v>65.402577486772543</v>
      </c>
      <c r="Z370" s="380">
        <f t="shared" si="139"/>
        <v>68.191088782771757</v>
      </c>
      <c r="AA370" s="381">
        <f t="shared" si="140"/>
        <v>72.80304784337018</v>
      </c>
      <c r="AB370" s="193">
        <f t="shared" si="141"/>
        <v>47474</v>
      </c>
      <c r="AC370" s="119">
        <f>IF(OR(t&lt;Tnet,NoTnet),'2028'!Resal_s+('2028'!Salim-'2028'!Resal_s)*(1-EXP(('2028'!Tnet_s-t)/'2028'!Tau_j)),Resal_s+(Salim-Resal_s)*(1-EXP((Tnet_s-t)/Tau_j)))*Salcycl</f>
        <v>6.3348433852943559E-2</v>
      </c>
      <c r="AD370" s="227">
        <f>(INDEX(Models!$BJ370:$BT370,,AH370)*(1-AF370)+INDEX(Models!$BJ370:$BT370,,AH370+1)*AF370-ERP_i)*AE370*Ramure*Pc/MaxiM</f>
        <v>5.0365361454813243E-3</v>
      </c>
      <c r="AE370" s="301">
        <f t="shared" si="142"/>
        <v>0.5</v>
      </c>
      <c r="AF370" s="173">
        <f t="shared" si="143"/>
        <v>0.9895286057490984</v>
      </c>
      <c r="AG370" s="801">
        <f t="shared" si="149"/>
        <v>3</v>
      </c>
      <c r="AH370" s="172">
        <f t="shared" si="144"/>
        <v>9</v>
      </c>
      <c r="AI370" s="221">
        <f t="shared" si="145"/>
        <v>3.9895286057490984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47475</v>
      </c>
      <c r="B371" s="406">
        <f>'2028'!Wh/'2028'!Env_an*'2029'!Env_an</f>
        <v>68.762862520723672</v>
      </c>
      <c r="C371" s="831"/>
      <c r="D371" s="388">
        <f t="shared" si="127"/>
        <v>71.695624742092065</v>
      </c>
      <c r="E371" s="380">
        <f t="shared" si="150"/>
        <v>74.903207486164945</v>
      </c>
      <c r="F371" s="380">
        <f t="shared" si="128"/>
        <v>74.928961222520769</v>
      </c>
      <c r="G371" s="110">
        <f t="shared" si="151"/>
        <v>0.7787337532967229</v>
      </c>
      <c r="H371" s="409" t="b">
        <f>Wh_hp&gt;='2028'!Maxi_hp</f>
        <v>1</v>
      </c>
      <c r="I371" s="385">
        <f>IF(H371,Wh_hp,'2028'!Maxi_hp)</f>
        <v>74.928961222520769</v>
      </c>
      <c r="J371" s="85">
        <f>IF(H371,An,'2028'!An_max)</f>
        <v>2029</v>
      </c>
      <c r="K371" s="193">
        <f t="shared" si="129"/>
        <v>47475</v>
      </c>
      <c r="L371" s="143">
        <f>IF(t&lt;Tvie,1-EXP((T0-t)*PertePVj)+'2028'!Pspv,1-EXP((T0-t)*PertePVj)+Pspv)</f>
        <v>4.0905734930385296E-2</v>
      </c>
      <c r="M371" s="835"/>
      <c r="N371" s="835"/>
      <c r="O371" s="48">
        <f>IF(t&lt;Tnet,'2028'!Resal+('2028'!Salim-'2028'!Resal)*(1-EXP(('2028'!Tnet-t)/('2028'!Tau_j))),Resal+(Salim-Resal)*(1-EXP((Tnet-t)/(Tau_j))))*Salcycl</f>
        <v>4.2823035911584116E-2</v>
      </c>
      <c r="P371" s="165">
        <f>(INDEX(Models!$BJ371:$BT371,,T371)*(1-R371)+INDEX(Models!$BJ371:$BT371,,T371+1)*R371-ERP_i)*Q371*Ramure*Pc/MaxiM</f>
        <v>5.0243785110663623E-4</v>
      </c>
      <c r="Q371" s="301">
        <f t="shared" si="130"/>
        <v>0.5</v>
      </c>
      <c r="R371" s="173">
        <f t="shared" si="131"/>
        <v>0.46454103937512026</v>
      </c>
      <c r="S371" s="801">
        <f t="shared" si="132"/>
        <v>0</v>
      </c>
      <c r="T371" s="172">
        <f t="shared" si="133"/>
        <v>6</v>
      </c>
      <c r="U371" s="247">
        <f t="shared" si="134"/>
        <v>0.46454103937512026</v>
      </c>
      <c r="V371" s="378">
        <f t="shared" si="135"/>
        <v>88.286842334204934</v>
      </c>
      <c r="W371" s="397">
        <f t="shared" si="136"/>
        <v>68.762862520723672</v>
      </c>
      <c r="X371" s="153">
        <f t="shared" si="137"/>
        <v>47475</v>
      </c>
      <c r="Y371" s="380">
        <f t="shared" si="138"/>
        <v>67.079111692080218</v>
      </c>
      <c r="Z371" s="380">
        <f t="shared" si="139"/>
        <v>69.940061300659906</v>
      </c>
      <c r="AA371" s="381">
        <f t="shared" si="140"/>
        <v>74.671355672250414</v>
      </c>
      <c r="AB371" s="193">
        <f t="shared" si="141"/>
        <v>47475</v>
      </c>
      <c r="AC371" s="119">
        <f>IF(OR(t&lt;Tnet,NoTnet),'2028'!Resal_s+('2028'!Salim-'2028'!Resal_s)*(1-EXP(('2028'!Tnet_s-t)/'2028'!Tau_j)),Resal_s+(Salim-Resal_s)*(1-EXP((Tnet_s-t)/Tau_j)))*Salcycl</f>
        <v>6.3361570564718833E-2</v>
      </c>
      <c r="AD371" s="227">
        <f>(INDEX(Models!$BJ371:$BT371,,AH371)*(1-AF371)+INDEX(Models!$BJ371:$BT371,,AH371+1)*AF371-ERP_i)*AE371*Ramure*Pc/MaxiM</f>
        <v>5.0257087873666869E-3</v>
      </c>
      <c r="AE371" s="301">
        <f t="shared" si="142"/>
        <v>0.5</v>
      </c>
      <c r="AF371" s="173">
        <f t="shared" si="143"/>
        <v>0.9895286057490984</v>
      </c>
      <c r="AG371" s="801">
        <f t="shared" si="149"/>
        <v>3</v>
      </c>
      <c r="AH371" s="172">
        <f t="shared" si="144"/>
        <v>9</v>
      </c>
      <c r="AI371" s="221">
        <f t="shared" si="145"/>
        <v>3.9895286057490984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47476</v>
      </c>
      <c r="B372" s="406">
        <f>'2028'!Wh/'2028'!Env_an*'2029'!Env_an</f>
        <v>83.475927810455914</v>
      </c>
      <c r="C372" s="831"/>
      <c r="D372" s="388">
        <f t="shared" si="127"/>
        <v>87.037399327366103</v>
      </c>
      <c r="E372" s="380">
        <f t="shared" si="150"/>
        <v>90.934924690555647</v>
      </c>
      <c r="F372" s="380">
        <f t="shared" si="128"/>
        <v>90.976946869945024</v>
      </c>
      <c r="G372" s="110">
        <f t="shared" si="151"/>
        <v>0.94347511728702338</v>
      </c>
      <c r="H372" s="409" t="b">
        <f>Wh_hp&gt;='2028'!Maxi_hp</f>
        <v>1</v>
      </c>
      <c r="I372" s="385">
        <f>IF(H372,Wh_hp,'2028'!Maxi_hp)</f>
        <v>90.976946869945024</v>
      </c>
      <c r="J372" s="85">
        <f>IF(H372,An,'2028'!An_max)</f>
        <v>2029</v>
      </c>
      <c r="K372" s="193">
        <f t="shared" si="129"/>
        <v>47476</v>
      </c>
      <c r="L372" s="143">
        <f>IF(t&lt;Tvie,1-EXP((T0-t)*PertePVj)+'2028'!Pspv,1-EXP((T0-t)*PertePVj)+Pspv)</f>
        <v>4.0918864125463417E-2</v>
      </c>
      <c r="M372" s="835"/>
      <c r="N372" s="835"/>
      <c r="O372" s="48">
        <f>IF(t&lt;Tnet,'2028'!Resal+('2028'!Salim-'2028'!Resal)*(1-EXP(('2028'!Tnet-t)/('2028'!Tau_j))),Resal+(Salim-Resal)*(1-EXP((Tnet-t)/(Tau_j))))*Salcycl</f>
        <v>4.2860599230191393E-2</v>
      </c>
      <c r="P372" s="165">
        <f>(INDEX(Models!$BJ372:$BT372,,T372)*(1-R372)+INDEX(Models!$BJ372:$BT372,,T372+1)*R372-ERP_i)*Q372*Ramure*Pc/MaxiM</f>
        <v>5.0244400261283866E-4</v>
      </c>
      <c r="Q372" s="301">
        <f t="shared" si="130"/>
        <v>0.5</v>
      </c>
      <c r="R372" s="173">
        <f t="shared" si="131"/>
        <v>0.46454103937512026</v>
      </c>
      <c r="S372" s="801">
        <f t="shared" si="132"/>
        <v>0</v>
      </c>
      <c r="T372" s="172">
        <f t="shared" si="133"/>
        <v>6</v>
      </c>
      <c r="U372" s="247">
        <f t="shared" si="134"/>
        <v>0.46454103937512026</v>
      </c>
      <c r="V372" s="378">
        <f t="shared" si="135"/>
        <v>88.473495699406641</v>
      </c>
      <c r="W372" s="397">
        <f t="shared" si="136"/>
        <v>83.475927810455914</v>
      </c>
      <c r="X372" s="153">
        <f t="shared" si="137"/>
        <v>47476</v>
      </c>
      <c r="Y372" s="380">
        <f t="shared" si="138"/>
        <v>81.347739082891991</v>
      </c>
      <c r="Z372" s="380">
        <f t="shared" si="139"/>
        <v>84.818412165635166</v>
      </c>
      <c r="AA372" s="381">
        <f t="shared" si="140"/>
        <v>90.557501225084337</v>
      </c>
      <c r="AB372" s="193">
        <f t="shared" si="141"/>
        <v>47476</v>
      </c>
      <c r="AC372" s="119">
        <f>IF(OR(t&lt;Tnet,NoTnet),'2028'!Resal_s+('2028'!Salim-'2028'!Resal_s)*(1-EXP(('2028'!Tnet_s-t)/'2028'!Tau_j)),Resal_s+(Salim-Resal_s)*(1-EXP((Tnet_s-t)/Tau_j)))*Salcycl</f>
        <v>6.3375081929264221E-2</v>
      </c>
      <c r="AD372" s="227">
        <f>(INDEX(Models!$BJ372:$BT372,,AH372)*(1-AF372)+INDEX(Models!$BJ372:$BT372,,AH372+1)*AF372-ERP_i)*AE372*Ramure*Pc/MaxiM</f>
        <v>5.0151598928157978E-3</v>
      </c>
      <c r="AE372" s="301">
        <f t="shared" si="142"/>
        <v>0.5</v>
      </c>
      <c r="AF372" s="173">
        <f t="shared" si="143"/>
        <v>0.9895286057490984</v>
      </c>
      <c r="AG372" s="801">
        <f t="shared" si="149"/>
        <v>3</v>
      </c>
      <c r="AH372" s="172">
        <f t="shared" si="144"/>
        <v>9</v>
      </c>
      <c r="AI372" s="221">
        <f t="shared" si="145"/>
        <v>3.9895286057490984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47477</v>
      </c>
      <c r="B373" s="406">
        <f>'2028'!Wh/'2028'!Env_an*'2029'!Env_an</f>
        <v>47.030238744151831</v>
      </c>
      <c r="C373" s="831"/>
      <c r="D373" s="388">
        <f t="shared" si="127"/>
        <v>49.037438855008098</v>
      </c>
      <c r="E373" s="380">
        <f t="shared" si="150"/>
        <v>51.235351304000289</v>
      </c>
      <c r="F373" s="380">
        <f t="shared" si="128"/>
        <v>51.243826937514314</v>
      </c>
      <c r="G373" s="110">
        <f t="shared" si="151"/>
        <v>0.5300089539933428</v>
      </c>
      <c r="H373" s="409" t="b">
        <f>Wh_hp&gt;='2028'!Maxi_hp</f>
        <v>1</v>
      </c>
      <c r="I373" s="385">
        <f>IF(H373,Wh_hp,'2028'!Maxi_hp)</f>
        <v>51.243826937514314</v>
      </c>
      <c r="J373" s="85">
        <f>IF(H373,An,'2028'!An_max)</f>
        <v>2029</v>
      </c>
      <c r="K373" s="193">
        <f t="shared" si="129"/>
        <v>47477</v>
      </c>
      <c r="L373" s="143">
        <f>IF(t&lt;Tvie,1-EXP((T0-t)*PertePVj)+'2028'!Pspv,1-EXP((T0-t)*PertePVj)+Pspv)</f>
        <v>4.093199314081386E-2</v>
      </c>
      <c r="M373" s="835"/>
      <c r="N373" s="835"/>
      <c r="O373" s="48">
        <f>IF(t&lt;Tnet,'2028'!Resal+('2028'!Salim-'2028'!Resal)*(1-EXP(('2028'!Tnet-t)/('2028'!Tau_j))),Resal+(Salim-Resal)*(1-EXP((Tnet-t)/(Tau_j))))*Salcycl</f>
        <v>4.289835812681516E-2</v>
      </c>
      <c r="P373" s="165">
        <f>(INDEX(Models!$BJ373:$BT373,,T373)*(1-R373)+INDEX(Models!$BJ373:$BT373,,T373+1)*R373-ERP_i)*Q373*Ramure*Pc/MaxiM</f>
        <v>5.0297458948505799E-4</v>
      </c>
      <c r="Q373" s="301">
        <f t="shared" si="130"/>
        <v>0.5</v>
      </c>
      <c r="R373" s="173">
        <f t="shared" si="131"/>
        <v>0.46454103937512026</v>
      </c>
      <c r="S373" s="801">
        <f t="shared" si="132"/>
        <v>0</v>
      </c>
      <c r="T373" s="172">
        <f t="shared" si="133"/>
        <v>6</v>
      </c>
      <c r="U373" s="247">
        <f t="shared" si="134"/>
        <v>0.46454103937512026</v>
      </c>
      <c r="V373" s="378">
        <f t="shared" si="135"/>
        <v>88.70484066812179</v>
      </c>
      <c r="W373" s="397">
        <f t="shared" si="136"/>
        <v>47.030238744151831</v>
      </c>
      <c r="X373" s="153">
        <f t="shared" si="137"/>
        <v>47477</v>
      </c>
      <c r="Y373" s="380">
        <f t="shared" si="138"/>
        <v>45.955228066063576</v>
      </c>
      <c r="Z373" s="380">
        <f t="shared" si="139"/>
        <v>47.916547875015176</v>
      </c>
      <c r="AA373" s="381">
        <f t="shared" si="140"/>
        <v>51.159493676207134</v>
      </c>
      <c r="AB373" s="193">
        <f t="shared" si="141"/>
        <v>47477</v>
      </c>
      <c r="AC373" s="119">
        <f>IF(OR(t&lt;Tnet,NoTnet),'2028'!Resal_s+('2028'!Salim-'2028'!Resal_s)*(1-EXP(('2028'!Tnet_s-t)/'2028'!Tau_j)),Resal_s+(Salim-Resal_s)*(1-EXP((Tnet_s-t)/Tau_j)))*Salcycl</f>
        <v>6.3388934646555331E-2</v>
      </c>
      <c r="AD373" s="227">
        <f>(INDEX(Models!$BJ373:$BT373,,AH373)*(1-AF373)+INDEX(Models!$BJ373:$BT373,,AH373+1)*AF373-ERP_i)*AE373*Ramure*Pc/MaxiM</f>
        <v>5.0046391713067942E-3</v>
      </c>
      <c r="AE373" s="301">
        <f t="shared" si="142"/>
        <v>0.5</v>
      </c>
      <c r="AF373" s="173">
        <f t="shared" si="143"/>
        <v>0.9895286057490984</v>
      </c>
      <c r="AG373" s="801">
        <f t="shared" si="149"/>
        <v>3</v>
      </c>
      <c r="AH373" s="172">
        <f t="shared" si="144"/>
        <v>9</v>
      </c>
      <c r="AI373" s="221">
        <f t="shared" si="145"/>
        <v>3.9895286057490984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47478</v>
      </c>
      <c r="B374" s="406">
        <f>'2028'!Wh/'2028'!Env_an*'2029'!Env_an</f>
        <v>80.357359254295915</v>
      </c>
      <c r="C374" s="831"/>
      <c r="D374" s="388">
        <f t="shared" si="127"/>
        <v>83.788072086029047</v>
      </c>
      <c r="E374" s="380">
        <f t="shared" si="150"/>
        <v>87.547016309554351</v>
      </c>
      <c r="F374" s="380">
        <f t="shared" si="128"/>
        <v>87.585046430150328</v>
      </c>
      <c r="G374" s="110">
        <f t="shared" si="151"/>
        <v>0.90299724079888788</v>
      </c>
      <c r="H374" s="409" t="b">
        <f>Wh_hp&gt;='2028'!Maxi_hp</f>
        <v>1</v>
      </c>
      <c r="I374" s="385">
        <f>IF(H374,Wh_hp,'2028'!Maxi_hp)</f>
        <v>87.585046430150328</v>
      </c>
      <c r="J374" s="85">
        <f>IF(H374,An,'2028'!An_max)</f>
        <v>2029</v>
      </c>
      <c r="K374" s="193">
        <f t="shared" si="129"/>
        <v>47478</v>
      </c>
      <c r="L374" s="143">
        <f>IF(t&lt;Tvie,1-EXP((T0-t)*PertePVj)+'2028'!Pspv,1-EXP((T0-t)*PertePVj)+Pspv)</f>
        <v>4.0945121976439181E-2</v>
      </c>
      <c r="M374" s="835"/>
      <c r="N374" s="835"/>
      <c r="O374" s="48">
        <f>IF(t&lt;Tnet,'2028'!Resal+('2028'!Salim-'2028'!Resal)*(1-EXP(('2028'!Tnet-t)/('2028'!Tau_j))),Resal+(Salim-Resal)*(1-EXP((Tnet-t)/(Tau_j))))*Salcycl</f>
        <v>4.293629162910808E-2</v>
      </c>
      <c r="P374" s="165">
        <f>(INDEX(Models!$BJ374:$BT374,,T374)*(1-R374)+INDEX(Models!$BJ374:$BT374,,T374+1)*R374-ERP_i)*Q374*Ramure*Pc/MaxiM</f>
        <v>5.0400522539000784E-4</v>
      </c>
      <c r="Q374" s="301">
        <f t="shared" si="130"/>
        <v>0.5</v>
      </c>
      <c r="R374" s="173">
        <f t="shared" si="131"/>
        <v>0.46454103937512026</v>
      </c>
      <c r="S374" s="801">
        <f t="shared" si="132"/>
        <v>0</v>
      </c>
      <c r="T374" s="172">
        <f t="shared" si="133"/>
        <v>6</v>
      </c>
      <c r="U374" s="247">
        <f t="shared" si="134"/>
        <v>0.46454103937512026</v>
      </c>
      <c r="V374" s="378">
        <f t="shared" si="135"/>
        <v>88.983381631857782</v>
      </c>
      <c r="W374" s="397">
        <f t="shared" si="136"/>
        <v>80.357359254295915</v>
      </c>
      <c r="X374" s="153">
        <f t="shared" si="137"/>
        <v>47478</v>
      </c>
      <c r="Y374" s="380">
        <f t="shared" si="138"/>
        <v>78.334596042723334</v>
      </c>
      <c r="Z374" s="380">
        <f t="shared" si="139"/>
        <v>81.678950639568001</v>
      </c>
      <c r="AA374" s="381">
        <f t="shared" si="140"/>
        <v>87.208221994854455</v>
      </c>
      <c r="AB374" s="193">
        <f t="shared" si="141"/>
        <v>47478</v>
      </c>
      <c r="AC374" s="119">
        <f>IF(OR(t&lt;Tnet,NoTnet),'2028'!Resal_s+('2028'!Salim-'2028'!Resal_s)*(1-EXP(('2028'!Tnet_s-t)/'2028'!Tau_j)),Resal_s+(Salim-Resal_s)*(1-EXP((Tnet_s-t)/Tau_j)))*Salcycl</f>
        <v>6.3403096965016656E-2</v>
      </c>
      <c r="AD374" s="227">
        <f>(INDEX(Models!$BJ374:$BT374,,AH374)*(1-AF374)+INDEX(Models!$BJ374:$BT374,,AH374+1)*AF374-ERP_i)*AE374*Ramure*Pc/MaxiM</f>
        <v>4.9939753402683728E-3</v>
      </c>
      <c r="AE374" s="301">
        <f t="shared" si="142"/>
        <v>0.5</v>
      </c>
      <c r="AF374" s="173">
        <f t="shared" si="143"/>
        <v>0.9895286057490984</v>
      </c>
      <c r="AG374" s="801">
        <f t="shared" si="149"/>
        <v>3</v>
      </c>
      <c r="AH374" s="172">
        <f t="shared" si="144"/>
        <v>9</v>
      </c>
      <c r="AI374" s="221">
        <f t="shared" si="145"/>
        <v>3.9895286057490984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47479</v>
      </c>
      <c r="B375" s="406">
        <f>'2028'!Wh/'2028'!Env_an*'2029'!Env_an</f>
        <v>24.906740847159444</v>
      </c>
      <c r="C375" s="831"/>
      <c r="D375" s="388">
        <f t="shared" si="127"/>
        <v>25.970444835776586</v>
      </c>
      <c r="E375" s="380">
        <f t="shared" si="150"/>
        <v>27.136624442010135</v>
      </c>
      <c r="F375" s="380">
        <f t="shared" si="128"/>
        <v>27.136624442010135</v>
      </c>
      <c r="G375" s="110">
        <f t="shared" si="151"/>
        <v>0.278746872822625</v>
      </c>
      <c r="H375" s="409" t="b">
        <f>Wh_hp&gt;='2028'!Maxi_hp</f>
        <v>0</v>
      </c>
      <c r="I375" s="385">
        <f>IF(H375,Wh_hp,'2028'!Maxi_hp)</f>
        <v>41.855930622746683</v>
      </c>
      <c r="J375" s="85">
        <f>IF(H375,An,'2028'!An_max)</f>
        <v>2021</v>
      </c>
      <c r="K375" s="193">
        <f t="shared" si="129"/>
        <v>47479</v>
      </c>
      <c r="L375" s="143">
        <f>IF(t&lt;Tvie,1-EXP((T0-t)*PertePVj)+'2028'!Pspv,1-EXP((T0-t)*PertePVj)+Pspv)</f>
        <v>4.0958250632341708E-2</v>
      </c>
      <c r="M375" s="835"/>
      <c r="N375" s="835"/>
      <c r="O375" s="48">
        <f>IF(t&lt;Tnet,'2028'!Resal+('2028'!Salim-'2028'!Resal)*(1-EXP(('2028'!Tnet-t)/('2028'!Tau_j))),Resal+(Salim-Resal)*(1-EXP((Tnet-t)/(Tau_j))))*Salcycl</f>
        <v>4.2974379835842375E-2</v>
      </c>
      <c r="P375" s="165">
        <f>(INDEX(Models!$BJ375:$BT375,,T375)*(1-R375)+INDEX(Models!$BJ375:$BT375,,T375+1)*R375-ERP_i)*Q375*Ramure*Pc/MaxiM</f>
        <v>5.0631510076390744E-4</v>
      </c>
      <c r="Q375" s="301">
        <f t="shared" si="130"/>
        <v>0.5</v>
      </c>
      <c r="R375" s="173">
        <f t="shared" si="131"/>
        <v>0.46454103937512026</v>
      </c>
      <c r="S375" s="801">
        <f t="shared" si="132"/>
        <v>0</v>
      </c>
      <c r="T375" s="172">
        <f t="shared" si="133"/>
        <v>6</v>
      </c>
      <c r="U375" s="247">
        <f t="shared" si="134"/>
        <v>0.46454103937512026</v>
      </c>
      <c r="V375" s="378">
        <f t="shared" si="135"/>
        <v>89.307298539627368</v>
      </c>
      <c r="W375" s="397">
        <f t="shared" si="136"/>
        <v>24.906740847159444</v>
      </c>
      <c r="X375" s="153">
        <f t="shared" si="137"/>
        <v>47479</v>
      </c>
      <c r="Y375" s="380">
        <f t="shared" si="138"/>
        <v>24.374704450548919</v>
      </c>
      <c r="Z375" s="380">
        <f t="shared" si="139"/>
        <v>25.415686508559524</v>
      </c>
      <c r="AA375" s="381">
        <f t="shared" si="140"/>
        <v>27.136624442010135</v>
      </c>
      <c r="AB375" s="193">
        <f t="shared" si="141"/>
        <v>47479</v>
      </c>
      <c r="AC375" s="119">
        <f>IF(OR(t&lt;Tnet,NoTnet),'2028'!Resal_s+('2028'!Salim-'2028'!Resal_s)*(1-EXP(('2028'!Tnet_s-t)/'2028'!Tau_j)),Resal_s+(Salim-Resal_s)*(1-EXP((Tnet_s-t)/Tau_j)))*Salcycl</f>
        <v>6.3417538799941137E-2</v>
      </c>
      <c r="AD375" s="227">
        <f>(INDEX(Models!$BJ375:$BT375,,AH375)*(1-AF375)+INDEX(Models!$BJ375:$BT375,,AH375+1)*AF375-ERP_i)*AE375*Ramure*Pc/MaxiM</f>
        <v>4.9877454819763035E-3</v>
      </c>
      <c r="AE375" s="301">
        <f t="shared" si="142"/>
        <v>0.5</v>
      </c>
      <c r="AF375" s="173">
        <f t="shared" si="143"/>
        <v>0.9895286057490984</v>
      </c>
      <c r="AG375" s="801">
        <f t="shared" si="149"/>
        <v>3</v>
      </c>
      <c r="AH375" s="172">
        <f t="shared" si="144"/>
        <v>9</v>
      </c>
      <c r="AI375" s="221">
        <f t="shared" si="145"/>
        <v>3.9895286057490984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47480</v>
      </c>
      <c r="B376" s="406">
        <f>'2028'!Wh/'2028'!Env_an*'2029'!Env_an</f>
        <v>65.364543014058583</v>
      </c>
      <c r="C376" s="831"/>
      <c r="D376" s="388">
        <f t="shared" si="127"/>
        <v>68.157030551703684</v>
      </c>
      <c r="E376" s="380">
        <f t="shared" si="150"/>
        <v>71.220405656098379</v>
      </c>
      <c r="F376" s="380">
        <f t="shared" si="128"/>
        <v>71.242647687100458</v>
      </c>
      <c r="G376" s="110">
        <f t="shared" si="151"/>
        <v>0.72876200329687812</v>
      </c>
      <c r="H376" s="409" t="b">
        <f>Wh_hp&gt;='2028'!Maxi_hp</f>
        <v>1</v>
      </c>
      <c r="I376" s="385">
        <f>IF(H376,Wh_hp,'2028'!Maxi_hp)</f>
        <v>71.242647687100458</v>
      </c>
      <c r="J376" s="85">
        <f>IF(H376,An,'2028'!An_max)</f>
        <v>2029</v>
      </c>
      <c r="K376" s="193">
        <f t="shared" si="129"/>
        <v>47480</v>
      </c>
      <c r="L376" s="143">
        <f>IF(t&lt;Tvie,1-EXP((T0-t)*PertePVj)+'2028'!Pspv,1-EXP((T0-t)*PertePVj)+Pspv)</f>
        <v>4.0971379108523998E-2</v>
      </c>
      <c r="M376" s="835"/>
      <c r="N376" s="835"/>
      <c r="O376" s="48">
        <f>IF(t&lt;Tnet,'2028'!Resal+('2028'!Salim-'2028'!Resal)*(1-EXP(('2028'!Tnet-t)/('2028'!Tau_j))),Resal+(Salim-Resal)*(1-EXP((Tnet-t)/(Tau_j))))*Salcycl</f>
        <v>4.3012603988620834E-2</v>
      </c>
      <c r="P376" s="165">
        <f>(INDEX(Models!$BJ376:$BT376,,T376)*(1-R376)+INDEX(Models!$BJ376:$BT376,,T376+1)*R376-ERP_i)*Q376*Ramure*Pc/MaxiM</f>
        <v>5.0953078350470687E-4</v>
      </c>
      <c r="Q376" s="301">
        <f t="shared" si="130"/>
        <v>0.5</v>
      </c>
      <c r="R376" s="173">
        <f t="shared" si="131"/>
        <v>0.46454103937512026</v>
      </c>
      <c r="S376" s="801">
        <f t="shared" si="132"/>
        <v>0</v>
      </c>
      <c r="T376" s="172">
        <f t="shared" si="133"/>
        <v>6</v>
      </c>
      <c r="U376" s="247">
        <f t="shared" si="134"/>
        <v>0.46454103937512026</v>
      </c>
      <c r="V376" s="378">
        <f t="shared" si="135"/>
        <v>89.674873722662085</v>
      </c>
      <c r="W376" s="397">
        <f t="shared" si="136"/>
        <v>65.364543014058583</v>
      </c>
      <c r="X376" s="153">
        <f t="shared" si="137"/>
        <v>47480</v>
      </c>
      <c r="Y376" s="380">
        <f t="shared" si="138"/>
        <v>63.794360387283199</v>
      </c>
      <c r="Z376" s="380">
        <f t="shared" si="139"/>
        <v>66.519766978364444</v>
      </c>
      <c r="AA376" s="381">
        <f t="shared" si="140"/>
        <v>71.025044037744792</v>
      </c>
      <c r="AB376" s="193">
        <f t="shared" si="141"/>
        <v>47480</v>
      </c>
      <c r="AC376" s="119">
        <f>IF(OR(t&lt;Tnet,NoTnet),'2028'!Resal_s+('2028'!Salim-'2028'!Resal_s)*(1-EXP(('2028'!Tnet_s-t)/'2028'!Tau_j)),Resal_s+(Salim-Resal_s)*(1-EXP((Tnet_s-t)/Tau_j)))*Salcycl</f>
        <v>6.3432231833409569E-2</v>
      </c>
      <c r="AD376" s="227">
        <f>(INDEX(Models!$BJ376:$BT376,,AH376)*(1-AF376)+INDEX(Models!$BJ376:$BT376,,AH376+1)*AF376-ERP_i)*AE376*Ramure*Pc/MaxiM</f>
        <v>4.9849655339170677E-3</v>
      </c>
      <c r="AE376" s="301">
        <f t="shared" si="142"/>
        <v>0.5</v>
      </c>
      <c r="AF376" s="173">
        <f t="shared" si="143"/>
        <v>0.9895286057490984</v>
      </c>
      <c r="AG376" s="801">
        <f t="shared" si="149"/>
        <v>3</v>
      </c>
      <c r="AH376" s="172">
        <f t="shared" si="144"/>
        <v>9</v>
      </c>
      <c r="AI376" s="221">
        <f t="shared" si="145"/>
        <v>3.9895286057490984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47481</v>
      </c>
      <c r="B377" s="406">
        <f>'2028'!Wh/'2028'!Env_an*'2029'!Env_an</f>
        <v>40.423628299026859</v>
      </c>
      <c r="C377" s="831"/>
      <c r="D377" s="388">
        <f t="shared" si="127"/>
        <v>42.151173376400912</v>
      </c>
      <c r="E377" s="380">
        <f t="shared" si="150"/>
        <v>44.047458141689155</v>
      </c>
      <c r="F377" s="380">
        <f t="shared" si="128"/>
        <v>44.052265781389913</v>
      </c>
      <c r="G377" s="110">
        <f t="shared" si="151"/>
        <v>0.44854929397640886</v>
      </c>
      <c r="H377" s="409" t="b">
        <f>Wh_hp&gt;='2028'!Maxi_hp</f>
        <v>1</v>
      </c>
      <c r="I377" s="385">
        <f>IF(H377,Wh_hp,'2028'!Maxi_hp)</f>
        <v>44.052265781389913</v>
      </c>
      <c r="J377" s="85">
        <f>IF(H377,An,'2028'!An_max)</f>
        <v>2029</v>
      </c>
      <c r="K377" s="193">
        <f t="shared" si="129"/>
        <v>47481</v>
      </c>
      <c r="L377" s="143">
        <f>IF(t&lt;Tvie,1-EXP((T0-t)*PertePVj)+'2028'!Pspv,1-EXP((T0-t)*PertePVj)+Pspv)</f>
        <v>4.098450740498838E-2</v>
      </c>
      <c r="M377" s="835"/>
      <c r="N377" s="835"/>
      <c r="O377" s="48">
        <f>IF(t&lt;Tnet,'2028'!Resal+('2028'!Salim-'2028'!Resal)*(1-EXP(('2028'!Tnet-t)/('2028'!Tau_j))),Resal+(Salim-Resal)*(1-EXP((Tnet-t)/(Tau_j))))*Salcycl</f>
        <v>4.3050946531088992E-2</v>
      </c>
      <c r="P377" s="165">
        <f>(INDEX(Models!$BJ377:$BT377,,T377)*(1-R377)+INDEX(Models!$BJ377:$BT377,,T377+1)*R377-ERP_i)*Q377*Ramure*Pc/MaxiM</f>
        <v>5.1364220817305673E-4</v>
      </c>
      <c r="Q377" s="301">
        <f t="shared" si="130"/>
        <v>0.5</v>
      </c>
      <c r="R377" s="173">
        <f t="shared" si="131"/>
        <v>0.46454103937512026</v>
      </c>
      <c r="S377" s="801">
        <f t="shared" si="132"/>
        <v>0</v>
      </c>
      <c r="T377" s="172">
        <f t="shared" si="133"/>
        <v>6</v>
      </c>
      <c r="U377" s="247">
        <f t="shared" si="134"/>
        <v>0.46454103937512026</v>
      </c>
      <c r="V377" s="378">
        <f t="shared" si="135"/>
        <v>90.084357291229523</v>
      </c>
      <c r="W377" s="397">
        <f t="shared" si="136"/>
        <v>40.423628299026859</v>
      </c>
      <c r="X377" s="153">
        <f t="shared" si="137"/>
        <v>47481</v>
      </c>
      <c r="Y377" s="380">
        <f t="shared" si="138"/>
        <v>39.52445275610966</v>
      </c>
      <c r="Z377" s="380">
        <f t="shared" si="139"/>
        <v>41.213570647498059</v>
      </c>
      <c r="AA377" s="381">
        <f t="shared" si="140"/>
        <v>44.005600569892572</v>
      </c>
      <c r="AB377" s="193">
        <f t="shared" si="141"/>
        <v>47481</v>
      </c>
      <c r="AC377" s="119">
        <f>IF(OR(t&lt;Tnet,NoTnet),'2028'!Resal_s+('2028'!Salim-'2028'!Resal_s)*(1-EXP(('2028'!Tnet_s-t)/'2028'!Tau_j)),Resal_s+(Salim-Resal_s)*(1-EXP((Tnet_s-t)/Tau_j)))*Salcycl</f>
        <v>6.3447149595425453E-2</v>
      </c>
      <c r="AD377" s="227">
        <f>(INDEX(Models!$BJ377:$BT377,,AH377)*(1-AF377)+INDEX(Models!$BJ377:$BT377,,AH377+1)*AF377-ERP_i)*AE377*Ramure*Pc/MaxiM</f>
        <v>4.9856527881162642E-3</v>
      </c>
      <c r="AE377" s="301">
        <f t="shared" si="142"/>
        <v>0.5</v>
      </c>
      <c r="AF377" s="173">
        <f t="shared" si="143"/>
        <v>0.9895286057490984</v>
      </c>
      <c r="AG377" s="801">
        <f t="shared" si="149"/>
        <v>3</v>
      </c>
      <c r="AH377" s="172">
        <f t="shared" si="144"/>
        <v>9</v>
      </c>
      <c r="AI377" s="221">
        <f t="shared" si="145"/>
        <v>3.9895286057490984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47482</v>
      </c>
      <c r="B378" s="406">
        <f>'2028'!Wh/'2028'!Env_an*'2029'!Env_an</f>
        <v>57.889300982343663</v>
      </c>
      <c r="C378" s="831"/>
      <c r="D378" s="388">
        <f t="shared" si="127"/>
        <v>60.364085769317022</v>
      </c>
      <c r="E378" s="380">
        <f t="shared" si="150"/>
        <v>63.082262033032919</v>
      </c>
      <c r="F378" s="380">
        <f t="shared" si="128"/>
        <v>63.09812997925593</v>
      </c>
      <c r="G378" s="110">
        <f t="shared" si="151"/>
        <v>0.63924969422116951</v>
      </c>
      <c r="H378" s="409" t="b">
        <f>Wh_hp&gt;='2028'!Maxi_hp</f>
        <v>0</v>
      </c>
      <c r="I378" s="385">
        <f>IF(H378,Wh_hp,'2028'!Maxi_hp)</f>
        <v>76.342020804358668</v>
      </c>
      <c r="J378" s="85">
        <f>IF(H378,An,'2028'!An_max)</f>
        <v>2021</v>
      </c>
      <c r="K378" s="193">
        <f t="shared" si="129"/>
        <v>47482</v>
      </c>
      <c r="L378" s="143">
        <f>IF(t&lt;Tvie,1-EXP((T0-t)*PertePVj)+'2028'!Pspv,1-EXP((T0-t)*PertePVj)+Pspv)</f>
        <v>4.0997635521737519E-2</v>
      </c>
      <c r="M378" s="835"/>
      <c r="N378" s="835"/>
      <c r="O378" s="48">
        <f>IF(t&lt;Tnet,'2028'!Resal+('2028'!Salim-'2028'!Resal)*(1-EXP(('2028'!Tnet-t)/('2028'!Tau_j))),Resal+(Salim-Resal)*(1-EXP((Tnet-t)/(Tau_j))))*Salcycl</f>
        <v>4.3089391155512573E-2</v>
      </c>
      <c r="P378" s="165">
        <f>(INDEX(Models!$BJ378:$BT378,,T378)*(1-R378)+INDEX(Models!$BJ378:$BT378,,T378+1)*R378-ERP_i)*Q378*Ramure*Pc/MaxiM</f>
        <v>5.1863774705069731E-4</v>
      </c>
      <c r="Q378" s="301">
        <f t="shared" si="130"/>
        <v>0.5</v>
      </c>
      <c r="R378" s="173">
        <f t="shared" si="131"/>
        <v>0.46454103937512026</v>
      </c>
      <c r="S378" s="801">
        <f t="shared" si="132"/>
        <v>0</v>
      </c>
      <c r="T378" s="172">
        <f t="shared" si="133"/>
        <v>6</v>
      </c>
      <c r="U378" s="247">
        <f t="shared" si="134"/>
        <v>0.46454103937512026</v>
      </c>
      <c r="V378" s="378">
        <f t="shared" si="135"/>
        <v>90.533999571962838</v>
      </c>
      <c r="W378" s="397">
        <f t="shared" si="136"/>
        <v>57.889300982343663</v>
      </c>
      <c r="X378" s="153">
        <f t="shared" si="137"/>
        <v>47482</v>
      </c>
      <c r="Y378" s="380">
        <f t="shared" si="138"/>
        <v>56.533958929102575</v>
      </c>
      <c r="Z378" s="380">
        <f t="shared" si="139"/>
        <v>58.950802441305157</v>
      </c>
      <c r="AA378" s="381">
        <f t="shared" si="140"/>
        <v>62.945464338727433</v>
      </c>
      <c r="AB378" s="193">
        <f t="shared" si="141"/>
        <v>47482</v>
      </c>
      <c r="AC378" s="119">
        <f>IF(OR(t&lt;Tnet,NoTnet),'2028'!Resal_s+('2028'!Salim-'2028'!Resal_s)*(1-EXP(('2028'!Tnet_s-t)/'2028'!Tau_j)),Resal_s+(Salim-Resal_s)*(1-EXP((Tnet_s-t)/Tau_j)))*Salcycl</f>
        <v>6.3462267526153457E-2</v>
      </c>
      <c r="AD378" s="227">
        <f>(INDEX(Models!$BJ378:$BT378,,AH378)*(1-AF378)+INDEX(Models!$BJ378:$BT378,,AH378+1)*AF378-ERP_i)*AE378*Ramure*Pc/MaxiM</f>
        <v>4.9898180106586259E-3</v>
      </c>
      <c r="AE378" s="301">
        <f t="shared" si="142"/>
        <v>0.5</v>
      </c>
      <c r="AF378" s="173">
        <f t="shared" si="143"/>
        <v>0.9895286057490984</v>
      </c>
      <c r="AG378" s="801">
        <f t="shared" si="149"/>
        <v>3</v>
      </c>
      <c r="AH378" s="172">
        <f t="shared" si="144"/>
        <v>9</v>
      </c>
      <c r="AI378" s="221">
        <f t="shared" si="145"/>
        <v>3.9895286057490984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47483</v>
      </c>
      <c r="B379" s="406">
        <f>'2028'!Wh/'2028'!Env_an*'2029'!Env_an</f>
        <v>46.33705649472919</v>
      </c>
      <c r="C379" s="831"/>
      <c r="D379" s="388">
        <f t="shared" si="127"/>
        <v>48.318640845076047</v>
      </c>
      <c r="E379" s="380">
        <f t="shared" si="150"/>
        <v>50.496447747037749</v>
      </c>
      <c r="F379" s="380">
        <f t="shared" si="128"/>
        <v>50.504359672850789</v>
      </c>
      <c r="G379" s="110">
        <f t="shared" si="151"/>
        <v>0.50888777319583522</v>
      </c>
      <c r="H379" s="409" t="b">
        <f>Wh_hp&gt;='2028'!Maxi_hp</f>
        <v>0</v>
      </c>
      <c r="I379" s="385">
        <f>IF(H379,Wh_hp,'2028'!Maxi_hp)</f>
        <v>98.426511979974805</v>
      </c>
      <c r="J379" s="85">
        <f>IF(H379,An,'2028'!An_max)</f>
        <v>2021</v>
      </c>
      <c r="K379" s="193">
        <f t="shared" si="129"/>
        <v>47483</v>
      </c>
      <c r="L379" s="143">
        <f>IF(t&lt;Tvie,1-EXP((T0-t)*PertePVj)+'2028'!Pspv,1-EXP((T0-t)*PertePVj)+Pspv)</f>
        <v>4.1010763458773747E-2</v>
      </c>
      <c r="M379" s="835"/>
      <c r="N379" s="835"/>
      <c r="O379" s="48">
        <f>IF(t&lt;Tnet,'2028'!Resal+('2028'!Salim-'2028'!Resal)*(1-EXP(('2028'!Tnet-t)/('2028'!Tau_j))),Resal+(Salim-Resal)*(1-EXP((Tnet-t)/(Tau_j))))*Salcycl</f>
        <v>4.3127922836700056E-2</v>
      </c>
      <c r="P379" s="165">
        <f>(INDEX(Models!$BJ379:$BT379,,T379)*(1-R379)+INDEX(Models!$BJ379:$BT379,,T379+1)*R379-ERP_i)*Q379*Ramure*Pc/MaxiM</f>
        <v>5.2450440408000911E-4</v>
      </c>
      <c r="Q379" s="302">
        <f t="shared" si="130"/>
        <v>0.5</v>
      </c>
      <c r="R379" s="173">
        <f t="shared" si="131"/>
        <v>0.46454103937512026</v>
      </c>
      <c r="S379" s="801">
        <f t="shared" si="132"/>
        <v>0</v>
      </c>
      <c r="T379" s="172">
        <f t="shared" si="133"/>
        <v>6</v>
      </c>
      <c r="U379" s="303">
        <f t="shared" si="134"/>
        <v>0.46454103937512026</v>
      </c>
      <c r="V379" s="378">
        <f t="shared" si="135"/>
        <v>91.022051141610646</v>
      </c>
      <c r="W379" s="397">
        <f t="shared" si="136"/>
        <v>46.33705649472919</v>
      </c>
      <c r="X379" s="153">
        <f t="shared" si="137"/>
        <v>47483</v>
      </c>
      <c r="Y379" s="380">
        <f t="shared" si="138"/>
        <v>45.291015720274608</v>
      </c>
      <c r="Z379" s="380">
        <f t="shared" si="139"/>
        <v>47.227866585474004</v>
      </c>
      <c r="AA379" s="381">
        <f t="shared" si="140"/>
        <v>50.428975025665373</v>
      </c>
      <c r="AB379" s="193">
        <f t="shared" si="141"/>
        <v>47483</v>
      </c>
      <c r="AC379" s="119">
        <f>IF(OR(t&lt;Tnet,NoTnet),'2028'!Resal_s+('2028'!Salim-'2028'!Resal_s)*(1-EXP(('2028'!Tnet_s-t)/'2028'!Tau_j)),Resal_s+(Salim-Resal_s)*(1-EXP((Tnet_s-t)/Tau_j)))*Salcycl</f>
        <v>6.3477563019319588E-2</v>
      </c>
      <c r="AD379" s="227">
        <f>(INDEX(Models!$BJ379:$BT379,,AH379)*(1-AF379)+INDEX(Models!$BJ379:$BT379,,AH379+1)*AF379-ERP_i)*AE379*Ramure*Pc/MaxiM</f>
        <v>4.9974658993382154E-3</v>
      </c>
      <c r="AE379" s="302">
        <f t="shared" si="142"/>
        <v>0.5</v>
      </c>
      <c r="AF379" s="173">
        <f t="shared" si="143"/>
        <v>0.9895286057490984</v>
      </c>
      <c r="AG379" s="801">
        <f t="shared" si="149"/>
        <v>3</v>
      </c>
      <c r="AH379" s="172">
        <f t="shared" si="144"/>
        <v>9</v>
      </c>
      <c r="AI379" s="218">
        <f t="shared" si="145"/>
        <v>3.9895286057490984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7"/>
      <c r="C380" s="839"/>
      <c r="D380" s="396"/>
      <c r="E380" s="382"/>
      <c r="F380" s="382"/>
      <c r="G380" s="122"/>
      <c r="H380" s="409" t="b">
        <f>Wh_hp&gt;='2028'!Maxi_hp</f>
        <v>0</v>
      </c>
      <c r="I380" s="385">
        <f>IF(H380,Wh_hp,'2028'!Maxi_hp)</f>
        <v>63.199838713856806</v>
      </c>
      <c r="J380" s="85">
        <f>IF(H380,An,'2028'!An_max)</f>
        <v>2024</v>
      </c>
      <c r="K380" s="230"/>
      <c r="L380" s="210"/>
      <c r="M380" s="840"/>
      <c r="N380" s="840"/>
      <c r="O380" s="149"/>
      <c r="P380" s="318"/>
      <c r="Q380" s="225"/>
      <c r="R380" s="225"/>
      <c r="S380" s="225"/>
      <c r="T380" s="225"/>
      <c r="U380" s="319"/>
      <c r="V380" s="392"/>
      <c r="W380" s="397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7.1571697647539017</v>
      </c>
      <c r="C381" s="370"/>
      <c r="D381" s="368">
        <f>MIN(D15:D380)</f>
        <v>7.4270620344975891</v>
      </c>
      <c r="E381" s="368">
        <f>MIN(E15:E380)</f>
        <v>7.6218837125312673</v>
      </c>
      <c r="F381" s="369">
        <f>MIN(F15:F380)</f>
        <v>7.6218837125312673</v>
      </c>
      <c r="G381" s="125">
        <f>+MIN(G15:G380)</f>
        <v>7.1526524736656688E-2</v>
      </c>
      <c r="H381" s="94"/>
      <c r="I381" s="369">
        <f>MIN(I15:I380)</f>
        <v>7.65787086076881</v>
      </c>
      <c r="J381" s="57">
        <f>MIN(J15:J380)</f>
        <v>2021</v>
      </c>
      <c r="K381" s="196" t="s">
        <v>7</v>
      </c>
      <c r="L381" s="142">
        <f t="shared" ref="L381:T381" si="152">MIN(L15:L380)</f>
        <v>3.6220301829053558E-2</v>
      </c>
      <c r="M381" s="837"/>
      <c r="N381" s="837"/>
      <c r="O381" s="47">
        <f t="shared" si="152"/>
        <v>2.5028399344446509E-2</v>
      </c>
      <c r="P381" s="164">
        <f t="shared" si="152"/>
        <v>0</v>
      </c>
      <c r="Q381" s="306">
        <f t="shared" si="152"/>
        <v>0.5</v>
      </c>
      <c r="R381" s="307">
        <f t="shared" si="152"/>
        <v>1.8978003834077897E-4</v>
      </c>
      <c r="S381" s="801">
        <f t="shared" si="152"/>
        <v>-1</v>
      </c>
      <c r="T381" s="172">
        <f t="shared" si="152"/>
        <v>5</v>
      </c>
      <c r="U381" s="248">
        <f>MIN(U15:U380)</f>
        <v>-1.0470773947367618E-2</v>
      </c>
      <c r="V381" s="57">
        <f>MIN(V15:V380)</f>
        <v>87.947428874985889</v>
      </c>
      <c r="W381" s="58"/>
      <c r="X381" s="112" t="s">
        <v>7</v>
      </c>
      <c r="Y381" s="368">
        <f>MIN(Y15:Y380)</f>
        <v>6.9366968742874366</v>
      </c>
      <c r="Z381" s="368">
        <f>MIN(Z15:Z380)</f>
        <v>7.1982752530964733</v>
      </c>
      <c r="AA381" s="368">
        <f>MIN(AA15:AA380)</f>
        <v>7.6218837125312673</v>
      </c>
      <c r="AB381" s="196" t="s">
        <v>7</v>
      </c>
      <c r="AC381" s="47">
        <f t="shared" ref="AC381:AH381" si="153">MIN(AC15:AC380)</f>
        <v>5.5351955552929516E-2</v>
      </c>
      <c r="AD381" s="164">
        <f t="shared" si="153"/>
        <v>2.2433548957645819E-4</v>
      </c>
      <c r="AE381" s="306">
        <f t="shared" si="153"/>
        <v>0.5</v>
      </c>
      <c r="AF381" s="307">
        <f t="shared" si="153"/>
        <v>0.48952987878526955</v>
      </c>
      <c r="AG381" s="801">
        <f t="shared" si="153"/>
        <v>3</v>
      </c>
      <c r="AH381" s="172">
        <f t="shared" si="153"/>
        <v>9</v>
      </c>
      <c r="AI381" s="222">
        <f>MIN(AI15:AI380)</f>
        <v>3.4895298787852695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121.93193814371392</v>
      </c>
      <c r="C382" s="370"/>
      <c r="D382" s="370">
        <f>AVERAGE(D15:D380)</f>
        <v>126.8205309070205</v>
      </c>
      <c r="E382" s="370">
        <f>AVERAGE(E15:E380)</f>
        <v>131.49089175466611</v>
      </c>
      <c r="F382" s="371">
        <f>AVERAGE(F15:F380)</f>
        <v>131.52469682510434</v>
      </c>
      <c r="G382" s="126">
        <f>AVERAGE(G15:G380)</f>
        <v>0.68235052246310091</v>
      </c>
      <c r="H382" s="94"/>
      <c r="I382" s="371">
        <f>AVERAGE(I15:I380)</f>
        <v>132.55763400935294</v>
      </c>
      <c r="J382" s="59">
        <f>AVERAGE(J15:J380)</f>
        <v>2027.2377049180327</v>
      </c>
      <c r="K382" s="196" t="s">
        <v>8</v>
      </c>
      <c r="L382" s="143">
        <f t="shared" ref="L382:V382" si="154">AVERAGE(L15:L380)</f>
        <v>3.8617516372925709E-2</v>
      </c>
      <c r="M382" s="835"/>
      <c r="N382" s="835"/>
      <c r="O382" s="48">
        <f t="shared" si="154"/>
        <v>3.5461730050350998E-2</v>
      </c>
      <c r="P382" s="165">
        <f t="shared" si="154"/>
        <v>6.3844055992886412E-4</v>
      </c>
      <c r="Q382" s="308">
        <f t="shared" si="154"/>
        <v>0.5</v>
      </c>
      <c r="R382" s="173">
        <f t="shared" si="154"/>
        <v>0.39709411052628213</v>
      </c>
      <c r="S382" s="801">
        <f t="shared" si="154"/>
        <v>0.70684931506849313</v>
      </c>
      <c r="T382" s="172">
        <f t="shared" si="154"/>
        <v>6.7068493150684931</v>
      </c>
      <c r="U382" s="247">
        <f>AVERAGE(U15:U380)</f>
        <v>1.1039434255947755</v>
      </c>
      <c r="V382" s="59">
        <f t="shared" si="154"/>
        <v>173.10990018395472</v>
      </c>
      <c r="X382" s="112" t="s">
        <v>8</v>
      </c>
      <c r="Y382" s="370">
        <f>AVERAGE(Y15:Y380)</f>
        <v>118.62422628240348</v>
      </c>
      <c r="Z382" s="370">
        <f>AVERAGE(Z15:Z380)</f>
        <v>123.38044493510709</v>
      </c>
      <c r="AA382" s="370">
        <f>AVERAGE(AA15:AA380)</f>
        <v>131.43182072811169</v>
      </c>
      <c r="AB382" s="196" t="s">
        <v>8</v>
      </c>
      <c r="AC382" s="48">
        <f t="shared" ref="AC382:AH382" si="155">AVERAGE(AC15:AC380)</f>
        <v>6.0977743118342774E-2</v>
      </c>
      <c r="AD382" s="165">
        <f t="shared" si="155"/>
        <v>1.7425635921980015E-3</v>
      </c>
      <c r="AE382" s="308">
        <f t="shared" si="155"/>
        <v>0.5</v>
      </c>
      <c r="AF382" s="173">
        <f t="shared" si="155"/>
        <v>0.76941347578441432</v>
      </c>
      <c r="AG382" s="801">
        <f t="shared" si="155"/>
        <v>3</v>
      </c>
      <c r="AH382" s="172">
        <f t="shared" si="155"/>
        <v>9</v>
      </c>
      <c r="AI382" s="221">
        <f>AVERAGE(AI15:AI380)</f>
        <v>3.7694134757844102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241.44459365518946</v>
      </c>
      <c r="C383" s="372"/>
      <c r="D383" s="372">
        <f>MAX(D15:D380)</f>
        <v>251.12962685352772</v>
      </c>
      <c r="E383" s="372">
        <f>MAX(E15:E380)</f>
        <v>260.608356533235</v>
      </c>
      <c r="F383" s="373">
        <f>MAX(F15:F380)</f>
        <v>260.61207165828807</v>
      </c>
      <c r="G383" s="127">
        <f>+MAX(G15:G380)</f>
        <v>1.0401867145003136</v>
      </c>
      <c r="H383" s="94"/>
      <c r="I383" s="373">
        <f>MAX(I15:I380)</f>
        <v>260.61207165828807</v>
      </c>
      <c r="J383" s="60">
        <f>MAX(J15:J380)</f>
        <v>2029</v>
      </c>
      <c r="K383" s="196" t="s">
        <v>9</v>
      </c>
      <c r="L383" s="144">
        <f t="shared" ref="L383:T383" si="156">MAX(L15:L380)</f>
        <v>4.1010763458773747E-2</v>
      </c>
      <c r="M383" s="838"/>
      <c r="N383" s="838"/>
      <c r="O383" s="49">
        <f t="shared" si="156"/>
        <v>4.3127922836700056E-2</v>
      </c>
      <c r="P383" s="166">
        <f t="shared" si="156"/>
        <v>4.8857036956520142E-3</v>
      </c>
      <c r="Q383" s="309">
        <f t="shared" si="156"/>
        <v>0.5</v>
      </c>
      <c r="R383" s="310">
        <f t="shared" si="156"/>
        <v>0.99882864105077473</v>
      </c>
      <c r="S383" s="802">
        <f t="shared" si="156"/>
        <v>3</v>
      </c>
      <c r="T383" s="229">
        <f t="shared" si="156"/>
        <v>9</v>
      </c>
      <c r="U383" s="249">
        <f>MAX(U15:U380)</f>
        <v>3.5135336679429465</v>
      </c>
      <c r="V383" s="60">
        <f>MAX(V15:V380)</f>
        <v>233.80034776545662</v>
      </c>
      <c r="X383" s="112" t="s">
        <v>9</v>
      </c>
      <c r="Y383" s="372">
        <f>MAX(Y15:Y380)</f>
        <v>234.83595168692833</v>
      </c>
      <c r="Z383" s="372">
        <f>MAX(Z15:Z380)</f>
        <v>244.25589335478506</v>
      </c>
      <c r="AA383" s="372">
        <f>MAX(AA15:AA380)</f>
        <v>260.52956309296496</v>
      </c>
      <c r="AB383" s="196" t="s">
        <v>9</v>
      </c>
      <c r="AC383" s="49">
        <f t="shared" ref="AC383:AH383" si="157">MAX(AC15:AC380)</f>
        <v>6.4262025916579327E-2</v>
      </c>
      <c r="AD383" s="166">
        <f t="shared" si="157"/>
        <v>6.5548737388179948E-3</v>
      </c>
      <c r="AE383" s="309">
        <f t="shared" si="157"/>
        <v>0.5</v>
      </c>
      <c r="AF383" s="310">
        <f t="shared" si="157"/>
        <v>0.9895286057490984</v>
      </c>
      <c r="AG383" s="802">
        <f t="shared" si="157"/>
        <v>3</v>
      </c>
      <c r="AH383" s="229">
        <f t="shared" si="157"/>
        <v>9</v>
      </c>
      <c r="AI383" s="223">
        <f>MAX(AI15:AI380)</f>
        <v>3.9895286057490984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'2029'!An+1</f>
        <v>2030</v>
      </c>
      <c r="K1" s="1270"/>
      <c r="L1" s="113" t="str">
        <f>"Calcul pertes et enveloppes en "&amp;TEXT(An,0)</f>
        <v>Calcul pertes et enveloppes en 2030</v>
      </c>
      <c r="M1" s="239"/>
      <c r="N1" s="239"/>
      <c r="V1" s="450"/>
      <c r="W1" s="448"/>
      <c r="X1" s="479" t="str">
        <f>"Prévision sans nettoyage ni taille végétation en "&amp;TEXT(An,0)</f>
        <v>Prévision sans nettoyage ni taille végétation en 2030</v>
      </c>
      <c r="Y1" s="480"/>
      <c r="Z1" s="481"/>
      <c r="AA1" s="482"/>
      <c r="AB1" s="483"/>
      <c r="AC1" s="484"/>
      <c r="AD1" s="484"/>
      <c r="AE1" s="484"/>
      <c r="AF1" s="484"/>
      <c r="AG1" s="484"/>
      <c r="AH1" s="484"/>
      <c r="AI1" s="484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71">
        <f>Tmaj</f>
        <v>44926</v>
      </c>
      <c r="F3" s="1271"/>
      <c r="G3" s="8"/>
      <c r="H3" s="26"/>
      <c r="I3" s="6"/>
      <c r="J3" s="34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 t="s">
        <v>96</v>
      </c>
      <c r="Y3" s="495"/>
      <c r="Z3" s="496"/>
      <c r="AA3" s="490"/>
      <c r="AB3" s="490"/>
      <c r="AC3" s="422"/>
      <c r="AD3" s="422"/>
      <c r="AE3" s="422"/>
      <c r="AF3" s="422"/>
      <c r="AG3" s="422"/>
      <c r="AH3" s="422"/>
      <c r="AI3" s="422"/>
      <c r="AJ3" s="823">
        <f>AL11-AJ11</f>
        <v>228.82082400057573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9" t="str">
        <f>Station</f>
        <v>Hangar Goussaud Espanès</v>
      </c>
      <c r="F4" s="1200"/>
      <c r="G4" s="1200"/>
      <c r="H4" s="1200"/>
      <c r="I4" s="1201"/>
      <c r="J4" s="154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22"/>
      <c r="AD4" s="422"/>
      <c r="AE4" s="422"/>
      <c r="AF4" s="422"/>
      <c r="AG4" s="422"/>
      <c r="AH4" s="422"/>
      <c r="AI4" s="422"/>
      <c r="AJ4" s="823">
        <f>AL12-AJ12</f>
        <v>1250.528674022795</v>
      </c>
      <c r="AK4" s="824">
        <f>AM12-AK12</f>
        <v>30.742293690580293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72">
        <f>T0</f>
        <v>44424</v>
      </c>
      <c r="F5" s="1272"/>
      <c r="G5" s="34"/>
      <c r="H5" s="154"/>
      <c r="I5" s="154"/>
      <c r="K5" s="188"/>
      <c r="L5" s="498"/>
      <c r="M5" s="497"/>
      <c r="N5" s="497"/>
      <c r="O5" s="19"/>
      <c r="R5" s="39"/>
      <c r="S5" s="174"/>
      <c r="T5" s="174"/>
      <c r="U5" s="41"/>
      <c r="V5" s="499"/>
      <c r="W5" s="500"/>
      <c r="X5" s="501"/>
      <c r="Y5" s="502"/>
      <c r="Z5" s="232">
        <f>Wh_Psa_s-Wh_Psa</f>
        <v>1479.678068315852</v>
      </c>
      <c r="AA5" s="233">
        <f>Wh_Pvg_s-Wh_Pvg</f>
        <v>30.742293690580293</v>
      </c>
      <c r="AB5" s="506" t="s">
        <v>6</v>
      </c>
      <c r="AC5" s="500"/>
      <c r="AD5" s="500"/>
      <c r="AE5" s="500"/>
      <c r="AF5" s="500"/>
      <c r="AG5" s="500"/>
      <c r="AH5" s="500"/>
      <c r="AI5" s="500"/>
      <c r="AJ5" s="508">
        <f>SUMIF(AJ15:AJ380,"VRAI",Wh)</f>
        <v>11583.185904288495</v>
      </c>
      <c r="AK5" s="508">
        <f>SUMIF(AK15:AK380,"VRAI",Wh)</f>
        <v>0</v>
      </c>
      <c r="AL5" s="508">
        <f>SUMIF(AJ15:AJ380,"VRAI",Wh_s)</f>
        <v>11342.90643454155</v>
      </c>
      <c r="AM5" s="508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73">
        <f>Tservice</f>
        <v>44536</v>
      </c>
      <c r="F6" s="1273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2"/>
      <c r="W6" s="454"/>
      <c r="X6" s="489"/>
      <c r="Y6" s="490"/>
      <c r="Z6" s="454"/>
      <c r="AA6" s="454"/>
      <c r="AB6" s="508"/>
      <c r="AC6" s="454"/>
      <c r="AD6" s="454"/>
      <c r="AE6" s="454"/>
      <c r="AF6" s="454"/>
      <c r="AG6" s="454"/>
      <c r="AH6" s="454"/>
      <c r="AI6" s="454"/>
      <c r="AJ6" s="508">
        <f>SUMIF(AJ15:AJ380,"FAUX",Wh)</f>
        <v>33253.458763338174</v>
      </c>
      <c r="AK6" s="508">
        <f>SUMIF(AK15:AK380,"FAUX",Wh)</f>
        <v>44836.644667626642</v>
      </c>
      <c r="AL6" s="508">
        <f>SUMIF(AJ15:AJ380,"FAUX",Wh_s)</f>
        <v>31981.577480497428</v>
      </c>
      <c r="AM6" s="508">
        <f>SUMIF(AK15:AK380,"FAUX",Wh_s)</f>
        <v>43324.483915038967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AND(YEAR(Tnet)=An,Resal_2030="I")</f>
        <v>0</v>
      </c>
      <c r="F7" s="316" t="b">
        <f>YEAR(Tnet)=An</f>
        <v>1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2"/>
      <c r="W7" s="510"/>
      <c r="X7" s="511"/>
      <c r="Y7" s="244"/>
      <c r="Z7" s="510"/>
      <c r="AA7" s="510"/>
      <c r="AB7" s="510"/>
      <c r="AC7" s="510"/>
      <c r="AD7" s="244"/>
      <c r="AE7" s="244"/>
      <c r="AF7" s="485"/>
      <c r="AG7" s="485"/>
      <c r="AH7" s="485"/>
      <c r="AI7" s="510"/>
      <c r="AJ7" s="508">
        <f>SUMIF(AJ15:AJ380,"VRAI",Wh_pvt)</f>
        <v>12089.919141499768</v>
      </c>
      <c r="AK7" s="508">
        <f>SUMIF(AK15:AK380,"VRAI",Wh_sa)</f>
        <v>0</v>
      </c>
      <c r="AL7" s="508">
        <f>SUMIF(AJ15:AJ380,"VRAI",Wh_pvt_s)</f>
        <v>11839.137445845296</v>
      </c>
      <c r="AM7" s="508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AND(YEAR(Tnet)=An,Resal_2030&lt;&gt;"I")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0"/>
      <c r="W8" s="399"/>
      <c r="X8" s="1267" t="s">
        <v>102</v>
      </c>
      <c r="Y8" s="1268"/>
      <c r="Z8" s="490"/>
      <c r="AA8" s="490"/>
      <c r="AB8" s="454"/>
      <c r="AC8" s="512" t="s">
        <v>61</v>
      </c>
      <c r="AD8" s="454"/>
      <c r="AE8" s="454"/>
      <c r="AF8" s="454"/>
      <c r="AG8" s="454"/>
      <c r="AH8" s="454"/>
      <c r="AI8" s="454"/>
      <c r="AJ8" s="508">
        <f>SUMIF(AJ15:AJ380,"FAUX",Wh_pvt)</f>
        <v>34778.616594353189</v>
      </c>
      <c r="AK8" s="508">
        <f>SUMIF(AK15:AK380,"FAUX",Wh_sa)</f>
        <v>48003.481513712984</v>
      </c>
      <c r="AL8" s="508">
        <f>SUMIF(AJ15:AJ380,"FAUX",Wh_pvt_s)</f>
        <v>33448.455587460165</v>
      </c>
      <c r="AM8" s="508">
        <f>SUMIF(AK15:AK380,"FAUX",Wh_sa_s)</f>
        <v>47969.257338945295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46868.5357358529</v>
      </c>
      <c r="E9" s="180">
        <f>SUM(E$15:E$380)</f>
        <v>48003.481513712984</v>
      </c>
      <c r="F9" s="180">
        <f>SUM(F$15:F$380)</f>
        <v>48008.92654992095</v>
      </c>
      <c r="H9" s="1260">
        <f>+SUM(Wh)</f>
        <v>44836.644667626642</v>
      </c>
      <c r="I9" s="1261"/>
      <c r="J9" s="1262"/>
      <c r="K9" s="187"/>
      <c r="L9" s="228"/>
      <c r="M9" s="228"/>
      <c r="N9" s="228"/>
      <c r="O9" s="219">
        <f>Tnet_2030</f>
        <v>47603</v>
      </c>
      <c r="P9" s="240" t="s">
        <v>91</v>
      </c>
      <c r="Q9" s="241"/>
      <c r="R9" s="241"/>
      <c r="S9" s="241"/>
      <c r="T9" s="241"/>
      <c r="U9" s="242"/>
      <c r="V9" s="454"/>
      <c r="W9" s="513"/>
      <c r="X9" s="1265">
        <f>+SUM(Wh_s)</f>
        <v>43324.483915038967</v>
      </c>
      <c r="Y9" s="1266"/>
      <c r="Z9" s="508">
        <f>SUM(Z$15:Z$380)</f>
        <v>45287.593033305493</v>
      </c>
      <c r="AA9" s="508">
        <f>SUM(AA$15:AA$380)</f>
        <v>47969.257338945295</v>
      </c>
      <c r="AB9" s="508">
        <f>F9</f>
        <v>48008.92654992095</v>
      </c>
      <c r="AC9" s="321">
        <f>IF(An_Tnet,Tnet,'2029'!Tnet_s)</f>
        <v>47603</v>
      </c>
      <c r="AD9" s="312" t="s">
        <v>91</v>
      </c>
      <c r="AE9" s="312"/>
      <c r="AF9" s="312"/>
      <c r="AG9" s="312"/>
      <c r="AH9" s="312"/>
      <c r="AI9" s="313"/>
      <c r="AJ9" s="508">
        <f>SUMIF(AJ15:AJ380,"VRAI",Wh_sa)</f>
        <v>12670.995268347968</v>
      </c>
      <c r="AK9" s="508">
        <f>SUMIF(AK15:AK380,"VRAI",Wh_hp)</f>
        <v>0</v>
      </c>
      <c r="AL9" s="508">
        <f>SUMIF(AJ15:AJ380,"VRAI",Wh_sa_s)</f>
        <v>12659.045340324219</v>
      </c>
      <c r="AM9" s="508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IF(Inflex,'2029'!Resal+('2029'!Salim-'2029'!Resal)*(1-EXP(-(Tnet-'2029'!Tnet)/('2029'!Tau_j))),IF(An_Tnet,Resal_2030,'2029'!Resal))</f>
        <v>8.0000000000000002E-3</v>
      </c>
      <c r="P10" s="416" t="b">
        <f>NOT(Acti_tai)</f>
        <v>1</v>
      </c>
      <c r="Q10" s="253">
        <f>IF(Acti_tai,'2029'!PousD,Dens-Dd)</f>
        <v>0</v>
      </c>
      <c r="R10" s="270"/>
      <c r="S10" s="271"/>
      <c r="T10" s="272"/>
      <c r="U10" s="262">
        <f>IF(Acti_tai,'2029'!PousH,Hdtf-Hdd)</f>
        <v>0.5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IF(OR(Inflex,GainD),'2029'!Resal_s+('2029'!Salim-'2029'!Resal_s)*(1-EXP(('2029'!Tnet_s-Tnet)/('2029'!Tau_j))),IF(Acti_net,'2029'!Resal+('2029'!Salim-'2029'!Resal)*(1-EXP(('2029'!Tnet-Tnet)/'2029'!Tau_j)),'2029'!Resal_s))</f>
        <v>4.7648314583560052E-2</v>
      </c>
      <c r="AD10" s="422"/>
      <c r="AE10" s="422"/>
      <c r="AF10" s="256"/>
      <c r="AG10" s="257"/>
      <c r="AH10" s="258"/>
      <c r="AI10" s="465"/>
      <c r="AJ10" s="508">
        <f>SUMIF(AJ15:AJ380,"FAUX",Wh_sa)</f>
        <v>35332.486245365035</v>
      </c>
      <c r="AK10" s="508">
        <f>SUMIF(AK15:AK380,"FAUX",Wh_hp)</f>
        <v>48008.92654992095</v>
      </c>
      <c r="AL10" s="508">
        <f>SUMIF(AJ15:AJ380,"FAUX",Wh_sa_s)</f>
        <v>35310.211998621082</v>
      </c>
      <c r="AM10" s="508">
        <f>SUMIF(AK15:AK380,"FAUX",Wh_hp)</f>
        <v>48008.92654992095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2031.8910682262576</v>
      </c>
      <c r="E11" s="51">
        <f>(E$9-D$9)*Prod_an/D$9</f>
        <v>1085.7424871502592</v>
      </c>
      <c r="F11" s="182">
        <f>(F$9-E$9)*Prod_an/E$9</f>
        <v>5.0858218187610573</v>
      </c>
      <c r="G11" s="181" t="s">
        <v>6</v>
      </c>
      <c r="K11" s="190"/>
      <c r="L11" s="207">
        <f>Tvie_2030</f>
        <v>44609</v>
      </c>
      <c r="M11" s="834"/>
      <c r="N11" s="834"/>
      <c r="O11" s="198">
        <f>IF(An_Tnet,Salim_2030,'2029'!Salim)</f>
        <v>0.08</v>
      </c>
      <c r="P11" s="252">
        <f>Ttai_2030</f>
        <v>47208</v>
      </c>
      <c r="Q11" s="268">
        <f>Dens_2030</f>
        <v>0.5</v>
      </c>
      <c r="R11" s="273"/>
      <c r="S11" s="226"/>
      <c r="T11" s="226"/>
      <c r="U11" s="262">
        <f>Htf_2030</f>
        <v>0.96454103937512026</v>
      </c>
      <c r="V11" s="422"/>
      <c r="W11" s="511"/>
      <c r="X11" s="518" t="s">
        <v>43</v>
      </c>
      <c r="Y11" s="50">
        <f>Z$9-Prod_an_s</f>
        <v>1963.1091182665259</v>
      </c>
      <c r="Z11" s="51">
        <f>(AA$9-Z$9)*Prod_an_s/Z$9</f>
        <v>2565.4205554661112</v>
      </c>
      <c r="AA11" s="182">
        <f>(AB$9-AA$9)*Prod_an_s/AA$9</f>
        <v>35.828115509341352</v>
      </c>
      <c r="AB11" s="519" t="s">
        <v>6</v>
      </c>
      <c r="AC11" s="321"/>
      <c r="AD11" s="422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556.72107671281526</v>
      </c>
      <c r="AK11" s="824">
        <f>IF($AK7=0,0,($AK9-$AK7)*$AK5/$AK7)</f>
        <v>0</v>
      </c>
      <c r="AL11" s="823">
        <f>IF($AL7=0,0,($AL9-$AL7)*$AL5/$AL7)</f>
        <v>785.54190071339099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Pspv_2030</f>
        <v>0</v>
      </c>
      <c r="M12" s="208"/>
      <c r="N12" s="208"/>
      <c r="O12" s="201">
        <f>IF(An_Tnet,Tau_2030*365,'2029'!Tau_j)</f>
        <v>912.5</v>
      </c>
      <c r="P12" s="277">
        <f>INDEX(Croivg,MIN(MAX(Ttai-$A$15,0)+1,366))</f>
        <v>2.3909964587625958E-6</v>
      </c>
      <c r="Q12" s="276">
        <f>'2029'!Df</f>
        <v>0.5</v>
      </c>
      <c r="R12" s="274"/>
      <c r="S12" s="275"/>
      <c r="T12" s="275"/>
      <c r="U12" s="263">
        <f>'2029'!Hdf</f>
        <v>0.46454103937512026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'2029'!Df_s</f>
        <v>0.5</v>
      </c>
      <c r="AF12" s="199"/>
      <c r="AG12" s="199"/>
      <c r="AH12" s="199"/>
      <c r="AI12" s="293">
        <f>'2029'!Hdf_s</f>
        <v>3.9895286057490984</v>
      </c>
      <c r="AJ12" s="823">
        <f>IF($AJ8=0,0,($AJ10-$AJ8)*$AJ6/$AJ8)</f>
        <v>529.58062751631633</v>
      </c>
      <c r="AK12" s="824">
        <f>IF($AK8=0,0,($AK10-$AK8)*$AK6/$AK8)</f>
        <v>5.0858218187610573</v>
      </c>
      <c r="AL12" s="823">
        <f>IF($AL8=0,0,($AL10-$AL8)*$AL6/$AL8)</f>
        <v>1780.1093015391114</v>
      </c>
      <c r="AM12" s="824">
        <f>IF($AM8=0,0,($AM10-$AM8)*$AM6/$AM8)</f>
        <v>35.828115509341352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1086.3017042291317</v>
      </c>
      <c r="AK13" s="73">
        <f>+AK11+AK12</f>
        <v>5.0858218187610573</v>
      </c>
      <c r="AL13" s="73">
        <f>+AL11+AL12</f>
        <v>2565.6512022525021</v>
      </c>
      <c r="AM13" s="73">
        <f>+AM11+AM12</f>
        <v>35.828115509341352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411" t="s">
        <v>188</v>
      </c>
      <c r="C14" s="411"/>
      <c r="D14" s="53" t="s">
        <v>30</v>
      </c>
      <c r="E14" s="158" t="s">
        <v>29</v>
      </c>
      <c r="F14" s="158" t="str">
        <f>"Hors pertes "&amp; TEXT(An,0)</f>
        <v>Hors pertes 2030</v>
      </c>
      <c r="G14" s="107" t="s">
        <v>42</v>
      </c>
      <c r="H14" s="408" t="s">
        <v>117</v>
      </c>
      <c r="I14" s="410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2030</v>
      </c>
      <c r="W14" s="367" t="s">
        <v>116</v>
      </c>
      <c r="X14" s="254" t="s">
        <v>2</v>
      </c>
      <c r="Y14" s="107" t="str">
        <f>"Wh / Jour "&amp; TEXT(An,0)</f>
        <v>Wh / Jour 2030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129">
        <f>DATE(An,1,1)</f>
        <v>47484</v>
      </c>
      <c r="B15" s="405">
        <f>'2029'!Wh/'2029'!Env_an*'2030'!Env_an</f>
        <v>91.655394055965928</v>
      </c>
      <c r="C15" s="831"/>
      <c r="D15" s="388">
        <f t="shared" ref="D15:D78" si="0">Wh/(1-Ppv)</f>
        <v>95.576306037692873</v>
      </c>
      <c r="E15" s="395">
        <f t="shared" ref="E15:E79" si="1">Wh_pvt/(1-Psa)</f>
        <v>99.888129773793921</v>
      </c>
      <c r="F15" s="395">
        <f t="shared" ref="F15:F78" si="2">Wh_sa/(1-Pvg*MEDIAN((-Sdif+Wh/Env_an)/Csdif,0,1))</f>
        <v>99.941221484103295</v>
      </c>
      <c r="G15" s="123">
        <f>+Wh_hp/MaxiM</f>
        <v>1.0011866221014729</v>
      </c>
      <c r="H15" s="409" t="b">
        <f>Wh_hp&gt;='2029'!Maxi_hp</f>
        <v>1</v>
      </c>
      <c r="I15" s="391">
        <f>IF(H15,Wh_hp,'2029'!Maxi_hp)</f>
        <v>99.941221484103295</v>
      </c>
      <c r="J15" s="84">
        <f>IF(H15,An,'2029'!An_max)</f>
        <v>2030</v>
      </c>
      <c r="K15" s="193">
        <f t="shared" ref="K15:K78" si="3">t</f>
        <v>47484</v>
      </c>
      <c r="L15" s="142">
        <f>IF(t&lt;Tvie,1-EXP((T0-t)*PertePVj)+'2029'!Pspv,1-EXP((T0-t)*PertePVj)+Pspv)</f>
        <v>4.1023891216099506E-2</v>
      </c>
      <c r="M15" s="835"/>
      <c r="N15" s="835"/>
      <c r="O15" s="48">
        <f>IF(t&lt;Tnet,'2029'!Resal+('2029'!Salim-'2029'!Resal)*(1-EXP(('2029'!Tnet-t)/('2029'!Tau_j))),Resal+(Salim-Resal)*(1-EXP((Tnet-t)/(Tau_j))))*Salcycl</f>
        <v>4.3166527853365222E-2</v>
      </c>
      <c r="P15" s="298">
        <f>(INDEX(Models!$BJ15:$BT15,,T15)*(1-R15)+INDEX(Models!$BJ15:$BT15,,T15+1)*R15-ERP_i)*Q15*Ramure*Pc/MaxiM</f>
        <v>5.3122935182282958E-4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0.46454223487334961</v>
      </c>
      <c r="S15" s="800">
        <f t="shared" ref="S15:S78" si="6">INDEX(Echel_vg,T15)</f>
        <v>0</v>
      </c>
      <c r="T15" s="245">
        <f t="shared" ref="T15:T78" si="7">MIN(MATCH(Hp_vg,Echel_vg),10)</f>
        <v>6</v>
      </c>
      <c r="U15" s="247">
        <f t="shared" ref="U15:U78" si="8">IF(OR(t&lt;Ttai,Notai),Hdd+PousH*Croivg,Hdtf+PousH*(Croivg-Croi_tai))</f>
        <v>0.46454223487334961</v>
      </c>
      <c r="V15" s="377">
        <f t="shared" ref="V15:V78" si="9">MaxiM*(1-Ppv)*(1-Pvg)*(1-Psa)</f>
        <v>91.546762644094144</v>
      </c>
      <c r="W15" s="397">
        <f t="shared" ref="W15:W78" si="10">Wh*(A15&gt;Tmaj)</f>
        <v>91.655394055965928</v>
      </c>
      <c r="X15" s="152">
        <f t="shared" ref="X15:X78" si="11">t</f>
        <v>47484</v>
      </c>
      <c r="Y15" s="380">
        <f t="shared" ref="Y15:Y78" si="12">Wh_pvt_s*(1-Ppv)</f>
        <v>89.306442498249439</v>
      </c>
      <c r="Z15" s="380">
        <f>Wh_sa_s*(1-Psa_s)</f>
        <v>93.126869043172491</v>
      </c>
      <c r="AA15" s="381">
        <f t="shared" ref="AA15:AA78" si="13">Wh_hp*(1-Pvg_s*MEDIAN((-Sdif+Wh/Env_an)/Csdif,0,1))</f>
        <v>99.440656160853351</v>
      </c>
      <c r="AB15" s="193">
        <f t="shared" ref="AB15:AB78" si="14">t</f>
        <v>47484</v>
      </c>
      <c r="AC15" s="119">
        <f>IF(OR(t&lt;Tnet,NoTnet),'2029'!Resal_s+('2029'!Salim-'2029'!Resal_s)*(1-EXP(('2029'!Tnet_s-t)/'2029'!Tau_j)),Resal_s+(Salim-Resal_s)*(1-EXP((Tnet_s-t)/Tau_j)))*Salcycl</f>
        <v>6.3493015446999826E-2</v>
      </c>
      <c r="AD15" s="227">
        <f>(INDEX(Models!$BJ15:$BT15,,AH15)*(1-AF15)+INDEX(Models!$BJ15:$BT15,,AH15+1)*AF15-ERP_i)*AE15*Ramure*Pc/MaxiM</f>
        <v>5.0085972116075753E-3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0.9895298012473277</v>
      </c>
      <c r="AG15" s="800">
        <f>INDEX(Echel_vg,AH15)</f>
        <v>3</v>
      </c>
      <c r="AH15" s="245">
        <f t="shared" ref="AH15:AH78" si="16">MIN(MATCH(Hp_vg_s,Echel_vg),10)</f>
        <v>9</v>
      </c>
      <c r="AI15" s="220">
        <f t="shared" ref="AI15:AI78" si="17">IF(OR(t&lt;Ttai,Notai),Hdd_s+PousH*Croivg,Hdtai_s+PousH*(Croivg-Croi_tai))</f>
        <v>3.9895298012473277</v>
      </c>
      <c r="AJ15" s="261" t="b">
        <f t="shared" ref="AJ15:AJ78" si="18">t&lt;Tnet</f>
        <v>1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47485</v>
      </c>
      <c r="B16" s="406">
        <f>'2029'!Wh/'2029'!Env_an*'2030'!Env_an</f>
        <v>67.022674580878174</v>
      </c>
      <c r="C16" s="831"/>
      <c r="D16" s="388">
        <f t="shared" si="0"/>
        <v>69.890783997282284</v>
      </c>
      <c r="E16" s="380">
        <f t="shared" si="1"/>
        <v>73.04678447686274</v>
      </c>
      <c r="F16" s="380">
        <f t="shared" si="2"/>
        <v>73.070804142175547</v>
      </c>
      <c r="G16" s="110">
        <f t="shared" ref="G16:G79" si="21">+Wh_hp/MaxiM</f>
        <v>0.72751297075501031</v>
      </c>
      <c r="H16" s="409" t="b">
        <f>Wh_hp&gt;='2029'!Maxi_hp</f>
        <v>0</v>
      </c>
      <c r="I16" s="385">
        <f>IF(H16,Wh_hp,'2029'!Maxi_hp)</f>
        <v>73.086107014148709</v>
      </c>
      <c r="J16" s="85">
        <f>IF(H16,An,'2029'!An_max)</f>
        <v>2022</v>
      </c>
      <c r="K16" s="193">
        <f t="shared" si="3"/>
        <v>47485</v>
      </c>
      <c r="L16" s="143">
        <f>IF(t&lt;Tvie,1-EXP((T0-t)*PertePVj)+'2029'!Pspv,1-EXP((T0-t)*PertePVj)+Pspv)</f>
        <v>4.103701879371735E-2</v>
      </c>
      <c r="M16" s="835"/>
      <c r="N16" s="835"/>
      <c r="O16" s="48">
        <f>IF(t&lt;Tnet,'2029'!Resal+('2029'!Salim-'2029'!Resal)*(1-EXP(('2029'!Tnet-t)/('2029'!Tau_j))),Resal+(Salim-Resal)*(1-EXP((Tnet-t)/(Tau_j))))*Salcycl</f>
        <v>4.320519379713561E-2</v>
      </c>
      <c r="P16" s="165">
        <f>(INDEX(Models!$BJ16:$BT16,,T16)*(1-R16)+INDEX(Models!$BJ16:$BT16,,T16+1)*R16-ERP_i)*Q16*Ramure*Pc/MaxiM</f>
        <v>5.380430808942957E-4</v>
      </c>
      <c r="Q16" s="301">
        <f t="shared" si="4"/>
        <v>0.5</v>
      </c>
      <c r="R16" s="173">
        <f t="shared" si="5"/>
        <v>0.46457144948734386</v>
      </c>
      <c r="S16" s="801">
        <f t="shared" si="6"/>
        <v>0</v>
      </c>
      <c r="T16" s="172">
        <f t="shared" si="7"/>
        <v>6</v>
      </c>
      <c r="U16" s="247">
        <f t="shared" si="8"/>
        <v>0.46457144948734386</v>
      </c>
      <c r="V16" s="378">
        <f t="shared" si="9"/>
        <v>92.106454610596742</v>
      </c>
      <c r="W16" s="397">
        <f t="shared" si="10"/>
        <v>67.022674580878174</v>
      </c>
      <c r="X16" s="153">
        <f t="shared" si="11"/>
        <v>47485</v>
      </c>
      <c r="Y16" s="380">
        <f t="shared" si="12"/>
        <v>65.420480746149352</v>
      </c>
      <c r="Z16" s="380">
        <f t="shared" ref="Z16:Z78" si="22">Wh_sa_s*(1-Psa_s)</f>
        <v>68.220027288078128</v>
      </c>
      <c r="AA16" s="381">
        <f t="shared" si="13"/>
        <v>72.846400658097423</v>
      </c>
      <c r="AB16" s="193">
        <f t="shared" si="14"/>
        <v>47485</v>
      </c>
      <c r="AC16" s="119">
        <f>IF(OR(t&lt;Tnet,NoTnet),'2029'!Resal_s+('2029'!Salim-'2029'!Resal_s)*(1-EXP(('2029'!Tnet_s-t)/'2029'!Tau_j)),Resal_s+(Salim-Resal_s)*(1-EXP((Tnet_s-t)/Tau_j)))*Salcycl</f>
        <v>6.3508606166185824E-2</v>
      </c>
      <c r="AD16" s="227">
        <f>(INDEX(Models!$BJ16:$BT16,,AH16)*(1-AF16)+INDEX(Models!$BJ16:$BT16,,AH16+1)*AF16-ERP_i)*AE16*Ramure*Pc/MaxiM</f>
        <v>5.0266621272375038E-3</v>
      </c>
      <c r="AE16" s="301">
        <f t="shared" si="15"/>
        <v>0.5</v>
      </c>
      <c r="AF16" s="173">
        <f t="shared" ref="AF16:AF78" si="23">(Hp_vg_s-AG16)/(INDEX(Echel_vg,AH16+1)-AG16)</f>
        <v>0.98955901586132189</v>
      </c>
      <c r="AG16" s="801">
        <f t="shared" ref="AG16:AG79" si="24">INDEX(Echel_vg,AH16)</f>
        <v>3</v>
      </c>
      <c r="AH16" s="172">
        <f t="shared" si="16"/>
        <v>9</v>
      </c>
      <c r="AI16" s="221">
        <f t="shared" si="17"/>
        <v>3.9895590158613219</v>
      </c>
      <c r="AJ16" s="261" t="b">
        <f t="shared" si="18"/>
        <v>1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47486</v>
      </c>
      <c r="B17" s="406">
        <f>'2029'!Wh/'2029'!Env_an*'2030'!Env_an</f>
        <v>69.799275130290823</v>
      </c>
      <c r="C17" s="831"/>
      <c r="D17" s="388">
        <f t="shared" si="0"/>
        <v>72.787200345346747</v>
      </c>
      <c r="E17" s="380">
        <f t="shared" si="1"/>
        <v>76.077070293430012</v>
      </c>
      <c r="F17" s="380">
        <f t="shared" si="2"/>
        <v>76.103905292181608</v>
      </c>
      <c r="G17" s="110">
        <f t="shared" si="21"/>
        <v>0.75281891727499872</v>
      </c>
      <c r="H17" s="409" t="b">
        <f>Wh_hp&gt;='2029'!Maxi_hp</f>
        <v>0</v>
      </c>
      <c r="I17" s="385">
        <f>IF(H17,Wh_hp,'2029'!Maxi_hp)</f>
        <v>76.118546681586153</v>
      </c>
      <c r="J17" s="85">
        <f>IF(H17,An,'2029'!An_max)</f>
        <v>2022</v>
      </c>
      <c r="K17" s="193">
        <f t="shared" si="3"/>
        <v>47486</v>
      </c>
      <c r="L17" s="143">
        <f>IF(t&lt;Tvie,1-EXP((T0-t)*PertePVj)+'2029'!Pspv,1-EXP((T0-t)*PertePVj)+Pspv)</f>
        <v>4.1050146191629611E-2</v>
      </c>
      <c r="M17" s="835"/>
      <c r="N17" s="835"/>
      <c r="O17" s="48">
        <f>IF(t&lt;Tnet,'2029'!Resal+('2029'!Salim-'2029'!Resal)*(1-EXP(('2029'!Tnet-t)/('2029'!Tau_j))),Resal+(Salim-Resal)*(1-EXP((Tnet-t)/(Tau_j))))*Salcycl</f>
        <v>4.3243909569522218E-2</v>
      </c>
      <c r="P17" s="165">
        <f>(INDEX(Models!$BJ17:$BT17,,T17)*(1-R17)+INDEX(Models!$BJ17:$BT17,,T17+1)*R17-ERP_i)*Q17*Ramure*Pc/MaxiM</f>
        <v>5.4491556329067461E-4</v>
      </c>
      <c r="Q17" s="301">
        <f t="shared" si="4"/>
        <v>0.5</v>
      </c>
      <c r="R17" s="173">
        <f t="shared" si="5"/>
        <v>0.46460188608283348</v>
      </c>
      <c r="S17" s="801">
        <f t="shared" si="6"/>
        <v>0</v>
      </c>
      <c r="T17" s="172">
        <f t="shared" si="7"/>
        <v>6</v>
      </c>
      <c r="U17" s="247">
        <f t="shared" si="8"/>
        <v>0.46460188608283348</v>
      </c>
      <c r="V17" s="378">
        <f t="shared" si="9"/>
        <v>92.699380961286863</v>
      </c>
      <c r="W17" s="397">
        <f t="shared" si="10"/>
        <v>69.799275130290823</v>
      </c>
      <c r="X17" s="153">
        <f t="shared" si="11"/>
        <v>47486</v>
      </c>
      <c r="Y17" s="380">
        <f t="shared" si="12"/>
        <v>68.120431885466203</v>
      </c>
      <c r="Z17" s="380">
        <f t="shared" si="22"/>
        <v>71.036490192821802</v>
      </c>
      <c r="AA17" s="381">
        <f t="shared" si="13"/>
        <v>75.855136013378512</v>
      </c>
      <c r="AB17" s="193">
        <f t="shared" si="14"/>
        <v>47486</v>
      </c>
      <c r="AC17" s="119">
        <f>IF(OR(t&lt;Tnet,NoTnet),'2029'!Resal_s+('2029'!Salim-'2029'!Resal_s)*(1-EXP(('2029'!Tnet_s-t)/'2029'!Tau_j)),Resal_s+(Salim-Resal_s)*(1-EXP((Tnet_s-t)/Tau_j)))*Salcycl</f>
        <v>6.3524318507672886E-2</v>
      </c>
      <c r="AD17" s="227">
        <f>(INDEX(Models!$BJ17:$BT17,,AH17)*(1-AF17)+INDEX(Models!$BJ17:$BT17,,AH17+1)*AF17-ERP_i)*AE17*Ramure*Pc/MaxiM</f>
        <v>5.0515467857200295E-3</v>
      </c>
      <c r="AE17" s="301">
        <f t="shared" si="15"/>
        <v>0.5</v>
      </c>
      <c r="AF17" s="173">
        <f>(Hp_vg_s-AG17)/(INDEX(Echel_vg,AH17+1)-AG17)</f>
        <v>0.98958945245681162</v>
      </c>
      <c r="AG17" s="801">
        <f>INDEX(Echel_vg,AH17)</f>
        <v>3</v>
      </c>
      <c r="AH17" s="172">
        <f t="shared" si="16"/>
        <v>9</v>
      </c>
      <c r="AI17" s="221">
        <f t="shared" si="17"/>
        <v>3.9895894524568116</v>
      </c>
      <c r="AJ17" s="261" t="b">
        <f t="shared" si="18"/>
        <v>1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47487</v>
      </c>
      <c r="B18" s="406">
        <f>'2029'!Wh/'2029'!Env_an*'2030'!Env_an</f>
        <v>74.962311682913651</v>
      </c>
      <c r="C18" s="831"/>
      <c r="D18" s="388">
        <f t="shared" si="0"/>
        <v>78.172323161997014</v>
      </c>
      <c r="E18" s="380">
        <f t="shared" si="1"/>
        <v>81.708902234959609</v>
      </c>
      <c r="F18" s="380">
        <f t="shared" si="2"/>
        <v>81.741332152216501</v>
      </c>
      <c r="G18" s="110">
        <f t="shared" si="21"/>
        <v>0.80312508985578235</v>
      </c>
      <c r="H18" s="409" t="b">
        <f>Wh_hp&gt;='2029'!Maxi_hp</f>
        <v>0</v>
      </c>
      <c r="I18" s="385">
        <f>IF(H18,Wh_hp,'2029'!Maxi_hp)</f>
        <v>81.754015578877613</v>
      </c>
      <c r="J18" s="85">
        <f>IF(H18,An,'2029'!An_max)</f>
        <v>2022</v>
      </c>
      <c r="K18" s="193">
        <f t="shared" si="3"/>
        <v>47487</v>
      </c>
      <c r="L18" s="143">
        <f>IF(t&lt;Tvie,1-EXP((T0-t)*PertePVj)+'2029'!Pspv,1-EXP((T0-t)*PertePVj)+Pspv)</f>
        <v>4.1063273409838841E-2</v>
      </c>
      <c r="M18" s="835"/>
      <c r="N18" s="835"/>
      <c r="O18" s="48">
        <f>IF(t&lt;Tnet,'2029'!Resal+('2029'!Salim-'2029'!Resal)*(1-EXP(('2029'!Tnet-t)/('2029'!Tau_j))),Resal+(Salim-Resal)*(1-EXP((Tnet-t)/(Tau_j))))*Salcycl</f>
        <v>4.3282665367268262E-2</v>
      </c>
      <c r="P18" s="165">
        <f>(INDEX(Models!$BJ18:$BT18,,T18)*(1-R18)+INDEX(Models!$BJ18:$BT18,,T18+1)*R18-ERP_i)*Q18*Ramure*Pc/MaxiM</f>
        <v>5.5184691446645659E-4</v>
      </c>
      <c r="Q18" s="301">
        <f t="shared" si="4"/>
        <v>0.5</v>
      </c>
      <c r="R18" s="173">
        <f t="shared" si="5"/>
        <v>0.46463359561412859</v>
      </c>
      <c r="S18" s="801">
        <f t="shared" si="6"/>
        <v>0</v>
      </c>
      <c r="T18" s="172">
        <f t="shared" si="7"/>
        <v>6</v>
      </c>
      <c r="U18" s="247">
        <f t="shared" si="8"/>
        <v>0.46463359561412859</v>
      </c>
      <c r="V18" s="378">
        <f t="shared" si="9"/>
        <v>93.323793160707908</v>
      </c>
      <c r="W18" s="397">
        <f t="shared" si="10"/>
        <v>74.962311682913651</v>
      </c>
      <c r="X18" s="153">
        <f t="shared" si="11"/>
        <v>47487</v>
      </c>
      <c r="Y18" s="380">
        <f t="shared" si="12"/>
        <v>73.135936152837175</v>
      </c>
      <c r="Z18" s="380">
        <f>Wh_sa_s*(1-Psa_s)</f>
        <v>76.267739179098783</v>
      </c>
      <c r="AA18" s="381">
        <f t="shared" si="13"/>
        <v>81.442614097402057</v>
      </c>
      <c r="AB18" s="193">
        <f>t</f>
        <v>47487</v>
      </c>
      <c r="AC18" s="119">
        <f>IF(OR(t&lt;Tnet,NoTnet),'2029'!Resal_s+('2029'!Salim-'2029'!Resal_s)*(1-EXP(('2029'!Tnet_s-t)/'2029'!Tau_j)),Resal_s+(Salim-Resal_s)*(1-EXP((Tnet_s-t)/Tau_j)))*Salcycl</f>
        <v>6.354013774796495E-2</v>
      </c>
      <c r="AD18" s="227">
        <f>(INDEX(Models!$BJ18:$BT18,,AH18)*(1-AF18)+INDEX(Models!$BJ18:$BT18,,AH18+1)*AF18-ERP_i)*AE18*Ramure*Pc/MaxiM</f>
        <v>5.0831655085325292E-3</v>
      </c>
      <c r="AE18" s="301">
        <f t="shared" si="15"/>
        <v>0.5</v>
      </c>
      <c r="AF18" s="173">
        <f t="shared" si="23"/>
        <v>0.98962116198810657</v>
      </c>
      <c r="AG18" s="801">
        <f t="shared" si="24"/>
        <v>3</v>
      </c>
      <c r="AH18" s="172">
        <f t="shared" si="16"/>
        <v>9</v>
      </c>
      <c r="AI18" s="221">
        <f t="shared" si="17"/>
        <v>3.9896211619881066</v>
      </c>
      <c r="AJ18" s="261" t="b">
        <f t="shared" si="18"/>
        <v>1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47488</v>
      </c>
      <c r="B19" s="406">
        <f>'2029'!Wh/'2029'!Env_an*'2030'!Env_an</f>
        <v>56.366633006393066</v>
      </c>
      <c r="C19" s="831"/>
      <c r="D19" s="388">
        <f t="shared" si="0"/>
        <v>58.781151108125243</v>
      </c>
      <c r="E19" s="380">
        <f t="shared" si="1"/>
        <v>61.442948910429948</v>
      </c>
      <c r="F19" s="380">
        <f t="shared" si="2"/>
        <v>61.457657623893581</v>
      </c>
      <c r="G19" s="110">
        <f t="shared" si="21"/>
        <v>0.59959408985239526</v>
      </c>
      <c r="H19" s="409" t="b">
        <f>Wh_hp&gt;='2029'!Maxi_hp</f>
        <v>0</v>
      </c>
      <c r="I19" s="385">
        <f>IF(H19,Wh_hp,'2029'!Maxi_hp)</f>
        <v>61.477299806338095</v>
      </c>
      <c r="J19" s="85">
        <f>IF(H19,An,'2029'!An_max)</f>
        <v>2022</v>
      </c>
      <c r="K19" s="193">
        <f t="shared" si="3"/>
        <v>47488</v>
      </c>
      <c r="L19" s="143">
        <f>IF(t&lt;Tvie,1-EXP((T0-t)*PertePVj)+'2029'!Pspv,1-EXP((T0-t)*PertePVj)+Pspv)</f>
        <v>4.1076400448347483E-2</v>
      </c>
      <c r="M19" s="835"/>
      <c r="N19" s="835"/>
      <c r="O19" s="48">
        <f>IF(t&lt;Tnet,'2029'!Resal+('2029'!Salim-'2029'!Resal)*(1-EXP(('2029'!Tnet-t)/('2029'!Tau_j))),Resal+(Salim-Resal)*(1-EXP((Tnet-t)/(Tau_j))))*Salcycl</f>
        <v>4.3321452656593866E-2</v>
      </c>
      <c r="P19" s="165">
        <f>(INDEX(Models!$BJ19:$BT19,,T19)*(1-R19)+INDEX(Models!$BJ19:$BT19,,T19+1)*R19-ERP_i)*Q19*Ramure*Pc/MaxiM</f>
        <v>5.5883771437480049E-4</v>
      </c>
      <c r="Q19" s="301">
        <f t="shared" si="4"/>
        <v>0.5</v>
      </c>
      <c r="R19" s="173">
        <f t="shared" si="5"/>
        <v>0.46466663114669027</v>
      </c>
      <c r="S19" s="801">
        <f t="shared" si="6"/>
        <v>0</v>
      </c>
      <c r="T19" s="172">
        <f t="shared" si="7"/>
        <v>6</v>
      </c>
      <c r="U19" s="247">
        <f t="shared" si="8"/>
        <v>0.46466663114669027</v>
      </c>
      <c r="V19" s="378">
        <f t="shared" si="9"/>
        <v>93.977942949460655</v>
      </c>
      <c r="W19" s="397">
        <f t="shared" si="10"/>
        <v>56.366633006393066</v>
      </c>
      <c r="X19" s="153">
        <f t="shared" si="11"/>
        <v>47488</v>
      </c>
      <c r="Y19" s="380">
        <f t="shared" si="12"/>
        <v>55.06659224612654</v>
      </c>
      <c r="Z19" s="380">
        <f t="shared" si="22"/>
        <v>57.425421870807106</v>
      </c>
      <c r="AA19" s="381">
        <f t="shared" si="13"/>
        <v>61.322860739415098</v>
      </c>
      <c r="AB19" s="193">
        <f t="shared" si="14"/>
        <v>47488</v>
      </c>
      <c r="AC19" s="119">
        <f>IF(OR(t&lt;Tnet,NoTnet),'2029'!Resal_s+('2029'!Salim-'2029'!Resal_s)*(1-EXP(('2029'!Tnet_s-t)/'2029'!Tau_j)),Resal_s+(Salim-Resal_s)*(1-EXP((Tnet_s-t)/Tau_j)))*Salcycl</f>
        <v>6.3556051065030025E-2</v>
      </c>
      <c r="AD19" s="227">
        <f>(INDEX(Models!$BJ19:$BT19,,AH19)*(1-AF19)+INDEX(Models!$BJ19:$BT19,,AH19+1)*AF19-ERP_i)*AE19*Ramure*Pc/MaxiM</f>
        <v>5.1214256782573858E-3</v>
      </c>
      <c r="AE19" s="301">
        <f t="shared" si="15"/>
        <v>0.5</v>
      </c>
      <c r="AF19" s="173">
        <f t="shared" si="23"/>
        <v>0.98965419752066852</v>
      </c>
      <c r="AG19" s="801">
        <f t="shared" si="24"/>
        <v>3</v>
      </c>
      <c r="AH19" s="172">
        <f t="shared" si="16"/>
        <v>9</v>
      </c>
      <c r="AI19" s="221">
        <f t="shared" si="17"/>
        <v>3.9896541975206685</v>
      </c>
      <c r="AJ19" s="261" t="b">
        <f t="shared" si="18"/>
        <v>1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47489</v>
      </c>
      <c r="B20" s="406">
        <f>'2029'!Wh/'2029'!Env_an*'2030'!Env_an</f>
        <v>96.549653288883121</v>
      </c>
      <c r="C20" s="831"/>
      <c r="D20" s="388">
        <f t="shared" si="0"/>
        <v>100.68682743421229</v>
      </c>
      <c r="E20" s="380">
        <f t="shared" si="1"/>
        <v>105.25051768142924</v>
      </c>
      <c r="F20" s="380">
        <f t="shared" si="2"/>
        <v>105.31011151518358</v>
      </c>
      <c r="G20" s="110">
        <f t="shared" si="21"/>
        <v>1.0199616450883788</v>
      </c>
      <c r="H20" s="409" t="b">
        <f>Wh_hp&gt;='2029'!Maxi_hp</f>
        <v>1</v>
      </c>
      <c r="I20" s="385">
        <f>IF(H20,Wh_hp,'2029'!Maxi_hp)</f>
        <v>105.31011151518358</v>
      </c>
      <c r="J20" s="85">
        <f>IF(H20,An,'2029'!An_max)</f>
        <v>2030</v>
      </c>
      <c r="K20" s="193">
        <f t="shared" si="3"/>
        <v>47489</v>
      </c>
      <c r="L20" s="143">
        <f>IF(t&lt;Tvie,1-EXP((T0-t)*PertePVj)+'2029'!Pspv,1-EXP((T0-t)*PertePVj)+Pspv)</f>
        <v>4.108952730715798E-2</v>
      </c>
      <c r="M20" s="835"/>
      <c r="N20" s="835"/>
      <c r="O20" s="48">
        <f>IF(t&lt;Tnet,'2029'!Resal+('2029'!Salim-'2029'!Resal)*(1-EXP(('2029'!Tnet-t)/('2029'!Tau_j))),Resal+(Salim-Resal)*(1-EXP((Tnet-t)/(Tau_j))))*Salcycl</f>
        <v>4.3360264136944868E-2</v>
      </c>
      <c r="P20" s="165">
        <f>(INDEX(Models!$BJ20:$BT20,,T20)*(1-R20)+INDEX(Models!$BJ20:$BT20,,T20+1)*R20-ERP_i)*Q20*Ramure*Pc/MaxiM</f>
        <v>5.6588900056135205E-4</v>
      </c>
      <c r="Q20" s="301">
        <f t="shared" si="4"/>
        <v>0.5</v>
      </c>
      <c r="R20" s="173">
        <f t="shared" si="5"/>
        <v>0.46470104794344097</v>
      </c>
      <c r="S20" s="801">
        <f t="shared" si="6"/>
        <v>0</v>
      </c>
      <c r="T20" s="172">
        <f t="shared" si="7"/>
        <v>6</v>
      </c>
      <c r="U20" s="247">
        <f t="shared" si="8"/>
        <v>0.46470104794344097</v>
      </c>
      <c r="V20" s="378">
        <f t="shared" si="9"/>
        <v>94.66008232154374</v>
      </c>
      <c r="W20" s="397">
        <f t="shared" si="10"/>
        <v>96.549653288883121</v>
      </c>
      <c r="X20" s="153">
        <f t="shared" si="11"/>
        <v>47489</v>
      </c>
      <c r="Y20" s="380">
        <f t="shared" si="12"/>
        <v>94.074739177280264</v>
      </c>
      <c r="Z20" s="380">
        <f t="shared" si="22"/>
        <v>98.105862701756379</v>
      </c>
      <c r="AA20" s="381">
        <f t="shared" si="13"/>
        <v>104.76605534641247</v>
      </c>
      <c r="AB20" s="193">
        <f t="shared" si="14"/>
        <v>47489</v>
      </c>
      <c r="AC20" s="119">
        <f>IF(OR(t&lt;Tnet,NoTnet),'2029'!Resal_s+('2029'!Salim-'2029'!Resal_s)*(1-EXP(('2029'!Tnet_s-t)/'2029'!Tau_j)),Resal_s+(Salim-Resal_s)*(1-EXP((Tnet_s-t)/Tau_j)))*Salcycl</f>
        <v>6.3572047478870325E-2</v>
      </c>
      <c r="AD20" s="227">
        <f>(INDEX(Models!$BJ20:$BT20,,AH20)*(1-AF20)+INDEX(Models!$BJ20:$BT20,,AH20+1)*AF20-ERP_i)*AE20*Ramure*Pc/MaxiM</f>
        <v>5.1662291582766145E-3</v>
      </c>
      <c r="AE20" s="301">
        <f t="shared" si="15"/>
        <v>0.5</v>
      </c>
      <c r="AF20" s="173">
        <f t="shared" si="23"/>
        <v>0.98968861431741928</v>
      </c>
      <c r="AG20" s="801">
        <f t="shared" si="24"/>
        <v>3</v>
      </c>
      <c r="AH20" s="172">
        <f t="shared" si="16"/>
        <v>9</v>
      </c>
      <c r="AI20" s="221">
        <f t="shared" si="17"/>
        <v>3.9896886143174193</v>
      </c>
      <c r="AJ20" s="261" t="b">
        <f t="shared" si="18"/>
        <v>1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47490</v>
      </c>
      <c r="B21" s="406">
        <f>'2029'!Wh/'2029'!Env_an*'2030'!Env_an</f>
        <v>36.523795804204291</v>
      </c>
      <c r="C21" s="831"/>
      <c r="D21" s="388">
        <f t="shared" si="0"/>
        <v>38.089369999863813</v>
      </c>
      <c r="E21" s="380">
        <f t="shared" si="1"/>
        <v>39.817409484783667</v>
      </c>
      <c r="F21" s="380">
        <f t="shared" si="2"/>
        <v>39.820114135982287</v>
      </c>
      <c r="G21" s="110">
        <f t="shared" si="21"/>
        <v>0.3827821665040208</v>
      </c>
      <c r="H21" s="409" t="b">
        <f>Wh_hp&gt;='2029'!Maxi_hp</f>
        <v>0</v>
      </c>
      <c r="I21" s="385">
        <f>IF(H21,Wh_hp,'2029'!Maxi_hp)</f>
        <v>39.840230222025987</v>
      </c>
      <c r="J21" s="85">
        <f>IF(H21,An,'2029'!An_max)</f>
        <v>2022</v>
      </c>
      <c r="K21" s="193">
        <f t="shared" si="3"/>
        <v>47490</v>
      </c>
      <c r="L21" s="143">
        <f>IF(t&lt;Tvie,1-EXP((T0-t)*PertePVj)+'2029'!Pspv,1-EXP((T0-t)*PertePVj)+Pspv)</f>
        <v>4.1102653986272775E-2</v>
      </c>
      <c r="M21" s="835"/>
      <c r="N21" s="835"/>
      <c r="O21" s="48">
        <f>IF(t&lt;Tnet,'2029'!Resal+('2029'!Salim-'2029'!Resal)*(1-EXP(('2029'!Tnet-t)/('2029'!Tau_j))),Resal+(Salim-Resal)*(1-EXP((Tnet-t)/(Tau_j))))*Salcycl</f>
        <v>4.3399093694938294E-2</v>
      </c>
      <c r="P21" s="165">
        <f>(INDEX(Models!$BJ21:$BT21,,T21)*(1-R21)+INDEX(Models!$BJ21:$BT21,,T21+1)*R21-ERP_i)*Q21*Ramure*Pc/MaxiM</f>
        <v>5.7300225882918224E-4</v>
      </c>
      <c r="Q21" s="301">
        <f t="shared" si="4"/>
        <v>0.5</v>
      </c>
      <c r="R21" s="173">
        <f t="shared" si="5"/>
        <v>0.46473690355450414</v>
      </c>
      <c r="S21" s="801">
        <f t="shared" si="6"/>
        <v>0</v>
      </c>
      <c r="T21" s="172">
        <f t="shared" si="7"/>
        <v>6</v>
      </c>
      <c r="U21" s="247">
        <f t="shared" si="8"/>
        <v>0.46473690355450414</v>
      </c>
      <c r="V21" s="378">
        <f t="shared" si="9"/>
        <v>95.36846354830746</v>
      </c>
      <c r="W21" s="397">
        <f t="shared" si="10"/>
        <v>36.523795804204291</v>
      </c>
      <c r="X21" s="153">
        <f t="shared" si="11"/>
        <v>47490</v>
      </c>
      <c r="Y21" s="380">
        <f t="shared" si="12"/>
        <v>35.733277780279884</v>
      </c>
      <c r="Z21" s="380">
        <f t="shared" si="22"/>
        <v>37.264966817176216</v>
      </c>
      <c r="AA21" s="381">
        <f t="shared" si="13"/>
        <v>39.795486926917455</v>
      </c>
      <c r="AB21" s="193">
        <f t="shared" si="14"/>
        <v>47490</v>
      </c>
      <c r="AC21" s="119">
        <f>IF(OR(t&lt;Tnet,NoTnet),'2029'!Resal_s+('2029'!Salim-'2029'!Resal_s)*(1-EXP(('2029'!Tnet_s-t)/'2029'!Tau_j)),Resal_s+(Salim-Resal_s)*(1-EXP((Tnet_s-t)/Tau_j)))*Salcycl</f>
        <v>6.3588117777988756E-2</v>
      </c>
      <c r="AD21" s="227">
        <f>(INDEX(Models!$BJ21:$BT21,,AH21)*(1-AF21)+INDEX(Models!$BJ21:$BT21,,AH21+1)*AF21-ERP_i)*AE21*Ramure*Pc/MaxiM</f>
        <v>5.2174736727551071E-3</v>
      </c>
      <c r="AE21" s="301">
        <f t="shared" si="15"/>
        <v>0.5</v>
      </c>
      <c r="AF21" s="173">
        <f t="shared" si="23"/>
        <v>0.98972446992848218</v>
      </c>
      <c r="AG21" s="801">
        <f t="shared" si="24"/>
        <v>3</v>
      </c>
      <c r="AH21" s="172">
        <f t="shared" si="16"/>
        <v>9</v>
      </c>
      <c r="AI21" s="221">
        <f t="shared" si="17"/>
        <v>3.9897244699284822</v>
      </c>
      <c r="AJ21" s="261" t="b">
        <f t="shared" si="18"/>
        <v>1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47491</v>
      </c>
      <c r="B22" s="406">
        <f>'2029'!Wh/'2029'!Env_an*'2030'!Env_an</f>
        <v>24.454006379215834</v>
      </c>
      <c r="C22" s="831"/>
      <c r="D22" s="388">
        <f t="shared" si="0"/>
        <v>25.50256421114354</v>
      </c>
      <c r="E22" s="380">
        <f t="shared" si="1"/>
        <v>26.660647730281944</v>
      </c>
      <c r="F22" s="380">
        <f t="shared" si="2"/>
        <v>26.660647730281944</v>
      </c>
      <c r="G22" s="110">
        <f t="shared" si="21"/>
        <v>0.25431298749402775</v>
      </c>
      <c r="H22" s="409" t="b">
        <f>Wh_hp&gt;='2029'!Maxi_hp</f>
        <v>0</v>
      </c>
      <c r="I22" s="385">
        <f>IF(H22,Wh_hp,'2029'!Maxi_hp)</f>
        <v>26.676117567913273</v>
      </c>
      <c r="J22" s="85">
        <f>IF(H22,An,'2029'!An_max)</f>
        <v>2022</v>
      </c>
      <c r="K22" s="193">
        <f t="shared" si="3"/>
        <v>47491</v>
      </c>
      <c r="L22" s="143">
        <f>IF(t&lt;Tvie,1-EXP((T0-t)*PertePVj)+'2029'!Pspv,1-EXP((T0-t)*PertePVj)+Pspv)</f>
        <v>4.111578048569442E-2</v>
      </c>
      <c r="M22" s="835"/>
      <c r="N22" s="835"/>
      <c r="O22" s="48">
        <f>IF(t&lt;Tnet,'2029'!Resal+('2029'!Salim-'2029'!Resal)*(1-EXP(('2029'!Tnet-t)/('2029'!Tau_j))),Resal+(Salim-Resal)*(1-EXP((Tnet-t)/(Tau_j))))*Salcycl</f>
        <v>4.3437936349274113E-2</v>
      </c>
      <c r="P22" s="165">
        <f>(INDEX(Models!$BJ22:$BT22,,T22)*(1-R22)+INDEX(Models!$BJ22:$BT22,,T22+1)*R22-ERP_i)*Q22*Ramure*Pc/MaxiM</f>
        <v>5.8017941215072523E-4</v>
      </c>
      <c r="Q22" s="301">
        <f t="shared" si="4"/>
        <v>0.5</v>
      </c>
      <c r="R22" s="173">
        <f t="shared" si="5"/>
        <v>0.46477425791050131</v>
      </c>
      <c r="S22" s="801">
        <f t="shared" si="6"/>
        <v>0</v>
      </c>
      <c r="T22" s="172">
        <f t="shared" si="7"/>
        <v>6</v>
      </c>
      <c r="U22" s="247">
        <f t="shared" si="8"/>
        <v>0.46477425791050131</v>
      </c>
      <c r="V22" s="378">
        <f t="shared" si="9"/>
        <v>96.101339176568601</v>
      </c>
      <c r="W22" s="397">
        <f t="shared" si="10"/>
        <v>24.454006379215834</v>
      </c>
      <c r="X22" s="153">
        <f t="shared" si="11"/>
        <v>47491</v>
      </c>
      <c r="Y22" s="380">
        <f t="shared" si="12"/>
        <v>23.938465057013307</v>
      </c>
      <c r="Z22" s="380">
        <f t="shared" si="22"/>
        <v>24.964917108698096</v>
      </c>
      <c r="AA22" s="381">
        <f t="shared" si="13"/>
        <v>26.660647730281944</v>
      </c>
      <c r="AB22" s="193">
        <f t="shared" si="14"/>
        <v>47491</v>
      </c>
      <c r="AC22" s="119">
        <f>IF(OR(t&lt;Tnet,NoTnet),'2029'!Resal_s+('2029'!Salim-'2029'!Resal_s)*(1-EXP(('2029'!Tnet_s-t)/'2029'!Tau_j)),Resal_s+(Salim-Resal_s)*(1-EXP((Tnet_s-t)/Tau_j)))*Salcycl</f>
        <v>6.3604254432940391E-2</v>
      </c>
      <c r="AD22" s="227">
        <f>(INDEX(Models!$BJ22:$BT22,,AH22)*(1-AF22)+INDEX(Models!$BJ22:$BT22,,AH22+1)*AF22-ERP_i)*AE22*Ramure*Pc/MaxiM</f>
        <v>5.2750541376524645E-3</v>
      </c>
      <c r="AE22" s="301">
        <f t="shared" si="15"/>
        <v>0.5</v>
      </c>
      <c r="AF22" s="173">
        <f t="shared" si="23"/>
        <v>0.98976182428447945</v>
      </c>
      <c r="AG22" s="801">
        <f t="shared" si="24"/>
        <v>3</v>
      </c>
      <c r="AH22" s="172">
        <f t="shared" si="16"/>
        <v>9</v>
      </c>
      <c r="AI22" s="221">
        <f t="shared" si="17"/>
        <v>3.9897618242844795</v>
      </c>
      <c r="AJ22" s="261" t="b">
        <f t="shared" si="18"/>
        <v>1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47492</v>
      </c>
      <c r="B23" s="406">
        <f>'2029'!Wh/'2029'!Env_an*'2030'!Env_an</f>
        <v>7.6350890535817726</v>
      </c>
      <c r="C23" s="831"/>
      <c r="D23" s="388">
        <f t="shared" si="0"/>
        <v>7.9625813185635952</v>
      </c>
      <c r="E23" s="380">
        <f t="shared" si="1"/>
        <v>8.3245040164524795</v>
      </c>
      <c r="F23" s="380">
        <f t="shared" si="2"/>
        <v>8.3245040164524795</v>
      </c>
      <c r="G23" s="110">
        <f t="shared" si="21"/>
        <v>7.877435788595738E-2</v>
      </c>
      <c r="H23" s="409" t="b">
        <f>Wh_hp&gt;='2029'!Maxi_hp</f>
        <v>0</v>
      </c>
      <c r="I23" s="385">
        <f>IF(H23,Wh_hp,'2029'!Maxi_hp)</f>
        <v>8.3293938096908722</v>
      </c>
      <c r="J23" s="85">
        <f>IF(H23,An,'2029'!An_max)</f>
        <v>2022</v>
      </c>
      <c r="K23" s="193">
        <f t="shared" si="3"/>
        <v>47492</v>
      </c>
      <c r="L23" s="143">
        <f>IF(t&lt;Tvie,1-EXP((T0-t)*PertePVj)+'2029'!Pspv,1-EXP((T0-t)*PertePVj)+Pspv)</f>
        <v>4.1128906805425247E-2</v>
      </c>
      <c r="M23" s="835"/>
      <c r="N23" s="835"/>
      <c r="O23" s="48">
        <f>IF(t&lt;Tnet,'2029'!Resal+('2029'!Salim-'2029'!Resal)*(1-EXP(('2029'!Tnet-t)/('2029'!Tau_j))),Resal+(Salim-Resal)*(1-EXP((Tnet-t)/(Tau_j))))*Salcycl</f>
        <v>4.3476788187450412E-2</v>
      </c>
      <c r="P23" s="165">
        <f>(INDEX(Models!$BJ23:$BT23,,T23)*(1-R23)+INDEX(Models!$BJ23:$BT23,,T23+1)*R23-ERP_i)*Q23*Ramure*Pc/MaxiM</f>
        <v>5.8736437535512962E-4</v>
      </c>
      <c r="Q23" s="301">
        <f t="shared" si="4"/>
        <v>0.5</v>
      </c>
      <c r="R23" s="173">
        <f t="shared" si="5"/>
        <v>0.46481317341953643</v>
      </c>
      <c r="S23" s="801">
        <f t="shared" si="6"/>
        <v>0</v>
      </c>
      <c r="T23" s="172">
        <f t="shared" si="7"/>
        <v>6</v>
      </c>
      <c r="U23" s="247">
        <f t="shared" si="8"/>
        <v>0.46481317341953643</v>
      </c>
      <c r="V23" s="378">
        <f t="shared" si="9"/>
        <v>96.86660328372281</v>
      </c>
      <c r="W23" s="397">
        <f t="shared" si="10"/>
        <v>7.6350890535817726</v>
      </c>
      <c r="X23" s="153">
        <f t="shared" si="11"/>
        <v>47492</v>
      </c>
      <c r="Y23" s="380">
        <f t="shared" si="12"/>
        <v>7.47429978956393</v>
      </c>
      <c r="Z23" s="380">
        <f t="shared" si="22"/>
        <v>7.7948953124267772</v>
      </c>
      <c r="AA23" s="381">
        <f t="shared" si="13"/>
        <v>8.3245040164524795</v>
      </c>
      <c r="AB23" s="193">
        <f t="shared" si="14"/>
        <v>47492</v>
      </c>
      <c r="AC23" s="119">
        <f>IF(OR(t&lt;Tnet,NoTnet),'2029'!Resal_s+('2029'!Salim-'2029'!Resal_s)*(1-EXP(('2029'!Tnet_s-t)/'2029'!Tau_j)),Resal_s+(Salim-Resal_s)*(1-EXP((Tnet_s-t)/Tau_j)))*Salcycl</f>
        <v>6.3620451498250033E-2</v>
      </c>
      <c r="AD23" s="227">
        <f>(INDEX(Models!$BJ23:$BT23,,AH23)*(1-AF23)+INDEX(Models!$BJ23:$BT23,,AH23+1)*AF23-ERP_i)*AE23*Ramure*Pc/MaxiM</f>
        <v>5.3383328587560935E-3</v>
      </c>
      <c r="AE23" s="301">
        <f t="shared" si="15"/>
        <v>0.5</v>
      </c>
      <c r="AF23" s="173">
        <f t="shared" si="23"/>
        <v>0.98980073979351468</v>
      </c>
      <c r="AG23" s="801">
        <f t="shared" si="24"/>
        <v>3</v>
      </c>
      <c r="AH23" s="172">
        <f t="shared" si="16"/>
        <v>9</v>
      </c>
      <c r="AI23" s="221">
        <f t="shared" si="17"/>
        <v>3.9898007397935147</v>
      </c>
      <c r="AJ23" s="261" t="b">
        <f t="shared" si="18"/>
        <v>1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47493</v>
      </c>
      <c r="B24" s="406">
        <f>'2029'!Wh/'2029'!Env_an*'2030'!Env_an</f>
        <v>7.0191197694504144</v>
      </c>
      <c r="C24" s="831"/>
      <c r="D24" s="388">
        <f t="shared" si="0"/>
        <v>7.3202914410901725</v>
      </c>
      <c r="E24" s="380">
        <f t="shared" si="1"/>
        <v>7.6533310897726077</v>
      </c>
      <c r="F24" s="380">
        <f t="shared" si="2"/>
        <v>7.6533310897726077</v>
      </c>
      <c r="G24" s="110">
        <f t="shared" si="21"/>
        <v>7.1821638345180738E-2</v>
      </c>
      <c r="H24" s="409" t="b">
        <f>Wh_hp&gt;='2029'!Maxi_hp</f>
        <v>0</v>
      </c>
      <c r="I24" s="385">
        <f>IF(H24,Wh_hp,'2029'!Maxi_hp)</f>
        <v>7.65787086076881</v>
      </c>
      <c r="J24" s="85">
        <f>IF(H24,An,'2029'!An_max)</f>
        <v>2022</v>
      </c>
      <c r="K24" s="193">
        <f t="shared" si="3"/>
        <v>47493</v>
      </c>
      <c r="L24" s="143">
        <f>IF(t&lt;Tvie,1-EXP((T0-t)*PertePVj)+'2029'!Pspv,1-EXP((T0-t)*PertePVj)+Pspv)</f>
        <v>4.114203294546781E-2</v>
      </c>
      <c r="M24" s="835"/>
      <c r="N24" s="835"/>
      <c r="O24" s="48">
        <f>IF(t&lt;Tnet,'2029'!Resal+('2029'!Salim-'2029'!Resal)*(1-EXP(('2029'!Tnet-t)/('2029'!Tau_j))),Resal+(Salim-Resal)*(1-EXP((Tnet-t)/(Tau_j))))*Salcycl</f>
        <v>4.3515646295178158E-2</v>
      </c>
      <c r="P24" s="165">
        <f>(INDEX(Models!$BJ24:$BT24,,T24)*(1-R24)+INDEX(Models!$BJ24:$BT24,,T24+1)*R24-ERP_i)*Q24*Ramure*Pc/MaxiM</f>
        <v>5.9318259917929422E-4</v>
      </c>
      <c r="Q24" s="301">
        <f t="shared" si="4"/>
        <v>0.5</v>
      </c>
      <c r="R24" s="173">
        <f t="shared" si="5"/>
        <v>0.46485371506800599</v>
      </c>
      <c r="S24" s="801">
        <f t="shared" si="6"/>
        <v>0</v>
      </c>
      <c r="T24" s="172">
        <f t="shared" si="7"/>
        <v>6</v>
      </c>
      <c r="U24" s="247">
        <f t="shared" si="8"/>
        <v>0.46485371506800599</v>
      </c>
      <c r="V24" s="378">
        <f t="shared" si="9"/>
        <v>97.671903779570755</v>
      </c>
      <c r="W24" s="397">
        <f t="shared" si="10"/>
        <v>7.0191197694504144</v>
      </c>
      <c r="X24" s="153">
        <f t="shared" si="11"/>
        <v>47493</v>
      </c>
      <c r="Y24" s="380">
        <f t="shared" si="12"/>
        <v>6.8714622391320637</v>
      </c>
      <c r="Z24" s="380">
        <f t="shared" si="22"/>
        <v>7.166298320741042</v>
      </c>
      <c r="AA24" s="381">
        <f t="shared" si="13"/>
        <v>7.6533310897726077</v>
      </c>
      <c r="AB24" s="193">
        <f t="shared" si="14"/>
        <v>47493</v>
      </c>
      <c r="AC24" s="119">
        <f>IF(OR(t&lt;Tnet,NoTnet),'2029'!Resal_s+('2029'!Salim-'2029'!Resal_s)*(1-EXP(('2029'!Tnet_s-t)/'2029'!Tau_j)),Resal_s+(Salim-Resal_s)*(1-EXP((Tnet_s-t)/Tau_j)))*Salcycl</f>
        <v>6.3636704504056243E-2</v>
      </c>
      <c r="AD24" s="227">
        <f>(INDEX(Models!$BJ24:$BT24,,AH24)*(1-AF24)+INDEX(Models!$BJ24:$BT24,,AH24+1)*AF24-ERP_i)*AE24*Ramure*Pc/MaxiM</f>
        <v>5.4000069515204871E-3</v>
      </c>
      <c r="AE24" s="301">
        <f t="shared" si="15"/>
        <v>0.5</v>
      </c>
      <c r="AF24" s="173">
        <f t="shared" si="23"/>
        <v>0.98984128144198413</v>
      </c>
      <c r="AG24" s="801">
        <f t="shared" si="24"/>
        <v>3</v>
      </c>
      <c r="AH24" s="172">
        <f t="shared" si="16"/>
        <v>9</v>
      </c>
      <c r="AI24" s="221">
        <f t="shared" si="17"/>
        <v>3.9898412814419841</v>
      </c>
      <c r="AJ24" s="261" t="b">
        <f t="shared" si="18"/>
        <v>1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47494</v>
      </c>
      <c r="B25" s="406">
        <f>'2029'!Wh/'2029'!Env_an*'2030'!Env_an</f>
        <v>94.107791413761419</v>
      </c>
      <c r="C25" s="831"/>
      <c r="D25" s="388">
        <f t="shared" si="0"/>
        <v>98.147048803403194</v>
      </c>
      <c r="E25" s="380">
        <f t="shared" si="1"/>
        <v>102.61645822376366</v>
      </c>
      <c r="F25" s="380">
        <f t="shared" si="2"/>
        <v>102.6738339345098</v>
      </c>
      <c r="G25" s="110">
        <f t="shared" si="21"/>
        <v>0.95522710724303728</v>
      </c>
      <c r="H25" s="409" t="b">
        <f>Wh_hp&gt;='2029'!Maxi_hp</f>
        <v>0</v>
      </c>
      <c r="I25" s="385">
        <f>IF(H25,Wh_hp,'2029'!Maxi_hp)</f>
        <v>102.67775078920764</v>
      </c>
      <c r="J25" s="85">
        <f>IF(H25,An,'2029'!An_max)</f>
        <v>2022</v>
      </c>
      <c r="K25" s="193">
        <f t="shared" si="3"/>
        <v>47494</v>
      </c>
      <c r="L25" s="143">
        <f>IF(t&lt;Tvie,1-EXP((T0-t)*PertePVj)+'2029'!Pspv,1-EXP((T0-t)*PertePVj)+Pspv)</f>
        <v>4.1155158905824551E-2</v>
      </c>
      <c r="M25" s="835"/>
      <c r="N25" s="835"/>
      <c r="O25" s="48">
        <f>IF(t&lt;Tnet,'2029'!Resal+('2029'!Salim-'2029'!Resal)*(1-EXP(('2029'!Tnet-t)/('2029'!Tau_j))),Resal+(Salim-Resal)*(1-EXP((Tnet-t)/(Tau_j))))*Salcycl</f>
        <v>4.3554508679441502E-2</v>
      </c>
      <c r="P25" s="165">
        <f>(INDEX(Models!$BJ25:$BT25,,T25)*(1-R25)+INDEX(Models!$BJ25:$BT25,,T25+1)*R25-ERP_i)*Q25*Ramure*Pc/MaxiM</f>
        <v>5.9696698577305616E-4</v>
      </c>
      <c r="Q25" s="301">
        <f t="shared" si="4"/>
        <v>0.5</v>
      </c>
      <c r="R25" s="173">
        <f t="shared" si="5"/>
        <v>0.46489595052537197</v>
      </c>
      <c r="S25" s="801">
        <f t="shared" si="6"/>
        <v>0</v>
      </c>
      <c r="T25" s="172">
        <f t="shared" si="7"/>
        <v>6</v>
      </c>
      <c r="U25" s="247">
        <f t="shared" si="8"/>
        <v>0.46489595052537197</v>
      </c>
      <c r="V25" s="378">
        <f t="shared" si="9"/>
        <v>98.515000593226176</v>
      </c>
      <c r="W25" s="397">
        <f t="shared" si="10"/>
        <v>94.107791413761419</v>
      </c>
      <c r="X25" s="153">
        <f t="shared" si="11"/>
        <v>47494</v>
      </c>
      <c r="Y25" s="380">
        <f t="shared" si="12"/>
        <v>91.710938823512308</v>
      </c>
      <c r="Z25" s="380">
        <f t="shared" si="22"/>
        <v>95.64731945458179</v>
      </c>
      <c r="AA25" s="381">
        <f t="shared" si="13"/>
        <v>102.14943873445999</v>
      </c>
      <c r="AB25" s="193">
        <f t="shared" si="14"/>
        <v>47494</v>
      </c>
      <c r="AC25" s="119">
        <f>IF(OR(t&lt;Tnet,NoTnet),'2029'!Resal_s+('2029'!Salim-'2029'!Resal_s)*(1-EXP(('2029'!Tnet_s-t)/'2029'!Tau_j)),Resal_s+(Salim-Resal_s)*(1-EXP((Tnet_s-t)/Tau_j)))*Salcycl</f>
        <v>6.3653010338907676E-2</v>
      </c>
      <c r="AD25" s="227">
        <f>(INDEX(Models!$BJ25:$BT25,,AH25)*(1-AF25)+INDEX(Models!$BJ25:$BT25,,AH25+1)*AF25-ERP_i)*AE25*Ramure*Pc/MaxiM</f>
        <v>5.4560826847560358E-3</v>
      </c>
      <c r="AE25" s="301">
        <f t="shared" si="15"/>
        <v>0.5</v>
      </c>
      <c r="AF25" s="173">
        <f t="shared" si="23"/>
        <v>0.98988351689935028</v>
      </c>
      <c r="AG25" s="801">
        <f t="shared" si="24"/>
        <v>3</v>
      </c>
      <c r="AH25" s="172">
        <f t="shared" si="16"/>
        <v>9</v>
      </c>
      <c r="AI25" s="221">
        <f t="shared" si="17"/>
        <v>3.9898835168993503</v>
      </c>
      <c r="AJ25" s="261" t="b">
        <f t="shared" si="18"/>
        <v>1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47495</v>
      </c>
      <c r="B26" s="406">
        <f>'2029'!Wh/'2029'!Env_an*'2030'!Env_an</f>
        <v>80.687161755565825</v>
      </c>
      <c r="C26" s="831"/>
      <c r="D26" s="388">
        <f t="shared" si="0"/>
        <v>84.151536152706569</v>
      </c>
      <c r="E26" s="380">
        <f t="shared" si="1"/>
        <v>87.9871948619151</v>
      </c>
      <c r="F26" s="380">
        <f t="shared" si="2"/>
        <v>88.025731390140464</v>
      </c>
      <c r="G26" s="110">
        <f t="shared" si="21"/>
        <v>0.81166371709535334</v>
      </c>
      <c r="H26" s="409" t="b">
        <f>Wh_hp&gt;='2029'!Maxi_hp</f>
        <v>0</v>
      </c>
      <c r="I26" s="385">
        <f>IF(H26,Wh_hp,'2029'!Maxi_hp)</f>
        <v>88.039900443053</v>
      </c>
      <c r="J26" s="85">
        <f>IF(H26,An,'2029'!An_max)</f>
        <v>2022</v>
      </c>
      <c r="K26" s="193">
        <f t="shared" si="3"/>
        <v>47495</v>
      </c>
      <c r="L26" s="143">
        <f>IF(t&lt;Tvie,1-EXP((T0-t)*PertePVj)+'2029'!Pspv,1-EXP((T0-t)*PertePVj)+Pspv)</f>
        <v>4.1168284686497914E-2</v>
      </c>
      <c r="M26" s="835"/>
      <c r="N26" s="835"/>
      <c r="O26" s="48">
        <f>IF(t&lt;Tnet,'2029'!Resal+('2029'!Salim-'2029'!Resal)*(1-EXP(('2029'!Tnet-t)/('2029'!Tau_j))),Resal+(Salim-Resal)*(1-EXP((Tnet-t)/(Tau_j))))*Salcycl</f>
        <v>4.3593374186188208E-2</v>
      </c>
      <c r="P26" s="165">
        <f>(INDEX(Models!$BJ26:$BT26,,T26)*(1-R26)+INDEX(Models!$BJ26:$BT26,,T26+1)*R26-ERP_i)*Q26*Ramure*Pc/MaxiM</f>
        <v>5.9877739841915768E-4</v>
      </c>
      <c r="Q26" s="301">
        <f t="shared" si="4"/>
        <v>0.5</v>
      </c>
      <c r="R26" s="173">
        <f t="shared" si="5"/>
        <v>0.46493995025304308</v>
      </c>
      <c r="S26" s="801">
        <f t="shared" si="6"/>
        <v>0</v>
      </c>
      <c r="T26" s="172">
        <f t="shared" si="7"/>
        <v>6</v>
      </c>
      <c r="U26" s="247">
        <f t="shared" si="8"/>
        <v>0.46493995025304308</v>
      </c>
      <c r="V26" s="378">
        <f t="shared" si="9"/>
        <v>99.393584455659422</v>
      </c>
      <c r="W26" s="397">
        <f t="shared" si="10"/>
        <v>80.687161755565825</v>
      </c>
      <c r="X26" s="153">
        <f t="shared" si="11"/>
        <v>47495</v>
      </c>
      <c r="Y26" s="380">
        <f t="shared" si="12"/>
        <v>78.709868596573685</v>
      </c>
      <c r="Z26" s="380">
        <f t="shared" si="22"/>
        <v>82.089346169404195</v>
      </c>
      <c r="AA26" s="381">
        <f t="shared" si="13"/>
        <v>87.671323875590303</v>
      </c>
      <c r="AB26" s="193">
        <f t="shared" si="14"/>
        <v>47495</v>
      </c>
      <c r="AC26" s="119">
        <f>IF(OR(t&lt;Tnet,NoTnet),'2029'!Resal_s+('2029'!Salim-'2029'!Resal_s)*(1-EXP(('2029'!Tnet_s-t)/'2029'!Tau_j)),Resal_s+(Salim-Resal_s)*(1-EXP((Tnet_s-t)/Tau_j)))*Salcycl</f>
        <v>6.3669367125186616E-2</v>
      </c>
      <c r="AD26" s="227">
        <f>(INDEX(Models!$BJ26:$BT26,,AH26)*(1-AF26)+INDEX(Models!$BJ26:$BT26,,AH26+1)*AF26-ERP_i)*AE26*Ramure*Pc/MaxiM</f>
        <v>5.5067547419294684E-3</v>
      </c>
      <c r="AE26" s="301">
        <f t="shared" si="15"/>
        <v>0.5</v>
      </c>
      <c r="AF26" s="173">
        <f t="shared" si="23"/>
        <v>0.98992751662702139</v>
      </c>
      <c r="AG26" s="801">
        <f t="shared" si="24"/>
        <v>3</v>
      </c>
      <c r="AH26" s="172">
        <f t="shared" si="16"/>
        <v>9</v>
      </c>
      <c r="AI26" s="221">
        <f t="shared" si="17"/>
        <v>3.9899275166270214</v>
      </c>
      <c r="AJ26" s="261" t="b">
        <f t="shared" si="18"/>
        <v>1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47496</v>
      </c>
      <c r="B27" s="406">
        <f>'2029'!Wh/'2029'!Env_an*'2030'!Env_an</f>
        <v>25.891330932264928</v>
      </c>
      <c r="C27" s="831"/>
      <c r="D27" s="388">
        <f t="shared" si="0"/>
        <v>27.003367696519252</v>
      </c>
      <c r="E27" s="380">
        <f t="shared" si="1"/>
        <v>28.235338845665289</v>
      </c>
      <c r="F27" s="380">
        <f t="shared" si="2"/>
        <v>28.235338845665289</v>
      </c>
      <c r="G27" s="110">
        <f t="shared" si="21"/>
        <v>0.25797059983649651</v>
      </c>
      <c r="H27" s="409" t="b">
        <f>Wh_hp&gt;='2029'!Maxi_hp</f>
        <v>0</v>
      </c>
      <c r="I27" s="385">
        <f>IF(H27,Wh_hp,'2029'!Maxi_hp)</f>
        <v>28.252238664990184</v>
      </c>
      <c r="J27" s="85">
        <f>IF(H27,An,'2029'!An_max)</f>
        <v>2022</v>
      </c>
      <c r="K27" s="193">
        <f t="shared" si="3"/>
        <v>47496</v>
      </c>
      <c r="L27" s="143">
        <f>IF(t&lt;Tvie,1-EXP((T0-t)*PertePVj)+'2029'!Pspv,1-EXP((T0-t)*PertePVj)+Pspv)</f>
        <v>4.1181410287490339E-2</v>
      </c>
      <c r="M27" s="835"/>
      <c r="N27" s="835"/>
      <c r="O27" s="48">
        <f>IF(t&lt;Tnet,'2029'!Resal+('2029'!Salim-'2029'!Resal)*(1-EXP(('2029'!Tnet-t)/('2029'!Tau_j))),Resal+(Salim-Resal)*(1-EXP((Tnet-t)/(Tau_j))))*Salcycl</f>
        <v>4.3632242413664923E-2</v>
      </c>
      <c r="P27" s="165">
        <f>(INDEX(Models!$BJ27:$BT27,,T27)*(1-R27)+INDEX(Models!$BJ27:$BT27,,T27+1)*R27-ERP_i)*Q27*Ramure*Pc/MaxiM</f>
        <v>5.9867609554898769E-4</v>
      </c>
      <c r="Q27" s="301">
        <f t="shared" si="4"/>
        <v>0.5</v>
      </c>
      <c r="R27" s="173">
        <f t="shared" si="5"/>
        <v>0.46498578761751219</v>
      </c>
      <c r="S27" s="801">
        <f t="shared" si="6"/>
        <v>0</v>
      </c>
      <c r="T27" s="172">
        <f t="shared" si="7"/>
        <v>6</v>
      </c>
      <c r="U27" s="247">
        <f t="shared" si="8"/>
        <v>0.46498578761751219</v>
      </c>
      <c r="V27" s="378">
        <f t="shared" si="9"/>
        <v>100.30534653078338</v>
      </c>
      <c r="W27" s="397">
        <f t="shared" si="10"/>
        <v>25.891330932264928</v>
      </c>
      <c r="X27" s="153">
        <f t="shared" si="11"/>
        <v>47496</v>
      </c>
      <c r="Y27" s="380">
        <f t="shared" si="12"/>
        <v>25.34843033692427</v>
      </c>
      <c r="Z27" s="380">
        <f t="shared" si="22"/>
        <v>26.43714943462318</v>
      </c>
      <c r="AA27" s="381">
        <f t="shared" si="13"/>
        <v>28.235338845665289</v>
      </c>
      <c r="AB27" s="193">
        <f t="shared" si="14"/>
        <v>47496</v>
      </c>
      <c r="AC27" s="119">
        <f>IF(OR(t&lt;Tnet,NoTnet),'2029'!Resal_s+('2029'!Salim-'2029'!Resal_s)*(1-EXP(('2029'!Tnet_s-t)/'2029'!Tau_j)),Resal_s+(Salim-Resal_s)*(1-EXP((Tnet_s-t)/Tau_j)))*Salcycl</f>
        <v>6.3685774088670807E-2</v>
      </c>
      <c r="AD27" s="227">
        <f>(INDEX(Models!$BJ27:$BT27,,AH27)*(1-AF27)+INDEX(Models!$BJ27:$BT27,,AH27+1)*AF27-ERP_i)*AE27*Ramure*Pc/MaxiM</f>
        <v>5.5522277497355296E-3</v>
      </c>
      <c r="AE27" s="301">
        <f t="shared" si="15"/>
        <v>0.5</v>
      </c>
      <c r="AF27" s="173">
        <f t="shared" si="23"/>
        <v>0.98997335399149033</v>
      </c>
      <c r="AG27" s="801">
        <f t="shared" si="24"/>
        <v>3</v>
      </c>
      <c r="AH27" s="172">
        <f t="shared" si="16"/>
        <v>9</v>
      </c>
      <c r="AI27" s="221">
        <f t="shared" si="17"/>
        <v>3.9899733539914903</v>
      </c>
      <c r="AJ27" s="261" t="b">
        <f t="shared" si="18"/>
        <v>1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47497</v>
      </c>
      <c r="B28" s="406">
        <f>'2029'!Wh/'2029'!Env_an*'2030'!Env_an</f>
        <v>103.26036391817063</v>
      </c>
      <c r="C28" s="831"/>
      <c r="D28" s="388">
        <f t="shared" si="0"/>
        <v>107.69688718295598</v>
      </c>
      <c r="E28" s="380">
        <f t="shared" si="1"/>
        <v>112.61490551738495</v>
      </c>
      <c r="F28" s="380">
        <f t="shared" si="2"/>
        <v>112.68214599647807</v>
      </c>
      <c r="G28" s="110">
        <f t="shared" si="21"/>
        <v>1.0198758094816887</v>
      </c>
      <c r="H28" s="409" t="b">
        <f>Wh_hp&gt;='2029'!Maxi_hp</f>
        <v>1</v>
      </c>
      <c r="I28" s="385">
        <f>IF(H28,Wh_hp,'2029'!Maxi_hp)</f>
        <v>112.68214599647807</v>
      </c>
      <c r="J28" s="85">
        <f>IF(H28,An,'2029'!An_max)</f>
        <v>2030</v>
      </c>
      <c r="K28" s="193">
        <f t="shared" si="3"/>
        <v>47497</v>
      </c>
      <c r="L28" s="143">
        <f>IF(t&lt;Tvie,1-EXP((T0-t)*PertePVj)+'2029'!Pspv,1-EXP((T0-t)*PertePVj)+Pspv)</f>
        <v>4.1194535708804381E-2</v>
      </c>
      <c r="M28" s="835"/>
      <c r="N28" s="835"/>
      <c r="O28" s="48">
        <f>IF(t&lt;Tnet,'2029'!Resal+('2029'!Salim-'2029'!Resal)*(1-EXP(('2029'!Tnet-t)/('2029'!Tau_j))),Resal+(Salim-Resal)*(1-EXP((Tnet-t)/(Tau_j))))*Salcycl</f>
        <v>4.3671113622430341E-2</v>
      </c>
      <c r="P28" s="165">
        <f>(INDEX(Models!$BJ28:$BT28,,T28)*(1-R28)+INDEX(Models!$BJ28:$BT28,,T28+1)*R28-ERP_i)*Q28*Ramure*Pc/MaxiM</f>
        <v>5.9672700141166247E-4</v>
      </c>
      <c r="Q28" s="301">
        <f t="shared" si="4"/>
        <v>0.5</v>
      </c>
      <c r="R28" s="173">
        <f t="shared" si="5"/>
        <v>0.46503353900790168</v>
      </c>
      <c r="S28" s="801">
        <f t="shared" si="6"/>
        <v>0</v>
      </c>
      <c r="T28" s="172">
        <f t="shared" si="7"/>
        <v>6</v>
      </c>
      <c r="U28" s="247">
        <f t="shared" si="8"/>
        <v>0.46503353900790168</v>
      </c>
      <c r="V28" s="378">
        <f t="shared" si="9"/>
        <v>101.24797838929879</v>
      </c>
      <c r="W28" s="397">
        <f t="shared" si="10"/>
        <v>103.26036391817063</v>
      </c>
      <c r="X28" s="153">
        <f t="shared" si="11"/>
        <v>47497</v>
      </c>
      <c r="Y28" s="380">
        <f t="shared" si="12"/>
        <v>100.59210490490749</v>
      </c>
      <c r="Z28" s="380">
        <f t="shared" si="22"/>
        <v>104.91398792691589</v>
      </c>
      <c r="AA28" s="381">
        <f t="shared" si="13"/>
        <v>112.05194698525379</v>
      </c>
      <c r="AB28" s="193">
        <f t="shared" si="14"/>
        <v>47497</v>
      </c>
      <c r="AC28" s="119">
        <f>IF(OR(t&lt;Tnet,NoTnet),'2029'!Resal_s+('2029'!Salim-'2029'!Resal_s)*(1-EXP(('2029'!Tnet_s-t)/'2029'!Tau_j)),Resal_s+(Salim-Resal_s)*(1-EXP((Tnet_s-t)/Tau_j)))*Salcycl</f>
        <v>6.3702231423763259E-2</v>
      </c>
      <c r="AD28" s="227">
        <f>(INDEX(Models!$BJ28:$BT28,,AH28)*(1-AF28)+INDEX(Models!$BJ28:$BT28,,AH28+1)*AF28-ERP_i)*AE28*Ramure*Pc/MaxiM</f>
        <v>5.5927139623696241E-3</v>
      </c>
      <c r="AE28" s="301">
        <f t="shared" si="15"/>
        <v>0.5</v>
      </c>
      <c r="AF28" s="173">
        <f t="shared" si="23"/>
        <v>0.99002110538187971</v>
      </c>
      <c r="AG28" s="801">
        <f t="shared" si="24"/>
        <v>3</v>
      </c>
      <c r="AH28" s="172">
        <f t="shared" si="16"/>
        <v>9</v>
      </c>
      <c r="AI28" s="221">
        <f t="shared" si="17"/>
        <v>3.9900211053818797</v>
      </c>
      <c r="AJ28" s="261" t="b">
        <f t="shared" si="18"/>
        <v>1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47498</v>
      </c>
      <c r="B29" s="406">
        <f>'2029'!Wh/'2029'!Env_an*'2030'!Env_an</f>
        <v>104.8444359070832</v>
      </c>
      <c r="C29" s="831"/>
      <c r="D29" s="388">
        <f t="shared" si="0"/>
        <v>109.35051484768282</v>
      </c>
      <c r="E29" s="380">
        <f t="shared" si="1"/>
        <v>114.34869500782689</v>
      </c>
      <c r="F29" s="380">
        <f t="shared" si="2"/>
        <v>114.41654344925558</v>
      </c>
      <c r="G29" s="110">
        <f t="shared" si="21"/>
        <v>1.0256826951287488</v>
      </c>
      <c r="H29" s="409" t="b">
        <f>Wh_hp&gt;='2029'!Maxi_hp</f>
        <v>1</v>
      </c>
      <c r="I29" s="385">
        <f>IF(H29,Wh_hp,'2029'!Maxi_hp)</f>
        <v>114.41654344925558</v>
      </c>
      <c r="J29" s="85">
        <f>IF(H29,An,'2029'!An_max)</f>
        <v>2030</v>
      </c>
      <c r="K29" s="193">
        <f t="shared" si="3"/>
        <v>47498</v>
      </c>
      <c r="L29" s="143">
        <f>IF(t&lt;Tvie,1-EXP((T0-t)*PertePVj)+'2029'!Pspv,1-EXP((T0-t)*PertePVj)+Pspv)</f>
        <v>4.1207660950442371E-2</v>
      </c>
      <c r="M29" s="835"/>
      <c r="N29" s="835"/>
      <c r="O29" s="48">
        <f>IF(t&lt;Tnet,'2029'!Resal+('2029'!Salim-'2029'!Resal)*(1-EXP(('2029'!Tnet-t)/('2029'!Tau_j))),Resal+(Salim-Resal)*(1-EXP((Tnet-t)/(Tau_j))))*Salcycl</f>
        <v>4.3709988643088317E-2</v>
      </c>
      <c r="P29" s="165">
        <f>(INDEX(Models!$BJ29:$BT29,,T29)*(1-R29)+INDEX(Models!$BJ29:$BT29,,T29+1)*R29-ERP_i)*Q29*Ramure*Pc/MaxiM</f>
        <v>5.9299502837002836E-4</v>
      </c>
      <c r="Q29" s="301">
        <f t="shared" si="4"/>
        <v>0.5</v>
      </c>
      <c r="R29" s="173">
        <f t="shared" si="5"/>
        <v>0.46508328395807402</v>
      </c>
      <c r="S29" s="801">
        <f t="shared" si="6"/>
        <v>0</v>
      </c>
      <c r="T29" s="172">
        <f t="shared" si="7"/>
        <v>6</v>
      </c>
      <c r="U29" s="247">
        <f t="shared" si="8"/>
        <v>0.46508328395807402</v>
      </c>
      <c r="V29" s="378">
        <f t="shared" si="9"/>
        <v>102.21917207438366</v>
      </c>
      <c r="W29" s="397">
        <f t="shared" si="10"/>
        <v>104.8444359070832</v>
      </c>
      <c r="X29" s="153">
        <f t="shared" si="11"/>
        <v>47498</v>
      </c>
      <c r="Y29" s="380">
        <f t="shared" si="12"/>
        <v>102.13354541445949</v>
      </c>
      <c r="Z29" s="380">
        <f t="shared" si="22"/>
        <v>106.52311377008245</v>
      </c>
      <c r="AA29" s="381">
        <f t="shared" si="13"/>
        <v>113.77255781860094</v>
      </c>
      <c r="AB29" s="193">
        <f t="shared" si="14"/>
        <v>47498</v>
      </c>
      <c r="AC29" s="119">
        <f>IF(OR(t&lt;Tnet,NoTnet),'2029'!Resal_s+('2029'!Salim-'2029'!Resal_s)*(1-EXP(('2029'!Tnet_s-t)/'2029'!Tau_j)),Resal_s+(Salim-Resal_s)*(1-EXP((Tnet_s-t)/Tau_j)))*Salcycl</f>
        <v>6.3718740155925907E-2</v>
      </c>
      <c r="AD29" s="227">
        <f>(INDEX(Models!$BJ29:$BT29,,AH29)*(1-AF29)+INDEX(Models!$BJ29:$BT29,,AH29+1)*AF29-ERP_i)*AE29*Ramure*Pc/MaxiM</f>
        <v>5.6284310925740141E-3</v>
      </c>
      <c r="AE29" s="301">
        <f t="shared" si="15"/>
        <v>0.5</v>
      </c>
      <c r="AF29" s="173">
        <f t="shared" si="23"/>
        <v>0.99007085033205211</v>
      </c>
      <c r="AG29" s="801">
        <f t="shared" si="24"/>
        <v>3</v>
      </c>
      <c r="AH29" s="172">
        <f t="shared" si="16"/>
        <v>9</v>
      </c>
      <c r="AI29" s="221">
        <f t="shared" si="17"/>
        <v>3.9900708503320521</v>
      </c>
      <c r="AJ29" s="261" t="b">
        <f t="shared" si="18"/>
        <v>1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47499</v>
      </c>
      <c r="B30" s="406">
        <f>'2029'!Wh/'2029'!Env_an*'2030'!Env_an</f>
        <v>104.26877396404824</v>
      </c>
      <c r="C30" s="831"/>
      <c r="D30" s="388">
        <f t="shared" si="0"/>
        <v>108.75160041318698</v>
      </c>
      <c r="E30" s="380">
        <f t="shared" si="1"/>
        <v>113.72702929486351</v>
      </c>
      <c r="F30" s="380">
        <f t="shared" si="2"/>
        <v>113.79391184138984</v>
      </c>
      <c r="G30" s="110">
        <f t="shared" si="21"/>
        <v>1.0101938567944704</v>
      </c>
      <c r="H30" s="409" t="b">
        <f>Wh_hp&gt;='2029'!Maxi_hp</f>
        <v>1</v>
      </c>
      <c r="I30" s="385">
        <f>IF(H30,Wh_hp,'2029'!Maxi_hp)</f>
        <v>113.79391184138984</v>
      </c>
      <c r="J30" s="85">
        <f>IF(H30,An,'2029'!An_max)</f>
        <v>2030</v>
      </c>
      <c r="K30" s="193">
        <f t="shared" si="3"/>
        <v>47499</v>
      </c>
      <c r="L30" s="143">
        <f>IF(t&lt;Tvie,1-EXP((T0-t)*PertePVj)+'2029'!Pspv,1-EXP((T0-t)*PertePVj)+Pspv)</f>
        <v>4.1220786012406752E-2</v>
      </c>
      <c r="M30" s="835"/>
      <c r="N30" s="835"/>
      <c r="O30" s="48">
        <f>IF(t&lt;Tnet,'2029'!Resal+('2029'!Salim-'2029'!Resal)*(1-EXP(('2029'!Tnet-t)/('2029'!Tau_j))),Resal+(Salim-Resal)*(1-EXP((Tnet-t)/(Tau_j))))*Salcycl</f>
        <v>4.3748868782781475E-2</v>
      </c>
      <c r="P30" s="165">
        <f>(INDEX(Models!$BJ30:$BT30,,T30)*(1-R30)+INDEX(Models!$BJ30:$BT30,,T30+1)*R30-ERP_i)*Q30*Ramure*Pc/MaxiM</f>
        <v>5.8775153647552217E-4</v>
      </c>
      <c r="Q30" s="301">
        <f t="shared" si="4"/>
        <v>0.5</v>
      </c>
      <c r="R30" s="173">
        <f t="shared" si="5"/>
        <v>0.4651351052734673</v>
      </c>
      <c r="S30" s="801">
        <f t="shared" si="6"/>
        <v>0</v>
      </c>
      <c r="T30" s="172">
        <f t="shared" si="7"/>
        <v>6</v>
      </c>
      <c r="U30" s="247">
        <f t="shared" si="8"/>
        <v>0.4651351052734673</v>
      </c>
      <c r="V30" s="378">
        <f t="shared" si="9"/>
        <v>103.21659873770379</v>
      </c>
      <c r="W30" s="397">
        <f t="shared" si="10"/>
        <v>104.26877396404824</v>
      </c>
      <c r="X30" s="153">
        <f t="shared" si="11"/>
        <v>47499</v>
      </c>
      <c r="Y30" s="380">
        <f t="shared" si="12"/>
        <v>101.57220271372199</v>
      </c>
      <c r="Z30" s="380">
        <f t="shared" si="22"/>
        <v>105.93909549966146</v>
      </c>
      <c r="AA30" s="381">
        <f t="shared" si="13"/>
        <v>113.15079563106946</v>
      </c>
      <c r="AB30" s="193">
        <f t="shared" si="14"/>
        <v>47499</v>
      </c>
      <c r="AC30" s="119">
        <f>IF(OR(t&lt;Tnet,NoTnet),'2029'!Resal_s+('2029'!Salim-'2029'!Resal_s)*(1-EXP(('2029'!Tnet_s-t)/'2029'!Tau_j)),Resal_s+(Salim-Resal_s)*(1-EXP((Tnet_s-t)/Tau_j)))*Salcycl</f>
        <v>6.3735302002841415E-2</v>
      </c>
      <c r="AD30" s="227">
        <f>(INDEX(Models!$BJ30:$BT30,,AH30)*(1-AF30)+INDEX(Models!$BJ30:$BT30,,AH30+1)*AF30-ERP_i)*AE30*Ramure*Pc/MaxiM</f>
        <v>5.6515871535974104E-3</v>
      </c>
      <c r="AE30" s="301">
        <f t="shared" si="15"/>
        <v>0.5</v>
      </c>
      <c r="AF30" s="173">
        <f t="shared" si="23"/>
        <v>0.99012267164744561</v>
      </c>
      <c r="AG30" s="801">
        <f t="shared" si="24"/>
        <v>3</v>
      </c>
      <c r="AH30" s="172">
        <f t="shared" si="16"/>
        <v>9</v>
      </c>
      <c r="AI30" s="221">
        <f t="shared" si="17"/>
        <v>3.9901226716474456</v>
      </c>
      <c r="AJ30" s="261" t="b">
        <f t="shared" si="18"/>
        <v>1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47500</v>
      </c>
      <c r="B31" s="406">
        <f>'2029'!Wh/'2029'!Env_an*'2030'!Env_an</f>
        <v>81.880811249517706</v>
      </c>
      <c r="C31" s="831"/>
      <c r="D31" s="388">
        <f t="shared" si="0"/>
        <v>85.402281307140456</v>
      </c>
      <c r="E31" s="380">
        <f t="shared" si="1"/>
        <v>89.313101582871525</v>
      </c>
      <c r="F31" s="380">
        <f t="shared" si="2"/>
        <v>89.349134764131534</v>
      </c>
      <c r="G31" s="110">
        <f t="shared" si="21"/>
        <v>0.78537853429328575</v>
      </c>
      <c r="H31" s="409" t="b">
        <f>Wh_hp&gt;='2029'!Maxi_hp</f>
        <v>0</v>
      </c>
      <c r="I31" s="385">
        <f>IF(H31,Wh_hp,'2029'!Maxi_hp)</f>
        <v>89.36504341458523</v>
      </c>
      <c r="J31" s="85">
        <f>IF(H31,An,'2029'!An_max)</f>
        <v>2022</v>
      </c>
      <c r="K31" s="193">
        <f t="shared" si="3"/>
        <v>47500</v>
      </c>
      <c r="L31" s="143">
        <f>IF(t&lt;Tvie,1-EXP((T0-t)*PertePVj)+'2029'!Pspv,1-EXP((T0-t)*PertePVj)+Pspv)</f>
        <v>4.1233910894700188E-2</v>
      </c>
      <c r="M31" s="835"/>
      <c r="N31" s="835"/>
      <c r="O31" s="48">
        <f>IF(t&lt;Tnet,'2029'!Resal+('2029'!Salim-'2029'!Resal)*(1-EXP(('2029'!Tnet-t)/('2029'!Tau_j))),Resal+(Salim-Resal)*(1-EXP((Tnet-t)/(Tau_j))))*Salcycl</f>
        <v>4.378775573147365E-2</v>
      </c>
      <c r="P31" s="165">
        <f>(INDEX(Models!$BJ31:$BT31,,T31)*(1-R31)+INDEX(Models!$BJ31:$BT31,,T31+1)*R31-ERP_i)*Q31*Ramure*Pc/MaxiM</f>
        <v>5.8143943251479807E-4</v>
      </c>
      <c r="Q31" s="301">
        <f t="shared" si="4"/>
        <v>0.5</v>
      </c>
      <c r="R31" s="173">
        <f t="shared" si="5"/>
        <v>0.46518908916282142</v>
      </c>
      <c r="S31" s="801">
        <f t="shared" si="6"/>
        <v>0</v>
      </c>
      <c r="T31" s="172">
        <f t="shared" si="7"/>
        <v>6</v>
      </c>
      <c r="U31" s="247">
        <f t="shared" si="8"/>
        <v>0.46518908916282142</v>
      </c>
      <c r="V31" s="378">
        <f t="shared" si="9"/>
        <v>104.23791124189039</v>
      </c>
      <c r="W31" s="397">
        <f t="shared" si="10"/>
        <v>81.880811249517706</v>
      </c>
      <c r="X31" s="153">
        <f t="shared" si="11"/>
        <v>47500</v>
      </c>
      <c r="Y31" s="380">
        <f t="shared" si="12"/>
        <v>79.888825558464177</v>
      </c>
      <c r="Z31" s="380">
        <f t="shared" si="22"/>
        <v>83.324625752058807</v>
      </c>
      <c r="AA31" s="381">
        <f t="shared" si="13"/>
        <v>88.998447595263968</v>
      </c>
      <c r="AB31" s="193">
        <f t="shared" si="14"/>
        <v>47500</v>
      </c>
      <c r="AC31" s="119">
        <f>IF(OR(t&lt;Tnet,NoTnet),'2029'!Resal_s+('2029'!Salim-'2029'!Resal_s)*(1-EXP(('2029'!Tnet_s-t)/'2029'!Tau_j)),Resal_s+(Salim-Resal_s)*(1-EXP((Tnet_s-t)/Tau_j)))*Salcycl</f>
        <v>6.3751919235803589E-2</v>
      </c>
      <c r="AD31" s="227">
        <f>(INDEX(Models!$BJ31:$BT31,,AH31)*(1-AF31)+INDEX(Models!$BJ31:$BT31,,AH31+1)*AF31-ERP_i)*AE31*Ramure*Pc/MaxiM</f>
        <v>5.6587662073255907E-3</v>
      </c>
      <c r="AE31" s="301">
        <f t="shared" si="15"/>
        <v>0.5</v>
      </c>
      <c r="AF31" s="173">
        <f t="shared" si="23"/>
        <v>0.99017665553679945</v>
      </c>
      <c r="AG31" s="801">
        <f t="shared" si="24"/>
        <v>3</v>
      </c>
      <c r="AH31" s="172">
        <f t="shared" si="16"/>
        <v>9</v>
      </c>
      <c r="AI31" s="221">
        <f t="shared" si="17"/>
        <v>3.9901766555367995</v>
      </c>
      <c r="AJ31" s="261" t="b">
        <f t="shared" si="18"/>
        <v>1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47501</v>
      </c>
      <c r="B32" s="406">
        <f>'2029'!Wh/'2029'!Env_an*'2030'!Env_an</f>
        <v>21.446304615112446</v>
      </c>
      <c r="C32" s="831"/>
      <c r="D32" s="388">
        <f t="shared" si="0"/>
        <v>22.368957814356257</v>
      </c>
      <c r="E32" s="380">
        <f t="shared" si="1"/>
        <v>23.394249430527498</v>
      </c>
      <c r="F32" s="380">
        <f t="shared" si="2"/>
        <v>23.394249430527498</v>
      </c>
      <c r="G32" s="110">
        <f t="shared" si="21"/>
        <v>0.20358879845351954</v>
      </c>
      <c r="H32" s="409" t="b">
        <f>Wh_hp&gt;='2029'!Maxi_hp</f>
        <v>0</v>
      </c>
      <c r="I32" s="385">
        <f>IF(H32,Wh_hp,'2029'!Maxi_hp)</f>
        <v>23.40767107813555</v>
      </c>
      <c r="J32" s="85">
        <f>IF(H32,An,'2029'!An_max)</f>
        <v>2022</v>
      </c>
      <c r="K32" s="193">
        <f t="shared" si="3"/>
        <v>47501</v>
      </c>
      <c r="L32" s="143">
        <f>IF(t&lt;Tvie,1-EXP((T0-t)*PertePVj)+'2029'!Pspv,1-EXP((T0-t)*PertePVj)+Pspv)</f>
        <v>4.1247035597324899E-2</v>
      </c>
      <c r="M32" s="835"/>
      <c r="N32" s="835"/>
      <c r="O32" s="48">
        <f>IF(t&lt;Tnet,'2029'!Resal+('2029'!Salim-'2029'!Resal)*(1-EXP(('2029'!Tnet-t)/('2029'!Tau_j))),Resal+(Salim-Resal)*(1-EXP((Tnet-t)/(Tau_j))))*Salcycl</f>
        <v>4.3826651469028338E-2</v>
      </c>
      <c r="P32" s="165">
        <f>(INDEX(Models!$BJ32:$BT32,,T32)*(1-R32)+INDEX(Models!$BJ32:$BT32,,T32+1)*R32-ERP_i)*Q32*Ramure*Pc/MaxiM</f>
        <v>5.7410569850488685E-4</v>
      </c>
      <c r="Q32" s="301">
        <f t="shared" si="4"/>
        <v>0.5</v>
      </c>
      <c r="R32" s="173">
        <f t="shared" si="5"/>
        <v>0.4652453253749631</v>
      </c>
      <c r="S32" s="801">
        <f t="shared" si="6"/>
        <v>0</v>
      </c>
      <c r="T32" s="172">
        <f t="shared" si="7"/>
        <v>6</v>
      </c>
      <c r="U32" s="247">
        <f t="shared" si="8"/>
        <v>0.4652453253749631</v>
      </c>
      <c r="V32" s="378">
        <f t="shared" si="9"/>
        <v>105.28080293334278</v>
      </c>
      <c r="W32" s="397">
        <f t="shared" si="10"/>
        <v>21.446304615112446</v>
      </c>
      <c r="X32" s="153">
        <f t="shared" si="11"/>
        <v>47501</v>
      </c>
      <c r="Y32" s="380">
        <f t="shared" si="12"/>
        <v>20.999020671845926</v>
      </c>
      <c r="Z32" s="380">
        <f t="shared" si="22"/>
        <v>21.902431023959121</v>
      </c>
      <c r="AA32" s="381">
        <f t="shared" si="13"/>
        <v>23.394249430527498</v>
      </c>
      <c r="AB32" s="193">
        <f t="shared" si="14"/>
        <v>47501</v>
      </c>
      <c r="AC32" s="119">
        <f>IF(OR(t&lt;Tnet,NoTnet),'2029'!Resal_s+('2029'!Salim-'2029'!Resal_s)*(1-EXP(('2029'!Tnet_s-t)/'2029'!Tau_j)),Resal_s+(Salim-Resal_s)*(1-EXP((Tnet_s-t)/Tau_j)))*Salcycl</f>
        <v>6.3768594542797485E-2</v>
      </c>
      <c r="AD32" s="227">
        <f>(INDEX(Models!$BJ32:$BT32,,AH32)*(1-AF32)+INDEX(Models!$BJ32:$BT32,,AH32+1)*AF32-ERP_i)*AE32*Ramure*Pc/MaxiM</f>
        <v>5.6505436927646409E-3</v>
      </c>
      <c r="AE32" s="301">
        <f t="shared" si="15"/>
        <v>0.5</v>
      </c>
      <c r="AF32" s="173">
        <f t="shared" si="23"/>
        <v>0.99023289174894114</v>
      </c>
      <c r="AG32" s="801">
        <f t="shared" si="24"/>
        <v>3</v>
      </c>
      <c r="AH32" s="172">
        <f t="shared" si="16"/>
        <v>9</v>
      </c>
      <c r="AI32" s="221">
        <f t="shared" si="17"/>
        <v>3.9902328917489411</v>
      </c>
      <c r="AJ32" s="261" t="b">
        <f t="shared" si="18"/>
        <v>1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47502</v>
      </c>
      <c r="B33" s="406">
        <f>'2029'!Wh/'2029'!Env_an*'2030'!Env_an</f>
        <v>43.797247063372858</v>
      </c>
      <c r="C33" s="831"/>
      <c r="D33" s="388">
        <f t="shared" si="0"/>
        <v>45.682097730357867</v>
      </c>
      <c r="E33" s="380">
        <f t="shared" si="1"/>
        <v>47.777902073183611</v>
      </c>
      <c r="F33" s="380">
        <f t="shared" si="2"/>
        <v>47.782221842209623</v>
      </c>
      <c r="G33" s="110">
        <f t="shared" si="21"/>
        <v>0.4116532137163762</v>
      </c>
      <c r="H33" s="409" t="b">
        <f>Wh_hp&gt;='2029'!Maxi_hp</f>
        <v>0</v>
      </c>
      <c r="I33" s="385">
        <f>IF(H33,Wh_hp,'2029'!Maxi_hp)</f>
        <v>47.804919366126292</v>
      </c>
      <c r="J33" s="85">
        <f>IF(H33,An,'2029'!An_max)</f>
        <v>2022</v>
      </c>
      <c r="K33" s="193">
        <f t="shared" si="3"/>
        <v>47502</v>
      </c>
      <c r="L33" s="143">
        <f>IF(t&lt;Tvie,1-EXP((T0-t)*PertePVj)+'2029'!Pspv,1-EXP((T0-t)*PertePVj)+Pspv)</f>
        <v>4.1260160120283551E-2</v>
      </c>
      <c r="M33" s="835"/>
      <c r="N33" s="835"/>
      <c r="O33" s="48">
        <f>IF(t&lt;Tnet,'2029'!Resal+('2029'!Salim-'2029'!Resal)*(1-EXP(('2029'!Tnet-t)/('2029'!Tau_j))),Resal+(Salim-Resal)*(1-EXP((Tnet-t)/(Tau_j))))*Salcycl</f>
        <v>4.3865558174059315E-2</v>
      </c>
      <c r="P33" s="165">
        <f>(INDEX(Models!$BJ33:$BT33,,T33)*(1-R33)+INDEX(Models!$BJ33:$BT33,,T33+1)*R33-ERP_i)*Q33*Ramure*Pc/MaxiM</f>
        <v>5.6579621777556508E-4</v>
      </c>
      <c r="Q33" s="301">
        <f t="shared" si="4"/>
        <v>0.5</v>
      </c>
      <c r="R33" s="173">
        <f t="shared" si="5"/>
        <v>0.465303907340824</v>
      </c>
      <c r="S33" s="801">
        <f t="shared" si="6"/>
        <v>0</v>
      </c>
      <c r="T33" s="172">
        <f t="shared" si="7"/>
        <v>6</v>
      </c>
      <c r="U33" s="247">
        <f t="shared" si="8"/>
        <v>0.465303907340824</v>
      </c>
      <c r="V33" s="378">
        <f t="shared" si="9"/>
        <v>106.34296760344338</v>
      </c>
      <c r="W33" s="397">
        <f t="shared" si="10"/>
        <v>43.797247063372858</v>
      </c>
      <c r="X33" s="153">
        <f t="shared" si="11"/>
        <v>47502</v>
      </c>
      <c r="Y33" s="380">
        <f t="shared" si="12"/>
        <v>42.850102956225534</v>
      </c>
      <c r="Z33" s="380">
        <f t="shared" si="22"/>
        <v>44.694192495016701</v>
      </c>
      <c r="AA33" s="381">
        <f t="shared" si="13"/>
        <v>47.739256785762564</v>
      </c>
      <c r="AB33" s="193">
        <f t="shared" si="14"/>
        <v>47502</v>
      </c>
      <c r="AC33" s="119">
        <f>IF(OR(t&lt;Tnet,NoTnet),'2029'!Resal_s+('2029'!Salim-'2029'!Resal_s)*(1-EXP(('2029'!Tnet_s-t)/'2029'!Tau_j)),Resal_s+(Salim-Resal_s)*(1-EXP((Tnet_s-t)/Tau_j)))*Salcycl</f>
        <v>6.3785330894678E-2</v>
      </c>
      <c r="AD33" s="227">
        <f>(INDEX(Models!$BJ33:$BT33,,AH33)*(1-AF33)+INDEX(Models!$BJ33:$BT33,,AH33+1)*AF33-ERP_i)*AE33*Ramure*Pc/MaxiM</f>
        <v>5.6274921848482222E-3</v>
      </c>
      <c r="AE33" s="301">
        <f t="shared" si="15"/>
        <v>0.5</v>
      </c>
      <c r="AF33" s="173">
        <f t="shared" si="23"/>
        <v>0.99029147371480208</v>
      </c>
      <c r="AG33" s="801">
        <f t="shared" si="24"/>
        <v>3</v>
      </c>
      <c r="AH33" s="172">
        <f t="shared" si="16"/>
        <v>9</v>
      </c>
      <c r="AI33" s="221">
        <f t="shared" si="17"/>
        <v>3.9902914737148021</v>
      </c>
      <c r="AJ33" s="261" t="b">
        <f t="shared" si="18"/>
        <v>1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47503</v>
      </c>
      <c r="B34" s="406">
        <f>'2029'!Wh/'2029'!Env_an*'2030'!Env_an</f>
        <v>22.572361800716433</v>
      </c>
      <c r="C34" s="831"/>
      <c r="D34" s="388">
        <f t="shared" si="0"/>
        <v>23.544104315573254</v>
      </c>
      <c r="E34" s="380">
        <f t="shared" si="1"/>
        <v>24.625263665767601</v>
      </c>
      <c r="F34" s="380">
        <f t="shared" si="2"/>
        <v>24.625263665767601</v>
      </c>
      <c r="G34" s="110">
        <f t="shared" si="21"/>
        <v>0.2100107810903887</v>
      </c>
      <c r="H34" s="409" t="b">
        <f>Wh_hp&gt;='2029'!Maxi_hp</f>
        <v>0</v>
      </c>
      <c r="I34" s="385">
        <f>IF(H34,Wh_hp,'2029'!Maxi_hp)</f>
        <v>24.638956934020555</v>
      </c>
      <c r="J34" s="85">
        <f>IF(H34,An,'2029'!An_max)</f>
        <v>2022</v>
      </c>
      <c r="K34" s="193">
        <f t="shared" si="3"/>
        <v>47503</v>
      </c>
      <c r="L34" s="143">
        <f>IF(t&lt;Tvie,1-EXP((T0-t)*PertePVj)+'2029'!Pspv,1-EXP((T0-t)*PertePVj)+Pspv)</f>
        <v>4.1273284463578475E-2</v>
      </c>
      <c r="M34" s="835"/>
      <c r="N34" s="835"/>
      <c r="O34" s="48">
        <f>IF(t&lt;Tnet,'2029'!Resal+('2029'!Salim-'2029'!Resal)*(1-EXP(('2029'!Tnet-t)/('2029'!Tau_j))),Resal+(Salim-Resal)*(1-EXP((Tnet-t)/(Tau_j))))*Salcycl</f>
        <v>4.3904478135489033E-2</v>
      </c>
      <c r="P34" s="165">
        <f>(INDEX(Models!$BJ34:$BT34,,T34)*(1-R34)+INDEX(Models!$BJ34:$BT34,,T34+1)*R34-ERP_i)*Q34*Ramure*Pc/MaxiM</f>
        <v>5.5655813398671405E-4</v>
      </c>
      <c r="Q34" s="301">
        <f t="shared" si="4"/>
        <v>0.5</v>
      </c>
      <c r="R34" s="173">
        <f t="shared" si="5"/>
        <v>0.46536493232086662</v>
      </c>
      <c r="S34" s="801">
        <f t="shared" si="6"/>
        <v>0</v>
      </c>
      <c r="T34" s="172">
        <f t="shared" si="7"/>
        <v>6</v>
      </c>
      <c r="U34" s="247">
        <f t="shared" si="8"/>
        <v>0.46536493232086662</v>
      </c>
      <c r="V34" s="378">
        <f t="shared" si="9"/>
        <v>107.42209924662491</v>
      </c>
      <c r="W34" s="397">
        <f t="shared" si="10"/>
        <v>22.572361800716433</v>
      </c>
      <c r="X34" s="153">
        <f t="shared" si="11"/>
        <v>47503</v>
      </c>
      <c r="Y34" s="380">
        <f t="shared" si="12"/>
        <v>22.102600130928149</v>
      </c>
      <c r="Z34" s="380">
        <f t="shared" si="22"/>
        <v>23.054119357215807</v>
      </c>
      <c r="AA34" s="381">
        <f t="shared" si="13"/>
        <v>24.625263665767601</v>
      </c>
      <c r="AB34" s="193">
        <f t="shared" si="14"/>
        <v>47503</v>
      </c>
      <c r="AC34" s="119">
        <f>IF(OR(t&lt;Tnet,NoTnet),'2029'!Resal_s+('2029'!Salim-'2029'!Resal_s)*(1-EXP(('2029'!Tnet_s-t)/'2029'!Tau_j)),Resal_s+(Salim-Resal_s)*(1-EXP((Tnet_s-t)/Tau_j)))*Salcycl</f>
        <v>6.3802131415790414E-2</v>
      </c>
      <c r="AD34" s="227">
        <f>(INDEX(Models!$BJ34:$BT34,,AH34)*(1-AF34)+INDEX(Models!$BJ34:$BT34,,AH34+1)*AF34-ERP_i)*AE34*Ramure*Pc/MaxiM</f>
        <v>5.5902034801363128E-3</v>
      </c>
      <c r="AE34" s="301">
        <f t="shared" si="15"/>
        <v>0.5</v>
      </c>
      <c r="AF34" s="173">
        <f t="shared" si="23"/>
        <v>0.99035249869484465</v>
      </c>
      <c r="AG34" s="801">
        <f t="shared" si="24"/>
        <v>3</v>
      </c>
      <c r="AH34" s="172">
        <f t="shared" si="16"/>
        <v>9</v>
      </c>
      <c r="AI34" s="221">
        <f t="shared" si="17"/>
        <v>3.9903524986948447</v>
      </c>
      <c r="AJ34" s="261" t="b">
        <f t="shared" si="18"/>
        <v>1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47504</v>
      </c>
      <c r="B35" s="406">
        <f>'2029'!Wh/'2029'!Env_an*'2030'!Env_an</f>
        <v>56.668238661981718</v>
      </c>
      <c r="C35" s="831"/>
      <c r="D35" s="388">
        <f t="shared" si="0"/>
        <v>59.108621356705832</v>
      </c>
      <c r="E35" s="380">
        <f t="shared" si="1"/>
        <v>61.825442344854459</v>
      </c>
      <c r="F35" s="380">
        <f t="shared" si="2"/>
        <v>61.836168690995095</v>
      </c>
      <c r="G35" s="110">
        <f t="shared" si="21"/>
        <v>0.5220166194813487</v>
      </c>
      <c r="H35" s="409" t="b">
        <f>Wh_hp&gt;='2029'!Maxi_hp</f>
        <v>0</v>
      </c>
      <c r="I35" s="385">
        <f>IF(H35,Wh_hp,'2029'!Maxi_hp)</f>
        <v>61.859209054823204</v>
      </c>
      <c r="J35" s="85">
        <f>IF(H35,An,'2029'!An_max)</f>
        <v>2022</v>
      </c>
      <c r="K35" s="193">
        <f t="shared" si="3"/>
        <v>47504</v>
      </c>
      <c r="L35" s="143">
        <f>IF(t&lt;Tvie,1-EXP((T0-t)*PertePVj)+'2029'!Pspv,1-EXP((T0-t)*PertePVj)+Pspv)</f>
        <v>4.1286408627212112E-2</v>
      </c>
      <c r="M35" s="835"/>
      <c r="N35" s="835"/>
      <c r="O35" s="48">
        <f>IF(t&lt;Tnet,'2029'!Resal+('2029'!Salim-'2029'!Resal)*(1-EXP(('2029'!Tnet-t)/('2029'!Tau_j))),Resal+(Salim-Resal)*(1-EXP((Tnet-t)/(Tau_j))))*Salcycl</f>
        <v>4.3943413667702387E-2</v>
      </c>
      <c r="P35" s="165">
        <f>(INDEX(Models!$BJ35:$BT35,,T35)*(1-R35)+INDEX(Models!$BJ35:$BT35,,T35+1)*R35-ERP_i)*Q35*Ramure*Pc/MaxiM</f>
        <v>5.4643799698104816E-4</v>
      </c>
      <c r="Q35" s="301">
        <f t="shared" si="4"/>
        <v>0.5</v>
      </c>
      <c r="R35" s="173">
        <f t="shared" si="5"/>
        <v>0.46542850155810284</v>
      </c>
      <c r="S35" s="801">
        <f t="shared" si="6"/>
        <v>0</v>
      </c>
      <c r="T35" s="172">
        <f t="shared" si="7"/>
        <v>6</v>
      </c>
      <c r="U35" s="247">
        <f t="shared" si="8"/>
        <v>0.46542850155810284</v>
      </c>
      <c r="V35" s="378">
        <f t="shared" si="9"/>
        <v>108.51589221255691</v>
      </c>
      <c r="W35" s="397">
        <f t="shared" si="10"/>
        <v>56.668238661981718</v>
      </c>
      <c r="X35" s="153">
        <f t="shared" si="11"/>
        <v>47504</v>
      </c>
      <c r="Y35" s="380">
        <f t="shared" si="12"/>
        <v>55.4021909088423</v>
      </c>
      <c r="Z35" s="380">
        <f t="shared" si="22"/>
        <v>57.788052039099149</v>
      </c>
      <c r="AA35" s="381">
        <f t="shared" si="13"/>
        <v>61.727435179136656</v>
      </c>
      <c r="AB35" s="193">
        <f t="shared" si="14"/>
        <v>47504</v>
      </c>
      <c r="AC35" s="119">
        <f>IF(OR(t&lt;Tnet,NoTnet),'2029'!Resal_s+('2029'!Salim-'2029'!Resal_s)*(1-EXP(('2029'!Tnet_s-t)/'2029'!Tau_j)),Resal_s+(Salim-Resal_s)*(1-EXP((Tnet_s-t)/Tau_j)))*Salcycl</f>
        <v>6.3818999260299478E-2</v>
      </c>
      <c r="AD35" s="227">
        <f>(INDEX(Models!$BJ35:$BT35,,AH35)*(1-AF35)+INDEX(Models!$BJ35:$BT35,,AH35+1)*AF35-ERP_i)*AE35*Ramure*Pc/MaxiM</f>
        <v>5.5392695374192006E-3</v>
      </c>
      <c r="AE35" s="301">
        <f t="shared" si="15"/>
        <v>0.5</v>
      </c>
      <c r="AF35" s="173">
        <f t="shared" si="23"/>
        <v>0.99041606793208103</v>
      </c>
      <c r="AG35" s="801">
        <f t="shared" si="24"/>
        <v>3</v>
      </c>
      <c r="AH35" s="172">
        <f t="shared" si="16"/>
        <v>9</v>
      </c>
      <c r="AI35" s="221">
        <f t="shared" si="17"/>
        <v>3.990416067932081</v>
      </c>
      <c r="AJ35" s="261" t="b">
        <f t="shared" si="18"/>
        <v>1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47505</v>
      </c>
      <c r="B36" s="406">
        <f>'2029'!Wh/'2029'!Env_an*'2030'!Env_an</f>
        <v>108.83007636439025</v>
      </c>
      <c r="C36" s="831"/>
      <c r="D36" s="388">
        <f t="shared" si="0"/>
        <v>113.51833035067547</v>
      </c>
      <c r="E36" s="380">
        <f t="shared" si="1"/>
        <v>118.74083326060652</v>
      </c>
      <c r="F36" s="380">
        <f t="shared" si="2"/>
        <v>118.80379354815913</v>
      </c>
      <c r="G36" s="110">
        <f t="shared" si="21"/>
        <v>0.99277000352099964</v>
      </c>
      <c r="H36" s="409" t="b">
        <f>Wh_hp&gt;='2029'!Maxi_hp</f>
        <v>0</v>
      </c>
      <c r="I36" s="385">
        <f>IF(H36,Wh_hp,'2029'!Maxi_hp)</f>
        <v>118.80444939274724</v>
      </c>
      <c r="J36" s="85">
        <f>IF(H36,An,'2029'!An_max)</f>
        <v>2022</v>
      </c>
      <c r="K36" s="193">
        <f t="shared" si="3"/>
        <v>47505</v>
      </c>
      <c r="L36" s="143">
        <f>IF(t&lt;Tvie,1-EXP((T0-t)*PertePVj)+'2029'!Pspv,1-EXP((T0-t)*PertePVj)+Pspv)</f>
        <v>4.1299532611187018E-2</v>
      </c>
      <c r="M36" s="835"/>
      <c r="N36" s="835"/>
      <c r="O36" s="48">
        <f>IF(t&lt;Tnet,'2029'!Resal+('2029'!Salim-'2029'!Resal)*(1-EXP(('2029'!Tnet-t)/('2029'!Tau_j))),Resal+(Salim-Resal)*(1-EXP((Tnet-t)/(Tau_j))))*Salcycl</f>
        <v>4.3982367030126458E-2</v>
      </c>
      <c r="P36" s="165">
        <f>(INDEX(Models!$BJ36:$BT36,,T36)*(1-R36)+INDEX(Models!$BJ36:$BT36,,T36+1)*R36-ERP_i)*Q36*Ramure*Pc/MaxiM</f>
        <v>5.3547835231624403E-4</v>
      </c>
      <c r="Q36" s="301">
        <f t="shared" si="4"/>
        <v>0.5</v>
      </c>
      <c r="R36" s="173">
        <f t="shared" si="5"/>
        <v>0.46549472043688489</v>
      </c>
      <c r="S36" s="801">
        <f t="shared" si="6"/>
        <v>0</v>
      </c>
      <c r="T36" s="172">
        <f t="shared" si="7"/>
        <v>6</v>
      </c>
      <c r="U36" s="247">
        <f t="shared" si="8"/>
        <v>0.46549472043688489</v>
      </c>
      <c r="V36" s="378">
        <f t="shared" si="9"/>
        <v>109.62204156796386</v>
      </c>
      <c r="W36" s="397">
        <f t="shared" si="10"/>
        <v>108.83007636439025</v>
      </c>
      <c r="X36" s="153">
        <f t="shared" si="11"/>
        <v>47505</v>
      </c>
      <c r="Y36" s="380">
        <f t="shared" si="12"/>
        <v>106.0487333656145</v>
      </c>
      <c r="Z36" s="380">
        <f t="shared" si="22"/>
        <v>110.61717081922012</v>
      </c>
      <c r="AA36" s="381">
        <f t="shared" si="13"/>
        <v>118.16002691160469</v>
      </c>
      <c r="AB36" s="193">
        <f t="shared" si="14"/>
        <v>47505</v>
      </c>
      <c r="AC36" s="119">
        <f>IF(OR(t&lt;Tnet,NoTnet),'2029'!Resal_s+('2029'!Salim-'2029'!Resal_s)*(1-EXP(('2029'!Tnet_s-t)/'2029'!Tau_j)),Resal_s+(Salim-Resal_s)*(1-EXP((Tnet_s-t)/Tau_j)))*Salcycl</f>
        <v>6.3835937495404935E-2</v>
      </c>
      <c r="AD36" s="227">
        <f>(INDEX(Models!$BJ36:$BT36,,AH36)*(1-AF36)+INDEX(Models!$BJ36:$BT36,,AH36+1)*AF36-ERP_i)*AE36*Ramure*Pc/MaxiM</f>
        <v>5.4752465596716272E-3</v>
      </c>
      <c r="AE36" s="301">
        <f t="shared" si="15"/>
        <v>0.5</v>
      </c>
      <c r="AF36" s="173">
        <f t="shared" si="23"/>
        <v>0.99048228681086314</v>
      </c>
      <c r="AG36" s="801">
        <f t="shared" si="24"/>
        <v>3</v>
      </c>
      <c r="AH36" s="172">
        <f t="shared" si="16"/>
        <v>9</v>
      </c>
      <c r="AI36" s="221">
        <f t="shared" si="17"/>
        <v>3.9904822868108631</v>
      </c>
      <c r="AJ36" s="261" t="b">
        <f t="shared" si="18"/>
        <v>1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47506</v>
      </c>
      <c r="B37" s="406">
        <f>'2029'!Wh/'2029'!Env_an*'2030'!Env_an</f>
        <v>110.6191044283584</v>
      </c>
      <c r="C37" s="831"/>
      <c r="D37" s="388">
        <f t="shared" si="0"/>
        <v>115.38600688599675</v>
      </c>
      <c r="E37" s="380">
        <f t="shared" si="1"/>
        <v>120.69935423922887</v>
      </c>
      <c r="F37" s="380">
        <f t="shared" si="2"/>
        <v>120.76248880815453</v>
      </c>
      <c r="G37" s="110">
        <f t="shared" si="21"/>
        <v>0.9988326298035457</v>
      </c>
      <c r="H37" s="409" t="b">
        <f>Wh_hp&gt;='2029'!Maxi_hp</f>
        <v>0</v>
      </c>
      <c r="I37" s="385">
        <f>IF(H37,Wh_hp,'2029'!Maxi_hp)</f>
        <v>120.76259406342568</v>
      </c>
      <c r="J37" s="85">
        <f>IF(H37,An,'2029'!An_max)</f>
        <v>2022</v>
      </c>
      <c r="K37" s="193">
        <f t="shared" si="3"/>
        <v>47506</v>
      </c>
      <c r="L37" s="143">
        <f>IF(t&lt;Tvie,1-EXP((T0-t)*PertePVj)+'2029'!Pspv,1-EXP((T0-t)*PertePVj)+Pspv)</f>
        <v>4.1312656415505633E-2</v>
      </c>
      <c r="M37" s="835"/>
      <c r="N37" s="835"/>
      <c r="O37" s="48">
        <f>IF(t&lt;Tnet,'2029'!Resal+('2029'!Salim-'2029'!Resal)*(1-EXP(('2029'!Tnet-t)/('2029'!Tau_j))),Resal+(Salim-Resal)*(1-EXP((Tnet-t)/(Tau_j))))*Salcycl</f>
        <v>4.4021340352003446E-2</v>
      </c>
      <c r="P37" s="165">
        <f>(INDEX(Models!$BJ37:$BT37,,T37)*(1-R37)+INDEX(Models!$BJ37:$BT37,,T37+1)*R37-ERP_i)*Q37*Ramure*Pc/MaxiM</f>
        <v>5.2367216213828293E-4</v>
      </c>
      <c r="Q37" s="301">
        <f t="shared" si="4"/>
        <v>0.5</v>
      </c>
      <c r="R37" s="173">
        <f t="shared" si="5"/>
        <v>0.46556369864766223</v>
      </c>
      <c r="S37" s="801">
        <f t="shared" si="6"/>
        <v>0</v>
      </c>
      <c r="T37" s="172">
        <f t="shared" si="7"/>
        <v>6</v>
      </c>
      <c r="U37" s="247">
        <f t="shared" si="8"/>
        <v>0.46556369864766223</v>
      </c>
      <c r="V37" s="378">
        <f t="shared" si="9"/>
        <v>110.74829210041136</v>
      </c>
      <c r="W37" s="397">
        <f t="shared" si="10"/>
        <v>110.6191044283584</v>
      </c>
      <c r="X37" s="153">
        <f t="shared" si="11"/>
        <v>47506</v>
      </c>
      <c r="Y37" s="380">
        <f t="shared" si="12"/>
        <v>107.79690669949312</v>
      </c>
      <c r="Z37" s="380">
        <f t="shared" si="22"/>
        <v>112.44219235902783</v>
      </c>
      <c r="AA37" s="381">
        <f t="shared" si="13"/>
        <v>120.11167715373155</v>
      </c>
      <c r="AB37" s="193">
        <f t="shared" si="14"/>
        <v>47506</v>
      </c>
      <c r="AC37" s="119">
        <f>IF(OR(t&lt;Tnet,NoTnet),'2029'!Resal_s+('2029'!Salim-'2029'!Resal_s)*(1-EXP(('2029'!Tnet_s-t)/'2029'!Tau_j)),Resal_s+(Salim-Resal_s)*(1-EXP((Tnet_s-t)/Tau_j)))*Salcycl</f>
        <v>6.3852948992523917E-2</v>
      </c>
      <c r="AD37" s="227">
        <f>(INDEX(Models!$BJ37:$BT37,,AH37)*(1-AF37)+INDEX(Models!$BJ37:$BT37,,AH37+1)*AF37-ERP_i)*AE37*Ramure*Pc/MaxiM</f>
        <v>5.3981828341579073E-3</v>
      </c>
      <c r="AE37" s="301">
        <f t="shared" si="15"/>
        <v>0.5</v>
      </c>
      <c r="AF37" s="173">
        <f t="shared" si="23"/>
        <v>0.99055126502164015</v>
      </c>
      <c r="AG37" s="801">
        <f t="shared" si="24"/>
        <v>3</v>
      </c>
      <c r="AH37" s="172">
        <f t="shared" si="16"/>
        <v>9</v>
      </c>
      <c r="AI37" s="221">
        <f t="shared" si="17"/>
        <v>3.9905512650216401</v>
      </c>
      <c r="AJ37" s="261" t="b">
        <f t="shared" si="18"/>
        <v>1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47507</v>
      </c>
      <c r="B38" s="406">
        <f>'2029'!Wh/'2029'!Env_an*'2030'!Env_an</f>
        <v>111.98341340193909</v>
      </c>
      <c r="C38" s="831"/>
      <c r="D38" s="388">
        <f t="shared" si="0"/>
        <v>116.81070698514392</v>
      </c>
      <c r="E38" s="380">
        <f t="shared" si="1"/>
        <v>122.1946440039666</v>
      </c>
      <c r="F38" s="380">
        <f t="shared" si="2"/>
        <v>122.25706830537692</v>
      </c>
      <c r="G38" s="110">
        <f t="shared" si="21"/>
        <v>1.000721756393286</v>
      </c>
      <c r="H38" s="409" t="b">
        <f>Wh_hp&gt;='2029'!Maxi_hp</f>
        <v>1</v>
      </c>
      <c r="I38" s="385">
        <f>IF(H38,Wh_hp,'2029'!Maxi_hp)</f>
        <v>122.25706830537692</v>
      </c>
      <c r="J38" s="85">
        <f>IF(H38,An,'2029'!An_max)</f>
        <v>2030</v>
      </c>
      <c r="K38" s="193">
        <f t="shared" si="3"/>
        <v>47507</v>
      </c>
      <c r="L38" s="143">
        <f>IF(t&lt;Tvie,1-EXP((T0-t)*PertePVj)+'2029'!Pspv,1-EXP((T0-t)*PertePVj)+Pspv)</f>
        <v>4.132578004017029E-2</v>
      </c>
      <c r="M38" s="835"/>
      <c r="N38" s="835"/>
      <c r="O38" s="48">
        <f>IF(t&lt;Tnet,'2029'!Resal+('2029'!Salim-'2029'!Resal)*(1-EXP(('2029'!Tnet-t)/('2029'!Tau_j))),Resal+(Salim-Resal)*(1-EXP((Tnet-t)/(Tau_j))))*Salcycl</f>
        <v>4.4060335563053887E-2</v>
      </c>
      <c r="P38" s="165">
        <f>(INDEX(Models!$BJ38:$BT38,,T38)*(1-R38)+INDEX(Models!$BJ38:$BT38,,T38+1)*R38-ERP_i)*Q38*Ramure*Pc/MaxiM</f>
        <v>5.1059871036975696E-4</v>
      </c>
      <c r="Q38" s="301">
        <f t="shared" si="4"/>
        <v>0.5</v>
      </c>
      <c r="R38" s="173">
        <f t="shared" si="5"/>
        <v>0.46563555035789167</v>
      </c>
      <c r="S38" s="801">
        <f t="shared" si="6"/>
        <v>0</v>
      </c>
      <c r="T38" s="172">
        <f t="shared" si="7"/>
        <v>6</v>
      </c>
      <c r="U38" s="247">
        <f t="shared" si="8"/>
        <v>0.46563555035789167</v>
      </c>
      <c r="V38" s="378">
        <f t="shared" si="9"/>
        <v>111.90264695107652</v>
      </c>
      <c r="W38" s="397">
        <f t="shared" si="10"/>
        <v>111.98341340193909</v>
      </c>
      <c r="X38" s="153">
        <f t="shared" si="11"/>
        <v>47507</v>
      </c>
      <c r="Y38" s="380">
        <f t="shared" si="12"/>
        <v>109.13706208537654</v>
      </c>
      <c r="Z38" s="380">
        <f t="shared" si="22"/>
        <v>113.84165737757044</v>
      </c>
      <c r="AA38" s="381">
        <f t="shared" si="13"/>
        <v>121.60881693280234</v>
      </c>
      <c r="AB38" s="193">
        <f t="shared" si="14"/>
        <v>47507</v>
      </c>
      <c r="AC38" s="119">
        <f>IF(OR(t&lt;Tnet,NoTnet),'2029'!Resal_s+('2029'!Salim-'2029'!Resal_s)*(1-EXP(('2029'!Tnet_s-t)/'2029'!Tau_j)),Resal_s+(Salim-Resal_s)*(1-EXP((Tnet_s-t)/Tau_j)))*Salcycl</f>
        <v>6.3870036327413893E-2</v>
      </c>
      <c r="AD38" s="227">
        <f>(INDEX(Models!$BJ38:$BT38,,AH38)*(1-AF38)+INDEX(Models!$BJ38:$BT38,,AH38+1)*AF38-ERP_i)*AE38*Ramure*Pc/MaxiM</f>
        <v>5.3023631398992719E-3</v>
      </c>
      <c r="AE38" s="301">
        <f t="shared" si="15"/>
        <v>0.5</v>
      </c>
      <c r="AF38" s="173">
        <f t="shared" si="23"/>
        <v>0.99062311673186976</v>
      </c>
      <c r="AG38" s="801">
        <f t="shared" si="24"/>
        <v>3</v>
      </c>
      <c r="AH38" s="172">
        <f t="shared" si="16"/>
        <v>9</v>
      </c>
      <c r="AI38" s="221">
        <f t="shared" si="17"/>
        <v>3.9906231167318698</v>
      </c>
      <c r="AJ38" s="261" t="b">
        <f t="shared" si="18"/>
        <v>1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47508</v>
      </c>
      <c r="B39" s="406">
        <f>'2029'!Wh/'2029'!Env_an*'2030'!Env_an</f>
        <v>110.94608620636046</v>
      </c>
      <c r="C39" s="831"/>
      <c r="D39" s="388">
        <f t="shared" si="0"/>
        <v>115.73024774834572</v>
      </c>
      <c r="E39" s="380">
        <f t="shared" si="1"/>
        <v>121.06932689360004</v>
      </c>
      <c r="F39" s="380">
        <f t="shared" si="2"/>
        <v>121.12795619961953</v>
      </c>
      <c r="G39" s="110">
        <f t="shared" si="21"/>
        <v>0.98109004024722868</v>
      </c>
      <c r="H39" s="409" t="b">
        <f>Wh_hp&gt;='2029'!Maxi_hp</f>
        <v>0</v>
      </c>
      <c r="I39" s="385">
        <f>IF(H39,Wh_hp,'2029'!Maxi_hp)</f>
        <v>121.12958041502201</v>
      </c>
      <c r="J39" s="85">
        <f>IF(H39,An,'2029'!An_max)</f>
        <v>2022</v>
      </c>
      <c r="K39" s="193">
        <f t="shared" si="3"/>
        <v>47508</v>
      </c>
      <c r="L39" s="143">
        <f>IF(t&lt;Tvie,1-EXP((T0-t)*PertePVj)+'2029'!Pspv,1-EXP((T0-t)*PertePVj)+Pspv)</f>
        <v>4.1338903485183653E-2</v>
      </c>
      <c r="M39" s="835"/>
      <c r="N39" s="835"/>
      <c r="O39" s="48">
        <f>IF(t&lt;Tnet,'2029'!Resal+('2029'!Salim-'2029'!Resal)*(1-EXP(('2029'!Tnet-t)/('2029'!Tau_j))),Resal+(Salim-Resal)*(1-EXP((Tnet-t)/(Tau_j))))*Salcycl</f>
        <v>4.4099354330651229E-2</v>
      </c>
      <c r="P39" s="165">
        <f>(INDEX(Models!$BJ39:$BT39,,T39)*(1-R39)+INDEX(Models!$BJ39:$BT39,,T39+1)*R39-ERP_i)*Q39*Ramure*Pc/MaxiM</f>
        <v>4.9745691186624957E-4</v>
      </c>
      <c r="Q39" s="301">
        <f t="shared" si="4"/>
        <v>0.5</v>
      </c>
      <c r="R39" s="173">
        <f t="shared" si="5"/>
        <v>0.4657103943892999</v>
      </c>
      <c r="S39" s="801">
        <f t="shared" si="6"/>
        <v>0</v>
      </c>
      <c r="T39" s="172">
        <f t="shared" si="7"/>
        <v>6</v>
      </c>
      <c r="U39" s="247">
        <f t="shared" si="8"/>
        <v>0.4657103943892999</v>
      </c>
      <c r="V39" s="378">
        <f t="shared" si="9"/>
        <v>113.08299038149316</v>
      </c>
      <c r="W39" s="397">
        <f t="shared" si="10"/>
        <v>110.94608620636046</v>
      </c>
      <c r="X39" s="153">
        <f t="shared" si="11"/>
        <v>47508</v>
      </c>
      <c r="Y39" s="380">
        <f t="shared" si="12"/>
        <v>108.15264725053865</v>
      </c>
      <c r="Z39" s="380">
        <f t="shared" si="22"/>
        <v>112.81635151746988</v>
      </c>
      <c r="AA39" s="381">
        <f t="shared" si="13"/>
        <v>120.51576660542717</v>
      </c>
      <c r="AB39" s="193">
        <f t="shared" si="14"/>
        <v>47508</v>
      </c>
      <c r="AC39" s="119">
        <f>IF(OR(t&lt;Tnet,NoTnet),'2029'!Resal_s+('2029'!Salim-'2029'!Resal_s)*(1-EXP(('2029'!Tnet_s-t)/'2029'!Tau_j)),Resal_s+(Salim-Resal_s)*(1-EXP((Tnet_s-t)/Tau_j)))*Salcycl</f>
        <v>6.3887201690094569E-2</v>
      </c>
      <c r="AD39" s="227">
        <f>(INDEX(Models!$BJ39:$BT39,,AH39)*(1-AF39)+INDEX(Models!$BJ39:$BT39,,AH39+1)*AF39-ERP_i)*AE39*Ramure*Pc/MaxiM</f>
        <v>5.1942955780899464E-3</v>
      </c>
      <c r="AE39" s="301">
        <f t="shared" si="15"/>
        <v>0.5</v>
      </c>
      <c r="AF39" s="173">
        <f t="shared" si="23"/>
        <v>0.99069796076327821</v>
      </c>
      <c r="AG39" s="801">
        <f t="shared" si="24"/>
        <v>3</v>
      </c>
      <c r="AH39" s="172">
        <f t="shared" si="16"/>
        <v>9</v>
      </c>
      <c r="AI39" s="221">
        <f t="shared" si="17"/>
        <v>3.9906979607632782</v>
      </c>
      <c r="AJ39" s="261" t="b">
        <f t="shared" si="18"/>
        <v>1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47509</v>
      </c>
      <c r="B40" s="406">
        <f>'2029'!Wh/'2029'!Env_an*'2030'!Env_an</f>
        <v>112.89688602400723</v>
      </c>
      <c r="C40" s="831"/>
      <c r="D40" s="388">
        <f t="shared" si="0"/>
        <v>117.76678110665557</v>
      </c>
      <c r="E40" s="380">
        <f t="shared" si="1"/>
        <v>123.20484561859655</v>
      </c>
      <c r="F40" s="380">
        <f t="shared" si="2"/>
        <v>123.26350056178543</v>
      </c>
      <c r="G40" s="110">
        <f t="shared" si="21"/>
        <v>0.98782541529508738</v>
      </c>
      <c r="H40" s="409" t="b">
        <f>Wh_hp&gt;='2029'!Maxi_hp</f>
        <v>0</v>
      </c>
      <c r="I40" s="385">
        <f>IF(H40,Wh_hp,'2029'!Maxi_hp)</f>
        <v>123.264536354387</v>
      </c>
      <c r="J40" s="85">
        <f>IF(H40,An,'2029'!An_max)</f>
        <v>2022</v>
      </c>
      <c r="K40" s="193">
        <f t="shared" si="3"/>
        <v>47509</v>
      </c>
      <c r="L40" s="143">
        <f>IF(t&lt;Tvie,1-EXP((T0-t)*PertePVj)+'2029'!Pspv,1-EXP((T0-t)*PertePVj)+Pspv)</f>
        <v>4.1352026750547943E-2</v>
      </c>
      <c r="M40" s="835"/>
      <c r="N40" s="835"/>
      <c r="O40" s="48">
        <f>IF(t&lt;Tnet,'2029'!Resal+('2029'!Salim-'2029'!Resal)*(1-EXP(('2029'!Tnet-t)/('2029'!Tau_j))),Resal+(Salim-Resal)*(1-EXP((Tnet-t)/(Tau_j))))*Salcycl</f>
        <v>4.4138398004048597E-2</v>
      </c>
      <c r="P40" s="165">
        <f>(INDEX(Models!$BJ40:$BT40,,T40)*(1-R40)+INDEX(Models!$BJ40:$BT40,,T40+1)*R40-ERP_i)*Q40*Ramure*Pc/MaxiM</f>
        <v>4.842667934716661E-4</v>
      </c>
      <c r="Q40" s="301">
        <f t="shared" si="4"/>
        <v>0.5</v>
      </c>
      <c r="R40" s="173">
        <f t="shared" si="5"/>
        <v>0.46578835440169258</v>
      </c>
      <c r="S40" s="801">
        <f t="shared" si="6"/>
        <v>0</v>
      </c>
      <c r="T40" s="172">
        <f t="shared" si="7"/>
        <v>6</v>
      </c>
      <c r="U40" s="247">
        <f t="shared" si="8"/>
        <v>0.46578835440169258</v>
      </c>
      <c r="V40" s="378">
        <f t="shared" si="9"/>
        <v>114.28733620306203</v>
      </c>
      <c r="W40" s="397">
        <f t="shared" si="10"/>
        <v>112.89688602400723</v>
      </c>
      <c r="X40" s="153">
        <f t="shared" si="11"/>
        <v>47509</v>
      </c>
      <c r="Y40" s="380">
        <f t="shared" si="12"/>
        <v>110.06338965117941</v>
      </c>
      <c r="Z40" s="380">
        <f t="shared" si="22"/>
        <v>114.81105966156312</v>
      </c>
      <c r="AA40" s="381">
        <f t="shared" si="13"/>
        <v>122.64886770344948</v>
      </c>
      <c r="AB40" s="193">
        <f t="shared" si="14"/>
        <v>47509</v>
      </c>
      <c r="AC40" s="119">
        <f>IF(OR(t&lt;Tnet,NoTnet),'2029'!Resal_s+('2029'!Salim-'2029'!Resal_s)*(1-EXP(('2029'!Tnet_s-t)/'2029'!Tau_j)),Resal_s+(Salim-Resal_s)*(1-EXP((Tnet_s-t)/Tau_j)))*Salcycl</f>
        <v>6.3904446805308115E-2</v>
      </c>
      <c r="AD40" s="227">
        <f>(INDEX(Models!$BJ40:$BT40,,AH40)*(1-AF40)+INDEX(Models!$BJ40:$BT40,,AH40+1)*AF40-ERP_i)*AE40*Ramure*Pc/MaxiM</f>
        <v>5.0745302490562789E-3</v>
      </c>
      <c r="AE40" s="301">
        <f t="shared" si="15"/>
        <v>0.5</v>
      </c>
      <c r="AF40" s="173">
        <f t="shared" si="23"/>
        <v>0.99077592077567056</v>
      </c>
      <c r="AG40" s="801">
        <f t="shared" si="24"/>
        <v>3</v>
      </c>
      <c r="AH40" s="172">
        <f t="shared" si="16"/>
        <v>9</v>
      </c>
      <c r="AI40" s="221">
        <f t="shared" si="17"/>
        <v>3.9907759207756706</v>
      </c>
      <c r="AJ40" s="261" t="b">
        <f t="shared" si="18"/>
        <v>1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47510</v>
      </c>
      <c r="B41" s="406">
        <f>'2029'!Wh/'2029'!Env_an*'2030'!Env_an</f>
        <v>114.73429483045187</v>
      </c>
      <c r="C41" s="831"/>
      <c r="D41" s="388">
        <f t="shared" si="0"/>
        <v>119.68508636093851</v>
      </c>
      <c r="E41" s="380">
        <f t="shared" si="1"/>
        <v>125.21684967624162</v>
      </c>
      <c r="F41" s="380">
        <f t="shared" si="2"/>
        <v>125.27529137481433</v>
      </c>
      <c r="G41" s="110">
        <f t="shared" si="21"/>
        <v>0.99324820281570181</v>
      </c>
      <c r="H41" s="409" t="b">
        <f>Wh_hp&gt;='2029'!Maxi_hp</f>
        <v>0</v>
      </c>
      <c r="I41" s="385">
        <f>IF(H41,Wh_hp,'2029'!Maxi_hp)</f>
        <v>125.27585917077172</v>
      </c>
      <c r="J41" s="85">
        <f>IF(H41,An,'2029'!An_max)</f>
        <v>2022</v>
      </c>
      <c r="K41" s="193">
        <f t="shared" si="3"/>
        <v>47510</v>
      </c>
      <c r="L41" s="143">
        <f>IF(t&lt;Tvie,1-EXP((T0-t)*PertePVj)+'2029'!Pspv,1-EXP((T0-t)*PertePVj)+Pspv)</f>
        <v>4.1365149836265824E-2</v>
      </c>
      <c r="M41" s="835"/>
      <c r="N41" s="835"/>
      <c r="O41" s="48">
        <f>IF(t&lt;Tnet,'2029'!Resal+('2029'!Salim-'2029'!Resal)*(1-EXP(('2029'!Tnet-t)/('2029'!Tau_j))),Resal+(Salim-Resal)*(1-EXP((Tnet-t)/(Tau_j))))*Salcycl</f>
        <v>4.4177467566113737E-2</v>
      </c>
      <c r="P41" s="165">
        <f>(INDEX(Models!$BJ41:$BT41,,T41)*(1-R41)+INDEX(Models!$BJ41:$BT41,,T41+1)*R41-ERP_i)*Q41*Ramure*Pc/MaxiM</f>
        <v>4.7104659579316597E-4</v>
      </c>
      <c r="Q41" s="301">
        <f t="shared" si="4"/>
        <v>0.5</v>
      </c>
      <c r="R41" s="173">
        <f t="shared" si="5"/>
        <v>0.46586955908351435</v>
      </c>
      <c r="S41" s="801">
        <f t="shared" si="6"/>
        <v>0</v>
      </c>
      <c r="T41" s="172">
        <f t="shared" si="7"/>
        <v>6</v>
      </c>
      <c r="U41" s="247">
        <f t="shared" si="8"/>
        <v>0.46586955908351435</v>
      </c>
      <c r="V41" s="378">
        <f t="shared" si="9"/>
        <v>115.51369871249263</v>
      </c>
      <c r="W41" s="397">
        <f t="shared" si="10"/>
        <v>114.73429483045187</v>
      </c>
      <c r="X41" s="153">
        <f t="shared" si="11"/>
        <v>47510</v>
      </c>
      <c r="Y41" s="380">
        <f t="shared" si="12"/>
        <v>111.86629974361372</v>
      </c>
      <c r="Z41" s="380">
        <f t="shared" si="22"/>
        <v>116.69333711841065</v>
      </c>
      <c r="AA41" s="381">
        <f t="shared" si="13"/>
        <v>124.66194996913738</v>
      </c>
      <c r="AB41" s="193">
        <f t="shared" si="14"/>
        <v>47510</v>
      </c>
      <c r="AC41" s="119">
        <f>IF(OR(t&lt;Tnet,NoTnet),'2029'!Resal_s+('2029'!Salim-'2029'!Resal_s)*(1-EXP(('2029'!Tnet_s-t)/'2029'!Tau_j)),Resal_s+(Salim-Resal_s)*(1-EXP((Tnet_s-t)/Tau_j)))*Salcycl</f>
        <v>6.3921772864129922E-2</v>
      </c>
      <c r="AD41" s="227">
        <f>(INDEX(Models!$BJ41:$BT41,,AH41)*(1-AF41)+INDEX(Models!$BJ41:$BT41,,AH41+1)*AF41-ERP_i)*AE41*Ramure*Pc/MaxiM</f>
        <v>4.9436000023801649E-3</v>
      </c>
      <c r="AE41" s="301">
        <f t="shared" si="15"/>
        <v>0.5</v>
      </c>
      <c r="AF41" s="173">
        <f t="shared" si="23"/>
        <v>0.99085712545749249</v>
      </c>
      <c r="AG41" s="801">
        <f t="shared" si="24"/>
        <v>3</v>
      </c>
      <c r="AH41" s="172">
        <f t="shared" si="16"/>
        <v>9</v>
      </c>
      <c r="AI41" s="221">
        <f t="shared" si="17"/>
        <v>3.9908571254574925</v>
      </c>
      <c r="AJ41" s="261" t="b">
        <f t="shared" si="18"/>
        <v>1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47511</v>
      </c>
      <c r="B42" s="406">
        <f>'2029'!Wh/'2029'!Env_an*'2030'!Env_an</f>
        <v>17.775702827909953</v>
      </c>
      <c r="C42" s="831"/>
      <c r="D42" s="388">
        <f t="shared" si="0"/>
        <v>18.542979282100251</v>
      </c>
      <c r="E42" s="380">
        <f t="shared" si="1"/>
        <v>19.400816728741656</v>
      </c>
      <c r="F42" s="380">
        <f t="shared" si="2"/>
        <v>19.400816728741656</v>
      </c>
      <c r="G42" s="110">
        <f t="shared" si="21"/>
        <v>0.15217155512339536</v>
      </c>
      <c r="H42" s="409" t="b">
        <f>Wh_hp&gt;='2029'!Maxi_hp</f>
        <v>0</v>
      </c>
      <c r="I42" s="385">
        <f>IF(H42,Wh_hp,'2029'!Maxi_hp)</f>
        <v>19.409681636189191</v>
      </c>
      <c r="J42" s="85">
        <f>IF(H42,An,'2029'!An_max)</f>
        <v>2022</v>
      </c>
      <c r="K42" s="193">
        <f t="shared" si="3"/>
        <v>47511</v>
      </c>
      <c r="L42" s="143">
        <f>IF(t&lt;Tvie,1-EXP((T0-t)*PertePVj)+'2029'!Pspv,1-EXP((T0-t)*PertePVj)+Pspv)</f>
        <v>4.1378272742339739E-2</v>
      </c>
      <c r="M42" s="835"/>
      <c r="N42" s="835"/>
      <c r="O42" s="48">
        <f>IF(t&lt;Tnet,'2029'!Resal+('2029'!Salim-'2029'!Resal)*(1-EXP(('2029'!Tnet-t)/('2029'!Tau_j))),Resal+(Salim-Resal)*(1-EXP((Tnet-t)/(Tau_j))))*Salcycl</f>
        <v>4.421656359294119E-2</v>
      </c>
      <c r="P42" s="165">
        <f>(INDEX(Models!$BJ42:$BT42,,T42)*(1-R42)+INDEX(Models!$BJ42:$BT42,,T42+1)*R42-ERP_i)*Q42*Ramure*Pc/MaxiM</f>
        <v>4.5781281827189706E-4</v>
      </c>
      <c r="Q42" s="301">
        <f t="shared" si="4"/>
        <v>0.5</v>
      </c>
      <c r="R42" s="173">
        <f t="shared" si="5"/>
        <v>0.46595414234936028</v>
      </c>
      <c r="S42" s="801">
        <f t="shared" si="6"/>
        <v>0</v>
      </c>
      <c r="T42" s="172">
        <f t="shared" si="7"/>
        <v>6</v>
      </c>
      <c r="U42" s="247">
        <f t="shared" si="8"/>
        <v>0.46595414234936028</v>
      </c>
      <c r="V42" s="378">
        <f t="shared" si="9"/>
        <v>116.76009270519637</v>
      </c>
      <c r="W42" s="397">
        <f t="shared" si="10"/>
        <v>17.775702827909953</v>
      </c>
      <c r="X42" s="153">
        <f t="shared" si="11"/>
        <v>47511</v>
      </c>
      <c r="Y42" s="380">
        <f t="shared" si="12"/>
        <v>17.408900722755572</v>
      </c>
      <c r="Z42" s="380">
        <f t="shared" si="22"/>
        <v>18.160344406711296</v>
      </c>
      <c r="AA42" s="381">
        <f t="shared" si="13"/>
        <v>19.400816728741656</v>
      </c>
      <c r="AB42" s="193">
        <f t="shared" si="14"/>
        <v>47511</v>
      </c>
      <c r="AC42" s="119">
        <f>IF(OR(t&lt;Tnet,NoTnet),'2029'!Resal_s+('2029'!Salim-'2029'!Resal_s)*(1-EXP(('2029'!Tnet_s-t)/'2029'!Tau_j)),Resal_s+(Salim-Resal_s)*(1-EXP((Tnet_s-t)/Tau_j)))*Salcycl</f>
        <v>6.3939180467214168E-2</v>
      </c>
      <c r="AD42" s="227">
        <f>(INDEX(Models!$BJ42:$BT42,,AH42)*(1-AF42)+INDEX(Models!$BJ42:$BT42,,AH42+1)*AF42-ERP_i)*AE42*Ramure*Pc/MaxiM</f>
        <v>4.8020181466502361E-3</v>
      </c>
      <c r="AE42" s="301">
        <f t="shared" si="15"/>
        <v>0.5</v>
      </c>
      <c r="AF42" s="173">
        <f t="shared" si="23"/>
        <v>0.99094170872333853</v>
      </c>
      <c r="AG42" s="801">
        <f t="shared" si="24"/>
        <v>3</v>
      </c>
      <c r="AH42" s="172">
        <f t="shared" si="16"/>
        <v>9</v>
      </c>
      <c r="AI42" s="221">
        <f t="shared" si="17"/>
        <v>3.9909417087233385</v>
      </c>
      <c r="AJ42" s="261" t="b">
        <f t="shared" si="18"/>
        <v>1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47512</v>
      </c>
      <c r="B43" s="406">
        <f>'2029'!Wh/'2029'!Env_an*'2030'!Env_an</f>
        <v>27.860394018002868</v>
      </c>
      <c r="C43" s="831"/>
      <c r="D43" s="388">
        <f t="shared" si="0"/>
        <v>29.063367349625409</v>
      </c>
      <c r="E43" s="380">
        <f t="shared" si="1"/>
        <v>30.409144925726135</v>
      </c>
      <c r="F43" s="380">
        <f t="shared" si="2"/>
        <v>30.409144925726135</v>
      </c>
      <c r="G43" s="110">
        <f t="shared" si="21"/>
        <v>0.2359510096976481</v>
      </c>
      <c r="H43" s="409" t="b">
        <f>Wh_hp&gt;='2029'!Maxi_hp</f>
        <v>0</v>
      </c>
      <c r="I43" s="385">
        <f>IF(H43,Wh_hp,'2029'!Maxi_hp)</f>
        <v>30.422636176591364</v>
      </c>
      <c r="J43" s="85">
        <f>IF(H43,An,'2029'!An_max)</f>
        <v>2022</v>
      </c>
      <c r="K43" s="193">
        <f t="shared" si="3"/>
        <v>47512</v>
      </c>
      <c r="L43" s="143">
        <f>IF(t&lt;Tvie,1-EXP((T0-t)*PertePVj)+'2029'!Pspv,1-EXP((T0-t)*PertePVj)+Pspv)</f>
        <v>4.1391395468772019E-2</v>
      </c>
      <c r="M43" s="835"/>
      <c r="N43" s="835"/>
      <c r="O43" s="48">
        <f>IF(t&lt;Tnet,'2029'!Resal+('2029'!Salim-'2029'!Resal)*(1-EXP(('2029'!Tnet-t)/('2029'!Tau_j))),Resal+(Salim-Resal)*(1-EXP((Tnet-t)/(Tau_j))))*Salcycl</f>
        <v>4.4255686221620634E-2</v>
      </c>
      <c r="P43" s="165">
        <f>(INDEX(Models!$BJ43:$BT43,,T43)*(1-R43)+INDEX(Models!$BJ43:$BT43,,T43+1)*R43-ERP_i)*Q43*Ramure*Pc/MaxiM</f>
        <v>4.4458027436539317E-4</v>
      </c>
      <c r="Q43" s="301">
        <f t="shared" si="4"/>
        <v>0.5</v>
      </c>
      <c r="R43" s="173">
        <f t="shared" si="5"/>
        <v>0.46604224354464557</v>
      </c>
      <c r="S43" s="801">
        <f t="shared" si="6"/>
        <v>0</v>
      </c>
      <c r="T43" s="172">
        <f t="shared" si="7"/>
        <v>6</v>
      </c>
      <c r="U43" s="247">
        <f t="shared" si="8"/>
        <v>0.46604224354464557</v>
      </c>
      <c r="V43" s="378">
        <f t="shared" si="9"/>
        <v>118.02453344900435</v>
      </c>
      <c r="W43" s="397">
        <f t="shared" si="10"/>
        <v>27.860394018002868</v>
      </c>
      <c r="X43" s="153">
        <f t="shared" si="11"/>
        <v>47512</v>
      </c>
      <c r="Y43" s="380">
        <f t="shared" si="12"/>
        <v>27.286101133395057</v>
      </c>
      <c r="Z43" s="380">
        <f t="shared" si="22"/>
        <v>28.464277291500334</v>
      </c>
      <c r="AA43" s="381">
        <f t="shared" si="13"/>
        <v>30.409144925726135</v>
      </c>
      <c r="AB43" s="193">
        <f t="shared" si="14"/>
        <v>47512</v>
      </c>
      <c r="AC43" s="119">
        <f>IF(OR(t&lt;Tnet,NoTnet),'2029'!Resal_s+('2029'!Salim-'2029'!Resal_s)*(1-EXP(('2029'!Tnet_s-t)/'2029'!Tau_j)),Resal_s+(Salim-Resal_s)*(1-EXP((Tnet_s-t)/Tau_j)))*Salcycl</f>
        <v>6.3956669580026312E-2</v>
      </c>
      <c r="AD43" s="227">
        <f>(INDEX(Models!$BJ43:$BT43,,AH43)*(1-AF43)+INDEX(Models!$BJ43:$BT43,,AH43+1)*AF43-ERP_i)*AE43*Ramure*Pc/MaxiM</f>
        <v>4.6502765727337867E-3</v>
      </c>
      <c r="AE43" s="301">
        <f t="shared" si="15"/>
        <v>0.5</v>
      </c>
      <c r="AF43" s="173">
        <f t="shared" si="23"/>
        <v>0.99102980991862388</v>
      </c>
      <c r="AG43" s="801">
        <f t="shared" si="24"/>
        <v>3</v>
      </c>
      <c r="AH43" s="172">
        <f t="shared" si="16"/>
        <v>9</v>
      </c>
      <c r="AI43" s="221">
        <f t="shared" si="17"/>
        <v>3.9910298099186239</v>
      </c>
      <c r="AJ43" s="261" t="b">
        <f t="shared" si="18"/>
        <v>1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47513</v>
      </c>
      <c r="B44" s="406">
        <f>'2029'!Wh/'2029'!Env_an*'2030'!Env_an</f>
        <v>25.100804360684542</v>
      </c>
      <c r="C44" s="831"/>
      <c r="D44" s="388">
        <f t="shared" si="0"/>
        <v>26.184980872976947</v>
      </c>
      <c r="E44" s="380">
        <f t="shared" si="1"/>
        <v>27.398597219508346</v>
      </c>
      <c r="F44" s="380">
        <f t="shared" si="2"/>
        <v>27.398597219508346</v>
      </c>
      <c r="G44" s="110">
        <f t="shared" si="21"/>
        <v>0.21030106951758396</v>
      </c>
      <c r="H44" s="409" t="b">
        <f>Wh_hp&gt;='2029'!Maxi_hp</f>
        <v>0</v>
      </c>
      <c r="I44" s="385">
        <f>IF(H44,Wh_hp,'2029'!Maxi_hp)</f>
        <v>27.410360787722297</v>
      </c>
      <c r="J44" s="85">
        <f>IF(H44,An,'2029'!An_max)</f>
        <v>2022</v>
      </c>
      <c r="K44" s="193">
        <f t="shared" si="3"/>
        <v>47513</v>
      </c>
      <c r="L44" s="143">
        <f>IF(t&lt;Tvie,1-EXP((T0-t)*PertePVj)+'2029'!Pspv,1-EXP((T0-t)*PertePVj)+Pspv)</f>
        <v>4.1404518015565217E-2</v>
      </c>
      <c r="M44" s="835"/>
      <c r="N44" s="835"/>
      <c r="O44" s="48">
        <f>IF(t&lt;Tnet,'2029'!Resal+('2029'!Salim-'2029'!Resal)*(1-EXP(('2029'!Tnet-t)/('2029'!Tau_j))),Resal+(Salim-Resal)*(1-EXP((Tnet-t)/(Tau_j))))*Salcycl</f>
        <v>4.4294835126350254E-2</v>
      </c>
      <c r="P44" s="165">
        <f>(INDEX(Models!$BJ44:$BT44,,T44)*(1-R44)+INDEX(Models!$BJ44:$BT44,,T44+1)*R44-ERP_i)*Q44*Ramure*Pc/MaxiM</f>
        <v>4.3031388346313271E-4</v>
      </c>
      <c r="Q44" s="301">
        <f t="shared" si="4"/>
        <v>0.5</v>
      </c>
      <c r="R44" s="173">
        <f t="shared" si="5"/>
        <v>0.46613400765763902</v>
      </c>
      <c r="S44" s="801">
        <f t="shared" si="6"/>
        <v>0</v>
      </c>
      <c r="T44" s="172">
        <f t="shared" si="7"/>
        <v>6</v>
      </c>
      <c r="U44" s="247">
        <f t="shared" si="8"/>
        <v>0.46613400765763902</v>
      </c>
      <c r="V44" s="378">
        <f t="shared" si="9"/>
        <v>119.30516185027861</v>
      </c>
      <c r="W44" s="397">
        <f t="shared" si="10"/>
        <v>25.100804360684542</v>
      </c>
      <c r="X44" s="153">
        <f t="shared" si="11"/>
        <v>47513</v>
      </c>
      <c r="Y44" s="380">
        <f t="shared" si="12"/>
        <v>24.583941109045433</v>
      </c>
      <c r="Z44" s="380">
        <f t="shared" si="22"/>
        <v>25.645792799015734</v>
      </c>
      <c r="AA44" s="381">
        <f t="shared" si="13"/>
        <v>27.398597219508346</v>
      </c>
      <c r="AB44" s="193">
        <f t="shared" si="14"/>
        <v>47513</v>
      </c>
      <c r="AC44" s="119">
        <f>IF(OR(t&lt;Tnet,NoTnet),'2029'!Resal_s+('2029'!Salim-'2029'!Resal_s)*(1-EXP(('2029'!Tnet_s-t)/'2029'!Tau_j)),Resal_s+(Salim-Resal_s)*(1-EXP((Tnet_s-t)/Tau_j)))*Salcycl</f>
        <v>6.3974239500282956E-2</v>
      </c>
      <c r="AD44" s="227">
        <f>(INDEX(Models!$BJ44:$BT44,,AH44)*(1-AF44)+INDEX(Models!$BJ44:$BT44,,AH44+1)*AF44-ERP_i)*AE44*Ramure*Pc/MaxiM</f>
        <v>4.4849157740242456E-3</v>
      </c>
      <c r="AE44" s="301">
        <f t="shared" si="15"/>
        <v>0.5</v>
      </c>
      <c r="AF44" s="173">
        <f t="shared" si="23"/>
        <v>0.99112157403161705</v>
      </c>
      <c r="AG44" s="801">
        <f t="shared" si="24"/>
        <v>3</v>
      </c>
      <c r="AH44" s="172">
        <f t="shared" si="16"/>
        <v>9</v>
      </c>
      <c r="AI44" s="221">
        <f t="shared" si="17"/>
        <v>3.991121574031617</v>
      </c>
      <c r="AJ44" s="261" t="b">
        <f t="shared" si="18"/>
        <v>1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47514</v>
      </c>
      <c r="B45" s="406">
        <f>'2029'!Wh/'2029'!Env_an*'2030'!Env_an</f>
        <v>24.945987876309495</v>
      </c>
      <c r="C45" s="831"/>
      <c r="D45" s="388">
        <f t="shared" si="0"/>
        <v>26.023833660228615</v>
      </c>
      <c r="E45" s="380">
        <f t="shared" si="1"/>
        <v>27.231097390725992</v>
      </c>
      <c r="F45" s="380">
        <f t="shared" si="2"/>
        <v>27.231097390725992</v>
      </c>
      <c r="G45" s="110">
        <f t="shared" si="21"/>
        <v>0.20676314278179389</v>
      </c>
      <c r="H45" s="409" t="b">
        <f>Wh_hp&gt;='2029'!Maxi_hp</f>
        <v>0</v>
      </c>
      <c r="I45" s="385">
        <f>IF(H45,Wh_hp,'2029'!Maxi_hp)</f>
        <v>27.242367789857944</v>
      </c>
      <c r="J45" s="85">
        <f>IF(H45,An,'2029'!An_max)</f>
        <v>2022</v>
      </c>
      <c r="K45" s="193">
        <f t="shared" si="3"/>
        <v>47514</v>
      </c>
      <c r="L45" s="143">
        <f>IF(t&lt;Tvie,1-EXP((T0-t)*PertePVj)+'2029'!Pspv,1-EXP((T0-t)*PertePVj)+Pspv)</f>
        <v>4.1417640382721777E-2</v>
      </c>
      <c r="M45" s="835"/>
      <c r="N45" s="835"/>
      <c r="O45" s="48">
        <f>IF(t&lt;Tnet,'2029'!Resal+('2029'!Salim-'2029'!Resal)*(1-EXP(('2029'!Tnet-t)/('2029'!Tau_j))),Resal+(Salim-Resal)*(1-EXP((Tnet-t)/(Tau_j))))*Salcycl</f>
        <v>4.4334009502993162E-2</v>
      </c>
      <c r="P45" s="165">
        <f>(INDEX(Models!$BJ45:$BT45,,T45)*(1-R45)+INDEX(Models!$BJ45:$BT45,,T45+1)*R45-ERP_i)*Q45*Ramure*Pc/MaxiM</f>
        <v>4.1488196157068872E-4</v>
      </c>
      <c r="Q45" s="301">
        <f t="shared" si="4"/>
        <v>0.5</v>
      </c>
      <c r="R45" s="173">
        <f t="shared" si="5"/>
        <v>0.46622958553906907</v>
      </c>
      <c r="S45" s="801">
        <f t="shared" si="6"/>
        <v>0</v>
      </c>
      <c r="T45" s="172">
        <f t="shared" si="7"/>
        <v>6</v>
      </c>
      <c r="U45" s="247">
        <f t="shared" si="8"/>
        <v>0.46622958553906907</v>
      </c>
      <c r="V45" s="378">
        <f t="shared" si="9"/>
        <v>120.6000155561657</v>
      </c>
      <c r="W45" s="397">
        <f t="shared" si="10"/>
        <v>24.945987876309495</v>
      </c>
      <c r="X45" s="153">
        <f t="shared" si="11"/>
        <v>47514</v>
      </c>
      <c r="Y45" s="380">
        <f t="shared" si="12"/>
        <v>24.432853345591074</v>
      </c>
      <c r="Z45" s="380">
        <f t="shared" si="22"/>
        <v>25.488528033570415</v>
      </c>
      <c r="AA45" s="381">
        <f t="shared" si="13"/>
        <v>27.231097390725992</v>
      </c>
      <c r="AB45" s="193">
        <f t="shared" si="14"/>
        <v>47514</v>
      </c>
      <c r="AC45" s="119">
        <f>IF(OR(t&lt;Tnet,NoTnet),'2029'!Resal_s+('2029'!Salim-'2029'!Resal_s)*(1-EXP(('2029'!Tnet_s-t)/'2029'!Tau_j)),Resal_s+(Salim-Resal_s)*(1-EXP((Tnet_s-t)/Tau_j)))*Salcycl</f>
        <v>6.3991888837687458E-2</v>
      </c>
      <c r="AD45" s="227">
        <f>(INDEX(Models!$BJ45:$BT45,,AH45)*(1-AF45)+INDEX(Models!$BJ45:$BT45,,AH45+1)*AF45-ERP_i)*AE45*Ramure*Pc/MaxiM</f>
        <v>4.3133617710347065E-3</v>
      </c>
      <c r="AE45" s="301">
        <f t="shared" si="15"/>
        <v>0.5</v>
      </c>
      <c r="AF45" s="173">
        <f t="shared" si="23"/>
        <v>0.99121715191304727</v>
      </c>
      <c r="AG45" s="801">
        <f t="shared" si="24"/>
        <v>3</v>
      </c>
      <c r="AH45" s="172">
        <f t="shared" si="16"/>
        <v>9</v>
      </c>
      <c r="AI45" s="221">
        <f t="shared" si="17"/>
        <v>3.9912171519130473</v>
      </c>
      <c r="AJ45" s="261" t="b">
        <f t="shared" si="18"/>
        <v>1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47515</v>
      </c>
      <c r="B46" s="406">
        <f>'2029'!Wh/'2029'!Env_an*'2030'!Env_an</f>
        <v>54.376760097838989</v>
      </c>
      <c r="C46" s="831"/>
      <c r="D46" s="388">
        <f t="shared" si="0"/>
        <v>56.727003094363049</v>
      </c>
      <c r="E46" s="380">
        <f t="shared" si="1"/>
        <v>59.361043006471554</v>
      </c>
      <c r="F46" s="380">
        <f t="shared" si="2"/>
        <v>59.365976894151665</v>
      </c>
      <c r="G46" s="110">
        <f t="shared" si="21"/>
        <v>0.4459101461010167</v>
      </c>
      <c r="H46" s="409" t="b">
        <f>Wh_hp&gt;='2029'!Maxi_hp</f>
        <v>0</v>
      </c>
      <c r="I46" s="385">
        <f>IF(H46,Wh_hp,'2029'!Maxi_hp)</f>
        <v>59.384641801308028</v>
      </c>
      <c r="J46" s="85">
        <f>IF(H46,An,'2029'!An_max)</f>
        <v>2022</v>
      </c>
      <c r="K46" s="193">
        <f t="shared" si="3"/>
        <v>47515</v>
      </c>
      <c r="L46" s="143">
        <f>IF(t&lt;Tvie,1-EXP((T0-t)*PertePVj)+'2029'!Pspv,1-EXP((T0-t)*PertePVj)+Pspv)</f>
        <v>4.143076257024414E-2</v>
      </c>
      <c r="M46" s="835"/>
      <c r="N46" s="835"/>
      <c r="O46" s="48">
        <f>IF(t&lt;Tnet,'2029'!Resal+('2029'!Salim-'2029'!Resal)*(1-EXP(('2029'!Tnet-t)/('2029'!Tau_j))),Resal+(Salim-Resal)*(1-EXP((Tnet-t)/(Tau_j))))*Salcycl</f>
        <v>4.4373208062084502E-2</v>
      </c>
      <c r="P46" s="165">
        <f>(INDEX(Models!$BJ46:$BT46,,T46)*(1-R46)+INDEX(Models!$BJ46:$BT46,,T46+1)*R46-ERP_i)*Q46*Ramure*Pc/MaxiM</f>
        <v>3.9833259821538613E-4</v>
      </c>
      <c r="Q46" s="301">
        <f t="shared" si="4"/>
        <v>0.5</v>
      </c>
      <c r="R46" s="173">
        <f t="shared" si="5"/>
        <v>0.46632913412950955</v>
      </c>
      <c r="S46" s="801">
        <f t="shared" si="6"/>
        <v>0</v>
      </c>
      <c r="T46" s="172">
        <f t="shared" si="7"/>
        <v>6</v>
      </c>
      <c r="U46" s="247">
        <f t="shared" si="8"/>
        <v>0.46632913412950955</v>
      </c>
      <c r="V46" s="378">
        <f t="shared" si="9"/>
        <v>121.90711143887589</v>
      </c>
      <c r="W46" s="397">
        <f t="shared" si="10"/>
        <v>54.376760097838989</v>
      </c>
      <c r="X46" s="153">
        <f t="shared" si="11"/>
        <v>47515</v>
      </c>
      <c r="Y46" s="380">
        <f t="shared" si="12"/>
        <v>53.217879052460916</v>
      </c>
      <c r="Z46" s="380">
        <f t="shared" si="22"/>
        <v>55.518033517490942</v>
      </c>
      <c r="AA46" s="381">
        <f t="shared" si="13"/>
        <v>59.314747712391778</v>
      </c>
      <c r="AB46" s="193">
        <f t="shared" si="14"/>
        <v>47515</v>
      </c>
      <c r="AC46" s="119">
        <f>IF(OR(t&lt;Tnet,NoTnet),'2029'!Resal_s+('2029'!Salim-'2029'!Resal_s)*(1-EXP(('2029'!Tnet_s-t)/'2029'!Tau_j)),Resal_s+(Salim-Resal_s)*(1-EXP((Tnet_s-t)/Tau_j)))*Salcycl</f>
        <v>6.4009615505919909E-2</v>
      </c>
      <c r="AD46" s="227">
        <f>(INDEX(Models!$BJ46:$BT46,,AH46)*(1-AF46)+INDEX(Models!$BJ46:$BT46,,AH46+1)*AF46-ERP_i)*AE46*Ramure*Pc/MaxiM</f>
        <v>4.1359379049359804E-3</v>
      </c>
      <c r="AE46" s="301">
        <f t="shared" si="15"/>
        <v>0.5</v>
      </c>
      <c r="AF46" s="173">
        <f t="shared" si="23"/>
        <v>0.99131670050348752</v>
      </c>
      <c r="AG46" s="801">
        <f t="shared" si="24"/>
        <v>3</v>
      </c>
      <c r="AH46" s="172">
        <f t="shared" si="16"/>
        <v>9</v>
      </c>
      <c r="AI46" s="221">
        <f t="shared" si="17"/>
        <v>3.9913167005034875</v>
      </c>
      <c r="AJ46" s="261" t="b">
        <f t="shared" si="18"/>
        <v>1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47516</v>
      </c>
      <c r="B47" s="406">
        <f>'2029'!Wh/'2029'!Env_an*'2030'!Env_an</f>
        <v>24.252566612691449</v>
      </c>
      <c r="C47" s="831"/>
      <c r="D47" s="388">
        <f t="shared" si="0"/>
        <v>25.301144317479814</v>
      </c>
      <c r="E47" s="380">
        <f t="shared" si="1"/>
        <v>26.477054627031837</v>
      </c>
      <c r="F47" s="380">
        <f t="shared" si="2"/>
        <v>26.477054627031837</v>
      </c>
      <c r="G47" s="110">
        <f t="shared" si="21"/>
        <v>0.19674123162741311</v>
      </c>
      <c r="H47" s="409" t="b">
        <f>Wh_hp&gt;='2029'!Maxi_hp</f>
        <v>0</v>
      </c>
      <c r="I47" s="385">
        <f>IF(H47,Wh_hp,'2029'!Maxi_hp)</f>
        <v>26.487106634612363</v>
      </c>
      <c r="J47" s="85">
        <f>IF(H47,An,'2029'!An_max)</f>
        <v>2022</v>
      </c>
      <c r="K47" s="193">
        <f t="shared" si="3"/>
        <v>47516</v>
      </c>
      <c r="L47" s="143">
        <f>IF(t&lt;Tvie,1-EXP((T0-t)*PertePVj)+'2029'!Pspv,1-EXP((T0-t)*PertePVj)+Pspv)</f>
        <v>4.1443884578134749E-2</v>
      </c>
      <c r="M47" s="835"/>
      <c r="N47" s="835"/>
      <c r="O47" s="48">
        <f>IF(t&lt;Tnet,'2029'!Resal+('2029'!Salim-'2029'!Resal)*(1-EXP(('2029'!Tnet-t)/('2029'!Tau_j))),Resal+(Salim-Resal)*(1-EXP((Tnet-t)/(Tau_j))))*Salcycl</f>
        <v>4.4412429030209116E-2</v>
      </c>
      <c r="P47" s="165">
        <f>(INDEX(Models!$BJ47:$BT47,,T47)*(1-R47)+INDEX(Models!$BJ47:$BT47,,T47+1)*R47-ERP_i)*Q47*Ramure*Pc/MaxiM</f>
        <v>3.8071123885158119E-4</v>
      </c>
      <c r="Q47" s="301">
        <f t="shared" si="4"/>
        <v>0.5</v>
      </c>
      <c r="R47" s="173">
        <f t="shared" si="5"/>
        <v>0.46643281669475445</v>
      </c>
      <c r="S47" s="801">
        <f t="shared" si="6"/>
        <v>0</v>
      </c>
      <c r="T47" s="172">
        <f t="shared" si="7"/>
        <v>6</v>
      </c>
      <c r="U47" s="247">
        <f t="shared" si="8"/>
        <v>0.46643281669475445</v>
      </c>
      <c r="V47" s="378">
        <f t="shared" si="9"/>
        <v>123.2244669176557</v>
      </c>
      <c r="W47" s="397">
        <f t="shared" si="10"/>
        <v>24.252566612691449</v>
      </c>
      <c r="X47" s="153">
        <f t="shared" si="11"/>
        <v>47516</v>
      </c>
      <c r="Y47" s="380">
        <f t="shared" si="12"/>
        <v>23.754743273241981</v>
      </c>
      <c r="Z47" s="380">
        <f t="shared" si="22"/>
        <v>24.781797216730919</v>
      </c>
      <c r="AA47" s="381">
        <f t="shared" si="13"/>
        <v>26.477054627031837</v>
      </c>
      <c r="AB47" s="193">
        <f t="shared" si="14"/>
        <v>47516</v>
      </c>
      <c r="AC47" s="119">
        <f>IF(OR(t&lt;Tnet,NoTnet),'2029'!Resal_s+('2029'!Salim-'2029'!Resal_s)*(1-EXP(('2029'!Tnet_s-t)/'2029'!Tau_j)),Resal_s+(Salim-Resal_s)*(1-EXP((Tnet_s-t)/Tau_j)))*Salcycl</f>
        <v>6.4027416726713318E-2</v>
      </c>
      <c r="AD47" s="227">
        <f>(INDEX(Models!$BJ47:$BT47,,AH47)*(1-AF47)+INDEX(Models!$BJ47:$BT47,,AH47+1)*AF47-ERP_i)*AE47*Ramure*Pc/MaxiM</f>
        <v>3.9529446233745047E-3</v>
      </c>
      <c r="AE47" s="301">
        <f t="shared" si="15"/>
        <v>0.5</v>
      </c>
      <c r="AF47" s="173">
        <f t="shared" si="23"/>
        <v>0.99142038306873248</v>
      </c>
      <c r="AG47" s="801">
        <f t="shared" si="24"/>
        <v>3</v>
      </c>
      <c r="AH47" s="172">
        <f t="shared" si="16"/>
        <v>9</v>
      </c>
      <c r="AI47" s="221">
        <f t="shared" si="17"/>
        <v>3.9914203830687325</v>
      </c>
      <c r="AJ47" s="261" t="b">
        <f t="shared" si="18"/>
        <v>1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47517</v>
      </c>
      <c r="B48" s="406">
        <f>'2029'!Wh/'2029'!Env_an*'2030'!Env_an</f>
        <v>54.436545657329077</v>
      </c>
      <c r="C48" s="831"/>
      <c r="D48" s="388">
        <f t="shared" si="0"/>
        <v>56.790927502630822</v>
      </c>
      <c r="E48" s="380">
        <f t="shared" si="1"/>
        <v>59.432815409886523</v>
      </c>
      <c r="F48" s="380">
        <f t="shared" si="2"/>
        <v>59.43702915566508</v>
      </c>
      <c r="G48" s="110">
        <f t="shared" si="21"/>
        <v>0.43693818373679066</v>
      </c>
      <c r="H48" s="409" t="b">
        <f>Wh_hp&gt;='2029'!Maxi_hp</f>
        <v>0</v>
      </c>
      <c r="I48" s="385">
        <f>IF(H48,Wh_hp,'2029'!Maxi_hp)</f>
        <v>59.454283525557202</v>
      </c>
      <c r="J48" s="85">
        <f>IF(H48,An,'2029'!An_max)</f>
        <v>2022</v>
      </c>
      <c r="K48" s="193">
        <f t="shared" si="3"/>
        <v>47517</v>
      </c>
      <c r="L48" s="143">
        <f>IF(t&lt;Tvie,1-EXP((T0-t)*PertePVj)+'2029'!Pspv,1-EXP((T0-t)*PertePVj)+Pspv)</f>
        <v>4.1457006406396157E-2</v>
      </c>
      <c r="M48" s="835"/>
      <c r="N48" s="835"/>
      <c r="O48" s="48">
        <f>IF(t&lt;Tnet,'2029'!Resal+('2029'!Salim-'2029'!Resal)*(1-EXP(('2029'!Tnet-t)/('2029'!Tau_j))),Resal+(Salim-Resal)*(1-EXP((Tnet-t)/(Tau_j))))*Salcycl</f>
        <v>4.4451670159583755E-2</v>
      </c>
      <c r="P48" s="165">
        <f>(INDEX(Models!$BJ48:$BT48,,T48)*(1-R48)+INDEX(Models!$BJ48:$BT48,,T48+1)*R48-ERP_i)*Q48*Ramure*Pc/MaxiM</f>
        <v>3.6206060728589099E-4</v>
      </c>
      <c r="Q48" s="301">
        <f t="shared" si="4"/>
        <v>0.5</v>
      </c>
      <c r="R48" s="173">
        <f t="shared" si="5"/>
        <v>0.46654080306938744</v>
      </c>
      <c r="S48" s="801">
        <f t="shared" si="6"/>
        <v>0</v>
      </c>
      <c r="T48" s="172">
        <f t="shared" si="7"/>
        <v>6</v>
      </c>
      <c r="U48" s="247">
        <f t="shared" si="8"/>
        <v>0.46654080306938744</v>
      </c>
      <c r="V48" s="378">
        <f t="shared" si="9"/>
        <v>124.55009992360969</v>
      </c>
      <c r="W48" s="397">
        <f t="shared" si="10"/>
        <v>54.436545657329077</v>
      </c>
      <c r="X48" s="153">
        <f t="shared" si="11"/>
        <v>47517</v>
      </c>
      <c r="Y48" s="380">
        <f t="shared" si="12"/>
        <v>53.284791102373958</v>
      </c>
      <c r="Z48" s="380">
        <f t="shared" si="22"/>
        <v>55.589359536819337</v>
      </c>
      <c r="AA48" s="381">
        <f t="shared" si="13"/>
        <v>59.393215169718971</v>
      </c>
      <c r="AB48" s="193">
        <f t="shared" si="14"/>
        <v>47517</v>
      </c>
      <c r="AC48" s="119">
        <f>IF(OR(t&lt;Tnet,NoTnet),'2029'!Resal_s+('2029'!Salim-'2029'!Resal_s)*(1-EXP(('2029'!Tnet_s-t)/'2029'!Tau_j)),Resal_s+(Salim-Resal_s)*(1-EXP((Tnet_s-t)/Tau_j)))*Salcycl</f>
        <v>6.4045289045725665E-2</v>
      </c>
      <c r="AD48" s="227">
        <f>(INDEX(Models!$BJ48:$BT48,,AH48)*(1-AF48)+INDEX(Models!$BJ48:$BT48,,AH48+1)*AF48-ERP_i)*AE48*Ramure*Pc/MaxiM</f>
        <v>3.7646595672633817E-3</v>
      </c>
      <c r="AE48" s="301">
        <f t="shared" si="15"/>
        <v>0.5</v>
      </c>
      <c r="AF48" s="173">
        <f t="shared" si="23"/>
        <v>0.99152836944336542</v>
      </c>
      <c r="AG48" s="801">
        <f t="shared" si="24"/>
        <v>3</v>
      </c>
      <c r="AH48" s="172">
        <f t="shared" si="16"/>
        <v>9</v>
      </c>
      <c r="AI48" s="221">
        <f t="shared" si="17"/>
        <v>3.9915283694433654</v>
      </c>
      <c r="AJ48" s="261" t="b">
        <f t="shared" si="18"/>
        <v>1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47518</v>
      </c>
      <c r="B49" s="406">
        <f>'2029'!Wh/'2029'!Env_an*'2030'!Env_an</f>
        <v>49.526535243631209</v>
      </c>
      <c r="C49" s="831"/>
      <c r="D49" s="388">
        <f t="shared" si="0"/>
        <v>51.669266335055447</v>
      </c>
      <c r="E49" s="380">
        <f t="shared" si="1"/>
        <v>54.075118582833916</v>
      </c>
      <c r="F49" s="380">
        <f t="shared" si="2"/>
        <v>54.077590272667656</v>
      </c>
      <c r="G49" s="110">
        <f t="shared" si="21"/>
        <v>0.39331936223650138</v>
      </c>
      <c r="H49" s="409" t="b">
        <f>Wh_hp&gt;='2029'!Maxi_hp</f>
        <v>0</v>
      </c>
      <c r="I49" s="385">
        <f>IF(H49,Wh_hp,'2029'!Maxi_hp)</f>
        <v>54.093584600989601</v>
      </c>
      <c r="J49" s="85">
        <f>IF(H49,An,'2029'!An_max)</f>
        <v>2022</v>
      </c>
      <c r="K49" s="193">
        <f t="shared" si="3"/>
        <v>47518</v>
      </c>
      <c r="L49" s="143">
        <f>IF(t&lt;Tvie,1-EXP((T0-t)*PertePVj)+'2029'!Pspv,1-EXP((T0-t)*PertePVj)+Pspv)</f>
        <v>4.1470128055030697E-2</v>
      </c>
      <c r="M49" s="835"/>
      <c r="N49" s="835"/>
      <c r="O49" s="48">
        <f>IF(t&lt;Tnet,'2029'!Resal+('2029'!Salim-'2029'!Resal)*(1-EXP(('2029'!Tnet-t)/('2029'!Tau_j))),Resal+(Salim-Resal)*(1-EXP((Tnet-t)/(Tau_j))))*Salcycl</f>
        <v>4.4490928745595099E-2</v>
      </c>
      <c r="P49" s="165">
        <f>(INDEX(Models!$BJ49:$BT49,,T49)*(1-R49)+INDEX(Models!$BJ49:$BT49,,T49+1)*R49-ERP_i)*Q49*Ramure*Pc/MaxiM</f>
        <v>3.4242065297451264E-4</v>
      </c>
      <c r="Q49" s="301">
        <f t="shared" si="4"/>
        <v>0.5</v>
      </c>
      <c r="R49" s="173">
        <f t="shared" si="5"/>
        <v>0.46665326990875339</v>
      </c>
      <c r="S49" s="801">
        <f t="shared" si="6"/>
        <v>0</v>
      </c>
      <c r="T49" s="172">
        <f t="shared" si="7"/>
        <v>6</v>
      </c>
      <c r="U49" s="247">
        <f t="shared" si="8"/>
        <v>0.46665326990875339</v>
      </c>
      <c r="V49" s="378">
        <f t="shared" si="9"/>
        <v>125.88202894343692</v>
      </c>
      <c r="W49" s="397">
        <f t="shared" si="10"/>
        <v>49.526535243631209</v>
      </c>
      <c r="X49" s="153">
        <f t="shared" si="11"/>
        <v>47518</v>
      </c>
      <c r="Y49" s="380">
        <f t="shared" si="12"/>
        <v>48.491142271093686</v>
      </c>
      <c r="Z49" s="380">
        <f t="shared" si="22"/>
        <v>50.58907780588985</v>
      </c>
      <c r="AA49" s="381">
        <f t="shared" si="13"/>
        <v>54.05181133895838</v>
      </c>
      <c r="AB49" s="193">
        <f t="shared" si="14"/>
        <v>47518</v>
      </c>
      <c r="AC49" s="119">
        <f>IF(OR(t&lt;Tnet,NoTnet),'2029'!Resal_s+('2029'!Salim-'2029'!Resal_s)*(1-EXP(('2029'!Tnet_s-t)/'2029'!Tau_j)),Resal_s+(Salim-Resal_s)*(1-EXP((Tnet_s-t)/Tau_j)))*Salcycl</f>
        <v>6.4063228359800203E-2</v>
      </c>
      <c r="AD49" s="227">
        <f>(INDEX(Models!$BJ49:$BT49,,AH49)*(1-AF49)+INDEX(Models!$BJ49:$BT49,,AH49+1)*AF49-ERP_i)*AE49*Ramure*Pc/MaxiM</f>
        <v>3.5713377921478416E-3</v>
      </c>
      <c r="AE49" s="301">
        <f t="shared" si="15"/>
        <v>0.5</v>
      </c>
      <c r="AF49" s="173">
        <f t="shared" si="23"/>
        <v>0.99164083628273136</v>
      </c>
      <c r="AG49" s="801">
        <f t="shared" si="24"/>
        <v>3</v>
      </c>
      <c r="AH49" s="172">
        <f t="shared" si="16"/>
        <v>9</v>
      </c>
      <c r="AI49" s="221">
        <f t="shared" si="17"/>
        <v>3.9916408362827314</v>
      </c>
      <c r="AJ49" s="261" t="b">
        <f t="shared" si="18"/>
        <v>1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47519</v>
      </c>
      <c r="B50" s="406">
        <f>'2029'!Wh/'2029'!Env_an*'2030'!Env_an</f>
        <v>41.516035267996912</v>
      </c>
      <c r="C50" s="831"/>
      <c r="D50" s="388">
        <f t="shared" si="0"/>
        <v>43.312790566656027</v>
      </c>
      <c r="E50" s="380">
        <f t="shared" si="1"/>
        <v>45.331407273722348</v>
      </c>
      <c r="F50" s="380">
        <f t="shared" si="2"/>
        <v>45.33195617974129</v>
      </c>
      <c r="G50" s="110">
        <f t="shared" si="21"/>
        <v>0.3262359706211958</v>
      </c>
      <c r="H50" s="409" t="b">
        <f>Wh_hp&gt;='2029'!Maxi_hp</f>
        <v>0</v>
      </c>
      <c r="I50" s="385">
        <f>IF(H50,Wh_hp,'2029'!Maxi_hp)</f>
        <v>45.345948475362562</v>
      </c>
      <c r="J50" s="85">
        <f>IF(H50,An,'2029'!An_max)</f>
        <v>2022</v>
      </c>
      <c r="K50" s="193">
        <f t="shared" si="3"/>
        <v>47519</v>
      </c>
      <c r="L50" s="143">
        <f>IF(t&lt;Tvie,1-EXP((T0-t)*PertePVj)+'2029'!Pspv,1-EXP((T0-t)*PertePVj)+Pspv)</f>
        <v>4.1483249524040922E-2</v>
      </c>
      <c r="M50" s="835"/>
      <c r="N50" s="835"/>
      <c r="O50" s="48">
        <f>IF(t&lt;Tnet,'2029'!Resal+('2029'!Salim-'2029'!Resal)*(1-EXP(('2029'!Tnet-t)/('2029'!Tau_j))),Resal+(Salim-Resal)*(1-EXP((Tnet-t)/(Tau_j))))*Salcycl</f>
        <v>4.4530201651967423E-2</v>
      </c>
      <c r="P50" s="165">
        <f>(INDEX(Models!$BJ50:$BT50,,T50)*(1-R50)+INDEX(Models!$BJ50:$BT50,,T50+1)*R50-ERP_i)*Q50*Ramure*Pc/MaxiM</f>
        <v>3.2182852000656311E-4</v>
      </c>
      <c r="Q50" s="301">
        <f t="shared" si="4"/>
        <v>0.5</v>
      </c>
      <c r="R50" s="173">
        <f t="shared" si="5"/>
        <v>0.46677040094953426</v>
      </c>
      <c r="S50" s="801">
        <f t="shared" si="6"/>
        <v>0</v>
      </c>
      <c r="T50" s="172">
        <f t="shared" si="7"/>
        <v>6</v>
      </c>
      <c r="U50" s="247">
        <f t="shared" si="8"/>
        <v>0.46677040094953426</v>
      </c>
      <c r="V50" s="378">
        <f t="shared" si="9"/>
        <v>127.2182729871445</v>
      </c>
      <c r="W50" s="397">
        <f t="shared" si="10"/>
        <v>41.516035267996912</v>
      </c>
      <c r="X50" s="153">
        <f t="shared" si="11"/>
        <v>47519</v>
      </c>
      <c r="Y50" s="380">
        <f t="shared" si="12"/>
        <v>40.661856403545137</v>
      </c>
      <c r="Z50" s="380">
        <f t="shared" si="22"/>
        <v>42.421644048843355</v>
      </c>
      <c r="AA50" s="381">
        <f t="shared" si="13"/>
        <v>45.326202878491337</v>
      </c>
      <c r="AB50" s="193">
        <f t="shared" si="14"/>
        <v>47519</v>
      </c>
      <c r="AC50" s="119">
        <f>IF(OR(t&lt;Tnet,NoTnet),'2029'!Resal_s+('2029'!Salim-'2029'!Resal_s)*(1-EXP(('2029'!Tnet_s-t)/'2029'!Tau_j)),Resal_s+(Salim-Resal_s)*(1-EXP((Tnet_s-t)/Tau_j)))*Salcycl</f>
        <v>6.4081229955096866E-2</v>
      </c>
      <c r="AD50" s="227">
        <f>(INDEX(Models!$BJ50:$BT50,,AH50)*(1-AF50)+INDEX(Models!$BJ50:$BT50,,AH50+1)*AF50-ERP_i)*AE50*Ramure*Pc/MaxiM</f>
        <v>3.3732121028452037E-3</v>
      </c>
      <c r="AE50" s="301">
        <f t="shared" si="15"/>
        <v>0.5</v>
      </c>
      <c r="AF50" s="173">
        <f t="shared" si="23"/>
        <v>0.99175796732351218</v>
      </c>
      <c r="AG50" s="801">
        <f t="shared" si="24"/>
        <v>3</v>
      </c>
      <c r="AH50" s="172">
        <f t="shared" si="16"/>
        <v>9</v>
      </c>
      <c r="AI50" s="221">
        <f t="shared" si="17"/>
        <v>3.9917579673235122</v>
      </c>
      <c r="AJ50" s="261" t="b">
        <f t="shared" si="18"/>
        <v>1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47520</v>
      </c>
      <c r="B51" s="406">
        <f>'2029'!Wh/'2029'!Env_an*'2030'!Env_an</f>
        <v>88.076078810060949</v>
      </c>
      <c r="C51" s="831"/>
      <c r="D51" s="388">
        <f t="shared" si="0"/>
        <v>91.889144837986962</v>
      </c>
      <c r="E51" s="380">
        <f t="shared" si="1"/>
        <v>96.175643783986288</v>
      </c>
      <c r="F51" s="380">
        <f t="shared" si="2"/>
        <v>96.191533026031294</v>
      </c>
      <c r="G51" s="110">
        <f t="shared" si="21"/>
        <v>0.68496059136563126</v>
      </c>
      <c r="H51" s="409" t="b">
        <f>Wh_hp&gt;='2029'!Maxi_hp</f>
        <v>0</v>
      </c>
      <c r="I51" s="385">
        <f>IF(H51,Wh_hp,'2029'!Maxi_hp)</f>
        <v>96.204482022680693</v>
      </c>
      <c r="J51" s="85">
        <f>IF(H51,An,'2029'!An_max)</f>
        <v>2022</v>
      </c>
      <c r="K51" s="193">
        <f t="shared" si="3"/>
        <v>47520</v>
      </c>
      <c r="L51" s="143">
        <f>IF(t&lt;Tvie,1-EXP((T0-t)*PertePVj)+'2029'!Pspv,1-EXP((T0-t)*PertePVj)+Pspv)</f>
        <v>4.1496370813429162E-2</v>
      </c>
      <c r="M51" s="835"/>
      <c r="N51" s="835"/>
      <c r="O51" s="48">
        <f>IF(t&lt;Tnet,'2029'!Resal+('2029'!Salim-'2029'!Resal)*(1-EXP(('2029'!Tnet-t)/('2029'!Tau_j))),Resal+(Salim-Resal)*(1-EXP((Tnet-t)/(Tau_j))))*Salcycl</f>
        <v>4.456948534315977E-2</v>
      </c>
      <c r="P51" s="165">
        <f>(INDEX(Models!$BJ51:$BT51,,T51)*(1-R51)+INDEX(Models!$BJ51:$BT51,,T51+1)*R51-ERP_i)*Q51*Ramure*Pc/MaxiM</f>
        <v>3.0029194239707683E-4</v>
      </c>
      <c r="Q51" s="301">
        <f t="shared" si="4"/>
        <v>0.5</v>
      </c>
      <c r="R51" s="173">
        <f t="shared" si="5"/>
        <v>0.46689238727912841</v>
      </c>
      <c r="S51" s="801">
        <f t="shared" si="6"/>
        <v>0</v>
      </c>
      <c r="T51" s="172">
        <f t="shared" si="7"/>
        <v>6</v>
      </c>
      <c r="U51" s="247">
        <f t="shared" si="8"/>
        <v>0.46689238727912841</v>
      </c>
      <c r="V51" s="378">
        <f t="shared" si="9"/>
        <v>128.5682389926265</v>
      </c>
      <c r="W51" s="397">
        <f t="shared" si="10"/>
        <v>88.076078810060949</v>
      </c>
      <c r="X51" s="153">
        <f t="shared" si="11"/>
        <v>47520</v>
      </c>
      <c r="Y51" s="380">
        <f t="shared" si="12"/>
        <v>86.139505901395424</v>
      </c>
      <c r="Z51" s="380">
        <f t="shared" si="22"/>
        <v>89.868732134584889</v>
      </c>
      <c r="AA51" s="381">
        <f t="shared" si="13"/>
        <v>96.023788672920318</v>
      </c>
      <c r="AB51" s="193">
        <f t="shared" si="14"/>
        <v>47520</v>
      </c>
      <c r="AC51" s="119">
        <f>IF(OR(t&lt;Tnet,NoTnet),'2029'!Resal_s+('2029'!Salim-'2029'!Resal_s)*(1-EXP(('2029'!Tnet_s-t)/'2029'!Tau_j)),Resal_s+(Salim-Resal_s)*(1-EXP((Tnet_s-t)/Tau_j)))*Salcycl</f>
        <v>6.4099288555474546E-2</v>
      </c>
      <c r="AD51" s="227">
        <f>(INDEX(Models!$BJ51:$BT51,,AH51)*(1-AF51)+INDEX(Models!$BJ51:$BT51,,AH51+1)*AF51-ERP_i)*AE51*Ramure*Pc/MaxiM</f>
        <v>3.1702127438889994E-3</v>
      </c>
      <c r="AE51" s="301">
        <f t="shared" si="15"/>
        <v>0.5</v>
      </c>
      <c r="AF51" s="173">
        <f t="shared" si="23"/>
        <v>0.99187995365310666</v>
      </c>
      <c r="AG51" s="801">
        <f t="shared" si="24"/>
        <v>3</v>
      </c>
      <c r="AH51" s="172">
        <f t="shared" si="16"/>
        <v>9</v>
      </c>
      <c r="AI51" s="221">
        <f t="shared" si="17"/>
        <v>3.9918799536531067</v>
      </c>
      <c r="AJ51" s="261" t="b">
        <f t="shared" si="18"/>
        <v>1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47521</v>
      </c>
      <c r="B52" s="406">
        <f>'2029'!Wh/'2029'!Env_an*'2030'!Env_an</f>
        <v>39.796295238660285</v>
      </c>
      <c r="C52" s="831"/>
      <c r="D52" s="388">
        <f t="shared" si="0"/>
        <v>41.51975935422773</v>
      </c>
      <c r="E52" s="380">
        <f t="shared" si="1"/>
        <v>43.45838469927611</v>
      </c>
      <c r="F52" s="380">
        <f t="shared" si="2"/>
        <v>43.458493085352288</v>
      </c>
      <c r="G52" s="110">
        <f t="shared" si="21"/>
        <v>0.30618079350862026</v>
      </c>
      <c r="H52" s="409" t="b">
        <f>Wh_hp&gt;='2029'!Maxi_hp</f>
        <v>0</v>
      </c>
      <c r="I52" s="385">
        <f>IF(H52,Wh_hp,'2029'!Maxi_hp)</f>
        <v>43.470447620371786</v>
      </c>
      <c r="J52" s="85">
        <f>IF(H52,An,'2029'!An_max)</f>
        <v>2022</v>
      </c>
      <c r="K52" s="193">
        <f t="shared" si="3"/>
        <v>47521</v>
      </c>
      <c r="L52" s="143">
        <f>IF(t&lt;Tvie,1-EXP((T0-t)*PertePVj)+'2029'!Pspv,1-EXP((T0-t)*PertePVj)+Pspv)</f>
        <v>4.1509491923198083E-2</v>
      </c>
      <c r="M52" s="835"/>
      <c r="N52" s="835"/>
      <c r="O52" s="48">
        <f>IF(t&lt;Tnet,'2029'!Resal+('2029'!Salim-'2029'!Resal)*(1-EXP(('2029'!Tnet-t)/('2029'!Tau_j))),Resal+(Salim-Resal)*(1-EXP((Tnet-t)/(Tau_j))))*Salcycl</f>
        <v>4.4608775923525565E-2</v>
      </c>
      <c r="P52" s="165">
        <f>(INDEX(Models!$BJ52:$BT52,,T52)*(1-R52)+INDEX(Models!$BJ52:$BT52,,T52+1)*R52-ERP_i)*Q52*Ramure*Pc/MaxiM</f>
        <v>2.7864433439302633E-4</v>
      </c>
      <c r="Q52" s="301">
        <f t="shared" si="4"/>
        <v>0.5</v>
      </c>
      <c r="R52" s="173">
        <f t="shared" si="5"/>
        <v>0.46701942761402987</v>
      </c>
      <c r="S52" s="801">
        <f t="shared" si="6"/>
        <v>0</v>
      </c>
      <c r="T52" s="172">
        <f t="shared" si="7"/>
        <v>6</v>
      </c>
      <c r="U52" s="247">
        <f t="shared" si="8"/>
        <v>0.46701942761402987</v>
      </c>
      <c r="V52" s="378">
        <f t="shared" si="9"/>
        <v>129.9405654928452</v>
      </c>
      <c r="W52" s="397">
        <f t="shared" si="10"/>
        <v>39.796295238660285</v>
      </c>
      <c r="X52" s="153">
        <f t="shared" si="11"/>
        <v>47521</v>
      </c>
      <c r="Y52" s="380">
        <f t="shared" si="12"/>
        <v>38.982736598321132</v>
      </c>
      <c r="Z52" s="380">
        <f t="shared" si="22"/>
        <v>40.670967808058379</v>
      </c>
      <c r="AA52" s="381">
        <f t="shared" si="13"/>
        <v>43.457339347558467</v>
      </c>
      <c r="AB52" s="193">
        <f t="shared" si="14"/>
        <v>47521</v>
      </c>
      <c r="AC52" s="119">
        <f>IF(OR(t&lt;Tnet,NoTnet),'2029'!Resal_s+('2029'!Salim-'2029'!Resal_s)*(1-EXP(('2029'!Tnet_s-t)/'2029'!Tau_j)),Resal_s+(Salim-Resal_s)*(1-EXP((Tnet_s-t)/Tau_j)))*Salcycl</f>
        <v>6.4117398380410473E-2</v>
      </c>
      <c r="AD52" s="227">
        <f>(INDEX(Models!$BJ52:$BT52,,AH52)*(1-AF52)+INDEX(Models!$BJ52:$BT52,,AH52+1)*AF52-ERP_i)*AE52*Ramure*Pc/MaxiM</f>
        <v>2.9660867055738647E-3</v>
      </c>
      <c r="AE52" s="301">
        <f t="shared" si="15"/>
        <v>0.5</v>
      </c>
      <c r="AF52" s="173">
        <f t="shared" si="23"/>
        <v>0.99200699398800785</v>
      </c>
      <c r="AG52" s="801">
        <f t="shared" si="24"/>
        <v>3</v>
      </c>
      <c r="AH52" s="172">
        <f t="shared" si="16"/>
        <v>9</v>
      </c>
      <c r="AI52" s="221">
        <f t="shared" si="17"/>
        <v>3.9920069939880078</v>
      </c>
      <c r="AJ52" s="261" t="b">
        <f t="shared" si="18"/>
        <v>1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47522</v>
      </c>
      <c r="B53" s="406">
        <f>'2029'!Wh/'2029'!Env_an*'2030'!Env_an</f>
        <v>133.16104160088454</v>
      </c>
      <c r="C53" s="831"/>
      <c r="D53" s="388">
        <f t="shared" si="0"/>
        <v>138.92976859610616</v>
      </c>
      <c r="E53" s="380">
        <f t="shared" si="1"/>
        <v>145.42260722418078</v>
      </c>
      <c r="F53" s="380">
        <f t="shared" si="2"/>
        <v>145.46002837728116</v>
      </c>
      <c r="G53" s="110">
        <f t="shared" si="21"/>
        <v>1.0139250594819575</v>
      </c>
      <c r="H53" s="409" t="b">
        <f>Wh_hp&gt;='2029'!Maxi_hp</f>
        <v>1</v>
      </c>
      <c r="I53" s="385">
        <f>IF(H53,Wh_hp,'2029'!Maxi_hp)</f>
        <v>145.46002837728116</v>
      </c>
      <c r="J53" s="85">
        <f>IF(H53,An,'2029'!An_max)</f>
        <v>2030</v>
      </c>
      <c r="K53" s="193">
        <f t="shared" si="3"/>
        <v>47522</v>
      </c>
      <c r="L53" s="143">
        <f>IF(t&lt;Tvie,1-EXP((T0-t)*PertePVj)+'2029'!Pspv,1-EXP((T0-t)*PertePVj)+Pspv)</f>
        <v>4.1522612853350016E-2</v>
      </c>
      <c r="M53" s="835"/>
      <c r="N53" s="835"/>
      <c r="O53" s="48">
        <f>IF(t&lt;Tnet,'2029'!Resal+('2029'!Salim-'2029'!Resal)*(1-EXP(('2029'!Tnet-t)/('2029'!Tau_j))),Resal+(Salim-Resal)*(1-EXP((Tnet-t)/(Tau_j))))*Salcycl</f>
        <v>4.4648069182705516E-2</v>
      </c>
      <c r="P53" s="165">
        <f>(INDEX(Models!$BJ53:$BT53,,T53)*(1-R53)+INDEX(Models!$BJ53:$BT53,,T53+1)*R53-ERP_i)*Q53*Ramure*Pc/MaxiM</f>
        <v>2.5726073009766422E-4</v>
      </c>
      <c r="Q53" s="301">
        <f t="shared" si="4"/>
        <v>0.5</v>
      </c>
      <c r="R53" s="173">
        <f t="shared" si="5"/>
        <v>0.46715172858739612</v>
      </c>
      <c r="S53" s="801">
        <f t="shared" si="6"/>
        <v>0</v>
      </c>
      <c r="T53" s="172">
        <f t="shared" si="7"/>
        <v>6</v>
      </c>
      <c r="U53" s="247">
        <f t="shared" si="8"/>
        <v>0.46715172858739612</v>
      </c>
      <c r="V53" s="378">
        <f t="shared" si="9"/>
        <v>131.33223245209089</v>
      </c>
      <c r="W53" s="397">
        <f t="shared" si="10"/>
        <v>133.16104160088454</v>
      </c>
      <c r="X53" s="153">
        <f t="shared" si="11"/>
        <v>47522</v>
      </c>
      <c r="Y53" s="380">
        <f t="shared" si="12"/>
        <v>130.11746201903435</v>
      </c>
      <c r="Z53" s="380">
        <f t="shared" si="22"/>
        <v>135.75433678867375</v>
      </c>
      <c r="AA53" s="381">
        <f t="shared" si="13"/>
        <v>145.0576921204235</v>
      </c>
      <c r="AB53" s="193">
        <f t="shared" si="14"/>
        <v>47522</v>
      </c>
      <c r="AC53" s="119">
        <f>IF(OR(t&lt;Tnet,NoTnet),'2029'!Resal_s+('2029'!Salim-'2029'!Resal_s)*(1-EXP(('2029'!Tnet_s-t)/'2029'!Tau_j)),Resal_s+(Salim-Resal_s)*(1-EXP((Tnet_s-t)/Tau_j)))*Salcycl</f>
        <v>6.4135553211658147E-2</v>
      </c>
      <c r="AD53" s="227">
        <f>(INDEX(Models!$BJ53:$BT53,,AH53)*(1-AF53)+INDEX(Models!$BJ53:$BT53,,AH53+1)*AF53-ERP_i)*AE53*Ramure*Pc/MaxiM</f>
        <v>2.7659575028688662E-3</v>
      </c>
      <c r="AE53" s="301">
        <f t="shared" si="15"/>
        <v>0.5</v>
      </c>
      <c r="AF53" s="173">
        <f t="shared" si="23"/>
        <v>0.99213929496137432</v>
      </c>
      <c r="AG53" s="801">
        <f t="shared" si="24"/>
        <v>3</v>
      </c>
      <c r="AH53" s="172">
        <f t="shared" si="16"/>
        <v>9</v>
      </c>
      <c r="AI53" s="221">
        <f t="shared" si="17"/>
        <v>3.9921392949613743</v>
      </c>
      <c r="AJ53" s="261" t="b">
        <f t="shared" si="18"/>
        <v>1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47523</v>
      </c>
      <c r="B54" s="406">
        <f>'2029'!Wh/'2029'!Env_an*'2030'!Env_an</f>
        <v>132.52094031970177</v>
      </c>
      <c r="C54" s="831"/>
      <c r="D54" s="388">
        <f t="shared" si="0"/>
        <v>138.26382992658563</v>
      </c>
      <c r="E54" s="380">
        <f t="shared" si="1"/>
        <v>144.73149860152512</v>
      </c>
      <c r="F54" s="380">
        <f t="shared" si="2"/>
        <v>144.76560375358636</v>
      </c>
      <c r="G54" s="110">
        <f t="shared" si="21"/>
        <v>0.99834714142112724</v>
      </c>
      <c r="H54" s="409" t="b">
        <f>Wh_hp&gt;='2029'!Maxi_hp</f>
        <v>0</v>
      </c>
      <c r="I54" s="385">
        <f>IF(H54,Wh_hp,'2029'!Maxi_hp)</f>
        <v>144.76568409319361</v>
      </c>
      <c r="J54" s="85">
        <f>IF(H54,An,'2029'!An_max)</f>
        <v>2022</v>
      </c>
      <c r="K54" s="193">
        <f t="shared" si="3"/>
        <v>47523</v>
      </c>
      <c r="L54" s="143">
        <f>IF(t&lt;Tvie,1-EXP((T0-t)*PertePVj)+'2029'!Pspv,1-EXP((T0-t)*PertePVj)+Pspv)</f>
        <v>4.1535733603887404E-2</v>
      </c>
      <c r="M54" s="835"/>
      <c r="N54" s="835"/>
      <c r="O54" s="48">
        <f>IF(t&lt;Tnet,'2029'!Resal+('2029'!Salim-'2029'!Resal)*(1-EXP(('2029'!Tnet-t)/('2029'!Tau_j))),Resal+(Salim-Resal)*(1-EXP((Tnet-t)/(Tau_j))))*Salcycl</f>
        <v>4.4687360646670761E-2</v>
      </c>
      <c r="P54" s="165">
        <f>(INDEX(Models!$BJ54:$BT54,,T54)*(1-R54)+INDEX(Models!$BJ54:$BT54,,T54+1)*R54-ERP_i)*Q54*Ramure*Pc/MaxiM</f>
        <v>2.3614618747054954E-4</v>
      </c>
      <c r="Q54" s="301">
        <f t="shared" si="4"/>
        <v>0.5</v>
      </c>
      <c r="R54" s="173">
        <f t="shared" si="5"/>
        <v>0.46728950504598726</v>
      </c>
      <c r="S54" s="801">
        <f t="shared" si="6"/>
        <v>0</v>
      </c>
      <c r="T54" s="172">
        <f t="shared" si="7"/>
        <v>6</v>
      </c>
      <c r="U54" s="247">
        <f t="shared" si="8"/>
        <v>0.46728950504598726</v>
      </c>
      <c r="V54" s="378">
        <f t="shared" si="9"/>
        <v>132.74026732382069</v>
      </c>
      <c r="W54" s="397">
        <f t="shared" si="10"/>
        <v>132.52094031970177</v>
      </c>
      <c r="X54" s="153">
        <f t="shared" si="11"/>
        <v>47523</v>
      </c>
      <c r="Y54" s="380">
        <f t="shared" si="12"/>
        <v>129.5182466352399</v>
      </c>
      <c r="Z54" s="380">
        <f t="shared" si="22"/>
        <v>135.13101236651926</v>
      </c>
      <c r="AA54" s="381">
        <f t="shared" si="13"/>
        <v>144.39445780381658</v>
      </c>
      <c r="AB54" s="193">
        <f t="shared" si="14"/>
        <v>47523</v>
      </c>
      <c r="AC54" s="119">
        <f>IF(OR(t&lt;Tnet,NoTnet),'2029'!Resal_s+('2029'!Salim-'2029'!Resal_s)*(1-EXP(('2029'!Tnet_s-t)/'2029'!Tau_j)),Resal_s+(Salim-Resal_s)*(1-EXP((Tnet_s-t)/Tau_j)))*Salcycl</f>
        <v>6.4153746467771069E-2</v>
      </c>
      <c r="AD54" s="227">
        <f>(INDEX(Models!$BJ54:$BT54,,AH54)*(1-AF54)+INDEX(Models!$BJ54:$BT54,,AH54+1)*AF54-ERP_i)*AE54*Ramure*Pc/MaxiM</f>
        <v>2.5698375681156003E-3</v>
      </c>
      <c r="AE54" s="301">
        <f t="shared" si="15"/>
        <v>0.5</v>
      </c>
      <c r="AF54" s="173">
        <f t="shared" si="23"/>
        <v>0.99227707141996557</v>
      </c>
      <c r="AG54" s="801">
        <f t="shared" si="24"/>
        <v>3</v>
      </c>
      <c r="AH54" s="172">
        <f t="shared" si="16"/>
        <v>9</v>
      </c>
      <c r="AI54" s="221">
        <f t="shared" si="17"/>
        <v>3.9922770714199656</v>
      </c>
      <c r="AJ54" s="261" t="b">
        <f t="shared" si="18"/>
        <v>1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47524</v>
      </c>
      <c r="B55" s="406">
        <f>'2029'!Wh/'2029'!Env_an*'2030'!Env_an</f>
        <v>124.46531928255573</v>
      </c>
      <c r="C55" s="831"/>
      <c r="D55" s="388">
        <f t="shared" si="0"/>
        <v>129.8608904842992</v>
      </c>
      <c r="E55" s="380">
        <f t="shared" si="1"/>
        <v>135.94107894955008</v>
      </c>
      <c r="F55" s="380">
        <f t="shared" si="2"/>
        <v>135.96733066777298</v>
      </c>
      <c r="G55" s="110">
        <f t="shared" si="21"/>
        <v>0.9277055488313648</v>
      </c>
      <c r="H55" s="409" t="b">
        <f>Wh_hp&gt;='2029'!Maxi_hp</f>
        <v>0</v>
      </c>
      <c r="I55" s="385">
        <f>IF(H55,Wh_hp,'2029'!Maxi_hp)</f>
        <v>135.97033911419149</v>
      </c>
      <c r="J55" s="85">
        <f>IF(H55,An,'2029'!An_max)</f>
        <v>2022</v>
      </c>
      <c r="K55" s="193">
        <f t="shared" si="3"/>
        <v>47524</v>
      </c>
      <c r="L55" s="143">
        <f>IF(t&lt;Tvie,1-EXP((T0-t)*PertePVj)+'2029'!Pspv,1-EXP((T0-t)*PertePVj)+Pspv)</f>
        <v>4.1548854174812688E-2</v>
      </c>
      <c r="M55" s="835"/>
      <c r="N55" s="835"/>
      <c r="O55" s="48">
        <f>IF(t&lt;Tnet,'2029'!Resal+('2029'!Salim-'2029'!Resal)*(1-EXP(('2029'!Tnet-t)/('2029'!Tau_j))),Resal+(Salim-Resal)*(1-EXP((Tnet-t)/(Tau_j))))*Salcycl</f>
        <v>4.4726645633784715E-2</v>
      </c>
      <c r="P55" s="165">
        <f>(INDEX(Models!$BJ55:$BT55,,T55)*(1-R55)+INDEX(Models!$BJ55:$BT55,,T55+1)*R55-ERP_i)*Q55*Ramure*Pc/MaxiM</f>
        <v>2.1530343744406334E-4</v>
      </c>
      <c r="Q55" s="301">
        <f t="shared" si="4"/>
        <v>0.5</v>
      </c>
      <c r="R55" s="173">
        <f t="shared" si="5"/>
        <v>0.46743298035664976</v>
      </c>
      <c r="S55" s="801">
        <f t="shared" si="6"/>
        <v>0</v>
      </c>
      <c r="T55" s="172">
        <f t="shared" si="7"/>
        <v>6</v>
      </c>
      <c r="U55" s="247">
        <f t="shared" si="8"/>
        <v>0.46743298035664976</v>
      </c>
      <c r="V55" s="378">
        <f t="shared" si="9"/>
        <v>134.1616982630523</v>
      </c>
      <c r="W55" s="397">
        <f t="shared" si="10"/>
        <v>124.46531928255573</v>
      </c>
      <c r="X55" s="153">
        <f t="shared" si="11"/>
        <v>47524</v>
      </c>
      <c r="Y55" s="380">
        <f t="shared" si="12"/>
        <v>121.69524226544765</v>
      </c>
      <c r="Z55" s="380">
        <f t="shared" si="22"/>
        <v>126.97073063716044</v>
      </c>
      <c r="AA55" s="381">
        <f t="shared" si="13"/>
        <v>135.67741800978251</v>
      </c>
      <c r="AB55" s="193">
        <f t="shared" si="14"/>
        <v>47524</v>
      </c>
      <c r="AC55" s="119">
        <f>IF(OR(t&lt;Tnet,NoTnet),'2029'!Resal_s+('2029'!Salim-'2029'!Resal_s)*(1-EXP(('2029'!Tnet_s-t)/'2029'!Tau_j)),Resal_s+(Salim-Resal_s)*(1-EXP((Tnet_s-t)/Tau_j)))*Salcycl</f>
        <v>6.417197128555549E-2</v>
      </c>
      <c r="AD55" s="227">
        <f>(INDEX(Models!$BJ55:$BT55,,AH55)*(1-AF55)+INDEX(Models!$BJ55:$BT55,,AH55+1)*AF55-ERP_i)*AE55*Ramure*Pc/MaxiM</f>
        <v>2.3777183380494483E-3</v>
      </c>
      <c r="AE55" s="301">
        <f t="shared" si="15"/>
        <v>0.5</v>
      </c>
      <c r="AF55" s="173">
        <f t="shared" si="23"/>
        <v>0.99242054673062796</v>
      </c>
      <c r="AG55" s="801">
        <f t="shared" si="24"/>
        <v>3</v>
      </c>
      <c r="AH55" s="172">
        <f t="shared" si="16"/>
        <v>9</v>
      </c>
      <c r="AI55" s="221">
        <f t="shared" si="17"/>
        <v>3.992420546730628</v>
      </c>
      <c r="AJ55" s="261" t="b">
        <f t="shared" si="18"/>
        <v>1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47525</v>
      </c>
      <c r="B56" s="406">
        <f>'2029'!Wh/'2029'!Env_an*'2030'!Env_an</f>
        <v>62.078525630031869</v>
      </c>
      <c r="C56" s="831"/>
      <c r="D56" s="388">
        <f t="shared" si="0"/>
        <v>64.770516175972659</v>
      </c>
      <c r="E56" s="380">
        <f t="shared" si="1"/>
        <v>67.805910075507427</v>
      </c>
      <c r="F56" s="380">
        <f t="shared" si="2"/>
        <v>67.8088873051598</v>
      </c>
      <c r="G56" s="110">
        <f t="shared" si="21"/>
        <v>0.45775894366163078</v>
      </c>
      <c r="H56" s="409" t="b">
        <f>Wh_hp&gt;='2029'!Maxi_hp</f>
        <v>0</v>
      </c>
      <c r="I56" s="385">
        <f>IF(H56,Wh_hp,'2029'!Maxi_hp)</f>
        <v>67.819064186061496</v>
      </c>
      <c r="J56" s="85">
        <f>IF(H56,An,'2029'!An_max)</f>
        <v>2022</v>
      </c>
      <c r="K56" s="193">
        <f t="shared" si="3"/>
        <v>47525</v>
      </c>
      <c r="L56" s="143">
        <f>IF(t&lt;Tvie,1-EXP((T0-t)*PertePVj)+'2029'!Pspv,1-EXP((T0-t)*PertePVj)+Pspv)</f>
        <v>4.1561974566128423E-2</v>
      </c>
      <c r="M56" s="835"/>
      <c r="N56" s="835"/>
      <c r="O56" s="48">
        <f>IF(t&lt;Tnet,'2029'!Resal+('2029'!Salim-'2029'!Resal)*(1-EXP(('2029'!Tnet-t)/('2029'!Tau_j))),Resal+(Salim-Resal)*(1-EXP((Tnet-t)/(Tau_j))))*Salcycl</f>
        <v>4.476591931521326E-2</v>
      </c>
      <c r="P56" s="165">
        <f>(INDEX(Models!$BJ56:$BT56,,T56)*(1-R56)+INDEX(Models!$BJ56:$BT56,,T56+1)*R56-ERP_i)*Q56*Ramure*Pc/MaxiM</f>
        <v>1.9473306798841581E-4</v>
      </c>
      <c r="Q56" s="301">
        <f t="shared" si="4"/>
        <v>0.5</v>
      </c>
      <c r="R56" s="173">
        <f t="shared" si="5"/>
        <v>0.46758238672251096</v>
      </c>
      <c r="S56" s="801">
        <f t="shared" si="6"/>
        <v>0</v>
      </c>
      <c r="T56" s="172">
        <f t="shared" si="7"/>
        <v>6</v>
      </c>
      <c r="U56" s="247">
        <f t="shared" si="8"/>
        <v>0.46758238672251096</v>
      </c>
      <c r="V56" s="378">
        <f t="shared" si="9"/>
        <v>135.59355413570654</v>
      </c>
      <c r="W56" s="397">
        <f t="shared" si="10"/>
        <v>62.078525630031869</v>
      </c>
      <c r="X56" s="153">
        <f t="shared" si="11"/>
        <v>47525</v>
      </c>
      <c r="Y56" s="380">
        <f t="shared" si="12"/>
        <v>60.788829037560852</v>
      </c>
      <c r="Z56" s="380">
        <f t="shared" si="22"/>
        <v>63.424892819796661</v>
      </c>
      <c r="AA56" s="381">
        <f t="shared" si="13"/>
        <v>67.775411431335669</v>
      </c>
      <c r="AB56" s="193">
        <f t="shared" si="14"/>
        <v>47525</v>
      </c>
      <c r="AC56" s="119">
        <f>IF(OR(t&lt;Tnet,NoTnet),'2029'!Resal_s+('2029'!Salim-'2029'!Resal_s)*(1-EXP(('2029'!Tnet_s-t)/'2029'!Tau_j)),Resal_s+(Salim-Resal_s)*(1-EXP((Tnet_s-t)/Tau_j)))*Salcycl</f>
        <v>6.419022060746303E-2</v>
      </c>
      <c r="AD56" s="227">
        <f>(INDEX(Models!$BJ56:$BT56,,AH56)*(1-AF56)+INDEX(Models!$BJ56:$BT56,,AH56+1)*AF56-ERP_i)*AE56*Ramure*Pc/MaxiM</f>
        <v>2.1895723120241742E-3</v>
      </c>
      <c r="AE56" s="301">
        <f t="shared" si="15"/>
        <v>0.5</v>
      </c>
      <c r="AF56" s="173">
        <f t="shared" si="23"/>
        <v>0.99256995309648932</v>
      </c>
      <c r="AG56" s="801">
        <f t="shared" si="24"/>
        <v>3</v>
      </c>
      <c r="AH56" s="172">
        <f t="shared" si="16"/>
        <v>9</v>
      </c>
      <c r="AI56" s="221">
        <f t="shared" si="17"/>
        <v>3.9925699530964893</v>
      </c>
      <c r="AJ56" s="261" t="b">
        <f t="shared" si="18"/>
        <v>1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47526</v>
      </c>
      <c r="B57" s="406">
        <f>'2029'!Wh/'2029'!Env_an*'2030'!Env_an</f>
        <v>103.9655511248085</v>
      </c>
      <c r="C57" s="831"/>
      <c r="D57" s="388">
        <f t="shared" si="0"/>
        <v>108.47542729569332</v>
      </c>
      <c r="E57" s="380">
        <f t="shared" si="1"/>
        <v>113.56366749340458</v>
      </c>
      <c r="F57" s="380">
        <f t="shared" si="2"/>
        <v>113.57664948361194</v>
      </c>
      <c r="G57" s="110">
        <f t="shared" si="21"/>
        <v>0.75864500910929122</v>
      </c>
      <c r="H57" s="409" t="b">
        <f>Wh_hp&gt;='2029'!Maxi_hp</f>
        <v>0</v>
      </c>
      <c r="I57" s="385">
        <f>IF(H57,Wh_hp,'2029'!Maxi_hp)</f>
        <v>113.58344330581436</v>
      </c>
      <c r="J57" s="85">
        <f>IF(H57,An,'2029'!An_max)</f>
        <v>2022</v>
      </c>
      <c r="K57" s="193">
        <f t="shared" si="3"/>
        <v>47526</v>
      </c>
      <c r="L57" s="143">
        <f>IF(t&lt;Tvie,1-EXP((T0-t)*PertePVj)+'2029'!Pspv,1-EXP((T0-t)*PertePVj)+Pspv)</f>
        <v>4.1575094777837052E-2</v>
      </c>
      <c r="M57" s="835"/>
      <c r="N57" s="835"/>
      <c r="O57" s="48">
        <f>IF(t&lt;Tnet,'2029'!Resal+('2029'!Salim-'2029'!Resal)*(1-EXP(('2029'!Tnet-t)/('2029'!Tau_j))),Resal+(Salim-Resal)*(1-EXP((Tnet-t)/(Tau_j))))*Salcycl</f>
        <v>4.4805176778979668E-2</v>
      </c>
      <c r="P57" s="165">
        <f>(INDEX(Models!$BJ57:$BT57,,T57)*(1-R57)+INDEX(Models!$BJ57:$BT57,,T57+1)*R57-ERP_i)*Q57*Ramure*Pc/MaxiM</f>
        <v>1.7443369887269291E-4</v>
      </c>
      <c r="Q57" s="301">
        <f t="shared" si="4"/>
        <v>0.5</v>
      </c>
      <c r="R57" s="173">
        <f t="shared" si="5"/>
        <v>0.46773796550903379</v>
      </c>
      <c r="S57" s="801">
        <f t="shared" si="6"/>
        <v>0</v>
      </c>
      <c r="T57" s="172">
        <f t="shared" si="7"/>
        <v>6</v>
      </c>
      <c r="U57" s="247">
        <f t="shared" si="8"/>
        <v>0.46773796550903379</v>
      </c>
      <c r="V57" s="378">
        <f t="shared" si="9"/>
        <v>137.032864505459</v>
      </c>
      <c r="W57" s="397">
        <f t="shared" si="10"/>
        <v>103.9655511248085</v>
      </c>
      <c r="X57" s="153">
        <f t="shared" si="11"/>
        <v>47526</v>
      </c>
      <c r="Y57" s="380">
        <f t="shared" si="12"/>
        <v>101.73143810817935</v>
      </c>
      <c r="Z57" s="380">
        <f t="shared" si="22"/>
        <v>106.14440166764865</v>
      </c>
      <c r="AA57" s="381">
        <f t="shared" si="13"/>
        <v>113.42740367289007</v>
      </c>
      <c r="AB57" s="193">
        <f t="shared" si="14"/>
        <v>47526</v>
      </c>
      <c r="AC57" s="119">
        <f>IF(OR(t&lt;Tnet,NoTnet),'2029'!Resal_s+('2029'!Salim-'2029'!Resal_s)*(1-EXP(('2029'!Tnet_s-t)/'2029'!Tau_j)),Resal_s+(Salim-Resal_s)*(1-EXP((Tnet_s-t)/Tau_j)))*Salcycl</f>
        <v>6.4208487273892334E-2</v>
      </c>
      <c r="AD57" s="227">
        <f>(INDEX(Models!$BJ57:$BT57,,AH57)*(1-AF57)+INDEX(Models!$BJ57:$BT57,,AH57+1)*AF57-ERP_i)*AE57*Ramure*Pc/MaxiM</f>
        <v>2.0053549871486991E-3</v>
      </c>
      <c r="AE57" s="301">
        <f t="shared" si="15"/>
        <v>0.5</v>
      </c>
      <c r="AF57" s="173">
        <f t="shared" si="23"/>
        <v>0.99272553188301194</v>
      </c>
      <c r="AG57" s="801">
        <f t="shared" si="24"/>
        <v>3</v>
      </c>
      <c r="AH57" s="172">
        <f t="shared" si="16"/>
        <v>9</v>
      </c>
      <c r="AI57" s="221">
        <f t="shared" si="17"/>
        <v>3.9927255318830119</v>
      </c>
      <c r="AJ57" s="261" t="b">
        <f t="shared" si="18"/>
        <v>1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47527</v>
      </c>
      <c r="B58" s="406">
        <f>'2029'!Wh/'2029'!Env_an*'2030'!Env_an</f>
        <v>126.84327051153321</v>
      </c>
      <c r="C58" s="831"/>
      <c r="D58" s="388">
        <f t="shared" si="0"/>
        <v>132.34736098991041</v>
      </c>
      <c r="E58" s="380">
        <f t="shared" si="1"/>
        <v>138.56104995315508</v>
      </c>
      <c r="F58" s="380">
        <f t="shared" si="2"/>
        <v>138.57997436319272</v>
      </c>
      <c r="G58" s="110">
        <f t="shared" si="21"/>
        <v>0.91597390732850414</v>
      </c>
      <c r="H58" s="409" t="b">
        <f>Wh_hp&gt;='2029'!Maxi_hp</f>
        <v>0</v>
      </c>
      <c r="I58" s="385">
        <f>IF(H58,Wh_hp,'2029'!Maxi_hp)</f>
        <v>138.58254094560056</v>
      </c>
      <c r="J58" s="85">
        <f>IF(H58,An,'2029'!An_max)</f>
        <v>2022</v>
      </c>
      <c r="K58" s="193">
        <f t="shared" si="3"/>
        <v>47527</v>
      </c>
      <c r="L58" s="143">
        <f>IF(t&lt;Tvie,1-EXP((T0-t)*PertePVj)+'2029'!Pspv,1-EXP((T0-t)*PertePVj)+Pspv)</f>
        <v>4.1588214809941015E-2</v>
      </c>
      <c r="M58" s="835"/>
      <c r="N58" s="835"/>
      <c r="O58" s="48">
        <f>IF(t&lt;Tnet,'2029'!Resal+('2029'!Salim-'2029'!Resal)*(1-EXP(('2029'!Tnet-t)/('2029'!Tau_j))),Resal+(Salim-Resal)*(1-EXP((Tnet-t)/(Tau_j))))*Salcycl</f>
        <v>4.4844413096937444E-2</v>
      </c>
      <c r="P58" s="165">
        <f>(INDEX(Models!$BJ58:$BT58,,T58)*(1-R58)+INDEX(Models!$BJ58:$BT58,,T58+1)*R58-ERP_i)*Q58*Ramure*Pc/MaxiM</f>
        <v>1.5518350891147449E-4</v>
      </c>
      <c r="Q58" s="301">
        <f t="shared" si="4"/>
        <v>0.5</v>
      </c>
      <c r="R58" s="173">
        <f t="shared" si="5"/>
        <v>0.46789996758007296</v>
      </c>
      <c r="S58" s="801">
        <f t="shared" si="6"/>
        <v>0</v>
      </c>
      <c r="T58" s="172">
        <f t="shared" si="7"/>
        <v>6</v>
      </c>
      <c r="U58" s="247">
        <f t="shared" si="8"/>
        <v>0.46789996758007296</v>
      </c>
      <c r="V58" s="378">
        <f t="shared" si="9"/>
        <v>138.47655139743557</v>
      </c>
      <c r="W58" s="397">
        <f t="shared" si="10"/>
        <v>126.84327051153321</v>
      </c>
      <c r="X58" s="153">
        <f t="shared" si="11"/>
        <v>47527</v>
      </c>
      <c r="Y58" s="380">
        <f t="shared" si="12"/>
        <v>124.08602585322794</v>
      </c>
      <c r="Z58" s="380">
        <f t="shared" si="22"/>
        <v>129.47047163930785</v>
      </c>
      <c r="AA58" s="381">
        <f t="shared" si="13"/>
        <v>138.35667304318946</v>
      </c>
      <c r="AB58" s="193">
        <f t="shared" si="14"/>
        <v>47527</v>
      </c>
      <c r="AC58" s="119">
        <f>IF(OR(t&lt;Tnet,NoTnet),'2029'!Resal_s+('2029'!Salim-'2029'!Resal_s)*(1-EXP(('2029'!Tnet_s-t)/'2029'!Tau_j)),Resal_s+(Salim-Resal_s)*(1-EXP((Tnet_s-t)/Tau_j)))*Salcycl</f>
        <v>6.4226764119340418E-2</v>
      </c>
      <c r="AD58" s="227">
        <f>(INDEX(Models!$BJ58:$BT58,,AH58)*(1-AF58)+INDEX(Models!$BJ58:$BT58,,AH58+1)*AF58-ERP_i)*AE58*Ramure*Pc/MaxiM</f>
        <v>1.8311103127507051E-3</v>
      </c>
      <c r="AE58" s="301">
        <f t="shared" si="15"/>
        <v>0.5</v>
      </c>
      <c r="AF58" s="173">
        <f t="shared" si="23"/>
        <v>0.99288753395405127</v>
      </c>
      <c r="AG58" s="801">
        <f t="shared" si="24"/>
        <v>3</v>
      </c>
      <c r="AH58" s="172">
        <f t="shared" si="16"/>
        <v>9</v>
      </c>
      <c r="AI58" s="221">
        <f t="shared" si="17"/>
        <v>3.9928875339540513</v>
      </c>
      <c r="AJ58" s="261" t="b">
        <f t="shared" si="18"/>
        <v>1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47528</v>
      </c>
      <c r="B59" s="406">
        <f>'2029'!Wh/'2029'!Env_an*'2030'!Env_an</f>
        <v>72.3233503202012</v>
      </c>
      <c r="C59" s="831"/>
      <c r="D59" s="388">
        <f t="shared" si="0"/>
        <v>75.462699329540712</v>
      </c>
      <c r="E59" s="380">
        <f t="shared" si="1"/>
        <v>79.008905278841965</v>
      </c>
      <c r="F59" s="380">
        <f t="shared" si="2"/>
        <v>79.012280022876183</v>
      </c>
      <c r="G59" s="110">
        <f t="shared" si="21"/>
        <v>0.51683593172010722</v>
      </c>
      <c r="H59" s="409" t="b">
        <f>Wh_hp&gt;='2029'!Maxi_hp</f>
        <v>0</v>
      </c>
      <c r="I59" s="385">
        <f>IF(H59,Wh_hp,'2029'!Maxi_hp)</f>
        <v>79.019753092234637</v>
      </c>
      <c r="J59" s="85">
        <f>IF(H59,An,'2029'!An_max)</f>
        <v>2022</v>
      </c>
      <c r="K59" s="193">
        <f t="shared" si="3"/>
        <v>47528</v>
      </c>
      <c r="L59" s="143">
        <f>IF(t&lt;Tvie,1-EXP((T0-t)*PertePVj)+'2029'!Pspv,1-EXP((T0-t)*PertePVj)+Pspv)</f>
        <v>4.1601334662442646E-2</v>
      </c>
      <c r="M59" s="835"/>
      <c r="N59" s="835"/>
      <c r="O59" s="48">
        <f>IF(t&lt;Tnet,'2029'!Resal+('2029'!Salim-'2029'!Resal)*(1-EXP(('2029'!Tnet-t)/('2029'!Tau_j))),Resal+(Salim-Resal)*(1-EXP((Tnet-t)/(Tau_j))))*Salcycl</f>
        <v>4.4883623393917604E-2</v>
      </c>
      <c r="P59" s="165">
        <f>(INDEX(Models!$BJ59:$BT59,,T59)*(1-R59)+INDEX(Models!$BJ59:$BT59,,T59+1)*R59-ERP_i)*Q59*Ramure*Pc/MaxiM</f>
        <v>1.3785246795448066E-4</v>
      </c>
      <c r="Q59" s="301">
        <f t="shared" si="4"/>
        <v>0.5</v>
      </c>
      <c r="R59" s="173">
        <f t="shared" si="5"/>
        <v>0.4680686536440547</v>
      </c>
      <c r="S59" s="801">
        <f t="shared" si="6"/>
        <v>0</v>
      </c>
      <c r="T59" s="172">
        <f t="shared" si="7"/>
        <v>6</v>
      </c>
      <c r="U59" s="247">
        <f t="shared" si="8"/>
        <v>0.4680686536440547</v>
      </c>
      <c r="V59" s="378">
        <f t="shared" si="9"/>
        <v>139.92151993411244</v>
      </c>
      <c r="W59" s="397">
        <f t="shared" si="10"/>
        <v>72.3233503202012</v>
      </c>
      <c r="X59" s="153">
        <f t="shared" si="11"/>
        <v>47528</v>
      </c>
      <c r="Y59" s="380">
        <f t="shared" si="12"/>
        <v>70.823627370892893</v>
      </c>
      <c r="Z59" s="380">
        <f t="shared" si="22"/>
        <v>73.89787771245291</v>
      </c>
      <c r="AA59" s="381">
        <f t="shared" si="13"/>
        <v>78.971398702467084</v>
      </c>
      <c r="AB59" s="193">
        <f t="shared" si="14"/>
        <v>47528</v>
      </c>
      <c r="AC59" s="119">
        <f>IF(OR(t&lt;Tnet,NoTnet),'2029'!Resal_s+('2029'!Salim-'2029'!Resal_s)*(1-EXP(('2029'!Tnet_s-t)/'2029'!Tau_j)),Resal_s+(Salim-Resal_s)*(1-EXP((Tnet_s-t)/Tau_j)))*Salcycl</f>
        <v>6.4245044071325044E-2</v>
      </c>
      <c r="AD59" s="227">
        <f>(INDEX(Models!$BJ59:$BT59,,AH59)*(1-AF59)+INDEX(Models!$BJ59:$BT59,,AH59+1)*AF59-ERP_i)*AE59*Ramure*Pc/MaxiM</f>
        <v>1.6699313650133127E-3</v>
      </c>
      <c r="AE59" s="301">
        <f t="shared" si="15"/>
        <v>0.5</v>
      </c>
      <c r="AF59" s="173">
        <f t="shared" si="23"/>
        <v>0.99305622001803284</v>
      </c>
      <c r="AG59" s="801">
        <f t="shared" si="24"/>
        <v>3</v>
      </c>
      <c r="AH59" s="172">
        <f t="shared" si="16"/>
        <v>9</v>
      </c>
      <c r="AI59" s="221">
        <f t="shared" si="17"/>
        <v>3.9930562200180328</v>
      </c>
      <c r="AJ59" s="261" t="b">
        <f t="shared" si="18"/>
        <v>1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47529</v>
      </c>
      <c r="B60" s="406">
        <f>'2029'!Wh/'2029'!Env_an*'2030'!Env_an</f>
        <v>76.362684876309658</v>
      </c>
      <c r="C60" s="831"/>
      <c r="D60" s="388">
        <f t="shared" si="0"/>
        <v>79.678460533699862</v>
      </c>
      <c r="E60" s="380">
        <f t="shared" si="1"/>
        <v>83.4261992403991</v>
      </c>
      <c r="F60" s="380">
        <f t="shared" si="2"/>
        <v>83.429702676117458</v>
      </c>
      <c r="G60" s="110">
        <f t="shared" si="21"/>
        <v>0.54013831471526019</v>
      </c>
      <c r="H60" s="409" t="b">
        <f>Wh_hp&gt;='2029'!Maxi_hp</f>
        <v>0</v>
      </c>
      <c r="I60" s="385">
        <f>IF(H60,Wh_hp,'2029'!Maxi_hp)</f>
        <v>83.436368101478877</v>
      </c>
      <c r="J60" s="85">
        <f>IF(H60,An,'2029'!An_max)</f>
        <v>2022</v>
      </c>
      <c r="K60" s="193">
        <f t="shared" si="3"/>
        <v>47529</v>
      </c>
      <c r="L60" s="143">
        <f>IF(t&lt;Tvie,1-EXP((T0-t)*PertePVj)+'2029'!Pspv,1-EXP((T0-t)*PertePVj)+Pspv)</f>
        <v>4.1614454335344608E-2</v>
      </c>
      <c r="M60" s="835"/>
      <c r="N60" s="835"/>
      <c r="O60" s="48">
        <f>IF(t&lt;Tnet,'2029'!Resal+('2029'!Salim-'2029'!Resal)*(1-EXP(('2029'!Tnet-t)/('2029'!Tau_j))),Resal+(Salim-Resal)*(1-EXP((Tnet-t)/(Tau_j))))*Salcycl</f>
        <v>4.4922802918299483E-2</v>
      </c>
      <c r="P60" s="165">
        <f>(INDEX(Models!$BJ60:$BT60,,T60)*(1-R60)+INDEX(Models!$BJ60:$BT60,,T60+1)*R60-ERP_i)*Q60*Ramure*Pc/MaxiM</f>
        <v>1.223859334027036E-4</v>
      </c>
      <c r="Q60" s="301">
        <f t="shared" si="4"/>
        <v>0.5</v>
      </c>
      <c r="R60" s="173">
        <f t="shared" si="5"/>
        <v>0.46824429461038514</v>
      </c>
      <c r="S60" s="801">
        <f t="shared" si="6"/>
        <v>0</v>
      </c>
      <c r="T60" s="172">
        <f t="shared" si="7"/>
        <v>6</v>
      </c>
      <c r="U60" s="247">
        <f t="shared" si="8"/>
        <v>0.46824429461038514</v>
      </c>
      <c r="V60" s="378">
        <f t="shared" si="9"/>
        <v>141.36480137144858</v>
      </c>
      <c r="W60" s="397">
        <f t="shared" si="10"/>
        <v>76.362684876309658</v>
      </c>
      <c r="X60" s="153">
        <f t="shared" si="11"/>
        <v>47529</v>
      </c>
      <c r="Y60" s="380">
        <f t="shared" si="12"/>
        <v>74.780407586048909</v>
      </c>
      <c r="Z60" s="380">
        <f t="shared" si="22"/>
        <v>78.027478528161154</v>
      </c>
      <c r="AA60" s="381">
        <f t="shared" si="13"/>
        <v>83.386149348223313</v>
      </c>
      <c r="AB60" s="193">
        <f t="shared" si="14"/>
        <v>47529</v>
      </c>
      <c r="AC60" s="119">
        <f>IF(OR(t&lt;Tnet,NoTnet),'2029'!Resal_s+('2029'!Salim-'2029'!Resal_s)*(1-EXP(('2029'!Tnet_s-t)/'2029'!Tau_j)),Resal_s+(Salim-Resal_s)*(1-EXP((Tnet_s-t)/Tau_j)))*Salcycl</f>
        <v>6.4263320250994946E-2</v>
      </c>
      <c r="AD60" s="227">
        <f>(INDEX(Models!$BJ60:$BT60,,AH60)*(1-AF60)+INDEX(Models!$BJ60:$BT60,,AH60+1)*AF60-ERP_i)*AE60*Ramure*Pc/MaxiM</f>
        <v>1.5214535432127602E-3</v>
      </c>
      <c r="AE60" s="301">
        <f t="shared" si="15"/>
        <v>0.5</v>
      </c>
      <c r="AF60" s="173">
        <f t="shared" si="23"/>
        <v>0.99323186098436311</v>
      </c>
      <c r="AG60" s="801">
        <f t="shared" si="24"/>
        <v>3</v>
      </c>
      <c r="AH60" s="172">
        <f t="shared" si="16"/>
        <v>9</v>
      </c>
      <c r="AI60" s="221">
        <f t="shared" si="17"/>
        <v>3.9932318609843631</v>
      </c>
      <c r="AJ60" s="261" t="b">
        <f t="shared" si="18"/>
        <v>1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47530</v>
      </c>
      <c r="B61" s="406">
        <f>'2029'!Wh/'2029'!Env_an*'2030'!Env_an</f>
        <v>29.494099921943736</v>
      </c>
      <c r="C61" s="831"/>
      <c r="D61" s="388">
        <f t="shared" si="0"/>
        <v>30.775196694432424</v>
      </c>
      <c r="E61" s="380">
        <f t="shared" si="1"/>
        <v>32.224052854658275</v>
      </c>
      <c r="F61" s="380">
        <f t="shared" si="2"/>
        <v>32.224052854658275</v>
      </c>
      <c r="G61" s="110">
        <f t="shared" si="21"/>
        <v>0.20651390175918358</v>
      </c>
      <c r="H61" s="409" t="b">
        <f>Wh_hp&gt;='2029'!Maxi_hp</f>
        <v>0</v>
      </c>
      <c r="I61" s="385">
        <f>IF(H61,Wh_hp,'2029'!Maxi_hp)</f>
        <v>32.227533516382081</v>
      </c>
      <c r="J61" s="85">
        <f>IF(H61,An,'2029'!An_max)</f>
        <v>2022</v>
      </c>
      <c r="K61" s="193">
        <f t="shared" si="3"/>
        <v>47530</v>
      </c>
      <c r="L61" s="143">
        <f>IF(t&lt;Tvie,1-EXP((T0-t)*PertePVj)+'2029'!Pspv,1-EXP((T0-t)*PertePVj)+Pspv)</f>
        <v>4.1627573828649234E-2</v>
      </c>
      <c r="M61" s="835"/>
      <c r="N61" s="835"/>
      <c r="O61" s="48">
        <f>IF(t&lt;Tnet,'2029'!Resal+('2029'!Salim-'2029'!Resal)*(1-EXP(('2029'!Tnet-t)/('2029'!Tau_j))),Resal+(Salim-Resal)*(1-EXP((Tnet-t)/(Tau_j))))*Salcycl</f>
        <v>4.4961947113254089E-2</v>
      </c>
      <c r="P61" s="165">
        <f>(INDEX(Models!$BJ61:$BT61,,T61)*(1-R61)+INDEX(Models!$BJ61:$BT61,,T61+1)*R61-ERP_i)*Q61*Ramure*Pc/MaxiM</f>
        <v>1.0873041596700338E-4</v>
      </c>
      <c r="Q61" s="301">
        <f t="shared" si="4"/>
        <v>0.5</v>
      </c>
      <c r="R61" s="173">
        <f t="shared" si="5"/>
        <v>0.46842717195617323</v>
      </c>
      <c r="S61" s="801">
        <f t="shared" si="6"/>
        <v>0</v>
      </c>
      <c r="T61" s="172">
        <f t="shared" si="7"/>
        <v>6</v>
      </c>
      <c r="U61" s="247">
        <f t="shared" si="8"/>
        <v>0.46842717195617323</v>
      </c>
      <c r="V61" s="378">
        <f t="shared" si="9"/>
        <v>142.8034275899744</v>
      </c>
      <c r="W61" s="397">
        <f t="shared" si="10"/>
        <v>29.494099921943736</v>
      </c>
      <c r="X61" s="153">
        <f t="shared" si="11"/>
        <v>47530</v>
      </c>
      <c r="Y61" s="380">
        <f t="shared" si="12"/>
        <v>28.897458395198228</v>
      </c>
      <c r="Z61" s="380">
        <f t="shared" si="22"/>
        <v>30.152639627417191</v>
      </c>
      <c r="AA61" s="381">
        <f t="shared" si="13"/>
        <v>32.224052854658275</v>
      </c>
      <c r="AB61" s="193">
        <f t="shared" si="14"/>
        <v>47530</v>
      </c>
      <c r="AC61" s="119">
        <f>IF(OR(t&lt;Tnet,NoTnet),'2029'!Resal_s+('2029'!Salim-'2029'!Resal_s)*(1-EXP(('2029'!Tnet_s-t)/'2029'!Tau_j)),Resal_s+(Salim-Resal_s)*(1-EXP((Tnet_s-t)/Tau_j)))*Salcycl</f>
        <v>6.4281586074348862E-2</v>
      </c>
      <c r="AD61" s="227">
        <f>(INDEX(Models!$BJ61:$BT61,,AH61)*(1-AF61)+INDEX(Models!$BJ61:$BT61,,AH61+1)*AF61-ERP_i)*AE61*Ramure*Pc/MaxiM</f>
        <v>1.3853155806589686E-3</v>
      </c>
      <c r="AE61" s="301">
        <f t="shared" si="15"/>
        <v>0.5</v>
      </c>
      <c r="AF61" s="173">
        <f t="shared" si="23"/>
        <v>0.99341473833015126</v>
      </c>
      <c r="AG61" s="801">
        <f t="shared" si="24"/>
        <v>3</v>
      </c>
      <c r="AH61" s="172">
        <f t="shared" si="16"/>
        <v>9</v>
      </c>
      <c r="AI61" s="221">
        <f t="shared" si="17"/>
        <v>3.9934147383301513</v>
      </c>
      <c r="AJ61" s="261" t="b">
        <f t="shared" si="18"/>
        <v>1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47531</v>
      </c>
      <c r="B62" s="406">
        <f>'2029'!Wh/'2029'!Env_an*'2030'!Env_an</f>
        <v>43.45120114294609</v>
      </c>
      <c r="C62" s="831"/>
      <c r="D62" s="388">
        <f t="shared" si="0"/>
        <v>45.33915498292388</v>
      </c>
      <c r="E62" s="380">
        <f t="shared" si="1"/>
        <v>47.475607238163732</v>
      </c>
      <c r="F62" s="380">
        <f t="shared" si="2"/>
        <v>47.475615473890066</v>
      </c>
      <c r="G62" s="110">
        <f t="shared" si="21"/>
        <v>0.30122489344060482</v>
      </c>
      <c r="H62" s="409" t="b">
        <f>Wh_hp&gt;='2029'!Maxi_hp</f>
        <v>0</v>
      </c>
      <c r="I62" s="385">
        <f>IF(H62,Wh_hp,'2029'!Maxi_hp)</f>
        <v>47.480172549184005</v>
      </c>
      <c r="J62" s="85">
        <f>IF(H62,An,'2029'!An_max)</f>
        <v>2022</v>
      </c>
      <c r="K62" s="193">
        <f t="shared" si="3"/>
        <v>47531</v>
      </c>
      <c r="L62" s="143">
        <f>IF(t&lt;Tvie,1-EXP((T0-t)*PertePVj)+'2029'!Pspv,1-EXP((T0-t)*PertePVj)+Pspv)</f>
        <v>4.1640693142358964E-2</v>
      </c>
      <c r="M62" s="835"/>
      <c r="N62" s="835"/>
      <c r="O62" s="48">
        <f>IF(t&lt;Tnet,'2029'!Resal+('2029'!Salim-'2029'!Resal)*(1-EXP(('2029'!Tnet-t)/('2029'!Tau_j))),Resal+(Salim-Resal)*(1-EXP((Tnet-t)/(Tau_j))))*Salcycl</f>
        <v>4.5001051687916974E-2</v>
      </c>
      <c r="P62" s="165">
        <f>(INDEX(Models!$BJ62:$BT62,,T62)*(1-R62)+INDEX(Models!$BJ62:$BT62,,T62+1)*R62-ERP_i)*Q62*Ramure*Pc/MaxiM</f>
        <v>9.6833890149290743E-5</v>
      </c>
      <c r="Q62" s="301">
        <f t="shared" si="4"/>
        <v>0.5</v>
      </c>
      <c r="R62" s="173">
        <f t="shared" si="5"/>
        <v>0.46861757810332955</v>
      </c>
      <c r="S62" s="801">
        <f t="shared" si="6"/>
        <v>0</v>
      </c>
      <c r="T62" s="172">
        <f t="shared" si="7"/>
        <v>6</v>
      </c>
      <c r="U62" s="247">
        <f t="shared" si="8"/>
        <v>0.46861757810332955</v>
      </c>
      <c r="V62" s="378">
        <f t="shared" si="9"/>
        <v>144.23443107482103</v>
      </c>
      <c r="W62" s="397">
        <f t="shared" si="10"/>
        <v>43.45120114294609</v>
      </c>
      <c r="X62" s="153">
        <f t="shared" si="11"/>
        <v>47531</v>
      </c>
      <c r="Y62" s="380">
        <f t="shared" si="12"/>
        <v>42.573042966315008</v>
      </c>
      <c r="Z62" s="380">
        <f t="shared" si="22"/>
        <v>44.422840850690456</v>
      </c>
      <c r="AA62" s="381">
        <f t="shared" si="13"/>
        <v>47.475508212023662</v>
      </c>
      <c r="AB62" s="193">
        <f t="shared" si="14"/>
        <v>47531</v>
      </c>
      <c r="AC62" s="119">
        <f>IF(OR(t&lt;Tnet,NoTnet),'2029'!Resal_s+('2029'!Salim-'2029'!Resal_s)*(1-EXP(('2029'!Tnet_s-t)/'2029'!Tau_j)),Resal_s+(Salim-Resal_s)*(1-EXP((Tnet_s-t)/Tau_j)))*Salcycl</f>
        <v>6.4299835353001891E-2</v>
      </c>
      <c r="AD62" s="227">
        <f>(INDEX(Models!$BJ62:$BT62,,AH62)*(1-AF62)+INDEX(Models!$BJ62:$BT62,,AH62+1)*AF62-ERP_i)*AE62*Ramure*Pc/MaxiM</f>
        <v>1.2611618414470798E-3</v>
      </c>
      <c r="AE62" s="301">
        <f t="shared" si="15"/>
        <v>0.5</v>
      </c>
      <c r="AF62" s="173">
        <f t="shared" si="23"/>
        <v>0.99360514447730752</v>
      </c>
      <c r="AG62" s="801">
        <f t="shared" si="24"/>
        <v>3</v>
      </c>
      <c r="AH62" s="172">
        <f t="shared" si="16"/>
        <v>9</v>
      </c>
      <c r="AI62" s="221">
        <f t="shared" si="17"/>
        <v>3.9936051444773075</v>
      </c>
      <c r="AJ62" s="261" t="b">
        <f t="shared" si="18"/>
        <v>1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47532</v>
      </c>
      <c r="B63" s="406">
        <f>'2029'!Wh/'2029'!Env_an*'2030'!Env_an</f>
        <v>123.53760882150073</v>
      </c>
      <c r="C63" s="831"/>
      <c r="D63" s="388">
        <f t="shared" si="0"/>
        <v>128.90708013870713</v>
      </c>
      <c r="E63" s="380">
        <f t="shared" si="1"/>
        <v>134.98690557728037</v>
      </c>
      <c r="F63" s="380">
        <f t="shared" si="2"/>
        <v>134.99606512009777</v>
      </c>
      <c r="G63" s="110">
        <f t="shared" si="21"/>
        <v>0.84813716135643114</v>
      </c>
      <c r="H63" s="409" t="b">
        <f>Wh_hp&gt;='2029'!Maxi_hp</f>
        <v>0</v>
      </c>
      <c r="I63" s="385">
        <f>IF(H63,Wh_hp,'2029'!Maxi_hp)</f>
        <v>134.99858380946762</v>
      </c>
      <c r="J63" s="85">
        <f>IF(H63,An,'2029'!An_max)</f>
        <v>2022</v>
      </c>
      <c r="K63" s="193">
        <f t="shared" si="3"/>
        <v>47532</v>
      </c>
      <c r="L63" s="143">
        <f>IF(t&lt;Tvie,1-EXP((T0-t)*PertePVj)+'2029'!Pspv,1-EXP((T0-t)*PertePVj)+Pspv)</f>
        <v>4.1653812276476354E-2</v>
      </c>
      <c r="M63" s="835"/>
      <c r="N63" s="835"/>
      <c r="O63" s="48">
        <f>IF(t&lt;Tnet,'2029'!Resal+('2029'!Salim-'2029'!Resal)*(1-EXP(('2029'!Tnet-t)/('2029'!Tau_j))),Resal+(Salim-Resal)*(1-EXP((Tnet-t)/(Tau_j))))*Salcycl</f>
        <v>4.5040112687763763E-2</v>
      </c>
      <c r="P63" s="165">
        <f>(INDEX(Models!$BJ63:$BT63,,T63)*(1-R63)+INDEX(Models!$BJ63:$BT63,,T63+1)*R63-ERP_i)*Q63*Ramure*Pc/MaxiM</f>
        <v>8.6646066091698897E-5</v>
      </c>
      <c r="Q63" s="301">
        <f t="shared" si="4"/>
        <v>0.5</v>
      </c>
      <c r="R63" s="173">
        <f t="shared" si="5"/>
        <v>0.46881581680607781</v>
      </c>
      <c r="S63" s="801">
        <f t="shared" si="6"/>
        <v>0</v>
      </c>
      <c r="T63" s="172">
        <f t="shared" si="7"/>
        <v>6</v>
      </c>
      <c r="U63" s="247">
        <f t="shared" si="8"/>
        <v>0.46881581680607781</v>
      </c>
      <c r="V63" s="378">
        <f t="shared" si="9"/>
        <v>145.65484490743913</v>
      </c>
      <c r="W63" s="397">
        <f t="shared" si="10"/>
        <v>123.53760882150073</v>
      </c>
      <c r="X63" s="153">
        <f t="shared" si="11"/>
        <v>47532</v>
      </c>
      <c r="Y63" s="380">
        <f t="shared" si="12"/>
        <v>120.94306269338782</v>
      </c>
      <c r="Z63" s="380">
        <f t="shared" si="22"/>
        <v>126.19976397117892</v>
      </c>
      <c r="AA63" s="381">
        <f t="shared" si="13"/>
        <v>134.87463944638765</v>
      </c>
      <c r="AB63" s="193">
        <f t="shared" si="14"/>
        <v>47532</v>
      </c>
      <c r="AC63" s="119">
        <f>IF(OR(t&lt;Tnet,NoTnet),'2029'!Resal_s+('2029'!Salim-'2029'!Resal_s)*(1-EXP(('2029'!Tnet_s-t)/'2029'!Tau_j)),Resal_s+(Salim-Resal_s)*(1-EXP((Tnet_s-t)/Tau_j)))*Salcycl</f>
        <v>6.4318062393464048E-2</v>
      </c>
      <c r="AD63" s="227">
        <f>(INDEX(Models!$BJ63:$BT63,,AH63)*(1-AF63)+INDEX(Models!$BJ63:$BT63,,AH63+1)*AF63-ERP_i)*AE63*Ramure*Pc/MaxiM</f>
        <v>1.1486443329389836E-3</v>
      </c>
      <c r="AE63" s="301">
        <f t="shared" si="15"/>
        <v>0.5</v>
      </c>
      <c r="AF63" s="173">
        <f t="shared" si="23"/>
        <v>0.9938033831800559</v>
      </c>
      <c r="AG63" s="801">
        <f t="shared" si="24"/>
        <v>3</v>
      </c>
      <c r="AH63" s="172">
        <f t="shared" si="16"/>
        <v>9</v>
      </c>
      <c r="AI63" s="221">
        <f t="shared" si="17"/>
        <v>3.9938033831800559</v>
      </c>
      <c r="AJ63" s="261" t="b">
        <f t="shared" si="18"/>
        <v>1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47533</v>
      </c>
      <c r="B64" s="406">
        <f>'2029'!Wh/'2029'!Env_an*'2030'!Env_an</f>
        <v>70.413884786723102</v>
      </c>
      <c r="C64" s="831"/>
      <c r="D64" s="388">
        <f t="shared" si="0"/>
        <v>73.475378322456905</v>
      </c>
      <c r="E64" s="380">
        <f t="shared" si="1"/>
        <v>76.943944117629144</v>
      </c>
      <c r="F64" s="380">
        <f t="shared" si="2"/>
        <v>76.945479510204379</v>
      </c>
      <c r="G64" s="110">
        <f t="shared" si="21"/>
        <v>0.47877719225340915</v>
      </c>
      <c r="H64" s="409" t="b">
        <f>Wh_hp&gt;='2029'!Maxi_hp</f>
        <v>0</v>
      </c>
      <c r="I64" s="385">
        <f>IF(H64,Wh_hp,'2029'!Maxi_hp)</f>
        <v>76.949920298124354</v>
      </c>
      <c r="J64" s="85">
        <f>IF(H64,An,'2029'!An_max)</f>
        <v>2022</v>
      </c>
      <c r="K64" s="193">
        <f t="shared" si="3"/>
        <v>47533</v>
      </c>
      <c r="L64" s="143">
        <f>IF(t&lt;Tvie,1-EXP((T0-t)*PertePVj)+'2029'!Pspv,1-EXP((T0-t)*PertePVj)+Pspv)</f>
        <v>4.1666931231003845E-2</v>
      </c>
      <c r="M64" s="835"/>
      <c r="N64" s="835"/>
      <c r="O64" s="48">
        <f>IF(t&lt;Tnet,'2029'!Resal+('2029'!Salim-'2029'!Resal)*(1-EXP(('2029'!Tnet-t)/('2029'!Tau_j))),Resal+(Salim-Resal)*(1-EXP((Tnet-t)/(Tau_j))))*Salcycl</f>
        <v>4.5079126563483923E-2</v>
      </c>
      <c r="P64" s="165">
        <f>(INDEX(Models!$BJ64:$BT64,,T64)*(1-R64)+INDEX(Models!$BJ64:$BT64,,T64+1)*R64-ERP_i)*Q64*Ramure*Pc/MaxiM</f>
        <v>7.8118627478812494E-5</v>
      </c>
      <c r="Q64" s="301">
        <f t="shared" si="4"/>
        <v>0.5</v>
      </c>
      <c r="R64" s="173">
        <f t="shared" si="5"/>
        <v>0.4690222035488868</v>
      </c>
      <c r="S64" s="801">
        <f t="shared" si="6"/>
        <v>0</v>
      </c>
      <c r="T64" s="172">
        <f t="shared" si="7"/>
        <v>6</v>
      </c>
      <c r="U64" s="247">
        <f t="shared" si="8"/>
        <v>0.4690222035488868</v>
      </c>
      <c r="V64" s="378">
        <f t="shared" si="9"/>
        <v>147.06170274485737</v>
      </c>
      <c r="W64" s="397">
        <f t="shared" si="10"/>
        <v>70.413884786723102</v>
      </c>
      <c r="X64" s="153">
        <f t="shared" si="11"/>
        <v>47533</v>
      </c>
      <c r="Y64" s="380">
        <f t="shared" si="12"/>
        <v>68.976820637147625</v>
      </c>
      <c r="Z64" s="380">
        <f t="shared" si="22"/>
        <v>71.975832708924628</v>
      </c>
      <c r="AA64" s="381">
        <f t="shared" si="13"/>
        <v>76.924892771841655</v>
      </c>
      <c r="AB64" s="193">
        <f t="shared" si="14"/>
        <v>47533</v>
      </c>
      <c r="AC64" s="119">
        <f>IF(OR(t&lt;Tnet,NoTnet),'2029'!Resal_s+('2029'!Salim-'2029'!Resal_s)*(1-EXP(('2029'!Tnet_s-t)/'2029'!Tau_j)),Resal_s+(Salim-Resal_s)*(1-EXP((Tnet_s-t)/Tau_j)))*Salcycl</f>
        <v>6.4336262093934768E-2</v>
      </c>
      <c r="AD64" s="227">
        <f>(INDEX(Models!$BJ64:$BT64,,AH64)*(1-AF64)+INDEX(Models!$BJ64:$BT64,,AH64+1)*AF64-ERP_i)*AE64*Ramure*Pc/MaxiM</f>
        <v>1.0474244640164571E-3</v>
      </c>
      <c r="AE64" s="301">
        <f t="shared" si="15"/>
        <v>0.5</v>
      </c>
      <c r="AF64" s="173">
        <f t="shared" si="23"/>
        <v>0.99400976992286472</v>
      </c>
      <c r="AG64" s="801">
        <f t="shared" si="24"/>
        <v>3</v>
      </c>
      <c r="AH64" s="172">
        <f t="shared" si="16"/>
        <v>9</v>
      </c>
      <c r="AI64" s="221">
        <f t="shared" si="17"/>
        <v>3.9940097699228647</v>
      </c>
      <c r="AJ64" s="261" t="b">
        <f t="shared" si="18"/>
        <v>1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47534</v>
      </c>
      <c r="B65" s="406">
        <f>'2029'!Wh/'2029'!Env_an*'2030'!Env_an</f>
        <v>88.590115415868837</v>
      </c>
      <c r="C65" s="831"/>
      <c r="D65" s="388">
        <f t="shared" si="0"/>
        <v>92.44315055365206</v>
      </c>
      <c r="E65" s="380">
        <f t="shared" si="1"/>
        <v>96.811081672561997</v>
      </c>
      <c r="F65" s="380">
        <f t="shared" si="2"/>
        <v>96.814003561966899</v>
      </c>
      <c r="G65" s="110">
        <f t="shared" si="21"/>
        <v>0.59669193698078848</v>
      </c>
      <c r="H65" s="409" t="b">
        <f>Wh_hp&gt;='2029'!Maxi_hp</f>
        <v>0</v>
      </c>
      <c r="I65" s="385">
        <f>IF(H65,Wh_hp,'2029'!Maxi_hp)</f>
        <v>96.817942431119334</v>
      </c>
      <c r="J65" s="85">
        <f>IF(H65,An,'2029'!An_max)</f>
        <v>2022</v>
      </c>
      <c r="K65" s="193">
        <f t="shared" si="3"/>
        <v>47534</v>
      </c>
      <c r="L65" s="143">
        <f>IF(t&lt;Tvie,1-EXP((T0-t)*PertePVj)+'2029'!Pspv,1-EXP((T0-t)*PertePVj)+Pspv)</f>
        <v>4.1680050005943881E-2</v>
      </c>
      <c r="M65" s="835"/>
      <c r="N65" s="835"/>
      <c r="O65" s="48">
        <f>IF(t&lt;Tnet,'2029'!Resal+('2029'!Salim-'2029'!Resal)*(1-EXP(('2029'!Tnet-t)/('2029'!Tau_j))),Resal+(Salim-Resal)*(1-EXP((Tnet-t)/(Tau_j))))*Salcycl</f>
        <v>4.5118090237678599E-2</v>
      </c>
      <c r="P65" s="165">
        <f>(INDEX(Models!$BJ65:$BT65,,T65)*(1-R65)+INDEX(Models!$BJ65:$BT65,,T65+1)*R65-ERP_i)*Q65*Ramure*Pc/MaxiM</f>
        <v>7.1200338876941139E-5</v>
      </c>
      <c r="Q65" s="301">
        <f t="shared" si="4"/>
        <v>0.5</v>
      </c>
      <c r="R65" s="173">
        <f t="shared" si="5"/>
        <v>0.46923706595479708</v>
      </c>
      <c r="S65" s="801">
        <f t="shared" si="6"/>
        <v>0</v>
      </c>
      <c r="T65" s="172">
        <f t="shared" si="7"/>
        <v>6</v>
      </c>
      <c r="U65" s="247">
        <f t="shared" si="8"/>
        <v>0.46923706595479708</v>
      </c>
      <c r="V65" s="378">
        <f t="shared" si="9"/>
        <v>148.46267539162582</v>
      </c>
      <c r="W65" s="397">
        <f t="shared" si="10"/>
        <v>88.590115415868837</v>
      </c>
      <c r="X65" s="153">
        <f t="shared" si="11"/>
        <v>47534</v>
      </c>
      <c r="Y65" s="380">
        <f t="shared" si="12"/>
        <v>86.772846918778313</v>
      </c>
      <c r="Z65" s="380">
        <f t="shared" si="22"/>
        <v>90.54684390042857</v>
      </c>
      <c r="AA65" s="381">
        <f t="shared" si="13"/>
        <v>96.774726250318707</v>
      </c>
      <c r="AB65" s="193">
        <f t="shared" si="14"/>
        <v>47534</v>
      </c>
      <c r="AC65" s="119">
        <f>IF(OR(t&lt;Tnet,NoTnet),'2029'!Resal_s+('2029'!Salim-'2029'!Resal_s)*(1-EXP(('2029'!Tnet_s-t)/'2029'!Tau_j)),Resal_s+(Salim-Resal_s)*(1-EXP((Tnet_s-t)/Tau_j)))*Salcycl</f>
        <v>6.4354430037663168E-2</v>
      </c>
      <c r="AD65" s="227">
        <f>(INDEX(Models!$BJ65:$BT65,,AH65)*(1-AF65)+INDEX(Models!$BJ65:$BT65,,AH65+1)*AF65-ERP_i)*AE65*Ramure*Pc/MaxiM</f>
        <v>9.5710600642358171E-4</v>
      </c>
      <c r="AE65" s="301">
        <f t="shared" si="15"/>
        <v>0.5</v>
      </c>
      <c r="AF65" s="173">
        <f t="shared" si="23"/>
        <v>0.99422463232877512</v>
      </c>
      <c r="AG65" s="801">
        <f t="shared" si="24"/>
        <v>3</v>
      </c>
      <c r="AH65" s="172">
        <f t="shared" si="16"/>
        <v>9</v>
      </c>
      <c r="AI65" s="221">
        <f t="shared" si="17"/>
        <v>3.9942246323287751</v>
      </c>
      <c r="AJ65" s="261" t="b">
        <f t="shared" si="18"/>
        <v>1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47535</v>
      </c>
      <c r="B66" s="406">
        <f>'2029'!Wh/'2029'!Env_an*'2030'!Env_an</f>
        <v>96.403720261751545</v>
      </c>
      <c r="C66" s="831"/>
      <c r="D66" s="388">
        <f t="shared" si="0"/>
        <v>100.59796831568555</v>
      </c>
      <c r="E66" s="380">
        <f t="shared" si="1"/>
        <v>105.3555070716539</v>
      </c>
      <c r="F66" s="380">
        <f t="shared" si="2"/>
        <v>105.35890280367843</v>
      </c>
      <c r="G66" s="110">
        <f t="shared" si="21"/>
        <v>0.64324268822269393</v>
      </c>
      <c r="H66" s="409" t="b">
        <f>Wh_hp&gt;='2029'!Maxi_hp</f>
        <v>0</v>
      </c>
      <c r="I66" s="385">
        <f>IF(H66,Wh_hp,'2029'!Maxi_hp)</f>
        <v>105.36240150019904</v>
      </c>
      <c r="J66" s="85">
        <f>IF(H66,An,'2029'!An_max)</f>
        <v>2022</v>
      </c>
      <c r="K66" s="193">
        <f t="shared" si="3"/>
        <v>47535</v>
      </c>
      <c r="L66" s="143">
        <f>IF(t&lt;Tvie,1-EXP((T0-t)*PertePVj)+'2029'!Pspv,1-EXP((T0-t)*PertePVj)+Pspv)</f>
        <v>4.1693168601298902E-2</v>
      </c>
      <c r="M66" s="835"/>
      <c r="N66" s="835"/>
      <c r="O66" s="48">
        <f>IF(t&lt;Tnet,'2029'!Resal+('2029'!Salim-'2029'!Resal)*(1-EXP(('2029'!Tnet-t)/('2029'!Tau_j))),Resal+(Salim-Resal)*(1-EXP((Tnet-t)/(Tau_j))))*Salcycl</f>
        <v>4.5157001168744701E-2</v>
      </c>
      <c r="P66" s="165">
        <f>(INDEX(Models!$BJ66:$BT66,,T66)*(1-R66)+INDEX(Models!$BJ66:$BT66,,T66+1)*R66-ERP_i)*Q66*Ramure*Pc/MaxiM</f>
        <v>6.5725160420775769E-5</v>
      </c>
      <c r="Q66" s="301">
        <f t="shared" si="4"/>
        <v>0.5</v>
      </c>
      <c r="R66" s="173">
        <f t="shared" si="5"/>
        <v>0.46946074420408368</v>
      </c>
      <c r="S66" s="801">
        <f t="shared" si="6"/>
        <v>0</v>
      </c>
      <c r="T66" s="172">
        <f t="shared" si="7"/>
        <v>6</v>
      </c>
      <c r="U66" s="247">
        <f t="shared" si="8"/>
        <v>0.46946074420408368</v>
      </c>
      <c r="V66" s="378">
        <f t="shared" si="9"/>
        <v>149.86643902522414</v>
      </c>
      <c r="W66" s="397">
        <f t="shared" si="10"/>
        <v>96.403720261751545</v>
      </c>
      <c r="X66" s="153">
        <f t="shared" si="11"/>
        <v>47535</v>
      </c>
      <c r="Y66" s="380">
        <f t="shared" si="12"/>
        <v>94.42600034014724</v>
      </c>
      <c r="Z66" s="380">
        <f t="shared" si="22"/>
        <v>98.534203499652975</v>
      </c>
      <c r="AA66" s="381">
        <f t="shared" si="13"/>
        <v>105.31350360093161</v>
      </c>
      <c r="AB66" s="193">
        <f t="shared" si="14"/>
        <v>47535</v>
      </c>
      <c r="AC66" s="119">
        <f>IF(OR(t&lt;Tnet,NoTnet),'2029'!Resal_s+('2029'!Salim-'2029'!Resal_s)*(1-EXP(('2029'!Tnet_s-t)/'2029'!Tau_j)),Resal_s+(Salim-Resal_s)*(1-EXP((Tnet_s-t)/Tau_j)))*Salcycl</f>
        <v>6.4372562581980833E-2</v>
      </c>
      <c r="AD66" s="227">
        <f>(INDEX(Models!$BJ66:$BT66,,AH66)*(1-AF66)+INDEX(Models!$BJ66:$BT66,,AH66+1)*AF66-ERP_i)*AE66*Ramure*Pc/MaxiM</f>
        <v>8.787118247136071E-4</v>
      </c>
      <c r="AE66" s="301">
        <f t="shared" si="15"/>
        <v>0.5</v>
      </c>
      <c r="AF66" s="173">
        <f t="shared" si="23"/>
        <v>0.99444831057806171</v>
      </c>
      <c r="AG66" s="801">
        <f t="shared" si="24"/>
        <v>3</v>
      </c>
      <c r="AH66" s="172">
        <f t="shared" si="16"/>
        <v>9</v>
      </c>
      <c r="AI66" s="221">
        <f t="shared" si="17"/>
        <v>3.9944483105780617</v>
      </c>
      <c r="AJ66" s="261" t="b">
        <f t="shared" si="18"/>
        <v>1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47536</v>
      </c>
      <c r="B67" s="406">
        <f>'2029'!Wh/'2029'!Env_an*'2030'!Env_an</f>
        <v>129.05676329075362</v>
      </c>
      <c r="C67" s="831"/>
      <c r="D67" s="388">
        <f t="shared" si="0"/>
        <v>134.67349471492636</v>
      </c>
      <c r="E67" s="380">
        <f t="shared" si="1"/>
        <v>141.04829326546658</v>
      </c>
      <c r="F67" s="380">
        <f t="shared" si="2"/>
        <v>141.05508669219373</v>
      </c>
      <c r="G67" s="110">
        <f t="shared" si="21"/>
        <v>0.8531350166917141</v>
      </c>
      <c r="H67" s="409" t="b">
        <f>Wh_hp&gt;='2029'!Maxi_hp</f>
        <v>0</v>
      </c>
      <c r="I67" s="385">
        <f>IF(H67,Wh_hp,'2029'!Maxi_hp)</f>
        <v>141.0568740138535</v>
      </c>
      <c r="J67" s="85">
        <f>IF(H67,An,'2029'!An_max)</f>
        <v>2022</v>
      </c>
      <c r="K67" s="193">
        <f t="shared" si="3"/>
        <v>47536</v>
      </c>
      <c r="L67" s="143">
        <f>IF(t&lt;Tvie,1-EXP((T0-t)*PertePVj)+'2029'!Pspv,1-EXP((T0-t)*PertePVj)+Pspv)</f>
        <v>4.1706287017071242E-2</v>
      </c>
      <c r="M67" s="835"/>
      <c r="N67" s="835"/>
      <c r="O67" s="48">
        <f>IF(t&lt;Tnet,'2029'!Resal+('2029'!Salim-'2029'!Resal)*(1-EXP(('2029'!Tnet-t)/('2029'!Tau_j))),Resal+(Salim-Resal)*(1-EXP((Tnet-t)/(Tau_j))))*Salcycl</f>
        <v>4.5195857411349474E-2</v>
      </c>
      <c r="P67" s="165">
        <f>(INDEX(Models!$BJ67:$BT67,,T67)*(1-R67)+INDEX(Models!$BJ67:$BT67,,T67+1)*R67-ERP_i)*Q67*Ramure*Pc/MaxiM</f>
        <v>6.094786057594238E-5</v>
      </c>
      <c r="Q67" s="301">
        <f t="shared" si="4"/>
        <v>0.5</v>
      </c>
      <c r="R67" s="173">
        <f t="shared" si="5"/>
        <v>0.46969359146315298</v>
      </c>
      <c r="S67" s="801">
        <f t="shared" si="6"/>
        <v>0</v>
      </c>
      <c r="T67" s="172">
        <f t="shared" si="7"/>
        <v>6</v>
      </c>
      <c r="U67" s="247">
        <f t="shared" si="8"/>
        <v>0.46969359146315298</v>
      </c>
      <c r="V67" s="378">
        <f t="shared" si="9"/>
        <v>151.27161647566621</v>
      </c>
      <c r="W67" s="397">
        <f t="shared" si="10"/>
        <v>129.05676329075362</v>
      </c>
      <c r="X67" s="153">
        <f t="shared" si="11"/>
        <v>47536</v>
      </c>
      <c r="Y67" s="380">
        <f t="shared" si="12"/>
        <v>126.38755646876581</v>
      </c>
      <c r="Z67" s="380">
        <f t="shared" si="22"/>
        <v>131.88812026675302</v>
      </c>
      <c r="AA67" s="381">
        <f t="shared" si="13"/>
        <v>140.96494572799722</v>
      </c>
      <c r="AB67" s="193">
        <f t="shared" si="14"/>
        <v>47536</v>
      </c>
      <c r="AC67" s="119">
        <f>IF(OR(t&lt;Tnet,NoTnet),'2029'!Resal_s+('2029'!Salim-'2029'!Resal_s)*(1-EXP(('2029'!Tnet_s-t)/'2029'!Tau_j)),Resal_s+(Salim-Resal_s)*(1-EXP((Tnet_s-t)/Tau_j)))*Salcycl</f>
        <v>6.439065694217791E-2</v>
      </c>
      <c r="AD67" s="227">
        <f>(INDEX(Models!$BJ67:$BT67,,AH67)*(1-AF67)+INDEX(Models!$BJ67:$BT67,,AH67+1)*AF67-ERP_i)*AE67*Ramure*Pc/MaxiM</f>
        <v>8.0870805540256014E-4</v>
      </c>
      <c r="AE67" s="301">
        <f t="shared" si="15"/>
        <v>0.5</v>
      </c>
      <c r="AF67" s="173">
        <f t="shared" si="23"/>
        <v>0.99468115783713129</v>
      </c>
      <c r="AG67" s="801">
        <f t="shared" si="24"/>
        <v>3</v>
      </c>
      <c r="AH67" s="172">
        <f t="shared" si="16"/>
        <v>9</v>
      </c>
      <c r="AI67" s="221">
        <f t="shared" si="17"/>
        <v>3.9946811578371313</v>
      </c>
      <c r="AJ67" s="261" t="b">
        <f t="shared" si="18"/>
        <v>1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47537</v>
      </c>
      <c r="B68" s="406">
        <f>'2029'!Wh/'2029'!Env_an*'2030'!Env_an</f>
        <v>133.36126516402106</v>
      </c>
      <c r="C68" s="831"/>
      <c r="D68" s="388">
        <f t="shared" si="0"/>
        <v>139.16723963221551</v>
      </c>
      <c r="E68" s="380">
        <f t="shared" si="1"/>
        <v>145.76067381438756</v>
      </c>
      <c r="F68" s="380">
        <f t="shared" si="2"/>
        <v>145.76746305019464</v>
      </c>
      <c r="G68" s="110">
        <f t="shared" si="21"/>
        <v>0.87347888692998743</v>
      </c>
      <c r="H68" s="409" t="b">
        <f>Wh_hp&gt;='2029'!Maxi_hp</f>
        <v>0</v>
      </c>
      <c r="I68" s="385">
        <f>IF(H68,Wh_hp,'2029'!Maxi_hp)</f>
        <v>145.76894661808049</v>
      </c>
      <c r="J68" s="85">
        <f>IF(H68,An,'2029'!An_max)</f>
        <v>2022</v>
      </c>
      <c r="K68" s="193">
        <f t="shared" si="3"/>
        <v>47537</v>
      </c>
      <c r="L68" s="143">
        <f>IF(t&lt;Tvie,1-EXP((T0-t)*PertePVj)+'2029'!Pspv,1-EXP((T0-t)*PertePVj)+Pspv)</f>
        <v>4.1719405253263564E-2</v>
      </c>
      <c r="M68" s="835"/>
      <c r="N68" s="835"/>
      <c r="O68" s="48">
        <f>IF(t&lt;Tnet,'2029'!Resal+('2029'!Salim-'2029'!Resal)*(1-EXP(('2029'!Tnet-t)/('2029'!Tau_j))),Resal+(Salim-Resal)*(1-EXP((Tnet-t)/(Tau_j))))*Salcycl</f>
        <v>4.5234657672947862E-2</v>
      </c>
      <c r="P68" s="165">
        <f>(INDEX(Models!$BJ68:$BT68,,T68)*(1-R68)+INDEX(Models!$BJ68:$BT68,,T68+1)*R68-ERP_i)*Q68*Ramure*Pc/MaxiM</f>
        <v>5.6850476248914829E-5</v>
      </c>
      <c r="Q68" s="301">
        <f t="shared" si="4"/>
        <v>0.5</v>
      </c>
      <c r="R68" s="173">
        <f t="shared" si="5"/>
        <v>0.46993597432353085</v>
      </c>
      <c r="S68" s="801">
        <f t="shared" si="6"/>
        <v>0</v>
      </c>
      <c r="T68" s="172">
        <f t="shared" si="7"/>
        <v>6</v>
      </c>
      <c r="U68" s="247">
        <f t="shared" si="8"/>
        <v>0.46993597432353085</v>
      </c>
      <c r="V68" s="378">
        <f t="shared" si="9"/>
        <v>152.67672390425955</v>
      </c>
      <c r="W68" s="397">
        <f t="shared" si="10"/>
        <v>133.36126516402106</v>
      </c>
      <c r="X68" s="153">
        <f t="shared" si="11"/>
        <v>47537</v>
      </c>
      <c r="Y68" s="380">
        <f t="shared" si="12"/>
        <v>130.60916025648297</v>
      </c>
      <c r="Z68" s="380">
        <f t="shared" si="22"/>
        <v>136.2953199433216</v>
      </c>
      <c r="AA68" s="381">
        <f t="shared" si="13"/>
        <v>145.6782695446588</v>
      </c>
      <c r="AB68" s="193">
        <f t="shared" si="14"/>
        <v>47537</v>
      </c>
      <c r="AC68" s="119">
        <f>IF(OR(t&lt;Tnet,NoTnet),'2029'!Resal_s+('2029'!Salim-'2029'!Resal_s)*(1-EXP(('2029'!Tnet_s-t)/'2029'!Tau_j)),Resal_s+(Salim-Resal_s)*(1-EXP((Tnet_s-t)/Tau_j)))*Salcycl</f>
        <v>6.4408711269464777E-2</v>
      </c>
      <c r="AD68" s="227">
        <f>(INDEX(Models!$BJ68:$BT68,,AH68)*(1-AF68)+INDEX(Models!$BJ68:$BT68,,AH68+1)*AF68-ERP_i)*AE68*Ramure*Pc/MaxiM</f>
        <v>7.4687246283933445E-4</v>
      </c>
      <c r="AE68" s="301">
        <f t="shared" si="15"/>
        <v>0.5</v>
      </c>
      <c r="AF68" s="173">
        <f t="shared" si="23"/>
        <v>0.99492354069750899</v>
      </c>
      <c r="AG68" s="801">
        <f t="shared" si="24"/>
        <v>3</v>
      </c>
      <c r="AH68" s="172">
        <f t="shared" si="16"/>
        <v>9</v>
      </c>
      <c r="AI68" s="221">
        <f t="shared" si="17"/>
        <v>3.994923540697509</v>
      </c>
      <c r="AJ68" s="261" t="b">
        <f t="shared" si="18"/>
        <v>1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47538</v>
      </c>
      <c r="B69" s="406">
        <f>'2029'!Wh/'2029'!Env_an*'2030'!Env_an</f>
        <v>84.533208342234829</v>
      </c>
      <c r="C69" s="831"/>
      <c r="D69" s="388">
        <f t="shared" si="0"/>
        <v>88.214627333711164</v>
      </c>
      <c r="E69" s="380">
        <f t="shared" si="1"/>
        <v>92.397789545103649</v>
      </c>
      <c r="F69" s="380">
        <f t="shared" si="2"/>
        <v>92.399542607718828</v>
      </c>
      <c r="G69" s="110">
        <f t="shared" si="21"/>
        <v>0.54861204812831443</v>
      </c>
      <c r="H69" s="409" t="b">
        <f>Wh_hp&gt;='2029'!Maxi_hp</f>
        <v>0</v>
      </c>
      <c r="I69" s="385">
        <f>IF(H69,Wh_hp,'2029'!Maxi_hp)</f>
        <v>92.402693718208255</v>
      </c>
      <c r="J69" s="85">
        <f>IF(H69,An,'2029'!An_max)</f>
        <v>2022</v>
      </c>
      <c r="K69" s="193">
        <f t="shared" si="3"/>
        <v>47538</v>
      </c>
      <c r="L69" s="143">
        <f>IF(t&lt;Tvie,1-EXP((T0-t)*PertePVj)+'2029'!Pspv,1-EXP((T0-t)*PertePVj)+Pspv)</f>
        <v>4.1732523309878311E-2</v>
      </c>
      <c r="M69" s="835"/>
      <c r="N69" s="835"/>
      <c r="O69" s="48">
        <f>IF(t&lt;Tnet,'2029'!Resal+('2029'!Salim-'2029'!Resal)*(1-EXP(('2029'!Tnet-t)/('2029'!Tau_j))),Resal+(Salim-Resal)*(1-EXP((Tnet-t)/(Tau_j))))*Salcycl</f>
        <v>4.52734013658464E-2</v>
      </c>
      <c r="P69" s="165">
        <f>(INDEX(Models!$BJ69:$BT69,,T69)*(1-R69)+INDEX(Models!$BJ69:$BT69,,T69+1)*R69-ERP_i)*Q69*Ramure*Pc/MaxiM</f>
        <v>5.3415889655719695E-5</v>
      </c>
      <c r="Q69" s="301">
        <f t="shared" si="4"/>
        <v>0.5</v>
      </c>
      <c r="R69" s="173">
        <f t="shared" si="5"/>
        <v>0.47018827325074913</v>
      </c>
      <c r="S69" s="801">
        <f t="shared" si="6"/>
        <v>0</v>
      </c>
      <c r="T69" s="172">
        <f t="shared" si="7"/>
        <v>6</v>
      </c>
      <c r="U69" s="247">
        <f t="shared" si="8"/>
        <v>0.47018827325074913</v>
      </c>
      <c r="V69" s="378">
        <f t="shared" si="9"/>
        <v>154.08027763224604</v>
      </c>
      <c r="W69" s="397">
        <f t="shared" si="10"/>
        <v>84.533208342234829</v>
      </c>
      <c r="X69" s="153">
        <f t="shared" si="11"/>
        <v>47538</v>
      </c>
      <c r="Y69" s="380">
        <f t="shared" si="12"/>
        <v>82.818520218118294</v>
      </c>
      <c r="Z69" s="380">
        <f t="shared" si="22"/>
        <v>86.425264587060184</v>
      </c>
      <c r="AA69" s="381">
        <f t="shared" si="13"/>
        <v>92.376799199838985</v>
      </c>
      <c r="AB69" s="193">
        <f t="shared" si="14"/>
        <v>47538</v>
      </c>
      <c r="AC69" s="119">
        <f>IF(OR(t&lt;Tnet,NoTnet),'2029'!Resal_s+('2029'!Salim-'2029'!Resal_s)*(1-EXP(('2029'!Tnet_s-t)/'2029'!Tau_j)),Resal_s+(Salim-Resal_s)*(1-EXP((Tnet_s-t)/Tau_j)))*Salcycl</f>
        <v>6.4426724722338943E-2</v>
      </c>
      <c r="AD69" s="227">
        <f>(INDEX(Models!$BJ69:$BT69,,AH69)*(1-AF69)+INDEX(Models!$BJ69:$BT69,,AH69+1)*AF69-ERP_i)*AE69*Ramure*Pc/MaxiM</f>
        <v>6.929925692224357E-4</v>
      </c>
      <c r="AE69" s="301">
        <f t="shared" si="15"/>
        <v>0.5</v>
      </c>
      <c r="AF69" s="173">
        <f t="shared" si="23"/>
        <v>0.99517583962472722</v>
      </c>
      <c r="AG69" s="801">
        <f t="shared" si="24"/>
        <v>3</v>
      </c>
      <c r="AH69" s="172">
        <f t="shared" si="16"/>
        <v>9</v>
      </c>
      <c r="AI69" s="221">
        <f t="shared" si="17"/>
        <v>3.9951758396247272</v>
      </c>
      <c r="AJ69" s="261" t="b">
        <f t="shared" si="18"/>
        <v>1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47539</v>
      </c>
      <c r="B70" s="406">
        <f>'2029'!Wh/'2029'!Env_an*'2030'!Env_an</f>
        <v>119.73245403433208</v>
      </c>
      <c r="C70" s="831"/>
      <c r="D70" s="388">
        <f t="shared" si="0"/>
        <v>124.94850968654679</v>
      </c>
      <c r="E70" s="380">
        <f t="shared" si="1"/>
        <v>130.87890629141077</v>
      </c>
      <c r="F70" s="380">
        <f t="shared" si="2"/>
        <v>130.88335612801652</v>
      </c>
      <c r="G70" s="110">
        <f t="shared" si="21"/>
        <v>0.77006593362365827</v>
      </c>
      <c r="H70" s="409" t="b">
        <f>Wh_hp&gt;='2029'!Maxi_hp</f>
        <v>0</v>
      </c>
      <c r="I70" s="385">
        <f>IF(H70,Wh_hp,'2029'!Maxi_hp)</f>
        <v>130.88551017631676</v>
      </c>
      <c r="J70" s="85">
        <f>IF(H70,An,'2029'!An_max)</f>
        <v>2022</v>
      </c>
      <c r="K70" s="193">
        <f t="shared" si="3"/>
        <v>47539</v>
      </c>
      <c r="L70" s="143">
        <f>IF(t&lt;Tvie,1-EXP((T0-t)*PertePVj)+'2029'!Pspv,1-EXP((T0-t)*PertePVj)+Pspv)</f>
        <v>4.1745641186917815E-2</v>
      </c>
      <c r="M70" s="835"/>
      <c r="N70" s="835"/>
      <c r="O70" s="48">
        <f>IF(t&lt;Tnet,'2029'!Resal+('2029'!Salim-'2029'!Resal)*(1-EXP(('2029'!Tnet-t)/('2029'!Tau_j))),Resal+(Salim-Resal)*(1-EXP((Tnet-t)/(Tau_j))))*Salcycl</f>
        <v>4.5312088654374673E-2</v>
      </c>
      <c r="P70" s="165">
        <f>(INDEX(Models!$BJ70:$BT70,,T70)*(1-R70)+INDEX(Models!$BJ70:$BT70,,T70+1)*R70-ERP_i)*Q70*Ramure*Pc/MaxiM</f>
        <v>5.0627568722366505E-5</v>
      </c>
      <c r="Q70" s="301">
        <f t="shared" si="4"/>
        <v>0.5</v>
      </c>
      <c r="R70" s="173">
        <f t="shared" si="5"/>
        <v>0.47045088304288518</v>
      </c>
      <c r="S70" s="801">
        <f t="shared" si="6"/>
        <v>0</v>
      </c>
      <c r="T70" s="172">
        <f t="shared" si="7"/>
        <v>6</v>
      </c>
      <c r="U70" s="247">
        <f t="shared" si="8"/>
        <v>0.47045088304288518</v>
      </c>
      <c r="V70" s="378">
        <f t="shared" si="9"/>
        <v>155.48079417426564</v>
      </c>
      <c r="W70" s="397">
        <f t="shared" si="10"/>
        <v>119.73245403433208</v>
      </c>
      <c r="X70" s="153">
        <f t="shared" si="11"/>
        <v>47539</v>
      </c>
      <c r="Y70" s="380">
        <f t="shared" si="12"/>
        <v>117.28595125844772</v>
      </c>
      <c r="Z70" s="380">
        <f t="shared" si="22"/>
        <v>122.39542682980439</v>
      </c>
      <c r="AA70" s="381">
        <f t="shared" si="13"/>
        <v>130.82650112373096</v>
      </c>
      <c r="AB70" s="193">
        <f t="shared" si="14"/>
        <v>47539</v>
      </c>
      <c r="AC70" s="119">
        <f>IF(OR(t&lt;Tnet,NoTnet),'2029'!Resal_s+('2029'!Salim-'2029'!Resal_s)*(1-EXP(('2029'!Tnet_s-t)/'2029'!Tau_j)),Resal_s+(Salim-Resal_s)*(1-EXP((Tnet_s-t)/Tau_j)))*Salcycl</f>
        <v>6.4444697530760778E-2</v>
      </c>
      <c r="AD70" s="227">
        <f>(INDEX(Models!$BJ70:$BT70,,AH70)*(1-AF70)+INDEX(Models!$BJ70:$BT70,,AH70+1)*AF70-ERP_i)*AE70*Ramure*Pc/MaxiM</f>
        <v>6.4686209667992459E-4</v>
      </c>
      <c r="AE70" s="301">
        <f t="shared" si="15"/>
        <v>0.5</v>
      </c>
      <c r="AF70" s="173">
        <f t="shared" si="23"/>
        <v>0.99543844941686332</v>
      </c>
      <c r="AG70" s="801">
        <f t="shared" si="24"/>
        <v>3</v>
      </c>
      <c r="AH70" s="172">
        <f t="shared" si="16"/>
        <v>9</v>
      </c>
      <c r="AI70" s="221">
        <f t="shared" si="17"/>
        <v>3.9954384494168633</v>
      </c>
      <c r="AJ70" s="261" t="b">
        <f t="shared" si="18"/>
        <v>1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47540</v>
      </c>
      <c r="B71" s="406">
        <f>'2029'!Wh/'2029'!Env_an*'2030'!Env_an</f>
        <v>158.88355891294694</v>
      </c>
      <c r="C71" s="831"/>
      <c r="D71" s="388">
        <f t="shared" si="0"/>
        <v>165.80747320786315</v>
      </c>
      <c r="E71" s="380">
        <f t="shared" si="1"/>
        <v>173.68417571544879</v>
      </c>
      <c r="F71" s="380">
        <f t="shared" si="2"/>
        <v>173.69259452617038</v>
      </c>
      <c r="G71" s="110">
        <f t="shared" si="21"/>
        <v>1.0127920050517858</v>
      </c>
      <c r="H71" s="409" t="b">
        <f>Wh_hp&gt;='2029'!Maxi_hp</f>
        <v>1</v>
      </c>
      <c r="I71" s="385">
        <f>IF(H71,Wh_hp,'2029'!Maxi_hp)</f>
        <v>173.69259452617038</v>
      </c>
      <c r="J71" s="85">
        <f>IF(H71,An,'2029'!An_max)</f>
        <v>2030</v>
      </c>
      <c r="K71" s="193">
        <f t="shared" si="3"/>
        <v>47540</v>
      </c>
      <c r="L71" s="143">
        <f>IF(t&lt;Tvie,1-EXP((T0-t)*PertePVj)+'2029'!Pspv,1-EXP((T0-t)*PertePVj)+Pspv)</f>
        <v>4.1758758884384628E-2</v>
      </c>
      <c r="M71" s="835"/>
      <c r="N71" s="835"/>
      <c r="O71" s="48">
        <f>IF(t&lt;Tnet,'2029'!Resal+('2029'!Salim-'2029'!Resal)*(1-EXP(('2029'!Tnet-t)/('2029'!Tau_j))),Resal+(Salim-Resal)*(1-EXP((Tnet-t)/(Tau_j))))*Salcycl</f>
        <v>4.5350720496783965E-2</v>
      </c>
      <c r="P71" s="165">
        <f>(INDEX(Models!$BJ71:$BT71,,T71)*(1-R71)+INDEX(Models!$BJ71:$BT71,,T71+1)*R71-ERP_i)*Q71*Ramure*Pc/MaxiM</f>
        <v>4.846960081712971E-5</v>
      </c>
      <c r="Q71" s="301">
        <f t="shared" si="4"/>
        <v>0.5</v>
      </c>
      <c r="R71" s="173">
        <f t="shared" si="5"/>
        <v>0.47072421329845049</v>
      </c>
      <c r="S71" s="801">
        <f t="shared" si="6"/>
        <v>0</v>
      </c>
      <c r="T71" s="172">
        <f t="shared" si="7"/>
        <v>6</v>
      </c>
      <c r="U71" s="247">
        <f t="shared" si="8"/>
        <v>0.47072421329845049</v>
      </c>
      <c r="V71" s="378">
        <f t="shared" si="9"/>
        <v>156.87679021994546</v>
      </c>
      <c r="W71" s="397">
        <f t="shared" si="10"/>
        <v>158.88355891294694</v>
      </c>
      <c r="X71" s="153">
        <f t="shared" si="11"/>
        <v>47540</v>
      </c>
      <c r="Y71" s="380">
        <f t="shared" si="12"/>
        <v>155.61556957974901</v>
      </c>
      <c r="Z71" s="380">
        <f t="shared" si="22"/>
        <v>162.39706965500289</v>
      </c>
      <c r="AA71" s="381">
        <f t="shared" si="13"/>
        <v>173.586940559868</v>
      </c>
      <c r="AB71" s="193">
        <f t="shared" si="14"/>
        <v>47540</v>
      </c>
      <c r="AC71" s="119">
        <f>IF(OR(t&lt;Tnet,NoTnet),'2029'!Resal_s+('2029'!Salim-'2029'!Resal_s)*(1-EXP(('2029'!Tnet_s-t)/'2029'!Tau_j)),Resal_s+(Salim-Resal_s)*(1-EXP((Tnet_s-t)/Tau_j)))*Salcycl</f>
        <v>6.4462631052627326E-2</v>
      </c>
      <c r="AD71" s="227">
        <f>(INDEX(Models!$BJ71:$BT71,,AH71)*(1-AF71)+INDEX(Models!$BJ71:$BT71,,AH71+1)*AF71-ERP_i)*AE71*Ramure*Pc/MaxiM</f>
        <v>6.0828135241235864E-4</v>
      </c>
      <c r="AE71" s="301">
        <f t="shared" si="15"/>
        <v>0.5</v>
      </c>
      <c r="AF71" s="173">
        <f t="shared" si="23"/>
        <v>0.99571177967242841</v>
      </c>
      <c r="AG71" s="801">
        <f t="shared" si="24"/>
        <v>3</v>
      </c>
      <c r="AH71" s="172">
        <f t="shared" si="16"/>
        <v>9</v>
      </c>
      <c r="AI71" s="221">
        <f t="shared" si="17"/>
        <v>3.9957117796724284</v>
      </c>
      <c r="AJ71" s="261" t="b">
        <f t="shared" si="18"/>
        <v>1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47541</v>
      </c>
      <c r="B72" s="406">
        <f>'2029'!Wh/'2029'!Env_an*'2030'!Env_an</f>
        <v>105.71358509459779</v>
      </c>
      <c r="C72" s="831"/>
      <c r="D72" s="388">
        <f t="shared" si="0"/>
        <v>110.32193951654276</v>
      </c>
      <c r="E72" s="380">
        <f t="shared" si="1"/>
        <v>115.56746573673796</v>
      </c>
      <c r="F72" s="380">
        <f t="shared" si="2"/>
        <v>115.57031782539546</v>
      </c>
      <c r="G72" s="110">
        <f t="shared" si="21"/>
        <v>0.66793063794237084</v>
      </c>
      <c r="H72" s="409" t="b">
        <f>Wh_hp&gt;='2029'!Maxi_hp</f>
        <v>0</v>
      </c>
      <c r="I72" s="385">
        <f>IF(H72,Wh_hp,'2029'!Maxi_hp)</f>
        <v>115.57286305662481</v>
      </c>
      <c r="J72" s="85">
        <f>IF(H72,An,'2029'!An_max)</f>
        <v>2022</v>
      </c>
      <c r="K72" s="193">
        <f t="shared" si="3"/>
        <v>47541</v>
      </c>
      <c r="L72" s="143">
        <f>IF(t&lt;Tvie,1-EXP((T0-t)*PertePVj)+'2029'!Pspv,1-EXP((T0-t)*PertePVj)+Pspv)</f>
        <v>4.1771876402281194E-2</v>
      </c>
      <c r="M72" s="835"/>
      <c r="N72" s="835"/>
      <c r="O72" s="48">
        <f>IF(t&lt;Tnet,'2029'!Resal+('2029'!Salim-'2029'!Resal)*(1-EXP(('2029'!Tnet-t)/('2029'!Tau_j))),Resal+(Salim-Resal)*(1-EXP((Tnet-t)/(Tau_j))))*Salcycl</f>
        <v>4.5389298681555321E-2</v>
      </c>
      <c r="P72" s="165">
        <f>(INDEX(Models!$BJ72:$BT72,,T72)*(1-R72)+INDEX(Models!$BJ72:$BT72,,T72+1)*R72-ERP_i)*Q72*Ramure*Pc/MaxiM</f>
        <v>4.6949529161704832E-5</v>
      </c>
      <c r="Q72" s="301">
        <f t="shared" si="4"/>
        <v>0.5</v>
      </c>
      <c r="R72" s="173">
        <f t="shared" si="5"/>
        <v>0.47100868889326064</v>
      </c>
      <c r="S72" s="801">
        <f t="shared" si="6"/>
        <v>0</v>
      </c>
      <c r="T72" s="172">
        <f t="shared" si="7"/>
        <v>6</v>
      </c>
      <c r="U72" s="247">
        <f t="shared" si="8"/>
        <v>0.47100868889326064</v>
      </c>
      <c r="V72" s="378">
        <f t="shared" si="9"/>
        <v>158.26677901694546</v>
      </c>
      <c r="W72" s="397">
        <f t="shared" si="10"/>
        <v>105.71358509459779</v>
      </c>
      <c r="X72" s="153">
        <f t="shared" si="11"/>
        <v>47541</v>
      </c>
      <c r="Y72" s="380">
        <f t="shared" si="12"/>
        <v>103.57056518762664</v>
      </c>
      <c r="Z72" s="380">
        <f t="shared" si="22"/>
        <v>108.08549930549461</v>
      </c>
      <c r="AA72" s="381">
        <f t="shared" si="13"/>
        <v>115.53527480713286</v>
      </c>
      <c r="AB72" s="193">
        <f t="shared" si="14"/>
        <v>47541</v>
      </c>
      <c r="AC72" s="119">
        <f>IF(OR(t&lt;Tnet,NoTnet),'2029'!Resal_s+('2029'!Salim-'2029'!Resal_s)*(1-EXP(('2029'!Tnet_s-t)/'2029'!Tau_j)),Resal_s+(Salim-Resal_s)*(1-EXP((Tnet_s-t)/Tau_j)))*Salcycl</f>
        <v>6.4480527822125516E-2</v>
      </c>
      <c r="AD72" s="227">
        <f>(INDEX(Models!$BJ72:$BT72,,AH72)*(1-AF72)+INDEX(Models!$BJ72:$BT72,,AH72+1)*AF72-ERP_i)*AE72*Ramure*Pc/MaxiM</f>
        <v>5.7685906905608137E-4</v>
      </c>
      <c r="AE72" s="301">
        <f t="shared" si="15"/>
        <v>0.5</v>
      </c>
      <c r="AF72" s="173">
        <f t="shared" si="23"/>
        <v>0.99599625526723878</v>
      </c>
      <c r="AG72" s="801">
        <f t="shared" si="24"/>
        <v>3</v>
      </c>
      <c r="AH72" s="172">
        <f t="shared" si="16"/>
        <v>9</v>
      </c>
      <c r="AI72" s="221">
        <f t="shared" si="17"/>
        <v>3.9959962552672388</v>
      </c>
      <c r="AJ72" s="261" t="b">
        <f t="shared" si="18"/>
        <v>1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47542</v>
      </c>
      <c r="B73" s="406">
        <f>'2029'!Wh/'2029'!Env_an*'2030'!Env_an</f>
        <v>143.41828497019551</v>
      </c>
      <c r="C73" s="831"/>
      <c r="D73" s="388">
        <f t="shared" si="0"/>
        <v>149.67234288060396</v>
      </c>
      <c r="E73" s="380">
        <f t="shared" si="1"/>
        <v>156.79520829853729</v>
      </c>
      <c r="F73" s="380">
        <f t="shared" si="2"/>
        <v>156.80128891292969</v>
      </c>
      <c r="G73" s="110">
        <f t="shared" si="21"/>
        <v>0.89832690768737533</v>
      </c>
      <c r="H73" s="409" t="b">
        <f>Wh_hp&gt;='2029'!Maxi_hp</f>
        <v>0</v>
      </c>
      <c r="I73" s="385">
        <f>IF(H73,Wh_hp,'2029'!Maxi_hp)</f>
        <v>156.80231017233547</v>
      </c>
      <c r="J73" s="85">
        <f>IF(H73,An,'2029'!An_max)</f>
        <v>2022</v>
      </c>
      <c r="K73" s="193">
        <f t="shared" si="3"/>
        <v>47542</v>
      </c>
      <c r="L73" s="143">
        <f>IF(t&lt;Tvie,1-EXP((T0-t)*PertePVj)+'2029'!Pspv,1-EXP((T0-t)*PertePVj)+Pspv)</f>
        <v>4.1784993740609844E-2</v>
      </c>
      <c r="M73" s="835"/>
      <c r="N73" s="835"/>
      <c r="O73" s="48">
        <f>IF(t&lt;Tnet,'2029'!Resal+('2029'!Salim-'2029'!Resal)*(1-EXP(('2029'!Tnet-t)/('2029'!Tau_j))),Resal+(Salim-Resal)*(1-EXP((Tnet-t)/(Tau_j))))*Salcycl</f>
        <v>4.5427825857863112E-2</v>
      </c>
      <c r="P73" s="165">
        <f>(INDEX(Models!$BJ73:$BT73,,T73)*(1-R73)+INDEX(Models!$BJ73:$BT73,,T73+1)*R73-ERP_i)*Q73*Ramure*Pc/MaxiM</f>
        <v>4.5368356192073378E-5</v>
      </c>
      <c r="Q73" s="301">
        <f t="shared" si="4"/>
        <v>0.5</v>
      </c>
      <c r="R73" s="173">
        <f t="shared" si="5"/>
        <v>0.4713047504658483</v>
      </c>
      <c r="S73" s="801">
        <f t="shared" si="6"/>
        <v>0</v>
      </c>
      <c r="T73" s="172">
        <f t="shared" si="7"/>
        <v>6</v>
      </c>
      <c r="U73" s="247">
        <f t="shared" si="8"/>
        <v>0.4713047504658483</v>
      </c>
      <c r="V73" s="378">
        <f t="shared" si="9"/>
        <v>159.64938675201537</v>
      </c>
      <c r="W73" s="397">
        <f t="shared" si="10"/>
        <v>143.41828497019551</v>
      </c>
      <c r="X73" s="153">
        <f t="shared" si="11"/>
        <v>47542</v>
      </c>
      <c r="Y73" s="380">
        <f t="shared" si="12"/>
        <v>140.49277537765013</v>
      </c>
      <c r="Z73" s="380">
        <f t="shared" si="22"/>
        <v>146.61926024942522</v>
      </c>
      <c r="AA73" s="381">
        <f t="shared" si="13"/>
        <v>156.72796169593522</v>
      </c>
      <c r="AB73" s="193">
        <f t="shared" si="14"/>
        <v>47542</v>
      </c>
      <c r="AC73" s="119">
        <f>IF(OR(t&lt;Tnet,NoTnet),'2029'!Resal_s+('2029'!Salim-'2029'!Resal_s)*(1-EXP(('2029'!Tnet_s-t)/'2029'!Tau_j)),Resal_s+(Salim-Resal_s)*(1-EXP((Tnet_s-t)/Tau_j)))*Salcycl</f>
        <v>6.4498391589636703E-2</v>
      </c>
      <c r="AD73" s="227">
        <f>(INDEX(Models!$BJ73:$BT73,,AH73)*(1-AF73)+INDEX(Models!$BJ73:$BT73,,AH73+1)*AF73-ERP_i)*AE73*Ramure*Pc/MaxiM</f>
        <v>5.4710512531846317E-4</v>
      </c>
      <c r="AE73" s="301">
        <f t="shared" si="15"/>
        <v>0.5</v>
      </c>
      <c r="AF73" s="173">
        <f t="shared" si="23"/>
        <v>0.99629231683982633</v>
      </c>
      <c r="AG73" s="801">
        <f t="shared" si="24"/>
        <v>3</v>
      </c>
      <c r="AH73" s="172">
        <f t="shared" si="16"/>
        <v>9</v>
      </c>
      <c r="AI73" s="221">
        <f t="shared" si="17"/>
        <v>3.9962923168398263</v>
      </c>
      <c r="AJ73" s="261" t="b">
        <f t="shared" si="18"/>
        <v>1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47543</v>
      </c>
      <c r="B74" s="406">
        <f>'2029'!Wh/'2029'!Env_an*'2030'!Env_an</f>
        <v>161.13153755630066</v>
      </c>
      <c r="C74" s="831"/>
      <c r="D74" s="388">
        <f t="shared" si="0"/>
        <v>168.16032131552103</v>
      </c>
      <c r="E74" s="380">
        <f t="shared" si="1"/>
        <v>176.17012609929617</v>
      </c>
      <c r="F74" s="380">
        <f t="shared" si="2"/>
        <v>176.17782993937294</v>
      </c>
      <c r="G74" s="110">
        <f t="shared" si="21"/>
        <v>1.0006732370823301</v>
      </c>
      <c r="H74" s="409" t="b">
        <f>Wh_hp&gt;='2029'!Maxi_hp</f>
        <v>1</v>
      </c>
      <c r="I74" s="385">
        <f>IF(H74,Wh_hp,'2029'!Maxi_hp)</f>
        <v>176.17782993937294</v>
      </c>
      <c r="J74" s="85">
        <f>IF(H74,An,'2029'!An_max)</f>
        <v>2030</v>
      </c>
      <c r="K74" s="193">
        <f t="shared" si="3"/>
        <v>47543</v>
      </c>
      <c r="L74" s="143">
        <f>IF(t&lt;Tvie,1-EXP((T0-t)*PertePVj)+'2029'!Pspv,1-EXP((T0-t)*PertePVj)+Pspv)</f>
        <v>4.1798110899373242E-2</v>
      </c>
      <c r="M74" s="835"/>
      <c r="N74" s="835"/>
      <c r="O74" s="48">
        <f>IF(t&lt;Tnet,'2029'!Resal+('2029'!Salim-'2029'!Resal)*(1-EXP(('2029'!Tnet-t)/('2029'!Tau_j))),Resal+(Salim-Resal)*(1-EXP((Tnet-t)/(Tau_j))))*Salcycl</f>
        <v>4.5466305560004493E-2</v>
      </c>
      <c r="P74" s="165">
        <f>(INDEX(Models!$BJ74:$BT74,,T74)*(1-R74)+INDEX(Models!$BJ74:$BT74,,T74+1)*R74-ERP_i)*Q74*Ramure*Pc/MaxiM</f>
        <v>4.3727636328705246E-5</v>
      </c>
      <c r="Q74" s="301">
        <f t="shared" si="4"/>
        <v>0.5</v>
      </c>
      <c r="R74" s="173">
        <f t="shared" si="5"/>
        <v>0.47161285491090704</v>
      </c>
      <c r="S74" s="801">
        <f t="shared" si="6"/>
        <v>0</v>
      </c>
      <c r="T74" s="172">
        <f t="shared" si="7"/>
        <v>6</v>
      </c>
      <c r="U74" s="247">
        <f t="shared" si="8"/>
        <v>0.47161285491090704</v>
      </c>
      <c r="V74" s="378">
        <f t="shared" si="9"/>
        <v>161.02313081352412</v>
      </c>
      <c r="W74" s="397">
        <f t="shared" si="10"/>
        <v>161.13153755630066</v>
      </c>
      <c r="X74" s="153">
        <f t="shared" si="11"/>
        <v>47543</v>
      </c>
      <c r="Y74" s="380">
        <f t="shared" si="12"/>
        <v>157.84073308691265</v>
      </c>
      <c r="Z74" s="380">
        <f t="shared" si="22"/>
        <v>164.72596733770038</v>
      </c>
      <c r="AA74" s="381">
        <f t="shared" si="13"/>
        <v>176.08639738516524</v>
      </c>
      <c r="AB74" s="193">
        <f t="shared" si="14"/>
        <v>47543</v>
      </c>
      <c r="AC74" s="119">
        <f>IF(OR(t&lt;Tnet,NoTnet),'2029'!Resal_s+('2029'!Salim-'2029'!Resal_s)*(1-EXP(('2029'!Tnet_s-t)/'2029'!Tau_j)),Resal_s+(Salim-Resal_s)*(1-EXP((Tnet_s-t)/Tau_j)))*Salcycl</f>
        <v>6.4516227352959268E-2</v>
      </c>
      <c r="AD74" s="227">
        <f>(INDEX(Models!$BJ74:$BT74,,AH74)*(1-AF74)+INDEX(Models!$BJ74:$BT74,,AH74+1)*AF74-ERP_i)*AE74*Ramure*Pc/MaxiM</f>
        <v>5.1897877411224058E-4</v>
      </c>
      <c r="AE74" s="301">
        <f t="shared" si="15"/>
        <v>0.5</v>
      </c>
      <c r="AF74" s="173">
        <f t="shared" si="23"/>
        <v>0.99660042128488513</v>
      </c>
      <c r="AG74" s="801">
        <f t="shared" si="24"/>
        <v>3</v>
      </c>
      <c r="AH74" s="172">
        <f t="shared" si="16"/>
        <v>9</v>
      </c>
      <c r="AI74" s="221">
        <f t="shared" si="17"/>
        <v>3.9966004212848851</v>
      </c>
      <c r="AJ74" s="261" t="b">
        <f t="shared" si="18"/>
        <v>1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47544</v>
      </c>
      <c r="B75" s="406">
        <f>'2029'!Wh/'2029'!Env_an*'2030'!Env_an</f>
        <v>49.313235100896918</v>
      </c>
      <c r="C75" s="831"/>
      <c r="D75" s="388">
        <f t="shared" si="0"/>
        <v>51.465052122994102</v>
      </c>
      <c r="E75" s="380">
        <f t="shared" si="1"/>
        <v>53.918604313445393</v>
      </c>
      <c r="F75" s="380">
        <f t="shared" si="2"/>
        <v>53.918616220735657</v>
      </c>
      <c r="G75" s="110">
        <f t="shared" si="21"/>
        <v>0.30366541977546047</v>
      </c>
      <c r="H75" s="409" t="b">
        <f>Wh_hp&gt;='2029'!Maxi_hp</f>
        <v>0</v>
      </c>
      <c r="I75" s="385">
        <f>IF(H75,Wh_hp,'2029'!Maxi_hp)</f>
        <v>53.920842364129726</v>
      </c>
      <c r="J75" s="85">
        <f>IF(H75,An,'2029'!An_max)</f>
        <v>2022</v>
      </c>
      <c r="K75" s="193">
        <f t="shared" si="3"/>
        <v>47544</v>
      </c>
      <c r="L75" s="143">
        <f>IF(t&lt;Tvie,1-EXP((T0-t)*PertePVj)+'2029'!Pspv,1-EXP((T0-t)*PertePVj)+Pspv)</f>
        <v>4.181122787857372E-2</v>
      </c>
      <c r="M75" s="835"/>
      <c r="N75" s="835"/>
      <c r="O75" s="48">
        <f>IF(t&lt;Tnet,'2029'!Resal+('2029'!Salim-'2029'!Resal)*(1-EXP(('2029'!Tnet-t)/('2029'!Tau_j))),Resal+(Salim-Resal)*(1-EXP((Tnet-t)/(Tau_j))))*Salcycl</f>
        <v>4.5504742225671156E-2</v>
      </c>
      <c r="P75" s="165">
        <f>(INDEX(Models!$BJ75:$BT75,,T75)*(1-R75)+INDEX(Models!$BJ75:$BT75,,T75+1)*R75-ERP_i)*Q75*Ramure*Pc/MaxiM</f>
        <v>4.2028784329074315E-5</v>
      </c>
      <c r="Q75" s="301">
        <f t="shared" si="4"/>
        <v>0.5</v>
      </c>
      <c r="R75" s="173">
        <f t="shared" si="5"/>
        <v>0.4719334758801686</v>
      </c>
      <c r="S75" s="801">
        <f t="shared" si="6"/>
        <v>0</v>
      </c>
      <c r="T75" s="172">
        <f t="shared" si="7"/>
        <v>6</v>
      </c>
      <c r="U75" s="247">
        <f t="shared" si="8"/>
        <v>0.4719334758801686</v>
      </c>
      <c r="V75" s="378">
        <f t="shared" si="9"/>
        <v>162.38652873885795</v>
      </c>
      <c r="W75" s="397">
        <f t="shared" si="10"/>
        <v>49.313235100896918</v>
      </c>
      <c r="X75" s="153">
        <f t="shared" si="11"/>
        <v>47544</v>
      </c>
      <c r="Y75" s="380">
        <f t="shared" si="12"/>
        <v>48.32998717834672</v>
      </c>
      <c r="Z75" s="380">
        <f t="shared" si="22"/>
        <v>50.438899499254532</v>
      </c>
      <c r="AA75" s="381">
        <f t="shared" si="13"/>
        <v>53.918476706139366</v>
      </c>
      <c r="AB75" s="193">
        <f t="shared" si="14"/>
        <v>47544</v>
      </c>
      <c r="AC75" s="119">
        <f>IF(OR(t&lt;Tnet,NoTnet),'2029'!Resal_s+('2029'!Salim-'2029'!Resal_s)*(1-EXP(('2029'!Tnet_s-t)/'2029'!Tau_j)),Resal_s+(Salim-Resal_s)*(1-EXP((Tnet_s-t)/Tau_j)))*Salcycl</f>
        <v>6.4534041379708335E-2</v>
      </c>
      <c r="AD75" s="227">
        <f>(INDEX(Models!$BJ75:$BT75,,AH75)*(1-AF75)+INDEX(Models!$BJ75:$BT75,,AH75+1)*AF75-ERP_i)*AE75*Ramure*Pc/MaxiM</f>
        <v>4.9244024028303633E-4</v>
      </c>
      <c r="AE75" s="301">
        <f t="shared" si="15"/>
        <v>0.5</v>
      </c>
      <c r="AF75" s="173">
        <f t="shared" si="23"/>
        <v>0.99692104225414679</v>
      </c>
      <c r="AG75" s="801">
        <f t="shared" si="24"/>
        <v>3</v>
      </c>
      <c r="AH75" s="172">
        <f t="shared" si="16"/>
        <v>9</v>
      </c>
      <c r="AI75" s="221">
        <f t="shared" si="17"/>
        <v>3.9969210422541468</v>
      </c>
      <c r="AJ75" s="261" t="b">
        <f t="shared" si="18"/>
        <v>1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47545</v>
      </c>
      <c r="B76" s="406">
        <f>'2029'!Wh/'2029'!Env_an*'2030'!Env_an</f>
        <v>148.67922920272164</v>
      </c>
      <c r="C76" s="831"/>
      <c r="D76" s="388">
        <f t="shared" si="0"/>
        <v>155.16907403871619</v>
      </c>
      <c r="E76" s="380">
        <f t="shared" si="1"/>
        <v>162.57316672762465</v>
      </c>
      <c r="F76" s="380">
        <f t="shared" si="2"/>
        <v>162.57885403025321</v>
      </c>
      <c r="G76" s="110">
        <f t="shared" si="21"/>
        <v>0.90802595186819901</v>
      </c>
      <c r="H76" s="409" t="b">
        <f>Wh_hp&gt;='2029'!Maxi_hp</f>
        <v>0</v>
      </c>
      <c r="I76" s="385">
        <f>IF(H76,Wh_hp,'2029'!Maxi_hp)</f>
        <v>162.57970315575704</v>
      </c>
      <c r="J76" s="85">
        <f>IF(H76,An,'2029'!An_max)</f>
        <v>2022</v>
      </c>
      <c r="K76" s="193">
        <f t="shared" si="3"/>
        <v>47545</v>
      </c>
      <c r="L76" s="143">
        <f>IF(t&lt;Tvie,1-EXP((T0-t)*PertePVj)+'2029'!Pspv,1-EXP((T0-t)*PertePVj)+Pspv)</f>
        <v>4.1824344678213832E-2</v>
      </c>
      <c r="M76" s="835"/>
      <c r="N76" s="835"/>
      <c r="O76" s="48">
        <f>IF(t&lt;Tnet,'2029'!Resal+('2029'!Salim-'2029'!Resal)*(1-EXP(('2029'!Tnet-t)/('2029'!Tau_j))),Resal+(Salim-Resal)*(1-EXP((Tnet-t)/(Tau_j))))*Salcycl</f>
        <v>4.5543141208003325E-2</v>
      </c>
      <c r="P76" s="165">
        <f>(INDEX(Models!$BJ76:$BT76,,T76)*(1-R76)+INDEX(Models!$BJ76:$BT76,,T76+1)*R76-ERP_i)*Q76*Ramure*Pc/MaxiM</f>
        <v>4.0273073250446187E-5</v>
      </c>
      <c r="Q76" s="301">
        <f t="shared" si="4"/>
        <v>0.5</v>
      </c>
      <c r="R76" s="173">
        <f t="shared" si="5"/>
        <v>0.4722671042900265</v>
      </c>
      <c r="S76" s="801">
        <f t="shared" si="6"/>
        <v>0</v>
      </c>
      <c r="T76" s="172">
        <f t="shared" si="7"/>
        <v>6</v>
      </c>
      <c r="U76" s="247">
        <f t="shared" si="8"/>
        <v>0.4722671042900265</v>
      </c>
      <c r="V76" s="378">
        <f t="shared" si="9"/>
        <v>163.73809819907277</v>
      </c>
      <c r="W76" s="397">
        <f t="shared" si="10"/>
        <v>148.67922920272164</v>
      </c>
      <c r="X76" s="153">
        <f t="shared" si="11"/>
        <v>47545</v>
      </c>
      <c r="Y76" s="380">
        <f t="shared" si="12"/>
        <v>145.66410353325674</v>
      </c>
      <c r="Z76" s="380">
        <f t="shared" si="22"/>
        <v>152.02233820513635</v>
      </c>
      <c r="AA76" s="381">
        <f t="shared" si="13"/>
        <v>162.51284133536495</v>
      </c>
      <c r="AB76" s="193">
        <f t="shared" si="14"/>
        <v>47545</v>
      </c>
      <c r="AC76" s="119">
        <f>IF(OR(t&lt;Tnet,NoTnet),'2029'!Resal_s+('2029'!Salim-'2029'!Resal_s)*(1-EXP(('2029'!Tnet_s-t)/'2029'!Tau_j)),Resal_s+(Salim-Resal_s)*(1-EXP((Tnet_s-t)/Tau_j)))*Salcycl</f>
        <v>6.4551841220843467E-2</v>
      </c>
      <c r="AD76" s="227">
        <f>(INDEX(Models!$BJ76:$BT76,,AH76)*(1-AF76)+INDEX(Models!$BJ76:$BT76,,AH76+1)*AF76-ERP_i)*AE76*Ramure*Pc/MaxiM</f>
        <v>4.6745078824273308E-4</v>
      </c>
      <c r="AE76" s="301">
        <f t="shared" si="15"/>
        <v>0.5</v>
      </c>
      <c r="AF76" s="173">
        <f t="shared" si="23"/>
        <v>0.99725467066400464</v>
      </c>
      <c r="AG76" s="801">
        <f t="shared" si="24"/>
        <v>3</v>
      </c>
      <c r="AH76" s="172">
        <f t="shared" si="16"/>
        <v>9</v>
      </c>
      <c r="AI76" s="221">
        <f t="shared" si="17"/>
        <v>3.9972546706640046</v>
      </c>
      <c r="AJ76" s="261" t="b">
        <f t="shared" si="18"/>
        <v>1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47546</v>
      </c>
      <c r="B77" s="406">
        <f>'2029'!Wh/'2029'!Env_an*'2030'!Env_an</f>
        <v>18.984392218005514</v>
      </c>
      <c r="C77" s="831"/>
      <c r="D77" s="388">
        <f t="shared" si="0"/>
        <v>19.813331716901686</v>
      </c>
      <c r="E77" s="380">
        <f t="shared" si="1"/>
        <v>20.759584919194811</v>
      </c>
      <c r="F77" s="380">
        <f t="shared" si="2"/>
        <v>20.759584919194811</v>
      </c>
      <c r="G77" s="110">
        <f t="shared" si="21"/>
        <v>0.1149992790771575</v>
      </c>
      <c r="H77" s="409" t="b">
        <f>Wh_hp&gt;='2029'!Maxi_hp</f>
        <v>0</v>
      </c>
      <c r="I77" s="385">
        <f>IF(H77,Wh_hp,'2029'!Maxi_hp)</f>
        <v>20.760372655450283</v>
      </c>
      <c r="J77" s="85">
        <f>IF(H77,An,'2029'!An_max)</f>
        <v>2022</v>
      </c>
      <c r="K77" s="193">
        <f t="shared" si="3"/>
        <v>47546</v>
      </c>
      <c r="L77" s="143">
        <f>IF(t&lt;Tvie,1-EXP((T0-t)*PertePVj)+'2029'!Pspv,1-EXP((T0-t)*PertePVj)+Pspv)</f>
        <v>4.1837461298295908E-2</v>
      </c>
      <c r="M77" s="835"/>
      <c r="N77" s="835"/>
      <c r="O77" s="48">
        <f>IF(t&lt;Tnet,'2029'!Resal+('2029'!Salim-'2029'!Resal)*(1-EXP(('2029'!Tnet-t)/('2029'!Tau_j))),Resal+(Salim-Resal)*(1-EXP((Tnet-t)/(Tau_j))))*Salcycl</f>
        <v>4.5581508781430302E-2</v>
      </c>
      <c r="P77" s="165">
        <f>(INDEX(Models!$BJ77:$BT77,,T77)*(1-R77)+INDEX(Models!$BJ77:$BT77,,T77+1)*R77-ERP_i)*Q77*Ramure*Pc/MaxiM</f>
        <v>3.8461632130001592E-5</v>
      </c>
      <c r="Q77" s="301">
        <f t="shared" si="4"/>
        <v>0.5</v>
      </c>
      <c r="R77" s="173">
        <f t="shared" si="5"/>
        <v>0.47261424883512476</v>
      </c>
      <c r="S77" s="801">
        <f t="shared" si="6"/>
        <v>0</v>
      </c>
      <c r="T77" s="172">
        <f t="shared" si="7"/>
        <v>6</v>
      </c>
      <c r="U77" s="247">
        <f t="shared" si="8"/>
        <v>0.47261424883512476</v>
      </c>
      <c r="V77" s="378">
        <f t="shared" si="9"/>
        <v>165.07635699662896</v>
      </c>
      <c r="W77" s="397">
        <f t="shared" si="10"/>
        <v>18.984392218005514</v>
      </c>
      <c r="X77" s="153">
        <f t="shared" si="11"/>
        <v>47546</v>
      </c>
      <c r="Y77" s="380">
        <f t="shared" si="12"/>
        <v>18.606698310651662</v>
      </c>
      <c r="Z77" s="380">
        <f t="shared" si="22"/>
        <v>19.4191460833602</v>
      </c>
      <c r="AA77" s="381">
        <f t="shared" si="13"/>
        <v>20.759584919194811</v>
      </c>
      <c r="AB77" s="193">
        <f t="shared" si="14"/>
        <v>47546</v>
      </c>
      <c r="AC77" s="119">
        <f>IF(OR(t&lt;Tnet,NoTnet),'2029'!Resal_s+('2029'!Salim-'2029'!Resal_s)*(1-EXP(('2029'!Tnet_s-t)/'2029'!Tau_j)),Resal_s+(Salim-Resal_s)*(1-EXP((Tnet_s-t)/Tau_j)))*Salcycl</f>
        <v>6.4569635715365906E-2</v>
      </c>
      <c r="AD77" s="227">
        <f>(INDEX(Models!$BJ77:$BT77,,AH77)*(1-AF77)+INDEX(Models!$BJ77:$BT77,,AH77+1)*AF77-ERP_i)*AE77*Ramure*Pc/MaxiM</f>
        <v>4.4397278342922552E-4</v>
      </c>
      <c r="AE77" s="301">
        <f t="shared" si="15"/>
        <v>0.5</v>
      </c>
      <c r="AF77" s="173">
        <f t="shared" si="23"/>
        <v>0.99760181520910285</v>
      </c>
      <c r="AG77" s="801">
        <f t="shared" si="24"/>
        <v>3</v>
      </c>
      <c r="AH77" s="172">
        <f t="shared" si="16"/>
        <v>9</v>
      </c>
      <c r="AI77" s="221">
        <f t="shared" si="17"/>
        <v>3.9976018152091028</v>
      </c>
      <c r="AJ77" s="261" t="b">
        <f t="shared" si="18"/>
        <v>1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47547</v>
      </c>
      <c r="B78" s="406">
        <f>'2029'!Wh/'2029'!Env_an*'2030'!Env_an</f>
        <v>62.693558639189114</v>
      </c>
      <c r="C78" s="831"/>
      <c r="D78" s="388">
        <f t="shared" si="0"/>
        <v>65.431922393937185</v>
      </c>
      <c r="E78" s="380">
        <f t="shared" si="1"/>
        <v>68.55960126658978</v>
      </c>
      <c r="F78" s="380">
        <f t="shared" si="2"/>
        <v>68.559876410465094</v>
      </c>
      <c r="G78" s="110">
        <f t="shared" si="21"/>
        <v>0.37675229926377318</v>
      </c>
      <c r="H78" s="409" t="b">
        <f>Wh_hp&gt;='2029'!Maxi_hp</f>
        <v>0</v>
      </c>
      <c r="I78" s="385">
        <f>IF(H78,Wh_hp,'2029'!Maxi_hp)</f>
        <v>68.562079160993505</v>
      </c>
      <c r="J78" s="85">
        <f>IF(H78,An,'2029'!An_max)</f>
        <v>2022</v>
      </c>
      <c r="K78" s="193">
        <f t="shared" si="3"/>
        <v>47547</v>
      </c>
      <c r="L78" s="143">
        <f>IF(t&lt;Tvie,1-EXP((T0-t)*PertePVj)+'2029'!Pspv,1-EXP((T0-t)*PertePVj)+Pspv)</f>
        <v>4.1850577738822503E-2</v>
      </c>
      <c r="M78" s="835"/>
      <c r="N78" s="835"/>
      <c r="O78" s="48">
        <f>IF(t&lt;Tnet,'2029'!Resal+('2029'!Salim-'2029'!Resal)*(1-EXP(('2029'!Tnet-t)/('2029'!Tau_j))),Resal+(Salim-Resal)*(1-EXP((Tnet-t)/(Tau_j))))*Salcycl</f>
        <v>4.5619852141362459E-2</v>
      </c>
      <c r="P78" s="165">
        <f>(INDEX(Models!$BJ78:$BT78,,T78)*(1-R78)+INDEX(Models!$BJ78:$BT78,,T78+1)*R78-ERP_i)*Q78*Ramure*Pc/MaxiM</f>
        <v>3.6595443367522788E-5</v>
      </c>
      <c r="Q78" s="301">
        <f t="shared" si="4"/>
        <v>0.5</v>
      </c>
      <c r="R78" s="173">
        <f t="shared" si="5"/>
        <v>0.4729754365070204</v>
      </c>
      <c r="S78" s="801">
        <f t="shared" si="6"/>
        <v>0</v>
      </c>
      <c r="T78" s="172">
        <f t="shared" si="7"/>
        <v>6</v>
      </c>
      <c r="U78" s="247">
        <f t="shared" si="8"/>
        <v>0.4729754365070204</v>
      </c>
      <c r="V78" s="378">
        <f t="shared" si="9"/>
        <v>166.39982305654567</v>
      </c>
      <c r="W78" s="397">
        <f t="shared" si="10"/>
        <v>62.693558639189114</v>
      </c>
      <c r="X78" s="153">
        <f t="shared" si="11"/>
        <v>47547</v>
      </c>
      <c r="Y78" s="380">
        <f t="shared" si="12"/>
        <v>61.444974747760213</v>
      </c>
      <c r="Z78" s="380">
        <f t="shared" si="22"/>
        <v>64.12880216819795</v>
      </c>
      <c r="AA78" s="381">
        <f t="shared" si="13"/>
        <v>68.556703818982356</v>
      </c>
      <c r="AB78" s="193">
        <f t="shared" si="14"/>
        <v>47547</v>
      </c>
      <c r="AC78" s="119">
        <f>IF(OR(t&lt;Tnet,NoTnet),'2029'!Resal_s+('2029'!Salim-'2029'!Resal_s)*(1-EXP(('2029'!Tnet_s-t)/'2029'!Tau_j)),Resal_s+(Salim-Resal_s)*(1-EXP((Tnet_s-t)/Tau_j)))*Salcycl</f>
        <v>6.4587434986312448E-2</v>
      </c>
      <c r="AD78" s="227">
        <f>(INDEX(Models!$BJ78:$BT78,,AH78)*(1-AF78)+INDEX(Models!$BJ78:$BT78,,AH78+1)*AF78-ERP_i)*AE78*Ramure*Pc/MaxiM</f>
        <v>4.2196974875458103E-4</v>
      </c>
      <c r="AE78" s="301">
        <f t="shared" si="15"/>
        <v>0.5</v>
      </c>
      <c r="AF78" s="173">
        <f t="shared" si="23"/>
        <v>0.99796300288099848</v>
      </c>
      <c r="AG78" s="801">
        <f t="shared" si="24"/>
        <v>3</v>
      </c>
      <c r="AH78" s="172">
        <f t="shared" si="16"/>
        <v>9</v>
      </c>
      <c r="AI78" s="221">
        <f t="shared" si="17"/>
        <v>3.9979630028809985</v>
      </c>
      <c r="AJ78" s="261" t="b">
        <f t="shared" si="18"/>
        <v>1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47548</v>
      </c>
      <c r="B79" s="406">
        <f>'2029'!Wh/'2029'!Env_an*'2030'!Env_an</f>
        <v>88.51249888648691</v>
      </c>
      <c r="C79" s="831"/>
      <c r="D79" s="388">
        <f t="shared" ref="D79:D142" si="25">Wh/(1-Ppv)</f>
        <v>92.379861124339939</v>
      </c>
      <c r="E79" s="380">
        <f t="shared" si="1"/>
        <v>96.799552456008868</v>
      </c>
      <c r="F79" s="380">
        <f t="shared" ref="F79:F142" si="26">Wh_sa/(1-Pvg*MEDIAN((-Sdif+Wh/Env_an)/Csdif,0,1))</f>
        <v>96.800644634771189</v>
      </c>
      <c r="G79" s="110">
        <f t="shared" si="21"/>
        <v>0.52775946572873367</v>
      </c>
      <c r="H79" s="409" t="b">
        <f>Wh_hp&gt;='2029'!Maxi_hp</f>
        <v>0</v>
      </c>
      <c r="I79" s="385">
        <f>IF(H79,Wh_hp,'2029'!Maxi_hp)</f>
        <v>96.802876321766419</v>
      </c>
      <c r="J79" s="85">
        <f>IF(H79,An,'2029'!An_max)</f>
        <v>2022</v>
      </c>
      <c r="K79" s="193">
        <f t="shared" ref="K79:K142" si="27">t</f>
        <v>47548</v>
      </c>
      <c r="L79" s="143">
        <f>IF(t&lt;Tvie,1-EXP((T0-t)*PertePVj)+'2029'!Pspv,1-EXP((T0-t)*PertePVj)+Pspv)</f>
        <v>4.1863693999796059E-2</v>
      </c>
      <c r="M79" s="835"/>
      <c r="N79" s="835"/>
      <c r="O79" s="48">
        <f>IF(t&lt;Tnet,'2029'!Resal+('2029'!Salim-'2029'!Resal)*(1-EXP(('2029'!Tnet-t)/('2029'!Tau_j))),Resal+(Salim-Resal)*(1-EXP((Tnet-t)/(Tau_j))))*Salcycl</f>
        <v>4.5658179397859079E-2</v>
      </c>
      <c r="P79" s="165">
        <f>(INDEX(Models!$BJ79:$BT79,,T79)*(1-R79)+INDEX(Models!$BJ79:$BT79,,T79+1)*R79-ERP_i)*Q79*Ramure*Pc/MaxiM</f>
        <v>3.4674766246977232E-5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0.47335121311691852</v>
      </c>
      <c r="S79" s="801">
        <f t="shared" ref="S79:S142" si="30">INDEX(Echel_vg,T79)</f>
        <v>0</v>
      </c>
      <c r="T79" s="172">
        <f t="shared" ref="T79:T142" si="31">MIN(MATCH(Hp_vg,Echel_vg),10)</f>
        <v>6</v>
      </c>
      <c r="U79" s="247">
        <f t="shared" ref="U79:U142" si="32">IF(OR(t&lt;Ttai,Notai),Hdd+PousH*Croivg,Hdtf+PousH*(Croivg-Croi_tai))</f>
        <v>0.47335121311691852</v>
      </c>
      <c r="V79" s="378">
        <f t="shared" ref="V79:V142" si="33">MaxiM*(1-Ppv)*(1-Pvg)*(1-Psa)</f>
        <v>167.70978850427022</v>
      </c>
      <c r="W79" s="397">
        <f t="shared" ref="W79:W142" si="34">Wh*(A79&gt;Tmaj)</f>
        <v>88.51249888648691</v>
      </c>
      <c r="X79" s="153">
        <f t="shared" ref="X79:X142" si="35">t</f>
        <v>47548</v>
      </c>
      <c r="Y79" s="380">
        <f t="shared" ref="Y79:Y142" si="36">Wh_pvt_s*(1-Ppv)</f>
        <v>86.744859306545479</v>
      </c>
      <c r="Z79" s="380">
        <f t="shared" ref="Z79:Z142" si="37">Wh_sa_s*(1-Psa_s)</f>
        <v>90.534988355328025</v>
      </c>
      <c r="AA79" s="381">
        <f t="shared" ref="AA79:AA142" si="38">Wh_hp*(1-Pvg_s*MEDIAN((-Sdif+Wh/Env_an)/Csdif,0,1))</f>
        <v>96.788001425898585</v>
      </c>
      <c r="AB79" s="193">
        <f t="shared" ref="AB79:AB142" si="39">t</f>
        <v>47548</v>
      </c>
      <c r="AC79" s="119">
        <f>IF(OR(t&lt;Tnet,NoTnet),'2029'!Resal_s+('2029'!Salim-'2029'!Resal_s)*(1-EXP(('2029'!Tnet_s-t)/'2029'!Tau_j)),Resal_s+(Salim-Resal_s)*(1-EXP((Tnet_s-t)/Tau_j)))*Salcycl</f>
        <v>6.4605250428255864E-2</v>
      </c>
      <c r="AD79" s="227">
        <f>(INDEX(Models!$BJ79:$BT79,,AH79)*(1-AF79)+INDEX(Models!$BJ79:$BT79,,AH79+1)*AF79-ERP_i)*AE79*Ramure*Pc/MaxiM</f>
        <v>4.0139977757794212E-4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0.99833877949089667</v>
      </c>
      <c r="AG79" s="801">
        <f t="shared" si="24"/>
        <v>3</v>
      </c>
      <c r="AH79" s="172">
        <f t="shared" ref="AH79:AH142" si="42">MIN(MATCH(Hp_vg_s,Echel_vg),10)</f>
        <v>9</v>
      </c>
      <c r="AI79" s="221">
        <f t="shared" ref="AI79:AI142" si="43">IF(OR(t&lt;Ttai,Notai),Hdd_s+PousH*Croivg,Hdtai_s+PousH*(Croivg-Croi_tai))</f>
        <v>3.9983387794908967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47549</v>
      </c>
      <c r="B80" s="406">
        <f>'2029'!Wh/'2029'!Env_an*'2030'!Env_an</f>
        <v>131.49852764367722</v>
      </c>
      <c r="C80" s="831"/>
      <c r="D80" s="388">
        <f t="shared" si="25"/>
        <v>137.24595023613216</v>
      </c>
      <c r="E80" s="380">
        <f t="shared" ref="E80:E143" si="47">Wh_pvt/(1-Psa)</f>
        <v>143.81792603018707</v>
      </c>
      <c r="F80" s="380">
        <f t="shared" si="26"/>
        <v>143.82114999468908</v>
      </c>
      <c r="G80" s="110">
        <f t="shared" ref="G80:G143" si="48">+Wh_hp/MaxiM</f>
        <v>0.77804918541583901</v>
      </c>
      <c r="H80" s="409" t="b">
        <f>Wh_hp&gt;='2029'!Maxi_hp</f>
        <v>0</v>
      </c>
      <c r="I80" s="385">
        <f>IF(H80,Wh_hp,'2029'!Maxi_hp)</f>
        <v>143.82262435298446</v>
      </c>
      <c r="J80" s="85">
        <f>IF(H80,An,'2029'!An_max)</f>
        <v>2022</v>
      </c>
      <c r="K80" s="193">
        <f t="shared" si="27"/>
        <v>47549</v>
      </c>
      <c r="L80" s="143">
        <f>IF(t&lt;Tvie,1-EXP((T0-t)*PertePVj)+'2029'!Pspv,1-EXP((T0-t)*PertePVj)+Pspv)</f>
        <v>4.1876810081218907E-2</v>
      </c>
      <c r="M80" s="835"/>
      <c r="N80" s="835"/>
      <c r="O80" s="48">
        <f>IF(t&lt;Tnet,'2029'!Resal+('2029'!Salim-'2029'!Resal)*(1-EXP(('2029'!Tnet-t)/('2029'!Tau_j))),Resal+(Salim-Resal)*(1-EXP((Tnet-t)/(Tau_j))))*Salcycl</f>
        <v>4.5696499563451259E-2</v>
      </c>
      <c r="P80" s="165">
        <f>(INDEX(Models!$BJ80:$BT80,,T80)*(1-R80)+INDEX(Models!$BJ80:$BT80,,T80+1)*R80-ERP_i)*Q80*Ramure*Pc/MaxiM</f>
        <v>3.2823553439501564E-5</v>
      </c>
      <c r="Q80" s="301">
        <f t="shared" si="28"/>
        <v>0.5</v>
      </c>
      <c r="R80" s="173">
        <f t="shared" si="29"/>
        <v>0.4737421438213541</v>
      </c>
      <c r="S80" s="801">
        <f t="shared" si="30"/>
        <v>0</v>
      </c>
      <c r="T80" s="172">
        <f t="shared" si="31"/>
        <v>6</v>
      </c>
      <c r="U80" s="247">
        <f t="shared" si="32"/>
        <v>0.4737421438213541</v>
      </c>
      <c r="V80" s="378">
        <f t="shared" si="33"/>
        <v>169.00879991077329</v>
      </c>
      <c r="W80" s="397">
        <f t="shared" si="34"/>
        <v>131.49852764367722</v>
      </c>
      <c r="X80" s="153">
        <f t="shared" si="35"/>
        <v>47549</v>
      </c>
      <c r="Y80" s="380">
        <f t="shared" si="36"/>
        <v>128.85968100759402</v>
      </c>
      <c r="Z80" s="380">
        <f t="shared" si="37"/>
        <v>134.49176720012099</v>
      </c>
      <c r="AA80" s="381">
        <f t="shared" si="38"/>
        <v>143.78350206867589</v>
      </c>
      <c r="AB80" s="193">
        <f t="shared" si="39"/>
        <v>47549</v>
      </c>
      <c r="AC80" s="119">
        <f>IF(OR(t&lt;Tnet,NoTnet),'2029'!Resal_s+('2029'!Salim-'2029'!Resal_s)*(1-EXP(('2029'!Tnet_s-t)/'2029'!Tau_j)),Resal_s+(Salim-Resal_s)*(1-EXP((Tnet_s-t)/Tau_j)))*Salcycl</f>
        <v>6.4623094686599408E-2</v>
      </c>
      <c r="AD80" s="227">
        <f>(INDEX(Models!$BJ80:$BT80,,AH80)*(1-AF80)+INDEX(Models!$BJ80:$BT80,,AH80+1)*AF80-ERP_i)*AE80*Ramure*Pc/MaxiM</f>
        <v>3.8329786528728263E-4</v>
      </c>
      <c r="AE80" s="301">
        <f t="shared" si="40"/>
        <v>0.5</v>
      </c>
      <c r="AF80" s="173">
        <f t="shared" si="41"/>
        <v>0.9987297101953323</v>
      </c>
      <c r="AG80" s="801">
        <f t="shared" ref="AG80:AG143" si="49">INDEX(Echel_vg,AH80)</f>
        <v>3</v>
      </c>
      <c r="AH80" s="172">
        <f t="shared" si="42"/>
        <v>9</v>
      </c>
      <c r="AI80" s="221">
        <f t="shared" si="43"/>
        <v>3.9987297101953323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47550</v>
      </c>
      <c r="B81" s="406">
        <f>'2029'!Wh/'2029'!Env_an*'2030'!Env_an</f>
        <v>121.24587322902528</v>
      </c>
      <c r="C81" s="831"/>
      <c r="D81" s="388">
        <f t="shared" si="25"/>
        <v>126.54691409380364</v>
      </c>
      <c r="E81" s="380">
        <f t="shared" si="47"/>
        <v>132.61189560539282</v>
      </c>
      <c r="F81" s="380">
        <f t="shared" si="26"/>
        <v>132.61432638745029</v>
      </c>
      <c r="G81" s="110">
        <f t="shared" si="48"/>
        <v>0.71195691664977223</v>
      </c>
      <c r="H81" s="409" t="b">
        <f>Wh_hp&gt;='2029'!Maxi_hp</f>
        <v>0</v>
      </c>
      <c r="I81" s="385">
        <f>IF(H81,Wh_hp,'2029'!Maxi_hp)</f>
        <v>132.61599951897398</v>
      </c>
      <c r="J81" s="85">
        <f>IF(H81,An,'2029'!An_max)</f>
        <v>2022</v>
      </c>
      <c r="K81" s="193">
        <f t="shared" si="27"/>
        <v>47550</v>
      </c>
      <c r="L81" s="143">
        <f>IF(t&lt;Tvie,1-EXP((T0-t)*PertePVj)+'2029'!Pspv,1-EXP((T0-t)*PertePVj)+Pspv)</f>
        <v>4.1889925983093712E-2</v>
      </c>
      <c r="M81" s="835"/>
      <c r="N81" s="835"/>
      <c r="O81" s="48">
        <f>IF(t&lt;Tnet,'2029'!Resal+('2029'!Salim-'2029'!Resal)*(1-EXP(('2029'!Tnet-t)/('2029'!Tau_j))),Resal+(Salim-Resal)*(1-EXP((Tnet-t)/(Tau_j))))*Salcycl</f>
        <v>4.573482253535148E-2</v>
      </c>
      <c r="P81" s="165">
        <f>(INDEX(Models!$BJ81:$BT81,,T81)*(1-R81)+INDEX(Models!$BJ81:$BT81,,T81+1)*R81-ERP_i)*Q81*Ramure*Pc/MaxiM</f>
        <v>3.1145277186493519E-5</v>
      </c>
      <c r="Q81" s="301">
        <f t="shared" si="28"/>
        <v>0.5</v>
      </c>
      <c r="R81" s="173">
        <f t="shared" si="29"/>
        <v>0.47414881364956418</v>
      </c>
      <c r="S81" s="801">
        <f t="shared" si="30"/>
        <v>0</v>
      </c>
      <c r="T81" s="172">
        <f t="shared" si="31"/>
        <v>6</v>
      </c>
      <c r="U81" s="247">
        <f t="shared" si="32"/>
        <v>0.47414881364956418</v>
      </c>
      <c r="V81" s="378">
        <f t="shared" si="33"/>
        <v>170.29727014432839</v>
      </c>
      <c r="W81" s="397">
        <f t="shared" si="34"/>
        <v>121.24587322902528</v>
      </c>
      <c r="X81" s="153">
        <f t="shared" si="35"/>
        <v>47550</v>
      </c>
      <c r="Y81" s="380">
        <f t="shared" si="36"/>
        <v>118.82026998381156</v>
      </c>
      <c r="Z81" s="380">
        <f t="shared" si="37"/>
        <v>124.01526004799624</v>
      </c>
      <c r="AA81" s="381">
        <f t="shared" si="38"/>
        <v>132.5857319085687</v>
      </c>
      <c r="AB81" s="193">
        <f t="shared" si="39"/>
        <v>47550</v>
      </c>
      <c r="AC81" s="119">
        <f>IF(OR(t&lt;Tnet,NoTnet),'2029'!Resal_s+('2029'!Salim-'2029'!Resal_s)*(1-EXP(('2029'!Tnet_s-t)/'2029'!Tau_j)),Resal_s+(Salim-Resal_s)*(1-EXP((Tnet_s-t)/Tau_j)))*Salcycl</f>
        <v>6.4640981629023903E-2</v>
      </c>
      <c r="AD81" s="227">
        <f>(INDEX(Models!$BJ81:$BT81,,AH81)*(1-AF81)+INDEX(Models!$BJ81:$BT81,,AH81+1)*AF81-ERP_i)*AE81*Ramure*Pc/MaxiM</f>
        <v>3.6637713695338036E-4</v>
      </c>
      <c r="AE81" s="301">
        <f t="shared" si="40"/>
        <v>0.5</v>
      </c>
      <c r="AF81" s="173">
        <f t="shared" si="41"/>
        <v>0.99913638002354244</v>
      </c>
      <c r="AG81" s="801">
        <f t="shared" si="49"/>
        <v>3</v>
      </c>
      <c r="AH81" s="172">
        <f t="shared" si="42"/>
        <v>9</v>
      </c>
      <c r="AI81" s="221">
        <f t="shared" si="43"/>
        <v>3.9991363800235424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47551</v>
      </c>
      <c r="B82" s="406">
        <f>'2029'!Wh/'2029'!Env_an*'2030'!Env_an</f>
        <v>130.60952083001197</v>
      </c>
      <c r="C82" s="831"/>
      <c r="D82" s="388">
        <f t="shared" si="25"/>
        <v>136.32181972740872</v>
      </c>
      <c r="E82" s="380">
        <f t="shared" si="47"/>
        <v>142.86101991731925</v>
      </c>
      <c r="F82" s="380">
        <f t="shared" si="26"/>
        <v>142.86380967866486</v>
      </c>
      <c r="G82" s="110">
        <f t="shared" si="48"/>
        <v>0.76122815790535314</v>
      </c>
      <c r="H82" s="409" t="b">
        <f>Wh_hp&gt;='2029'!Maxi_hp</f>
        <v>0</v>
      </c>
      <c r="I82" s="385">
        <f>IF(H82,Wh_hp,'2029'!Maxi_hp)</f>
        <v>142.86523052784904</v>
      </c>
      <c r="J82" s="85">
        <f>IF(H82,An,'2029'!An_max)</f>
        <v>2022</v>
      </c>
      <c r="K82" s="193">
        <f t="shared" si="27"/>
        <v>47551</v>
      </c>
      <c r="L82" s="143">
        <f>IF(t&lt;Tvie,1-EXP((T0-t)*PertePVj)+'2029'!Pspv,1-EXP((T0-t)*PertePVj)+Pspv)</f>
        <v>4.1903041705422805E-2</v>
      </c>
      <c r="M82" s="835"/>
      <c r="N82" s="835"/>
      <c r="O82" s="48">
        <f>IF(t&lt;Tnet,'2029'!Resal+('2029'!Salim-'2029'!Resal)*(1-EXP(('2029'!Tnet-t)/('2029'!Tau_j))),Resal+(Salim-Resal)*(1-EXP((Tnet-t)/(Tau_j))))*Salcycl</f>
        <v>4.5773159072328477E-2</v>
      </c>
      <c r="P82" s="165">
        <f>(INDEX(Models!$BJ82:$BT82,,T82)*(1-R82)+INDEX(Models!$BJ82:$BT82,,T82+1)*R82-ERP_i)*Q82*Ramure*Pc/MaxiM</f>
        <v>2.9636015048773634E-5</v>
      </c>
      <c r="Q82" s="301">
        <f t="shared" si="28"/>
        <v>0.5</v>
      </c>
      <c r="R82" s="173">
        <f t="shared" si="29"/>
        <v>0.47457182803115111</v>
      </c>
      <c r="S82" s="801">
        <f t="shared" si="30"/>
        <v>0</v>
      </c>
      <c r="T82" s="172">
        <f t="shared" si="31"/>
        <v>6</v>
      </c>
      <c r="U82" s="247">
        <f t="shared" si="32"/>
        <v>0.47457182803115111</v>
      </c>
      <c r="V82" s="378">
        <f t="shared" si="33"/>
        <v>171.57562968324618</v>
      </c>
      <c r="W82" s="397">
        <f t="shared" si="34"/>
        <v>130.60952083001197</v>
      </c>
      <c r="X82" s="153">
        <f t="shared" si="35"/>
        <v>47551</v>
      </c>
      <c r="Y82" s="380">
        <f t="shared" si="36"/>
        <v>127.9974603627727</v>
      </c>
      <c r="Z82" s="380">
        <f t="shared" si="37"/>
        <v>133.59551896564784</v>
      </c>
      <c r="AA82" s="381">
        <f t="shared" si="38"/>
        <v>142.83080549273049</v>
      </c>
      <c r="AB82" s="193">
        <f t="shared" si="39"/>
        <v>47551</v>
      </c>
      <c r="AC82" s="119">
        <f>IF(OR(t&lt;Tnet,NoTnet),'2029'!Resal_s+('2029'!Salim-'2029'!Resal_s)*(1-EXP(('2029'!Tnet_s-t)/'2029'!Tau_j)),Resal_s+(Salim-Resal_s)*(1-EXP((Tnet_s-t)/Tau_j)))*Salcycl</f>
        <v>6.46589263095117E-2</v>
      </c>
      <c r="AD82" s="227">
        <f>(INDEX(Models!$BJ82:$BT82,,AH82)*(1-AF82)+INDEX(Models!$BJ82:$BT82,,AH82+1)*AF82-ERP_i)*AE82*Ramure*Pc/MaxiM</f>
        <v>3.5060796600594035E-4</v>
      </c>
      <c r="AE82" s="301">
        <f t="shared" si="40"/>
        <v>0.5</v>
      </c>
      <c r="AF82" s="173">
        <f t="shared" si="41"/>
        <v>0.99955939440512909</v>
      </c>
      <c r="AG82" s="801">
        <f t="shared" si="49"/>
        <v>3</v>
      </c>
      <c r="AH82" s="172">
        <f t="shared" si="42"/>
        <v>9</v>
      </c>
      <c r="AI82" s="221">
        <f t="shared" si="43"/>
        <v>3.9995593944051291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47552</v>
      </c>
      <c r="B83" s="406">
        <f>'2029'!Wh/'2029'!Env_an*'2030'!Env_an</f>
        <v>93.884880841125707</v>
      </c>
      <c r="C83" s="831"/>
      <c r="D83" s="388">
        <f t="shared" si="25"/>
        <v>97.992343312534359</v>
      </c>
      <c r="E83" s="380">
        <f t="shared" si="47"/>
        <v>102.69705141615069</v>
      </c>
      <c r="F83" s="380">
        <f t="shared" si="26"/>
        <v>102.69806078415809</v>
      </c>
      <c r="G83" s="110">
        <f t="shared" si="48"/>
        <v>0.54316597453824977</v>
      </c>
      <c r="H83" s="409" t="b">
        <f>Wh_hp&gt;='2029'!Maxi_hp</f>
        <v>0</v>
      </c>
      <c r="I83" s="385">
        <f>IF(H83,Wh_hp,'2029'!Maxi_hp)</f>
        <v>102.6999251260078</v>
      </c>
      <c r="J83" s="85">
        <f>IF(H83,An,'2029'!An_max)</f>
        <v>2022</v>
      </c>
      <c r="K83" s="193">
        <f t="shared" si="27"/>
        <v>47552</v>
      </c>
      <c r="L83" s="143">
        <f>IF(t&lt;Tvie,1-EXP((T0-t)*PertePVj)+'2029'!Pspv,1-EXP((T0-t)*PertePVj)+Pspv)</f>
        <v>4.1916157248208741E-2</v>
      </c>
      <c r="M83" s="835"/>
      <c r="N83" s="835"/>
      <c r="O83" s="48">
        <f>IF(t&lt;Tnet,'2029'!Resal+('2029'!Salim-'2029'!Resal)*(1-EXP(('2029'!Tnet-t)/('2029'!Tau_j))),Resal+(Salim-Resal)*(1-EXP((Tnet-t)/(Tau_j))))*Salcycl</f>
        <v>4.5811520766568366E-2</v>
      </c>
      <c r="P83" s="165">
        <f>(INDEX(Models!$BJ83:$BT83,,T83)*(1-R83)+INDEX(Models!$BJ83:$BT83,,T83+1)*R83-ERP_i)*Q83*Ramure*Pc/MaxiM</f>
        <v>2.8292062931540366E-5</v>
      </c>
      <c r="Q83" s="301">
        <f t="shared" si="28"/>
        <v>0.5</v>
      </c>
      <c r="R83" s="173">
        <f t="shared" si="29"/>
        <v>0.47501181332248787</v>
      </c>
      <c r="S83" s="801">
        <f t="shared" si="30"/>
        <v>0</v>
      </c>
      <c r="T83" s="172">
        <f t="shared" si="31"/>
        <v>6</v>
      </c>
      <c r="U83" s="247">
        <f t="shared" si="32"/>
        <v>0.47501181332248787</v>
      </c>
      <c r="V83" s="378">
        <f t="shared" si="33"/>
        <v>172.84430869330583</v>
      </c>
      <c r="W83" s="397">
        <f t="shared" si="34"/>
        <v>93.884880841125707</v>
      </c>
      <c r="X83" s="153">
        <f t="shared" si="35"/>
        <v>47552</v>
      </c>
      <c r="Y83" s="380">
        <f t="shared" si="36"/>
        <v>92.018830369458215</v>
      </c>
      <c r="Z83" s="380">
        <f t="shared" si="37"/>
        <v>96.044653153907049</v>
      </c>
      <c r="AA83" s="381">
        <f t="shared" si="38"/>
        <v>102.68607475547543</v>
      </c>
      <c r="AB83" s="193">
        <f t="shared" si="39"/>
        <v>47552</v>
      </c>
      <c r="AC83" s="119">
        <f>IF(OR(t&lt;Tnet,NoTnet),'2029'!Resal_s+('2029'!Salim-'2029'!Resal_s)*(1-EXP(('2029'!Tnet_s-t)/'2029'!Tau_j)),Resal_s+(Salim-Resal_s)*(1-EXP((Tnet_s-t)/Tau_j)))*Salcycl</f>
        <v>6.4676944925429081E-2</v>
      </c>
      <c r="AD83" s="227">
        <f>(INDEX(Models!$BJ83:$BT83,,AH83)*(1-AF83)+INDEX(Models!$BJ83:$BT83,,AH83+1)*AF83-ERP_i)*AE83*Ramure*Pc/MaxiM</f>
        <v>3.3596218158877308E-4</v>
      </c>
      <c r="AE83" s="301">
        <f t="shared" si="40"/>
        <v>0.5</v>
      </c>
      <c r="AF83" s="173">
        <f t="shared" si="41"/>
        <v>0.99999937969646613</v>
      </c>
      <c r="AG83" s="801">
        <f t="shared" si="49"/>
        <v>3</v>
      </c>
      <c r="AH83" s="172">
        <f t="shared" si="42"/>
        <v>9</v>
      </c>
      <c r="AI83" s="221">
        <f t="shared" si="43"/>
        <v>3.9999993796964661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47553</v>
      </c>
      <c r="B84" s="406">
        <f>'2029'!Wh/'2029'!Env_an*'2030'!Env_an</f>
        <v>64.260148055203317</v>
      </c>
      <c r="C84" s="831"/>
      <c r="D84" s="388">
        <f t="shared" si="25"/>
        <v>67.072446968878708</v>
      </c>
      <c r="E84" s="380">
        <f t="shared" si="47"/>
        <v>70.295489541481345</v>
      </c>
      <c r="F84" s="380">
        <f t="shared" si="26"/>
        <v>70.29567763823529</v>
      </c>
      <c r="G84" s="110">
        <f t="shared" si="48"/>
        <v>0.36908212887172442</v>
      </c>
      <c r="H84" s="409" t="b">
        <f>Wh_hp&gt;='2029'!Maxi_hp</f>
        <v>0</v>
      </c>
      <c r="I84" s="385">
        <f>IF(H84,Wh_hp,'2029'!Maxi_hp)</f>
        <v>70.297364846187307</v>
      </c>
      <c r="J84" s="85">
        <f>IF(H84,An,'2029'!An_max)</f>
        <v>2022</v>
      </c>
      <c r="K84" s="193">
        <f t="shared" si="27"/>
        <v>47553</v>
      </c>
      <c r="L84" s="143">
        <f>IF(t&lt;Tvie,1-EXP((T0-t)*PertePVj)+'2029'!Pspv,1-EXP((T0-t)*PertePVj)+Pspv)</f>
        <v>4.1929272611453738E-2</v>
      </c>
      <c r="M84" s="835"/>
      <c r="N84" s="835"/>
      <c r="O84" s="48">
        <f>IF(t&lt;Tnet,'2029'!Resal+('2029'!Salim-'2029'!Resal)*(1-EXP(('2029'!Tnet-t)/('2029'!Tau_j))),Resal+(Salim-Resal)*(1-EXP((Tnet-t)/(Tau_j))))*Salcycl</f>
        <v>4.5849920010880958E-2</v>
      </c>
      <c r="P84" s="165">
        <f>(INDEX(Models!$BJ84:$BT84,,T84)*(1-R84)+INDEX(Models!$BJ84:$BT84,,T84+1)*R84-ERP_i)*Q84*Ramure*Pc/MaxiM</f>
        <v>2.7109924897255338E-5</v>
      </c>
      <c r="Q84" s="301">
        <f t="shared" si="28"/>
        <v>0.5</v>
      </c>
      <c r="R84" s="173">
        <f t="shared" si="29"/>
        <v>0.47546941733015274</v>
      </c>
      <c r="S84" s="801">
        <f t="shared" si="30"/>
        <v>0</v>
      </c>
      <c r="T84" s="172">
        <f t="shared" si="31"/>
        <v>6</v>
      </c>
      <c r="U84" s="247">
        <f t="shared" si="32"/>
        <v>0.47546941733015274</v>
      </c>
      <c r="V84" s="378">
        <f t="shared" si="33"/>
        <v>174.10373703698747</v>
      </c>
      <c r="W84" s="397">
        <f t="shared" si="34"/>
        <v>64.260148055203317</v>
      </c>
      <c r="X84" s="153">
        <f t="shared" si="35"/>
        <v>47553</v>
      </c>
      <c r="Y84" s="380">
        <f t="shared" si="36"/>
        <v>62.989128937270493</v>
      </c>
      <c r="Z84" s="380">
        <f t="shared" si="37"/>
        <v>65.745802618312553</v>
      </c>
      <c r="AA84" s="381">
        <f t="shared" si="38"/>
        <v>70.293440608312508</v>
      </c>
      <c r="AB84" s="193">
        <f t="shared" si="39"/>
        <v>47553</v>
      </c>
      <c r="AC84" s="119">
        <f>IF(OR(t&lt;Tnet,NoTnet),'2029'!Resal_s+('2029'!Salim-'2029'!Resal_s)*(1-EXP(('2029'!Tnet_s-t)/'2029'!Tau_j)),Resal_s+(Salim-Resal_s)*(1-EXP((Tnet_s-t)/Tau_j)))*Salcycl</f>
        <v>6.4695054768199603E-2</v>
      </c>
      <c r="AD84" s="227">
        <f>(INDEX(Models!$BJ84:$BT84,,AH84)*(1-AF84)+INDEX(Models!$BJ84:$BT84,,AH84+1)*AF84-ERP_i)*AE84*Ramure*Pc/MaxiM</f>
        <v>3.2241764905074769E-4</v>
      </c>
      <c r="AE84" s="301">
        <f t="shared" si="40"/>
        <v>0.5</v>
      </c>
      <c r="AF84" s="173">
        <f t="shared" si="41"/>
        <v>4.569837041312752E-4</v>
      </c>
      <c r="AG84" s="801">
        <f t="shared" si="49"/>
        <v>4</v>
      </c>
      <c r="AH84" s="172">
        <f t="shared" si="42"/>
        <v>10</v>
      </c>
      <c r="AI84" s="221">
        <f t="shared" si="43"/>
        <v>4.0004569837041313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47554</v>
      </c>
      <c r="B85" s="406">
        <f>'2029'!Wh/'2029'!Env_an*'2030'!Env_an</f>
        <v>60.14182383818499</v>
      </c>
      <c r="C85" s="831"/>
      <c r="D85" s="388">
        <f t="shared" si="25"/>
        <v>62.77474660399259</v>
      </c>
      <c r="E85" s="380">
        <f t="shared" si="47"/>
        <v>65.793922459019612</v>
      </c>
      <c r="F85" s="380">
        <f t="shared" si="26"/>
        <v>65.794027824346983</v>
      </c>
      <c r="G85" s="110">
        <f t="shared" si="48"/>
        <v>0.34296470680517144</v>
      </c>
      <c r="H85" s="409" t="b">
        <f>Wh_hp&gt;='2029'!Maxi_hp</f>
        <v>0</v>
      </c>
      <c r="I85" s="385">
        <f>IF(H85,Wh_hp,'2029'!Maxi_hp)</f>
        <v>65.795608679472551</v>
      </c>
      <c r="J85" s="85">
        <f>IF(H85,An,'2029'!An_max)</f>
        <v>2022</v>
      </c>
      <c r="K85" s="193">
        <f t="shared" si="27"/>
        <v>47554</v>
      </c>
      <c r="L85" s="143">
        <f>IF(t&lt;Tvie,1-EXP((T0-t)*PertePVj)+'2029'!Pspv,1-EXP((T0-t)*PertePVj)+Pspv)</f>
        <v>4.1942387795160574E-2</v>
      </c>
      <c r="M85" s="835"/>
      <c r="N85" s="835"/>
      <c r="O85" s="48">
        <f>IF(t&lt;Tnet,'2029'!Resal+('2029'!Salim-'2029'!Resal)*(1-EXP(('2029'!Tnet-t)/('2029'!Tau_j))),Resal+(Salim-Resal)*(1-EXP((Tnet-t)/(Tau_j))))*Salcycl</f>
        <v>4.5888369961641091E-2</v>
      </c>
      <c r="P85" s="165">
        <f>(INDEX(Models!$BJ85:$BT85,,T85)*(1-R85)+INDEX(Models!$BJ85:$BT85,,T85+1)*R85-ERP_i)*Q85*Ramure*Pc/MaxiM</f>
        <v>2.6086304388191123E-5</v>
      </c>
      <c r="Q85" s="301">
        <f t="shared" si="28"/>
        <v>0.5</v>
      </c>
      <c r="R85" s="173">
        <f t="shared" si="29"/>
        <v>0.47594530982950795</v>
      </c>
      <c r="S85" s="801">
        <f t="shared" si="30"/>
        <v>0</v>
      </c>
      <c r="T85" s="172">
        <f t="shared" si="31"/>
        <v>6</v>
      </c>
      <c r="U85" s="247">
        <f t="shared" si="32"/>
        <v>0.47594530982950795</v>
      </c>
      <c r="V85" s="378">
        <f t="shared" si="33"/>
        <v>175.35434427577275</v>
      </c>
      <c r="W85" s="397">
        <f t="shared" si="34"/>
        <v>60.14182383818499</v>
      </c>
      <c r="X85" s="153">
        <f t="shared" si="35"/>
        <v>47554</v>
      </c>
      <c r="Y85" s="380">
        <f t="shared" si="36"/>
        <v>58.954180534672453</v>
      </c>
      <c r="Z85" s="380">
        <f t="shared" si="37"/>
        <v>61.535109980492109</v>
      </c>
      <c r="AA85" s="381">
        <f t="shared" si="38"/>
        <v>65.792775927362712</v>
      </c>
      <c r="AB85" s="193">
        <f t="shared" si="39"/>
        <v>47554</v>
      </c>
      <c r="AC85" s="119">
        <f>IF(OR(t&lt;Tnet,NoTnet),'2029'!Resal_s+('2029'!Salim-'2029'!Resal_s)*(1-EXP(('2029'!Tnet_s-t)/'2029'!Tau_j)),Resal_s+(Salim-Resal_s)*(1-EXP((Tnet_s-t)/Tau_j)))*Salcycl</f>
        <v>6.4713274168142654E-2</v>
      </c>
      <c r="AD85" s="227">
        <f>(INDEX(Models!$BJ85:$BT85,,AH85)*(1-AF85)+INDEX(Models!$BJ85:$BT85,,AH85+1)*AF85-ERP_i)*AE85*Ramure*Pc/MaxiM</f>
        <v>3.0994414016001997E-4</v>
      </c>
      <c r="AE85" s="301">
        <f t="shared" si="40"/>
        <v>0.5</v>
      </c>
      <c r="AF85" s="173">
        <f t="shared" si="41"/>
        <v>9.328762034863658E-4</v>
      </c>
      <c r="AG85" s="801">
        <f t="shared" si="49"/>
        <v>4</v>
      </c>
      <c r="AH85" s="172">
        <f t="shared" si="42"/>
        <v>10</v>
      </c>
      <c r="AI85" s="221">
        <f t="shared" si="43"/>
        <v>4.0009328762034864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47555</v>
      </c>
      <c r="B86" s="406">
        <f>'2029'!Wh/'2029'!Env_an*'2030'!Env_an</f>
        <v>53.114676772260275</v>
      </c>
      <c r="C86" s="831"/>
      <c r="D86" s="388">
        <f t="shared" si="25"/>
        <v>55.440720057844111</v>
      </c>
      <c r="E86" s="380">
        <f t="shared" si="47"/>
        <v>58.109508754647436</v>
      </c>
      <c r="F86" s="380">
        <f t="shared" si="26"/>
        <v>58.109510365670111</v>
      </c>
      <c r="G86" s="110">
        <f t="shared" si="48"/>
        <v>0.30076089190995581</v>
      </c>
      <c r="H86" s="409" t="b">
        <f>Wh_hp&gt;='2029'!Maxi_hp</f>
        <v>0</v>
      </c>
      <c r="I86" s="385">
        <f>IF(H86,Wh_hp,'2029'!Maxi_hp)</f>
        <v>58.110947281906434</v>
      </c>
      <c r="J86" s="85">
        <f>IF(H86,An,'2029'!An_max)</f>
        <v>2022</v>
      </c>
      <c r="K86" s="193">
        <f t="shared" si="27"/>
        <v>47555</v>
      </c>
      <c r="L86" s="143">
        <f>IF(t&lt;Tvie,1-EXP((T0-t)*PertePVj)+'2029'!Pspv,1-EXP((T0-t)*PertePVj)+Pspv)</f>
        <v>4.1955502799331579E-2</v>
      </c>
      <c r="M86" s="835"/>
      <c r="N86" s="835"/>
      <c r="O86" s="48">
        <f>IF(t&lt;Tnet,'2029'!Resal+('2029'!Salim-'2029'!Resal)*(1-EXP(('2029'!Tnet-t)/('2029'!Tau_j))),Resal+(Salim-Resal)*(1-EXP((Tnet-t)/(Tau_j))))*Salcycl</f>
        <v>4.5926884497881501E-2</v>
      </c>
      <c r="P86" s="165">
        <f>(INDEX(Models!$BJ86:$BT86,,T86)*(1-R86)+INDEX(Models!$BJ86:$BT86,,T86+1)*R86-ERP_i)*Q86*Ramure*Pc/MaxiM</f>
        <v>2.5253435518157898E-5</v>
      </c>
      <c r="Q86" s="301">
        <f t="shared" si="28"/>
        <v>0.5</v>
      </c>
      <c r="R86" s="173">
        <f t="shared" si="29"/>
        <v>0.47644018307635377</v>
      </c>
      <c r="S86" s="801">
        <f t="shared" si="30"/>
        <v>0</v>
      </c>
      <c r="T86" s="172">
        <f t="shared" si="31"/>
        <v>6</v>
      </c>
      <c r="U86" s="247">
        <f t="shared" si="32"/>
        <v>0.47644018307635377</v>
      </c>
      <c r="V86" s="378">
        <f t="shared" si="33"/>
        <v>176.59655342625484</v>
      </c>
      <c r="W86" s="397">
        <f t="shared" si="34"/>
        <v>53.114676772260275</v>
      </c>
      <c r="X86" s="153">
        <f t="shared" si="35"/>
        <v>47555</v>
      </c>
      <c r="Y86" s="380">
        <f t="shared" si="36"/>
        <v>52.067773250038016</v>
      </c>
      <c r="Z86" s="380">
        <f t="shared" si="37"/>
        <v>54.347969642512432</v>
      </c>
      <c r="AA86" s="381">
        <f t="shared" si="38"/>
        <v>58.109491292708839</v>
      </c>
      <c r="AB86" s="193">
        <f t="shared" si="39"/>
        <v>47555</v>
      </c>
      <c r="AC86" s="119">
        <f>IF(OR(t&lt;Tnet,NoTnet),'2029'!Resal_s+('2029'!Salim-'2029'!Resal_s)*(1-EXP(('2029'!Tnet_s-t)/'2029'!Tau_j)),Resal_s+(Salim-Resal_s)*(1-EXP((Tnet_s-t)/Tau_j)))*Salcycl</f>
        <v>6.4731622434085478E-2</v>
      </c>
      <c r="AD86" s="227">
        <f>(INDEX(Models!$BJ86:$BT86,,AH86)*(1-AF86)+INDEX(Models!$BJ86:$BT86,,AH86+1)*AF86-ERP_i)*AE86*Ramure*Pc/MaxiM</f>
        <v>2.9897642296482479E-4</v>
      </c>
      <c r="AE86" s="301">
        <f t="shared" si="40"/>
        <v>0.5</v>
      </c>
      <c r="AF86" s="173">
        <f t="shared" si="41"/>
        <v>1.427749450331639E-3</v>
      </c>
      <c r="AG86" s="801">
        <f t="shared" si="49"/>
        <v>4</v>
      </c>
      <c r="AH86" s="172">
        <f t="shared" si="42"/>
        <v>10</v>
      </c>
      <c r="AI86" s="221">
        <f t="shared" si="43"/>
        <v>4.0014277494503316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47556</v>
      </c>
      <c r="B87" s="406">
        <f>'2029'!Wh/'2029'!Env_an*'2030'!Env_an</f>
        <v>52.124893456856356</v>
      </c>
      <c r="C87" s="831"/>
      <c r="D87" s="388">
        <f t="shared" si="25"/>
        <v>54.408336110640207</v>
      </c>
      <c r="E87" s="380">
        <f t="shared" si="47"/>
        <v>57.029735157458958</v>
      </c>
      <c r="F87" s="380">
        <f t="shared" si="26"/>
        <v>57.029735157458958</v>
      </c>
      <c r="G87" s="110">
        <f t="shared" si="48"/>
        <v>0.29310790203236364</v>
      </c>
      <c r="H87" s="409" t="b">
        <f>Wh_hp&gt;='2029'!Maxi_hp</f>
        <v>0</v>
      </c>
      <c r="I87" s="385">
        <f>IF(H87,Wh_hp,'2029'!Maxi_hp)</f>
        <v>57.031108128817166</v>
      </c>
      <c r="J87" s="85">
        <f>IF(H87,An,'2029'!An_max)</f>
        <v>2022</v>
      </c>
      <c r="K87" s="193">
        <f t="shared" si="27"/>
        <v>47556</v>
      </c>
      <c r="L87" s="143">
        <f>IF(t&lt;Tvie,1-EXP((T0-t)*PertePVj)+'2029'!Pspv,1-EXP((T0-t)*PertePVj)+Pspv)</f>
        <v>4.1968617623969084E-2</v>
      </c>
      <c r="M87" s="835"/>
      <c r="N87" s="835"/>
      <c r="O87" s="48">
        <f>IF(t&lt;Tnet,'2029'!Resal+('2029'!Salim-'2029'!Resal)*(1-EXP(('2029'!Tnet-t)/('2029'!Tau_j))),Resal+(Salim-Resal)*(1-EXP((Tnet-t)/(Tau_j))))*Salcycl</f>
        <v>4.5965478176973378E-2</v>
      </c>
      <c r="P87" s="165">
        <f>(INDEX(Models!$BJ87:$BT87,,T87)*(1-R87)+INDEX(Models!$BJ87:$BT87,,T87+1)*R87-ERP_i)*Q87*Ramure*Pc/MaxiM</f>
        <v>2.4587212592117691E-5</v>
      </c>
      <c r="Q87" s="301">
        <f t="shared" si="28"/>
        <v>0.5</v>
      </c>
      <c r="R87" s="173">
        <f t="shared" si="29"/>
        <v>0.47695475230939138</v>
      </c>
      <c r="S87" s="801">
        <f t="shared" si="30"/>
        <v>0</v>
      </c>
      <c r="T87" s="172">
        <f t="shared" si="31"/>
        <v>6</v>
      </c>
      <c r="U87" s="247">
        <f t="shared" si="32"/>
        <v>0.47695475230939138</v>
      </c>
      <c r="V87" s="378">
        <f t="shared" si="33"/>
        <v>177.83079708736184</v>
      </c>
      <c r="W87" s="397">
        <f t="shared" si="34"/>
        <v>52.124893456856356</v>
      </c>
      <c r="X87" s="153">
        <f t="shared" si="35"/>
        <v>47556</v>
      </c>
      <c r="Y87" s="380">
        <f t="shared" si="36"/>
        <v>51.098570593036996</v>
      </c>
      <c r="Z87" s="380">
        <f t="shared" si="37"/>
        <v>53.337052974513746</v>
      </c>
      <c r="AA87" s="381">
        <f t="shared" si="38"/>
        <v>57.029735157458958</v>
      </c>
      <c r="AB87" s="193">
        <f t="shared" si="39"/>
        <v>47556</v>
      </c>
      <c r="AC87" s="119">
        <f>IF(OR(t&lt;Tnet,NoTnet),'2029'!Resal_s+('2029'!Salim-'2029'!Resal_s)*(1-EXP(('2029'!Tnet_s-t)/'2029'!Tau_j)),Resal_s+(Salim-Resal_s)*(1-EXP((Tnet_s-t)/Tau_j)))*Salcycl</f>
        <v>6.4750119788382729E-2</v>
      </c>
      <c r="AD87" s="227">
        <f>(INDEX(Models!$BJ87:$BT87,,AH87)*(1-AF87)+INDEX(Models!$BJ87:$BT87,,AH87+1)*AF87-ERP_i)*AE87*Ramure*Pc/MaxiM</f>
        <v>2.8966008613467081E-4</v>
      </c>
      <c r="AE87" s="301">
        <f t="shared" si="40"/>
        <v>0.5</v>
      </c>
      <c r="AF87" s="173">
        <f t="shared" si="41"/>
        <v>1.9423186833691375E-3</v>
      </c>
      <c r="AG87" s="801">
        <f t="shared" si="49"/>
        <v>4</v>
      </c>
      <c r="AH87" s="172">
        <f t="shared" si="42"/>
        <v>10</v>
      </c>
      <c r="AI87" s="221">
        <f t="shared" si="43"/>
        <v>4.0019423186833691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47557</v>
      </c>
      <c r="B88" s="406">
        <f>'2029'!Wh/'2029'!Env_an*'2030'!Env_an</f>
        <v>55.612984185203047</v>
      </c>
      <c r="C88" s="831"/>
      <c r="D88" s="388">
        <f t="shared" si="25"/>
        <v>58.050024783893683</v>
      </c>
      <c r="E88" s="380">
        <f t="shared" si="47"/>
        <v>60.849348316224898</v>
      </c>
      <c r="F88" s="380">
        <f t="shared" si="26"/>
        <v>60.849370482035638</v>
      </c>
      <c r="G88" s="110">
        <f t="shared" si="48"/>
        <v>0.31057991877270491</v>
      </c>
      <c r="H88" s="409" t="b">
        <f>Wh_hp&gt;='2029'!Maxi_hp</f>
        <v>0</v>
      </c>
      <c r="I88" s="385">
        <f>IF(H88,Wh_hp,'2029'!Maxi_hp)</f>
        <v>60.850782095593019</v>
      </c>
      <c r="J88" s="85">
        <f>IF(H88,An,'2029'!An_max)</f>
        <v>2022</v>
      </c>
      <c r="K88" s="193">
        <f t="shared" si="27"/>
        <v>47557</v>
      </c>
      <c r="L88" s="143">
        <f>IF(t&lt;Tvie,1-EXP((T0-t)*PertePVj)+'2029'!Pspv,1-EXP((T0-t)*PertePVj)+Pspv)</f>
        <v>4.1981732269075756E-2</v>
      </c>
      <c r="M88" s="835"/>
      <c r="N88" s="835"/>
      <c r="O88" s="48">
        <f>IF(t&lt;Tnet,'2029'!Resal+('2029'!Salim-'2029'!Resal)*(1-EXP(('2029'!Tnet-t)/('2029'!Tau_j))),Resal+(Salim-Resal)*(1-EXP((Tnet-t)/(Tau_j))))*Salcycl</f>
        <v>4.6004166187344424E-2</v>
      </c>
      <c r="P88" s="165">
        <f>(INDEX(Models!$BJ88:$BT88,,T88)*(1-R88)+INDEX(Models!$BJ88:$BT88,,T88+1)*R88-ERP_i)*Q88*Ramure*Pc/MaxiM</f>
        <v>2.408468245540328E-5</v>
      </c>
      <c r="Q88" s="301">
        <f t="shared" si="28"/>
        <v>0.5</v>
      </c>
      <c r="R88" s="173">
        <f t="shared" si="29"/>
        <v>0.47748975624102297</v>
      </c>
      <c r="S88" s="801">
        <f t="shared" si="30"/>
        <v>0</v>
      </c>
      <c r="T88" s="172">
        <f t="shared" si="31"/>
        <v>6</v>
      </c>
      <c r="U88" s="247">
        <f t="shared" si="32"/>
        <v>0.47748975624102297</v>
      </c>
      <c r="V88" s="378">
        <f t="shared" si="33"/>
        <v>179.05750391637872</v>
      </c>
      <c r="W88" s="397">
        <f t="shared" si="34"/>
        <v>55.612984185203047</v>
      </c>
      <c r="X88" s="153">
        <f t="shared" si="35"/>
        <v>47557</v>
      </c>
      <c r="Y88" s="380">
        <f t="shared" si="36"/>
        <v>54.518891948266045</v>
      </c>
      <c r="Z88" s="380">
        <f t="shared" si="37"/>
        <v>56.907987858513991</v>
      </c>
      <c r="AA88" s="381">
        <f t="shared" si="38"/>
        <v>60.849110985185433</v>
      </c>
      <c r="AB88" s="193">
        <f t="shared" si="39"/>
        <v>47557</v>
      </c>
      <c r="AC88" s="119">
        <f>IF(OR(t&lt;Tnet,NoTnet),'2029'!Resal_s+('2029'!Salim-'2029'!Resal_s)*(1-EXP(('2029'!Tnet_s-t)/'2029'!Tau_j)),Resal_s+(Salim-Resal_s)*(1-EXP((Tnet_s-t)/Tau_j)))*Salcycl</f>
        <v>6.4768787297992916E-2</v>
      </c>
      <c r="AD88" s="227">
        <f>(INDEX(Models!$BJ88:$BT88,,AH88)*(1-AF88)+INDEX(Models!$BJ88:$BT88,,AH88+1)*AF88-ERP_i)*AE88*Ramure*Pc/MaxiM</f>
        <v>2.8196122889137212E-4</v>
      </c>
      <c r="AE88" s="301">
        <f t="shared" si="40"/>
        <v>0.5</v>
      </c>
      <c r="AF88" s="173">
        <f t="shared" si="41"/>
        <v>2.4773226150012206E-3</v>
      </c>
      <c r="AG88" s="801">
        <f t="shared" si="49"/>
        <v>4</v>
      </c>
      <c r="AH88" s="172">
        <f t="shared" si="42"/>
        <v>10</v>
      </c>
      <c r="AI88" s="221">
        <f t="shared" si="43"/>
        <v>4.0024773226150012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47558</v>
      </c>
      <c r="B89" s="406">
        <f>'2029'!Wh/'2029'!Env_an*'2030'!Env_an</f>
        <v>36.963006996120932</v>
      </c>
      <c r="C89" s="831"/>
      <c r="D89" s="388">
        <f t="shared" si="25"/>
        <v>38.583307062736644</v>
      </c>
      <c r="E89" s="380">
        <f t="shared" si="47"/>
        <v>40.445539598512305</v>
      </c>
      <c r="F89" s="380">
        <f t="shared" si="26"/>
        <v>40.445539598512305</v>
      </c>
      <c r="G89" s="110">
        <f t="shared" si="48"/>
        <v>0.20502952905804525</v>
      </c>
      <c r="H89" s="409" t="b">
        <f>Wh_hp&gt;='2029'!Maxi_hp</f>
        <v>0</v>
      </c>
      <c r="I89" s="385">
        <f>IF(H89,Wh_hp,'2029'!Maxi_hp)</f>
        <v>40.446477610903443</v>
      </c>
      <c r="J89" s="85">
        <f>IF(H89,An,'2029'!An_max)</f>
        <v>2022</v>
      </c>
      <c r="K89" s="193">
        <f t="shared" si="27"/>
        <v>47558</v>
      </c>
      <c r="L89" s="143">
        <f>IF(t&lt;Tvie,1-EXP((T0-t)*PertePVj)+'2029'!Pspv,1-EXP((T0-t)*PertePVj)+Pspv)</f>
        <v>4.1994846734653812E-2</v>
      </c>
      <c r="M89" s="835"/>
      <c r="N89" s="835"/>
      <c r="O89" s="48">
        <f>IF(t&lt;Tnet,'2029'!Resal+('2029'!Salim-'2029'!Resal)*(1-EXP(('2029'!Tnet-t)/('2029'!Tau_j))),Resal+(Salim-Resal)*(1-EXP((Tnet-t)/(Tau_j))))*Salcycl</f>
        <v>4.6042964298692542E-2</v>
      </c>
      <c r="P89" s="165">
        <f>(INDEX(Models!$BJ89:$BT89,,T89)*(1-R89)+INDEX(Models!$BJ89:$BT89,,T89+1)*R89-ERP_i)*Q89*Ramure*Pc/MaxiM</f>
        <v>2.3743085098446877E-5</v>
      </c>
      <c r="Q89" s="301">
        <f t="shared" si="28"/>
        <v>0.5</v>
      </c>
      <c r="R89" s="173">
        <f t="shared" si="29"/>
        <v>0.47804595753379492</v>
      </c>
      <c r="S89" s="801">
        <f t="shared" si="30"/>
        <v>0</v>
      </c>
      <c r="T89" s="172">
        <f t="shared" si="31"/>
        <v>6</v>
      </c>
      <c r="U89" s="247">
        <f t="shared" si="32"/>
        <v>0.47804595753379492</v>
      </c>
      <c r="V89" s="378">
        <f t="shared" si="33"/>
        <v>180.27710227942876</v>
      </c>
      <c r="W89" s="397">
        <f t="shared" si="34"/>
        <v>36.963006996120932</v>
      </c>
      <c r="X89" s="153">
        <f t="shared" si="35"/>
        <v>47558</v>
      </c>
      <c r="Y89" s="380">
        <f t="shared" si="36"/>
        <v>36.23670612030584</v>
      </c>
      <c r="Z89" s="380">
        <f t="shared" si="37"/>
        <v>37.825168264276627</v>
      </c>
      <c r="AA89" s="381">
        <f t="shared" si="38"/>
        <v>40.445539598512305</v>
      </c>
      <c r="AB89" s="193">
        <f t="shared" si="39"/>
        <v>47558</v>
      </c>
      <c r="AC89" s="119">
        <f>IF(OR(t&lt;Tnet,NoTnet),'2029'!Resal_s+('2029'!Salim-'2029'!Resal_s)*(1-EXP(('2029'!Tnet_s-t)/'2029'!Tau_j)),Resal_s+(Salim-Resal_s)*(1-EXP((Tnet_s-t)/Tau_j)))*Salcycl</f>
        <v>6.4787646802270851E-2</v>
      </c>
      <c r="AD89" s="227">
        <f>(INDEX(Models!$BJ89:$BT89,,AH89)*(1-AF89)+INDEX(Models!$BJ89:$BT89,,AH89+1)*AF89-ERP_i)*AE89*Ramure*Pc/MaxiM</f>
        <v>2.7584764347113159E-4</v>
      </c>
      <c r="AE89" s="301">
        <f t="shared" si="40"/>
        <v>0.5</v>
      </c>
      <c r="AF89" s="173">
        <f t="shared" si="41"/>
        <v>3.0335239077734499E-3</v>
      </c>
      <c r="AG89" s="801">
        <f t="shared" si="49"/>
        <v>4</v>
      </c>
      <c r="AH89" s="172">
        <f t="shared" si="42"/>
        <v>10</v>
      </c>
      <c r="AI89" s="221">
        <f t="shared" si="43"/>
        <v>4.0030335239077734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47559</v>
      </c>
      <c r="B90" s="406">
        <f>'2029'!Wh/'2029'!Env_an*'2030'!Env_an</f>
        <v>47.476256775221941</v>
      </c>
      <c r="C90" s="831"/>
      <c r="D90" s="388">
        <f t="shared" si="25"/>
        <v>49.558091135920279</v>
      </c>
      <c r="E90" s="380">
        <f t="shared" si="47"/>
        <v>51.952144062036147</v>
      </c>
      <c r="F90" s="380">
        <f t="shared" si="26"/>
        <v>51.952144062036147</v>
      </c>
      <c r="G90" s="110">
        <f t="shared" si="48"/>
        <v>0.26158539282211857</v>
      </c>
      <c r="H90" s="409" t="b">
        <f>Wh_hp&gt;='2029'!Maxi_hp</f>
        <v>0</v>
      </c>
      <c r="I90" s="385">
        <f>IF(H90,Wh_hp,'2029'!Maxi_hp)</f>
        <v>51.95333809562544</v>
      </c>
      <c r="J90" s="85">
        <f>IF(H90,An,'2029'!An_max)</f>
        <v>2022</v>
      </c>
      <c r="K90" s="193">
        <f t="shared" si="27"/>
        <v>47559</v>
      </c>
      <c r="L90" s="143">
        <f>IF(t&lt;Tvie,1-EXP((T0-t)*PertePVj)+'2029'!Pspv,1-EXP((T0-t)*PertePVj)+Pspv)</f>
        <v>4.2007961020706031E-2</v>
      </c>
      <c r="M90" s="835"/>
      <c r="N90" s="835"/>
      <c r="O90" s="48">
        <f>IF(t&lt;Tnet,'2029'!Resal+('2029'!Salim-'2029'!Resal)*(1-EXP(('2029'!Tnet-t)/('2029'!Tau_j))),Resal+(Salim-Resal)*(1-EXP((Tnet-t)/(Tau_j))))*Salcycl</f>
        <v>4.6081888810154334E-2</v>
      </c>
      <c r="P90" s="165">
        <f>(INDEX(Models!$BJ90:$BT90,,T90)*(1-R90)+INDEX(Models!$BJ90:$BT90,,T90+1)*R90-ERP_i)*Q90*Ramure*Pc/MaxiM</f>
        <v>2.3559850275907397E-5</v>
      </c>
      <c r="Q90" s="301">
        <f t="shared" si="28"/>
        <v>0.5</v>
      </c>
      <c r="R90" s="173">
        <f t="shared" si="29"/>
        <v>0.47862414325955915</v>
      </c>
      <c r="S90" s="801">
        <f t="shared" si="30"/>
        <v>0</v>
      </c>
      <c r="T90" s="172">
        <f t="shared" si="31"/>
        <v>6</v>
      </c>
      <c r="U90" s="247">
        <f t="shared" si="32"/>
        <v>0.47862414325955915</v>
      </c>
      <c r="V90" s="378">
        <f t="shared" si="33"/>
        <v>181.490020255085</v>
      </c>
      <c r="W90" s="397">
        <f t="shared" si="34"/>
        <v>47.476256775221941</v>
      </c>
      <c r="X90" s="153">
        <f t="shared" si="35"/>
        <v>47559</v>
      </c>
      <c r="Y90" s="380">
        <f t="shared" si="36"/>
        <v>46.544326745793796</v>
      </c>
      <c r="Z90" s="380">
        <f t="shared" si="37"/>
        <v>48.585295964865324</v>
      </c>
      <c r="AA90" s="381">
        <f t="shared" si="38"/>
        <v>51.952144062036147</v>
      </c>
      <c r="AB90" s="193">
        <f t="shared" si="39"/>
        <v>47559</v>
      </c>
      <c r="AC90" s="119">
        <f>IF(OR(t&lt;Tnet,NoTnet),'2029'!Resal_s+('2029'!Salim-'2029'!Resal_s)*(1-EXP(('2029'!Tnet_s-t)/'2029'!Tau_j)),Resal_s+(Salim-Resal_s)*(1-EXP((Tnet_s-t)/Tau_j)))*Salcycl</f>
        <v>6.4806720838132589E-2</v>
      </c>
      <c r="AD90" s="227">
        <f>(INDEX(Models!$BJ90:$BT90,,AH90)*(1-AF90)+INDEX(Models!$BJ90:$BT90,,AH90+1)*AF90-ERP_i)*AE90*Ramure*Pc/MaxiM</f>
        <v>2.7128876051304431E-4</v>
      </c>
      <c r="AE90" s="301">
        <f t="shared" si="40"/>
        <v>0.5</v>
      </c>
      <c r="AF90" s="173">
        <f t="shared" si="41"/>
        <v>3.6117096335370746E-3</v>
      </c>
      <c r="AG90" s="801">
        <f t="shared" si="49"/>
        <v>4</v>
      </c>
      <c r="AH90" s="172">
        <f t="shared" si="42"/>
        <v>10</v>
      </c>
      <c r="AI90" s="221">
        <f t="shared" si="43"/>
        <v>4.0036117096335371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47560</v>
      </c>
      <c r="B91" s="406">
        <f>'2029'!Wh/'2029'!Env_an*'2030'!Env_an</f>
        <v>50.124006010944335</v>
      </c>
      <c r="C91" s="831"/>
      <c r="D91" s="388">
        <f t="shared" si="25"/>
        <v>52.322660456858777</v>
      </c>
      <c r="E91" s="380">
        <f t="shared" si="47"/>
        <v>54.852510717400875</v>
      </c>
      <c r="F91" s="380">
        <f t="shared" si="26"/>
        <v>54.852510717400875</v>
      </c>
      <c r="G91" s="110">
        <f t="shared" si="48"/>
        <v>0.2743499493938828</v>
      </c>
      <c r="H91" s="409" t="b">
        <f>Wh_hp&gt;='2029'!Maxi_hp</f>
        <v>0</v>
      </c>
      <c r="I91" s="385">
        <f>IF(H91,Wh_hp,'2029'!Maxi_hp)</f>
        <v>54.853768261754404</v>
      </c>
      <c r="J91" s="85">
        <f>IF(H91,An,'2029'!An_max)</f>
        <v>2022</v>
      </c>
      <c r="K91" s="193">
        <f t="shared" si="27"/>
        <v>47560</v>
      </c>
      <c r="L91" s="143">
        <f>IF(t&lt;Tvie,1-EXP((T0-t)*PertePVj)+'2029'!Pspv,1-EXP((T0-t)*PertePVj)+Pspv)</f>
        <v>4.202107512723452E-2</v>
      </c>
      <c r="M91" s="835"/>
      <c r="N91" s="835"/>
      <c r="O91" s="48">
        <f>IF(t&lt;Tnet,'2029'!Resal+('2029'!Salim-'2029'!Resal)*(1-EXP(('2029'!Tnet-t)/('2029'!Tau_j))),Resal+(Salim-Resal)*(1-EXP((Tnet-t)/(Tau_j))))*Salcycl</f>
        <v>4.6120956496883712E-2</v>
      </c>
      <c r="P91" s="165">
        <f>(INDEX(Models!$BJ91:$BT91,,T91)*(1-R91)+INDEX(Models!$BJ91:$BT91,,T91+1)*R91-ERP_i)*Q91*Ramure*Pc/MaxiM</f>
        <v>2.3532594997062641E-5</v>
      </c>
      <c r="Q91" s="301">
        <f t="shared" si="28"/>
        <v>0.5</v>
      </c>
      <c r="R91" s="173">
        <f t="shared" si="29"/>
        <v>0.47922512533818457</v>
      </c>
      <c r="S91" s="801">
        <f t="shared" si="30"/>
        <v>0</v>
      </c>
      <c r="T91" s="172">
        <f t="shared" si="31"/>
        <v>6</v>
      </c>
      <c r="U91" s="247">
        <f t="shared" si="32"/>
        <v>0.47922512533818457</v>
      </c>
      <c r="V91" s="378">
        <f t="shared" si="33"/>
        <v>182.69668565183574</v>
      </c>
      <c r="W91" s="397">
        <f t="shared" si="34"/>
        <v>50.124006010944335</v>
      </c>
      <c r="X91" s="153">
        <f t="shared" si="35"/>
        <v>47560</v>
      </c>
      <c r="Y91" s="380">
        <f t="shared" si="36"/>
        <v>49.14110010524157</v>
      </c>
      <c r="Z91" s="380">
        <f t="shared" si="37"/>
        <v>51.296640071459059</v>
      </c>
      <c r="AA91" s="381">
        <f t="shared" si="38"/>
        <v>54.852510717400875</v>
      </c>
      <c r="AB91" s="193">
        <f t="shared" si="39"/>
        <v>47560</v>
      </c>
      <c r="AC91" s="119">
        <f>IF(OR(t&lt;Tnet,NoTnet),'2029'!Resal_s+('2029'!Salim-'2029'!Resal_s)*(1-EXP(('2029'!Tnet_s-t)/'2029'!Tau_j)),Resal_s+(Salim-Resal_s)*(1-EXP((Tnet_s-t)/Tau_j)))*Salcycl</f>
        <v>6.4826032563242153E-2</v>
      </c>
      <c r="AD91" s="227">
        <f>(INDEX(Models!$BJ91:$BT91,,AH91)*(1-AF91)+INDEX(Models!$BJ91:$BT91,,AH91+1)*AF91-ERP_i)*AE91*Ramure*Pc/MaxiM</f>
        <v>2.6825560254546308E-4</v>
      </c>
      <c r="AE91" s="301">
        <f t="shared" si="40"/>
        <v>0.5</v>
      </c>
      <c r="AF91" s="173">
        <f t="shared" si="41"/>
        <v>4.2126917121629859E-3</v>
      </c>
      <c r="AG91" s="801">
        <f t="shared" si="49"/>
        <v>4</v>
      </c>
      <c r="AH91" s="172">
        <f t="shared" si="42"/>
        <v>10</v>
      </c>
      <c r="AI91" s="221">
        <f t="shared" si="43"/>
        <v>4.004212691712163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47561</v>
      </c>
      <c r="B92" s="406">
        <f>'2029'!Wh/'2029'!Env_an*'2030'!Env_an</f>
        <v>113.9108848303696</v>
      </c>
      <c r="C92" s="831"/>
      <c r="D92" s="388">
        <f t="shared" si="25"/>
        <v>118.90913384258498</v>
      </c>
      <c r="E92" s="380">
        <f t="shared" si="47"/>
        <v>124.66363001126159</v>
      </c>
      <c r="F92" s="380">
        <f t="shared" si="26"/>
        <v>124.66497591848005</v>
      </c>
      <c r="G92" s="110">
        <f t="shared" si="48"/>
        <v>0.61941790118235396</v>
      </c>
      <c r="H92" s="409" t="b">
        <f>Wh_hp&gt;='2029'!Maxi_hp</f>
        <v>0</v>
      </c>
      <c r="I92" s="385">
        <f>IF(H92,Wh_hp,'2029'!Maxi_hp)</f>
        <v>124.66653595524753</v>
      </c>
      <c r="J92" s="85">
        <f>IF(H92,An,'2029'!An_max)</f>
        <v>2022</v>
      </c>
      <c r="K92" s="193">
        <f t="shared" si="27"/>
        <v>47561</v>
      </c>
      <c r="L92" s="143">
        <f>IF(t&lt;Tvie,1-EXP((T0-t)*PertePVj)+'2029'!Pspv,1-EXP((T0-t)*PertePVj)+Pspv)</f>
        <v>4.2034189054241944E-2</v>
      </c>
      <c r="M92" s="835"/>
      <c r="N92" s="835"/>
      <c r="O92" s="48">
        <f>IF(t&lt;Tnet,'2029'!Resal+('2029'!Salim-'2029'!Resal)*(1-EXP(('2029'!Tnet-t)/('2029'!Tau_j))),Resal+(Salim-Resal)*(1-EXP((Tnet-t)/(Tau_j))))*Salcycl</f>
        <v>4.6160184555485678E-2</v>
      </c>
      <c r="P92" s="165">
        <f>(INDEX(Models!$BJ92:$BT92,,T92)*(1-R92)+INDEX(Models!$BJ92:$BT92,,T92+1)*R92-ERP_i)*Q92*Ramure*Pc/MaxiM</f>
        <v>2.3659121800600959E-5</v>
      </c>
      <c r="Q92" s="301">
        <f t="shared" si="28"/>
        <v>0.5</v>
      </c>
      <c r="R92" s="173">
        <f t="shared" si="29"/>
        <v>0.47984974095239119</v>
      </c>
      <c r="S92" s="801">
        <f t="shared" si="30"/>
        <v>0</v>
      </c>
      <c r="T92" s="172">
        <f t="shared" si="31"/>
        <v>6</v>
      </c>
      <c r="U92" s="247">
        <f t="shared" si="32"/>
        <v>0.47984974095239119</v>
      </c>
      <c r="V92" s="378">
        <f t="shared" si="33"/>
        <v>183.89752599914979</v>
      </c>
      <c r="W92" s="397">
        <f t="shared" si="34"/>
        <v>113.9108848303696</v>
      </c>
      <c r="X92" s="153">
        <f t="shared" si="35"/>
        <v>47561</v>
      </c>
      <c r="Y92" s="380">
        <f t="shared" si="36"/>
        <v>111.66701952408656</v>
      </c>
      <c r="Z92" s="380">
        <f t="shared" si="37"/>
        <v>116.56681089050825</v>
      </c>
      <c r="AA92" s="381">
        <f t="shared" si="38"/>
        <v>124.64980285421451</v>
      </c>
      <c r="AB92" s="193">
        <f t="shared" si="39"/>
        <v>47561</v>
      </c>
      <c r="AC92" s="119">
        <f>IF(OR(t&lt;Tnet,NoTnet),'2029'!Resal_s+('2029'!Salim-'2029'!Resal_s)*(1-EXP(('2029'!Tnet_s-t)/'2029'!Tau_j)),Resal_s+(Salim-Resal_s)*(1-EXP((Tnet_s-t)/Tau_j)))*Salcycl</f>
        <v>6.4845605677850984E-2</v>
      </c>
      <c r="AD92" s="227">
        <f>(INDEX(Models!$BJ92:$BT92,,AH92)*(1-AF92)+INDEX(Models!$BJ92:$BT92,,AH92+1)*AF92-ERP_i)*AE92*Ramure*Pc/MaxiM</f>
        <v>2.6672074465755526E-4</v>
      </c>
      <c r="AE92" s="301">
        <f t="shared" si="40"/>
        <v>0.5</v>
      </c>
      <c r="AF92" s="173">
        <f t="shared" si="41"/>
        <v>4.8373073263690003E-3</v>
      </c>
      <c r="AG92" s="801">
        <f t="shared" si="49"/>
        <v>4</v>
      </c>
      <c r="AH92" s="172">
        <f t="shared" si="42"/>
        <v>10</v>
      </c>
      <c r="AI92" s="221">
        <f t="shared" si="43"/>
        <v>4.004837307326369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47562</v>
      </c>
      <c r="B93" s="406">
        <f>'2029'!Wh/'2029'!Env_an*'2030'!Env_an</f>
        <v>121.66692255643629</v>
      </c>
      <c r="C93" s="831"/>
      <c r="D93" s="388">
        <f t="shared" si="25"/>
        <v>127.00723419045258</v>
      </c>
      <c r="E93" s="380">
        <f t="shared" si="47"/>
        <v>133.15913154568852</v>
      </c>
      <c r="F93" s="380">
        <f t="shared" si="26"/>
        <v>133.16075853460279</v>
      </c>
      <c r="G93" s="110">
        <f t="shared" si="48"/>
        <v>0.65730030089526315</v>
      </c>
      <c r="H93" s="409" t="b">
        <f>Wh_hp&gt;='2029'!Maxi_hp</f>
        <v>0</v>
      </c>
      <c r="I93" s="385">
        <f>IF(H93,Wh_hp,'2029'!Maxi_hp)</f>
        <v>133.16227442268254</v>
      </c>
      <c r="J93" s="85">
        <f>IF(H93,An,'2029'!An_max)</f>
        <v>2022</v>
      </c>
      <c r="K93" s="193">
        <f t="shared" si="27"/>
        <v>47562</v>
      </c>
      <c r="L93" s="143">
        <f>IF(t&lt;Tvie,1-EXP((T0-t)*PertePVj)+'2029'!Pspv,1-EXP((T0-t)*PertePVj)+Pspv)</f>
        <v>4.2047302801730746E-2</v>
      </c>
      <c r="M93" s="835"/>
      <c r="N93" s="835"/>
      <c r="O93" s="48">
        <f>IF(t&lt;Tnet,'2029'!Resal+('2029'!Salim-'2029'!Resal)*(1-EXP(('2029'!Tnet-t)/('2029'!Tau_j))),Resal+(Salim-Resal)*(1-EXP((Tnet-t)/(Tau_j))))*Salcycl</f>
        <v>4.6199590548735014E-2</v>
      </c>
      <c r="P93" s="165">
        <f>(INDEX(Models!$BJ93:$BT93,,T93)*(1-R93)+INDEX(Models!$BJ93:$BT93,,T93+1)*R93-ERP_i)*Q93*Ramure*Pc/MaxiM</f>
        <v>2.3936664298279243E-5</v>
      </c>
      <c r="Q93" s="301">
        <f t="shared" si="28"/>
        <v>0.5</v>
      </c>
      <c r="R93" s="173">
        <f t="shared" si="29"/>
        <v>0.48049885293501265</v>
      </c>
      <c r="S93" s="801">
        <f t="shared" si="30"/>
        <v>0</v>
      </c>
      <c r="T93" s="172">
        <f t="shared" si="31"/>
        <v>6</v>
      </c>
      <c r="U93" s="247">
        <f t="shared" si="32"/>
        <v>0.48049885293501265</v>
      </c>
      <c r="V93" s="378">
        <f t="shared" si="33"/>
        <v>185.09879978389344</v>
      </c>
      <c r="W93" s="397">
        <f t="shared" si="34"/>
        <v>121.66692255643629</v>
      </c>
      <c r="X93" s="153">
        <f t="shared" si="35"/>
        <v>47562</v>
      </c>
      <c r="Y93" s="380">
        <f t="shared" si="36"/>
        <v>119.2711223343654</v>
      </c>
      <c r="Z93" s="380">
        <f t="shared" si="37"/>
        <v>124.50627539668551</v>
      </c>
      <c r="AA93" s="381">
        <f t="shared" si="38"/>
        <v>133.14263418749317</v>
      </c>
      <c r="AB93" s="193">
        <f t="shared" si="39"/>
        <v>47562</v>
      </c>
      <c r="AC93" s="119">
        <f>IF(OR(t&lt;Tnet,NoTnet),'2029'!Resal_s+('2029'!Salim-'2029'!Resal_s)*(1-EXP(('2029'!Tnet_s-t)/'2029'!Tau_j)),Resal_s+(Salim-Resal_s)*(1-EXP((Tnet_s-t)/Tau_j)))*Salcycl</f>
        <v>6.4865464345897156E-2</v>
      </c>
      <c r="AD93" s="227">
        <f>(INDEX(Models!$BJ93:$BT93,,AH93)*(1-AF93)+INDEX(Models!$BJ93:$BT93,,AH93+1)*AF93-ERP_i)*AE93*Ramure*Pc/MaxiM</f>
        <v>2.6664988838007777E-4</v>
      </c>
      <c r="AE93" s="301">
        <f t="shared" si="40"/>
        <v>0.5</v>
      </c>
      <c r="AF93" s="173">
        <f t="shared" si="41"/>
        <v>5.48641930899052E-3</v>
      </c>
      <c r="AG93" s="801">
        <f t="shared" si="49"/>
        <v>4</v>
      </c>
      <c r="AH93" s="172">
        <f t="shared" si="42"/>
        <v>10</v>
      </c>
      <c r="AI93" s="221">
        <f t="shared" si="43"/>
        <v>4.0054864193089905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47563</v>
      </c>
      <c r="B94" s="406">
        <f>'2029'!Wh/'2029'!Env_an*'2030'!Env_an</f>
        <v>175.34325841103126</v>
      </c>
      <c r="C94" s="831"/>
      <c r="D94" s="388">
        <f t="shared" si="25"/>
        <v>183.04208470698558</v>
      </c>
      <c r="E94" s="380">
        <f t="shared" si="47"/>
        <v>191.91613163261164</v>
      </c>
      <c r="F94" s="380">
        <f t="shared" si="26"/>
        <v>191.92040941718187</v>
      </c>
      <c r="G94" s="110">
        <f t="shared" si="48"/>
        <v>0.941163710208339</v>
      </c>
      <c r="H94" s="409" t="b">
        <f>Wh_hp&gt;='2029'!Maxi_hp</f>
        <v>0</v>
      </c>
      <c r="I94" s="385">
        <f>IF(H94,Wh_hp,'2029'!Maxi_hp)</f>
        <v>191.92079017384989</v>
      </c>
      <c r="J94" s="85">
        <f>IF(H94,An,'2029'!An_max)</f>
        <v>2022</v>
      </c>
      <c r="K94" s="193">
        <f t="shared" si="27"/>
        <v>47563</v>
      </c>
      <c r="L94" s="143">
        <f>IF(t&lt;Tvie,1-EXP((T0-t)*PertePVj)+'2029'!Pspv,1-EXP((T0-t)*PertePVj)+Pspv)</f>
        <v>4.2060416369703368E-2</v>
      </c>
      <c r="M94" s="835"/>
      <c r="N94" s="835"/>
      <c r="O94" s="48">
        <f>IF(t&lt;Tnet,'2029'!Resal+('2029'!Salim-'2029'!Resal)*(1-EXP(('2029'!Tnet-t)/('2029'!Tau_j))),Resal+(Salim-Resal)*(1-EXP((Tnet-t)/(Tau_j))))*Salcycl</f>
        <v>4.6239192349988627E-2</v>
      </c>
      <c r="P94" s="165">
        <f>(INDEX(Models!$BJ94:$BT94,,T94)*(1-R94)+INDEX(Models!$BJ94:$BT94,,T94+1)*R94-ERP_i)*Q94*Ramure*Pc/MaxiM</f>
        <v>2.4334675030531713E-5</v>
      </c>
      <c r="Q94" s="301">
        <f t="shared" si="28"/>
        <v>0.5</v>
      </c>
      <c r="R94" s="173">
        <f t="shared" si="29"/>
        <v>0.48117335012471285</v>
      </c>
      <c r="S94" s="801">
        <f t="shared" si="30"/>
        <v>0</v>
      </c>
      <c r="T94" s="172">
        <f t="shared" si="31"/>
        <v>6</v>
      </c>
      <c r="U94" s="247">
        <f t="shared" si="32"/>
        <v>0.48117335012471285</v>
      </c>
      <c r="V94" s="378">
        <f t="shared" si="33"/>
        <v>186.30435690446157</v>
      </c>
      <c r="W94" s="397">
        <f t="shared" si="34"/>
        <v>175.34325841103126</v>
      </c>
      <c r="X94" s="153">
        <f t="shared" si="35"/>
        <v>47563</v>
      </c>
      <c r="Y94" s="380">
        <f t="shared" si="36"/>
        <v>171.87687731024604</v>
      </c>
      <c r="Z94" s="380">
        <f t="shared" si="37"/>
        <v>179.42350462112182</v>
      </c>
      <c r="AA94" s="381">
        <f t="shared" si="38"/>
        <v>191.87332691613705</v>
      </c>
      <c r="AB94" s="193">
        <f t="shared" si="39"/>
        <v>47563</v>
      </c>
      <c r="AC94" s="119">
        <f>IF(OR(t&lt;Tnet,NoTnet),'2029'!Resal_s+('2029'!Salim-'2029'!Resal_s)*(1-EXP(('2029'!Tnet_s-t)/'2029'!Tau_j)),Resal_s+(Salim-Resal_s)*(1-EXP((Tnet_s-t)/Tau_j)))*Salcycl</f>
        <v>6.4885633115939742E-2</v>
      </c>
      <c r="AD94" s="227">
        <f>(INDEX(Models!$BJ94:$BT94,,AH94)*(1-AF94)+INDEX(Models!$BJ94:$BT94,,AH94+1)*AF94-ERP_i)*AE94*Ramure*Pc/MaxiM</f>
        <v>2.6783428284921909E-4</v>
      </c>
      <c r="AE94" s="301">
        <f t="shared" si="40"/>
        <v>0.5</v>
      </c>
      <c r="AF94" s="173">
        <f t="shared" si="41"/>
        <v>6.1609164986906606E-3</v>
      </c>
      <c r="AG94" s="801">
        <f t="shared" si="49"/>
        <v>4</v>
      </c>
      <c r="AH94" s="172">
        <f t="shared" si="42"/>
        <v>10</v>
      </c>
      <c r="AI94" s="221">
        <f t="shared" si="43"/>
        <v>4.0061609164986907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47564</v>
      </c>
      <c r="B95" s="406">
        <f>'2029'!Wh/'2029'!Env_an*'2030'!Env_an</f>
        <v>156.11868547749327</v>
      </c>
      <c r="C95" s="831"/>
      <c r="D95" s="388">
        <f t="shared" si="25"/>
        <v>162.97564617676721</v>
      </c>
      <c r="E95" s="380">
        <f t="shared" si="47"/>
        <v>170.88398762197897</v>
      </c>
      <c r="F95" s="380">
        <f t="shared" si="26"/>
        <v>170.88720399625251</v>
      </c>
      <c r="G95" s="110">
        <f t="shared" si="48"/>
        <v>0.83257910381164779</v>
      </c>
      <c r="H95" s="409" t="b">
        <f>Wh_hp&gt;='2029'!Maxi_hp</f>
        <v>0</v>
      </c>
      <c r="I95" s="385">
        <f>IF(H95,Wh_hp,'2029'!Maxi_hp)</f>
        <v>170.88818318875792</v>
      </c>
      <c r="J95" s="85">
        <f>IF(H95,An,'2029'!An_max)</f>
        <v>2022</v>
      </c>
      <c r="K95" s="193">
        <f t="shared" si="27"/>
        <v>47564</v>
      </c>
      <c r="L95" s="143">
        <f>IF(t&lt;Tvie,1-EXP((T0-t)*PertePVj)+'2029'!Pspv,1-EXP((T0-t)*PertePVj)+Pspv)</f>
        <v>4.2073529758162254E-2</v>
      </c>
      <c r="M95" s="835"/>
      <c r="N95" s="835"/>
      <c r="O95" s="48">
        <f>IF(t&lt;Tnet,'2029'!Resal+('2029'!Salim-'2029'!Resal)*(1-EXP(('2029'!Tnet-t)/('2029'!Tau_j))),Resal+(Salim-Resal)*(1-EXP((Tnet-t)/(Tau_j))))*Salcycl</f>
        <v>4.6279008087675273E-2</v>
      </c>
      <c r="P95" s="165">
        <f>(INDEX(Models!$BJ95:$BT95,,T95)*(1-R95)+INDEX(Models!$BJ95:$BT95,,T95+1)*R95-ERP_i)*Q95*Ramure*Pc/MaxiM</f>
        <v>2.4738133915647041E-5</v>
      </c>
      <c r="Q95" s="301">
        <f t="shared" si="28"/>
        <v>0.5</v>
      </c>
      <c r="R95" s="173">
        <f t="shared" si="29"/>
        <v>0.48187414768588754</v>
      </c>
      <c r="S95" s="801">
        <f t="shared" si="30"/>
        <v>0</v>
      </c>
      <c r="T95" s="172">
        <f t="shared" si="31"/>
        <v>6</v>
      </c>
      <c r="U95" s="247">
        <f t="shared" si="32"/>
        <v>0.48187414768588754</v>
      </c>
      <c r="V95" s="378">
        <f t="shared" si="33"/>
        <v>187.5110257598846</v>
      </c>
      <c r="W95" s="397">
        <f t="shared" si="34"/>
        <v>156.11868547749327</v>
      </c>
      <c r="X95" s="153">
        <f t="shared" si="35"/>
        <v>47564</v>
      </c>
      <c r="Y95" s="380">
        <f t="shared" si="36"/>
        <v>153.04105052436046</v>
      </c>
      <c r="Z95" s="380">
        <f t="shared" si="37"/>
        <v>159.76283700117796</v>
      </c>
      <c r="AA95" s="381">
        <f t="shared" si="38"/>
        <v>170.85219280736823</v>
      </c>
      <c r="AB95" s="193">
        <f t="shared" si="39"/>
        <v>47564</v>
      </c>
      <c r="AC95" s="119">
        <f>IF(OR(t&lt;Tnet,NoTnet),'2029'!Resal_s+('2029'!Salim-'2029'!Resal_s)*(1-EXP(('2029'!Tnet_s-t)/'2029'!Tau_j)),Resal_s+(Salim-Resal_s)*(1-EXP((Tnet_s-t)/Tau_j)))*Salcycl</f>
        <v>6.4906136842465073E-2</v>
      </c>
      <c r="AD95" s="227">
        <f>(INDEX(Models!$BJ95:$BT95,,AH95)*(1-AF95)+INDEX(Models!$BJ95:$BT95,,AH95+1)*AF95-ERP_i)*AE95*Ramure*Pc/MaxiM</f>
        <v>2.692819322343822E-4</v>
      </c>
      <c r="AE95" s="301">
        <f t="shared" si="40"/>
        <v>0.5</v>
      </c>
      <c r="AF95" s="173">
        <f t="shared" si="41"/>
        <v>6.8617140598661308E-3</v>
      </c>
      <c r="AG95" s="801">
        <f t="shared" si="49"/>
        <v>4</v>
      </c>
      <c r="AH95" s="172">
        <f t="shared" si="42"/>
        <v>10</v>
      </c>
      <c r="AI95" s="221">
        <f t="shared" si="43"/>
        <v>4.0068617140598661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47565</v>
      </c>
      <c r="B96" s="406">
        <f>'2029'!Wh/'2029'!Env_an*'2030'!Env_an</f>
        <v>186.88005982138853</v>
      </c>
      <c r="C96" s="831"/>
      <c r="D96" s="388">
        <f t="shared" si="25"/>
        <v>195.09077564201036</v>
      </c>
      <c r="E96" s="380">
        <f t="shared" si="47"/>
        <v>204.56608353963875</v>
      </c>
      <c r="F96" s="380">
        <f t="shared" si="26"/>
        <v>204.57115656221507</v>
      </c>
      <c r="G96" s="110">
        <f t="shared" si="48"/>
        <v>0.99027309145986842</v>
      </c>
      <c r="H96" s="409" t="b">
        <f>Wh_hp&gt;='2029'!Maxi_hp</f>
        <v>0</v>
      </c>
      <c r="I96" s="385">
        <f>IF(H96,Wh_hp,'2029'!Maxi_hp)</f>
        <v>204.57122568175365</v>
      </c>
      <c r="J96" s="85">
        <f>IF(H96,An,'2029'!An_max)</f>
        <v>2022</v>
      </c>
      <c r="K96" s="193">
        <f t="shared" si="27"/>
        <v>47565</v>
      </c>
      <c r="L96" s="143">
        <f>IF(t&lt;Tvie,1-EXP((T0-t)*PertePVj)+'2029'!Pspv,1-EXP((T0-t)*PertePVj)+Pspv)</f>
        <v>4.2086642967109844E-2</v>
      </c>
      <c r="M96" s="835"/>
      <c r="N96" s="835"/>
      <c r="O96" s="48">
        <f>IF(t&lt;Tnet,'2029'!Resal+('2029'!Salim-'2029'!Resal)*(1-EXP(('2029'!Tnet-t)/('2029'!Tau_j))),Resal+(Salim-Resal)*(1-EXP((Tnet-t)/(Tau_j))))*Salcycl</f>
        <v>4.6319056090216297E-2</v>
      </c>
      <c r="P96" s="165">
        <f>(INDEX(Models!$BJ96:$BT96,,T96)*(1-R96)+INDEX(Models!$BJ96:$BT96,,T96+1)*R96-ERP_i)*Q96*Ramure*Pc/MaxiM</f>
        <v>2.5147758032911738E-5</v>
      </c>
      <c r="Q96" s="301">
        <f t="shared" si="28"/>
        <v>0.5</v>
      </c>
      <c r="R96" s="173">
        <f t="shared" si="29"/>
        <v>0.48260218738818222</v>
      </c>
      <c r="S96" s="801">
        <f t="shared" si="30"/>
        <v>0</v>
      </c>
      <c r="T96" s="172">
        <f t="shared" si="31"/>
        <v>6</v>
      </c>
      <c r="U96" s="247">
        <f t="shared" si="32"/>
        <v>0.48260218738818222</v>
      </c>
      <c r="V96" s="378">
        <f t="shared" si="33"/>
        <v>188.71561403602894</v>
      </c>
      <c r="W96" s="397">
        <f t="shared" si="34"/>
        <v>186.88005982138853</v>
      </c>
      <c r="X96" s="153">
        <f t="shared" si="35"/>
        <v>47565</v>
      </c>
      <c r="Y96" s="380">
        <f t="shared" si="36"/>
        <v>183.18928788184203</v>
      </c>
      <c r="Z96" s="380">
        <f t="shared" si="37"/>
        <v>191.23784686463264</v>
      </c>
      <c r="AA96" s="381">
        <f t="shared" si="38"/>
        <v>204.51648907517438</v>
      </c>
      <c r="AB96" s="193">
        <f t="shared" si="39"/>
        <v>47565</v>
      </c>
      <c r="AC96" s="119">
        <f>IF(OR(t&lt;Tnet,NoTnet),'2029'!Resal_s+('2029'!Salim-'2029'!Resal_s)*(1-EXP(('2029'!Tnet_s-t)/'2029'!Tau_j)),Resal_s+(Salim-Resal_s)*(1-EXP((Tnet_s-t)/Tau_j)))*Salcycl</f>
        <v>6.4927000608058033E-2</v>
      </c>
      <c r="AD96" s="227">
        <f>(INDEX(Models!$BJ96:$BT96,,AH96)*(1-AF96)+INDEX(Models!$BJ96:$BT96,,AH96+1)*AF96-ERP_i)*AE96*Ramure*Pc/MaxiM</f>
        <v>2.7099519383002538E-4</v>
      </c>
      <c r="AE96" s="301">
        <f t="shared" si="40"/>
        <v>0.5</v>
      </c>
      <c r="AF96" s="173">
        <f t="shared" si="41"/>
        <v>7.5897537621605338E-3</v>
      </c>
      <c r="AG96" s="801">
        <f t="shared" si="49"/>
        <v>4</v>
      </c>
      <c r="AH96" s="172">
        <f t="shared" si="42"/>
        <v>10</v>
      </c>
      <c r="AI96" s="221">
        <f t="shared" si="43"/>
        <v>4.0075897537621605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47566</v>
      </c>
      <c r="B97" s="406">
        <f>'2029'!Wh/'2029'!Env_an*'2030'!Env_an</f>
        <v>185.32533391065061</v>
      </c>
      <c r="C97" s="831"/>
      <c r="D97" s="388">
        <f t="shared" si="25"/>
        <v>193.47039012757875</v>
      </c>
      <c r="E97" s="380">
        <f t="shared" si="47"/>
        <v>202.87557069616545</v>
      </c>
      <c r="F97" s="380">
        <f t="shared" si="26"/>
        <v>202.88057813818884</v>
      </c>
      <c r="G97" s="110">
        <f t="shared" si="48"/>
        <v>0.97583254950876086</v>
      </c>
      <c r="H97" s="409" t="b">
        <f>Wh_hp&gt;='2029'!Maxi_hp</f>
        <v>0</v>
      </c>
      <c r="I97" s="385">
        <f>IF(H97,Wh_hp,'2029'!Maxi_hp)</f>
        <v>202.880750987478</v>
      </c>
      <c r="J97" s="85">
        <f>IF(H97,An,'2029'!An_max)</f>
        <v>2022</v>
      </c>
      <c r="K97" s="193">
        <f t="shared" si="27"/>
        <v>47566</v>
      </c>
      <c r="L97" s="143">
        <f>IF(t&lt;Tvie,1-EXP((T0-t)*PertePVj)+'2029'!Pspv,1-EXP((T0-t)*PertePVj)+Pspv)</f>
        <v>4.2099755996548693E-2</v>
      </c>
      <c r="M97" s="835"/>
      <c r="N97" s="835"/>
      <c r="O97" s="48">
        <f>IF(t&lt;Tnet,'2029'!Resal+('2029'!Salim-'2029'!Resal)*(1-EXP(('2029'!Tnet-t)/('2029'!Tau_j))),Resal+(Salim-Resal)*(1-EXP((Tnet-t)/(Tau_j))))*Salcycl</f>
        <v>4.6359354831697716E-2</v>
      </c>
      <c r="P97" s="165">
        <f>(INDEX(Models!$BJ97:$BT97,,T97)*(1-R97)+INDEX(Models!$BJ97:$BT97,,T97+1)*R97-ERP_i)*Q97*Ramure*Pc/MaxiM</f>
        <v>2.5564296031808524E-5</v>
      </c>
      <c r="Q97" s="301">
        <f t="shared" si="28"/>
        <v>0.5</v>
      </c>
      <c r="R97" s="173">
        <f t="shared" si="29"/>
        <v>0.48335843784074201</v>
      </c>
      <c r="S97" s="801">
        <f t="shared" si="30"/>
        <v>0</v>
      </c>
      <c r="T97" s="172">
        <f t="shared" si="31"/>
        <v>6</v>
      </c>
      <c r="U97" s="247">
        <f t="shared" si="32"/>
        <v>0.48335843784074201</v>
      </c>
      <c r="V97" s="378">
        <f t="shared" si="33"/>
        <v>189.9149300118909</v>
      </c>
      <c r="W97" s="397">
        <f t="shared" si="34"/>
        <v>185.32533391065061</v>
      </c>
      <c r="X97" s="153">
        <f t="shared" si="35"/>
        <v>47566</v>
      </c>
      <c r="Y97" s="380">
        <f t="shared" si="36"/>
        <v>181.66946226895902</v>
      </c>
      <c r="Z97" s="380">
        <f t="shared" si="37"/>
        <v>189.65384277353255</v>
      </c>
      <c r="AA97" s="381">
        <f t="shared" si="38"/>
        <v>202.82710844818027</v>
      </c>
      <c r="AB97" s="193">
        <f t="shared" si="39"/>
        <v>47566</v>
      </c>
      <c r="AC97" s="119">
        <f>IF(OR(t&lt;Tnet,NoTnet),'2029'!Resal_s+('2029'!Salim-'2029'!Resal_s)*(1-EXP(('2029'!Tnet_s-t)/'2029'!Tau_j)),Resal_s+(Salim-Resal_s)*(1-EXP((Tnet_s-t)/Tau_j)))*Salcycl</f>
        <v>6.494824964688245E-2</v>
      </c>
      <c r="AD97" s="227">
        <f>(INDEX(Models!$BJ97:$BT97,,AH97)*(1-AF97)+INDEX(Models!$BJ97:$BT97,,AH97+1)*AF97-ERP_i)*AE97*Ramure*Pc/MaxiM</f>
        <v>2.7297669702990821E-4</v>
      </c>
      <c r="AE97" s="301">
        <f t="shared" si="40"/>
        <v>0.5</v>
      </c>
      <c r="AF97" s="173">
        <f t="shared" si="41"/>
        <v>8.3460042147205371E-3</v>
      </c>
      <c r="AG97" s="801">
        <f t="shared" si="49"/>
        <v>4</v>
      </c>
      <c r="AH97" s="172">
        <f t="shared" si="42"/>
        <v>10</v>
      </c>
      <c r="AI97" s="221">
        <f t="shared" si="43"/>
        <v>4.0083460042147205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47567</v>
      </c>
      <c r="B98" s="406">
        <f>'2029'!Wh/'2029'!Env_an*'2030'!Env_an</f>
        <v>157.89427621506465</v>
      </c>
      <c r="C98" s="831"/>
      <c r="D98" s="388">
        <f t="shared" si="25"/>
        <v>164.83599275931729</v>
      </c>
      <c r="E98" s="380">
        <f t="shared" si="47"/>
        <v>172.85652205156919</v>
      </c>
      <c r="F98" s="380">
        <f t="shared" si="26"/>
        <v>172.85989912359133</v>
      </c>
      <c r="G98" s="110">
        <f t="shared" si="48"/>
        <v>0.82620868578110784</v>
      </c>
      <c r="H98" s="409" t="b">
        <f>Wh_hp&gt;='2029'!Maxi_hp</f>
        <v>0</v>
      </c>
      <c r="I98" s="385">
        <f>IF(H98,Wh_hp,'2029'!Maxi_hp)</f>
        <v>172.86097391722259</v>
      </c>
      <c r="J98" s="85">
        <f>IF(H98,An,'2029'!An_max)</f>
        <v>2022</v>
      </c>
      <c r="K98" s="193">
        <f t="shared" si="27"/>
        <v>47567</v>
      </c>
      <c r="L98" s="143">
        <f>IF(t&lt;Tvie,1-EXP((T0-t)*PertePVj)+'2029'!Pspv,1-EXP((T0-t)*PertePVj)+Pspv)</f>
        <v>4.2112868846481133E-2</v>
      </c>
      <c r="M98" s="835"/>
      <c r="N98" s="835"/>
      <c r="O98" s="48">
        <f>IF(t&lt;Tnet,'2029'!Resal+('2029'!Salim-'2029'!Resal)*(1-EXP(('2029'!Tnet-t)/('2029'!Tau_j))),Resal+(Salim-Resal)*(1-EXP((Tnet-t)/(Tau_j))))*Salcycl</f>
        <v>4.6399922878577179E-2</v>
      </c>
      <c r="P98" s="165">
        <f>(INDEX(Models!$BJ98:$BT98,,T98)*(1-R98)+INDEX(Models!$BJ98:$BT98,,T98+1)*R98-ERP_i)*Q98*Ramure*Pc/MaxiM</f>
        <v>2.5988528832829167E-5</v>
      </c>
      <c r="Q98" s="301">
        <f t="shared" si="28"/>
        <v>0.5</v>
      </c>
      <c r="R98" s="173">
        <f t="shared" si="29"/>
        <v>0.48414389467598928</v>
      </c>
      <c r="S98" s="801">
        <f t="shared" si="30"/>
        <v>0</v>
      </c>
      <c r="T98" s="172">
        <f t="shared" si="31"/>
        <v>6</v>
      </c>
      <c r="U98" s="247">
        <f t="shared" si="32"/>
        <v>0.48414389467598928</v>
      </c>
      <c r="V98" s="378">
        <f t="shared" si="33"/>
        <v>191.10578255726628</v>
      </c>
      <c r="W98" s="397">
        <f t="shared" si="34"/>
        <v>157.89427621506465</v>
      </c>
      <c r="X98" s="153">
        <f t="shared" si="35"/>
        <v>47567</v>
      </c>
      <c r="Y98" s="380">
        <f t="shared" si="36"/>
        <v>154.79050487187448</v>
      </c>
      <c r="Z98" s="380">
        <f t="shared" si="37"/>
        <v>161.59576617912248</v>
      </c>
      <c r="AA98" s="381">
        <f t="shared" si="38"/>
        <v>172.82413451842692</v>
      </c>
      <c r="AB98" s="193">
        <f t="shared" si="39"/>
        <v>47567</v>
      </c>
      <c r="AC98" s="119">
        <f>IF(OR(t&lt;Tnet,NoTnet),'2029'!Resal_s+('2029'!Salim-'2029'!Resal_s)*(1-EXP(('2029'!Tnet_s-t)/'2029'!Tau_j)),Resal_s+(Salim-Resal_s)*(1-EXP((Tnet_s-t)/Tau_j)))*Salcycl</f>
        <v>6.4969909269860918E-2</v>
      </c>
      <c r="AD98" s="227">
        <f>(INDEX(Models!$BJ98:$BT98,,AH98)*(1-AF98)+INDEX(Models!$BJ98:$BT98,,AH98+1)*AF98-ERP_i)*AE98*Ramure*Pc/MaxiM</f>
        <v>2.7522938996105617E-4</v>
      </c>
      <c r="AE98" s="301">
        <f t="shared" si="40"/>
        <v>0.5</v>
      </c>
      <c r="AF98" s="173">
        <f t="shared" si="41"/>
        <v>9.1314610499670934E-3</v>
      </c>
      <c r="AG98" s="801">
        <f t="shared" si="49"/>
        <v>4</v>
      </c>
      <c r="AH98" s="172">
        <f t="shared" si="42"/>
        <v>10</v>
      </c>
      <c r="AI98" s="221">
        <f t="shared" si="43"/>
        <v>4.0091314610499671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47568</v>
      </c>
      <c r="B99" s="406">
        <f>'2029'!Wh/'2029'!Env_an*'2030'!Env_an</f>
        <v>174.09179099433413</v>
      </c>
      <c r="C99" s="831"/>
      <c r="D99" s="388">
        <f t="shared" si="25"/>
        <v>181.7481084517039</v>
      </c>
      <c r="E99" s="380">
        <f t="shared" si="47"/>
        <v>190.59970730518876</v>
      </c>
      <c r="F99" s="380">
        <f t="shared" si="26"/>
        <v>190.60406261366052</v>
      </c>
      <c r="G99" s="110">
        <f t="shared" si="48"/>
        <v>0.90538100370577057</v>
      </c>
      <c r="H99" s="409" t="b">
        <f>Wh_hp&gt;='2029'!Maxi_hp</f>
        <v>0</v>
      </c>
      <c r="I99" s="385">
        <f>IF(H99,Wh_hp,'2029'!Maxi_hp)</f>
        <v>190.60471742459274</v>
      </c>
      <c r="J99" s="85">
        <f>IF(H99,An,'2029'!An_max)</f>
        <v>2022</v>
      </c>
      <c r="K99" s="193">
        <f t="shared" si="27"/>
        <v>47568</v>
      </c>
      <c r="L99" s="143">
        <f>IF(t&lt;Tvie,1-EXP((T0-t)*PertePVj)+'2029'!Pspv,1-EXP((T0-t)*PertePVj)+Pspv)</f>
        <v>4.2125981516909605E-2</v>
      </c>
      <c r="M99" s="835"/>
      <c r="N99" s="835"/>
      <c r="O99" s="48">
        <f>IF(t&lt;Tnet,'2029'!Resal+('2029'!Salim-'2029'!Resal)*(1-EXP(('2029'!Tnet-t)/('2029'!Tau_j))),Resal+(Salim-Resal)*(1-EXP((Tnet-t)/(Tau_j))))*Salcycl</f>
        <v>4.6440778837669741E-2</v>
      </c>
      <c r="P99" s="165">
        <f>(INDEX(Models!$BJ99:$BT99,,T99)*(1-R99)+INDEX(Models!$BJ99:$BT99,,T99+1)*R99-ERP_i)*Q99*Ramure*Pc/MaxiM</f>
        <v>2.6421270551873531E-5</v>
      </c>
      <c r="Q99" s="301">
        <f t="shared" si="28"/>
        <v>0.5</v>
      </c>
      <c r="R99" s="173">
        <f t="shared" si="29"/>
        <v>0.48495958067739287</v>
      </c>
      <c r="S99" s="801">
        <f t="shared" si="30"/>
        <v>0</v>
      </c>
      <c r="T99" s="172">
        <f t="shared" si="31"/>
        <v>6</v>
      </c>
      <c r="U99" s="247">
        <f t="shared" si="32"/>
        <v>0.48495958067739287</v>
      </c>
      <c r="V99" s="378">
        <f t="shared" si="33"/>
        <v>192.28498117790105</v>
      </c>
      <c r="W99" s="397">
        <f t="shared" si="34"/>
        <v>174.09179099433413</v>
      </c>
      <c r="X99" s="153">
        <f t="shared" si="35"/>
        <v>47568</v>
      </c>
      <c r="Y99" s="380">
        <f t="shared" si="36"/>
        <v>170.66777840004337</v>
      </c>
      <c r="Z99" s="380">
        <f t="shared" si="37"/>
        <v>178.1735124941759</v>
      </c>
      <c r="AA99" s="381">
        <f t="shared" si="38"/>
        <v>190.55827694234679</v>
      </c>
      <c r="AB99" s="193">
        <f t="shared" si="39"/>
        <v>47568</v>
      </c>
      <c r="AC99" s="119">
        <f>IF(OR(t&lt;Tnet,NoTnet),'2029'!Resal_s+('2029'!Salim-'2029'!Resal_s)*(1-EXP(('2029'!Tnet_s-t)/'2029'!Tau_j)),Resal_s+(Salim-Resal_s)*(1-EXP((Tnet_s-t)/Tau_j)))*Salcycl</f>
        <v>6.4992004791887922E-2</v>
      </c>
      <c r="AD99" s="227">
        <f>(INDEX(Models!$BJ99:$BT99,,AH99)*(1-AF99)+INDEX(Models!$BJ99:$BT99,,AH99+1)*AF99-ERP_i)*AE99*Ramure*Pc/MaxiM</f>
        <v>2.7775658533070902E-4</v>
      </c>
      <c r="AE99" s="301">
        <f t="shared" si="40"/>
        <v>0.5</v>
      </c>
      <c r="AF99" s="173">
        <f t="shared" si="41"/>
        <v>9.9471470513714522E-3</v>
      </c>
      <c r="AG99" s="801">
        <f t="shared" si="49"/>
        <v>4</v>
      </c>
      <c r="AH99" s="172">
        <f t="shared" si="42"/>
        <v>10</v>
      </c>
      <c r="AI99" s="221">
        <f t="shared" si="43"/>
        <v>4.0099471470513715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47569</v>
      </c>
      <c r="B100" s="406">
        <f>'2029'!Wh/'2029'!Env_an*'2030'!Env_an</f>
        <v>175.98813234024746</v>
      </c>
      <c r="C100" s="831"/>
      <c r="D100" s="388">
        <f t="shared" si="25"/>
        <v>183.73036339546286</v>
      </c>
      <c r="E100" s="380">
        <f t="shared" si="47"/>
        <v>192.68682089465372</v>
      </c>
      <c r="F100" s="380">
        <f t="shared" si="26"/>
        <v>192.69133232043018</v>
      </c>
      <c r="G100" s="110">
        <f t="shared" si="48"/>
        <v>0.90973444872118059</v>
      </c>
      <c r="H100" s="409" t="b">
        <f>Wh_hp&gt;='2029'!Maxi_hp</f>
        <v>0</v>
      </c>
      <c r="I100" s="385">
        <f>IF(H100,Wh_hp,'2029'!Maxi_hp)</f>
        <v>192.69197360418002</v>
      </c>
      <c r="J100" s="85">
        <f>IF(H100,An,'2029'!An_max)</f>
        <v>2022</v>
      </c>
      <c r="K100" s="193">
        <f t="shared" si="27"/>
        <v>47569</v>
      </c>
      <c r="L100" s="143">
        <f>IF(t&lt;Tvie,1-EXP((T0-t)*PertePVj)+'2029'!Pspv,1-EXP((T0-t)*PertePVj)+Pspv)</f>
        <v>4.2139094007836664E-2</v>
      </c>
      <c r="M100" s="835"/>
      <c r="N100" s="835"/>
      <c r="O100" s="48">
        <f>IF(t&lt;Tnet,'2029'!Resal+('2029'!Salim-'2029'!Resal)*(1-EXP(('2029'!Tnet-t)/('2029'!Tau_j))),Resal+(Salim-Resal)*(1-EXP((Tnet-t)/(Tau_j))))*Salcycl</f>
        <v>4.648194130561515E-2</v>
      </c>
      <c r="P100" s="165">
        <f>(INDEX(Models!$BJ100:$BT100,,T100)*(1-R100)+INDEX(Models!$BJ100:$BT100,,T100+1)*R100-ERP_i)*Q100*Ramure*Pc/MaxiM</f>
        <v>2.6878603369117611E-5</v>
      </c>
      <c r="Q100" s="301">
        <f t="shared" si="28"/>
        <v>0.5</v>
      </c>
      <c r="R100" s="173">
        <f t="shared" si="29"/>
        <v>0.48580654584535748</v>
      </c>
      <c r="S100" s="801">
        <f t="shared" si="30"/>
        <v>0</v>
      </c>
      <c r="T100" s="172">
        <f t="shared" si="31"/>
        <v>6</v>
      </c>
      <c r="U100" s="247">
        <f t="shared" si="32"/>
        <v>0.48580654584535748</v>
      </c>
      <c r="V100" s="378">
        <f t="shared" si="33"/>
        <v>193.44933306283991</v>
      </c>
      <c r="W100" s="397">
        <f t="shared" si="34"/>
        <v>175.98813234024746</v>
      </c>
      <c r="X100" s="153">
        <f t="shared" si="35"/>
        <v>47569</v>
      </c>
      <c r="Y100" s="380">
        <f t="shared" si="36"/>
        <v>172.52947360009605</v>
      </c>
      <c r="Z100" s="380">
        <f t="shared" si="37"/>
        <v>180.11954817321629</v>
      </c>
      <c r="AA100" s="381">
        <f t="shared" si="38"/>
        <v>192.64422818684432</v>
      </c>
      <c r="AB100" s="193">
        <f t="shared" si="39"/>
        <v>47569</v>
      </c>
      <c r="AC100" s="119">
        <f>IF(OR(t&lt;Tnet,NoTnet),'2029'!Resal_s+('2029'!Salim-'2029'!Resal_s)*(1-EXP(('2029'!Tnet_s-t)/'2029'!Tau_j)),Resal_s+(Salim-Resal_s)*(1-EXP((Tnet_s-t)/Tau_j)))*Salcycl</f>
        <v>6.501456146135054E-2</v>
      </c>
      <c r="AD100" s="227">
        <f>(INDEX(Models!$BJ100:$BT100,,AH100)*(1-AF100)+INDEX(Models!$BJ100:$BT100,,AH100+1)*AF100-ERP_i)*AE100*Ramure*Pc/MaxiM</f>
        <v>2.8064150590839453E-4</v>
      </c>
      <c r="AE100" s="301">
        <f t="shared" si="40"/>
        <v>0.5</v>
      </c>
      <c r="AF100" s="173">
        <f t="shared" si="41"/>
        <v>1.0794112219335794E-2</v>
      </c>
      <c r="AG100" s="801">
        <f t="shared" si="49"/>
        <v>4</v>
      </c>
      <c r="AH100" s="172">
        <f t="shared" si="42"/>
        <v>10</v>
      </c>
      <c r="AI100" s="221">
        <f t="shared" si="43"/>
        <v>4.0107941122193358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47570</v>
      </c>
      <c r="B101" s="406">
        <f>'2029'!Wh/'2029'!Env_an*'2030'!Env_an</f>
        <v>138.76394900742059</v>
      </c>
      <c r="C101" s="831"/>
      <c r="D101" s="388">
        <f t="shared" si="25"/>
        <v>144.87056286280142</v>
      </c>
      <c r="E101" s="380">
        <f t="shared" si="47"/>
        <v>151.9393000747894</v>
      </c>
      <c r="F101" s="380">
        <f t="shared" si="26"/>
        <v>151.94175045413959</v>
      </c>
      <c r="G101" s="110">
        <f t="shared" si="48"/>
        <v>0.71308064079231182</v>
      </c>
      <c r="H101" s="409" t="b">
        <f>Wh_hp&gt;='2029'!Maxi_hp</f>
        <v>0</v>
      </c>
      <c r="I101" s="385">
        <f>IF(H101,Wh_hp,'2029'!Maxi_hp)</f>
        <v>151.9433815966527</v>
      </c>
      <c r="J101" s="85">
        <f>IF(H101,An,'2029'!An_max)</f>
        <v>2022</v>
      </c>
      <c r="K101" s="193">
        <f t="shared" si="27"/>
        <v>47570</v>
      </c>
      <c r="L101" s="143">
        <f>IF(t&lt;Tvie,1-EXP((T0-t)*PertePVj)+'2029'!Pspv,1-EXP((T0-t)*PertePVj)+Pspv)</f>
        <v>4.2152206319264751E-2</v>
      </c>
      <c r="M101" s="835"/>
      <c r="N101" s="835"/>
      <c r="O101" s="48">
        <f>IF(t&lt;Tnet,'2029'!Resal+('2029'!Salim-'2029'!Resal)*(1-EXP(('2029'!Tnet-t)/('2029'!Tau_j))),Resal+(Salim-Resal)*(1-EXP((Tnet-t)/(Tau_j))))*Salcycl</f>
        <v>4.6523428819986098E-2</v>
      </c>
      <c r="P101" s="165">
        <f>(INDEX(Models!$BJ101:$BT101,,T101)*(1-R101)+INDEX(Models!$BJ101:$BT101,,T101+1)*R101-ERP_i)*Q101*Ramure*Pc/MaxiM</f>
        <v>2.7328198205199523E-5</v>
      </c>
      <c r="Q101" s="301">
        <f t="shared" si="28"/>
        <v>0.5</v>
      </c>
      <c r="R101" s="173">
        <f t="shared" si="29"/>
        <v>0.48668586739502168</v>
      </c>
      <c r="S101" s="801">
        <f t="shared" si="30"/>
        <v>0</v>
      </c>
      <c r="T101" s="172">
        <f t="shared" si="31"/>
        <v>6</v>
      </c>
      <c r="U101" s="247">
        <f t="shared" si="32"/>
        <v>0.48668586739502168</v>
      </c>
      <c r="V101" s="378">
        <f t="shared" si="33"/>
        <v>194.59565543546225</v>
      </c>
      <c r="W101" s="397">
        <f t="shared" si="34"/>
        <v>138.76394900742059</v>
      </c>
      <c r="X101" s="153">
        <f t="shared" si="35"/>
        <v>47570</v>
      </c>
      <c r="Y101" s="380">
        <f t="shared" si="36"/>
        <v>136.04892590858009</v>
      </c>
      <c r="Z101" s="380">
        <f t="shared" si="37"/>
        <v>142.03605917990683</v>
      </c>
      <c r="AA101" s="381">
        <f t="shared" si="38"/>
        <v>151.91633358426941</v>
      </c>
      <c r="AB101" s="193">
        <f t="shared" si="39"/>
        <v>47570</v>
      </c>
      <c r="AC101" s="119">
        <f>IF(OR(t&lt;Tnet,NoTnet),'2029'!Resal_s+('2029'!Salim-'2029'!Resal_s)*(1-EXP(('2029'!Tnet_s-t)/'2029'!Tau_j)),Resal_s+(Salim-Resal_s)*(1-EXP((Tnet_s-t)/Tau_j)))*Salcycl</f>
        <v>6.5037604392169698E-2</v>
      </c>
      <c r="AD101" s="227">
        <f>(INDEX(Models!$BJ101:$BT101,,AH101)*(1-AF101)+INDEX(Models!$BJ101:$BT101,,AH101+1)*AF101-ERP_i)*AE101*Ramure*Pc/MaxiM</f>
        <v>2.8346519387378893E-4</v>
      </c>
      <c r="AE101" s="301">
        <f t="shared" si="40"/>
        <v>0.5</v>
      </c>
      <c r="AF101" s="173">
        <f t="shared" si="41"/>
        <v>1.1673433768999431E-2</v>
      </c>
      <c r="AG101" s="801">
        <f t="shared" si="49"/>
        <v>4</v>
      </c>
      <c r="AH101" s="172">
        <f t="shared" si="42"/>
        <v>10</v>
      </c>
      <c r="AI101" s="221">
        <f t="shared" si="43"/>
        <v>4.0116734337689994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47571</v>
      </c>
      <c r="B102" s="406">
        <f>'2029'!Wh/'2029'!Env_an*'2030'!Env_an</f>
        <v>109.11399035782175</v>
      </c>
      <c r="C102" s="831"/>
      <c r="D102" s="388">
        <f t="shared" si="25"/>
        <v>113.91735177242292</v>
      </c>
      <c r="E102" s="380">
        <f t="shared" si="47"/>
        <v>119.48101634095988</v>
      </c>
      <c r="F102" s="380">
        <f t="shared" si="26"/>
        <v>119.48223694060049</v>
      </c>
      <c r="G102" s="110">
        <f t="shared" si="48"/>
        <v>0.55748851011868128</v>
      </c>
      <c r="H102" s="409" t="b">
        <f>Wh_hp&gt;='2029'!Maxi_hp</f>
        <v>0</v>
      </c>
      <c r="I102" s="385">
        <f>IF(H102,Wh_hp,'2029'!Maxi_hp)</f>
        <v>119.48424336256193</v>
      </c>
      <c r="J102" s="85">
        <f>IF(H102,An,'2029'!An_max)</f>
        <v>2022</v>
      </c>
      <c r="K102" s="193">
        <f t="shared" si="27"/>
        <v>47571</v>
      </c>
      <c r="L102" s="143">
        <f>IF(t&lt;Tvie,1-EXP((T0-t)*PertePVj)+'2029'!Pspv,1-EXP((T0-t)*PertePVj)+Pspv)</f>
        <v>4.216531845119631E-2</v>
      </c>
      <c r="M102" s="835"/>
      <c r="N102" s="835"/>
      <c r="O102" s="48">
        <f>IF(t&lt;Tnet,'2029'!Resal+('2029'!Salim-'2029'!Resal)*(1-EXP(('2029'!Tnet-t)/('2029'!Tau_j))),Resal+(Salim-Resal)*(1-EXP((Tnet-t)/(Tau_j))))*Salcycl</f>
        <v>4.6565259812153537E-2</v>
      </c>
      <c r="P102" s="165">
        <f>(INDEX(Models!$BJ102:$BT102,,T102)*(1-R102)+INDEX(Models!$BJ102:$BT102,,T102+1)*R102-ERP_i)*Q102*Ramure*Pc/MaxiM</f>
        <v>2.7771131266795562E-5</v>
      </c>
      <c r="Q102" s="301">
        <f t="shared" si="28"/>
        <v>0.5</v>
      </c>
      <c r="R102" s="173">
        <f t="shared" si="29"/>
        <v>0.48759864967940808</v>
      </c>
      <c r="S102" s="801">
        <f t="shared" si="30"/>
        <v>0</v>
      </c>
      <c r="T102" s="172">
        <f t="shared" si="31"/>
        <v>6</v>
      </c>
      <c r="U102" s="247">
        <f t="shared" si="32"/>
        <v>0.48759864967940808</v>
      </c>
      <c r="V102" s="378">
        <f t="shared" si="33"/>
        <v>195.72075983483401</v>
      </c>
      <c r="W102" s="397">
        <f t="shared" si="34"/>
        <v>109.11399035782175</v>
      </c>
      <c r="X102" s="153">
        <f t="shared" si="35"/>
        <v>47571</v>
      </c>
      <c r="Y102" s="380">
        <f t="shared" si="36"/>
        <v>106.98708992524374</v>
      </c>
      <c r="Z102" s="380">
        <f t="shared" si="37"/>
        <v>111.69682199463406</v>
      </c>
      <c r="AA102" s="381">
        <f t="shared" si="38"/>
        <v>119.46965623468159</v>
      </c>
      <c r="AB102" s="193">
        <f t="shared" si="39"/>
        <v>47571</v>
      </c>
      <c r="AC102" s="119">
        <f>IF(OR(t&lt;Tnet,NoTnet),'2029'!Resal_s+('2029'!Salim-'2029'!Resal_s)*(1-EXP(('2029'!Tnet_s-t)/'2029'!Tau_j)),Resal_s+(Salim-Resal_s)*(1-EXP((Tnet_s-t)/Tau_j)))*Salcycl</f>
        <v>6.5061158498513447E-2</v>
      </c>
      <c r="AD102" s="227">
        <f>(INDEX(Models!$BJ102:$BT102,,AH102)*(1-AF102)+INDEX(Models!$BJ102:$BT102,,AH102+1)*AF102-ERP_i)*AE102*Ramure*Pc/MaxiM</f>
        <v>2.8623671831757154E-4</v>
      </c>
      <c r="AE102" s="301">
        <f t="shared" si="40"/>
        <v>0.5</v>
      </c>
      <c r="AF102" s="173">
        <f t="shared" si="41"/>
        <v>1.2586216053386501E-2</v>
      </c>
      <c r="AG102" s="801">
        <f t="shared" si="49"/>
        <v>4</v>
      </c>
      <c r="AH102" s="172">
        <f t="shared" si="42"/>
        <v>10</v>
      </c>
      <c r="AI102" s="221">
        <f t="shared" si="43"/>
        <v>4.0125862160533865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47572</v>
      </c>
      <c r="B103" s="406">
        <f>'2029'!Wh/'2029'!Env_an*'2030'!Env_an</f>
        <v>28.664499988202873</v>
      </c>
      <c r="C103" s="831"/>
      <c r="D103" s="388">
        <f t="shared" si="25"/>
        <v>29.926763917294455</v>
      </c>
      <c r="E103" s="380">
        <f t="shared" si="47"/>
        <v>31.389760700054172</v>
      </c>
      <c r="F103" s="380">
        <f t="shared" si="26"/>
        <v>31.389760700054172</v>
      </c>
      <c r="G103" s="110">
        <f t="shared" si="48"/>
        <v>0.14563295905333712</v>
      </c>
      <c r="H103" s="409" t="b">
        <f>Wh_hp&gt;='2029'!Maxi_hp</f>
        <v>0</v>
      </c>
      <c r="I103" s="385">
        <f>IF(H103,Wh_hp,'2029'!Maxi_hp)</f>
        <v>31.39060598359443</v>
      </c>
      <c r="J103" s="85">
        <f>IF(H103,An,'2029'!An_max)</f>
        <v>2022</v>
      </c>
      <c r="K103" s="193">
        <f t="shared" si="27"/>
        <v>47572</v>
      </c>
      <c r="L103" s="143">
        <f>IF(t&lt;Tvie,1-EXP((T0-t)*PertePVj)+'2029'!Pspv,1-EXP((T0-t)*PertePVj)+Pspv)</f>
        <v>4.2178430403633782E-2</v>
      </c>
      <c r="M103" s="835"/>
      <c r="N103" s="835"/>
      <c r="O103" s="48">
        <f>IF(t&lt;Tnet,'2029'!Resal+('2029'!Salim-'2029'!Resal)*(1-EXP(('2029'!Tnet-t)/('2029'!Tau_j))),Resal+(Salim-Resal)*(1-EXP((Tnet-t)/(Tau_j))))*Salcycl</f>
        <v>4.6607452561981129E-2</v>
      </c>
      <c r="P103" s="165">
        <f>(INDEX(Models!$BJ103:$BT103,,T103)*(1-R103)+INDEX(Models!$BJ103:$BT103,,T103+1)*R103-ERP_i)*Q103*Ramure*Pc/MaxiM</f>
        <v>2.8208483372177024E-5</v>
      </c>
      <c r="Q103" s="301">
        <f t="shared" si="28"/>
        <v>0.5</v>
      </c>
      <c r="R103" s="173">
        <f t="shared" si="29"/>
        <v>0.48854602403102643</v>
      </c>
      <c r="S103" s="801">
        <f t="shared" si="30"/>
        <v>0</v>
      </c>
      <c r="T103" s="172">
        <f t="shared" si="31"/>
        <v>6</v>
      </c>
      <c r="U103" s="247">
        <f t="shared" si="32"/>
        <v>0.48854602403102643</v>
      </c>
      <c r="V103" s="378">
        <f t="shared" si="33"/>
        <v>196.82145849713658</v>
      </c>
      <c r="W103" s="397">
        <f t="shared" si="34"/>
        <v>28.664499988202873</v>
      </c>
      <c r="X103" s="153">
        <f t="shared" si="35"/>
        <v>47572</v>
      </c>
      <c r="Y103" s="380">
        <f t="shared" si="36"/>
        <v>28.108950460435679</v>
      </c>
      <c r="Z103" s="380">
        <f t="shared" si="37"/>
        <v>29.346750326661592</v>
      </c>
      <c r="AA103" s="381">
        <f t="shared" si="38"/>
        <v>31.389760700054172</v>
      </c>
      <c r="AB103" s="193">
        <f t="shared" si="39"/>
        <v>47572</v>
      </c>
      <c r="AC103" s="119">
        <f>IF(OR(t&lt;Tnet,NoTnet),'2029'!Resal_s+('2029'!Salim-'2029'!Resal_s)*(1-EXP(('2029'!Tnet_s-t)/'2029'!Tau_j)),Resal_s+(Salim-Resal_s)*(1-EXP((Tnet_s-t)/Tau_j)))*Salcycl</f>
        <v>6.5085248432271564E-2</v>
      </c>
      <c r="AD103" s="227">
        <f>(INDEX(Models!$BJ103:$BT103,,AH103)*(1-AF103)+INDEX(Models!$BJ103:$BT103,,AH103+1)*AF103-ERP_i)*AE103*Ramure*Pc/MaxiM</f>
        <v>2.8896510741741331E-4</v>
      </c>
      <c r="AE103" s="301">
        <f t="shared" si="40"/>
        <v>0.5</v>
      </c>
      <c r="AF103" s="173">
        <f t="shared" si="41"/>
        <v>1.3533590405004681E-2</v>
      </c>
      <c r="AG103" s="801">
        <f t="shared" si="49"/>
        <v>4</v>
      </c>
      <c r="AH103" s="172">
        <f t="shared" si="42"/>
        <v>10</v>
      </c>
      <c r="AI103" s="221">
        <f t="shared" si="43"/>
        <v>4.0135335904050047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47573</v>
      </c>
      <c r="B104" s="406">
        <f>'2029'!Wh/'2029'!Env_an*'2030'!Env_an</f>
        <v>82.936558280008668</v>
      </c>
      <c r="C104" s="831"/>
      <c r="D104" s="388">
        <f t="shared" si="25"/>
        <v>86.589920565619693</v>
      </c>
      <c r="E104" s="380">
        <f t="shared" si="47"/>
        <v>90.82700251777041</v>
      </c>
      <c r="F104" s="380">
        <f t="shared" si="26"/>
        <v>90.827445110955992</v>
      </c>
      <c r="G104" s="110">
        <f t="shared" si="48"/>
        <v>0.41908471431238759</v>
      </c>
      <c r="H104" s="409" t="b">
        <f>Wh_hp&gt;='2029'!Maxi_hp</f>
        <v>0</v>
      </c>
      <c r="I104" s="385">
        <f>IF(H104,Wh_hp,'2029'!Maxi_hp)</f>
        <v>90.829603999259135</v>
      </c>
      <c r="J104" s="85">
        <f>IF(H104,An,'2029'!An_max)</f>
        <v>2029</v>
      </c>
      <c r="K104" s="193">
        <f t="shared" si="27"/>
        <v>47573</v>
      </c>
      <c r="L104" s="143">
        <f>IF(t&lt;Tvie,1-EXP((T0-t)*PertePVj)+'2029'!Pspv,1-EXP((T0-t)*PertePVj)+Pspv)</f>
        <v>4.2191542176579611E-2</v>
      </c>
      <c r="M104" s="835"/>
      <c r="N104" s="835"/>
      <c r="O104" s="48">
        <f>IF(t&lt;Tnet,'2029'!Resal+('2029'!Salim-'2029'!Resal)*(1-EXP(('2029'!Tnet-t)/('2029'!Tau_j))),Resal+(Salim-Resal)*(1-EXP((Tnet-t)/(Tau_j))))*Salcycl</f>
        <v>4.6650025154377654E-2</v>
      </c>
      <c r="P104" s="165">
        <f>(INDEX(Models!$BJ104:$BT104,,T104)*(1-R104)+INDEX(Models!$BJ104:$BT104,,T104+1)*R104-ERP_i)*Q104*Ramure*Pc/MaxiM</f>
        <v>2.8641339103073E-5</v>
      </c>
      <c r="Q104" s="301">
        <f t="shared" si="28"/>
        <v>0.5</v>
      </c>
      <c r="R104" s="173">
        <f t="shared" si="29"/>
        <v>0.4895291485146907</v>
      </c>
      <c r="S104" s="801">
        <f t="shared" si="30"/>
        <v>0</v>
      </c>
      <c r="T104" s="172">
        <f t="shared" si="31"/>
        <v>6</v>
      </c>
      <c r="U104" s="247">
        <f t="shared" si="32"/>
        <v>0.4895291485146907</v>
      </c>
      <c r="V104" s="378">
        <f t="shared" si="33"/>
        <v>197.89456442967585</v>
      </c>
      <c r="W104" s="397">
        <f t="shared" si="34"/>
        <v>82.936558280008668</v>
      </c>
      <c r="X104" s="153">
        <f t="shared" si="35"/>
        <v>47573</v>
      </c>
      <c r="Y104" s="380">
        <f t="shared" si="36"/>
        <v>81.327004520736665</v>
      </c>
      <c r="Z104" s="380">
        <f t="shared" si="37"/>
        <v>84.909465829471671</v>
      </c>
      <c r="AA104" s="381">
        <f t="shared" si="38"/>
        <v>90.822938113640632</v>
      </c>
      <c r="AB104" s="193">
        <f t="shared" si="39"/>
        <v>47573</v>
      </c>
      <c r="AC104" s="119">
        <f>IF(OR(t&lt;Tnet,NoTnet),'2029'!Resal_s+('2029'!Salim-'2029'!Resal_s)*(1-EXP(('2029'!Tnet_s-t)/'2029'!Tau_j)),Resal_s+(Salim-Resal_s)*(1-EXP((Tnet_s-t)/Tau_j)))*Salcycl</f>
        <v>6.5109898523320553E-2</v>
      </c>
      <c r="AD104" s="227">
        <f>(INDEX(Models!$BJ104:$BT104,,AH104)*(1-AF104)+INDEX(Models!$BJ104:$BT104,,AH104+1)*AF104-ERP_i)*AE104*Ramure*Pc/MaxiM</f>
        <v>2.9165934462938384E-4</v>
      </c>
      <c r="AE104" s="301">
        <f t="shared" si="40"/>
        <v>0.5</v>
      </c>
      <c r="AF104" s="173">
        <f t="shared" si="41"/>
        <v>1.451671488866868E-2</v>
      </c>
      <c r="AG104" s="801">
        <f t="shared" si="49"/>
        <v>4</v>
      </c>
      <c r="AH104" s="172">
        <f t="shared" si="42"/>
        <v>10</v>
      </c>
      <c r="AI104" s="221">
        <f t="shared" si="43"/>
        <v>4.0145167148886687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47574</v>
      </c>
      <c r="B105" s="406">
        <f>'2029'!Wh/'2029'!Env_an*'2030'!Env_an</f>
        <v>140.7803874696672</v>
      </c>
      <c r="C105" s="831"/>
      <c r="D105" s="388">
        <f t="shared" si="25"/>
        <v>146.98378732346259</v>
      </c>
      <c r="E105" s="380">
        <f t="shared" si="47"/>
        <v>154.18305605647743</v>
      </c>
      <c r="F105" s="380">
        <f t="shared" si="26"/>
        <v>154.18566644184889</v>
      </c>
      <c r="G105" s="110">
        <f t="shared" si="48"/>
        <v>0.70765496177337228</v>
      </c>
      <c r="H105" s="409" t="b">
        <f>Wh_hp&gt;='2029'!Maxi_hp</f>
        <v>0</v>
      </c>
      <c r="I105" s="385">
        <f>IF(H105,Wh_hp,'2029'!Maxi_hp)</f>
        <v>154.18753506658047</v>
      </c>
      <c r="J105" s="85">
        <f>IF(H105,An,'2029'!An_max)</f>
        <v>2029</v>
      </c>
      <c r="K105" s="193">
        <f t="shared" si="27"/>
        <v>47574</v>
      </c>
      <c r="L105" s="143">
        <f>IF(t&lt;Tvie,1-EXP((T0-t)*PertePVj)+'2029'!Pspv,1-EXP((T0-t)*PertePVj)+Pspv)</f>
        <v>4.2204653770036349E-2</v>
      </c>
      <c r="M105" s="835"/>
      <c r="N105" s="835"/>
      <c r="O105" s="48">
        <f>IF(t&lt;Tnet,'2029'!Resal+('2029'!Salim-'2029'!Resal)*(1-EXP(('2029'!Tnet-t)/('2029'!Tau_j))),Resal+(Salim-Resal)*(1-EXP((Tnet-t)/(Tau_j))))*Salcycl</f>
        <v>4.6692995437694146E-2</v>
      </c>
      <c r="P105" s="165">
        <f>(INDEX(Models!$BJ105:$BT105,,T105)*(1-R105)+INDEX(Models!$BJ105:$BT105,,T105+1)*R105-ERP_i)*Q105*Ramure*Pc/MaxiM</f>
        <v>2.9070786327870866E-5</v>
      </c>
      <c r="Q105" s="301">
        <f t="shared" si="28"/>
        <v>0.5</v>
      </c>
      <c r="R105" s="173">
        <f t="shared" si="29"/>
        <v>0.49054920758397591</v>
      </c>
      <c r="S105" s="801">
        <f t="shared" si="30"/>
        <v>0</v>
      </c>
      <c r="T105" s="172">
        <f t="shared" si="31"/>
        <v>6</v>
      </c>
      <c r="U105" s="247">
        <f t="shared" si="32"/>
        <v>0.49054920758397591</v>
      </c>
      <c r="V105" s="378">
        <f t="shared" si="33"/>
        <v>198.93689139614062</v>
      </c>
      <c r="W105" s="397">
        <f t="shared" si="34"/>
        <v>140.7803874696672</v>
      </c>
      <c r="X105" s="153">
        <f t="shared" si="35"/>
        <v>47574</v>
      </c>
      <c r="Y105" s="380">
        <f t="shared" si="36"/>
        <v>138.03560247668983</v>
      </c>
      <c r="Z105" s="380">
        <f t="shared" si="37"/>
        <v>144.11805509394063</v>
      </c>
      <c r="AA105" s="381">
        <f t="shared" si="38"/>
        <v>154.15923748813736</v>
      </c>
      <c r="AB105" s="193">
        <f t="shared" si="39"/>
        <v>47574</v>
      </c>
      <c r="AC105" s="119">
        <f>IF(OR(t&lt;Tnet,NoTnet),'2029'!Resal_s+('2029'!Salim-'2029'!Resal_s)*(1-EXP(('2029'!Tnet_s-t)/'2029'!Tau_j)),Resal_s+(Salim-Resal_s)*(1-EXP((Tnet_s-t)/Tau_j)))*Salcycl</f>
        <v>6.5135132722548644E-2</v>
      </c>
      <c r="AD105" s="227">
        <f>(INDEX(Models!$BJ105:$BT105,,AH105)*(1-AF105)+INDEX(Models!$BJ105:$BT105,,AH105+1)*AF105-ERP_i)*AE105*Ramure*Pc/MaxiM</f>
        <v>2.9432836799378204E-4</v>
      </c>
      <c r="AE105" s="301">
        <f t="shared" si="40"/>
        <v>0.5</v>
      </c>
      <c r="AF105" s="173">
        <f t="shared" si="41"/>
        <v>1.553677395795372E-2</v>
      </c>
      <c r="AG105" s="801">
        <f t="shared" si="49"/>
        <v>4</v>
      </c>
      <c r="AH105" s="172">
        <f t="shared" si="42"/>
        <v>10</v>
      </c>
      <c r="AI105" s="221">
        <f t="shared" si="43"/>
        <v>4.0155367739579537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47575</v>
      </c>
      <c r="B106" s="406">
        <f>'2029'!Wh/'2029'!Env_an*'2030'!Env_an</f>
        <v>68.867680913007277</v>
      </c>
      <c r="C106" s="831"/>
      <c r="D106" s="388">
        <f t="shared" si="25"/>
        <v>71.903276558724158</v>
      </c>
      <c r="E106" s="380">
        <f t="shared" si="47"/>
        <v>75.428533224565115</v>
      </c>
      <c r="F106" s="380">
        <f t="shared" si="26"/>
        <v>75.428674456315164</v>
      </c>
      <c r="G106" s="110">
        <f t="shared" si="48"/>
        <v>0.34442317103808961</v>
      </c>
      <c r="H106" s="409" t="b">
        <f>Wh_hp&gt;='2029'!Maxi_hp</f>
        <v>0</v>
      </c>
      <c r="I106" s="385">
        <f>IF(H106,Wh_hp,'2029'!Maxi_hp)</f>
        <v>75.430750667202759</v>
      </c>
      <c r="J106" s="85">
        <f>IF(H106,An,'2029'!An_max)</f>
        <v>2029</v>
      </c>
      <c r="K106" s="193">
        <f t="shared" si="27"/>
        <v>47575</v>
      </c>
      <c r="L106" s="143">
        <f>IF(t&lt;Tvie,1-EXP((T0-t)*PertePVj)+'2029'!Pspv,1-EXP((T0-t)*PertePVj)+Pspv)</f>
        <v>4.2217765184006328E-2</v>
      </c>
      <c r="M106" s="835"/>
      <c r="N106" s="835"/>
      <c r="O106" s="48">
        <f>IF(t&lt;Tnet,'2029'!Resal+('2029'!Salim-'2029'!Resal)*(1-EXP(('2029'!Tnet-t)/('2029'!Tau_j))),Resal+(Salim-Resal)*(1-EXP((Tnet-t)/(Tau_j))))*Salcycl</f>
        <v>4.6736380983912272E-2</v>
      </c>
      <c r="P106" s="165">
        <f>(INDEX(Models!$BJ106:$BT106,,T106)*(1-R106)+INDEX(Models!$BJ106:$BT106,,T106+1)*R106-ERP_i)*Q106*Ramure*Pc/MaxiM</f>
        <v>2.9497916064054767E-5</v>
      </c>
      <c r="Q106" s="301">
        <f t="shared" si="28"/>
        <v>0.5</v>
      </c>
      <c r="R106" s="173">
        <f t="shared" si="29"/>
        <v>0.49160741163341526</v>
      </c>
      <c r="S106" s="801">
        <f t="shared" si="30"/>
        <v>0</v>
      </c>
      <c r="T106" s="172">
        <f t="shared" si="31"/>
        <v>6</v>
      </c>
      <c r="U106" s="247">
        <f t="shared" si="32"/>
        <v>0.49160741163341526</v>
      </c>
      <c r="V106" s="378">
        <f t="shared" si="33"/>
        <v>199.94525396138957</v>
      </c>
      <c r="W106" s="397">
        <f t="shared" si="34"/>
        <v>68.867680913007277</v>
      </c>
      <c r="X106" s="153">
        <f t="shared" si="35"/>
        <v>47575</v>
      </c>
      <c r="Y106" s="380">
        <f t="shared" si="36"/>
        <v>67.535465888212059</v>
      </c>
      <c r="Z106" s="380">
        <f t="shared" si="37"/>
        <v>70.512339270091786</v>
      </c>
      <c r="AA106" s="381">
        <f t="shared" si="38"/>
        <v>75.42725255395186</v>
      </c>
      <c r="AB106" s="193">
        <f t="shared" si="39"/>
        <v>47575</v>
      </c>
      <c r="AC106" s="119">
        <f>IF(OR(t&lt;Tnet,NoTnet),'2029'!Resal_s+('2029'!Salim-'2029'!Resal_s)*(1-EXP(('2029'!Tnet_s-t)/'2029'!Tau_j)),Resal_s+(Salim-Resal_s)*(1-EXP((Tnet_s-t)/Tau_j)))*Salcycl</f>
        <v>6.5160974547555164E-2</v>
      </c>
      <c r="AD106" s="227">
        <f>(INDEX(Models!$BJ106:$BT106,,AH106)*(1-AF106)+INDEX(Models!$BJ106:$BT106,,AH106+1)*AF106-ERP_i)*AE106*Ramure*Pc/MaxiM</f>
        <v>2.9698107223102214E-4</v>
      </c>
      <c r="AE106" s="301">
        <f t="shared" si="40"/>
        <v>0.5</v>
      </c>
      <c r="AF106" s="173">
        <f t="shared" si="41"/>
        <v>1.6594978007393735E-2</v>
      </c>
      <c r="AG106" s="801">
        <f t="shared" si="49"/>
        <v>4</v>
      </c>
      <c r="AH106" s="172">
        <f t="shared" si="42"/>
        <v>10</v>
      </c>
      <c r="AI106" s="221">
        <f t="shared" si="43"/>
        <v>4.0165949780073937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47576</v>
      </c>
      <c r="B107" s="406">
        <f>'2029'!Wh/'2029'!Env_an*'2030'!Env_an</f>
        <v>110.55444290027603</v>
      </c>
      <c r="C107" s="831"/>
      <c r="D107" s="388">
        <f t="shared" si="25"/>
        <v>115.4291156169931</v>
      </c>
      <c r="E107" s="380">
        <f t="shared" si="47"/>
        <v>121.09391296951486</v>
      </c>
      <c r="F107" s="380">
        <f t="shared" si="26"/>
        <v>121.09520829051989</v>
      </c>
      <c r="G107" s="110">
        <f t="shared" si="48"/>
        <v>0.55022276444240592</v>
      </c>
      <c r="H107" s="409" t="b">
        <f>Wh_hp&gt;='2029'!Maxi_hp</f>
        <v>0</v>
      </c>
      <c r="I107" s="385">
        <f>IF(H107,Wh_hp,'2029'!Maxi_hp)</f>
        <v>121.09752352431266</v>
      </c>
      <c r="J107" s="85">
        <f>IF(H107,An,'2029'!An_max)</f>
        <v>2029</v>
      </c>
      <c r="K107" s="193">
        <f t="shared" si="27"/>
        <v>47576</v>
      </c>
      <c r="L107" s="143">
        <f>IF(t&lt;Tvie,1-EXP((T0-t)*PertePVj)+'2029'!Pspv,1-EXP((T0-t)*PertePVj)+Pspv)</f>
        <v>4.2230876418492103E-2</v>
      </c>
      <c r="M107" s="835"/>
      <c r="N107" s="835"/>
      <c r="O107" s="48">
        <f>IF(t&lt;Tnet,'2029'!Resal+('2029'!Salim-'2029'!Resal)*(1-EXP(('2029'!Tnet-t)/('2029'!Tau_j))),Resal+(Salim-Resal)*(1-EXP((Tnet-t)/(Tau_j))))*Salcycl</f>
        <v>4.6780199050532462E-2</v>
      </c>
      <c r="P107" s="165">
        <f>(INDEX(Models!$BJ107:$BT107,,T107)*(1-R107)+INDEX(Models!$BJ107:$BT107,,T107+1)*R107-ERP_i)*Q107*Ramure*Pc/MaxiM</f>
        <v>2.9922874488382013E-5</v>
      </c>
      <c r="Q107" s="301">
        <f t="shared" si="28"/>
        <v>0.5</v>
      </c>
      <c r="R107" s="173">
        <f t="shared" si="29"/>
        <v>0.49270499643822885</v>
      </c>
      <c r="S107" s="801">
        <f t="shared" si="30"/>
        <v>0</v>
      </c>
      <c r="T107" s="172">
        <f t="shared" si="31"/>
        <v>6</v>
      </c>
      <c r="U107" s="247">
        <f t="shared" si="32"/>
        <v>0.49270499643822885</v>
      </c>
      <c r="V107" s="378">
        <f t="shared" si="33"/>
        <v>200.92283432200264</v>
      </c>
      <c r="W107" s="397">
        <f t="shared" si="34"/>
        <v>110.55444290027603</v>
      </c>
      <c r="X107" s="153">
        <f t="shared" si="35"/>
        <v>47576</v>
      </c>
      <c r="Y107" s="380">
        <f t="shared" si="36"/>
        <v>108.40911732660405</v>
      </c>
      <c r="Z107" s="380">
        <f t="shared" si="37"/>
        <v>113.18919628690476</v>
      </c>
      <c r="AA107" s="381">
        <f t="shared" si="38"/>
        <v>121.08223828124447</v>
      </c>
      <c r="AB107" s="193">
        <f t="shared" si="39"/>
        <v>47576</v>
      </c>
      <c r="AC107" s="119">
        <f>IF(OR(t&lt;Tnet,NoTnet),'2029'!Resal_s+('2029'!Salim-'2029'!Resal_s)*(1-EXP(('2029'!Tnet_s-t)/'2029'!Tau_j)),Resal_s+(Salim-Resal_s)*(1-EXP((Tnet_s-t)/Tau_j)))*Salcycl</f>
        <v>6.5187447030885748E-2</v>
      </c>
      <c r="AD107" s="227">
        <f>(INDEX(Models!$BJ107:$BT107,,AH107)*(1-AF107)+INDEX(Models!$BJ107:$BT107,,AH107+1)*AF107-ERP_i)*AE107*Ramure*Pc/MaxiM</f>
        <v>2.9961681942476507E-4</v>
      </c>
      <c r="AE107" s="301">
        <f t="shared" si="40"/>
        <v>0.5</v>
      </c>
      <c r="AF107" s="173">
        <f t="shared" si="41"/>
        <v>1.769256281220688E-2</v>
      </c>
      <c r="AG107" s="801">
        <f t="shared" si="49"/>
        <v>4</v>
      </c>
      <c r="AH107" s="172">
        <f t="shared" si="42"/>
        <v>10</v>
      </c>
      <c r="AI107" s="221">
        <f t="shared" si="43"/>
        <v>4.0176925628122069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47577</v>
      </c>
      <c r="B108" s="406">
        <f>'2029'!Wh/'2029'!Env_an*'2030'!Env_an</f>
        <v>168.67115183262612</v>
      </c>
      <c r="C108" s="831"/>
      <c r="D108" s="388">
        <f t="shared" si="25"/>
        <v>176.110773126531</v>
      </c>
      <c r="E108" s="380">
        <f t="shared" si="47"/>
        <v>184.76216283898881</v>
      </c>
      <c r="F108" s="380">
        <f t="shared" si="26"/>
        <v>184.76645626085315</v>
      </c>
      <c r="G108" s="110">
        <f t="shared" si="48"/>
        <v>0.83551501880725509</v>
      </c>
      <c r="H108" s="409" t="b">
        <f>Wh_hp&gt;='2029'!Maxi_hp</f>
        <v>0</v>
      </c>
      <c r="I108" s="385">
        <f>IF(H108,Wh_hp,'2029'!Maxi_hp)</f>
        <v>184.76776492355262</v>
      </c>
      <c r="J108" s="85">
        <f>IF(H108,An,'2029'!An_max)</f>
        <v>2029</v>
      </c>
      <c r="K108" s="193">
        <f t="shared" si="27"/>
        <v>47577</v>
      </c>
      <c r="L108" s="143">
        <f>IF(t&lt;Tvie,1-EXP((T0-t)*PertePVj)+'2029'!Pspv,1-EXP((T0-t)*PertePVj)+Pspv)</f>
        <v>4.2243987473496003E-2</v>
      </c>
      <c r="M108" s="835"/>
      <c r="N108" s="835"/>
      <c r="O108" s="48">
        <f>IF(t&lt;Tnet,'2029'!Resal+('2029'!Salim-'2029'!Resal)*(1-EXP(('2029'!Tnet-t)/('2029'!Tau_j))),Resal+(Salim-Resal)*(1-EXP((Tnet-t)/(Tau_j))))*Salcycl</f>
        <v>4.6824466544035125E-2</v>
      </c>
      <c r="P108" s="165">
        <f>(INDEX(Models!$BJ108:$BT108,,T108)*(1-R108)+INDEX(Models!$BJ108:$BT108,,T108+1)*R108-ERP_i)*Q108*Ramure*Pc/MaxiM</f>
        <v>3.03739995998122E-5</v>
      </c>
      <c r="Q108" s="301">
        <f t="shared" si="28"/>
        <v>0.5</v>
      </c>
      <c r="R108" s="173">
        <f t="shared" si="29"/>
        <v>0.49384322247308154</v>
      </c>
      <c r="S108" s="801">
        <f t="shared" si="30"/>
        <v>0</v>
      </c>
      <c r="T108" s="172">
        <f t="shared" si="31"/>
        <v>6</v>
      </c>
      <c r="U108" s="247">
        <f t="shared" si="32"/>
        <v>0.49384322247308154</v>
      </c>
      <c r="V108" s="378">
        <f t="shared" si="33"/>
        <v>201.87542318855211</v>
      </c>
      <c r="W108" s="397">
        <f t="shared" si="34"/>
        <v>168.67115183262612</v>
      </c>
      <c r="X108" s="153">
        <f t="shared" si="35"/>
        <v>47577</v>
      </c>
      <c r="Y108" s="380">
        <f t="shared" si="36"/>
        <v>165.38245231276699</v>
      </c>
      <c r="Z108" s="380">
        <f t="shared" si="37"/>
        <v>172.67701810244742</v>
      </c>
      <c r="AA108" s="381">
        <f t="shared" si="38"/>
        <v>184.72369492940601</v>
      </c>
      <c r="AB108" s="193">
        <f t="shared" si="39"/>
        <v>47577</v>
      </c>
      <c r="AC108" s="119">
        <f>IF(OR(t&lt;Tnet,NoTnet),'2029'!Resal_s+('2029'!Salim-'2029'!Resal_s)*(1-EXP(('2029'!Tnet_s-t)/'2029'!Tau_j)),Resal_s+(Salim-Resal_s)*(1-EXP((Tnet_s-t)/Tau_j)))*Salcycl</f>
        <v>6.5214572670616713E-2</v>
      </c>
      <c r="AD108" s="227">
        <f>(INDEX(Models!$BJ108:$BT108,,AH108)*(1-AF108)+INDEX(Models!$BJ108:$BT108,,AH108+1)*AF108-ERP_i)*AE108*Ramure*Pc/MaxiM</f>
        <v>3.0251689801364068E-4</v>
      </c>
      <c r="AE108" s="301">
        <f t="shared" si="40"/>
        <v>0.5</v>
      </c>
      <c r="AF108" s="173">
        <f t="shared" si="41"/>
        <v>1.883078884706002E-2</v>
      </c>
      <c r="AG108" s="801">
        <f t="shared" si="49"/>
        <v>4</v>
      </c>
      <c r="AH108" s="172">
        <f t="shared" si="42"/>
        <v>10</v>
      </c>
      <c r="AI108" s="221">
        <f t="shared" si="43"/>
        <v>4.01883078884706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47578</v>
      </c>
      <c r="B109" s="406">
        <f>'2029'!Wh/'2029'!Env_an*'2030'!Env_an</f>
        <v>206.66687940346077</v>
      </c>
      <c r="C109" s="831"/>
      <c r="D109" s="388">
        <f t="shared" si="25"/>
        <v>215.78534181480609</v>
      </c>
      <c r="E109" s="380">
        <f t="shared" si="47"/>
        <v>226.39635799342045</v>
      </c>
      <c r="F109" s="380">
        <f t="shared" si="26"/>
        <v>226.40334911043368</v>
      </c>
      <c r="G109" s="110">
        <f t="shared" si="48"/>
        <v>1.0190486017817741</v>
      </c>
      <c r="H109" s="409" t="b">
        <f>Wh_hp&gt;='2029'!Maxi_hp</f>
        <v>1</v>
      </c>
      <c r="I109" s="385">
        <f>IF(H109,Wh_hp,'2029'!Maxi_hp)</f>
        <v>226.40334911043368</v>
      </c>
      <c r="J109" s="85">
        <f>IF(H109,An,'2029'!An_max)</f>
        <v>2030</v>
      </c>
      <c r="K109" s="193">
        <f t="shared" si="27"/>
        <v>47578</v>
      </c>
      <c r="L109" s="143">
        <f>IF(t&lt;Tvie,1-EXP((T0-t)*PertePVj)+'2029'!Pspv,1-EXP((T0-t)*PertePVj)+Pspv)</f>
        <v>4.2257098349020694E-2</v>
      </c>
      <c r="M109" s="835"/>
      <c r="N109" s="835"/>
      <c r="O109" s="48">
        <f>IF(t&lt;Tnet,'2029'!Resal+('2029'!Salim-'2029'!Resal)*(1-EXP(('2029'!Tnet-t)/('2029'!Tau_j))),Resal+(Salim-Resal)*(1-EXP((Tnet-t)/(Tau_j))))*Salcycl</f>
        <v>4.6869199984757449E-2</v>
      </c>
      <c r="P109" s="165">
        <f>(INDEX(Models!$BJ109:$BT109,,T109)*(1-R109)+INDEX(Models!$BJ109:$BT109,,T109+1)*R109-ERP_i)*Q109*Ramure*Pc/MaxiM</f>
        <v>3.0879035317770735E-5</v>
      </c>
      <c r="Q109" s="301">
        <f t="shared" si="28"/>
        <v>0.5</v>
      </c>
      <c r="R109" s="173">
        <f t="shared" si="29"/>
        <v>0.49502337410110026</v>
      </c>
      <c r="S109" s="801">
        <f t="shared" si="30"/>
        <v>0</v>
      </c>
      <c r="T109" s="172">
        <f t="shared" si="31"/>
        <v>6</v>
      </c>
      <c r="U109" s="247">
        <f t="shared" si="32"/>
        <v>0.49502337410110026</v>
      </c>
      <c r="V109" s="378">
        <f t="shared" si="33"/>
        <v>202.80375150126332</v>
      </c>
      <c r="W109" s="397">
        <f t="shared" si="34"/>
        <v>206.66687940346077</v>
      </c>
      <c r="X109" s="153">
        <f t="shared" si="35"/>
        <v>47578</v>
      </c>
      <c r="Y109" s="380">
        <f t="shared" si="36"/>
        <v>202.6272995122296</v>
      </c>
      <c r="Z109" s="380">
        <f t="shared" si="37"/>
        <v>211.56752940996586</v>
      </c>
      <c r="AA109" s="381">
        <f t="shared" si="38"/>
        <v>226.33410349982131</v>
      </c>
      <c r="AB109" s="193">
        <f t="shared" si="39"/>
        <v>47578</v>
      </c>
      <c r="AC109" s="119">
        <f>IF(OR(t&lt;Tnet,NoTnet),'2029'!Resal_s+('2029'!Salim-'2029'!Resal_s)*(1-EXP(('2029'!Tnet_s-t)/'2029'!Tau_j)),Resal_s+(Salim-Resal_s)*(1-EXP((Tnet_s-t)/Tau_j)))*Salcycl</f>
        <v>6.5242373383059826E-2</v>
      </c>
      <c r="AD109" s="227">
        <f>(INDEX(Models!$BJ109:$BT109,,AH109)*(1-AF109)+INDEX(Models!$BJ109:$BT109,,AH109+1)*AF109-ERP_i)*AE109*Ramure*Pc/MaxiM</f>
        <v>3.0585064613417018E-4</v>
      </c>
      <c r="AE109" s="301">
        <f t="shared" si="40"/>
        <v>0.5</v>
      </c>
      <c r="AF109" s="173">
        <f t="shared" si="41"/>
        <v>2.0010940475078343E-2</v>
      </c>
      <c r="AG109" s="801">
        <f t="shared" si="49"/>
        <v>4</v>
      </c>
      <c r="AH109" s="172">
        <f t="shared" si="42"/>
        <v>10</v>
      </c>
      <c r="AI109" s="221">
        <f t="shared" si="43"/>
        <v>4.0200109404750783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47579</v>
      </c>
      <c r="B110" s="406">
        <f>'2029'!Wh/'2029'!Env_an*'2030'!Env_an</f>
        <v>51.311085750852051</v>
      </c>
      <c r="C110" s="831"/>
      <c r="D110" s="388">
        <f t="shared" si="25"/>
        <v>53.5757436340065</v>
      </c>
      <c r="E110" s="380">
        <f t="shared" si="47"/>
        <v>56.212940898266986</v>
      </c>
      <c r="F110" s="380">
        <f t="shared" si="26"/>
        <v>56.212940898266986</v>
      </c>
      <c r="G110" s="110">
        <f t="shared" si="48"/>
        <v>0.25187686625364153</v>
      </c>
      <c r="H110" s="409" t="b">
        <f>Wh_hp&gt;='2029'!Maxi_hp</f>
        <v>0</v>
      </c>
      <c r="I110" s="385">
        <f>IF(H110,Wh_hp,'2029'!Maxi_hp)</f>
        <v>56.214687180619862</v>
      </c>
      <c r="J110" s="85">
        <f>IF(H110,An,'2029'!An_max)</f>
        <v>2029</v>
      </c>
      <c r="K110" s="193">
        <f t="shared" si="27"/>
        <v>47579</v>
      </c>
      <c r="L110" s="143">
        <f>IF(t&lt;Tvie,1-EXP((T0-t)*PertePVj)+'2029'!Pspv,1-EXP((T0-t)*PertePVj)+Pspv)</f>
        <v>4.2270209045068396E-2</v>
      </c>
      <c r="M110" s="835"/>
      <c r="N110" s="835"/>
      <c r="O110" s="48">
        <f>IF(t&lt;Tnet,'2029'!Resal+('2029'!Salim-'2029'!Resal)*(1-EXP(('2029'!Tnet-t)/('2029'!Tau_j))),Resal+(Salim-Resal)*(1-EXP((Tnet-t)/(Tau_j))))*Salcycl</f>
        <v>4.6914415472999869E-2</v>
      </c>
      <c r="P110" s="165">
        <f>(INDEX(Models!$BJ110:$BT110,,T110)*(1-R110)+INDEX(Models!$BJ110:$BT110,,T110+1)*R110-ERP_i)*Q110*Ramure*Pc/MaxiM</f>
        <v>3.1438479172377388E-5</v>
      </c>
      <c r="Q110" s="301">
        <f t="shared" si="28"/>
        <v>0.5</v>
      </c>
      <c r="R110" s="173">
        <f t="shared" si="29"/>
        <v>0.49624675862414047</v>
      </c>
      <c r="S110" s="801">
        <f t="shared" si="30"/>
        <v>0</v>
      </c>
      <c r="T110" s="172">
        <f t="shared" si="31"/>
        <v>6</v>
      </c>
      <c r="U110" s="247">
        <f t="shared" si="32"/>
        <v>0.49624675862414047</v>
      </c>
      <c r="V110" s="378">
        <f t="shared" si="33"/>
        <v>203.70855557922661</v>
      </c>
      <c r="W110" s="397">
        <f t="shared" si="34"/>
        <v>51.311085750852051</v>
      </c>
      <c r="X110" s="153">
        <f t="shared" si="35"/>
        <v>47579</v>
      </c>
      <c r="Y110" s="380">
        <f t="shared" si="36"/>
        <v>50.322832805814038</v>
      </c>
      <c r="Z110" s="380">
        <f t="shared" si="37"/>
        <v>52.543873314871234</v>
      </c>
      <c r="AA110" s="381">
        <f t="shared" si="38"/>
        <v>56.212940898266986</v>
      </c>
      <c r="AB110" s="193">
        <f t="shared" si="39"/>
        <v>47579</v>
      </c>
      <c r="AC110" s="119">
        <f>IF(OR(t&lt;Tnet,NoTnet),'2029'!Resal_s+('2029'!Salim-'2029'!Resal_s)*(1-EXP(('2029'!Tnet_s-t)/'2029'!Tau_j)),Resal_s+(Salim-Resal_s)*(1-EXP((Tnet_s-t)/Tau_j)))*Salcycl</f>
        <v>6.5270870457319705E-2</v>
      </c>
      <c r="AD110" s="227">
        <f>(INDEX(Models!$BJ110:$BT110,,AH110)*(1-AF110)+INDEX(Models!$BJ110:$BT110,,AH110+1)*AF110-ERP_i)*AE110*Ramure*Pc/MaxiM</f>
        <v>3.0961791628316185E-4</v>
      </c>
      <c r="AE110" s="301">
        <f t="shared" si="40"/>
        <v>0.5</v>
      </c>
      <c r="AF110" s="173">
        <f t="shared" si="41"/>
        <v>2.1234324998118836E-2</v>
      </c>
      <c r="AG110" s="801">
        <f t="shared" si="49"/>
        <v>4</v>
      </c>
      <c r="AH110" s="172">
        <f t="shared" si="42"/>
        <v>10</v>
      </c>
      <c r="AI110" s="221">
        <f t="shared" si="43"/>
        <v>4.0212343249981188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47580</v>
      </c>
      <c r="B111" s="406">
        <f>'2029'!Wh/'2029'!Env_an*'2030'!Env_an</f>
        <v>157.6917971190947</v>
      </c>
      <c r="C111" s="831"/>
      <c r="D111" s="388">
        <f t="shared" si="25"/>
        <v>164.65391105740929</v>
      </c>
      <c r="E111" s="380">
        <f t="shared" si="47"/>
        <v>172.7670751332123</v>
      </c>
      <c r="F111" s="380">
        <f t="shared" si="26"/>
        <v>172.77079945008171</v>
      </c>
      <c r="G111" s="110">
        <f t="shared" si="48"/>
        <v>0.77075957414807295</v>
      </c>
      <c r="H111" s="409" t="b">
        <f>Wh_hp&gt;='2029'!Maxi_hp</f>
        <v>0</v>
      </c>
      <c r="I111" s="385">
        <f>IF(H111,Wh_hp,'2029'!Maxi_hp)</f>
        <v>172.77258736468227</v>
      </c>
      <c r="J111" s="85">
        <f>IF(H111,An,'2029'!An_max)</f>
        <v>2029</v>
      </c>
      <c r="K111" s="193">
        <f t="shared" si="27"/>
        <v>47580</v>
      </c>
      <c r="L111" s="143">
        <f>IF(t&lt;Tvie,1-EXP((T0-t)*PertePVj)+'2029'!Pspv,1-EXP((T0-t)*PertePVj)+Pspv)</f>
        <v>4.2283319561641775E-2</v>
      </c>
      <c r="M111" s="835"/>
      <c r="N111" s="835"/>
      <c r="O111" s="48">
        <f>IF(t&lt;Tnet,'2029'!Resal+('2029'!Salim-'2029'!Resal)*(1-EXP(('2029'!Tnet-t)/('2029'!Tau_j))),Resal+(Salim-Resal)*(1-EXP((Tnet-t)/(Tau_j))))*Salcycl</f>
        <v>4.6960128656153656E-2</v>
      </c>
      <c r="P111" s="165">
        <f>(INDEX(Models!$BJ111:$BT111,,T111)*(1-R111)+INDEX(Models!$BJ111:$BT111,,T111+1)*R111-ERP_i)*Q111*Ramure*Pc/MaxiM</f>
        <v>3.2052927133707498E-5</v>
      </c>
      <c r="Q111" s="301">
        <f t="shared" si="28"/>
        <v>0.5</v>
      </c>
      <c r="R111" s="173">
        <f t="shared" si="29"/>
        <v>0.49751470518508945</v>
      </c>
      <c r="S111" s="801">
        <f t="shared" si="30"/>
        <v>0</v>
      </c>
      <c r="T111" s="172">
        <f t="shared" si="31"/>
        <v>6</v>
      </c>
      <c r="U111" s="247">
        <f t="shared" si="32"/>
        <v>0.49751470518508945</v>
      </c>
      <c r="V111" s="378">
        <f t="shared" si="33"/>
        <v>204.59057163429333</v>
      </c>
      <c r="W111" s="397">
        <f t="shared" si="34"/>
        <v>157.6917971190947</v>
      </c>
      <c r="X111" s="153">
        <f t="shared" si="35"/>
        <v>47580</v>
      </c>
      <c r="Y111" s="380">
        <f t="shared" si="36"/>
        <v>154.62792561029195</v>
      </c>
      <c r="Z111" s="380">
        <f t="shared" si="37"/>
        <v>161.45476921161793</v>
      </c>
      <c r="AA111" s="381">
        <f t="shared" si="38"/>
        <v>172.73433594697732</v>
      </c>
      <c r="AB111" s="193">
        <f t="shared" si="39"/>
        <v>47580</v>
      </c>
      <c r="AC111" s="119">
        <f>IF(OR(t&lt;Tnet,NoTnet),'2029'!Resal_s+('2029'!Salim-'2029'!Resal_s)*(1-EXP(('2029'!Tnet_s-t)/'2029'!Tau_j)),Resal_s+(Salim-Resal_s)*(1-EXP((Tnet_s-t)/Tau_j)))*Salcycl</f>
        <v>6.5300084511406981E-2</v>
      </c>
      <c r="AD111" s="227">
        <f>(INDEX(Models!$BJ111:$BT111,,AH111)*(1-AF111)+INDEX(Models!$BJ111:$BT111,,AH111+1)*AF111-ERP_i)*AE111*Ramure*Pc/MaxiM</f>
        <v>3.1381916443289515E-4</v>
      </c>
      <c r="AE111" s="301">
        <f t="shared" si="40"/>
        <v>0.5</v>
      </c>
      <c r="AF111" s="173">
        <f t="shared" si="41"/>
        <v>2.2502271559067921E-2</v>
      </c>
      <c r="AG111" s="801">
        <f t="shared" si="49"/>
        <v>4</v>
      </c>
      <c r="AH111" s="172">
        <f t="shared" si="42"/>
        <v>10</v>
      </c>
      <c r="AI111" s="221">
        <f t="shared" si="43"/>
        <v>4.0225022715590679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47581</v>
      </c>
      <c r="B112" s="406">
        <f>'2029'!Wh/'2029'!Env_an*'2030'!Env_an</f>
        <v>125.51278833274567</v>
      </c>
      <c r="C112" s="831"/>
      <c r="D112" s="388">
        <f t="shared" si="25"/>
        <v>131.05598877476811</v>
      </c>
      <c r="E112" s="380">
        <f t="shared" si="47"/>
        <v>137.52031760195791</v>
      </c>
      <c r="F112" s="380">
        <f t="shared" si="26"/>
        <v>137.52231640833125</v>
      </c>
      <c r="G112" s="110">
        <f t="shared" si="48"/>
        <v>0.61090376276664682</v>
      </c>
      <c r="H112" s="409" t="b">
        <f>Wh_hp&gt;='2029'!Maxi_hp</f>
        <v>0</v>
      </c>
      <c r="I112" s="385">
        <f>IF(H112,Wh_hp,'2029'!Maxi_hp)</f>
        <v>137.52477670593319</v>
      </c>
      <c r="J112" s="85">
        <f>IF(H112,An,'2029'!An_max)</f>
        <v>2029</v>
      </c>
      <c r="K112" s="193">
        <f t="shared" si="27"/>
        <v>47581</v>
      </c>
      <c r="L112" s="143">
        <f>IF(t&lt;Tvie,1-EXP((T0-t)*PertePVj)+'2029'!Pspv,1-EXP((T0-t)*PertePVj)+Pspv)</f>
        <v>4.229642989874316E-2</v>
      </c>
      <c r="M112" s="835"/>
      <c r="N112" s="835"/>
      <c r="O112" s="48">
        <f>IF(t&lt;Tnet,'2029'!Resal+('2029'!Salim-'2029'!Resal)*(1-EXP(('2029'!Tnet-t)/('2029'!Tau_j))),Resal+(Salim-Resal)*(1-EXP((Tnet-t)/(Tau_j))))*Salcycl</f>
        <v>4.7006354696622343E-2</v>
      </c>
      <c r="P112" s="165">
        <f>(INDEX(Models!$BJ112:$BT112,,T112)*(1-R112)+INDEX(Models!$BJ112:$BT112,,T112+1)*R112-ERP_i)*Q112*Ramure*Pc/MaxiM</f>
        <v>3.2723073419530301E-5</v>
      </c>
      <c r="Q112" s="301">
        <f t="shared" si="28"/>
        <v>0.5</v>
      </c>
      <c r="R112" s="173">
        <f t="shared" si="29"/>
        <v>0.49882856351283306</v>
      </c>
      <c r="S112" s="801">
        <f t="shared" si="30"/>
        <v>0</v>
      </c>
      <c r="T112" s="172">
        <f t="shared" si="31"/>
        <v>6</v>
      </c>
      <c r="U112" s="247">
        <f t="shared" si="32"/>
        <v>0.49882856351283306</v>
      </c>
      <c r="V112" s="378">
        <f t="shared" si="33"/>
        <v>205.45053581251477</v>
      </c>
      <c r="W112" s="397">
        <f t="shared" si="34"/>
        <v>125.51278833274567</v>
      </c>
      <c r="X112" s="153">
        <f t="shared" si="35"/>
        <v>47581</v>
      </c>
      <c r="Y112" s="380">
        <f t="shared" si="36"/>
        <v>123.08386875907543</v>
      </c>
      <c r="Z112" s="380">
        <f t="shared" si="37"/>
        <v>128.51979735865652</v>
      </c>
      <c r="AA112" s="381">
        <f t="shared" si="38"/>
        <v>137.50286436183453</v>
      </c>
      <c r="AB112" s="193">
        <f t="shared" si="39"/>
        <v>47581</v>
      </c>
      <c r="AC112" s="119">
        <f>IF(OR(t&lt;Tnet,NoTnet),'2029'!Resal_s+('2029'!Salim-'2029'!Resal_s)*(1-EXP(('2029'!Tnet_s-t)/'2029'!Tau_j)),Resal_s+(Salim-Resal_s)*(1-EXP((Tnet_s-t)/Tau_j)))*Salcycl</f>
        <v>6.5330035449584115E-2</v>
      </c>
      <c r="AD112" s="227">
        <f>(INDEX(Models!$BJ112:$BT112,,AH112)*(1-AF112)+INDEX(Models!$BJ112:$BT112,,AH112+1)*AF112-ERP_i)*AE112*Ramure*Pc/MaxiM</f>
        <v>3.1845543128344314E-4</v>
      </c>
      <c r="AE112" s="301">
        <f t="shared" si="40"/>
        <v>0.5</v>
      </c>
      <c r="AF112" s="173">
        <f t="shared" si="41"/>
        <v>2.3816129886811588E-2</v>
      </c>
      <c r="AG112" s="801">
        <f t="shared" si="49"/>
        <v>4</v>
      </c>
      <c r="AH112" s="172">
        <f t="shared" si="42"/>
        <v>10</v>
      </c>
      <c r="AI112" s="221">
        <f t="shared" si="43"/>
        <v>4.0238161298868116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47582</v>
      </c>
      <c r="B113" s="406">
        <f>'2029'!Wh/'2029'!Env_an*'2030'!Env_an</f>
        <v>135.48441256805989</v>
      </c>
      <c r="C113" s="831"/>
      <c r="D113" s="388">
        <f t="shared" si="25"/>
        <v>141.46994069047662</v>
      </c>
      <c r="E113" s="380">
        <f t="shared" si="47"/>
        <v>148.45522023713139</v>
      </c>
      <c r="F113" s="380">
        <f t="shared" si="26"/>
        <v>148.45775119392977</v>
      </c>
      <c r="G113" s="110">
        <f t="shared" si="48"/>
        <v>0.65675857379695202</v>
      </c>
      <c r="H113" s="409" t="b">
        <f>Wh_hp&gt;='2029'!Maxi_hp</f>
        <v>0</v>
      </c>
      <c r="I113" s="385">
        <f>IF(H113,Wh_hp,'2029'!Maxi_hp)</f>
        <v>148.46014028866742</v>
      </c>
      <c r="J113" s="85">
        <f>IF(H113,An,'2029'!An_max)</f>
        <v>2029</v>
      </c>
      <c r="K113" s="193">
        <f t="shared" si="27"/>
        <v>47582</v>
      </c>
      <c r="L113" s="143">
        <f>IF(t&lt;Tvie,1-EXP((T0-t)*PertePVj)+'2029'!Pspv,1-EXP((T0-t)*PertePVj)+Pspv)</f>
        <v>4.2309540056374995E-2</v>
      </c>
      <c r="M113" s="835"/>
      <c r="N113" s="835"/>
      <c r="O113" s="48">
        <f>IF(t&lt;Tnet,'2029'!Resal+('2029'!Salim-'2029'!Resal)*(1-EXP(('2029'!Tnet-t)/('2029'!Tau_j))),Resal+(Salim-Resal)*(1-EXP((Tnet-t)/(Tau_j))))*Salcycl</f>
        <v>4.7053108240296272E-2</v>
      </c>
      <c r="P113" s="165">
        <f>(INDEX(Models!$BJ113:$BT113,,T113)*(1-R113)+INDEX(Models!$BJ113:$BT113,,T113+1)*R113-ERP_i)*Q113*Ramure*Pc/MaxiM</f>
        <v>3.3449710417555239E-5</v>
      </c>
      <c r="Q113" s="301">
        <f t="shared" si="28"/>
        <v>0.5</v>
      </c>
      <c r="R113" s="173">
        <f t="shared" si="29"/>
        <v>0.50018970250039907</v>
      </c>
      <c r="S113" s="801">
        <f t="shared" si="30"/>
        <v>0</v>
      </c>
      <c r="T113" s="172">
        <f t="shared" si="31"/>
        <v>6</v>
      </c>
      <c r="U113" s="247">
        <f t="shared" si="32"/>
        <v>0.50018970250039907</v>
      </c>
      <c r="V113" s="378">
        <f t="shared" si="33"/>
        <v>206.2891841907348</v>
      </c>
      <c r="W113" s="397">
        <f t="shared" si="34"/>
        <v>135.48441256805989</v>
      </c>
      <c r="X113" s="153">
        <f t="shared" si="35"/>
        <v>47582</v>
      </c>
      <c r="Y113" s="380">
        <f t="shared" si="36"/>
        <v>132.86189413264051</v>
      </c>
      <c r="Z113" s="380">
        <f t="shared" si="37"/>
        <v>138.73156274362543</v>
      </c>
      <c r="AA113" s="381">
        <f t="shared" si="38"/>
        <v>148.43327157359485</v>
      </c>
      <c r="AB113" s="193">
        <f t="shared" si="39"/>
        <v>47582</v>
      </c>
      <c r="AC113" s="119">
        <f>IF(OR(t&lt;Tnet,NoTnet),'2029'!Resal_s+('2029'!Salim-'2029'!Resal_s)*(1-EXP(('2029'!Tnet_s-t)/'2029'!Tau_j)),Resal_s+(Salim-Resal_s)*(1-EXP((Tnet_s-t)/Tau_j)))*Salcycl</f>
        <v>6.5360742420604828E-2</v>
      </c>
      <c r="AD113" s="227">
        <f>(INDEX(Models!$BJ113:$BT113,,AH113)*(1-AF113)+INDEX(Models!$BJ113:$BT113,,AH113+1)*AF113-ERP_i)*AE113*Ramure*Pc/MaxiM</f>
        <v>3.2352832409366527E-4</v>
      </c>
      <c r="AE113" s="301">
        <f t="shared" si="40"/>
        <v>0.5</v>
      </c>
      <c r="AF113" s="173">
        <f t="shared" si="41"/>
        <v>2.5177268874377212E-2</v>
      </c>
      <c r="AG113" s="801">
        <f t="shared" si="49"/>
        <v>4</v>
      </c>
      <c r="AH113" s="172">
        <f t="shared" si="42"/>
        <v>10</v>
      </c>
      <c r="AI113" s="221">
        <f t="shared" si="43"/>
        <v>4.0251772688743772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47583</v>
      </c>
      <c r="B114" s="406">
        <f>'2029'!Wh/'2029'!Env_an*'2030'!Env_an</f>
        <v>211.51785893898611</v>
      </c>
      <c r="C114" s="831"/>
      <c r="D114" s="388">
        <f t="shared" si="25"/>
        <v>220.86547097163233</v>
      </c>
      <c r="E114" s="380">
        <f t="shared" si="47"/>
        <v>231.78252121870239</v>
      </c>
      <c r="F114" s="380">
        <f t="shared" si="26"/>
        <v>231.79044704559422</v>
      </c>
      <c r="G114" s="110">
        <f t="shared" si="48"/>
        <v>1.0212962014267877</v>
      </c>
      <c r="H114" s="409" t="b">
        <f>Wh_hp&gt;='2029'!Maxi_hp</f>
        <v>1</v>
      </c>
      <c r="I114" s="385">
        <f>IF(H114,Wh_hp,'2029'!Maxi_hp)</f>
        <v>231.79044704559422</v>
      </c>
      <c r="J114" s="85">
        <f>IF(H114,An,'2029'!An_max)</f>
        <v>2030</v>
      </c>
      <c r="K114" s="193">
        <f t="shared" si="27"/>
        <v>47583</v>
      </c>
      <c r="L114" s="143">
        <f>IF(t&lt;Tvie,1-EXP((T0-t)*PertePVj)+'2029'!Pspv,1-EXP((T0-t)*PertePVj)+Pspv)</f>
        <v>4.2322650034539833E-2</v>
      </c>
      <c r="M114" s="835"/>
      <c r="N114" s="835"/>
      <c r="O114" s="48">
        <f>IF(t&lt;Tnet,'2029'!Resal+('2029'!Salim-'2029'!Resal)*(1-EXP(('2029'!Tnet-t)/('2029'!Tau_j))),Resal+(Salim-Resal)*(1-EXP((Tnet-t)/(Tau_j))))*Salcycl</f>
        <v>4.710040338533146E-2</v>
      </c>
      <c r="P114" s="165">
        <f>(INDEX(Models!$BJ114:$BT114,,T114)*(1-R114)+INDEX(Models!$BJ114:$BT114,,T114+1)*R114-ERP_i)*Q114*Ramure*Pc/MaxiM</f>
        <v>3.4193932462947943E-5</v>
      </c>
      <c r="Q114" s="301">
        <f t="shared" si="28"/>
        <v>0.5</v>
      </c>
      <c r="R114" s="173">
        <f t="shared" si="29"/>
        <v>0.50159950860674163</v>
      </c>
      <c r="S114" s="801">
        <f t="shared" si="30"/>
        <v>0</v>
      </c>
      <c r="T114" s="172">
        <f t="shared" si="31"/>
        <v>6</v>
      </c>
      <c r="U114" s="247">
        <f t="shared" si="32"/>
        <v>0.50159950860674163</v>
      </c>
      <c r="V114" s="378">
        <f t="shared" si="33"/>
        <v>207.10726099195122</v>
      </c>
      <c r="W114" s="397">
        <f t="shared" si="34"/>
        <v>211.51785893898611</v>
      </c>
      <c r="X114" s="153">
        <f t="shared" si="35"/>
        <v>47583</v>
      </c>
      <c r="Y114" s="380">
        <f t="shared" si="36"/>
        <v>207.39642136951576</v>
      </c>
      <c r="Z114" s="380">
        <f t="shared" si="37"/>
        <v>216.56189464749875</v>
      </c>
      <c r="AA114" s="381">
        <f t="shared" si="38"/>
        <v>231.71420156866958</v>
      </c>
      <c r="AB114" s="193">
        <f t="shared" si="39"/>
        <v>47583</v>
      </c>
      <c r="AC114" s="119">
        <f>IF(OR(t&lt;Tnet,NoTnet),'2029'!Resal_s+('2029'!Salim-'2029'!Resal_s)*(1-EXP(('2029'!Tnet_s-t)/'2029'!Tau_j)),Resal_s+(Salim-Resal_s)*(1-EXP((Tnet_s-t)/Tau_j)))*Salcycl</f>
        <v>6.5392223776497185E-2</v>
      </c>
      <c r="AD114" s="227">
        <f>(INDEX(Models!$BJ114:$BT114,,AH114)*(1-AF114)+INDEX(Models!$BJ114:$BT114,,AH114+1)*AF114-ERP_i)*AE114*Ramure*Pc/MaxiM</f>
        <v>3.289414119368307E-4</v>
      </c>
      <c r="AE114" s="301">
        <f t="shared" si="40"/>
        <v>0.5</v>
      </c>
      <c r="AF114" s="173">
        <f t="shared" si="41"/>
        <v>2.6587074980719549E-2</v>
      </c>
      <c r="AG114" s="801">
        <f t="shared" si="49"/>
        <v>4</v>
      </c>
      <c r="AH114" s="172">
        <f t="shared" si="42"/>
        <v>10</v>
      </c>
      <c r="AI114" s="221">
        <f t="shared" si="43"/>
        <v>4.0265870749807195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47584</v>
      </c>
      <c r="B115" s="406">
        <f>'2029'!Wh/'2029'!Env_an*'2030'!Env_an</f>
        <v>170.1184560886208</v>
      </c>
      <c r="C115" s="831"/>
      <c r="D115" s="388">
        <f t="shared" si="25"/>
        <v>177.63893539451544</v>
      </c>
      <c r="E115" s="380">
        <f t="shared" si="47"/>
        <v>186.42872416948711</v>
      </c>
      <c r="F115" s="380">
        <f t="shared" si="26"/>
        <v>186.43354702636225</v>
      </c>
      <c r="G115" s="110">
        <f t="shared" si="48"/>
        <v>0.8182415001589779</v>
      </c>
      <c r="H115" s="409" t="b">
        <f>Wh_hp&gt;='2029'!Maxi_hp</f>
        <v>0</v>
      </c>
      <c r="I115" s="385">
        <f>IF(H115,Wh_hp,'2029'!Maxi_hp)</f>
        <v>186.43519733585043</v>
      </c>
      <c r="J115" s="85">
        <f>IF(H115,An,'2029'!An_max)</f>
        <v>2029</v>
      </c>
      <c r="K115" s="193">
        <f t="shared" si="27"/>
        <v>47584</v>
      </c>
      <c r="L115" s="143">
        <f>IF(t&lt;Tvie,1-EXP((T0-t)*PertePVj)+'2029'!Pspv,1-EXP((T0-t)*PertePVj)+Pspv)</f>
        <v>4.2335759833240005E-2</v>
      </c>
      <c r="M115" s="835"/>
      <c r="N115" s="835"/>
      <c r="O115" s="48">
        <f>IF(t&lt;Tnet,'2029'!Resal+('2029'!Salim-'2029'!Resal)*(1-EXP(('2029'!Tnet-t)/('2029'!Tau_j))),Resal+(Salim-Resal)*(1-EXP((Tnet-t)/(Tau_j))))*Salcycl</f>
        <v>4.7148253650980493E-2</v>
      </c>
      <c r="P115" s="165">
        <f>(INDEX(Models!$BJ115:$BT115,,T115)*(1-R115)+INDEX(Models!$BJ115:$BT115,,T115+1)*R115-ERP_i)*Q115*Ramure*Pc/MaxiM</f>
        <v>3.4941371087964322E-5</v>
      </c>
      <c r="Q115" s="301">
        <f t="shared" si="28"/>
        <v>0.5</v>
      </c>
      <c r="R115" s="173">
        <f t="shared" si="29"/>
        <v>0.50305938407263873</v>
      </c>
      <c r="S115" s="801">
        <f t="shared" si="30"/>
        <v>0</v>
      </c>
      <c r="T115" s="172">
        <f t="shared" si="31"/>
        <v>6</v>
      </c>
      <c r="U115" s="247">
        <f t="shared" si="32"/>
        <v>0.50305938407263873</v>
      </c>
      <c r="V115" s="378">
        <f t="shared" si="33"/>
        <v>207.90550545856539</v>
      </c>
      <c r="W115" s="397">
        <f t="shared" si="34"/>
        <v>170.1184560886208</v>
      </c>
      <c r="X115" s="153">
        <f t="shared" si="35"/>
        <v>47584</v>
      </c>
      <c r="Y115" s="380">
        <f t="shared" si="36"/>
        <v>166.8184653551331</v>
      </c>
      <c r="Z115" s="380">
        <f t="shared" si="37"/>
        <v>174.19306094804654</v>
      </c>
      <c r="AA115" s="381">
        <f t="shared" si="38"/>
        <v>186.38736024511957</v>
      </c>
      <c r="AB115" s="193">
        <f t="shared" si="39"/>
        <v>47584</v>
      </c>
      <c r="AC115" s="119">
        <f>IF(OR(t&lt;Tnet,NoTnet),'2029'!Resal_s+('2029'!Salim-'2029'!Resal_s)*(1-EXP(('2029'!Tnet_s-t)/'2029'!Tau_j)),Resal_s+(Salim-Resal_s)*(1-EXP((Tnet_s-t)/Tau_j)))*Salcycl</f>
        <v>6.5424497031538117E-2</v>
      </c>
      <c r="AD115" s="227">
        <f>(INDEX(Models!$BJ115:$BT115,,AH115)*(1-AF115)+INDEX(Models!$BJ115:$BT115,,AH115+1)*AF115-ERP_i)*AE115*Ramure*Pc/MaxiM</f>
        <v>3.346210564692111E-4</v>
      </c>
      <c r="AE115" s="301">
        <f t="shared" si="40"/>
        <v>0.5</v>
      </c>
      <c r="AF115" s="173">
        <f t="shared" si="41"/>
        <v>2.8046950446617203E-2</v>
      </c>
      <c r="AG115" s="801">
        <f t="shared" si="49"/>
        <v>4</v>
      </c>
      <c r="AH115" s="172">
        <f t="shared" si="42"/>
        <v>10</v>
      </c>
      <c r="AI115" s="221">
        <f t="shared" si="43"/>
        <v>4.0280469504466172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47585</v>
      </c>
      <c r="B116" s="406">
        <f>'2029'!Wh/'2029'!Env_an*'2030'!Env_an</f>
        <v>142.43727880632761</v>
      </c>
      <c r="C116" s="831"/>
      <c r="D116" s="388">
        <f t="shared" si="25"/>
        <v>148.73608380213716</v>
      </c>
      <c r="E116" s="380">
        <f t="shared" si="47"/>
        <v>156.10365688578173</v>
      </c>
      <c r="F116" s="380">
        <f t="shared" si="26"/>
        <v>156.10670189555375</v>
      </c>
      <c r="G116" s="110">
        <f t="shared" si="48"/>
        <v>0.68253688350061348</v>
      </c>
      <c r="H116" s="409" t="b">
        <f>Wh_hp&gt;='2029'!Maxi_hp</f>
        <v>0</v>
      </c>
      <c r="I116" s="385">
        <f>IF(H116,Wh_hp,'2029'!Maxi_hp)</f>
        <v>156.10916021817334</v>
      </c>
      <c r="J116" s="85">
        <f>IF(H116,An,'2029'!An_max)</f>
        <v>2029</v>
      </c>
      <c r="K116" s="193">
        <f t="shared" si="27"/>
        <v>47585</v>
      </c>
      <c r="L116" s="143">
        <f>IF(t&lt;Tvie,1-EXP((T0-t)*PertePVj)+'2029'!Pspv,1-EXP((T0-t)*PertePVj)+Pspv)</f>
        <v>4.2348869452478066E-2</v>
      </c>
      <c r="M116" s="835"/>
      <c r="N116" s="835"/>
      <c r="O116" s="48">
        <f>IF(t&lt;Tnet,'2029'!Resal+('2029'!Salim-'2029'!Resal)*(1-EXP(('2029'!Tnet-t)/('2029'!Tau_j))),Resal+(Salim-Resal)*(1-EXP((Tnet-t)/(Tau_j))))*Salcycl</f>
        <v>4.7196671946226641E-2</v>
      </c>
      <c r="P116" s="165">
        <f>(INDEX(Models!$BJ116:$BT116,,T116)*(1-R116)+INDEX(Models!$BJ116:$BT116,,T116+1)*R116-ERP_i)*Q116*Ramure*Pc/MaxiM</f>
        <v>3.5692693599268206E-5</v>
      </c>
      <c r="Q116" s="301">
        <f t="shared" si="28"/>
        <v>0.5</v>
      </c>
      <c r="R116" s="173">
        <f t="shared" si="29"/>
        <v>0.50457074494126708</v>
      </c>
      <c r="S116" s="801">
        <f t="shared" si="30"/>
        <v>0</v>
      </c>
      <c r="T116" s="172">
        <f t="shared" si="31"/>
        <v>6</v>
      </c>
      <c r="U116" s="247">
        <f t="shared" si="32"/>
        <v>0.50457074494126708</v>
      </c>
      <c r="V116" s="378">
        <f t="shared" si="33"/>
        <v>208.68465369277462</v>
      </c>
      <c r="W116" s="397">
        <f t="shared" si="34"/>
        <v>142.43727880632761</v>
      </c>
      <c r="X116" s="153">
        <f t="shared" si="35"/>
        <v>47585</v>
      </c>
      <c r="Y116" s="380">
        <f t="shared" si="36"/>
        <v>139.68412611313045</v>
      </c>
      <c r="Z116" s="380">
        <f t="shared" si="37"/>
        <v>145.86118227967657</v>
      </c>
      <c r="AA116" s="381">
        <f t="shared" si="38"/>
        <v>156.07764717162047</v>
      </c>
      <c r="AB116" s="193">
        <f t="shared" si="39"/>
        <v>47585</v>
      </c>
      <c r="AC116" s="119">
        <f>IF(OR(t&lt;Tnet,NoTnet),'2029'!Resal_s+('2029'!Salim-'2029'!Resal_s)*(1-EXP(('2029'!Tnet_s-t)/'2029'!Tau_j)),Resal_s+(Salim-Resal_s)*(1-EXP((Tnet_s-t)/Tau_j)))*Salcycl</f>
        <v>6.5457578821072643E-2</v>
      </c>
      <c r="AD116" s="227">
        <f>(INDEX(Models!$BJ116:$BT116,,AH116)*(1-AF116)+INDEX(Models!$BJ116:$BT116,,AH116+1)*AF116-ERP_i)*AE116*Ramure*Pc/MaxiM</f>
        <v>3.4057078190275153E-4</v>
      </c>
      <c r="AE116" s="301">
        <f t="shared" si="40"/>
        <v>0.5</v>
      </c>
      <c r="AF116" s="173">
        <f t="shared" si="41"/>
        <v>2.9558311315245334E-2</v>
      </c>
      <c r="AG116" s="801">
        <f t="shared" si="49"/>
        <v>4</v>
      </c>
      <c r="AH116" s="172">
        <f t="shared" si="42"/>
        <v>10</v>
      </c>
      <c r="AI116" s="221">
        <f t="shared" si="43"/>
        <v>4.0295583113152453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47586</v>
      </c>
      <c r="B117" s="406">
        <f>'2029'!Wh/'2029'!Env_an*'2030'!Env_an</f>
        <v>23.630397123340771</v>
      </c>
      <c r="C117" s="831"/>
      <c r="D117" s="388">
        <f t="shared" si="25"/>
        <v>24.675708986581814</v>
      </c>
      <c r="E117" s="380">
        <f t="shared" si="47"/>
        <v>25.899340704665324</v>
      </c>
      <c r="F117" s="380">
        <f t="shared" si="26"/>
        <v>25.899340704665324</v>
      </c>
      <c r="G117" s="110">
        <f t="shared" si="48"/>
        <v>0.11281952774022136</v>
      </c>
      <c r="H117" s="409" t="b">
        <f>Wh_hp&gt;='2029'!Maxi_hp</f>
        <v>0</v>
      </c>
      <c r="I117" s="385">
        <f>IF(H117,Wh_hp,'2029'!Maxi_hp)</f>
        <v>25.900256348874201</v>
      </c>
      <c r="J117" s="85">
        <f>IF(H117,An,'2029'!An_max)</f>
        <v>2029</v>
      </c>
      <c r="K117" s="193">
        <f t="shared" si="27"/>
        <v>47586</v>
      </c>
      <c r="L117" s="143">
        <f>IF(t&lt;Tvie,1-EXP((T0-t)*PertePVj)+'2029'!Pspv,1-EXP((T0-t)*PertePVj)+Pspv)</f>
        <v>4.2361978892256458E-2</v>
      </c>
      <c r="M117" s="835"/>
      <c r="N117" s="835"/>
      <c r="O117" s="48">
        <f>IF(t&lt;Tnet,'2029'!Resal+('2029'!Salim-'2029'!Resal)*(1-EXP(('2029'!Tnet-t)/('2029'!Tau_j))),Resal+(Salim-Resal)*(1-EXP((Tnet-t)/(Tau_j))))*Salcycl</f>
        <v>4.7245670537979914E-2</v>
      </c>
      <c r="P117" s="165">
        <f>(INDEX(Models!$BJ117:$BT117,,T117)*(1-R117)+INDEX(Models!$BJ117:$BT117,,T117+1)*R117-ERP_i)*Q117*Ramure*Pc/MaxiM</f>
        <v>3.6448551321448619E-5</v>
      </c>
      <c r="Q117" s="301">
        <f t="shared" si="28"/>
        <v>0.5</v>
      </c>
      <c r="R117" s="173">
        <f t="shared" si="29"/>
        <v>0.50613501887418855</v>
      </c>
      <c r="S117" s="801">
        <f t="shared" si="30"/>
        <v>0</v>
      </c>
      <c r="T117" s="172">
        <f t="shared" si="31"/>
        <v>6</v>
      </c>
      <c r="U117" s="247">
        <f t="shared" si="32"/>
        <v>0.50613501887418855</v>
      </c>
      <c r="V117" s="378">
        <f t="shared" si="33"/>
        <v>209.44544178564485</v>
      </c>
      <c r="W117" s="397">
        <f t="shared" si="34"/>
        <v>23.630397123340771</v>
      </c>
      <c r="X117" s="153">
        <f t="shared" si="35"/>
        <v>47586</v>
      </c>
      <c r="Y117" s="380">
        <f t="shared" si="36"/>
        <v>23.177860908146847</v>
      </c>
      <c r="Z117" s="380">
        <f t="shared" si="37"/>
        <v>24.203154425025815</v>
      </c>
      <c r="AA117" s="381">
        <f t="shared" si="38"/>
        <v>25.899340704665324</v>
      </c>
      <c r="AB117" s="193">
        <f t="shared" si="39"/>
        <v>47586</v>
      </c>
      <c r="AC117" s="119">
        <f>IF(OR(t&lt;Tnet,NoTnet),'2029'!Resal_s+('2029'!Salim-'2029'!Resal_s)*(1-EXP(('2029'!Tnet_s-t)/'2029'!Tau_j)),Resal_s+(Salim-Resal_s)*(1-EXP((Tnet_s-t)/Tau_j)))*Salcycl</f>
        <v>6.549148485984313E-2</v>
      </c>
      <c r="AD117" s="227">
        <f>(INDEX(Models!$BJ117:$BT117,,AH117)*(1-AF117)+INDEX(Models!$BJ117:$BT117,,AH117+1)*AF117-ERP_i)*AE117*Ramure*Pc/MaxiM</f>
        <v>3.4679435451872627E-4</v>
      </c>
      <c r="AE117" s="301">
        <f t="shared" si="40"/>
        <v>0.5</v>
      </c>
      <c r="AF117" s="173">
        <f t="shared" si="41"/>
        <v>3.1122585248167134E-2</v>
      </c>
      <c r="AG117" s="801">
        <f t="shared" si="49"/>
        <v>4</v>
      </c>
      <c r="AH117" s="172">
        <f t="shared" si="42"/>
        <v>10</v>
      </c>
      <c r="AI117" s="221">
        <f t="shared" si="43"/>
        <v>4.0311225852481671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47587</v>
      </c>
      <c r="B118" s="406">
        <f>'2029'!Wh/'2029'!Env_an*'2030'!Env_an</f>
        <v>169.64475249508524</v>
      </c>
      <c r="C118" s="831"/>
      <c r="D118" s="388">
        <f t="shared" si="25"/>
        <v>177.15156570834347</v>
      </c>
      <c r="E118" s="380">
        <f t="shared" si="47"/>
        <v>185.94592685426264</v>
      </c>
      <c r="F118" s="380">
        <f t="shared" si="26"/>
        <v>185.9509393605945</v>
      </c>
      <c r="G118" s="110">
        <f t="shared" si="48"/>
        <v>0.80709899740029367</v>
      </c>
      <c r="H118" s="409" t="b">
        <f>Wh_hp&gt;='2029'!Maxi_hp</f>
        <v>0</v>
      </c>
      <c r="I118" s="385">
        <f>IF(H118,Wh_hp,'2029'!Maxi_hp)</f>
        <v>185.95278307096302</v>
      </c>
      <c r="J118" s="85">
        <f>IF(H118,An,'2029'!An_max)</f>
        <v>2029</v>
      </c>
      <c r="K118" s="193">
        <f t="shared" si="27"/>
        <v>47587</v>
      </c>
      <c r="L118" s="143">
        <f>IF(t&lt;Tvie,1-EXP((T0-t)*PertePVj)+'2029'!Pspv,1-EXP((T0-t)*PertePVj)+Pspv)</f>
        <v>4.2375088152577733E-2</v>
      </c>
      <c r="M118" s="835"/>
      <c r="N118" s="835"/>
      <c r="O118" s="48">
        <f>IF(t&lt;Tnet,'2029'!Resal+('2029'!Salim-'2029'!Resal)*(1-EXP(('2029'!Tnet-t)/('2029'!Tau_j))),Resal+(Salim-Resal)*(1-EXP((Tnet-t)/(Tau_j))))*Salcycl</f>
        <v>4.7295261018607052E-2</v>
      </c>
      <c r="P118" s="165">
        <f>(INDEX(Models!$BJ118:$BT118,,T118)*(1-R118)+INDEX(Models!$BJ118:$BT118,,T118+1)*R118-ERP_i)*Q118*Ramure*Pc/MaxiM</f>
        <v>3.7209579151162143E-5</v>
      </c>
      <c r="Q118" s="301">
        <f t="shared" si="28"/>
        <v>0.5</v>
      </c>
      <c r="R118" s="173">
        <f t="shared" si="29"/>
        <v>0.50775364275375212</v>
      </c>
      <c r="S118" s="801">
        <f t="shared" si="30"/>
        <v>0</v>
      </c>
      <c r="T118" s="172">
        <f t="shared" si="31"/>
        <v>6</v>
      </c>
      <c r="U118" s="247">
        <f t="shared" si="32"/>
        <v>0.50775364275375212</v>
      </c>
      <c r="V118" s="378">
        <f t="shared" si="33"/>
        <v>210.18860578493292</v>
      </c>
      <c r="W118" s="397">
        <f t="shared" si="34"/>
        <v>169.64475249508524</v>
      </c>
      <c r="X118" s="153">
        <f t="shared" si="35"/>
        <v>47587</v>
      </c>
      <c r="Y118" s="380">
        <f t="shared" si="36"/>
        <v>166.36032475661938</v>
      </c>
      <c r="Z118" s="380">
        <f t="shared" si="37"/>
        <v>173.72180140518887</v>
      </c>
      <c r="AA118" s="381">
        <f t="shared" si="38"/>
        <v>185.90334684996907</v>
      </c>
      <c r="AB118" s="193">
        <f t="shared" si="39"/>
        <v>47587</v>
      </c>
      <c r="AC118" s="119">
        <f>IF(OR(t&lt;Tnet,NoTnet),'2029'!Resal_s+('2029'!Salim-'2029'!Resal_s)*(1-EXP(('2029'!Tnet_s-t)/'2029'!Tau_j)),Resal_s+(Salim-Resal_s)*(1-EXP((Tnet_s-t)/Tau_j)))*Salcycl</f>
        <v>6.5526229899514177E-2</v>
      </c>
      <c r="AD118" s="227">
        <f>(INDEX(Models!$BJ118:$BT118,,AH118)*(1-AF118)+INDEX(Models!$BJ118:$BT118,,AH118+1)*AF118-ERP_i)*AE118*Ramure*Pc/MaxiM</f>
        <v>3.5329577138971566E-4</v>
      </c>
      <c r="AE118" s="301">
        <f t="shared" si="40"/>
        <v>0.5</v>
      </c>
      <c r="AF118" s="173">
        <f t="shared" si="41"/>
        <v>3.2741209127729931E-2</v>
      </c>
      <c r="AG118" s="801">
        <f t="shared" si="49"/>
        <v>4</v>
      </c>
      <c r="AH118" s="172">
        <f t="shared" si="42"/>
        <v>10</v>
      </c>
      <c r="AI118" s="221">
        <f t="shared" si="43"/>
        <v>4.0327412091277299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47588</v>
      </c>
      <c r="B119" s="406">
        <f>'2029'!Wh/'2029'!Env_an*'2030'!Env_an</f>
        <v>179.11132736781576</v>
      </c>
      <c r="C119" s="831"/>
      <c r="D119" s="388">
        <f t="shared" si="25"/>
        <v>187.0395987709845</v>
      </c>
      <c r="E119" s="380">
        <f t="shared" si="47"/>
        <v>196.33517691155063</v>
      </c>
      <c r="F119" s="380">
        <f t="shared" si="26"/>
        <v>196.34102705233312</v>
      </c>
      <c r="G119" s="110">
        <f t="shared" si="48"/>
        <v>0.84920447812409172</v>
      </c>
      <c r="H119" s="409" t="b">
        <f>Wh_hp&gt;='2029'!Maxi_hp</f>
        <v>0</v>
      </c>
      <c r="I119" s="385">
        <f>IF(H119,Wh_hp,'2029'!Maxi_hp)</f>
        <v>196.34257530906228</v>
      </c>
      <c r="J119" s="85">
        <f>IF(H119,An,'2029'!An_max)</f>
        <v>2029</v>
      </c>
      <c r="K119" s="193">
        <f t="shared" si="27"/>
        <v>47588</v>
      </c>
      <c r="L119" s="143">
        <f>IF(t&lt;Tvie,1-EXP((T0-t)*PertePVj)+'2029'!Pspv,1-EXP((T0-t)*PertePVj)+Pspv)</f>
        <v>4.2388197233444114E-2</v>
      </c>
      <c r="M119" s="835"/>
      <c r="N119" s="835"/>
      <c r="O119" s="48">
        <f>IF(t&lt;Tnet,'2029'!Resal+('2029'!Salim-'2029'!Resal)*(1-EXP(('2029'!Tnet-t)/('2029'!Tau_j))),Resal+(Salim-Resal)*(1-EXP((Tnet-t)/(Tau_j))))*Salcycl</f>
        <v>4.7345454272587142E-2</v>
      </c>
      <c r="P119" s="165">
        <f>(INDEX(Models!$BJ119:$BT119,,T119)*(1-R119)+INDEX(Models!$BJ119:$BT119,,T119+1)*R119-ERP_i)*Q119*Ramure*Pc/MaxiM</f>
        <v>3.7976394972446361E-5</v>
      </c>
      <c r="Q119" s="301">
        <f t="shared" si="28"/>
        <v>0.5</v>
      </c>
      <c r="R119" s="173">
        <f t="shared" si="29"/>
        <v>0.50942806006328367</v>
      </c>
      <c r="S119" s="801">
        <f t="shared" si="30"/>
        <v>0</v>
      </c>
      <c r="T119" s="172">
        <f t="shared" si="31"/>
        <v>6</v>
      </c>
      <c r="U119" s="247">
        <f t="shared" si="32"/>
        <v>0.50942806006328367</v>
      </c>
      <c r="V119" s="378">
        <f t="shared" si="33"/>
        <v>210.91488175515931</v>
      </c>
      <c r="W119" s="397">
        <f t="shared" si="34"/>
        <v>179.11132736781576</v>
      </c>
      <c r="X119" s="153">
        <f t="shared" si="35"/>
        <v>47588</v>
      </c>
      <c r="Y119" s="380">
        <f t="shared" si="36"/>
        <v>175.64201405600517</v>
      </c>
      <c r="Z119" s="380">
        <f t="shared" si="37"/>
        <v>183.41671807779787</v>
      </c>
      <c r="AA119" s="381">
        <f t="shared" si="38"/>
        <v>196.28555800906301</v>
      </c>
      <c r="AB119" s="193">
        <f t="shared" si="39"/>
        <v>47588</v>
      </c>
      <c r="AC119" s="119">
        <f>IF(OR(t&lt;Tnet,NoTnet),'2029'!Resal_s+('2029'!Salim-'2029'!Resal_s)*(1-EXP(('2029'!Tnet_s-t)/'2029'!Tau_j)),Resal_s+(Salim-Resal_s)*(1-EXP((Tnet_s-t)/Tau_j)))*Salcycl</f>
        <v>6.5561827685106447E-2</v>
      </c>
      <c r="AD119" s="227">
        <f>(INDEX(Models!$BJ119:$BT119,,AH119)*(1-AF119)+INDEX(Models!$BJ119:$BT119,,AH119+1)*AF119-ERP_i)*AE119*Ramure*Pc/MaxiM</f>
        <v>3.6007924839738141E-4</v>
      </c>
      <c r="AE119" s="301">
        <f t="shared" si="40"/>
        <v>0.5</v>
      </c>
      <c r="AF119" s="173">
        <f t="shared" si="41"/>
        <v>3.4415626437262148E-2</v>
      </c>
      <c r="AG119" s="801">
        <f t="shared" si="49"/>
        <v>4</v>
      </c>
      <c r="AH119" s="172">
        <f t="shared" si="42"/>
        <v>10</v>
      </c>
      <c r="AI119" s="221">
        <f t="shared" si="43"/>
        <v>4.0344156264372621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47589</v>
      </c>
      <c r="B120" s="406">
        <f>'2029'!Wh/'2029'!Env_an*'2030'!Env_an</f>
        <v>180.19312864246871</v>
      </c>
      <c r="C120" s="831"/>
      <c r="D120" s="388">
        <f t="shared" si="25"/>
        <v>188.17186134116139</v>
      </c>
      <c r="E120" s="380">
        <f t="shared" si="47"/>
        <v>197.53424590637519</v>
      </c>
      <c r="F120" s="380">
        <f t="shared" si="26"/>
        <v>197.54027635527993</v>
      </c>
      <c r="G120" s="110">
        <f t="shared" si="48"/>
        <v>0.85146670842793071</v>
      </c>
      <c r="H120" s="409" t="b">
        <f>Wh_hp&gt;='2029'!Maxi_hp</f>
        <v>0</v>
      </c>
      <c r="I120" s="385">
        <f>IF(H120,Wh_hp,'2029'!Maxi_hp)</f>
        <v>197.54183685343298</v>
      </c>
      <c r="J120" s="85">
        <f>IF(H120,An,'2029'!An_max)</f>
        <v>2029</v>
      </c>
      <c r="K120" s="193">
        <f t="shared" si="27"/>
        <v>47589</v>
      </c>
      <c r="L120" s="143">
        <f>IF(t&lt;Tvie,1-EXP((T0-t)*PertePVj)+'2029'!Pspv,1-EXP((T0-t)*PertePVj)+Pspv)</f>
        <v>4.2401306134858263E-2</v>
      </c>
      <c r="M120" s="835"/>
      <c r="N120" s="835"/>
      <c r="O120" s="48">
        <f>IF(t&lt;Tnet,'2029'!Resal+('2029'!Salim-'2029'!Resal)*(1-EXP(('2029'!Tnet-t)/('2029'!Tau_j))),Resal+(Salim-Resal)*(1-EXP((Tnet-t)/(Tau_j))))*Salcycl</f>
        <v>4.7396260442107201E-2</v>
      </c>
      <c r="P120" s="165">
        <f>(INDEX(Models!$BJ120:$BT120,,T120)*(1-R120)+INDEX(Models!$BJ120:$BT120,,T120+1)*R120-ERP_i)*Q120*Ramure*Pc/MaxiM</f>
        <v>3.8749598959919373E-5</v>
      </c>
      <c r="Q120" s="301">
        <f t="shared" si="28"/>
        <v>0.5</v>
      </c>
      <c r="R120" s="173">
        <f t="shared" si="29"/>
        <v>0.51115971803692606</v>
      </c>
      <c r="S120" s="801">
        <f t="shared" si="30"/>
        <v>0</v>
      </c>
      <c r="T120" s="172">
        <f t="shared" si="31"/>
        <v>6</v>
      </c>
      <c r="U120" s="247">
        <f t="shared" si="32"/>
        <v>0.51115971803692606</v>
      </c>
      <c r="V120" s="378">
        <f t="shared" si="33"/>
        <v>211.62500574915501</v>
      </c>
      <c r="W120" s="397">
        <f t="shared" si="34"/>
        <v>180.19312864246871</v>
      </c>
      <c r="X120" s="153">
        <f t="shared" si="35"/>
        <v>47589</v>
      </c>
      <c r="Y120" s="380">
        <f t="shared" si="36"/>
        <v>176.70432910088903</v>
      </c>
      <c r="Z120" s="380">
        <f t="shared" si="37"/>
        <v>184.52858199676515</v>
      </c>
      <c r="AA120" s="381">
        <f t="shared" si="38"/>
        <v>197.48313835651248</v>
      </c>
      <c r="AB120" s="193">
        <f t="shared" si="39"/>
        <v>47589</v>
      </c>
      <c r="AC120" s="119">
        <f>IF(OR(t&lt;Tnet,NoTnet),'2029'!Resal_s+('2029'!Salim-'2029'!Resal_s)*(1-EXP(('2029'!Tnet_s-t)/'2029'!Tau_j)),Resal_s+(Salim-Resal_s)*(1-EXP((Tnet_s-t)/Tau_j)))*Salcycl</f>
        <v>6.5598290910086274E-2</v>
      </c>
      <c r="AD120" s="227">
        <f>(INDEX(Models!$BJ120:$BT120,,AH120)*(1-AF120)+INDEX(Models!$BJ120:$BT120,,AH120+1)*AF120-ERP_i)*AE120*Ramure*Pc/MaxiM</f>
        <v>3.6714920772576773E-4</v>
      </c>
      <c r="AE120" s="301">
        <f t="shared" si="40"/>
        <v>0.5</v>
      </c>
      <c r="AF120" s="173">
        <f t="shared" si="41"/>
        <v>3.6147284410904312E-2</v>
      </c>
      <c r="AG120" s="801">
        <f t="shared" si="49"/>
        <v>4</v>
      </c>
      <c r="AH120" s="172">
        <f t="shared" si="42"/>
        <v>10</v>
      </c>
      <c r="AI120" s="221">
        <f t="shared" si="43"/>
        <v>4.0361472844109043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47590</v>
      </c>
      <c r="B121" s="406">
        <f>'2029'!Wh/'2029'!Env_an*'2030'!Env_an</f>
        <v>216.16350668528327</v>
      </c>
      <c r="C121" s="831"/>
      <c r="D121" s="388">
        <f t="shared" si="25"/>
        <v>225.73805416354784</v>
      </c>
      <c r="E121" s="380">
        <f t="shared" si="47"/>
        <v>236.98231743392563</v>
      </c>
      <c r="F121" s="380">
        <f t="shared" si="26"/>
        <v>236.99168583798044</v>
      </c>
      <c r="G121" s="110">
        <f t="shared" si="48"/>
        <v>1.0181229862172456</v>
      </c>
      <c r="H121" s="409" t="b">
        <f>Wh_hp&gt;='2029'!Maxi_hp</f>
        <v>1</v>
      </c>
      <c r="I121" s="385">
        <f>IF(H121,Wh_hp,'2029'!Maxi_hp)</f>
        <v>236.99168583798044</v>
      </c>
      <c r="J121" s="85">
        <f>IF(H121,An,'2029'!An_max)</f>
        <v>2030</v>
      </c>
      <c r="K121" s="193">
        <f t="shared" si="27"/>
        <v>47590</v>
      </c>
      <c r="L121" s="143">
        <f>IF(t&lt;Tvie,1-EXP((T0-t)*PertePVj)+'2029'!Pspv,1-EXP((T0-t)*PertePVj)+Pspv)</f>
        <v>4.2414414856822513E-2</v>
      </c>
      <c r="M121" s="835"/>
      <c r="N121" s="835"/>
      <c r="O121" s="48">
        <f>IF(t&lt;Tnet,'2029'!Resal+('2029'!Salim-'2029'!Resal)*(1-EXP(('2029'!Tnet-t)/('2029'!Tau_j))),Resal+(Salim-Resal)*(1-EXP((Tnet-t)/(Tau_j))))*Salcycl</f>
        <v>4.7447688891441686E-2</v>
      </c>
      <c r="P121" s="165">
        <f>(INDEX(Models!$BJ121:$BT121,,T121)*(1-R121)+INDEX(Models!$BJ121:$BT121,,T121+1)*R121-ERP_i)*Q121*Ramure*Pc/MaxiM</f>
        <v>3.9530517797257832E-5</v>
      </c>
      <c r="Q121" s="301">
        <f t="shared" si="28"/>
        <v>0.5</v>
      </c>
      <c r="R121" s="173">
        <f t="shared" si="29"/>
        <v>0.51295006457160286</v>
      </c>
      <c r="S121" s="801">
        <f t="shared" si="30"/>
        <v>0</v>
      </c>
      <c r="T121" s="172">
        <f t="shared" si="31"/>
        <v>6</v>
      </c>
      <c r="U121" s="247">
        <f t="shared" si="32"/>
        <v>0.51295006457160286</v>
      </c>
      <c r="V121" s="378">
        <f t="shared" si="33"/>
        <v>212.31571196366116</v>
      </c>
      <c r="W121" s="397">
        <f t="shared" si="34"/>
        <v>216.16350668528327</v>
      </c>
      <c r="X121" s="153">
        <f t="shared" si="35"/>
        <v>47590</v>
      </c>
      <c r="Y121" s="380">
        <f t="shared" si="36"/>
        <v>211.96506935991479</v>
      </c>
      <c r="Z121" s="380">
        <f t="shared" si="37"/>
        <v>221.35365511817091</v>
      </c>
      <c r="AA121" s="381">
        <f t="shared" si="38"/>
        <v>236.90292834616901</v>
      </c>
      <c r="AB121" s="193">
        <f t="shared" si="39"/>
        <v>47590</v>
      </c>
      <c r="AC121" s="119">
        <f>IF(OR(t&lt;Tnet,NoTnet),'2029'!Resal_s+('2029'!Salim-'2029'!Resal_s)*(1-EXP(('2029'!Tnet_s-t)/'2029'!Tau_j)),Resal_s+(Salim-Resal_s)*(1-EXP((Tnet_s-t)/Tau_j)))*Salcycl</f>
        <v>6.5635631169898789E-2</v>
      </c>
      <c r="AD121" s="227">
        <f>(INDEX(Models!$BJ121:$BT121,,AH121)*(1-AF121)+INDEX(Models!$BJ121:$BT121,,AH121+1)*AF121-ERP_i)*AE121*Ramure*Pc/MaxiM</f>
        <v>3.7451732324532536E-4</v>
      </c>
      <c r="AE121" s="301">
        <f t="shared" si="40"/>
        <v>0.5</v>
      </c>
      <c r="AF121" s="173">
        <f t="shared" si="41"/>
        <v>3.7937630945580558E-2</v>
      </c>
      <c r="AG121" s="801">
        <f t="shared" si="49"/>
        <v>4</v>
      </c>
      <c r="AH121" s="172">
        <f t="shared" si="42"/>
        <v>10</v>
      </c>
      <c r="AI121" s="221">
        <f t="shared" si="43"/>
        <v>4.0379376309455806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47591</v>
      </c>
      <c r="B122" s="406">
        <f>'2029'!Wh/'2029'!Env_an*'2030'!Env_an</f>
        <v>159.53315798410554</v>
      </c>
      <c r="C122" s="831"/>
      <c r="D122" s="388">
        <f t="shared" si="25"/>
        <v>166.60165353795577</v>
      </c>
      <c r="E122" s="380">
        <f t="shared" si="47"/>
        <v>174.90982623665394</v>
      </c>
      <c r="F122" s="380">
        <f t="shared" si="26"/>
        <v>174.91434568722974</v>
      </c>
      <c r="G122" s="110">
        <f t="shared" si="48"/>
        <v>0.74902769818661397</v>
      </c>
      <c r="H122" s="409" t="b">
        <f>Wh_hp&gt;='2029'!Maxi_hp</f>
        <v>0</v>
      </c>
      <c r="I122" s="385">
        <f>IF(H122,Wh_hp,'2029'!Maxi_hp)</f>
        <v>174.91675612554513</v>
      </c>
      <c r="J122" s="85">
        <f>IF(H122,An,'2029'!An_max)</f>
        <v>2029</v>
      </c>
      <c r="K122" s="193">
        <f t="shared" si="27"/>
        <v>47591</v>
      </c>
      <c r="L122" s="143">
        <f>IF(t&lt;Tvie,1-EXP((T0-t)*PertePVj)+'2029'!Pspv,1-EXP((T0-t)*PertePVj)+Pspv)</f>
        <v>4.2427523399339306E-2</v>
      </c>
      <c r="M122" s="835"/>
      <c r="N122" s="835"/>
      <c r="O122" s="48">
        <f>IF(t&lt;Tnet,'2029'!Resal+('2029'!Salim-'2029'!Resal)*(1-EXP(('2029'!Tnet-t)/('2029'!Tau_j))),Resal+(Salim-Resal)*(1-EXP((Tnet-t)/(Tau_j))))*Salcycl</f>
        <v>4.7499748169992341E-2</v>
      </c>
      <c r="P122" s="165">
        <f>(INDEX(Models!$BJ122:$BT122,,T122)*(1-R122)+INDEX(Models!$BJ122:$BT122,,T122+1)*R122-ERP_i)*Q122*Ramure*Pc/MaxiM</f>
        <v>4.0278627045868587E-5</v>
      </c>
      <c r="Q122" s="301">
        <f t="shared" si="28"/>
        <v>0.5</v>
      </c>
      <c r="R122" s="173">
        <f t="shared" si="29"/>
        <v>0.51480054489432581</v>
      </c>
      <c r="S122" s="801">
        <f t="shared" si="30"/>
        <v>0</v>
      </c>
      <c r="T122" s="172">
        <f t="shared" si="31"/>
        <v>6</v>
      </c>
      <c r="U122" s="247">
        <f t="shared" si="32"/>
        <v>0.51480054489432581</v>
      </c>
      <c r="V122" s="378">
        <f t="shared" si="33"/>
        <v>212.98391843782537</v>
      </c>
      <c r="W122" s="397">
        <f t="shared" si="34"/>
        <v>159.53315798410554</v>
      </c>
      <c r="X122" s="153">
        <f t="shared" si="35"/>
        <v>47591</v>
      </c>
      <c r="Y122" s="380">
        <f t="shared" si="36"/>
        <v>156.45492328312963</v>
      </c>
      <c r="Z122" s="380">
        <f t="shared" si="37"/>
        <v>163.38703033585259</v>
      </c>
      <c r="AA122" s="381">
        <f t="shared" si="38"/>
        <v>174.87151771853829</v>
      </c>
      <c r="AB122" s="193">
        <f t="shared" si="39"/>
        <v>47591</v>
      </c>
      <c r="AC122" s="119">
        <f>IF(OR(t&lt;Tnet,NoTnet),'2029'!Resal_s+('2029'!Salim-'2029'!Resal_s)*(1-EXP(('2029'!Tnet_s-t)/'2029'!Tau_j)),Resal_s+(Salim-Resal_s)*(1-EXP((Tnet_s-t)/Tau_j)))*Salcycl</f>
        <v>6.567385891377911E-2</v>
      </c>
      <c r="AD122" s="227">
        <f>(INDEX(Models!$BJ122:$BT122,,AH122)*(1-AF122)+INDEX(Models!$BJ122:$BT122,,AH122+1)*AF122-ERP_i)*AE122*Ramure*Pc/MaxiM</f>
        <v>3.8169502002909544E-4</v>
      </c>
      <c r="AE122" s="301">
        <f t="shared" si="40"/>
        <v>0.5</v>
      </c>
      <c r="AF122" s="173">
        <f t="shared" si="41"/>
        <v>3.9788111268303616E-2</v>
      </c>
      <c r="AG122" s="801">
        <f t="shared" si="49"/>
        <v>4</v>
      </c>
      <c r="AH122" s="172">
        <f t="shared" si="42"/>
        <v>10</v>
      </c>
      <c r="AI122" s="221">
        <f t="shared" si="43"/>
        <v>4.0397881112683036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47592</v>
      </c>
      <c r="B123" s="406">
        <f>'2029'!Wh/'2029'!Env_an*'2030'!Env_an</f>
        <v>36.033384239286022</v>
      </c>
      <c r="C123" s="831"/>
      <c r="D123" s="388">
        <f t="shared" si="25"/>
        <v>37.630444058634552</v>
      </c>
      <c r="E123" s="380">
        <f t="shared" si="47"/>
        <v>39.509203314730172</v>
      </c>
      <c r="F123" s="380">
        <f t="shared" si="26"/>
        <v>39.509203314730172</v>
      </c>
      <c r="G123" s="110">
        <f t="shared" si="48"/>
        <v>0.16866452215190966</v>
      </c>
      <c r="H123" s="409" t="b">
        <f>Wh_hp&gt;='2029'!Maxi_hp</f>
        <v>0</v>
      </c>
      <c r="I123" s="385">
        <f>IF(H123,Wh_hp,'2029'!Maxi_hp)</f>
        <v>39.510742342753161</v>
      </c>
      <c r="J123" s="85">
        <f>IF(H123,An,'2029'!An_max)</f>
        <v>2029</v>
      </c>
      <c r="K123" s="193">
        <f t="shared" si="27"/>
        <v>47592</v>
      </c>
      <c r="L123" s="143">
        <f>IF(t&lt;Tvie,1-EXP((T0-t)*PertePVj)+'2029'!Pspv,1-EXP((T0-t)*PertePVj)+Pspv)</f>
        <v>4.2440631762411307E-2</v>
      </c>
      <c r="M123" s="835"/>
      <c r="N123" s="835"/>
      <c r="O123" s="48">
        <f>IF(t&lt;Tnet,'2029'!Resal+('2029'!Salim-'2029'!Resal)*(1-EXP(('2029'!Tnet-t)/('2029'!Tau_j))),Resal+(Salim-Resal)*(1-EXP((Tnet-t)/(Tau_j))))*Salcycl</f>
        <v>4.7552445973902062E-2</v>
      </c>
      <c r="P123" s="165">
        <f>(INDEX(Models!$BJ123:$BT123,,T123)*(1-R123)+INDEX(Models!$BJ123:$BT123,,T123+1)*R123-ERP_i)*Q123*Ramure*Pc/MaxiM</f>
        <v>4.0964262354569109E-5</v>
      </c>
      <c r="Q123" s="301">
        <f t="shared" si="28"/>
        <v>0.5</v>
      </c>
      <c r="R123" s="173">
        <f t="shared" si="29"/>
        <v>0.51671259797896263</v>
      </c>
      <c r="S123" s="801">
        <f t="shared" si="30"/>
        <v>0</v>
      </c>
      <c r="T123" s="172">
        <f t="shared" si="31"/>
        <v>6</v>
      </c>
      <c r="U123" s="247">
        <f t="shared" si="32"/>
        <v>0.51671259797896263</v>
      </c>
      <c r="V123" s="378">
        <f t="shared" si="33"/>
        <v>213.63063019161768</v>
      </c>
      <c r="W123" s="397">
        <f t="shared" si="34"/>
        <v>36.033384239286022</v>
      </c>
      <c r="X123" s="153">
        <f t="shared" si="35"/>
        <v>47592</v>
      </c>
      <c r="Y123" s="380">
        <f t="shared" si="36"/>
        <v>35.346327382338501</v>
      </c>
      <c r="Z123" s="380">
        <f t="shared" si="37"/>
        <v>36.9129356933704</v>
      </c>
      <c r="AA123" s="381">
        <f t="shared" si="38"/>
        <v>39.509203314730172</v>
      </c>
      <c r="AB123" s="193">
        <f t="shared" si="39"/>
        <v>47592</v>
      </c>
      <c r="AC123" s="119">
        <f>IF(OR(t&lt;Tnet,NoTnet),'2029'!Resal_s+('2029'!Salim-'2029'!Resal_s)*(1-EXP(('2029'!Tnet_s-t)/'2029'!Tau_j)),Resal_s+(Salim-Resal_s)*(1-EXP((Tnet_s-t)/Tau_j)))*Salcycl</f>
        <v>6.5712983394727406E-2</v>
      </c>
      <c r="AD123" s="227">
        <f>(INDEX(Models!$BJ123:$BT123,,AH123)*(1-AF123)+INDEX(Models!$BJ123:$BT123,,AH123+1)*AF123-ERP_i)*AE123*Ramure*Pc/MaxiM</f>
        <v>3.8840040784069184E-4</v>
      </c>
      <c r="AE123" s="301">
        <f t="shared" si="40"/>
        <v>0.5</v>
      </c>
      <c r="AF123" s="173">
        <f t="shared" si="41"/>
        <v>4.1700164352940661E-2</v>
      </c>
      <c r="AG123" s="801">
        <f t="shared" si="49"/>
        <v>4</v>
      </c>
      <c r="AH123" s="172">
        <f t="shared" si="42"/>
        <v>10</v>
      </c>
      <c r="AI123" s="221">
        <f t="shared" si="43"/>
        <v>4.0417001643529407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47593</v>
      </c>
      <c r="B124" s="406">
        <f>'2029'!Wh/'2029'!Env_an*'2030'!Env_an</f>
        <v>40.866736574157116</v>
      </c>
      <c r="C124" s="831"/>
      <c r="D124" s="388">
        <f t="shared" si="25"/>
        <v>42.678602882177422</v>
      </c>
      <c r="E124" s="380">
        <f t="shared" si="47"/>
        <v>44.811909180048893</v>
      </c>
      <c r="F124" s="380">
        <f t="shared" si="26"/>
        <v>44.811909180048893</v>
      </c>
      <c r="G124" s="110">
        <f t="shared" si="48"/>
        <v>0.19072920097860768</v>
      </c>
      <c r="H124" s="409" t="b">
        <f>Wh_hp&gt;='2029'!Maxi_hp</f>
        <v>0</v>
      </c>
      <c r="I124" s="385">
        <f>IF(H124,Wh_hp,'2029'!Maxi_hp)</f>
        <v>44.813674815712055</v>
      </c>
      <c r="J124" s="85">
        <f>IF(H124,An,'2029'!An_max)</f>
        <v>2029</v>
      </c>
      <c r="K124" s="193">
        <f t="shared" si="27"/>
        <v>47593</v>
      </c>
      <c r="L124" s="143">
        <f>IF(t&lt;Tvie,1-EXP((T0-t)*PertePVj)+'2029'!Pspv,1-EXP((T0-t)*PertePVj)+Pspv)</f>
        <v>4.2453739946040736E-2</v>
      </c>
      <c r="M124" s="835"/>
      <c r="N124" s="835"/>
      <c r="O124" s="48">
        <f>IF(t&lt;Tnet,'2029'!Resal+('2029'!Salim-'2029'!Resal)*(1-EXP(('2029'!Tnet-t)/('2029'!Tau_j))),Resal+(Salim-Resal)*(1-EXP((Tnet-t)/(Tau_j))))*Salcycl</f>
        <v>4.7605789106197248E-2</v>
      </c>
      <c r="P124" s="165">
        <f>(INDEX(Models!$BJ124:$BT124,,T124)*(1-R124)+INDEX(Models!$BJ124:$BT124,,T124+1)*R124-ERP_i)*Q124*Ramure*Pc/MaxiM</f>
        <v>4.1586818008610404E-5</v>
      </c>
      <c r="Q124" s="301">
        <f t="shared" si="28"/>
        <v>0.5</v>
      </c>
      <c r="R124" s="173">
        <f t="shared" si="29"/>
        <v>0.51868765270763184</v>
      </c>
      <c r="S124" s="801">
        <f t="shared" si="30"/>
        <v>0</v>
      </c>
      <c r="T124" s="172">
        <f t="shared" si="31"/>
        <v>6</v>
      </c>
      <c r="U124" s="247">
        <f t="shared" si="32"/>
        <v>0.51868765270763184</v>
      </c>
      <c r="V124" s="378">
        <f t="shared" si="33"/>
        <v>214.25684607782765</v>
      </c>
      <c r="W124" s="397">
        <f t="shared" si="34"/>
        <v>40.866736574157116</v>
      </c>
      <c r="X124" s="153">
        <f t="shared" si="35"/>
        <v>47593</v>
      </c>
      <c r="Y124" s="380">
        <f t="shared" si="36"/>
        <v>40.088048721680067</v>
      </c>
      <c r="Z124" s="380">
        <f t="shared" si="37"/>
        <v>41.865391150314807</v>
      </c>
      <c r="AA124" s="381">
        <f t="shared" si="38"/>
        <v>44.811909180048893</v>
      </c>
      <c r="AB124" s="193">
        <f t="shared" si="39"/>
        <v>47593</v>
      </c>
      <c r="AC124" s="119">
        <f>IF(OR(t&lt;Tnet,NoTnet),'2029'!Resal_s+('2029'!Salim-'2029'!Resal_s)*(1-EXP(('2029'!Tnet_s-t)/'2029'!Tau_j)),Resal_s+(Salim-Resal_s)*(1-EXP((Tnet_s-t)/Tau_j)))*Salcycl</f>
        <v>6.5753012617590686E-2</v>
      </c>
      <c r="AD124" s="227">
        <f>(INDEX(Models!$BJ124:$BT124,,AH124)*(1-AF124)+INDEX(Models!$BJ124:$BT124,,AH124+1)*AF124-ERP_i)*AE124*Ramure*Pc/MaxiM</f>
        <v>3.9463397041687118E-4</v>
      </c>
      <c r="AE124" s="301">
        <f t="shared" si="40"/>
        <v>0.5</v>
      </c>
      <c r="AF124" s="173">
        <f t="shared" si="41"/>
        <v>4.3675219081610095E-2</v>
      </c>
      <c r="AG124" s="801">
        <f t="shared" si="49"/>
        <v>4</v>
      </c>
      <c r="AH124" s="172">
        <f t="shared" si="42"/>
        <v>10</v>
      </c>
      <c r="AI124" s="221">
        <f t="shared" si="43"/>
        <v>4.0436752190816101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47594</v>
      </c>
      <c r="B125" s="406">
        <f>'2029'!Wh/'2029'!Env_an*'2030'!Env_an</f>
        <v>36.417256802866625</v>
      </c>
      <c r="C125" s="831"/>
      <c r="D125" s="388">
        <f t="shared" si="25"/>
        <v>38.032371751211969</v>
      </c>
      <c r="E125" s="380">
        <f t="shared" si="47"/>
        <v>39.935698492718608</v>
      </c>
      <c r="F125" s="380">
        <f t="shared" si="26"/>
        <v>39.935698492718608</v>
      </c>
      <c r="G125" s="110">
        <f t="shared" si="48"/>
        <v>0.16948300184991175</v>
      </c>
      <c r="H125" s="409" t="b">
        <f>Wh_hp&gt;='2029'!Maxi_hp</f>
        <v>0</v>
      </c>
      <c r="I125" s="385">
        <f>IF(H125,Wh_hp,'2029'!Maxi_hp)</f>
        <v>39.937287134866864</v>
      </c>
      <c r="J125" s="85">
        <f>IF(H125,An,'2029'!An_max)</f>
        <v>2029</v>
      </c>
      <c r="K125" s="193">
        <f t="shared" si="27"/>
        <v>47594</v>
      </c>
      <c r="L125" s="143">
        <f>IF(t&lt;Tvie,1-EXP((T0-t)*PertePVj)+'2029'!Pspv,1-EXP((T0-t)*PertePVj)+Pspv)</f>
        <v>4.2466847950230147E-2</v>
      </c>
      <c r="M125" s="835"/>
      <c r="N125" s="835"/>
      <c r="O125" s="48">
        <f>IF(t&lt;Tnet,'2029'!Resal+('2029'!Salim-'2029'!Resal)*(1-EXP(('2029'!Tnet-t)/('2029'!Tau_j))),Resal+(Salim-Resal)*(1-EXP((Tnet-t)/(Tau_j))))*Salcycl</f>
        <v>4.7659783435456064E-2</v>
      </c>
      <c r="P125" s="165">
        <f>(INDEX(Models!$BJ125:$BT125,,T125)*(1-R125)+INDEX(Models!$BJ125:$BT125,,T125+1)*R125-ERP_i)*Q125*Ramure*Pc/MaxiM</f>
        <v>4.2145601076667935E-5</v>
      </c>
      <c r="Q125" s="301">
        <f t="shared" si="28"/>
        <v>0.5</v>
      </c>
      <c r="R125" s="173">
        <f t="shared" si="29"/>
        <v>0.52072712377310493</v>
      </c>
      <c r="S125" s="801">
        <f t="shared" si="30"/>
        <v>0</v>
      </c>
      <c r="T125" s="172">
        <f t="shared" si="31"/>
        <v>6</v>
      </c>
      <c r="U125" s="247">
        <f t="shared" si="32"/>
        <v>0.52072712377310493</v>
      </c>
      <c r="V125" s="378">
        <f t="shared" si="33"/>
        <v>214.86356494875869</v>
      </c>
      <c r="W125" s="397">
        <f t="shared" si="34"/>
        <v>36.417256802866625</v>
      </c>
      <c r="X125" s="153">
        <f t="shared" si="35"/>
        <v>47594</v>
      </c>
      <c r="Y125" s="380">
        <f t="shared" si="36"/>
        <v>35.723810586020704</v>
      </c>
      <c r="Z125" s="380">
        <f t="shared" si="37"/>
        <v>37.308171011674673</v>
      </c>
      <c r="AA125" s="381">
        <f t="shared" si="38"/>
        <v>39.935698492718608</v>
      </c>
      <c r="AB125" s="193">
        <f t="shared" si="39"/>
        <v>47594</v>
      </c>
      <c r="AC125" s="119">
        <f>IF(OR(t&lt;Tnet,NoTnet),'2029'!Resal_s+('2029'!Salim-'2029'!Resal_s)*(1-EXP(('2029'!Tnet_s-t)/'2029'!Tau_j)),Resal_s+(Salim-Resal_s)*(1-EXP((Tnet_s-t)/Tau_j)))*Salcycl</f>
        <v>6.5793953285254433E-2</v>
      </c>
      <c r="AD125" s="227">
        <f>(INDEX(Models!$BJ125:$BT125,,AH125)*(1-AF125)+INDEX(Models!$BJ125:$BT125,,AH125+1)*AF125-ERP_i)*AE125*Ramure*Pc/MaxiM</f>
        <v>4.0039606606251442E-4</v>
      </c>
      <c r="AE125" s="301">
        <f t="shared" si="40"/>
        <v>0.5</v>
      </c>
      <c r="AF125" s="173">
        <f t="shared" si="41"/>
        <v>4.5714690147082848E-2</v>
      </c>
      <c r="AG125" s="801">
        <f t="shared" si="49"/>
        <v>4</v>
      </c>
      <c r="AH125" s="172">
        <f t="shared" si="42"/>
        <v>10</v>
      </c>
      <c r="AI125" s="221">
        <f t="shared" si="43"/>
        <v>4.0457146901470828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47595</v>
      </c>
      <c r="B126" s="406">
        <f>'2029'!Wh/'2029'!Env_an*'2030'!Env_an</f>
        <v>110.81628765896284</v>
      </c>
      <c r="C126" s="831"/>
      <c r="D126" s="388">
        <f t="shared" si="25"/>
        <v>115.7326035390241</v>
      </c>
      <c r="E126" s="380">
        <f t="shared" si="47"/>
        <v>121.53140576023885</v>
      </c>
      <c r="F126" s="380">
        <f t="shared" si="26"/>
        <v>121.53299255794293</v>
      </c>
      <c r="G126" s="110">
        <f t="shared" si="48"/>
        <v>0.51432857217989147</v>
      </c>
      <c r="H126" s="409" t="b">
        <f>Wh_hp&gt;='2029'!Maxi_hp</f>
        <v>0</v>
      </c>
      <c r="I126" s="385">
        <f>IF(H126,Wh_hp,'2029'!Maxi_hp)</f>
        <v>121.53637292997469</v>
      </c>
      <c r="J126" s="85">
        <f>IF(H126,An,'2029'!An_max)</f>
        <v>2029</v>
      </c>
      <c r="K126" s="193">
        <f t="shared" si="27"/>
        <v>47595</v>
      </c>
      <c r="L126" s="143">
        <f>IF(t&lt;Tvie,1-EXP((T0-t)*PertePVj)+'2029'!Pspv,1-EXP((T0-t)*PertePVj)+Pspv)</f>
        <v>4.2479955774981981E-2</v>
      </c>
      <c r="M126" s="835"/>
      <c r="N126" s="835"/>
      <c r="O126" s="48">
        <f>IF(t&lt;Tnet,'2029'!Resal+('2029'!Salim-'2029'!Resal)*(1-EXP(('2029'!Tnet-t)/('2029'!Tau_j))),Resal+(Salim-Resal)*(1-EXP((Tnet-t)/(Tau_j))))*Salcycl</f>
        <v>4.7714433853047238E-2</v>
      </c>
      <c r="P126" s="165">
        <f>(INDEX(Models!$BJ126:$BT126,,T126)*(1-R126)+INDEX(Models!$BJ126:$BT126,,T126+1)*R126-ERP_i)*Q126*Ramure*Pc/MaxiM</f>
        <v>4.2639736222962859E-5</v>
      </c>
      <c r="Q126" s="301">
        <f t="shared" si="28"/>
        <v>0.5</v>
      </c>
      <c r="R126" s="173">
        <f t="shared" si="29"/>
        <v>0.52283240731998737</v>
      </c>
      <c r="S126" s="801">
        <f t="shared" si="30"/>
        <v>0</v>
      </c>
      <c r="T126" s="172">
        <f t="shared" si="31"/>
        <v>6</v>
      </c>
      <c r="U126" s="247">
        <f t="shared" si="32"/>
        <v>0.52283240731998737</v>
      </c>
      <c r="V126" s="378">
        <f t="shared" si="33"/>
        <v>215.45178570203927</v>
      </c>
      <c r="W126" s="397">
        <f t="shared" si="34"/>
        <v>110.81628765896284</v>
      </c>
      <c r="X126" s="153">
        <f t="shared" si="35"/>
        <v>47595</v>
      </c>
      <c r="Y126" s="380">
        <f t="shared" si="36"/>
        <v>108.69544073473433</v>
      </c>
      <c r="Z126" s="380">
        <f t="shared" si="37"/>
        <v>113.51766617346217</v>
      </c>
      <c r="AA126" s="381">
        <f t="shared" si="38"/>
        <v>121.51789533245891</v>
      </c>
      <c r="AB126" s="193">
        <f t="shared" si="39"/>
        <v>47595</v>
      </c>
      <c r="AC126" s="119">
        <f>IF(OR(t&lt;Tnet,NoTnet),'2029'!Resal_s+('2029'!Salim-'2029'!Resal_s)*(1-EXP(('2029'!Tnet_s-t)/'2029'!Tau_j)),Resal_s+(Salim-Resal_s)*(1-EXP((Tnet_s-t)/Tau_j)))*Salcycl</f>
        <v>6.5835810743010537E-2</v>
      </c>
      <c r="AD126" s="227">
        <f>(INDEX(Models!$BJ126:$BT126,,AH126)*(1-AF126)+INDEX(Models!$BJ126:$BT126,,AH126+1)*AF126-ERP_i)*AE126*Ramure*Pc/MaxiM</f>
        <v>4.0568606236448369E-4</v>
      </c>
      <c r="AE126" s="301">
        <f t="shared" si="40"/>
        <v>0.5</v>
      </c>
      <c r="AF126" s="173">
        <f t="shared" si="41"/>
        <v>4.7819973693965068E-2</v>
      </c>
      <c r="AG126" s="801">
        <f t="shared" si="49"/>
        <v>4</v>
      </c>
      <c r="AH126" s="172">
        <f t="shared" si="42"/>
        <v>10</v>
      </c>
      <c r="AI126" s="221">
        <f t="shared" si="43"/>
        <v>4.0478199736939651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47596</v>
      </c>
      <c r="B127" s="406">
        <f>'2029'!Wh/'2029'!Env_an*'2030'!Env_an</f>
        <v>40.371991536976452</v>
      </c>
      <c r="C127" s="831"/>
      <c r="D127" s="388">
        <f t="shared" si="25"/>
        <v>42.163654376425455</v>
      </c>
      <c r="E127" s="380">
        <f t="shared" si="47"/>
        <v>44.278843400420868</v>
      </c>
      <c r="F127" s="380">
        <f t="shared" si="26"/>
        <v>44.278843400420868</v>
      </c>
      <c r="G127" s="110">
        <f t="shared" si="48"/>
        <v>0.18687984553066048</v>
      </c>
      <c r="H127" s="409" t="b">
        <f>Wh_hp&gt;='2029'!Maxi_hp</f>
        <v>0</v>
      </c>
      <c r="I127" s="385">
        <f>IF(H127,Wh_hp,'2029'!Maxi_hp)</f>
        <v>44.280629226772071</v>
      </c>
      <c r="J127" s="85">
        <f>IF(H127,An,'2029'!An_max)</f>
        <v>2029</v>
      </c>
      <c r="K127" s="193">
        <f t="shared" si="27"/>
        <v>47596</v>
      </c>
      <c r="L127" s="143">
        <f>IF(t&lt;Tvie,1-EXP((T0-t)*PertePVj)+'2029'!Pspv,1-EXP((T0-t)*PertePVj)+Pspv)</f>
        <v>4.2493063420298682E-2</v>
      </c>
      <c r="M127" s="835"/>
      <c r="N127" s="835"/>
      <c r="O127" s="48">
        <f>IF(t&lt;Tnet,'2029'!Resal+('2029'!Salim-'2029'!Resal)*(1-EXP(('2029'!Tnet-t)/('2029'!Tau_j))),Resal+(Salim-Resal)*(1-EXP((Tnet-t)/(Tau_j))))*Salcycl</f>
        <v>4.776974422903079E-2</v>
      </c>
      <c r="P127" s="165">
        <f>(INDEX(Models!$BJ127:$BT127,,T127)*(1-R127)+INDEX(Models!$BJ127:$BT127,,T127+1)*R127-ERP_i)*Q127*Ramure*Pc/MaxiM</f>
        <v>4.3068058250953257E-5</v>
      </c>
      <c r="Q127" s="301">
        <f t="shared" si="28"/>
        <v>0.5</v>
      </c>
      <c r="R127" s="173">
        <f t="shared" si="29"/>
        <v>0.52500487632402071</v>
      </c>
      <c r="S127" s="801">
        <f t="shared" si="30"/>
        <v>0</v>
      </c>
      <c r="T127" s="172">
        <f t="shared" si="31"/>
        <v>6</v>
      </c>
      <c r="U127" s="247">
        <f t="shared" si="32"/>
        <v>0.52500487632402071</v>
      </c>
      <c r="V127" s="378">
        <f t="shared" si="33"/>
        <v>216.02250729102767</v>
      </c>
      <c r="W127" s="397">
        <f t="shared" si="34"/>
        <v>40.371991536976452</v>
      </c>
      <c r="X127" s="153">
        <f t="shared" si="35"/>
        <v>47596</v>
      </c>
      <c r="Y127" s="380">
        <f t="shared" si="36"/>
        <v>39.604225421347074</v>
      </c>
      <c r="Z127" s="380">
        <f t="shared" si="37"/>
        <v>41.36181567813685</v>
      </c>
      <c r="AA127" s="381">
        <f t="shared" si="38"/>
        <v>44.278843400420868</v>
      </c>
      <c r="AB127" s="193">
        <f t="shared" si="39"/>
        <v>47596</v>
      </c>
      <c r="AC127" s="119">
        <f>IF(OR(t&lt;Tnet,NoTnet),'2029'!Resal_s+('2029'!Salim-'2029'!Resal_s)*(1-EXP(('2029'!Tnet_s-t)/'2029'!Tau_j)),Resal_s+(Salim-Resal_s)*(1-EXP((Tnet_s-t)/Tau_j)))*Salcycl</f>
        <v>6.5878588921233966E-2</v>
      </c>
      <c r="AD127" s="227">
        <f>(INDEX(Models!$BJ127:$BT127,,AH127)*(1-AF127)+INDEX(Models!$BJ127:$BT127,,AH127+1)*AF127-ERP_i)*AE127*Ramure*Pc/MaxiM</f>
        <v>4.1050135015692875E-4</v>
      </c>
      <c r="AE127" s="301">
        <f t="shared" si="40"/>
        <v>0.5</v>
      </c>
      <c r="AF127" s="173">
        <f t="shared" si="41"/>
        <v>4.999244269799874E-2</v>
      </c>
      <c r="AG127" s="801">
        <f t="shared" si="49"/>
        <v>4</v>
      </c>
      <c r="AH127" s="172">
        <f t="shared" si="42"/>
        <v>10</v>
      </c>
      <c r="AI127" s="221">
        <f t="shared" si="43"/>
        <v>4.0499924426979987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47597</v>
      </c>
      <c r="B128" s="406">
        <f>'2029'!Wh/'2029'!Env_an*'2030'!Env_an</f>
        <v>109.04697313900708</v>
      </c>
      <c r="C128" s="831"/>
      <c r="D128" s="388">
        <f t="shared" si="25"/>
        <v>113.88791219671106</v>
      </c>
      <c r="E128" s="380">
        <f t="shared" si="47"/>
        <v>119.60826318661533</v>
      </c>
      <c r="F128" s="380">
        <f t="shared" si="26"/>
        <v>119.60977357503742</v>
      </c>
      <c r="G128" s="110">
        <f t="shared" si="48"/>
        <v>0.50348721633102922</v>
      </c>
      <c r="H128" s="409" t="b">
        <f>Wh_hp&gt;='2029'!Maxi_hp</f>
        <v>0</v>
      </c>
      <c r="I128" s="385">
        <f>IF(H128,Wh_hp,'2029'!Maxi_hp)</f>
        <v>119.61321023265994</v>
      </c>
      <c r="J128" s="85">
        <f>IF(H128,An,'2029'!An_max)</f>
        <v>2029</v>
      </c>
      <c r="K128" s="193">
        <f t="shared" si="27"/>
        <v>47597</v>
      </c>
      <c r="L128" s="143">
        <f>IF(t&lt;Tvie,1-EXP((T0-t)*PertePVj)+'2029'!Pspv,1-EXP((T0-t)*PertePVj)+Pspv)</f>
        <v>4.2506170886182804E-2</v>
      </c>
      <c r="M128" s="835"/>
      <c r="N128" s="835"/>
      <c r="O128" s="48">
        <f>IF(t&lt;Tnet,'2029'!Resal+('2029'!Salim-'2029'!Resal)*(1-EXP(('2029'!Tnet-t)/('2029'!Tau_j))),Resal+(Salim-Resal)*(1-EXP((Tnet-t)/(Tau_j))))*Salcycl</f>
        <v>4.7825717366861725E-2</v>
      </c>
      <c r="P128" s="165">
        <f>(INDEX(Models!$BJ128:$BT128,,T128)*(1-R128)+INDEX(Models!$BJ128:$BT128,,T128+1)*R128-ERP_i)*Q128*Ramure*Pc/MaxiM</f>
        <v>4.3435995843565569E-5</v>
      </c>
      <c r="Q128" s="301">
        <f t="shared" si="28"/>
        <v>0.5</v>
      </c>
      <c r="R128" s="173">
        <f t="shared" si="29"/>
        <v>0.52724587571060222</v>
      </c>
      <c r="S128" s="801">
        <f t="shared" si="30"/>
        <v>0</v>
      </c>
      <c r="T128" s="172">
        <f t="shared" si="31"/>
        <v>6</v>
      </c>
      <c r="U128" s="247">
        <f t="shared" si="32"/>
        <v>0.52724587571060222</v>
      </c>
      <c r="V128" s="378">
        <f t="shared" si="33"/>
        <v>216.57672727536357</v>
      </c>
      <c r="W128" s="397">
        <f t="shared" si="34"/>
        <v>109.04697313900708</v>
      </c>
      <c r="X128" s="153">
        <f t="shared" si="35"/>
        <v>47597</v>
      </c>
      <c r="Y128" s="380">
        <f t="shared" si="36"/>
        <v>106.96293207836676</v>
      </c>
      <c r="Z128" s="380">
        <f t="shared" si="37"/>
        <v>111.71135398059269</v>
      </c>
      <c r="AA128" s="381">
        <f t="shared" si="38"/>
        <v>119.5953535960824</v>
      </c>
      <c r="AB128" s="193">
        <f t="shared" si="39"/>
        <v>47597</v>
      </c>
      <c r="AC128" s="119">
        <f>IF(OR(t&lt;Tnet,NoTnet),'2029'!Resal_s+('2029'!Salim-'2029'!Resal_s)*(1-EXP(('2029'!Tnet_s-t)/'2029'!Tau_j)),Resal_s+(Salim-Resal_s)*(1-EXP((Tnet_s-t)/Tau_j)))*Salcycl</f>
        <v>6.5922290276567819E-2</v>
      </c>
      <c r="AD128" s="227">
        <f>(INDEX(Models!$BJ128:$BT128,,AH128)*(1-AF128)+INDEX(Models!$BJ128:$BT128,,AH128+1)*AF128-ERP_i)*AE128*Ramure*Pc/MaxiM</f>
        <v>4.1469209959052255E-4</v>
      </c>
      <c r="AE128" s="301">
        <f t="shared" si="40"/>
        <v>0.5</v>
      </c>
      <c r="AF128" s="173">
        <f t="shared" si="41"/>
        <v>5.2233442084580695E-2</v>
      </c>
      <c r="AG128" s="801">
        <f t="shared" si="49"/>
        <v>4</v>
      </c>
      <c r="AH128" s="172">
        <f t="shared" si="42"/>
        <v>10</v>
      </c>
      <c r="AI128" s="221">
        <f t="shared" si="43"/>
        <v>4.0522334420845807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47598</v>
      </c>
      <c r="B129" s="406">
        <f>'2029'!Wh/'2029'!Env_an*'2030'!Env_an</f>
        <v>184.34859383973961</v>
      </c>
      <c r="C129" s="831"/>
      <c r="D129" s="388">
        <f t="shared" si="25"/>
        <v>192.53504497501331</v>
      </c>
      <c r="E129" s="380">
        <f t="shared" si="47"/>
        <v>202.21770489962472</v>
      </c>
      <c r="F129" s="380">
        <f t="shared" si="26"/>
        <v>202.22465024688213</v>
      </c>
      <c r="G129" s="110">
        <f t="shared" si="48"/>
        <v>0.84907299731099029</v>
      </c>
      <c r="H129" s="409" t="b">
        <f>Wh_hp&gt;='2029'!Maxi_hp</f>
        <v>0</v>
      </c>
      <c r="I129" s="385">
        <f>IF(H129,Wh_hp,'2029'!Maxi_hp)</f>
        <v>202.22642306319699</v>
      </c>
      <c r="J129" s="85">
        <f>IF(H129,An,'2029'!An_max)</f>
        <v>2029</v>
      </c>
      <c r="K129" s="193">
        <f t="shared" si="27"/>
        <v>47598</v>
      </c>
      <c r="L129" s="143">
        <f>IF(t&lt;Tvie,1-EXP((T0-t)*PertePVj)+'2029'!Pspv,1-EXP((T0-t)*PertePVj)+Pspv)</f>
        <v>4.2519278172636676E-2</v>
      </c>
      <c r="M129" s="835"/>
      <c r="N129" s="835"/>
      <c r="O129" s="48">
        <f>IF(t&lt;Tnet,'2029'!Resal+('2029'!Salim-'2029'!Resal)*(1-EXP(('2029'!Tnet-t)/('2029'!Tau_j))),Resal+(Salim-Resal)*(1-EXP((Tnet-t)/(Tau_j))))*Salcycl</f>
        <v>4.7882354957087578E-2</v>
      </c>
      <c r="P129" s="165">
        <f>(INDEX(Models!$BJ129:$BT129,,T129)*(1-R129)+INDEX(Models!$BJ129:$BT129,,T129+1)*R129-ERP_i)*Q129*Ramure*Pc/MaxiM</f>
        <v>4.3784609997036877E-5</v>
      </c>
      <c r="Q129" s="301">
        <f t="shared" si="28"/>
        <v>0.5</v>
      </c>
      <c r="R129" s="173">
        <f t="shared" si="29"/>
        <v>0.52955671721556807</v>
      </c>
      <c r="S129" s="801">
        <f t="shared" si="30"/>
        <v>0</v>
      </c>
      <c r="T129" s="172">
        <f t="shared" si="31"/>
        <v>6</v>
      </c>
      <c r="U129" s="247">
        <f t="shared" si="32"/>
        <v>0.52955671721556807</v>
      </c>
      <c r="V129" s="378">
        <f t="shared" si="33"/>
        <v>217.11543545934106</v>
      </c>
      <c r="W129" s="397">
        <f t="shared" si="34"/>
        <v>184.34859383973961</v>
      </c>
      <c r="X129" s="153">
        <f t="shared" si="35"/>
        <v>47598</v>
      </c>
      <c r="Y129" s="380">
        <f t="shared" si="36"/>
        <v>180.79393276868998</v>
      </c>
      <c r="Z129" s="380">
        <f t="shared" si="37"/>
        <v>188.82253046687208</v>
      </c>
      <c r="AA129" s="381">
        <f t="shared" si="38"/>
        <v>202.15828930174177</v>
      </c>
      <c r="AB129" s="193">
        <f t="shared" si="39"/>
        <v>47598</v>
      </c>
      <c r="AC129" s="119">
        <f>IF(OR(t&lt;Tnet,NoTnet),'2029'!Resal_s+('2029'!Salim-'2029'!Resal_s)*(1-EXP(('2029'!Tnet_s-t)/'2029'!Tau_j)),Resal_s+(Salim-Resal_s)*(1-EXP((Tnet_s-t)/Tau_j)))*Salcycl</f>
        <v>6.5966915731883402E-2</v>
      </c>
      <c r="AD129" s="227">
        <f>(INDEX(Models!$BJ129:$BT129,,AH129)*(1-AF129)+INDEX(Models!$BJ129:$BT129,,AH129+1)*AF129-ERP_i)*AE129*Ramure*Pc/MaxiM</f>
        <v>4.1835029902886878E-4</v>
      </c>
      <c r="AE129" s="301">
        <f t="shared" si="40"/>
        <v>0.5</v>
      </c>
      <c r="AF129" s="173">
        <f t="shared" si="41"/>
        <v>5.4544283589546438E-2</v>
      </c>
      <c r="AG129" s="801">
        <f t="shared" si="49"/>
        <v>4</v>
      </c>
      <c r="AH129" s="172">
        <f t="shared" si="42"/>
        <v>10</v>
      </c>
      <c r="AI129" s="221">
        <f t="shared" si="43"/>
        <v>4.0545442835895464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47599</v>
      </c>
      <c r="B130" s="406">
        <f>'2029'!Wh/'2029'!Env_an*'2030'!Env_an</f>
        <v>216.63008147638112</v>
      </c>
      <c r="C130" s="831"/>
      <c r="D130" s="388">
        <f t="shared" si="25"/>
        <v>226.25316840575928</v>
      </c>
      <c r="E130" s="380">
        <f t="shared" si="47"/>
        <v>237.64582801426272</v>
      </c>
      <c r="F130" s="380">
        <f t="shared" si="26"/>
        <v>237.65624232056439</v>
      </c>
      <c r="G130" s="110">
        <f t="shared" si="48"/>
        <v>0.99536108131944212</v>
      </c>
      <c r="H130" s="409" t="b">
        <f>Wh_hp&gt;='2029'!Maxi_hp</f>
        <v>0</v>
      </c>
      <c r="I130" s="385">
        <f>IF(H130,Wh_hp,'2029'!Maxi_hp)</f>
        <v>237.65630655679689</v>
      </c>
      <c r="J130" s="85">
        <f>IF(H130,An,'2029'!An_max)</f>
        <v>2029</v>
      </c>
      <c r="K130" s="193">
        <f t="shared" si="27"/>
        <v>47599</v>
      </c>
      <c r="L130" s="143">
        <f>IF(t&lt;Tvie,1-EXP((T0-t)*PertePVj)+'2029'!Pspv,1-EXP((T0-t)*PertePVj)+Pspv)</f>
        <v>4.2532385279662743E-2</v>
      </c>
      <c r="M130" s="835"/>
      <c r="N130" s="835"/>
      <c r="O130" s="48">
        <f>IF(t&lt;Tnet,'2029'!Resal+('2029'!Salim-'2029'!Resal)*(1-EXP(('2029'!Tnet-t)/('2029'!Tau_j))),Resal+(Salim-Resal)*(1-EXP((Tnet-t)/(Tau_j))))*Salcycl</f>
        <v>4.7939657530279386E-2</v>
      </c>
      <c r="P130" s="165">
        <f>(INDEX(Models!$BJ130:$BT130,,T130)*(1-R130)+INDEX(Models!$BJ130:$BT130,,T130+1)*R130-ERP_i)*Q130*Ramure*Pc/MaxiM</f>
        <v>4.4113203673680571E-5</v>
      </c>
      <c r="Q130" s="301">
        <f t="shared" si="28"/>
        <v>0.5</v>
      </c>
      <c r="R130" s="173">
        <f t="shared" si="29"/>
        <v>0.53193867399342709</v>
      </c>
      <c r="S130" s="801">
        <f t="shared" si="30"/>
        <v>0</v>
      </c>
      <c r="T130" s="172">
        <f t="shared" si="31"/>
        <v>6</v>
      </c>
      <c r="U130" s="247">
        <f t="shared" si="32"/>
        <v>0.53193867399342709</v>
      </c>
      <c r="V130" s="378">
        <f t="shared" si="33"/>
        <v>217.63963069654298</v>
      </c>
      <c r="W130" s="397">
        <f t="shared" si="34"/>
        <v>216.63008147638112</v>
      </c>
      <c r="X130" s="153">
        <f t="shared" si="35"/>
        <v>47599</v>
      </c>
      <c r="Y130" s="380">
        <f t="shared" si="36"/>
        <v>212.43816096416563</v>
      </c>
      <c r="Z130" s="380">
        <f t="shared" si="37"/>
        <v>221.87503545612435</v>
      </c>
      <c r="AA130" s="381">
        <f t="shared" si="38"/>
        <v>237.55674144489302</v>
      </c>
      <c r="AB130" s="193">
        <f t="shared" si="39"/>
        <v>47599</v>
      </c>
      <c r="AC130" s="119">
        <f>IF(OR(t&lt;Tnet,NoTnet),'2029'!Resal_s+('2029'!Salim-'2029'!Resal_s)*(1-EXP(('2029'!Tnet_s-t)/'2029'!Tau_j)),Resal_s+(Salim-Resal_s)*(1-EXP((Tnet_s-t)/Tau_j)))*Salcycl</f>
        <v>6.601246461534932E-2</v>
      </c>
      <c r="AD130" s="227">
        <f>(INDEX(Models!$BJ130:$BT130,,AH130)*(1-AF130)+INDEX(Models!$BJ130:$BT130,,AH130+1)*AF130-ERP_i)*AE130*Ramure*Pc/MaxiM</f>
        <v>4.214685325216973E-4</v>
      </c>
      <c r="AE130" s="301">
        <f t="shared" si="40"/>
        <v>0.5</v>
      </c>
      <c r="AF130" s="173">
        <f t="shared" si="41"/>
        <v>5.6926240367404901E-2</v>
      </c>
      <c r="AG130" s="801">
        <f t="shared" si="49"/>
        <v>4</v>
      </c>
      <c r="AH130" s="172">
        <f t="shared" si="42"/>
        <v>10</v>
      </c>
      <c r="AI130" s="221">
        <f t="shared" si="43"/>
        <v>4.0569262403674049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47600</v>
      </c>
      <c r="B131" s="406">
        <f>'2029'!Wh/'2029'!Env_an*'2030'!Env_an</f>
        <v>154.32161771631937</v>
      </c>
      <c r="C131" s="831"/>
      <c r="D131" s="388">
        <f t="shared" si="25"/>
        <v>161.17906016452318</v>
      </c>
      <c r="E131" s="380">
        <f t="shared" si="47"/>
        <v>169.30531298784402</v>
      </c>
      <c r="F131" s="380">
        <f t="shared" si="26"/>
        <v>169.30969025668236</v>
      </c>
      <c r="G131" s="110">
        <f t="shared" si="48"/>
        <v>0.70739643208679837</v>
      </c>
      <c r="H131" s="409" t="b">
        <f>Wh_hp&gt;='2029'!Maxi_hp</f>
        <v>0</v>
      </c>
      <c r="I131" s="385">
        <f>IF(H131,Wh_hp,'2029'!Maxi_hp)</f>
        <v>169.3125839842487</v>
      </c>
      <c r="J131" s="85">
        <f>IF(H131,An,'2029'!An_max)</f>
        <v>2029</v>
      </c>
      <c r="K131" s="193">
        <f t="shared" si="27"/>
        <v>47600</v>
      </c>
      <c r="L131" s="143">
        <f>IF(t&lt;Tvie,1-EXP((T0-t)*PertePVj)+'2029'!Pspv,1-EXP((T0-t)*PertePVj)+Pspv)</f>
        <v>4.2545492207263669E-2</v>
      </c>
      <c r="M131" s="835"/>
      <c r="N131" s="835"/>
      <c r="O131" s="48">
        <f>IF(t&lt;Tnet,'2029'!Resal+('2029'!Salim-'2029'!Resal)*(1-EXP(('2029'!Tnet-t)/('2029'!Tau_j))),Resal+(Salim-Resal)*(1-EXP((Tnet-t)/(Tau_j))))*Salcycl</f>
        <v>4.7997624409484969E-2</v>
      </c>
      <c r="P131" s="165">
        <f>(INDEX(Models!$BJ131:$BT131,,T131)*(1-R131)+INDEX(Models!$BJ131:$BT131,,T131+1)*R131-ERP_i)*Q131*Ramure*Pc/MaxiM</f>
        <v>4.4420988840202115E-5</v>
      </c>
      <c r="Q131" s="301">
        <f t="shared" si="28"/>
        <v>0.5</v>
      </c>
      <c r="R131" s="173">
        <f t="shared" si="29"/>
        <v>0.53439297498056204</v>
      </c>
      <c r="S131" s="801">
        <f t="shared" si="30"/>
        <v>0</v>
      </c>
      <c r="T131" s="172">
        <f t="shared" si="31"/>
        <v>6</v>
      </c>
      <c r="U131" s="247">
        <f t="shared" si="32"/>
        <v>0.53439297498056204</v>
      </c>
      <c r="V131" s="378">
        <f t="shared" si="33"/>
        <v>218.15031189938409</v>
      </c>
      <c r="W131" s="397">
        <f t="shared" si="34"/>
        <v>154.32161771631937</v>
      </c>
      <c r="X131" s="153">
        <f t="shared" si="35"/>
        <v>47600</v>
      </c>
      <c r="Y131" s="380">
        <f t="shared" si="36"/>
        <v>151.36039058270623</v>
      </c>
      <c r="Z131" s="380">
        <f t="shared" si="37"/>
        <v>158.08624780684804</v>
      </c>
      <c r="AA131" s="381">
        <f t="shared" si="38"/>
        <v>169.26790529226079</v>
      </c>
      <c r="AB131" s="193">
        <f t="shared" si="39"/>
        <v>47600</v>
      </c>
      <c r="AC131" s="119">
        <f>IF(OR(t&lt;Tnet,NoTnet),'2029'!Resal_s+('2029'!Salim-'2029'!Resal_s)*(1-EXP(('2029'!Tnet_s-t)/'2029'!Tau_j)),Resal_s+(Salim-Resal_s)*(1-EXP((Tnet_s-t)/Tau_j)))*Salcycl</f>
        <v>6.6058934599009189E-2</v>
      </c>
      <c r="AD131" s="227">
        <f>(INDEX(Models!$BJ131:$BT131,,AH131)*(1-AF131)+INDEX(Models!$BJ131:$BT131,,AH131+1)*AF131-ERP_i)*AE131*Ramure*Pc/MaxiM</f>
        <v>4.2403825463189728E-4</v>
      </c>
      <c r="AE131" s="301">
        <f t="shared" si="40"/>
        <v>0.5</v>
      </c>
      <c r="AF131" s="173">
        <f t="shared" si="41"/>
        <v>5.9380541354539851E-2</v>
      </c>
      <c r="AG131" s="801">
        <f t="shared" si="49"/>
        <v>4</v>
      </c>
      <c r="AH131" s="172">
        <f t="shared" si="42"/>
        <v>10</v>
      </c>
      <c r="AI131" s="221">
        <f t="shared" si="43"/>
        <v>4.0593805413545399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47601</v>
      </c>
      <c r="B132" s="406">
        <f>'2029'!Wh/'2029'!Env_an*'2030'!Env_an</f>
        <v>89.879385294426186</v>
      </c>
      <c r="C132" s="831"/>
      <c r="D132" s="388">
        <f t="shared" si="25"/>
        <v>93.874554825359269</v>
      </c>
      <c r="E132" s="380">
        <f t="shared" si="47"/>
        <v>98.613552729912186</v>
      </c>
      <c r="F132" s="380">
        <f t="shared" si="26"/>
        <v>98.614252260675869</v>
      </c>
      <c r="G132" s="110">
        <f t="shared" si="48"/>
        <v>0.41105250492346779</v>
      </c>
      <c r="H132" s="409" t="b">
        <f>Wh_hp&gt;='2029'!Maxi_hp</f>
        <v>0</v>
      </c>
      <c r="I132" s="385">
        <f>IF(H132,Wh_hp,'2029'!Maxi_hp)</f>
        <v>98.617650942123959</v>
      </c>
      <c r="J132" s="85">
        <f>IF(H132,An,'2029'!An_max)</f>
        <v>2029</v>
      </c>
      <c r="K132" s="193">
        <f t="shared" si="27"/>
        <v>47601</v>
      </c>
      <c r="L132" s="143">
        <f>IF(t&lt;Tvie,1-EXP((T0-t)*PertePVj)+'2029'!Pspv,1-EXP((T0-t)*PertePVj)+Pspv)</f>
        <v>4.2558598955441673E-2</v>
      </c>
      <c r="M132" s="835"/>
      <c r="N132" s="835"/>
      <c r="O132" s="48">
        <f>IF(t&lt;Tnet,'2029'!Resal+('2029'!Salim-'2029'!Resal)*(1-EXP(('2029'!Tnet-t)/('2029'!Tau_j))),Resal+(Salim-Resal)*(1-EXP((Tnet-t)/(Tau_j))))*Salcycl</f>
        <v>4.8056253662539961E-2</v>
      </c>
      <c r="P132" s="165">
        <f>(INDEX(Models!$BJ132:$BT132,,T132)*(1-R132)+INDEX(Models!$BJ132:$BT132,,T132+1)*R132-ERP_i)*Q132*Ramure*Pc/MaxiM</f>
        <v>4.4707084701152143E-5</v>
      </c>
      <c r="Q132" s="301">
        <f t="shared" si="28"/>
        <v>0.5</v>
      </c>
      <c r="R132" s="173">
        <f t="shared" si="29"/>
        <v>0.53692079902343925</v>
      </c>
      <c r="S132" s="801">
        <f t="shared" si="30"/>
        <v>0</v>
      </c>
      <c r="T132" s="172">
        <f t="shared" si="31"/>
        <v>6</v>
      </c>
      <c r="U132" s="247">
        <f t="shared" si="32"/>
        <v>0.53692079902343925</v>
      </c>
      <c r="V132" s="378">
        <f t="shared" si="33"/>
        <v>218.64847803551581</v>
      </c>
      <c r="W132" s="397">
        <f t="shared" si="34"/>
        <v>89.879385294426186</v>
      </c>
      <c r="X132" s="153">
        <f t="shared" si="35"/>
        <v>47601</v>
      </c>
      <c r="Y132" s="380">
        <f t="shared" si="36"/>
        <v>88.16982221617863</v>
      </c>
      <c r="Z132" s="380">
        <f t="shared" si="37"/>
        <v>92.089001081409577</v>
      </c>
      <c r="AA132" s="381">
        <f t="shared" si="38"/>
        <v>98.607585868728364</v>
      </c>
      <c r="AB132" s="193">
        <f t="shared" si="39"/>
        <v>47601</v>
      </c>
      <c r="AC132" s="119">
        <f>IF(OR(t&lt;Tnet,NoTnet),'2029'!Resal_s+('2029'!Salim-'2029'!Resal_s)*(1-EXP(('2029'!Tnet_s-t)/'2029'!Tau_j)),Resal_s+(Salim-Resal_s)*(1-EXP((Tnet_s-t)/Tau_j)))*Salcycl</f>
        <v>6.6106321637330032E-2</v>
      </c>
      <c r="AD132" s="227">
        <f>(INDEX(Models!$BJ132:$BT132,,AH132)*(1-AF132)+INDEX(Models!$BJ132:$BT132,,AH132+1)*AF132-ERP_i)*AE132*Ramure*Pc/MaxiM</f>
        <v>4.2604981070597307E-4</v>
      </c>
      <c r="AE132" s="301">
        <f t="shared" si="40"/>
        <v>0.5</v>
      </c>
      <c r="AF132" s="173">
        <f t="shared" si="41"/>
        <v>6.1908365397417064E-2</v>
      </c>
      <c r="AG132" s="801">
        <f t="shared" si="49"/>
        <v>4</v>
      </c>
      <c r="AH132" s="172">
        <f t="shared" si="42"/>
        <v>10</v>
      </c>
      <c r="AI132" s="221">
        <f t="shared" si="43"/>
        <v>4.0619083653974171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47602</v>
      </c>
      <c r="B133" s="406">
        <f>'2029'!Wh/'2029'!Env_an*'2030'!Env_an</f>
        <v>166.09693803480431</v>
      </c>
      <c r="C133" s="831"/>
      <c r="D133" s="388">
        <f t="shared" si="25"/>
        <v>173.4823787777691</v>
      </c>
      <c r="E133" s="380">
        <f t="shared" si="47"/>
        <v>182.25150891971288</v>
      </c>
      <c r="F133" s="380">
        <f t="shared" si="26"/>
        <v>182.2568711666658</v>
      </c>
      <c r="G133" s="110">
        <f t="shared" si="48"/>
        <v>0.75795403816758389</v>
      </c>
      <c r="H133" s="409" t="b">
        <f>Wh_hp&gt;='2029'!Maxi_hp</f>
        <v>0</v>
      </c>
      <c r="I133" s="385">
        <f>IF(H133,Wh_hp,'2029'!Maxi_hp)</f>
        <v>182.25945561582537</v>
      </c>
      <c r="J133" s="85">
        <f>IF(H133,An,'2029'!An_max)</f>
        <v>2029</v>
      </c>
      <c r="K133" s="193">
        <f t="shared" si="27"/>
        <v>47602</v>
      </c>
      <c r="L133" s="143">
        <f>IF(t&lt;Tvie,1-EXP((T0-t)*PertePVj)+'2029'!Pspv,1-EXP((T0-t)*PertePVj)+Pspv)</f>
        <v>4.257170552419931E-2</v>
      </c>
      <c r="M133" s="835"/>
      <c r="N133" s="835"/>
      <c r="O133" s="48">
        <f>IF(t&lt;Tnet,'2029'!Resal+('2029'!Salim-'2029'!Resal)*(1-EXP(('2029'!Tnet-t)/('2029'!Tau_j))),Resal+(Salim-Resal)*(1-EXP((Tnet-t)/(Tau_j))))*Salcycl</f>
        <v>4.8115542054616683E-2</v>
      </c>
      <c r="P133" s="165">
        <f>(INDEX(Models!$BJ133:$BT133,,T133)*(1-R133)+INDEX(Models!$BJ133:$BT133,,T133+1)*R133-ERP_i)*Q133*Ramure*Pc/MaxiM</f>
        <v>4.4970516002766413E-5</v>
      </c>
      <c r="Q133" s="301">
        <f t="shared" si="28"/>
        <v>0.5</v>
      </c>
      <c r="R133" s="173">
        <f t="shared" si="29"/>
        <v>0.53952326878457135</v>
      </c>
      <c r="S133" s="801">
        <f t="shared" si="30"/>
        <v>0</v>
      </c>
      <c r="T133" s="172">
        <f t="shared" si="31"/>
        <v>6</v>
      </c>
      <c r="U133" s="247">
        <f t="shared" si="32"/>
        <v>0.53952326878457135</v>
      </c>
      <c r="V133" s="378">
        <f t="shared" si="33"/>
        <v>219.13512816017783</v>
      </c>
      <c r="W133" s="397">
        <f t="shared" si="34"/>
        <v>166.09693803480431</v>
      </c>
      <c r="X133" s="153">
        <f t="shared" si="35"/>
        <v>47602</v>
      </c>
      <c r="Y133" s="380">
        <f t="shared" si="36"/>
        <v>162.90846883492094</v>
      </c>
      <c r="Z133" s="380">
        <f t="shared" si="37"/>
        <v>170.1521354391501</v>
      </c>
      <c r="AA133" s="381">
        <f t="shared" si="38"/>
        <v>182.20589732110375</v>
      </c>
      <c r="AB133" s="193">
        <f t="shared" si="39"/>
        <v>47602</v>
      </c>
      <c r="AC133" s="119">
        <f>IF(OR(t&lt;Tnet,NoTnet),'2029'!Resal_s+('2029'!Salim-'2029'!Resal_s)*(1-EXP(('2029'!Tnet_s-t)/'2029'!Tau_j)),Resal_s+(Salim-Resal_s)*(1-EXP((Tnet_s-t)/Tau_j)))*Salcycl</f>
        <v>6.6154619906243481E-2</v>
      </c>
      <c r="AD133" s="227">
        <f>(INDEX(Models!$BJ133:$BT133,,AH133)*(1-AF133)+INDEX(Models!$BJ133:$BT133,,AH133+1)*AF133-ERP_i)*AE133*Ramure*Pc/MaxiM</f>
        <v>4.2749245935307361E-4</v>
      </c>
      <c r="AE133" s="301">
        <f t="shared" si="40"/>
        <v>0.5</v>
      </c>
      <c r="AF133" s="173">
        <f t="shared" si="41"/>
        <v>6.4510835158549718E-2</v>
      </c>
      <c r="AG133" s="801">
        <f t="shared" si="49"/>
        <v>4</v>
      </c>
      <c r="AH133" s="172">
        <f t="shared" si="42"/>
        <v>10</v>
      </c>
      <c r="AI133" s="221">
        <f t="shared" si="43"/>
        <v>4.0645108351585497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47603</v>
      </c>
      <c r="B134" s="406">
        <f>'2029'!Wh/'2029'!Env_an*'2030'!Env_an</f>
        <v>162.07415246764134</v>
      </c>
      <c r="C134" s="831"/>
      <c r="D134" s="388">
        <f t="shared" si="25"/>
        <v>169.28303883665251</v>
      </c>
      <c r="E134" s="380">
        <f t="shared" si="47"/>
        <v>170.66345191355762</v>
      </c>
      <c r="F134" s="380">
        <f t="shared" si="26"/>
        <v>170.66795117529807</v>
      </c>
      <c r="G134" s="110">
        <f t="shared" si="48"/>
        <v>0.70816577250285295</v>
      </c>
      <c r="H134" s="409" t="b">
        <f>Wh_hp&gt;='2029'!Maxi_hp</f>
        <v>0</v>
      </c>
      <c r="I134" s="385">
        <f>IF(H134,Wh_hp,'2029'!Maxi_hp)</f>
        <v>170.67087048863931</v>
      </c>
      <c r="J134" s="85">
        <f>IF(H134,An,'2029'!An_max)</f>
        <v>2029</v>
      </c>
      <c r="K134" s="193">
        <f t="shared" si="27"/>
        <v>47603</v>
      </c>
      <c r="L134" s="143">
        <f>IF(t&lt;Tvie,1-EXP((T0-t)*PertePVj)+'2029'!Pspv,1-EXP((T0-t)*PertePVj)+Pspv)</f>
        <v>4.2584811913539022E-2</v>
      </c>
      <c r="M134" s="835"/>
      <c r="N134" s="835"/>
      <c r="O134" s="48">
        <f>IF(t&lt;Tnet,'2029'!Resal+('2029'!Salim-'2029'!Resal)*(1-EXP(('2029'!Tnet-t)/('2029'!Tau_j))),Resal+(Salim-Resal)*(1-EXP((Tnet-t)/(Tau_j))))*Salcycl</f>
        <v>8.0885102312609237E-3</v>
      </c>
      <c r="P134" s="165">
        <f>(INDEX(Models!$BJ134:$BT134,,T134)*(1-R134)+INDEX(Models!$BJ134:$BT134,,T134+1)*R134-ERP_i)*Q134*Ramure*Pc/MaxiM</f>
        <v>4.5210211457067984E-5</v>
      </c>
      <c r="Q134" s="301">
        <f t="shared" si="28"/>
        <v>0.5</v>
      </c>
      <c r="R134" s="173">
        <f t="shared" si="29"/>
        <v>0.54220144444185048</v>
      </c>
      <c r="S134" s="801">
        <f t="shared" si="30"/>
        <v>0</v>
      </c>
      <c r="T134" s="172">
        <f t="shared" si="31"/>
        <v>6</v>
      </c>
      <c r="U134" s="247">
        <f t="shared" si="32"/>
        <v>0.54220144444185048</v>
      </c>
      <c r="V134" s="378">
        <f t="shared" si="33"/>
        <v>228.86039396385786</v>
      </c>
      <c r="W134" s="397">
        <f t="shared" si="34"/>
        <v>162.07415246764134</v>
      </c>
      <c r="X134" s="153">
        <f t="shared" si="35"/>
        <v>47603</v>
      </c>
      <c r="Y134" s="380">
        <f t="shared" si="36"/>
        <v>155.48936237296527</v>
      </c>
      <c r="Z134" s="380">
        <f t="shared" si="37"/>
        <v>162.40536426389295</v>
      </c>
      <c r="AA134" s="381">
        <f t="shared" si="38"/>
        <v>170.62532189994863</v>
      </c>
      <c r="AB134" s="193">
        <f t="shared" si="39"/>
        <v>47603</v>
      </c>
      <c r="AC134" s="119">
        <f>IF(OR(t&lt;Tnet,NoTnet),'2029'!Resal_s+('2029'!Salim-'2029'!Resal_s)*(1-EXP(('2029'!Tnet_s-t)/'2029'!Tau_j)),Resal_s+(Salim-Resal_s)*(1-EXP((Tnet_s-t)/Tau_j)))*Salcycl</f>
        <v>4.8175485001433066E-2</v>
      </c>
      <c r="AD134" s="227">
        <f>(INDEX(Models!$BJ134:$BT134,,AH134)*(1-AF134)+INDEX(Models!$BJ134:$BT134,,AH134+1)*AF134-ERP_i)*AE134*Ramure*Pc/MaxiM</f>
        <v>4.2835439767283768E-4</v>
      </c>
      <c r="AE134" s="301">
        <f t="shared" si="40"/>
        <v>0.5</v>
      </c>
      <c r="AF134" s="173">
        <f t="shared" si="41"/>
        <v>6.7189010815829064E-2</v>
      </c>
      <c r="AG134" s="801">
        <f t="shared" si="49"/>
        <v>4</v>
      </c>
      <c r="AH134" s="172">
        <f t="shared" si="42"/>
        <v>10</v>
      </c>
      <c r="AI134" s="221">
        <f t="shared" si="43"/>
        <v>4.0671890108158291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47604</v>
      </c>
      <c r="B135" s="406">
        <f>'2029'!Wh/'2029'!Env_an*'2030'!Env_an</f>
        <v>192.92454102368646</v>
      </c>
      <c r="C135" s="831"/>
      <c r="D135" s="388">
        <f t="shared" si="25"/>
        <v>201.50837842920561</v>
      </c>
      <c r="E135" s="380">
        <f t="shared" si="47"/>
        <v>203.16876284224969</v>
      </c>
      <c r="F135" s="380">
        <f t="shared" si="26"/>
        <v>203.17589880362974</v>
      </c>
      <c r="G135" s="110">
        <f t="shared" si="48"/>
        <v>0.84121444981920612</v>
      </c>
      <c r="H135" s="409" t="b">
        <f>Wh_hp&gt;='2029'!Maxi_hp</f>
        <v>0</v>
      </c>
      <c r="I135" s="385">
        <f>IF(H135,Wh_hp,'2029'!Maxi_hp)</f>
        <v>203.17778932297188</v>
      </c>
      <c r="J135" s="85">
        <f>IF(H135,An,'2029'!An_max)</f>
        <v>2029</v>
      </c>
      <c r="K135" s="193">
        <f t="shared" si="27"/>
        <v>47604</v>
      </c>
      <c r="L135" s="143">
        <f>IF(t&lt;Tvie,1-EXP((T0-t)*PertePVj)+'2029'!Pspv,1-EXP((T0-t)*PertePVj)+Pspv)</f>
        <v>4.2597918123463252E-2</v>
      </c>
      <c r="M135" s="835"/>
      <c r="N135" s="835"/>
      <c r="O135" s="48">
        <f>IF(t&lt;Tnet,'2029'!Resal+('2029'!Salim-'2029'!Resal)*(1-EXP(('2029'!Tnet-t)/('2029'!Tau_j))),Resal+(Salim-Resal)*(1-EXP((Tnet-t)/(Tau_j))))*Salcycl</f>
        <v>8.1724394528763355E-3</v>
      </c>
      <c r="P135" s="165">
        <f>(INDEX(Models!$BJ135:$BT135,,T135)*(1-R135)+INDEX(Models!$BJ135:$BT135,,T135+1)*R135-ERP_i)*Q135*Ramure*Pc/MaxiM</f>
        <v>4.5425739134470771E-5</v>
      </c>
      <c r="Q135" s="301">
        <f t="shared" si="28"/>
        <v>0.5</v>
      </c>
      <c r="R135" s="173">
        <f t="shared" si="29"/>
        <v>0.54495631719991056</v>
      </c>
      <c r="S135" s="801">
        <f t="shared" si="30"/>
        <v>0</v>
      </c>
      <c r="T135" s="172">
        <f t="shared" si="31"/>
        <v>6</v>
      </c>
      <c r="U135" s="247">
        <f t="shared" si="32"/>
        <v>0.54495631719991056</v>
      </c>
      <c r="V135" s="378">
        <f t="shared" si="33"/>
        <v>229.33813508287705</v>
      </c>
      <c r="W135" s="397">
        <f t="shared" si="34"/>
        <v>192.92454102368646</v>
      </c>
      <c r="X135" s="153">
        <f t="shared" si="35"/>
        <v>47604</v>
      </c>
      <c r="Y135" s="380">
        <f t="shared" si="36"/>
        <v>185.07674137604826</v>
      </c>
      <c r="Z135" s="380">
        <f t="shared" si="37"/>
        <v>193.31140476871775</v>
      </c>
      <c r="AA135" s="381">
        <f t="shared" si="38"/>
        <v>203.10856505532109</v>
      </c>
      <c r="AB135" s="193">
        <f t="shared" si="39"/>
        <v>47604</v>
      </c>
      <c r="AC135" s="119">
        <f>IF(OR(t&lt;Tnet,NoTnet),'2029'!Resal_s+('2029'!Salim-'2029'!Resal_s)*(1-EXP(('2029'!Tnet_s-t)/'2029'!Tau_j)),Resal_s+(Salim-Resal_s)*(1-EXP((Tnet_s-t)/Tau_j)))*Salcycl</f>
        <v>4.8236076523581702E-2</v>
      </c>
      <c r="AD135" s="227">
        <f>(INDEX(Models!$BJ135:$BT135,,AH135)*(1-AF135)+INDEX(Models!$BJ135:$BT135,,AH135+1)*AF135-ERP_i)*AE135*Ramure*Pc/MaxiM</f>
        <v>4.2862974205234381E-4</v>
      </c>
      <c r="AE135" s="301">
        <f t="shared" si="40"/>
        <v>0.5</v>
      </c>
      <c r="AF135" s="173">
        <f t="shared" si="41"/>
        <v>6.9943883573889032E-2</v>
      </c>
      <c r="AG135" s="801">
        <f t="shared" si="49"/>
        <v>4</v>
      </c>
      <c r="AH135" s="172">
        <f t="shared" si="42"/>
        <v>10</v>
      </c>
      <c r="AI135" s="221">
        <f t="shared" si="43"/>
        <v>4.069943883573889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47605</v>
      </c>
      <c r="B136" s="406">
        <f>'2029'!Wh/'2029'!Env_an*'2030'!Env_an</f>
        <v>114.47175596488377</v>
      </c>
      <c r="C136" s="831"/>
      <c r="D136" s="388">
        <f t="shared" si="25"/>
        <v>119.56661174600153</v>
      </c>
      <c r="E136" s="380">
        <f t="shared" si="47"/>
        <v>120.56202890626911</v>
      </c>
      <c r="F136" s="380">
        <f t="shared" si="26"/>
        <v>120.56358544953954</v>
      </c>
      <c r="G136" s="110">
        <f t="shared" si="48"/>
        <v>0.49812162119852404</v>
      </c>
      <c r="H136" s="409" t="b">
        <f>Wh_hp&gt;='2029'!Maxi_hp</f>
        <v>0</v>
      </c>
      <c r="I136" s="385">
        <f>IF(H136,Wh_hp,'2029'!Maxi_hp)</f>
        <v>120.56712774043629</v>
      </c>
      <c r="J136" s="85">
        <f>IF(H136,An,'2029'!An_max)</f>
        <v>2029</v>
      </c>
      <c r="K136" s="193">
        <f t="shared" si="27"/>
        <v>47605</v>
      </c>
      <c r="L136" s="143">
        <f>IF(t&lt;Tvie,1-EXP((T0-t)*PertePVj)+'2029'!Pspv,1-EXP((T0-t)*PertePVj)+Pspv)</f>
        <v>4.2611024153974442E-2</v>
      </c>
      <c r="M136" s="835"/>
      <c r="N136" s="835"/>
      <c r="O136" s="48">
        <f>IF(t&lt;Tnet,'2029'!Resal+('2029'!Salim-'2029'!Resal)*(1-EXP(('2029'!Tnet-t)/('2029'!Tau_j))),Resal+(Salim-Resal)*(1-EXP((Tnet-t)/(Tau_j))))*Salcycl</f>
        <v>8.2564731972242372E-3</v>
      </c>
      <c r="P136" s="165">
        <f>(INDEX(Models!$BJ136:$BT136,,T136)*(1-R136)+INDEX(Models!$BJ136:$BT136,,T136+1)*R136-ERP_i)*Q136*Ramure*Pc/MaxiM</f>
        <v>4.5611620603666121E-5</v>
      </c>
      <c r="Q136" s="301">
        <f t="shared" si="28"/>
        <v>0.5</v>
      </c>
      <c r="R136" s="173">
        <f t="shared" si="29"/>
        <v>0.54778880263534557</v>
      </c>
      <c r="S136" s="801">
        <f t="shared" si="30"/>
        <v>0</v>
      </c>
      <c r="T136" s="172">
        <f t="shared" si="31"/>
        <v>6</v>
      </c>
      <c r="U136" s="247">
        <f t="shared" si="32"/>
        <v>0.54778880263534557</v>
      </c>
      <c r="V136" s="378">
        <f t="shared" si="33"/>
        <v>229.79932550042417</v>
      </c>
      <c r="W136" s="397">
        <f t="shared" si="34"/>
        <v>114.47175596488377</v>
      </c>
      <c r="X136" s="153">
        <f t="shared" si="35"/>
        <v>47605</v>
      </c>
      <c r="Y136" s="380">
        <f t="shared" si="36"/>
        <v>109.83815330004654</v>
      </c>
      <c r="Z136" s="380">
        <f t="shared" si="37"/>
        <v>114.72677884449709</v>
      </c>
      <c r="AA136" s="381">
        <f t="shared" si="38"/>
        <v>120.54896970855052</v>
      </c>
      <c r="AB136" s="193">
        <f t="shared" si="39"/>
        <v>47605</v>
      </c>
      <c r="AC136" s="119">
        <f>IF(OR(t&lt;Tnet,NoTnet),'2029'!Resal_s+('2029'!Salim-'2029'!Resal_s)*(1-EXP(('2029'!Tnet_s-t)/'2029'!Tau_j)),Resal_s+(Salim-Resal_s)*(1-EXP((Tnet_s-t)/Tau_j)))*Salcycl</f>
        <v>4.8297309202473111E-2</v>
      </c>
      <c r="AD136" s="227">
        <f>(INDEX(Models!$BJ136:$BT136,,AH136)*(1-AF136)+INDEX(Models!$BJ136:$BT136,,AH136+1)*AF136-ERP_i)*AE136*Ramure*Pc/MaxiM</f>
        <v>4.2828724745110877E-4</v>
      </c>
      <c r="AE136" s="301">
        <f t="shared" si="40"/>
        <v>0.5</v>
      </c>
      <c r="AF136" s="173">
        <f t="shared" si="41"/>
        <v>7.2776369009323716E-2</v>
      </c>
      <c r="AG136" s="801">
        <f t="shared" si="49"/>
        <v>4</v>
      </c>
      <c r="AH136" s="172">
        <f t="shared" si="42"/>
        <v>10</v>
      </c>
      <c r="AI136" s="221">
        <f t="shared" si="43"/>
        <v>4.0727763690093237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47606</v>
      </c>
      <c r="B137" s="406">
        <f>'2029'!Wh/'2029'!Env_an*'2030'!Env_an</f>
        <v>130.34377208941626</v>
      </c>
      <c r="C137" s="831"/>
      <c r="D137" s="388">
        <f t="shared" si="25"/>
        <v>136.14691593397609</v>
      </c>
      <c r="E137" s="380">
        <f t="shared" si="47"/>
        <v>137.29201547986031</v>
      </c>
      <c r="F137" s="380">
        <f t="shared" si="26"/>
        <v>137.29440662029731</v>
      </c>
      <c r="G137" s="110">
        <f t="shared" si="48"/>
        <v>0.56609423026181049</v>
      </c>
      <c r="H137" s="409" t="b">
        <f>Wh_hp&gt;='2029'!Maxi_hp</f>
        <v>0</v>
      </c>
      <c r="I137" s="385">
        <f>IF(H137,Wh_hp,'2029'!Maxi_hp)</f>
        <v>137.29789133183914</v>
      </c>
      <c r="J137" s="85">
        <f>IF(H137,An,'2029'!An_max)</f>
        <v>2029</v>
      </c>
      <c r="K137" s="193">
        <f t="shared" si="27"/>
        <v>47606</v>
      </c>
      <c r="L137" s="143">
        <f>IF(t&lt;Tvie,1-EXP((T0-t)*PertePVj)+'2029'!Pspv,1-EXP((T0-t)*PertePVj)+Pspv)</f>
        <v>4.2624130005075145E-2</v>
      </c>
      <c r="M137" s="835"/>
      <c r="N137" s="835"/>
      <c r="O137" s="48">
        <f>IF(t&lt;Tnet,'2029'!Resal+('2029'!Salim-'2029'!Resal)*(1-EXP(('2029'!Tnet-t)/('2029'!Tau_j))),Resal+(Salim-Resal)*(1-EXP((Tnet-t)/(Tau_j))))*Salcycl</f>
        <v>8.3406128308472875E-3</v>
      </c>
      <c r="P137" s="165">
        <f>(INDEX(Models!$BJ137:$BT137,,T137)*(1-R137)+INDEX(Models!$BJ137:$BT137,,T137+1)*R137-ERP_i)*Q137*Ramure*Pc/MaxiM</f>
        <v>4.5812984476745176E-5</v>
      </c>
      <c r="Q137" s="301">
        <f t="shared" si="28"/>
        <v>0.5</v>
      </c>
      <c r="R137" s="173">
        <f t="shared" si="29"/>
        <v>0.55069973390090932</v>
      </c>
      <c r="S137" s="801">
        <f t="shared" si="30"/>
        <v>0</v>
      </c>
      <c r="T137" s="172">
        <f t="shared" si="31"/>
        <v>6</v>
      </c>
      <c r="U137" s="247">
        <f t="shared" si="32"/>
        <v>0.55069973390090932</v>
      </c>
      <c r="V137" s="378">
        <f t="shared" si="33"/>
        <v>230.24447822862342</v>
      </c>
      <c r="W137" s="397">
        <f t="shared" si="34"/>
        <v>130.34377208941626</v>
      </c>
      <c r="X137" s="153">
        <f t="shared" si="35"/>
        <v>47606</v>
      </c>
      <c r="Y137" s="380">
        <f t="shared" si="36"/>
        <v>125.06556358436194</v>
      </c>
      <c r="Z137" s="380">
        <f t="shared" si="37"/>
        <v>130.63371190358592</v>
      </c>
      <c r="AA137" s="381">
        <f t="shared" si="38"/>
        <v>137.27207613787962</v>
      </c>
      <c r="AB137" s="193">
        <f t="shared" si="39"/>
        <v>47606</v>
      </c>
      <c r="AC137" s="119">
        <f>IF(OR(t&lt;Tnet,NoTnet),'2029'!Resal_s+('2029'!Salim-'2029'!Resal_s)*(1-EXP(('2029'!Tnet_s-t)/'2029'!Tau_j)),Resal_s+(Salim-Resal_s)*(1-EXP((Tnet_s-t)/Tau_j)))*Salcycl</f>
        <v>4.8359174138416471E-2</v>
      </c>
      <c r="AD137" s="227">
        <f>(INDEX(Models!$BJ137:$BT137,,AH137)*(1-AF137)+INDEX(Models!$BJ137:$BT137,,AH137+1)*AF137-ERP_i)*AE137*Ramure*Pc/MaxiM</f>
        <v>4.2784021738359395E-4</v>
      </c>
      <c r="AE137" s="301">
        <f t="shared" si="40"/>
        <v>0.5</v>
      </c>
      <c r="AF137" s="173">
        <f t="shared" si="41"/>
        <v>7.5687300274887903E-2</v>
      </c>
      <c r="AG137" s="801">
        <f t="shared" si="49"/>
        <v>4</v>
      </c>
      <c r="AH137" s="172">
        <f t="shared" si="42"/>
        <v>10</v>
      </c>
      <c r="AI137" s="221">
        <f t="shared" si="43"/>
        <v>4.0756873002748879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47607</v>
      </c>
      <c r="B138" s="406">
        <f>'2029'!Wh/'2029'!Env_an*'2030'!Env_an</f>
        <v>76.503664016090738</v>
      </c>
      <c r="C138" s="831"/>
      <c r="D138" s="388">
        <f t="shared" si="25"/>
        <v>79.910841393723743</v>
      </c>
      <c r="E138" s="380">
        <f t="shared" si="47"/>
        <v>80.589799119316865</v>
      </c>
      <c r="F138" s="380">
        <f t="shared" si="26"/>
        <v>80.589966856604377</v>
      </c>
      <c r="G138" s="110">
        <f t="shared" si="48"/>
        <v>0.33163799632745172</v>
      </c>
      <c r="H138" s="409" t="b">
        <f>Wh_hp&gt;='2029'!Maxi_hp</f>
        <v>0</v>
      </c>
      <c r="I138" s="385">
        <f>IF(H138,Wh_hp,'2029'!Maxi_hp)</f>
        <v>80.59311571013663</v>
      </c>
      <c r="J138" s="85">
        <f>IF(H138,An,'2029'!An_max)</f>
        <v>2029</v>
      </c>
      <c r="K138" s="193">
        <f t="shared" si="27"/>
        <v>47607</v>
      </c>
      <c r="L138" s="143">
        <f>IF(t&lt;Tvie,1-EXP((T0-t)*PertePVj)+'2029'!Pspv,1-EXP((T0-t)*PertePVj)+Pspv)</f>
        <v>4.2637235676767804E-2</v>
      </c>
      <c r="M138" s="835"/>
      <c r="N138" s="835"/>
      <c r="O138" s="48">
        <f>IF(t&lt;Tnet,'2029'!Resal+('2029'!Salim-'2029'!Resal)*(1-EXP(('2029'!Tnet-t)/('2029'!Tau_j))),Resal+(Salim-Resal)*(1-EXP((Tnet-t)/(Tau_j))))*Salcycl</f>
        <v>8.4248593868299672E-3</v>
      </c>
      <c r="P138" s="165">
        <f>(INDEX(Models!$BJ138:$BT138,,T138)*(1-R138)+INDEX(Models!$BJ138:$BT138,,T138+1)*R138-ERP_i)*Q138*Ramure*Pc/MaxiM</f>
        <v>4.6029650181642693E-5</v>
      </c>
      <c r="Q138" s="301">
        <f t="shared" si="28"/>
        <v>0.5</v>
      </c>
      <c r="R138" s="173">
        <f t="shared" si="29"/>
        <v>0.55368985481719979</v>
      </c>
      <c r="S138" s="801">
        <f t="shared" si="30"/>
        <v>0</v>
      </c>
      <c r="T138" s="172">
        <f t="shared" si="31"/>
        <v>6</v>
      </c>
      <c r="U138" s="247">
        <f t="shared" si="32"/>
        <v>0.55368985481719979</v>
      </c>
      <c r="V138" s="378">
        <f t="shared" si="33"/>
        <v>230.67411651123948</v>
      </c>
      <c r="W138" s="397">
        <f t="shared" si="34"/>
        <v>76.503664016090738</v>
      </c>
      <c r="X138" s="153">
        <f t="shared" si="35"/>
        <v>47607</v>
      </c>
      <c r="Y138" s="380">
        <f t="shared" si="36"/>
        <v>73.416498191635682</v>
      </c>
      <c r="Z138" s="380">
        <f t="shared" si="37"/>
        <v>76.686185140628922</v>
      </c>
      <c r="AA138" s="381">
        <f t="shared" si="38"/>
        <v>80.58840979301398</v>
      </c>
      <c r="AB138" s="193">
        <f t="shared" si="39"/>
        <v>47607</v>
      </c>
      <c r="AC138" s="119">
        <f>IF(OR(t&lt;Tnet,NoTnet),'2029'!Resal_s+('2029'!Salim-'2029'!Resal_s)*(1-EXP(('2029'!Tnet_s-t)/'2029'!Tau_j)),Resal_s+(Salim-Resal_s)*(1-EXP((Tnet_s-t)/Tau_j)))*Salcycl</f>
        <v>4.8421660911385049E-2</v>
      </c>
      <c r="AD138" s="227">
        <f>(INDEX(Models!$BJ138:$BT138,,AH138)*(1-AF138)+INDEX(Models!$BJ138:$BT138,,AH138+1)*AF138-ERP_i)*AE138*Ramure*Pc/MaxiM</f>
        <v>4.2728181338037282E-4</v>
      </c>
      <c r="AE138" s="301">
        <f t="shared" si="40"/>
        <v>0.5</v>
      </c>
      <c r="AF138" s="173">
        <f t="shared" si="41"/>
        <v>7.8677421191177821E-2</v>
      </c>
      <c r="AG138" s="801">
        <f t="shared" si="49"/>
        <v>4</v>
      </c>
      <c r="AH138" s="172">
        <f t="shared" si="42"/>
        <v>10</v>
      </c>
      <c r="AI138" s="221">
        <f t="shared" si="43"/>
        <v>4.0786774211911778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47608</v>
      </c>
      <c r="B139" s="406">
        <f>'2029'!Wh/'2029'!Env_an*'2030'!Env_an</f>
        <v>161.17033716684477</v>
      </c>
      <c r="C139" s="831"/>
      <c r="D139" s="388">
        <f t="shared" si="25"/>
        <v>168.35054536255413</v>
      </c>
      <c r="E139" s="380">
        <f t="shared" si="47"/>
        <v>169.79537042889621</v>
      </c>
      <c r="F139" s="380">
        <f t="shared" si="26"/>
        <v>169.79983036653829</v>
      </c>
      <c r="G139" s="110">
        <f t="shared" si="48"/>
        <v>0.69742514498434582</v>
      </c>
      <c r="H139" s="409" t="b">
        <f>Wh_hp&gt;='2029'!Maxi_hp</f>
        <v>0</v>
      </c>
      <c r="I139" s="385">
        <f>IF(H139,Wh_hp,'2029'!Maxi_hp)</f>
        <v>169.80283254720402</v>
      </c>
      <c r="J139" s="85">
        <f>IF(H139,An,'2029'!An_max)</f>
        <v>2029</v>
      </c>
      <c r="K139" s="193">
        <f t="shared" si="27"/>
        <v>47608</v>
      </c>
      <c r="L139" s="143">
        <f>IF(t&lt;Tvie,1-EXP((T0-t)*PertePVj)+'2029'!Pspv,1-EXP((T0-t)*PertePVj)+Pspv)</f>
        <v>4.2650341169054751E-2</v>
      </c>
      <c r="M139" s="835"/>
      <c r="N139" s="835"/>
      <c r="O139" s="48">
        <f>IF(t&lt;Tnet,'2029'!Resal+('2029'!Salim-'2029'!Resal)*(1-EXP(('2029'!Tnet-t)/('2029'!Tau_j))),Resal+(Salim-Resal)*(1-EXP((Tnet-t)/(Tau_j))))*Salcycl</f>
        <v>8.5092135474160082E-3</v>
      </c>
      <c r="P139" s="165">
        <f>(INDEX(Models!$BJ139:$BT139,,T139)*(1-R139)+INDEX(Models!$BJ139:$BT139,,T139+1)*R139-ERP_i)*Q139*Ramure*Pc/MaxiM</f>
        <v>4.6261423647241457E-5</v>
      </c>
      <c r="Q139" s="301">
        <f t="shared" si="28"/>
        <v>0.5</v>
      </c>
      <c r="R139" s="173">
        <f t="shared" si="29"/>
        <v>0.55675981288377618</v>
      </c>
      <c r="S139" s="801">
        <f t="shared" si="30"/>
        <v>0</v>
      </c>
      <c r="T139" s="172">
        <f t="shared" si="31"/>
        <v>6</v>
      </c>
      <c r="U139" s="247">
        <f t="shared" si="32"/>
        <v>0.55675981288377618</v>
      </c>
      <c r="V139" s="378">
        <f t="shared" si="33"/>
        <v>231.08876350191724</v>
      </c>
      <c r="W139" s="397">
        <f t="shared" si="34"/>
        <v>161.17033716684477</v>
      </c>
      <c r="X139" s="153">
        <f t="shared" si="35"/>
        <v>47608</v>
      </c>
      <c r="Y139" s="380">
        <f t="shared" si="36"/>
        <v>154.63876901133884</v>
      </c>
      <c r="Z139" s="380">
        <f t="shared" si="37"/>
        <v>161.52799302208339</v>
      </c>
      <c r="AA139" s="381">
        <f t="shared" si="38"/>
        <v>169.75870255670426</v>
      </c>
      <c r="AB139" s="193">
        <f t="shared" si="39"/>
        <v>47608</v>
      </c>
      <c r="AC139" s="119">
        <f>IF(OR(t&lt;Tnet,NoTnet),'2029'!Resal_s+('2029'!Salim-'2029'!Resal_s)*(1-EXP(('2029'!Tnet_s-t)/'2029'!Tau_j)),Resal_s+(Salim-Resal_s)*(1-EXP((Tnet_s-t)/Tau_j)))*Salcycl</f>
        <v>4.848475754503128E-2</v>
      </c>
      <c r="AD139" s="227">
        <f>(INDEX(Models!$BJ139:$BT139,,AH139)*(1-AF139)+INDEX(Models!$BJ139:$BT139,,AH139+1)*AF139-ERP_i)*AE139*Ramure*Pc/MaxiM</f>
        <v>4.2660485125583576E-4</v>
      </c>
      <c r="AE139" s="301">
        <f t="shared" si="40"/>
        <v>0.5</v>
      </c>
      <c r="AF139" s="173">
        <f t="shared" si="41"/>
        <v>8.1747379257754105E-2</v>
      </c>
      <c r="AG139" s="801">
        <f t="shared" si="49"/>
        <v>4</v>
      </c>
      <c r="AH139" s="172">
        <f t="shared" si="42"/>
        <v>10</v>
      </c>
      <c r="AI139" s="221">
        <f t="shared" si="43"/>
        <v>4.0817473792577541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47609</v>
      </c>
      <c r="B140" s="406">
        <f>'2029'!Wh/'2029'!Env_an*'2030'!Env_an</f>
        <v>149.93372708703407</v>
      </c>
      <c r="C140" s="831"/>
      <c r="D140" s="388">
        <f t="shared" si="25"/>
        <v>156.61548338048013</v>
      </c>
      <c r="E140" s="380">
        <f t="shared" si="47"/>
        <v>157.97305255192833</v>
      </c>
      <c r="F140" s="380">
        <f t="shared" si="26"/>
        <v>157.97670193363618</v>
      </c>
      <c r="G140" s="110">
        <f t="shared" si="48"/>
        <v>0.64767766444803987</v>
      </c>
      <c r="H140" s="409" t="b">
        <f>Wh_hp&gt;='2029'!Maxi_hp</f>
        <v>0</v>
      </c>
      <c r="I140" s="385">
        <f>IF(H140,Wh_hp,'2029'!Maxi_hp)</f>
        <v>157.97995351825637</v>
      </c>
      <c r="J140" s="85">
        <f>IF(H140,An,'2029'!An_max)</f>
        <v>2029</v>
      </c>
      <c r="K140" s="193">
        <f t="shared" si="27"/>
        <v>47609</v>
      </c>
      <c r="L140" s="143">
        <f>IF(t&lt;Tvie,1-EXP((T0-t)*PertePVj)+'2029'!Pspv,1-EXP((T0-t)*PertePVj)+Pspv)</f>
        <v>4.2663446481938538E-2</v>
      </c>
      <c r="M140" s="835"/>
      <c r="N140" s="835"/>
      <c r="O140" s="48">
        <f>IF(t&lt;Tnet,'2029'!Resal+('2029'!Salim-'2029'!Resal)*(1-EXP(('2029'!Tnet-t)/('2029'!Tau_j))),Resal+(Salim-Resal)*(1-EXP((Tnet-t)/(Tau_j))))*Salcycl</f>
        <v>8.5936756270626885E-3</v>
      </c>
      <c r="P140" s="165">
        <f>(INDEX(Models!$BJ140:$BT140,,T140)*(1-R140)+INDEX(Models!$BJ140:$BT140,,T140+1)*R140-ERP_i)*Q140*Ramure*Pc/MaxiM</f>
        <v>4.6508095829842796E-5</v>
      </c>
      <c r="Q140" s="301">
        <f t="shared" si="28"/>
        <v>0.5</v>
      </c>
      <c r="R140" s="173">
        <f t="shared" si="29"/>
        <v>0.55991015224511753</v>
      </c>
      <c r="S140" s="801">
        <f t="shared" si="30"/>
        <v>0</v>
      </c>
      <c r="T140" s="172">
        <f t="shared" si="31"/>
        <v>6</v>
      </c>
      <c r="U140" s="247">
        <f t="shared" si="32"/>
        <v>0.55991015224511753</v>
      </c>
      <c r="V140" s="378">
        <f t="shared" si="33"/>
        <v>231.48894224176925</v>
      </c>
      <c r="W140" s="397">
        <f t="shared" si="34"/>
        <v>149.93372708703407</v>
      </c>
      <c r="X140" s="153">
        <f t="shared" si="35"/>
        <v>47609</v>
      </c>
      <c r="Y140" s="380">
        <f t="shared" si="36"/>
        <v>143.8641222706016</v>
      </c>
      <c r="Z140" s="380">
        <f t="shared" si="37"/>
        <v>150.27538825497004</v>
      </c>
      <c r="AA140" s="381">
        <f t="shared" si="38"/>
        <v>157.94329025993878</v>
      </c>
      <c r="AB140" s="193">
        <f t="shared" si="39"/>
        <v>47609</v>
      </c>
      <c r="AC140" s="119">
        <f>IF(OR(t&lt;Tnet,NoTnet),'2029'!Resal_s+('2029'!Salim-'2029'!Resal_s)*(1-EXP(('2029'!Tnet_s-t)/'2029'!Tau_j)),Resal_s+(Salim-Resal_s)*(1-EXP((Tnet_s-t)/Tau_j)))*Salcycl</f>
        <v>4.8548450474528548E-2</v>
      </c>
      <c r="AD140" s="227">
        <f>(INDEX(Models!$BJ140:$BT140,,AH140)*(1-AF140)+INDEX(Models!$BJ140:$BT140,,AH140+1)*AF140-ERP_i)*AE140*Ramure*Pc/MaxiM</f>
        <v>4.2580180604755396E-4</v>
      </c>
      <c r="AE140" s="301">
        <f t="shared" si="40"/>
        <v>0.5</v>
      </c>
      <c r="AF140" s="173">
        <f t="shared" si="41"/>
        <v>8.4897718619095563E-2</v>
      </c>
      <c r="AG140" s="801">
        <f t="shared" si="49"/>
        <v>4</v>
      </c>
      <c r="AH140" s="172">
        <f t="shared" si="42"/>
        <v>10</v>
      </c>
      <c r="AI140" s="221">
        <f t="shared" si="43"/>
        <v>4.0848977186190956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47610</v>
      </c>
      <c r="B141" s="406">
        <f>'2029'!Wh/'2029'!Env_an*'2030'!Env_an</f>
        <v>190.14758928487075</v>
      </c>
      <c r="C141" s="831"/>
      <c r="D141" s="388">
        <f t="shared" si="25"/>
        <v>198.62418454884036</v>
      </c>
      <c r="E141" s="380">
        <f t="shared" si="47"/>
        <v>200.3629837219278</v>
      </c>
      <c r="F141" s="380">
        <f t="shared" si="26"/>
        <v>200.36994575185003</v>
      </c>
      <c r="G141" s="110">
        <f t="shared" si="48"/>
        <v>0.82003303032335373</v>
      </c>
      <c r="H141" s="409" t="b">
        <f>Wh_hp&gt;='2029'!Maxi_hp</f>
        <v>0</v>
      </c>
      <c r="I141" s="385">
        <f>IF(H141,Wh_hp,'2029'!Maxi_hp)</f>
        <v>200.37205219920017</v>
      </c>
      <c r="J141" s="85">
        <f>IF(H141,An,'2029'!An_max)</f>
        <v>2029</v>
      </c>
      <c r="K141" s="193">
        <f t="shared" si="27"/>
        <v>47610</v>
      </c>
      <c r="L141" s="143">
        <f>IF(t&lt;Tvie,1-EXP((T0-t)*PertePVj)+'2029'!Pspv,1-EXP((T0-t)*PertePVj)+Pspv)</f>
        <v>4.267655161542161E-2</v>
      </c>
      <c r="M141" s="835"/>
      <c r="N141" s="835"/>
      <c r="O141" s="48">
        <f>IF(t&lt;Tnet,'2029'!Resal+('2029'!Salim-'2029'!Resal)*(1-EXP(('2029'!Tnet-t)/('2029'!Tau_j))),Resal+(Salim-Resal)*(1-EXP((Tnet-t)/(Tau_j))))*Salcycl</f>
        <v>8.6782455560784812E-3</v>
      </c>
      <c r="P141" s="165">
        <f>(INDEX(Models!$BJ141:$BT141,,T141)*(1-R141)+INDEX(Models!$BJ141:$BT141,,T141+1)*R141-ERP_i)*Q141*Ramure*Pc/MaxiM</f>
        <v>4.6769441243443122E-5</v>
      </c>
      <c r="Q141" s="301">
        <f t="shared" si="28"/>
        <v>0.5</v>
      </c>
      <c r="R141" s="173">
        <f t="shared" si="29"/>
        <v>0.56314130665026985</v>
      </c>
      <c r="S141" s="801">
        <f t="shared" si="30"/>
        <v>0</v>
      </c>
      <c r="T141" s="172">
        <f t="shared" si="31"/>
        <v>6</v>
      </c>
      <c r="U141" s="247">
        <f t="shared" si="32"/>
        <v>0.56314130665026985</v>
      </c>
      <c r="V141" s="378">
        <f t="shared" si="33"/>
        <v>231.87517566104319</v>
      </c>
      <c r="W141" s="397">
        <f t="shared" si="34"/>
        <v>190.14758928487075</v>
      </c>
      <c r="X141" s="153">
        <f t="shared" si="35"/>
        <v>47610</v>
      </c>
      <c r="Y141" s="380">
        <f t="shared" si="36"/>
        <v>182.4364082418349</v>
      </c>
      <c r="Z141" s="380">
        <f t="shared" si="37"/>
        <v>190.56924652758121</v>
      </c>
      <c r="AA141" s="381">
        <f t="shared" si="38"/>
        <v>200.30670100269947</v>
      </c>
      <c r="AB141" s="193">
        <f t="shared" si="39"/>
        <v>47610</v>
      </c>
      <c r="AC141" s="119">
        <f>IF(OR(t&lt;Tnet,NoTnet),'2029'!Resal_s+('2029'!Salim-'2029'!Resal_s)*(1-EXP(('2029'!Tnet_s-t)/'2029'!Tau_j)),Resal_s+(Salim-Resal_s)*(1-EXP((Tnet_s-t)/Tau_j)))*Salcycl</f>
        <v>4.8612724518821877E-2</v>
      </c>
      <c r="AD141" s="227">
        <f>(INDEX(Models!$BJ141:$BT141,,AH141)*(1-AF141)+INDEX(Models!$BJ141:$BT141,,AH141+1)*AF141-ERP_i)*AE141*Ramure*Pc/MaxiM</f>
        <v>4.2486481850791282E-4</v>
      </c>
      <c r="AE141" s="301">
        <f t="shared" si="40"/>
        <v>0.5</v>
      </c>
      <c r="AF141" s="173">
        <f t="shared" si="41"/>
        <v>8.8128873024247767E-2</v>
      </c>
      <c r="AG141" s="801">
        <f t="shared" si="49"/>
        <v>4</v>
      </c>
      <c r="AH141" s="172">
        <f t="shared" si="42"/>
        <v>10</v>
      </c>
      <c r="AI141" s="221">
        <f t="shared" si="43"/>
        <v>4.0881288730242478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47611</v>
      </c>
      <c r="B142" s="406">
        <f>'2029'!Wh/'2029'!Env_an*'2030'!Env_an</f>
        <v>207.73381204284414</v>
      </c>
      <c r="C142" s="831"/>
      <c r="D142" s="388">
        <f t="shared" si="25"/>
        <v>216.99735458663915</v>
      </c>
      <c r="E142" s="380">
        <f t="shared" si="47"/>
        <v>218.91569594413468</v>
      </c>
      <c r="F142" s="380">
        <f t="shared" si="26"/>
        <v>218.9244369030574</v>
      </c>
      <c r="G142" s="110">
        <f t="shared" si="48"/>
        <v>0.89444191224177538</v>
      </c>
      <c r="H142" s="409" t="b">
        <f>Wh_hp&gt;='2029'!Maxi_hp</f>
        <v>0</v>
      </c>
      <c r="I142" s="385">
        <f>IF(H142,Wh_hp,'2029'!Maxi_hp)</f>
        <v>218.92578611235012</v>
      </c>
      <c r="J142" s="85">
        <f>IF(H142,An,'2029'!An_max)</f>
        <v>2029</v>
      </c>
      <c r="K142" s="193">
        <f t="shared" si="27"/>
        <v>47611</v>
      </c>
      <c r="L142" s="143">
        <f>IF(t&lt;Tvie,1-EXP((T0-t)*PertePVj)+'2029'!Pspv,1-EXP((T0-t)*PertePVj)+Pspv)</f>
        <v>4.2689656569506296E-2</v>
      </c>
      <c r="M142" s="835"/>
      <c r="N142" s="835"/>
      <c r="O142" s="48">
        <f>IF(t&lt;Tnet,'2029'!Resal+('2029'!Salim-'2029'!Resal)*(1-EXP(('2029'!Tnet-t)/('2029'!Tau_j))),Resal+(Salim-Resal)*(1-EXP((Tnet-t)/(Tau_j))))*Salcycl</f>
        <v>8.7629228649968374E-3</v>
      </c>
      <c r="P142" s="165">
        <f>(INDEX(Models!$BJ142:$BT142,,T142)*(1-R142)+INDEX(Models!$BJ142:$BT142,,T142+1)*R142-ERP_i)*Q142*Ramure*Pc/MaxiM</f>
        <v>4.7016340444000856E-5</v>
      </c>
      <c r="Q142" s="301">
        <f t="shared" si="28"/>
        <v>0.5</v>
      </c>
      <c r="R142" s="173">
        <f t="shared" si="29"/>
        <v>0.56645359244840277</v>
      </c>
      <c r="S142" s="801">
        <f t="shared" si="30"/>
        <v>0</v>
      </c>
      <c r="T142" s="172">
        <f t="shared" si="31"/>
        <v>6</v>
      </c>
      <c r="U142" s="247">
        <f t="shared" si="32"/>
        <v>0.56645359244840277</v>
      </c>
      <c r="V142" s="378">
        <f t="shared" si="33"/>
        <v>232.24799331295034</v>
      </c>
      <c r="W142" s="397">
        <f t="shared" si="34"/>
        <v>207.73381204284414</v>
      </c>
      <c r="X142" s="153">
        <f t="shared" si="35"/>
        <v>47611</v>
      </c>
      <c r="Y142" s="380">
        <f t="shared" si="36"/>
        <v>199.305126518375</v>
      </c>
      <c r="Z142" s="380">
        <f t="shared" si="37"/>
        <v>208.19280590259882</v>
      </c>
      <c r="AA142" s="381">
        <f t="shared" si="38"/>
        <v>218.84568025960886</v>
      </c>
      <c r="AB142" s="193">
        <f t="shared" si="39"/>
        <v>47611</v>
      </c>
      <c r="AC142" s="119">
        <f>IF(OR(t&lt;Tnet,NoTnet),'2029'!Resal_s+('2029'!Salim-'2029'!Resal_s)*(1-EXP(('2029'!Tnet_s-t)/'2029'!Tau_j)),Resal_s+(Salim-Resal_s)*(1-EXP((Tnet_s-t)/Tau_j)))*Salcycl</f>
        <v>4.8677562857868124E-2</v>
      </c>
      <c r="AD142" s="227">
        <f>(INDEX(Models!$BJ142:$BT142,,AH142)*(1-AF142)+INDEX(Models!$BJ142:$BT142,,AH142+1)*AF142-ERP_i)*AE142*Ramure*Pc/MaxiM</f>
        <v>4.2362047383440486E-4</v>
      </c>
      <c r="AE142" s="301">
        <f t="shared" si="40"/>
        <v>0.5</v>
      </c>
      <c r="AF142" s="173">
        <f t="shared" si="41"/>
        <v>9.1441158822380686E-2</v>
      </c>
      <c r="AG142" s="801">
        <f t="shared" si="49"/>
        <v>4</v>
      </c>
      <c r="AH142" s="172">
        <f t="shared" si="42"/>
        <v>10</v>
      </c>
      <c r="AI142" s="221">
        <f t="shared" si="43"/>
        <v>4.0914411588223807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47612</v>
      </c>
      <c r="B143" s="406">
        <f>'2029'!Wh/'2029'!Env_an*'2030'!Env_an</f>
        <v>223.99359166727612</v>
      </c>
      <c r="C143" s="831"/>
      <c r="D143" s="388">
        <f t="shared" ref="D143:D206" si="50">Wh/(1-Ppv)</f>
        <v>233.98541500213477</v>
      </c>
      <c r="E143" s="380">
        <f t="shared" si="47"/>
        <v>236.0741296536489</v>
      </c>
      <c r="F143" s="380">
        <f t="shared" ref="F143:F206" si="51">Wh_sa/(1-Pvg*MEDIAN((-Sdif+Wh/Env_an)/Csdif,0,1))</f>
        <v>236.08469222577372</v>
      </c>
      <c r="G143" s="110">
        <f t="shared" si="48"/>
        <v>0.96296390867272219</v>
      </c>
      <c r="H143" s="409" t="b">
        <f>Wh_hp&gt;='2029'!Maxi_hp</f>
        <v>0</v>
      </c>
      <c r="I143" s="385">
        <f>IF(H143,Wh_hp,'2029'!Maxi_hp)</f>
        <v>236.08520211895498</v>
      </c>
      <c r="J143" s="85">
        <f>IF(H143,An,'2029'!An_max)</f>
        <v>2029</v>
      </c>
      <c r="K143" s="193">
        <f t="shared" ref="K143:K206" si="52">t</f>
        <v>47612</v>
      </c>
      <c r="L143" s="143">
        <f>IF(t&lt;Tvie,1-EXP((T0-t)*PertePVj)+'2029'!Pspv,1-EXP((T0-t)*PertePVj)+Pspv)</f>
        <v>4.2702761344195261E-2</v>
      </c>
      <c r="M143" s="835"/>
      <c r="N143" s="835"/>
      <c r="O143" s="48">
        <f>IF(t&lt;Tnet,'2029'!Resal+('2029'!Salim-'2029'!Resal)*(1-EXP(('2029'!Tnet-t)/('2029'!Tau_j))),Resal+(Salim-Resal)*(1-EXP((Tnet-t)/(Tau_j))))*Salcycl</f>
        <v>8.8477066698436947E-3</v>
      </c>
      <c r="P143" s="165">
        <f>(INDEX(Models!$BJ143:$BT143,,T143)*(1-R143)+INDEX(Models!$BJ143:$BT143,,T143+1)*R143-ERP_i)*Q143*Ramure*Pc/MaxiM</f>
        <v>4.7239841986149374E-5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0.5698472016657482</v>
      </c>
      <c r="S143" s="801">
        <f t="shared" ref="S143:S206" si="55">INDEX(Echel_vg,T143)</f>
        <v>0</v>
      </c>
      <c r="T143" s="172">
        <f t="shared" ref="T143:T206" si="56">MIN(MATCH(Hp_vg,Echel_vg),10)</f>
        <v>6</v>
      </c>
      <c r="U143" s="247">
        <f t="shared" ref="U143:U206" si="57">IF(OR(t&lt;Ttai,Notai),Hdd+PousH*Croivg,Hdtf+PousH*(Croivg-Croi_tai))</f>
        <v>0.5698472016657482</v>
      </c>
      <c r="V143" s="378">
        <f t="shared" ref="V143:V206" si="58">MaxiM*(1-Ppv)*(1-Pvg)*(1-Psa)</f>
        <v>232.60791999780139</v>
      </c>
      <c r="W143" s="397">
        <f t="shared" ref="W143:W206" si="59">Wh*(A143&gt;Tmaj)</f>
        <v>223.99359166727612</v>
      </c>
      <c r="X143" s="153">
        <f t="shared" ref="X143:X206" si="60">t</f>
        <v>47612</v>
      </c>
      <c r="Y143" s="380">
        <f t="shared" ref="Y143:Y206" si="61">Wh_pvt_s*(1-Ppv)</f>
        <v>214.90119145024011</v>
      </c>
      <c r="Z143" s="380">
        <f t="shared" ref="Z143:Z206" si="62">Wh_sa_s*(1-Psa_s)</f>
        <v>224.48742435734488</v>
      </c>
      <c r="AA143" s="381">
        <f t="shared" ref="AA143:AA206" si="63">Wh_hp*(1-Pvg_s*MEDIAN((-Sdif+Wh/Env_an)/Csdif,0,1))</f>
        <v>235.99028638265244</v>
      </c>
      <c r="AB143" s="193">
        <f t="shared" ref="AB143:AB206" si="64">t</f>
        <v>47612</v>
      </c>
      <c r="AC143" s="119">
        <f>IF(OR(t&lt;Tnet,NoTnet),'2029'!Resal_s+('2029'!Salim-'2029'!Resal_s)*(1-EXP(('2029'!Tnet_s-t)/'2029'!Tau_j)),Resal_s+(Salim-Resal_s)*(1-EXP((Tnet_s-t)/Tau_j)))*Salcycl</f>
        <v>4.8742947015437556E-2</v>
      </c>
      <c r="AD143" s="227">
        <f>(INDEX(Models!$BJ143:$BT143,,AH143)*(1-AF143)+INDEX(Models!$BJ143:$BT143,,AH143+1)*AF143-ERP_i)*AE143*Ramure*Pc/MaxiM</f>
        <v>4.2221885530476102E-4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9.4834768039726569E-2</v>
      </c>
      <c r="AG143" s="801">
        <f t="shared" si="49"/>
        <v>4</v>
      </c>
      <c r="AH143" s="172">
        <f t="shared" ref="AH143:AH206" si="67">MIN(MATCH(Hp_vg_s,Echel_vg),10)</f>
        <v>10</v>
      </c>
      <c r="AI143" s="221">
        <f t="shared" ref="AI143:AI206" si="68">IF(OR(t&lt;Ttai,Notai),Hdd_s+PousH*Croivg,Hdtai_s+PousH*(Croivg-Croi_tai))</f>
        <v>4.0948347680397266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47613</v>
      </c>
      <c r="B144" s="406">
        <f>'2029'!Wh/'2029'!Env_an*'2030'!Env_an</f>
        <v>214.36571990707552</v>
      </c>
      <c r="C144" s="831"/>
      <c r="D144" s="388">
        <f t="shared" si="50"/>
        <v>223.93113212667706</v>
      </c>
      <c r="E144" s="380">
        <f t="shared" ref="E144:E169" si="72">Wh_pvt/(1-Psa)</f>
        <v>225.94944717756678</v>
      </c>
      <c r="F144" s="380">
        <f t="shared" si="51"/>
        <v>225.9589443341282</v>
      </c>
      <c r="G144" s="110">
        <f t="shared" ref="G144:G169" si="73">+Wh_hp/MaxiM</f>
        <v>0.92019540290311319</v>
      </c>
      <c r="H144" s="409" t="b">
        <f>Wh_hp&gt;='2029'!Maxi_hp</f>
        <v>0</v>
      </c>
      <c r="I144" s="385">
        <f>IF(H144,Wh_hp,'2029'!Maxi_hp)</f>
        <v>225.95999400514879</v>
      </c>
      <c r="J144" s="85">
        <f>IF(H144,An,'2029'!An_max)</f>
        <v>2029</v>
      </c>
      <c r="K144" s="193">
        <f t="shared" si="52"/>
        <v>47613</v>
      </c>
      <c r="L144" s="143">
        <f>IF(t&lt;Tvie,1-EXP((T0-t)*PertePVj)+'2029'!Pspv,1-EXP((T0-t)*PertePVj)+Pspv)</f>
        <v>4.2715865939490838E-2</v>
      </c>
      <c r="M144" s="835"/>
      <c r="N144" s="835"/>
      <c r="O144" s="48">
        <f>IF(t&lt;Tnet,'2029'!Resal+('2029'!Salim-'2029'!Resal)*(1-EXP(('2029'!Tnet-t)/('2029'!Tau_j))),Resal+(Salim-Resal)*(1-EXP((Tnet-t)/(Tau_j))))*Salcycl</f>
        <v>8.9325956584598281E-3</v>
      </c>
      <c r="P144" s="165">
        <f>(INDEX(Models!$BJ144:$BT144,,T144)*(1-R144)+INDEX(Models!$BJ144:$BT144,,T144+1)*R144-ERP_i)*Q144*Ramure*Pc/MaxiM</f>
        <v>4.7438404368227442E-5</v>
      </c>
      <c r="Q144" s="301">
        <f t="shared" si="53"/>
        <v>0.5</v>
      </c>
      <c r="R144" s="173">
        <f t="shared" si="54"/>
        <v>0.57332219521246641</v>
      </c>
      <c r="S144" s="801">
        <f t="shared" si="55"/>
        <v>0</v>
      </c>
      <c r="T144" s="172">
        <f t="shared" si="56"/>
        <v>6</v>
      </c>
      <c r="U144" s="247">
        <f t="shared" si="57"/>
        <v>0.57332219521246641</v>
      </c>
      <c r="V144" s="378">
        <f t="shared" si="58"/>
        <v>232.9554786977281</v>
      </c>
      <c r="W144" s="397">
        <f t="shared" si="59"/>
        <v>214.36571990707552</v>
      </c>
      <c r="X144" s="153">
        <f t="shared" si="60"/>
        <v>47613</v>
      </c>
      <c r="Y144" s="380">
        <f t="shared" si="61"/>
        <v>205.67253676032576</v>
      </c>
      <c r="Z144" s="380">
        <f t="shared" si="62"/>
        <v>214.85004236717597</v>
      </c>
      <c r="AA144" s="381">
        <f t="shared" si="63"/>
        <v>225.87472971544537</v>
      </c>
      <c r="AB144" s="193">
        <f t="shared" si="64"/>
        <v>47613</v>
      </c>
      <c r="AC144" s="119">
        <f>IF(OR(t&lt;Tnet,NoTnet),'2029'!Resal_s+('2029'!Salim-'2029'!Resal_s)*(1-EXP(('2029'!Tnet_s-t)/'2029'!Tau_j)),Resal_s+(Salim-Resal_s)*(1-EXP((Tnet_s-t)/Tau_j)))*Salcycl</f>
        <v>4.8808856848033433E-2</v>
      </c>
      <c r="AD144" s="227">
        <f>(INDEX(Models!$BJ144:$BT144,,AH144)*(1-AF144)+INDEX(Models!$BJ144:$BT144,,AH144+1)*AF144-ERP_i)*AE144*Ramure*Pc/MaxiM</f>
        <v>4.2065297217684877E-4</v>
      </c>
      <c r="AE144" s="301">
        <f t="shared" si="65"/>
        <v>0.5</v>
      </c>
      <c r="AF144" s="173">
        <f t="shared" si="66"/>
        <v>9.8309761586444999E-2</v>
      </c>
      <c r="AG144" s="801">
        <f t="shared" ref="AG144:AG207" si="74">INDEX(Echel_vg,AH144)</f>
        <v>4</v>
      </c>
      <c r="AH144" s="172">
        <f t="shared" si="67"/>
        <v>10</v>
      </c>
      <c r="AI144" s="221">
        <f t="shared" si="68"/>
        <v>4.098309761586445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47614</v>
      </c>
      <c r="B145" s="406">
        <f>'2029'!Wh/'2029'!Env_an*'2030'!Env_an</f>
        <v>230.89052291860719</v>
      </c>
      <c r="C145" s="831"/>
      <c r="D145" s="388">
        <f t="shared" si="50"/>
        <v>241.19660552594743</v>
      </c>
      <c r="E145" s="380">
        <f t="shared" si="72"/>
        <v>243.39140899398916</v>
      </c>
      <c r="F145" s="380">
        <f t="shared" si="51"/>
        <v>243.40282713888644</v>
      </c>
      <c r="G145" s="110">
        <f t="shared" si="73"/>
        <v>0.9897088655507682</v>
      </c>
      <c r="H145" s="409" t="b">
        <f>Wh_hp&gt;='2029'!Maxi_hp</f>
        <v>0</v>
      </c>
      <c r="I145" s="385">
        <f>IF(H145,Wh_hp,'2029'!Maxi_hp)</f>
        <v>243.40297258238232</v>
      </c>
      <c r="J145" s="85">
        <f>IF(H145,An,'2029'!An_max)</f>
        <v>2029</v>
      </c>
      <c r="K145" s="193">
        <f t="shared" si="52"/>
        <v>47614</v>
      </c>
      <c r="L145" s="143">
        <f>IF(t&lt;Tvie,1-EXP((T0-t)*PertePVj)+'2029'!Pspv,1-EXP((T0-t)*PertePVj)+Pspv)</f>
        <v>4.2728970355395579E-2</v>
      </c>
      <c r="M145" s="835"/>
      <c r="N145" s="835"/>
      <c r="O145" s="48">
        <f>IF(t&lt;Tnet,'2029'!Resal+('2029'!Salim-'2029'!Resal)*(1-EXP(('2029'!Tnet-t)/('2029'!Tau_j))),Resal+(Salim-Resal)*(1-EXP((Tnet-t)/(Tau_j))))*Salcycl</f>
        <v>9.0175880780407665E-3</v>
      </c>
      <c r="P145" s="165">
        <f>(INDEX(Models!$BJ145:$BT145,,T145)*(1-R145)+INDEX(Models!$BJ145:$BT145,,T145+1)*R145-ERP_i)*Q145*Ramure*Pc/MaxiM</f>
        <v>4.7610388684627385E-5</v>
      </c>
      <c r="Q145" s="301">
        <f t="shared" si="53"/>
        <v>0.5</v>
      </c>
      <c r="R145" s="173">
        <f t="shared" si="54"/>
        <v>0.57687849627083065</v>
      </c>
      <c r="S145" s="801">
        <f t="shared" si="55"/>
        <v>0</v>
      </c>
      <c r="T145" s="172">
        <f t="shared" si="56"/>
        <v>6</v>
      </c>
      <c r="U145" s="247">
        <f t="shared" si="57"/>
        <v>0.57687849627083065</v>
      </c>
      <c r="V145" s="378">
        <f t="shared" si="58"/>
        <v>233.29119233626668</v>
      </c>
      <c r="W145" s="397">
        <f t="shared" si="59"/>
        <v>230.89052291860719</v>
      </c>
      <c r="X145" s="153">
        <f t="shared" si="60"/>
        <v>47614</v>
      </c>
      <c r="Y145" s="380">
        <f t="shared" si="61"/>
        <v>221.52294297418231</v>
      </c>
      <c r="Z145" s="380">
        <f t="shared" si="62"/>
        <v>231.41089212364938</v>
      </c>
      <c r="AA145" s="381">
        <f t="shared" si="63"/>
        <v>243.3023608324695</v>
      </c>
      <c r="AB145" s="193">
        <f t="shared" si="64"/>
        <v>47614</v>
      </c>
      <c r="AC145" s="119">
        <f>IF(OR(t&lt;Tnet,NoTnet),'2029'!Resal_s+('2029'!Salim-'2029'!Resal_s)*(1-EXP(('2029'!Tnet_s-t)/'2029'!Tau_j)),Resal_s+(Salim-Resal_s)*(1-EXP((Tnet_s-t)/Tau_j)))*Salcycl</f>
        <v>4.8875270540462271E-2</v>
      </c>
      <c r="AD145" s="227">
        <f>(INDEX(Models!$BJ145:$BT145,,AH145)*(1-AF145)+INDEX(Models!$BJ145:$BT145,,AH145+1)*AF145-ERP_i)*AE145*Ramure*Pc/MaxiM</f>
        <v>4.1891567686848748E-4</v>
      </c>
      <c r="AE145" s="301">
        <f t="shared" si="65"/>
        <v>0.5</v>
      </c>
      <c r="AF145" s="173">
        <f t="shared" si="66"/>
        <v>0.10186606264480869</v>
      </c>
      <c r="AG145" s="801">
        <f t="shared" si="74"/>
        <v>4</v>
      </c>
      <c r="AH145" s="172">
        <f t="shared" si="67"/>
        <v>10</v>
      </c>
      <c r="AI145" s="221">
        <f t="shared" si="68"/>
        <v>4.1018660626448087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47615</v>
      </c>
      <c r="B146" s="406">
        <f>'2029'!Wh/'2029'!Env_an*'2030'!Env_an</f>
        <v>173.42019680726767</v>
      </c>
      <c r="C146" s="831"/>
      <c r="D146" s="388">
        <f t="shared" si="50"/>
        <v>181.16350066606864</v>
      </c>
      <c r="E146" s="380">
        <f t="shared" si="72"/>
        <v>182.82772324106611</v>
      </c>
      <c r="F146" s="380">
        <f t="shared" si="51"/>
        <v>182.83324039667957</v>
      </c>
      <c r="G146" s="110">
        <f t="shared" si="73"/>
        <v>0.74231840835459928</v>
      </c>
      <c r="H146" s="409" t="b">
        <f>Wh_hp&gt;='2029'!Maxi_hp</f>
        <v>0</v>
      </c>
      <c r="I146" s="385">
        <f>IF(H146,Wh_hp,'2029'!Maxi_hp)</f>
        <v>182.83596719196737</v>
      </c>
      <c r="J146" s="85">
        <f>IF(H146,An,'2029'!An_max)</f>
        <v>2029</v>
      </c>
      <c r="K146" s="193">
        <f t="shared" si="52"/>
        <v>47615</v>
      </c>
      <c r="L146" s="143">
        <f>IF(t&lt;Tvie,1-EXP((T0-t)*PertePVj)+'2029'!Pspv,1-EXP((T0-t)*PertePVj)+Pspv)</f>
        <v>4.2742074591911816E-2</v>
      </c>
      <c r="M146" s="835"/>
      <c r="N146" s="835"/>
      <c r="O146" s="48">
        <f>IF(t&lt;Tnet,'2029'!Resal+('2029'!Salim-'2029'!Resal)*(1-EXP(('2029'!Tnet-t)/('2029'!Tau_j))),Resal+(Salim-Resal)*(1-EXP((Tnet-t)/(Tau_j))))*Salcycl</f>
        <v>9.1026817240573779E-3</v>
      </c>
      <c r="P146" s="165">
        <f>(INDEX(Models!$BJ146:$BT146,,T146)*(1-R146)+INDEX(Models!$BJ146:$BT146,,T146+1)*R146-ERP_i)*Q146*Ramure*Pc/MaxiM</f>
        <v>4.77540588925677E-5</v>
      </c>
      <c r="Q146" s="301">
        <f t="shared" si="53"/>
        <v>0.5</v>
      </c>
      <c r="R146" s="173">
        <f t="shared" si="54"/>
        <v>0.58051588391865949</v>
      </c>
      <c r="S146" s="801">
        <f t="shared" si="55"/>
        <v>0</v>
      </c>
      <c r="T146" s="172">
        <f t="shared" si="56"/>
        <v>6</v>
      </c>
      <c r="U146" s="247">
        <f t="shared" si="57"/>
        <v>0.58051588391865949</v>
      </c>
      <c r="V146" s="378">
        <f t="shared" si="58"/>
        <v>233.61558376280709</v>
      </c>
      <c r="W146" s="397">
        <f t="shared" si="59"/>
        <v>173.42019680726767</v>
      </c>
      <c r="X146" s="153">
        <f t="shared" si="60"/>
        <v>47615</v>
      </c>
      <c r="Y146" s="380">
        <f t="shared" si="61"/>
        <v>166.40892001156905</v>
      </c>
      <c r="Z146" s="380">
        <f t="shared" si="62"/>
        <v>173.83916663905117</v>
      </c>
      <c r="AA146" s="381">
        <f t="shared" si="63"/>
        <v>182.78506329481164</v>
      </c>
      <c r="AB146" s="193">
        <f t="shared" si="64"/>
        <v>47615</v>
      </c>
      <c r="AC146" s="119">
        <f>IF(OR(t&lt;Tnet,NoTnet),'2029'!Resal_s+('2029'!Salim-'2029'!Resal_s)*(1-EXP(('2029'!Tnet_s-t)/'2029'!Tau_j)),Resal_s+(Salim-Resal_s)*(1-EXP((Tnet_s-t)/Tau_j)))*Salcycl</f>
        <v>4.8942164608558617E-2</v>
      </c>
      <c r="AD146" s="227">
        <f>(INDEX(Models!$BJ146:$BT146,,AH146)*(1-AF146)+INDEX(Models!$BJ146:$BT146,,AH146+1)*AF146-ERP_i)*AE146*Ramure*Pc/MaxiM</f>
        <v>4.1699968626193843E-4</v>
      </c>
      <c r="AE146" s="301">
        <f t="shared" si="65"/>
        <v>0.5</v>
      </c>
      <c r="AF146" s="173">
        <f t="shared" si="66"/>
        <v>0.10550345029263752</v>
      </c>
      <c r="AG146" s="801">
        <f t="shared" si="74"/>
        <v>4</v>
      </c>
      <c r="AH146" s="172">
        <f t="shared" si="67"/>
        <v>10</v>
      </c>
      <c r="AI146" s="221">
        <f t="shared" si="68"/>
        <v>4.1055034502926375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47616</v>
      </c>
      <c r="B147" s="406">
        <f>'2029'!Wh/'2029'!Env_an*'2030'!Env_an</f>
        <v>164.78506787030946</v>
      </c>
      <c r="C147" s="831"/>
      <c r="D147" s="388">
        <f t="shared" si="50"/>
        <v>172.14516516030724</v>
      </c>
      <c r="E147" s="380">
        <f t="shared" si="72"/>
        <v>173.74147997485258</v>
      </c>
      <c r="F147" s="380">
        <f t="shared" si="51"/>
        <v>173.74628498953291</v>
      </c>
      <c r="G147" s="110">
        <f t="shared" si="73"/>
        <v>0.70440865945289377</v>
      </c>
      <c r="H147" s="409" t="b">
        <f>Wh_hp&gt;='2029'!Maxi_hp</f>
        <v>0</v>
      </c>
      <c r="I147" s="385">
        <f>IF(H147,Wh_hp,'2029'!Maxi_hp)</f>
        <v>173.74924574289659</v>
      </c>
      <c r="J147" s="85">
        <f>IF(H147,An,'2029'!An_max)</f>
        <v>2029</v>
      </c>
      <c r="K147" s="193">
        <f t="shared" si="52"/>
        <v>47616</v>
      </c>
      <c r="L147" s="143">
        <f>IF(t&lt;Tvie,1-EXP((T0-t)*PertePVj)+'2029'!Pspv,1-EXP((T0-t)*PertePVj)+Pspv)</f>
        <v>4.2755178649042103E-2</v>
      </c>
      <c r="M147" s="835"/>
      <c r="N147" s="835"/>
      <c r="O147" s="48">
        <f>IF(t&lt;Tnet,'2029'!Resal+('2029'!Salim-'2029'!Resal)*(1-EXP(('2029'!Tnet-t)/('2029'!Tau_j))),Resal+(Salim-Resal)*(1-EXP((Tnet-t)/(Tau_j))))*Salcycl</f>
        <v>9.187873930718132E-3</v>
      </c>
      <c r="P147" s="165">
        <f>(INDEX(Models!$BJ147:$BT147,,T147)*(1-R147)+INDEX(Models!$BJ147:$BT147,,T147+1)*R147-ERP_i)*Q147*Ramure*Pc/MaxiM</f>
        <v>4.7867582538997523E-5</v>
      </c>
      <c r="Q147" s="301">
        <f t="shared" si="53"/>
        <v>0.5</v>
      </c>
      <c r="R147" s="173">
        <f t="shared" si="54"/>
        <v>0.58423398704411156</v>
      </c>
      <c r="S147" s="801">
        <f t="shared" si="55"/>
        <v>0</v>
      </c>
      <c r="T147" s="172">
        <f t="shared" si="56"/>
        <v>6</v>
      </c>
      <c r="U147" s="247">
        <f t="shared" si="57"/>
        <v>0.58423398704411156</v>
      </c>
      <c r="V147" s="378">
        <f t="shared" si="58"/>
        <v>233.92917576057141</v>
      </c>
      <c r="W147" s="397">
        <f t="shared" si="59"/>
        <v>164.78506787030946</v>
      </c>
      <c r="X147" s="153">
        <f t="shared" si="60"/>
        <v>47616</v>
      </c>
      <c r="Y147" s="380">
        <f t="shared" si="61"/>
        <v>158.12866690432</v>
      </c>
      <c r="Z147" s="380">
        <f t="shared" si="62"/>
        <v>165.19145716678133</v>
      </c>
      <c r="AA147" s="381">
        <f t="shared" si="63"/>
        <v>173.70463698946642</v>
      </c>
      <c r="AB147" s="193">
        <f t="shared" si="64"/>
        <v>47616</v>
      </c>
      <c r="AC147" s="119">
        <f>IF(OR(t&lt;Tnet,NoTnet),'2029'!Resal_s+('2029'!Salim-'2029'!Resal_s)*(1-EXP(('2029'!Tnet_s-t)/'2029'!Tau_j)),Resal_s+(Salim-Resal_s)*(1-EXP((Tnet_s-t)/Tau_j)))*Salcycl</f>
        <v>4.9009513909529755E-2</v>
      </c>
      <c r="AD147" s="227">
        <f>(INDEX(Models!$BJ147:$BT147,,AH147)*(1-AF147)+INDEX(Models!$BJ147:$BT147,,AH147+1)*AF147-ERP_i)*AE147*Ramure*Pc/MaxiM</f>
        <v>4.1489760456424671E-4</v>
      </c>
      <c r="AE147" s="301">
        <f t="shared" si="65"/>
        <v>0.5</v>
      </c>
      <c r="AF147" s="173">
        <f t="shared" si="66"/>
        <v>0.10922155341808981</v>
      </c>
      <c r="AG147" s="801">
        <f t="shared" si="74"/>
        <v>4</v>
      </c>
      <c r="AH147" s="172">
        <f t="shared" si="67"/>
        <v>10</v>
      </c>
      <c r="AI147" s="221">
        <f t="shared" si="68"/>
        <v>4.1092215534180898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47617</v>
      </c>
      <c r="B148" s="406">
        <f>'2029'!Wh/'2029'!Env_an*'2030'!Env_an</f>
        <v>203.30919174283031</v>
      </c>
      <c r="C148" s="831"/>
      <c r="D148" s="388">
        <f t="shared" si="50"/>
        <v>212.39287001427641</v>
      </c>
      <c r="E148" s="380">
        <f t="shared" si="72"/>
        <v>214.38085834979677</v>
      </c>
      <c r="F148" s="380">
        <f t="shared" si="51"/>
        <v>214.38919934731106</v>
      </c>
      <c r="G148" s="110">
        <f t="shared" si="73"/>
        <v>0.86797246699316222</v>
      </c>
      <c r="H148" s="409" t="b">
        <f>Wh_hp&gt;='2029'!Maxi_hp</f>
        <v>0</v>
      </c>
      <c r="I148" s="385">
        <f>IF(H148,Wh_hp,'2029'!Maxi_hp)</f>
        <v>214.39082340655861</v>
      </c>
      <c r="J148" s="85">
        <f>IF(H148,An,'2029'!An_max)</f>
        <v>2029</v>
      </c>
      <c r="K148" s="193">
        <f t="shared" si="52"/>
        <v>47617</v>
      </c>
      <c r="L148" s="143">
        <f>IF(t&lt;Tvie,1-EXP((T0-t)*PertePVj)+'2029'!Pspv,1-EXP((T0-t)*PertePVj)+Pspv)</f>
        <v>4.276828252678877E-2</v>
      </c>
      <c r="M148" s="835"/>
      <c r="N148" s="835"/>
      <c r="O148" s="48">
        <f>IF(t&lt;Tnet,'2029'!Resal+('2029'!Salim-'2029'!Resal)*(1-EXP(('2029'!Tnet-t)/('2029'!Tau_j))),Resal+(Salim-Resal)*(1-EXP((Tnet-t)/(Tau_j))))*Salcycl</f>
        <v>9.2731615631309328E-3</v>
      </c>
      <c r="P148" s="165">
        <f>(INDEX(Models!$BJ148:$BT148,,T148)*(1-R148)+INDEX(Models!$BJ148:$BT148,,T148+1)*R148-ERP_i)*Q148*Ramure*Pc/MaxiM</f>
        <v>4.794903199364673E-5</v>
      </c>
      <c r="Q148" s="301">
        <f t="shared" si="53"/>
        <v>0.5</v>
      </c>
      <c r="R148" s="173">
        <f t="shared" si="54"/>
        <v>0.58803227860971385</v>
      </c>
      <c r="S148" s="801">
        <f t="shared" si="55"/>
        <v>0</v>
      </c>
      <c r="T148" s="172">
        <f t="shared" si="56"/>
        <v>6</v>
      </c>
      <c r="U148" s="247">
        <f t="shared" si="57"/>
        <v>0.58803227860971385</v>
      </c>
      <c r="V148" s="378">
        <f t="shared" si="58"/>
        <v>234.23249105686136</v>
      </c>
      <c r="W148" s="397">
        <f t="shared" si="59"/>
        <v>203.30919174283031</v>
      </c>
      <c r="X148" s="153">
        <f t="shared" si="60"/>
        <v>47617</v>
      </c>
      <c r="Y148" s="380">
        <f t="shared" si="61"/>
        <v>195.08315989244113</v>
      </c>
      <c r="Z148" s="380">
        <f t="shared" si="62"/>
        <v>203.79930619871115</v>
      </c>
      <c r="AA148" s="381">
        <f t="shared" si="63"/>
        <v>214.31742497195339</v>
      </c>
      <c r="AB148" s="193">
        <f t="shared" si="64"/>
        <v>47617</v>
      </c>
      <c r="AC148" s="119">
        <f>IF(OR(t&lt;Tnet,NoTnet),'2029'!Resal_s+('2029'!Salim-'2029'!Resal_s)*(1-EXP(('2029'!Tnet_s-t)/'2029'!Tau_j)),Resal_s+(Salim-Resal_s)*(1-EXP((Tnet_s-t)/Tau_j)))*Salcycl</f>
        <v>4.9077291660343005E-2</v>
      </c>
      <c r="AD148" s="227">
        <f>(INDEX(Models!$BJ148:$BT148,,AH148)*(1-AF148)+INDEX(Models!$BJ148:$BT148,,AH148+1)*AF148-ERP_i)*AE148*Ramure*Pc/MaxiM</f>
        <v>4.1260194772312764E-4</v>
      </c>
      <c r="AE148" s="301">
        <f t="shared" si="65"/>
        <v>0.5</v>
      </c>
      <c r="AF148" s="173">
        <f t="shared" si="66"/>
        <v>0.11301984498369233</v>
      </c>
      <c r="AG148" s="801">
        <f t="shared" si="74"/>
        <v>4</v>
      </c>
      <c r="AH148" s="172">
        <f t="shared" si="67"/>
        <v>10</v>
      </c>
      <c r="AI148" s="221">
        <f t="shared" si="68"/>
        <v>4.1130198449836923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47618</v>
      </c>
      <c r="B149" s="406">
        <f>'2029'!Wh/'2029'!Env_an*'2030'!Env_an</f>
        <v>213.91365182161661</v>
      </c>
      <c r="C149" s="831"/>
      <c r="D149" s="388">
        <f t="shared" si="50"/>
        <v>223.47418734163145</v>
      </c>
      <c r="E149" s="380">
        <f t="shared" si="72"/>
        <v>225.58533696920946</v>
      </c>
      <c r="F149" s="380">
        <f t="shared" si="51"/>
        <v>225.59480545450373</v>
      </c>
      <c r="G149" s="110">
        <f t="shared" si="73"/>
        <v>0.9121143136280726</v>
      </c>
      <c r="H149" s="409" t="b">
        <f>Wh_hp&gt;='2029'!Maxi_hp</f>
        <v>0</v>
      </c>
      <c r="I149" s="385">
        <f>IF(H149,Wh_hp,'2029'!Maxi_hp)</f>
        <v>225.59593675151336</v>
      </c>
      <c r="J149" s="85">
        <f>IF(H149,An,'2029'!An_max)</f>
        <v>2029</v>
      </c>
      <c r="K149" s="193">
        <f t="shared" si="52"/>
        <v>47618</v>
      </c>
      <c r="L149" s="143">
        <f>IF(t&lt;Tvie,1-EXP((T0-t)*PertePVj)+'2029'!Pspv,1-EXP((T0-t)*PertePVj)+Pspv)</f>
        <v>4.2781386225154372E-2</v>
      </c>
      <c r="M149" s="835"/>
      <c r="N149" s="835"/>
      <c r="O149" s="48">
        <f>IF(t&lt;Tnet,'2029'!Resal+('2029'!Salim-'2029'!Resal)*(1-EXP(('2029'!Tnet-t)/('2029'!Tau_j))),Resal+(Salim-Resal)*(1-EXP((Tnet-t)/(Tau_j))))*Salcycl</f>
        <v>9.3585410113166071E-3</v>
      </c>
      <c r="P149" s="165">
        <f>(INDEX(Models!$BJ149:$BT149,,T149)*(1-R149)+INDEX(Models!$BJ149:$BT149,,T149+1)*R149-ERP_i)*Q149*Ramure*Pc/MaxiM</f>
        <v>4.7996881277253856E-5</v>
      </c>
      <c r="Q149" s="301">
        <f t="shared" si="53"/>
        <v>0.5</v>
      </c>
      <c r="R149" s="173">
        <f t="shared" si="54"/>
        <v>0.59191007032475351</v>
      </c>
      <c r="S149" s="801">
        <f t="shared" si="55"/>
        <v>0</v>
      </c>
      <c r="T149" s="172">
        <f t="shared" si="56"/>
        <v>6</v>
      </c>
      <c r="U149" s="247">
        <f t="shared" si="57"/>
        <v>0.59191007032475351</v>
      </c>
      <c r="V149" s="378">
        <f t="shared" si="58"/>
        <v>234.52363327325031</v>
      </c>
      <c r="W149" s="397">
        <f t="shared" si="59"/>
        <v>213.91365182161661</v>
      </c>
      <c r="X149" s="153">
        <f t="shared" si="60"/>
        <v>47618</v>
      </c>
      <c r="Y149" s="380">
        <f t="shared" si="61"/>
        <v>205.25726357948693</v>
      </c>
      <c r="Z149" s="380">
        <f t="shared" si="62"/>
        <v>214.4309153893731</v>
      </c>
      <c r="AA149" s="381">
        <f t="shared" si="63"/>
        <v>225.51390197259349</v>
      </c>
      <c r="AB149" s="193">
        <f t="shared" si="64"/>
        <v>47618</v>
      </c>
      <c r="AC149" s="119">
        <f>IF(OR(t&lt;Tnet,NoTnet),'2029'!Resal_s+('2029'!Salim-'2029'!Resal_s)*(1-EXP(('2029'!Tnet_s-t)/'2029'!Tau_j)),Resal_s+(Salim-Resal_s)*(1-EXP((Tnet_s-t)/Tau_j)))*Salcycl</f>
        <v>4.9145469464526817E-2</v>
      </c>
      <c r="AD149" s="227">
        <f>(INDEX(Models!$BJ149:$BT149,,AH149)*(1-AF149)+INDEX(Models!$BJ149:$BT149,,AH149+1)*AF149-ERP_i)*AE149*Ramure*Pc/MaxiM</f>
        <v>4.1010939928423781E-4</v>
      </c>
      <c r="AE149" s="301">
        <f t="shared" si="65"/>
        <v>0.5</v>
      </c>
      <c r="AF149" s="173">
        <f t="shared" si="66"/>
        <v>0.11689763669873177</v>
      </c>
      <c r="AG149" s="801">
        <f t="shared" si="74"/>
        <v>4</v>
      </c>
      <c r="AH149" s="172">
        <f t="shared" si="67"/>
        <v>10</v>
      </c>
      <c r="AI149" s="221">
        <f t="shared" si="68"/>
        <v>4.1168976366987318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47619</v>
      </c>
      <c r="B150" s="406">
        <f>'2029'!Wh/'2029'!Env_an*'2030'!Env_an</f>
        <v>206.86486035782207</v>
      </c>
      <c r="C150" s="831"/>
      <c r="D150" s="388">
        <f t="shared" si="50"/>
        <v>216.11331959688323</v>
      </c>
      <c r="E150" s="380">
        <f t="shared" si="72"/>
        <v>218.17375431868709</v>
      </c>
      <c r="F150" s="380">
        <f t="shared" si="51"/>
        <v>218.18244438867583</v>
      </c>
      <c r="G150" s="110">
        <f t="shared" si="73"/>
        <v>0.88101595090129403</v>
      </c>
      <c r="H150" s="409" t="b">
        <f>Wh_hp&gt;='2029'!Maxi_hp</f>
        <v>0</v>
      </c>
      <c r="I150" s="385">
        <f>IF(H150,Wh_hp,'2029'!Maxi_hp)</f>
        <v>218.18391555281727</v>
      </c>
      <c r="J150" s="85">
        <f>IF(H150,An,'2029'!An_max)</f>
        <v>2029</v>
      </c>
      <c r="K150" s="193">
        <f t="shared" si="52"/>
        <v>47619</v>
      </c>
      <c r="L150" s="143">
        <f>IF(t&lt;Tvie,1-EXP((T0-t)*PertePVj)+'2029'!Pspv,1-EXP((T0-t)*PertePVj)+Pspv)</f>
        <v>4.2794489744141351E-2</v>
      </c>
      <c r="M150" s="835"/>
      <c r="N150" s="835"/>
      <c r="O150" s="48">
        <f>IF(t&lt;Tnet,'2029'!Resal+('2029'!Salim-'2029'!Resal)*(1-EXP(('2029'!Tnet-t)/('2029'!Tau_j))),Resal+(Salim-Resal)*(1-EXP((Tnet-t)/(Tau_j))))*Salcycl</f>
        <v>9.4440081862191827E-3</v>
      </c>
      <c r="P150" s="165">
        <f>(INDEX(Models!$BJ150:$BT150,,T150)*(1-R150)+INDEX(Models!$BJ150:$BT150,,T150+1)*R150-ERP_i)*Q150*Ramure*Pc/MaxiM</f>
        <v>4.7985285663691482E-5</v>
      </c>
      <c r="Q150" s="301">
        <f t="shared" si="53"/>
        <v>0.5</v>
      </c>
      <c r="R150" s="173">
        <f t="shared" si="54"/>
        <v>0.59586650778587968</v>
      </c>
      <c r="S150" s="801">
        <f t="shared" si="55"/>
        <v>0</v>
      </c>
      <c r="T150" s="172">
        <f t="shared" si="56"/>
        <v>6</v>
      </c>
      <c r="U150" s="247">
        <f t="shared" si="57"/>
        <v>0.59586650778587968</v>
      </c>
      <c r="V150" s="378">
        <f t="shared" si="58"/>
        <v>234.80071264009382</v>
      </c>
      <c r="W150" s="397">
        <f t="shared" si="59"/>
        <v>206.86486035782207</v>
      </c>
      <c r="X150" s="153">
        <f t="shared" si="60"/>
        <v>47619</v>
      </c>
      <c r="Y150" s="380">
        <f t="shared" si="61"/>
        <v>198.5000983094036</v>
      </c>
      <c r="Z150" s="380">
        <f t="shared" si="62"/>
        <v>207.37458798826285</v>
      </c>
      <c r="AA150" s="381">
        <f t="shared" si="63"/>
        <v>218.10858781255243</v>
      </c>
      <c r="AB150" s="193">
        <f t="shared" si="64"/>
        <v>47619</v>
      </c>
      <c r="AC150" s="119">
        <f>IF(OR(t&lt;Tnet,NoTnet),'2029'!Resal_s+('2029'!Salim-'2029'!Resal_s)*(1-EXP(('2029'!Tnet_s-t)/'2029'!Tau_j)),Resal_s+(Salim-Resal_s)*(1-EXP((Tnet_s-t)/Tau_j)))*Salcycl</f>
        <v>4.9214017347701221E-2</v>
      </c>
      <c r="AD150" s="227">
        <f>(INDEX(Models!$BJ150:$BT150,,AH150)*(1-AF150)+INDEX(Models!$BJ150:$BT150,,AH150+1)*AF150-ERP_i)*AE150*Ramure*Pc/MaxiM</f>
        <v>4.0782512776277172E-4</v>
      </c>
      <c r="AE150" s="301">
        <f t="shared" si="65"/>
        <v>0.5</v>
      </c>
      <c r="AF150" s="173">
        <f t="shared" si="66"/>
        <v>0.12085407415985738</v>
      </c>
      <c r="AG150" s="801">
        <f t="shared" si="74"/>
        <v>4</v>
      </c>
      <c r="AH150" s="172">
        <f t="shared" si="67"/>
        <v>10</v>
      </c>
      <c r="AI150" s="221">
        <f t="shared" si="68"/>
        <v>4.1208540741598574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47620</v>
      </c>
      <c r="B151" s="406">
        <f>'2029'!Wh/'2029'!Env_an*'2030'!Env_an</f>
        <v>225.51375967081594</v>
      </c>
      <c r="C151" s="831"/>
      <c r="D151" s="388">
        <f t="shared" si="50"/>
        <v>235.59919410282984</v>
      </c>
      <c r="E151" s="380">
        <f t="shared" si="72"/>
        <v>237.86595160808278</v>
      </c>
      <c r="F151" s="380">
        <f t="shared" si="51"/>
        <v>237.87668838274686</v>
      </c>
      <c r="G151" s="110">
        <f t="shared" si="73"/>
        <v>0.9593680474693641</v>
      </c>
      <c r="H151" s="409" t="b">
        <f>Wh_hp&gt;='2029'!Maxi_hp</f>
        <v>0</v>
      </c>
      <c r="I151" s="385">
        <f>IF(H151,Wh_hp,'2029'!Maxi_hp)</f>
        <v>237.87723169197011</v>
      </c>
      <c r="J151" s="85">
        <f>IF(H151,An,'2029'!An_max)</f>
        <v>2029</v>
      </c>
      <c r="K151" s="193">
        <f t="shared" si="52"/>
        <v>47620</v>
      </c>
      <c r="L151" s="143">
        <f>IF(t&lt;Tvie,1-EXP((T0-t)*PertePVj)+'2029'!Pspv,1-EXP((T0-t)*PertePVj)+Pspv)</f>
        <v>4.280759308375226E-2</v>
      </c>
      <c r="M151" s="835"/>
      <c r="N151" s="835"/>
      <c r="O151" s="48">
        <f>IF(t&lt;Tnet,'2029'!Resal+('2029'!Salim-'2029'!Resal)*(1-EXP(('2029'!Tnet-t)/('2029'!Tau_j))),Resal+(Salim-Resal)*(1-EXP((Tnet-t)/(Tau_j))))*Salcycl</f>
        <v>9.5295585178485909E-3</v>
      </c>
      <c r="P151" s="165">
        <f>(INDEX(Models!$BJ151:$BT151,,T151)*(1-R151)+INDEX(Models!$BJ151:$BT151,,T151+1)*R151-ERP_i)*Q151*Ramure*Pc/MaxiM</f>
        <v>4.7917079411342684E-5</v>
      </c>
      <c r="Q151" s="301">
        <f t="shared" si="53"/>
        <v>0.5</v>
      </c>
      <c r="R151" s="173">
        <f t="shared" si="54"/>
        <v>0.59990056614585341</v>
      </c>
      <c r="S151" s="801">
        <f t="shared" si="55"/>
        <v>0</v>
      </c>
      <c r="T151" s="172">
        <f t="shared" si="56"/>
        <v>6</v>
      </c>
      <c r="U151" s="247">
        <f t="shared" si="57"/>
        <v>0.59990056614585341</v>
      </c>
      <c r="V151" s="378">
        <f t="shared" si="58"/>
        <v>235.06425197251698</v>
      </c>
      <c r="W151" s="397">
        <f t="shared" si="59"/>
        <v>225.51375967081594</v>
      </c>
      <c r="X151" s="153">
        <f t="shared" si="60"/>
        <v>47620</v>
      </c>
      <c r="Y151" s="380">
        <f t="shared" si="61"/>
        <v>216.38960994116516</v>
      </c>
      <c r="Z151" s="380">
        <f t="shared" si="62"/>
        <v>226.06699382238077</v>
      </c>
      <c r="AA151" s="381">
        <f t="shared" si="63"/>
        <v>237.78576689791703</v>
      </c>
      <c r="AB151" s="193">
        <f t="shared" si="64"/>
        <v>47620</v>
      </c>
      <c r="AC151" s="119">
        <f>IF(OR(t&lt;Tnet,NoTnet),'2029'!Resal_s+('2029'!Salim-'2029'!Resal_s)*(1-EXP(('2029'!Tnet_s-t)/'2029'!Tau_j)),Resal_s+(Salim-Resal_s)*(1-EXP((Tnet_s-t)/Tau_j)))*Salcycl</f>
        <v>4.9282903802090161E-2</v>
      </c>
      <c r="AD151" s="227">
        <f>(INDEX(Models!$BJ151:$BT151,,AH151)*(1-AF151)+INDEX(Models!$BJ151:$BT151,,AH151+1)*AF151-ERP_i)*AE151*Ramure*Pc/MaxiM</f>
        <v>4.0577288292767785E-4</v>
      </c>
      <c r="AE151" s="301">
        <f t="shared" si="65"/>
        <v>0.5</v>
      </c>
      <c r="AF151" s="173">
        <f t="shared" si="66"/>
        <v>0.12488813251983188</v>
      </c>
      <c r="AG151" s="801">
        <f t="shared" si="74"/>
        <v>4</v>
      </c>
      <c r="AH151" s="172">
        <f t="shared" si="67"/>
        <v>10</v>
      </c>
      <c r="AI151" s="221">
        <f t="shared" si="68"/>
        <v>4.1248881325198319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47621</v>
      </c>
      <c r="B152" s="406">
        <f>'2029'!Wh/'2029'!Env_an*'2030'!Env_an</f>
        <v>216.58980891156449</v>
      </c>
      <c r="C152" s="831"/>
      <c r="D152" s="388">
        <f t="shared" si="50"/>
        <v>226.27924367112539</v>
      </c>
      <c r="E152" s="380">
        <f t="shared" si="72"/>
        <v>228.47608393304338</v>
      </c>
      <c r="F152" s="380">
        <f t="shared" si="51"/>
        <v>228.48576183761884</v>
      </c>
      <c r="G152" s="110">
        <f t="shared" si="73"/>
        <v>0.92042087825755603</v>
      </c>
      <c r="H152" s="409" t="b">
        <f>Wh_hp&gt;='2029'!Maxi_hp</f>
        <v>0</v>
      </c>
      <c r="I152" s="385">
        <f>IF(H152,Wh_hp,'2029'!Maxi_hp)</f>
        <v>228.48677432647796</v>
      </c>
      <c r="J152" s="85">
        <f>IF(H152,An,'2029'!An_max)</f>
        <v>2029</v>
      </c>
      <c r="K152" s="193">
        <f t="shared" si="52"/>
        <v>47621</v>
      </c>
      <c r="L152" s="143">
        <f>IF(t&lt;Tvie,1-EXP((T0-t)*PertePVj)+'2029'!Pspv,1-EXP((T0-t)*PertePVj)+Pspv)</f>
        <v>4.282069624398932E-2</v>
      </c>
      <c r="M152" s="835"/>
      <c r="N152" s="835"/>
      <c r="O152" s="48">
        <f>IF(t&lt;Tnet,'2029'!Resal+('2029'!Salim-'2029'!Resal)*(1-EXP(('2029'!Tnet-t)/('2029'!Tau_j))),Resal+(Salim-Resal)*(1-EXP((Tnet-t)/(Tau_j))))*Salcycl</f>
        <v>9.6151869556805967E-3</v>
      </c>
      <c r="P152" s="165">
        <f>(INDEX(Models!$BJ152:$BT152,,T152)*(1-R152)+INDEX(Models!$BJ152:$BT152,,T152+1)*R152-ERP_i)*Q152*Ramure*Pc/MaxiM</f>
        <v>4.7789262579237385E-5</v>
      </c>
      <c r="Q152" s="301">
        <f t="shared" si="53"/>
        <v>0.5</v>
      </c>
      <c r="R152" s="173">
        <f t="shared" si="54"/>
        <v>0.60401104636981051</v>
      </c>
      <c r="S152" s="801">
        <f t="shared" si="55"/>
        <v>0</v>
      </c>
      <c r="T152" s="172">
        <f t="shared" si="56"/>
        <v>6</v>
      </c>
      <c r="U152" s="247">
        <f t="shared" si="57"/>
        <v>0.60401104636981051</v>
      </c>
      <c r="V152" s="378">
        <f t="shared" si="58"/>
        <v>235.31477538370706</v>
      </c>
      <c r="W152" s="397">
        <f t="shared" si="59"/>
        <v>216.58980891156449</v>
      </c>
      <c r="X152" s="153">
        <f t="shared" si="60"/>
        <v>47621</v>
      </c>
      <c r="Y152" s="380">
        <f t="shared" si="61"/>
        <v>207.83401035253399</v>
      </c>
      <c r="Z152" s="380">
        <f t="shared" si="62"/>
        <v>217.13174275392797</v>
      </c>
      <c r="AA152" s="381">
        <f t="shared" si="63"/>
        <v>228.40395671606021</v>
      </c>
      <c r="AB152" s="193">
        <f t="shared" si="64"/>
        <v>47621</v>
      </c>
      <c r="AC152" s="119">
        <f>IF(OR(t&lt;Tnet,NoTnet),'2029'!Resal_s+('2029'!Salim-'2029'!Resal_s)*(1-EXP(('2029'!Tnet_s-t)/'2029'!Tau_j)),Resal_s+(Salim-Resal_s)*(1-EXP((Tnet_s-t)/Tau_j)))*Salcycl</f>
        <v>4.9352095840201518E-2</v>
      </c>
      <c r="AD152" s="227">
        <f>(INDEX(Models!$BJ152:$BT152,,AH152)*(1-AF152)+INDEX(Models!$BJ152:$BT152,,AH152+1)*AF152-ERP_i)*AE152*Ramure*Pc/MaxiM</f>
        <v>4.0395174430666762E-4</v>
      </c>
      <c r="AE152" s="301">
        <f t="shared" si="65"/>
        <v>0.5</v>
      </c>
      <c r="AF152" s="173">
        <f t="shared" si="66"/>
        <v>0.12899861274378832</v>
      </c>
      <c r="AG152" s="801">
        <f t="shared" si="74"/>
        <v>4</v>
      </c>
      <c r="AH152" s="172">
        <f t="shared" si="67"/>
        <v>10</v>
      </c>
      <c r="AI152" s="221">
        <f t="shared" si="68"/>
        <v>4.1289986127437883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47622</v>
      </c>
      <c r="B153" s="406">
        <f>'2029'!Wh/'2029'!Env_an*'2030'!Env_an</f>
        <v>221.08917712952976</v>
      </c>
      <c r="C153" s="831"/>
      <c r="D153" s="388">
        <f t="shared" si="50"/>
        <v>230.98305910769147</v>
      </c>
      <c r="E153" s="380">
        <f t="shared" si="72"/>
        <v>233.24574999823557</v>
      </c>
      <c r="F153" s="380">
        <f t="shared" si="51"/>
        <v>233.25587876939019</v>
      </c>
      <c r="G153" s="110">
        <f t="shared" si="73"/>
        <v>0.93859316248318292</v>
      </c>
      <c r="H153" s="409" t="b">
        <f>Wh_hp&gt;='2029'!Maxi_hp</f>
        <v>0</v>
      </c>
      <c r="I153" s="385">
        <f>IF(H153,Wh_hp,'2029'!Maxi_hp)</f>
        <v>233.25666777506135</v>
      </c>
      <c r="J153" s="85">
        <f>IF(H153,An,'2029'!An_max)</f>
        <v>2029</v>
      </c>
      <c r="K153" s="193">
        <f t="shared" si="52"/>
        <v>47622</v>
      </c>
      <c r="L153" s="143">
        <f>IF(t&lt;Tvie,1-EXP((T0-t)*PertePVj)+'2029'!Pspv,1-EXP((T0-t)*PertePVj)+Pspv)</f>
        <v>4.2833799224855196E-2</v>
      </c>
      <c r="M153" s="835"/>
      <c r="N153" s="835"/>
      <c r="O153" s="48">
        <f>IF(t&lt;Tnet,'2029'!Resal+('2029'!Salim-'2029'!Resal)*(1-EXP(('2029'!Tnet-t)/('2029'!Tau_j))),Resal+(Salim-Resal)*(1-EXP((Tnet-t)/(Tau_j))))*Salcycl</f>
        <v>9.7008879714258322E-3</v>
      </c>
      <c r="P153" s="165">
        <f>(INDEX(Models!$BJ153:$BT153,,T153)*(1-R153)+INDEX(Models!$BJ153:$BT153,,T153+1)*R153-ERP_i)*Q153*Ramure*Pc/MaxiM</f>
        <v>4.7598719710377802E-5</v>
      </c>
      <c r="Q153" s="301">
        <f t="shared" si="53"/>
        <v>0.5</v>
      </c>
      <c r="R153" s="173">
        <f t="shared" si="54"/>
        <v>0.60819657213710698</v>
      </c>
      <c r="S153" s="801">
        <f t="shared" si="55"/>
        <v>0</v>
      </c>
      <c r="T153" s="172">
        <f t="shared" si="56"/>
        <v>6</v>
      </c>
      <c r="U153" s="247">
        <f t="shared" si="57"/>
        <v>0.60819657213710698</v>
      </c>
      <c r="V153" s="378">
        <f t="shared" si="58"/>
        <v>235.55280692003316</v>
      </c>
      <c r="W153" s="397">
        <f t="shared" si="59"/>
        <v>221.08917712952976</v>
      </c>
      <c r="X153" s="153">
        <f t="shared" si="60"/>
        <v>47622</v>
      </c>
      <c r="Y153" s="380">
        <f t="shared" si="61"/>
        <v>212.15265380975242</v>
      </c>
      <c r="Z153" s="380">
        <f t="shared" si="62"/>
        <v>221.64662065787968</v>
      </c>
      <c r="AA153" s="381">
        <f t="shared" si="63"/>
        <v>233.17025835151901</v>
      </c>
      <c r="AB153" s="193">
        <f t="shared" si="64"/>
        <v>47622</v>
      </c>
      <c r="AC153" s="119">
        <f>IF(OR(t&lt;Tnet,NoTnet),'2029'!Resal_s+('2029'!Salim-'2029'!Resal_s)*(1-EXP(('2029'!Tnet_s-t)/'2029'!Tau_j)),Resal_s+(Salim-Resal_s)*(1-EXP((Tnet_s-t)/Tau_j)))*Salcycl</f>
        <v>4.9421559057788278E-2</v>
      </c>
      <c r="AD153" s="227">
        <f>(INDEX(Models!$BJ153:$BT153,,AH153)*(1-AF153)+INDEX(Models!$BJ153:$BT153,,AH153+1)*AF153-ERP_i)*AE153*Ramure*Pc/MaxiM</f>
        <v>4.0236097839639091E-4</v>
      </c>
      <c r="AE153" s="301">
        <f t="shared" si="65"/>
        <v>0.5</v>
      </c>
      <c r="AF153" s="173">
        <f t="shared" si="66"/>
        <v>0.13318413851108524</v>
      </c>
      <c r="AG153" s="801">
        <f t="shared" si="74"/>
        <v>4</v>
      </c>
      <c r="AH153" s="172">
        <f t="shared" si="67"/>
        <v>10</v>
      </c>
      <c r="AI153" s="221">
        <f t="shared" si="68"/>
        <v>4.1331841385110852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47623</v>
      </c>
      <c r="B154" s="406">
        <f>'2029'!Wh/'2029'!Env_an*'2030'!Env_an</f>
        <v>198.29888871361888</v>
      </c>
      <c r="C154" s="831"/>
      <c r="D154" s="388">
        <f t="shared" si="50"/>
        <v>207.17572678125356</v>
      </c>
      <c r="E154" s="380">
        <f t="shared" si="72"/>
        <v>209.22332338321596</v>
      </c>
      <c r="F154" s="380">
        <f t="shared" si="51"/>
        <v>209.23097942064607</v>
      </c>
      <c r="G154" s="110">
        <f t="shared" si="73"/>
        <v>0.84102852922453586</v>
      </c>
      <c r="H154" s="409" t="b">
        <f>Wh_hp&gt;='2029'!Maxi_hp</f>
        <v>0</v>
      </c>
      <c r="I154" s="385">
        <f>IF(H154,Wh_hp,'2029'!Maxi_hp)</f>
        <v>209.23278925477109</v>
      </c>
      <c r="J154" s="85">
        <f>IF(H154,An,'2029'!An_max)</f>
        <v>2029</v>
      </c>
      <c r="K154" s="193">
        <f t="shared" si="52"/>
        <v>47623</v>
      </c>
      <c r="L154" s="143">
        <f>IF(t&lt;Tvie,1-EXP((T0-t)*PertePVj)+'2029'!Pspv,1-EXP((T0-t)*PertePVj)+Pspv)</f>
        <v>4.2846902026352218E-2</v>
      </c>
      <c r="M154" s="835"/>
      <c r="N154" s="835"/>
      <c r="O154" s="48">
        <f>IF(t&lt;Tnet,'2029'!Resal+('2029'!Salim-'2029'!Resal)*(1-EXP(('2029'!Tnet-t)/('2029'!Tau_j))),Resal+(Salim-Resal)*(1-EXP((Tnet-t)/(Tau_j))))*Salcycl</f>
        <v>9.7866555642651364E-3</v>
      </c>
      <c r="P154" s="165">
        <f>(INDEX(Models!$BJ154:$BT154,,T154)*(1-R154)+INDEX(Models!$BJ154:$BT154,,T154+1)*R154-ERP_i)*Q154*Ramure*Pc/MaxiM</f>
        <v>4.7342226075104297E-5</v>
      </c>
      <c r="Q154" s="301">
        <f t="shared" si="53"/>
        <v>0.5</v>
      </c>
      <c r="R154" s="173">
        <f t="shared" si="54"/>
        <v>0.61245558744476769</v>
      </c>
      <c r="S154" s="801">
        <f t="shared" si="55"/>
        <v>0</v>
      </c>
      <c r="T154" s="172">
        <f t="shared" si="56"/>
        <v>6</v>
      </c>
      <c r="U154" s="247">
        <f t="shared" si="57"/>
        <v>0.61245558744476769</v>
      </c>
      <c r="V154" s="378">
        <f t="shared" si="58"/>
        <v>235.77887057581913</v>
      </c>
      <c r="W154" s="397">
        <f t="shared" si="59"/>
        <v>198.29888871361888</v>
      </c>
      <c r="X154" s="153">
        <f t="shared" si="60"/>
        <v>47623</v>
      </c>
      <c r="Y154" s="380">
        <f t="shared" si="61"/>
        <v>190.29566196111841</v>
      </c>
      <c r="Z154" s="380">
        <f t="shared" si="62"/>
        <v>198.81423605480259</v>
      </c>
      <c r="AA154" s="381">
        <f t="shared" si="63"/>
        <v>209.16613094478478</v>
      </c>
      <c r="AB154" s="193">
        <f t="shared" si="64"/>
        <v>47623</v>
      </c>
      <c r="AC154" s="119">
        <f>IF(OR(t&lt;Tnet,NoTnet),'2029'!Resal_s+('2029'!Salim-'2029'!Resal_s)*(1-EXP(('2029'!Tnet_s-t)/'2029'!Tau_j)),Resal_s+(Salim-Resal_s)*(1-EXP((Tnet_s-t)/Tau_j)))*Salcycl</f>
        <v>4.9491257706128569E-2</v>
      </c>
      <c r="AD154" s="227">
        <f>(INDEX(Models!$BJ154:$BT154,,AH154)*(1-AF154)+INDEX(Models!$BJ154:$BT154,,AH154+1)*AF154-ERP_i)*AE154*Ramure*Pc/MaxiM</f>
        <v>4.0100002551981384E-4</v>
      </c>
      <c r="AE154" s="301">
        <f t="shared" si="65"/>
        <v>0.5</v>
      </c>
      <c r="AF154" s="173">
        <f t="shared" si="66"/>
        <v>0.1374431538187455</v>
      </c>
      <c r="AG154" s="801">
        <f t="shared" si="74"/>
        <v>4</v>
      </c>
      <c r="AH154" s="172">
        <f t="shared" si="67"/>
        <v>10</v>
      </c>
      <c r="AI154" s="221">
        <f t="shared" si="68"/>
        <v>4.1374431538187455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47624</v>
      </c>
      <c r="B155" s="406">
        <f>'2029'!Wh/'2029'!Env_an*'2030'!Env_an</f>
        <v>205.45950684399207</v>
      </c>
      <c r="C155" s="831"/>
      <c r="D155" s="388">
        <f t="shared" si="50"/>
        <v>214.65982807304533</v>
      </c>
      <c r="E155" s="380">
        <f t="shared" si="72"/>
        <v>216.80018426483636</v>
      </c>
      <c r="F155" s="380">
        <f t="shared" si="51"/>
        <v>216.80849369851578</v>
      </c>
      <c r="G155" s="110">
        <f t="shared" si="73"/>
        <v>0.87060757916853038</v>
      </c>
      <c r="H155" s="409" t="b">
        <f>Wh_hp&gt;='2029'!Maxi_hp</f>
        <v>0</v>
      </c>
      <c r="I155" s="385">
        <f>IF(H155,Wh_hp,'2029'!Maxi_hp)</f>
        <v>216.80999913057556</v>
      </c>
      <c r="J155" s="85">
        <f>IF(H155,An,'2029'!An_max)</f>
        <v>2029</v>
      </c>
      <c r="K155" s="193">
        <f t="shared" si="52"/>
        <v>47624</v>
      </c>
      <c r="L155" s="143">
        <f>IF(t&lt;Tvie,1-EXP((T0-t)*PertePVj)+'2029'!Pspv,1-EXP((T0-t)*PertePVj)+Pspv)</f>
        <v>4.2860004648482941E-2</v>
      </c>
      <c r="M155" s="835"/>
      <c r="N155" s="835"/>
      <c r="O155" s="48">
        <f>IF(t&lt;Tnet,'2029'!Resal+('2029'!Salim-'2029'!Resal)*(1-EXP(('2029'!Tnet-t)/('2029'!Tau_j))),Resal+(Salim-Resal)*(1-EXP((Tnet-t)/(Tau_j))))*Salcycl</f>
        <v>9.8724832686324423E-3</v>
      </c>
      <c r="P155" s="165">
        <f>(INDEX(Models!$BJ155:$BT155,,T155)*(1-R155)+INDEX(Models!$BJ155:$BT155,,T155+1)*R155-ERP_i)*Q155*Ramure*Pc/MaxiM</f>
        <v>4.7016454848082123E-5</v>
      </c>
      <c r="Q155" s="301">
        <f t="shared" si="53"/>
        <v>0.5</v>
      </c>
      <c r="R155" s="173">
        <f t="shared" si="54"/>
        <v>0.61678635496571055</v>
      </c>
      <c r="S155" s="801">
        <f t="shared" si="55"/>
        <v>0</v>
      </c>
      <c r="T155" s="172">
        <f t="shared" si="56"/>
        <v>6</v>
      </c>
      <c r="U155" s="247">
        <f t="shared" si="57"/>
        <v>0.61678635496571055</v>
      </c>
      <c r="V155" s="378">
        <f t="shared" si="58"/>
        <v>235.9934902759758</v>
      </c>
      <c r="W155" s="397">
        <f t="shared" si="59"/>
        <v>205.45950684399207</v>
      </c>
      <c r="X155" s="153">
        <f t="shared" si="60"/>
        <v>47624</v>
      </c>
      <c r="Y155" s="380">
        <f t="shared" si="61"/>
        <v>197.16705480839659</v>
      </c>
      <c r="Z155" s="380">
        <f t="shared" si="62"/>
        <v>205.99604631084867</v>
      </c>
      <c r="AA155" s="381">
        <f t="shared" si="63"/>
        <v>216.73782310715177</v>
      </c>
      <c r="AB155" s="193">
        <f t="shared" si="64"/>
        <v>47624</v>
      </c>
      <c r="AC155" s="119">
        <f>IF(OR(t&lt;Tnet,NoTnet),'2029'!Resal_s+('2029'!Salim-'2029'!Resal_s)*(1-EXP(('2029'!Tnet_s-t)/'2029'!Tau_j)),Resal_s+(Salim-Resal_s)*(1-EXP((Tnet_s-t)/Tau_j)))*Salcycl</f>
        <v>4.9561154773583485E-2</v>
      </c>
      <c r="AD155" s="227">
        <f>(INDEX(Models!$BJ155:$BT155,,AH155)*(1-AF155)+INDEX(Models!$BJ155:$BT155,,AH155+1)*AF155-ERP_i)*AE155*Ramure*Pc/MaxiM</f>
        <v>3.9986848636672326E-4</v>
      </c>
      <c r="AE155" s="301">
        <f t="shared" si="65"/>
        <v>0.5</v>
      </c>
      <c r="AF155" s="173">
        <f t="shared" si="66"/>
        <v>0.14177392133968869</v>
      </c>
      <c r="AG155" s="801">
        <f t="shared" si="74"/>
        <v>4</v>
      </c>
      <c r="AH155" s="172">
        <f t="shared" si="67"/>
        <v>10</v>
      </c>
      <c r="AI155" s="221">
        <f t="shared" si="68"/>
        <v>4.1417739213396887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47625</v>
      </c>
      <c r="B156" s="406">
        <f>'2029'!Wh/'2029'!Env_an*'2030'!Env_an</f>
        <v>153.00906356585929</v>
      </c>
      <c r="C156" s="831"/>
      <c r="D156" s="388">
        <f t="shared" si="50"/>
        <v>159.86288202691503</v>
      </c>
      <c r="E156" s="380">
        <f t="shared" si="72"/>
        <v>161.47086772974313</v>
      </c>
      <c r="F156" s="380">
        <f t="shared" si="51"/>
        <v>161.47460881419366</v>
      </c>
      <c r="G156" s="110">
        <f t="shared" si="73"/>
        <v>0.64778702717679448</v>
      </c>
      <c r="H156" s="409" t="b">
        <f>Wh_hp&gt;='2029'!Maxi_hp</f>
        <v>0</v>
      </c>
      <c r="I156" s="385">
        <f>IF(H156,Wh_hp,'2029'!Maxi_hp)</f>
        <v>161.47761462431231</v>
      </c>
      <c r="J156" s="85">
        <f>IF(H156,An,'2029'!An_max)</f>
        <v>2029</v>
      </c>
      <c r="K156" s="193">
        <f t="shared" si="52"/>
        <v>47625</v>
      </c>
      <c r="L156" s="143">
        <f>IF(t&lt;Tvie,1-EXP((T0-t)*PertePVj)+'2029'!Pspv,1-EXP((T0-t)*PertePVj)+Pspv)</f>
        <v>4.2873107091249696E-2</v>
      </c>
      <c r="M156" s="835"/>
      <c r="N156" s="835"/>
      <c r="O156" s="48">
        <f>IF(t&lt;Tnet,'2029'!Resal+('2029'!Salim-'2029'!Resal)*(1-EXP(('2029'!Tnet-t)/('2029'!Tau_j))),Resal+(Salim-Resal)*(1-EXP((Tnet-t)/(Tau_j))))*Salcycl</f>
        <v>9.9583641646084076E-3</v>
      </c>
      <c r="P156" s="165">
        <f>(INDEX(Models!$BJ156:$BT156,,T156)*(1-R156)+INDEX(Models!$BJ156:$BT156,,T156+1)*R156-ERP_i)*Q156*Ramure*Pc/MaxiM</f>
        <v>4.6629306251869022E-5</v>
      </c>
      <c r="Q156" s="301">
        <f t="shared" si="53"/>
        <v>0.5</v>
      </c>
      <c r="R156" s="173">
        <f t="shared" si="54"/>
        <v>0.6211869552112661</v>
      </c>
      <c r="S156" s="801">
        <f t="shared" si="55"/>
        <v>0</v>
      </c>
      <c r="T156" s="172">
        <f t="shared" si="56"/>
        <v>6</v>
      </c>
      <c r="U156" s="247">
        <f t="shared" si="57"/>
        <v>0.6211869552112661</v>
      </c>
      <c r="V156" s="378">
        <f t="shared" si="58"/>
        <v>236.1971872076563</v>
      </c>
      <c r="W156" s="397">
        <f t="shared" si="59"/>
        <v>153.00906356585929</v>
      </c>
      <c r="X156" s="153">
        <f t="shared" si="60"/>
        <v>47625</v>
      </c>
      <c r="Y156" s="380">
        <f t="shared" si="61"/>
        <v>146.85198042141087</v>
      </c>
      <c r="Z156" s="380">
        <f t="shared" si="62"/>
        <v>153.43000129807376</v>
      </c>
      <c r="AA156" s="381">
        <f t="shared" si="63"/>
        <v>161.44259286258614</v>
      </c>
      <c r="AB156" s="193">
        <f t="shared" si="64"/>
        <v>47625</v>
      </c>
      <c r="AC156" s="119">
        <f>IF(OR(t&lt;Tnet,NoTnet),'2029'!Resal_s+('2029'!Salim-'2029'!Resal_s)*(1-EXP(('2029'!Tnet_s-t)/'2029'!Tau_j)),Resal_s+(Salim-Resal_s)*(1-EXP((Tnet_s-t)/Tau_j)))*Salcycl</f>
        <v>4.9631212076309945E-2</v>
      </c>
      <c r="AD156" s="227">
        <f>(INDEX(Models!$BJ156:$BT156,,AH156)*(1-AF156)+INDEX(Models!$BJ156:$BT156,,AH156+1)*AF156-ERP_i)*AE156*Ramure*Pc/MaxiM</f>
        <v>3.9905049784220493E-4</v>
      </c>
      <c r="AE156" s="301">
        <f t="shared" si="65"/>
        <v>0.5</v>
      </c>
      <c r="AF156" s="173">
        <f t="shared" si="66"/>
        <v>0.14617452158524458</v>
      </c>
      <c r="AG156" s="801">
        <f t="shared" si="74"/>
        <v>4</v>
      </c>
      <c r="AH156" s="172">
        <f t="shared" si="67"/>
        <v>10</v>
      </c>
      <c r="AI156" s="221">
        <f t="shared" si="68"/>
        <v>4.1461745215852446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47626</v>
      </c>
      <c r="B157" s="406">
        <f>'2029'!Wh/'2029'!Env_an*'2030'!Env_an</f>
        <v>72.329773248114108</v>
      </c>
      <c r="C157" s="831"/>
      <c r="D157" s="388">
        <f t="shared" si="50"/>
        <v>75.570714741603439</v>
      </c>
      <c r="E157" s="380">
        <f t="shared" si="72"/>
        <v>76.337470501198254</v>
      </c>
      <c r="F157" s="380">
        <f t="shared" si="51"/>
        <v>76.337500616984315</v>
      </c>
      <c r="G157" s="110">
        <f t="shared" si="73"/>
        <v>0.30596181459976035</v>
      </c>
      <c r="H157" s="409" t="b">
        <f>Wh_hp&gt;='2029'!Maxi_hp</f>
        <v>0</v>
      </c>
      <c r="I157" s="385">
        <f>IF(H157,Wh_hp,'2029'!Maxi_hp)</f>
        <v>76.340256260634632</v>
      </c>
      <c r="J157" s="85">
        <f>IF(H157,An,'2029'!An_max)</f>
        <v>2029</v>
      </c>
      <c r="K157" s="193">
        <f t="shared" si="52"/>
        <v>47626</v>
      </c>
      <c r="L157" s="143">
        <f>IF(t&lt;Tvie,1-EXP((T0-t)*PertePVj)+'2029'!Pspv,1-EXP((T0-t)*PertePVj)+Pspv)</f>
        <v>4.2886209354655147E-2</v>
      </c>
      <c r="M157" s="835"/>
      <c r="N157" s="835"/>
      <c r="O157" s="48">
        <f>IF(t&lt;Tnet,'2029'!Resal+('2029'!Salim-'2029'!Resal)*(1-EXP(('2029'!Tnet-t)/('2029'!Tau_j))),Resal+(Salim-Resal)*(1-EXP((Tnet-t)/(Tau_j))))*Salcycl</f>
        <v>1.0044290890969186E-2</v>
      </c>
      <c r="P157" s="165">
        <f>(INDEX(Models!$BJ157:$BT157,,T157)*(1-R157)+INDEX(Models!$BJ157:$BT157,,T157+1)*R157-ERP_i)*Q157*Ramure*Pc/MaxiM</f>
        <v>4.6212110667832995E-5</v>
      </c>
      <c r="Q157" s="301">
        <f t="shared" si="53"/>
        <v>0.5</v>
      </c>
      <c r="R157" s="173">
        <f t="shared" si="54"/>
        <v>0.62565528654303848</v>
      </c>
      <c r="S157" s="801">
        <f t="shared" si="55"/>
        <v>0</v>
      </c>
      <c r="T157" s="172">
        <f t="shared" si="56"/>
        <v>6</v>
      </c>
      <c r="U157" s="247">
        <f t="shared" si="57"/>
        <v>0.62565528654303848</v>
      </c>
      <c r="V157" s="378">
        <f t="shared" si="58"/>
        <v>236.39047691175955</v>
      </c>
      <c r="W157" s="397">
        <f t="shared" si="59"/>
        <v>72.329773248114108</v>
      </c>
      <c r="X157" s="153">
        <f t="shared" si="60"/>
        <v>47626</v>
      </c>
      <c r="Y157" s="380">
        <f t="shared" si="61"/>
        <v>69.432072035831496</v>
      </c>
      <c r="Z157" s="380">
        <f t="shared" si="62"/>
        <v>72.54317377353442</v>
      </c>
      <c r="AA157" s="381">
        <f t="shared" si="63"/>
        <v>76.337240776199039</v>
      </c>
      <c r="AB157" s="193">
        <f t="shared" si="64"/>
        <v>47626</v>
      </c>
      <c r="AC157" s="119">
        <f>IF(OR(t&lt;Tnet,NoTnet),'2029'!Resal_s+('2029'!Salim-'2029'!Resal_s)*(1-EXP(('2029'!Tnet_s-t)/'2029'!Tau_j)),Resal_s+(Salim-Resal_s)*(1-EXP((Tnet_s-t)/Tau_j)))*Salcycl</f>
        <v>4.9701390357922835E-2</v>
      </c>
      <c r="AD157" s="227">
        <f>(INDEX(Models!$BJ157:$BT157,,AH157)*(1-AF157)+INDEX(Models!$BJ157:$BT157,,AH157+1)*AF157-ERP_i)*AE157*Ramure*Pc/MaxiM</f>
        <v>3.9872082716611959E-4</v>
      </c>
      <c r="AE157" s="301">
        <f t="shared" si="65"/>
        <v>0.5</v>
      </c>
      <c r="AF157" s="173">
        <f t="shared" si="66"/>
        <v>0.15064285291701651</v>
      </c>
      <c r="AG157" s="801">
        <f t="shared" si="74"/>
        <v>4</v>
      </c>
      <c r="AH157" s="172">
        <f t="shared" si="67"/>
        <v>10</v>
      </c>
      <c r="AI157" s="221">
        <f t="shared" si="68"/>
        <v>4.1506428529170165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47627</v>
      </c>
      <c r="B158" s="406">
        <f>'2029'!Wh/'2029'!Env_an*'2030'!Env_an</f>
        <v>67.551424661704715</v>
      </c>
      <c r="C158" s="831"/>
      <c r="D158" s="388">
        <f t="shared" si="50"/>
        <v>70.579224807838301</v>
      </c>
      <c r="E158" s="380">
        <f t="shared" si="72"/>
        <v>71.301527510533717</v>
      </c>
      <c r="F158" s="380">
        <f t="shared" si="51"/>
        <v>71.301527510533717</v>
      </c>
      <c r="G158" s="110">
        <f t="shared" si="73"/>
        <v>0.28552743246122214</v>
      </c>
      <c r="H158" s="409" t="b">
        <f>Wh_hp&gt;='2029'!Maxi_hp</f>
        <v>0</v>
      </c>
      <c r="I158" s="385">
        <f>IF(H158,Wh_hp,'2029'!Maxi_hp)</f>
        <v>71.30408019264982</v>
      </c>
      <c r="J158" s="85">
        <f>IF(H158,An,'2029'!An_max)</f>
        <v>2029</v>
      </c>
      <c r="K158" s="193">
        <f t="shared" si="52"/>
        <v>47627</v>
      </c>
      <c r="L158" s="143">
        <f>IF(t&lt;Tvie,1-EXP((T0-t)*PertePVj)+'2029'!Pspv,1-EXP((T0-t)*PertePVj)+Pspv)</f>
        <v>4.2899311438701515E-2</v>
      </c>
      <c r="M158" s="835"/>
      <c r="N158" s="835"/>
      <c r="O158" s="48">
        <f>IF(t&lt;Tnet,'2029'!Resal+('2029'!Salim-'2029'!Resal)*(1-EXP(('2029'!Tnet-t)/('2029'!Tau_j))),Resal+(Salim-Resal)*(1-EXP((Tnet-t)/(Tau_j))))*Salcycl</f>
        <v>1.0130255660914233E-2</v>
      </c>
      <c r="P158" s="165">
        <f>(INDEX(Models!$BJ158:$BT158,,T158)*(1-R158)+INDEX(Models!$BJ158:$BT158,,T158+1)*R158-ERP_i)*Q158*Ramure*Pc/MaxiM</f>
        <v>4.5762942334583574E-5</v>
      </c>
      <c r="Q158" s="301">
        <f t="shared" si="53"/>
        <v>0.5</v>
      </c>
      <c r="R158" s="173">
        <f t="shared" si="54"/>
        <v>0.63018906607386804</v>
      </c>
      <c r="S158" s="801">
        <f t="shared" si="55"/>
        <v>0</v>
      </c>
      <c r="T158" s="172">
        <f t="shared" si="56"/>
        <v>6</v>
      </c>
      <c r="U158" s="247">
        <f t="shared" si="57"/>
        <v>0.63018906607386804</v>
      </c>
      <c r="V158" s="378">
        <f t="shared" si="58"/>
        <v>236.57388268262852</v>
      </c>
      <c r="W158" s="397">
        <f t="shared" si="59"/>
        <v>67.551424661704715</v>
      </c>
      <c r="X158" s="153">
        <f t="shared" si="60"/>
        <v>47627</v>
      </c>
      <c r="Y158" s="380">
        <f t="shared" si="61"/>
        <v>64.846187293033239</v>
      </c>
      <c r="Z158" s="380">
        <f t="shared" si="62"/>
        <v>67.752732881750617</v>
      </c>
      <c r="AA158" s="381">
        <f t="shared" si="63"/>
        <v>71.301527510533717</v>
      </c>
      <c r="AB158" s="193">
        <f t="shared" si="64"/>
        <v>47627</v>
      </c>
      <c r="AC158" s="119">
        <f>IF(OR(t&lt;Tnet,NoTnet),'2029'!Resal_s+('2029'!Salim-'2029'!Resal_s)*(1-EXP(('2029'!Tnet_s-t)/'2029'!Tau_j)),Resal_s+(Salim-Resal_s)*(1-EXP((Tnet_s-t)/Tau_j)))*Salcycl</f>
        <v>4.97716493978171E-2</v>
      </c>
      <c r="AD158" s="227">
        <f>(INDEX(Models!$BJ158:$BT158,,AH158)*(1-AF158)+INDEX(Models!$BJ158:$BT158,,AH158+1)*AF158-ERP_i)*AE158*Ramure*Pc/MaxiM</f>
        <v>3.9888074488134698E-4</v>
      </c>
      <c r="AE158" s="301">
        <f t="shared" si="65"/>
        <v>0.5</v>
      </c>
      <c r="AF158" s="173">
        <f t="shared" si="66"/>
        <v>0.15517663244784607</v>
      </c>
      <c r="AG158" s="801">
        <f t="shared" si="74"/>
        <v>4</v>
      </c>
      <c r="AH158" s="172">
        <f t="shared" si="67"/>
        <v>10</v>
      </c>
      <c r="AI158" s="221">
        <f t="shared" si="68"/>
        <v>4.1551766324478461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47628</v>
      </c>
      <c r="B159" s="406">
        <f>'2029'!Wh/'2029'!Env_an*'2030'!Env_an</f>
        <v>167.62036452738226</v>
      </c>
      <c r="C159" s="831"/>
      <c r="D159" s="388">
        <f t="shared" si="50"/>
        <v>175.13586725424994</v>
      </c>
      <c r="E159" s="380">
        <f t="shared" si="72"/>
        <v>176.94356702045104</v>
      </c>
      <c r="F159" s="380">
        <f t="shared" si="51"/>
        <v>176.94823714562574</v>
      </c>
      <c r="G159" s="110">
        <f t="shared" si="73"/>
        <v>0.70799858812155458</v>
      </c>
      <c r="H159" s="409" t="b">
        <f>Wh_hp&gt;='2029'!Maxi_hp</f>
        <v>0</v>
      </c>
      <c r="I159" s="385">
        <f>IF(H159,Wh_hp,'2029'!Maxi_hp)</f>
        <v>176.95083328160706</v>
      </c>
      <c r="J159" s="85">
        <f>IF(H159,An,'2029'!An_max)</f>
        <v>2029</v>
      </c>
      <c r="K159" s="193">
        <f t="shared" si="52"/>
        <v>47628</v>
      </c>
      <c r="L159" s="143">
        <f>IF(t&lt;Tvie,1-EXP((T0-t)*PertePVj)+'2029'!Pspv,1-EXP((T0-t)*PertePVj)+Pspv)</f>
        <v>4.2912413343391353E-2</v>
      </c>
      <c r="M159" s="835"/>
      <c r="N159" s="835"/>
      <c r="O159" s="48">
        <f>IF(t&lt;Tnet,'2029'!Resal+('2029'!Salim-'2029'!Resal)*(1-EXP(('2029'!Tnet-t)/('2029'!Tau_j))),Resal+(Salim-Resal)*(1-EXP((Tnet-t)/(Tau_j))))*Salcycl</f>
        <v>1.0216250280475851E-2</v>
      </c>
      <c r="P159" s="165">
        <f>(INDEX(Models!$BJ159:$BT159,,T159)*(1-R159)+INDEX(Models!$BJ159:$BT159,,T159+1)*R159-ERP_i)*Q159*Ramure*Pc/MaxiM</f>
        <v>4.528010508979601E-5</v>
      </c>
      <c r="Q159" s="301">
        <f t="shared" si="53"/>
        <v>0.5</v>
      </c>
      <c r="R159" s="173">
        <f t="shared" si="54"/>
        <v>0.63478583149158507</v>
      </c>
      <c r="S159" s="801">
        <f t="shared" si="55"/>
        <v>0</v>
      </c>
      <c r="T159" s="172">
        <f t="shared" si="56"/>
        <v>6</v>
      </c>
      <c r="U159" s="247">
        <f t="shared" si="57"/>
        <v>0.63478583149158507</v>
      </c>
      <c r="V159" s="378">
        <f t="shared" si="58"/>
        <v>236.74792764647202</v>
      </c>
      <c r="W159" s="397">
        <f t="shared" si="59"/>
        <v>167.62036452738226</v>
      </c>
      <c r="X159" s="153">
        <f t="shared" si="60"/>
        <v>47628</v>
      </c>
      <c r="Y159" s="380">
        <f t="shared" si="61"/>
        <v>160.87650676300342</v>
      </c>
      <c r="Z159" s="380">
        <f t="shared" si="62"/>
        <v>168.08963882291366</v>
      </c>
      <c r="AA159" s="381">
        <f t="shared" si="63"/>
        <v>176.90702982698943</v>
      </c>
      <c r="AB159" s="193">
        <f t="shared" si="64"/>
        <v>47628</v>
      </c>
      <c r="AC159" s="119">
        <f>IF(OR(t&lt;Tnet,NoTnet),'2029'!Resal_s+('2029'!Salim-'2029'!Resal_s)*(1-EXP(('2029'!Tnet_s-t)/'2029'!Tau_j)),Resal_s+(Salim-Resal_s)*(1-EXP((Tnet_s-t)/Tau_j)))*Salcycl</f>
        <v>4.9841948127776335E-2</v>
      </c>
      <c r="AD159" s="227">
        <f>(INDEX(Models!$BJ159:$BT159,,AH159)*(1-AF159)+INDEX(Models!$BJ159:$BT159,,AH159+1)*AF159-ERP_i)*AE159*Ramure*Pc/MaxiM</f>
        <v>3.9953355606635338E-4</v>
      </c>
      <c r="AE159" s="301">
        <f t="shared" si="65"/>
        <v>0.5</v>
      </c>
      <c r="AF159" s="173">
        <f t="shared" si="66"/>
        <v>0.1597733978655631</v>
      </c>
      <c r="AG159" s="801">
        <f t="shared" si="74"/>
        <v>4</v>
      </c>
      <c r="AH159" s="172">
        <f t="shared" si="67"/>
        <v>10</v>
      </c>
      <c r="AI159" s="221">
        <f t="shared" si="68"/>
        <v>4.1597733978655631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47629</v>
      </c>
      <c r="B160" s="406">
        <f>'2029'!Wh/'2029'!Env_an*'2030'!Env_an</f>
        <v>107.7943912704295</v>
      </c>
      <c r="C160" s="831"/>
      <c r="D160" s="388">
        <f t="shared" si="50"/>
        <v>112.62905130959601</v>
      </c>
      <c r="E160" s="380">
        <f t="shared" si="72"/>
        <v>113.80146428515081</v>
      </c>
      <c r="F160" s="380">
        <f t="shared" si="51"/>
        <v>113.80259221346348</v>
      </c>
      <c r="G160" s="110">
        <f t="shared" si="73"/>
        <v>0.45497956289796376</v>
      </c>
      <c r="H160" s="409" t="b">
        <f>Wh_hp&gt;='2029'!Maxi_hp</f>
        <v>0</v>
      </c>
      <c r="I160" s="385">
        <f>IF(H160,Wh_hp,'2029'!Maxi_hp)</f>
        <v>113.80565121774659</v>
      </c>
      <c r="J160" s="85">
        <f>IF(H160,An,'2029'!An_max)</f>
        <v>2029</v>
      </c>
      <c r="K160" s="193">
        <f t="shared" si="52"/>
        <v>47629</v>
      </c>
      <c r="L160" s="143">
        <f>IF(t&lt;Tvie,1-EXP((T0-t)*PertePVj)+'2029'!Pspv,1-EXP((T0-t)*PertePVj)+Pspv)</f>
        <v>4.2925515068727105E-2</v>
      </c>
      <c r="M160" s="835"/>
      <c r="N160" s="835"/>
      <c r="O160" s="48">
        <f>IF(t&lt;Tnet,'2029'!Resal+('2029'!Salim-'2029'!Resal)*(1-EXP(('2029'!Tnet-t)/('2029'!Tau_j))),Resal+(Salim-Resal)*(1-EXP((Tnet-t)/(Tau_j))))*Salcycl</f>
        <v>1.0302266169590879E-2</v>
      </c>
      <c r="P160" s="165">
        <f>(INDEX(Models!$BJ160:$BT160,,T160)*(1-R160)+INDEX(Models!$BJ160:$BT160,,T160+1)*R160-ERP_i)*Q160*Ramure*Pc/MaxiM</f>
        <v>4.4761900606723746E-5</v>
      </c>
      <c r="Q160" s="301">
        <f t="shared" si="53"/>
        <v>0.5</v>
      </c>
      <c r="R160" s="173">
        <f t="shared" si="54"/>
        <v>0.6394429438324174</v>
      </c>
      <c r="S160" s="801">
        <f t="shared" si="55"/>
        <v>0</v>
      </c>
      <c r="T160" s="172">
        <f t="shared" si="56"/>
        <v>6</v>
      </c>
      <c r="U160" s="247">
        <f t="shared" si="57"/>
        <v>0.6394429438324174</v>
      </c>
      <c r="V160" s="378">
        <f t="shared" si="58"/>
        <v>236.91313483227174</v>
      </c>
      <c r="W160" s="397">
        <f t="shared" si="59"/>
        <v>107.7943912704295</v>
      </c>
      <c r="X160" s="153">
        <f t="shared" si="60"/>
        <v>47629</v>
      </c>
      <c r="Y160" s="380">
        <f t="shared" si="61"/>
        <v>103.47205669757427</v>
      </c>
      <c r="Z160" s="380">
        <f t="shared" si="62"/>
        <v>108.11285675952855</v>
      </c>
      <c r="AA160" s="381">
        <f t="shared" si="63"/>
        <v>113.79249565405678</v>
      </c>
      <c r="AB160" s="193">
        <f t="shared" si="64"/>
        <v>47629</v>
      </c>
      <c r="AC160" s="119">
        <f>IF(OR(t&lt;Tnet,NoTnet),'2029'!Resal_s+('2029'!Salim-'2029'!Resal_s)*(1-EXP(('2029'!Tnet_s-t)/'2029'!Tau_j)),Resal_s+(Salim-Resal_s)*(1-EXP((Tnet_s-t)/Tau_j)))*Salcycl</f>
        <v>4.9912244756411976E-2</v>
      </c>
      <c r="AD160" s="227">
        <f>(INDEX(Models!$BJ160:$BT160,,AH160)*(1-AF160)+INDEX(Models!$BJ160:$BT160,,AH160+1)*AF160-ERP_i)*AE160*Ramure*Pc/MaxiM</f>
        <v>4.0068254653993426E-4</v>
      </c>
      <c r="AE160" s="301">
        <f t="shared" si="65"/>
        <v>0.5</v>
      </c>
      <c r="AF160" s="173">
        <f t="shared" si="66"/>
        <v>0.16443051020639565</v>
      </c>
      <c r="AG160" s="801">
        <f t="shared" si="74"/>
        <v>4</v>
      </c>
      <c r="AH160" s="172">
        <f t="shared" si="67"/>
        <v>10</v>
      </c>
      <c r="AI160" s="221">
        <f t="shared" si="68"/>
        <v>4.1644305102063957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47630</v>
      </c>
      <c r="B161" s="406">
        <f>'2029'!Wh/'2029'!Env_an*'2030'!Env_an</f>
        <v>181.48299950549236</v>
      </c>
      <c r="C161" s="831"/>
      <c r="D161" s="388">
        <f t="shared" si="50"/>
        <v>189.62524521003675</v>
      </c>
      <c r="E161" s="380">
        <f t="shared" si="72"/>
        <v>191.61580661815719</v>
      </c>
      <c r="F161" s="380">
        <f t="shared" si="51"/>
        <v>191.62144009340645</v>
      </c>
      <c r="G161" s="110">
        <f t="shared" si="73"/>
        <v>0.76551352472954926</v>
      </c>
      <c r="H161" s="409" t="b">
        <f>Wh_hp&gt;='2029'!Maxi_hp</f>
        <v>0</v>
      </c>
      <c r="I161" s="385">
        <f>IF(H161,Wh_hp,'2029'!Maxi_hp)</f>
        <v>191.62361307819157</v>
      </c>
      <c r="J161" s="85">
        <f>IF(H161,An,'2029'!An_max)</f>
        <v>2029</v>
      </c>
      <c r="K161" s="193">
        <f t="shared" si="52"/>
        <v>47630</v>
      </c>
      <c r="L161" s="143">
        <f>IF(t&lt;Tvie,1-EXP((T0-t)*PertePVj)+'2029'!Pspv,1-EXP((T0-t)*PertePVj)+Pspv)</f>
        <v>4.2938616614711322E-2</v>
      </c>
      <c r="M161" s="835"/>
      <c r="N161" s="835"/>
      <c r="O161" s="48">
        <f>IF(t&lt;Tnet,'2029'!Resal+('2029'!Salim-'2029'!Resal)*(1-EXP(('2029'!Tnet-t)/('2029'!Tau_j))),Resal+(Salim-Resal)*(1-EXP((Tnet-t)/(Tau_j))))*Salcycl</f>
        <v>1.0388294385792141E-2</v>
      </c>
      <c r="P161" s="165">
        <f>(INDEX(Models!$BJ161:$BT161,,T161)*(1-R161)+INDEX(Models!$BJ161:$BT161,,T161+1)*R161-ERP_i)*Q161*Ramure*Pc/MaxiM</f>
        <v>4.4206634422512927E-5</v>
      </c>
      <c r="Q161" s="301">
        <f t="shared" si="53"/>
        <v>0.5</v>
      </c>
      <c r="R161" s="173">
        <f t="shared" si="54"/>
        <v>0.64415759122339322</v>
      </c>
      <c r="S161" s="801">
        <f t="shared" si="55"/>
        <v>0</v>
      </c>
      <c r="T161" s="172">
        <f t="shared" si="56"/>
        <v>6</v>
      </c>
      <c r="U161" s="247">
        <f t="shared" si="57"/>
        <v>0.64415759122339322</v>
      </c>
      <c r="V161" s="378">
        <f t="shared" si="58"/>
        <v>237.07002714733969</v>
      </c>
      <c r="W161" s="397">
        <f t="shared" si="59"/>
        <v>181.48299950549236</v>
      </c>
      <c r="X161" s="153">
        <f t="shared" si="60"/>
        <v>47630</v>
      </c>
      <c r="Y161" s="380">
        <f t="shared" si="61"/>
        <v>174.18039952732323</v>
      </c>
      <c r="Z161" s="380">
        <f t="shared" si="62"/>
        <v>181.99501364397085</v>
      </c>
      <c r="AA161" s="381">
        <f t="shared" si="63"/>
        <v>191.57016902349164</v>
      </c>
      <c r="AB161" s="193">
        <f t="shared" si="64"/>
        <v>47630</v>
      </c>
      <c r="AC161" s="119">
        <f>IF(OR(t&lt;Tnet,NoTnet),'2029'!Resal_s+('2029'!Salim-'2029'!Resal_s)*(1-EXP(('2029'!Tnet_s-t)/'2029'!Tau_j)),Resal_s+(Salim-Resal_s)*(1-EXP((Tnet_s-t)/Tau_j)))*Salcycl</f>
        <v>4.9982496900895929E-2</v>
      </c>
      <c r="AD161" s="227">
        <f>(INDEX(Models!$BJ161:$BT161,,AH161)*(1-AF161)+INDEX(Models!$BJ161:$BT161,,AH161+1)*AF161-ERP_i)*AE161*Ramure*Pc/MaxiM</f>
        <v>4.0233094917328604E-4</v>
      </c>
      <c r="AE161" s="301">
        <f t="shared" si="65"/>
        <v>0.5</v>
      </c>
      <c r="AF161" s="173">
        <f t="shared" si="66"/>
        <v>0.16914515759737103</v>
      </c>
      <c r="AG161" s="801">
        <f t="shared" si="74"/>
        <v>4</v>
      </c>
      <c r="AH161" s="172">
        <f t="shared" si="67"/>
        <v>10</v>
      </c>
      <c r="AI161" s="221">
        <f t="shared" si="68"/>
        <v>4.169145157597371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47631</v>
      </c>
      <c r="B162" s="406">
        <f>'2029'!Wh/'2029'!Env_an*'2030'!Env_an</f>
        <v>223.28039661304894</v>
      </c>
      <c r="C162" s="831"/>
      <c r="D162" s="388">
        <f t="shared" si="50"/>
        <v>233.30107875236436</v>
      </c>
      <c r="E162" s="380">
        <f t="shared" si="72"/>
        <v>235.77061697335176</v>
      </c>
      <c r="F162" s="380">
        <f t="shared" si="51"/>
        <v>235.78003679225074</v>
      </c>
      <c r="G162" s="110">
        <f t="shared" si="73"/>
        <v>0.94123767183655038</v>
      </c>
      <c r="H162" s="409" t="b">
        <f>Wh_hp&gt;='2029'!Maxi_hp</f>
        <v>0</v>
      </c>
      <c r="I162" s="385">
        <f>IF(H162,Wh_hp,'2029'!Maxi_hp)</f>
        <v>235.78069313008908</v>
      </c>
      <c r="J162" s="85">
        <f>IF(H162,An,'2029'!An_max)</f>
        <v>2029</v>
      </c>
      <c r="K162" s="193">
        <f t="shared" si="52"/>
        <v>47631</v>
      </c>
      <c r="L162" s="143">
        <f>IF(t&lt;Tvie,1-EXP((T0-t)*PertePVj)+'2029'!Pspv,1-EXP((T0-t)*PertePVj)+Pspv)</f>
        <v>4.2951717981346338E-2</v>
      </c>
      <c r="M162" s="835"/>
      <c r="N162" s="835"/>
      <c r="O162" s="48">
        <f>IF(t&lt;Tnet,'2029'!Resal+('2029'!Salim-'2029'!Resal)*(1-EXP(('2029'!Tnet-t)/('2029'!Tau_j))),Resal+(Salim-Resal)*(1-EXP((Tnet-t)/(Tau_j))))*Salcycl</f>
        <v>1.0474325650454284E-2</v>
      </c>
      <c r="P162" s="165">
        <f>(INDEX(Models!$BJ162:$BT162,,T162)*(1-R162)+INDEX(Models!$BJ162:$BT162,,T162+1)*R162-ERP_i)*Q162*Ramure*Pc/MaxiM</f>
        <v>4.361262224155999E-5</v>
      </c>
      <c r="Q162" s="301">
        <f t="shared" si="53"/>
        <v>0.5</v>
      </c>
      <c r="R162" s="173">
        <f t="shared" si="54"/>
        <v>0.64892679360493566</v>
      </c>
      <c r="S162" s="801">
        <f t="shared" si="55"/>
        <v>0</v>
      </c>
      <c r="T162" s="172">
        <f t="shared" si="56"/>
        <v>6</v>
      </c>
      <c r="U162" s="247">
        <f t="shared" si="57"/>
        <v>0.64892679360493566</v>
      </c>
      <c r="V162" s="378">
        <f t="shared" si="58"/>
        <v>237.21912738348212</v>
      </c>
      <c r="W162" s="397">
        <f t="shared" si="59"/>
        <v>223.28039661304894</v>
      </c>
      <c r="X162" s="153">
        <f t="shared" si="60"/>
        <v>47631</v>
      </c>
      <c r="Y162" s="380">
        <f t="shared" si="61"/>
        <v>214.27892589267836</v>
      </c>
      <c r="Z162" s="380">
        <f t="shared" si="62"/>
        <v>223.89562775318987</v>
      </c>
      <c r="AA162" s="381">
        <f t="shared" si="63"/>
        <v>235.69267340634622</v>
      </c>
      <c r="AB162" s="193">
        <f t="shared" si="64"/>
        <v>47631</v>
      </c>
      <c r="AC162" s="119">
        <f>IF(OR(t&lt;Tnet,NoTnet),'2029'!Resal_s+('2029'!Salim-'2029'!Resal_s)*(1-EXP(('2029'!Tnet_s-t)/'2029'!Tau_j)),Resal_s+(Salim-Resal_s)*(1-EXP((Tnet_s-t)/Tau_j)))*Salcycl</f>
        <v>5.0052661725371574E-2</v>
      </c>
      <c r="AD162" s="227">
        <f>(INDEX(Models!$BJ162:$BT162,,AH162)*(1-AF162)+INDEX(Models!$BJ162:$BT162,,AH162+1)*AF162-ERP_i)*AE162*Ramure*Pc/MaxiM</f>
        <v>4.0448191075271613E-4</v>
      </c>
      <c r="AE162" s="301">
        <f t="shared" si="65"/>
        <v>0.5</v>
      </c>
      <c r="AF162" s="173">
        <f t="shared" si="66"/>
        <v>0.17391435997891413</v>
      </c>
      <c r="AG162" s="801">
        <f t="shared" si="74"/>
        <v>4</v>
      </c>
      <c r="AH162" s="172">
        <f t="shared" si="67"/>
        <v>10</v>
      </c>
      <c r="AI162" s="221">
        <f t="shared" si="68"/>
        <v>4.1739143599789141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47632</v>
      </c>
      <c r="B163" s="406">
        <f>'2029'!Wh/'2029'!Env_an*'2030'!Env_an</f>
        <v>243.22253685195309</v>
      </c>
      <c r="C163" s="831"/>
      <c r="D163" s="388">
        <f t="shared" si="50"/>
        <v>254.14168854343316</v>
      </c>
      <c r="E163" s="380">
        <f t="shared" si="72"/>
        <v>256.8541584526119</v>
      </c>
      <c r="F163" s="380">
        <f t="shared" si="51"/>
        <v>256.86519806358933</v>
      </c>
      <c r="G163" s="110">
        <f t="shared" si="73"/>
        <v>1.0246955333513272</v>
      </c>
      <c r="H163" s="409" t="b">
        <f>Wh_hp&gt;='2029'!Maxi_hp</f>
        <v>1</v>
      </c>
      <c r="I163" s="385">
        <f>IF(H163,Wh_hp,'2029'!Maxi_hp)</f>
        <v>256.86519806358933</v>
      </c>
      <c r="J163" s="85">
        <f>IF(H163,An,'2029'!An_max)</f>
        <v>2030</v>
      </c>
      <c r="K163" s="193">
        <f t="shared" si="52"/>
        <v>47632</v>
      </c>
      <c r="L163" s="143">
        <f>IF(t&lt;Tvie,1-EXP((T0-t)*PertePVj)+'2029'!Pspv,1-EXP((T0-t)*PertePVj)+Pspv)</f>
        <v>4.2964819168634594E-2</v>
      </c>
      <c r="M163" s="835"/>
      <c r="N163" s="835"/>
      <c r="O163" s="48">
        <f>IF(t&lt;Tnet,'2029'!Resal+('2029'!Salim-'2029'!Resal)*(1-EXP(('2029'!Tnet-t)/('2029'!Tau_j))),Resal+(Salim-Resal)*(1-EXP((Tnet-t)/(Tau_j))))*Salcycl</f>
        <v>1.05603503775048E-2</v>
      </c>
      <c r="P163" s="165">
        <f>(INDEX(Models!$BJ163:$BT163,,T163)*(1-R163)+INDEX(Models!$BJ163:$BT163,,T163+1)*R163-ERP_i)*Q163*Ramure*Pc/MaxiM</f>
        <v>4.2978227726582526E-5</v>
      </c>
      <c r="Q163" s="301">
        <f t="shared" si="53"/>
        <v>0.5</v>
      </c>
      <c r="R163" s="173">
        <f t="shared" si="54"/>
        <v>0.65374740843615764</v>
      </c>
      <c r="S163" s="801">
        <f t="shared" si="55"/>
        <v>0</v>
      </c>
      <c r="T163" s="172">
        <f t="shared" si="56"/>
        <v>6</v>
      </c>
      <c r="U163" s="247">
        <f t="shared" si="57"/>
        <v>0.65374740843615764</v>
      </c>
      <c r="V163" s="378">
        <f t="shared" si="58"/>
        <v>237.3607856535487</v>
      </c>
      <c r="W163" s="397">
        <f t="shared" si="59"/>
        <v>243.22253685195309</v>
      </c>
      <c r="X163" s="153">
        <f t="shared" si="60"/>
        <v>47632</v>
      </c>
      <c r="Y163" s="380">
        <f t="shared" si="61"/>
        <v>233.41234753498793</v>
      </c>
      <c r="Z163" s="380">
        <f t="shared" si="62"/>
        <v>243.8910838494206</v>
      </c>
      <c r="AA163" s="381">
        <f t="shared" si="63"/>
        <v>256.76061828648119</v>
      </c>
      <c r="AB163" s="193">
        <f t="shared" si="64"/>
        <v>47632</v>
      </c>
      <c r="AC163" s="119">
        <f>IF(OR(t&lt;Tnet,NoTnet),'2029'!Resal_s+('2029'!Salim-'2029'!Resal_s)*(1-EXP(('2029'!Tnet_s-t)/'2029'!Tau_j)),Resal_s+(Salim-Resal_s)*(1-EXP((Tnet_s-t)/Tau_j)))*Salcycl</f>
        <v>5.012269608535292E-2</v>
      </c>
      <c r="AD163" s="227">
        <f>(INDEX(Models!$BJ163:$BT163,,AH163)*(1-AF163)+INDEX(Models!$BJ163:$BT163,,AH163+1)*AF163-ERP_i)*AE163*Ramure*Pc/MaxiM</f>
        <v>4.0713875564513677E-4</v>
      </c>
      <c r="AE163" s="301">
        <f t="shared" si="65"/>
        <v>0.5</v>
      </c>
      <c r="AF163" s="173">
        <f t="shared" si="66"/>
        <v>0.17873497481013612</v>
      </c>
      <c r="AG163" s="801">
        <f t="shared" si="74"/>
        <v>4</v>
      </c>
      <c r="AH163" s="172">
        <f t="shared" si="67"/>
        <v>10</v>
      </c>
      <c r="AI163" s="221">
        <f t="shared" si="68"/>
        <v>4.1787349748101361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47633</v>
      </c>
      <c r="B164" s="406">
        <f>'2029'!Wh/'2029'!Env_an*'2030'!Env_an</f>
        <v>205.02201520805795</v>
      </c>
      <c r="C164" s="831"/>
      <c r="D164" s="388">
        <f t="shared" si="50"/>
        <v>214.22913800054252</v>
      </c>
      <c r="E164" s="380">
        <f t="shared" si="72"/>
        <v>216.53444133486948</v>
      </c>
      <c r="F164" s="380">
        <f t="shared" si="51"/>
        <v>216.54181516392509</v>
      </c>
      <c r="G164" s="110">
        <f t="shared" si="73"/>
        <v>0.86326287187185513</v>
      </c>
      <c r="H164" s="409" t="b">
        <f>Wh_hp&gt;='2029'!Maxi_hp</f>
        <v>0</v>
      </c>
      <c r="I164" s="385">
        <f>IF(H164,Wh_hp,'2029'!Maxi_hp)</f>
        <v>216.54315695417628</v>
      </c>
      <c r="J164" s="85">
        <f>IF(H164,An,'2029'!An_max)</f>
        <v>2029</v>
      </c>
      <c r="K164" s="193">
        <f t="shared" si="52"/>
        <v>47633</v>
      </c>
      <c r="L164" s="143">
        <f>IF(t&lt;Tvie,1-EXP((T0-t)*PertePVj)+'2029'!Pspv,1-EXP((T0-t)*PertePVj)+Pspv)</f>
        <v>4.2977920176578643E-2</v>
      </c>
      <c r="M164" s="835"/>
      <c r="N164" s="835"/>
      <c r="O164" s="48">
        <f>IF(t&lt;Tnet,'2029'!Resal+('2029'!Salim-'2029'!Resal)*(1-EXP(('2029'!Tnet-t)/('2029'!Tau_j))),Resal+(Salim-Resal)*(1-EXP((Tnet-t)/(Tau_j))))*Salcycl</f>
        <v>1.0646358704488202E-2</v>
      </c>
      <c r="P164" s="165">
        <f>(INDEX(Models!$BJ164:$BT164,,T164)*(1-R164)+INDEX(Models!$BJ164:$BT164,,T164+1)*R164-ERP_i)*Q164*Ramure*Pc/MaxiM</f>
        <v>4.231873772031015E-5</v>
      </c>
      <c r="Q164" s="301">
        <f t="shared" si="53"/>
        <v>0.5</v>
      </c>
      <c r="R164" s="173">
        <f t="shared" si="54"/>
        <v>0.65861613737624514</v>
      </c>
      <c r="S164" s="801">
        <f t="shared" si="55"/>
        <v>0</v>
      </c>
      <c r="T164" s="172">
        <f t="shared" si="56"/>
        <v>6</v>
      </c>
      <c r="U164" s="247">
        <f t="shared" si="57"/>
        <v>0.65861613737624514</v>
      </c>
      <c r="V164" s="378">
        <f t="shared" si="58"/>
        <v>237.49465789244528</v>
      </c>
      <c r="W164" s="397">
        <f t="shared" si="59"/>
        <v>205.02201520805795</v>
      </c>
      <c r="X164" s="153">
        <f t="shared" si="60"/>
        <v>47633</v>
      </c>
      <c r="Y164" s="380">
        <f t="shared" si="61"/>
        <v>196.76875944836726</v>
      </c>
      <c r="Z164" s="380">
        <f t="shared" si="62"/>
        <v>205.60524526735347</v>
      </c>
      <c r="AA164" s="381">
        <f t="shared" si="63"/>
        <v>216.47045062954899</v>
      </c>
      <c r="AB164" s="193">
        <f t="shared" si="64"/>
        <v>47633</v>
      </c>
      <c r="AC164" s="119">
        <f>IF(OR(t&lt;Tnet,NoTnet),'2029'!Resal_s+('2029'!Salim-'2029'!Resal_s)*(1-EXP(('2029'!Tnet_s-t)/'2029'!Tau_j)),Resal_s+(Salim-Resal_s)*(1-EXP((Tnet_s-t)/Tau_j)))*Salcycl</f>
        <v>5.0192556677351813E-2</v>
      </c>
      <c r="AD164" s="227">
        <f>(INDEX(Models!$BJ164:$BT164,,AH164)*(1-AF164)+INDEX(Models!$BJ164:$BT164,,AH164+1)*AF164-ERP_i)*AE164*Ramure*Pc/MaxiM</f>
        <v>4.0956428336228276E-4</v>
      </c>
      <c r="AE164" s="301">
        <f t="shared" si="65"/>
        <v>0.5</v>
      </c>
      <c r="AF164" s="173">
        <f t="shared" si="66"/>
        <v>0.18360370375022317</v>
      </c>
      <c r="AG164" s="801">
        <f t="shared" si="74"/>
        <v>4</v>
      </c>
      <c r="AH164" s="172">
        <f t="shared" si="67"/>
        <v>10</v>
      </c>
      <c r="AI164" s="221">
        <f t="shared" si="68"/>
        <v>4.1836037037502232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47634</v>
      </c>
      <c r="B165" s="406">
        <f>'2029'!Wh/'2029'!Env_an*'2030'!Env_an</f>
        <v>224.68091002944041</v>
      </c>
      <c r="C165" s="831"/>
      <c r="D165" s="388">
        <f t="shared" si="50"/>
        <v>234.77408776815329</v>
      </c>
      <c r="E165" s="380">
        <f t="shared" si="72"/>
        <v>237.32109861243023</v>
      </c>
      <c r="F165" s="380">
        <f t="shared" si="51"/>
        <v>237.33021723052539</v>
      </c>
      <c r="G165" s="110">
        <f t="shared" si="73"/>
        <v>0.94554317584003555</v>
      </c>
      <c r="H165" s="409" t="b">
        <f>Wh_hp&gt;='2029'!Maxi_hp</f>
        <v>0</v>
      </c>
      <c r="I165" s="385">
        <f>IF(H165,Wh_hp,'2029'!Maxi_hp)</f>
        <v>237.33078972971109</v>
      </c>
      <c r="J165" s="85">
        <f>IF(H165,An,'2029'!An_max)</f>
        <v>2029</v>
      </c>
      <c r="K165" s="193">
        <f t="shared" si="52"/>
        <v>47634</v>
      </c>
      <c r="L165" s="143">
        <f>IF(t&lt;Tvie,1-EXP((T0-t)*PertePVj)+'2029'!Pspv,1-EXP((T0-t)*PertePVj)+Pspv)</f>
        <v>4.2991021005180929E-2</v>
      </c>
      <c r="M165" s="835"/>
      <c r="N165" s="835"/>
      <c r="O165" s="48">
        <f>IF(t&lt;Tnet,'2029'!Resal+('2029'!Salim-'2029'!Resal)*(1-EXP(('2029'!Tnet-t)/('2029'!Tau_j))),Resal+(Salim-Resal)*(1-EXP((Tnet-t)/(Tau_j))))*Salcycl</f>
        <v>1.0732340525847929E-2</v>
      </c>
      <c r="P165" s="165">
        <f>(INDEX(Models!$BJ165:$BT165,,T165)*(1-R165)+INDEX(Models!$BJ165:$BT165,,T165+1)*R165-ERP_i)*Q165*Ramure*Pc/MaxiM</f>
        <v>4.1662629258655309E-5</v>
      </c>
      <c r="Q165" s="301">
        <f t="shared" si="53"/>
        <v>0.5</v>
      </c>
      <c r="R165" s="173">
        <f t="shared" si="54"/>
        <v>0.66352953392587188</v>
      </c>
      <c r="S165" s="801">
        <f t="shared" si="55"/>
        <v>0</v>
      </c>
      <c r="T165" s="172">
        <f t="shared" si="56"/>
        <v>6</v>
      </c>
      <c r="U165" s="247">
        <f t="shared" si="57"/>
        <v>0.66352953392587188</v>
      </c>
      <c r="V165" s="378">
        <f t="shared" si="58"/>
        <v>237.62022460292266</v>
      </c>
      <c r="W165" s="397">
        <f t="shared" si="59"/>
        <v>224.68091002944041</v>
      </c>
      <c r="X165" s="153">
        <f t="shared" si="60"/>
        <v>47634</v>
      </c>
      <c r="Y165" s="380">
        <f t="shared" si="61"/>
        <v>215.62941690918859</v>
      </c>
      <c r="Z165" s="380">
        <f t="shared" si="62"/>
        <v>225.31598098031631</v>
      </c>
      <c r="AA165" s="381">
        <f t="shared" si="63"/>
        <v>237.24019516342489</v>
      </c>
      <c r="AB165" s="193">
        <f t="shared" si="64"/>
        <v>47634</v>
      </c>
      <c r="AC165" s="119">
        <f>IF(OR(t&lt;Tnet,NoTnet),'2029'!Resal_s+('2029'!Salim-'2029'!Resal_s)*(1-EXP(('2029'!Tnet_s-t)/'2029'!Tau_j)),Resal_s+(Salim-Resal_s)*(1-EXP((Tnet_s-t)/Tau_j)))*Salcycl</f>
        <v>5.0262200192907738E-2</v>
      </c>
      <c r="AD165" s="227">
        <f>(INDEX(Models!$BJ165:$BT165,,AH165)*(1-AF165)+INDEX(Models!$BJ165:$BT165,,AH165+1)*AF165-ERP_i)*AE165*Ramure*Pc/MaxiM</f>
        <v>4.1130749940058645E-4</v>
      </c>
      <c r="AE165" s="301">
        <f t="shared" si="65"/>
        <v>0.5</v>
      </c>
      <c r="AF165" s="173">
        <f t="shared" si="66"/>
        <v>0.18851710029985025</v>
      </c>
      <c r="AG165" s="801">
        <f t="shared" si="74"/>
        <v>4</v>
      </c>
      <c r="AH165" s="172">
        <f t="shared" si="67"/>
        <v>10</v>
      </c>
      <c r="AI165" s="221">
        <f t="shared" si="68"/>
        <v>4.1885171002998502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47635</v>
      </c>
      <c r="B166" s="406">
        <f>'2029'!Wh/'2029'!Env_an*'2030'!Env_an</f>
        <v>234.55792340495611</v>
      </c>
      <c r="C166" s="831"/>
      <c r="D166" s="388">
        <f t="shared" si="50"/>
        <v>245.09815424749502</v>
      </c>
      <c r="E166" s="380">
        <f t="shared" si="72"/>
        <v>247.778694916928</v>
      </c>
      <c r="F166" s="380">
        <f t="shared" si="51"/>
        <v>247.78866266835897</v>
      </c>
      <c r="G166" s="110">
        <f t="shared" si="73"/>
        <v>0.98662709660072845</v>
      </c>
      <c r="H166" s="409" t="b">
        <f>Wh_hp&gt;='2029'!Maxi_hp</f>
        <v>0</v>
      </c>
      <c r="I166" s="385">
        <f>IF(H166,Wh_hp,'2029'!Maxi_hp)</f>
        <v>247.78880612470752</v>
      </c>
      <c r="J166" s="85">
        <f>IF(H166,An,'2029'!An_max)</f>
        <v>2029</v>
      </c>
      <c r="K166" s="193">
        <f t="shared" si="52"/>
        <v>47635</v>
      </c>
      <c r="L166" s="143">
        <f>IF(t&lt;Tvie,1-EXP((T0-t)*PertePVj)+'2029'!Pspv,1-EXP((T0-t)*PertePVj)+Pspv)</f>
        <v>4.3004121654443783E-2</v>
      </c>
      <c r="M166" s="835"/>
      <c r="N166" s="835"/>
      <c r="O166" s="48">
        <f>IF(t&lt;Tnet,'2029'!Resal+('2029'!Salim-'2029'!Resal)*(1-EXP(('2029'!Tnet-t)/('2029'!Tau_j))),Resal+(Salim-Resal)*(1-EXP((Tnet-t)/(Tau_j))))*Salcycl</f>
        <v>1.081828552826828E-2</v>
      </c>
      <c r="P166" s="165">
        <f>(INDEX(Models!$BJ166:$BT166,,T166)*(1-R166)+INDEX(Models!$BJ166:$BT166,,T166+1)*R166-ERP_i)*Q166*Ramure*Pc/MaxiM</f>
        <v>4.1010246575303411E-5</v>
      </c>
      <c r="Q166" s="301">
        <f t="shared" si="53"/>
        <v>0.5</v>
      </c>
      <c r="R166" s="173">
        <f t="shared" si="54"/>
        <v>0.66848401200295426</v>
      </c>
      <c r="S166" s="801">
        <f t="shared" si="55"/>
        <v>0</v>
      </c>
      <c r="T166" s="172">
        <f t="shared" si="56"/>
        <v>6</v>
      </c>
      <c r="U166" s="247">
        <f t="shared" si="57"/>
        <v>0.66848401200295426</v>
      </c>
      <c r="V166" s="378">
        <f t="shared" si="58"/>
        <v>237.73697321734358</v>
      </c>
      <c r="W166" s="397">
        <f t="shared" si="59"/>
        <v>234.55792340495611</v>
      </c>
      <c r="X166" s="153">
        <f t="shared" si="60"/>
        <v>47635</v>
      </c>
      <c r="Y166" s="380">
        <f t="shared" si="61"/>
        <v>225.10637587557821</v>
      </c>
      <c r="Z166" s="380">
        <f t="shared" si="62"/>
        <v>235.22188649834061</v>
      </c>
      <c r="AA166" s="381">
        <f t="shared" si="63"/>
        <v>247.68843778056683</v>
      </c>
      <c r="AB166" s="193">
        <f t="shared" si="64"/>
        <v>47635</v>
      </c>
      <c r="AC166" s="119">
        <f>IF(OR(t&lt;Tnet,NoTnet),'2029'!Resal_s+('2029'!Salim-'2029'!Resal_s)*(1-EXP(('2029'!Tnet_s-t)/'2029'!Tau_j)),Resal_s+(Salim-Resal_s)*(1-EXP((Tnet_s-t)/Tau_j)))*Salcycl</f>
        <v>5.0331583476135679E-2</v>
      </c>
      <c r="AD166" s="227">
        <f>(INDEX(Models!$BJ166:$BT166,,AH166)*(1-AF166)+INDEX(Models!$BJ166:$BT166,,AH166+1)*AF166-ERP_i)*AE166*Ramure*Pc/MaxiM</f>
        <v>4.1235452045601929E-4</v>
      </c>
      <c r="AE166" s="301">
        <f t="shared" si="65"/>
        <v>0.5</v>
      </c>
      <c r="AF166" s="173">
        <f t="shared" si="66"/>
        <v>0.19347157837693274</v>
      </c>
      <c r="AG166" s="801">
        <f t="shared" si="74"/>
        <v>4</v>
      </c>
      <c r="AH166" s="172">
        <f t="shared" si="67"/>
        <v>10</v>
      </c>
      <c r="AI166" s="221">
        <f t="shared" si="68"/>
        <v>4.1934715783769327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47636</v>
      </c>
      <c r="B167" s="406">
        <f>'2029'!Wh/'2029'!Env_an*'2030'!Env_an</f>
        <v>164.97984544079679</v>
      </c>
      <c r="C167" s="831"/>
      <c r="D167" s="388">
        <f t="shared" si="50"/>
        <v>172.39583538486377</v>
      </c>
      <c r="E167" s="380">
        <f t="shared" si="72"/>
        <v>174.29639521424181</v>
      </c>
      <c r="F167" s="380">
        <f t="shared" si="51"/>
        <v>174.30035141895146</v>
      </c>
      <c r="G167" s="110">
        <f t="shared" si="73"/>
        <v>0.69363389287487265</v>
      </c>
      <c r="H167" s="409" t="b">
        <f>Wh_hp&gt;='2029'!Maxi_hp</f>
        <v>0</v>
      </c>
      <c r="I167" s="385">
        <f>IF(H167,Wh_hp,'2029'!Maxi_hp)</f>
        <v>174.30261051803021</v>
      </c>
      <c r="J167" s="85">
        <f>IF(H167,An,'2029'!An_max)</f>
        <v>2029</v>
      </c>
      <c r="K167" s="193">
        <f t="shared" si="52"/>
        <v>47636</v>
      </c>
      <c r="L167" s="143">
        <f>IF(t&lt;Tvie,1-EXP((T0-t)*PertePVj)+'2029'!Pspv,1-EXP((T0-t)*PertePVj)+Pspv)</f>
        <v>4.3017222124369869E-2</v>
      </c>
      <c r="M167" s="835"/>
      <c r="N167" s="835"/>
      <c r="O167" s="48">
        <f>IF(t&lt;Tnet,'2029'!Resal+('2029'!Salim-'2029'!Resal)*(1-EXP(('2029'!Tnet-t)/('2029'!Tau_j))),Resal+(Salim-Resal)*(1-EXP((Tnet-t)/(Tau_j))))*Salcycl</f>
        <v>1.0904183227897005E-2</v>
      </c>
      <c r="P167" s="165">
        <f>(INDEX(Models!$BJ167:$BT167,,T167)*(1-R167)+INDEX(Models!$BJ167:$BT167,,T167+1)*R167-ERP_i)*Q167*Ramure*Pc/MaxiM</f>
        <v>4.0361986157085424E-5</v>
      </c>
      <c r="Q167" s="301">
        <f t="shared" si="53"/>
        <v>0.5</v>
      </c>
      <c r="R167" s="173">
        <f t="shared" si="54"/>
        <v>0.67347585541736676</v>
      </c>
      <c r="S167" s="801">
        <f t="shared" si="55"/>
        <v>0</v>
      </c>
      <c r="T167" s="172">
        <f t="shared" si="56"/>
        <v>6</v>
      </c>
      <c r="U167" s="247">
        <f t="shared" si="57"/>
        <v>0.67347585541736676</v>
      </c>
      <c r="V167" s="378">
        <f t="shared" si="58"/>
        <v>237.84439140936601</v>
      </c>
      <c r="W167" s="397">
        <f t="shared" si="59"/>
        <v>164.97984544079679</v>
      </c>
      <c r="X167" s="153">
        <f t="shared" si="60"/>
        <v>47636</v>
      </c>
      <c r="Y167" s="380">
        <f t="shared" si="61"/>
        <v>158.35872100205114</v>
      </c>
      <c r="Z167" s="380">
        <f t="shared" si="62"/>
        <v>165.47708554754317</v>
      </c>
      <c r="AA167" s="381">
        <f t="shared" si="63"/>
        <v>174.25990016957189</v>
      </c>
      <c r="AB167" s="193">
        <f t="shared" si="64"/>
        <v>47636</v>
      </c>
      <c r="AC167" s="119">
        <f>IF(OR(t&lt;Tnet,NoTnet),'2029'!Resal_s+('2029'!Salim-'2029'!Resal_s)*(1-EXP(('2029'!Tnet_s-t)/'2029'!Tau_j)),Resal_s+(Salim-Resal_s)*(1-EXP((Tnet_s-t)/Tau_j)))*Salcycl</f>
        <v>5.0400663683855033E-2</v>
      </c>
      <c r="AD167" s="227">
        <f>(INDEX(Models!$BJ167:$BT167,,AH167)*(1-AF167)+INDEX(Models!$BJ167:$BT167,,AH167+1)*AF167-ERP_i)*AE167*Ramure*Pc/MaxiM</f>
        <v>4.1269167985971911E-4</v>
      </c>
      <c r="AE167" s="301">
        <f t="shared" si="65"/>
        <v>0.5</v>
      </c>
      <c r="AF167" s="173">
        <f t="shared" si="66"/>
        <v>0.19846342179134524</v>
      </c>
      <c r="AG167" s="801">
        <f t="shared" si="74"/>
        <v>4</v>
      </c>
      <c r="AH167" s="172">
        <f t="shared" si="67"/>
        <v>10</v>
      </c>
      <c r="AI167" s="221">
        <f t="shared" si="68"/>
        <v>4.1984634217913452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47637</v>
      </c>
      <c r="B168" s="406">
        <f>'2029'!Wh/'2029'!Env_an*'2030'!Env_an</f>
        <v>226.6576974771198</v>
      </c>
      <c r="C168" s="831"/>
      <c r="D168" s="388">
        <f t="shared" si="50"/>
        <v>236.84940368131828</v>
      </c>
      <c r="E168" s="380">
        <f t="shared" si="72"/>
        <v>239.4813087750409</v>
      </c>
      <c r="F168" s="380">
        <f t="shared" si="51"/>
        <v>239.49017647674083</v>
      </c>
      <c r="G168" s="110">
        <f t="shared" si="73"/>
        <v>0.95257297538564234</v>
      </c>
      <c r="H168" s="409" t="b">
        <f>Wh_hp&gt;='2029'!Maxi_hp</f>
        <v>0</v>
      </c>
      <c r="I168" s="385">
        <f>IF(H168,Wh_hp,'2029'!Maxi_hp)</f>
        <v>239.49064596399853</v>
      </c>
      <c r="J168" s="85">
        <f>IF(H168,An,'2029'!An_max)</f>
        <v>2029</v>
      </c>
      <c r="K168" s="193">
        <f t="shared" si="52"/>
        <v>47637</v>
      </c>
      <c r="L168" s="143">
        <f>IF(t&lt;Tvie,1-EXP((T0-t)*PertePVj)+'2029'!Pspv,1-EXP((T0-t)*PertePVj)+Pspv)</f>
        <v>4.3030322414961408E-2</v>
      </c>
      <c r="M168" s="835"/>
      <c r="N168" s="835"/>
      <c r="O168" s="48">
        <f>IF(t&lt;Tnet,'2029'!Resal+('2029'!Salim-'2029'!Resal)*(1-EXP(('2029'!Tnet-t)/('2029'!Tau_j))),Resal+(Salim-Resal)*(1-EXP((Tnet-t)/(Tau_j))))*Salcycl</f>
        <v>1.0990023009248499E-2</v>
      </c>
      <c r="P168" s="165">
        <f>(INDEX(Models!$BJ168:$BT168,,T168)*(1-R168)+INDEX(Models!$BJ168:$BT168,,T168+1)*R168-ERP_i)*Q168*Ramure*Pc/MaxiM</f>
        <v>3.9718297173352036E-5</v>
      </c>
      <c r="Q168" s="301">
        <f t="shared" si="53"/>
        <v>0.5</v>
      </c>
      <c r="R168" s="173">
        <f t="shared" si="54"/>
        <v>0.67850122819963865</v>
      </c>
      <c r="S168" s="801">
        <f t="shared" si="55"/>
        <v>0</v>
      </c>
      <c r="T168" s="172">
        <f t="shared" si="56"/>
        <v>6</v>
      </c>
      <c r="U168" s="247">
        <f t="shared" si="57"/>
        <v>0.67850122819963865</v>
      </c>
      <c r="V168" s="378">
        <f t="shared" si="58"/>
        <v>237.94196707416444</v>
      </c>
      <c r="W168" s="397">
        <f t="shared" si="59"/>
        <v>226.6576974771198</v>
      </c>
      <c r="X168" s="153">
        <f t="shared" si="60"/>
        <v>47637</v>
      </c>
      <c r="Y168" s="380">
        <f t="shared" si="61"/>
        <v>217.53436980043512</v>
      </c>
      <c r="Z168" s="380">
        <f t="shared" si="62"/>
        <v>227.31584385138942</v>
      </c>
      <c r="AA168" s="381">
        <f t="shared" si="63"/>
        <v>239.39812311438953</v>
      </c>
      <c r="AB168" s="193">
        <f t="shared" si="64"/>
        <v>47637</v>
      </c>
      <c r="AC168" s="119">
        <f>IF(OR(t&lt;Tnet,NoTnet),'2029'!Resal_s+('2029'!Salim-'2029'!Resal_s)*(1-EXP(('2029'!Tnet_s-t)/'2029'!Tau_j)),Resal_s+(Salim-Resal_s)*(1-EXP((Tnet_s-t)/Tau_j)))*Salcycl</f>
        <v>5.0469398447317529E-2</v>
      </c>
      <c r="AD168" s="227">
        <f>(INDEX(Models!$BJ168:$BT168,,AH168)*(1-AF168)+INDEX(Models!$BJ168:$BT168,,AH168+1)*AF168-ERP_i)*AE168*Ramure*Pc/MaxiM</f>
        <v>4.1230556974116502E-4</v>
      </c>
      <c r="AE168" s="301">
        <f t="shared" si="65"/>
        <v>0.5</v>
      </c>
      <c r="AF168" s="173">
        <f t="shared" si="66"/>
        <v>0.20348879457361679</v>
      </c>
      <c r="AG168" s="801">
        <f t="shared" si="74"/>
        <v>4</v>
      </c>
      <c r="AH168" s="172">
        <f t="shared" si="67"/>
        <v>10</v>
      </c>
      <c r="AI168" s="221">
        <f t="shared" si="68"/>
        <v>4.2034887945736168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47638</v>
      </c>
      <c r="B169" s="406">
        <f>'2029'!Wh/'2029'!Env_an*'2030'!Env_an</f>
        <v>98.751801211083219</v>
      </c>
      <c r="C169" s="831"/>
      <c r="D169" s="388">
        <f t="shared" si="50"/>
        <v>103.19360724994762</v>
      </c>
      <c r="E169" s="380">
        <f t="shared" si="72"/>
        <v>104.34935927458181</v>
      </c>
      <c r="F169" s="380">
        <f t="shared" si="51"/>
        <v>104.3500284842484</v>
      </c>
      <c r="G169" s="110">
        <f t="shared" si="73"/>
        <v>0.41485910194008335</v>
      </c>
      <c r="H169" s="409" t="b">
        <f>Wh_hp&gt;='2029'!Maxi_hp</f>
        <v>0</v>
      </c>
      <c r="I169" s="385">
        <f>IF(H169,Wh_hp,'2029'!Maxi_hp)</f>
        <v>104.35249417533518</v>
      </c>
      <c r="J169" s="85">
        <f>IF(H169,An,'2029'!An_max)</f>
        <v>2029</v>
      </c>
      <c r="K169" s="193">
        <f t="shared" si="52"/>
        <v>47638</v>
      </c>
      <c r="L169" s="143">
        <f>IF(t&lt;Tvie,1-EXP((T0-t)*PertePVj)+'2029'!Pspv,1-EXP((T0-t)*PertePVj)+Pspv)</f>
        <v>4.3043422526221065E-2</v>
      </c>
      <c r="M169" s="835"/>
      <c r="N169" s="835"/>
      <c r="O169" s="48">
        <f>IF(t&lt;Tnet,'2029'!Resal+('2029'!Salim-'2029'!Resal)*(1-EXP(('2029'!Tnet-t)/('2029'!Tau_j))),Resal+(Salim-Resal)*(1-EXP((Tnet-t)/(Tau_j))))*Salcycl</f>
        <v>1.1075794165568288E-2</v>
      </c>
      <c r="P169" s="165">
        <f>(INDEX(Models!$BJ169:$BT169,,T169)*(1-R169)+INDEX(Models!$BJ169:$BT169,,T169+1)*R169-ERP_i)*Q169*Ramure*Pc/MaxiM</f>
        <v>3.9079681610417796E-5</v>
      </c>
      <c r="Q169" s="301">
        <f t="shared" si="53"/>
        <v>0.5</v>
      </c>
      <c r="R169" s="173">
        <f t="shared" si="54"/>
        <v>0.68355618572929844</v>
      </c>
      <c r="S169" s="801">
        <f t="shared" si="55"/>
        <v>0</v>
      </c>
      <c r="T169" s="172">
        <f t="shared" si="56"/>
        <v>6</v>
      </c>
      <c r="U169" s="247">
        <f t="shared" si="57"/>
        <v>0.68355618572929844</v>
      </c>
      <c r="V169" s="378">
        <f t="shared" si="58"/>
        <v>238.02918833693184</v>
      </c>
      <c r="W169" s="397">
        <f t="shared" si="59"/>
        <v>98.751801211083219</v>
      </c>
      <c r="X169" s="153">
        <f t="shared" si="60"/>
        <v>47638</v>
      </c>
      <c r="Y169" s="380">
        <f t="shared" si="61"/>
        <v>94.805427738924564</v>
      </c>
      <c r="Z169" s="380">
        <f t="shared" si="62"/>
        <v>99.069727896323784</v>
      </c>
      <c r="AA169" s="381">
        <f t="shared" si="63"/>
        <v>104.34298728838687</v>
      </c>
      <c r="AB169" s="193">
        <f t="shared" si="64"/>
        <v>47638</v>
      </c>
      <c r="AC169" s="119">
        <f>IF(OR(t&lt;Tnet,NoTnet),'2029'!Resal_s+('2029'!Salim-'2029'!Resal_s)*(1-EXP(('2029'!Tnet_s-t)/'2029'!Tau_j)),Resal_s+(Salim-Resal_s)*(1-EXP((Tnet_s-t)/Tau_j)))*Salcycl</f>
        <v>5.0537746034514559E-2</v>
      </c>
      <c r="AD169" s="227">
        <f>(INDEX(Models!$BJ169:$BT169,,AH169)*(1-AF169)+INDEX(Models!$BJ169:$BT169,,AH169+1)*AF169-ERP_i)*AE169*Ramure*Pc/MaxiM</f>
        <v>4.111830808290517E-4</v>
      </c>
      <c r="AE169" s="301">
        <f t="shared" si="65"/>
        <v>0.5</v>
      </c>
      <c r="AF169" s="173">
        <f t="shared" si="66"/>
        <v>0.20854375210327625</v>
      </c>
      <c r="AG169" s="801">
        <f t="shared" si="74"/>
        <v>4</v>
      </c>
      <c r="AH169" s="172">
        <f t="shared" si="67"/>
        <v>10</v>
      </c>
      <c r="AI169" s="221">
        <f t="shared" si="68"/>
        <v>4.2085437521032762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47639</v>
      </c>
      <c r="B170" s="406">
        <f>'2029'!Wh/'2029'!Env_an*'2030'!Env_an</f>
        <v>127.94445875391071</v>
      </c>
      <c r="C170" s="831"/>
      <c r="D170" s="388">
        <f t="shared" si="50"/>
        <v>133.70116601094182</v>
      </c>
      <c r="E170" s="380">
        <f t="shared" ref="E170:E232" si="75">Wh_pvt/(1-Psa)</f>
        <v>135.2103140299875</v>
      </c>
      <c r="F170" s="380">
        <f t="shared" si="51"/>
        <v>135.21207753343575</v>
      </c>
      <c r="G170" s="110">
        <f t="shared" ref="G170:G232" si="76">+Wh_hp/MaxiM</f>
        <v>0.53732981809328295</v>
      </c>
      <c r="H170" s="409" t="b">
        <f>Wh_hp&gt;='2029'!Maxi_hp</f>
        <v>0</v>
      </c>
      <c r="I170" s="385">
        <f>IF(H170,Wh_hp,'2029'!Maxi_hp)</f>
        <v>135.21454646972202</v>
      </c>
      <c r="J170" s="85">
        <f>IF(H170,An,'2029'!An_max)</f>
        <v>2029</v>
      </c>
      <c r="K170" s="193">
        <f t="shared" si="52"/>
        <v>47639</v>
      </c>
      <c r="L170" s="143">
        <f>IF(t&lt;Tvie,1-EXP((T0-t)*PertePVj)+'2029'!Pspv,1-EXP((T0-t)*PertePVj)+Pspv)</f>
        <v>4.3056522458151059E-2</v>
      </c>
      <c r="M170" s="835"/>
      <c r="N170" s="835"/>
      <c r="O170" s="48">
        <f>IF(t&lt;Tnet,'2029'!Resal+('2029'!Salim-'2029'!Resal)*(1-EXP(('2029'!Tnet-t)/('2029'!Tau_j))),Resal+(Salim-Resal)*(1-EXP((Tnet-t)/(Tau_j))))*Salcycl</f>
        <v>1.1161485940421576E-2</v>
      </c>
      <c r="P170" s="165">
        <f>(INDEX(Models!$BJ170:$BT170,,T170)*(1-R170)+INDEX(Models!$BJ170:$BT170,,T170+1)*R170-ERP_i)*Q170*Ramure*Pc/MaxiM</f>
        <v>3.846640167256553E-5</v>
      </c>
      <c r="Q170" s="301">
        <f t="shared" si="53"/>
        <v>0.5</v>
      </c>
      <c r="R170" s="173">
        <f t="shared" si="54"/>
        <v>0.68863668659957045</v>
      </c>
      <c r="S170" s="801">
        <f t="shared" si="55"/>
        <v>0</v>
      </c>
      <c r="T170" s="172">
        <f t="shared" si="56"/>
        <v>6</v>
      </c>
      <c r="U170" s="247">
        <f t="shared" si="57"/>
        <v>0.68863668659957045</v>
      </c>
      <c r="V170" s="378">
        <f t="shared" si="58"/>
        <v>238.10553882544025</v>
      </c>
      <c r="W170" s="397">
        <f t="shared" si="59"/>
        <v>127.94445875391071</v>
      </c>
      <c r="X170" s="153">
        <f t="shared" si="60"/>
        <v>47639</v>
      </c>
      <c r="Y170" s="380">
        <f t="shared" si="61"/>
        <v>122.8253785742409</v>
      </c>
      <c r="Z170" s="380">
        <f t="shared" si="62"/>
        <v>128.35175896673533</v>
      </c>
      <c r="AA170" s="381">
        <f t="shared" si="63"/>
        <v>135.19330619974306</v>
      </c>
      <c r="AB170" s="193">
        <f t="shared" si="64"/>
        <v>47639</v>
      </c>
      <c r="AC170" s="119">
        <f>IF(OR(t&lt;Tnet,NoTnet),'2029'!Resal_s+('2029'!Salim-'2029'!Resal_s)*(1-EXP(('2029'!Tnet_s-t)/'2029'!Tau_j)),Resal_s+(Salim-Resal_s)*(1-EXP((Tnet_s-t)/Tau_j)))*Salcycl</f>
        <v>5.0605665512015827E-2</v>
      </c>
      <c r="AD170" s="227">
        <f>(INDEX(Models!$BJ170:$BT170,,AH170)*(1-AF170)+INDEX(Models!$BJ170:$BT170,,AH170+1)*AF170-ERP_i)*AE170*Ramure*Pc/MaxiM</f>
        <v>4.0944953210523606E-4</v>
      </c>
      <c r="AE170" s="301">
        <f t="shared" si="65"/>
        <v>0.5</v>
      </c>
      <c r="AF170" s="173">
        <f t="shared" si="66"/>
        <v>0.21362425297354815</v>
      </c>
      <c r="AG170" s="801">
        <f t="shared" si="74"/>
        <v>4</v>
      </c>
      <c r="AH170" s="172">
        <f t="shared" si="67"/>
        <v>10</v>
      </c>
      <c r="AI170" s="221">
        <f t="shared" si="68"/>
        <v>4.2136242529735481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47640</v>
      </c>
      <c r="B171" s="406">
        <f>'2029'!Wh/'2029'!Env_an*'2030'!Env_an</f>
        <v>187.99635292728459</v>
      </c>
      <c r="C171" s="831"/>
      <c r="D171" s="388">
        <f t="shared" si="50"/>
        <v>196.45771237987481</v>
      </c>
      <c r="E171" s="380">
        <f t="shared" si="75"/>
        <v>198.69242346614428</v>
      </c>
      <c r="F171" s="380">
        <f t="shared" si="51"/>
        <v>198.69768304588578</v>
      </c>
      <c r="G171" s="110">
        <f t="shared" si="76"/>
        <v>0.78932614444515037</v>
      </c>
      <c r="H171" s="409" t="b">
        <f>Wh_hp&gt;='2029'!Maxi_hp</f>
        <v>0</v>
      </c>
      <c r="I171" s="385">
        <f>IF(H171,Wh_hp,'2029'!Maxi_hp)</f>
        <v>198.69929778180276</v>
      </c>
      <c r="J171" s="85">
        <f>IF(H171,An,'2029'!An_max)</f>
        <v>2029</v>
      </c>
      <c r="K171" s="193">
        <f t="shared" si="52"/>
        <v>47640</v>
      </c>
      <c r="L171" s="143">
        <f>IF(t&lt;Tvie,1-EXP((T0-t)*PertePVj)+'2029'!Pspv,1-EXP((T0-t)*PertePVj)+Pspv)</f>
        <v>4.3069622210754166E-2</v>
      </c>
      <c r="M171" s="835"/>
      <c r="N171" s="835"/>
      <c r="O171" s="48">
        <f>IF(t&lt;Tnet,'2029'!Resal+('2029'!Salim-'2029'!Resal)*(1-EXP(('2029'!Tnet-t)/('2029'!Tau_j))),Resal+(Salim-Resal)*(1-EXP((Tnet-t)/(Tau_j))))*Salcycl</f>
        <v>1.1247087570252773E-2</v>
      </c>
      <c r="P171" s="165">
        <f>(INDEX(Models!$BJ171:$BT171,,T171)*(1-R171)+INDEX(Models!$BJ171:$BT171,,T171+1)*R171-ERP_i)*Q171*Ramure*Pc/MaxiM</f>
        <v>3.7866038912777493E-5</v>
      </c>
      <c r="Q171" s="301">
        <f t="shared" si="53"/>
        <v>0.5</v>
      </c>
      <c r="R171" s="173">
        <f t="shared" si="54"/>
        <v>0.69373860514671037</v>
      </c>
      <c r="S171" s="801">
        <f t="shared" si="55"/>
        <v>0</v>
      </c>
      <c r="T171" s="172">
        <f t="shared" si="56"/>
        <v>6</v>
      </c>
      <c r="U171" s="247">
        <f t="shared" si="57"/>
        <v>0.69373860514671037</v>
      </c>
      <c r="V171" s="378">
        <f t="shared" si="58"/>
        <v>238.17051016121655</v>
      </c>
      <c r="W171" s="397">
        <f t="shared" si="59"/>
        <v>187.99635292728459</v>
      </c>
      <c r="X171" s="153">
        <f t="shared" si="60"/>
        <v>47640</v>
      </c>
      <c r="Y171" s="380">
        <f t="shared" si="61"/>
        <v>180.45351272998337</v>
      </c>
      <c r="Z171" s="380">
        <f t="shared" si="62"/>
        <v>188.57538324457542</v>
      </c>
      <c r="AA171" s="381">
        <f t="shared" si="63"/>
        <v>198.64114943193744</v>
      </c>
      <c r="AB171" s="193">
        <f t="shared" si="64"/>
        <v>47640</v>
      </c>
      <c r="AC171" s="119">
        <f>IF(OR(t&lt;Tnet,NoTnet),'2029'!Resal_s+('2029'!Salim-'2029'!Resal_s)*(1-EXP(('2029'!Tnet_s-t)/'2029'!Tau_j)),Resal_s+(Salim-Resal_s)*(1-EXP((Tnet_s-t)/Tau_j)))*Salcycl</f>
        <v>5.0673116905271237E-2</v>
      </c>
      <c r="AD171" s="227">
        <f>(INDEX(Models!$BJ171:$BT171,,AH171)*(1-AF171)+INDEX(Models!$BJ171:$BT171,,AH171+1)*AF171-ERP_i)*AE171*Ramure*Pc/MaxiM</f>
        <v>4.0701047058213562E-4</v>
      </c>
      <c r="AE171" s="301">
        <f t="shared" si="65"/>
        <v>0.5</v>
      </c>
      <c r="AF171" s="173">
        <f t="shared" si="66"/>
        <v>0.21872617152068852</v>
      </c>
      <c r="AG171" s="801">
        <f t="shared" si="74"/>
        <v>4</v>
      </c>
      <c r="AH171" s="172">
        <f t="shared" si="67"/>
        <v>10</v>
      </c>
      <c r="AI171" s="221">
        <f t="shared" si="68"/>
        <v>4.2187261715206885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47641</v>
      </c>
      <c r="B172" s="406">
        <f>'2029'!Wh/'2029'!Env_an*'2030'!Env_an</f>
        <v>117.14396819737662</v>
      </c>
      <c r="C172" s="831"/>
      <c r="D172" s="388">
        <f t="shared" si="50"/>
        <v>122.41807193174988</v>
      </c>
      <c r="E172" s="380">
        <f t="shared" si="75"/>
        <v>123.82128761043832</v>
      </c>
      <c r="F172" s="380">
        <f t="shared" si="51"/>
        <v>123.82255200668359</v>
      </c>
      <c r="G172" s="110">
        <f t="shared" si="76"/>
        <v>0.49172626779254097</v>
      </c>
      <c r="H172" s="409" t="b">
        <f>Wh_hp&gt;='2029'!Maxi_hp</f>
        <v>0</v>
      </c>
      <c r="I172" s="385">
        <f>IF(H172,Wh_hp,'2029'!Maxi_hp)</f>
        <v>123.82492521296413</v>
      </c>
      <c r="J172" s="85">
        <f>IF(H172,An,'2029'!An_max)</f>
        <v>2029</v>
      </c>
      <c r="K172" s="193">
        <f t="shared" si="52"/>
        <v>47641</v>
      </c>
      <c r="L172" s="143">
        <f>IF(t&lt;Tvie,1-EXP((T0-t)*PertePVj)+'2029'!Pspv,1-EXP((T0-t)*PertePVj)+Pspv)</f>
        <v>4.3082721784032496E-2</v>
      </c>
      <c r="M172" s="835"/>
      <c r="N172" s="835"/>
      <c r="O172" s="48">
        <f>IF(t&lt;Tnet,'2029'!Resal+('2029'!Salim-'2029'!Resal)*(1-EXP(('2029'!Tnet-t)/('2029'!Tau_j))),Resal+(Salim-Resal)*(1-EXP((Tnet-t)/(Tau_j))))*Salcycl</f>
        <v>1.1332588327648397E-2</v>
      </c>
      <c r="P172" s="165">
        <f>(INDEX(Models!$BJ172:$BT172,,T172)*(1-R172)+INDEX(Models!$BJ172:$BT172,,T172+1)*R172-ERP_i)*Q172*Ramure*Pc/MaxiM</f>
        <v>3.7279469088407441E-5</v>
      </c>
      <c r="Q172" s="301">
        <f t="shared" si="53"/>
        <v>0.5</v>
      </c>
      <c r="R172" s="173">
        <f t="shared" si="54"/>
        <v>0.69885774456453631</v>
      </c>
      <c r="S172" s="801">
        <f t="shared" si="55"/>
        <v>0</v>
      </c>
      <c r="T172" s="172">
        <f t="shared" si="56"/>
        <v>6</v>
      </c>
      <c r="U172" s="247">
        <f t="shared" si="57"/>
        <v>0.69885774456453631</v>
      </c>
      <c r="V172" s="378">
        <f t="shared" si="58"/>
        <v>238.22359099254294</v>
      </c>
      <c r="W172" s="397">
        <f t="shared" si="59"/>
        <v>117.14396819737662</v>
      </c>
      <c r="X172" s="153">
        <f t="shared" si="60"/>
        <v>47641</v>
      </c>
      <c r="Y172" s="380">
        <f t="shared" si="61"/>
        <v>112.4634118175113</v>
      </c>
      <c r="Z172" s="380">
        <f t="shared" si="62"/>
        <v>117.52678562475421</v>
      </c>
      <c r="AA172" s="381">
        <f t="shared" si="63"/>
        <v>123.80885449845883</v>
      </c>
      <c r="AB172" s="193">
        <f t="shared" si="64"/>
        <v>47641</v>
      </c>
      <c r="AC172" s="119">
        <f>IF(OR(t&lt;Tnet,NoTnet),'2029'!Resal_s+('2029'!Salim-'2029'!Resal_s)*(1-EXP(('2029'!Tnet_s-t)/'2029'!Tau_j)),Resal_s+(Salim-Resal_s)*(1-EXP((Tnet_s-t)/Tau_j)))*Salcycl</f>
        <v>5.074006135629669E-2</v>
      </c>
      <c r="AD172" s="227">
        <f>(INDEX(Models!$BJ172:$BT172,,AH172)*(1-AF172)+INDEX(Models!$BJ172:$BT172,,AH172+1)*AF172-ERP_i)*AE172*Ramure*Pc/MaxiM</f>
        <v>4.0385744292007988E-4</v>
      </c>
      <c r="AE172" s="301">
        <f t="shared" si="65"/>
        <v>0.5</v>
      </c>
      <c r="AF172" s="173">
        <f t="shared" si="66"/>
        <v>0.22384531093851479</v>
      </c>
      <c r="AG172" s="801">
        <f t="shared" si="74"/>
        <v>4</v>
      </c>
      <c r="AH172" s="172">
        <f t="shared" si="67"/>
        <v>10</v>
      </c>
      <c r="AI172" s="221">
        <f t="shared" si="68"/>
        <v>4.2238453109385148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47642</v>
      </c>
      <c r="B173" s="406">
        <f>'2029'!Wh/'2029'!Env_an*'2030'!Env_an</f>
        <v>89.249633043494612</v>
      </c>
      <c r="C173" s="831"/>
      <c r="D173" s="388">
        <f t="shared" si="50"/>
        <v>93.269143367483906</v>
      </c>
      <c r="E173" s="380">
        <f t="shared" si="75"/>
        <v>94.346388312577986</v>
      </c>
      <c r="F173" s="380">
        <f t="shared" si="51"/>
        <v>94.346757309086343</v>
      </c>
      <c r="G173" s="110">
        <f t="shared" si="76"/>
        <v>0.3745702446175459</v>
      </c>
      <c r="H173" s="409" t="b">
        <f>Wh_hp&gt;='2029'!Maxi_hp</f>
        <v>0</v>
      </c>
      <c r="I173" s="385">
        <f>IF(H173,Wh_hp,'2029'!Maxi_hp)</f>
        <v>94.348932779037895</v>
      </c>
      <c r="J173" s="85">
        <f>IF(H173,An,'2029'!An_max)</f>
        <v>2029</v>
      </c>
      <c r="K173" s="193">
        <f t="shared" si="52"/>
        <v>47642</v>
      </c>
      <c r="L173" s="143">
        <f>IF(t&lt;Tvie,1-EXP((T0-t)*PertePVj)+'2029'!Pspv,1-EXP((T0-t)*PertePVj)+Pspv)</f>
        <v>4.3095821177988825E-2</v>
      </c>
      <c r="M173" s="835"/>
      <c r="N173" s="835"/>
      <c r="O173" s="48">
        <f>IF(t&lt;Tnet,'2029'!Resal+('2029'!Salim-'2029'!Resal)*(1-EXP(('2029'!Tnet-t)/('2029'!Tau_j))),Resal+(Salim-Resal)*(1-EXP((Tnet-t)/(Tau_j))))*Salcycl</f>
        <v>1.1417977565024122E-2</v>
      </c>
      <c r="P173" s="165">
        <f>(INDEX(Models!$BJ173:$BT173,,T173)*(1-R173)+INDEX(Models!$BJ173:$BT173,,T173+1)*R173-ERP_i)*Q173*Ramure*Pc/MaxiM</f>
        <v>3.670761845742944E-5</v>
      </c>
      <c r="Q173" s="301">
        <f t="shared" si="53"/>
        <v>0.5</v>
      </c>
      <c r="R173" s="173">
        <f t="shared" si="54"/>
        <v>0.70398985051780283</v>
      </c>
      <c r="S173" s="801">
        <f t="shared" si="55"/>
        <v>0</v>
      </c>
      <c r="T173" s="172">
        <f t="shared" si="56"/>
        <v>6</v>
      </c>
      <c r="U173" s="247">
        <f t="shared" si="57"/>
        <v>0.70398985051780283</v>
      </c>
      <c r="V173" s="378">
        <f t="shared" si="58"/>
        <v>238.26427014512939</v>
      </c>
      <c r="W173" s="397">
        <f t="shared" si="59"/>
        <v>89.249633043494612</v>
      </c>
      <c r="X173" s="153">
        <f t="shared" si="60"/>
        <v>47642</v>
      </c>
      <c r="Y173" s="380">
        <f t="shared" si="61"/>
        <v>85.690306041140289</v>
      </c>
      <c r="Z173" s="380">
        <f t="shared" si="62"/>
        <v>89.549515967866938</v>
      </c>
      <c r="AA173" s="381">
        <f t="shared" si="63"/>
        <v>94.342736559717039</v>
      </c>
      <c r="AB173" s="193">
        <f t="shared" si="64"/>
        <v>47642</v>
      </c>
      <c r="AC173" s="119">
        <f>IF(OR(t&lt;Tnet,NoTnet),'2029'!Resal_s+('2029'!Salim-'2029'!Resal_s)*(1-EXP(('2029'!Tnet_s-t)/'2029'!Tau_j)),Resal_s+(Salim-Resal_s)*(1-EXP((Tnet_s-t)/Tau_j)))*Salcycl</f>
        <v>5.080646127766391E-2</v>
      </c>
      <c r="AD173" s="227">
        <f>(INDEX(Models!$BJ173:$BT173,,AH173)*(1-AF173)+INDEX(Models!$BJ173:$BT173,,AH173+1)*AF173-ERP_i)*AE173*Ramure*Pc/MaxiM</f>
        <v>3.9998246709269119E-4</v>
      </c>
      <c r="AE173" s="301">
        <f t="shared" si="65"/>
        <v>0.5</v>
      </c>
      <c r="AF173" s="173">
        <f t="shared" si="66"/>
        <v>0.22897741689178108</v>
      </c>
      <c r="AG173" s="801">
        <f t="shared" si="74"/>
        <v>4</v>
      </c>
      <c r="AH173" s="172">
        <f t="shared" si="67"/>
        <v>10</v>
      </c>
      <c r="AI173" s="221">
        <f t="shared" si="68"/>
        <v>4.2289774168917811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47643</v>
      </c>
      <c r="B174" s="406">
        <f>'2029'!Wh/'2029'!Env_an*'2030'!Env_an</f>
        <v>189.3367330690981</v>
      </c>
      <c r="C174" s="831"/>
      <c r="D174" s="388">
        <f t="shared" si="50"/>
        <v>197.86654626019245</v>
      </c>
      <c r="E174" s="380">
        <f t="shared" si="75"/>
        <v>200.16914088083263</v>
      </c>
      <c r="F174" s="380">
        <f t="shared" si="51"/>
        <v>200.17425361090824</v>
      </c>
      <c r="G174" s="110">
        <f t="shared" si="76"/>
        <v>0.79454910388743816</v>
      </c>
      <c r="H174" s="409" t="b">
        <f>Wh_hp&gt;='2029'!Maxi_hp</f>
        <v>0</v>
      </c>
      <c r="I174" s="385">
        <f>IF(H174,Wh_hp,'2029'!Maxi_hp)</f>
        <v>200.17573631914226</v>
      </c>
      <c r="J174" s="85">
        <f>IF(H174,An,'2029'!An_max)</f>
        <v>2029</v>
      </c>
      <c r="K174" s="193">
        <f t="shared" si="52"/>
        <v>47643</v>
      </c>
      <c r="L174" s="143">
        <f>IF(t&lt;Tvie,1-EXP((T0-t)*PertePVj)+'2029'!Pspv,1-EXP((T0-t)*PertePVj)+Pspv)</f>
        <v>4.3108920392625372E-2</v>
      </c>
      <c r="M174" s="835"/>
      <c r="N174" s="835"/>
      <c r="O174" s="48">
        <f>IF(t&lt;Tnet,'2029'!Resal+('2029'!Salim-'2029'!Resal)*(1-EXP(('2029'!Tnet-t)/('2029'!Tau_j))),Resal+(Salim-Resal)*(1-EXP((Tnet-t)/(Tau_j))))*Salcycl</f>
        <v>1.1503244758446581E-2</v>
      </c>
      <c r="P174" s="165">
        <f>(INDEX(Models!$BJ174:$BT174,,T174)*(1-R174)+INDEX(Models!$BJ174:$BT174,,T174+1)*R174-ERP_i)*Q174*Ramure*Pc/MaxiM</f>
        <v>3.61514619399379E-5</v>
      </c>
      <c r="Q174" s="301">
        <f t="shared" si="53"/>
        <v>0.5</v>
      </c>
      <c r="R174" s="173">
        <f t="shared" si="54"/>
        <v>0.70913062516210879</v>
      </c>
      <c r="S174" s="801">
        <f t="shared" si="55"/>
        <v>0</v>
      </c>
      <c r="T174" s="172">
        <f t="shared" si="56"/>
        <v>6</v>
      </c>
      <c r="U174" s="247">
        <f t="shared" si="57"/>
        <v>0.70913062516210879</v>
      </c>
      <c r="V174" s="378">
        <f t="shared" si="58"/>
        <v>238.29203659837208</v>
      </c>
      <c r="W174" s="397">
        <f t="shared" si="59"/>
        <v>189.3367330690981</v>
      </c>
      <c r="X174" s="153">
        <f t="shared" si="60"/>
        <v>47643</v>
      </c>
      <c r="Y174" s="380">
        <f t="shared" si="61"/>
        <v>181.74984485580174</v>
      </c>
      <c r="Z174" s="380">
        <f t="shared" si="62"/>
        <v>189.93786098452935</v>
      </c>
      <c r="AA174" s="381">
        <f t="shared" si="63"/>
        <v>200.11833716639643</v>
      </c>
      <c r="AB174" s="193">
        <f t="shared" si="64"/>
        <v>47643</v>
      </c>
      <c r="AC174" s="119">
        <f>IF(OR(t&lt;Tnet,NoTnet),'2029'!Resal_s+('2029'!Salim-'2029'!Resal_s)*(1-EXP(('2029'!Tnet_s-t)/'2029'!Tau_j)),Resal_s+(Salim-Resal_s)*(1-EXP((Tnet_s-t)/Tau_j)))*Salcycl</f>
        <v>5.0872280501721864E-2</v>
      </c>
      <c r="AD174" s="227">
        <f>(INDEX(Models!$BJ174:$BT174,,AH174)*(1-AF174)+INDEX(Models!$BJ174:$BT174,,AH174+1)*AF174-ERP_i)*AE174*Ramure*Pc/MaxiM</f>
        <v>3.9537804376418932E-4</v>
      </c>
      <c r="AE174" s="301">
        <f t="shared" si="65"/>
        <v>0.5</v>
      </c>
      <c r="AF174" s="173">
        <f t="shared" si="66"/>
        <v>0.23411819153608704</v>
      </c>
      <c r="AG174" s="801">
        <f t="shared" si="74"/>
        <v>4</v>
      </c>
      <c r="AH174" s="172">
        <f t="shared" si="67"/>
        <v>10</v>
      </c>
      <c r="AI174" s="221">
        <f t="shared" si="68"/>
        <v>4.234118191536087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47644</v>
      </c>
      <c r="B175" s="406">
        <f>'2029'!Wh/'2029'!Env_an*'2030'!Env_an</f>
        <v>239.3551164490421</v>
      </c>
      <c r="C175" s="831"/>
      <c r="D175" s="388">
        <f t="shared" si="50"/>
        <v>250.14173312457996</v>
      </c>
      <c r="E175" s="380">
        <f t="shared" si="75"/>
        <v>253.07445597515726</v>
      </c>
      <c r="F175" s="380">
        <f t="shared" si="51"/>
        <v>253.08346878897098</v>
      </c>
      <c r="G175" s="110">
        <f t="shared" si="76"/>
        <v>1.0044007926630023</v>
      </c>
      <c r="H175" s="409" t="b">
        <f>Wh_hp&gt;='2029'!Maxi_hp</f>
        <v>1</v>
      </c>
      <c r="I175" s="385">
        <f>IF(H175,Wh_hp,'2029'!Maxi_hp)</f>
        <v>253.08346878897098</v>
      </c>
      <c r="J175" s="85">
        <f>IF(H175,An,'2029'!An_max)</f>
        <v>2030</v>
      </c>
      <c r="K175" s="193">
        <f t="shared" si="52"/>
        <v>47644</v>
      </c>
      <c r="L175" s="143">
        <f>IF(t&lt;Tvie,1-EXP((T0-t)*PertePVj)+'2029'!Pspv,1-EXP((T0-t)*PertePVj)+Pspv)</f>
        <v>4.312201942794458E-2</v>
      </c>
      <c r="M175" s="835"/>
      <c r="N175" s="835"/>
      <c r="O175" s="48">
        <f>IF(t&lt;Tnet,'2029'!Resal+('2029'!Salim-'2029'!Resal)*(1-EXP(('2029'!Tnet-t)/('2029'!Tau_j))),Resal+(Salim-Resal)*(1-EXP((Tnet-t)/(Tau_j))))*Salcycl</f>
        <v>1.1588379551293727E-2</v>
      </c>
      <c r="P175" s="165">
        <f>(INDEX(Models!$BJ175:$BT175,,T175)*(1-R175)+INDEX(Models!$BJ175:$BT175,,T175+1)*R175-ERP_i)*Q175*Ramure*Pc/MaxiM</f>
        <v>3.5612021033440347E-5</v>
      </c>
      <c r="Q175" s="301">
        <f t="shared" si="53"/>
        <v>0.5</v>
      </c>
      <c r="R175" s="173">
        <f t="shared" si="54"/>
        <v>0.71427574147312023</v>
      </c>
      <c r="S175" s="801">
        <f t="shared" si="55"/>
        <v>0</v>
      </c>
      <c r="T175" s="172">
        <f t="shared" si="56"/>
        <v>6</v>
      </c>
      <c r="U175" s="247">
        <f t="shared" si="57"/>
        <v>0.71427574147312023</v>
      </c>
      <c r="V175" s="378">
        <f t="shared" si="58"/>
        <v>238.30637948266809</v>
      </c>
      <c r="W175" s="397">
        <f t="shared" si="59"/>
        <v>239.3551164490421</v>
      </c>
      <c r="X175" s="153">
        <f t="shared" si="60"/>
        <v>47644</v>
      </c>
      <c r="Y175" s="380">
        <f t="shared" si="61"/>
        <v>229.7448240190499</v>
      </c>
      <c r="Z175" s="380">
        <f t="shared" si="62"/>
        <v>240.09834972030637</v>
      </c>
      <c r="AA175" s="381">
        <f t="shared" si="63"/>
        <v>252.98475683088816</v>
      </c>
      <c r="AB175" s="193">
        <f t="shared" si="64"/>
        <v>47644</v>
      </c>
      <c r="AC175" s="119">
        <f>IF(OR(t&lt;Tnet,NoTnet),'2029'!Resal_s+('2029'!Salim-'2029'!Resal_s)*(1-EXP(('2029'!Tnet_s-t)/'2029'!Tau_j)),Resal_s+(Salim-Resal_s)*(1-EXP((Tnet_s-t)/Tau_j)))*Salcycl</f>
        <v>5.0937484423995989E-2</v>
      </c>
      <c r="AD175" s="227">
        <f>(INDEX(Models!$BJ175:$BT175,,AH175)*(1-AF175)+INDEX(Models!$BJ175:$BT175,,AH175+1)*AF175-ERP_i)*AE175*Ramure*Pc/MaxiM</f>
        <v>3.9003716266081627E-4</v>
      </c>
      <c r="AE175" s="301">
        <f t="shared" si="65"/>
        <v>0.5</v>
      </c>
      <c r="AF175" s="173">
        <f t="shared" si="66"/>
        <v>0.23926330784709826</v>
      </c>
      <c r="AG175" s="801">
        <f t="shared" si="74"/>
        <v>4</v>
      </c>
      <c r="AH175" s="172">
        <f t="shared" si="67"/>
        <v>10</v>
      </c>
      <c r="AI175" s="221">
        <f t="shared" si="68"/>
        <v>4.2392633078470983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47645</v>
      </c>
      <c r="B176" s="406">
        <f>'2029'!Wh/'2029'!Env_an*'2030'!Env_an</f>
        <v>227.3356779285842</v>
      </c>
      <c r="C176" s="831"/>
      <c r="D176" s="388">
        <f t="shared" si="50"/>
        <v>237.58388699654037</v>
      </c>
      <c r="E176" s="380">
        <f t="shared" si="75"/>
        <v>240.39004941982591</v>
      </c>
      <c r="F176" s="380">
        <f t="shared" si="51"/>
        <v>240.39793027235885</v>
      </c>
      <c r="G176" s="110">
        <f t="shared" si="76"/>
        <v>0.95396004076896967</v>
      </c>
      <c r="H176" s="409" t="b">
        <f>Wh_hp&gt;='2029'!Maxi_hp</f>
        <v>0</v>
      </c>
      <c r="I176" s="385">
        <f>IF(H176,Wh_hp,'2029'!Maxi_hp)</f>
        <v>240.3983121746576</v>
      </c>
      <c r="J176" s="85">
        <f>IF(H176,An,'2029'!An_max)</f>
        <v>2029</v>
      </c>
      <c r="K176" s="193">
        <f t="shared" si="52"/>
        <v>47645</v>
      </c>
      <c r="L176" s="143">
        <f>IF(t&lt;Tvie,1-EXP((T0-t)*PertePVj)+'2029'!Pspv,1-EXP((T0-t)*PertePVj)+Pspv)</f>
        <v>4.3135118283949114E-2</v>
      </c>
      <c r="M176" s="835"/>
      <c r="N176" s="835"/>
      <c r="O176" s="48">
        <f>IF(t&lt;Tnet,'2029'!Resal+('2029'!Salim-'2029'!Resal)*(1-EXP(('2029'!Tnet-t)/('2029'!Tau_j))),Resal+(Salim-Resal)*(1-EXP((Tnet-t)/(Tau_j))))*Salcycl</f>
        <v>1.16733717974522E-2</v>
      </c>
      <c r="P176" s="165">
        <f>(INDEX(Models!$BJ176:$BT176,,T176)*(1-R176)+INDEX(Models!$BJ176:$BT176,,T176+1)*R176-ERP_i)*Q176*Ramure*Pc/MaxiM</f>
        <v>3.5090361509654553E-5</v>
      </c>
      <c r="Q176" s="301">
        <f t="shared" si="53"/>
        <v>0.5</v>
      </c>
      <c r="R176" s="173">
        <f t="shared" si="54"/>
        <v>0.71942085778413178</v>
      </c>
      <c r="S176" s="801">
        <f t="shared" si="55"/>
        <v>0</v>
      </c>
      <c r="T176" s="172">
        <f t="shared" si="56"/>
        <v>6</v>
      </c>
      <c r="U176" s="247">
        <f t="shared" si="57"/>
        <v>0.71942085778413178</v>
      </c>
      <c r="V176" s="378">
        <f t="shared" si="58"/>
        <v>238.30678806614924</v>
      </c>
      <c r="W176" s="397">
        <f t="shared" si="59"/>
        <v>227.3356779285842</v>
      </c>
      <c r="X176" s="153">
        <f t="shared" si="60"/>
        <v>47645</v>
      </c>
      <c r="Y176" s="380">
        <f t="shared" si="61"/>
        <v>218.21811940476238</v>
      </c>
      <c r="Z176" s="380">
        <f t="shared" si="62"/>
        <v>228.05531227502868</v>
      </c>
      <c r="AA176" s="381">
        <f t="shared" si="63"/>
        <v>240.31169920387345</v>
      </c>
      <c r="AB176" s="193">
        <f t="shared" si="64"/>
        <v>47645</v>
      </c>
      <c r="AC176" s="119">
        <f>IF(OR(t&lt;Tnet,NoTnet),'2029'!Resal_s+('2029'!Salim-'2029'!Resal_s)*(1-EXP(('2029'!Tnet_s-t)/'2029'!Tau_j)),Resal_s+(Salim-Resal_s)*(1-EXP((Tnet_s-t)/Tau_j)))*Salcycl</f>
        <v>5.1002040139738677E-2</v>
      </c>
      <c r="AD176" s="227">
        <f>(INDEX(Models!$BJ176:$BT176,,AH176)*(1-AF176)+INDEX(Models!$BJ176:$BT176,,AH176+1)*AF176-ERP_i)*AE176*Ramure*Pc/MaxiM</f>
        <v>3.8395330376713962E-4</v>
      </c>
      <c r="AE176" s="301">
        <f t="shared" si="65"/>
        <v>0.5</v>
      </c>
      <c r="AF176" s="173">
        <f t="shared" si="66"/>
        <v>0.24440842415810948</v>
      </c>
      <c r="AG176" s="801">
        <f t="shared" si="74"/>
        <v>4</v>
      </c>
      <c r="AH176" s="172">
        <f t="shared" si="67"/>
        <v>10</v>
      </c>
      <c r="AI176" s="221">
        <f t="shared" si="68"/>
        <v>4.2444084241581095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47646</v>
      </c>
      <c r="B177" s="406">
        <f>'2029'!Wh/'2029'!Env_an*'2030'!Env_an</f>
        <v>179.47390904927227</v>
      </c>
      <c r="C177" s="831"/>
      <c r="D177" s="388">
        <f t="shared" si="50"/>
        <v>187.56709474814227</v>
      </c>
      <c r="E177" s="380">
        <f t="shared" si="75"/>
        <v>189.7987890721883</v>
      </c>
      <c r="F177" s="380">
        <f t="shared" si="51"/>
        <v>189.80303900004134</v>
      </c>
      <c r="G177" s="110">
        <f t="shared" si="76"/>
        <v>0.7531558933214374</v>
      </c>
      <c r="H177" s="409" t="b">
        <f>Wh_hp&gt;='2029'!Maxi_hp</f>
        <v>0</v>
      </c>
      <c r="I177" s="385">
        <f>IF(H177,Wh_hp,'2029'!Maxi_hp)</f>
        <v>189.80462137520485</v>
      </c>
      <c r="J177" s="85">
        <f>IF(H177,An,'2029'!An_max)</f>
        <v>2029</v>
      </c>
      <c r="K177" s="193">
        <f t="shared" si="52"/>
        <v>47646</v>
      </c>
      <c r="L177" s="143">
        <f>IF(t&lt;Tvie,1-EXP((T0-t)*PertePVj)+'2029'!Pspv,1-EXP((T0-t)*PertePVj)+Pspv)</f>
        <v>4.3148216960641306E-2</v>
      </c>
      <c r="M177" s="835"/>
      <c r="N177" s="835"/>
      <c r="O177" s="48">
        <f>IF(t&lt;Tnet,'2029'!Resal+('2029'!Salim-'2029'!Resal)*(1-EXP(('2029'!Tnet-t)/('2029'!Tau_j))),Resal+(Salim-Resal)*(1-EXP((Tnet-t)/(Tau_j))))*Salcycl</f>
        <v>1.1758211603748594E-2</v>
      </c>
      <c r="P177" s="165">
        <f>(INDEX(Models!$BJ177:$BT177,,T177)*(1-R177)+INDEX(Models!$BJ177:$BT177,,T177+1)*R177-ERP_i)*Q177*Ramure*Pc/MaxiM</f>
        <v>3.4587565910088307E-5</v>
      </c>
      <c r="Q177" s="301">
        <f t="shared" si="53"/>
        <v>0.5</v>
      </c>
      <c r="R177" s="173">
        <f t="shared" si="54"/>
        <v>0.72456163242843763</v>
      </c>
      <c r="S177" s="801">
        <f t="shared" si="55"/>
        <v>0</v>
      </c>
      <c r="T177" s="172">
        <f t="shared" si="56"/>
        <v>6</v>
      </c>
      <c r="U177" s="247">
        <f t="shared" si="57"/>
        <v>0.72456163242843763</v>
      </c>
      <c r="V177" s="378">
        <f t="shared" si="58"/>
        <v>238.29292404367553</v>
      </c>
      <c r="W177" s="397">
        <f t="shared" si="59"/>
        <v>179.47390904927227</v>
      </c>
      <c r="X177" s="153">
        <f t="shared" si="60"/>
        <v>47646</v>
      </c>
      <c r="Y177" s="380">
        <f t="shared" si="61"/>
        <v>172.2970479747145</v>
      </c>
      <c r="Z177" s="380">
        <f t="shared" si="62"/>
        <v>180.06660073039475</v>
      </c>
      <c r="AA177" s="381">
        <f t="shared" si="63"/>
        <v>189.75670057084525</v>
      </c>
      <c r="AB177" s="193">
        <f t="shared" si="64"/>
        <v>47646</v>
      </c>
      <c r="AC177" s="119">
        <f>IF(OR(t&lt;Tnet,NoTnet),'2029'!Resal_s+('2029'!Salim-'2029'!Resal_s)*(1-EXP(('2029'!Tnet_s-t)/'2029'!Tau_j)),Resal_s+(Salim-Resal_s)*(1-EXP((Tnet_s-t)/Tau_j)))*Salcycl</f>
        <v>5.1065916572641437E-2</v>
      </c>
      <c r="AD177" s="227">
        <f>(INDEX(Models!$BJ177:$BT177,,AH177)*(1-AF177)+INDEX(Models!$BJ177:$BT177,,AH177+1)*AF177-ERP_i)*AE177*Ramure*Pc/MaxiM</f>
        <v>3.7712016048527177E-4</v>
      </c>
      <c r="AE177" s="301">
        <f t="shared" si="65"/>
        <v>0.5</v>
      </c>
      <c r="AF177" s="173">
        <f t="shared" si="66"/>
        <v>0.24954919880241544</v>
      </c>
      <c r="AG177" s="801">
        <f t="shared" si="74"/>
        <v>4</v>
      </c>
      <c r="AH177" s="172">
        <f t="shared" si="67"/>
        <v>10</v>
      </c>
      <c r="AI177" s="221">
        <f t="shared" si="68"/>
        <v>4.2495491988024154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47647</v>
      </c>
      <c r="B178" s="406">
        <f>'2029'!Wh/'2029'!Env_an*'2030'!Env_an</f>
        <v>220.7305969118832</v>
      </c>
      <c r="C178" s="831"/>
      <c r="D178" s="388">
        <f t="shared" si="50"/>
        <v>230.68736713706704</v>
      </c>
      <c r="E178" s="380">
        <f t="shared" si="75"/>
        <v>233.45211470501735</v>
      </c>
      <c r="F178" s="380">
        <f t="shared" si="51"/>
        <v>233.45925015698967</v>
      </c>
      <c r="G178" s="110">
        <f t="shared" si="76"/>
        <v>0.92640416026361361</v>
      </c>
      <c r="H178" s="409" t="b">
        <f>Wh_hp&gt;='2029'!Maxi_hp</f>
        <v>0</v>
      </c>
      <c r="I178" s="385">
        <f>IF(H178,Wh_hp,'2029'!Maxi_hp)</f>
        <v>233.4598192113329</v>
      </c>
      <c r="J178" s="85">
        <f>IF(H178,An,'2029'!An_max)</f>
        <v>2029</v>
      </c>
      <c r="K178" s="193">
        <f t="shared" si="52"/>
        <v>47647</v>
      </c>
      <c r="L178" s="143">
        <f>IF(t&lt;Tvie,1-EXP((T0-t)*PertePVj)+'2029'!Pspv,1-EXP((T0-t)*PertePVj)+Pspv)</f>
        <v>4.3161315458023597E-2</v>
      </c>
      <c r="M178" s="835"/>
      <c r="N178" s="835"/>
      <c r="O178" s="48">
        <f>IF(t&lt;Tnet,'2029'!Resal+('2029'!Salim-'2029'!Resal)*(1-EXP(('2029'!Tnet-t)/('2029'!Tau_j))),Resal+(Salim-Resal)*(1-EXP((Tnet-t)/(Tau_j))))*Salcycl</f>
        <v>1.1842889371311824E-2</v>
      </c>
      <c r="P178" s="165">
        <f>(INDEX(Models!$BJ178:$BT178,,T178)*(1-R178)+INDEX(Models!$BJ178:$BT178,,T178+1)*R178-ERP_i)*Q178*Ramure*Pc/MaxiM</f>
        <v>3.4154780704489207E-5</v>
      </c>
      <c r="Q178" s="301">
        <f t="shared" si="53"/>
        <v>0.5</v>
      </c>
      <c r="R178" s="173">
        <f t="shared" si="54"/>
        <v>0.72969373838170415</v>
      </c>
      <c r="S178" s="801">
        <f t="shared" si="55"/>
        <v>0</v>
      </c>
      <c r="T178" s="172">
        <f t="shared" si="56"/>
        <v>6</v>
      </c>
      <c r="U178" s="247">
        <f t="shared" si="57"/>
        <v>0.72969373838170415</v>
      </c>
      <c r="V178" s="378">
        <f t="shared" si="58"/>
        <v>238.26512634932669</v>
      </c>
      <c r="W178" s="397">
        <f t="shared" si="59"/>
        <v>220.7305969118832</v>
      </c>
      <c r="X178" s="153">
        <f t="shared" si="60"/>
        <v>47647</v>
      </c>
      <c r="Y178" s="380">
        <f t="shared" si="61"/>
        <v>211.89127643343011</v>
      </c>
      <c r="Z178" s="380">
        <f t="shared" si="62"/>
        <v>221.44932040959353</v>
      </c>
      <c r="AA178" s="381">
        <f t="shared" si="63"/>
        <v>233.38192457402835</v>
      </c>
      <c r="AB178" s="193">
        <f t="shared" si="64"/>
        <v>47647</v>
      </c>
      <c r="AC178" s="119">
        <f>IF(OR(t&lt;Tnet,NoTnet),'2029'!Resal_s+('2029'!Salim-'2029'!Resal_s)*(1-EXP(('2029'!Tnet_s-t)/'2029'!Tau_j)),Resal_s+(Salim-Resal_s)*(1-EXP((Tnet_s-t)/Tau_j)))*Salcycl</f>
        <v>5.1129084594766137E-2</v>
      </c>
      <c r="AD178" s="227">
        <f>(INDEX(Models!$BJ178:$BT178,,AH178)*(1-AF178)+INDEX(Models!$BJ178:$BT178,,AH178+1)*AF178-ERP_i)*AE178*Ramure*Pc/MaxiM</f>
        <v>3.7012908770722182E-4</v>
      </c>
      <c r="AE178" s="301">
        <f t="shared" si="65"/>
        <v>0.5</v>
      </c>
      <c r="AF178" s="173">
        <f t="shared" si="66"/>
        <v>0.25468130475568262</v>
      </c>
      <c r="AG178" s="801">
        <f t="shared" si="74"/>
        <v>4</v>
      </c>
      <c r="AH178" s="172">
        <f t="shared" si="67"/>
        <v>10</v>
      </c>
      <c r="AI178" s="221">
        <f t="shared" si="68"/>
        <v>4.2546813047556826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47648</v>
      </c>
      <c r="B179" s="406">
        <f>'2029'!Wh/'2029'!Env_an*'2030'!Env_an</f>
        <v>199.28891994417177</v>
      </c>
      <c r="C179" s="831"/>
      <c r="D179" s="388">
        <f t="shared" si="50"/>
        <v>208.28134491121065</v>
      </c>
      <c r="E179" s="380">
        <f t="shared" si="75"/>
        <v>210.79558732158611</v>
      </c>
      <c r="F179" s="380">
        <f t="shared" si="51"/>
        <v>210.80104471744173</v>
      </c>
      <c r="G179" s="110">
        <f t="shared" si="76"/>
        <v>0.8365547272853695</v>
      </c>
      <c r="H179" s="409" t="b">
        <f>Wh_hp&gt;='2029'!Maxi_hp</f>
        <v>0</v>
      </c>
      <c r="I179" s="385">
        <f>IF(H179,Wh_hp,'2029'!Maxi_hp)</f>
        <v>210.80216538755784</v>
      </c>
      <c r="J179" s="85">
        <f>IF(H179,An,'2029'!An_max)</f>
        <v>2029</v>
      </c>
      <c r="K179" s="193">
        <f t="shared" si="52"/>
        <v>47648</v>
      </c>
      <c r="L179" s="143">
        <f>IF(t&lt;Tvie,1-EXP((T0-t)*PertePVj)+'2029'!Pspv,1-EXP((T0-t)*PertePVj)+Pspv)</f>
        <v>4.317441377609843E-2</v>
      </c>
      <c r="M179" s="835"/>
      <c r="N179" s="835"/>
      <c r="O179" s="48">
        <f>IF(t&lt;Tnet,'2029'!Resal+('2029'!Salim-'2029'!Resal)*(1-EXP(('2029'!Tnet-t)/('2029'!Tau_j))),Resal+(Salim-Resal)*(1-EXP((Tnet-t)/(Tau_j))))*Salcycl</f>
        <v>1.1927395835567326E-2</v>
      </c>
      <c r="P179" s="165">
        <f>(INDEX(Models!$BJ179:$BT179,,T179)*(1-R179)+INDEX(Models!$BJ179:$BT179,,T179+1)*R179-ERP_i)*Q179*Ramure*Pc/MaxiM</f>
        <v>3.3774690076120039E-5</v>
      </c>
      <c r="Q179" s="301">
        <f t="shared" si="53"/>
        <v>0.5</v>
      </c>
      <c r="R179" s="173">
        <f t="shared" si="54"/>
        <v>0.7348128777995302</v>
      </c>
      <c r="S179" s="801">
        <f t="shared" si="55"/>
        <v>0</v>
      </c>
      <c r="T179" s="172">
        <f t="shared" si="56"/>
        <v>6</v>
      </c>
      <c r="U179" s="247">
        <f t="shared" si="57"/>
        <v>0.7348128777995302</v>
      </c>
      <c r="V179" s="378">
        <f t="shared" si="58"/>
        <v>238.22392228765989</v>
      </c>
      <c r="W179" s="397">
        <f t="shared" si="59"/>
        <v>199.28891994417177</v>
      </c>
      <c r="X179" s="153">
        <f t="shared" si="60"/>
        <v>47648</v>
      </c>
      <c r="Y179" s="380">
        <f t="shared" si="61"/>
        <v>191.3211498001167</v>
      </c>
      <c r="Z179" s="380">
        <f t="shared" si="62"/>
        <v>199.95404863195901</v>
      </c>
      <c r="AA179" s="381">
        <f t="shared" si="63"/>
        <v>210.74226489687709</v>
      </c>
      <c r="AB179" s="193">
        <f t="shared" si="64"/>
        <v>47648</v>
      </c>
      <c r="AC179" s="119">
        <f>IF(OR(t&lt;Tnet,NoTnet),'2029'!Resal_s+('2029'!Salim-'2029'!Resal_s)*(1-EXP(('2029'!Tnet_s-t)/'2029'!Tau_j)),Resal_s+(Salim-Resal_s)*(1-EXP((Tnet_s-t)/Tau_j)))*Salcycl</f>
        <v>5.1191517136807418E-2</v>
      </c>
      <c r="AD179" s="227">
        <f>(INDEX(Models!$BJ179:$BT179,,AH179)*(1-AF179)+INDEX(Models!$BJ179:$BT179,,AH179+1)*AF179-ERP_i)*AE179*Ramure*Pc/MaxiM</f>
        <v>3.6377610765678291E-4</v>
      </c>
      <c r="AE179" s="301">
        <f t="shared" si="65"/>
        <v>0.5</v>
      </c>
      <c r="AF179" s="173">
        <f t="shared" si="66"/>
        <v>0.25980044417350801</v>
      </c>
      <c r="AG179" s="801">
        <f t="shared" si="74"/>
        <v>4</v>
      </c>
      <c r="AH179" s="172">
        <f t="shared" si="67"/>
        <v>10</v>
      </c>
      <c r="AI179" s="221">
        <f t="shared" si="68"/>
        <v>4.259800444173508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47649</v>
      </c>
      <c r="B180" s="406">
        <f>'2029'!Wh/'2029'!Env_an*'2030'!Env_an</f>
        <v>223.70747411175341</v>
      </c>
      <c r="C180" s="831"/>
      <c r="D180" s="388">
        <f t="shared" si="50"/>
        <v>233.80492719055022</v>
      </c>
      <c r="E180" s="380">
        <f t="shared" si="75"/>
        <v>236.64747084711507</v>
      </c>
      <c r="F180" s="380">
        <f t="shared" si="51"/>
        <v>236.65470012298618</v>
      </c>
      <c r="G180" s="110">
        <f t="shared" si="76"/>
        <v>0.93927438677837272</v>
      </c>
      <c r="H180" s="409" t="b">
        <f>Wh_hp&gt;='2029'!Maxi_hp</f>
        <v>0</v>
      </c>
      <c r="I180" s="385">
        <f>IF(H180,Wh_hp,'2029'!Maxi_hp)</f>
        <v>236.65515989721396</v>
      </c>
      <c r="J180" s="85">
        <f>IF(H180,An,'2029'!An_max)</f>
        <v>2029</v>
      </c>
      <c r="K180" s="193">
        <f t="shared" si="52"/>
        <v>47649</v>
      </c>
      <c r="L180" s="143">
        <f>IF(t&lt;Tvie,1-EXP((T0-t)*PertePVj)+'2029'!Pspv,1-EXP((T0-t)*PertePVj)+Pspv)</f>
        <v>4.3187511914868359E-2</v>
      </c>
      <c r="M180" s="835"/>
      <c r="N180" s="835"/>
      <c r="O180" s="48">
        <f>IF(t&lt;Tnet,'2029'!Resal+('2029'!Salim-'2029'!Resal)*(1-EXP(('2029'!Tnet-t)/('2029'!Tau_j))),Resal+(Salim-Resal)*(1-EXP((Tnet-t)/(Tau_j))))*Salcycl</f>
        <v>1.2011722104569892E-2</v>
      </c>
      <c r="P180" s="165">
        <f>(INDEX(Models!$BJ180:$BT180,,T180)*(1-R180)+INDEX(Models!$BJ180:$BT180,,T180+1)*R180-ERP_i)*Q180*Ramure*Pc/MaxiM</f>
        <v>3.3449416613378952E-5</v>
      </c>
      <c r="Q180" s="301">
        <f t="shared" si="53"/>
        <v>0.5</v>
      </c>
      <c r="R180" s="173">
        <f t="shared" si="54"/>
        <v>0.73991479634667012</v>
      </c>
      <c r="S180" s="801">
        <f t="shared" si="55"/>
        <v>0</v>
      </c>
      <c r="T180" s="172">
        <f t="shared" si="56"/>
        <v>6</v>
      </c>
      <c r="U180" s="247">
        <f t="shared" si="57"/>
        <v>0.73991479634667012</v>
      </c>
      <c r="V180" s="378">
        <f t="shared" si="58"/>
        <v>238.16983420741175</v>
      </c>
      <c r="W180" s="397">
        <f t="shared" si="59"/>
        <v>223.70747411175341</v>
      </c>
      <c r="X180" s="153">
        <f t="shared" si="60"/>
        <v>47649</v>
      </c>
      <c r="Y180" s="380">
        <f t="shared" si="61"/>
        <v>214.75844768197314</v>
      </c>
      <c r="Z180" s="380">
        <f t="shared" si="62"/>
        <v>224.45196980211776</v>
      </c>
      <c r="AA180" s="381">
        <f t="shared" si="63"/>
        <v>236.57731153124215</v>
      </c>
      <c r="AB180" s="193">
        <f t="shared" si="64"/>
        <v>47649</v>
      </c>
      <c r="AC180" s="119">
        <f>IF(OR(t&lt;Tnet,NoTnet),'2029'!Resal_s+('2029'!Salim-'2029'!Resal_s)*(1-EXP(('2029'!Tnet_s-t)/'2029'!Tau_j)),Resal_s+(Salim-Resal_s)*(1-EXP((Tnet_s-t)/Tau_j)))*Salcycl</f>
        <v>5.1253189287862586E-2</v>
      </c>
      <c r="AD180" s="227">
        <f>(INDEX(Models!$BJ180:$BT180,,AH180)*(1-AF180)+INDEX(Models!$BJ180:$BT180,,AH180+1)*AF180-ERP_i)*AE180*Ramure*Pc/MaxiM</f>
        <v>3.5807227342313431E-4</v>
      </c>
      <c r="AE180" s="301">
        <f t="shared" si="65"/>
        <v>0.5</v>
      </c>
      <c r="AF180" s="173">
        <f t="shared" si="66"/>
        <v>0.26490236272064838</v>
      </c>
      <c r="AG180" s="801">
        <f t="shared" si="74"/>
        <v>4</v>
      </c>
      <c r="AH180" s="172">
        <f t="shared" si="67"/>
        <v>10</v>
      </c>
      <c r="AI180" s="221">
        <f t="shared" si="68"/>
        <v>4.2649023627206484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47650</v>
      </c>
      <c r="B181" s="406">
        <f>'2029'!Wh/'2029'!Env_an*'2030'!Env_an</f>
        <v>211.18916614754082</v>
      </c>
      <c r="C181" s="831"/>
      <c r="D181" s="388">
        <f t="shared" si="50"/>
        <v>220.7246036390174</v>
      </c>
      <c r="E181" s="380">
        <f t="shared" si="75"/>
        <v>223.42714706202111</v>
      </c>
      <c r="F181" s="380">
        <f t="shared" si="51"/>
        <v>223.43336365509012</v>
      </c>
      <c r="G181" s="110">
        <f t="shared" si="76"/>
        <v>0.88695939918547917</v>
      </c>
      <c r="H181" s="409" t="b">
        <f>Wh_hp&gt;='2029'!Maxi_hp</f>
        <v>0</v>
      </c>
      <c r="I181" s="385">
        <f>IF(H181,Wh_hp,'2029'!Maxi_hp)</f>
        <v>223.43415981643923</v>
      </c>
      <c r="J181" s="85">
        <f>IF(H181,An,'2029'!An_max)</f>
        <v>2029</v>
      </c>
      <c r="K181" s="193">
        <f t="shared" si="52"/>
        <v>47650</v>
      </c>
      <c r="L181" s="143">
        <f>IF(t&lt;Tvie,1-EXP((T0-t)*PertePVj)+'2029'!Pspv,1-EXP((T0-t)*PertePVj)+Pspv)</f>
        <v>4.3200609874335716E-2</v>
      </c>
      <c r="M181" s="835"/>
      <c r="N181" s="835"/>
      <c r="O181" s="48">
        <f>IF(t&lt;Tnet,'2029'!Resal+('2029'!Salim-'2029'!Resal)*(1-EXP(('2029'!Tnet-t)/('2029'!Tau_j))),Resal+(Salim-Resal)*(1-EXP((Tnet-t)/(Tau_j))))*Salcycl</f>
        <v>1.209585969539112E-2</v>
      </c>
      <c r="P181" s="165">
        <f>(INDEX(Models!$BJ181:$BT181,,T181)*(1-R181)+INDEX(Models!$BJ181:$BT181,,T181+1)*R181-ERP_i)*Q181*Ramure*Pc/MaxiM</f>
        <v>3.3181107559247675E-5</v>
      </c>
      <c r="Q181" s="301">
        <f t="shared" si="53"/>
        <v>0.5</v>
      </c>
      <c r="R181" s="173">
        <f t="shared" si="54"/>
        <v>0.74499529721694202</v>
      </c>
      <c r="S181" s="801">
        <f t="shared" si="55"/>
        <v>0</v>
      </c>
      <c r="T181" s="172">
        <f t="shared" si="56"/>
        <v>6</v>
      </c>
      <c r="U181" s="247">
        <f t="shared" si="57"/>
        <v>0.74499529721694202</v>
      </c>
      <c r="V181" s="378">
        <f t="shared" si="58"/>
        <v>238.10338414809027</v>
      </c>
      <c r="W181" s="397">
        <f t="shared" si="59"/>
        <v>211.18916614754082</v>
      </c>
      <c r="X181" s="153">
        <f t="shared" si="60"/>
        <v>47650</v>
      </c>
      <c r="Y181" s="380">
        <f t="shared" si="61"/>
        <v>202.75089949043596</v>
      </c>
      <c r="Z181" s="380">
        <f t="shared" si="62"/>
        <v>211.90533938760873</v>
      </c>
      <c r="AA181" s="381">
        <f t="shared" si="63"/>
        <v>223.36722255415972</v>
      </c>
      <c r="AB181" s="193">
        <f t="shared" si="64"/>
        <v>47650</v>
      </c>
      <c r="AC181" s="119">
        <f>IF(OR(t&lt;Tnet,NoTnet),'2029'!Resal_s+('2029'!Salim-'2029'!Resal_s)*(1-EXP(('2029'!Tnet_s-t)/'2029'!Tau_j)),Resal_s+(Salim-Resal_s)*(1-EXP((Tnet_s-t)/Tau_j)))*Salcycl</f>
        <v>5.131407838395733E-2</v>
      </c>
      <c r="AD181" s="227">
        <f>(INDEX(Models!$BJ181:$BT181,,AH181)*(1-AF181)+INDEX(Models!$BJ181:$BT181,,AH181+1)*AF181-ERP_i)*AE181*Ramure*Pc/MaxiM</f>
        <v>3.5302857364114334E-4</v>
      </c>
      <c r="AE181" s="301">
        <f t="shared" si="65"/>
        <v>0.5</v>
      </c>
      <c r="AF181" s="173">
        <f t="shared" si="66"/>
        <v>0.26998286359092027</v>
      </c>
      <c r="AG181" s="801">
        <f t="shared" si="74"/>
        <v>4</v>
      </c>
      <c r="AH181" s="172">
        <f t="shared" si="67"/>
        <v>10</v>
      </c>
      <c r="AI181" s="221">
        <f t="shared" si="68"/>
        <v>4.2699828635909203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47651</v>
      </c>
      <c r="B182" s="406">
        <f>'2029'!Wh/'2029'!Env_an*'2030'!Env_an</f>
        <v>217.77490889869588</v>
      </c>
      <c r="C182" s="831"/>
      <c r="D182" s="388">
        <f t="shared" si="50"/>
        <v>227.6108161675638</v>
      </c>
      <c r="E182" s="380">
        <f t="shared" si="75"/>
        <v>230.41725234866362</v>
      </c>
      <c r="F182" s="380">
        <f t="shared" si="51"/>
        <v>230.42392649033999</v>
      </c>
      <c r="G182" s="110">
        <f t="shared" si="76"/>
        <v>0.91492049298740474</v>
      </c>
      <c r="H182" s="409" t="b">
        <f>Wh_hp&gt;='2029'!Maxi_hp</f>
        <v>0</v>
      </c>
      <c r="I182" s="385">
        <f>IF(H182,Wh_hp,'2029'!Maxi_hp)</f>
        <v>230.42453646624156</v>
      </c>
      <c r="J182" s="85">
        <f>IF(H182,An,'2029'!An_max)</f>
        <v>2029</v>
      </c>
      <c r="K182" s="193">
        <f t="shared" si="52"/>
        <v>47651</v>
      </c>
      <c r="L182" s="143">
        <f>IF(t&lt;Tvie,1-EXP((T0-t)*PertePVj)+'2029'!Pspv,1-EXP((T0-t)*PertePVj)+Pspv)</f>
        <v>4.3213707654502942E-2</v>
      </c>
      <c r="M182" s="835"/>
      <c r="N182" s="835"/>
      <c r="O182" s="48">
        <f>IF(t&lt;Tnet,'2029'!Resal+('2029'!Salim-'2029'!Resal)*(1-EXP(('2029'!Tnet-t)/('2029'!Tau_j))),Resal+(Salim-Resal)*(1-EXP((Tnet-t)/(Tau_j))))*Salcycl</f>
        <v>1.2179800568288886E-2</v>
      </c>
      <c r="P182" s="165">
        <f>(INDEX(Models!$BJ182:$BT182,,T182)*(1-R182)+INDEX(Models!$BJ182:$BT182,,T182+1)*R182-ERP_i)*Q182*Ramure*Pc/MaxiM</f>
        <v>3.2971927213108952E-5</v>
      </c>
      <c r="Q182" s="301">
        <f t="shared" si="53"/>
        <v>0.5</v>
      </c>
      <c r="R182" s="173">
        <f t="shared" si="54"/>
        <v>0.75005025474660192</v>
      </c>
      <c r="S182" s="801">
        <f t="shared" si="55"/>
        <v>0</v>
      </c>
      <c r="T182" s="172">
        <f t="shared" si="56"/>
        <v>6</v>
      </c>
      <c r="U182" s="247">
        <f t="shared" si="57"/>
        <v>0.75005025474660192</v>
      </c>
      <c r="V182" s="378">
        <f t="shared" si="58"/>
        <v>238.02509382162023</v>
      </c>
      <c r="W182" s="397">
        <f t="shared" si="59"/>
        <v>217.77490889869588</v>
      </c>
      <c r="X182" s="153">
        <f t="shared" si="60"/>
        <v>47651</v>
      </c>
      <c r="Y182" s="380">
        <f t="shared" si="61"/>
        <v>209.07611876561683</v>
      </c>
      <c r="Z182" s="380">
        <f t="shared" si="62"/>
        <v>218.51914104358752</v>
      </c>
      <c r="AA182" s="381">
        <f t="shared" si="63"/>
        <v>230.3533519437984</v>
      </c>
      <c r="AB182" s="193">
        <f t="shared" si="64"/>
        <v>47651</v>
      </c>
      <c r="AC182" s="119">
        <f>IF(OR(t&lt;Tnet,NoTnet),'2029'!Resal_s+('2029'!Salim-'2029'!Resal_s)*(1-EXP(('2029'!Tnet_s-t)/'2029'!Tau_j)),Resal_s+(Salim-Resal_s)*(1-EXP((Tnet_s-t)/Tau_j)))*Salcycl</f>
        <v>5.1374164084654526E-2</v>
      </c>
      <c r="AD182" s="227">
        <f>(INDEX(Models!$BJ182:$BT182,,AH182)*(1-AF182)+INDEX(Models!$BJ182:$BT182,,AH182+1)*AF182-ERP_i)*AE182*Ramure*Pc/MaxiM</f>
        <v>3.4865589082590844E-4</v>
      </c>
      <c r="AE182" s="301">
        <f t="shared" si="65"/>
        <v>0.5</v>
      </c>
      <c r="AF182" s="173">
        <f t="shared" si="66"/>
        <v>0.27503782112057973</v>
      </c>
      <c r="AG182" s="801">
        <f t="shared" si="74"/>
        <v>4</v>
      </c>
      <c r="AH182" s="172">
        <f t="shared" si="67"/>
        <v>10</v>
      </c>
      <c r="AI182" s="221">
        <f t="shared" si="68"/>
        <v>4.2750378211205797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47652</v>
      </c>
      <c r="B183" s="406">
        <f>'2029'!Wh/'2029'!Env_an*'2030'!Env_an</f>
        <v>224.51345825778441</v>
      </c>
      <c r="C183" s="831"/>
      <c r="D183" s="388">
        <f t="shared" si="50"/>
        <v>234.6569275675719</v>
      </c>
      <c r="E183" s="380">
        <f t="shared" si="75"/>
        <v>237.57038075975456</v>
      </c>
      <c r="F183" s="380">
        <f t="shared" si="51"/>
        <v>237.57755058487194</v>
      </c>
      <c r="G183" s="110">
        <f t="shared" si="76"/>
        <v>0.94358714393613075</v>
      </c>
      <c r="H183" s="409" t="b">
        <f>Wh_hp&gt;='2029'!Maxi_hp</f>
        <v>0</v>
      </c>
      <c r="I183" s="385">
        <f>IF(H183,Wh_hp,'2029'!Maxi_hp)</f>
        <v>237.57796297820991</v>
      </c>
      <c r="J183" s="85">
        <f>IF(H183,An,'2029'!An_max)</f>
        <v>2029</v>
      </c>
      <c r="K183" s="193">
        <f t="shared" si="52"/>
        <v>47652</v>
      </c>
      <c r="L183" s="143">
        <f>IF(t&lt;Tvie,1-EXP((T0-t)*PertePVj)+'2029'!Pspv,1-EXP((T0-t)*PertePVj)+Pspv)</f>
        <v>4.3226805255372591E-2</v>
      </c>
      <c r="M183" s="835"/>
      <c r="N183" s="835"/>
      <c r="O183" s="48">
        <f>IF(t&lt;Tnet,'2029'!Resal+('2029'!Salim-'2029'!Resal)*(1-EXP(('2029'!Tnet-t)/('2029'!Tau_j))),Resal+(Salim-Resal)*(1-EXP((Tnet-t)/(Tau_j))))*Salcycl</f>
        <v>1.2263537158400688E-2</v>
      </c>
      <c r="P183" s="165">
        <f>(INDEX(Models!$BJ183:$BT183,,T183)*(1-R183)+INDEX(Models!$BJ183:$BT183,,T183+1)*R183-ERP_i)*Q183*Ramure*Pc/MaxiM</f>
        <v>3.2824049412871109E-5</v>
      </c>
      <c r="Q183" s="301">
        <f t="shared" si="53"/>
        <v>0.5</v>
      </c>
      <c r="R183" s="173">
        <f t="shared" si="54"/>
        <v>0.75507562752887381</v>
      </c>
      <c r="S183" s="801">
        <f t="shared" si="55"/>
        <v>0</v>
      </c>
      <c r="T183" s="172">
        <f t="shared" si="56"/>
        <v>6</v>
      </c>
      <c r="U183" s="247">
        <f t="shared" si="57"/>
        <v>0.75507562752887381</v>
      </c>
      <c r="V183" s="378">
        <f t="shared" si="58"/>
        <v>237.93548461021967</v>
      </c>
      <c r="W183" s="397">
        <f t="shared" si="59"/>
        <v>224.51345825778441</v>
      </c>
      <c r="X183" s="153">
        <f t="shared" si="60"/>
        <v>47652</v>
      </c>
      <c r="Y183" s="380">
        <f t="shared" si="61"/>
        <v>215.54822480028861</v>
      </c>
      <c r="Z183" s="380">
        <f t="shared" si="62"/>
        <v>225.28664680851625</v>
      </c>
      <c r="AA183" s="381">
        <f t="shared" si="63"/>
        <v>237.50219917336773</v>
      </c>
      <c r="AB183" s="193">
        <f t="shared" si="64"/>
        <v>47652</v>
      </c>
      <c r="AC183" s="119">
        <f>IF(OR(t&lt;Tnet,NoTnet),'2029'!Resal_s+('2029'!Salim-'2029'!Resal_s)*(1-EXP(('2029'!Tnet_s-t)/'2029'!Tau_j)),Resal_s+(Salim-Resal_s)*(1-EXP((Tnet_s-t)/Tau_j)))*Salcycl</f>
        <v>5.143342843715986E-2</v>
      </c>
      <c r="AD183" s="227">
        <f>(INDEX(Models!$BJ183:$BT183,,AH183)*(1-AF183)+INDEX(Models!$BJ183:$BT183,,AH183+1)*AF183-ERP_i)*AE183*Ramure*Pc/MaxiM</f>
        <v>3.4496496275052021E-4</v>
      </c>
      <c r="AE183" s="301">
        <f t="shared" si="65"/>
        <v>0.5</v>
      </c>
      <c r="AF183" s="173">
        <f t="shared" si="66"/>
        <v>0.28006319390285217</v>
      </c>
      <c r="AG183" s="801">
        <f t="shared" si="74"/>
        <v>4</v>
      </c>
      <c r="AH183" s="172">
        <f t="shared" si="67"/>
        <v>10</v>
      </c>
      <c r="AI183" s="221">
        <f t="shared" si="68"/>
        <v>4.2800631939028522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47653</v>
      </c>
      <c r="B184" s="406">
        <f>'2029'!Wh/'2029'!Env_an*'2030'!Env_an</f>
        <v>228.77486528107926</v>
      </c>
      <c r="C184" s="831"/>
      <c r="D184" s="388">
        <f t="shared" si="50"/>
        <v>239.11413730691234</v>
      </c>
      <c r="E184" s="380">
        <f t="shared" si="75"/>
        <v>242.10340313380041</v>
      </c>
      <c r="F184" s="380">
        <f t="shared" si="51"/>
        <v>242.11091063707826</v>
      </c>
      <c r="G184" s="110">
        <f t="shared" si="76"/>
        <v>0.96190381834413352</v>
      </c>
      <c r="H184" s="409" t="b">
        <f>Wh_hp&gt;='2029'!Maxi_hp</f>
        <v>0</v>
      </c>
      <c r="I184" s="385">
        <f>IF(H184,Wh_hp,'2029'!Maxi_hp)</f>
        <v>242.11119232632598</v>
      </c>
      <c r="J184" s="85">
        <f>IF(H184,An,'2029'!An_max)</f>
        <v>2029</v>
      </c>
      <c r="K184" s="193">
        <f t="shared" si="52"/>
        <v>47653</v>
      </c>
      <c r="L184" s="143">
        <f>IF(t&lt;Tvie,1-EXP((T0-t)*PertePVj)+'2029'!Pspv,1-EXP((T0-t)*PertePVj)+Pspv)</f>
        <v>4.3239902676947217E-2</v>
      </c>
      <c r="M184" s="835"/>
      <c r="N184" s="835"/>
      <c r="O184" s="48">
        <f>IF(t&lt;Tnet,'2029'!Resal+('2029'!Salim-'2029'!Resal)*(1-EXP(('2029'!Tnet-t)/('2029'!Tau_j))),Resal+(Salim-Resal)*(1-EXP((Tnet-t)/(Tau_j))))*Salcycl</f>
        <v>1.2347062404719857E-2</v>
      </c>
      <c r="P184" s="165">
        <f>(INDEX(Models!$BJ184:$BT184,,T184)*(1-R184)+INDEX(Models!$BJ184:$BT184,,T184+1)*R184-ERP_i)*Q184*Ramure*Pc/MaxiM</f>
        <v>3.2793154603333915E-5</v>
      </c>
      <c r="Q184" s="301">
        <f t="shared" si="53"/>
        <v>0.5</v>
      </c>
      <c r="R184" s="173">
        <f t="shared" si="54"/>
        <v>0.76006747094328631</v>
      </c>
      <c r="S184" s="801">
        <f t="shared" si="55"/>
        <v>0</v>
      </c>
      <c r="T184" s="172">
        <f t="shared" si="56"/>
        <v>6</v>
      </c>
      <c r="U184" s="247">
        <f t="shared" si="57"/>
        <v>0.76006747094328631</v>
      </c>
      <c r="V184" s="378">
        <f t="shared" si="58"/>
        <v>237.83506482471333</v>
      </c>
      <c r="W184" s="397">
        <f t="shared" si="59"/>
        <v>228.77486528107926</v>
      </c>
      <c r="X184" s="153">
        <f t="shared" si="60"/>
        <v>47653</v>
      </c>
      <c r="Y184" s="380">
        <f t="shared" si="61"/>
        <v>219.64320547722801</v>
      </c>
      <c r="Z184" s="380">
        <f t="shared" si="62"/>
        <v>229.56978044106793</v>
      </c>
      <c r="AA184" s="381">
        <f t="shared" si="63"/>
        <v>242.03248214124312</v>
      </c>
      <c r="AB184" s="193">
        <f t="shared" si="64"/>
        <v>47653</v>
      </c>
      <c r="AC184" s="119">
        <f>IF(OR(t&lt;Tnet,NoTnet),'2029'!Resal_s+('2029'!Salim-'2029'!Resal_s)*(1-EXP(('2029'!Tnet_s-t)/'2029'!Tau_j)),Resal_s+(Salim-Resal_s)*(1-EXP((Tnet_s-t)/Tau_j)))*Salcycl</f>
        <v>5.1491855927430101E-2</v>
      </c>
      <c r="AD184" s="227">
        <f>(INDEX(Models!$BJ184:$BT184,,AH184)*(1-AF184)+INDEX(Models!$BJ184:$BT184,,AH184+1)*AF184-ERP_i)*AE184*Ramure*Pc/MaxiM</f>
        <v>3.4257964253079688E-4</v>
      </c>
      <c r="AE184" s="301">
        <f t="shared" si="65"/>
        <v>0.5</v>
      </c>
      <c r="AF184" s="173">
        <f t="shared" si="66"/>
        <v>0.28505503731726467</v>
      </c>
      <c r="AG184" s="801">
        <f t="shared" si="74"/>
        <v>4</v>
      </c>
      <c r="AH184" s="172">
        <f t="shared" si="67"/>
        <v>10</v>
      </c>
      <c r="AI184" s="221">
        <f t="shared" si="68"/>
        <v>4.2850550373172647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47654</v>
      </c>
      <c r="B185" s="406">
        <f>'2029'!Wh/'2029'!Env_an*'2030'!Env_an</f>
        <v>123.20076779395431</v>
      </c>
      <c r="C185" s="831"/>
      <c r="D185" s="388">
        <f t="shared" si="50"/>
        <v>128.77047723541688</v>
      </c>
      <c r="E185" s="380">
        <f t="shared" si="75"/>
        <v>130.39128917545438</v>
      </c>
      <c r="F185" s="380">
        <f t="shared" si="51"/>
        <v>130.39262507610869</v>
      </c>
      <c r="G185" s="110">
        <f t="shared" si="76"/>
        <v>0.51823877645315997</v>
      </c>
      <c r="H185" s="409" t="b">
        <f>Wh_hp&gt;='2029'!Maxi_hp</f>
        <v>0</v>
      </c>
      <c r="I185" s="385">
        <f>IF(H185,Wh_hp,'2029'!Maxi_hp)</f>
        <v>130.39453511978883</v>
      </c>
      <c r="J185" s="85">
        <f>IF(H185,An,'2029'!An_max)</f>
        <v>2029</v>
      </c>
      <c r="K185" s="193">
        <f t="shared" si="52"/>
        <v>47654</v>
      </c>
      <c r="L185" s="143">
        <f>IF(t&lt;Tvie,1-EXP((T0-t)*PertePVj)+'2029'!Pspv,1-EXP((T0-t)*PertePVj)+Pspv)</f>
        <v>4.325299991922904E-2</v>
      </c>
      <c r="M185" s="835"/>
      <c r="N185" s="835"/>
      <c r="O185" s="48">
        <f>IF(t&lt;Tnet,'2029'!Resal+('2029'!Salim-'2029'!Resal)*(1-EXP(('2029'!Tnet-t)/('2029'!Tau_j))),Resal+(Salim-Resal)*(1-EXP((Tnet-t)/(Tau_j))))*Salcycl</f>
        <v>1.2430369776132356E-2</v>
      </c>
      <c r="P185" s="165">
        <f>(INDEX(Models!$BJ185:$BT185,,T185)*(1-R185)+INDEX(Models!$BJ185:$BT185,,T185+1)*R185-ERP_i)*Q185*Ramure*Pc/MaxiM</f>
        <v>3.2859725673426316E-5</v>
      </c>
      <c r="Q185" s="301">
        <f t="shared" si="53"/>
        <v>0.5</v>
      </c>
      <c r="R185" s="173">
        <f t="shared" si="54"/>
        <v>0.76502194902036869</v>
      </c>
      <c r="S185" s="801">
        <f t="shared" si="55"/>
        <v>0</v>
      </c>
      <c r="T185" s="172">
        <f t="shared" si="56"/>
        <v>6</v>
      </c>
      <c r="U185" s="247">
        <f t="shared" si="57"/>
        <v>0.76502194902036869</v>
      </c>
      <c r="V185" s="378">
        <f t="shared" si="58"/>
        <v>237.72436034923487</v>
      </c>
      <c r="W185" s="397">
        <f t="shared" si="59"/>
        <v>123.20076779395431</v>
      </c>
      <c r="X185" s="153">
        <f t="shared" si="60"/>
        <v>47654</v>
      </c>
      <c r="Y185" s="380">
        <f t="shared" si="61"/>
        <v>118.30922590242943</v>
      </c>
      <c r="Z185" s="380">
        <f t="shared" si="62"/>
        <v>123.65779656736993</v>
      </c>
      <c r="AA185" s="381">
        <f t="shared" si="63"/>
        <v>130.37874712440475</v>
      </c>
      <c r="AB185" s="193">
        <f t="shared" si="64"/>
        <v>47654</v>
      </c>
      <c r="AC185" s="119">
        <f>IF(OR(t&lt;Tnet,NoTnet),'2029'!Resal_s+('2029'!Salim-'2029'!Resal_s)*(1-EXP(('2029'!Tnet_s-t)/'2029'!Tau_j)),Resal_s+(Salim-Resal_s)*(1-EXP((Tnet_s-t)/Tau_j)))*Salcycl</f>
        <v>5.1549433517886455E-2</v>
      </c>
      <c r="AD185" s="227">
        <f>(INDEX(Models!$BJ185:$BT185,,AH185)*(1-AF185)+INDEX(Models!$BJ185:$BT185,,AH185+1)*AF185-ERP_i)*AE185*Ramure*Pc/MaxiM</f>
        <v>3.4136197510293133E-4</v>
      </c>
      <c r="AE185" s="301">
        <f t="shared" si="65"/>
        <v>0.5</v>
      </c>
      <c r="AF185" s="173">
        <f t="shared" si="66"/>
        <v>0.29000951539434716</v>
      </c>
      <c r="AG185" s="801">
        <f t="shared" si="74"/>
        <v>4</v>
      </c>
      <c r="AH185" s="172">
        <f t="shared" si="67"/>
        <v>10</v>
      </c>
      <c r="AI185" s="221">
        <f t="shared" si="68"/>
        <v>4.2900095153943472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47655</v>
      </c>
      <c r="B186" s="406">
        <f>'2029'!Wh/'2029'!Env_an*'2030'!Env_an</f>
        <v>87.870678274384147</v>
      </c>
      <c r="C186" s="831"/>
      <c r="D186" s="388">
        <f t="shared" si="50"/>
        <v>91.844428212711946</v>
      </c>
      <c r="E186" s="380">
        <f t="shared" si="75"/>
        <v>93.008283018245109</v>
      </c>
      <c r="F186" s="380">
        <f t="shared" si="51"/>
        <v>93.008589406504939</v>
      </c>
      <c r="G186" s="110">
        <f t="shared" si="76"/>
        <v>0.36980903445839258</v>
      </c>
      <c r="H186" s="409" t="b">
        <f>Wh_hp&gt;='2029'!Maxi_hp</f>
        <v>0</v>
      </c>
      <c r="I186" s="385">
        <f>IF(H186,Wh_hp,'2029'!Maxi_hp)</f>
        <v>93.010369322438692</v>
      </c>
      <c r="J186" s="85">
        <f>IF(H186,An,'2029'!An_max)</f>
        <v>2029</v>
      </c>
      <c r="K186" s="193">
        <f t="shared" si="52"/>
        <v>47655</v>
      </c>
      <c r="L186" s="143">
        <f>IF(t&lt;Tvie,1-EXP((T0-t)*PertePVj)+'2029'!Pspv,1-EXP((T0-t)*PertePVj)+Pspv)</f>
        <v>4.3266096982220614E-2</v>
      </c>
      <c r="M186" s="835"/>
      <c r="N186" s="835"/>
      <c r="O186" s="48">
        <f>IF(t&lt;Tnet,'2029'!Resal+('2029'!Salim-'2029'!Resal)*(1-EXP(('2029'!Tnet-t)/('2029'!Tau_j))),Resal+(Salim-Resal)*(1-EXP((Tnet-t)/(Tau_j))))*Salcycl</f>
        <v>1.2513453294314187E-2</v>
      </c>
      <c r="P186" s="165">
        <f>(INDEX(Models!$BJ186:$BT186,,T186)*(1-R186)+INDEX(Models!$BJ186:$BT186,,T186+1)*R186-ERP_i)*Q186*Ramure*Pc/MaxiM</f>
        <v>3.3026843593402793E-5</v>
      </c>
      <c r="Q186" s="301">
        <f t="shared" si="53"/>
        <v>0.5</v>
      </c>
      <c r="R186" s="173">
        <f t="shared" si="54"/>
        <v>0.76993534556999532</v>
      </c>
      <c r="S186" s="801">
        <f t="shared" si="55"/>
        <v>0</v>
      </c>
      <c r="T186" s="172">
        <f t="shared" si="56"/>
        <v>6</v>
      </c>
      <c r="U186" s="247">
        <f t="shared" si="57"/>
        <v>0.76993534556999532</v>
      </c>
      <c r="V186" s="378">
        <f t="shared" si="58"/>
        <v>237.6038913335525</v>
      </c>
      <c r="W186" s="397">
        <f t="shared" si="59"/>
        <v>87.870678274384147</v>
      </c>
      <c r="X186" s="153">
        <f t="shared" si="60"/>
        <v>47655</v>
      </c>
      <c r="Y186" s="380">
        <f t="shared" si="61"/>
        <v>84.389451632209955</v>
      </c>
      <c r="Z186" s="380">
        <f t="shared" si="62"/>
        <v>88.205771078065069</v>
      </c>
      <c r="AA186" s="381">
        <f t="shared" si="63"/>
        <v>93.005422947979312</v>
      </c>
      <c r="AB186" s="193">
        <f t="shared" si="64"/>
        <v>47655</v>
      </c>
      <c r="AC186" s="119">
        <f>IF(OR(t&lt;Tnet,NoTnet),'2029'!Resal_s+('2029'!Salim-'2029'!Resal_s)*(1-EXP(('2029'!Tnet_s-t)/'2029'!Tau_j)),Resal_s+(Salim-Resal_s)*(1-EXP((Tnet_s-t)/Tau_j)))*Salcycl</f>
        <v>5.1606150671438054E-2</v>
      </c>
      <c r="AD186" s="227">
        <f>(INDEX(Models!$BJ186:$BT186,,AH186)*(1-AF186)+INDEX(Models!$BJ186:$BT186,,AH186+1)*AF186-ERP_i)*AE186*Ramure*Pc/MaxiM</f>
        <v>3.4132551465678211E-4</v>
      </c>
      <c r="AE186" s="301">
        <f t="shared" si="65"/>
        <v>0.5</v>
      </c>
      <c r="AF186" s="173">
        <f t="shared" si="66"/>
        <v>0.29492291194397335</v>
      </c>
      <c r="AG186" s="801">
        <f t="shared" si="74"/>
        <v>4</v>
      </c>
      <c r="AH186" s="172">
        <f t="shared" si="67"/>
        <v>10</v>
      </c>
      <c r="AI186" s="221">
        <f t="shared" si="68"/>
        <v>4.2949229119439734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47656</v>
      </c>
      <c r="B187" s="406">
        <f>'2029'!Wh/'2029'!Env_an*'2030'!Env_an</f>
        <v>173.68978557043883</v>
      </c>
      <c r="C187" s="831"/>
      <c r="D187" s="388">
        <f t="shared" si="50"/>
        <v>181.54699307971129</v>
      </c>
      <c r="E187" s="380">
        <f t="shared" si="75"/>
        <v>183.86298782198801</v>
      </c>
      <c r="F187" s="380">
        <f t="shared" si="51"/>
        <v>183.86676095894757</v>
      </c>
      <c r="G187" s="110">
        <f t="shared" si="76"/>
        <v>0.73139559061326587</v>
      </c>
      <c r="H187" s="409" t="b">
        <f>Wh_hp&gt;='2029'!Maxi_hp</f>
        <v>0</v>
      </c>
      <c r="I187" s="385">
        <f>IF(H187,Wh_hp,'2029'!Maxi_hp)</f>
        <v>183.86826356986123</v>
      </c>
      <c r="J187" s="85">
        <f>IF(H187,An,'2029'!An_max)</f>
        <v>2029</v>
      </c>
      <c r="K187" s="193">
        <f t="shared" si="52"/>
        <v>47656</v>
      </c>
      <c r="L187" s="143">
        <f>IF(t&lt;Tvie,1-EXP((T0-t)*PertePVj)+'2029'!Pspv,1-EXP((T0-t)*PertePVj)+Pspv)</f>
        <v>4.3279193865924381E-2</v>
      </c>
      <c r="M187" s="835"/>
      <c r="N187" s="835"/>
      <c r="O187" s="48">
        <f>IF(t&lt;Tnet,'2029'!Resal+('2029'!Salim-'2029'!Resal)*(1-EXP(('2029'!Tnet-t)/('2029'!Tau_j))),Resal+(Salim-Resal)*(1-EXP((Tnet-t)/(Tau_j))))*Salcycl</f>
        <v>1.2596307553312532E-2</v>
      </c>
      <c r="P187" s="165">
        <f>(INDEX(Models!$BJ187:$BT187,,T187)*(1-R187)+INDEX(Models!$BJ187:$BT187,,T187+1)*R187-ERP_i)*Q187*Ramure*Pc/MaxiM</f>
        <v>3.3297549622747274E-5</v>
      </c>
      <c r="Q187" s="301">
        <f t="shared" si="53"/>
        <v>0.5</v>
      </c>
      <c r="R187" s="173">
        <f t="shared" si="54"/>
        <v>0.77480407451008293</v>
      </c>
      <c r="S187" s="801">
        <f t="shared" si="55"/>
        <v>0</v>
      </c>
      <c r="T187" s="172">
        <f t="shared" si="56"/>
        <v>6</v>
      </c>
      <c r="U187" s="247">
        <f t="shared" si="57"/>
        <v>0.77480407451008293</v>
      </c>
      <c r="V187" s="378">
        <f t="shared" si="58"/>
        <v>237.47417759226747</v>
      </c>
      <c r="W187" s="397">
        <f t="shared" si="59"/>
        <v>173.68978557043883</v>
      </c>
      <c r="X187" s="153">
        <f t="shared" si="60"/>
        <v>47656</v>
      </c>
      <c r="Y187" s="380">
        <f t="shared" si="61"/>
        <v>166.78612609703634</v>
      </c>
      <c r="Z187" s="380">
        <f t="shared" si="62"/>
        <v>174.33103265621131</v>
      </c>
      <c r="AA187" s="381">
        <f t="shared" si="63"/>
        <v>183.82795220571151</v>
      </c>
      <c r="AB187" s="193">
        <f t="shared" si="64"/>
        <v>47656</v>
      </c>
      <c r="AC187" s="119">
        <f>IF(OR(t&lt;Tnet,NoTnet),'2029'!Resal_s+('2029'!Salim-'2029'!Resal_s)*(1-EXP(('2029'!Tnet_s-t)/'2029'!Tau_j)),Resal_s+(Salim-Resal_s)*(1-EXP((Tnet_s-t)/Tau_j)))*Salcycl</f>
        <v>5.1661999361624508E-2</v>
      </c>
      <c r="AD187" s="227">
        <f>(INDEX(Models!$BJ187:$BT187,,AH187)*(1-AF187)+INDEX(Models!$BJ187:$BT187,,AH187+1)*AF187-ERP_i)*AE187*Ramure*Pc/MaxiM</f>
        <v>3.4248329719520939E-4</v>
      </c>
      <c r="AE187" s="301">
        <f t="shared" si="65"/>
        <v>0.5</v>
      </c>
      <c r="AF187" s="173">
        <f t="shared" si="66"/>
        <v>0.29979164088406129</v>
      </c>
      <c r="AG187" s="801">
        <f t="shared" si="74"/>
        <v>4</v>
      </c>
      <c r="AH187" s="172">
        <f t="shared" si="67"/>
        <v>10</v>
      </c>
      <c r="AI187" s="221">
        <f t="shared" si="68"/>
        <v>4.2997916408840613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47657</v>
      </c>
      <c r="B188" s="406">
        <f>'2029'!Wh/'2029'!Env_an*'2030'!Env_an</f>
        <v>169.94125970150057</v>
      </c>
      <c r="C188" s="831"/>
      <c r="D188" s="388">
        <f t="shared" si="50"/>
        <v>177.63132671190797</v>
      </c>
      <c r="E188" s="380">
        <f t="shared" si="75"/>
        <v>179.91242332600578</v>
      </c>
      <c r="F188" s="380">
        <f t="shared" si="51"/>
        <v>179.91602418354677</v>
      </c>
      <c r="G188" s="110">
        <f t="shared" si="76"/>
        <v>0.71602759507124847</v>
      </c>
      <c r="H188" s="409" t="b">
        <f>Wh_hp&gt;='2029'!Maxi_hp</f>
        <v>0</v>
      </c>
      <c r="I188" s="385">
        <f>IF(H188,Wh_hp,'2029'!Maxi_hp)</f>
        <v>179.91758660176592</v>
      </c>
      <c r="J188" s="85">
        <f>IF(H188,An,'2029'!An_max)</f>
        <v>2029</v>
      </c>
      <c r="K188" s="193">
        <f t="shared" si="52"/>
        <v>47657</v>
      </c>
      <c r="L188" s="143">
        <f>IF(t&lt;Tvie,1-EXP((T0-t)*PertePVj)+'2029'!Pspv,1-EXP((T0-t)*PertePVj)+Pspv)</f>
        <v>4.3292290570342784E-2</v>
      </c>
      <c r="M188" s="835"/>
      <c r="N188" s="835"/>
      <c r="O188" s="48">
        <f>IF(t&lt;Tnet,'2029'!Resal+('2029'!Salim-'2029'!Resal)*(1-EXP(('2029'!Tnet-t)/('2029'!Tau_j))),Resal+(Salim-Resal)*(1-EXP((Tnet-t)/(Tau_j))))*Salcycl</f>
        <v>1.2678927735659524E-2</v>
      </c>
      <c r="P188" s="165">
        <f>(INDEX(Models!$BJ188:$BT188,,T188)*(1-R188)+INDEX(Models!$BJ188:$BT188,,T188+1)*R188-ERP_i)*Q188*Ramure*Pc/MaxiM</f>
        <v>3.3674548791129676E-5</v>
      </c>
      <c r="Q188" s="301">
        <f t="shared" si="53"/>
        <v>0.5</v>
      </c>
      <c r="R188" s="173">
        <f t="shared" si="54"/>
        <v>0.7796246893413048</v>
      </c>
      <c r="S188" s="801">
        <f t="shared" si="55"/>
        <v>0</v>
      </c>
      <c r="T188" s="172">
        <f t="shared" si="56"/>
        <v>6</v>
      </c>
      <c r="U188" s="247">
        <f t="shared" si="57"/>
        <v>0.7796246893413048</v>
      </c>
      <c r="V188" s="378">
        <f t="shared" si="58"/>
        <v>237.33573866588196</v>
      </c>
      <c r="W188" s="397">
        <f t="shared" si="59"/>
        <v>169.94125970150057</v>
      </c>
      <c r="X188" s="153">
        <f t="shared" si="60"/>
        <v>47657</v>
      </c>
      <c r="Y188" s="380">
        <f t="shared" si="61"/>
        <v>163.19170356155939</v>
      </c>
      <c r="Z188" s="380">
        <f t="shared" si="62"/>
        <v>170.57634421995655</v>
      </c>
      <c r="AA188" s="381">
        <f t="shared" si="63"/>
        <v>179.87914953180996</v>
      </c>
      <c r="AB188" s="193">
        <f t="shared" si="64"/>
        <v>47657</v>
      </c>
      <c r="AC188" s="119">
        <f>IF(OR(t&lt;Tnet,NoTnet),'2029'!Resal_s+('2029'!Salim-'2029'!Resal_s)*(1-EXP(('2029'!Tnet_s-t)/'2029'!Tau_j)),Resal_s+(Salim-Resal_s)*(1-EXP((Tnet_s-t)/Tau_j)))*Salcycl</f>
        <v>5.1716974068794351E-2</v>
      </c>
      <c r="AD188" s="227">
        <f>(INDEX(Models!$BJ188:$BT188,,AH188)*(1-AF188)+INDEX(Models!$BJ188:$BT188,,AH188+1)*AF188-ERP_i)*AE188*Ramure*Pc/MaxiM</f>
        <v>3.4484487234659136E-4</v>
      </c>
      <c r="AE188" s="301">
        <f t="shared" si="65"/>
        <v>0.5</v>
      </c>
      <c r="AF188" s="173">
        <f t="shared" si="66"/>
        <v>0.30461225571528328</v>
      </c>
      <c r="AG188" s="801">
        <f t="shared" si="74"/>
        <v>4</v>
      </c>
      <c r="AH188" s="172">
        <f t="shared" si="67"/>
        <v>10</v>
      </c>
      <c r="AI188" s="221">
        <f t="shared" si="68"/>
        <v>4.3046122557152833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47658</v>
      </c>
      <c r="B189" s="406">
        <f>'2029'!Wh/'2029'!Env_an*'2030'!Env_an</f>
        <v>169.80468519632234</v>
      </c>
      <c r="C189" s="831"/>
      <c r="D189" s="388">
        <f t="shared" si="50"/>
        <v>177.491001732304</v>
      </c>
      <c r="E189" s="380">
        <f t="shared" si="75"/>
        <v>179.78529758073563</v>
      </c>
      <c r="F189" s="380">
        <f t="shared" si="51"/>
        <v>179.78894664920665</v>
      </c>
      <c r="G189" s="110">
        <f t="shared" si="76"/>
        <v>0.71589434519052653</v>
      </c>
      <c r="H189" s="409" t="b">
        <f>Wh_hp&gt;='2029'!Maxi_hp</f>
        <v>0</v>
      </c>
      <c r="I189" s="385">
        <f>IF(H189,Wh_hp,'2029'!Maxi_hp)</f>
        <v>179.79052169971587</v>
      </c>
      <c r="J189" s="85">
        <f>IF(H189,An,'2029'!An_max)</f>
        <v>2029</v>
      </c>
      <c r="K189" s="193">
        <f t="shared" si="52"/>
        <v>47658</v>
      </c>
      <c r="L189" s="143">
        <f>IF(t&lt;Tvie,1-EXP((T0-t)*PertePVj)+'2029'!Pspv,1-EXP((T0-t)*PertePVj)+Pspv)</f>
        <v>4.3305387095478376E-2</v>
      </c>
      <c r="M189" s="835"/>
      <c r="N189" s="835"/>
      <c r="O189" s="48">
        <f>IF(t&lt;Tnet,'2029'!Resal+('2029'!Salim-'2029'!Resal)*(1-EXP(('2029'!Tnet-t)/('2029'!Tau_j))),Resal+(Salim-Resal)*(1-EXP((Tnet-t)/(Tau_j))))*Salcycl</f>
        <v>1.2761309624894825E-2</v>
      </c>
      <c r="P189" s="165">
        <f>(INDEX(Models!$BJ189:$BT189,,T189)*(1-R189)+INDEX(Models!$BJ189:$BT189,,T189+1)*R189-ERP_i)*Q189*Ramure*Pc/MaxiM</f>
        <v>3.4160457987304749E-5</v>
      </c>
      <c r="Q189" s="301">
        <f t="shared" si="53"/>
        <v>0.5</v>
      </c>
      <c r="R189" s="173">
        <f t="shared" si="54"/>
        <v>0.78439389172284724</v>
      </c>
      <c r="S189" s="801">
        <f t="shared" si="55"/>
        <v>0</v>
      </c>
      <c r="T189" s="172">
        <f t="shared" si="56"/>
        <v>6</v>
      </c>
      <c r="U189" s="247">
        <f t="shared" si="57"/>
        <v>0.78439389172284724</v>
      </c>
      <c r="V189" s="378">
        <f t="shared" si="58"/>
        <v>237.18909376415888</v>
      </c>
      <c r="W189" s="397">
        <f t="shared" si="59"/>
        <v>169.80468519632234</v>
      </c>
      <c r="X189" s="153">
        <f t="shared" si="60"/>
        <v>47658</v>
      </c>
      <c r="Y189" s="380">
        <f t="shared" si="61"/>
        <v>163.0645675840511</v>
      </c>
      <c r="Z189" s="380">
        <f t="shared" si="62"/>
        <v>170.44578843084275</v>
      </c>
      <c r="AA189" s="381">
        <f t="shared" si="63"/>
        <v>179.75172804274942</v>
      </c>
      <c r="AB189" s="193">
        <f t="shared" si="64"/>
        <v>47658</v>
      </c>
      <c r="AC189" s="119">
        <f>IF(OR(t&lt;Tnet,NoTnet),'2029'!Resal_s+('2029'!Salim-'2029'!Resal_s)*(1-EXP(('2029'!Tnet_s-t)/'2029'!Tau_j)),Resal_s+(Salim-Resal_s)*(1-EXP((Tnet_s-t)/Tau_j)))*Salcycl</f>
        <v>5.1771071762344793E-2</v>
      </c>
      <c r="AD189" s="227">
        <f>(INDEX(Models!$BJ189:$BT189,,AH189)*(1-AF189)+INDEX(Models!$BJ189:$BT189,,AH189+1)*AF189-ERP_i)*AE189*Ramure*Pc/MaxiM</f>
        <v>3.4841896015936616E-4</v>
      </c>
      <c r="AE189" s="301">
        <f t="shared" si="65"/>
        <v>0.5</v>
      </c>
      <c r="AF189" s="173">
        <f t="shared" si="66"/>
        <v>0.30938145809682549</v>
      </c>
      <c r="AG189" s="801">
        <f t="shared" si="74"/>
        <v>4</v>
      </c>
      <c r="AH189" s="172">
        <f t="shared" si="67"/>
        <v>10</v>
      </c>
      <c r="AI189" s="221">
        <f t="shared" si="68"/>
        <v>4.3093814580968255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47659</v>
      </c>
      <c r="B190" s="406">
        <f>'2029'!Wh/'2029'!Env_an*'2030'!Env_an</f>
        <v>144.8378518086578</v>
      </c>
      <c r="C190" s="831"/>
      <c r="D190" s="388">
        <f t="shared" si="50"/>
        <v>151.39610131662445</v>
      </c>
      <c r="E190" s="380">
        <f t="shared" si="75"/>
        <v>153.36584785613468</v>
      </c>
      <c r="F190" s="380">
        <f t="shared" si="51"/>
        <v>153.36821655735022</v>
      </c>
      <c r="G190" s="110">
        <f t="shared" si="76"/>
        <v>0.61102875122087541</v>
      </c>
      <c r="H190" s="409" t="b">
        <f>Wh_hp&gt;='2029'!Maxi_hp</f>
        <v>0</v>
      </c>
      <c r="I190" s="385">
        <f>IF(H190,Wh_hp,'2029'!Maxi_hp)</f>
        <v>153.37007720635765</v>
      </c>
      <c r="J190" s="85">
        <f>IF(H190,An,'2029'!An_max)</f>
        <v>2029</v>
      </c>
      <c r="K190" s="193">
        <f t="shared" si="52"/>
        <v>47659</v>
      </c>
      <c r="L190" s="143">
        <f>IF(t&lt;Tvie,1-EXP((T0-t)*PertePVj)+'2029'!Pspv,1-EXP((T0-t)*PertePVj)+Pspv)</f>
        <v>4.3318483441333488E-2</v>
      </c>
      <c r="M190" s="835"/>
      <c r="N190" s="835"/>
      <c r="O190" s="48">
        <f>IF(t&lt;Tnet,'2029'!Resal+('2029'!Salim-'2029'!Resal)*(1-EXP(('2029'!Tnet-t)/('2029'!Tau_j))),Resal+(Salim-Resal)*(1-EXP((Tnet-t)/(Tau_j))))*Salcycl</f>
        <v>1.2843449614401429E-2</v>
      </c>
      <c r="P190" s="165">
        <f>(INDEX(Models!$BJ190:$BT190,,T190)*(1-R190)+INDEX(Models!$BJ190:$BT190,,T190+1)*R190-ERP_i)*Q190*Ramure*Pc/MaxiM</f>
        <v>3.4758092965332516E-5</v>
      </c>
      <c r="Q190" s="301">
        <f t="shared" si="53"/>
        <v>0.5</v>
      </c>
      <c r="R190" s="173">
        <f t="shared" si="54"/>
        <v>0.78910853911382306</v>
      </c>
      <c r="S190" s="801">
        <f t="shared" si="55"/>
        <v>0</v>
      </c>
      <c r="T190" s="172">
        <f t="shared" si="56"/>
        <v>6</v>
      </c>
      <c r="U190" s="247">
        <f t="shared" si="57"/>
        <v>0.78910853911382306</v>
      </c>
      <c r="V190" s="378">
        <f t="shared" si="58"/>
        <v>237.03476169037958</v>
      </c>
      <c r="W190" s="397">
        <f t="shared" si="59"/>
        <v>144.8378518086578</v>
      </c>
      <c r="X190" s="153">
        <f t="shared" si="60"/>
        <v>47659</v>
      </c>
      <c r="Y190" s="380">
        <f t="shared" si="61"/>
        <v>139.09880781390305</v>
      </c>
      <c r="Z190" s="380">
        <f t="shared" si="62"/>
        <v>145.3971937434971</v>
      </c>
      <c r="AA190" s="381">
        <f t="shared" si="63"/>
        <v>153.34414549611421</v>
      </c>
      <c r="AB190" s="193">
        <f t="shared" si="64"/>
        <v>47659</v>
      </c>
      <c r="AC190" s="119">
        <f>IF(OR(t&lt;Tnet,NoTnet),'2029'!Resal_s+('2029'!Salim-'2029'!Resal_s)*(1-EXP(('2029'!Tnet_s-t)/'2029'!Tau_j)),Resal_s+(Salim-Resal_s)*(1-EXP((Tnet_s-t)/Tau_j)))*Salcycl</f>
        <v>5.1824291869157033E-2</v>
      </c>
      <c r="AD190" s="227">
        <f>(INDEX(Models!$BJ190:$BT190,,AH190)*(1-AF190)+INDEX(Models!$BJ190:$BT190,,AH190+1)*AF190-ERP_i)*AE190*Ramure*Pc/MaxiM</f>
        <v>3.5321642878437064E-4</v>
      </c>
      <c r="AE190" s="301">
        <f t="shared" si="65"/>
        <v>0.5</v>
      </c>
      <c r="AF190" s="173">
        <f t="shared" si="66"/>
        <v>0.31409610548780087</v>
      </c>
      <c r="AG190" s="801">
        <f t="shared" si="74"/>
        <v>4</v>
      </c>
      <c r="AH190" s="172">
        <f t="shared" si="67"/>
        <v>10</v>
      </c>
      <c r="AI190" s="221">
        <f t="shared" si="68"/>
        <v>4.3140961054878009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47660</v>
      </c>
      <c r="B191" s="406">
        <f>'2029'!Wh/'2029'!Env_an*'2030'!Env_an</f>
        <v>48.167055716381874</v>
      </c>
      <c r="C191" s="831"/>
      <c r="D191" s="388">
        <f t="shared" si="50"/>
        <v>50.3487464304933</v>
      </c>
      <c r="E191" s="380">
        <f t="shared" si="75"/>
        <v>51.008042968976788</v>
      </c>
      <c r="F191" s="380">
        <f t="shared" si="51"/>
        <v>51.008042968976788</v>
      </c>
      <c r="G191" s="110">
        <f t="shared" si="76"/>
        <v>0.20333723870582596</v>
      </c>
      <c r="H191" s="409" t="b">
        <f>Wh_hp&gt;='2029'!Maxi_hp</f>
        <v>0</v>
      </c>
      <c r="I191" s="385">
        <f>IF(H191,Wh_hp,'2029'!Maxi_hp)</f>
        <v>51.009172868676558</v>
      </c>
      <c r="J191" s="85">
        <f>IF(H191,An,'2029'!An_max)</f>
        <v>2029</v>
      </c>
      <c r="K191" s="193">
        <f t="shared" si="52"/>
        <v>47660</v>
      </c>
      <c r="L191" s="143">
        <f>IF(t&lt;Tvie,1-EXP((T0-t)*PertePVj)+'2029'!Pspv,1-EXP((T0-t)*PertePVj)+Pspv)</f>
        <v>4.3331579607910564E-2</v>
      </c>
      <c r="M191" s="835"/>
      <c r="N191" s="835"/>
      <c r="O191" s="48">
        <f>IF(t&lt;Tnet,'2029'!Resal+('2029'!Salim-'2029'!Resal)*(1-EXP(('2029'!Tnet-t)/('2029'!Tau_j))),Resal+(Salim-Resal)*(1-EXP((Tnet-t)/(Tau_j))))*Salcycl</f>
        <v>1.2925344712489189E-2</v>
      </c>
      <c r="P191" s="165">
        <f>(INDEX(Models!$BJ191:$BT191,,T191)*(1-R191)+INDEX(Models!$BJ191:$BT191,,T191+1)*R191-ERP_i)*Q191*Ramure*Pc/MaxiM</f>
        <v>3.5470044022876698E-5</v>
      </c>
      <c r="Q191" s="301">
        <f t="shared" si="53"/>
        <v>0.5</v>
      </c>
      <c r="R191" s="173">
        <f t="shared" si="54"/>
        <v>0.79376565145465539</v>
      </c>
      <c r="S191" s="801">
        <f t="shared" si="55"/>
        <v>0</v>
      </c>
      <c r="T191" s="172">
        <f t="shared" si="56"/>
        <v>6</v>
      </c>
      <c r="U191" s="247">
        <f t="shared" si="57"/>
        <v>0.79376565145465539</v>
      </c>
      <c r="V191" s="378">
        <f t="shared" si="58"/>
        <v>236.87420727925499</v>
      </c>
      <c r="W191" s="397">
        <f t="shared" si="59"/>
        <v>48.167055716381874</v>
      </c>
      <c r="X191" s="153">
        <f t="shared" si="60"/>
        <v>47660</v>
      </c>
      <c r="Y191" s="380">
        <f t="shared" si="61"/>
        <v>46.266319010576382</v>
      </c>
      <c r="Z191" s="380">
        <f t="shared" si="62"/>
        <v>48.361917279149012</v>
      </c>
      <c r="AA191" s="381">
        <f t="shared" si="63"/>
        <v>51.008042968976788</v>
      </c>
      <c r="AB191" s="193">
        <f t="shared" si="64"/>
        <v>47660</v>
      </c>
      <c r="AC191" s="119">
        <f>IF(OR(t&lt;Tnet,NoTnet),'2029'!Resal_s+('2029'!Salim-'2029'!Resal_s)*(1-EXP(('2029'!Tnet_s-t)/'2029'!Tau_j)),Resal_s+(Salim-Resal_s)*(1-EXP((Tnet_s-t)/Tau_j)))*Salcycl</f>
        <v>5.1876636228470101E-2</v>
      </c>
      <c r="AD191" s="227">
        <f>(INDEX(Models!$BJ191:$BT191,,AH191)*(1-AF191)+INDEX(Models!$BJ191:$BT191,,AH191+1)*AF191-ERP_i)*AE191*Ramure*Pc/MaxiM</f>
        <v>3.5924600610972554E-4</v>
      </c>
      <c r="AE191" s="301">
        <f t="shared" si="65"/>
        <v>0.5</v>
      </c>
      <c r="AF191" s="173">
        <f t="shared" si="66"/>
        <v>0.31875321782863342</v>
      </c>
      <c r="AG191" s="801">
        <f t="shared" si="74"/>
        <v>4</v>
      </c>
      <c r="AH191" s="172">
        <f t="shared" si="67"/>
        <v>10</v>
      </c>
      <c r="AI191" s="221">
        <f t="shared" si="68"/>
        <v>4.3187532178286334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47661</v>
      </c>
      <c r="B192" s="406">
        <f>'2029'!Wh/'2029'!Env_an*'2030'!Env_an</f>
        <v>56.272839418018705</v>
      </c>
      <c r="C192" s="831"/>
      <c r="D192" s="388">
        <f t="shared" si="50"/>
        <v>58.822480764459833</v>
      </c>
      <c r="E192" s="380">
        <f t="shared" si="75"/>
        <v>59.597667177053125</v>
      </c>
      <c r="F192" s="380">
        <f t="shared" si="51"/>
        <v>59.597667177053125</v>
      </c>
      <c r="G192" s="110">
        <f t="shared" si="76"/>
        <v>0.23772255051955549</v>
      </c>
      <c r="H192" s="409" t="b">
        <f>Wh_hp&gt;='2029'!Maxi_hp</f>
        <v>0</v>
      </c>
      <c r="I192" s="385">
        <f>IF(H192,Wh_hp,'2029'!Maxi_hp)</f>
        <v>59.599011427560399</v>
      </c>
      <c r="J192" s="85">
        <f>IF(H192,An,'2029'!An_max)</f>
        <v>2029</v>
      </c>
      <c r="K192" s="193">
        <f t="shared" si="52"/>
        <v>47661</v>
      </c>
      <c r="L192" s="143">
        <f>IF(t&lt;Tvie,1-EXP((T0-t)*PertePVj)+'2029'!Pspv,1-EXP((T0-t)*PertePVj)+Pspv)</f>
        <v>4.3344675595212268E-2</v>
      </c>
      <c r="M192" s="835"/>
      <c r="N192" s="835"/>
      <c r="O192" s="48">
        <f>IF(t&lt;Tnet,'2029'!Resal+('2029'!Salim-'2029'!Resal)*(1-EXP(('2029'!Tnet-t)/('2029'!Tau_j))),Resal+(Salim-Resal)*(1-EXP((Tnet-t)/(Tau_j))))*Salcycl</f>
        <v>1.3006992543690742E-2</v>
      </c>
      <c r="P192" s="165">
        <f>(INDEX(Models!$BJ192:$BT192,,T192)*(1-R192)+INDEX(Models!$BJ192:$BT192,,T192+1)*R192-ERP_i)*Q192*Ramure*Pc/MaxiM</f>
        <v>3.6323858235416367E-5</v>
      </c>
      <c r="Q192" s="301">
        <f t="shared" si="53"/>
        <v>0.5</v>
      </c>
      <c r="R192" s="173">
        <f t="shared" si="54"/>
        <v>0.79836241687237253</v>
      </c>
      <c r="S192" s="801">
        <f t="shared" si="55"/>
        <v>0</v>
      </c>
      <c r="T192" s="172">
        <f t="shared" si="56"/>
        <v>6</v>
      </c>
      <c r="U192" s="247">
        <f t="shared" si="57"/>
        <v>0.79836241687237253</v>
      </c>
      <c r="V192" s="378">
        <f t="shared" si="58"/>
        <v>236.70785648393189</v>
      </c>
      <c r="W192" s="397">
        <f t="shared" si="59"/>
        <v>56.272839418018705</v>
      </c>
      <c r="X192" s="153">
        <f t="shared" si="60"/>
        <v>47661</v>
      </c>
      <c r="Y192" s="380">
        <f t="shared" si="61"/>
        <v>54.053774316586988</v>
      </c>
      <c r="Z192" s="380">
        <f t="shared" si="62"/>
        <v>56.502873017738331</v>
      </c>
      <c r="AA192" s="381">
        <f t="shared" si="63"/>
        <v>59.597667177053125</v>
      </c>
      <c r="AB192" s="193">
        <f t="shared" si="64"/>
        <v>47661</v>
      </c>
      <c r="AC192" s="119">
        <f>IF(OR(t&lt;Tnet,NoTnet),'2029'!Resal_s+('2029'!Salim-'2029'!Resal_s)*(1-EXP(('2029'!Tnet_s-t)/'2029'!Tau_j)),Resal_s+(Salim-Resal_s)*(1-EXP((Tnet_s-t)/Tau_j)))*Salcycl</f>
        <v>5.1928109033542488E-2</v>
      </c>
      <c r="AD192" s="227">
        <f>(INDEX(Models!$BJ192:$BT192,,AH192)*(1-AF192)+INDEX(Models!$BJ192:$BT192,,AH192+1)*AF192-ERP_i)*AE192*Ramure*Pc/MaxiM</f>
        <v>3.6667954800452741E-4</v>
      </c>
      <c r="AE192" s="301">
        <f t="shared" si="65"/>
        <v>0.5</v>
      </c>
      <c r="AF192" s="173">
        <f t="shared" si="66"/>
        <v>0.32334998324635045</v>
      </c>
      <c r="AG192" s="801">
        <f t="shared" si="74"/>
        <v>4</v>
      </c>
      <c r="AH192" s="172">
        <f t="shared" si="67"/>
        <v>10</v>
      </c>
      <c r="AI192" s="221">
        <f t="shared" si="68"/>
        <v>4.3233499832463504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47662</v>
      </c>
      <c r="B193" s="406">
        <f>'2029'!Wh/'2029'!Env_an*'2030'!Env_an</f>
        <v>246.04024432824303</v>
      </c>
      <c r="C193" s="831"/>
      <c r="D193" s="388">
        <f t="shared" si="50"/>
        <v>257.19149434699807</v>
      </c>
      <c r="E193" s="380">
        <f t="shared" si="75"/>
        <v>260.60236002070957</v>
      </c>
      <c r="F193" s="380">
        <f t="shared" si="51"/>
        <v>260.61207165828807</v>
      </c>
      <c r="G193" s="110">
        <f t="shared" si="76"/>
        <v>1.0401867145003136</v>
      </c>
      <c r="H193" s="409" t="b">
        <f>Wh_hp&gt;='2029'!Maxi_hp</f>
        <v>1</v>
      </c>
      <c r="I193" s="385">
        <f>IF(H193,Wh_hp,'2029'!Maxi_hp)</f>
        <v>260.61207165828807</v>
      </c>
      <c r="J193" s="85">
        <f>IF(H193,An,'2029'!An_max)</f>
        <v>2030</v>
      </c>
      <c r="K193" s="193">
        <f t="shared" si="52"/>
        <v>47662</v>
      </c>
      <c r="L193" s="143">
        <f>IF(t&lt;Tvie,1-EXP((T0-t)*PertePVj)+'2029'!Pspv,1-EXP((T0-t)*PertePVj)+Pspv)</f>
        <v>4.3357771403240819E-2</v>
      </c>
      <c r="M193" s="835"/>
      <c r="N193" s="835"/>
      <c r="O193" s="48">
        <f>IF(t&lt;Tnet,'2029'!Resal+('2029'!Salim-'2029'!Resal)*(1-EXP(('2029'!Tnet-t)/('2029'!Tau_j))),Resal+(Salim-Resal)*(1-EXP((Tnet-t)/(Tau_j))))*Salcycl</f>
        <v>1.3088391346265875E-2</v>
      </c>
      <c r="P193" s="165">
        <f>(INDEX(Models!$BJ193:$BT193,,T193)*(1-R193)+INDEX(Models!$BJ193:$BT193,,T193+1)*R193-ERP_i)*Q193*Ramure*Pc/MaxiM</f>
        <v>3.7264726521364744E-5</v>
      </c>
      <c r="Q193" s="301">
        <f t="shared" si="53"/>
        <v>0.5</v>
      </c>
      <c r="R193" s="173">
        <f t="shared" si="54"/>
        <v>0.80289619640320198</v>
      </c>
      <c r="S193" s="801">
        <f t="shared" si="55"/>
        <v>0</v>
      </c>
      <c r="T193" s="172">
        <f t="shared" si="56"/>
        <v>6</v>
      </c>
      <c r="U193" s="247">
        <f t="shared" si="57"/>
        <v>0.80289619640320198</v>
      </c>
      <c r="V193" s="378">
        <f t="shared" si="58"/>
        <v>236.5346921840241</v>
      </c>
      <c r="W193" s="397">
        <f t="shared" si="59"/>
        <v>246.04024432824303</v>
      </c>
      <c r="X193" s="153">
        <f t="shared" si="60"/>
        <v>47662</v>
      </c>
      <c r="Y193" s="380">
        <f t="shared" si="61"/>
        <v>236.26495982239828</v>
      </c>
      <c r="Z193" s="380">
        <f t="shared" si="62"/>
        <v>246.97316589187278</v>
      </c>
      <c r="AA193" s="381">
        <f t="shared" si="63"/>
        <v>260.51436846222578</v>
      </c>
      <c r="AB193" s="193">
        <f t="shared" si="64"/>
        <v>47662</v>
      </c>
      <c r="AC193" s="119">
        <f>IF(OR(t&lt;Tnet,NoTnet),'2029'!Resal_s+('2029'!Salim-'2029'!Resal_s)*(1-EXP(('2029'!Tnet_s-t)/'2029'!Tau_j)),Resal_s+(Salim-Resal_s)*(1-EXP((Tnet_s-t)/Tau_j)))*Salcycl</f>
        <v>5.1978716760555335E-2</v>
      </c>
      <c r="AD193" s="227">
        <f>(INDEX(Models!$BJ193:$BT193,,AH193)*(1-AF193)+INDEX(Models!$BJ193:$BT193,,AH193+1)*AF193-ERP_i)*AE193*Ramure*Pc/MaxiM</f>
        <v>3.7489896550309894E-4</v>
      </c>
      <c r="AE193" s="301">
        <f t="shared" si="65"/>
        <v>0.5</v>
      </c>
      <c r="AF193" s="173">
        <f t="shared" si="66"/>
        <v>0.32788376277718001</v>
      </c>
      <c r="AG193" s="801">
        <f t="shared" si="74"/>
        <v>4</v>
      </c>
      <c r="AH193" s="172">
        <f t="shared" si="67"/>
        <v>10</v>
      </c>
      <c r="AI193" s="221">
        <f t="shared" si="68"/>
        <v>4.32788376277718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47663</v>
      </c>
      <c r="B194" s="406">
        <f>'2029'!Wh/'2029'!Env_an*'2030'!Env_an</f>
        <v>233.59155277195765</v>
      </c>
      <c r="C194" s="831"/>
      <c r="D194" s="388">
        <f t="shared" si="50"/>
        <v>244.18193500675162</v>
      </c>
      <c r="E194" s="380">
        <f t="shared" si="75"/>
        <v>247.44061406284939</v>
      </c>
      <c r="F194" s="380">
        <f t="shared" si="51"/>
        <v>247.44993183592149</v>
      </c>
      <c r="G194" s="110">
        <f t="shared" si="76"/>
        <v>0.98831293587118263</v>
      </c>
      <c r="H194" s="409" t="b">
        <f>Wh_hp&gt;='2029'!Maxi_hp</f>
        <v>0</v>
      </c>
      <c r="I194" s="385">
        <f>IF(H194,Wh_hp,'2029'!Maxi_hp)</f>
        <v>247.45002898638091</v>
      </c>
      <c r="J194" s="85">
        <f>IF(H194,An,'2029'!An_max)</f>
        <v>2029</v>
      </c>
      <c r="K194" s="193">
        <f t="shared" si="52"/>
        <v>47663</v>
      </c>
      <c r="L194" s="143">
        <f>IF(t&lt;Tvie,1-EXP((T0-t)*PertePVj)+'2029'!Pspv,1-EXP((T0-t)*PertePVj)+Pspv)</f>
        <v>4.3370867031998661E-2</v>
      </c>
      <c r="M194" s="835"/>
      <c r="N194" s="835"/>
      <c r="O194" s="48">
        <f>IF(t&lt;Tnet,'2029'!Resal+('2029'!Salim-'2029'!Resal)*(1-EXP(('2029'!Tnet-t)/('2029'!Tau_j))),Resal+(Salim-Resal)*(1-EXP((Tnet-t)/(Tau_j))))*Salcycl</f>
        <v>1.3169539965941439E-2</v>
      </c>
      <c r="P194" s="165">
        <f>(INDEX(Models!$BJ194:$BT194,,T194)*(1-R194)+INDEX(Models!$BJ194:$BT194,,T194+1)*R194-ERP_i)*Q194*Ramure*Pc/MaxiM</f>
        <v>3.8294508561075179E-5</v>
      </c>
      <c r="Q194" s="301">
        <f t="shared" si="53"/>
        <v>0.5</v>
      </c>
      <c r="R194" s="173">
        <f t="shared" si="54"/>
        <v>0.80736452773497436</v>
      </c>
      <c r="S194" s="801">
        <f t="shared" si="55"/>
        <v>0</v>
      </c>
      <c r="T194" s="172">
        <f t="shared" si="56"/>
        <v>6</v>
      </c>
      <c r="U194" s="247">
        <f t="shared" si="57"/>
        <v>0.80736452773497436</v>
      </c>
      <c r="V194" s="378">
        <f t="shared" si="58"/>
        <v>236.35368408888405</v>
      </c>
      <c r="W194" s="397">
        <f t="shared" si="59"/>
        <v>233.59155277195765</v>
      </c>
      <c r="X194" s="153">
        <f t="shared" si="60"/>
        <v>47663</v>
      </c>
      <c r="Y194" s="380">
        <f t="shared" si="61"/>
        <v>224.31703620463909</v>
      </c>
      <c r="Z194" s="380">
        <f t="shared" si="62"/>
        <v>234.48693801398412</v>
      </c>
      <c r="AA194" s="381">
        <f t="shared" si="63"/>
        <v>247.35651875576173</v>
      </c>
      <c r="AB194" s="193">
        <f t="shared" si="64"/>
        <v>47663</v>
      </c>
      <c r="AC194" s="119">
        <f>IF(OR(t&lt;Tnet,NoTnet),'2029'!Resal_s+('2029'!Salim-'2029'!Resal_s)*(1-EXP(('2029'!Tnet_s-t)/'2029'!Tau_j)),Resal_s+(Salim-Resal_s)*(1-EXP((Tnet_s-t)/Tau_j)))*Salcycl</f>
        <v>5.2028468085310371E-2</v>
      </c>
      <c r="AD194" s="227">
        <f>(INDEX(Models!$BJ194:$BT194,,AH194)*(1-AF194)+INDEX(Models!$BJ194:$BT194,,AH194+1)*AF194-ERP_i)*AE194*Ramure*Pc/MaxiM</f>
        <v>3.8391233293836447E-4</v>
      </c>
      <c r="AE194" s="301">
        <f t="shared" si="65"/>
        <v>0.5</v>
      </c>
      <c r="AF194" s="173">
        <f t="shared" si="66"/>
        <v>0.33235209410895283</v>
      </c>
      <c r="AG194" s="801">
        <f t="shared" si="74"/>
        <v>4</v>
      </c>
      <c r="AH194" s="172">
        <f t="shared" si="67"/>
        <v>10</v>
      </c>
      <c r="AI194" s="221">
        <f t="shared" si="68"/>
        <v>4.3323520941089528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47664</v>
      </c>
      <c r="B195" s="406">
        <f>'2029'!Wh/'2029'!Env_an*'2030'!Env_an</f>
        <v>54.542024134579997</v>
      </c>
      <c r="C195" s="831"/>
      <c r="D195" s="388">
        <f t="shared" si="50"/>
        <v>57.015586186557684</v>
      </c>
      <c r="E195" s="380">
        <f t="shared" si="75"/>
        <v>57.781212552143209</v>
      </c>
      <c r="F195" s="380">
        <f t="shared" si="51"/>
        <v>57.781212552143209</v>
      </c>
      <c r="G195" s="110">
        <f t="shared" si="76"/>
        <v>0.23094087180300216</v>
      </c>
      <c r="H195" s="409" t="b">
        <f>Wh_hp&gt;='2029'!Maxi_hp</f>
        <v>0</v>
      </c>
      <c r="I195" s="385">
        <f>IF(H195,Wh_hp,'2029'!Maxi_hp)</f>
        <v>57.782603571556919</v>
      </c>
      <c r="J195" s="85">
        <f>IF(H195,An,'2029'!An_max)</f>
        <v>2029</v>
      </c>
      <c r="K195" s="193">
        <f t="shared" si="52"/>
        <v>47664</v>
      </c>
      <c r="L195" s="143">
        <f>IF(t&lt;Tvie,1-EXP((T0-t)*PertePVj)+'2029'!Pspv,1-EXP((T0-t)*PertePVj)+Pspv)</f>
        <v>4.3383962481488458E-2</v>
      </c>
      <c r="M195" s="835"/>
      <c r="N195" s="835"/>
      <c r="O195" s="48">
        <f>IF(t&lt;Tnet,'2029'!Resal+('2029'!Salim-'2029'!Resal)*(1-EXP(('2029'!Tnet-t)/('2029'!Tau_j))),Resal+(Salim-Resal)*(1-EXP((Tnet-t)/(Tau_j))))*Salcycl</f>
        <v>1.325043784594529E-2</v>
      </c>
      <c r="P195" s="165">
        <f>(INDEX(Models!$BJ195:$BT195,,T195)*(1-R195)+INDEX(Models!$BJ195:$BT195,,T195+1)*R195-ERP_i)*Q195*Ramure*Pc/MaxiM</f>
        <v>3.9415022232192935E-5</v>
      </c>
      <c r="Q195" s="301">
        <f t="shared" si="53"/>
        <v>0.5</v>
      </c>
      <c r="R195" s="173">
        <f t="shared" si="54"/>
        <v>0.81176512798053002</v>
      </c>
      <c r="S195" s="801">
        <f t="shared" si="55"/>
        <v>0</v>
      </c>
      <c r="T195" s="172">
        <f t="shared" si="56"/>
        <v>6</v>
      </c>
      <c r="U195" s="247">
        <f t="shared" si="57"/>
        <v>0.81176512798053002</v>
      </c>
      <c r="V195" s="378">
        <f t="shared" si="58"/>
        <v>236.16380216148963</v>
      </c>
      <c r="W195" s="397">
        <f t="shared" si="59"/>
        <v>54.542024134579997</v>
      </c>
      <c r="X195" s="153">
        <f t="shared" si="60"/>
        <v>47664</v>
      </c>
      <c r="Y195" s="380">
        <f t="shared" si="61"/>
        <v>52.395887203319795</v>
      </c>
      <c r="Z195" s="380">
        <f t="shared" si="62"/>
        <v>54.772118748119858</v>
      </c>
      <c r="AA195" s="381">
        <f t="shared" si="63"/>
        <v>57.781212552143209</v>
      </c>
      <c r="AB195" s="193">
        <f t="shared" si="64"/>
        <v>47664</v>
      </c>
      <c r="AC195" s="119">
        <f>IF(OR(t&lt;Tnet,NoTnet),'2029'!Resal_s+('2029'!Salim-'2029'!Resal_s)*(1-EXP(('2029'!Tnet_s-t)/'2029'!Tau_j)),Resal_s+(Salim-Resal_s)*(1-EXP((Tnet_s-t)/Tau_j)))*Salcycl</f>
        <v>5.2077373788372253E-2</v>
      </c>
      <c r="AD195" s="227">
        <f>(INDEX(Models!$BJ195:$BT195,,AH195)*(1-AF195)+INDEX(Models!$BJ195:$BT195,,AH195+1)*AF195-ERP_i)*AE195*Ramure*Pc/MaxiM</f>
        <v>3.9372759050486372E-4</v>
      </c>
      <c r="AE195" s="301">
        <f t="shared" si="65"/>
        <v>0.5</v>
      </c>
      <c r="AF195" s="173">
        <f t="shared" si="66"/>
        <v>0.33675269435450783</v>
      </c>
      <c r="AG195" s="801">
        <f t="shared" si="74"/>
        <v>4</v>
      </c>
      <c r="AH195" s="172">
        <f t="shared" si="67"/>
        <v>10</v>
      </c>
      <c r="AI195" s="221">
        <f t="shared" si="68"/>
        <v>4.3367526943545078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47665</v>
      </c>
      <c r="B196" s="406">
        <f>'2029'!Wh/'2029'!Env_an*'2030'!Env_an</f>
        <v>209.1534998726585</v>
      </c>
      <c r="C196" s="831"/>
      <c r="D196" s="388">
        <f t="shared" si="50"/>
        <v>218.64191571592767</v>
      </c>
      <c r="E196" s="380">
        <f t="shared" si="75"/>
        <v>221.59603124712027</v>
      </c>
      <c r="F196" s="380">
        <f t="shared" si="51"/>
        <v>221.60357318460677</v>
      </c>
      <c r="G196" s="110">
        <f t="shared" si="76"/>
        <v>0.88637294590009041</v>
      </c>
      <c r="H196" s="409" t="b">
        <f>Wh_hp&gt;='2029'!Maxi_hp</f>
        <v>0</v>
      </c>
      <c r="I196" s="385">
        <f>IF(H196,Wh_hp,'2029'!Maxi_hp)</f>
        <v>221.60446106591681</v>
      </c>
      <c r="J196" s="85">
        <f>IF(H196,An,'2029'!An_max)</f>
        <v>2029</v>
      </c>
      <c r="K196" s="193">
        <f t="shared" si="52"/>
        <v>47665</v>
      </c>
      <c r="L196" s="143">
        <f>IF(t&lt;Tvie,1-EXP((T0-t)*PertePVj)+'2029'!Pspv,1-EXP((T0-t)*PertePVj)+Pspv)</f>
        <v>4.3397057751712542E-2</v>
      </c>
      <c r="M196" s="835"/>
      <c r="N196" s="835"/>
      <c r="O196" s="48">
        <f>IF(t&lt;Tnet,'2029'!Resal+('2029'!Salim-'2029'!Resal)*(1-EXP(('2029'!Tnet-t)/('2029'!Tau_j))),Resal+(Salim-Resal)*(1-EXP((Tnet-t)/(Tau_j))))*Salcycl</f>
        <v>1.3331085013423517E-2</v>
      </c>
      <c r="P196" s="165">
        <f>(INDEX(Models!$BJ196:$BT196,,T196)*(1-R196)+INDEX(Models!$BJ196:$BT196,,T196+1)*R196-ERP_i)*Q196*Ramure*Pc/MaxiM</f>
        <v>4.0628047874543269E-5</v>
      </c>
      <c r="Q196" s="301">
        <f t="shared" si="53"/>
        <v>0.5</v>
      </c>
      <c r="R196" s="173">
        <f t="shared" si="54"/>
        <v>0.81609589550147277</v>
      </c>
      <c r="S196" s="801">
        <f t="shared" si="55"/>
        <v>0</v>
      </c>
      <c r="T196" s="172">
        <f t="shared" si="56"/>
        <v>6</v>
      </c>
      <c r="U196" s="247">
        <f t="shared" si="57"/>
        <v>0.81609589550147277</v>
      </c>
      <c r="V196" s="378">
        <f t="shared" si="58"/>
        <v>235.96401662876855</v>
      </c>
      <c r="W196" s="397">
        <f t="shared" si="59"/>
        <v>209.1534998726585</v>
      </c>
      <c r="X196" s="153">
        <f t="shared" si="60"/>
        <v>47665</v>
      </c>
      <c r="Y196" s="380">
        <f t="shared" si="61"/>
        <v>200.86867111208079</v>
      </c>
      <c r="Z196" s="380">
        <f t="shared" si="62"/>
        <v>209.98123907081302</v>
      </c>
      <c r="AA196" s="381">
        <f t="shared" si="63"/>
        <v>221.52851168813243</v>
      </c>
      <c r="AB196" s="193">
        <f t="shared" si="64"/>
        <v>47665</v>
      </c>
      <c r="AC196" s="119">
        <f>IF(OR(t&lt;Tnet,NoTnet),'2029'!Resal_s+('2029'!Salim-'2029'!Resal_s)*(1-EXP(('2029'!Tnet_s-t)/'2029'!Tau_j)),Resal_s+(Salim-Resal_s)*(1-EXP((Tnet_s-t)/Tau_j)))*Salcycl</f>
        <v>5.2125446649394037E-2</v>
      </c>
      <c r="AD196" s="227">
        <f>(INDEX(Models!$BJ196:$BT196,,AH196)*(1-AF196)+INDEX(Models!$BJ196:$BT196,,AH196+1)*AF196-ERP_i)*AE196*Ramure*Pc/MaxiM</f>
        <v>4.0435260538088439E-4</v>
      </c>
      <c r="AE196" s="301">
        <f t="shared" si="65"/>
        <v>0.5</v>
      </c>
      <c r="AF196" s="173">
        <f t="shared" si="66"/>
        <v>0.34108346187545102</v>
      </c>
      <c r="AG196" s="801">
        <f t="shared" si="74"/>
        <v>4</v>
      </c>
      <c r="AH196" s="172">
        <f t="shared" si="67"/>
        <v>10</v>
      </c>
      <c r="AI196" s="221">
        <f t="shared" si="68"/>
        <v>4.341083461875451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47666</v>
      </c>
      <c r="B197" s="406">
        <f>'2029'!Wh/'2029'!Env_an*'2030'!Env_an</f>
        <v>231.13821459520133</v>
      </c>
      <c r="C197" s="831"/>
      <c r="D197" s="388">
        <f t="shared" si="50"/>
        <v>241.62729228422066</v>
      </c>
      <c r="E197" s="380">
        <f t="shared" si="75"/>
        <v>244.91192416197723</v>
      </c>
      <c r="F197" s="380">
        <f t="shared" si="51"/>
        <v>244.92190781271862</v>
      </c>
      <c r="G197" s="110">
        <f t="shared" si="76"/>
        <v>0.98042294846514522</v>
      </c>
      <c r="H197" s="409" t="b">
        <f>Wh_hp&gt;='2029'!Maxi_hp</f>
        <v>0</v>
      </c>
      <c r="I197" s="385">
        <f>IF(H197,Wh_hp,'2029'!Maxi_hp)</f>
        <v>244.92208142110059</v>
      </c>
      <c r="J197" s="85">
        <f>IF(H197,An,'2029'!An_max)</f>
        <v>2029</v>
      </c>
      <c r="K197" s="193">
        <f t="shared" si="52"/>
        <v>47666</v>
      </c>
      <c r="L197" s="143">
        <f>IF(t&lt;Tvie,1-EXP((T0-t)*PertePVj)+'2029'!Pspv,1-EXP((T0-t)*PertePVj)+Pspv)</f>
        <v>4.3410152842673355E-2</v>
      </c>
      <c r="M197" s="835"/>
      <c r="N197" s="835"/>
      <c r="O197" s="48">
        <f>IF(t&lt;Tnet,'2029'!Resal+('2029'!Salim-'2029'!Resal)*(1-EXP(('2029'!Tnet-t)/('2029'!Tau_j))),Resal+(Salim-Resal)*(1-EXP((Tnet-t)/(Tau_j))))*Salcycl</f>
        <v>1.3411482062360489E-2</v>
      </c>
      <c r="P197" s="165">
        <f>(INDEX(Models!$BJ197:$BT197,,T197)*(1-R197)+INDEX(Models!$BJ197:$BT197,,T197+1)*R197-ERP_i)*Q197*Ramure*Pc/MaxiM</f>
        <v>4.1935333339267976E-5</v>
      </c>
      <c r="Q197" s="301">
        <f t="shared" si="53"/>
        <v>0.5</v>
      </c>
      <c r="R197" s="173">
        <f t="shared" si="54"/>
        <v>0.82035491080913348</v>
      </c>
      <c r="S197" s="801">
        <f t="shared" si="55"/>
        <v>0</v>
      </c>
      <c r="T197" s="172">
        <f t="shared" si="56"/>
        <v>6</v>
      </c>
      <c r="U197" s="247">
        <f t="shared" si="57"/>
        <v>0.82035491080913348</v>
      </c>
      <c r="V197" s="378">
        <f t="shared" si="58"/>
        <v>235.75329798191709</v>
      </c>
      <c r="W197" s="397">
        <f t="shared" si="59"/>
        <v>231.13821459520133</v>
      </c>
      <c r="X197" s="153">
        <f t="shared" si="60"/>
        <v>47666</v>
      </c>
      <c r="Y197" s="380">
        <f t="shared" si="61"/>
        <v>221.97652613468784</v>
      </c>
      <c r="Z197" s="380">
        <f t="shared" si="62"/>
        <v>232.04984539019492</v>
      </c>
      <c r="AA197" s="381">
        <f t="shared" si="63"/>
        <v>244.82291839047471</v>
      </c>
      <c r="AB197" s="193">
        <f t="shared" si="64"/>
        <v>47666</v>
      </c>
      <c r="AC197" s="119">
        <f>IF(OR(t&lt;Tnet,NoTnet),'2029'!Resal_s+('2029'!Salim-'2029'!Resal_s)*(1-EXP(('2029'!Tnet_s-t)/'2029'!Tau_j)),Resal_s+(Salim-Resal_s)*(1-EXP((Tnet_s-t)/Tau_j)))*Salcycl</f>
        <v>5.2172701331448378E-2</v>
      </c>
      <c r="AD197" s="227">
        <f>(INDEX(Models!$BJ197:$BT197,,AH197)*(1-AF197)+INDEX(Models!$BJ197:$BT197,,AH197+1)*AF197-ERP_i)*AE197*Ramure*Pc/MaxiM</f>
        <v>4.1579523627146664E-4</v>
      </c>
      <c r="AE197" s="301">
        <f t="shared" si="65"/>
        <v>0.5</v>
      </c>
      <c r="AF197" s="173">
        <f t="shared" si="66"/>
        <v>0.34534247718311128</v>
      </c>
      <c r="AG197" s="801">
        <f t="shared" si="74"/>
        <v>4</v>
      </c>
      <c r="AH197" s="172">
        <f t="shared" si="67"/>
        <v>10</v>
      </c>
      <c r="AI197" s="221">
        <f t="shared" si="68"/>
        <v>4.3453424771831113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47667</v>
      </c>
      <c r="B198" s="406">
        <f>'2029'!Wh/'2029'!Env_an*'2030'!Env_an</f>
        <v>191.43316833126093</v>
      </c>
      <c r="C198" s="831"/>
      <c r="D198" s="388">
        <f t="shared" si="50"/>
        <v>200.12316615667174</v>
      </c>
      <c r="E198" s="380">
        <f t="shared" si="75"/>
        <v>202.86007931557904</v>
      </c>
      <c r="F198" s="380">
        <f t="shared" si="51"/>
        <v>202.86652326998649</v>
      </c>
      <c r="G198" s="110">
        <f t="shared" si="76"/>
        <v>0.8127646208222391</v>
      </c>
      <c r="H198" s="409" t="b">
        <f>Wh_hp&gt;='2029'!Maxi_hp</f>
        <v>0</v>
      </c>
      <c r="I198" s="385">
        <f>IF(H198,Wh_hp,'2029'!Maxi_hp)</f>
        <v>202.86793814339714</v>
      </c>
      <c r="J198" s="85">
        <f>IF(H198,An,'2029'!An_max)</f>
        <v>2029</v>
      </c>
      <c r="K198" s="193">
        <f t="shared" si="52"/>
        <v>47667</v>
      </c>
      <c r="L198" s="143">
        <f>IF(t&lt;Tvie,1-EXP((T0-t)*PertePVj)+'2029'!Pspv,1-EXP((T0-t)*PertePVj)+Pspv)</f>
        <v>4.3423247754373451E-2</v>
      </c>
      <c r="M198" s="835"/>
      <c r="N198" s="835"/>
      <c r="O198" s="48">
        <f>IF(t&lt;Tnet,'2029'!Resal+('2029'!Salim-'2029'!Resal)*(1-EXP(('2029'!Tnet-t)/('2029'!Tau_j))),Resal+(Salim-Resal)*(1-EXP((Tnet-t)/(Tau_j))))*Salcycl</f>
        <v>1.3491630133150093E-2</v>
      </c>
      <c r="P198" s="165">
        <f>(INDEX(Models!$BJ198:$BT198,,T198)*(1-R198)+INDEX(Models!$BJ198:$BT198,,T198+1)*R198-ERP_i)*Q198*Ramure*Pc/MaxiM</f>
        <v>4.3362476352523679E-5</v>
      </c>
      <c r="Q198" s="301">
        <f t="shared" si="53"/>
        <v>0.5</v>
      </c>
      <c r="R198" s="173">
        <f t="shared" si="54"/>
        <v>0.82454043657642995</v>
      </c>
      <c r="S198" s="801">
        <f t="shared" si="55"/>
        <v>0</v>
      </c>
      <c r="T198" s="172">
        <f t="shared" si="56"/>
        <v>6</v>
      </c>
      <c r="U198" s="247">
        <f t="shared" si="57"/>
        <v>0.82454043657642995</v>
      </c>
      <c r="V198" s="378">
        <f t="shared" si="58"/>
        <v>235.53061134772335</v>
      </c>
      <c r="W198" s="397">
        <f t="shared" si="59"/>
        <v>191.43316833126093</v>
      </c>
      <c r="X198" s="153">
        <f t="shared" si="60"/>
        <v>47667</v>
      </c>
      <c r="Y198" s="380">
        <f t="shared" si="61"/>
        <v>183.86632674741671</v>
      </c>
      <c r="Z198" s="380">
        <f t="shared" si="62"/>
        <v>192.21283218077218</v>
      </c>
      <c r="AA198" s="381">
        <f t="shared" si="63"/>
        <v>202.80303515728897</v>
      </c>
      <c r="AB198" s="193">
        <f t="shared" si="64"/>
        <v>47667</v>
      </c>
      <c r="AC198" s="119">
        <f>IF(OR(t&lt;Tnet,NoTnet),'2029'!Resal_s+('2029'!Salim-'2029'!Resal_s)*(1-EXP(('2029'!Tnet_s-t)/'2029'!Tau_j)),Resal_s+(Salim-Resal_s)*(1-EXP((Tnet_s-t)/Tau_j)))*Salcycl</f>
        <v>5.2219154256262869E-2</v>
      </c>
      <c r="AD198" s="227">
        <f>(INDEX(Models!$BJ198:$BT198,,AH198)*(1-AF198)+INDEX(Models!$BJ198:$BT198,,AH198+1)*AF198-ERP_i)*AE198*Ramure*Pc/MaxiM</f>
        <v>4.2722241832358784E-4</v>
      </c>
      <c r="AE198" s="301">
        <f t="shared" si="65"/>
        <v>0.5</v>
      </c>
      <c r="AF198" s="173">
        <f t="shared" si="66"/>
        <v>0.3495280029504082</v>
      </c>
      <c r="AG198" s="801">
        <f t="shared" si="74"/>
        <v>4</v>
      </c>
      <c r="AH198" s="172">
        <f t="shared" si="67"/>
        <v>10</v>
      </c>
      <c r="AI198" s="221">
        <f t="shared" si="68"/>
        <v>4.3495280029504082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47668</v>
      </c>
      <c r="B199" s="406">
        <f>'2029'!Wh/'2029'!Env_an*'2030'!Env_an</f>
        <v>186.74633897061258</v>
      </c>
      <c r="C199" s="831"/>
      <c r="D199" s="388">
        <f t="shared" si="50"/>
        <v>195.22625337460988</v>
      </c>
      <c r="E199" s="380">
        <f t="shared" si="75"/>
        <v>197.91222525293986</v>
      </c>
      <c r="F199" s="380">
        <f t="shared" si="51"/>
        <v>197.9184855311633</v>
      </c>
      <c r="G199" s="110">
        <f t="shared" si="76"/>
        <v>0.79365866726501111</v>
      </c>
      <c r="H199" s="409" t="b">
        <f>Wh_hp&gt;='2029'!Maxi_hp</f>
        <v>0</v>
      </c>
      <c r="I199" s="385">
        <f>IF(H199,Wh_hp,'2029'!Maxi_hp)</f>
        <v>197.92005110878949</v>
      </c>
      <c r="J199" s="85">
        <f>IF(H199,An,'2029'!An_max)</f>
        <v>2029</v>
      </c>
      <c r="K199" s="193">
        <f t="shared" si="52"/>
        <v>47668</v>
      </c>
      <c r="L199" s="143">
        <f>IF(t&lt;Tvie,1-EXP((T0-t)*PertePVj)+'2029'!Pspv,1-EXP((T0-t)*PertePVj)+Pspv)</f>
        <v>4.3436342486815049E-2</v>
      </c>
      <c r="M199" s="835"/>
      <c r="N199" s="835"/>
      <c r="O199" s="48">
        <f>IF(t&lt;Tnet,'2029'!Resal+('2029'!Salim-'2029'!Resal)*(1-EXP(('2029'!Tnet-t)/('2029'!Tau_j))),Resal+(Salim-Resal)*(1-EXP((Tnet-t)/(Tau_j))))*Salcycl</f>
        <v>1.3571530888994848E-2</v>
      </c>
      <c r="P199" s="165">
        <f>(INDEX(Models!$BJ199:$BT199,,T199)*(1-R199)+INDEX(Models!$BJ199:$BT199,,T199+1)*R199-ERP_i)*Q199*Ramure*Pc/MaxiM</f>
        <v>4.4850709593951455E-5</v>
      </c>
      <c r="Q199" s="301">
        <f t="shared" si="53"/>
        <v>0.5</v>
      </c>
      <c r="R199" s="173">
        <f t="shared" si="54"/>
        <v>0.82865091680038705</v>
      </c>
      <c r="S199" s="801">
        <f t="shared" si="55"/>
        <v>0</v>
      </c>
      <c r="T199" s="172">
        <f t="shared" si="56"/>
        <v>6</v>
      </c>
      <c r="U199" s="247">
        <f t="shared" si="57"/>
        <v>0.82865091680038705</v>
      </c>
      <c r="V199" s="378">
        <f t="shared" si="58"/>
        <v>235.29494200180847</v>
      </c>
      <c r="W199" s="397">
        <f t="shared" si="59"/>
        <v>186.74633897061258</v>
      </c>
      <c r="X199" s="153">
        <f t="shared" si="60"/>
        <v>47668</v>
      </c>
      <c r="Y199" s="380">
        <f t="shared" si="61"/>
        <v>179.37134519610493</v>
      </c>
      <c r="Z199" s="380">
        <f t="shared" si="62"/>
        <v>187.51637048643835</v>
      </c>
      <c r="AA199" s="381">
        <f t="shared" si="63"/>
        <v>197.85734995430445</v>
      </c>
      <c r="AB199" s="193">
        <f t="shared" si="64"/>
        <v>47668</v>
      </c>
      <c r="AC199" s="119">
        <f>IF(OR(t&lt;Tnet,NoTnet),'2029'!Resal_s+('2029'!Salim-'2029'!Resal_s)*(1-EXP(('2029'!Tnet_s-t)/'2029'!Tau_j)),Resal_s+(Salim-Resal_s)*(1-EXP((Tnet_s-t)/Tau_j)))*Salcycl</f>
        <v>5.2264823471326154E-2</v>
      </c>
      <c r="AD199" s="227">
        <f>(INDEX(Models!$BJ199:$BT199,,AH199)*(1-AF199)+INDEX(Models!$BJ199:$BT199,,AH199+1)*AF199-ERP_i)*AE199*Ramure*Pc/MaxiM</f>
        <v>4.3799554998797291E-4</v>
      </c>
      <c r="AE199" s="301">
        <f t="shared" si="65"/>
        <v>0.5</v>
      </c>
      <c r="AF199" s="173">
        <f t="shared" si="66"/>
        <v>0.35363848317436553</v>
      </c>
      <c r="AG199" s="801">
        <f t="shared" si="74"/>
        <v>4</v>
      </c>
      <c r="AH199" s="172">
        <f t="shared" si="67"/>
        <v>10</v>
      </c>
      <c r="AI199" s="221">
        <f t="shared" si="68"/>
        <v>4.3536384831743655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47669</v>
      </c>
      <c r="B200" s="406">
        <f>'2029'!Wh/'2029'!Env_an*'2030'!Env_an</f>
        <v>224.63502478634749</v>
      </c>
      <c r="C200" s="831"/>
      <c r="D200" s="388">
        <f t="shared" si="50"/>
        <v>234.83863110301806</v>
      </c>
      <c r="E200" s="380">
        <f t="shared" si="75"/>
        <v>238.0888260687089</v>
      </c>
      <c r="F200" s="380">
        <f t="shared" si="51"/>
        <v>238.09917505870243</v>
      </c>
      <c r="G200" s="110">
        <f t="shared" si="76"/>
        <v>0.95570684523657212</v>
      </c>
      <c r="H200" s="409" t="b">
        <f>Wh_hp&gt;='2029'!Maxi_hp</f>
        <v>0</v>
      </c>
      <c r="I200" s="385">
        <f>IF(H200,Wh_hp,'2029'!Maxi_hp)</f>
        <v>238.09959127534054</v>
      </c>
      <c r="J200" s="85">
        <f>IF(H200,An,'2029'!An_max)</f>
        <v>2029</v>
      </c>
      <c r="K200" s="193">
        <f t="shared" si="52"/>
        <v>47669</v>
      </c>
      <c r="L200" s="143">
        <f>IF(t&lt;Tvie,1-EXP((T0-t)*PertePVj)+'2029'!Pspv,1-EXP((T0-t)*PertePVj)+Pspv)</f>
        <v>4.3449437040000816E-2</v>
      </c>
      <c r="M200" s="835"/>
      <c r="N200" s="835"/>
      <c r="O200" s="48">
        <f>IF(t&lt;Tnet,'2029'!Resal+('2029'!Salim-'2029'!Resal)*(1-EXP(('2029'!Tnet-t)/('2029'!Tau_j))),Resal+(Salim-Resal)*(1-EXP((Tnet-t)/(Tau_j))))*Salcycl</f>
        <v>1.3651186489335179E-2</v>
      </c>
      <c r="P200" s="165">
        <f>(INDEX(Models!$BJ200:$BT200,,T200)*(1-R200)+INDEX(Models!$BJ200:$BT200,,T200+1)*R200-ERP_i)*Q200*Ramure*Pc/MaxiM</f>
        <v>4.6400914538278952E-5</v>
      </c>
      <c r="Q200" s="301">
        <f t="shared" si="53"/>
        <v>0.5</v>
      </c>
      <c r="R200" s="173">
        <f t="shared" si="54"/>
        <v>0.83268497516036089</v>
      </c>
      <c r="S200" s="801">
        <f t="shared" si="55"/>
        <v>0</v>
      </c>
      <c r="T200" s="172">
        <f t="shared" si="56"/>
        <v>6</v>
      </c>
      <c r="U200" s="247">
        <f t="shared" si="57"/>
        <v>0.83268497516036089</v>
      </c>
      <c r="V200" s="378">
        <f t="shared" si="58"/>
        <v>235.04526139672228</v>
      </c>
      <c r="W200" s="397">
        <f t="shared" si="59"/>
        <v>224.63502478634749</v>
      </c>
      <c r="X200" s="153">
        <f t="shared" si="60"/>
        <v>47669</v>
      </c>
      <c r="Y200" s="380">
        <f t="shared" si="61"/>
        <v>215.74955406062816</v>
      </c>
      <c r="Z200" s="380">
        <f t="shared" si="62"/>
        <v>225.54955526135666</v>
      </c>
      <c r="AA200" s="381">
        <f t="shared" si="63"/>
        <v>237.99923038854422</v>
      </c>
      <c r="AB200" s="193">
        <f t="shared" si="64"/>
        <v>47669</v>
      </c>
      <c r="AC200" s="119">
        <f>IF(OR(t&lt;Tnet,NoTnet),'2029'!Resal_s+('2029'!Salim-'2029'!Resal_s)*(1-EXP(('2029'!Tnet_s-t)/'2029'!Tau_j)),Resal_s+(Salim-Resal_s)*(1-EXP((Tnet_s-t)/Tau_j)))*Salcycl</f>
        <v>5.2309728509890255E-2</v>
      </c>
      <c r="AD200" s="227">
        <f>(INDEX(Models!$BJ200:$BT200,,AH200)*(1-AF200)+INDEX(Models!$BJ200:$BT200,,AH200+1)*AF200-ERP_i)*AE200*Ramure*Pc/MaxiM</f>
        <v>4.4811369046302132E-4</v>
      </c>
      <c r="AE200" s="301">
        <f t="shared" si="65"/>
        <v>0.5</v>
      </c>
      <c r="AF200" s="173">
        <f t="shared" si="66"/>
        <v>0.35767254153433914</v>
      </c>
      <c r="AG200" s="801">
        <f t="shared" si="74"/>
        <v>4</v>
      </c>
      <c r="AH200" s="172">
        <f t="shared" si="67"/>
        <v>10</v>
      </c>
      <c r="AI200" s="221">
        <f t="shared" si="68"/>
        <v>4.3576725415343391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47670</v>
      </c>
      <c r="B201" s="406">
        <f>'2029'!Wh/'2029'!Env_an*'2030'!Env_an</f>
        <v>178.31924504050542</v>
      </c>
      <c r="C201" s="831"/>
      <c r="D201" s="388">
        <f t="shared" si="50"/>
        <v>186.42159967250745</v>
      </c>
      <c r="E201" s="380">
        <f t="shared" si="75"/>
        <v>189.01691524591695</v>
      </c>
      <c r="F201" s="380">
        <f t="shared" si="51"/>
        <v>189.02287301208602</v>
      </c>
      <c r="G201" s="110">
        <f t="shared" si="76"/>
        <v>0.75950205484146671</v>
      </c>
      <c r="H201" s="409" t="b">
        <f>Wh_hp&gt;='2029'!Maxi_hp</f>
        <v>0</v>
      </c>
      <c r="I201" s="385">
        <f>IF(H201,Wh_hp,'2029'!Maxi_hp)</f>
        <v>189.02472060372321</v>
      </c>
      <c r="J201" s="85">
        <f>IF(H201,An,'2029'!An_max)</f>
        <v>2029</v>
      </c>
      <c r="K201" s="193">
        <f t="shared" si="52"/>
        <v>47670</v>
      </c>
      <c r="L201" s="143">
        <f>IF(t&lt;Tvie,1-EXP((T0-t)*PertePVj)+'2029'!Pspv,1-EXP((T0-t)*PertePVj)+Pspv)</f>
        <v>4.3462531413933192E-2</v>
      </c>
      <c r="M201" s="835"/>
      <c r="N201" s="835"/>
      <c r="O201" s="48">
        <f>IF(t&lt;Tnet,'2029'!Resal+('2029'!Salim-'2029'!Resal)*(1-EXP(('2029'!Tnet-t)/('2029'!Tau_j))),Resal+(Salim-Resal)*(1-EXP((Tnet-t)/(Tau_j))))*Salcycl</f>
        <v>1.3730599560536245E-2</v>
      </c>
      <c r="P201" s="165">
        <f>(INDEX(Models!$BJ201:$BT201,,T201)*(1-R201)+INDEX(Models!$BJ201:$BT201,,T201+1)*R201-ERP_i)*Q201*Ramure*Pc/MaxiM</f>
        <v>4.8013994127929543E-5</v>
      </c>
      <c r="Q201" s="301">
        <f t="shared" si="53"/>
        <v>0.5</v>
      </c>
      <c r="R201" s="173">
        <f t="shared" si="54"/>
        <v>0.83664141262148695</v>
      </c>
      <c r="S201" s="801">
        <f t="shared" si="55"/>
        <v>0</v>
      </c>
      <c r="T201" s="172">
        <f t="shared" si="56"/>
        <v>6</v>
      </c>
      <c r="U201" s="247">
        <f t="shared" si="57"/>
        <v>0.83664141262148695</v>
      </c>
      <c r="V201" s="378">
        <f t="shared" si="58"/>
        <v>234.78054126784349</v>
      </c>
      <c r="W201" s="397">
        <f t="shared" si="59"/>
        <v>178.31924504050542</v>
      </c>
      <c r="X201" s="153">
        <f t="shared" si="60"/>
        <v>47670</v>
      </c>
      <c r="Y201" s="380">
        <f t="shared" si="61"/>
        <v>171.29001967435212</v>
      </c>
      <c r="Z201" s="380">
        <f t="shared" si="62"/>
        <v>179.07298490622574</v>
      </c>
      <c r="AA201" s="381">
        <f t="shared" si="63"/>
        <v>188.96609510961011</v>
      </c>
      <c r="AB201" s="193">
        <f t="shared" si="64"/>
        <v>47670</v>
      </c>
      <c r="AC201" s="119">
        <f>IF(OR(t&lt;Tnet,NoTnet),'2029'!Resal_s+('2029'!Salim-'2029'!Resal_s)*(1-EXP(('2029'!Tnet_s-t)/'2029'!Tau_j)),Resal_s+(Salim-Resal_s)*(1-EXP((Tnet_s-t)/Tau_j)))*Salcycl</f>
        <v>5.2353890244945071E-2</v>
      </c>
      <c r="AD201" s="227">
        <f>(INDEX(Models!$BJ201:$BT201,,AH201)*(1-AF201)+INDEX(Models!$BJ201:$BT201,,AH201+1)*AF201-ERP_i)*AE201*Ramure*Pc/MaxiM</f>
        <v>4.5757651420102145E-4</v>
      </c>
      <c r="AE201" s="301">
        <f t="shared" si="65"/>
        <v>0.5</v>
      </c>
      <c r="AF201" s="173">
        <f t="shared" si="66"/>
        <v>0.36162897899546476</v>
      </c>
      <c r="AG201" s="801">
        <f t="shared" si="74"/>
        <v>4</v>
      </c>
      <c r="AH201" s="172">
        <f t="shared" si="67"/>
        <v>10</v>
      </c>
      <c r="AI201" s="221">
        <f t="shared" si="68"/>
        <v>4.3616289789954648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47671</v>
      </c>
      <c r="B202" s="406">
        <f>'2029'!Wh/'2029'!Env_an*'2030'!Env_an</f>
        <v>221.60227756655783</v>
      </c>
      <c r="C202" s="831"/>
      <c r="D202" s="388">
        <f t="shared" si="50"/>
        <v>231.67447009132235</v>
      </c>
      <c r="E202" s="380">
        <f t="shared" si="75"/>
        <v>234.91864326685129</v>
      </c>
      <c r="F202" s="380">
        <f t="shared" si="51"/>
        <v>234.92939988498017</v>
      </c>
      <c r="G202" s="110">
        <f t="shared" si="76"/>
        <v>0.94499635468644583</v>
      </c>
      <c r="H202" s="409" t="b">
        <f>Wh_hp&gt;='2029'!Maxi_hp</f>
        <v>0</v>
      </c>
      <c r="I202" s="385">
        <f>IF(H202,Wh_hp,'2029'!Maxi_hp)</f>
        <v>234.92994084873499</v>
      </c>
      <c r="J202" s="85">
        <f>IF(H202,An,'2029'!An_max)</f>
        <v>2029</v>
      </c>
      <c r="K202" s="193">
        <f t="shared" si="52"/>
        <v>47671</v>
      </c>
      <c r="L202" s="143">
        <f>IF(t&lt;Tvie,1-EXP((T0-t)*PertePVj)+'2029'!Pspv,1-EXP((T0-t)*PertePVj)+Pspv)</f>
        <v>4.3475625608614621E-2</v>
      </c>
      <c r="M202" s="835"/>
      <c r="N202" s="835"/>
      <c r="O202" s="48">
        <f>IF(t&lt;Tnet,'2029'!Resal+('2029'!Salim-'2029'!Resal)*(1-EXP(('2029'!Tnet-t)/('2029'!Tau_j))),Resal+(Salim-Resal)*(1-EXP((Tnet-t)/(Tau_j))))*Salcycl</f>
        <v>1.3809773164081237E-2</v>
      </c>
      <c r="P202" s="165">
        <f>(INDEX(Models!$BJ202:$BT202,,T202)*(1-R202)+INDEX(Models!$BJ202:$BT202,,T202+1)*R202-ERP_i)*Q202*Ramure*Pc/MaxiM</f>
        <v>4.9690878767105796E-5</v>
      </c>
      <c r="Q202" s="301">
        <f t="shared" si="53"/>
        <v>0.5</v>
      </c>
      <c r="R202" s="173">
        <f t="shared" si="54"/>
        <v>0.8405192043365266</v>
      </c>
      <c r="S202" s="801">
        <f t="shared" si="55"/>
        <v>0</v>
      </c>
      <c r="T202" s="172">
        <f t="shared" si="56"/>
        <v>6</v>
      </c>
      <c r="U202" s="247">
        <f t="shared" si="57"/>
        <v>0.8405192043365266</v>
      </c>
      <c r="V202" s="378">
        <f t="shared" si="58"/>
        <v>234.49975360284836</v>
      </c>
      <c r="W202" s="397">
        <f t="shared" si="59"/>
        <v>221.60227756655783</v>
      </c>
      <c r="X202" s="153">
        <f t="shared" si="60"/>
        <v>47671</v>
      </c>
      <c r="Y202" s="380">
        <f t="shared" si="61"/>
        <v>212.84968523332333</v>
      </c>
      <c r="Z202" s="380">
        <f t="shared" si="62"/>
        <v>222.52405786183414</v>
      </c>
      <c r="AA202" s="381">
        <f t="shared" si="63"/>
        <v>234.82844137111118</v>
      </c>
      <c r="AB202" s="193">
        <f t="shared" si="64"/>
        <v>47671</v>
      </c>
      <c r="AC202" s="119">
        <f>IF(OR(t&lt;Tnet,NoTnet),'2029'!Resal_s+('2029'!Salim-'2029'!Resal_s)*(1-EXP(('2029'!Tnet_s-t)/'2029'!Tau_j)),Resal_s+(Salim-Resal_s)*(1-EXP((Tnet_s-t)/Tau_j)))*Salcycl</f>
        <v>5.2397330738280581E-2</v>
      </c>
      <c r="AD202" s="227">
        <f>(INDEX(Models!$BJ202:$BT202,,AH202)*(1-AF202)+INDEX(Models!$BJ202:$BT202,,AH202+1)*AF202-ERP_i)*AE202*Ramure*Pc/MaxiM</f>
        <v>4.6638424949781523E-4</v>
      </c>
      <c r="AE202" s="301">
        <f t="shared" si="65"/>
        <v>0.5</v>
      </c>
      <c r="AF202" s="173">
        <f t="shared" si="66"/>
        <v>0.36550677071050508</v>
      </c>
      <c r="AG202" s="801">
        <f t="shared" si="74"/>
        <v>4</v>
      </c>
      <c r="AH202" s="172">
        <f t="shared" si="67"/>
        <v>10</v>
      </c>
      <c r="AI202" s="221">
        <f t="shared" si="68"/>
        <v>4.3655067707105051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47672</v>
      </c>
      <c r="B203" s="406">
        <f>'2029'!Wh/'2029'!Env_an*'2030'!Env_an</f>
        <v>235.00656762876173</v>
      </c>
      <c r="C203" s="831"/>
      <c r="D203" s="388">
        <f t="shared" si="50"/>
        <v>245.69137076605455</v>
      </c>
      <c r="E203" s="380">
        <f t="shared" si="75"/>
        <v>249.15176760225802</v>
      </c>
      <c r="F203" s="380">
        <f t="shared" si="51"/>
        <v>249.16458276776106</v>
      </c>
      <c r="G203" s="110">
        <f t="shared" si="76"/>
        <v>1.0034359116923774</v>
      </c>
      <c r="H203" s="409" t="b">
        <f>Wh_hp&gt;='2029'!Maxi_hp</f>
        <v>1</v>
      </c>
      <c r="I203" s="385">
        <f>IF(H203,Wh_hp,'2029'!Maxi_hp)</f>
        <v>249.16458276776106</v>
      </c>
      <c r="J203" s="85">
        <f>IF(H203,An,'2029'!An_max)</f>
        <v>2030</v>
      </c>
      <c r="K203" s="193">
        <f t="shared" si="52"/>
        <v>47672</v>
      </c>
      <c r="L203" s="143">
        <f>IF(t&lt;Tvie,1-EXP((T0-t)*PertePVj)+'2029'!Pspv,1-EXP((T0-t)*PertePVj)+Pspv)</f>
        <v>4.3488719624047434E-2</v>
      </c>
      <c r="M203" s="835"/>
      <c r="N203" s="835"/>
      <c r="O203" s="48">
        <f>IF(t&lt;Tnet,'2029'!Resal+('2029'!Salim-'2029'!Resal)*(1-EXP(('2029'!Tnet-t)/('2029'!Tau_j))),Resal+(Salim-Resal)*(1-EXP((Tnet-t)/(Tau_j))))*Salcycl</f>
        <v>1.3888710762540477E-2</v>
      </c>
      <c r="P203" s="165">
        <f>(INDEX(Models!$BJ203:$BT203,,T203)*(1-R203)+INDEX(Models!$BJ203:$BT203,,T203+1)*R203-ERP_i)*Q203*Ramure*Pc/MaxiM</f>
        <v>5.1432532507903005E-5</v>
      </c>
      <c r="Q203" s="301">
        <f t="shared" si="53"/>
        <v>0.5</v>
      </c>
      <c r="R203" s="173">
        <f t="shared" si="54"/>
        <v>0.84431749590212901</v>
      </c>
      <c r="S203" s="801">
        <f t="shared" si="55"/>
        <v>0</v>
      </c>
      <c r="T203" s="172">
        <f t="shared" si="56"/>
        <v>6</v>
      </c>
      <c r="U203" s="247">
        <f t="shared" si="57"/>
        <v>0.84431749590212901</v>
      </c>
      <c r="V203" s="378">
        <f t="shared" si="58"/>
        <v>234.20187068290562</v>
      </c>
      <c r="W203" s="397">
        <f t="shared" si="59"/>
        <v>235.00656762876173</v>
      </c>
      <c r="X203" s="153">
        <f t="shared" si="60"/>
        <v>47672</v>
      </c>
      <c r="Y203" s="380">
        <f t="shared" si="61"/>
        <v>225.72359266446841</v>
      </c>
      <c r="Z203" s="380">
        <f t="shared" si="62"/>
        <v>235.9863362779671</v>
      </c>
      <c r="AA203" s="381">
        <f t="shared" si="63"/>
        <v>249.04634480108282</v>
      </c>
      <c r="AB203" s="193">
        <f t="shared" si="64"/>
        <v>47672</v>
      </c>
      <c r="AC203" s="119">
        <f>IF(OR(t&lt;Tnet,NoTnet),'2029'!Resal_s+('2029'!Salim-'2029'!Resal_s)*(1-EXP(('2029'!Tnet_s-t)/'2029'!Tau_j)),Resal_s+(Salim-Resal_s)*(1-EXP((Tnet_s-t)/Tau_j)))*Salcycl</f>
        <v>5.2440073085782378E-2</v>
      </c>
      <c r="AD203" s="227">
        <f>(INDEX(Models!$BJ203:$BT203,,AH203)*(1-AF203)+INDEX(Models!$BJ203:$BT203,,AH203+1)*AF203-ERP_i)*AE203*Ramure*Pc/MaxiM</f>
        <v>4.7453761431434313E-4</v>
      </c>
      <c r="AE203" s="301">
        <f t="shared" si="65"/>
        <v>0.5</v>
      </c>
      <c r="AF203" s="173">
        <f t="shared" si="66"/>
        <v>0.36930506227610671</v>
      </c>
      <c r="AG203" s="801">
        <f t="shared" si="74"/>
        <v>4</v>
      </c>
      <c r="AH203" s="172">
        <f t="shared" si="67"/>
        <v>10</v>
      </c>
      <c r="AI203" s="221">
        <f t="shared" si="68"/>
        <v>4.3693050622761067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47673</v>
      </c>
      <c r="B204" s="406">
        <f>'2029'!Wh/'2029'!Env_an*'2030'!Env_an</f>
        <v>232.54636438782816</v>
      </c>
      <c r="C204" s="831"/>
      <c r="D204" s="388">
        <f t="shared" si="50"/>
        <v>243.12264012657403</v>
      </c>
      <c r="E204" s="380">
        <f t="shared" si="75"/>
        <v>246.56653757381744</v>
      </c>
      <c r="F204" s="380">
        <f t="shared" si="51"/>
        <v>246.57955805171085</v>
      </c>
      <c r="G204" s="110">
        <f t="shared" si="76"/>
        <v>0.99427241149883405</v>
      </c>
      <c r="H204" s="409" t="b">
        <f>Wh_hp&gt;='2029'!Maxi_hp</f>
        <v>0</v>
      </c>
      <c r="I204" s="385">
        <f>IF(H204,Wh_hp,'2029'!Maxi_hp)</f>
        <v>246.57962082377705</v>
      </c>
      <c r="J204" s="85">
        <f>IF(H204,An,'2029'!An_max)</f>
        <v>2029</v>
      </c>
      <c r="K204" s="193">
        <f t="shared" si="52"/>
        <v>47673</v>
      </c>
      <c r="L204" s="143">
        <f>IF(t&lt;Tvie,1-EXP((T0-t)*PertePVj)+'2029'!Pspv,1-EXP((T0-t)*PertePVj)+Pspv)</f>
        <v>4.3501813460234184E-2</v>
      </c>
      <c r="M204" s="835"/>
      <c r="N204" s="835"/>
      <c r="O204" s="48">
        <f>IF(t&lt;Tnet,'2029'!Resal+('2029'!Salim-'2029'!Resal)*(1-EXP(('2029'!Tnet-t)/('2029'!Tau_j))),Resal+(Salim-Resal)*(1-EXP((Tnet-t)/(Tau_j))))*Salcycl</f>
        <v>1.3967416183602638E-2</v>
      </c>
      <c r="P204" s="165">
        <f>(INDEX(Models!$BJ204:$BT204,,T204)*(1-R204)+INDEX(Models!$BJ204:$BT204,,T204+1)*R204-ERP_i)*Q204*Ramure*Pc/MaxiM</f>
        <v>5.323995942750257E-5</v>
      </c>
      <c r="Q204" s="301">
        <f t="shared" si="53"/>
        <v>0.5</v>
      </c>
      <c r="R204" s="173">
        <f t="shared" si="54"/>
        <v>0.84803559902758108</v>
      </c>
      <c r="S204" s="801">
        <f t="shared" si="55"/>
        <v>0</v>
      </c>
      <c r="T204" s="172">
        <f t="shared" si="56"/>
        <v>6</v>
      </c>
      <c r="U204" s="247">
        <f t="shared" si="57"/>
        <v>0.84803559902758108</v>
      </c>
      <c r="V204" s="378">
        <f t="shared" si="58"/>
        <v>233.88586507884625</v>
      </c>
      <c r="W204" s="397">
        <f t="shared" si="59"/>
        <v>232.54636438782816</v>
      </c>
      <c r="X204" s="153">
        <f t="shared" si="60"/>
        <v>47673</v>
      </c>
      <c r="Y204" s="380">
        <f t="shared" si="61"/>
        <v>223.36799294170132</v>
      </c>
      <c r="Z204" s="380">
        <f t="shared" si="62"/>
        <v>233.526833699245</v>
      </c>
      <c r="AA204" s="381">
        <f t="shared" si="63"/>
        <v>246.46166987271107</v>
      </c>
      <c r="AB204" s="193">
        <f t="shared" si="64"/>
        <v>47673</v>
      </c>
      <c r="AC204" s="119">
        <f>IF(OR(t&lt;Tnet,NoTnet),'2029'!Resal_s+('2029'!Salim-'2029'!Resal_s)*(1-EXP(('2029'!Tnet_s-t)/'2029'!Tau_j)),Resal_s+(Salim-Resal_s)*(1-EXP((Tnet_s-t)/Tau_j)))*Salcycl</f>
        <v>5.2482141260125653E-2</v>
      </c>
      <c r="AD204" s="227">
        <f>(INDEX(Models!$BJ204:$BT204,,AH204)*(1-AF204)+INDEX(Models!$BJ204:$BT204,,AH204+1)*AF204-ERP_i)*AE204*Ramure*Pc/MaxiM</f>
        <v>4.8203774994429952E-4</v>
      </c>
      <c r="AE204" s="301">
        <f t="shared" si="65"/>
        <v>0.5</v>
      </c>
      <c r="AF204" s="173">
        <f t="shared" si="66"/>
        <v>0.373023165401559</v>
      </c>
      <c r="AG204" s="801">
        <f t="shared" si="74"/>
        <v>4</v>
      </c>
      <c r="AH204" s="172">
        <f t="shared" si="67"/>
        <v>10</v>
      </c>
      <c r="AI204" s="221">
        <f t="shared" si="68"/>
        <v>4.373023165401559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47674</v>
      </c>
      <c r="B205" s="406">
        <f>'2029'!Wh/'2029'!Env_an*'2030'!Env_an</f>
        <v>230.67399032773454</v>
      </c>
      <c r="C205" s="831"/>
      <c r="D205" s="388">
        <f t="shared" si="50"/>
        <v>241.16841134710086</v>
      </c>
      <c r="E205" s="380">
        <f t="shared" si="75"/>
        <v>244.60409442726237</v>
      </c>
      <c r="F205" s="380">
        <f t="shared" si="51"/>
        <v>244.61733904150515</v>
      </c>
      <c r="G205" s="110">
        <f t="shared" si="76"/>
        <v>0.98768026652714735</v>
      </c>
      <c r="H205" s="409" t="b">
        <f>Wh_hp&gt;='2029'!Maxi_hp</f>
        <v>0</v>
      </c>
      <c r="I205" s="385">
        <f>IF(H205,Wh_hp,'2029'!Maxi_hp)</f>
        <v>244.61747709166897</v>
      </c>
      <c r="J205" s="85">
        <f>IF(H205,An,'2029'!An_max)</f>
        <v>2029</v>
      </c>
      <c r="K205" s="193">
        <f t="shared" si="52"/>
        <v>47674</v>
      </c>
      <c r="L205" s="143">
        <f>IF(t&lt;Tvie,1-EXP((T0-t)*PertePVj)+'2029'!Pspv,1-EXP((T0-t)*PertePVj)+Pspv)</f>
        <v>4.3514907117177315E-2</v>
      </c>
      <c r="M205" s="835"/>
      <c r="N205" s="835"/>
      <c r="O205" s="48">
        <f>IF(t&lt;Tnet,'2029'!Resal+('2029'!Salim-'2029'!Resal)*(1-EXP(('2029'!Tnet-t)/('2029'!Tau_j))),Resal+(Salim-Resal)*(1-EXP((Tnet-t)/(Tau_j))))*Salcycl</f>
        <v>1.4045893582469021E-2</v>
      </c>
      <c r="P205" s="165">
        <f>(INDEX(Models!$BJ205:$BT205,,T205)*(1-R205)+INDEX(Models!$BJ205:$BT205,,T205+1)*R205-ERP_i)*Q205*Ramure*Pc/MaxiM</f>
        <v>5.5114129077209216E-5</v>
      </c>
      <c r="Q205" s="301">
        <f t="shared" si="53"/>
        <v>0.5</v>
      </c>
      <c r="R205" s="173">
        <f t="shared" si="54"/>
        <v>0.8516729866754098</v>
      </c>
      <c r="S205" s="801">
        <f t="shared" si="55"/>
        <v>0</v>
      </c>
      <c r="T205" s="172">
        <f t="shared" si="56"/>
        <v>6</v>
      </c>
      <c r="U205" s="247">
        <f t="shared" si="57"/>
        <v>0.8516729866754098</v>
      </c>
      <c r="V205" s="378">
        <f t="shared" si="58"/>
        <v>233.55105331118699</v>
      </c>
      <c r="W205" s="397">
        <f t="shared" si="59"/>
        <v>230.67399032773454</v>
      </c>
      <c r="X205" s="153">
        <f t="shared" si="60"/>
        <v>47674</v>
      </c>
      <c r="Y205" s="380">
        <f t="shared" si="61"/>
        <v>221.57728116200838</v>
      </c>
      <c r="Z205" s="380">
        <f t="shared" si="62"/>
        <v>231.65785103265947</v>
      </c>
      <c r="AA205" s="381">
        <f t="shared" si="63"/>
        <v>244.49985375988194</v>
      </c>
      <c r="AB205" s="193">
        <f t="shared" si="64"/>
        <v>47674</v>
      </c>
      <c r="AC205" s="119">
        <f>IF(OR(t&lt;Tnet,NoTnet),'2029'!Resal_s+('2029'!Salim-'2029'!Resal_s)*(1-EXP(('2029'!Tnet_s-t)/'2029'!Tau_j)),Resal_s+(Salim-Resal_s)*(1-EXP((Tnet_s-t)/Tau_j)))*Salcycl</f>
        <v>5.2523559952041325E-2</v>
      </c>
      <c r="AD205" s="227">
        <f>(INDEX(Models!$BJ205:$BT205,,AH205)*(1-AF205)+INDEX(Models!$BJ205:$BT205,,AH205+1)*AF205-ERP_i)*AE205*Ramure*Pc/MaxiM</f>
        <v>4.8888543353191934E-4</v>
      </c>
      <c r="AE205" s="301">
        <f t="shared" si="65"/>
        <v>0.5</v>
      </c>
      <c r="AF205" s="173">
        <f t="shared" si="66"/>
        <v>0.37666055304938784</v>
      </c>
      <c r="AG205" s="801">
        <f t="shared" si="74"/>
        <v>4</v>
      </c>
      <c r="AH205" s="172">
        <f t="shared" si="67"/>
        <v>10</v>
      </c>
      <c r="AI205" s="221">
        <f t="shared" si="68"/>
        <v>4.3766605530493878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47675</v>
      </c>
      <c r="B206" s="406">
        <f>'2029'!Wh/'2029'!Env_an*'2030'!Env_an</f>
        <v>224.42407031342373</v>
      </c>
      <c r="C206" s="831"/>
      <c r="D206" s="388">
        <f t="shared" si="50"/>
        <v>234.63736570752164</v>
      </c>
      <c r="E206" s="380">
        <f t="shared" si="75"/>
        <v>237.99889721349834</v>
      </c>
      <c r="F206" s="380">
        <f t="shared" si="51"/>
        <v>238.0117515301462</v>
      </c>
      <c r="G206" s="110">
        <f t="shared" si="76"/>
        <v>0.96237216521407198</v>
      </c>
      <c r="H206" s="409" t="b">
        <f>Wh_hp&gt;='2029'!Maxi_hp</f>
        <v>0</v>
      </c>
      <c r="I206" s="385">
        <f>IF(H206,Wh_hp,'2029'!Maxi_hp)</f>
        <v>238.01217455982328</v>
      </c>
      <c r="J206" s="85">
        <f>IF(H206,An,'2029'!An_max)</f>
        <v>2029</v>
      </c>
      <c r="K206" s="193">
        <f t="shared" si="52"/>
        <v>47675</v>
      </c>
      <c r="L206" s="143">
        <f>IF(t&lt;Tvie,1-EXP((T0-t)*PertePVj)+'2029'!Pspv,1-EXP((T0-t)*PertePVj)+Pspv)</f>
        <v>4.3528000594879268E-2</v>
      </c>
      <c r="M206" s="835"/>
      <c r="N206" s="835"/>
      <c r="O206" s="48">
        <f>IF(t&lt;Tnet,'2029'!Resal+('2029'!Salim-'2029'!Resal)*(1-EXP(('2029'!Tnet-t)/('2029'!Tau_j))),Resal+(Salim-Resal)*(1-EXP((Tnet-t)/(Tau_j))))*Salcycl</f>
        <v>1.4124147402923528E-2</v>
      </c>
      <c r="P206" s="165">
        <f>(INDEX(Models!$BJ206:$BT206,,T206)*(1-R206)+INDEX(Models!$BJ206:$BT206,,T206+1)*R206-ERP_i)*Q206*Ramure*Pc/MaxiM</f>
        <v>5.7074829647936386E-5</v>
      </c>
      <c r="Q206" s="301">
        <f t="shared" si="53"/>
        <v>0.5</v>
      </c>
      <c r="R206" s="173">
        <f t="shared" si="54"/>
        <v>0.85522928773377416</v>
      </c>
      <c r="S206" s="801">
        <f t="shared" si="55"/>
        <v>0</v>
      </c>
      <c r="T206" s="172">
        <f t="shared" si="56"/>
        <v>6</v>
      </c>
      <c r="U206" s="247">
        <f t="shared" si="57"/>
        <v>0.85522928773377416</v>
      </c>
      <c r="V206" s="378">
        <f t="shared" si="58"/>
        <v>233.19812221145409</v>
      </c>
      <c r="W206" s="397">
        <f t="shared" si="59"/>
        <v>224.42407031342373</v>
      </c>
      <c r="X206" s="153">
        <f t="shared" si="60"/>
        <v>47675</v>
      </c>
      <c r="Y206" s="380">
        <f t="shared" si="61"/>
        <v>215.58415950981487</v>
      </c>
      <c r="Z206" s="380">
        <f t="shared" si="62"/>
        <v>225.39516017604046</v>
      </c>
      <c r="AA206" s="381">
        <f t="shared" si="63"/>
        <v>237.9002323012607</v>
      </c>
      <c r="AB206" s="193">
        <f t="shared" si="64"/>
        <v>47675</v>
      </c>
      <c r="AC206" s="119">
        <f>IF(OR(t&lt;Tnet,NoTnet),'2029'!Resal_s+('2029'!Salim-'2029'!Resal_s)*(1-EXP(('2029'!Tnet_s-t)/'2029'!Tau_j)),Resal_s+(Salim-Resal_s)*(1-EXP((Tnet_s-t)/Tau_j)))*Salcycl</f>
        <v>5.2564354411325946E-2</v>
      </c>
      <c r="AD206" s="227">
        <f>(INDEX(Models!$BJ206:$BT206,,AH206)*(1-AF206)+INDEX(Models!$BJ206:$BT206,,AH206+1)*AF206-ERP_i)*AE206*Ramure*Pc/MaxiM</f>
        <v>4.9515981016125818E-4</v>
      </c>
      <c r="AE206" s="301">
        <f t="shared" si="65"/>
        <v>0.5</v>
      </c>
      <c r="AF206" s="173">
        <f t="shared" si="66"/>
        <v>0.38021685410775241</v>
      </c>
      <c r="AG206" s="801">
        <f t="shared" si="74"/>
        <v>4</v>
      </c>
      <c r="AH206" s="172">
        <f t="shared" si="67"/>
        <v>10</v>
      </c>
      <c r="AI206" s="221">
        <f t="shared" si="68"/>
        <v>4.3802168541077524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47676</v>
      </c>
      <c r="B207" s="406">
        <f>'2029'!Wh/'2029'!Env_an*'2030'!Env_an</f>
        <v>221.7898619546134</v>
      </c>
      <c r="C207" s="831"/>
      <c r="D207" s="388">
        <f t="shared" ref="D207:D270" si="77">Wh/(1-Ppv)</f>
        <v>231.88645172161844</v>
      </c>
      <c r="E207" s="380">
        <f t="shared" si="75"/>
        <v>235.22719118149229</v>
      </c>
      <c r="F207" s="380">
        <f t="shared" ref="F207:F270" si="78">Wh_sa/(1-Pvg*MEDIAN((-Sdif+Wh/Env_an)/Csdif,0,1))</f>
        <v>235.24015124740765</v>
      </c>
      <c r="G207" s="110">
        <f t="shared" si="76"/>
        <v>0.95258674570592117</v>
      </c>
      <c r="H207" s="409" t="b">
        <f>Wh_hp&gt;='2029'!Maxi_hp</f>
        <v>0</v>
      </c>
      <c r="I207" s="385">
        <f>IF(H207,Wh_hp,'2029'!Maxi_hp)</f>
        <v>235.24069445483727</v>
      </c>
      <c r="J207" s="85">
        <f>IF(H207,An,'2029'!An_max)</f>
        <v>2029</v>
      </c>
      <c r="K207" s="193">
        <f t="shared" ref="K207:K270" si="79">t</f>
        <v>47676</v>
      </c>
      <c r="L207" s="143">
        <f>IF(t&lt;Tvie,1-EXP((T0-t)*PertePVj)+'2029'!Pspv,1-EXP((T0-t)*PertePVj)+Pspv)</f>
        <v>4.3541093893342597E-2</v>
      </c>
      <c r="M207" s="835"/>
      <c r="N207" s="835"/>
      <c r="O207" s="48">
        <f>IF(t&lt;Tnet,'2029'!Resal+('2029'!Salim-'2029'!Resal)*(1-EXP(('2029'!Tnet-t)/('2029'!Tau_j))),Resal+(Salim-Resal)*(1-EXP((Tnet-t)/(Tau_j))))*Salcycl</f>
        <v>1.4202182337399383E-2</v>
      </c>
      <c r="P207" s="165">
        <f>(INDEX(Models!$BJ207:$BT207,,T207)*(1-R207)+INDEX(Models!$BJ207:$BT207,,T207+1)*R207-ERP_i)*Q207*Ramure*Pc/MaxiM</f>
        <v>5.909530985737518E-5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0.85870428128049237</v>
      </c>
      <c r="S207" s="801">
        <f t="shared" ref="S207:S270" si="82">INDEX(Echel_vg,T207)</f>
        <v>0</v>
      </c>
      <c r="T207" s="172">
        <f t="shared" ref="T207:T270" si="83">MIN(MATCH(Hp_vg,Echel_vg),10)</f>
        <v>6</v>
      </c>
      <c r="U207" s="247">
        <f t="shared" ref="U207:U270" si="84">IF(OR(t&lt;Ttai,Notai),Hdd+PousH*Croivg,Hdtf+PousH*(Croivg-Croi_tai))</f>
        <v>0.85870428128049237</v>
      </c>
      <c r="V207" s="378">
        <f t="shared" ref="V207:V270" si="85">MaxiM*(1-Ppv)*(1-Pvg)*(1-Psa)</f>
        <v>232.82811273107458</v>
      </c>
      <c r="W207" s="397">
        <f t="shared" ref="W207:W270" si="86">Wh*(A207&gt;Tmaj)</f>
        <v>221.7898619546134</v>
      </c>
      <c r="X207" s="153">
        <f t="shared" ref="X207:X270" si="87">t</f>
        <v>47676</v>
      </c>
      <c r="Y207" s="380">
        <f t="shared" ref="Y207:Y270" si="88">Wh_pvt_s*(1-Ppv)</f>
        <v>213.06214532854111</v>
      </c>
      <c r="Z207" s="380">
        <f t="shared" ref="Z207:Z270" si="89">Wh_sa_s*(1-Psa_s)</f>
        <v>222.76142128868625</v>
      </c>
      <c r="AA207" s="381">
        <f t="shared" ref="AA207:AA270" si="90">Wh_hp*(1-Pvg_s*MEDIAN((-Sdif+Wh/Env_an)/Csdif,0,1))</f>
        <v>235.13034747694971</v>
      </c>
      <c r="AB207" s="193">
        <f t="shared" ref="AB207:AB270" si="91">t</f>
        <v>47676</v>
      </c>
      <c r="AC207" s="119">
        <f>IF(OR(t&lt;Tnet,NoTnet),'2029'!Resal_s+('2029'!Salim-'2029'!Resal_s)*(1-EXP(('2029'!Tnet_s-t)/'2029'!Tau_j)),Resal_s+(Salim-Resal_s)*(1-EXP((Tnet_s-t)/Tau_j)))*Salcycl</f>
        <v>5.2604550288754229E-2</v>
      </c>
      <c r="AD207" s="227">
        <f>(INDEX(Models!$BJ207:$BT207,,AH207)*(1-AF207)+INDEX(Models!$BJ207:$BT207,,AH207+1)*AF207-ERP_i)*AE207*Ramure*Pc/MaxiM</f>
        <v>5.0068324351904285E-4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0.38369184765447084</v>
      </c>
      <c r="AG207" s="801">
        <f t="shared" si="74"/>
        <v>4</v>
      </c>
      <c r="AH207" s="172">
        <f t="shared" ref="AH207:AH270" si="94">MIN(MATCH(Hp_vg_s,Echel_vg),10)</f>
        <v>10</v>
      </c>
      <c r="AI207" s="221">
        <f t="shared" ref="AI207:AI270" si="95">IF(OR(t&lt;Ttai,Notai),Hdd_s+PousH*Croivg,Hdtai_s+PousH*(Croivg-Croi_tai))</f>
        <v>4.3836918476544708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47677</v>
      </c>
      <c r="B208" s="406">
        <f>'2029'!Wh/'2029'!Env_an*'2030'!Env_an</f>
        <v>221.91619616072882</v>
      </c>
      <c r="C208" s="831"/>
      <c r="D208" s="388">
        <f t="shared" si="77"/>
        <v>232.02171325062324</v>
      </c>
      <c r="E208" s="380">
        <f t="shared" si="75"/>
        <v>235.38298302172888</v>
      </c>
      <c r="F208" s="380">
        <f t="shared" si="78"/>
        <v>235.39645204083735</v>
      </c>
      <c r="G208" s="110">
        <f t="shared" si="76"/>
        <v>0.95471240793121781</v>
      </c>
      <c r="H208" s="409" t="b">
        <f>Wh_hp&gt;='2029'!Maxi_hp</f>
        <v>0</v>
      </c>
      <c r="I208" s="385">
        <f>IF(H208,Wh_hp,'2029'!Maxi_hp)</f>
        <v>235.39698733659677</v>
      </c>
      <c r="J208" s="85">
        <f>IF(H208,An,'2029'!An_max)</f>
        <v>2029</v>
      </c>
      <c r="K208" s="193">
        <f t="shared" si="79"/>
        <v>47677</v>
      </c>
      <c r="L208" s="143">
        <f>IF(t&lt;Tvie,1-EXP((T0-t)*PertePVj)+'2029'!Pspv,1-EXP((T0-t)*PertePVj)+Pspv)</f>
        <v>4.3554187012569523E-2</v>
      </c>
      <c r="M208" s="835"/>
      <c r="N208" s="835"/>
      <c r="O208" s="48">
        <f>IF(t&lt;Tnet,'2029'!Resal+('2029'!Salim-'2029'!Resal)*(1-EXP(('2029'!Tnet-t)/('2029'!Tau_j))),Resal+(Salim-Resal)*(1-EXP((Tnet-t)/(Tau_j))))*Salcycl</f>
        <v>1.4280003286369053E-2</v>
      </c>
      <c r="P208" s="165">
        <f>(INDEX(Models!$BJ208:$BT208,,T208)*(1-R208)+INDEX(Models!$BJ208:$BT208,,T208+1)*R208-ERP_i)*Q208*Ramure*Pc/MaxiM</f>
        <v>6.1175991697222615E-5</v>
      </c>
      <c r="Q208" s="301">
        <f t="shared" si="80"/>
        <v>0.5</v>
      </c>
      <c r="R208" s="173">
        <f t="shared" si="81"/>
        <v>0.8620978904978378</v>
      </c>
      <c r="S208" s="801">
        <f t="shared" si="82"/>
        <v>0</v>
      </c>
      <c r="T208" s="172">
        <f t="shared" si="83"/>
        <v>6</v>
      </c>
      <c r="U208" s="247">
        <f t="shared" si="84"/>
        <v>0.8620978904978378</v>
      </c>
      <c r="V208" s="378">
        <f t="shared" si="85"/>
        <v>232.44205901522932</v>
      </c>
      <c r="W208" s="397">
        <f t="shared" si="86"/>
        <v>221.91619616072882</v>
      </c>
      <c r="X208" s="153">
        <f t="shared" si="87"/>
        <v>47677</v>
      </c>
      <c r="Y208" s="380">
        <f t="shared" si="88"/>
        <v>213.19059971682944</v>
      </c>
      <c r="Z208" s="380">
        <f t="shared" si="89"/>
        <v>222.89877463202527</v>
      </c>
      <c r="AA208" s="381">
        <f t="shared" si="90"/>
        <v>235.28516782424262</v>
      </c>
      <c r="AB208" s="193">
        <f t="shared" si="91"/>
        <v>47677</v>
      </c>
      <c r="AC208" s="119">
        <f>IF(OR(t&lt;Tnet,NoTnet),'2029'!Resal_s+('2029'!Salim-'2029'!Resal_s)*(1-EXP(('2029'!Tnet_s-t)/'2029'!Tau_j)),Resal_s+(Salim-Resal_s)*(1-EXP((Tnet_s-t)/Tau_j)))*Salcycl</f>
        <v>5.2644173480029838E-2</v>
      </c>
      <c r="AD208" s="227">
        <f>(INDEX(Models!$BJ208:$BT208,,AH208)*(1-AF208)+INDEX(Models!$BJ208:$BT208,,AH208+1)*AF208-ERP_i)*AE208*Ramure*Pc/MaxiM</f>
        <v>5.0545049016643365E-4</v>
      </c>
      <c r="AE208" s="301">
        <f t="shared" si="92"/>
        <v>0.5</v>
      </c>
      <c r="AF208" s="173">
        <f t="shared" si="93"/>
        <v>0.38708545687181584</v>
      </c>
      <c r="AG208" s="801">
        <f t="shared" ref="AG208:AG271" si="99">INDEX(Echel_vg,AH208)</f>
        <v>4</v>
      </c>
      <c r="AH208" s="172">
        <f t="shared" si="94"/>
        <v>10</v>
      </c>
      <c r="AI208" s="221">
        <f t="shared" si="95"/>
        <v>4.3870854568718158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47678</v>
      </c>
      <c r="B209" s="406">
        <f>'2029'!Wh/'2029'!Env_an*'2030'!Env_an</f>
        <v>219.51544634521849</v>
      </c>
      <c r="C209" s="831"/>
      <c r="D209" s="388">
        <f t="shared" si="77"/>
        <v>229.51478106513434</v>
      </c>
      <c r="E209" s="380">
        <f t="shared" si="75"/>
        <v>232.85806762362424</v>
      </c>
      <c r="F209" s="380">
        <f t="shared" si="78"/>
        <v>232.87167539342187</v>
      </c>
      <c r="G209" s="110">
        <f t="shared" si="76"/>
        <v>0.94601548605300179</v>
      </c>
      <c r="H209" s="409" t="b">
        <f>Wh_hp&gt;='2029'!Maxi_hp</f>
        <v>0</v>
      </c>
      <c r="I209" s="385">
        <f>IF(H209,Wh_hp,'2029'!Maxi_hp)</f>
        <v>232.87232615690147</v>
      </c>
      <c r="J209" s="85">
        <f>IF(H209,An,'2029'!An_max)</f>
        <v>2029</v>
      </c>
      <c r="K209" s="193">
        <f t="shared" si="79"/>
        <v>47678</v>
      </c>
      <c r="L209" s="143">
        <f>IF(t&lt;Tvie,1-EXP((T0-t)*PertePVj)+'2029'!Pspv,1-EXP((T0-t)*PertePVj)+Pspv)</f>
        <v>4.356727995256271E-2</v>
      </c>
      <c r="M209" s="835"/>
      <c r="N209" s="835"/>
      <c r="O209" s="48">
        <f>IF(t&lt;Tnet,'2029'!Resal+('2029'!Salim-'2029'!Resal)*(1-EXP(('2029'!Tnet-t)/('2029'!Tau_j))),Resal+(Salim-Resal)*(1-EXP((Tnet-t)/(Tau_j))))*Salcycl</f>
        <v>1.4357615317386265E-2</v>
      </c>
      <c r="P209" s="165">
        <f>(INDEX(Models!$BJ209:$BT209,,T209)*(1-R209)+INDEX(Models!$BJ209:$BT209,,T209+1)*R209-ERP_i)*Q209*Ramure*Pc/MaxiM</f>
        <v>6.3317286072749735E-5</v>
      </c>
      <c r="Q209" s="301">
        <f t="shared" si="80"/>
        <v>0.5</v>
      </c>
      <c r="R209" s="173">
        <f t="shared" si="81"/>
        <v>0.86541017629597072</v>
      </c>
      <c r="S209" s="801">
        <f t="shared" si="82"/>
        <v>0</v>
      </c>
      <c r="T209" s="172">
        <f t="shared" si="83"/>
        <v>6</v>
      </c>
      <c r="U209" s="247">
        <f t="shared" si="84"/>
        <v>0.86541017629597072</v>
      </c>
      <c r="V209" s="378">
        <f t="shared" si="85"/>
        <v>232.04099478292127</v>
      </c>
      <c r="W209" s="397">
        <f t="shared" si="86"/>
        <v>219.51544634521849</v>
      </c>
      <c r="X209" s="153">
        <f t="shared" si="87"/>
        <v>47678</v>
      </c>
      <c r="Y209" s="380">
        <f t="shared" si="88"/>
        <v>210.89295345370667</v>
      </c>
      <c r="Z209" s="380">
        <f t="shared" si="89"/>
        <v>220.49951766941513</v>
      </c>
      <c r="AA209" s="381">
        <f t="shared" si="90"/>
        <v>232.76218610417442</v>
      </c>
      <c r="AB209" s="193">
        <f t="shared" si="91"/>
        <v>47678</v>
      </c>
      <c r="AC209" s="119">
        <f>IF(OR(t&lt;Tnet,NoTnet),'2029'!Resal_s+('2029'!Salim-'2029'!Resal_s)*(1-EXP(('2029'!Tnet_s-t)/'2029'!Tau_j)),Resal_s+(Salim-Resal_s)*(1-EXP((Tnet_s-t)/Tau_j)))*Salcycl</f>
        <v>5.2683249972875969E-2</v>
      </c>
      <c r="AD209" s="227">
        <f>(INDEX(Models!$BJ209:$BT209,,AH209)*(1-AF209)+INDEX(Models!$BJ209:$BT209,,AH209+1)*AF209-ERP_i)*AE209*Ramure*Pc/MaxiM</f>
        <v>5.0945634385891263E-4</v>
      </c>
      <c r="AE209" s="301">
        <f t="shared" si="92"/>
        <v>0.5</v>
      </c>
      <c r="AF209" s="173">
        <f t="shared" si="93"/>
        <v>0.39039774266994876</v>
      </c>
      <c r="AG209" s="801">
        <f t="shared" si="99"/>
        <v>4</v>
      </c>
      <c r="AH209" s="172">
        <f t="shared" si="94"/>
        <v>10</v>
      </c>
      <c r="AI209" s="221">
        <f t="shared" si="95"/>
        <v>4.3903977426699488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47679</v>
      </c>
      <c r="B210" s="406">
        <f>'2029'!Wh/'2029'!Env_an*'2030'!Env_an</f>
        <v>210.56294268896741</v>
      </c>
      <c r="C210" s="831"/>
      <c r="D210" s="388">
        <f t="shared" si="77"/>
        <v>220.1574880749009</v>
      </c>
      <c r="E210" s="380">
        <f t="shared" si="75"/>
        <v>223.38201270550556</v>
      </c>
      <c r="F210" s="380">
        <f t="shared" si="78"/>
        <v>223.39474801270399</v>
      </c>
      <c r="G210" s="110">
        <f t="shared" si="76"/>
        <v>0.90905681064153709</v>
      </c>
      <c r="H210" s="409" t="b">
        <f>Wh_hp&gt;='2029'!Maxi_hp</f>
        <v>0</v>
      </c>
      <c r="I210" s="385">
        <f>IF(H210,Wh_hp,'2029'!Maxi_hp)</f>
        <v>223.395832088715</v>
      </c>
      <c r="J210" s="85">
        <f>IF(H210,An,'2029'!An_max)</f>
        <v>2029</v>
      </c>
      <c r="K210" s="193">
        <f t="shared" si="79"/>
        <v>47679</v>
      </c>
      <c r="L210" s="143">
        <f>IF(t&lt;Tvie,1-EXP((T0-t)*PertePVj)+'2029'!Pspv,1-EXP((T0-t)*PertePVj)+Pspv)</f>
        <v>4.35803727133246E-2</v>
      </c>
      <c r="M210" s="835"/>
      <c r="N210" s="835"/>
      <c r="O210" s="48">
        <f>IF(t&lt;Tnet,'2029'!Resal+('2029'!Salim-'2029'!Resal)*(1-EXP(('2029'!Tnet-t)/('2029'!Tau_j))),Resal+(Salim-Resal)*(1-EXP((Tnet-t)/(Tau_j))))*Salcycl</f>
        <v>1.4435023624107493E-2</v>
      </c>
      <c r="P210" s="165">
        <f>(INDEX(Models!$BJ210:$BT210,,T210)*(1-R210)+INDEX(Models!$BJ210:$BT210,,T210+1)*R210-ERP_i)*Q210*Ramure*Pc/MaxiM</f>
        <v>6.5519592124153983E-5</v>
      </c>
      <c r="Q210" s="301">
        <f t="shared" si="80"/>
        <v>0.5</v>
      </c>
      <c r="R210" s="173">
        <f t="shared" si="81"/>
        <v>0.86864133070112304</v>
      </c>
      <c r="S210" s="801">
        <f t="shared" si="82"/>
        <v>0</v>
      </c>
      <c r="T210" s="172">
        <f t="shared" si="83"/>
        <v>6</v>
      </c>
      <c r="U210" s="247">
        <f t="shared" si="84"/>
        <v>0.86864133070112304</v>
      </c>
      <c r="V210" s="378">
        <f t="shared" si="85"/>
        <v>231.62595331154182</v>
      </c>
      <c r="W210" s="397">
        <f t="shared" si="86"/>
        <v>210.56294268896741</v>
      </c>
      <c r="X210" s="153">
        <f t="shared" si="87"/>
        <v>47679</v>
      </c>
      <c r="Y210" s="380">
        <f t="shared" si="88"/>
        <v>202.30434021805081</v>
      </c>
      <c r="Z210" s="380">
        <f t="shared" si="89"/>
        <v>211.52257277695171</v>
      </c>
      <c r="AA210" s="381">
        <f t="shared" si="90"/>
        <v>223.29509329926464</v>
      </c>
      <c r="AB210" s="193">
        <f t="shared" si="91"/>
        <v>47679</v>
      </c>
      <c r="AC210" s="119">
        <f>IF(OR(t&lt;Tnet,NoTnet),'2029'!Resal_s+('2029'!Salim-'2029'!Resal_s)*(1-EXP(('2029'!Tnet_s-t)/'2029'!Tau_j)),Resal_s+(Salim-Resal_s)*(1-EXP((Tnet_s-t)/Tau_j)))*Salcycl</f>
        <v>5.2721805698323798E-2</v>
      </c>
      <c r="AD210" s="227">
        <f>(INDEX(Models!$BJ210:$BT210,,AH210)*(1-AF210)+INDEX(Models!$BJ210:$BT210,,AH210+1)*AF210-ERP_i)*AE210*Ramure*Pc/MaxiM</f>
        <v>5.126956166868179E-4</v>
      </c>
      <c r="AE210" s="301">
        <f t="shared" si="92"/>
        <v>0.5</v>
      </c>
      <c r="AF210" s="173">
        <f t="shared" si="93"/>
        <v>0.39362889707510096</v>
      </c>
      <c r="AG210" s="801">
        <f t="shared" si="99"/>
        <v>4</v>
      </c>
      <c r="AH210" s="172">
        <f t="shared" si="94"/>
        <v>10</v>
      </c>
      <c r="AI210" s="221">
        <f t="shared" si="95"/>
        <v>4.393628897075101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47680</v>
      </c>
      <c r="B211" s="406">
        <f>'2029'!Wh/'2029'!Env_an*'2030'!Env_an</f>
        <v>216.10933748581027</v>
      </c>
      <c r="C211" s="831"/>
      <c r="D211" s="388">
        <f t="shared" si="77"/>
        <v>225.95970400017833</v>
      </c>
      <c r="E211" s="380">
        <f t="shared" si="75"/>
        <v>229.28717298986419</v>
      </c>
      <c r="F211" s="380">
        <f t="shared" si="78"/>
        <v>229.30126669043233</v>
      </c>
      <c r="G211" s="110">
        <f t="shared" si="76"/>
        <v>0.93473127823135282</v>
      </c>
      <c r="H211" s="409" t="b">
        <f>Wh_hp&gt;='2029'!Maxi_hp</f>
        <v>0</v>
      </c>
      <c r="I211" s="385">
        <f>IF(H211,Wh_hp,'2029'!Maxi_hp)</f>
        <v>229.3020897974196</v>
      </c>
      <c r="J211" s="85">
        <f>IF(H211,An,'2029'!An_max)</f>
        <v>2029</v>
      </c>
      <c r="K211" s="193">
        <f t="shared" si="79"/>
        <v>47680</v>
      </c>
      <c r="L211" s="143">
        <f>IF(t&lt;Tvie,1-EXP((T0-t)*PertePVj)+'2029'!Pspv,1-EXP((T0-t)*PertePVj)+Pspv)</f>
        <v>4.3593465294857525E-2</v>
      </c>
      <c r="M211" s="835"/>
      <c r="N211" s="835"/>
      <c r="O211" s="48">
        <f>IF(t&lt;Tnet,'2029'!Resal+('2029'!Salim-'2029'!Resal)*(1-EXP(('2029'!Tnet-t)/('2029'!Tau_j))),Resal+(Salim-Resal)*(1-EXP((Tnet-t)/(Tau_j))))*Salcycl</f>
        <v>1.4512233485616493E-2</v>
      </c>
      <c r="P211" s="165">
        <f>(INDEX(Models!$BJ211:$BT211,,T211)*(1-R211)+INDEX(Models!$BJ211:$BT211,,T211+1)*R211-ERP_i)*Q211*Ramure*Pc/MaxiM</f>
        <v>6.7783296264037145E-5</v>
      </c>
      <c r="Q211" s="301">
        <f t="shared" si="80"/>
        <v>0.5</v>
      </c>
      <c r="R211" s="173">
        <f t="shared" si="81"/>
        <v>0.87179167006246439</v>
      </c>
      <c r="S211" s="801">
        <f t="shared" si="82"/>
        <v>0</v>
      </c>
      <c r="T211" s="172">
        <f t="shared" si="83"/>
        <v>6</v>
      </c>
      <c r="U211" s="247">
        <f t="shared" si="84"/>
        <v>0.87179167006246439</v>
      </c>
      <c r="V211" s="378">
        <f t="shared" si="85"/>
        <v>231.19796748807178</v>
      </c>
      <c r="W211" s="397">
        <f t="shared" si="86"/>
        <v>216.10933748581027</v>
      </c>
      <c r="X211" s="153">
        <f t="shared" si="87"/>
        <v>47680</v>
      </c>
      <c r="Y211" s="380">
        <f t="shared" si="88"/>
        <v>207.63767548523296</v>
      </c>
      <c r="Z211" s="380">
        <f t="shared" si="89"/>
        <v>217.10189961138971</v>
      </c>
      <c r="AA211" s="381">
        <f t="shared" si="90"/>
        <v>229.19415247257092</v>
      </c>
      <c r="AB211" s="193">
        <f t="shared" si="91"/>
        <v>47680</v>
      </c>
      <c r="AC211" s="119">
        <f>IF(OR(t&lt;Tnet,NoTnet),'2029'!Resal_s+('2029'!Salim-'2029'!Resal_s)*(1-EXP(('2029'!Tnet_s-t)/'2029'!Tau_j)),Resal_s+(Salim-Resal_s)*(1-EXP((Tnet_s-t)/Tau_j)))*Salcycl</f>
        <v>5.2759866387203577E-2</v>
      </c>
      <c r="AD211" s="227">
        <f>(INDEX(Models!$BJ211:$BT211,,AH211)*(1-AF211)+INDEX(Models!$BJ211:$BT211,,AH211+1)*AF211-ERP_i)*AE211*Ramure*Pc/MaxiM</f>
        <v>5.1516312045155814E-4</v>
      </c>
      <c r="AE211" s="301">
        <f t="shared" si="92"/>
        <v>0.5</v>
      </c>
      <c r="AF211" s="173">
        <f t="shared" si="93"/>
        <v>0.39677923643644242</v>
      </c>
      <c r="AG211" s="801">
        <f t="shared" si="99"/>
        <v>4</v>
      </c>
      <c r="AH211" s="172">
        <f t="shared" si="94"/>
        <v>10</v>
      </c>
      <c r="AI211" s="221">
        <f t="shared" si="95"/>
        <v>4.3967792364364424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47681</v>
      </c>
      <c r="B212" s="406">
        <f>'2029'!Wh/'2029'!Env_an*'2030'!Env_an</f>
        <v>215.397284424529</v>
      </c>
      <c r="C212" s="831"/>
      <c r="D212" s="388">
        <f t="shared" si="77"/>
        <v>225.21827827038237</v>
      </c>
      <c r="E212" s="380">
        <f t="shared" si="75"/>
        <v>228.55269066439485</v>
      </c>
      <c r="F212" s="380">
        <f t="shared" si="78"/>
        <v>228.56718205970927</v>
      </c>
      <c r="G212" s="110">
        <f t="shared" si="76"/>
        <v>0.93342711568463299</v>
      </c>
      <c r="H212" s="409" t="b">
        <f>Wh_hp&gt;='2029'!Maxi_hp</f>
        <v>0</v>
      </c>
      <c r="I212" s="385">
        <f>IF(H212,Wh_hp,'2029'!Maxi_hp)</f>
        <v>228.56804395764479</v>
      </c>
      <c r="J212" s="85">
        <f>IF(H212,An,'2029'!An_max)</f>
        <v>2029</v>
      </c>
      <c r="K212" s="193">
        <f t="shared" si="79"/>
        <v>47681</v>
      </c>
      <c r="L212" s="143">
        <f>IF(t&lt;Tvie,1-EXP((T0-t)*PertePVj)+'2029'!Pspv,1-EXP((T0-t)*PertePVj)+Pspv)</f>
        <v>4.3606557697164039E-2</v>
      </c>
      <c r="M212" s="835"/>
      <c r="N212" s="835"/>
      <c r="O212" s="48">
        <f>IF(t&lt;Tnet,'2029'!Resal+('2029'!Salim-'2029'!Resal)*(1-EXP(('2029'!Tnet-t)/('2029'!Tau_j))),Resal+(Salim-Resal)*(1-EXP((Tnet-t)/(Tau_j))))*Salcycl</f>
        <v>1.4589250226367652E-2</v>
      </c>
      <c r="P212" s="165">
        <f>(INDEX(Models!$BJ212:$BT212,,T212)*(1-R212)+INDEX(Models!$BJ212:$BT212,,T212+1)*R212-ERP_i)*Q212*Ramure*Pc/MaxiM</f>
        <v>7.0063762363689873E-5</v>
      </c>
      <c r="Q212" s="301">
        <f t="shared" si="80"/>
        <v>0.5</v>
      </c>
      <c r="R212" s="173">
        <f t="shared" si="81"/>
        <v>0.87486162812904078</v>
      </c>
      <c r="S212" s="801">
        <f t="shared" si="82"/>
        <v>0</v>
      </c>
      <c r="T212" s="172">
        <f t="shared" si="83"/>
        <v>6</v>
      </c>
      <c r="U212" s="247">
        <f t="shared" si="84"/>
        <v>0.87486162812904078</v>
      </c>
      <c r="V212" s="378">
        <f t="shared" si="85"/>
        <v>230.75808017598436</v>
      </c>
      <c r="W212" s="397">
        <f t="shared" si="86"/>
        <v>215.397284424529</v>
      </c>
      <c r="X212" s="153">
        <f t="shared" si="87"/>
        <v>47681</v>
      </c>
      <c r="Y212" s="380">
        <f t="shared" si="88"/>
        <v>206.96168280017946</v>
      </c>
      <c r="Z212" s="380">
        <f t="shared" si="89"/>
        <v>216.398057165522</v>
      </c>
      <c r="AA212" s="381">
        <f t="shared" si="90"/>
        <v>228.46017344824122</v>
      </c>
      <c r="AB212" s="193">
        <f t="shared" si="91"/>
        <v>47681</v>
      </c>
      <c r="AC212" s="119">
        <f>IF(OR(t&lt;Tnet,NoTnet),'2029'!Resal_s+('2029'!Salim-'2029'!Resal_s)*(1-EXP(('2029'!Tnet_s-t)/'2029'!Tau_j)),Resal_s+(Salim-Resal_s)*(1-EXP((Tnet_s-t)/Tau_j)))*Salcycl</f>
        <v>5.2797457432780699E-2</v>
      </c>
      <c r="AD212" s="227">
        <f>(INDEX(Models!$BJ212:$BT212,,AH212)*(1-AF212)+INDEX(Models!$BJ212:$BT212,,AH212+1)*AF212-ERP_i)*AE212*Ramure*Pc/MaxiM</f>
        <v>5.1737087851684701E-4</v>
      </c>
      <c r="AE212" s="301">
        <f t="shared" si="92"/>
        <v>0.5</v>
      </c>
      <c r="AF212" s="173">
        <f t="shared" si="93"/>
        <v>0.3998491945030187</v>
      </c>
      <c r="AG212" s="801">
        <f t="shared" si="99"/>
        <v>4</v>
      </c>
      <c r="AH212" s="172">
        <f t="shared" si="94"/>
        <v>10</v>
      </c>
      <c r="AI212" s="221">
        <f t="shared" si="95"/>
        <v>4.3998491945030187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47682</v>
      </c>
      <c r="B213" s="406">
        <f>'2029'!Wh/'2029'!Env_an*'2030'!Env_an</f>
        <v>218.93444408799903</v>
      </c>
      <c r="C213" s="831"/>
      <c r="D213" s="388">
        <f t="shared" si="77"/>
        <v>228.919847704673</v>
      </c>
      <c r="E213" s="380">
        <f t="shared" si="75"/>
        <v>232.32717646975973</v>
      </c>
      <c r="F213" s="380">
        <f t="shared" si="78"/>
        <v>232.34279725255993</v>
      </c>
      <c r="G213" s="110">
        <f t="shared" si="76"/>
        <v>0.95061380463072953</v>
      </c>
      <c r="H213" s="409" t="b">
        <f>Wh_hp&gt;='2029'!Maxi_hp</f>
        <v>0</v>
      </c>
      <c r="I213" s="385">
        <f>IF(H213,Wh_hp,'2029'!Maxi_hp)</f>
        <v>232.34346592643129</v>
      </c>
      <c r="J213" s="85">
        <f>IF(H213,An,'2029'!An_max)</f>
        <v>2029</v>
      </c>
      <c r="K213" s="193">
        <f t="shared" si="79"/>
        <v>47682</v>
      </c>
      <c r="L213" s="143">
        <f>IF(t&lt;Tvie,1-EXP((T0-t)*PertePVj)+'2029'!Pspv,1-EXP((T0-t)*PertePVj)+Pspv)</f>
        <v>4.3619649920246473E-2</v>
      </c>
      <c r="M213" s="835"/>
      <c r="N213" s="835"/>
      <c r="O213" s="48">
        <f>IF(t&lt;Tnet,'2029'!Resal+('2029'!Salim-'2029'!Resal)*(1-EXP(('2029'!Tnet-t)/('2029'!Tau_j))),Resal+(Salim-Resal)*(1-EXP((Tnet-t)/(Tau_j))))*Salcycl</f>
        <v>1.4666079177053279E-2</v>
      </c>
      <c r="P213" s="165">
        <f>(INDEX(Models!$BJ213:$BT213,,T213)*(1-R213)+INDEX(Models!$BJ213:$BT213,,T213+1)*R213-ERP_i)*Q213*Ramure*Pc/MaxiM</f>
        <v>7.2334437415600528E-5</v>
      </c>
      <c r="Q213" s="301">
        <f t="shared" si="80"/>
        <v>0.5</v>
      </c>
      <c r="R213" s="173">
        <f t="shared" si="81"/>
        <v>0.87785174904533125</v>
      </c>
      <c r="S213" s="801">
        <f t="shared" si="82"/>
        <v>0</v>
      </c>
      <c r="T213" s="172">
        <f t="shared" si="83"/>
        <v>6</v>
      </c>
      <c r="U213" s="247">
        <f t="shared" si="84"/>
        <v>0.87785174904533125</v>
      </c>
      <c r="V213" s="378">
        <f t="shared" si="85"/>
        <v>230.30732960539396</v>
      </c>
      <c r="W213" s="397">
        <f t="shared" si="86"/>
        <v>218.93444408799903</v>
      </c>
      <c r="X213" s="153">
        <f t="shared" si="87"/>
        <v>47682</v>
      </c>
      <c r="Y213" s="380">
        <f t="shared" si="88"/>
        <v>210.36605149427132</v>
      </c>
      <c r="Z213" s="380">
        <f t="shared" si="89"/>
        <v>219.96065841035806</v>
      </c>
      <c r="AA213" s="381">
        <f t="shared" si="90"/>
        <v>232.23046289870757</v>
      </c>
      <c r="AB213" s="193">
        <f t="shared" si="91"/>
        <v>47682</v>
      </c>
      <c r="AC213" s="119">
        <f>IF(OR(t&lt;Tnet,NoTnet),'2029'!Resal_s+('2029'!Salim-'2029'!Resal_s)*(1-EXP(('2029'!Tnet_s-t)/'2029'!Tau_j)),Resal_s+(Salim-Resal_s)*(1-EXP((Tnet_s-t)/Tau_j)))*Salcycl</f>
        <v>5.2834603760408681E-2</v>
      </c>
      <c r="AD213" s="227">
        <f>(INDEX(Models!$BJ213:$BT213,,AH213)*(1-AF213)+INDEX(Models!$BJ213:$BT213,,AH213+1)*AF213-ERP_i)*AE213*Ramure*Pc/MaxiM</f>
        <v>5.2018150385166524E-4</v>
      </c>
      <c r="AE213" s="301">
        <f t="shared" si="92"/>
        <v>0.5</v>
      </c>
      <c r="AF213" s="173">
        <f t="shared" si="93"/>
        <v>0.40283931541930951</v>
      </c>
      <c r="AG213" s="801">
        <f t="shared" si="99"/>
        <v>4</v>
      </c>
      <c r="AH213" s="172">
        <f t="shared" si="94"/>
        <v>10</v>
      </c>
      <c r="AI213" s="221">
        <f t="shared" si="95"/>
        <v>4.4028393154193095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47683</v>
      </c>
      <c r="B214" s="406">
        <f>'2029'!Wh/'2029'!Env_an*'2030'!Env_an</f>
        <v>154.95145319717039</v>
      </c>
      <c r="C214" s="831"/>
      <c r="D214" s="388">
        <f t="shared" si="77"/>
        <v>162.02086791992105</v>
      </c>
      <c r="E214" s="380">
        <f t="shared" si="75"/>
        <v>164.4452389601702</v>
      </c>
      <c r="F214" s="380">
        <f t="shared" si="78"/>
        <v>164.45179580228029</v>
      </c>
      <c r="G214" s="110">
        <f t="shared" si="76"/>
        <v>0.67412775724786822</v>
      </c>
      <c r="H214" s="409" t="b">
        <f>Wh_hp&gt;='2029'!Maxi_hp</f>
        <v>0</v>
      </c>
      <c r="I214" s="385">
        <f>IF(H214,Wh_hp,'2029'!Maxi_hp)</f>
        <v>164.45500555412158</v>
      </c>
      <c r="J214" s="85">
        <f>IF(H214,An,'2029'!An_max)</f>
        <v>2029</v>
      </c>
      <c r="K214" s="193">
        <f t="shared" si="79"/>
        <v>47683</v>
      </c>
      <c r="L214" s="143">
        <f>IF(t&lt;Tvie,1-EXP((T0-t)*PertePVj)+'2029'!Pspv,1-EXP((T0-t)*PertePVj)+Pspv)</f>
        <v>4.3632741964107491E-2</v>
      </c>
      <c r="M214" s="835"/>
      <c r="N214" s="835"/>
      <c r="O214" s="48">
        <f>IF(t&lt;Tnet,'2029'!Resal+('2029'!Salim-'2029'!Resal)*(1-EXP(('2029'!Tnet-t)/('2029'!Tau_j))),Resal+(Salim-Resal)*(1-EXP((Tnet-t)/(Tau_j))))*Salcycl</f>
        <v>1.4742725636686622E-2</v>
      </c>
      <c r="P214" s="165">
        <f>(INDEX(Models!$BJ214:$BT214,,T214)*(1-R214)+INDEX(Models!$BJ214:$BT214,,T214+1)*R214-ERP_i)*Q214*Ramure*Pc/MaxiM</f>
        <v>7.459454019347716E-5</v>
      </c>
      <c r="Q214" s="301">
        <f t="shared" si="80"/>
        <v>0.5</v>
      </c>
      <c r="R214" s="173">
        <f t="shared" si="81"/>
        <v>0.880762680310895</v>
      </c>
      <c r="S214" s="801">
        <f t="shared" si="82"/>
        <v>0</v>
      </c>
      <c r="T214" s="172">
        <f t="shared" si="83"/>
        <v>6</v>
      </c>
      <c r="U214" s="247">
        <f t="shared" si="84"/>
        <v>0.880762680310895</v>
      </c>
      <c r="V214" s="378">
        <f t="shared" si="85"/>
        <v>229.84674765157922</v>
      </c>
      <c r="W214" s="397">
        <f t="shared" si="86"/>
        <v>154.95145319717039</v>
      </c>
      <c r="X214" s="153">
        <f t="shared" si="87"/>
        <v>47683</v>
      </c>
      <c r="Y214" s="380">
        <f t="shared" si="88"/>
        <v>148.91921647474248</v>
      </c>
      <c r="Z214" s="380">
        <f t="shared" si="89"/>
        <v>155.71341994766777</v>
      </c>
      <c r="AA214" s="381">
        <f t="shared" si="90"/>
        <v>164.40577170910353</v>
      </c>
      <c r="AB214" s="193">
        <f t="shared" si="91"/>
        <v>47683</v>
      </c>
      <c r="AC214" s="119">
        <f>IF(OR(t&lt;Tnet,NoTnet),'2029'!Resal_s+('2029'!Salim-'2029'!Resal_s)*(1-EXP(('2029'!Tnet_s-t)/'2029'!Tau_j)),Resal_s+(Salim-Resal_s)*(1-EXP((Tnet_s-t)/Tau_j)))*Salcycl</f>
        <v>5.2871329704992524E-2</v>
      </c>
      <c r="AD214" s="227">
        <f>(INDEX(Models!$BJ214:$BT214,,AH214)*(1-AF214)+INDEX(Models!$BJ214:$BT214,,AH214+1)*AF214-ERP_i)*AE214*Ramure*Pc/MaxiM</f>
        <v>5.2359748956896262E-4</v>
      </c>
      <c r="AE214" s="301">
        <f t="shared" si="92"/>
        <v>0.5</v>
      </c>
      <c r="AF214" s="173">
        <f t="shared" si="93"/>
        <v>0.40575024668487281</v>
      </c>
      <c r="AG214" s="801">
        <f t="shared" si="99"/>
        <v>4</v>
      </c>
      <c r="AH214" s="172">
        <f t="shared" si="94"/>
        <v>10</v>
      </c>
      <c r="AI214" s="221">
        <f t="shared" si="95"/>
        <v>4.4057502466848728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47684</v>
      </c>
      <c r="B215" s="406">
        <f>'2029'!Wh/'2029'!Env_an*'2030'!Env_an</f>
        <v>158.87595040006158</v>
      </c>
      <c r="C215" s="831"/>
      <c r="D215" s="388">
        <f t="shared" si="77"/>
        <v>166.12668822902612</v>
      </c>
      <c r="E215" s="380">
        <f t="shared" si="75"/>
        <v>168.62558360685998</v>
      </c>
      <c r="F215" s="380">
        <f t="shared" si="78"/>
        <v>168.6328521062058</v>
      </c>
      <c r="G215" s="110">
        <f t="shared" si="76"/>
        <v>0.69261667997483267</v>
      </c>
      <c r="H215" s="409" t="b">
        <f>Wh_hp&gt;='2029'!Maxi_hp</f>
        <v>0</v>
      </c>
      <c r="I215" s="385">
        <f>IF(H215,Wh_hp,'2029'!Maxi_hp)</f>
        <v>168.63603993388253</v>
      </c>
      <c r="J215" s="85">
        <f>IF(H215,An,'2029'!An_max)</f>
        <v>2029</v>
      </c>
      <c r="K215" s="193">
        <f t="shared" si="79"/>
        <v>47684</v>
      </c>
      <c r="L215" s="143">
        <f>IF(t&lt;Tvie,1-EXP((T0-t)*PertePVj)+'2029'!Pspv,1-EXP((T0-t)*PertePVj)+Pspv)</f>
        <v>4.3645833828749314E-2</v>
      </c>
      <c r="M215" s="835"/>
      <c r="N215" s="835"/>
      <c r="O215" s="48">
        <f>IF(t&lt;Tnet,'2029'!Resal+('2029'!Salim-'2029'!Resal)*(1-EXP(('2029'!Tnet-t)/('2029'!Tau_j))),Resal+(Salim-Resal)*(1-EXP((Tnet-t)/(Tau_j))))*Salcycl</f>
        <v>1.4819194836175444E-2</v>
      </c>
      <c r="P215" s="165">
        <f>(INDEX(Models!$BJ215:$BT215,,T215)*(1-R215)+INDEX(Models!$BJ215:$BT215,,T215+1)*R215-ERP_i)*Q215*Ramure*Pc/MaxiM</f>
        <v>7.6843300974123102E-5</v>
      </c>
      <c r="Q215" s="301">
        <f t="shared" si="80"/>
        <v>0.5</v>
      </c>
      <c r="R215" s="173">
        <f t="shared" si="81"/>
        <v>0.88359516574633012</v>
      </c>
      <c r="S215" s="801">
        <f t="shared" si="82"/>
        <v>0</v>
      </c>
      <c r="T215" s="172">
        <f t="shared" si="83"/>
        <v>6</v>
      </c>
      <c r="U215" s="247">
        <f t="shared" si="84"/>
        <v>0.88359516574633012</v>
      </c>
      <c r="V215" s="378">
        <f t="shared" si="85"/>
        <v>229.37736581030461</v>
      </c>
      <c r="W215" s="397">
        <f t="shared" si="86"/>
        <v>158.87595040006158</v>
      </c>
      <c r="X215" s="153">
        <f t="shared" si="87"/>
        <v>47684</v>
      </c>
      <c r="Y215" s="380">
        <f t="shared" si="88"/>
        <v>152.69496453223206</v>
      </c>
      <c r="Z215" s="380">
        <f t="shared" si="89"/>
        <v>159.66361619309302</v>
      </c>
      <c r="AA215" s="381">
        <f t="shared" si="90"/>
        <v>168.58294515098831</v>
      </c>
      <c r="AB215" s="193">
        <f t="shared" si="91"/>
        <v>47684</v>
      </c>
      <c r="AC215" s="119">
        <f>IF(OR(t&lt;Tnet,NoTnet),'2029'!Resal_s+('2029'!Salim-'2029'!Resal_s)*(1-EXP(('2029'!Tnet_s-t)/'2029'!Tau_j)),Resal_s+(Salim-Resal_s)*(1-EXP((Tnet_s-t)/Tau_j)))*Salcycl</f>
        <v>5.2907658896971244E-2</v>
      </c>
      <c r="AD215" s="227">
        <f>(INDEX(Models!$BJ215:$BT215,,AH215)*(1-AF215)+INDEX(Models!$BJ215:$BT215,,AH215+1)*AF215-ERP_i)*AE215*Ramure*Pc/MaxiM</f>
        <v>5.2762131466481128E-4</v>
      </c>
      <c r="AE215" s="301">
        <f t="shared" si="92"/>
        <v>0.5</v>
      </c>
      <c r="AF215" s="173">
        <f t="shared" si="93"/>
        <v>0.40858273212030838</v>
      </c>
      <c r="AG215" s="801">
        <f t="shared" si="99"/>
        <v>4</v>
      </c>
      <c r="AH215" s="172">
        <f t="shared" si="94"/>
        <v>10</v>
      </c>
      <c r="AI215" s="221">
        <f t="shared" si="95"/>
        <v>4.4085827321203084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47685</v>
      </c>
      <c r="B216" s="406">
        <f>'2029'!Wh/'2029'!Env_an*'2030'!Env_an</f>
        <v>212.2366189330865</v>
      </c>
      <c r="C216" s="831"/>
      <c r="D216" s="388">
        <f t="shared" si="77"/>
        <v>221.92565455498712</v>
      </c>
      <c r="E216" s="380">
        <f t="shared" si="75"/>
        <v>225.28133079386893</v>
      </c>
      <c r="F216" s="380">
        <f t="shared" si="78"/>
        <v>225.29729441629422</v>
      </c>
      <c r="G216" s="110">
        <f t="shared" si="76"/>
        <v>0.92719385668068177</v>
      </c>
      <c r="H216" s="409" t="b">
        <f>Wh_hp&gt;='2029'!Maxi_hp</f>
        <v>0</v>
      </c>
      <c r="I216" s="385">
        <f>IF(H216,Wh_hp,'2029'!Maxi_hp)</f>
        <v>225.29832929317698</v>
      </c>
      <c r="J216" s="85">
        <f>IF(H216,An,'2029'!An_max)</f>
        <v>2029</v>
      </c>
      <c r="K216" s="193">
        <f t="shared" si="79"/>
        <v>47685</v>
      </c>
      <c r="L216" s="143">
        <f>IF(t&lt;Tvie,1-EXP((T0-t)*PertePVj)+'2029'!Pspv,1-EXP((T0-t)*PertePVj)+Pspv)</f>
        <v>4.3658925514174607E-2</v>
      </c>
      <c r="M216" s="835"/>
      <c r="N216" s="835"/>
      <c r="O216" s="48">
        <f>IF(t&lt;Tnet,'2029'!Resal+('2029'!Salim-'2029'!Resal)*(1-EXP(('2029'!Tnet-t)/('2029'!Tau_j))),Resal+(Salim-Resal)*(1-EXP((Tnet-t)/(Tau_j))))*Salcycl</f>
        <v>1.4895491903642191E-2</v>
      </c>
      <c r="P216" s="165">
        <f>(INDEX(Models!$BJ216:$BT216,,T216)*(1-R216)+INDEX(Models!$BJ216:$BT216,,T216+1)*R216-ERP_i)*Q216*Ramure*Pc/MaxiM</f>
        <v>7.9079958835721453E-5</v>
      </c>
      <c r="Q216" s="301">
        <f t="shared" si="80"/>
        <v>0.5</v>
      </c>
      <c r="R216" s="173">
        <f t="shared" si="81"/>
        <v>0.88635003850439009</v>
      </c>
      <c r="S216" s="801">
        <f t="shared" si="82"/>
        <v>0</v>
      </c>
      <c r="T216" s="172">
        <f t="shared" si="83"/>
        <v>6</v>
      </c>
      <c r="U216" s="247">
        <f t="shared" si="84"/>
        <v>0.88635003850439009</v>
      </c>
      <c r="V216" s="378">
        <f t="shared" si="85"/>
        <v>228.90021521905044</v>
      </c>
      <c r="W216" s="397">
        <f t="shared" si="86"/>
        <v>212.2366189330865</v>
      </c>
      <c r="X216" s="153">
        <f t="shared" si="87"/>
        <v>47685</v>
      </c>
      <c r="Y216" s="380">
        <f t="shared" si="88"/>
        <v>203.95645592316188</v>
      </c>
      <c r="Z216" s="380">
        <f t="shared" si="89"/>
        <v>213.26748517292182</v>
      </c>
      <c r="AA216" s="381">
        <f t="shared" si="90"/>
        <v>225.1898496869172</v>
      </c>
      <c r="AB216" s="193">
        <f t="shared" si="91"/>
        <v>47685</v>
      </c>
      <c r="AC216" s="119">
        <f>IF(OR(t&lt;Tnet,NoTnet),'2029'!Resal_s+('2029'!Salim-'2029'!Resal_s)*(1-EXP(('2029'!Tnet_s-t)/'2029'!Tau_j)),Resal_s+(Salim-Resal_s)*(1-EXP((Tnet_s-t)/Tau_j)))*Salcycl</f>
        <v>5.2943614157436994E-2</v>
      </c>
      <c r="AD216" s="227">
        <f>(INDEX(Models!$BJ216:$BT216,,AH216)*(1-AF216)+INDEX(Models!$BJ216:$BT216,,AH216+1)*AF216-ERP_i)*AE216*Ramure*Pc/MaxiM</f>
        <v>5.3225543362773629E-4</v>
      </c>
      <c r="AE216" s="301">
        <f t="shared" si="92"/>
        <v>0.5</v>
      </c>
      <c r="AF216" s="173">
        <f t="shared" si="93"/>
        <v>0.41133760487836835</v>
      </c>
      <c r="AG216" s="801">
        <f t="shared" si="99"/>
        <v>4</v>
      </c>
      <c r="AH216" s="172">
        <f t="shared" si="94"/>
        <v>10</v>
      </c>
      <c r="AI216" s="221">
        <f t="shared" si="95"/>
        <v>4.4113376048783683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47686</v>
      </c>
      <c r="B217" s="406">
        <f>'2029'!Wh/'2029'!Env_an*'2030'!Env_an</f>
        <v>161.00028244722554</v>
      </c>
      <c r="C217" s="831"/>
      <c r="D217" s="388">
        <f t="shared" si="77"/>
        <v>168.35257914925774</v>
      </c>
      <c r="E217" s="380">
        <f t="shared" si="75"/>
        <v>170.91139999673959</v>
      </c>
      <c r="F217" s="380">
        <f t="shared" si="78"/>
        <v>170.91943716463206</v>
      </c>
      <c r="G217" s="110">
        <f t="shared" si="76"/>
        <v>0.70483036549308986</v>
      </c>
      <c r="H217" s="409" t="b">
        <f>Wh_hp&gt;='2029'!Maxi_hp</f>
        <v>0</v>
      </c>
      <c r="I217" s="385">
        <f>IF(H217,Wh_hp,'2029'!Maxi_hp)</f>
        <v>170.92269977278428</v>
      </c>
      <c r="J217" s="85">
        <f>IF(H217,An,'2029'!An_max)</f>
        <v>2029</v>
      </c>
      <c r="K217" s="193">
        <f t="shared" si="79"/>
        <v>47686</v>
      </c>
      <c r="L217" s="143">
        <f>IF(t&lt;Tvie,1-EXP((T0-t)*PertePVj)+'2029'!Pspv,1-EXP((T0-t)*PertePVj)+Pspv)</f>
        <v>4.367201702038559E-2</v>
      </c>
      <c r="M217" s="835"/>
      <c r="N217" s="835"/>
      <c r="O217" s="48">
        <f>IF(t&lt;Tnet,'2029'!Resal+('2029'!Salim-'2029'!Resal)*(1-EXP(('2029'!Tnet-t)/('2029'!Tau_j))),Resal+(Salim-Resal)*(1-EXP((Tnet-t)/(Tau_j))))*Salcycl</f>
        <v>1.4971621831724813E-2</v>
      </c>
      <c r="P217" s="165">
        <f>(INDEX(Models!$BJ217:$BT217,,T217)*(1-R217)+INDEX(Models!$BJ217:$BT217,,T217+1)*R217-ERP_i)*Q217*Ramure*Pc/MaxiM</f>
        <v>8.1303758790080184E-5</v>
      </c>
      <c r="Q217" s="301">
        <f t="shared" si="80"/>
        <v>0.5</v>
      </c>
      <c r="R217" s="173">
        <f t="shared" si="81"/>
        <v>0.88902821416166922</v>
      </c>
      <c r="S217" s="801">
        <f t="shared" si="82"/>
        <v>0</v>
      </c>
      <c r="T217" s="172">
        <f t="shared" si="83"/>
        <v>6</v>
      </c>
      <c r="U217" s="247">
        <f t="shared" si="84"/>
        <v>0.88902821416166922</v>
      </c>
      <c r="V217" s="378">
        <f t="shared" si="85"/>
        <v>228.41632665053896</v>
      </c>
      <c r="W217" s="397">
        <f t="shared" si="86"/>
        <v>161.00028244722554</v>
      </c>
      <c r="X217" s="153">
        <f t="shared" si="87"/>
        <v>47686</v>
      </c>
      <c r="Y217" s="380">
        <f t="shared" si="88"/>
        <v>154.74719897185579</v>
      </c>
      <c r="Z217" s="380">
        <f t="shared" si="89"/>
        <v>161.8139401188624</v>
      </c>
      <c r="AA217" s="381">
        <f t="shared" si="90"/>
        <v>170.86630313973438</v>
      </c>
      <c r="AB217" s="193">
        <f t="shared" si="91"/>
        <v>47686</v>
      </c>
      <c r="AC217" s="119">
        <f>IF(OR(t&lt;Tnet,NoTnet),'2029'!Resal_s+('2029'!Salim-'2029'!Resal_s)*(1-EXP(('2029'!Tnet_s-t)/'2029'!Tau_j)),Resal_s+(Salim-Resal_s)*(1-EXP((Tnet_s-t)/Tau_j)))*Salcycl</f>
        <v>5.2979217402912761E-2</v>
      </c>
      <c r="AD217" s="227">
        <f>(INDEX(Models!$BJ217:$BT217,,AH217)*(1-AF217)+INDEX(Models!$BJ217:$BT217,,AH217+1)*AF217-ERP_i)*AE217*Ramure*Pc/MaxiM</f>
        <v>5.3750226468192159E-4</v>
      </c>
      <c r="AE217" s="301">
        <f t="shared" si="92"/>
        <v>0.5</v>
      </c>
      <c r="AF217" s="173">
        <f t="shared" si="93"/>
        <v>0.41401578053564769</v>
      </c>
      <c r="AG217" s="801">
        <f t="shared" si="99"/>
        <v>4</v>
      </c>
      <c r="AH217" s="172">
        <f t="shared" si="94"/>
        <v>10</v>
      </c>
      <c r="AI217" s="221">
        <f t="shared" si="95"/>
        <v>4.4140157805356477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47687</v>
      </c>
      <c r="B218" s="406">
        <f>'2029'!Wh/'2029'!Env_an*'2030'!Env_an</f>
        <v>185.28634025687595</v>
      </c>
      <c r="C218" s="831"/>
      <c r="D218" s="388">
        <f t="shared" si="77"/>
        <v>193.75034507376665</v>
      </c>
      <c r="E218" s="380">
        <f t="shared" si="75"/>
        <v>196.71036183869967</v>
      </c>
      <c r="F218" s="380">
        <f t="shared" si="78"/>
        <v>196.72240013299418</v>
      </c>
      <c r="G218" s="110">
        <f t="shared" si="76"/>
        <v>0.81290247988840569</v>
      </c>
      <c r="H218" s="409" t="b">
        <f>Wh_hp&gt;='2029'!Maxi_hp</f>
        <v>0</v>
      </c>
      <c r="I218" s="385">
        <f>IF(H218,Wh_hp,'2029'!Maxi_hp)</f>
        <v>196.72483795977595</v>
      </c>
      <c r="J218" s="85">
        <f>IF(H218,An,'2029'!An_max)</f>
        <v>2029</v>
      </c>
      <c r="K218" s="193">
        <f t="shared" si="79"/>
        <v>47687</v>
      </c>
      <c r="L218" s="143">
        <f>IF(t&lt;Tvie,1-EXP((T0-t)*PertePVj)+'2029'!Pspv,1-EXP((T0-t)*PertePVj)+Pspv)</f>
        <v>4.3685108347384927E-2</v>
      </c>
      <c r="M218" s="835"/>
      <c r="N218" s="835"/>
      <c r="O218" s="48">
        <f>IF(t&lt;Tnet,'2029'!Resal+('2029'!Salim-'2029'!Resal)*(1-EXP(('2029'!Tnet-t)/('2029'!Tau_j))),Resal+(Salim-Resal)*(1-EXP((Tnet-t)/(Tau_j))))*Salcycl</f>
        <v>1.504758944706833E-2</v>
      </c>
      <c r="P218" s="165">
        <f>(INDEX(Models!$BJ218:$BT218,,T218)*(1-R218)+INDEX(Models!$BJ218:$BT218,,T218+1)*R218-ERP_i)*Q218*Ramure*Pc/MaxiM</f>
        <v>8.3513948776659761E-5</v>
      </c>
      <c r="Q218" s="301">
        <f t="shared" si="80"/>
        <v>0.5</v>
      </c>
      <c r="R218" s="173">
        <f t="shared" si="81"/>
        <v>0.8916306839228012</v>
      </c>
      <c r="S218" s="801">
        <f t="shared" si="82"/>
        <v>0</v>
      </c>
      <c r="T218" s="172">
        <f t="shared" si="83"/>
        <v>6</v>
      </c>
      <c r="U218" s="247">
        <f t="shared" si="84"/>
        <v>0.8916306839228012</v>
      </c>
      <c r="V218" s="378">
        <f t="shared" si="85"/>
        <v>227.92673053185558</v>
      </c>
      <c r="W218" s="397">
        <f t="shared" si="86"/>
        <v>185.28634025687595</v>
      </c>
      <c r="X218" s="153">
        <f t="shared" si="87"/>
        <v>47687</v>
      </c>
      <c r="Y218" s="380">
        <f t="shared" si="88"/>
        <v>178.08408931344024</v>
      </c>
      <c r="Z218" s="380">
        <f t="shared" si="89"/>
        <v>186.21909045637861</v>
      </c>
      <c r="AA218" s="381">
        <f t="shared" si="90"/>
        <v>196.6440757577131</v>
      </c>
      <c r="AB218" s="193">
        <f t="shared" si="91"/>
        <v>47687</v>
      </c>
      <c r="AC218" s="119">
        <f>IF(OR(t&lt;Tnet,NoTnet),'2029'!Resal_s+('2029'!Salim-'2029'!Resal_s)*(1-EXP(('2029'!Tnet_s-t)/'2029'!Tau_j)),Resal_s+(Salim-Resal_s)*(1-EXP((Tnet_s-t)/Tau_j)))*Salcycl</f>
        <v>5.3014489560210348E-2</v>
      </c>
      <c r="AD218" s="227">
        <f>(INDEX(Models!$BJ218:$BT218,,AH218)*(1-AF218)+INDEX(Models!$BJ218:$BT218,,AH218+1)*AF218-ERP_i)*AE218*Ramure*Pc/MaxiM</f>
        <v>5.4336417644979299E-4</v>
      </c>
      <c r="AE218" s="301">
        <f t="shared" si="92"/>
        <v>0.5</v>
      </c>
      <c r="AF218" s="173">
        <f t="shared" si="93"/>
        <v>0.41661825029677946</v>
      </c>
      <c r="AG218" s="801">
        <f t="shared" si="99"/>
        <v>4</v>
      </c>
      <c r="AH218" s="172">
        <f t="shared" si="94"/>
        <v>10</v>
      </c>
      <c r="AI218" s="221">
        <f t="shared" si="95"/>
        <v>4.4166182502967795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47688</v>
      </c>
      <c r="B219" s="406">
        <f>'2029'!Wh/'2029'!Env_an*'2030'!Env_an</f>
        <v>215.0262621299031</v>
      </c>
      <c r="C219" s="831"/>
      <c r="D219" s="388">
        <f t="shared" si="77"/>
        <v>224.85188464184867</v>
      </c>
      <c r="E219" s="380">
        <f t="shared" si="75"/>
        <v>228.30462669211565</v>
      </c>
      <c r="F219" s="380">
        <f t="shared" si="78"/>
        <v>228.32267166455506</v>
      </c>
      <c r="G219" s="110">
        <f t="shared" si="76"/>
        <v>0.94545546756086407</v>
      </c>
      <c r="H219" s="409" t="b">
        <f>Wh_hp&gt;='2029'!Maxi_hp</f>
        <v>0</v>
      </c>
      <c r="I219" s="385">
        <f>IF(H219,Wh_hp,'2029'!Maxi_hp)</f>
        <v>228.32351583987924</v>
      </c>
      <c r="J219" s="85">
        <f>IF(H219,An,'2029'!An_max)</f>
        <v>2029</v>
      </c>
      <c r="K219" s="193">
        <f t="shared" si="79"/>
        <v>47688</v>
      </c>
      <c r="L219" s="143">
        <f>IF(t&lt;Tvie,1-EXP((T0-t)*PertePVj)+'2029'!Pspv,1-EXP((T0-t)*PertePVj)+Pspv)</f>
        <v>4.369819949517495E-2</v>
      </c>
      <c r="M219" s="835"/>
      <c r="N219" s="835"/>
      <c r="O219" s="48">
        <f>IF(t&lt;Tnet,'2029'!Resal+('2029'!Salim-'2029'!Resal)*(1-EXP(('2029'!Tnet-t)/('2029'!Tau_j))),Resal+(Salim-Resal)*(1-EXP((Tnet-t)/(Tau_j))))*Salcycl</f>
        <v>1.5123399382191477E-2</v>
      </c>
      <c r="P219" s="165">
        <f>(INDEX(Models!$BJ219:$BT219,,T219)*(1-R219)+INDEX(Models!$BJ219:$BT219,,T219+1)*R219-ERP_i)*Q219*Ramure*Pc/MaxiM</f>
        <v>8.5710631130268169E-5</v>
      </c>
      <c r="Q219" s="301">
        <f t="shared" si="80"/>
        <v>0.5</v>
      </c>
      <c r="R219" s="173">
        <f t="shared" si="81"/>
        <v>0.89415850796567853</v>
      </c>
      <c r="S219" s="801">
        <f t="shared" si="82"/>
        <v>0</v>
      </c>
      <c r="T219" s="172">
        <f t="shared" si="83"/>
        <v>6</v>
      </c>
      <c r="U219" s="247">
        <f t="shared" si="84"/>
        <v>0.89415850796567853</v>
      </c>
      <c r="V219" s="378">
        <f t="shared" si="85"/>
        <v>227.42988271558914</v>
      </c>
      <c r="W219" s="397">
        <f t="shared" si="86"/>
        <v>215.0262621299031</v>
      </c>
      <c r="X219" s="153">
        <f t="shared" si="87"/>
        <v>47688</v>
      </c>
      <c r="Y219" s="380">
        <f t="shared" si="88"/>
        <v>206.65744908433993</v>
      </c>
      <c r="Z219" s="380">
        <f t="shared" si="89"/>
        <v>216.10065878287264</v>
      </c>
      <c r="AA219" s="381">
        <f t="shared" si="90"/>
        <v>228.20690995435734</v>
      </c>
      <c r="AB219" s="193">
        <f t="shared" si="91"/>
        <v>47688</v>
      </c>
      <c r="AC219" s="119">
        <f>IF(OR(t&lt;Tnet,NoTnet),'2029'!Resal_s+('2029'!Salim-'2029'!Resal_s)*(1-EXP(('2029'!Tnet_s-t)/'2029'!Tau_j)),Resal_s+(Salim-Resal_s)*(1-EXP((Tnet_s-t)/Tau_j)))*Salcycl</f>
        <v>5.304945049168764E-2</v>
      </c>
      <c r="AD219" s="227">
        <f>(INDEX(Models!$BJ219:$BT219,,AH219)*(1-AF219)+INDEX(Models!$BJ219:$BT219,,AH219+1)*AF219-ERP_i)*AE219*Ramure*Pc/MaxiM</f>
        <v>5.4984895516295906E-4</v>
      </c>
      <c r="AE219" s="301">
        <f t="shared" si="92"/>
        <v>0.5</v>
      </c>
      <c r="AF219" s="173">
        <f t="shared" si="93"/>
        <v>0.41914607433965667</v>
      </c>
      <c r="AG219" s="801">
        <f t="shared" si="99"/>
        <v>4</v>
      </c>
      <c r="AH219" s="172">
        <f t="shared" si="94"/>
        <v>10</v>
      </c>
      <c r="AI219" s="221">
        <f t="shared" si="95"/>
        <v>4.4191460743396567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47689</v>
      </c>
      <c r="B220" s="406">
        <f>'2029'!Wh/'2029'!Env_an*'2030'!Env_an</f>
        <v>115.76228302811182</v>
      </c>
      <c r="C220" s="831"/>
      <c r="D220" s="388">
        <f t="shared" si="77"/>
        <v>121.05369630919461</v>
      </c>
      <c r="E220" s="380">
        <f t="shared" si="75"/>
        <v>122.92199459480469</v>
      </c>
      <c r="F220" s="380">
        <f t="shared" si="78"/>
        <v>122.92523576454904</v>
      </c>
      <c r="G220" s="110">
        <f t="shared" si="76"/>
        <v>0.51010641535188561</v>
      </c>
      <c r="H220" s="409" t="b">
        <f>Wh_hp&gt;='2029'!Maxi_hp</f>
        <v>0</v>
      </c>
      <c r="I220" s="385">
        <f>IF(H220,Wh_hp,'2029'!Maxi_hp)</f>
        <v>122.92940764051831</v>
      </c>
      <c r="J220" s="85">
        <f>IF(H220,An,'2029'!An_max)</f>
        <v>2029</v>
      </c>
      <c r="K220" s="193">
        <f t="shared" si="79"/>
        <v>47689</v>
      </c>
      <c r="L220" s="143">
        <f>IF(t&lt;Tvie,1-EXP((T0-t)*PertePVj)+'2029'!Pspv,1-EXP((T0-t)*PertePVj)+Pspv)</f>
        <v>4.3711290463758212E-2</v>
      </c>
      <c r="M220" s="835"/>
      <c r="N220" s="835"/>
      <c r="O220" s="48">
        <f>IF(t&lt;Tnet,'2029'!Resal+('2029'!Salim-'2029'!Resal)*(1-EXP(('2029'!Tnet-t)/('2029'!Tau_j))),Resal+(Salim-Resal)*(1-EXP((Tnet-t)/(Tau_j))))*Salcycl</f>
        <v>1.5199056049884778E-2</v>
      </c>
      <c r="P220" s="165">
        <f>(INDEX(Models!$BJ220:$BT220,,T220)*(1-R220)+INDEX(Models!$BJ220:$BT220,,T220+1)*R220-ERP_i)*Q220*Ramure*Pc/MaxiM</f>
        <v>8.7832378381038181E-5</v>
      </c>
      <c r="Q220" s="301">
        <f t="shared" si="80"/>
        <v>0.5</v>
      </c>
      <c r="R220" s="173">
        <f t="shared" si="81"/>
        <v>0.89661280895281359</v>
      </c>
      <c r="S220" s="801">
        <f t="shared" si="82"/>
        <v>0</v>
      </c>
      <c r="T220" s="172">
        <f t="shared" si="83"/>
        <v>6</v>
      </c>
      <c r="U220" s="247">
        <f t="shared" si="84"/>
        <v>0.89661280895281359</v>
      </c>
      <c r="V220" s="378">
        <f t="shared" si="85"/>
        <v>226.92356728775113</v>
      </c>
      <c r="W220" s="397">
        <f t="shared" si="86"/>
        <v>115.76228302811182</v>
      </c>
      <c r="X220" s="153">
        <f t="shared" si="87"/>
        <v>47689</v>
      </c>
      <c r="Y220" s="380">
        <f t="shared" si="88"/>
        <v>111.29326541238122</v>
      </c>
      <c r="Z220" s="380">
        <f t="shared" si="89"/>
        <v>116.38040301276126</v>
      </c>
      <c r="AA220" s="381">
        <f t="shared" si="90"/>
        <v>122.90469020478447</v>
      </c>
      <c r="AB220" s="193">
        <f t="shared" si="91"/>
        <v>47689</v>
      </c>
      <c r="AC220" s="119">
        <f>IF(OR(t&lt;Tnet,NoTnet),'2029'!Resal_s+('2029'!Salim-'2029'!Resal_s)*(1-EXP(('2029'!Tnet_s-t)/'2029'!Tau_j)),Resal_s+(Salim-Resal_s)*(1-EXP((Tnet_s-t)/Tau_j)))*Salcycl</f>
        <v>5.308411893111975E-2</v>
      </c>
      <c r="AD220" s="227">
        <f>(INDEX(Models!$BJ220:$BT220,,AH220)*(1-AF220)+INDEX(Models!$BJ220:$BT220,,AH220+1)*AF220-ERP_i)*AE220*Ramure*Pc/MaxiM</f>
        <v>5.5676361364097652E-4</v>
      </c>
      <c r="AE220" s="301">
        <f t="shared" si="92"/>
        <v>0.5</v>
      </c>
      <c r="AF220" s="173">
        <f t="shared" si="93"/>
        <v>0.42160037532679162</v>
      </c>
      <c r="AG220" s="801">
        <f t="shared" si="99"/>
        <v>4</v>
      </c>
      <c r="AH220" s="172">
        <f t="shared" si="94"/>
        <v>10</v>
      </c>
      <c r="AI220" s="221">
        <f t="shared" si="95"/>
        <v>4.4216003753267916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47690</v>
      </c>
      <c r="B221" s="406">
        <f>'2029'!Wh/'2029'!Env_an*'2030'!Env_an</f>
        <v>206.55353576523865</v>
      </c>
      <c r="C221" s="831"/>
      <c r="D221" s="388">
        <f t="shared" si="77"/>
        <v>215.99791076542729</v>
      </c>
      <c r="E221" s="380">
        <f t="shared" si="75"/>
        <v>219.34836126456429</v>
      </c>
      <c r="F221" s="380">
        <f t="shared" si="78"/>
        <v>219.36560350025519</v>
      </c>
      <c r="G221" s="110">
        <f t="shared" si="76"/>
        <v>0.91229727526855187</v>
      </c>
      <c r="H221" s="409" t="b">
        <f>Wh_hp&gt;='2029'!Maxi_hp</f>
        <v>0</v>
      </c>
      <c r="I221" s="385">
        <f>IF(H221,Wh_hp,'2029'!Maxi_hp)</f>
        <v>219.36696344341152</v>
      </c>
      <c r="J221" s="85">
        <f>IF(H221,An,'2029'!An_max)</f>
        <v>2029</v>
      </c>
      <c r="K221" s="193">
        <f t="shared" si="79"/>
        <v>47690</v>
      </c>
      <c r="L221" s="143">
        <f>IF(t&lt;Tvie,1-EXP((T0-t)*PertePVj)+'2029'!Pspv,1-EXP((T0-t)*PertePVj)+Pspv)</f>
        <v>4.3724381253137157E-2</v>
      </c>
      <c r="M221" s="835"/>
      <c r="N221" s="835"/>
      <c r="O221" s="48">
        <f>IF(t&lt;Tnet,'2029'!Resal+('2029'!Salim-'2029'!Resal)*(1-EXP(('2029'!Tnet-t)/('2029'!Tau_j))),Resal+(Salim-Resal)*(1-EXP((Tnet-t)/(Tau_j))))*Salcycl</f>
        <v>1.5274563620267483E-2</v>
      </c>
      <c r="P221" s="165">
        <f>(INDEX(Models!$BJ221:$BT221,,T221)*(1-R221)+INDEX(Models!$BJ221:$BT221,,T221+1)*R221-ERP_i)*Q221*Ramure*Pc/MaxiM</f>
        <v>8.9857322687299289E-5</v>
      </c>
      <c r="Q221" s="301">
        <f t="shared" si="80"/>
        <v>0.5</v>
      </c>
      <c r="R221" s="173">
        <f t="shared" si="81"/>
        <v>0.8989947657306725</v>
      </c>
      <c r="S221" s="801">
        <f t="shared" si="82"/>
        <v>0</v>
      </c>
      <c r="T221" s="172">
        <f t="shared" si="83"/>
        <v>6</v>
      </c>
      <c r="U221" s="247">
        <f t="shared" si="84"/>
        <v>0.8989947657306725</v>
      </c>
      <c r="V221" s="378">
        <f t="shared" si="85"/>
        <v>226.40779056949273</v>
      </c>
      <c r="W221" s="397">
        <f t="shared" si="86"/>
        <v>206.55353576523865</v>
      </c>
      <c r="X221" s="153">
        <f t="shared" si="87"/>
        <v>47690</v>
      </c>
      <c r="Y221" s="380">
        <f t="shared" si="88"/>
        <v>198.53309717931714</v>
      </c>
      <c r="Z221" s="380">
        <f t="shared" si="89"/>
        <v>207.6107487080784</v>
      </c>
      <c r="AA221" s="381">
        <f t="shared" si="90"/>
        <v>219.25737426859826</v>
      </c>
      <c r="AB221" s="193">
        <f t="shared" si="91"/>
        <v>47690</v>
      </c>
      <c r="AC221" s="119">
        <f>IF(OR(t&lt;Tnet,NoTnet),'2029'!Resal_s+('2029'!Salim-'2029'!Resal_s)*(1-EXP(('2029'!Tnet_s-t)/'2029'!Tau_j)),Resal_s+(Salim-Resal_s)*(1-EXP((Tnet_s-t)/Tau_j)))*Salcycl</f>
        <v>5.311851243029251E-2</v>
      </c>
      <c r="AD221" s="227">
        <f>(INDEX(Models!$BJ221:$BT221,,AH221)*(1-AF221)+INDEX(Models!$BJ221:$BT221,,AH221+1)*AF221-ERP_i)*AE221*Ramure*Pc/MaxiM</f>
        <v>5.6403294604855353E-4</v>
      </c>
      <c r="AE221" s="301">
        <f t="shared" si="92"/>
        <v>0.5</v>
      </c>
      <c r="AF221" s="173">
        <f t="shared" si="93"/>
        <v>0.42398233210465097</v>
      </c>
      <c r="AG221" s="801">
        <f t="shared" si="99"/>
        <v>4</v>
      </c>
      <c r="AH221" s="172">
        <f t="shared" si="94"/>
        <v>10</v>
      </c>
      <c r="AI221" s="221">
        <f t="shared" si="95"/>
        <v>4.423982332104651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47691</v>
      </c>
      <c r="B222" s="406">
        <f>'2029'!Wh/'2029'!Env_an*'2030'!Env_an</f>
        <v>226.67254653406346</v>
      </c>
      <c r="C222" s="831"/>
      <c r="D222" s="388">
        <f t="shared" si="77"/>
        <v>237.0400803801688</v>
      </c>
      <c r="E222" s="380">
        <f t="shared" si="75"/>
        <v>240.73535019133445</v>
      </c>
      <c r="F222" s="380">
        <f t="shared" si="78"/>
        <v>240.75744789111329</v>
      </c>
      <c r="G222" s="110">
        <f t="shared" si="76"/>
        <v>1.0034973585030091</v>
      </c>
      <c r="H222" s="409" t="b">
        <f>Wh_hp&gt;='2029'!Maxi_hp</f>
        <v>1</v>
      </c>
      <c r="I222" s="385">
        <f>IF(H222,Wh_hp,'2029'!Maxi_hp)</f>
        <v>240.75744789111329</v>
      </c>
      <c r="J222" s="85">
        <f>IF(H222,An,'2029'!An_max)</f>
        <v>2030</v>
      </c>
      <c r="K222" s="193">
        <f t="shared" si="79"/>
        <v>47691</v>
      </c>
      <c r="L222" s="143">
        <f>IF(t&lt;Tvie,1-EXP((T0-t)*PertePVj)+'2029'!Pspv,1-EXP((T0-t)*PertePVj)+Pspv)</f>
        <v>4.3737471863314115E-2</v>
      </c>
      <c r="M222" s="835"/>
      <c r="N222" s="835"/>
      <c r="O222" s="48">
        <f>IF(t&lt;Tnet,'2029'!Resal+('2029'!Salim-'2029'!Resal)*(1-EXP(('2029'!Tnet-t)/('2029'!Tau_j))),Resal+(Salim-Resal)*(1-EXP((Tnet-t)/(Tau_j))))*Salcycl</f>
        <v>1.5349926000600568E-2</v>
      </c>
      <c r="P222" s="165">
        <f>(INDEX(Models!$BJ222:$BT222,,T222)*(1-R222)+INDEX(Models!$BJ222:$BT222,,T222+1)*R222-ERP_i)*Q222*Ramure*Pc/MaxiM</f>
        <v>9.1784075518349252E-5</v>
      </c>
      <c r="Q222" s="301">
        <f t="shared" si="80"/>
        <v>0.5</v>
      </c>
      <c r="R222" s="173">
        <f t="shared" si="81"/>
        <v>0.90130560723563824</v>
      </c>
      <c r="S222" s="801">
        <f t="shared" si="82"/>
        <v>0</v>
      </c>
      <c r="T222" s="172">
        <f t="shared" si="83"/>
        <v>6</v>
      </c>
      <c r="U222" s="247">
        <f t="shared" si="84"/>
        <v>0.90130560723563824</v>
      </c>
      <c r="V222" s="378">
        <f t="shared" si="85"/>
        <v>225.88255426223301</v>
      </c>
      <c r="W222" s="397">
        <f t="shared" si="86"/>
        <v>226.67254653406346</v>
      </c>
      <c r="X222" s="153">
        <f t="shared" si="87"/>
        <v>47691</v>
      </c>
      <c r="Y222" s="380">
        <f t="shared" si="88"/>
        <v>217.86551741362607</v>
      </c>
      <c r="Z222" s="380">
        <f t="shared" si="89"/>
        <v>227.83023594801458</v>
      </c>
      <c r="AA222" s="381">
        <f t="shared" si="90"/>
        <v>240.61981617445363</v>
      </c>
      <c r="AB222" s="193">
        <f t="shared" si="91"/>
        <v>47691</v>
      </c>
      <c r="AC222" s="119">
        <f>IF(OR(t&lt;Tnet,NoTnet),'2029'!Resal_s+('2029'!Salim-'2029'!Resal_s)*(1-EXP(('2029'!Tnet_s-t)/'2029'!Tau_j)),Resal_s+(Salim-Resal_s)*(1-EXP((Tnet_s-t)/Tau_j)))*Salcycl</f>
        <v>5.3152647316322403E-2</v>
      </c>
      <c r="AD222" s="227">
        <f>(INDEX(Models!$BJ222:$BT222,,AH222)*(1-AF222)+INDEX(Models!$BJ222:$BT222,,AH222+1)*AF222-ERP_i)*AE222*Ramure*Pc/MaxiM</f>
        <v>5.7166130420985978E-4</v>
      </c>
      <c r="AE222" s="301">
        <f t="shared" si="92"/>
        <v>0.5</v>
      </c>
      <c r="AF222" s="173">
        <f t="shared" si="93"/>
        <v>0.42629317360961672</v>
      </c>
      <c r="AG222" s="801">
        <f t="shared" si="99"/>
        <v>4</v>
      </c>
      <c r="AH222" s="172">
        <f t="shared" si="94"/>
        <v>10</v>
      </c>
      <c r="AI222" s="221">
        <f t="shared" si="95"/>
        <v>4.4262931736096167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47692</v>
      </c>
      <c r="B223" s="406">
        <f>'2029'!Wh/'2029'!Env_an*'2030'!Env_an</f>
        <v>183.0957071709916</v>
      </c>
      <c r="C223" s="831"/>
      <c r="D223" s="388">
        <f t="shared" si="77"/>
        <v>191.47274753989493</v>
      </c>
      <c r="E223" s="380">
        <f t="shared" si="75"/>
        <v>194.47251463011492</v>
      </c>
      <c r="F223" s="380">
        <f t="shared" si="78"/>
        <v>194.4858441404906</v>
      </c>
      <c r="G223" s="110">
        <f t="shared" si="76"/>
        <v>0.81248215895080655</v>
      </c>
      <c r="H223" s="409" t="b">
        <f>Wh_hp&gt;='2029'!Maxi_hp</f>
        <v>0</v>
      </c>
      <c r="I223" s="385">
        <f>IF(H223,Wh_hp,'2029'!Maxi_hp)</f>
        <v>194.48851648937162</v>
      </c>
      <c r="J223" s="85">
        <f>IF(H223,An,'2029'!An_max)</f>
        <v>2029</v>
      </c>
      <c r="K223" s="193">
        <f t="shared" si="79"/>
        <v>47692</v>
      </c>
      <c r="L223" s="143">
        <f>IF(t&lt;Tvie,1-EXP((T0-t)*PertePVj)+'2029'!Pspv,1-EXP((T0-t)*PertePVj)+Pspv)</f>
        <v>4.3750562294291528E-2</v>
      </c>
      <c r="M223" s="835"/>
      <c r="N223" s="835"/>
      <c r="O223" s="48">
        <f>IF(t&lt;Tnet,'2029'!Resal+('2029'!Salim-'2029'!Resal)*(1-EXP(('2029'!Tnet-t)/('2029'!Tau_j))),Resal+(Salim-Resal)*(1-EXP((Tnet-t)/(Tau_j))))*Salcycl</f>
        <v>1.5425146817921906E-2</v>
      </c>
      <c r="P223" s="165">
        <f>(INDEX(Models!$BJ223:$BT223,,T223)*(1-R223)+INDEX(Models!$BJ223:$BT223,,T223+1)*R223-ERP_i)*Q223*Ramure*Pc/MaxiM</f>
        <v>9.3611288814594198E-5</v>
      </c>
      <c r="Q223" s="301">
        <f t="shared" si="80"/>
        <v>0.5</v>
      </c>
      <c r="R223" s="173">
        <f t="shared" si="81"/>
        <v>0.90354660662221975</v>
      </c>
      <c r="S223" s="801">
        <f t="shared" si="82"/>
        <v>0</v>
      </c>
      <c r="T223" s="172">
        <f t="shared" si="83"/>
        <v>6</v>
      </c>
      <c r="U223" s="247">
        <f t="shared" si="84"/>
        <v>0.90354660662221975</v>
      </c>
      <c r="V223" s="378">
        <f t="shared" si="85"/>
        <v>225.34786010586342</v>
      </c>
      <c r="W223" s="397">
        <f t="shared" si="86"/>
        <v>183.0957071709916</v>
      </c>
      <c r="X223" s="153">
        <f t="shared" si="87"/>
        <v>47692</v>
      </c>
      <c r="Y223" s="380">
        <f t="shared" si="88"/>
        <v>176.01077821768689</v>
      </c>
      <c r="Z223" s="380">
        <f t="shared" si="89"/>
        <v>184.0636671536065</v>
      </c>
      <c r="AA223" s="381">
        <f t="shared" si="90"/>
        <v>194.40330610955698</v>
      </c>
      <c r="AB223" s="193">
        <f t="shared" si="91"/>
        <v>47692</v>
      </c>
      <c r="AC223" s="119">
        <f>IF(OR(t&lt;Tnet,NoTnet),'2029'!Resal_s+('2029'!Salim-'2029'!Resal_s)*(1-EXP(('2029'!Tnet_s-t)/'2029'!Tau_j)),Resal_s+(Salim-Resal_s)*(1-EXP((Tnet_s-t)/Tau_j)))*Salcycl</f>
        <v>5.3186538659602385E-2</v>
      </c>
      <c r="AD223" s="227">
        <f>(INDEX(Models!$BJ223:$BT223,,AH223)*(1-AF223)+INDEX(Models!$BJ223:$BT223,,AH223+1)*AF223-ERP_i)*AE223*Ramure*Pc/MaxiM</f>
        <v>5.7965305807568485E-4</v>
      </c>
      <c r="AE223" s="301">
        <f t="shared" si="92"/>
        <v>0.5</v>
      </c>
      <c r="AF223" s="173">
        <f t="shared" si="93"/>
        <v>0.42853417299619778</v>
      </c>
      <c r="AG223" s="801">
        <f t="shared" si="99"/>
        <v>4</v>
      </c>
      <c r="AH223" s="172">
        <f t="shared" si="94"/>
        <v>10</v>
      </c>
      <c r="AI223" s="221">
        <f t="shared" si="95"/>
        <v>4.4285341729961978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47693</v>
      </c>
      <c r="B224" s="406">
        <f>'2029'!Wh/'2029'!Env_an*'2030'!Env_an</f>
        <v>111.21634665461305</v>
      </c>
      <c r="C224" s="831"/>
      <c r="D224" s="388">
        <f t="shared" si="77"/>
        <v>116.30633676573513</v>
      </c>
      <c r="E224" s="380">
        <f t="shared" si="75"/>
        <v>118.13749504013475</v>
      </c>
      <c r="F224" s="380">
        <f t="shared" si="78"/>
        <v>118.14062825856588</v>
      </c>
      <c r="G224" s="110">
        <f t="shared" si="76"/>
        <v>0.49469242733090374</v>
      </c>
      <c r="H224" s="409" t="b">
        <f>Wh_hp&gt;='2029'!Maxi_hp</f>
        <v>0</v>
      </c>
      <c r="I224" s="385">
        <f>IF(H224,Wh_hp,'2029'!Maxi_hp)</f>
        <v>118.14507297317589</v>
      </c>
      <c r="J224" s="85">
        <f>IF(H224,An,'2029'!An_max)</f>
        <v>2029</v>
      </c>
      <c r="K224" s="193">
        <f t="shared" si="79"/>
        <v>47693</v>
      </c>
      <c r="L224" s="143">
        <f>IF(t&lt;Tvie,1-EXP((T0-t)*PertePVj)+'2029'!Pspv,1-EXP((T0-t)*PertePVj)+Pspv)</f>
        <v>4.3763652546072063E-2</v>
      </c>
      <c r="M224" s="835"/>
      <c r="N224" s="835"/>
      <c r="O224" s="48">
        <f>IF(t&lt;Tnet,'2029'!Resal+('2029'!Salim-'2029'!Resal)*(1-EXP(('2029'!Tnet-t)/('2029'!Tau_j))),Resal+(Salim-Resal)*(1-EXP((Tnet-t)/(Tau_j))))*Salcycl</f>
        <v>1.5500229404538546E-2</v>
      </c>
      <c r="P224" s="165">
        <f>(INDEX(Models!$BJ224:$BT224,,T224)*(1-R224)+INDEX(Models!$BJ224:$BT224,,T224+1)*R224-ERP_i)*Q224*Ramure*Pc/MaxiM</f>
        <v>9.5337648856993958E-5</v>
      </c>
      <c r="Q224" s="301">
        <f t="shared" si="80"/>
        <v>0.5</v>
      </c>
      <c r="R224" s="173">
        <f t="shared" si="81"/>
        <v>0.9057190756262532</v>
      </c>
      <c r="S224" s="801">
        <f t="shared" si="82"/>
        <v>0</v>
      </c>
      <c r="T224" s="172">
        <f t="shared" si="83"/>
        <v>6</v>
      </c>
      <c r="U224" s="247">
        <f t="shared" si="84"/>
        <v>0.9057190756262532</v>
      </c>
      <c r="V224" s="378">
        <f t="shared" si="85"/>
        <v>224.80370990429353</v>
      </c>
      <c r="W224" s="397">
        <f t="shared" si="86"/>
        <v>111.21634665461305</v>
      </c>
      <c r="X224" s="153">
        <f t="shared" si="87"/>
        <v>47693</v>
      </c>
      <c r="Y224" s="380">
        <f t="shared" si="88"/>
        <v>106.94056198864823</v>
      </c>
      <c r="Z224" s="380">
        <f t="shared" si="89"/>
        <v>111.83486412474055</v>
      </c>
      <c r="AA224" s="381">
        <f t="shared" si="90"/>
        <v>118.12130355392829</v>
      </c>
      <c r="AB224" s="193">
        <f t="shared" si="91"/>
        <v>47693</v>
      </c>
      <c r="AC224" s="119">
        <f>IF(OR(t&lt;Tnet,NoTnet),'2029'!Resal_s+('2029'!Salim-'2029'!Resal_s)*(1-EXP(('2029'!Tnet_s-t)/'2029'!Tau_j)),Resal_s+(Salim-Resal_s)*(1-EXP((Tnet_s-t)/Tau_j)))*Salcycl</f>
        <v>5.3220200252172674E-2</v>
      </c>
      <c r="AD224" s="227">
        <f>(INDEX(Models!$BJ224:$BT224,,AH224)*(1-AF224)+INDEX(Models!$BJ224:$BT224,,AH224+1)*AF224-ERP_i)*AE224*Ramure*Pc/MaxiM</f>
        <v>5.8801259647260477E-4</v>
      </c>
      <c r="AE224" s="301">
        <f t="shared" si="92"/>
        <v>0.5</v>
      </c>
      <c r="AF224" s="173">
        <f t="shared" si="93"/>
        <v>0.43070664200023145</v>
      </c>
      <c r="AG224" s="801">
        <f t="shared" si="99"/>
        <v>4</v>
      </c>
      <c r="AH224" s="172">
        <f t="shared" si="94"/>
        <v>10</v>
      </c>
      <c r="AI224" s="221">
        <f t="shared" si="95"/>
        <v>4.4307066420002315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47694</v>
      </c>
      <c r="B225" s="406">
        <f>'2029'!Wh/'2029'!Env_an*'2030'!Env_an</f>
        <v>192.50235839756743</v>
      </c>
      <c r="C225" s="831"/>
      <c r="D225" s="388">
        <f t="shared" si="77"/>
        <v>201.31528585148968</v>
      </c>
      <c r="E225" s="380">
        <f t="shared" si="75"/>
        <v>204.50041598331796</v>
      </c>
      <c r="F225" s="380">
        <f t="shared" si="78"/>
        <v>204.51623564489671</v>
      </c>
      <c r="G225" s="110">
        <f t="shared" si="76"/>
        <v>0.85841022306089043</v>
      </c>
      <c r="H225" s="409" t="b">
        <f>Wh_hp&gt;='2029'!Maxi_hp</f>
        <v>0</v>
      </c>
      <c r="I225" s="385">
        <f>IF(H225,Wh_hp,'2029'!Maxi_hp)</f>
        <v>204.51842335448276</v>
      </c>
      <c r="J225" s="85">
        <f>IF(H225,An,'2029'!An_max)</f>
        <v>2029</v>
      </c>
      <c r="K225" s="193">
        <f t="shared" si="79"/>
        <v>47694</v>
      </c>
      <c r="L225" s="143">
        <f>IF(t&lt;Tvie,1-EXP((T0-t)*PertePVj)+'2029'!Pspv,1-EXP((T0-t)*PertePVj)+Pspv)</f>
        <v>4.3776742618658049E-2</v>
      </c>
      <c r="M225" s="835"/>
      <c r="N225" s="835"/>
      <c r="O225" s="48">
        <f>IF(t&lt;Tnet,'2029'!Resal+('2029'!Salim-'2029'!Resal)*(1-EXP(('2029'!Tnet-t)/('2029'!Tau_j))),Resal+(Salim-Resal)*(1-EXP((Tnet-t)/(Tau_j))))*Salcycl</f>
        <v>1.5575176786379293E-2</v>
      </c>
      <c r="P225" s="165">
        <f>(INDEX(Models!$BJ225:$BT225,,T225)*(1-R225)+INDEX(Models!$BJ225:$BT225,,T225+1)*R225-ERP_i)*Q225*Ramure*Pc/MaxiM</f>
        <v>9.6961870416274954E-5</v>
      </c>
      <c r="Q225" s="301">
        <f t="shared" si="80"/>
        <v>0.5</v>
      </c>
      <c r="R225" s="173">
        <f t="shared" si="81"/>
        <v>0.90782435917313564</v>
      </c>
      <c r="S225" s="801">
        <f t="shared" si="82"/>
        <v>0</v>
      </c>
      <c r="T225" s="172">
        <f t="shared" si="83"/>
        <v>6</v>
      </c>
      <c r="U225" s="247">
        <f t="shared" si="84"/>
        <v>0.90782435917313564</v>
      </c>
      <c r="V225" s="378">
        <f t="shared" si="85"/>
        <v>224.25010550218116</v>
      </c>
      <c r="W225" s="397">
        <f t="shared" si="86"/>
        <v>192.50235839756743</v>
      </c>
      <c r="X225" s="153">
        <f t="shared" si="87"/>
        <v>47694</v>
      </c>
      <c r="Y225" s="380">
        <f t="shared" si="88"/>
        <v>185.06058800336152</v>
      </c>
      <c r="Z225" s="380">
        <f t="shared" si="89"/>
        <v>193.53282465661607</v>
      </c>
      <c r="AA225" s="381">
        <f t="shared" si="90"/>
        <v>204.41887476194739</v>
      </c>
      <c r="AB225" s="193">
        <f t="shared" si="91"/>
        <v>47694</v>
      </c>
      <c r="AC225" s="119">
        <f>IF(OR(t&lt;Tnet,NoTnet),'2029'!Resal_s+('2029'!Salim-'2029'!Resal_s)*(1-EXP(('2029'!Tnet_s-t)/'2029'!Tau_j)),Resal_s+(Salim-Resal_s)*(1-EXP((Tnet_s-t)/Tau_j)))*Salcycl</f>
        <v>5.3253644596216884E-2</v>
      </c>
      <c r="AD225" s="227">
        <f>(INDEX(Models!$BJ225:$BT225,,AH225)*(1-AF225)+INDEX(Models!$BJ225:$BT225,,AH225+1)*AF225-ERP_i)*AE225*Ramure*Pc/MaxiM</f>
        <v>5.9674432788306745E-4</v>
      </c>
      <c r="AE225" s="301">
        <f t="shared" si="92"/>
        <v>0.5</v>
      </c>
      <c r="AF225" s="173">
        <f t="shared" si="93"/>
        <v>0.43281192554711367</v>
      </c>
      <c r="AG225" s="801">
        <f t="shared" si="99"/>
        <v>4</v>
      </c>
      <c r="AH225" s="172">
        <f t="shared" si="94"/>
        <v>10</v>
      </c>
      <c r="AI225" s="221">
        <f t="shared" si="95"/>
        <v>4.4328119255471137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47695</v>
      </c>
      <c r="B226" s="406">
        <f>'2029'!Wh/'2029'!Env_an*'2030'!Env_an</f>
        <v>220.29258856158756</v>
      </c>
      <c r="C226" s="831"/>
      <c r="D226" s="388">
        <f t="shared" si="77"/>
        <v>230.38093094148581</v>
      </c>
      <c r="E226" s="380">
        <f t="shared" si="75"/>
        <v>234.04371310294101</v>
      </c>
      <c r="F226" s="380">
        <f t="shared" si="78"/>
        <v>234.06626214603691</v>
      </c>
      <c r="G226" s="110">
        <f t="shared" si="76"/>
        <v>0.98482284433193978</v>
      </c>
      <c r="H226" s="409" t="b">
        <f>Wh_hp&gt;='2029'!Maxi_hp</f>
        <v>0</v>
      </c>
      <c r="I226" s="385">
        <f>IF(H226,Wh_hp,'2029'!Maxi_hp)</f>
        <v>234.06653411113189</v>
      </c>
      <c r="J226" s="85">
        <f>IF(H226,An,'2029'!An_max)</f>
        <v>2029</v>
      </c>
      <c r="K226" s="193">
        <f t="shared" si="79"/>
        <v>47695</v>
      </c>
      <c r="L226" s="143">
        <f>IF(t&lt;Tvie,1-EXP((T0-t)*PertePVj)+'2029'!Pspv,1-EXP((T0-t)*PertePVj)+Pspv)</f>
        <v>4.3789832512051818E-2</v>
      </c>
      <c r="M226" s="835"/>
      <c r="N226" s="835"/>
      <c r="O226" s="48">
        <f>IF(t&lt;Tnet,'2029'!Resal+('2029'!Salim-'2029'!Resal)*(1-EXP(('2029'!Tnet-t)/('2029'!Tau_j))),Resal+(Salim-Resal)*(1-EXP((Tnet-t)/(Tau_j))))*Salcycl</f>
        <v>1.5649991674180023E-2</v>
      </c>
      <c r="P226" s="165">
        <f>(INDEX(Models!$BJ226:$BT226,,T226)*(1-R226)+INDEX(Models!$BJ226:$BT226,,T226+1)*R226-ERP_i)*Q226*Ramure*Pc/MaxiM</f>
        <v>9.8470867587487174E-5</v>
      </c>
      <c r="Q226" s="301">
        <f t="shared" si="80"/>
        <v>0.5</v>
      </c>
      <c r="R226" s="173">
        <f t="shared" si="81"/>
        <v>0.90986383023860873</v>
      </c>
      <c r="S226" s="801">
        <f t="shared" si="82"/>
        <v>0</v>
      </c>
      <c r="T226" s="172">
        <f t="shared" si="83"/>
        <v>6</v>
      </c>
      <c r="U226" s="247">
        <f t="shared" si="84"/>
        <v>0.90986383023860873</v>
      </c>
      <c r="V226" s="378">
        <f t="shared" si="85"/>
        <v>223.68705145520494</v>
      </c>
      <c r="W226" s="397">
        <f t="shared" si="86"/>
        <v>220.29258856158756</v>
      </c>
      <c r="X226" s="153">
        <f t="shared" si="87"/>
        <v>47695</v>
      </c>
      <c r="Y226" s="380">
        <f t="shared" si="88"/>
        <v>211.7644663027223</v>
      </c>
      <c r="Z226" s="380">
        <f t="shared" si="89"/>
        <v>221.46226164802971</v>
      </c>
      <c r="AA226" s="381">
        <f t="shared" si="90"/>
        <v>233.92753057753714</v>
      </c>
      <c r="AB226" s="193">
        <f t="shared" si="91"/>
        <v>47695</v>
      </c>
      <c r="AC226" s="119">
        <f>IF(OR(t&lt;Tnet,NoTnet),'2029'!Resal_s+('2029'!Salim-'2029'!Resal_s)*(1-EXP(('2029'!Tnet_s-t)/'2029'!Tau_j)),Resal_s+(Salim-Resal_s)*(1-EXP((Tnet_s-t)/Tau_j)))*Salcycl</f>
        <v>5.3286882902291402E-2</v>
      </c>
      <c r="AD226" s="227">
        <f>(INDEX(Models!$BJ226:$BT226,,AH226)*(1-AF226)+INDEX(Models!$BJ226:$BT226,,AH226+1)*AF226-ERP_i)*AE226*Ramure*Pc/MaxiM</f>
        <v>6.0583581546402388E-4</v>
      </c>
      <c r="AE226" s="301">
        <f t="shared" si="92"/>
        <v>0.5</v>
      </c>
      <c r="AF226" s="173">
        <f t="shared" si="93"/>
        <v>0.43485139661258643</v>
      </c>
      <c r="AG226" s="801">
        <f t="shared" si="99"/>
        <v>4</v>
      </c>
      <c r="AH226" s="172">
        <f t="shared" si="94"/>
        <v>10</v>
      </c>
      <c r="AI226" s="221">
        <f t="shared" si="95"/>
        <v>4.4348513966125864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47696</v>
      </c>
      <c r="B227" s="406">
        <f>'2029'!Wh/'2029'!Env_an*'2030'!Env_an</f>
        <v>219.22067990894112</v>
      </c>
      <c r="C227" s="831"/>
      <c r="D227" s="388">
        <f t="shared" si="77"/>
        <v>229.26307244040049</v>
      </c>
      <c r="E227" s="380">
        <f t="shared" si="75"/>
        <v>232.9257545696135</v>
      </c>
      <c r="F227" s="380">
        <f t="shared" si="78"/>
        <v>232.94844855216843</v>
      </c>
      <c r="G227" s="110">
        <f t="shared" si="76"/>
        <v>0.98254526492866778</v>
      </c>
      <c r="H227" s="409" t="b">
        <f>Wh_hp&gt;='2029'!Maxi_hp</f>
        <v>0</v>
      </c>
      <c r="I227" s="385">
        <f>IF(H227,Wh_hp,'2029'!Maxi_hp)</f>
        <v>232.94876372391144</v>
      </c>
      <c r="J227" s="85">
        <f>IF(H227,An,'2029'!An_max)</f>
        <v>2029</v>
      </c>
      <c r="K227" s="193">
        <f t="shared" si="79"/>
        <v>47696</v>
      </c>
      <c r="L227" s="143">
        <f>IF(t&lt;Tvie,1-EXP((T0-t)*PertePVj)+'2029'!Pspv,1-EXP((T0-t)*PertePVj)+Pspv)</f>
        <v>4.3802922226256036E-2</v>
      </c>
      <c r="M227" s="835"/>
      <c r="N227" s="835"/>
      <c r="O227" s="48">
        <f>IF(t&lt;Tnet,'2029'!Resal+('2029'!Salim-'2029'!Resal)*(1-EXP(('2029'!Tnet-t)/('2029'!Tau_j))),Resal+(Salim-Resal)*(1-EXP((Tnet-t)/(Tau_j))))*Salcycl</f>
        <v>1.5724676457443246E-2</v>
      </c>
      <c r="P227" s="165">
        <f>(INDEX(Models!$BJ227:$BT227,,T227)*(1-R227)+INDEX(Models!$BJ227:$BT227,,T227+1)*R227-ERP_i)*Q227*Ramure*Pc/MaxiM</f>
        <v>9.9911601111328207E-5</v>
      </c>
      <c r="Q227" s="301">
        <f t="shared" si="80"/>
        <v>0.5</v>
      </c>
      <c r="R227" s="173">
        <f t="shared" si="81"/>
        <v>0.91183888496727794</v>
      </c>
      <c r="S227" s="801">
        <f t="shared" si="82"/>
        <v>0</v>
      </c>
      <c r="T227" s="172">
        <f t="shared" si="83"/>
        <v>6</v>
      </c>
      <c r="U227" s="247">
        <f t="shared" si="84"/>
        <v>0.91183888496727794</v>
      </c>
      <c r="V227" s="378">
        <f t="shared" si="85"/>
        <v>223.11453894934044</v>
      </c>
      <c r="W227" s="397">
        <f t="shared" si="86"/>
        <v>219.22067990894112</v>
      </c>
      <c r="X227" s="153">
        <f t="shared" si="87"/>
        <v>47696</v>
      </c>
      <c r="Y227" s="380">
        <f t="shared" si="88"/>
        <v>210.74149811589794</v>
      </c>
      <c r="Z227" s="380">
        <f t="shared" si="89"/>
        <v>220.39546346089517</v>
      </c>
      <c r="AA227" s="381">
        <f t="shared" si="90"/>
        <v>232.80881187177502</v>
      </c>
      <c r="AB227" s="193">
        <f t="shared" si="91"/>
        <v>47696</v>
      </c>
      <c r="AC227" s="119">
        <f>IF(OR(t&lt;Tnet,NoTnet),'2029'!Resal_s+('2029'!Salim-'2029'!Resal_s)*(1-EXP(('2029'!Tnet_s-t)/'2029'!Tau_j)),Resal_s+(Salim-Resal_s)*(1-EXP((Tnet_s-t)/Tau_j)))*Salcycl</f>
        <v>5.3319925096807747E-2</v>
      </c>
      <c r="AD227" s="227">
        <f>(INDEX(Models!$BJ227:$BT227,,AH227)*(1-AF227)+INDEX(Models!$BJ227:$BT227,,AH227+1)*AF227-ERP_i)*AE227*Ramure*Pc/MaxiM</f>
        <v>6.1475874841332456E-4</v>
      </c>
      <c r="AE227" s="301">
        <f t="shared" si="92"/>
        <v>0.5</v>
      </c>
      <c r="AF227" s="173">
        <f t="shared" si="93"/>
        <v>0.43682645134125586</v>
      </c>
      <c r="AG227" s="801">
        <f t="shared" si="99"/>
        <v>4</v>
      </c>
      <c r="AH227" s="172">
        <f t="shared" si="94"/>
        <v>10</v>
      </c>
      <c r="AI227" s="221">
        <f t="shared" si="95"/>
        <v>4.4368264513412559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47697</v>
      </c>
      <c r="B228" s="406">
        <f>'2029'!Wh/'2029'!Env_an*'2030'!Env_an</f>
        <v>219.27443872795649</v>
      </c>
      <c r="C228" s="831"/>
      <c r="D228" s="388">
        <f t="shared" si="77"/>
        <v>229.3224331562547</v>
      </c>
      <c r="E228" s="380">
        <f t="shared" si="75"/>
        <v>233.0037131571429</v>
      </c>
      <c r="F228" s="380">
        <f t="shared" si="78"/>
        <v>233.02682123385495</v>
      </c>
      <c r="G228" s="110">
        <f t="shared" si="76"/>
        <v>0.98535676911118053</v>
      </c>
      <c r="H228" s="409" t="b">
        <f>Wh_hp&gt;='2029'!Maxi_hp</f>
        <v>0</v>
      </c>
      <c r="I228" s="385">
        <f>IF(H228,Wh_hp,'2029'!Maxi_hp)</f>
        <v>233.02708881208648</v>
      </c>
      <c r="J228" s="85">
        <f>IF(H228,An,'2029'!An_max)</f>
        <v>2029</v>
      </c>
      <c r="K228" s="193">
        <f t="shared" si="79"/>
        <v>47697</v>
      </c>
      <c r="L228" s="143">
        <f>IF(t&lt;Tvie,1-EXP((T0-t)*PertePVj)+'2029'!Pspv,1-EXP((T0-t)*PertePVj)+Pspv)</f>
        <v>4.3816011761273033E-2</v>
      </c>
      <c r="M228" s="835"/>
      <c r="N228" s="835"/>
      <c r="O228" s="48">
        <f>IF(t&lt;Tnet,'2029'!Resal+('2029'!Salim-'2029'!Resal)*(1-EXP(('2029'!Tnet-t)/('2029'!Tau_j))),Resal+(Salim-Resal)*(1-EXP((Tnet-t)/(Tau_j))))*Salcycl</f>
        <v>1.5799233201084031E-2</v>
      </c>
      <c r="P228" s="165">
        <f>(INDEX(Models!$BJ228:$BT228,,T228)*(1-R228)+INDEX(Models!$BJ228:$BT228,,T228+1)*R228-ERP_i)*Q228*Ramure*Pc/MaxiM</f>
        <v>1.0128331334813073E-4</v>
      </c>
      <c r="Q228" s="301">
        <f t="shared" si="80"/>
        <v>0.5</v>
      </c>
      <c r="R228" s="173">
        <f t="shared" si="81"/>
        <v>0.91375093805191476</v>
      </c>
      <c r="S228" s="801">
        <f t="shared" si="82"/>
        <v>0</v>
      </c>
      <c r="T228" s="172">
        <f t="shared" si="83"/>
        <v>6</v>
      </c>
      <c r="U228" s="247">
        <f t="shared" si="84"/>
        <v>0.91375093805191476</v>
      </c>
      <c r="V228" s="378">
        <f t="shared" si="85"/>
        <v>222.53256996584761</v>
      </c>
      <c r="W228" s="397">
        <f t="shared" si="86"/>
        <v>219.27443872795649</v>
      </c>
      <c r="X228" s="153">
        <f t="shared" si="87"/>
        <v>47697</v>
      </c>
      <c r="Y228" s="380">
        <f t="shared" si="88"/>
        <v>210.79986860413075</v>
      </c>
      <c r="Z228" s="380">
        <f t="shared" si="89"/>
        <v>220.45952577852739</v>
      </c>
      <c r="AA228" s="381">
        <f t="shared" si="90"/>
        <v>232.88456468593247</v>
      </c>
      <c r="AB228" s="193">
        <f t="shared" si="91"/>
        <v>47697</v>
      </c>
      <c r="AC228" s="119">
        <f>IF(OR(t&lt;Tnet,NoTnet),'2029'!Resal_s+('2029'!Salim-'2029'!Resal_s)*(1-EXP(('2029'!Tnet_s-t)/'2029'!Tau_j)),Resal_s+(Salim-Resal_s)*(1-EXP((Tnet_s-t)/Tau_j)))*Salcycl</f>
        <v>5.3352779838206431E-2</v>
      </c>
      <c r="AD228" s="227">
        <f>(INDEX(Models!$BJ228:$BT228,,AH228)*(1-AF228)+INDEX(Models!$BJ228:$BT228,,AH228+1)*AF228-ERP_i)*AE228*Ramure*Pc/MaxiM</f>
        <v>6.2351422399150517E-4</v>
      </c>
      <c r="AE228" s="301">
        <f t="shared" si="92"/>
        <v>0.5</v>
      </c>
      <c r="AF228" s="173">
        <f t="shared" si="93"/>
        <v>0.43873850442589291</v>
      </c>
      <c r="AG228" s="801">
        <f t="shared" si="99"/>
        <v>4</v>
      </c>
      <c r="AH228" s="172">
        <f t="shared" si="94"/>
        <v>10</v>
      </c>
      <c r="AI228" s="221">
        <f t="shared" si="95"/>
        <v>4.4387385044258929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47698</v>
      </c>
      <c r="B229" s="406">
        <f>'2029'!Wh/'2029'!Env_an*'2030'!Env_an</f>
        <v>208.19324605512685</v>
      </c>
      <c r="C229" s="831"/>
      <c r="D229" s="388">
        <f t="shared" si="77"/>
        <v>217.73643843204323</v>
      </c>
      <c r="E229" s="380">
        <f t="shared" si="75"/>
        <v>221.24846210133512</v>
      </c>
      <c r="F229" s="380">
        <f t="shared" si="78"/>
        <v>221.26915239359036</v>
      </c>
      <c r="G229" s="110">
        <f t="shared" si="76"/>
        <v>0.93804758222931683</v>
      </c>
      <c r="H229" s="409" t="b">
        <f>Wh_hp&gt;='2029'!Maxi_hp</f>
        <v>0</v>
      </c>
      <c r="I229" s="385">
        <f>IF(H229,Wh_hp,'2029'!Maxi_hp)</f>
        <v>221.2702390111952</v>
      </c>
      <c r="J229" s="85">
        <f>IF(H229,An,'2029'!An_max)</f>
        <v>2029</v>
      </c>
      <c r="K229" s="193">
        <f t="shared" si="79"/>
        <v>47698</v>
      </c>
      <c r="L229" s="143">
        <f>IF(t&lt;Tvie,1-EXP((T0-t)*PertePVj)+'2029'!Pspv,1-EXP((T0-t)*PertePVj)+Pspv)</f>
        <v>4.3829101117105251E-2</v>
      </c>
      <c r="M229" s="835"/>
      <c r="N229" s="835"/>
      <c r="O229" s="48">
        <f>IF(t&lt;Tnet,'2029'!Resal+('2029'!Salim-'2029'!Resal)*(1-EXP(('2029'!Tnet-t)/('2029'!Tau_j))),Resal+(Salim-Resal)*(1-EXP((Tnet-t)/(Tau_j))))*Salcycl</f>
        <v>1.587366364464643E-2</v>
      </c>
      <c r="P229" s="165">
        <f>(INDEX(Models!$BJ229:$BT229,,T229)*(1-R229)+INDEX(Models!$BJ229:$BT229,,T229+1)*R229-ERP_i)*Q229*Ramure*Pc/MaxiM</f>
        <v>1.0258525184025019E-4</v>
      </c>
      <c r="Q229" s="301">
        <f t="shared" si="80"/>
        <v>0.5</v>
      </c>
      <c r="R229" s="173">
        <f t="shared" si="81"/>
        <v>0.91560141837463771</v>
      </c>
      <c r="S229" s="801">
        <f t="shared" si="82"/>
        <v>0</v>
      </c>
      <c r="T229" s="172">
        <f t="shared" si="83"/>
        <v>6</v>
      </c>
      <c r="U229" s="247">
        <f t="shared" si="84"/>
        <v>0.91560141837463771</v>
      </c>
      <c r="V229" s="378">
        <f t="shared" si="85"/>
        <v>221.9411465524216</v>
      </c>
      <c r="W229" s="397">
        <f t="shared" si="86"/>
        <v>208.19324605512685</v>
      </c>
      <c r="X229" s="153">
        <f t="shared" si="87"/>
        <v>47698</v>
      </c>
      <c r="Y229" s="380">
        <f t="shared" si="88"/>
        <v>200.16091098689995</v>
      </c>
      <c r="Z229" s="380">
        <f t="shared" si="89"/>
        <v>209.33591601747156</v>
      </c>
      <c r="AA229" s="381">
        <f t="shared" si="90"/>
        <v>221.14166428322616</v>
      </c>
      <c r="AB229" s="193">
        <f t="shared" si="91"/>
        <v>47698</v>
      </c>
      <c r="AC229" s="119">
        <f>IF(OR(t&lt;Tnet,NoTnet),'2029'!Resal_s+('2029'!Salim-'2029'!Resal_s)*(1-EXP(('2029'!Tnet_s-t)/'2029'!Tau_j)),Resal_s+(Salim-Resal_s)*(1-EXP((Tnet_s-t)/Tau_j)))*Salcycl</f>
        <v>5.3385454541186914E-2</v>
      </c>
      <c r="AD229" s="227">
        <f>(INDEX(Models!$BJ229:$BT229,,AH229)*(1-AF229)+INDEX(Models!$BJ229:$BT229,,AH229+1)*AF229-ERP_i)*AE229*Ramure*Pc/MaxiM</f>
        <v>6.3210319830180246E-4</v>
      </c>
      <c r="AE229" s="301">
        <f t="shared" si="92"/>
        <v>0.5</v>
      </c>
      <c r="AF229" s="173">
        <f t="shared" si="93"/>
        <v>0.44058898474861596</v>
      </c>
      <c r="AG229" s="801">
        <f t="shared" si="99"/>
        <v>4</v>
      </c>
      <c r="AH229" s="172">
        <f t="shared" si="94"/>
        <v>10</v>
      </c>
      <c r="AI229" s="221">
        <f t="shared" si="95"/>
        <v>4.440588984748616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47699</v>
      </c>
      <c r="B230" s="406">
        <f>'2029'!Wh/'2029'!Env_an*'2030'!Env_an</f>
        <v>197.57317838698648</v>
      </c>
      <c r="C230" s="831"/>
      <c r="D230" s="388">
        <f t="shared" si="77"/>
        <v>206.6323951771997</v>
      </c>
      <c r="E230" s="380">
        <f t="shared" si="75"/>
        <v>209.98116838399662</v>
      </c>
      <c r="F230" s="380">
        <f t="shared" si="78"/>
        <v>209.9996255608259</v>
      </c>
      <c r="G230" s="110">
        <f t="shared" si="76"/>
        <v>0.892607707526205</v>
      </c>
      <c r="H230" s="409" t="b">
        <f>Wh_hp&gt;='2029'!Maxi_hp</f>
        <v>0</v>
      </c>
      <c r="I230" s="385">
        <f>IF(H230,Wh_hp,'2029'!Maxi_hp)</f>
        <v>210.00143124713034</v>
      </c>
      <c r="J230" s="85">
        <f>IF(H230,An,'2029'!An_max)</f>
        <v>2029</v>
      </c>
      <c r="K230" s="193">
        <f t="shared" si="79"/>
        <v>47699</v>
      </c>
      <c r="L230" s="143">
        <f>IF(t&lt;Tvie,1-EXP((T0-t)*PertePVj)+'2029'!Pspv,1-EXP((T0-t)*PertePVj)+Pspv)</f>
        <v>4.3842190293755245E-2</v>
      </c>
      <c r="M230" s="835"/>
      <c r="N230" s="835"/>
      <c r="O230" s="48">
        <f>IF(t&lt;Tnet,'2029'!Resal+('2029'!Salim-'2029'!Resal)*(1-EXP(('2029'!Tnet-t)/('2029'!Tau_j))),Resal+(Salim-Resal)*(1-EXP((Tnet-t)/(Tau_j))))*Salcycl</f>
        <v>1.5947969203947622E-2</v>
      </c>
      <c r="P230" s="165">
        <f>(INDEX(Models!$BJ230:$BT230,,T230)*(1-R230)+INDEX(Models!$BJ230:$BT230,,T230+1)*R230-ERP_i)*Q230*Ramure*Pc/MaxiM</f>
        <v>1.038166662046237E-4</v>
      </c>
      <c r="Q230" s="301">
        <f t="shared" si="80"/>
        <v>0.5</v>
      </c>
      <c r="R230" s="173">
        <f t="shared" si="81"/>
        <v>0.91739176490931451</v>
      </c>
      <c r="S230" s="801">
        <f t="shared" si="82"/>
        <v>0</v>
      </c>
      <c r="T230" s="172">
        <f t="shared" si="83"/>
        <v>6</v>
      </c>
      <c r="U230" s="247">
        <f t="shared" si="84"/>
        <v>0.91739176490931451</v>
      </c>
      <c r="V230" s="378">
        <f t="shared" si="85"/>
        <v>221.34027081988674</v>
      </c>
      <c r="W230" s="397">
        <f t="shared" si="86"/>
        <v>197.57317838698648</v>
      </c>
      <c r="X230" s="153">
        <f t="shared" si="87"/>
        <v>47699</v>
      </c>
      <c r="Y230" s="380">
        <f t="shared" si="88"/>
        <v>189.96377431185232</v>
      </c>
      <c r="Z230" s="380">
        <f t="shared" si="89"/>
        <v>198.67408118562969</v>
      </c>
      <c r="AA230" s="381">
        <f t="shared" si="90"/>
        <v>209.88574875337335</v>
      </c>
      <c r="AB230" s="193">
        <f t="shared" si="91"/>
        <v>47699</v>
      </c>
      <c r="AC230" s="119">
        <f>IF(OR(t&lt;Tnet,NoTnet),'2029'!Resal_s+('2029'!Salim-'2029'!Resal_s)*(1-EXP(('2029'!Tnet_s-t)/'2029'!Tau_j)),Resal_s+(Salim-Resal_s)*(1-EXP((Tnet_s-t)/Tau_j)))*Salcycl</f>
        <v>5.3417955408291966E-2</v>
      </c>
      <c r="AD230" s="227">
        <f>(INDEX(Models!$BJ230:$BT230,,AH230)*(1-AF230)+INDEX(Models!$BJ230:$BT230,,AH230+1)*AF230-ERP_i)*AE230*Ramure*Pc/MaxiM</f>
        <v>6.4052648013826128E-4</v>
      </c>
      <c r="AE230" s="301">
        <f t="shared" si="92"/>
        <v>0.5</v>
      </c>
      <c r="AF230" s="173">
        <f t="shared" si="93"/>
        <v>0.4423793312832931</v>
      </c>
      <c r="AG230" s="801">
        <f t="shared" si="99"/>
        <v>4</v>
      </c>
      <c r="AH230" s="172">
        <f t="shared" si="94"/>
        <v>10</v>
      </c>
      <c r="AI230" s="221">
        <f t="shared" si="95"/>
        <v>4.4423793312832931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47700</v>
      </c>
      <c r="B231" s="406">
        <f>'2029'!Wh/'2029'!Env_an*'2030'!Env_an</f>
        <v>183.82464222054216</v>
      </c>
      <c r="C231" s="831"/>
      <c r="D231" s="388">
        <f t="shared" si="77"/>
        <v>192.25608659353986</v>
      </c>
      <c r="E231" s="380">
        <f t="shared" si="75"/>
        <v>195.38660020043986</v>
      </c>
      <c r="F231" s="380">
        <f t="shared" si="78"/>
        <v>195.40221339439867</v>
      </c>
      <c r="G231" s="110">
        <f t="shared" si="76"/>
        <v>0.8327824876618054</v>
      </c>
      <c r="H231" s="409" t="b">
        <f>Wh_hp&gt;='2029'!Maxi_hp</f>
        <v>0</v>
      </c>
      <c r="I231" s="385">
        <f>IF(H231,Wh_hp,'2029'!Maxi_hp)</f>
        <v>195.40485390053539</v>
      </c>
      <c r="J231" s="85">
        <f>IF(H231,An,'2029'!An_max)</f>
        <v>2029</v>
      </c>
      <c r="K231" s="193">
        <f t="shared" si="79"/>
        <v>47700</v>
      </c>
      <c r="L231" s="143">
        <f>IF(t&lt;Tvie,1-EXP((T0-t)*PertePVj)+'2029'!Pspv,1-EXP((T0-t)*PertePVj)+Pspv)</f>
        <v>4.3855279291225346E-2</v>
      </c>
      <c r="M231" s="835"/>
      <c r="N231" s="835"/>
      <c r="O231" s="48">
        <f>IF(t&lt;Tnet,'2029'!Resal+('2029'!Salim-'2029'!Resal)*(1-EXP(('2029'!Tnet-t)/('2029'!Tau_j))),Resal+(Salim-Resal)*(1-EXP((Tnet-t)/(Tau_j))))*Salcycl</f>
        <v>1.602215097498251E-2</v>
      </c>
      <c r="P231" s="165">
        <f>(INDEX(Models!$BJ231:$BT231,,T231)*(1-R231)+INDEX(Models!$BJ231:$BT231,,T231+1)*R231-ERP_i)*Q231*Ramure*Pc/MaxiM</f>
        <v>1.0497680533647556E-4</v>
      </c>
      <c r="Q231" s="301">
        <f t="shared" si="80"/>
        <v>0.5</v>
      </c>
      <c r="R231" s="173">
        <f t="shared" si="81"/>
        <v>0.91912342288295679</v>
      </c>
      <c r="S231" s="801">
        <f t="shared" si="82"/>
        <v>0</v>
      </c>
      <c r="T231" s="172">
        <f t="shared" si="83"/>
        <v>6</v>
      </c>
      <c r="U231" s="247">
        <f t="shared" si="84"/>
        <v>0.91912342288295679</v>
      </c>
      <c r="V231" s="378">
        <f t="shared" si="85"/>
        <v>220.72994493155608</v>
      </c>
      <c r="W231" s="397">
        <f t="shared" si="86"/>
        <v>183.82464222054216</v>
      </c>
      <c r="X231" s="153">
        <f t="shared" si="87"/>
        <v>47700</v>
      </c>
      <c r="Y231" s="380">
        <f t="shared" si="88"/>
        <v>176.75919763725236</v>
      </c>
      <c r="Z231" s="380">
        <f t="shared" si="89"/>
        <v>184.86657281987985</v>
      </c>
      <c r="AA231" s="381">
        <f t="shared" si="90"/>
        <v>195.30571968099051</v>
      </c>
      <c r="AB231" s="193">
        <f t="shared" si="91"/>
        <v>47700</v>
      </c>
      <c r="AC231" s="119">
        <f>IF(OR(t&lt;Tnet,NoTnet),'2029'!Resal_s+('2029'!Salim-'2029'!Resal_s)*(1-EXP(('2029'!Tnet_s-t)/'2029'!Tau_j)),Resal_s+(Salim-Resal_s)*(1-EXP((Tnet_s-t)/Tau_j)))*Salcycl</f>
        <v>5.3450287468087436E-2</v>
      </c>
      <c r="AD231" s="227">
        <f>(INDEX(Models!$BJ231:$BT231,,AH231)*(1-AF231)+INDEX(Models!$BJ231:$BT231,,AH231+1)*AF231-ERP_i)*AE231*Ramure*Pc/MaxiM</f>
        <v>6.4878472626196801E-4</v>
      </c>
      <c r="AE231" s="301">
        <f t="shared" si="92"/>
        <v>0.5</v>
      </c>
      <c r="AF231" s="173">
        <f t="shared" si="93"/>
        <v>0.44411098925693526</v>
      </c>
      <c r="AG231" s="801">
        <f t="shared" si="99"/>
        <v>4</v>
      </c>
      <c r="AH231" s="172">
        <f t="shared" si="94"/>
        <v>10</v>
      </c>
      <c r="AI231" s="221">
        <f t="shared" si="95"/>
        <v>4.4441109892569353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47701</v>
      </c>
      <c r="B232" s="406">
        <f>'2029'!Wh/'2029'!Env_an*'2030'!Env_an</f>
        <v>197.16771064246521</v>
      </c>
      <c r="C232" s="831"/>
      <c r="D232" s="388">
        <f t="shared" si="77"/>
        <v>206.21398149188036</v>
      </c>
      <c r="E232" s="380">
        <f t="shared" si="75"/>
        <v>209.58754660083841</v>
      </c>
      <c r="F232" s="380">
        <f t="shared" si="78"/>
        <v>209.60646810984508</v>
      </c>
      <c r="G232" s="110">
        <f t="shared" si="76"/>
        <v>0.89575413721015174</v>
      </c>
      <c r="H232" s="409" t="b">
        <f>Wh_hp&gt;='2029'!Maxi_hp</f>
        <v>0</v>
      </c>
      <c r="I232" s="385">
        <f>IF(H232,Wh_hp,'2029'!Maxi_hp)</f>
        <v>209.60824900891876</v>
      </c>
      <c r="J232" s="85">
        <f>IF(H232,An,'2029'!An_max)</f>
        <v>2029</v>
      </c>
      <c r="K232" s="193">
        <f t="shared" si="79"/>
        <v>47701</v>
      </c>
      <c r="L232" s="143">
        <f>IF(t&lt;Tvie,1-EXP((T0-t)*PertePVj)+'2029'!Pspv,1-EXP((T0-t)*PertePVj)+Pspv)</f>
        <v>4.3868368109518108E-2</v>
      </c>
      <c r="M232" s="835"/>
      <c r="N232" s="835"/>
      <c r="O232" s="48">
        <f>IF(t&lt;Tnet,'2029'!Resal+('2029'!Salim-'2029'!Resal)*(1-EXP(('2029'!Tnet-t)/('2029'!Tau_j))),Resal+(Salim-Resal)*(1-EXP((Tnet-t)/(Tau_j))))*Salcycl</f>
        <v>1.6096209739899447E-2</v>
      </c>
      <c r="P232" s="165">
        <f>(INDEX(Models!$BJ232:$BT232,,T232)*(1-R232)+INDEX(Models!$BJ232:$BT232,,T232+1)*R232-ERP_i)*Q232*Ramure*Pc/MaxiM</f>
        <v>1.0606491490361112E-4</v>
      </c>
      <c r="Q232" s="301">
        <f t="shared" si="80"/>
        <v>0.5</v>
      </c>
      <c r="R232" s="173">
        <f t="shared" si="81"/>
        <v>0.92079784019248834</v>
      </c>
      <c r="S232" s="801">
        <f t="shared" si="82"/>
        <v>0</v>
      </c>
      <c r="T232" s="172">
        <f t="shared" si="83"/>
        <v>6</v>
      </c>
      <c r="U232" s="247">
        <f t="shared" si="84"/>
        <v>0.92079784019248834</v>
      </c>
      <c r="V232" s="378">
        <f t="shared" si="85"/>
        <v>220.11017112526434</v>
      </c>
      <c r="W232" s="397">
        <f t="shared" si="86"/>
        <v>197.16771064246521</v>
      </c>
      <c r="X232" s="153">
        <f t="shared" si="87"/>
        <v>47701</v>
      </c>
      <c r="Y232" s="380">
        <f t="shared" si="88"/>
        <v>189.58683102167549</v>
      </c>
      <c r="Z232" s="380">
        <f t="shared" si="89"/>
        <v>198.2852827981653</v>
      </c>
      <c r="AA232" s="381">
        <f t="shared" si="90"/>
        <v>209.48928391853241</v>
      </c>
      <c r="AB232" s="193">
        <f t="shared" si="91"/>
        <v>47701</v>
      </c>
      <c r="AC232" s="119">
        <f>IF(OR(t&lt;Tnet,NoTnet),'2029'!Resal_s+('2029'!Salim-'2029'!Resal_s)*(1-EXP(('2029'!Tnet_s-t)/'2029'!Tau_j)),Resal_s+(Salim-Resal_s)*(1-EXP((Tnet_s-t)/Tau_j)))*Salcycl</f>
        <v>5.3482454619130718E-2</v>
      </c>
      <c r="AD232" s="227">
        <f>(INDEX(Models!$BJ232:$BT232,,AH232)*(1-AF232)+INDEX(Models!$BJ232:$BT232,,AH232+1)*AF232-ERP_i)*AE232*Ramure*Pc/MaxiM</f>
        <v>6.5687843793243203E-4</v>
      </c>
      <c r="AE232" s="301">
        <f t="shared" si="92"/>
        <v>0.5</v>
      </c>
      <c r="AF232" s="173">
        <f t="shared" si="93"/>
        <v>0.44578540656646659</v>
      </c>
      <c r="AG232" s="801">
        <f t="shared" si="99"/>
        <v>4</v>
      </c>
      <c r="AH232" s="172">
        <f t="shared" si="94"/>
        <v>10</v>
      </c>
      <c r="AI232" s="221">
        <f t="shared" si="95"/>
        <v>4.4457854065664666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47702</v>
      </c>
      <c r="B233" s="406">
        <f>'2029'!Wh/'2029'!Env_an*'2030'!Env_an</f>
        <v>210.70285348276425</v>
      </c>
      <c r="C233" s="831"/>
      <c r="D233" s="388">
        <f t="shared" si="77"/>
        <v>220.37314825654454</v>
      </c>
      <c r="E233" s="380">
        <f t="shared" ref="E233:E296" si="100">Wh_pvt/(1-Psa)</f>
        <v>223.99518306435556</v>
      </c>
      <c r="F233" s="380">
        <f t="shared" si="78"/>
        <v>224.01780010332803</v>
      </c>
      <c r="G233" s="110">
        <f t="shared" ref="G233:G296" si="101">+Wh_hp/MaxiM</f>
        <v>0.95999444572900872</v>
      </c>
      <c r="H233" s="409" t="b">
        <f>Wh_hp&gt;='2029'!Maxi_hp</f>
        <v>0</v>
      </c>
      <c r="I233" s="385">
        <f>IF(H233,Wh_hp,'2029'!Maxi_hp)</f>
        <v>224.01853624492227</v>
      </c>
      <c r="J233" s="85">
        <f>IF(H233,An,'2029'!An_max)</f>
        <v>2029</v>
      </c>
      <c r="K233" s="193">
        <f t="shared" si="79"/>
        <v>47702</v>
      </c>
      <c r="L233" s="143">
        <f>IF(t&lt;Tvie,1-EXP((T0-t)*PertePVj)+'2029'!Pspv,1-EXP((T0-t)*PertePVj)+Pspv)</f>
        <v>4.3881456748635861E-2</v>
      </c>
      <c r="M233" s="835"/>
      <c r="N233" s="835"/>
      <c r="O233" s="48">
        <f>IF(t&lt;Tnet,'2029'!Resal+('2029'!Salim-'2029'!Resal)*(1-EXP(('2029'!Tnet-t)/('2029'!Tau_j))),Resal+(Salim-Resal)*(1-EXP((Tnet-t)/(Tau_j))))*Salcycl</f>
        <v>1.6170145974837246E-2</v>
      </c>
      <c r="P233" s="165">
        <f>(INDEX(Models!$BJ233:$BT233,,T233)*(1-R233)+INDEX(Models!$BJ233:$BT233,,T233+1)*R233-ERP_i)*Q233*Ramure*Pc/MaxiM</f>
        <v>1.0707969166943517E-4</v>
      </c>
      <c r="Q233" s="301">
        <f t="shared" si="80"/>
        <v>0.5</v>
      </c>
      <c r="R233" s="173">
        <f t="shared" si="81"/>
        <v>0.92241646407205202</v>
      </c>
      <c r="S233" s="801">
        <f t="shared" si="82"/>
        <v>0</v>
      </c>
      <c r="T233" s="172">
        <f t="shared" si="83"/>
        <v>6</v>
      </c>
      <c r="U233" s="247">
        <f t="shared" si="84"/>
        <v>0.92241646407205202</v>
      </c>
      <c r="V233" s="378">
        <f t="shared" si="85"/>
        <v>219.48206580087174</v>
      </c>
      <c r="W233" s="397">
        <f t="shared" si="86"/>
        <v>210.70285348276425</v>
      </c>
      <c r="X233" s="153">
        <f t="shared" si="87"/>
        <v>47702</v>
      </c>
      <c r="Y233" s="380">
        <f t="shared" si="88"/>
        <v>202.59836891341604</v>
      </c>
      <c r="Z233" s="380">
        <f t="shared" si="89"/>
        <v>211.89670500946744</v>
      </c>
      <c r="AA233" s="381">
        <f t="shared" si="90"/>
        <v>223.87738214952162</v>
      </c>
      <c r="AB233" s="193">
        <f t="shared" si="91"/>
        <v>47702</v>
      </c>
      <c r="AC233" s="119">
        <f>IF(OR(t&lt;Tnet,NoTnet),'2029'!Resal_s+('2029'!Salim-'2029'!Resal_s)*(1-EXP(('2029'!Tnet_s-t)/'2029'!Tau_j)),Resal_s+(Salim-Resal_s)*(1-EXP((Tnet_s-t)/Tau_j)))*Salcycl</f>
        <v>5.3514459678881771E-2</v>
      </c>
      <c r="AD233" s="227">
        <f>(INDEX(Models!$BJ233:$BT233,,AH233)*(1-AF233)+INDEX(Models!$BJ233:$BT233,,AH233+1)*AF233-ERP_i)*AE233*Ramure*Pc/MaxiM</f>
        <v>6.6480458457688902E-4</v>
      </c>
      <c r="AE233" s="301">
        <f t="shared" si="92"/>
        <v>0.5</v>
      </c>
      <c r="AF233" s="173">
        <f t="shared" si="93"/>
        <v>0.44740403044603028</v>
      </c>
      <c r="AG233" s="801">
        <f t="shared" si="99"/>
        <v>4</v>
      </c>
      <c r="AH233" s="172">
        <f t="shared" si="94"/>
        <v>10</v>
      </c>
      <c r="AI233" s="221">
        <f t="shared" si="95"/>
        <v>4.4474040304460303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47703</v>
      </c>
      <c r="B234" s="406">
        <f>'2029'!Wh/'2029'!Env_an*'2030'!Env_an</f>
        <v>214.39554089379197</v>
      </c>
      <c r="C234" s="831"/>
      <c r="D234" s="388">
        <f t="shared" si="77"/>
        <v>224.23838272166736</v>
      </c>
      <c r="E234" s="380">
        <f t="shared" si="100"/>
        <v>227.94104795495667</v>
      </c>
      <c r="F234" s="380">
        <f t="shared" si="78"/>
        <v>227.96496111307334</v>
      </c>
      <c r="G234" s="110">
        <f t="shared" si="101"/>
        <v>0.97965910958849856</v>
      </c>
      <c r="H234" s="409" t="b">
        <f>Wh_hp&gt;='2029'!Maxi_hp</f>
        <v>0</v>
      </c>
      <c r="I234" s="385">
        <f>IF(H234,Wh_hp,'2029'!Maxi_hp)</f>
        <v>227.96534476449787</v>
      </c>
      <c r="J234" s="85">
        <f>IF(H234,An,'2029'!An_max)</f>
        <v>2029</v>
      </c>
      <c r="K234" s="193">
        <f t="shared" si="79"/>
        <v>47703</v>
      </c>
      <c r="L234" s="143">
        <f>IF(t&lt;Tvie,1-EXP((T0-t)*PertePVj)+'2029'!Pspv,1-EXP((T0-t)*PertePVj)+Pspv)</f>
        <v>4.389454520858127E-2</v>
      </c>
      <c r="M234" s="835"/>
      <c r="N234" s="835"/>
      <c r="O234" s="48">
        <f>IF(t&lt;Tnet,'2029'!Resal+('2029'!Salim-'2029'!Resal)*(1-EXP(('2029'!Tnet-t)/('2029'!Tau_j))),Resal+(Salim-Resal)*(1-EXP((Tnet-t)/(Tau_j))))*Salcycl</f>
        <v>1.6243959859397371E-2</v>
      </c>
      <c r="P234" s="165">
        <f>(INDEX(Models!$BJ234:$BT234,,T234)*(1-R234)+INDEX(Models!$BJ234:$BT234,,T234+1)*R234-ERP_i)*Q234*Ramure*Pc/MaxiM</f>
        <v>1.0803731152160815E-4</v>
      </c>
      <c r="Q234" s="301">
        <f t="shared" si="80"/>
        <v>0.5</v>
      </c>
      <c r="R234" s="173">
        <f t="shared" si="81"/>
        <v>0.92398073800497349</v>
      </c>
      <c r="S234" s="801">
        <f t="shared" si="82"/>
        <v>0</v>
      </c>
      <c r="T234" s="172">
        <f t="shared" si="83"/>
        <v>6</v>
      </c>
      <c r="U234" s="247">
        <f t="shared" si="84"/>
        <v>0.92398073800497349</v>
      </c>
      <c r="V234" s="378">
        <f t="shared" si="85"/>
        <v>218.84639846114013</v>
      </c>
      <c r="W234" s="397">
        <f t="shared" si="86"/>
        <v>214.39554089379197</v>
      </c>
      <c r="X234" s="153">
        <f t="shared" si="87"/>
        <v>47703</v>
      </c>
      <c r="Y234" s="380">
        <f t="shared" si="88"/>
        <v>206.15301674030243</v>
      </c>
      <c r="Z234" s="380">
        <f t="shared" si="89"/>
        <v>215.61744649315509</v>
      </c>
      <c r="AA234" s="381">
        <f t="shared" si="90"/>
        <v>227.81615994940205</v>
      </c>
      <c r="AB234" s="193">
        <f t="shared" si="91"/>
        <v>47703</v>
      </c>
      <c r="AC234" s="119">
        <f>IF(OR(t&lt;Tnet,NoTnet),'2029'!Resal_s+('2029'!Salim-'2029'!Resal_s)*(1-EXP(('2029'!Tnet_s-t)/'2029'!Tau_j)),Resal_s+(Salim-Resal_s)*(1-EXP((Tnet_s-t)/Tau_j)))*Salcycl</f>
        <v>5.35463044366839E-2</v>
      </c>
      <c r="AD234" s="227">
        <f>(INDEX(Models!$BJ234:$BT234,,AH234)*(1-AF234)+INDEX(Models!$BJ234:$BT234,,AH234+1)*AF234-ERP_i)*AE234*Ramure*Pc/MaxiM</f>
        <v>6.7226911627070451E-4</v>
      </c>
      <c r="AE234" s="301">
        <f t="shared" si="92"/>
        <v>0.5</v>
      </c>
      <c r="AF234" s="173">
        <f t="shared" si="93"/>
        <v>0.44896830437895119</v>
      </c>
      <c r="AG234" s="801">
        <f t="shared" si="99"/>
        <v>4</v>
      </c>
      <c r="AH234" s="172">
        <f t="shared" si="94"/>
        <v>10</v>
      </c>
      <c r="AI234" s="221">
        <f t="shared" si="95"/>
        <v>4.4489683043789512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47704</v>
      </c>
      <c r="B235" s="406">
        <f>'2029'!Wh/'2029'!Env_an*'2030'!Env_an</f>
        <v>204.32512388292284</v>
      </c>
      <c r="C235" s="831"/>
      <c r="D235" s="388">
        <f t="shared" si="77"/>
        <v>213.70856105527565</v>
      </c>
      <c r="E235" s="380">
        <f t="shared" si="100"/>
        <v>217.25363003106838</v>
      </c>
      <c r="F235" s="380">
        <f t="shared" si="78"/>
        <v>217.2751619743066</v>
      </c>
      <c r="G235" s="110">
        <f t="shared" si="101"/>
        <v>0.93639150208239386</v>
      </c>
      <c r="H235" s="409" t="b">
        <f>Wh_hp&gt;='2029'!Maxi_hp</f>
        <v>0</v>
      </c>
      <c r="I235" s="385">
        <f>IF(H235,Wh_hp,'2029'!Maxi_hp)</f>
        <v>217.27631381130089</v>
      </c>
      <c r="J235" s="85">
        <f>IF(H235,An,'2029'!An_max)</f>
        <v>2029</v>
      </c>
      <c r="K235" s="193">
        <f t="shared" si="79"/>
        <v>47704</v>
      </c>
      <c r="L235" s="143">
        <f>IF(t&lt;Tvie,1-EXP((T0-t)*PertePVj)+'2029'!Pspv,1-EXP((T0-t)*PertePVj)+Pspv)</f>
        <v>4.3907633489356557E-2</v>
      </c>
      <c r="M235" s="835"/>
      <c r="N235" s="835"/>
      <c r="O235" s="48">
        <f>IF(t&lt;Tnet,'2029'!Resal+('2029'!Salim-'2029'!Resal)*(1-EXP(('2029'!Tnet-t)/('2029'!Tau_j))),Resal+(Salim-Resal)*(1-EXP((Tnet-t)/(Tau_j))))*Salcycl</f>
        <v>1.6317651287510199E-2</v>
      </c>
      <c r="P235" s="165">
        <f>(INDEX(Models!$BJ235:$BT235,,T235)*(1-R235)+INDEX(Models!$BJ235:$BT235,,T235+1)*R235-ERP_i)*Q235*Ramure*Pc/MaxiM</f>
        <v>1.0900351002037629E-4</v>
      </c>
      <c r="Q235" s="301">
        <f t="shared" si="80"/>
        <v>0.5</v>
      </c>
      <c r="R235" s="173">
        <f t="shared" si="81"/>
        <v>0.92549209887360173</v>
      </c>
      <c r="S235" s="801">
        <f t="shared" si="82"/>
        <v>0</v>
      </c>
      <c r="T235" s="172">
        <f t="shared" si="83"/>
        <v>6</v>
      </c>
      <c r="U235" s="247">
        <f t="shared" si="84"/>
        <v>0.92549209887360173</v>
      </c>
      <c r="V235" s="378">
        <f t="shared" si="85"/>
        <v>218.20264245058618</v>
      </c>
      <c r="W235" s="397">
        <f t="shared" si="86"/>
        <v>204.32512388292284</v>
      </c>
      <c r="X235" s="153">
        <f t="shared" si="87"/>
        <v>47704</v>
      </c>
      <c r="Y235" s="380">
        <f t="shared" si="88"/>
        <v>196.48364200938681</v>
      </c>
      <c r="Z235" s="380">
        <f t="shared" si="89"/>
        <v>205.50696657737566</v>
      </c>
      <c r="AA235" s="381">
        <f t="shared" si="90"/>
        <v>217.14094171836499</v>
      </c>
      <c r="AB235" s="193">
        <f t="shared" si="91"/>
        <v>47704</v>
      </c>
      <c r="AC235" s="119">
        <f>IF(OR(t&lt;Tnet,NoTnet),'2029'!Resal_s+('2029'!Salim-'2029'!Resal_s)*(1-EXP(('2029'!Tnet_s-t)/'2029'!Tau_j)),Resal_s+(Salim-Resal_s)*(1-EXP((Tnet_s-t)/Tau_j)))*Salcycl</f>
        <v>5.357798970992185E-2</v>
      </c>
      <c r="AD235" s="227">
        <f>(INDEX(Models!$BJ235:$BT235,,AH235)*(1-AF235)+INDEX(Models!$BJ235:$BT235,,AH235+1)*AF235-ERP_i)*AE235*Ramure*Pc/MaxiM</f>
        <v>6.7947787394849425E-4</v>
      </c>
      <c r="AE235" s="301">
        <f t="shared" si="92"/>
        <v>0.5</v>
      </c>
      <c r="AF235" s="173">
        <f t="shared" si="93"/>
        <v>0.45047966524758021</v>
      </c>
      <c r="AG235" s="801">
        <f t="shared" si="99"/>
        <v>4</v>
      </c>
      <c r="AH235" s="172">
        <f t="shared" si="94"/>
        <v>10</v>
      </c>
      <c r="AI235" s="221">
        <f t="shared" si="95"/>
        <v>4.4504796652475802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47705</v>
      </c>
      <c r="B236" s="406">
        <f>'2029'!Wh/'2029'!Env_an*'2030'!Env_an</f>
        <v>198.62234984619232</v>
      </c>
      <c r="C236" s="831"/>
      <c r="D236" s="388">
        <f t="shared" si="77"/>
        <v>207.74673641783133</v>
      </c>
      <c r="E236" s="380">
        <f t="shared" si="100"/>
        <v>211.2087047376385</v>
      </c>
      <c r="F236" s="380">
        <f t="shared" si="78"/>
        <v>211.22904804361073</v>
      </c>
      <c r="G236" s="110">
        <f t="shared" si="101"/>
        <v>0.91298264146424679</v>
      </c>
      <c r="H236" s="409" t="b">
        <f>Wh_hp&gt;='2029'!Maxi_hp</f>
        <v>0</v>
      </c>
      <c r="I236" s="385">
        <f>IF(H236,Wh_hp,'2029'!Maxi_hp)</f>
        <v>211.23059122556415</v>
      </c>
      <c r="J236" s="85">
        <f>IF(H236,An,'2029'!An_max)</f>
        <v>2029</v>
      </c>
      <c r="K236" s="193">
        <f t="shared" si="79"/>
        <v>47705</v>
      </c>
      <c r="L236" s="143">
        <f>IF(t&lt;Tvie,1-EXP((T0-t)*PertePVj)+'2029'!Pspv,1-EXP((T0-t)*PertePVj)+Pspv)</f>
        <v>4.3920721590964273E-2</v>
      </c>
      <c r="M236" s="835"/>
      <c r="N236" s="835"/>
      <c r="O236" s="48">
        <f>IF(t&lt;Tnet,'2029'!Resal+('2029'!Salim-'2029'!Resal)*(1-EXP(('2029'!Tnet-t)/('2029'!Tau_j))),Resal+(Salim-Resal)*(1-EXP((Tnet-t)/(Tau_j))))*Salcycl</f>
        <v>1.6391219879443922E-2</v>
      </c>
      <c r="P236" s="165">
        <f>(INDEX(Models!$BJ236:$BT236,,T236)*(1-R236)+INDEX(Models!$BJ236:$BT236,,T236+1)*R236-ERP_i)*Q236*Ramure*Pc/MaxiM</f>
        <v>1.0997878314520627E-4</v>
      </c>
      <c r="Q236" s="301">
        <f t="shared" si="80"/>
        <v>0.5</v>
      </c>
      <c r="R236" s="173">
        <f t="shared" si="81"/>
        <v>0.92695197433949894</v>
      </c>
      <c r="S236" s="801">
        <f t="shared" si="82"/>
        <v>0</v>
      </c>
      <c r="T236" s="172">
        <f t="shared" si="83"/>
        <v>6</v>
      </c>
      <c r="U236" s="247">
        <f t="shared" si="84"/>
        <v>0.92695197433949894</v>
      </c>
      <c r="V236" s="378">
        <f t="shared" si="85"/>
        <v>217.55028571674336</v>
      </c>
      <c r="W236" s="397">
        <f t="shared" si="86"/>
        <v>198.62234984619232</v>
      </c>
      <c r="X236" s="153">
        <f t="shared" si="87"/>
        <v>47705</v>
      </c>
      <c r="Y236" s="380">
        <f t="shared" si="88"/>
        <v>191.01029455483703</v>
      </c>
      <c r="Z236" s="380">
        <f t="shared" si="89"/>
        <v>199.78499573036225</v>
      </c>
      <c r="AA236" s="381">
        <f t="shared" si="90"/>
        <v>211.10207570960753</v>
      </c>
      <c r="AB236" s="193">
        <f t="shared" si="91"/>
        <v>47705</v>
      </c>
      <c r="AC236" s="119">
        <f>IF(OR(t&lt;Tnet,NoTnet),'2029'!Resal_s+('2029'!Salim-'2029'!Resal_s)*(1-EXP(('2029'!Tnet_s-t)/'2029'!Tau_j)),Resal_s+(Salim-Resal_s)*(1-EXP((Tnet_s-t)/Tau_j)))*Salcycl</f>
        <v>5.3609515402459111E-2</v>
      </c>
      <c r="AD236" s="227">
        <f>(INDEX(Models!$BJ236:$BT236,,AH236)*(1-AF236)+INDEX(Models!$BJ236:$BT236,,AH236+1)*AF236-ERP_i)*AE236*Ramure*Pc/MaxiM</f>
        <v>6.8643035727960632E-4</v>
      </c>
      <c r="AE236" s="301">
        <f t="shared" si="92"/>
        <v>0.5</v>
      </c>
      <c r="AF236" s="173">
        <f t="shared" si="93"/>
        <v>0.45193954071347697</v>
      </c>
      <c r="AG236" s="801">
        <f t="shared" si="99"/>
        <v>4</v>
      </c>
      <c r="AH236" s="172">
        <f t="shared" si="94"/>
        <v>10</v>
      </c>
      <c r="AI236" s="221">
        <f t="shared" si="95"/>
        <v>4.451939540713477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47706</v>
      </c>
      <c r="B237" s="406">
        <f>'2029'!Wh/'2029'!Env_an*'2030'!Env_an</f>
        <v>184.33448872286525</v>
      </c>
      <c r="C237" s="831"/>
      <c r="D237" s="388">
        <f t="shared" si="77"/>
        <v>192.80515361498934</v>
      </c>
      <c r="E237" s="380">
        <f t="shared" si="100"/>
        <v>196.03276745918808</v>
      </c>
      <c r="F237" s="380">
        <f t="shared" si="78"/>
        <v>196.04985719498151</v>
      </c>
      <c r="G237" s="110">
        <f t="shared" si="101"/>
        <v>0.84988292822291722</v>
      </c>
      <c r="H237" s="409" t="b">
        <f>Wh_hp&gt;='2029'!Maxi_hp</f>
        <v>0</v>
      </c>
      <c r="I237" s="385">
        <f>IF(H237,Wh_hp,'2029'!Maxi_hp)</f>
        <v>196.05234647519208</v>
      </c>
      <c r="J237" s="85">
        <f>IF(H237,An,'2029'!An_max)</f>
        <v>2029</v>
      </c>
      <c r="K237" s="193">
        <f t="shared" si="79"/>
        <v>47706</v>
      </c>
      <c r="L237" s="143">
        <f>IF(t&lt;Tvie,1-EXP((T0-t)*PertePVj)+'2029'!Pspv,1-EXP((T0-t)*PertePVj)+Pspv)</f>
        <v>4.3933809513406863E-2</v>
      </c>
      <c r="M237" s="835"/>
      <c r="N237" s="835"/>
      <c r="O237" s="48">
        <f>IF(t&lt;Tnet,'2029'!Resal+('2029'!Salim-'2029'!Resal)*(1-EXP(('2029'!Tnet-t)/('2029'!Tau_j))),Resal+(Salim-Resal)*(1-EXP((Tnet-t)/(Tau_j))))*Salcycl</f>
        <v>1.6464664994696322E-2</v>
      </c>
      <c r="P237" s="165">
        <f>(INDEX(Models!$BJ237:$BT237,,T237)*(1-R237)+INDEX(Models!$BJ237:$BT237,,T237+1)*R237-ERP_i)*Q237*Ramure*Pc/MaxiM</f>
        <v>1.1096362840699695E-4</v>
      </c>
      <c r="Q237" s="301">
        <f t="shared" si="80"/>
        <v>0.5</v>
      </c>
      <c r="R237" s="173">
        <f t="shared" si="81"/>
        <v>0.9283617804458415</v>
      </c>
      <c r="S237" s="801">
        <f t="shared" si="82"/>
        <v>0</v>
      </c>
      <c r="T237" s="172">
        <f t="shared" si="83"/>
        <v>6</v>
      </c>
      <c r="U237" s="247">
        <f t="shared" si="84"/>
        <v>0.9283617804458415</v>
      </c>
      <c r="V237" s="378">
        <f t="shared" si="85"/>
        <v>216.88881644579678</v>
      </c>
      <c r="W237" s="397">
        <f t="shared" si="86"/>
        <v>184.33448872286525</v>
      </c>
      <c r="X237" s="153">
        <f t="shared" si="87"/>
        <v>47706</v>
      </c>
      <c r="Y237" s="380">
        <f t="shared" si="88"/>
        <v>177.28578842954079</v>
      </c>
      <c r="Z237" s="380">
        <f t="shared" si="89"/>
        <v>185.43254660988543</v>
      </c>
      <c r="AA237" s="381">
        <f t="shared" si="90"/>
        <v>195.94310743313505</v>
      </c>
      <c r="AB237" s="193">
        <f t="shared" si="91"/>
        <v>47706</v>
      </c>
      <c r="AC237" s="119">
        <f>IF(OR(t&lt;Tnet,NoTnet),'2029'!Resal_s+('2029'!Salim-'2029'!Resal_s)*(1-EXP(('2029'!Tnet_s-t)/'2029'!Tau_j)),Resal_s+(Salim-Resal_s)*(1-EXP((Tnet_s-t)/Tau_j)))*Salcycl</f>
        <v>5.3640880564458294E-2</v>
      </c>
      <c r="AD237" s="227">
        <f>(INDEX(Models!$BJ237:$BT237,,AH237)*(1-AF237)+INDEX(Models!$BJ237:$BT237,,AH237+1)*AF237-ERP_i)*AE237*Ramure*Pc/MaxiM</f>
        <v>6.9312604063916691E-4</v>
      </c>
      <c r="AE237" s="301">
        <f t="shared" si="92"/>
        <v>0.5</v>
      </c>
      <c r="AF237" s="173">
        <f t="shared" si="93"/>
        <v>0.45334934681981931</v>
      </c>
      <c r="AG237" s="801">
        <f t="shared" si="99"/>
        <v>4</v>
      </c>
      <c r="AH237" s="172">
        <f t="shared" si="94"/>
        <v>10</v>
      </c>
      <c r="AI237" s="221">
        <f t="shared" si="95"/>
        <v>4.4533493468198193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47707</v>
      </c>
      <c r="B238" s="406">
        <f>'2029'!Wh/'2029'!Env_an*'2030'!Env_an</f>
        <v>193.11733515216667</v>
      </c>
      <c r="C238" s="831"/>
      <c r="D238" s="388">
        <f t="shared" si="77"/>
        <v>201.99436056222493</v>
      </c>
      <c r="E238" s="380">
        <f t="shared" si="100"/>
        <v>205.39111590938788</v>
      </c>
      <c r="F238" s="380">
        <f t="shared" si="78"/>
        <v>205.41060335810516</v>
      </c>
      <c r="G238" s="110">
        <f t="shared" si="101"/>
        <v>0.89314618686702063</v>
      </c>
      <c r="H238" s="409" t="b">
        <f>Wh_hp&gt;='2029'!Maxi_hp</f>
        <v>0</v>
      </c>
      <c r="I238" s="385">
        <f>IF(H238,Wh_hp,'2029'!Maxi_hp)</f>
        <v>205.41247375101565</v>
      </c>
      <c r="J238" s="85">
        <f>IF(H238,An,'2029'!An_max)</f>
        <v>2029</v>
      </c>
      <c r="K238" s="193">
        <f t="shared" si="79"/>
        <v>47707</v>
      </c>
      <c r="L238" s="143">
        <f>IF(t&lt;Tvie,1-EXP((T0-t)*PertePVj)+'2029'!Pspv,1-EXP((T0-t)*PertePVj)+Pspv)</f>
        <v>4.3946897256686879E-2</v>
      </c>
      <c r="M238" s="835"/>
      <c r="N238" s="835"/>
      <c r="O238" s="48">
        <f>IF(t&lt;Tnet,'2029'!Resal+('2029'!Salim-'2029'!Resal)*(1-EXP(('2029'!Tnet-t)/('2029'!Tau_j))),Resal+(Salim-Resal)*(1-EXP((Tnet-t)/(Tau_j))))*Salcycl</f>
        <v>1.6537985745505631E-2</v>
      </c>
      <c r="P238" s="165">
        <f>(INDEX(Models!$BJ238:$BT238,,T238)*(1-R238)+INDEX(Models!$BJ238:$BT238,,T238+1)*R238-ERP_i)*Q238*Ramure*Pc/MaxiM</f>
        <v>1.1195854571055216E-4</v>
      </c>
      <c r="Q238" s="301">
        <f t="shared" si="80"/>
        <v>0.5</v>
      </c>
      <c r="R238" s="173">
        <f t="shared" si="81"/>
        <v>0.92972291943340757</v>
      </c>
      <c r="S238" s="801">
        <f t="shared" si="82"/>
        <v>0</v>
      </c>
      <c r="T238" s="172">
        <f t="shared" si="83"/>
        <v>6</v>
      </c>
      <c r="U238" s="247">
        <f t="shared" si="84"/>
        <v>0.92972291943340757</v>
      </c>
      <c r="V238" s="378">
        <f t="shared" si="85"/>
        <v>216.21772305626271</v>
      </c>
      <c r="W238" s="397">
        <f t="shared" si="86"/>
        <v>193.11733515216667</v>
      </c>
      <c r="X238" s="153">
        <f t="shared" si="87"/>
        <v>47707</v>
      </c>
      <c r="Y238" s="380">
        <f t="shared" si="88"/>
        <v>185.73296966392917</v>
      </c>
      <c r="Z238" s="380">
        <f t="shared" si="89"/>
        <v>194.27055791250947</v>
      </c>
      <c r="AA238" s="381">
        <f t="shared" si="90"/>
        <v>205.28883753246004</v>
      </c>
      <c r="AB238" s="193">
        <f t="shared" si="91"/>
        <v>47707</v>
      </c>
      <c r="AC238" s="119">
        <f>IF(OR(t&lt;Tnet,NoTnet),'2029'!Resal_s+('2029'!Salim-'2029'!Resal_s)*(1-EXP(('2029'!Tnet_s-t)/'2029'!Tau_j)),Resal_s+(Salim-Resal_s)*(1-EXP((Tnet_s-t)/Tau_j)))*Salcycl</f>
        <v>5.3672083452702947E-2</v>
      </c>
      <c r="AD238" s="227">
        <f>(INDEX(Models!$BJ238:$BT238,,AH238)*(1-AF238)+INDEX(Models!$BJ238:$BT238,,AH238+1)*AF238-ERP_i)*AE238*Ramure*Pc/MaxiM</f>
        <v>6.9956436854510422E-4</v>
      </c>
      <c r="AE238" s="301">
        <f t="shared" si="92"/>
        <v>0.5</v>
      </c>
      <c r="AF238" s="173">
        <f t="shared" si="93"/>
        <v>0.45471048580738582</v>
      </c>
      <c r="AG238" s="801">
        <f t="shared" si="99"/>
        <v>4</v>
      </c>
      <c r="AH238" s="172">
        <f t="shared" si="94"/>
        <v>10</v>
      </c>
      <c r="AI238" s="221">
        <f t="shared" si="95"/>
        <v>4.4547104858073858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47708</v>
      </c>
      <c r="B239" s="406">
        <f>'2029'!Wh/'2029'!Env_an*'2030'!Env_an</f>
        <v>134.23799438674169</v>
      </c>
      <c r="C239" s="831"/>
      <c r="D239" s="388">
        <f t="shared" si="77"/>
        <v>140.41043497701406</v>
      </c>
      <c r="E239" s="380">
        <f t="shared" si="100"/>
        <v>142.78221621568389</v>
      </c>
      <c r="F239" s="380">
        <f t="shared" si="78"/>
        <v>142.78965469372324</v>
      </c>
      <c r="G239" s="110">
        <f t="shared" si="101"/>
        <v>0.62277074419646283</v>
      </c>
      <c r="H239" s="409" t="b">
        <f>Wh_hp&gt;='2029'!Maxi_hp</f>
        <v>0</v>
      </c>
      <c r="I239" s="385">
        <f>IF(H239,Wh_hp,'2029'!Maxi_hp)</f>
        <v>142.79427961604301</v>
      </c>
      <c r="J239" s="85">
        <f>IF(H239,An,'2029'!An_max)</f>
        <v>2029</v>
      </c>
      <c r="K239" s="193">
        <f t="shared" si="79"/>
        <v>47708</v>
      </c>
      <c r="L239" s="143">
        <f>IF(t&lt;Tvie,1-EXP((T0-t)*PertePVj)+'2029'!Pspv,1-EXP((T0-t)*PertePVj)+Pspv)</f>
        <v>4.3959984820806541E-2</v>
      </c>
      <c r="M239" s="835"/>
      <c r="N239" s="835"/>
      <c r="O239" s="48">
        <f>IF(t&lt;Tnet,'2029'!Resal+('2029'!Salim-'2029'!Resal)*(1-EXP(('2029'!Tnet-t)/('2029'!Tau_j))),Resal+(Salim-Resal)*(1-EXP((Tnet-t)/(Tau_j))))*Salcycl</f>
        <v>1.6611181010715497E-2</v>
      </c>
      <c r="P239" s="165">
        <f>(INDEX(Models!$BJ239:$BT239,,T239)*(1-R239)+INDEX(Models!$BJ239:$BT239,,T239+1)*R239-ERP_i)*Q239*Ramure*Pc/MaxiM</f>
        <v>1.1296403830431794E-4</v>
      </c>
      <c r="Q239" s="301">
        <f t="shared" si="80"/>
        <v>0.5</v>
      </c>
      <c r="R239" s="173">
        <f t="shared" si="81"/>
        <v>0.93103677776115112</v>
      </c>
      <c r="S239" s="801">
        <f t="shared" si="82"/>
        <v>0</v>
      </c>
      <c r="T239" s="172">
        <f t="shared" si="83"/>
        <v>6</v>
      </c>
      <c r="U239" s="247">
        <f t="shared" si="84"/>
        <v>0.93103677776115112</v>
      </c>
      <c r="V239" s="378">
        <f t="shared" si="85"/>
        <v>215.53649418218592</v>
      </c>
      <c r="W239" s="397">
        <f t="shared" si="86"/>
        <v>134.23799438674169</v>
      </c>
      <c r="X239" s="153">
        <f t="shared" si="87"/>
        <v>47708</v>
      </c>
      <c r="Y239" s="380">
        <f t="shared" si="88"/>
        <v>129.1394264876935</v>
      </c>
      <c r="Z239" s="380">
        <f t="shared" si="89"/>
        <v>135.07742818012539</v>
      </c>
      <c r="AA239" s="381">
        <f t="shared" si="90"/>
        <v>142.74318267557581</v>
      </c>
      <c r="AB239" s="193">
        <f t="shared" si="91"/>
        <v>47708</v>
      </c>
      <c r="AC239" s="119">
        <f>IF(OR(t&lt;Tnet,NoTnet),'2029'!Resal_s+('2029'!Salim-'2029'!Resal_s)*(1-EXP(('2029'!Tnet_s-t)/'2029'!Tau_j)),Resal_s+(Salim-Resal_s)*(1-EXP((Tnet_s-t)/Tau_j)))*Salcycl</f>
        <v>5.370312159056314E-2</v>
      </c>
      <c r="AD239" s="227">
        <f>(INDEX(Models!$BJ239:$BT239,,AH239)*(1-AF239)+INDEX(Models!$BJ239:$BT239,,AH239+1)*AF239-ERP_i)*AE239*Ramure*Pc/MaxiM</f>
        <v>7.0574475185807657E-4</v>
      </c>
      <c r="AE239" s="301">
        <f t="shared" si="92"/>
        <v>0.5</v>
      </c>
      <c r="AF239" s="173">
        <f t="shared" si="93"/>
        <v>0.45602434413512949</v>
      </c>
      <c r="AG239" s="801">
        <f t="shared" si="99"/>
        <v>4</v>
      </c>
      <c r="AH239" s="172">
        <f t="shared" si="94"/>
        <v>10</v>
      </c>
      <c r="AI239" s="221">
        <f t="shared" si="95"/>
        <v>4.4560243441351295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47709</v>
      </c>
      <c r="B240" s="406">
        <f>'2029'!Wh/'2029'!Env_an*'2030'!Env_an</f>
        <v>147.23841123096454</v>
      </c>
      <c r="C240" s="831"/>
      <c r="D240" s="388">
        <f t="shared" si="77"/>
        <v>154.01073646604974</v>
      </c>
      <c r="E240" s="380">
        <f t="shared" si="100"/>
        <v>156.62388849142766</v>
      </c>
      <c r="F240" s="380">
        <f t="shared" si="78"/>
        <v>156.6337061887227</v>
      </c>
      <c r="G240" s="110">
        <f t="shared" si="101"/>
        <v>0.68528994645818264</v>
      </c>
      <c r="H240" s="409" t="b">
        <f>Wh_hp&gt;='2029'!Maxi_hp</f>
        <v>0</v>
      </c>
      <c r="I240" s="385">
        <f>IF(H240,Wh_hp,'2029'!Maxi_hp)</f>
        <v>156.63796668199029</v>
      </c>
      <c r="J240" s="85">
        <f>IF(H240,An,'2029'!An_max)</f>
        <v>2029</v>
      </c>
      <c r="K240" s="193">
        <f t="shared" si="79"/>
        <v>47709</v>
      </c>
      <c r="L240" s="143">
        <f>IF(t&lt;Tvie,1-EXP((T0-t)*PertePVj)+'2029'!Pspv,1-EXP((T0-t)*PertePVj)+Pspv)</f>
        <v>4.3973072205768515E-2</v>
      </c>
      <c r="M240" s="835"/>
      <c r="N240" s="835"/>
      <c r="O240" s="48">
        <f>IF(t&lt;Tnet,'2029'!Resal+('2029'!Salim-'2029'!Resal)*(1-EXP(('2029'!Tnet-t)/('2029'!Tau_j))),Resal+(Salim-Resal)*(1-EXP((Tnet-t)/(Tau_j))))*Salcycl</f>
        <v>1.668424944973159E-2</v>
      </c>
      <c r="P240" s="165">
        <f>(INDEX(Models!$BJ240:$BT240,,T240)*(1-R240)+INDEX(Models!$BJ240:$BT240,,T240+1)*R240-ERP_i)*Q240*Ramure*Pc/MaxiM</f>
        <v>1.1386630671013769E-4</v>
      </c>
      <c r="Q240" s="301">
        <f t="shared" si="80"/>
        <v>0.5</v>
      </c>
      <c r="R240" s="173">
        <f t="shared" si="81"/>
        <v>0.9323047243221001</v>
      </c>
      <c r="S240" s="801">
        <f t="shared" si="82"/>
        <v>0</v>
      </c>
      <c r="T240" s="172">
        <f t="shared" si="83"/>
        <v>6</v>
      </c>
      <c r="U240" s="247">
        <f t="shared" si="84"/>
        <v>0.9323047243221001</v>
      </c>
      <c r="V240" s="378">
        <f t="shared" si="85"/>
        <v>214.84464325180588</v>
      </c>
      <c r="W240" s="397">
        <f t="shared" si="86"/>
        <v>147.23841123096454</v>
      </c>
      <c r="X240" s="153">
        <f t="shared" si="87"/>
        <v>47709</v>
      </c>
      <c r="Y240" s="380">
        <f t="shared" si="88"/>
        <v>141.64414597151807</v>
      </c>
      <c r="Z240" s="380">
        <f t="shared" si="89"/>
        <v>148.15915938510528</v>
      </c>
      <c r="AA240" s="381">
        <f t="shared" si="90"/>
        <v>156.5724205513086</v>
      </c>
      <c r="AB240" s="193">
        <f t="shared" si="91"/>
        <v>47709</v>
      </c>
      <c r="AC240" s="119">
        <f>IF(OR(t&lt;Tnet,NoTnet),'2029'!Resal_s+('2029'!Salim-'2029'!Resal_s)*(1-EXP(('2029'!Tnet_s-t)/'2029'!Tau_j)),Resal_s+(Salim-Resal_s)*(1-EXP((Tnet_s-t)/Tau_j)))*Salcycl</f>
        <v>5.3733991826780896E-2</v>
      </c>
      <c r="AD240" s="227">
        <f>(INDEX(Models!$BJ240:$BT240,,AH240)*(1-AF240)+INDEX(Models!$BJ240:$BT240,,AH240+1)*AF240-ERP_i)*AE240*Ramure*Pc/MaxiM</f>
        <v>7.1079490200354363E-4</v>
      </c>
      <c r="AE240" s="301">
        <f t="shared" si="92"/>
        <v>0.5</v>
      </c>
      <c r="AF240" s="173">
        <f t="shared" si="93"/>
        <v>0.45729229069607857</v>
      </c>
      <c r="AG240" s="801">
        <f t="shared" si="99"/>
        <v>4</v>
      </c>
      <c r="AH240" s="172">
        <f t="shared" si="94"/>
        <v>10</v>
      </c>
      <c r="AI240" s="221">
        <f t="shared" si="95"/>
        <v>4.4572922906960786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47710</v>
      </c>
      <c r="B241" s="406">
        <f>'2029'!Wh/'2029'!Env_an*'2030'!Env_an</f>
        <v>151.56273390280302</v>
      </c>
      <c r="C241" s="831"/>
      <c r="D241" s="388">
        <f t="shared" si="77"/>
        <v>158.53612936138708</v>
      </c>
      <c r="E241" s="380">
        <f t="shared" si="100"/>
        <v>161.23802551212998</v>
      </c>
      <c r="F241" s="380">
        <f t="shared" si="78"/>
        <v>161.24879732276446</v>
      </c>
      <c r="G241" s="110">
        <f t="shared" si="101"/>
        <v>0.70773468245297733</v>
      </c>
      <c r="H241" s="409" t="b">
        <f>Wh_hp&gt;='2029'!Maxi_hp</f>
        <v>0</v>
      </c>
      <c r="I241" s="385">
        <f>IF(H241,Wh_hp,'2029'!Maxi_hp)</f>
        <v>161.25289414254411</v>
      </c>
      <c r="J241" s="85">
        <f>IF(H241,An,'2029'!An_max)</f>
        <v>2029</v>
      </c>
      <c r="K241" s="193">
        <f t="shared" si="79"/>
        <v>47710</v>
      </c>
      <c r="L241" s="143">
        <f>IF(t&lt;Tvie,1-EXP((T0-t)*PertePVj)+'2029'!Pspv,1-EXP((T0-t)*PertePVj)+Pspv)</f>
        <v>4.3986159411575132E-2</v>
      </c>
      <c r="M241" s="835"/>
      <c r="N241" s="835"/>
      <c r="O241" s="48">
        <f>IF(t&lt;Tnet,'2029'!Resal+('2029'!Salim-'2029'!Resal)*(1-EXP(('2029'!Tnet-t)/('2029'!Tau_j))),Resal+(Salim-Resal)*(1-EXP((Tnet-t)/(Tau_j))))*Salcycl</f>
        <v>1.6757189516313272E-2</v>
      </c>
      <c r="P241" s="165">
        <f>(INDEX(Models!$BJ241:$BT241,,T241)*(1-R241)+INDEX(Models!$BJ241:$BT241,,T241+1)*R241-ERP_i)*Q241*Ramure*Pc/MaxiM</f>
        <v>1.1467705171698609E-4</v>
      </c>
      <c r="Q241" s="301">
        <f t="shared" si="80"/>
        <v>0.5</v>
      </c>
      <c r="R241" s="173">
        <f t="shared" si="81"/>
        <v>0.93352810884514026</v>
      </c>
      <c r="S241" s="801">
        <f t="shared" si="82"/>
        <v>0</v>
      </c>
      <c r="T241" s="172">
        <f t="shared" si="83"/>
        <v>6</v>
      </c>
      <c r="U241" s="247">
        <f t="shared" si="84"/>
        <v>0.93352810884514026</v>
      </c>
      <c r="V241" s="378">
        <f t="shared" si="85"/>
        <v>214.14165670587946</v>
      </c>
      <c r="W241" s="397">
        <f t="shared" si="86"/>
        <v>151.56273390280302</v>
      </c>
      <c r="X241" s="153">
        <f t="shared" si="87"/>
        <v>47710</v>
      </c>
      <c r="Y241" s="380">
        <f t="shared" si="88"/>
        <v>145.80719667736184</v>
      </c>
      <c r="Z241" s="380">
        <f t="shared" si="89"/>
        <v>152.51578009332769</v>
      </c>
      <c r="AA241" s="381">
        <f t="shared" si="90"/>
        <v>161.18166226174603</v>
      </c>
      <c r="AB241" s="193">
        <f t="shared" si="91"/>
        <v>47710</v>
      </c>
      <c r="AC241" s="119">
        <f>IF(OR(t&lt;Tnet,NoTnet),'2029'!Resal_s+('2029'!Salim-'2029'!Resal_s)*(1-EXP(('2029'!Tnet_s-t)/'2029'!Tau_j)),Resal_s+(Salim-Resal_s)*(1-EXP((Tnet_s-t)/Tau_j)))*Salcycl</f>
        <v>5.3764690392295658E-2</v>
      </c>
      <c r="AD241" s="227">
        <f>(INDEX(Models!$BJ241:$BT241,,AH241)*(1-AF241)+INDEX(Models!$BJ241:$BT241,,AH241+1)*AF241-ERP_i)*AE241*Ramure*Pc/MaxiM</f>
        <v>7.1472207650831118E-4</v>
      </c>
      <c r="AE241" s="301">
        <f t="shared" si="92"/>
        <v>0.5</v>
      </c>
      <c r="AF241" s="173">
        <f t="shared" si="93"/>
        <v>0.45851567521911818</v>
      </c>
      <c r="AG241" s="801">
        <f t="shared" si="99"/>
        <v>4</v>
      </c>
      <c r="AH241" s="172">
        <f t="shared" si="94"/>
        <v>10</v>
      </c>
      <c r="AI241" s="221">
        <f t="shared" si="95"/>
        <v>4.4585156752191182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47711</v>
      </c>
      <c r="B242" s="406">
        <f>'2029'!Wh/'2029'!Env_an*'2030'!Env_an</f>
        <v>136.34539989578559</v>
      </c>
      <c r="C242" s="831"/>
      <c r="D242" s="388">
        <f t="shared" si="77"/>
        <v>142.62059876815334</v>
      </c>
      <c r="E242" s="380">
        <f t="shared" si="100"/>
        <v>145.06199201720335</v>
      </c>
      <c r="F242" s="380">
        <f t="shared" si="78"/>
        <v>145.07009531067607</v>
      </c>
      <c r="G242" s="110">
        <f t="shared" si="101"/>
        <v>0.63880046333829443</v>
      </c>
      <c r="H242" s="409" t="b">
        <f>Wh_hp&gt;='2029'!Maxi_hp</f>
        <v>0</v>
      </c>
      <c r="I242" s="385">
        <f>IF(H242,Wh_hp,'2029'!Maxi_hp)</f>
        <v>145.0746731521381</v>
      </c>
      <c r="J242" s="85">
        <f>IF(H242,An,'2029'!An_max)</f>
        <v>2029</v>
      </c>
      <c r="K242" s="193">
        <f t="shared" si="79"/>
        <v>47711</v>
      </c>
      <c r="L242" s="143">
        <f>IF(t&lt;Tvie,1-EXP((T0-t)*PertePVj)+'2029'!Pspv,1-EXP((T0-t)*PertePVj)+Pspv)</f>
        <v>4.3999246438228945E-2</v>
      </c>
      <c r="M242" s="835"/>
      <c r="N242" s="835"/>
      <c r="O242" s="48">
        <f>IF(t&lt;Tnet,'2029'!Resal+('2029'!Salim-'2029'!Resal)*(1-EXP(('2029'!Tnet-t)/('2029'!Tau_j))),Resal+(Salim-Resal)*(1-EXP((Tnet-t)/(Tau_j))))*Salcycl</f>
        <v>1.6829999471953131E-2</v>
      </c>
      <c r="P242" s="165">
        <f>(INDEX(Models!$BJ242:$BT242,,T242)*(1-R242)+INDEX(Models!$BJ242:$BT242,,T242+1)*R242-ERP_i)*Q242*Ramure*Pc/MaxiM</f>
        <v>1.1539552313840415E-4</v>
      </c>
      <c r="Q242" s="301">
        <f t="shared" si="80"/>
        <v>0.5</v>
      </c>
      <c r="R242" s="173">
        <f t="shared" si="81"/>
        <v>0.93470826047315902</v>
      </c>
      <c r="S242" s="801">
        <f t="shared" si="82"/>
        <v>0</v>
      </c>
      <c r="T242" s="172">
        <f t="shared" si="83"/>
        <v>6</v>
      </c>
      <c r="U242" s="247">
        <f t="shared" si="84"/>
        <v>0.93470826047315902</v>
      </c>
      <c r="V242" s="378">
        <f t="shared" si="85"/>
        <v>213.42702388230649</v>
      </c>
      <c r="W242" s="397">
        <f t="shared" si="86"/>
        <v>136.34539989578559</v>
      </c>
      <c r="X242" s="153">
        <f t="shared" si="87"/>
        <v>47711</v>
      </c>
      <c r="Y242" s="380">
        <f t="shared" si="88"/>
        <v>131.18084000666363</v>
      </c>
      <c r="Z242" s="380">
        <f t="shared" si="89"/>
        <v>137.21834372820661</v>
      </c>
      <c r="AA242" s="381">
        <f t="shared" si="90"/>
        <v>145.01970990513621</v>
      </c>
      <c r="AB242" s="193">
        <f t="shared" si="91"/>
        <v>47711</v>
      </c>
      <c r="AC242" s="119">
        <f>IF(OR(t&lt;Tnet,NoTnet),'2029'!Resal_s+('2029'!Salim-'2029'!Resal_s)*(1-EXP(('2029'!Tnet_s-t)/'2029'!Tau_j)),Resal_s+(Salim-Resal_s)*(1-EXP((Tnet_s-t)/Tau_j)))*Salcycl</f>
        <v>5.379521295438263E-2</v>
      </c>
      <c r="AD242" s="227">
        <f>(INDEX(Models!$BJ242:$BT242,,AH242)*(1-AF242)+INDEX(Models!$BJ242:$BT242,,AH242+1)*AF242-ERP_i)*AE242*Ramure*Pc/MaxiM</f>
        <v>7.1751692696127723E-4</v>
      </c>
      <c r="AE242" s="301">
        <f t="shared" si="92"/>
        <v>0.5</v>
      </c>
      <c r="AF242" s="173">
        <f t="shared" si="93"/>
        <v>0.45969582684713739</v>
      </c>
      <c r="AG242" s="801">
        <f t="shared" si="99"/>
        <v>4</v>
      </c>
      <c r="AH242" s="172">
        <f t="shared" si="94"/>
        <v>10</v>
      </c>
      <c r="AI242" s="221">
        <f t="shared" si="95"/>
        <v>4.4596958268471374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47712</v>
      </c>
      <c r="B243" s="406">
        <f>'2029'!Wh/'2029'!Env_an*'2030'!Env_an</f>
        <v>105.00597080990205</v>
      </c>
      <c r="C243" s="831"/>
      <c r="D243" s="388">
        <f t="shared" si="77"/>
        <v>109.84029864193529</v>
      </c>
      <c r="E243" s="380">
        <f t="shared" si="100"/>
        <v>111.72881475384861</v>
      </c>
      <c r="F243" s="380">
        <f t="shared" si="78"/>
        <v>111.73240152435413</v>
      </c>
      <c r="G243" s="110">
        <f t="shared" si="101"/>
        <v>0.49363912932300863</v>
      </c>
      <c r="H243" s="409" t="b">
        <f>Wh_hp&gt;='2029'!Maxi_hp</f>
        <v>0</v>
      </c>
      <c r="I243" s="385">
        <f>IF(H243,Wh_hp,'2029'!Maxi_hp)</f>
        <v>111.73736508947414</v>
      </c>
      <c r="J243" s="85">
        <f>IF(H243,An,'2029'!An_max)</f>
        <v>2029</v>
      </c>
      <c r="K243" s="193">
        <f t="shared" si="79"/>
        <v>47712</v>
      </c>
      <c r="L243" s="143">
        <f>IF(t&lt;Tvie,1-EXP((T0-t)*PertePVj)+'2029'!Pspv,1-EXP((T0-t)*PertePVj)+Pspv)</f>
        <v>4.4012333285732397E-2</v>
      </c>
      <c r="M243" s="835"/>
      <c r="N243" s="835"/>
      <c r="O243" s="48">
        <f>IF(t&lt;Tnet,'2029'!Resal+('2029'!Salim-'2029'!Resal)*(1-EXP(('2029'!Tnet-t)/('2029'!Tau_j))),Resal+(Salim-Resal)*(1-EXP((Tnet-t)/(Tau_j))))*Salcycl</f>
        <v>1.6902677398609654E-2</v>
      </c>
      <c r="P243" s="165">
        <f>(INDEX(Models!$BJ243:$BT243,,T243)*(1-R243)+INDEX(Models!$BJ243:$BT243,,T243+1)*R243-ERP_i)*Q243*Ramure*Pc/MaxiM</f>
        <v>1.1602096252852119E-4</v>
      </c>
      <c r="Q243" s="301">
        <f t="shared" si="80"/>
        <v>0.5</v>
      </c>
      <c r="R243" s="173">
        <f t="shared" si="81"/>
        <v>0.93584648650801161</v>
      </c>
      <c r="S243" s="801">
        <f t="shared" si="82"/>
        <v>0</v>
      </c>
      <c r="T243" s="172">
        <f t="shared" si="83"/>
        <v>6</v>
      </c>
      <c r="U243" s="247">
        <f t="shared" si="84"/>
        <v>0.93584648650801161</v>
      </c>
      <c r="V243" s="378">
        <f t="shared" si="85"/>
        <v>212.70023431818987</v>
      </c>
      <c r="W243" s="397">
        <f t="shared" si="86"/>
        <v>105.00597080990205</v>
      </c>
      <c r="X243" s="153">
        <f t="shared" si="87"/>
        <v>47712</v>
      </c>
      <c r="Y243" s="380">
        <f t="shared" si="88"/>
        <v>101.04532162651819</v>
      </c>
      <c r="Z243" s="380">
        <f t="shared" si="89"/>
        <v>105.69730671715803</v>
      </c>
      <c r="AA243" s="381">
        <f t="shared" si="90"/>
        <v>111.71016849858744</v>
      </c>
      <c r="AB243" s="193">
        <f t="shared" si="91"/>
        <v>47712</v>
      </c>
      <c r="AC243" s="119">
        <f>IF(OR(t&lt;Tnet,NoTnet),'2029'!Resal_s+('2029'!Salim-'2029'!Resal_s)*(1-EXP(('2029'!Tnet_s-t)/'2029'!Tau_j)),Resal_s+(Salim-Resal_s)*(1-EXP((Tnet_s-t)/Tau_j)))*Salcycl</f>
        <v>5.3825554667437714E-2</v>
      </c>
      <c r="AD243" s="227">
        <f>(INDEX(Models!$BJ243:$BT243,,AH243)*(1-AF243)+INDEX(Models!$BJ243:$BT243,,AH243+1)*AF243-ERP_i)*AE243*Ramure*Pc/MaxiM</f>
        <v>7.1916980620859638E-4</v>
      </c>
      <c r="AE243" s="301">
        <f t="shared" si="92"/>
        <v>0.5</v>
      </c>
      <c r="AF243" s="173">
        <f t="shared" si="93"/>
        <v>0.46083405288198964</v>
      </c>
      <c r="AG243" s="801">
        <f t="shared" si="99"/>
        <v>4</v>
      </c>
      <c r="AH243" s="172">
        <f t="shared" si="94"/>
        <v>10</v>
      </c>
      <c r="AI243" s="221">
        <f t="shared" si="95"/>
        <v>4.4608340528819896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47713</v>
      </c>
      <c r="B244" s="406">
        <f>'2029'!Wh/'2029'!Env_an*'2030'!Env_an</f>
        <v>128.93451885959936</v>
      </c>
      <c r="C244" s="831"/>
      <c r="D244" s="388">
        <f t="shared" si="77"/>
        <v>134.87232982011622</v>
      </c>
      <c r="E244" s="380">
        <f t="shared" si="100"/>
        <v>137.20135314005881</v>
      </c>
      <c r="F244" s="380">
        <f t="shared" si="78"/>
        <v>137.20839634001652</v>
      </c>
      <c r="G244" s="110">
        <f t="shared" si="101"/>
        <v>0.60825455836138498</v>
      </c>
      <c r="H244" s="409" t="b">
        <f>Wh_hp&gt;='2029'!Maxi_hp</f>
        <v>0</v>
      </c>
      <c r="I244" s="385">
        <f>IF(H244,Wh_hp,'2029'!Maxi_hp)</f>
        <v>137.21312789105099</v>
      </c>
      <c r="J244" s="85">
        <f>IF(H244,An,'2029'!An_max)</f>
        <v>2029</v>
      </c>
      <c r="K244" s="193">
        <f t="shared" si="79"/>
        <v>47713</v>
      </c>
      <c r="L244" s="143">
        <f>IF(t&lt;Tvie,1-EXP((T0-t)*PertePVj)+'2029'!Pspv,1-EXP((T0-t)*PertePVj)+Pspv)</f>
        <v>4.4025419954087819E-2</v>
      </c>
      <c r="M244" s="835"/>
      <c r="N244" s="835"/>
      <c r="O244" s="48">
        <f>IF(t&lt;Tnet,'2029'!Resal+('2029'!Salim-'2029'!Resal)*(1-EXP(('2029'!Tnet-t)/('2029'!Tau_j))),Resal+(Salim-Resal)*(1-EXP((Tnet-t)/(Tau_j))))*Salcycl</f>
        <v>1.697522121057405E-2</v>
      </c>
      <c r="P244" s="165">
        <f>(INDEX(Models!$BJ244:$BT244,,T244)*(1-R244)+INDEX(Models!$BJ244:$BT244,,T244+1)*R244-ERP_i)*Q244*Ramure*Pc/MaxiM</f>
        <v>1.1655260057415854E-4</v>
      </c>
      <c r="Q244" s="301">
        <f t="shared" si="80"/>
        <v>0.5</v>
      </c>
      <c r="R244" s="173">
        <f t="shared" si="81"/>
        <v>0.9369440713128252</v>
      </c>
      <c r="S244" s="801">
        <f t="shared" si="82"/>
        <v>0</v>
      </c>
      <c r="T244" s="172">
        <f t="shared" si="83"/>
        <v>6</v>
      </c>
      <c r="U244" s="247">
        <f t="shared" si="84"/>
        <v>0.9369440713128252</v>
      </c>
      <c r="V244" s="378">
        <f t="shared" si="85"/>
        <v>211.96077774726709</v>
      </c>
      <c r="W244" s="397">
        <f t="shared" si="86"/>
        <v>128.93451885959936</v>
      </c>
      <c r="X244" s="153">
        <f t="shared" si="87"/>
        <v>47713</v>
      </c>
      <c r="Y244" s="380">
        <f t="shared" si="88"/>
        <v>124.06427173938445</v>
      </c>
      <c r="Z244" s="380">
        <f t="shared" si="89"/>
        <v>129.77779360349317</v>
      </c>
      <c r="AA244" s="381">
        <f t="shared" si="90"/>
        <v>137.16490709217695</v>
      </c>
      <c r="AB244" s="193">
        <f t="shared" si="91"/>
        <v>47713</v>
      </c>
      <c r="AC244" s="119">
        <f>IF(OR(t&lt;Tnet,NoTnet),'2029'!Resal_s+('2029'!Salim-'2029'!Resal_s)*(1-EXP(('2029'!Tnet_s-t)/'2029'!Tau_j)),Resal_s+(Salim-Resal_s)*(1-EXP((Tnet_s-t)/Tau_j)))*Salcycl</f>
        <v>5.3855710219812405E-2</v>
      </c>
      <c r="AD244" s="227">
        <f>(INDEX(Models!$BJ244:$BT244,,AH244)*(1-AF244)+INDEX(Models!$BJ244:$BT244,,AH244+1)*AF244-ERP_i)*AE244*Ramure*Pc/MaxiM</f>
        <v>7.196707410192072E-4</v>
      </c>
      <c r="AE244" s="301">
        <f t="shared" si="92"/>
        <v>0.5</v>
      </c>
      <c r="AF244" s="173">
        <f t="shared" si="93"/>
        <v>0.46193163768680368</v>
      </c>
      <c r="AG244" s="801">
        <f t="shared" si="99"/>
        <v>4</v>
      </c>
      <c r="AH244" s="172">
        <f t="shared" si="94"/>
        <v>10</v>
      </c>
      <c r="AI244" s="221">
        <f t="shared" si="95"/>
        <v>4.4619316376868037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47714</v>
      </c>
      <c r="B245" s="406">
        <f>'2029'!Wh/'2029'!Env_an*'2030'!Env_an</f>
        <v>139.11152417379424</v>
      </c>
      <c r="C245" s="831"/>
      <c r="D245" s="388">
        <f t="shared" si="77"/>
        <v>145.5200079829815</v>
      </c>
      <c r="E245" s="380">
        <f t="shared" si="100"/>
        <v>148.04380377594811</v>
      </c>
      <c r="F245" s="380">
        <f t="shared" si="78"/>
        <v>148.05267804095078</v>
      </c>
      <c r="G245" s="110">
        <f t="shared" si="101"/>
        <v>0.65860901350434997</v>
      </c>
      <c r="H245" s="409" t="b">
        <f>Wh_hp&gt;='2029'!Maxi_hp</f>
        <v>0</v>
      </c>
      <c r="I245" s="385">
        <f>IF(H245,Wh_hp,'2029'!Maxi_hp)</f>
        <v>148.05713882233269</v>
      </c>
      <c r="J245" s="85">
        <f>IF(H245,An,'2029'!An_max)</f>
        <v>2029</v>
      </c>
      <c r="K245" s="193">
        <f t="shared" si="79"/>
        <v>47714</v>
      </c>
      <c r="L245" s="143">
        <f>IF(t&lt;Tvie,1-EXP((T0-t)*PertePVj)+'2029'!Pspv,1-EXP((T0-t)*PertePVj)+Pspv)</f>
        <v>4.4038506443297765E-2</v>
      </c>
      <c r="M245" s="835"/>
      <c r="N245" s="835"/>
      <c r="O245" s="48">
        <f>IF(t&lt;Tnet,'2029'!Resal+('2029'!Salim-'2029'!Resal)*(1-EXP(('2029'!Tnet-t)/('2029'!Tau_j))),Resal+(Salim-Resal)*(1-EXP((Tnet-t)/(Tau_j))))*Salcycl</f>
        <v>1.7047628665271063E-2</v>
      </c>
      <c r="P245" s="165">
        <f>(INDEX(Models!$BJ245:$BT245,,T245)*(1-R245)+INDEX(Models!$BJ245:$BT245,,T245+1)*R245-ERP_i)*Q245*Ramure*Pc/MaxiM</f>
        <v>1.1698965449112918E-4</v>
      </c>
      <c r="Q245" s="301">
        <f t="shared" si="80"/>
        <v>0.5</v>
      </c>
      <c r="R245" s="173">
        <f t="shared" si="81"/>
        <v>0.93800227536226455</v>
      </c>
      <c r="S245" s="801">
        <f t="shared" si="82"/>
        <v>0</v>
      </c>
      <c r="T245" s="172">
        <f t="shared" si="83"/>
        <v>6</v>
      </c>
      <c r="U245" s="247">
        <f t="shared" si="84"/>
        <v>0.93800227536226455</v>
      </c>
      <c r="V245" s="378">
        <f t="shared" si="85"/>
        <v>211.20814408804674</v>
      </c>
      <c r="W245" s="397">
        <f t="shared" si="86"/>
        <v>139.11152417379424</v>
      </c>
      <c r="X245" s="153">
        <f t="shared" si="87"/>
        <v>47714</v>
      </c>
      <c r="Y245" s="380">
        <f t="shared" si="88"/>
        <v>133.85674736957733</v>
      </c>
      <c r="Z245" s="380">
        <f t="shared" si="89"/>
        <v>140.02315812068608</v>
      </c>
      <c r="AA245" s="381">
        <f t="shared" si="90"/>
        <v>147.99813749185373</v>
      </c>
      <c r="AB245" s="193">
        <f t="shared" si="91"/>
        <v>47714</v>
      </c>
      <c r="AC245" s="119">
        <f>IF(OR(t&lt;Tnet,NoTnet),'2029'!Resal_s+('2029'!Salim-'2029'!Resal_s)*(1-EXP(('2029'!Tnet_s-t)/'2029'!Tau_j)),Resal_s+(Salim-Resal_s)*(1-EXP((Tnet_s-t)/Tau_j)))*Salcycl</f>
        <v>5.3885673876177168E-2</v>
      </c>
      <c r="AD245" s="227">
        <f>(INDEX(Models!$BJ245:$BT245,,AH245)*(1-AF245)+INDEX(Models!$BJ245:$BT245,,AH245+1)*AF245-ERP_i)*AE245*Ramure*Pc/MaxiM</f>
        <v>7.1900940446239928E-4</v>
      </c>
      <c r="AE245" s="301">
        <f t="shared" si="92"/>
        <v>0.5</v>
      </c>
      <c r="AF245" s="173">
        <f t="shared" si="93"/>
        <v>0.4629898417362428</v>
      </c>
      <c r="AG245" s="801">
        <f t="shared" si="99"/>
        <v>4</v>
      </c>
      <c r="AH245" s="172">
        <f t="shared" si="94"/>
        <v>10</v>
      </c>
      <c r="AI245" s="221">
        <f t="shared" si="95"/>
        <v>4.4629898417362428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47715</v>
      </c>
      <c r="B246" s="406">
        <f>'2029'!Wh/'2029'!Env_an*'2030'!Env_an</f>
        <v>203.20120034961784</v>
      </c>
      <c r="C246" s="831"/>
      <c r="D246" s="388">
        <f t="shared" si="77"/>
        <v>212.56502841496109</v>
      </c>
      <c r="E246" s="380">
        <f t="shared" si="100"/>
        <v>216.26750592141025</v>
      </c>
      <c r="F246" s="380">
        <f t="shared" si="78"/>
        <v>216.29163632355096</v>
      </c>
      <c r="G246" s="110">
        <f t="shared" si="101"/>
        <v>0.9655876621522862</v>
      </c>
      <c r="H246" s="409" t="b">
        <f>Wh_hp&gt;='2029'!Maxi_hp</f>
        <v>0</v>
      </c>
      <c r="I246" s="385">
        <f>IF(H246,Wh_hp,'2029'!Maxi_hp)</f>
        <v>216.29229438679943</v>
      </c>
      <c r="J246" s="85">
        <f>IF(H246,An,'2029'!An_max)</f>
        <v>2029</v>
      </c>
      <c r="K246" s="193">
        <f t="shared" si="79"/>
        <v>47715</v>
      </c>
      <c r="L246" s="143">
        <f>IF(t&lt;Tvie,1-EXP((T0-t)*PertePVj)+'2029'!Pspv,1-EXP((T0-t)*PertePVj)+Pspv)</f>
        <v>4.4051592753364677E-2</v>
      </c>
      <c r="M246" s="835"/>
      <c r="N246" s="835"/>
      <c r="O246" s="48">
        <f>IF(t&lt;Tnet,'2029'!Resal+('2029'!Salim-'2029'!Resal)*(1-EXP(('2029'!Tnet-t)/('2029'!Tau_j))),Resal+(Salim-Resal)*(1-EXP((Tnet-t)/(Tau_j))))*Salcycl</f>
        <v>1.7119897372814885E-2</v>
      </c>
      <c r="P246" s="165">
        <f>(INDEX(Models!$BJ246:$BT246,,T246)*(1-R246)+INDEX(Models!$BJ246:$BT246,,T246+1)*R246-ERP_i)*Q246*Ramure*Pc/MaxiM</f>
        <v>1.173313253775306E-4</v>
      </c>
      <c r="Q246" s="301">
        <f t="shared" si="80"/>
        <v>0.5</v>
      </c>
      <c r="R246" s="173">
        <f t="shared" si="81"/>
        <v>0.93902233443154981</v>
      </c>
      <c r="S246" s="801">
        <f t="shared" si="82"/>
        <v>0</v>
      </c>
      <c r="T246" s="172">
        <f t="shared" si="83"/>
        <v>6</v>
      </c>
      <c r="U246" s="247">
        <f t="shared" si="84"/>
        <v>0.93902233443154981</v>
      </c>
      <c r="V246" s="378">
        <f t="shared" si="85"/>
        <v>210.4418234569965</v>
      </c>
      <c r="W246" s="397">
        <f t="shared" si="86"/>
        <v>203.20120034961784</v>
      </c>
      <c r="X246" s="153">
        <f t="shared" si="87"/>
        <v>47715</v>
      </c>
      <c r="Y246" s="380">
        <f t="shared" si="88"/>
        <v>195.48249723987342</v>
      </c>
      <c r="Z246" s="380">
        <f t="shared" si="89"/>
        <v>204.49063543388363</v>
      </c>
      <c r="AA246" s="381">
        <f t="shared" si="90"/>
        <v>216.14414183976129</v>
      </c>
      <c r="AB246" s="193">
        <f t="shared" si="91"/>
        <v>47715</v>
      </c>
      <c r="AC246" s="119">
        <f>IF(OR(t&lt;Tnet,NoTnet),'2029'!Resal_s+('2029'!Salim-'2029'!Resal_s)*(1-EXP(('2029'!Tnet_s-t)/'2029'!Tau_j)),Resal_s+(Salim-Resal_s)*(1-EXP((Tnet_s-t)/Tau_j)))*Salcycl</f>
        <v>5.3915439514974274E-2</v>
      </c>
      <c r="AD246" s="227">
        <f>(INDEX(Models!$BJ246:$BT246,,AH246)*(1-AF246)+INDEX(Models!$BJ246:$BT246,,AH246+1)*AF246-ERP_i)*AE246*Ramure*Pc/MaxiM</f>
        <v>7.1717508759299147E-4</v>
      </c>
      <c r="AE246" s="301">
        <f t="shared" si="92"/>
        <v>0.5</v>
      </c>
      <c r="AF246" s="173">
        <f t="shared" si="93"/>
        <v>0.46400990080552784</v>
      </c>
      <c r="AG246" s="801">
        <f t="shared" si="99"/>
        <v>4</v>
      </c>
      <c r="AH246" s="172">
        <f t="shared" si="94"/>
        <v>10</v>
      </c>
      <c r="AI246" s="221">
        <f t="shared" si="95"/>
        <v>4.4640099008055278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47716</v>
      </c>
      <c r="B247" s="406">
        <f>'2029'!Wh/'2029'!Env_an*'2030'!Env_an</f>
        <v>129.63539146831698</v>
      </c>
      <c r="C247" s="831"/>
      <c r="D247" s="388">
        <f t="shared" si="77"/>
        <v>135.61104878624477</v>
      </c>
      <c r="E247" s="380">
        <f t="shared" si="100"/>
        <v>137.98326042197908</v>
      </c>
      <c r="F247" s="380">
        <f t="shared" si="78"/>
        <v>137.99063799925966</v>
      </c>
      <c r="G247" s="110">
        <f t="shared" si="101"/>
        <v>0.61826518417079623</v>
      </c>
      <c r="H247" s="409" t="b">
        <f>Wh_hp&gt;='2029'!Maxi_hp</f>
        <v>0</v>
      </c>
      <c r="I247" s="385">
        <f>IF(H247,Wh_hp,'2029'!Maxi_hp)</f>
        <v>137.9953000327186</v>
      </c>
      <c r="J247" s="85">
        <f>IF(H247,An,'2029'!An_max)</f>
        <v>2029</v>
      </c>
      <c r="K247" s="193">
        <f t="shared" si="79"/>
        <v>47716</v>
      </c>
      <c r="L247" s="143">
        <f>IF(t&lt;Tvie,1-EXP((T0-t)*PertePVj)+'2029'!Pspv,1-EXP((T0-t)*PertePVj)+Pspv)</f>
        <v>4.4064678884290998E-2</v>
      </c>
      <c r="M247" s="835"/>
      <c r="N247" s="835"/>
      <c r="O247" s="48">
        <f>IF(t&lt;Tnet,'2029'!Resal+('2029'!Salim-'2029'!Resal)*(1-EXP(('2029'!Tnet-t)/('2029'!Tau_j))),Resal+(Salim-Resal)*(1-EXP((Tnet-t)/(Tau_j))))*Salcycl</f>
        <v>1.7192024804165672E-2</v>
      </c>
      <c r="P247" s="165">
        <f>(INDEX(Models!$BJ247:$BT247,,T247)*(1-R247)+INDEX(Models!$BJ247:$BT247,,T247+1)*R247-ERP_i)*Q247*Ramure*Pc/MaxiM</f>
        <v>1.1757607559355601E-4</v>
      </c>
      <c r="Q247" s="301">
        <f t="shared" si="80"/>
        <v>0.5</v>
      </c>
      <c r="R247" s="173">
        <f t="shared" si="81"/>
        <v>0.94000545891521403</v>
      </c>
      <c r="S247" s="801">
        <f t="shared" si="82"/>
        <v>0</v>
      </c>
      <c r="T247" s="172">
        <f t="shared" si="83"/>
        <v>6</v>
      </c>
      <c r="U247" s="247">
        <f t="shared" si="84"/>
        <v>0.94000545891521403</v>
      </c>
      <c r="V247" s="378">
        <f t="shared" si="85"/>
        <v>209.66259008553985</v>
      </c>
      <c r="W247" s="397">
        <f t="shared" si="86"/>
        <v>129.63539146831698</v>
      </c>
      <c r="X247" s="153">
        <f t="shared" si="87"/>
        <v>47716</v>
      </c>
      <c r="Y247" s="380">
        <f t="shared" si="88"/>
        <v>124.7537073735291</v>
      </c>
      <c r="Z247" s="380">
        <f t="shared" si="89"/>
        <v>130.50433917215679</v>
      </c>
      <c r="AA247" s="381">
        <f t="shared" si="90"/>
        <v>137.94582689514343</v>
      </c>
      <c r="AB247" s="193">
        <f t="shared" si="91"/>
        <v>47716</v>
      </c>
      <c r="AC247" s="119">
        <f>IF(OR(t&lt;Tnet,NoTnet),'2029'!Resal_s+('2029'!Salim-'2029'!Resal_s)*(1-EXP(('2029'!Tnet_s-t)/'2029'!Tau_j)),Resal_s+(Salim-Resal_s)*(1-EXP((Tnet_s-t)/Tau_j)))*Salcycl</f>
        <v>5.3945000660608096E-2</v>
      </c>
      <c r="AD247" s="227">
        <f>(INDEX(Models!$BJ247:$BT247,,AH247)*(1-AF247)+INDEX(Models!$BJ247:$BT247,,AH247+1)*AF247-ERP_i)*AE247*Ramure*Pc/MaxiM</f>
        <v>7.1415229751253459E-4</v>
      </c>
      <c r="AE247" s="301">
        <f t="shared" si="92"/>
        <v>0.5</v>
      </c>
      <c r="AF247" s="173">
        <f t="shared" si="93"/>
        <v>0.46499302528919184</v>
      </c>
      <c r="AG247" s="801">
        <f t="shared" si="99"/>
        <v>4</v>
      </c>
      <c r="AH247" s="172">
        <f t="shared" si="94"/>
        <v>10</v>
      </c>
      <c r="AI247" s="221">
        <f t="shared" si="95"/>
        <v>4.4649930252891918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47717</v>
      </c>
      <c r="B248" s="406">
        <f>'2029'!Wh/'2029'!Env_an*'2030'!Env_an</f>
        <v>102.23192009223693</v>
      </c>
      <c r="C248" s="831"/>
      <c r="D248" s="388">
        <f t="shared" si="77"/>
        <v>106.94585430864706</v>
      </c>
      <c r="E248" s="380">
        <f t="shared" si="100"/>
        <v>108.82460316061209</v>
      </c>
      <c r="F248" s="380">
        <f t="shared" si="78"/>
        <v>108.82806709153515</v>
      </c>
      <c r="G248" s="110">
        <f t="shared" si="101"/>
        <v>0.4894066893767216</v>
      </c>
      <c r="H248" s="409" t="b">
        <f>Wh_hp&gt;='2029'!Maxi_hp</f>
        <v>0</v>
      </c>
      <c r="I248" s="385">
        <f>IF(H248,Wh_hp,'2029'!Maxi_hp)</f>
        <v>108.83298124459706</v>
      </c>
      <c r="J248" s="85">
        <f>IF(H248,An,'2029'!An_max)</f>
        <v>2029</v>
      </c>
      <c r="K248" s="193">
        <f t="shared" si="79"/>
        <v>47717</v>
      </c>
      <c r="L248" s="143">
        <f>IF(t&lt;Tvie,1-EXP((T0-t)*PertePVj)+'2029'!Pspv,1-EXP((T0-t)*PertePVj)+Pspv)</f>
        <v>4.407776483607917E-2</v>
      </c>
      <c r="M248" s="835"/>
      <c r="N248" s="835"/>
      <c r="O248" s="48">
        <f>IF(t&lt;Tnet,'2029'!Resal+('2029'!Salim-'2029'!Resal)*(1-EXP(('2029'!Tnet-t)/('2029'!Tau_j))),Resal+(Salim-Resal)*(1-EXP((Tnet-t)/(Tau_j))))*Salcycl</f>
        <v>1.7264008297757934E-2</v>
      </c>
      <c r="P248" s="165">
        <f>(INDEX(Models!$BJ248:$BT248,,T248)*(1-R248)+INDEX(Models!$BJ248:$BT248,,T248+1)*R248-ERP_i)*Q248*Ramure*Pc/MaxiM</f>
        <v>1.1760743434285331E-4</v>
      </c>
      <c r="Q248" s="301">
        <f t="shared" si="80"/>
        <v>0.5</v>
      </c>
      <c r="R248" s="173">
        <f t="shared" si="81"/>
        <v>0.94095283326683243</v>
      </c>
      <c r="S248" s="801">
        <f t="shared" si="82"/>
        <v>0</v>
      </c>
      <c r="T248" s="172">
        <f t="shared" si="83"/>
        <v>6</v>
      </c>
      <c r="U248" s="247">
        <f t="shared" si="84"/>
        <v>0.94095283326683243</v>
      </c>
      <c r="V248" s="378">
        <f t="shared" si="85"/>
        <v>208.87158426268138</v>
      </c>
      <c r="W248" s="397">
        <f t="shared" si="86"/>
        <v>102.23192009223693</v>
      </c>
      <c r="X248" s="153">
        <f t="shared" si="87"/>
        <v>47717</v>
      </c>
      <c r="Y248" s="380">
        <f t="shared" si="88"/>
        <v>98.39724855527713</v>
      </c>
      <c r="Z248" s="380">
        <f t="shared" si="89"/>
        <v>102.93436530263787</v>
      </c>
      <c r="AA248" s="381">
        <f t="shared" si="90"/>
        <v>108.80716115693237</v>
      </c>
      <c r="AB248" s="193">
        <f t="shared" si="91"/>
        <v>47717</v>
      </c>
      <c r="AC248" s="119">
        <f>IF(OR(t&lt;Tnet,NoTnet),'2029'!Resal_s+('2029'!Salim-'2029'!Resal_s)*(1-EXP(('2029'!Tnet_s-t)/'2029'!Tau_j)),Resal_s+(Salim-Resal_s)*(1-EXP((Tnet_s-t)/Tau_j)))*Salcycl</f>
        <v>5.3974350510111783E-2</v>
      </c>
      <c r="AD248" s="227">
        <f>(INDEX(Models!$BJ248:$BT248,,AH248)*(1-AF248)+INDEX(Models!$BJ248:$BT248,,AH248+1)*AF248-ERP_i)*AE248*Ramure*Pc/MaxiM</f>
        <v>7.0979860331677955E-4</v>
      </c>
      <c r="AE248" s="301">
        <f t="shared" si="92"/>
        <v>0.5</v>
      </c>
      <c r="AF248" s="173">
        <f t="shared" si="93"/>
        <v>0.46594039964081091</v>
      </c>
      <c r="AG248" s="801">
        <f t="shared" si="99"/>
        <v>4</v>
      </c>
      <c r="AH248" s="172">
        <f t="shared" si="94"/>
        <v>10</v>
      </c>
      <c r="AI248" s="221">
        <f t="shared" si="95"/>
        <v>4.4659403996408109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47718</v>
      </c>
      <c r="B249" s="406">
        <f>'2029'!Wh/'2029'!Env_an*'2030'!Env_an</f>
        <v>177.42810245309133</v>
      </c>
      <c r="C249" s="831"/>
      <c r="D249" s="388">
        <f t="shared" si="77"/>
        <v>185.61188850015628</v>
      </c>
      <c r="E249" s="380">
        <f t="shared" si="100"/>
        <v>188.88639375712208</v>
      </c>
      <c r="F249" s="380">
        <f t="shared" si="78"/>
        <v>188.90390617222997</v>
      </c>
      <c r="G249" s="110">
        <f t="shared" si="101"/>
        <v>0.85271654607964342</v>
      </c>
      <c r="H249" s="409" t="b">
        <f>Wh_hp&gt;='2029'!Maxi_hp</f>
        <v>0</v>
      </c>
      <c r="I249" s="385">
        <f>IF(H249,Wh_hp,'2029'!Maxi_hp)</f>
        <v>188.90635990161761</v>
      </c>
      <c r="J249" s="85">
        <f>IF(H249,An,'2029'!An_max)</f>
        <v>2029</v>
      </c>
      <c r="K249" s="193">
        <f t="shared" si="79"/>
        <v>47718</v>
      </c>
      <c r="L249" s="143">
        <f>IF(t&lt;Tvie,1-EXP((T0-t)*PertePVj)+'2029'!Pspv,1-EXP((T0-t)*PertePVj)+Pspv)</f>
        <v>4.4090850608731635E-2</v>
      </c>
      <c r="M249" s="835"/>
      <c r="N249" s="835"/>
      <c r="O249" s="48">
        <f>IF(t&lt;Tnet,'2029'!Resal+('2029'!Salim-'2029'!Resal)*(1-EXP(('2029'!Tnet-t)/('2029'!Tau_j))),Resal+(Salim-Resal)*(1-EXP((Tnet-t)/(Tau_j))))*Salcycl</f>
        <v>1.7335845064500897E-2</v>
      </c>
      <c r="P249" s="165">
        <f>(INDEX(Models!$BJ249:$BT249,,T249)*(1-R249)+INDEX(Models!$BJ249:$BT249,,T249+1)*R249-ERP_i)*Q249*Ramure*Pc/MaxiM</f>
        <v>1.1740433380196238E-4</v>
      </c>
      <c r="Q249" s="301">
        <f t="shared" si="80"/>
        <v>0.5</v>
      </c>
      <c r="R249" s="173">
        <f t="shared" si="81"/>
        <v>0.94186561555121884</v>
      </c>
      <c r="S249" s="801">
        <f t="shared" si="82"/>
        <v>0</v>
      </c>
      <c r="T249" s="172">
        <f t="shared" si="83"/>
        <v>6</v>
      </c>
      <c r="U249" s="247">
        <f t="shared" si="84"/>
        <v>0.94186561555121884</v>
      </c>
      <c r="V249" s="378">
        <f t="shared" si="85"/>
        <v>208.06881323024186</v>
      </c>
      <c r="W249" s="397">
        <f t="shared" si="86"/>
        <v>177.42810245309133</v>
      </c>
      <c r="X249" s="153">
        <f t="shared" si="87"/>
        <v>47718</v>
      </c>
      <c r="Y249" s="380">
        <f t="shared" si="88"/>
        <v>170.72828004391474</v>
      </c>
      <c r="Z249" s="380">
        <f t="shared" si="89"/>
        <v>178.60303999876564</v>
      </c>
      <c r="AA249" s="381">
        <f t="shared" si="90"/>
        <v>188.79883444782851</v>
      </c>
      <c r="AB249" s="193">
        <f t="shared" si="91"/>
        <v>47718</v>
      </c>
      <c r="AC249" s="119">
        <f>IF(OR(t&lt;Tnet,NoTnet),'2029'!Resal_s+('2029'!Salim-'2029'!Resal_s)*(1-EXP(('2029'!Tnet_s-t)/'2029'!Tau_j)),Resal_s+(Salim-Resal_s)*(1-EXP((Tnet_s-t)/Tau_j)))*Salcycl</f>
        <v>5.4003481954123654E-2</v>
      </c>
      <c r="AD249" s="227">
        <f>(INDEX(Models!$BJ249:$BT249,,AH249)*(1-AF249)+INDEX(Models!$BJ249:$BT249,,AH249+1)*AF249-ERP_i)*AE249*Ramure*Pc/MaxiM</f>
        <v>7.0440745772480521E-4</v>
      </c>
      <c r="AE249" s="301">
        <f t="shared" si="92"/>
        <v>0.5</v>
      </c>
      <c r="AF249" s="173">
        <f t="shared" si="93"/>
        <v>0.46685318192519709</v>
      </c>
      <c r="AG249" s="801">
        <f t="shared" si="99"/>
        <v>4</v>
      </c>
      <c r="AH249" s="172">
        <f t="shared" si="94"/>
        <v>10</v>
      </c>
      <c r="AI249" s="221">
        <f t="shared" si="95"/>
        <v>4.4668531819251971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47719</v>
      </c>
      <c r="B250" s="406">
        <f>'2029'!Wh/'2029'!Env_an*'2030'!Env_an</f>
        <v>188.9780529190127</v>
      </c>
      <c r="C250" s="831"/>
      <c r="D250" s="388">
        <f t="shared" si="77"/>
        <v>197.69728119625057</v>
      </c>
      <c r="E250" s="380">
        <f t="shared" si="100"/>
        <v>201.19967094506148</v>
      </c>
      <c r="F250" s="380">
        <f t="shared" si="78"/>
        <v>201.22024157020377</v>
      </c>
      <c r="G250" s="110">
        <f t="shared" si="101"/>
        <v>0.91180393369057944</v>
      </c>
      <c r="H250" s="409" t="b">
        <f>Wh_hp&gt;='2029'!Maxi_hp</f>
        <v>0</v>
      </c>
      <c r="I250" s="385">
        <f>IF(H250,Wh_hp,'2029'!Maxi_hp)</f>
        <v>201.22179931817598</v>
      </c>
      <c r="J250" s="85">
        <f>IF(H250,An,'2029'!An_max)</f>
        <v>2029</v>
      </c>
      <c r="K250" s="193">
        <f t="shared" si="79"/>
        <v>47719</v>
      </c>
      <c r="L250" s="143">
        <f>IF(t&lt;Tvie,1-EXP((T0-t)*PertePVj)+'2029'!Pspv,1-EXP((T0-t)*PertePVj)+Pspv)</f>
        <v>4.4103936202250837E-2</v>
      </c>
      <c r="M250" s="835"/>
      <c r="N250" s="835"/>
      <c r="O250" s="48">
        <f>IF(t&lt;Tnet,'2029'!Resal+('2029'!Salim-'2029'!Resal)*(1-EXP(('2029'!Tnet-t)/('2029'!Tau_j))),Resal+(Salim-Resal)*(1-EXP((Tnet-t)/(Tau_j))))*Salcycl</f>
        <v>1.7407532191080217E-2</v>
      </c>
      <c r="P250" s="165">
        <f>(INDEX(Models!$BJ250:$BT250,,T250)*(1-R250)+INDEX(Models!$BJ250:$BT250,,T250+1)*R250-ERP_i)*Q250*Ramure*Pc/MaxiM</f>
        <v>1.1696395932567197E-4</v>
      </c>
      <c r="Q250" s="301">
        <f t="shared" si="80"/>
        <v>0.5</v>
      </c>
      <c r="R250" s="173">
        <f t="shared" si="81"/>
        <v>0.94274493710088303</v>
      </c>
      <c r="S250" s="801">
        <f t="shared" si="82"/>
        <v>0</v>
      </c>
      <c r="T250" s="172">
        <f t="shared" si="83"/>
        <v>6</v>
      </c>
      <c r="U250" s="247">
        <f t="shared" si="84"/>
        <v>0.94274493710088303</v>
      </c>
      <c r="V250" s="378">
        <f t="shared" si="85"/>
        <v>207.25428038202043</v>
      </c>
      <c r="W250" s="397">
        <f t="shared" si="86"/>
        <v>188.9780529190127</v>
      </c>
      <c r="X250" s="153">
        <f t="shared" si="87"/>
        <v>47719</v>
      </c>
      <c r="Y250" s="380">
        <f t="shared" si="88"/>
        <v>181.84174420575826</v>
      </c>
      <c r="Z250" s="380">
        <f t="shared" si="89"/>
        <v>190.23171147217192</v>
      </c>
      <c r="AA250" s="381">
        <f t="shared" si="90"/>
        <v>201.09748893828387</v>
      </c>
      <c r="AB250" s="193">
        <f t="shared" si="91"/>
        <v>47719</v>
      </c>
      <c r="AC250" s="119">
        <f>IF(OR(t&lt;Tnet,NoTnet),'2029'!Resal_s+('2029'!Salim-'2029'!Resal_s)*(1-EXP(('2029'!Tnet_s-t)/'2029'!Tau_j)),Resal_s+(Salim-Resal_s)*(1-EXP((Tnet_s-t)/Tau_j)))*Salcycl</f>
        <v>5.4032387592102715E-2</v>
      </c>
      <c r="AD250" s="227">
        <f>(INDEX(Models!$BJ250:$BT250,,AH250)*(1-AF250)+INDEX(Models!$BJ250:$BT250,,AH250+1)*AF250-ERP_i)*AE250*Ramure*Pc/MaxiM</f>
        <v>6.9796779376848754E-4</v>
      </c>
      <c r="AE250" s="301">
        <f t="shared" si="92"/>
        <v>0.5</v>
      </c>
      <c r="AF250" s="173">
        <f t="shared" si="93"/>
        <v>0.46773250347486162</v>
      </c>
      <c r="AG250" s="801">
        <f t="shared" si="99"/>
        <v>4</v>
      </c>
      <c r="AH250" s="172">
        <f t="shared" si="94"/>
        <v>10</v>
      </c>
      <c r="AI250" s="221">
        <f t="shared" si="95"/>
        <v>4.4677325034748616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47720</v>
      </c>
      <c r="B251" s="406">
        <f>'2029'!Wh/'2029'!Env_an*'2030'!Env_an</f>
        <v>132.3703308678283</v>
      </c>
      <c r="C251" s="831"/>
      <c r="D251" s="388">
        <f t="shared" si="77"/>
        <v>138.47964014559597</v>
      </c>
      <c r="E251" s="380">
        <f t="shared" si="100"/>
        <v>140.94319565512092</v>
      </c>
      <c r="F251" s="380">
        <f t="shared" si="78"/>
        <v>140.9511857400428</v>
      </c>
      <c r="G251" s="110">
        <f t="shared" si="101"/>
        <v>0.6412039481098224</v>
      </c>
      <c r="H251" s="409" t="b">
        <f>Wh_hp&gt;='2029'!Maxi_hp</f>
        <v>0</v>
      </c>
      <c r="I251" s="385">
        <f>IF(H251,Wh_hp,'2029'!Maxi_hp)</f>
        <v>140.95559496487385</v>
      </c>
      <c r="J251" s="85">
        <f>IF(H251,An,'2029'!An_max)</f>
        <v>2029</v>
      </c>
      <c r="K251" s="193">
        <f t="shared" si="79"/>
        <v>47720</v>
      </c>
      <c r="L251" s="143">
        <f>IF(t&lt;Tvie,1-EXP((T0-t)*PertePVj)+'2029'!Pspv,1-EXP((T0-t)*PertePVj)+Pspv)</f>
        <v>4.4117021616639218E-2</v>
      </c>
      <c r="M251" s="835"/>
      <c r="N251" s="835"/>
      <c r="O251" s="48">
        <f>IF(t&lt;Tnet,'2029'!Resal+('2029'!Salim-'2029'!Resal)*(1-EXP(('2029'!Tnet-t)/('2029'!Tau_j))),Resal+(Salim-Resal)*(1-EXP((Tnet-t)/(Tau_j))))*Salcycl</f>
        <v>1.7479066641522111E-2</v>
      </c>
      <c r="P251" s="165">
        <f>(INDEX(Models!$BJ251:$BT251,,T251)*(1-R251)+INDEX(Models!$BJ251:$BT251,,T251+1)*R251-ERP_i)*Q251*Ramure*Pc/MaxiM</f>
        <v>1.1628347760987363E-4</v>
      </c>
      <c r="Q251" s="301">
        <f t="shared" si="80"/>
        <v>0.5</v>
      </c>
      <c r="R251" s="173">
        <f t="shared" si="81"/>
        <v>0.9435919022688477</v>
      </c>
      <c r="S251" s="801">
        <f t="shared" si="82"/>
        <v>0</v>
      </c>
      <c r="T251" s="172">
        <f t="shared" si="83"/>
        <v>6</v>
      </c>
      <c r="U251" s="247">
        <f t="shared" si="84"/>
        <v>0.9435919022688477</v>
      </c>
      <c r="V251" s="378">
        <f t="shared" si="85"/>
        <v>206.42798908413099</v>
      </c>
      <c r="W251" s="397">
        <f t="shared" si="86"/>
        <v>132.3703308678283</v>
      </c>
      <c r="X251" s="153">
        <f t="shared" si="87"/>
        <v>47720</v>
      </c>
      <c r="Y251" s="380">
        <f t="shared" si="88"/>
        <v>127.40614037494923</v>
      </c>
      <c r="Z251" s="380">
        <f t="shared" si="89"/>
        <v>133.28633656645414</v>
      </c>
      <c r="AA251" s="381">
        <f t="shared" si="90"/>
        <v>140.90374219087988</v>
      </c>
      <c r="AB251" s="193">
        <f t="shared" si="91"/>
        <v>47720</v>
      </c>
      <c r="AC251" s="119">
        <f>IF(OR(t&lt;Tnet,NoTnet),'2029'!Resal_s+('2029'!Salim-'2029'!Resal_s)*(1-EXP(('2029'!Tnet_s-t)/'2029'!Tau_j)),Resal_s+(Salim-Resal_s)*(1-EXP((Tnet_s-t)/Tau_j)))*Salcycl</f>
        <v>5.4061059741809844E-2</v>
      </c>
      <c r="AD251" s="227">
        <f>(INDEX(Models!$BJ251:$BT251,,AH251)*(1-AF251)+INDEX(Models!$BJ251:$BT251,,AH251+1)*AF251-ERP_i)*AE251*Ramure*Pc/MaxiM</f>
        <v>6.9046836682692492E-4</v>
      </c>
      <c r="AE251" s="301">
        <f t="shared" si="92"/>
        <v>0.5</v>
      </c>
      <c r="AF251" s="173">
        <f t="shared" si="93"/>
        <v>0.46857946864282596</v>
      </c>
      <c r="AG251" s="801">
        <f t="shared" si="99"/>
        <v>4</v>
      </c>
      <c r="AH251" s="172">
        <f t="shared" si="94"/>
        <v>10</v>
      </c>
      <c r="AI251" s="221">
        <f t="shared" si="95"/>
        <v>4.468579468642826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47721</v>
      </c>
      <c r="B252" s="406">
        <f>'2029'!Wh/'2029'!Env_an*'2030'!Env_an</f>
        <v>178.72816320122331</v>
      </c>
      <c r="C252" s="831"/>
      <c r="D252" s="388">
        <f t="shared" si="77"/>
        <v>186.97959260186838</v>
      </c>
      <c r="E252" s="380">
        <f t="shared" si="100"/>
        <v>190.31978965147269</v>
      </c>
      <c r="F252" s="380">
        <f t="shared" si="78"/>
        <v>190.33764858864185</v>
      </c>
      <c r="G252" s="110">
        <f t="shared" si="101"/>
        <v>0.86932420942646149</v>
      </c>
      <c r="H252" s="409" t="b">
        <f>Wh_hp&gt;='2029'!Maxi_hp</f>
        <v>0</v>
      </c>
      <c r="I252" s="385">
        <f>IF(H252,Wh_hp,'2029'!Maxi_hp)</f>
        <v>190.33979790914634</v>
      </c>
      <c r="J252" s="85">
        <f>IF(H252,An,'2029'!An_max)</f>
        <v>2029</v>
      </c>
      <c r="K252" s="193">
        <f t="shared" si="79"/>
        <v>47721</v>
      </c>
      <c r="L252" s="143">
        <f>IF(t&lt;Tvie,1-EXP((T0-t)*PertePVj)+'2029'!Pspv,1-EXP((T0-t)*PertePVj)+Pspv)</f>
        <v>4.4130106851899331E-2</v>
      </c>
      <c r="M252" s="835"/>
      <c r="N252" s="835"/>
      <c r="O252" s="48">
        <f>IF(t&lt;Tnet,'2029'!Resal+('2029'!Salim-'2029'!Resal)*(1-EXP(('2029'!Tnet-t)/('2029'!Tau_j))),Resal+(Salim-Resal)*(1-EXP((Tnet-t)/(Tau_j))))*Salcycl</f>
        <v>1.7550445257012506E-2</v>
      </c>
      <c r="P252" s="165">
        <f>(INDEX(Models!$BJ252:$BT252,,T252)*(1-R252)+INDEX(Models!$BJ252:$BT252,,T252+1)*R252-ERP_i)*Q252*Ramure*Pc/MaxiM</f>
        <v>1.1535993893159802E-4</v>
      </c>
      <c r="Q252" s="301">
        <f t="shared" si="80"/>
        <v>0.5</v>
      </c>
      <c r="R252" s="173">
        <f t="shared" si="81"/>
        <v>0.94440758827025129</v>
      </c>
      <c r="S252" s="801">
        <f t="shared" si="82"/>
        <v>0</v>
      </c>
      <c r="T252" s="172">
        <f t="shared" si="83"/>
        <v>6</v>
      </c>
      <c r="U252" s="247">
        <f t="shared" si="84"/>
        <v>0.94440758827025129</v>
      </c>
      <c r="V252" s="378">
        <f t="shared" si="85"/>
        <v>205.58994271456362</v>
      </c>
      <c r="W252" s="397">
        <f t="shared" si="86"/>
        <v>178.72816320122331</v>
      </c>
      <c r="X252" s="153">
        <f t="shared" si="87"/>
        <v>47721</v>
      </c>
      <c r="Y252" s="380">
        <f t="shared" si="88"/>
        <v>172.00164427384829</v>
      </c>
      <c r="Z252" s="380">
        <f t="shared" si="89"/>
        <v>179.94252722760322</v>
      </c>
      <c r="AA252" s="381">
        <f t="shared" si="90"/>
        <v>190.23208370093045</v>
      </c>
      <c r="AB252" s="193">
        <f t="shared" si="91"/>
        <v>47721</v>
      </c>
      <c r="AC252" s="119">
        <f>IF(OR(t&lt;Tnet,NoTnet),'2029'!Resal_s+('2029'!Salim-'2029'!Resal_s)*(1-EXP(('2029'!Tnet_s-t)/'2029'!Tau_j)),Resal_s+(Salim-Resal_s)*(1-EXP((Tnet_s-t)/Tau_j)))*Salcycl</f>
        <v>5.4089490443177492E-2</v>
      </c>
      <c r="AD252" s="227">
        <f>(INDEX(Models!$BJ252:$BT252,,AH252)*(1-AF252)+INDEX(Models!$BJ252:$BT252,,AH252+1)*AF252-ERP_i)*AE252*Ramure*Pc/MaxiM</f>
        <v>6.8189718594973661E-4</v>
      </c>
      <c r="AE252" s="301">
        <f t="shared" si="92"/>
        <v>0.5</v>
      </c>
      <c r="AF252" s="173">
        <f t="shared" si="93"/>
        <v>0.46939515464422943</v>
      </c>
      <c r="AG252" s="801">
        <f t="shared" si="99"/>
        <v>4</v>
      </c>
      <c r="AH252" s="172">
        <f t="shared" si="94"/>
        <v>10</v>
      </c>
      <c r="AI252" s="221">
        <f t="shared" si="95"/>
        <v>4.4693951546442294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47722</v>
      </c>
      <c r="B253" s="406">
        <f>'2029'!Wh/'2029'!Env_an*'2030'!Env_an</f>
        <v>195.50821533090516</v>
      </c>
      <c r="C253" s="831"/>
      <c r="D253" s="388">
        <f t="shared" si="77"/>
        <v>204.53713744129615</v>
      </c>
      <c r="E253" s="380">
        <f t="shared" si="100"/>
        <v>208.20607509639024</v>
      </c>
      <c r="F253" s="380">
        <f t="shared" si="78"/>
        <v>208.22832110505013</v>
      </c>
      <c r="G253" s="110">
        <f t="shared" si="101"/>
        <v>0.95490201710541767</v>
      </c>
      <c r="H253" s="409" t="b">
        <f>Wh_hp&gt;='2029'!Maxi_hp</f>
        <v>0</v>
      </c>
      <c r="I253" s="385">
        <f>IF(H253,Wh_hp,'2029'!Maxi_hp)</f>
        <v>208.229123650536</v>
      </c>
      <c r="J253" s="85">
        <f>IF(H253,An,'2029'!An_max)</f>
        <v>2029</v>
      </c>
      <c r="K253" s="193">
        <f t="shared" si="79"/>
        <v>47722</v>
      </c>
      <c r="L253" s="143">
        <f>IF(t&lt;Tvie,1-EXP((T0-t)*PertePVj)+'2029'!Pspv,1-EXP((T0-t)*PertePVj)+Pspv)</f>
        <v>4.4143191908033619E-2</v>
      </c>
      <c r="M253" s="835"/>
      <c r="N253" s="835"/>
      <c r="O253" s="48">
        <f>IF(t&lt;Tnet,'2029'!Resal+('2029'!Salim-'2029'!Resal)*(1-EXP(('2029'!Tnet-t)/('2029'!Tau_j))),Resal+(Salim-Resal)*(1-EXP((Tnet-t)/(Tau_j))))*Salcycl</f>
        <v>1.7621664753996881E-2</v>
      </c>
      <c r="P253" s="165">
        <f>(INDEX(Models!$BJ253:$BT253,,T253)*(1-R253)+INDEX(Models!$BJ253:$BT253,,T253+1)*R253-ERP_i)*Q253*Ramure*Pc/MaxiM</f>
        <v>1.1419033787889364E-4</v>
      </c>
      <c r="Q253" s="301">
        <f t="shared" si="80"/>
        <v>0.5</v>
      </c>
      <c r="R253" s="173">
        <f t="shared" si="81"/>
        <v>0.94519304510549851</v>
      </c>
      <c r="S253" s="801">
        <f t="shared" si="82"/>
        <v>0</v>
      </c>
      <c r="T253" s="172">
        <f t="shared" si="83"/>
        <v>6</v>
      </c>
      <c r="U253" s="247">
        <f t="shared" si="84"/>
        <v>0.94519304510549851</v>
      </c>
      <c r="V253" s="378">
        <f t="shared" si="85"/>
        <v>204.74014462844272</v>
      </c>
      <c r="W253" s="397">
        <f t="shared" si="86"/>
        <v>195.50821533090516</v>
      </c>
      <c r="X253" s="153">
        <f t="shared" si="87"/>
        <v>47722</v>
      </c>
      <c r="Y253" s="380">
        <f t="shared" si="88"/>
        <v>188.14666146169361</v>
      </c>
      <c r="Z253" s="380">
        <f t="shared" si="89"/>
        <v>196.8356137330471</v>
      </c>
      <c r="AA253" s="381">
        <f t="shared" si="90"/>
        <v>208.09735819486181</v>
      </c>
      <c r="AB253" s="193">
        <f t="shared" si="91"/>
        <v>47722</v>
      </c>
      <c r="AC253" s="119">
        <f>IF(OR(t&lt;Tnet,NoTnet),'2029'!Resal_s+('2029'!Salim-'2029'!Resal_s)*(1-EXP(('2029'!Tnet_s-t)/'2029'!Tau_j)),Resal_s+(Salim-Resal_s)*(1-EXP((Tnet_s-t)/Tau_j)))*Salcycl</f>
        <v>5.4117671456786344E-2</v>
      </c>
      <c r="AD253" s="227">
        <f>(INDEX(Models!$BJ253:$BT253,,AH253)*(1-AF253)+INDEX(Models!$BJ253:$BT253,,AH253+1)*AF253-ERP_i)*AE253*Ramure*Pc/MaxiM</f>
        <v>6.7224189258565628E-4</v>
      </c>
      <c r="AE253" s="301">
        <f t="shared" si="92"/>
        <v>0.5</v>
      </c>
      <c r="AF253" s="173">
        <f t="shared" si="93"/>
        <v>0.47018061147947687</v>
      </c>
      <c r="AG253" s="801">
        <f t="shared" si="99"/>
        <v>4</v>
      </c>
      <c r="AH253" s="172">
        <f t="shared" si="94"/>
        <v>10</v>
      </c>
      <c r="AI253" s="221">
        <f t="shared" si="95"/>
        <v>4.4701806114794769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47723</v>
      </c>
      <c r="B254" s="406">
        <f>'2029'!Wh/'2029'!Env_an*'2030'!Env_an</f>
        <v>192.53579903398304</v>
      </c>
      <c r="C254" s="831"/>
      <c r="D254" s="388">
        <f t="shared" si="77"/>
        <v>201.43020700747385</v>
      </c>
      <c r="E254" s="380">
        <f t="shared" si="100"/>
        <v>205.05824548129266</v>
      </c>
      <c r="F254" s="380">
        <f t="shared" si="78"/>
        <v>205.07955068665478</v>
      </c>
      <c r="G254" s="110">
        <f t="shared" si="101"/>
        <v>0.94435654390031676</v>
      </c>
      <c r="H254" s="409" t="b">
        <f>Wh_hp&gt;='2029'!Maxi_hp</f>
        <v>0</v>
      </c>
      <c r="I254" s="385">
        <f>IF(H254,Wh_hp,'2029'!Maxi_hp)</f>
        <v>205.08051372704736</v>
      </c>
      <c r="J254" s="85">
        <f>IF(H254,An,'2029'!An_max)</f>
        <v>2029</v>
      </c>
      <c r="K254" s="193">
        <f t="shared" si="79"/>
        <v>47723</v>
      </c>
      <c r="L254" s="143">
        <f>IF(t&lt;Tvie,1-EXP((T0-t)*PertePVj)+'2029'!Pspv,1-EXP((T0-t)*PertePVj)+Pspv)</f>
        <v>4.4156276785044413E-2</v>
      </c>
      <c r="M254" s="835"/>
      <c r="N254" s="835"/>
      <c r="O254" s="48">
        <f>IF(t&lt;Tnet,'2029'!Resal+('2029'!Salim-'2029'!Resal)*(1-EXP(('2029'!Tnet-t)/('2029'!Tau_j))),Resal+(Salim-Resal)*(1-EXP((Tnet-t)/(Tau_j))))*Salcycl</f>
        <v>1.7692721720618629E-2</v>
      </c>
      <c r="P254" s="165">
        <f>(INDEX(Models!$BJ254:$BT254,,T254)*(1-R254)+INDEX(Models!$BJ254:$BT254,,T254+1)*R254-ERP_i)*Q254*Ramure*Pc/MaxiM</f>
        <v>1.128572475797105E-4</v>
      </c>
      <c r="Q254" s="301">
        <f t="shared" si="80"/>
        <v>0.5</v>
      </c>
      <c r="R254" s="173">
        <f t="shared" si="81"/>
        <v>0.9459492955580584</v>
      </c>
      <c r="S254" s="801">
        <f t="shared" si="82"/>
        <v>0</v>
      </c>
      <c r="T254" s="172">
        <f t="shared" si="83"/>
        <v>6</v>
      </c>
      <c r="U254" s="247">
        <f t="shared" si="84"/>
        <v>0.9459492955580584</v>
      </c>
      <c r="V254" s="378">
        <f t="shared" si="85"/>
        <v>203.87858071609952</v>
      </c>
      <c r="W254" s="397">
        <f t="shared" si="86"/>
        <v>192.53579903398304</v>
      </c>
      <c r="X254" s="153">
        <f t="shared" si="87"/>
        <v>47723</v>
      </c>
      <c r="Y254" s="380">
        <f t="shared" si="88"/>
        <v>185.2971824812567</v>
      </c>
      <c r="Z254" s="380">
        <f t="shared" si="89"/>
        <v>193.85719441459995</v>
      </c>
      <c r="AA254" s="381">
        <f t="shared" si="90"/>
        <v>204.95458205575721</v>
      </c>
      <c r="AB254" s="193">
        <f t="shared" si="91"/>
        <v>47723</v>
      </c>
      <c r="AC254" s="119">
        <f>IF(OR(t&lt;Tnet,NoTnet),'2029'!Resal_s+('2029'!Salim-'2029'!Resal_s)*(1-EXP(('2029'!Tnet_s-t)/'2029'!Tau_j)),Resal_s+(Salim-Resal_s)*(1-EXP((Tnet_s-t)/Tau_j)))*Salcycl</f>
        <v>5.4145594257259767E-2</v>
      </c>
      <c r="AD254" s="227">
        <f>(INDEX(Models!$BJ254:$BT254,,AH254)*(1-AF254)+INDEX(Models!$BJ254:$BT254,,AH254+1)*AF254-ERP_i)*AE254*Ramure*Pc/MaxiM</f>
        <v>6.6197980621059637E-4</v>
      </c>
      <c r="AE254" s="301">
        <f t="shared" si="92"/>
        <v>0.5</v>
      </c>
      <c r="AF254" s="173">
        <f t="shared" si="93"/>
        <v>0.47093686193203688</v>
      </c>
      <c r="AG254" s="801">
        <f t="shared" si="99"/>
        <v>4</v>
      </c>
      <c r="AH254" s="172">
        <f t="shared" si="94"/>
        <v>10</v>
      </c>
      <c r="AI254" s="221">
        <f t="shared" si="95"/>
        <v>4.4709368619320369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47724</v>
      </c>
      <c r="B255" s="406">
        <f>'2029'!Wh/'2029'!Env_an*'2030'!Env_an</f>
        <v>129.60567149599106</v>
      </c>
      <c r="C255" s="831"/>
      <c r="D255" s="388">
        <f t="shared" si="77"/>
        <v>135.59480756660955</v>
      </c>
      <c r="E255" s="380">
        <f t="shared" si="100"/>
        <v>138.04702137652558</v>
      </c>
      <c r="F255" s="380">
        <f t="shared" si="78"/>
        <v>138.05446228907465</v>
      </c>
      <c r="G255" s="110">
        <f t="shared" si="101"/>
        <v>0.63839837228535568</v>
      </c>
      <c r="H255" s="409" t="b">
        <f>Wh_hp&gt;='2029'!Maxi_hp</f>
        <v>0</v>
      </c>
      <c r="I255" s="385">
        <f>IF(H255,Wh_hp,'2029'!Maxi_hp)</f>
        <v>138.05862062184124</v>
      </c>
      <c r="J255" s="85">
        <f>IF(H255,An,'2029'!An_max)</f>
        <v>2029</v>
      </c>
      <c r="K255" s="193">
        <f t="shared" si="79"/>
        <v>47724</v>
      </c>
      <c r="L255" s="143">
        <f>IF(t&lt;Tvie,1-EXP((T0-t)*PertePVj)+'2029'!Pspv,1-EXP((T0-t)*PertePVj)+Pspv)</f>
        <v>4.4169361482934155E-2</v>
      </c>
      <c r="M255" s="835"/>
      <c r="N255" s="835"/>
      <c r="O255" s="48">
        <f>IF(t&lt;Tnet,'2029'!Resal+('2029'!Salim-'2029'!Resal)*(1-EXP(('2029'!Tnet-t)/('2029'!Tau_j))),Resal+(Salim-Resal)*(1-EXP((Tnet-t)/(Tau_j))))*Salcycl</f>
        <v>1.7763612611586665E-2</v>
      </c>
      <c r="P255" s="165">
        <f>(INDEX(Models!$BJ255:$BT255,,T255)*(1-R255)+INDEX(Models!$BJ255:$BT255,,T255+1)*R255-ERP_i)*Q255*Ramure*Pc/MaxiM</f>
        <v>1.1148035580534344E-4</v>
      </c>
      <c r="Q255" s="301">
        <f t="shared" si="80"/>
        <v>0.5</v>
      </c>
      <c r="R255" s="173">
        <f t="shared" si="81"/>
        <v>0.94667733526035303</v>
      </c>
      <c r="S255" s="801">
        <f t="shared" si="82"/>
        <v>0</v>
      </c>
      <c r="T255" s="172">
        <f t="shared" si="83"/>
        <v>6</v>
      </c>
      <c r="U255" s="247">
        <f t="shared" si="84"/>
        <v>0.94667733526035303</v>
      </c>
      <c r="V255" s="378">
        <f t="shared" si="85"/>
        <v>203.00522960261833</v>
      </c>
      <c r="W255" s="397">
        <f t="shared" si="86"/>
        <v>129.60567149599106</v>
      </c>
      <c r="X255" s="153">
        <f t="shared" si="87"/>
        <v>47724</v>
      </c>
      <c r="Y255" s="380">
        <f t="shared" si="88"/>
        <v>124.76881802302223</v>
      </c>
      <c r="Z255" s="380">
        <f t="shared" si="89"/>
        <v>130.53444093045209</v>
      </c>
      <c r="AA255" s="381">
        <f t="shared" si="90"/>
        <v>138.01094220848057</v>
      </c>
      <c r="AB255" s="193">
        <f t="shared" si="91"/>
        <v>47724</v>
      </c>
      <c r="AC255" s="119">
        <f>IF(OR(t&lt;Tnet,NoTnet),'2029'!Resal_s+('2029'!Salim-'2029'!Resal_s)*(1-EXP(('2029'!Tnet_s-t)/'2029'!Tau_j)),Resal_s+(Salim-Resal_s)*(1-EXP((Tnet_s-t)/Tau_j)))*Salcycl</f>
        <v>5.4173250021975872E-2</v>
      </c>
      <c r="AD255" s="227">
        <f>(INDEX(Models!$BJ255:$BT255,,AH255)*(1-AF255)+INDEX(Models!$BJ255:$BT255,,AH255+1)*AF255-ERP_i)*AE255*Ramure*Pc/MaxiM</f>
        <v>6.5202138008148432E-4</v>
      </c>
      <c r="AE255" s="301">
        <f t="shared" si="92"/>
        <v>0.5</v>
      </c>
      <c r="AF255" s="173">
        <f t="shared" si="93"/>
        <v>0.47166490163433128</v>
      </c>
      <c r="AG255" s="801">
        <f t="shared" si="99"/>
        <v>4</v>
      </c>
      <c r="AH255" s="172">
        <f t="shared" si="94"/>
        <v>10</v>
      </c>
      <c r="AI255" s="221">
        <f t="shared" si="95"/>
        <v>4.4716649016343313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47725</v>
      </c>
      <c r="B256" s="406">
        <f>'2029'!Wh/'2029'!Env_an*'2030'!Env_an</f>
        <v>192.44661326141983</v>
      </c>
      <c r="C256" s="831"/>
      <c r="D256" s="388">
        <f t="shared" si="77"/>
        <v>201.34241357714509</v>
      </c>
      <c r="E256" s="380">
        <f t="shared" si="100"/>
        <v>204.99842388521486</v>
      </c>
      <c r="F256" s="380">
        <f t="shared" si="78"/>
        <v>205.01944540095172</v>
      </c>
      <c r="G256" s="110">
        <f t="shared" si="101"/>
        <v>0.95213276700885996</v>
      </c>
      <c r="H256" s="409" t="b">
        <f>Wh_hp&gt;='2029'!Maxi_hp</f>
        <v>0</v>
      </c>
      <c r="I256" s="385">
        <f>IF(H256,Wh_hp,'2029'!Maxi_hp)</f>
        <v>205.02025180731076</v>
      </c>
      <c r="J256" s="85">
        <f>IF(H256,An,'2029'!An_max)</f>
        <v>2029</v>
      </c>
      <c r="K256" s="193">
        <f t="shared" si="79"/>
        <v>47725</v>
      </c>
      <c r="L256" s="143">
        <f>IF(t&lt;Tvie,1-EXP((T0-t)*PertePVj)+'2029'!Pspv,1-EXP((T0-t)*PertePVj)+Pspv)</f>
        <v>4.4182446001705511E-2</v>
      </c>
      <c r="M256" s="835"/>
      <c r="N256" s="835"/>
      <c r="O256" s="48">
        <f>IF(t&lt;Tnet,'2029'!Resal+('2029'!Salim-'2029'!Resal)*(1-EXP(('2029'!Tnet-t)/('2029'!Tau_j))),Resal+(Salim-Resal)*(1-EXP((Tnet-t)/(Tau_j))))*Salcycl</f>
        <v>1.7834333741594367E-2</v>
      </c>
      <c r="P256" s="165">
        <f>(INDEX(Models!$BJ256:$BT256,,T256)*(1-R256)+INDEX(Models!$BJ256:$BT256,,T256+1)*R256-ERP_i)*Q256*Ramure*Pc/MaxiM</f>
        <v>1.1005916629198639E-4</v>
      </c>
      <c r="Q256" s="301">
        <f t="shared" si="80"/>
        <v>0.5</v>
      </c>
      <c r="R256" s="173">
        <f t="shared" si="81"/>
        <v>0.94737813282152761</v>
      </c>
      <c r="S256" s="801">
        <f t="shared" si="82"/>
        <v>0</v>
      </c>
      <c r="T256" s="172">
        <f t="shared" si="83"/>
        <v>6</v>
      </c>
      <c r="U256" s="247">
        <f t="shared" si="84"/>
        <v>0.94737813282152761</v>
      </c>
      <c r="V256" s="378">
        <f t="shared" si="85"/>
        <v>202.12009463077362</v>
      </c>
      <c r="W256" s="397">
        <f t="shared" si="86"/>
        <v>192.44661326141983</v>
      </c>
      <c r="X256" s="153">
        <f t="shared" si="87"/>
        <v>47725</v>
      </c>
      <c r="Y256" s="380">
        <f t="shared" si="88"/>
        <v>185.22904864960302</v>
      </c>
      <c r="Z256" s="380">
        <f t="shared" si="89"/>
        <v>193.79121870567104</v>
      </c>
      <c r="AA256" s="381">
        <f t="shared" si="90"/>
        <v>204.89675165136228</v>
      </c>
      <c r="AB256" s="193">
        <f t="shared" si="91"/>
        <v>47725</v>
      </c>
      <c r="AC256" s="119">
        <f>IF(OR(t&lt;Tnet,NoTnet),'2029'!Resal_s+('2029'!Salim-'2029'!Resal_s)*(1-EXP(('2029'!Tnet_s-t)/'2029'!Tau_j)),Resal_s+(Salim-Resal_s)*(1-EXP((Tnet_s-t)/Tau_j)))*Salcycl</f>
        <v>5.4200629615581204E-2</v>
      </c>
      <c r="AD256" s="227">
        <f>(INDEX(Models!$BJ256:$BT256,,AH256)*(1-AF256)+INDEX(Models!$BJ256:$BT256,,AH256+1)*AF256-ERP_i)*AE256*Ramure*Pc/MaxiM</f>
        <v>6.4236908309061593E-4</v>
      </c>
      <c r="AE256" s="301">
        <f t="shared" si="92"/>
        <v>0.5</v>
      </c>
      <c r="AF256" s="173">
        <f t="shared" si="93"/>
        <v>0.47236569919550586</v>
      </c>
      <c r="AG256" s="801">
        <f t="shared" si="99"/>
        <v>4</v>
      </c>
      <c r="AH256" s="172">
        <f t="shared" si="94"/>
        <v>10</v>
      </c>
      <c r="AI256" s="221">
        <f t="shared" si="95"/>
        <v>4.4723656991955059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47726</v>
      </c>
      <c r="B257" s="406">
        <f>'2029'!Wh/'2029'!Env_an*'2030'!Env_an</f>
        <v>85.611001958765598</v>
      </c>
      <c r="C257" s="831"/>
      <c r="D257" s="388">
        <f t="shared" si="77"/>
        <v>89.569576912881701</v>
      </c>
      <c r="E257" s="380">
        <f t="shared" si="100"/>
        <v>91.202547701680601</v>
      </c>
      <c r="F257" s="380">
        <f t="shared" si="78"/>
        <v>91.204322711912553</v>
      </c>
      <c r="G257" s="110">
        <f t="shared" si="101"/>
        <v>0.42541506182767447</v>
      </c>
      <c r="H257" s="409" t="b">
        <f>Wh_hp&gt;='2029'!Maxi_hp</f>
        <v>0</v>
      </c>
      <c r="I257" s="385">
        <f>IF(H257,Wh_hp,'2029'!Maxi_hp)</f>
        <v>91.208568570550895</v>
      </c>
      <c r="J257" s="85">
        <f>IF(H257,An,'2029'!An_max)</f>
        <v>2029</v>
      </c>
      <c r="K257" s="193">
        <f t="shared" si="79"/>
        <v>47726</v>
      </c>
      <c r="L257" s="143">
        <f>IF(t&lt;Tvie,1-EXP((T0-t)*PertePVj)+'2029'!Pspv,1-EXP((T0-t)*PertePVj)+Pspv)</f>
        <v>4.41955303413607E-2</v>
      </c>
      <c r="M257" s="835"/>
      <c r="N257" s="835"/>
      <c r="O257" s="48">
        <f>IF(t&lt;Tnet,'2029'!Resal+('2029'!Salim-'2029'!Resal)*(1-EXP(('2029'!Tnet-t)/('2029'!Tau_j))),Resal+(Salim-Resal)*(1-EXP((Tnet-t)/(Tau_j))))*Salcycl</f>
        <v>1.7904881277442719E-2</v>
      </c>
      <c r="P257" s="165">
        <f>(INDEX(Models!$BJ257:$BT257,,T257)*(1-R257)+INDEX(Models!$BJ257:$BT257,,T257+1)*R257-ERP_i)*Q257*Ramure*Pc/MaxiM</f>
        <v>1.0859316309681938E-4</v>
      </c>
      <c r="Q257" s="301">
        <f t="shared" si="80"/>
        <v>0.5</v>
      </c>
      <c r="R257" s="173">
        <f t="shared" si="81"/>
        <v>0.94805263001122786</v>
      </c>
      <c r="S257" s="801">
        <f t="shared" si="82"/>
        <v>0</v>
      </c>
      <c r="T257" s="172">
        <f t="shared" si="83"/>
        <v>6</v>
      </c>
      <c r="U257" s="247">
        <f t="shared" si="84"/>
        <v>0.94805263001122786</v>
      </c>
      <c r="V257" s="378">
        <f t="shared" si="85"/>
        <v>201.22317913832097</v>
      </c>
      <c r="W257" s="397">
        <f t="shared" si="86"/>
        <v>85.611001958765598</v>
      </c>
      <c r="X257" s="153">
        <f t="shared" si="87"/>
        <v>47726</v>
      </c>
      <c r="Y257" s="380">
        <f t="shared" si="88"/>
        <v>82.436925355186645</v>
      </c>
      <c r="Z257" s="380">
        <f t="shared" si="89"/>
        <v>86.248733890759652</v>
      </c>
      <c r="AA257" s="381">
        <f t="shared" si="90"/>
        <v>91.193975590404648</v>
      </c>
      <c r="AB257" s="193">
        <f t="shared" si="91"/>
        <v>47726</v>
      </c>
      <c r="AC257" s="119">
        <f>IF(OR(t&lt;Tnet,NoTnet),'2029'!Resal_s+('2029'!Salim-'2029'!Resal_s)*(1-EXP(('2029'!Tnet_s-t)/'2029'!Tau_j)),Resal_s+(Salim-Resal_s)*(1-EXP((Tnet_s-t)/Tau_j)))*Salcycl</f>
        <v>5.4227723570868587E-2</v>
      </c>
      <c r="AD257" s="227">
        <f>(INDEX(Models!$BJ257:$BT257,,AH257)*(1-AF257)+INDEX(Models!$BJ257:$BT257,,AH257+1)*AF257-ERP_i)*AE257*Ramure*Pc/MaxiM</f>
        <v>6.3302545149461281E-4</v>
      </c>
      <c r="AE257" s="301">
        <f t="shared" si="92"/>
        <v>0.5</v>
      </c>
      <c r="AF257" s="173">
        <f t="shared" si="93"/>
        <v>0.473040196385206</v>
      </c>
      <c r="AG257" s="801">
        <f t="shared" si="99"/>
        <v>4</v>
      </c>
      <c r="AH257" s="172">
        <f t="shared" si="94"/>
        <v>10</v>
      </c>
      <c r="AI257" s="221">
        <f t="shared" si="95"/>
        <v>4.473040196385206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47727</v>
      </c>
      <c r="B258" s="406">
        <f>'2029'!Wh/'2029'!Env_an*'2030'!Env_an</f>
        <v>170.26902217887081</v>
      </c>
      <c r="C258" s="831"/>
      <c r="D258" s="388">
        <f t="shared" si="77"/>
        <v>178.14454572651061</v>
      </c>
      <c r="E258" s="380">
        <f t="shared" si="100"/>
        <v>181.40535251221195</v>
      </c>
      <c r="F258" s="380">
        <f t="shared" si="78"/>
        <v>181.42061670100259</v>
      </c>
      <c r="G258" s="110">
        <f t="shared" si="101"/>
        <v>0.84998902504871476</v>
      </c>
      <c r="H258" s="409" t="b">
        <f>Wh_hp&gt;='2029'!Maxi_hp</f>
        <v>0</v>
      </c>
      <c r="I258" s="385">
        <f>IF(H258,Wh_hp,'2029'!Maxi_hp)</f>
        <v>181.42278939640917</v>
      </c>
      <c r="J258" s="85">
        <f>IF(H258,An,'2029'!An_max)</f>
        <v>2029</v>
      </c>
      <c r="K258" s="193">
        <f t="shared" si="79"/>
        <v>47727</v>
      </c>
      <c r="L258" s="143">
        <f>IF(t&lt;Tvie,1-EXP((T0-t)*PertePVj)+'2029'!Pspv,1-EXP((T0-t)*PertePVj)+Pspv)</f>
        <v>4.4208614501902277E-2</v>
      </c>
      <c r="M258" s="835"/>
      <c r="N258" s="835"/>
      <c r="O258" s="48">
        <f>IF(t&lt;Tnet,'2029'!Resal+('2029'!Salim-'2029'!Resal)*(1-EXP(('2029'!Tnet-t)/('2029'!Tau_j))),Resal+(Salim-Resal)*(1-EXP((Tnet-t)/(Tau_j))))*Salcycl</f>
        <v>1.7975251229049707E-2</v>
      </c>
      <c r="P258" s="165">
        <f>(INDEX(Models!$BJ258:$BT258,,T258)*(1-R258)+INDEX(Models!$BJ258:$BT258,,T258+1)*R258-ERP_i)*Q258*Ramure*Pc/MaxiM</f>
        <v>1.0708181039022881E-4</v>
      </c>
      <c r="Q258" s="301">
        <f t="shared" si="80"/>
        <v>0.5</v>
      </c>
      <c r="R258" s="173">
        <f t="shared" si="81"/>
        <v>0.94870174199384927</v>
      </c>
      <c r="S258" s="801">
        <f t="shared" si="82"/>
        <v>0</v>
      </c>
      <c r="T258" s="172">
        <f t="shared" si="83"/>
        <v>6</v>
      </c>
      <c r="U258" s="247">
        <f t="shared" si="84"/>
        <v>0.94870174199384927</v>
      </c>
      <c r="V258" s="378">
        <f t="shared" si="85"/>
        <v>200.31448647489086</v>
      </c>
      <c r="W258" s="397">
        <f t="shared" si="86"/>
        <v>170.26902217887081</v>
      </c>
      <c r="X258" s="153">
        <f t="shared" si="87"/>
        <v>47727</v>
      </c>
      <c r="Y258" s="380">
        <f t="shared" si="88"/>
        <v>163.91211067769507</v>
      </c>
      <c r="Z258" s="380">
        <f t="shared" si="89"/>
        <v>171.49360536690179</v>
      </c>
      <c r="AA258" s="381">
        <f t="shared" si="90"/>
        <v>181.33166836985725</v>
      </c>
      <c r="AB258" s="193">
        <f t="shared" si="91"/>
        <v>47727</v>
      </c>
      <c r="AC258" s="119">
        <f>IF(OR(t&lt;Tnet,NoTnet),'2029'!Resal_s+('2029'!Salim-'2029'!Resal_s)*(1-EXP(('2029'!Tnet_s-t)/'2029'!Tau_j)),Resal_s+(Salim-Resal_s)*(1-EXP((Tnet_s-t)/Tau_j)))*Salcycl</f>
        <v>5.4254522066653134E-2</v>
      </c>
      <c r="AD258" s="227">
        <f>(INDEX(Models!$BJ258:$BT258,,AH258)*(1-AF258)+INDEX(Models!$BJ258:$BT258,,AH258+1)*AF258-ERP_i)*AE258*Ramure*Pc/MaxiM</f>
        <v>6.2399309002706142E-4</v>
      </c>
      <c r="AE258" s="301">
        <f t="shared" si="92"/>
        <v>0.5</v>
      </c>
      <c r="AF258" s="173">
        <f t="shared" si="93"/>
        <v>0.47368930836782752</v>
      </c>
      <c r="AG258" s="801">
        <f t="shared" si="99"/>
        <v>4</v>
      </c>
      <c r="AH258" s="172">
        <f t="shared" si="94"/>
        <v>10</v>
      </c>
      <c r="AI258" s="221">
        <f t="shared" si="95"/>
        <v>4.4736893083678275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47728</v>
      </c>
      <c r="B259" s="406">
        <f>'2029'!Wh/'2029'!Env_an*'2030'!Env_an</f>
        <v>167.82742105432899</v>
      </c>
      <c r="C259" s="831"/>
      <c r="D259" s="388">
        <f t="shared" si="77"/>
        <v>175.59241592743183</v>
      </c>
      <c r="E259" s="380">
        <f t="shared" si="100"/>
        <v>178.81928856994514</v>
      </c>
      <c r="F259" s="380">
        <f t="shared" si="78"/>
        <v>178.83389197014634</v>
      </c>
      <c r="G259" s="110">
        <f t="shared" si="101"/>
        <v>0.84166724480843669</v>
      </c>
      <c r="H259" s="409" t="b">
        <f>Wh_hp&gt;='2029'!Maxi_hp</f>
        <v>0</v>
      </c>
      <c r="I259" s="385">
        <f>IF(H259,Wh_hp,'2029'!Maxi_hp)</f>
        <v>178.83611813422939</v>
      </c>
      <c r="J259" s="85">
        <f>IF(H259,An,'2029'!An_max)</f>
        <v>2029</v>
      </c>
      <c r="K259" s="193">
        <f t="shared" si="79"/>
        <v>47728</v>
      </c>
      <c r="L259" s="143">
        <f>IF(t&lt;Tvie,1-EXP((T0-t)*PertePVj)+'2029'!Pspv,1-EXP((T0-t)*PertePVj)+Pspv)</f>
        <v>4.4221698483332683E-2</v>
      </c>
      <c r="M259" s="835"/>
      <c r="N259" s="835"/>
      <c r="O259" s="48">
        <f>IF(t&lt;Tnet,'2029'!Resal+('2029'!Salim-'2029'!Resal)*(1-EXP(('2029'!Tnet-t)/('2029'!Tau_j))),Resal+(Salim-Resal)*(1-EXP((Tnet-t)/(Tau_j))))*Salcycl</f>
        <v>1.8045439439555225E-2</v>
      </c>
      <c r="P259" s="165">
        <f>(INDEX(Models!$BJ259:$BT259,,T259)*(1-R259)+INDEX(Models!$BJ259:$BT259,,T259+1)*R259-ERP_i)*Q259*Ramure*Pc/MaxiM</f>
        <v>1.0552455228531512E-4</v>
      </c>
      <c r="Q259" s="301">
        <f t="shared" si="80"/>
        <v>0.5</v>
      </c>
      <c r="R259" s="173">
        <f t="shared" si="81"/>
        <v>0.94932635760805595</v>
      </c>
      <c r="S259" s="801">
        <f t="shared" si="82"/>
        <v>0</v>
      </c>
      <c r="T259" s="172">
        <f t="shared" si="83"/>
        <v>6</v>
      </c>
      <c r="U259" s="247">
        <f t="shared" si="84"/>
        <v>0.94932635760805595</v>
      </c>
      <c r="V259" s="378">
        <f t="shared" si="85"/>
        <v>199.39401999010332</v>
      </c>
      <c r="W259" s="397">
        <f t="shared" si="86"/>
        <v>167.82742105432899</v>
      </c>
      <c r="X259" s="153">
        <f t="shared" si="87"/>
        <v>47728</v>
      </c>
      <c r="Y259" s="380">
        <f t="shared" si="88"/>
        <v>161.57057679895553</v>
      </c>
      <c r="Z259" s="380">
        <f t="shared" si="89"/>
        <v>169.04608165153871</v>
      </c>
      <c r="AA259" s="381">
        <f t="shared" si="90"/>
        <v>178.74874493955696</v>
      </c>
      <c r="AB259" s="193">
        <f t="shared" si="91"/>
        <v>47728</v>
      </c>
      <c r="AC259" s="119">
        <f>IF(OR(t&lt;Tnet,NoTnet),'2029'!Resal_s+('2029'!Salim-'2029'!Resal_s)*(1-EXP(('2029'!Tnet_s-t)/'2029'!Tau_j)),Resal_s+(Salim-Resal_s)*(1-EXP((Tnet_s-t)/Tau_j)))*Salcycl</f>
        <v>5.4281014903344679E-2</v>
      </c>
      <c r="AD259" s="227">
        <f>(INDEX(Models!$BJ259:$BT259,,AH259)*(1-AF259)+INDEX(Models!$BJ259:$BT259,,AH259+1)*AF259-ERP_i)*AE259*Ramure*Pc/MaxiM</f>
        <v>6.1527467285507587E-4</v>
      </c>
      <c r="AE259" s="301">
        <f t="shared" si="92"/>
        <v>0.5</v>
      </c>
      <c r="AF259" s="173">
        <f t="shared" si="93"/>
        <v>0.47431392398203442</v>
      </c>
      <c r="AG259" s="801">
        <f t="shared" si="99"/>
        <v>4</v>
      </c>
      <c r="AH259" s="172">
        <f t="shared" si="94"/>
        <v>10</v>
      </c>
      <c r="AI259" s="221">
        <f t="shared" si="95"/>
        <v>4.4743139239820344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47729</v>
      </c>
      <c r="B260" s="406">
        <f>'2029'!Wh/'2029'!Env_an*'2030'!Env_an</f>
        <v>131.09228864650868</v>
      </c>
      <c r="C260" s="831"/>
      <c r="D260" s="388">
        <f t="shared" si="77"/>
        <v>137.15950969633309</v>
      </c>
      <c r="E260" s="380">
        <f t="shared" si="100"/>
        <v>139.69005675810894</v>
      </c>
      <c r="F260" s="380">
        <f t="shared" si="78"/>
        <v>139.69753412632608</v>
      </c>
      <c r="G260" s="110">
        <f t="shared" si="101"/>
        <v>0.66050843559942685</v>
      </c>
      <c r="H260" s="409" t="b">
        <f>Wh_hp&gt;='2029'!Maxi_hp</f>
        <v>0</v>
      </c>
      <c r="I260" s="385">
        <f>IF(H260,Wh_hp,'2029'!Maxi_hp)</f>
        <v>139.70120384469499</v>
      </c>
      <c r="J260" s="85">
        <f>IF(H260,An,'2029'!An_max)</f>
        <v>2029</v>
      </c>
      <c r="K260" s="193">
        <f t="shared" si="79"/>
        <v>47729</v>
      </c>
      <c r="L260" s="143">
        <f>IF(t&lt;Tvie,1-EXP((T0-t)*PertePVj)+'2029'!Pspv,1-EXP((T0-t)*PertePVj)+Pspv)</f>
        <v>4.4234782285654473E-2</v>
      </c>
      <c r="M260" s="835"/>
      <c r="N260" s="835"/>
      <c r="O260" s="48">
        <f>IF(t&lt;Tnet,'2029'!Resal+('2029'!Salim-'2029'!Resal)*(1-EXP(('2029'!Tnet-t)/('2029'!Tau_j))),Resal+(Salim-Resal)*(1-EXP((Tnet-t)/(Tau_j))))*Salcycl</f>
        <v>1.8115441574755847E-2</v>
      </c>
      <c r="P260" s="165">
        <f>(INDEX(Models!$BJ260:$BT260,,T260)*(1-R260)+INDEX(Models!$BJ260:$BT260,,T260+1)*R260-ERP_i)*Q260*Ramure*Pc/MaxiM</f>
        <v>1.0392081269564886E-4</v>
      </c>
      <c r="Q260" s="301">
        <f t="shared" si="80"/>
        <v>0.5</v>
      </c>
      <c r="R260" s="173">
        <f t="shared" si="81"/>
        <v>0.94992733968668142</v>
      </c>
      <c r="S260" s="801">
        <f t="shared" si="82"/>
        <v>0</v>
      </c>
      <c r="T260" s="172">
        <f t="shared" si="83"/>
        <v>6</v>
      </c>
      <c r="U260" s="247">
        <f t="shared" si="84"/>
        <v>0.94992733968668142</v>
      </c>
      <c r="V260" s="378">
        <f t="shared" si="85"/>
        <v>198.46178304390261</v>
      </c>
      <c r="W260" s="397">
        <f t="shared" si="86"/>
        <v>131.09228864650868</v>
      </c>
      <c r="X260" s="153">
        <f t="shared" si="87"/>
        <v>47729</v>
      </c>
      <c r="Y260" s="380">
        <f t="shared" si="88"/>
        <v>126.22758611284955</v>
      </c>
      <c r="Z260" s="380">
        <f t="shared" si="89"/>
        <v>132.06965871253942</v>
      </c>
      <c r="AA260" s="381">
        <f t="shared" si="90"/>
        <v>139.65386806610493</v>
      </c>
      <c r="AB260" s="193">
        <f t="shared" si="91"/>
        <v>47729</v>
      </c>
      <c r="AC260" s="119">
        <f>IF(OR(t&lt;Tnet,NoTnet),'2029'!Resal_s+('2029'!Salim-'2029'!Resal_s)*(1-EXP(('2029'!Tnet_s-t)/'2029'!Tau_j)),Resal_s+(Salim-Resal_s)*(1-EXP((Tnet_s-t)/Tau_j)))*Salcycl</f>
        <v>5.4307191476970336E-2</v>
      </c>
      <c r="AD260" s="227">
        <f>(INDEX(Models!$BJ260:$BT260,,AH260)*(1-AF260)+INDEX(Models!$BJ260:$BT260,,AH260+1)*AF260-ERP_i)*AE260*Ramure*Pc/MaxiM</f>
        <v>6.0687294428009829E-4</v>
      </c>
      <c r="AE260" s="301">
        <f t="shared" si="92"/>
        <v>0.5</v>
      </c>
      <c r="AF260" s="173">
        <f t="shared" si="93"/>
        <v>0.47491490606065945</v>
      </c>
      <c r="AG260" s="801">
        <f t="shared" si="99"/>
        <v>4</v>
      </c>
      <c r="AH260" s="172">
        <f t="shared" si="94"/>
        <v>10</v>
      </c>
      <c r="AI260" s="221">
        <f t="shared" si="95"/>
        <v>4.4749149060606594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47730</v>
      </c>
      <c r="B261" s="406">
        <f>'2029'!Wh/'2029'!Env_an*'2030'!Env_an</f>
        <v>184.6583643541407</v>
      </c>
      <c r="C261" s="831"/>
      <c r="D261" s="388">
        <f t="shared" si="77"/>
        <v>193.20737853203025</v>
      </c>
      <c r="E261" s="380">
        <f t="shared" si="100"/>
        <v>196.78598141294279</v>
      </c>
      <c r="F261" s="380">
        <f t="shared" si="78"/>
        <v>196.80423660800665</v>
      </c>
      <c r="G261" s="110">
        <f t="shared" si="101"/>
        <v>0.934886007128089</v>
      </c>
      <c r="H261" s="409" t="b">
        <f>Wh_hp&gt;='2029'!Maxi_hp</f>
        <v>0</v>
      </c>
      <c r="I261" s="385">
        <f>IF(H261,Wh_hp,'2029'!Maxi_hp)</f>
        <v>196.80521181645327</v>
      </c>
      <c r="J261" s="85">
        <f>IF(H261,An,'2029'!An_max)</f>
        <v>2029</v>
      </c>
      <c r="K261" s="193">
        <f t="shared" si="79"/>
        <v>47730</v>
      </c>
      <c r="L261" s="143">
        <f>IF(t&lt;Tvie,1-EXP((T0-t)*PertePVj)+'2029'!Pspv,1-EXP((T0-t)*PertePVj)+Pspv)</f>
        <v>4.4247865908869866E-2</v>
      </c>
      <c r="M261" s="835"/>
      <c r="N261" s="835"/>
      <c r="O261" s="48">
        <f>IF(t&lt;Tnet,'2029'!Resal+('2029'!Salim-'2029'!Resal)*(1-EXP(('2029'!Tnet-t)/('2029'!Tau_j))),Resal+(Salim-Resal)*(1-EXP((Tnet-t)/(Tau_j))))*Salcycl</f>
        <v>1.8185253112126289E-2</v>
      </c>
      <c r="P261" s="165">
        <f>(INDEX(Models!$BJ261:$BT261,,T261)*(1-R261)+INDEX(Models!$BJ261:$BT261,,T261+1)*R261-ERP_i)*Q261*Ramure*Pc/MaxiM</f>
        <v>1.0226999526136842E-4</v>
      </c>
      <c r="Q261" s="301">
        <f t="shared" si="80"/>
        <v>0.5</v>
      </c>
      <c r="R261" s="173">
        <f t="shared" si="81"/>
        <v>0.95050552541244571</v>
      </c>
      <c r="S261" s="801">
        <f t="shared" si="82"/>
        <v>0</v>
      </c>
      <c r="T261" s="172">
        <f t="shared" si="83"/>
        <v>6</v>
      </c>
      <c r="U261" s="247">
        <f t="shared" si="84"/>
        <v>0.95050552541244571</v>
      </c>
      <c r="V261" s="378">
        <f t="shared" si="85"/>
        <v>197.51777900168165</v>
      </c>
      <c r="W261" s="397">
        <f t="shared" si="86"/>
        <v>184.6583643541407</v>
      </c>
      <c r="X261" s="153">
        <f t="shared" si="87"/>
        <v>47730</v>
      </c>
      <c r="Y261" s="380">
        <f t="shared" si="88"/>
        <v>177.7796333716413</v>
      </c>
      <c r="Z261" s="380">
        <f t="shared" si="89"/>
        <v>186.01018719220579</v>
      </c>
      <c r="AA261" s="381">
        <f t="shared" si="90"/>
        <v>196.69735245927404</v>
      </c>
      <c r="AB261" s="193">
        <f t="shared" si="91"/>
        <v>47730</v>
      </c>
      <c r="AC261" s="119">
        <f>IF(OR(t&lt;Tnet,NoTnet),'2029'!Resal_s+('2029'!Salim-'2029'!Resal_s)*(1-EXP(('2029'!Tnet_s-t)/'2029'!Tau_j)),Resal_s+(Salim-Resal_s)*(1-EXP((Tnet_s-t)/Tau_j)))*Salcycl</f>
        <v>5.4333040752447423E-2</v>
      </c>
      <c r="AD261" s="227">
        <f>(INDEX(Models!$BJ261:$BT261,,AH261)*(1-AF261)+INDEX(Models!$BJ261:$BT261,,AH261+1)*AF261-ERP_i)*AE261*Ramure*Pc/MaxiM</f>
        <v>5.9879071936307614E-4</v>
      </c>
      <c r="AE261" s="301">
        <f t="shared" si="92"/>
        <v>0.5</v>
      </c>
      <c r="AF261" s="173">
        <f t="shared" si="93"/>
        <v>0.47549309178642396</v>
      </c>
      <c r="AG261" s="801">
        <f t="shared" si="99"/>
        <v>4</v>
      </c>
      <c r="AH261" s="172">
        <f t="shared" si="94"/>
        <v>10</v>
      </c>
      <c r="AI261" s="221">
        <f t="shared" si="95"/>
        <v>4.475493091786424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47731</v>
      </c>
      <c r="B262" s="406">
        <f>'2029'!Wh/'2029'!Env_an*'2030'!Env_an</f>
        <v>163.08374315442978</v>
      </c>
      <c r="C262" s="831"/>
      <c r="D262" s="388">
        <f t="shared" si="77"/>
        <v>170.6362662946805</v>
      </c>
      <c r="E262" s="380">
        <f t="shared" si="100"/>
        <v>173.8091292372155</v>
      </c>
      <c r="F262" s="380">
        <f t="shared" si="78"/>
        <v>173.82236341803818</v>
      </c>
      <c r="G262" s="110">
        <f t="shared" si="101"/>
        <v>0.8296606085681395</v>
      </c>
      <c r="H262" s="409" t="b">
        <f>Wh_hp&gt;='2029'!Maxi_hp</f>
        <v>0</v>
      </c>
      <c r="I262" s="385">
        <f>IF(H262,Wh_hp,'2029'!Maxi_hp)</f>
        <v>173.82457901661357</v>
      </c>
      <c r="J262" s="85">
        <f>IF(H262,An,'2029'!An_max)</f>
        <v>2029</v>
      </c>
      <c r="K262" s="193">
        <f t="shared" si="79"/>
        <v>47731</v>
      </c>
      <c r="L262" s="143">
        <f>IF(t&lt;Tvie,1-EXP((T0-t)*PertePVj)+'2029'!Pspv,1-EXP((T0-t)*PertePVj)+Pspv)</f>
        <v>4.4260949352981527E-2</v>
      </c>
      <c r="M262" s="835"/>
      <c r="N262" s="835"/>
      <c r="O262" s="48">
        <f>IF(t&lt;Tnet,'2029'!Resal+('2029'!Salim-'2029'!Resal)*(1-EXP(('2029'!Tnet-t)/('2029'!Tau_j))),Resal+(Salim-Resal)*(1-EXP((Tnet-t)/(Tau_j))))*Salcycl</f>
        <v>1.8254869329704014E-2</v>
      </c>
      <c r="P262" s="165">
        <f>(INDEX(Models!$BJ262:$BT262,,T262)*(1-R262)+INDEX(Models!$BJ262:$BT262,,T262+1)*R262-ERP_i)*Q262*Ramure*Pc/MaxiM</f>
        <v>1.0061787077347434E-4</v>
      </c>
      <c r="Q262" s="301">
        <f t="shared" si="80"/>
        <v>0.5</v>
      </c>
      <c r="R262" s="173">
        <f t="shared" si="81"/>
        <v>0.95106172670521749</v>
      </c>
      <c r="S262" s="801">
        <f t="shared" si="82"/>
        <v>0</v>
      </c>
      <c r="T262" s="172">
        <f t="shared" si="83"/>
        <v>6</v>
      </c>
      <c r="U262" s="247">
        <f t="shared" si="84"/>
        <v>0.95106172670521749</v>
      </c>
      <c r="V262" s="378">
        <f t="shared" si="85"/>
        <v>196.56200211259736</v>
      </c>
      <c r="W262" s="397">
        <f t="shared" si="86"/>
        <v>163.08374315442978</v>
      </c>
      <c r="X262" s="153">
        <f t="shared" si="87"/>
        <v>47731</v>
      </c>
      <c r="Y262" s="380">
        <f t="shared" si="88"/>
        <v>157.0280227885855</v>
      </c>
      <c r="Z262" s="380">
        <f t="shared" si="89"/>
        <v>164.30010124864137</v>
      </c>
      <c r="AA262" s="381">
        <f t="shared" si="90"/>
        <v>173.74460633420165</v>
      </c>
      <c r="AB262" s="193">
        <f t="shared" si="91"/>
        <v>47731</v>
      </c>
      <c r="AC262" s="119">
        <f>IF(OR(t&lt;Tnet,NoTnet),'2029'!Resal_s+('2029'!Salim-'2029'!Resal_s)*(1-EXP(('2029'!Tnet_s-t)/'2029'!Tau_j)),Resal_s+(Salim-Resal_s)*(1-EXP((Tnet_s-t)/Tau_j)))*Salcycl</f>
        <v>5.4358551236943511E-2</v>
      </c>
      <c r="AD262" s="227">
        <f>(INDEX(Models!$BJ262:$BT262,,AH262)*(1-AF262)+INDEX(Models!$BJ262:$BT262,,AH262+1)*AF262-ERP_i)*AE262*Ramure*Pc/MaxiM</f>
        <v>5.9117767227234112E-4</v>
      </c>
      <c r="AE262" s="301">
        <f t="shared" si="92"/>
        <v>0.5</v>
      </c>
      <c r="AF262" s="173">
        <f t="shared" si="93"/>
        <v>0.4760492930791953</v>
      </c>
      <c r="AG262" s="801">
        <f t="shared" si="99"/>
        <v>4</v>
      </c>
      <c r="AH262" s="172">
        <f t="shared" si="94"/>
        <v>10</v>
      </c>
      <c r="AI262" s="221">
        <f t="shared" si="95"/>
        <v>4.4760492930791953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47732</v>
      </c>
      <c r="B263" s="406">
        <f>'2029'!Wh/'2029'!Env_an*'2030'!Env_an</f>
        <v>182.88556673346486</v>
      </c>
      <c r="C263" s="831"/>
      <c r="D263" s="388">
        <f t="shared" si="77"/>
        <v>191.35774581330867</v>
      </c>
      <c r="E263" s="380">
        <f t="shared" si="100"/>
        <v>194.92969312257893</v>
      </c>
      <c r="F263" s="380">
        <f t="shared" si="78"/>
        <v>194.94721679084054</v>
      </c>
      <c r="G263" s="110">
        <f t="shared" si="101"/>
        <v>0.93501580172471932</v>
      </c>
      <c r="H263" s="409" t="b">
        <f>Wh_hp&gt;='2029'!Maxi_hp</f>
        <v>0</v>
      </c>
      <c r="I263" s="385">
        <f>IF(H263,Wh_hp,'2029'!Maxi_hp)</f>
        <v>194.94814982272536</v>
      </c>
      <c r="J263" s="85">
        <f>IF(H263,An,'2029'!An_max)</f>
        <v>2029</v>
      </c>
      <c r="K263" s="193">
        <f t="shared" si="79"/>
        <v>47732</v>
      </c>
      <c r="L263" s="143">
        <f>IF(t&lt;Tvie,1-EXP((T0-t)*PertePVj)+'2029'!Pspv,1-EXP((T0-t)*PertePVj)+Pspv)</f>
        <v>4.4274032617991788E-2</v>
      </c>
      <c r="M263" s="835"/>
      <c r="N263" s="835"/>
      <c r="O263" s="48">
        <f>IF(t&lt;Tnet,'2029'!Resal+('2029'!Salim-'2029'!Resal)*(1-EXP(('2029'!Tnet-t)/('2029'!Tau_j))),Resal+(Salim-Resal)*(1-EXP((Tnet-t)/(Tau_j))))*Salcycl</f>
        <v>1.8324285295129826E-2</v>
      </c>
      <c r="P263" s="165">
        <f>(INDEX(Models!$BJ263:$BT263,,T263)*(1-R263)+INDEX(Models!$BJ263:$BT263,,T263+1)*R263-ERP_i)*Q263*Ramure*Pc/MaxiM</f>
        <v>9.9086755783739161E-5</v>
      </c>
      <c r="Q263" s="301">
        <f t="shared" si="80"/>
        <v>0.5</v>
      </c>
      <c r="R263" s="173">
        <f t="shared" si="81"/>
        <v>0.95159673063684913</v>
      </c>
      <c r="S263" s="801">
        <f t="shared" si="82"/>
        <v>0</v>
      </c>
      <c r="T263" s="172">
        <f t="shared" si="83"/>
        <v>6</v>
      </c>
      <c r="U263" s="247">
        <f t="shared" si="84"/>
        <v>0.95159673063684913</v>
      </c>
      <c r="V263" s="378">
        <f t="shared" si="85"/>
        <v>195.59443184001282</v>
      </c>
      <c r="W263" s="397">
        <f t="shared" si="86"/>
        <v>182.88556673346486</v>
      </c>
      <c r="X263" s="153">
        <f t="shared" si="87"/>
        <v>47732</v>
      </c>
      <c r="Y263" s="380">
        <f t="shared" si="88"/>
        <v>176.09018770020549</v>
      </c>
      <c r="Z263" s="380">
        <f t="shared" si="89"/>
        <v>184.24757065308597</v>
      </c>
      <c r="AA263" s="381">
        <f t="shared" si="90"/>
        <v>194.84390527896198</v>
      </c>
      <c r="AB263" s="193">
        <f t="shared" si="91"/>
        <v>47732</v>
      </c>
      <c r="AC263" s="119">
        <f>IF(OR(t&lt;Tnet,NoTnet),'2029'!Resal_s+('2029'!Salim-'2029'!Resal_s)*(1-EXP(('2029'!Tnet_s-t)/'2029'!Tau_j)),Resal_s+(Salim-Resal_s)*(1-EXP((Tnet_s-t)/Tau_j)))*Salcycl</f>
        <v>5.4383710954186766E-2</v>
      </c>
      <c r="AD263" s="227">
        <f>(INDEX(Models!$BJ263:$BT263,,AH263)*(1-AF263)+INDEX(Models!$BJ263:$BT263,,AH263+1)*AF263-ERP_i)*AE263*Ramure*Pc/MaxiM</f>
        <v>5.8417007183183764E-4</v>
      </c>
      <c r="AE263" s="301">
        <f t="shared" si="92"/>
        <v>0.5</v>
      </c>
      <c r="AF263" s="173">
        <f t="shared" si="93"/>
        <v>0.47658429701082738</v>
      </c>
      <c r="AG263" s="801">
        <f t="shared" si="99"/>
        <v>4</v>
      </c>
      <c r="AH263" s="172">
        <f t="shared" si="94"/>
        <v>10</v>
      </c>
      <c r="AI263" s="221">
        <f t="shared" si="95"/>
        <v>4.4765842970108274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47733</v>
      </c>
      <c r="B264" s="406">
        <f>'2029'!Wh/'2029'!Env_an*'2030'!Env_an</f>
        <v>138.99937044333302</v>
      </c>
      <c r="C264" s="831"/>
      <c r="D264" s="388">
        <f t="shared" si="77"/>
        <v>145.44051119045972</v>
      </c>
      <c r="E264" s="380">
        <f t="shared" si="100"/>
        <v>148.16579818525523</v>
      </c>
      <c r="F264" s="380">
        <f t="shared" si="78"/>
        <v>148.17436287217186</v>
      </c>
      <c r="G264" s="110">
        <f t="shared" si="101"/>
        <v>0.7141986799935186</v>
      </c>
      <c r="H264" s="409" t="b">
        <f>Wh_hp&gt;='2029'!Maxi_hp</f>
        <v>0</v>
      </c>
      <c r="I264" s="385">
        <f>IF(H264,Wh_hp,'2029'!Maxi_hp)</f>
        <v>148.17743596191121</v>
      </c>
      <c r="J264" s="85">
        <f>IF(H264,An,'2029'!An_max)</f>
        <v>2029</v>
      </c>
      <c r="K264" s="193">
        <f t="shared" si="79"/>
        <v>47733</v>
      </c>
      <c r="L264" s="143">
        <f>IF(t&lt;Tvie,1-EXP((T0-t)*PertePVj)+'2029'!Pspv,1-EXP((T0-t)*PertePVj)+Pspv)</f>
        <v>4.428711570390309E-2</v>
      </c>
      <c r="M264" s="835"/>
      <c r="N264" s="835"/>
      <c r="O264" s="48">
        <f>IF(t&lt;Tnet,'2029'!Resal+('2029'!Salim-'2029'!Resal)*(1-EXP(('2029'!Tnet-t)/('2029'!Tau_j))),Resal+(Salim-Resal)*(1-EXP((Tnet-t)/(Tau_j))))*Salcycl</f>
        <v>1.8393495855150179E-2</v>
      </c>
      <c r="P264" s="165">
        <f>(INDEX(Models!$BJ264:$BT264,,T264)*(1-R264)+INDEX(Models!$BJ264:$BT264,,T264+1)*R264-ERP_i)*Q264*Ramure*Pc/MaxiM</f>
        <v>9.7678254280140057E-5</v>
      </c>
      <c r="Q264" s="301">
        <f t="shared" si="80"/>
        <v>0.5</v>
      </c>
      <c r="R264" s="173">
        <f t="shared" si="81"/>
        <v>0.95211129986988685</v>
      </c>
      <c r="S264" s="801">
        <f t="shared" si="82"/>
        <v>0</v>
      </c>
      <c r="T264" s="172">
        <f t="shared" si="83"/>
        <v>6</v>
      </c>
      <c r="U264" s="247">
        <f t="shared" si="84"/>
        <v>0.95211129986988685</v>
      </c>
      <c r="V264" s="378">
        <f t="shared" si="85"/>
        <v>194.61507163212468</v>
      </c>
      <c r="W264" s="397">
        <f t="shared" si="86"/>
        <v>138.99937044333302</v>
      </c>
      <c r="X264" s="153">
        <f t="shared" si="87"/>
        <v>47733</v>
      </c>
      <c r="Y264" s="380">
        <f t="shared" si="88"/>
        <v>133.86145928632558</v>
      </c>
      <c r="Z264" s="380">
        <f t="shared" si="89"/>
        <v>140.06451256008484</v>
      </c>
      <c r="AA264" s="381">
        <f t="shared" si="90"/>
        <v>148.1237021052456</v>
      </c>
      <c r="AB264" s="193">
        <f t="shared" si="91"/>
        <v>47733</v>
      </c>
      <c r="AC264" s="119">
        <f>IF(OR(t&lt;Tnet,NoTnet),'2029'!Resal_s+('2029'!Salim-'2029'!Resal_s)*(1-EXP(('2029'!Tnet_s-t)/'2029'!Tau_j)),Resal_s+(Salim-Resal_s)*(1-EXP((Tnet_s-t)/Tau_j)))*Salcycl</f>
        <v>5.4408507420605087E-2</v>
      </c>
      <c r="AD264" s="227">
        <f>(INDEX(Models!$BJ264:$BT264,,AH264)*(1-AF264)+INDEX(Models!$BJ264:$BT264,,AH264+1)*AF264-ERP_i)*AE264*Ramure*Pc/MaxiM</f>
        <v>5.7777421661942441E-4</v>
      </c>
      <c r="AE264" s="301">
        <f t="shared" si="92"/>
        <v>0.5</v>
      </c>
      <c r="AF264" s="173">
        <f t="shared" si="93"/>
        <v>0.47709886624386488</v>
      </c>
      <c r="AG264" s="801">
        <f t="shared" si="99"/>
        <v>4</v>
      </c>
      <c r="AH264" s="172">
        <f t="shared" si="94"/>
        <v>10</v>
      </c>
      <c r="AI264" s="221">
        <f t="shared" si="95"/>
        <v>4.4770988662438649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47734</v>
      </c>
      <c r="B265" s="406">
        <f>'2029'!Wh/'2029'!Env_an*'2030'!Env_an</f>
        <v>161.57864040287126</v>
      </c>
      <c r="C265" s="831"/>
      <c r="D265" s="388">
        <f t="shared" si="77"/>
        <v>169.06840429179493</v>
      </c>
      <c r="E265" s="380">
        <f t="shared" si="100"/>
        <v>172.24854224964605</v>
      </c>
      <c r="F265" s="380">
        <f t="shared" si="78"/>
        <v>172.26122124809254</v>
      </c>
      <c r="G265" s="110">
        <f t="shared" si="101"/>
        <v>0.83447826854719753</v>
      </c>
      <c r="H265" s="409" t="b">
        <f>Wh_hp&gt;='2029'!Maxi_hp</f>
        <v>0</v>
      </c>
      <c r="I265" s="385">
        <f>IF(H265,Wh_hp,'2029'!Maxi_hp)</f>
        <v>172.26326213194801</v>
      </c>
      <c r="J265" s="85">
        <f>IF(H265,An,'2029'!An_max)</f>
        <v>2029</v>
      </c>
      <c r="K265" s="193">
        <f t="shared" si="79"/>
        <v>47734</v>
      </c>
      <c r="L265" s="143">
        <f>IF(t&lt;Tvie,1-EXP((T0-t)*PertePVj)+'2029'!Pspv,1-EXP((T0-t)*PertePVj)+Pspv)</f>
        <v>4.4300198610717989E-2</v>
      </c>
      <c r="M265" s="835"/>
      <c r="N265" s="835"/>
      <c r="O265" s="48">
        <f>IF(t&lt;Tnet,'2029'!Resal+('2029'!Salim-'2029'!Resal)*(1-EXP(('2029'!Tnet-t)/('2029'!Tau_j))),Resal+(Salim-Resal)*(1-EXP((Tnet-t)/(Tau_j))))*Salcycl</f>
        <v>1.8462495625896368E-2</v>
      </c>
      <c r="P265" s="165">
        <f>(INDEX(Models!$BJ265:$BT265,,T265)*(1-R265)+INDEX(Models!$BJ265:$BT265,,T265+1)*R265-ERP_i)*Q265*Ramure*Pc/MaxiM</f>
        <v>9.6393990676321898E-5</v>
      </c>
      <c r="Q265" s="301">
        <f t="shared" si="80"/>
        <v>0.5</v>
      </c>
      <c r="R265" s="173">
        <f t="shared" si="81"/>
        <v>0.95260617311673257</v>
      </c>
      <c r="S265" s="801">
        <f t="shared" si="82"/>
        <v>0</v>
      </c>
      <c r="T265" s="172">
        <f t="shared" si="83"/>
        <v>6</v>
      </c>
      <c r="U265" s="247">
        <f t="shared" si="84"/>
        <v>0.95260617311673257</v>
      </c>
      <c r="V265" s="378">
        <f t="shared" si="85"/>
        <v>193.6239249562945</v>
      </c>
      <c r="W265" s="397">
        <f t="shared" si="86"/>
        <v>161.57864040287126</v>
      </c>
      <c r="X265" s="153">
        <f t="shared" si="87"/>
        <v>47734</v>
      </c>
      <c r="Y265" s="380">
        <f t="shared" si="88"/>
        <v>155.60073168296282</v>
      </c>
      <c r="Z265" s="380">
        <f t="shared" si="89"/>
        <v>162.81339753002888</v>
      </c>
      <c r="AA265" s="381">
        <f t="shared" si="90"/>
        <v>172.18598477730987</v>
      </c>
      <c r="AB265" s="193">
        <f t="shared" si="91"/>
        <v>47734</v>
      </c>
      <c r="AC265" s="119">
        <f>IF(OR(t&lt;Tnet,NoTnet),'2029'!Resal_s+('2029'!Salim-'2029'!Resal_s)*(1-EXP(('2029'!Tnet_s-t)/'2029'!Tau_j)),Resal_s+(Salim-Resal_s)*(1-EXP((Tnet_s-t)/Tau_j)))*Salcycl</f>
        <v>5.4432927624177299E-2</v>
      </c>
      <c r="AD265" s="227">
        <f>(INDEX(Models!$BJ265:$BT265,,AH265)*(1-AF265)+INDEX(Models!$BJ265:$BT265,,AH265+1)*AF265-ERP_i)*AE265*Ramure*Pc/MaxiM</f>
        <v>5.7199657321142154E-4</v>
      </c>
      <c r="AE265" s="301">
        <f t="shared" si="92"/>
        <v>0.5</v>
      </c>
      <c r="AF265" s="173">
        <f t="shared" si="93"/>
        <v>0.47759373949071104</v>
      </c>
      <c r="AG265" s="801">
        <f t="shared" si="99"/>
        <v>4</v>
      </c>
      <c r="AH265" s="172">
        <f t="shared" si="94"/>
        <v>10</v>
      </c>
      <c r="AI265" s="221">
        <f t="shared" si="95"/>
        <v>4.477593739490711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47735</v>
      </c>
      <c r="B266" s="406">
        <f>'2029'!Wh/'2029'!Env_an*'2030'!Env_an</f>
        <v>86.417232212691744</v>
      </c>
      <c r="C266" s="831"/>
      <c r="D266" s="388">
        <f t="shared" si="77"/>
        <v>90.424226396824949</v>
      </c>
      <c r="E266" s="380">
        <f t="shared" si="100"/>
        <v>92.131541699304847</v>
      </c>
      <c r="F266" s="380">
        <f t="shared" si="78"/>
        <v>92.133404860109295</v>
      </c>
      <c r="G266" s="110">
        <f t="shared" si="101"/>
        <v>0.44860504180362815</v>
      </c>
      <c r="H266" s="409" t="b">
        <f>Wh_hp&gt;='2029'!Maxi_hp</f>
        <v>0</v>
      </c>
      <c r="I266" s="385">
        <f>IF(H266,Wh_hp,'2029'!Maxi_hp)</f>
        <v>92.136995888017253</v>
      </c>
      <c r="J266" s="85">
        <f>IF(H266,An,'2029'!An_max)</f>
        <v>2029</v>
      </c>
      <c r="K266" s="193">
        <f t="shared" si="79"/>
        <v>47735</v>
      </c>
      <c r="L266" s="143">
        <f>IF(t&lt;Tvie,1-EXP((T0-t)*PertePVj)+'2029'!Pspv,1-EXP((T0-t)*PertePVj)+Pspv)</f>
        <v>4.4313281338438926E-2</v>
      </c>
      <c r="M266" s="835"/>
      <c r="N266" s="835"/>
      <c r="O266" s="48">
        <f>IF(t&lt;Tnet,'2029'!Resal+('2029'!Salim-'2029'!Resal)*(1-EXP(('2029'!Tnet-t)/('2029'!Tau_j))),Resal+(Salim-Resal)*(1-EXP((Tnet-t)/(Tau_j))))*Salcycl</f>
        <v>1.8531278984261025E-2</v>
      </c>
      <c r="P266" s="165">
        <f>(INDEX(Models!$BJ266:$BT266,,T266)*(1-R266)+INDEX(Models!$BJ266:$BT266,,T266+1)*R266-ERP_i)*Q266*Ramure*Pc/MaxiM</f>
        <v>9.5235610616796823E-5</v>
      </c>
      <c r="Q266" s="301">
        <f t="shared" si="80"/>
        <v>0.5</v>
      </c>
      <c r="R266" s="173">
        <f t="shared" si="81"/>
        <v>0.95308206561608788</v>
      </c>
      <c r="S266" s="801">
        <f t="shared" si="82"/>
        <v>0</v>
      </c>
      <c r="T266" s="172">
        <f t="shared" si="83"/>
        <v>6</v>
      </c>
      <c r="U266" s="247">
        <f t="shared" si="84"/>
        <v>0.95308206561608788</v>
      </c>
      <c r="V266" s="378">
        <f t="shared" si="85"/>
        <v>192.62099530188118</v>
      </c>
      <c r="W266" s="397">
        <f t="shared" si="86"/>
        <v>86.417232212691744</v>
      </c>
      <c r="X266" s="153">
        <f t="shared" si="87"/>
        <v>47735</v>
      </c>
      <c r="Y266" s="380">
        <f t="shared" si="88"/>
        <v>83.245678653326209</v>
      </c>
      <c r="Z266" s="380">
        <f t="shared" si="89"/>
        <v>87.105614243453914</v>
      </c>
      <c r="AA266" s="381">
        <f t="shared" si="90"/>
        <v>92.122315299198235</v>
      </c>
      <c r="AB266" s="193">
        <f t="shared" si="91"/>
        <v>47735</v>
      </c>
      <c r="AC266" s="119">
        <f>IF(OR(t&lt;Tnet,NoTnet),'2029'!Resal_s+('2029'!Salim-'2029'!Resal_s)*(1-EXP(('2029'!Tnet_s-t)/'2029'!Tau_j)),Resal_s+(Salim-Resal_s)*(1-EXP((Tnet_s-t)/Tau_j)))*Salcycl</f>
        <v>5.445695800687271E-2</v>
      </c>
      <c r="AD266" s="227">
        <f>(INDEX(Models!$BJ266:$BT266,,AH266)*(1-AF266)+INDEX(Models!$BJ266:$BT266,,AH266+1)*AF266-ERP_i)*AE266*Ramure*Pc/MaxiM</f>
        <v>5.668437755434587E-4</v>
      </c>
      <c r="AE266" s="301">
        <f t="shared" si="92"/>
        <v>0.5</v>
      </c>
      <c r="AF266" s="173">
        <f t="shared" si="93"/>
        <v>0.47806963199006614</v>
      </c>
      <c r="AG266" s="801">
        <f t="shared" si="99"/>
        <v>4</v>
      </c>
      <c r="AH266" s="172">
        <f t="shared" si="94"/>
        <v>10</v>
      </c>
      <c r="AI266" s="221">
        <f t="shared" si="95"/>
        <v>4.4780696319900661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47736</v>
      </c>
      <c r="B267" s="406">
        <f>'2029'!Wh/'2029'!Env_an*'2030'!Env_an</f>
        <v>179.76767812154756</v>
      </c>
      <c r="C267" s="831"/>
      <c r="D267" s="388">
        <f t="shared" si="77"/>
        <v>188.10572074869339</v>
      </c>
      <c r="E267" s="380">
        <f t="shared" si="100"/>
        <v>191.67076634705933</v>
      </c>
      <c r="F267" s="380">
        <f t="shared" si="78"/>
        <v>191.68723030841872</v>
      </c>
      <c r="G267" s="110">
        <f t="shared" si="101"/>
        <v>0.93820608289025764</v>
      </c>
      <c r="H267" s="409" t="b">
        <f>Wh_hp&gt;='2029'!Maxi_hp</f>
        <v>0</v>
      </c>
      <c r="I267" s="385">
        <f>IF(H267,Wh_hp,'2029'!Maxi_hp)</f>
        <v>191.68805815593115</v>
      </c>
      <c r="J267" s="85">
        <f>IF(H267,An,'2029'!An_max)</f>
        <v>2029</v>
      </c>
      <c r="K267" s="193">
        <f t="shared" si="79"/>
        <v>47736</v>
      </c>
      <c r="L267" s="143">
        <f>IF(t&lt;Tvie,1-EXP((T0-t)*PertePVj)+'2029'!Pspv,1-EXP((T0-t)*PertePVj)+Pspv)</f>
        <v>4.4326363887068232E-2</v>
      </c>
      <c r="M267" s="835"/>
      <c r="N267" s="835"/>
      <c r="O267" s="48">
        <f>IF(t&lt;Tnet,'2029'!Resal+('2029'!Salim-'2029'!Resal)*(1-EXP(('2029'!Tnet-t)/('2029'!Tau_j))),Resal+(Salim-Resal)*(1-EXP((Tnet-t)/(Tau_j))))*Salcycl</f>
        <v>1.8599840060693918E-2</v>
      </c>
      <c r="P267" s="165">
        <f>(INDEX(Models!$BJ267:$BT267,,T267)*(1-R267)+INDEX(Models!$BJ267:$BT267,,T267+1)*R267-ERP_i)*Q267*Ramure*Pc/MaxiM</f>
        <v>9.420478168560239E-5</v>
      </c>
      <c r="Q267" s="301">
        <f t="shared" si="80"/>
        <v>0.5</v>
      </c>
      <c r="R267" s="173">
        <f t="shared" si="81"/>
        <v>0.95353966962375269</v>
      </c>
      <c r="S267" s="801">
        <f t="shared" si="82"/>
        <v>0</v>
      </c>
      <c r="T267" s="172">
        <f t="shared" si="83"/>
        <v>6</v>
      </c>
      <c r="U267" s="247">
        <f t="shared" si="84"/>
        <v>0.95353966962375269</v>
      </c>
      <c r="V267" s="378">
        <f t="shared" si="85"/>
        <v>191.60628617853342</v>
      </c>
      <c r="W267" s="397">
        <f t="shared" si="86"/>
        <v>179.76767812154756</v>
      </c>
      <c r="X267" s="153">
        <f t="shared" si="87"/>
        <v>47736</v>
      </c>
      <c r="Y267" s="380">
        <f t="shared" si="88"/>
        <v>173.12130769250842</v>
      </c>
      <c r="Z267" s="380">
        <f t="shared" si="89"/>
        <v>181.1510762153647</v>
      </c>
      <c r="AA267" s="381">
        <f t="shared" si="90"/>
        <v>191.58895442700697</v>
      </c>
      <c r="AB267" s="193">
        <f t="shared" si="91"/>
        <v>47736</v>
      </c>
      <c r="AC267" s="119">
        <f>IF(OR(t&lt;Tnet,NoTnet),'2029'!Resal_s+('2029'!Salim-'2029'!Resal_s)*(1-EXP(('2029'!Tnet_s-t)/'2029'!Tau_j)),Resal_s+(Salim-Resal_s)*(1-EXP((Tnet_s-t)/Tau_j)))*Salcycl</f>
        <v>5.4480584451537271E-2</v>
      </c>
      <c r="AD267" s="227">
        <f>(INDEX(Models!$BJ267:$BT267,,AH267)*(1-AF267)+INDEX(Models!$BJ267:$BT267,,AH267+1)*AF267-ERP_i)*AE267*Ramure*Pc/MaxiM</f>
        <v>5.6232262401911435E-4</v>
      </c>
      <c r="AE267" s="301">
        <f t="shared" si="92"/>
        <v>0.5</v>
      </c>
      <c r="AF267" s="173">
        <f t="shared" si="93"/>
        <v>0.47852723599773128</v>
      </c>
      <c r="AG267" s="801">
        <f t="shared" si="99"/>
        <v>4</v>
      </c>
      <c r="AH267" s="172">
        <f t="shared" si="94"/>
        <v>10</v>
      </c>
      <c r="AI267" s="221">
        <f t="shared" si="95"/>
        <v>4.4785272359977313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47737</v>
      </c>
      <c r="B268" s="406">
        <f>'2029'!Wh/'2029'!Env_an*'2030'!Env_an</f>
        <v>183.2421726500894</v>
      </c>
      <c r="C268" s="831"/>
      <c r="D268" s="388">
        <f t="shared" si="77"/>
        <v>191.74399522122846</v>
      </c>
      <c r="E268" s="380">
        <f t="shared" si="100"/>
        <v>195.39159934858893</v>
      </c>
      <c r="F268" s="380">
        <f t="shared" si="78"/>
        <v>195.40881279699104</v>
      </c>
      <c r="G268" s="110">
        <f t="shared" si="101"/>
        <v>0.96149338024401421</v>
      </c>
      <c r="H268" s="409" t="b">
        <f>Wh_hp&gt;='2029'!Maxi_hp</f>
        <v>0</v>
      </c>
      <c r="I268" s="385">
        <f>IF(H268,Wh_hp,'2029'!Maxi_hp)</f>
        <v>195.40933295481071</v>
      </c>
      <c r="J268" s="85">
        <f>IF(H268,An,'2029'!An_max)</f>
        <v>2029</v>
      </c>
      <c r="K268" s="193">
        <f t="shared" si="79"/>
        <v>47737</v>
      </c>
      <c r="L268" s="143">
        <f>IF(t&lt;Tvie,1-EXP((T0-t)*PertePVj)+'2029'!Pspv,1-EXP((T0-t)*PertePVj)+Pspv)</f>
        <v>4.4339446256608461E-2</v>
      </c>
      <c r="M268" s="835"/>
      <c r="N268" s="835"/>
      <c r="O268" s="48">
        <f>IF(t&lt;Tnet,'2029'!Resal+('2029'!Salim-'2029'!Resal)*(1-EXP(('2029'!Tnet-t)/('2029'!Tau_j))),Resal+(Salim-Resal)*(1-EXP((Tnet-t)/(Tau_j))))*Salcycl</f>
        <v>1.8668172733736298E-2</v>
      </c>
      <c r="P268" s="165">
        <f>(INDEX(Models!$BJ268:$BT268,,T268)*(1-R268)+INDEX(Models!$BJ268:$BT268,,T268+1)*R268-ERP_i)*Q268*Ramure*Pc/MaxiM</f>
        <v>9.3216552410926176E-5</v>
      </c>
      <c r="Q268" s="301">
        <f t="shared" si="80"/>
        <v>0.5</v>
      </c>
      <c r="R268" s="173">
        <f t="shared" si="81"/>
        <v>0.9539796549150894</v>
      </c>
      <c r="S268" s="801">
        <f t="shared" si="82"/>
        <v>0</v>
      </c>
      <c r="T268" s="172">
        <f t="shared" si="83"/>
        <v>6</v>
      </c>
      <c r="U268" s="247">
        <f t="shared" si="84"/>
        <v>0.9539796549150894</v>
      </c>
      <c r="V268" s="378">
        <f t="shared" si="85"/>
        <v>190.5798176305602</v>
      </c>
      <c r="W268" s="397">
        <f t="shared" si="86"/>
        <v>183.2421726500894</v>
      </c>
      <c r="X268" s="153">
        <f t="shared" si="87"/>
        <v>47737</v>
      </c>
      <c r="Y268" s="380">
        <f t="shared" si="88"/>
        <v>176.47307537021106</v>
      </c>
      <c r="Z268" s="380">
        <f t="shared" si="89"/>
        <v>184.66083451802342</v>
      </c>
      <c r="AA268" s="381">
        <f t="shared" si="90"/>
        <v>195.30573788567543</v>
      </c>
      <c r="AB268" s="193">
        <f t="shared" si="91"/>
        <v>47737</v>
      </c>
      <c r="AC268" s="119">
        <f>IF(OR(t&lt;Tnet,NoTnet),'2029'!Resal_s+('2029'!Salim-'2029'!Resal_s)*(1-EXP(('2029'!Tnet_s-t)/'2029'!Tau_j)),Resal_s+(Salim-Resal_s)*(1-EXP((Tnet_s-t)/Tau_j)))*Salcycl</f>
        <v>5.4503792274055697E-2</v>
      </c>
      <c r="AD268" s="227">
        <f>(INDEX(Models!$BJ268:$BT268,,AH268)*(1-AF268)+INDEX(Models!$BJ268:$BT268,,AH268+1)*AF268-ERP_i)*AE268*Ramure*Pc/MaxiM</f>
        <v>5.5818495216336745E-4</v>
      </c>
      <c r="AE268" s="301">
        <f t="shared" si="92"/>
        <v>0.5</v>
      </c>
      <c r="AF268" s="173">
        <f t="shared" si="93"/>
        <v>0.47896722128906788</v>
      </c>
      <c r="AG268" s="801">
        <f t="shared" si="99"/>
        <v>4</v>
      </c>
      <c r="AH268" s="172">
        <f t="shared" si="94"/>
        <v>10</v>
      </c>
      <c r="AI268" s="221">
        <f t="shared" si="95"/>
        <v>4.4789672212890679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47738</v>
      </c>
      <c r="B269" s="406">
        <f>'2029'!Wh/'2029'!Env_an*'2030'!Env_an</f>
        <v>126.87161961610853</v>
      </c>
      <c r="C269" s="831"/>
      <c r="D269" s="388">
        <f t="shared" si="77"/>
        <v>132.75985485520167</v>
      </c>
      <c r="E269" s="380">
        <f t="shared" si="100"/>
        <v>135.29477436201398</v>
      </c>
      <c r="F269" s="380">
        <f t="shared" si="78"/>
        <v>135.30135534552159</v>
      </c>
      <c r="G269" s="110">
        <f t="shared" si="101"/>
        <v>0.66933110335790369</v>
      </c>
      <c r="H269" s="409" t="b">
        <f>Wh_hp&gt;='2029'!Maxi_hp</f>
        <v>0</v>
      </c>
      <c r="I269" s="385">
        <f>IF(H269,Wh_hp,'2029'!Maxi_hp)</f>
        <v>135.30441262985983</v>
      </c>
      <c r="J269" s="85">
        <f>IF(H269,An,'2029'!An_max)</f>
        <v>2029</v>
      </c>
      <c r="K269" s="193">
        <f t="shared" si="79"/>
        <v>47738</v>
      </c>
      <c r="L269" s="143">
        <f>IF(t&lt;Tvie,1-EXP((T0-t)*PertePVj)+'2029'!Pspv,1-EXP((T0-t)*PertePVj)+Pspv)</f>
        <v>4.4352528447061945E-2</v>
      </c>
      <c r="M269" s="835"/>
      <c r="N269" s="835"/>
      <c r="O269" s="48">
        <f>IF(t&lt;Tnet,'2029'!Resal+('2029'!Salim-'2029'!Resal)*(1-EXP(('2029'!Tnet-t)/('2029'!Tau_j))),Resal+(Salim-Resal)*(1-EXP((Tnet-t)/(Tau_j))))*Salcycl</f>
        <v>1.8736270626606235E-2</v>
      </c>
      <c r="P269" s="165">
        <f>(INDEX(Models!$BJ269:$BT269,,T269)*(1-R269)+INDEX(Models!$BJ269:$BT269,,T269+1)*R269-ERP_i)*Q269*Ramure*Pc/MaxiM</f>
        <v>9.217996544767058E-5</v>
      </c>
      <c r="Q269" s="301">
        <f t="shared" si="80"/>
        <v>0.5</v>
      </c>
      <c r="R269" s="173">
        <f t="shared" si="81"/>
        <v>0.95440266929667639</v>
      </c>
      <c r="S269" s="801">
        <f t="shared" si="82"/>
        <v>0</v>
      </c>
      <c r="T269" s="172">
        <f t="shared" si="83"/>
        <v>6</v>
      </c>
      <c r="U269" s="247">
        <f t="shared" si="84"/>
        <v>0.95440266929667639</v>
      </c>
      <c r="V269" s="378">
        <f t="shared" si="85"/>
        <v>189.54161050522166</v>
      </c>
      <c r="W269" s="397">
        <f t="shared" si="86"/>
        <v>126.87161961610853</v>
      </c>
      <c r="X269" s="153">
        <f t="shared" si="87"/>
        <v>47738</v>
      </c>
      <c r="Y269" s="380">
        <f t="shared" si="88"/>
        <v>122.2143604683686</v>
      </c>
      <c r="Z269" s="380">
        <f t="shared" si="89"/>
        <v>127.88644778159551</v>
      </c>
      <c r="AA269" s="381">
        <f t="shared" si="90"/>
        <v>135.26180981153465</v>
      </c>
      <c r="AB269" s="193">
        <f t="shared" si="91"/>
        <v>47738</v>
      </c>
      <c r="AC269" s="119">
        <f>IF(OR(t&lt;Tnet,NoTnet),'2029'!Resal_s+('2029'!Salim-'2029'!Resal_s)*(1-EXP(('2029'!Tnet_s-t)/'2029'!Tau_j)),Resal_s+(Salim-Resal_s)*(1-EXP((Tnet_s-t)/Tau_j)))*Salcycl</f>
        <v>5.4526566221577984E-2</v>
      </c>
      <c r="AD269" s="227">
        <f>(INDEX(Models!$BJ269:$BT269,,AH269)*(1-AF269)+INDEX(Models!$BJ269:$BT269,,AH269+1)*AF269-ERP_i)*AE269*Ramure*Pc/MaxiM</f>
        <v>5.539150724676252E-4</v>
      </c>
      <c r="AE269" s="301">
        <f t="shared" si="92"/>
        <v>0.5</v>
      </c>
      <c r="AF269" s="173">
        <f t="shared" si="93"/>
        <v>0.47939023567065497</v>
      </c>
      <c r="AG269" s="801">
        <f t="shared" si="99"/>
        <v>4</v>
      </c>
      <c r="AH269" s="172">
        <f t="shared" si="94"/>
        <v>10</v>
      </c>
      <c r="AI269" s="221">
        <f t="shared" si="95"/>
        <v>4.479390235670655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47739</v>
      </c>
      <c r="B270" s="406">
        <f>'2029'!Wh/'2029'!Env_an*'2030'!Env_an</f>
        <v>45.672982440388296</v>
      </c>
      <c r="C270" s="831"/>
      <c r="D270" s="388">
        <f t="shared" si="77"/>
        <v>47.793364219864749</v>
      </c>
      <c r="E270" s="380">
        <f t="shared" si="100"/>
        <v>48.709300090008199</v>
      </c>
      <c r="F270" s="380">
        <f t="shared" si="78"/>
        <v>48.709300090008199</v>
      </c>
      <c r="G270" s="110">
        <f t="shared" si="101"/>
        <v>0.2422856262744062</v>
      </c>
      <c r="H270" s="409" t="b">
        <f>Wh_hp&gt;='2029'!Maxi_hp</f>
        <v>0</v>
      </c>
      <c r="I270" s="385">
        <f>IF(H270,Wh_hp,'2029'!Maxi_hp)</f>
        <v>48.711601917338598</v>
      </c>
      <c r="J270" s="85">
        <f>IF(H270,An,'2029'!An_max)</f>
        <v>2029</v>
      </c>
      <c r="K270" s="193">
        <f t="shared" si="79"/>
        <v>47739</v>
      </c>
      <c r="L270" s="143">
        <f>IF(t&lt;Tvie,1-EXP((T0-t)*PertePVj)+'2029'!Pspv,1-EXP((T0-t)*PertePVj)+Pspv)</f>
        <v>4.4365610458431348E-2</v>
      </c>
      <c r="M270" s="835"/>
      <c r="N270" s="835"/>
      <c r="O270" s="48">
        <f>IF(t&lt;Tnet,'2029'!Resal+('2029'!Salim-'2029'!Resal)*(1-EXP(('2029'!Tnet-t)/('2029'!Tau_j))),Resal+(Salim-Resal)*(1-EXP((Tnet-t)/(Tau_j))))*Salcycl</f>
        <v>1.880412710613636E-2</v>
      </c>
      <c r="P270" s="165">
        <f>(INDEX(Models!$BJ270:$BT270,,T270)*(1-R270)+INDEX(Models!$BJ270:$BT270,,T270+1)*R270-ERP_i)*Q270*Ramure*Pc/MaxiM</f>
        <v>9.1094302114190401E-5</v>
      </c>
      <c r="Q270" s="301">
        <f t="shared" si="80"/>
        <v>0.5</v>
      </c>
      <c r="R270" s="173">
        <f t="shared" si="81"/>
        <v>0.95480933912488641</v>
      </c>
      <c r="S270" s="801">
        <f t="shared" si="82"/>
        <v>0</v>
      </c>
      <c r="T270" s="172">
        <f t="shared" si="83"/>
        <v>6</v>
      </c>
      <c r="U270" s="247">
        <f t="shared" si="84"/>
        <v>0.95480933912488641</v>
      </c>
      <c r="V270" s="378">
        <f t="shared" si="85"/>
        <v>188.49166826018862</v>
      </c>
      <c r="W270" s="397">
        <f t="shared" si="86"/>
        <v>45.672982440388296</v>
      </c>
      <c r="X270" s="153">
        <f t="shared" si="87"/>
        <v>47739</v>
      </c>
      <c r="Y270" s="380">
        <f t="shared" si="88"/>
        <v>44.009125105783582</v>
      </c>
      <c r="Z270" s="380">
        <f t="shared" si="89"/>
        <v>46.05226181416031</v>
      </c>
      <c r="AA270" s="381">
        <f t="shared" si="90"/>
        <v>48.709300090008199</v>
      </c>
      <c r="AB270" s="193">
        <f t="shared" si="91"/>
        <v>47739</v>
      </c>
      <c r="AC270" s="119">
        <f>IF(OR(t&lt;Tnet,NoTnet),'2029'!Resal_s+('2029'!Salim-'2029'!Resal_s)*(1-EXP(('2029'!Tnet_s-t)/'2029'!Tau_j)),Resal_s+(Salim-Resal_s)*(1-EXP((Tnet_s-t)/Tau_j)))*Salcycl</f>
        <v>5.454889047754833E-2</v>
      </c>
      <c r="AD270" s="227">
        <f>(INDEX(Models!$BJ270:$BT270,,AH270)*(1-AF270)+INDEX(Models!$BJ270:$BT270,,AH270+1)*AF270-ERP_i)*AE270*Ramure*Pc/MaxiM</f>
        <v>5.4951054301758317E-4</v>
      </c>
      <c r="AE270" s="301">
        <f t="shared" si="92"/>
        <v>0.5</v>
      </c>
      <c r="AF270" s="173">
        <f t="shared" si="93"/>
        <v>0.47979690549886467</v>
      </c>
      <c r="AG270" s="801">
        <f t="shared" si="99"/>
        <v>4</v>
      </c>
      <c r="AH270" s="172">
        <f t="shared" si="94"/>
        <v>10</v>
      </c>
      <c r="AI270" s="221">
        <f t="shared" si="95"/>
        <v>4.4797969054988647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47740</v>
      </c>
      <c r="B271" s="406">
        <f>'2029'!Wh/'2029'!Env_an*'2030'!Env_an</f>
        <v>145.65146029820281</v>
      </c>
      <c r="C271" s="831"/>
      <c r="D271" s="388">
        <f t="shared" ref="D271:D334" si="102">Wh/(1-Ppv)</f>
        <v>152.41545905599762</v>
      </c>
      <c r="E271" s="380">
        <f t="shared" si="100"/>
        <v>155.34712895073983</v>
      </c>
      <c r="F271" s="380">
        <f t="shared" ref="F271:F334" si="103">Wh_sa/(1-Pvg*MEDIAN((-Sdif+Wh/Env_an)/Csdif,0,1))</f>
        <v>155.35665434879922</v>
      </c>
      <c r="G271" s="110">
        <f t="shared" si="101"/>
        <v>0.77707566629335545</v>
      </c>
      <c r="H271" s="409" t="b">
        <f>Wh_hp&gt;='2029'!Maxi_hp</f>
        <v>0</v>
      </c>
      <c r="I271" s="385">
        <f>IF(H271,Wh_hp,'2029'!Maxi_hp)</f>
        <v>155.35896226024306</v>
      </c>
      <c r="J271" s="85">
        <f>IF(H271,An,'2029'!An_max)</f>
        <v>2029</v>
      </c>
      <c r="K271" s="193">
        <f t="shared" ref="K271:K334" si="104">t</f>
        <v>47740</v>
      </c>
      <c r="L271" s="143">
        <f>IF(t&lt;Tvie,1-EXP((T0-t)*PertePVj)+'2029'!Pspv,1-EXP((T0-t)*PertePVj)+Pspv)</f>
        <v>4.4378692290719002E-2</v>
      </c>
      <c r="M271" s="835"/>
      <c r="N271" s="835"/>
      <c r="O271" s="48">
        <f>IF(t&lt;Tnet,'2029'!Resal+('2029'!Salim-'2029'!Resal)*(1-EXP(('2029'!Tnet-t)/('2029'!Tau_j))),Resal+(Salim-Resal)*(1-EXP((Tnet-t)/(Tau_j))))*Salcycl</f>
        <v>1.8871735284350356E-2</v>
      </c>
      <c r="P271" s="165">
        <f>(INDEX(Models!$BJ271:$BT271,,T271)*(1-R271)+INDEX(Models!$BJ271:$BT271,,T271+1)*R271-ERP_i)*Q271*Ramure*Pc/MaxiM</f>
        <v>8.9958826802463051E-5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0.95520026982932205</v>
      </c>
      <c r="S271" s="801">
        <f t="shared" ref="S271:S334" si="107">INDEX(Echel_vg,T271)</f>
        <v>0</v>
      </c>
      <c r="T271" s="172">
        <f t="shared" ref="T271:T334" si="108">MIN(MATCH(Hp_vg,Echel_vg),10)</f>
        <v>6</v>
      </c>
      <c r="U271" s="247">
        <f t="shared" ref="U271:U334" si="109">IF(OR(t&lt;Ttai,Notai),Hdd+PousH*Croivg,Hdtf+PousH*(Croivg-Croi_tai))</f>
        <v>0.95520026982932205</v>
      </c>
      <c r="V271" s="378">
        <f t="shared" ref="V271:V334" si="110">MaxiM*(1-Ppv)*(1-Pvg)*(1-Psa)</f>
        <v>187.42999435967982</v>
      </c>
      <c r="W271" s="397">
        <f t="shared" ref="W271:W334" si="111">Wh*(A271&gt;Tmaj)</f>
        <v>145.65146029820281</v>
      </c>
      <c r="X271" s="153">
        <f t="shared" ref="X271:X334" si="112">t</f>
        <v>47740</v>
      </c>
      <c r="Y271" s="380">
        <f t="shared" ref="Y271:Y334" si="113">Wh_pvt_s*(1-Ppv)</f>
        <v>140.30830506933364</v>
      </c>
      <c r="Z271" s="380">
        <f t="shared" ref="Z271:Z334" si="114">Wh_sa_s*(1-Psa_s)</f>
        <v>146.8241697180932</v>
      </c>
      <c r="AA271" s="381">
        <f t="shared" ref="AA271:AA334" si="115">Wh_hp*(1-Pvg_s*MEDIAN((-Sdif+Wh/Env_an)/Csdif,0,1))</f>
        <v>155.29894966989849</v>
      </c>
      <c r="AB271" s="193">
        <f t="shared" ref="AB271:AB334" si="116">t</f>
        <v>47740</v>
      </c>
      <c r="AC271" s="119">
        <f>IF(OR(t&lt;Tnet,NoTnet),'2029'!Resal_s+('2029'!Salim-'2029'!Resal_s)*(1-EXP(('2029'!Tnet_s-t)/'2029'!Tau_j)),Resal_s+(Salim-Resal_s)*(1-EXP((Tnet_s-t)/Tau_j)))*Salcycl</f>
        <v>5.4570748674213042E-2</v>
      </c>
      <c r="AD271" s="227">
        <f>(INDEX(Models!$BJ271:$BT271,,AH271)*(1-AF271)+INDEX(Models!$BJ271:$BT271,,AH271+1)*AF271-ERP_i)*AE271*Ramure*Pc/MaxiM</f>
        <v>5.4496884881520145E-4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0.4801878362033003</v>
      </c>
      <c r="AG271" s="801">
        <f t="shared" si="99"/>
        <v>4</v>
      </c>
      <c r="AH271" s="172">
        <f t="shared" ref="AH271:AH334" si="119">MIN(MATCH(Hp_vg_s,Echel_vg),10)</f>
        <v>10</v>
      </c>
      <c r="AI271" s="221">
        <f t="shared" ref="AI271:AI334" si="120">IF(OR(t&lt;Ttai,Notai),Hdd_s+PousH*Croivg,Hdtai_s+PousH*(Croivg-Croi_tai))</f>
        <v>4.4801878362033003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47741</v>
      </c>
      <c r="B272" s="406">
        <f>'2029'!Wh/'2029'!Env_an*'2030'!Env_an</f>
        <v>162.97945293349278</v>
      </c>
      <c r="C272" s="831"/>
      <c r="D272" s="388">
        <f t="shared" si="102"/>
        <v>170.55049181203842</v>
      </c>
      <c r="E272" s="380">
        <f t="shared" si="100"/>
        <v>173.84291814087413</v>
      </c>
      <c r="F272" s="380">
        <f t="shared" si="103"/>
        <v>173.85558600949645</v>
      </c>
      <c r="G272" s="110">
        <f t="shared" si="101"/>
        <v>0.87454303609213524</v>
      </c>
      <c r="H272" s="409" t="b">
        <f>Wh_hp&gt;='2029'!Maxi_hp</f>
        <v>0</v>
      </c>
      <c r="I272" s="385">
        <f>IF(H272,Wh_hp,'2029'!Maxi_hp)</f>
        <v>173.85701985696772</v>
      </c>
      <c r="J272" s="85">
        <f>IF(H272,An,'2029'!An_max)</f>
        <v>2029</v>
      </c>
      <c r="K272" s="193">
        <f t="shared" si="104"/>
        <v>47741</v>
      </c>
      <c r="L272" s="143">
        <f>IF(t&lt;Tvie,1-EXP((T0-t)*PertePVj)+'2029'!Pspv,1-EXP((T0-t)*PertePVj)+Pspv)</f>
        <v>4.4391773943927348E-2</v>
      </c>
      <c r="M272" s="835"/>
      <c r="N272" s="835"/>
      <c r="O272" s="48">
        <f>IF(t&lt;Tnet,'2029'!Resal+('2029'!Salim-'2029'!Resal)*(1-EXP(('2029'!Tnet-t)/('2029'!Tau_j))),Resal+(Salim-Resal)*(1-EXP((Tnet-t)/(Tau_j))))*Salcycl</f>
        <v>1.8939088022945368E-2</v>
      </c>
      <c r="P272" s="165">
        <f>(INDEX(Models!$BJ272:$BT272,,T272)*(1-R272)+INDEX(Models!$BJ272:$BT272,,T272+1)*R272-ERP_i)*Q272*Ramure*Pc/MaxiM</f>
        <v>8.877278791851198E-5</v>
      </c>
      <c r="Q272" s="301">
        <f t="shared" si="105"/>
        <v>0.5</v>
      </c>
      <c r="R272" s="173">
        <f t="shared" si="106"/>
        <v>0.95557604643922012</v>
      </c>
      <c r="S272" s="801">
        <f t="shared" si="107"/>
        <v>0</v>
      </c>
      <c r="T272" s="172">
        <f t="shared" si="108"/>
        <v>6</v>
      </c>
      <c r="U272" s="247">
        <f t="shared" si="109"/>
        <v>0.95557604643922012</v>
      </c>
      <c r="V272" s="378">
        <f t="shared" si="110"/>
        <v>186.35659225990094</v>
      </c>
      <c r="W272" s="397">
        <f t="shared" si="111"/>
        <v>162.97945293349278</v>
      </c>
      <c r="X272" s="153">
        <f t="shared" si="112"/>
        <v>47741</v>
      </c>
      <c r="Y272" s="380">
        <f t="shared" si="113"/>
        <v>156.99835698435015</v>
      </c>
      <c r="Z272" s="380">
        <f t="shared" si="114"/>
        <v>164.29155034830967</v>
      </c>
      <c r="AA272" s="381">
        <f t="shared" si="115"/>
        <v>173.77848704660875</v>
      </c>
      <c r="AB272" s="193">
        <f t="shared" si="116"/>
        <v>47741</v>
      </c>
      <c r="AC272" s="119">
        <f>IF(OR(t&lt;Tnet,NoTnet),'2029'!Resal_s+('2029'!Salim-'2029'!Resal_s)*(1-EXP(('2029'!Tnet_s-t)/'2029'!Tau_j)),Resal_s+(Salim-Resal_s)*(1-EXP((Tnet_s-t)/Tau_j)))*Salcycl</f>
        <v>5.4592123913212526E-2</v>
      </c>
      <c r="AD272" s="227">
        <f>(INDEX(Models!$BJ272:$BT272,,AH272)*(1-AF272)+INDEX(Models!$BJ272:$BT272,,AH272+1)*AF272-ERP_i)*AE272*Ramure*Pc/MaxiM</f>
        <v>5.4028740629015004E-4</v>
      </c>
      <c r="AE272" s="301">
        <f t="shared" si="117"/>
        <v>0.5</v>
      </c>
      <c r="AF272" s="173">
        <f t="shared" si="118"/>
        <v>0.48056361281319848</v>
      </c>
      <c r="AG272" s="801">
        <f t="shared" ref="AG272:AG335" si="124">INDEX(Echel_vg,AH272)</f>
        <v>4</v>
      </c>
      <c r="AH272" s="172">
        <f t="shared" si="119"/>
        <v>10</v>
      </c>
      <c r="AI272" s="221">
        <f t="shared" si="120"/>
        <v>4.4805636128131985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47742</v>
      </c>
      <c r="B273" s="406">
        <f>'2029'!Wh/'2029'!Env_an*'2030'!Env_an</f>
        <v>104.04398790127404</v>
      </c>
      <c r="C273" s="831"/>
      <c r="D273" s="388">
        <f t="shared" si="102"/>
        <v>108.87873226563092</v>
      </c>
      <c r="E273" s="380">
        <f t="shared" si="100"/>
        <v>110.98819362297085</v>
      </c>
      <c r="F273" s="380">
        <f t="shared" si="103"/>
        <v>110.99182419012342</v>
      </c>
      <c r="G273" s="110">
        <f t="shared" si="101"/>
        <v>0.56154509951545239</v>
      </c>
      <c r="H273" s="409" t="b">
        <f>Wh_hp&gt;='2029'!Maxi_hp</f>
        <v>0</v>
      </c>
      <c r="I273" s="385">
        <f>IF(H273,Wh_hp,'2029'!Maxi_hp)</f>
        <v>110.99497781145503</v>
      </c>
      <c r="J273" s="85">
        <f>IF(H273,An,'2029'!An_max)</f>
        <v>2029</v>
      </c>
      <c r="K273" s="193">
        <f t="shared" si="104"/>
        <v>47742</v>
      </c>
      <c r="L273" s="143">
        <f>IF(t&lt;Tvie,1-EXP((T0-t)*PertePVj)+'2029'!Pspv,1-EXP((T0-t)*PertePVj)+Pspv)</f>
        <v>4.4404855418058831E-2</v>
      </c>
      <c r="M273" s="835"/>
      <c r="N273" s="835"/>
      <c r="O273" s="48">
        <f>IF(t&lt;Tnet,'2029'!Resal+('2029'!Salim-'2029'!Resal)*(1-EXP(('2029'!Tnet-t)/('2029'!Tau_j))),Resal+(Salim-Resal)*(1-EXP((Tnet-t)/(Tau_j))))*Salcycl</f>
        <v>1.9006177940924275E-2</v>
      </c>
      <c r="P273" s="165">
        <f>(INDEX(Models!$BJ273:$BT273,,T273)*(1-R273)+INDEX(Models!$BJ273:$BT273,,T273+1)*R273-ERP_i)*Q273*Ramure*Pc/MaxiM</f>
        <v>8.7535418979306769E-5</v>
      </c>
      <c r="Q273" s="301">
        <f t="shared" si="105"/>
        <v>0.5</v>
      </c>
      <c r="R273" s="173">
        <f t="shared" si="106"/>
        <v>0.95593723411111575</v>
      </c>
      <c r="S273" s="801">
        <f t="shared" si="107"/>
        <v>0</v>
      </c>
      <c r="T273" s="172">
        <f t="shared" si="108"/>
        <v>6</v>
      </c>
      <c r="U273" s="247">
        <f t="shared" si="109"/>
        <v>0.95593723411111575</v>
      </c>
      <c r="V273" s="378">
        <f t="shared" si="110"/>
        <v>185.27146541260811</v>
      </c>
      <c r="W273" s="397">
        <f t="shared" si="111"/>
        <v>104.04398790127404</v>
      </c>
      <c r="X273" s="153">
        <f t="shared" si="112"/>
        <v>47742</v>
      </c>
      <c r="Y273" s="380">
        <f t="shared" si="113"/>
        <v>100.25075285136275</v>
      </c>
      <c r="Z273" s="380">
        <f t="shared" si="114"/>
        <v>104.90923213639913</v>
      </c>
      <c r="AA273" s="381">
        <f t="shared" si="115"/>
        <v>110.96961562054129</v>
      </c>
      <c r="AB273" s="193">
        <f t="shared" si="116"/>
        <v>47742</v>
      </c>
      <c r="AC273" s="119">
        <f>IF(OR(t&lt;Tnet,NoTnet),'2029'!Resal_s+('2029'!Salim-'2029'!Resal_s)*(1-EXP(('2029'!Tnet_s-t)/'2029'!Tau_j)),Resal_s+(Salim-Resal_s)*(1-EXP((Tnet_s-t)/Tau_j)))*Salcycl</f>
        <v>5.4612998794783048E-2</v>
      </c>
      <c r="AD273" s="227">
        <f>(INDEX(Models!$BJ273:$BT273,,AH273)*(1-AF273)+INDEX(Models!$BJ273:$BT273,,AH273+1)*AF273-ERP_i)*AE273*Ramure*Pc/MaxiM</f>
        <v>5.3546356853124294E-4</v>
      </c>
      <c r="AE273" s="301">
        <f t="shared" si="117"/>
        <v>0.5</v>
      </c>
      <c r="AF273" s="173">
        <f t="shared" si="118"/>
        <v>0.48092480048509412</v>
      </c>
      <c r="AG273" s="801">
        <f t="shared" si="124"/>
        <v>4</v>
      </c>
      <c r="AH273" s="172">
        <f t="shared" si="119"/>
        <v>10</v>
      </c>
      <c r="AI273" s="221">
        <f t="shared" si="120"/>
        <v>4.4809248004850941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47743</v>
      </c>
      <c r="B274" s="406">
        <f>'2029'!Wh/'2029'!Env_an*'2030'!Env_an</f>
        <v>189.06860114416955</v>
      </c>
      <c r="C274" s="831"/>
      <c r="D274" s="388">
        <f t="shared" si="102"/>
        <v>197.85700088785313</v>
      </c>
      <c r="E274" s="380">
        <f t="shared" si="100"/>
        <v>201.70410271975908</v>
      </c>
      <c r="F274" s="380">
        <f t="shared" si="103"/>
        <v>201.7215003801528</v>
      </c>
      <c r="G274" s="110">
        <f t="shared" si="101"/>
        <v>1.026572521034159</v>
      </c>
      <c r="H274" s="409" t="b">
        <f>Wh_hp&gt;='2029'!Maxi_hp</f>
        <v>1</v>
      </c>
      <c r="I274" s="385">
        <f>IF(H274,Wh_hp,'2029'!Maxi_hp)</f>
        <v>201.7215003801528</v>
      </c>
      <c r="J274" s="85">
        <f>IF(H274,An,'2029'!An_max)</f>
        <v>2030</v>
      </c>
      <c r="K274" s="193">
        <f t="shared" si="104"/>
        <v>47743</v>
      </c>
      <c r="L274" s="143">
        <f>IF(t&lt;Tvie,1-EXP((T0-t)*PertePVj)+'2029'!Pspv,1-EXP((T0-t)*PertePVj)+Pspv)</f>
        <v>4.4417936713115891E-2</v>
      </c>
      <c r="M274" s="835"/>
      <c r="N274" s="835"/>
      <c r="O274" s="48">
        <f>IF(t&lt;Tnet,'2029'!Resal+('2029'!Salim-'2029'!Resal)*(1-EXP(('2029'!Tnet-t)/('2029'!Tau_j))),Resal+(Salim-Resal)*(1-EXP((Tnet-t)/(Tau_j))))*Salcycl</f>
        <v>1.9072997425595147E-2</v>
      </c>
      <c r="P274" s="165">
        <f>(INDEX(Models!$BJ274:$BT274,,T274)*(1-R274)+INDEX(Models!$BJ274:$BT274,,T274+1)*R274-ERP_i)*Q274*Ramure*Pc/MaxiM</f>
        <v>8.6245939877196889E-5</v>
      </c>
      <c r="Q274" s="301">
        <f t="shared" si="105"/>
        <v>0.5</v>
      </c>
      <c r="R274" s="173">
        <f t="shared" si="106"/>
        <v>0.95628437865621407</v>
      </c>
      <c r="S274" s="801">
        <f t="shared" si="107"/>
        <v>0</v>
      </c>
      <c r="T274" s="172">
        <f t="shared" si="108"/>
        <v>6</v>
      </c>
      <c r="U274" s="247">
        <f t="shared" si="109"/>
        <v>0.95628437865621407</v>
      </c>
      <c r="V274" s="378">
        <f t="shared" si="110"/>
        <v>184.17461725324944</v>
      </c>
      <c r="W274" s="397">
        <f t="shared" si="111"/>
        <v>189.06860114416955</v>
      </c>
      <c r="X274" s="153">
        <f t="shared" si="112"/>
        <v>47743</v>
      </c>
      <c r="Y274" s="380">
        <f t="shared" si="113"/>
        <v>182.13357069527927</v>
      </c>
      <c r="Z274" s="380">
        <f t="shared" si="114"/>
        <v>190.59961220787301</v>
      </c>
      <c r="AA274" s="381">
        <f t="shared" si="115"/>
        <v>201.61448820717618</v>
      </c>
      <c r="AB274" s="193">
        <f t="shared" si="116"/>
        <v>47743</v>
      </c>
      <c r="AC274" s="119">
        <f>IF(OR(t&lt;Tnet,NoTnet),'2029'!Resal_s+('2029'!Salim-'2029'!Resal_s)*(1-EXP(('2029'!Tnet_s-t)/'2029'!Tau_j)),Resal_s+(Salim-Resal_s)*(1-EXP((Tnet_s-t)/Tau_j)))*Salcycl</f>
        <v>5.4633355456004909E-2</v>
      </c>
      <c r="AD274" s="227">
        <f>(INDEX(Models!$BJ274:$BT274,,AH274)*(1-AF274)+INDEX(Models!$BJ274:$BT274,,AH274+1)*AF274-ERP_i)*AE274*Ramure*Pc/MaxiM</f>
        <v>5.304946313355644E-4</v>
      </c>
      <c r="AE274" s="301">
        <f t="shared" si="117"/>
        <v>0.5</v>
      </c>
      <c r="AF274" s="173">
        <f t="shared" si="118"/>
        <v>0.48127194503019233</v>
      </c>
      <c r="AG274" s="801">
        <f t="shared" si="124"/>
        <v>4</v>
      </c>
      <c r="AH274" s="172">
        <f t="shared" si="119"/>
        <v>10</v>
      </c>
      <c r="AI274" s="221">
        <f t="shared" si="120"/>
        <v>4.4812719450301923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47744</v>
      </c>
      <c r="B275" s="406">
        <f>'2029'!Wh/'2029'!Env_an*'2030'!Env_an</f>
        <v>182.58425552070472</v>
      </c>
      <c r="C275" s="831"/>
      <c r="D275" s="388">
        <f t="shared" si="102"/>
        <v>191.0738616754833</v>
      </c>
      <c r="E275" s="380">
        <f t="shared" si="100"/>
        <v>194.80228758730891</v>
      </c>
      <c r="F275" s="380">
        <f t="shared" si="103"/>
        <v>194.81876693333652</v>
      </c>
      <c r="G275" s="110">
        <f t="shared" si="101"/>
        <v>0.99738601489938927</v>
      </c>
      <c r="H275" s="409" t="b">
        <f>Wh_hp&gt;='2029'!Maxi_hp</f>
        <v>0</v>
      </c>
      <c r="I275" s="385">
        <f>IF(H275,Wh_hp,'2029'!Maxi_hp)</f>
        <v>194.81879892285977</v>
      </c>
      <c r="J275" s="85">
        <f>IF(H275,An,'2029'!An_max)</f>
        <v>2029</v>
      </c>
      <c r="K275" s="193">
        <f t="shared" si="104"/>
        <v>47744</v>
      </c>
      <c r="L275" s="143">
        <f>IF(t&lt;Tvie,1-EXP((T0-t)*PertePVj)+'2029'!Pspv,1-EXP((T0-t)*PertePVj)+Pspv)</f>
        <v>4.4431017829100972E-2</v>
      </c>
      <c r="M275" s="835"/>
      <c r="N275" s="835"/>
      <c r="O275" s="48">
        <f>IF(t&lt;Tnet,'2029'!Resal+('2029'!Salim-'2029'!Resal)*(1-EXP(('2029'!Tnet-t)/('2029'!Tau_j))),Resal+(Salim-Resal)*(1-EXP((Tnet-t)/(Tau_j))))*Salcycl</f>
        <v>1.9139538647124674E-2</v>
      </c>
      <c r="P275" s="165">
        <f>(INDEX(Models!$BJ275:$BT275,,T275)*(1-R275)+INDEX(Models!$BJ275:$BT275,,T275+1)*R275-ERP_i)*Q275*Ramure*Pc/MaxiM</f>
        <v>8.4905102751572483E-5</v>
      </c>
      <c r="Q275" s="301">
        <f t="shared" si="105"/>
        <v>0.5</v>
      </c>
      <c r="R275" s="173">
        <f t="shared" si="106"/>
        <v>0.95661800706607192</v>
      </c>
      <c r="S275" s="801">
        <f t="shared" si="107"/>
        <v>0</v>
      </c>
      <c r="T275" s="172">
        <f t="shared" si="108"/>
        <v>6</v>
      </c>
      <c r="U275" s="247">
        <f t="shared" si="109"/>
        <v>0.95661800706607192</v>
      </c>
      <c r="V275" s="378">
        <f t="shared" si="110"/>
        <v>183.06272085779261</v>
      </c>
      <c r="W275" s="397">
        <f t="shared" si="111"/>
        <v>182.58425552070472</v>
      </c>
      <c r="X275" s="153">
        <f t="shared" si="112"/>
        <v>47744</v>
      </c>
      <c r="Y275" s="380">
        <f t="shared" si="113"/>
        <v>175.89626737568952</v>
      </c>
      <c r="Z275" s="380">
        <f t="shared" si="114"/>
        <v>184.07490265755749</v>
      </c>
      <c r="AA275" s="381">
        <f t="shared" si="115"/>
        <v>194.71679378409908</v>
      </c>
      <c r="AB275" s="193">
        <f t="shared" si="116"/>
        <v>47744</v>
      </c>
      <c r="AC275" s="119">
        <f>IF(OR(t&lt;Tnet,NoTnet),'2029'!Resal_s+('2029'!Salim-'2029'!Resal_s)*(1-EXP(('2029'!Tnet_s-t)/'2029'!Tau_j)),Resal_s+(Salim-Resal_s)*(1-EXP((Tnet_s-t)/Tau_j)))*Salcycl</f>
        <v>5.4653175618438202E-2</v>
      </c>
      <c r="AD275" s="227">
        <f>(INDEX(Models!$BJ275:$BT275,,AH275)*(1-AF275)+INDEX(Models!$BJ275:$BT275,,AH275+1)*AF275-ERP_i)*AE275*Ramure*Pc/MaxiM</f>
        <v>5.2538739701205148E-4</v>
      </c>
      <c r="AE275" s="301">
        <f t="shared" si="117"/>
        <v>0.5</v>
      </c>
      <c r="AF275" s="173">
        <f t="shared" si="118"/>
        <v>0.48160557344005017</v>
      </c>
      <c r="AG275" s="801">
        <f t="shared" si="124"/>
        <v>4</v>
      </c>
      <c r="AH275" s="172">
        <f t="shared" si="119"/>
        <v>10</v>
      </c>
      <c r="AI275" s="221">
        <f t="shared" si="120"/>
        <v>4.4816055734400502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47745</v>
      </c>
      <c r="B276" s="406">
        <f>'2029'!Wh/'2029'!Env_an*'2030'!Env_an</f>
        <v>180.15762032023707</v>
      </c>
      <c r="C276" s="831"/>
      <c r="D276" s="388">
        <f t="shared" si="102"/>
        <v>188.53697631670275</v>
      </c>
      <c r="E276" s="380">
        <f t="shared" si="100"/>
        <v>192.22888459370779</v>
      </c>
      <c r="F276" s="380">
        <f t="shared" si="103"/>
        <v>192.24473606865612</v>
      </c>
      <c r="G276" s="110">
        <f t="shared" si="101"/>
        <v>0.99023794071044224</v>
      </c>
      <c r="H276" s="409" t="b">
        <f>Wh_hp&gt;='2029'!Maxi_hp</f>
        <v>0</v>
      </c>
      <c r="I276" s="385">
        <f>IF(H276,Wh_hp,'2029'!Maxi_hp)</f>
        <v>192.24485214165745</v>
      </c>
      <c r="J276" s="85">
        <f>IF(H276,An,'2029'!An_max)</f>
        <v>2029</v>
      </c>
      <c r="K276" s="193">
        <f t="shared" si="104"/>
        <v>47745</v>
      </c>
      <c r="L276" s="143">
        <f>IF(t&lt;Tvie,1-EXP((T0-t)*PertePVj)+'2029'!Pspv,1-EXP((T0-t)*PertePVj)+Pspv)</f>
        <v>4.4444098766016626E-2</v>
      </c>
      <c r="M276" s="835"/>
      <c r="N276" s="835"/>
      <c r="O276" s="48">
        <f>IF(t&lt;Tnet,'2029'!Resal+('2029'!Salim-'2029'!Resal)*(1-EXP(('2029'!Tnet-t)/('2029'!Tau_j))),Resal+(Salim-Resal)*(1-EXP((Tnet-t)/(Tau_j))))*Salcycl</f>
        <v>1.9205793576798892E-2</v>
      </c>
      <c r="P276" s="165">
        <f>(INDEX(Models!$BJ276:$BT276,,T276)*(1-R276)+INDEX(Models!$BJ276:$BT276,,T276+1)*R276-ERP_i)*Q276*Ramure*Pc/MaxiM</f>
        <v>8.3620682401407966E-5</v>
      </c>
      <c r="Q276" s="301">
        <f t="shared" si="105"/>
        <v>0.5</v>
      </c>
      <c r="R276" s="173">
        <f t="shared" si="106"/>
        <v>0.95693862803533358</v>
      </c>
      <c r="S276" s="801">
        <f t="shared" si="107"/>
        <v>0</v>
      </c>
      <c r="T276" s="172">
        <f t="shared" si="108"/>
        <v>6</v>
      </c>
      <c r="U276" s="247">
        <f t="shared" si="109"/>
        <v>0.95693862803533358</v>
      </c>
      <c r="V276" s="378">
        <f t="shared" si="110"/>
        <v>181.93345541416204</v>
      </c>
      <c r="W276" s="397">
        <f t="shared" si="111"/>
        <v>180.15762032023707</v>
      </c>
      <c r="X276" s="153">
        <f t="shared" si="112"/>
        <v>47745</v>
      </c>
      <c r="Y276" s="380">
        <f t="shared" si="113"/>
        <v>173.56802814932334</v>
      </c>
      <c r="Z276" s="380">
        <f t="shared" si="114"/>
        <v>181.64089398137932</v>
      </c>
      <c r="AA276" s="381">
        <f t="shared" si="115"/>
        <v>192.14598388032547</v>
      </c>
      <c r="AB276" s="193">
        <f t="shared" si="116"/>
        <v>47745</v>
      </c>
      <c r="AC276" s="119">
        <f>IF(OR(t&lt;Tnet,NoTnet),'2029'!Resal_s+('2029'!Salim-'2029'!Resal_s)*(1-EXP(('2029'!Tnet_s-t)/'2029'!Tau_j)),Resal_s+(Salim-Resal_s)*(1-EXP((Tnet_s-t)/Tau_j)))*Salcycl</f>
        <v>5.4672440645384783E-2</v>
      </c>
      <c r="AD276" s="227">
        <f>(INDEX(Models!$BJ276:$BT276,,AH276)*(1-AF276)+INDEX(Models!$BJ276:$BT276,,AH276+1)*AF276-ERP_i)*AE276*Ramure*Pc/MaxiM</f>
        <v>5.2094366005377949E-4</v>
      </c>
      <c r="AE276" s="301">
        <f t="shared" si="117"/>
        <v>0.5</v>
      </c>
      <c r="AF276" s="173">
        <f t="shared" si="118"/>
        <v>0.48192619440931139</v>
      </c>
      <c r="AG276" s="801">
        <f t="shared" si="124"/>
        <v>4</v>
      </c>
      <c r="AH276" s="172">
        <f t="shared" si="119"/>
        <v>10</v>
      </c>
      <c r="AI276" s="221">
        <f t="shared" si="120"/>
        <v>4.4819261944093114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47746</v>
      </c>
      <c r="B277" s="406">
        <f>'2029'!Wh/'2029'!Env_an*'2030'!Env_an</f>
        <v>184.25134915307575</v>
      </c>
      <c r="C277" s="831"/>
      <c r="D277" s="388">
        <f t="shared" si="102"/>
        <v>192.82374918715379</v>
      </c>
      <c r="E277" s="380">
        <f t="shared" si="100"/>
        <v>196.61282314993559</v>
      </c>
      <c r="F277" s="380">
        <f t="shared" si="103"/>
        <v>196.62901416079933</v>
      </c>
      <c r="G277" s="110">
        <f t="shared" si="101"/>
        <v>1.0191548690504901</v>
      </c>
      <c r="H277" s="409" t="b">
        <f>Wh_hp&gt;='2029'!Maxi_hp</f>
        <v>1</v>
      </c>
      <c r="I277" s="385">
        <f>IF(H277,Wh_hp,'2029'!Maxi_hp)</f>
        <v>196.62901416079933</v>
      </c>
      <c r="J277" s="85">
        <f>IF(H277,An,'2029'!An_max)</f>
        <v>2030</v>
      </c>
      <c r="K277" s="193">
        <f t="shared" si="104"/>
        <v>47746</v>
      </c>
      <c r="L277" s="143">
        <f>IF(t&lt;Tvie,1-EXP((T0-t)*PertePVj)+'2029'!Pspv,1-EXP((T0-t)*PertePVj)+Pspv)</f>
        <v>4.4457179523865187E-2</v>
      </c>
      <c r="M277" s="835"/>
      <c r="N277" s="835"/>
      <c r="O277" s="48">
        <f>IF(t&lt;Tnet,'2029'!Resal+('2029'!Salim-'2029'!Resal)*(1-EXP(('2029'!Tnet-t)/('2029'!Tau_j))),Resal+(Salim-Resal)*(1-EXP((Tnet-t)/(Tau_j))))*Salcycl</f>
        <v>1.9271754009107959E-2</v>
      </c>
      <c r="P277" s="165">
        <f>(INDEX(Models!$BJ277:$BT277,,T277)*(1-R277)+INDEX(Models!$BJ277:$BT277,,T277+1)*R277-ERP_i)*Q277*Ramure*Pc/MaxiM</f>
        <v>8.2342938720657107E-5</v>
      </c>
      <c r="Q277" s="301">
        <f t="shared" si="105"/>
        <v>0.5</v>
      </c>
      <c r="R277" s="173">
        <f t="shared" si="106"/>
        <v>0.95724673248039227</v>
      </c>
      <c r="S277" s="801">
        <f t="shared" si="107"/>
        <v>0</v>
      </c>
      <c r="T277" s="172">
        <f t="shared" si="108"/>
        <v>6</v>
      </c>
      <c r="U277" s="247">
        <f t="shared" si="109"/>
        <v>0.95724673248039227</v>
      </c>
      <c r="V277" s="378">
        <f t="shared" si="110"/>
        <v>180.78837156980478</v>
      </c>
      <c r="W277" s="397">
        <f t="shared" si="111"/>
        <v>184.25134915307575</v>
      </c>
      <c r="X277" s="153">
        <f t="shared" si="112"/>
        <v>47746</v>
      </c>
      <c r="Y277" s="380">
        <f t="shared" si="113"/>
        <v>177.51983885961221</v>
      </c>
      <c r="Z277" s="380">
        <f t="shared" si="114"/>
        <v>185.77905150410353</v>
      </c>
      <c r="AA277" s="381">
        <f t="shared" si="115"/>
        <v>196.52735493775472</v>
      </c>
      <c r="AB277" s="193">
        <f t="shared" si="116"/>
        <v>47746</v>
      </c>
      <c r="AC277" s="119">
        <f>IF(OR(t&lt;Tnet,NoTnet),'2029'!Resal_s+('2029'!Salim-'2029'!Resal_s)*(1-EXP(('2029'!Tnet_s-t)/'2029'!Tau_j)),Resal_s+(Salim-Resal_s)*(1-EXP((Tnet_s-t)/Tau_j)))*Salcycl</f>
        <v>5.4691131608907324E-2</v>
      </c>
      <c r="AD277" s="227">
        <f>(INDEX(Models!$BJ277:$BT277,,AH277)*(1-AF277)+INDEX(Models!$BJ277:$BT277,,AH277+1)*AF277-ERP_i)*AE277*Ramure*Pc/MaxiM</f>
        <v>5.1701028700416006E-4</v>
      </c>
      <c r="AE277" s="301">
        <f t="shared" si="117"/>
        <v>0.5</v>
      </c>
      <c r="AF277" s="173">
        <f t="shared" si="118"/>
        <v>0.48223429885437064</v>
      </c>
      <c r="AG277" s="801">
        <f t="shared" si="124"/>
        <v>4</v>
      </c>
      <c r="AH277" s="172">
        <f t="shared" si="119"/>
        <v>10</v>
      </c>
      <c r="AI277" s="221">
        <f t="shared" si="120"/>
        <v>4.4822342988543706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47747</v>
      </c>
      <c r="B278" s="406">
        <f>'2029'!Wh/'2029'!Env_an*'2030'!Env_an</f>
        <v>179.26040275652221</v>
      </c>
      <c r="C278" s="831"/>
      <c r="D278" s="388">
        <f t="shared" si="102"/>
        <v>187.60316426758158</v>
      </c>
      <c r="E278" s="380">
        <f t="shared" si="100"/>
        <v>191.30245864820711</v>
      </c>
      <c r="F278" s="380">
        <f t="shared" si="103"/>
        <v>191.31792354127359</v>
      </c>
      <c r="G278" s="110">
        <f t="shared" si="101"/>
        <v>0.99794771317427955</v>
      </c>
      <c r="H278" s="409" t="b">
        <f>Wh_hp&gt;='2029'!Maxi_hp</f>
        <v>0</v>
      </c>
      <c r="I278" s="385">
        <f>IF(H278,Wh_hp,'2029'!Maxi_hp)</f>
        <v>191.31794707345679</v>
      </c>
      <c r="J278" s="85">
        <f>IF(H278,An,'2029'!An_max)</f>
        <v>2029</v>
      </c>
      <c r="K278" s="193">
        <f t="shared" si="104"/>
        <v>47747</v>
      </c>
      <c r="L278" s="143">
        <f>IF(t&lt;Tvie,1-EXP((T0-t)*PertePVj)+'2029'!Pspv,1-EXP((T0-t)*PertePVj)+Pspv)</f>
        <v>4.4470260102649206E-2</v>
      </c>
      <c r="M278" s="835"/>
      <c r="N278" s="835"/>
      <c r="O278" s="48">
        <f>IF(t&lt;Tnet,'2029'!Resal+('2029'!Salim-'2029'!Resal)*(1-EXP(('2029'!Tnet-t)/('2029'!Tau_j))),Resal+(Salim-Resal)*(1-EXP((Tnet-t)/(Tau_j))))*Salcycl</f>
        <v>1.9337411587732424E-2</v>
      </c>
      <c r="P278" s="165">
        <f>(INDEX(Models!$BJ278:$BT278,,T278)*(1-R278)+INDEX(Models!$BJ278:$BT278,,T278+1)*R278-ERP_i)*Q278*Ramure*Pc/MaxiM</f>
        <v>8.1071137489660306E-5</v>
      </c>
      <c r="Q278" s="301">
        <f t="shared" si="105"/>
        <v>0.5</v>
      </c>
      <c r="R278" s="173">
        <f t="shared" si="106"/>
        <v>0.95754279405297993</v>
      </c>
      <c r="S278" s="801">
        <f t="shared" si="107"/>
        <v>0</v>
      </c>
      <c r="T278" s="172">
        <f t="shared" si="108"/>
        <v>6</v>
      </c>
      <c r="U278" s="247">
        <f t="shared" si="109"/>
        <v>0.95754279405297993</v>
      </c>
      <c r="V278" s="378">
        <f t="shared" si="110"/>
        <v>179.62901040161577</v>
      </c>
      <c r="W278" s="397">
        <f t="shared" si="111"/>
        <v>179.26040275652221</v>
      </c>
      <c r="X278" s="153">
        <f t="shared" si="112"/>
        <v>47747</v>
      </c>
      <c r="Y278" s="380">
        <f t="shared" si="113"/>
        <v>172.72008100759763</v>
      </c>
      <c r="Z278" s="380">
        <f t="shared" si="114"/>
        <v>180.758456587811</v>
      </c>
      <c r="AA278" s="381">
        <f t="shared" si="115"/>
        <v>191.21995284762681</v>
      </c>
      <c r="AB278" s="193">
        <f t="shared" si="116"/>
        <v>47747</v>
      </c>
      <c r="AC278" s="119">
        <f>IF(OR(t&lt;Tnet,NoTnet),'2029'!Resal_s+('2029'!Salim-'2029'!Resal_s)*(1-EXP(('2029'!Tnet_s-t)/'2029'!Tau_j)),Resal_s+(Salim-Resal_s)*(1-EXP((Tnet_s-t)/Tau_j)))*Salcycl</f>
        <v>5.4709229366623868E-2</v>
      </c>
      <c r="AD278" s="227">
        <f>(INDEX(Models!$BJ278:$BT278,,AH278)*(1-AF278)+INDEX(Models!$BJ278:$BT278,,AH278+1)*AF278-ERP_i)*AE278*Ramure*Pc/MaxiM</f>
        <v>5.1358878075988474E-4</v>
      </c>
      <c r="AE278" s="301">
        <f t="shared" si="117"/>
        <v>0.5</v>
      </c>
      <c r="AF278" s="173">
        <f t="shared" si="118"/>
        <v>0.48253036042695818</v>
      </c>
      <c r="AG278" s="801">
        <f t="shared" si="124"/>
        <v>4</v>
      </c>
      <c r="AH278" s="172">
        <f t="shared" si="119"/>
        <v>10</v>
      </c>
      <c r="AI278" s="221">
        <f t="shared" si="120"/>
        <v>4.4825303604269582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47748</v>
      </c>
      <c r="B279" s="406">
        <f>'2029'!Wh/'2029'!Env_an*'2030'!Env_an</f>
        <v>174.1197598241946</v>
      </c>
      <c r="C279" s="831"/>
      <c r="D279" s="388">
        <f t="shared" si="102"/>
        <v>182.22577083662733</v>
      </c>
      <c r="E279" s="380">
        <f t="shared" si="100"/>
        <v>185.83141273617002</v>
      </c>
      <c r="F279" s="380">
        <f t="shared" si="103"/>
        <v>185.84572913978346</v>
      </c>
      <c r="G279" s="110">
        <f t="shared" si="101"/>
        <v>0.97569365594684954</v>
      </c>
      <c r="H279" s="409" t="b">
        <f>Wh_hp&gt;='2029'!Maxi_hp</f>
        <v>0</v>
      </c>
      <c r="I279" s="385">
        <f>IF(H279,Wh_hp,'2029'!Maxi_hp)</f>
        <v>185.84599558132493</v>
      </c>
      <c r="J279" s="85">
        <f>IF(H279,An,'2029'!An_max)</f>
        <v>2029</v>
      </c>
      <c r="K279" s="193">
        <f t="shared" si="104"/>
        <v>47748</v>
      </c>
      <c r="L279" s="143">
        <f>IF(t&lt;Tvie,1-EXP((T0-t)*PertePVj)+'2029'!Pspv,1-EXP((T0-t)*PertePVj)+Pspv)</f>
        <v>4.4483340502371127E-2</v>
      </c>
      <c r="M279" s="835"/>
      <c r="N279" s="835"/>
      <c r="O279" s="48">
        <f>IF(t&lt;Tnet,'2029'!Resal+('2029'!Salim-'2029'!Resal)*(1-EXP(('2029'!Tnet-t)/('2029'!Tau_j))),Resal+(Salim-Resal)*(1-EXP((Tnet-t)/(Tau_j))))*Salcycl</f>
        <v>1.9402757835467296E-2</v>
      </c>
      <c r="P279" s="165">
        <f>(INDEX(Models!$BJ279:$BT279,,T279)*(1-R279)+INDEX(Models!$BJ279:$BT279,,T279+1)*R279-ERP_i)*Q279*Ramure*Pc/MaxiM</f>
        <v>7.9804578734956371E-5</v>
      </c>
      <c r="Q279" s="301">
        <f t="shared" si="105"/>
        <v>0.5</v>
      </c>
      <c r="R279" s="173">
        <f t="shared" si="106"/>
        <v>0.95782726964779008</v>
      </c>
      <c r="S279" s="801">
        <f t="shared" si="107"/>
        <v>0</v>
      </c>
      <c r="T279" s="172">
        <f t="shared" si="108"/>
        <v>6</v>
      </c>
      <c r="U279" s="247">
        <f t="shared" si="109"/>
        <v>0.95782726964779008</v>
      </c>
      <c r="V279" s="378">
        <f t="shared" si="110"/>
        <v>178.45691245327978</v>
      </c>
      <c r="W279" s="397">
        <f t="shared" si="111"/>
        <v>174.1197598241946</v>
      </c>
      <c r="X279" s="153">
        <f t="shared" si="112"/>
        <v>47748</v>
      </c>
      <c r="Y279" s="380">
        <f t="shared" si="113"/>
        <v>167.77764515095481</v>
      </c>
      <c r="Z279" s="380">
        <f t="shared" si="114"/>
        <v>175.58840391036756</v>
      </c>
      <c r="AA279" s="381">
        <f t="shared" si="115"/>
        <v>185.7541164352443</v>
      </c>
      <c r="AB279" s="193">
        <f t="shared" si="116"/>
        <v>47748</v>
      </c>
      <c r="AC279" s="119">
        <f>IF(OR(t&lt;Tnet,NoTnet),'2029'!Resal_s+('2029'!Salim-'2029'!Resal_s)*(1-EXP(('2029'!Tnet_s-t)/'2029'!Tau_j)),Resal_s+(Salim-Resal_s)*(1-EXP((Tnet_s-t)/Tau_j)))*Salcycl</f>
        <v>5.4726714648181678E-2</v>
      </c>
      <c r="AD279" s="227">
        <f>(INDEX(Models!$BJ279:$BT279,,AH279)*(1-AF279)+INDEX(Models!$BJ279:$BT279,,AH279+1)*AF279-ERP_i)*AE279*Ramure*Pc/MaxiM</f>
        <v>5.1068085881948819E-4</v>
      </c>
      <c r="AE279" s="301">
        <f t="shared" si="117"/>
        <v>0.5</v>
      </c>
      <c r="AF279" s="173">
        <f t="shared" si="118"/>
        <v>0.48281483602176856</v>
      </c>
      <c r="AG279" s="801">
        <f t="shared" si="124"/>
        <v>4</v>
      </c>
      <c r="AH279" s="172">
        <f t="shared" si="119"/>
        <v>10</v>
      </c>
      <c r="AI279" s="221">
        <f t="shared" si="120"/>
        <v>4.4828148360217686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47749</v>
      </c>
      <c r="B280" s="406">
        <f>'2029'!Wh/'2029'!Env_an*'2030'!Env_an</f>
        <v>111.64695184911145</v>
      </c>
      <c r="C280" s="831"/>
      <c r="D280" s="388">
        <f t="shared" si="102"/>
        <v>116.84618903635624</v>
      </c>
      <c r="E280" s="380">
        <f t="shared" si="100"/>
        <v>119.16608873437424</v>
      </c>
      <c r="F280" s="380">
        <f t="shared" si="103"/>
        <v>119.17049863454</v>
      </c>
      <c r="G280" s="110">
        <f t="shared" si="101"/>
        <v>0.62977399324438943</v>
      </c>
      <c r="H280" s="409" t="b">
        <f>Wh_hp&gt;='2029'!Maxi_hp</f>
        <v>0</v>
      </c>
      <c r="I280" s="385">
        <f>IF(H280,Wh_hp,'2029'!Maxi_hp)</f>
        <v>119.17305933098852</v>
      </c>
      <c r="J280" s="85">
        <f>IF(H280,An,'2029'!An_max)</f>
        <v>2029</v>
      </c>
      <c r="K280" s="193">
        <f t="shared" si="104"/>
        <v>47749</v>
      </c>
      <c r="L280" s="143">
        <f>IF(t&lt;Tvie,1-EXP((T0-t)*PertePVj)+'2029'!Pspv,1-EXP((T0-t)*PertePVj)+Pspv)</f>
        <v>4.4496420723033281E-2</v>
      </c>
      <c r="M280" s="835"/>
      <c r="N280" s="835"/>
      <c r="O280" s="48">
        <f>IF(t&lt;Tnet,'2029'!Resal+('2029'!Salim-'2029'!Resal)*(1-EXP(('2029'!Tnet-t)/('2029'!Tau_j))),Resal+(Salim-Resal)*(1-EXP((Tnet-t)/(Tau_j))))*Salcycl</f>
        <v>1.9467784188076823E-2</v>
      </c>
      <c r="P280" s="165">
        <f>(INDEX(Models!$BJ280:$BT280,,T280)*(1-R280)+INDEX(Models!$BJ280:$BT280,,T280+1)*R280-ERP_i)*Q280*Ramure*Pc/MaxiM</f>
        <v>7.854294585378777E-5</v>
      </c>
      <c r="Q280" s="301">
        <f t="shared" si="105"/>
        <v>0.5</v>
      </c>
      <c r="R280" s="173">
        <f t="shared" si="106"/>
        <v>0.95810059990335539</v>
      </c>
      <c r="S280" s="801">
        <f t="shared" si="107"/>
        <v>0</v>
      </c>
      <c r="T280" s="172">
        <f t="shared" si="108"/>
        <v>6</v>
      </c>
      <c r="U280" s="247">
        <f t="shared" si="109"/>
        <v>0.95810059990335539</v>
      </c>
      <c r="V280" s="378">
        <f t="shared" si="110"/>
        <v>177.27361765675792</v>
      </c>
      <c r="W280" s="397">
        <f t="shared" si="111"/>
        <v>111.64695184911145</v>
      </c>
      <c r="X280" s="153">
        <f t="shared" si="112"/>
        <v>47749</v>
      </c>
      <c r="Y280" s="380">
        <f t="shared" si="113"/>
        <v>107.60853023197943</v>
      </c>
      <c r="Z280" s="380">
        <f t="shared" si="114"/>
        <v>112.61970396113767</v>
      </c>
      <c r="AA280" s="381">
        <f t="shared" si="115"/>
        <v>119.14195996621521</v>
      </c>
      <c r="AB280" s="193">
        <f t="shared" si="116"/>
        <v>47749</v>
      </c>
      <c r="AC280" s="119">
        <f>IF(OR(t&lt;Tnet,NoTnet),'2029'!Resal_s+('2029'!Salim-'2029'!Resal_s)*(1-EXP(('2029'!Tnet_s-t)/'2029'!Tau_j)),Resal_s+(Salim-Resal_s)*(1-EXP((Tnet_s-t)/Tau_j)))*Salcycl</f>
        <v>5.4743568151195701E-2</v>
      </c>
      <c r="AD280" s="227">
        <f>(INDEX(Models!$BJ280:$BT280,,AH280)*(1-AF280)+INDEX(Models!$BJ280:$BT280,,AH280+1)*AF280-ERP_i)*AE280*Ramure*Pc/MaxiM</f>
        <v>5.082906634444514E-4</v>
      </c>
      <c r="AE280" s="301">
        <f t="shared" si="117"/>
        <v>0.5</v>
      </c>
      <c r="AF280" s="173">
        <f t="shared" si="118"/>
        <v>0.48308816627733364</v>
      </c>
      <c r="AG280" s="801">
        <f t="shared" si="124"/>
        <v>4</v>
      </c>
      <c r="AH280" s="172">
        <f t="shared" si="119"/>
        <v>10</v>
      </c>
      <c r="AI280" s="221">
        <f t="shared" si="120"/>
        <v>4.4830881662773336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47750</v>
      </c>
      <c r="B281" s="406">
        <f>'2029'!Wh/'2029'!Env_an*'2030'!Env_an</f>
        <v>75.10771301929465</v>
      </c>
      <c r="C281" s="831"/>
      <c r="D281" s="388">
        <f t="shared" si="102"/>
        <v>78.606446719669265</v>
      </c>
      <c r="E281" s="380">
        <f t="shared" si="100"/>
        <v>80.172412934782272</v>
      </c>
      <c r="F281" s="380">
        <f t="shared" si="103"/>
        <v>80.173533157765064</v>
      </c>
      <c r="G281" s="110">
        <f t="shared" si="101"/>
        <v>0.42652586218679411</v>
      </c>
      <c r="H281" s="409" t="b">
        <f>Wh_hp&gt;='2029'!Maxi_hp</f>
        <v>0</v>
      </c>
      <c r="I281" s="385">
        <f>IF(H281,Wh_hp,'2029'!Maxi_hp)</f>
        <v>80.176158430643952</v>
      </c>
      <c r="J281" s="85">
        <f>IF(H281,An,'2029'!An_max)</f>
        <v>2029</v>
      </c>
      <c r="K281" s="193">
        <f t="shared" si="104"/>
        <v>47750</v>
      </c>
      <c r="L281" s="143">
        <f>IF(t&lt;Tvie,1-EXP((T0-t)*PertePVj)+'2029'!Pspv,1-EXP((T0-t)*PertePVj)+Pspv)</f>
        <v>4.4509500764638221E-2</v>
      </c>
      <c r="M281" s="835"/>
      <c r="N281" s="835"/>
      <c r="O281" s="48">
        <f>IF(t&lt;Tnet,'2029'!Resal+('2029'!Salim-'2029'!Resal)*(1-EXP(('2029'!Tnet-t)/('2029'!Tau_j))),Resal+(Salim-Resal)*(1-EXP((Tnet-t)/(Tau_j))))*Salcycl</f>
        <v>1.9532482032028529E-2</v>
      </c>
      <c r="P281" s="165">
        <f>(INDEX(Models!$BJ281:$BT281,,T281)*(1-R281)+INDEX(Models!$BJ281:$BT281,,T281+1)*R281-ERP_i)*Q281*Ramure*Pc/MaxiM</f>
        <v>7.7285763266580462E-5</v>
      </c>
      <c r="Q281" s="301">
        <f t="shared" si="105"/>
        <v>0.5</v>
      </c>
      <c r="R281" s="173">
        <f t="shared" si="106"/>
        <v>0.95836320969549138</v>
      </c>
      <c r="S281" s="801">
        <f t="shared" si="107"/>
        <v>0</v>
      </c>
      <c r="T281" s="172">
        <f t="shared" si="108"/>
        <v>6</v>
      </c>
      <c r="U281" s="247">
        <f t="shared" si="109"/>
        <v>0.95836320969549138</v>
      </c>
      <c r="V281" s="378">
        <f t="shared" si="110"/>
        <v>176.0806654297327</v>
      </c>
      <c r="W281" s="397">
        <f t="shared" si="111"/>
        <v>75.10771301929465</v>
      </c>
      <c r="X281" s="153">
        <f t="shared" si="112"/>
        <v>47750</v>
      </c>
      <c r="Y281" s="380">
        <f t="shared" si="113"/>
        <v>72.403544724332264</v>
      </c>
      <c r="Z281" s="380">
        <f t="shared" si="114"/>
        <v>75.776310473284383</v>
      </c>
      <c r="AA281" s="381">
        <f t="shared" si="115"/>
        <v>80.16619280486762</v>
      </c>
      <c r="AB281" s="193">
        <f t="shared" si="116"/>
        <v>47750</v>
      </c>
      <c r="AC281" s="119">
        <f>IF(OR(t&lt;Tnet,NoTnet),'2029'!Resal_s+('2029'!Salim-'2029'!Resal_s)*(1-EXP(('2029'!Tnet_s-t)/'2029'!Tau_j)),Resal_s+(Salim-Resal_s)*(1-EXP((Tnet_s-t)/Tau_j)))*Salcycl</f>
        <v>5.4759770646320191E-2</v>
      </c>
      <c r="AD281" s="227">
        <f>(INDEX(Models!$BJ281:$BT281,,AH281)*(1-AF281)+INDEX(Models!$BJ281:$BT281,,AH281+1)*AF281-ERP_i)*AE281*Ramure*Pc/MaxiM</f>
        <v>5.0642129740342432E-4</v>
      </c>
      <c r="AE281" s="301">
        <f t="shared" si="117"/>
        <v>0.5</v>
      </c>
      <c r="AF281" s="173">
        <f t="shared" si="118"/>
        <v>0.48335077606946975</v>
      </c>
      <c r="AG281" s="801">
        <f t="shared" si="124"/>
        <v>4</v>
      </c>
      <c r="AH281" s="172">
        <f t="shared" si="119"/>
        <v>10</v>
      </c>
      <c r="AI281" s="221">
        <f t="shared" si="120"/>
        <v>4.4833507760694697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47751</v>
      </c>
      <c r="B282" s="406">
        <f>'2029'!Wh/'2029'!Env_an*'2030'!Env_an</f>
        <v>130.44956462861063</v>
      </c>
      <c r="C282" s="831"/>
      <c r="D282" s="388">
        <f t="shared" si="102"/>
        <v>136.52815020394672</v>
      </c>
      <c r="E282" s="380">
        <f t="shared" si="100"/>
        <v>139.2571506872215</v>
      </c>
      <c r="F282" s="380">
        <f t="shared" si="103"/>
        <v>139.26392933475188</v>
      </c>
      <c r="G282" s="110">
        <f t="shared" si="101"/>
        <v>0.74591890443885644</v>
      </c>
      <c r="H282" s="409" t="b">
        <f>Wh_hp&gt;='2029'!Maxi_hp</f>
        <v>0</v>
      </c>
      <c r="I282" s="385">
        <f>IF(H282,Wh_hp,'2029'!Maxi_hp)</f>
        <v>139.26592630992718</v>
      </c>
      <c r="J282" s="85">
        <f>IF(H282,An,'2029'!An_max)</f>
        <v>2029</v>
      </c>
      <c r="K282" s="193">
        <f t="shared" si="104"/>
        <v>47751</v>
      </c>
      <c r="L282" s="143">
        <f>IF(t&lt;Tvie,1-EXP((T0-t)*PertePVj)+'2029'!Pspv,1-EXP((T0-t)*PertePVj)+Pspv)</f>
        <v>4.4522580627188391E-2</v>
      </c>
      <c r="M282" s="835"/>
      <c r="N282" s="835"/>
      <c r="O282" s="48">
        <f>IF(t&lt;Tnet,'2029'!Resal+('2029'!Salim-'2029'!Resal)*(1-EXP(('2029'!Tnet-t)/('2029'!Tau_j))),Resal+(Salim-Resal)*(1-EXP((Tnet-t)/(Tau_j))))*Salcycl</f>
        <v>1.959684274600916E-2</v>
      </c>
      <c r="P282" s="165">
        <f>(INDEX(Models!$BJ282:$BT282,,T282)*(1-R282)+INDEX(Models!$BJ282:$BT282,,T282+1)*R282-ERP_i)*Q282*Ramure*Pc/MaxiM</f>
        <v>7.6405815699394326E-5</v>
      </c>
      <c r="Q282" s="301">
        <f t="shared" si="105"/>
        <v>0.5</v>
      </c>
      <c r="R282" s="173">
        <f t="shared" si="106"/>
        <v>0.95861550862270972</v>
      </c>
      <c r="S282" s="801">
        <f t="shared" si="107"/>
        <v>0</v>
      </c>
      <c r="T282" s="172">
        <f t="shared" si="108"/>
        <v>6</v>
      </c>
      <c r="U282" s="247">
        <f t="shared" si="109"/>
        <v>0.95861550862270972</v>
      </c>
      <c r="V282" s="378">
        <f t="shared" si="110"/>
        <v>174.87952937071947</v>
      </c>
      <c r="W282" s="397">
        <f t="shared" si="111"/>
        <v>130.44956462861063</v>
      </c>
      <c r="X282" s="153">
        <f t="shared" si="112"/>
        <v>47751</v>
      </c>
      <c r="Y282" s="380">
        <f t="shared" si="113"/>
        <v>125.73433103193543</v>
      </c>
      <c r="Z282" s="380">
        <f t="shared" si="114"/>
        <v>131.59319988374938</v>
      </c>
      <c r="AA282" s="381">
        <f t="shared" si="115"/>
        <v>139.21896064933094</v>
      </c>
      <c r="AB282" s="193">
        <f t="shared" si="116"/>
        <v>47751</v>
      </c>
      <c r="AC282" s="119">
        <f>IF(OR(t&lt;Tnet,NoTnet),'2029'!Resal_s+('2029'!Salim-'2029'!Resal_s)*(1-EXP(('2029'!Tnet_s-t)/'2029'!Tau_j)),Resal_s+(Salim-Resal_s)*(1-EXP((Tnet_s-t)/Tau_j)))*Salcycl</f>
        <v>5.4775303091003237E-2</v>
      </c>
      <c r="AD282" s="227">
        <f>(INDEX(Models!$BJ282:$BT282,,AH282)*(1-AF282)+INDEX(Models!$BJ282:$BT282,,AH282+1)*AF282-ERP_i)*AE282*Ramure*Pc/MaxiM</f>
        <v>5.0686646194691445E-4</v>
      </c>
      <c r="AE282" s="301">
        <f t="shared" si="117"/>
        <v>0.5</v>
      </c>
      <c r="AF282" s="173">
        <f t="shared" si="118"/>
        <v>0.48360307499668753</v>
      </c>
      <c r="AG282" s="801">
        <f t="shared" si="124"/>
        <v>4</v>
      </c>
      <c r="AH282" s="172">
        <f t="shared" si="119"/>
        <v>10</v>
      </c>
      <c r="AI282" s="221">
        <f t="shared" si="120"/>
        <v>4.4836030749966875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47752</v>
      </c>
      <c r="B283" s="406">
        <f>'2029'!Wh/'2029'!Env_an*'2030'!Env_an</f>
        <v>132.033694653905</v>
      </c>
      <c r="C283" s="831"/>
      <c r="D283" s="388">
        <f t="shared" si="102"/>
        <v>138.18798794399601</v>
      </c>
      <c r="E283" s="380">
        <f t="shared" si="100"/>
        <v>140.95937006685747</v>
      </c>
      <c r="F283" s="380">
        <f t="shared" si="103"/>
        <v>140.96641420411476</v>
      </c>
      <c r="G283" s="110">
        <f t="shared" si="101"/>
        <v>0.76022882929935798</v>
      </c>
      <c r="H283" s="409" t="b">
        <f>Wh_hp&gt;='2029'!Maxi_hp</f>
        <v>0</v>
      </c>
      <c r="I283" s="385">
        <f>IF(H283,Wh_hp,'2029'!Maxi_hp)</f>
        <v>140.96831126778343</v>
      </c>
      <c r="J283" s="85">
        <f>IF(H283,An,'2029'!An_max)</f>
        <v>2029</v>
      </c>
      <c r="K283" s="193">
        <f t="shared" si="104"/>
        <v>47752</v>
      </c>
      <c r="L283" s="143">
        <f>IF(t&lt;Tvie,1-EXP((T0-t)*PertePVj)+'2029'!Pspv,1-EXP((T0-t)*PertePVj)+Pspv)</f>
        <v>4.4535660310686231E-2</v>
      </c>
      <c r="M283" s="835"/>
      <c r="N283" s="835"/>
      <c r="O283" s="48">
        <f>IF(t&lt;Tnet,'2029'!Resal+('2029'!Salim-'2029'!Resal)*(1-EXP(('2029'!Tnet-t)/('2029'!Tau_j))),Resal+(Salim-Resal)*(1-EXP((Tnet-t)/(Tau_j))))*Salcycl</f>
        <v>1.966085774607966E-2</v>
      </c>
      <c r="P283" s="165">
        <f>(INDEX(Models!$BJ283:$BT283,,T283)*(1-R283)+INDEX(Models!$BJ283:$BT283,,T283+1)*R283-ERP_i)*Q283*Ramure*Pc/MaxiM</f>
        <v>7.6000719235176967E-5</v>
      </c>
      <c r="Q283" s="301">
        <f t="shared" si="105"/>
        <v>0.5</v>
      </c>
      <c r="R283" s="173">
        <f t="shared" si="106"/>
        <v>0.95885789148308764</v>
      </c>
      <c r="S283" s="801">
        <f t="shared" si="107"/>
        <v>0</v>
      </c>
      <c r="T283" s="172">
        <f t="shared" si="108"/>
        <v>6</v>
      </c>
      <c r="U283" s="247">
        <f t="shared" si="109"/>
        <v>0.95885789148308764</v>
      </c>
      <c r="V283" s="378">
        <f t="shared" si="110"/>
        <v>173.67173212104345</v>
      </c>
      <c r="W283" s="397">
        <f t="shared" si="111"/>
        <v>132.033694653905</v>
      </c>
      <c r="X283" s="153">
        <f t="shared" si="112"/>
        <v>47752</v>
      </c>
      <c r="Y283" s="380">
        <f t="shared" si="113"/>
        <v>127.26610231059661</v>
      </c>
      <c r="Z283" s="380">
        <f t="shared" si="114"/>
        <v>133.19817079931988</v>
      </c>
      <c r="AA283" s="381">
        <f t="shared" si="115"/>
        <v>140.91915180689682</v>
      </c>
      <c r="AB283" s="193">
        <f t="shared" si="116"/>
        <v>47752</v>
      </c>
      <c r="AC283" s="119">
        <f>IF(OR(t&lt;Tnet,NoTnet),'2029'!Resal_s+('2029'!Salim-'2029'!Resal_s)*(1-EXP(('2029'!Tnet_s-t)/'2029'!Tau_j)),Resal_s+(Salim-Resal_s)*(1-EXP((Tnet_s-t)/Tau_j)))*Salcycl</f>
        <v>5.4790146751359126E-2</v>
      </c>
      <c r="AD283" s="227">
        <f>(INDEX(Models!$BJ283:$BT283,,AH283)*(1-AF283)+INDEX(Models!$BJ283:$BT283,,AH283+1)*AF283-ERP_i)*AE283*Ramure*Pc/MaxiM</f>
        <v>5.0992421784990406E-4</v>
      </c>
      <c r="AE283" s="301">
        <f t="shared" si="117"/>
        <v>0.5</v>
      </c>
      <c r="AF283" s="173">
        <f t="shared" si="118"/>
        <v>0.48384545785706568</v>
      </c>
      <c r="AG283" s="801">
        <f t="shared" si="124"/>
        <v>4</v>
      </c>
      <c r="AH283" s="172">
        <f t="shared" si="119"/>
        <v>10</v>
      </c>
      <c r="AI283" s="221">
        <f t="shared" si="120"/>
        <v>4.4838454578570657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47753</v>
      </c>
      <c r="B284" s="406">
        <f>'2029'!Wh/'2029'!Env_an*'2030'!Env_an</f>
        <v>60.634603072433698</v>
      </c>
      <c r="C284" s="831"/>
      <c r="D284" s="388">
        <f t="shared" si="102"/>
        <v>63.461743784504286</v>
      </c>
      <c r="E284" s="380">
        <f t="shared" si="100"/>
        <v>64.738683139983792</v>
      </c>
      <c r="F284" s="380">
        <f t="shared" si="103"/>
        <v>64.739046113532112</v>
      </c>
      <c r="G284" s="110">
        <f t="shared" si="101"/>
        <v>0.35156411793351433</v>
      </c>
      <c r="H284" s="409" t="b">
        <f>Wh_hp&gt;='2029'!Maxi_hp</f>
        <v>0</v>
      </c>
      <c r="I284" s="385">
        <f>IF(H284,Wh_hp,'2029'!Maxi_hp)</f>
        <v>64.741404228586603</v>
      </c>
      <c r="J284" s="85">
        <f>IF(H284,An,'2029'!An_max)</f>
        <v>2029</v>
      </c>
      <c r="K284" s="193">
        <f t="shared" si="104"/>
        <v>47753</v>
      </c>
      <c r="L284" s="143">
        <f>IF(t&lt;Tvie,1-EXP((T0-t)*PertePVj)+'2029'!Pspv,1-EXP((T0-t)*PertePVj)+Pspv)</f>
        <v>4.4548739815134186E-2</v>
      </c>
      <c r="M284" s="835"/>
      <c r="N284" s="835"/>
      <c r="O284" s="48">
        <f>IF(t&lt;Tnet,'2029'!Resal+('2029'!Salim-'2029'!Resal)*(1-EXP(('2029'!Tnet-t)/('2029'!Tau_j))),Resal+(Salim-Resal)*(1-EXP((Tnet-t)/(Tau_j))))*Salcycl</f>
        <v>1.9724518534280245E-2</v>
      </c>
      <c r="P284" s="165">
        <f>(INDEX(Models!$BJ284:$BT284,,T284)*(1-R284)+INDEX(Models!$BJ284:$BT284,,T284+1)*R284-ERP_i)*Q284*Ramure*Pc/MaxiM</f>
        <v>7.6076495738852795E-5</v>
      </c>
      <c r="Q284" s="301">
        <f t="shared" si="105"/>
        <v>0.5</v>
      </c>
      <c r="R284" s="173">
        <f t="shared" si="106"/>
        <v>0.95909073874215678</v>
      </c>
      <c r="S284" s="801">
        <f t="shared" si="107"/>
        <v>0</v>
      </c>
      <c r="T284" s="172">
        <f t="shared" si="108"/>
        <v>6</v>
      </c>
      <c r="U284" s="247">
        <f t="shared" si="109"/>
        <v>0.95909073874215678</v>
      </c>
      <c r="V284" s="378">
        <f t="shared" si="110"/>
        <v>172.45881205918658</v>
      </c>
      <c r="W284" s="397">
        <f t="shared" si="111"/>
        <v>60.634603072433698</v>
      </c>
      <c r="X284" s="153">
        <f t="shared" si="112"/>
        <v>47753</v>
      </c>
      <c r="Y284" s="380">
        <f t="shared" si="113"/>
        <v>58.462862358466644</v>
      </c>
      <c r="Z284" s="380">
        <f t="shared" si="114"/>
        <v>61.18874378495763</v>
      </c>
      <c r="AA284" s="381">
        <f t="shared" si="115"/>
        <v>64.736585985203476</v>
      </c>
      <c r="AB284" s="193">
        <f t="shared" si="116"/>
        <v>47753</v>
      </c>
      <c r="AC284" s="119">
        <f>IF(OR(t&lt;Tnet,NoTnet),'2029'!Resal_s+('2029'!Salim-'2029'!Resal_s)*(1-EXP(('2029'!Tnet_s-t)/'2029'!Tau_j)),Resal_s+(Salim-Resal_s)*(1-EXP((Tnet_s-t)/Tau_j)))*Salcycl</f>
        <v>5.4804283331480574E-2</v>
      </c>
      <c r="AD284" s="227">
        <f>(INDEX(Models!$BJ284:$BT284,,AH284)*(1-AF284)+INDEX(Models!$BJ284:$BT284,,AH284+1)*AF284-ERP_i)*AE284*Ramure*Pc/MaxiM</f>
        <v>5.1562419129503158E-4</v>
      </c>
      <c r="AE284" s="301">
        <f t="shared" si="117"/>
        <v>0.5</v>
      </c>
      <c r="AF284" s="173">
        <f t="shared" si="118"/>
        <v>0.48407830511613525</v>
      </c>
      <c r="AG284" s="801">
        <f t="shared" si="124"/>
        <v>4</v>
      </c>
      <c r="AH284" s="172">
        <f t="shared" si="119"/>
        <v>10</v>
      </c>
      <c r="AI284" s="221">
        <f t="shared" si="120"/>
        <v>4.4840783051161353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47754</v>
      </c>
      <c r="B285" s="406">
        <f>'2029'!Wh/'2029'!Env_an*'2030'!Env_an</f>
        <v>60.81710834748354</v>
      </c>
      <c r="C285" s="831"/>
      <c r="D285" s="388">
        <f t="shared" si="102"/>
        <v>63.653629890293324</v>
      </c>
      <c r="E285" s="380">
        <f t="shared" si="100"/>
        <v>64.938623471575383</v>
      </c>
      <c r="F285" s="380">
        <f t="shared" si="103"/>
        <v>64.93901559456863</v>
      </c>
      <c r="G285" s="110">
        <f t="shared" si="101"/>
        <v>0.35512727919537829</v>
      </c>
      <c r="H285" s="409" t="b">
        <f>Wh_hp&gt;='2029'!Maxi_hp</f>
        <v>0</v>
      </c>
      <c r="I285" s="385">
        <f>IF(H285,Wh_hp,'2029'!Maxi_hp)</f>
        <v>64.941384966890908</v>
      </c>
      <c r="J285" s="85">
        <f>IF(H285,An,'2029'!An_max)</f>
        <v>2029</v>
      </c>
      <c r="K285" s="193">
        <f t="shared" si="104"/>
        <v>47754</v>
      </c>
      <c r="L285" s="143">
        <f>IF(t&lt;Tvie,1-EXP((T0-t)*PertePVj)+'2029'!Pspv,1-EXP((T0-t)*PertePVj)+Pspv)</f>
        <v>4.4561819140534698E-2</v>
      </c>
      <c r="M285" s="835"/>
      <c r="N285" s="835"/>
      <c r="O285" s="48">
        <f>IF(t&lt;Tnet,'2029'!Resal+('2029'!Salim-'2029'!Resal)*(1-EXP(('2029'!Tnet-t)/('2029'!Tau_j))),Resal+(Salim-Resal)*(1-EXP((Tnet-t)/(Tau_j))))*Salcycl</f>
        <v>1.9787816750450937E-2</v>
      </c>
      <c r="P285" s="165">
        <f>(INDEX(Models!$BJ285:$BT285,,T285)*(1-R285)+INDEX(Models!$BJ285:$BT285,,T285+1)*R285-ERP_i)*Q285*Ramure*Pc/MaxiM</f>
        <v>7.6639135892152277E-5</v>
      </c>
      <c r="Q285" s="301">
        <f t="shared" si="105"/>
        <v>0.5</v>
      </c>
      <c r="R285" s="173">
        <f t="shared" si="106"/>
        <v>0.95931441699144349</v>
      </c>
      <c r="S285" s="801">
        <f t="shared" si="107"/>
        <v>0</v>
      </c>
      <c r="T285" s="172">
        <f t="shared" si="108"/>
        <v>6</v>
      </c>
      <c r="U285" s="247">
        <f t="shared" si="109"/>
        <v>0.95931441699144349</v>
      </c>
      <c r="V285" s="378">
        <f t="shared" si="110"/>
        <v>171.24230704631032</v>
      </c>
      <c r="W285" s="397">
        <f t="shared" si="111"/>
        <v>60.81710834748354</v>
      </c>
      <c r="X285" s="153">
        <f t="shared" si="112"/>
        <v>47754</v>
      </c>
      <c r="Y285" s="380">
        <f t="shared" si="113"/>
        <v>58.64161812460064</v>
      </c>
      <c r="Z285" s="380">
        <f t="shared" si="114"/>
        <v>61.376674388132066</v>
      </c>
      <c r="AA285" s="381">
        <f t="shared" si="115"/>
        <v>64.936334578583086</v>
      </c>
      <c r="AB285" s="193">
        <f t="shared" si="116"/>
        <v>47754</v>
      </c>
      <c r="AC285" s="119">
        <f>IF(OR(t&lt;Tnet,NoTnet),'2029'!Resal_s+('2029'!Salim-'2029'!Resal_s)*(1-EXP(('2029'!Tnet_s-t)/'2029'!Tau_j)),Resal_s+(Salim-Resal_s)*(1-EXP((Tnet_s-t)/Tau_j)))*Salcycl</f>
        <v>5.4817695109404041E-2</v>
      </c>
      <c r="AD285" s="227">
        <f>(INDEX(Models!$BJ285:$BT285,,AH285)*(1-AF285)+INDEX(Models!$BJ285:$BT285,,AH285+1)*AF285-ERP_i)*AE285*Ramure*Pc/MaxiM</f>
        <v>5.2399566458690913E-4</v>
      </c>
      <c r="AE285" s="301">
        <f t="shared" si="117"/>
        <v>0.5</v>
      </c>
      <c r="AF285" s="173">
        <f t="shared" si="118"/>
        <v>0.48430198336542141</v>
      </c>
      <c r="AG285" s="801">
        <f t="shared" si="124"/>
        <v>4</v>
      </c>
      <c r="AH285" s="172">
        <f t="shared" si="119"/>
        <v>10</v>
      </c>
      <c r="AI285" s="221">
        <f t="shared" si="120"/>
        <v>4.4843019833654214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47755</v>
      </c>
      <c r="B286" s="406">
        <f>'2029'!Wh/'2029'!Env_an*'2030'!Env_an</f>
        <v>90.503574545952105</v>
      </c>
      <c r="C286" s="831"/>
      <c r="D286" s="388">
        <f t="shared" si="102"/>
        <v>94.725975258213452</v>
      </c>
      <c r="E286" s="380">
        <f t="shared" si="100"/>
        <v>96.644439303793845</v>
      </c>
      <c r="F286" s="380">
        <f t="shared" si="103"/>
        <v>96.646931194398405</v>
      </c>
      <c r="G286" s="110">
        <f t="shared" si="101"/>
        <v>0.53227195567730701</v>
      </c>
      <c r="H286" s="409" t="b">
        <f>Wh_hp&gt;='2029'!Maxi_hp</f>
        <v>0</v>
      </c>
      <c r="I286" s="385">
        <f>IF(H286,Wh_hp,'2029'!Maxi_hp)</f>
        <v>96.649523548208606</v>
      </c>
      <c r="J286" s="85">
        <f>IF(H286,An,'2029'!An_max)</f>
        <v>2029</v>
      </c>
      <c r="K286" s="193">
        <f t="shared" si="104"/>
        <v>47755</v>
      </c>
      <c r="L286" s="143">
        <f>IF(t&lt;Tvie,1-EXP((T0-t)*PertePVj)+'2029'!Pspv,1-EXP((T0-t)*PertePVj)+Pspv)</f>
        <v>4.4574898286890208E-2</v>
      </c>
      <c r="M286" s="835"/>
      <c r="N286" s="835"/>
      <c r="O286" s="48">
        <f>IF(t&lt;Tnet,'2029'!Resal+('2029'!Salim-'2029'!Resal)*(1-EXP(('2029'!Tnet-t)/('2029'!Tau_j))),Resal+(Salim-Resal)*(1-EXP((Tnet-t)/(Tau_j))))*Salcycl</f>
        <v>1.9850744226989188E-2</v>
      </c>
      <c r="P286" s="165">
        <f>(INDEX(Models!$BJ286:$BT286,,T286)*(1-R286)+INDEX(Models!$BJ286:$BT286,,T286+1)*R286-ERP_i)*Q286*Ramure*Pc/MaxiM</f>
        <v>7.7694540644949523E-5</v>
      </c>
      <c r="Q286" s="301">
        <f t="shared" si="105"/>
        <v>0.5</v>
      </c>
      <c r="R286" s="173">
        <f t="shared" si="106"/>
        <v>0.95952927939735377</v>
      </c>
      <c r="S286" s="801">
        <f t="shared" si="107"/>
        <v>0</v>
      </c>
      <c r="T286" s="172">
        <f t="shared" si="108"/>
        <v>6</v>
      </c>
      <c r="U286" s="247">
        <f t="shared" si="109"/>
        <v>0.95952927939735377</v>
      </c>
      <c r="V286" s="378">
        <f t="shared" si="110"/>
        <v>170.02375443531744</v>
      </c>
      <c r="W286" s="397">
        <f t="shared" si="111"/>
        <v>90.503574545952105</v>
      </c>
      <c r="X286" s="153">
        <f t="shared" si="112"/>
        <v>47755</v>
      </c>
      <c r="Y286" s="380">
        <f t="shared" si="113"/>
        <v>87.260431045509392</v>
      </c>
      <c r="Z286" s="380">
        <f t="shared" si="114"/>
        <v>91.33152445863989</v>
      </c>
      <c r="AA286" s="381">
        <f t="shared" si="115"/>
        <v>96.629770026687467</v>
      </c>
      <c r="AB286" s="193">
        <f t="shared" si="116"/>
        <v>47755</v>
      </c>
      <c r="AC286" s="119">
        <f>IF(OR(t&lt;Tnet,NoTnet),'2029'!Resal_s+('2029'!Salim-'2029'!Resal_s)*(1-EXP(('2029'!Tnet_s-t)/'2029'!Tau_j)),Resal_s+(Salim-Resal_s)*(1-EXP((Tnet_s-t)/Tau_j)))*Salcycl</f>
        <v>5.483036507883951E-2</v>
      </c>
      <c r="AD286" s="227">
        <f>(INDEX(Models!$BJ286:$BT286,,AH286)*(1-AF286)+INDEX(Models!$BJ286:$BT286,,AH286+1)*AF286-ERP_i)*AE286*Ramure*Pc/MaxiM</f>
        <v>5.3506724564732319E-4</v>
      </c>
      <c r="AE286" s="301">
        <f t="shared" si="117"/>
        <v>0.5</v>
      </c>
      <c r="AF286" s="173">
        <f t="shared" si="118"/>
        <v>0.48451684577133225</v>
      </c>
      <c r="AG286" s="801">
        <f t="shared" si="124"/>
        <v>4</v>
      </c>
      <c r="AH286" s="172">
        <f t="shared" si="119"/>
        <v>10</v>
      </c>
      <c r="AI286" s="221">
        <f t="shared" si="120"/>
        <v>4.4845168457713322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47756</v>
      </c>
      <c r="B287" s="406">
        <f>'2029'!Wh/'2029'!Env_an*'2030'!Env_an</f>
        <v>129.77159914294575</v>
      </c>
      <c r="C287" s="831"/>
      <c r="D287" s="388">
        <f t="shared" si="102"/>
        <v>135.82789001334729</v>
      </c>
      <c r="E287" s="380">
        <f t="shared" si="100"/>
        <v>138.58762602292205</v>
      </c>
      <c r="F287" s="380">
        <f t="shared" si="103"/>
        <v>138.59498128246574</v>
      </c>
      <c r="G287" s="110">
        <f t="shared" si="101"/>
        <v>0.76874760378655183</v>
      </c>
      <c r="H287" s="409" t="b">
        <f>Wh_hp&gt;='2029'!Maxi_hp</f>
        <v>0</v>
      </c>
      <c r="I287" s="385">
        <f>IF(H287,Wh_hp,'2029'!Maxi_hp)</f>
        <v>138.59685569757437</v>
      </c>
      <c r="J287" s="85">
        <f>IF(H287,An,'2029'!An_max)</f>
        <v>2029</v>
      </c>
      <c r="K287" s="193">
        <f t="shared" si="104"/>
        <v>47756</v>
      </c>
      <c r="L287" s="143">
        <f>IF(t&lt;Tvie,1-EXP((T0-t)*PertePVj)+'2029'!Pspv,1-EXP((T0-t)*PertePVj)+Pspv)</f>
        <v>4.4587977254203159E-2</v>
      </c>
      <c r="M287" s="835"/>
      <c r="N287" s="835"/>
      <c r="O287" s="48">
        <f>IF(t&lt;Tnet,'2029'!Resal+('2029'!Salim-'2029'!Resal)*(1-EXP(('2029'!Tnet-t)/('2029'!Tau_j))),Resal+(Salim-Resal)*(1-EXP((Tnet-t)/(Tau_j))))*Salcycl</f>
        <v>1.9913293046222771E-2</v>
      </c>
      <c r="P287" s="165">
        <f>(INDEX(Models!$BJ287:$BT287,,T287)*(1-R287)+INDEX(Models!$BJ287:$BT287,,T287+1)*R287-ERP_i)*Q287*Ramure*Pc/MaxiM</f>
        <v>7.9248459904987856E-5</v>
      </c>
      <c r="Q287" s="301">
        <f t="shared" si="105"/>
        <v>0.5</v>
      </c>
      <c r="R287" s="173">
        <f t="shared" si="106"/>
        <v>0.9597356661401627</v>
      </c>
      <c r="S287" s="801">
        <f t="shared" si="107"/>
        <v>0</v>
      </c>
      <c r="T287" s="172">
        <f t="shared" si="108"/>
        <v>6</v>
      </c>
      <c r="U287" s="247">
        <f t="shared" si="109"/>
        <v>0.9597356661401627</v>
      </c>
      <c r="V287" s="378">
        <f t="shared" si="110"/>
        <v>168.80469106533783</v>
      </c>
      <c r="W287" s="397">
        <f t="shared" si="111"/>
        <v>129.77159914294575</v>
      </c>
      <c r="X287" s="153">
        <f t="shared" si="112"/>
        <v>47756</v>
      </c>
      <c r="Y287" s="380">
        <f t="shared" si="113"/>
        <v>125.10735303669207</v>
      </c>
      <c r="Z287" s="380">
        <f t="shared" si="114"/>
        <v>130.94596892044655</v>
      </c>
      <c r="AA287" s="381">
        <f t="shared" si="115"/>
        <v>138.54403952609118</v>
      </c>
      <c r="AB287" s="193">
        <f t="shared" si="116"/>
        <v>47756</v>
      </c>
      <c r="AC287" s="119">
        <f>IF(OR(t&lt;Tnet,NoTnet),'2029'!Resal_s+('2029'!Salim-'2029'!Resal_s)*(1-EXP(('2029'!Tnet_s-t)/'2029'!Tau_j)),Resal_s+(Salim-Resal_s)*(1-EXP((Tnet_s-t)/Tau_j)))*Salcycl</f>
        <v>5.4842277095679189E-2</v>
      </c>
      <c r="AD287" s="227">
        <f>(INDEX(Models!$BJ287:$BT287,,AH287)*(1-AF287)+INDEX(Models!$BJ287:$BT287,,AH287+1)*AF287-ERP_i)*AE287*Ramure*Pc/MaxiM</f>
        <v>5.4886652381994181E-4</v>
      </c>
      <c r="AE287" s="301">
        <f t="shared" si="117"/>
        <v>0.5</v>
      </c>
      <c r="AF287" s="173">
        <f t="shared" si="118"/>
        <v>0.48472323251414107</v>
      </c>
      <c r="AG287" s="801">
        <f t="shared" si="124"/>
        <v>4</v>
      </c>
      <c r="AH287" s="172">
        <f t="shared" si="119"/>
        <v>10</v>
      </c>
      <c r="AI287" s="221">
        <f t="shared" si="120"/>
        <v>4.4847232325141411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47757</v>
      </c>
      <c r="B288" s="406">
        <f>'2029'!Wh/'2029'!Env_an*'2030'!Env_an</f>
        <v>147.09530905997457</v>
      </c>
      <c r="C288" s="831"/>
      <c r="D288" s="388">
        <f t="shared" si="102"/>
        <v>153.9621851063238</v>
      </c>
      <c r="E288" s="380">
        <f t="shared" si="100"/>
        <v>157.10033589065836</v>
      </c>
      <c r="F288" s="380">
        <f t="shared" si="103"/>
        <v>157.11087868346013</v>
      </c>
      <c r="G288" s="110">
        <f t="shared" si="101"/>
        <v>0.87771440605284989</v>
      </c>
      <c r="H288" s="409" t="b">
        <f>Wh_hp&gt;='2029'!Maxi_hp</f>
        <v>0</v>
      </c>
      <c r="I288" s="385">
        <f>IF(H288,Wh_hp,'2029'!Maxi_hp)</f>
        <v>157.11203126188397</v>
      </c>
      <c r="J288" s="85">
        <f>IF(H288,An,'2029'!An_max)</f>
        <v>2029</v>
      </c>
      <c r="K288" s="193">
        <f t="shared" si="104"/>
        <v>47757</v>
      </c>
      <c r="L288" s="143">
        <f>IF(t&lt;Tvie,1-EXP((T0-t)*PertePVj)+'2029'!Pspv,1-EXP((T0-t)*PertePVj)+Pspv)</f>
        <v>4.4601056042476106E-2</v>
      </c>
      <c r="M288" s="835"/>
      <c r="N288" s="835"/>
      <c r="O288" s="48">
        <f>IF(t&lt;Tnet,'2029'!Resal+('2029'!Salim-'2029'!Resal)*(1-EXP(('2029'!Tnet-t)/('2029'!Tau_j))),Resal+(Salim-Resal)*(1-EXP((Tnet-t)/(Tau_j))))*Salcycl</f>
        <v>1.997545560003583E-2</v>
      </c>
      <c r="P288" s="165">
        <f>(INDEX(Models!$BJ288:$BT288,,T288)*(1-R288)+INDEX(Models!$BJ288:$BT288,,T288+1)*R288-ERP_i)*Q288*Ramure*Pc/MaxiM</f>
        <v>8.1306428580755206E-5</v>
      </c>
      <c r="Q288" s="301">
        <f t="shared" si="105"/>
        <v>0.5</v>
      </c>
      <c r="R288" s="173">
        <f t="shared" si="106"/>
        <v>0.95993390484291097</v>
      </c>
      <c r="S288" s="801">
        <f t="shared" si="107"/>
        <v>0</v>
      </c>
      <c r="T288" s="172">
        <f t="shared" si="108"/>
        <v>6</v>
      </c>
      <c r="U288" s="247">
        <f t="shared" si="109"/>
        <v>0.95993390484291097</v>
      </c>
      <c r="V288" s="378">
        <f t="shared" si="110"/>
        <v>167.5866532640043</v>
      </c>
      <c r="W288" s="397">
        <f t="shared" si="111"/>
        <v>147.09530905997457</v>
      </c>
      <c r="X288" s="153">
        <f t="shared" si="112"/>
        <v>47757</v>
      </c>
      <c r="Y288" s="380">
        <f t="shared" si="113"/>
        <v>141.8036699210416</v>
      </c>
      <c r="Z288" s="380">
        <f t="shared" si="114"/>
        <v>148.42351545172534</v>
      </c>
      <c r="AA288" s="381">
        <f t="shared" si="115"/>
        <v>157.03756218215952</v>
      </c>
      <c r="AB288" s="193">
        <f t="shared" si="116"/>
        <v>47757</v>
      </c>
      <c r="AC288" s="119">
        <f>IF(OR(t&lt;Tnet,NoTnet),'2029'!Resal_s+('2029'!Salim-'2029'!Resal_s)*(1-EXP(('2029'!Tnet_s-t)/'2029'!Tau_j)),Resal_s+(Salim-Resal_s)*(1-EXP((Tnet_s-t)/Tau_j)))*Salcycl</f>
        <v>5.4853416028211921E-2</v>
      </c>
      <c r="AD288" s="227">
        <f>(INDEX(Models!$BJ288:$BT288,,AH288)*(1-AF288)+INDEX(Models!$BJ288:$BT288,,AH288+1)*AF288-ERP_i)*AE288*Ramure*Pc/MaxiM</f>
        <v>5.6541971267725375E-4</v>
      </c>
      <c r="AE288" s="301">
        <f t="shared" si="117"/>
        <v>0.5</v>
      </c>
      <c r="AF288" s="173">
        <f t="shared" si="118"/>
        <v>0.48492147121688944</v>
      </c>
      <c r="AG288" s="801">
        <f t="shared" si="124"/>
        <v>4</v>
      </c>
      <c r="AH288" s="172">
        <f t="shared" si="119"/>
        <v>10</v>
      </c>
      <c r="AI288" s="221">
        <f t="shared" si="120"/>
        <v>4.4849214712168894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47758</v>
      </c>
      <c r="B289" s="406">
        <f>'2029'!Wh/'2029'!Env_an*'2030'!Env_an</f>
        <v>152.27690382124786</v>
      </c>
      <c r="C289" s="831"/>
      <c r="D289" s="388">
        <f t="shared" si="102"/>
        <v>159.38785504821644</v>
      </c>
      <c r="E289" s="380">
        <f t="shared" si="100"/>
        <v>162.64684644935537</v>
      </c>
      <c r="F289" s="380">
        <f t="shared" si="103"/>
        <v>162.658839047876</v>
      </c>
      <c r="G289" s="110">
        <f t="shared" si="101"/>
        <v>0.91530209534591889</v>
      </c>
      <c r="H289" s="409" t="b">
        <f>Wh_hp&gt;='2029'!Maxi_hp</f>
        <v>0</v>
      </c>
      <c r="I289" s="385">
        <f>IF(H289,Wh_hp,'2029'!Maxi_hp)</f>
        <v>162.6596915163866</v>
      </c>
      <c r="J289" s="85">
        <f>IF(H289,An,'2029'!An_max)</f>
        <v>2029</v>
      </c>
      <c r="K289" s="193">
        <f t="shared" si="104"/>
        <v>47758</v>
      </c>
      <c r="L289" s="143">
        <f>IF(t&lt;Tvie,1-EXP((T0-t)*PertePVj)+'2029'!Pspv,1-EXP((T0-t)*PertePVj)+Pspv)</f>
        <v>4.4614134651711379E-2</v>
      </c>
      <c r="M289" s="835"/>
      <c r="N289" s="835"/>
      <c r="O289" s="48">
        <f>IF(t&lt;Tnet,'2029'!Resal+('2029'!Salim-'2029'!Resal)*(1-EXP(('2029'!Tnet-t)/('2029'!Tau_j))),Resal+(Salim-Resal)*(1-EXP((Tnet-t)/(Tau_j))))*Salcycl</f>
        <v>2.0037224651347357E-2</v>
      </c>
      <c r="P289" s="165">
        <f>(INDEX(Models!$BJ289:$BT289,,T289)*(1-R289)+INDEX(Models!$BJ289:$BT289,,T289+1)*R289-ERP_i)*Q289*Ramure*Pc/MaxiM</f>
        <v>8.3876194158925423E-5</v>
      </c>
      <c r="Q289" s="301">
        <f t="shared" si="105"/>
        <v>0.5</v>
      </c>
      <c r="R289" s="173">
        <f t="shared" si="106"/>
        <v>0.96012431099006734</v>
      </c>
      <c r="S289" s="801">
        <f t="shared" si="107"/>
        <v>0</v>
      </c>
      <c r="T289" s="172">
        <f t="shared" si="108"/>
        <v>6</v>
      </c>
      <c r="U289" s="247">
        <f t="shared" si="109"/>
        <v>0.96012431099006734</v>
      </c>
      <c r="V289" s="378">
        <f t="shared" si="110"/>
        <v>166.36622949739552</v>
      </c>
      <c r="W289" s="397">
        <f t="shared" si="111"/>
        <v>152.27690382124786</v>
      </c>
      <c r="X289" s="153">
        <f t="shared" si="112"/>
        <v>47758</v>
      </c>
      <c r="Y289" s="380">
        <f t="shared" si="113"/>
        <v>146.80052148696024</v>
      </c>
      <c r="Z289" s="380">
        <f t="shared" si="114"/>
        <v>153.65573933150424</v>
      </c>
      <c r="AA289" s="381">
        <f t="shared" si="115"/>
        <v>162.57522896112471</v>
      </c>
      <c r="AB289" s="193">
        <f t="shared" si="116"/>
        <v>47758</v>
      </c>
      <c r="AC289" s="119">
        <f>IF(OR(t&lt;Tnet,NoTnet),'2029'!Resal_s+('2029'!Salim-'2029'!Resal_s)*(1-EXP(('2029'!Tnet_s-t)/'2029'!Tau_j)),Resal_s+(Salim-Resal_s)*(1-EXP((Tnet_s-t)/Tau_j)))*Salcycl</f>
        <v>5.4863767909890726E-2</v>
      </c>
      <c r="AD289" s="227">
        <f>(INDEX(Models!$BJ289:$BT289,,AH289)*(1-AF289)+INDEX(Models!$BJ289:$BT289,,AH289+1)*AF289-ERP_i)*AE289*Ramure*Pc/MaxiM</f>
        <v>5.8476866860223808E-4</v>
      </c>
      <c r="AE289" s="301">
        <f t="shared" si="117"/>
        <v>0.5</v>
      </c>
      <c r="AF289" s="173">
        <f t="shared" si="118"/>
        <v>0.48511187736404526</v>
      </c>
      <c r="AG289" s="801">
        <f t="shared" si="124"/>
        <v>4</v>
      </c>
      <c r="AH289" s="172">
        <f t="shared" si="119"/>
        <v>10</v>
      </c>
      <c r="AI289" s="221">
        <f t="shared" si="120"/>
        <v>4.4851118773640453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47759</v>
      </c>
      <c r="B290" s="406">
        <f>'2029'!Wh/'2029'!Env_an*'2030'!Env_an</f>
        <v>143.02695999569994</v>
      </c>
      <c r="C290" s="831"/>
      <c r="D290" s="388">
        <f t="shared" si="102"/>
        <v>149.70801131680417</v>
      </c>
      <c r="E290" s="380">
        <f t="shared" si="100"/>
        <v>152.77864722716768</v>
      </c>
      <c r="F290" s="380">
        <f t="shared" si="103"/>
        <v>152.7894011681046</v>
      </c>
      <c r="G290" s="110">
        <f t="shared" si="101"/>
        <v>0.86608435962046604</v>
      </c>
      <c r="H290" s="409" t="b">
        <f>Wh_hp&gt;='2029'!Maxi_hp</f>
        <v>0</v>
      </c>
      <c r="I290" s="385">
        <f>IF(H290,Wh_hp,'2029'!Maxi_hp)</f>
        <v>152.79071462961011</v>
      </c>
      <c r="J290" s="85">
        <f>IF(H290,An,'2029'!An_max)</f>
        <v>2029</v>
      </c>
      <c r="K290" s="193">
        <f t="shared" si="104"/>
        <v>47759</v>
      </c>
      <c r="L290" s="143">
        <f>IF(t&lt;Tvie,1-EXP((T0-t)*PertePVj)+'2029'!Pspv,1-EXP((T0-t)*PertePVj)+Pspv)</f>
        <v>4.4627213081911532E-2</v>
      </c>
      <c r="M290" s="835"/>
      <c r="N290" s="835"/>
      <c r="O290" s="48">
        <f>IF(t&lt;Tnet,'2029'!Resal+('2029'!Salim-'2029'!Resal)*(1-EXP(('2029'!Tnet-t)/('2029'!Tau_j))),Resal+(Salim-Resal)*(1-EXP((Tnet-t)/(Tau_j))))*Salcycl</f>
        <v>2.0098593397006238E-2</v>
      </c>
      <c r="P290" s="165">
        <f>(INDEX(Models!$BJ290:$BT290,,T290)*(1-R290)+INDEX(Models!$BJ290:$BT290,,T290+1)*R290-ERP_i)*Q290*Ramure*Pc/MaxiM</f>
        <v>8.7032255665294006E-5</v>
      </c>
      <c r="Q290" s="301">
        <f t="shared" si="105"/>
        <v>0.5</v>
      </c>
      <c r="R290" s="173">
        <f t="shared" si="106"/>
        <v>0.96030718833585538</v>
      </c>
      <c r="S290" s="801">
        <f t="shared" si="107"/>
        <v>0</v>
      </c>
      <c r="T290" s="172">
        <f t="shared" si="108"/>
        <v>6</v>
      </c>
      <c r="U290" s="247">
        <f t="shared" si="109"/>
        <v>0.96030718833585538</v>
      </c>
      <c r="V290" s="378">
        <f t="shared" si="110"/>
        <v>165.13931593493825</v>
      </c>
      <c r="W290" s="397">
        <f t="shared" si="111"/>
        <v>143.02695999569994</v>
      </c>
      <c r="X290" s="153">
        <f t="shared" si="112"/>
        <v>47759</v>
      </c>
      <c r="Y290" s="380">
        <f t="shared" si="113"/>
        <v>137.89325408453993</v>
      </c>
      <c r="Z290" s="380">
        <f t="shared" si="114"/>
        <v>144.33450059778875</v>
      </c>
      <c r="AA290" s="381">
        <f t="shared" si="115"/>
        <v>152.714449466242</v>
      </c>
      <c r="AB290" s="193">
        <f t="shared" si="116"/>
        <v>47759</v>
      </c>
      <c r="AC290" s="119">
        <f>IF(OR(t&lt;Tnet,NoTnet),'2029'!Resal_s+('2029'!Salim-'2029'!Resal_s)*(1-EXP(('2029'!Tnet_s-t)/'2029'!Tau_j)),Resal_s+(Salim-Resal_s)*(1-EXP((Tnet_s-t)/Tau_j)))*Salcycl</f>
        <v>5.4873320093431523E-2</v>
      </c>
      <c r="AD290" s="227">
        <f>(INDEX(Models!$BJ290:$BT290,,AH290)*(1-AF290)+INDEX(Models!$BJ290:$BT290,,AH290+1)*AF290-ERP_i)*AE290*Ramure*Pc/MaxiM</f>
        <v>6.0658838627803335E-4</v>
      </c>
      <c r="AE290" s="301">
        <f t="shared" si="117"/>
        <v>0.5</v>
      </c>
      <c r="AF290" s="173">
        <f t="shared" si="118"/>
        <v>0.48529475470983385</v>
      </c>
      <c r="AG290" s="801">
        <f t="shared" si="124"/>
        <v>4</v>
      </c>
      <c r="AH290" s="172">
        <f t="shared" si="119"/>
        <v>10</v>
      </c>
      <c r="AI290" s="221">
        <f t="shared" si="120"/>
        <v>4.4852947547098339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47760</v>
      </c>
      <c r="B291" s="406">
        <f>'2029'!Wh/'2029'!Env_an*'2030'!Env_an</f>
        <v>163.65916527589005</v>
      </c>
      <c r="C291" s="831"/>
      <c r="D291" s="388">
        <f t="shared" si="102"/>
        <v>171.30632974280954</v>
      </c>
      <c r="E291" s="380">
        <f t="shared" si="100"/>
        <v>174.83084180685736</v>
      </c>
      <c r="F291" s="380">
        <f t="shared" si="103"/>
        <v>174.84666030157433</v>
      </c>
      <c r="G291" s="110">
        <f t="shared" si="101"/>
        <v>0.99849113897953079</v>
      </c>
      <c r="H291" s="409" t="b">
        <f>Wh_hp&gt;='2029'!Maxi_hp</f>
        <v>0</v>
      </c>
      <c r="I291" s="385">
        <f>IF(H291,Wh_hp,'2029'!Maxi_hp)</f>
        <v>174.84667794074412</v>
      </c>
      <c r="J291" s="85">
        <f>IF(H291,An,'2029'!An_max)</f>
        <v>2029</v>
      </c>
      <c r="K291" s="193">
        <f t="shared" si="104"/>
        <v>47760</v>
      </c>
      <c r="L291" s="143">
        <f>IF(t&lt;Tvie,1-EXP((T0-t)*PertePVj)+'2029'!Pspv,1-EXP((T0-t)*PertePVj)+Pspv)</f>
        <v>4.4640291333078896E-2</v>
      </c>
      <c r="M291" s="835"/>
      <c r="N291" s="835"/>
      <c r="O291" s="48">
        <f>IF(t&lt;Tnet,'2029'!Resal+('2029'!Salim-'2029'!Resal)*(1-EXP(('2029'!Tnet-t)/('2029'!Tau_j))),Resal+(Salim-Resal)*(1-EXP((Tnet-t)/(Tau_j))))*Salcycl</f>
        <v>2.0159555531634909E-2</v>
      </c>
      <c r="P291" s="165">
        <f>(INDEX(Models!$BJ291:$BT291,,T291)*(1-R291)+INDEX(Models!$BJ291:$BT291,,T291+1)*R291-ERP_i)*Q291*Ramure*Pc/MaxiM</f>
        <v>9.0666078098704535E-5</v>
      </c>
      <c r="Q291" s="301">
        <f t="shared" si="105"/>
        <v>0.5</v>
      </c>
      <c r="R291" s="173">
        <f t="shared" si="106"/>
        <v>0.96048282930218587</v>
      </c>
      <c r="S291" s="801">
        <f t="shared" si="107"/>
        <v>0</v>
      </c>
      <c r="T291" s="172">
        <f t="shared" si="108"/>
        <v>6</v>
      </c>
      <c r="U291" s="247">
        <f t="shared" si="109"/>
        <v>0.96048282930218587</v>
      </c>
      <c r="V291" s="378">
        <f t="shared" si="110"/>
        <v>163.9064453392449</v>
      </c>
      <c r="W291" s="397">
        <f t="shared" si="111"/>
        <v>163.65916527589005</v>
      </c>
      <c r="X291" s="153">
        <f t="shared" si="112"/>
        <v>47760</v>
      </c>
      <c r="Y291" s="380">
        <f t="shared" si="113"/>
        <v>157.77462092765734</v>
      </c>
      <c r="Z291" s="380">
        <f t="shared" si="114"/>
        <v>165.14682322934792</v>
      </c>
      <c r="AA291" s="381">
        <f t="shared" si="115"/>
        <v>174.73673547541208</v>
      </c>
      <c r="AB291" s="193">
        <f t="shared" si="116"/>
        <v>47760</v>
      </c>
      <c r="AC291" s="119">
        <f>IF(OR(t&lt;Tnet,NoTnet),'2029'!Resal_s+('2029'!Salim-'2029'!Resal_s)*(1-EXP(('2029'!Tnet_s-t)/'2029'!Tau_j)),Resal_s+(Salim-Resal_s)*(1-EXP((Tnet_s-t)/Tau_j)))*Salcycl</f>
        <v>5.4882061404961949E-2</v>
      </c>
      <c r="AD291" s="227">
        <f>(INDEX(Models!$BJ291:$BT291,,AH291)*(1-AF291)+INDEX(Models!$BJ291:$BT291,,AH291+1)*AF291-ERP_i)*AE291*Ramure*Pc/MaxiM</f>
        <v>6.3005064970718058E-4</v>
      </c>
      <c r="AE291" s="301">
        <f t="shared" si="117"/>
        <v>0.5</v>
      </c>
      <c r="AF291" s="173">
        <f t="shared" si="118"/>
        <v>0.48547039567616412</v>
      </c>
      <c r="AG291" s="801">
        <f t="shared" si="124"/>
        <v>4</v>
      </c>
      <c r="AH291" s="172">
        <f t="shared" si="119"/>
        <v>10</v>
      </c>
      <c r="AI291" s="221">
        <f t="shared" si="120"/>
        <v>4.4854703956761641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47761</v>
      </c>
      <c r="B292" s="406">
        <f>'2029'!Wh/'2029'!Env_an*'2030'!Env_an</f>
        <v>166.32559223666738</v>
      </c>
      <c r="C292" s="831"/>
      <c r="D292" s="388">
        <f t="shared" si="102"/>
        <v>174.09973187754443</v>
      </c>
      <c r="E292" s="380">
        <f t="shared" si="100"/>
        <v>177.69269692247701</v>
      </c>
      <c r="F292" s="380">
        <f t="shared" si="103"/>
        <v>177.70954073163568</v>
      </c>
      <c r="G292" s="110">
        <f t="shared" si="101"/>
        <v>1.0224841894661147</v>
      </c>
      <c r="H292" s="409" t="b">
        <f>Wh_hp&gt;='2029'!Maxi_hp</f>
        <v>1</v>
      </c>
      <c r="I292" s="385">
        <f>IF(H292,Wh_hp,'2029'!Maxi_hp)</f>
        <v>177.70954073163568</v>
      </c>
      <c r="J292" s="85">
        <f>IF(H292,An,'2029'!An_max)</f>
        <v>2030</v>
      </c>
      <c r="K292" s="193">
        <f t="shared" si="104"/>
        <v>47761</v>
      </c>
      <c r="L292" s="143">
        <f>IF(t&lt;Tvie,1-EXP((T0-t)*PertePVj)+'2029'!Pspv,1-EXP((T0-t)*PertePVj)+Pspv)</f>
        <v>4.4653369405216026E-2</v>
      </c>
      <c r="M292" s="835"/>
      <c r="N292" s="835"/>
      <c r="O292" s="48">
        <f>IF(t&lt;Tnet,'2029'!Resal+('2029'!Salim-'2029'!Resal)*(1-EXP(('2029'!Tnet-t)/('2029'!Tau_j))),Resal+(Salim-Resal)*(1-EXP((Tnet-t)/(Tau_j))))*Salcycl</f>
        <v>2.0220105311925713E-2</v>
      </c>
      <c r="P292" s="165">
        <f>(INDEX(Models!$BJ292:$BT292,,T292)*(1-R292)+INDEX(Models!$BJ292:$BT292,,T292+1)*R292-ERP_i)*Q292*Ramure*Pc/MaxiM</f>
        <v>9.4782807323312207E-5</v>
      </c>
      <c r="Q292" s="301">
        <f t="shared" si="105"/>
        <v>0.5</v>
      </c>
      <c r="R292" s="173">
        <f t="shared" si="106"/>
        <v>0.96065151536616755</v>
      </c>
      <c r="S292" s="801">
        <f t="shared" si="107"/>
        <v>0</v>
      </c>
      <c r="T292" s="172">
        <f t="shared" si="108"/>
        <v>6</v>
      </c>
      <c r="U292" s="247">
        <f t="shared" si="109"/>
        <v>0.96065151536616755</v>
      </c>
      <c r="V292" s="378">
        <f t="shared" si="110"/>
        <v>162.66813115566458</v>
      </c>
      <c r="W292" s="397">
        <f t="shared" si="111"/>
        <v>166.32559223666738</v>
      </c>
      <c r="X292" s="153">
        <f t="shared" si="112"/>
        <v>47761</v>
      </c>
      <c r="Y292" s="380">
        <f t="shared" si="113"/>
        <v>160.35018216628163</v>
      </c>
      <c r="Z292" s="380">
        <f t="shared" si="114"/>
        <v>167.84502821394796</v>
      </c>
      <c r="AA292" s="381">
        <f t="shared" si="115"/>
        <v>177.59311092888464</v>
      </c>
      <c r="AB292" s="193">
        <f t="shared" si="116"/>
        <v>47761</v>
      </c>
      <c r="AC292" s="119">
        <f>IF(OR(t&lt;Tnet,NoTnet),'2029'!Resal_s+('2029'!Salim-'2029'!Resal_s)*(1-EXP(('2029'!Tnet_s-t)/'2029'!Tau_j)),Resal_s+(Salim-Resal_s)*(1-EXP((Tnet_s-t)/Tau_j)))*Salcycl</f>
        <v>5.4889982296893278E-2</v>
      </c>
      <c r="AD292" s="227">
        <f>(INDEX(Models!$BJ292:$BT292,,AH292)*(1-AF292)+INDEX(Models!$BJ292:$BT292,,AH292+1)*AF292-ERP_i)*AE292*Ramure*Pc/MaxiM</f>
        <v>6.5516911625399508E-4</v>
      </c>
      <c r="AE292" s="301">
        <f t="shared" si="117"/>
        <v>0.5</v>
      </c>
      <c r="AF292" s="173">
        <f t="shared" si="118"/>
        <v>0.48563908174014614</v>
      </c>
      <c r="AG292" s="801">
        <f t="shared" si="124"/>
        <v>4</v>
      </c>
      <c r="AH292" s="172">
        <f t="shared" si="119"/>
        <v>10</v>
      </c>
      <c r="AI292" s="221">
        <f t="shared" si="120"/>
        <v>4.4856390817401461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47762</v>
      </c>
      <c r="B293" s="406">
        <f>'2029'!Wh/'2029'!Env_an*'2030'!Env_an</f>
        <v>55.845998482570657</v>
      </c>
      <c r="C293" s="831"/>
      <c r="D293" s="388">
        <f t="shared" si="102"/>
        <v>58.457068030991557</v>
      </c>
      <c r="E293" s="380">
        <f t="shared" si="100"/>
        <v>59.667131638781782</v>
      </c>
      <c r="F293" s="380">
        <f t="shared" si="103"/>
        <v>59.667520969745766</v>
      </c>
      <c r="G293" s="110">
        <f t="shared" si="101"/>
        <v>0.34592443355025765</v>
      </c>
      <c r="H293" s="409" t="b">
        <f>Wh_hp&gt;='2029'!Maxi_hp</f>
        <v>0</v>
      </c>
      <c r="I293" s="385">
        <f>IF(H293,Wh_hp,'2029'!Maxi_hp)</f>
        <v>59.670380346633422</v>
      </c>
      <c r="J293" s="85">
        <f>IF(H293,An,'2029'!An_max)</f>
        <v>2029</v>
      </c>
      <c r="K293" s="193">
        <f t="shared" si="104"/>
        <v>47762</v>
      </c>
      <c r="L293" s="143">
        <f>IF(t&lt;Tvie,1-EXP((T0-t)*PertePVj)+'2029'!Pspv,1-EXP((T0-t)*PertePVj)+Pspv)</f>
        <v>4.4666447298325251E-2</v>
      </c>
      <c r="M293" s="835"/>
      <c r="N293" s="835"/>
      <c r="O293" s="48">
        <f>IF(t&lt;Tnet,'2029'!Resal+('2029'!Salim-'2029'!Resal)*(1-EXP(('2029'!Tnet-t)/('2029'!Tau_j))),Resal+(Salim-Resal)*(1-EXP((Tnet-t)/(Tau_j))))*Salcycl</f>
        <v>2.0280237620869893E-2</v>
      </c>
      <c r="P293" s="165">
        <f>(INDEX(Models!$BJ293:$BT293,,T293)*(1-R293)+INDEX(Models!$BJ293:$BT293,,T293+1)*R293-ERP_i)*Q293*Ramure*Pc/MaxiM</f>
        <v>9.938743367184796E-5</v>
      </c>
      <c r="Q293" s="301">
        <f t="shared" si="105"/>
        <v>0.5</v>
      </c>
      <c r="R293" s="173">
        <f t="shared" si="106"/>
        <v>0.96081351743720678</v>
      </c>
      <c r="S293" s="801">
        <f t="shared" si="107"/>
        <v>0</v>
      </c>
      <c r="T293" s="172">
        <f t="shared" si="108"/>
        <v>6</v>
      </c>
      <c r="U293" s="247">
        <f t="shared" si="109"/>
        <v>0.96081351743720678</v>
      </c>
      <c r="V293" s="378">
        <f t="shared" si="110"/>
        <v>161.42488658770534</v>
      </c>
      <c r="W293" s="397">
        <f t="shared" si="111"/>
        <v>55.845998482570657</v>
      </c>
      <c r="X293" s="153">
        <f t="shared" si="112"/>
        <v>47762</v>
      </c>
      <c r="Y293" s="380">
        <f t="shared" si="113"/>
        <v>53.870708589721836</v>
      </c>
      <c r="Z293" s="380">
        <f t="shared" si="114"/>
        <v>56.389423816818692</v>
      </c>
      <c r="AA293" s="381">
        <f t="shared" si="115"/>
        <v>59.664849536581876</v>
      </c>
      <c r="AB293" s="193">
        <f t="shared" si="116"/>
        <v>47762</v>
      </c>
      <c r="AC293" s="119">
        <f>IF(OR(t&lt;Tnet,NoTnet),'2029'!Resal_s+('2029'!Salim-'2029'!Resal_s)*(1-EXP(('2029'!Tnet_s-t)/'2029'!Tau_j)),Resal_s+(Salim-Resal_s)*(1-EXP((Tnet_s-t)/Tau_j)))*Salcycl</f>
        <v>5.4897074998151905E-2</v>
      </c>
      <c r="AD293" s="227">
        <f>(INDEX(Models!$BJ293:$BT293,,AH293)*(1-AF293)+INDEX(Models!$BJ293:$BT293,,AH293+1)*AF293-ERP_i)*AE293*Ramure*Pc/MaxiM</f>
        <v>6.819567692996001E-4</v>
      </c>
      <c r="AE293" s="301">
        <f t="shared" si="117"/>
        <v>0.5</v>
      </c>
      <c r="AF293" s="173">
        <f t="shared" si="118"/>
        <v>0.48580108381118503</v>
      </c>
      <c r="AG293" s="801">
        <f t="shared" si="124"/>
        <v>4</v>
      </c>
      <c r="AH293" s="172">
        <f t="shared" si="119"/>
        <v>10</v>
      </c>
      <c r="AI293" s="221">
        <f t="shared" si="120"/>
        <v>4.485801083811185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47763</v>
      </c>
      <c r="B294" s="406">
        <f>'2029'!Wh/'2029'!Env_an*'2030'!Env_an</f>
        <v>114.75569229154517</v>
      </c>
      <c r="C294" s="831"/>
      <c r="D294" s="388">
        <f t="shared" si="102"/>
        <v>120.12271828784556</v>
      </c>
      <c r="E294" s="380">
        <f t="shared" si="100"/>
        <v>122.61673633262862</v>
      </c>
      <c r="F294" s="380">
        <f t="shared" si="103"/>
        <v>122.62435840756386</v>
      </c>
      <c r="G294" s="110">
        <f t="shared" si="101"/>
        <v>0.71639919492578541</v>
      </c>
      <c r="H294" s="409" t="b">
        <f>Wh_hp&gt;='2029'!Maxi_hp</f>
        <v>0</v>
      </c>
      <c r="I294" s="385">
        <f>IF(H294,Wh_hp,'2029'!Maxi_hp)</f>
        <v>122.6270364044056</v>
      </c>
      <c r="J294" s="85">
        <f>IF(H294,An,'2029'!An_max)</f>
        <v>2029</v>
      </c>
      <c r="K294" s="193">
        <f t="shared" si="104"/>
        <v>47763</v>
      </c>
      <c r="L294" s="143">
        <f>IF(t&lt;Tvie,1-EXP((T0-t)*PertePVj)+'2029'!Pspv,1-EXP((T0-t)*PertePVj)+Pspv)</f>
        <v>4.4679525012409238E-2</v>
      </c>
      <c r="M294" s="835"/>
      <c r="N294" s="835"/>
      <c r="O294" s="48">
        <f>IF(t&lt;Tnet,'2029'!Resal+('2029'!Salim-'2029'!Resal)*(1-EXP(('2029'!Tnet-t)/('2029'!Tau_j))),Resal+(Salim-Resal)*(1-EXP((Tnet-t)/(Tau_j))))*Salcycl</f>
        <v>2.0339948031379774E-2</v>
      </c>
      <c r="P294" s="165">
        <f>(INDEX(Models!$BJ294:$BT294,,T294)*(1-R294)+INDEX(Models!$BJ294:$BT294,,T294+1)*R294-ERP_i)*Q294*Ramure*Pc/MaxiM</f>
        <v>1.0448477135294038E-4</v>
      </c>
      <c r="Q294" s="301">
        <f t="shared" si="105"/>
        <v>0.5</v>
      </c>
      <c r="R294" s="173">
        <f t="shared" si="106"/>
        <v>0.96096909622372961</v>
      </c>
      <c r="S294" s="801">
        <f t="shared" si="107"/>
        <v>0</v>
      </c>
      <c r="T294" s="172">
        <f t="shared" si="108"/>
        <v>6</v>
      </c>
      <c r="U294" s="247">
        <f t="shared" si="109"/>
        <v>0.96096909622372961</v>
      </c>
      <c r="V294" s="378">
        <f t="shared" si="110"/>
        <v>160.17722459089487</v>
      </c>
      <c r="W294" s="397">
        <f t="shared" si="111"/>
        <v>114.75569229154517</v>
      </c>
      <c r="X294" s="153">
        <f t="shared" si="112"/>
        <v>47763</v>
      </c>
      <c r="Y294" s="380">
        <f t="shared" si="113"/>
        <v>110.66708732157491</v>
      </c>
      <c r="Z294" s="380">
        <f t="shared" si="114"/>
        <v>115.84289274550765</v>
      </c>
      <c r="AA294" s="381">
        <f t="shared" si="115"/>
        <v>122.57253344694409</v>
      </c>
      <c r="AB294" s="193">
        <f t="shared" si="116"/>
        <v>47763</v>
      </c>
      <c r="AC294" s="119">
        <f>IF(OR(t&lt;Tnet,NoTnet),'2029'!Resal_s+('2029'!Salim-'2029'!Resal_s)*(1-EXP(('2029'!Tnet_s-t)/'2029'!Tau_j)),Resal_s+(Salim-Resal_s)*(1-EXP((Tnet_s-t)/Tau_j)))*Salcycl</f>
        <v>5.4903333660386362E-2</v>
      </c>
      <c r="AD294" s="227">
        <f>(INDEX(Models!$BJ294:$BT294,,AH294)*(1-AF294)+INDEX(Models!$BJ294:$BT294,,AH294+1)*AF294-ERP_i)*AE294*Ramure*Pc/MaxiM</f>
        <v>7.1042586260795023E-4</v>
      </c>
      <c r="AE294" s="301">
        <f t="shared" si="117"/>
        <v>0.5</v>
      </c>
      <c r="AF294" s="173">
        <f t="shared" si="118"/>
        <v>0.48595666259770809</v>
      </c>
      <c r="AG294" s="801">
        <f t="shared" si="124"/>
        <v>4</v>
      </c>
      <c r="AH294" s="172">
        <f t="shared" si="119"/>
        <v>10</v>
      </c>
      <c r="AI294" s="221">
        <f t="shared" si="120"/>
        <v>4.4859566625977081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47764</v>
      </c>
      <c r="B295" s="406">
        <f>'2029'!Wh/'2029'!Env_an*'2030'!Env_an</f>
        <v>64.115816658434355</v>
      </c>
      <c r="C295" s="831"/>
      <c r="D295" s="388">
        <f t="shared" si="102"/>
        <v>67.115377552198154</v>
      </c>
      <c r="E295" s="380">
        <f t="shared" si="100"/>
        <v>68.512989989528904</v>
      </c>
      <c r="F295" s="380">
        <f t="shared" si="103"/>
        <v>68.514104402770528</v>
      </c>
      <c r="G295" s="110">
        <f t="shared" si="101"/>
        <v>0.40339491092751822</v>
      </c>
      <c r="H295" s="409" t="b">
        <f>Wh_hp&gt;='2029'!Maxi_hp</f>
        <v>0</v>
      </c>
      <c r="I295" s="385">
        <f>IF(H295,Wh_hp,'2029'!Maxi_hp)</f>
        <v>68.517420037381285</v>
      </c>
      <c r="J295" s="85">
        <f>IF(H295,An,'2029'!An_max)</f>
        <v>2029</v>
      </c>
      <c r="K295" s="193">
        <f t="shared" si="104"/>
        <v>47764</v>
      </c>
      <c r="L295" s="143">
        <f>IF(t&lt;Tvie,1-EXP((T0-t)*PertePVj)+'2029'!Pspv,1-EXP((T0-t)*PertePVj)+Pspv)</f>
        <v>4.4692602547470206E-2</v>
      </c>
      <c r="M295" s="835"/>
      <c r="N295" s="835"/>
      <c r="O295" s="48">
        <f>IF(t&lt;Tnet,'2029'!Resal+('2029'!Salim-'2029'!Resal)*(1-EXP(('2029'!Tnet-t)/('2029'!Tau_j))),Resal+(Salim-Resal)*(1-EXP((Tnet-t)/(Tau_j))))*Salcycl</f>
        <v>2.0399232868750183E-2</v>
      </c>
      <c r="P295" s="165">
        <f>(INDEX(Models!$BJ295:$BT295,,T295)*(1-R295)+INDEX(Models!$BJ295:$BT295,,T295+1)*R295-ERP_i)*Q295*Ramure*Pc/MaxiM</f>
        <v>1.1007943925293578E-4</v>
      </c>
      <c r="Q295" s="301">
        <f t="shared" si="105"/>
        <v>0.5</v>
      </c>
      <c r="R295" s="173">
        <f t="shared" si="106"/>
        <v>0.96111850258959075</v>
      </c>
      <c r="S295" s="801">
        <f t="shared" si="107"/>
        <v>0</v>
      </c>
      <c r="T295" s="172">
        <f t="shared" si="108"/>
        <v>6</v>
      </c>
      <c r="U295" s="247">
        <f t="shared" si="109"/>
        <v>0.96111850258959075</v>
      </c>
      <c r="V295" s="378">
        <f t="shared" si="110"/>
        <v>158.92565786991523</v>
      </c>
      <c r="W295" s="397">
        <f t="shared" si="111"/>
        <v>64.115816658434355</v>
      </c>
      <c r="X295" s="153">
        <f t="shared" si="112"/>
        <v>47764</v>
      </c>
      <c r="Y295" s="380">
        <f t="shared" si="113"/>
        <v>61.851372136488415</v>
      </c>
      <c r="Z295" s="380">
        <f t="shared" si="114"/>
        <v>64.744994439930394</v>
      </c>
      <c r="AA295" s="381">
        <f t="shared" si="115"/>
        <v>68.506606899730443</v>
      </c>
      <c r="AB295" s="193">
        <f t="shared" si="116"/>
        <v>47764</v>
      </c>
      <c r="AC295" s="119">
        <f>IF(OR(t&lt;Tnet,NoTnet),'2029'!Resal_s+('2029'!Salim-'2029'!Resal_s)*(1-EXP(('2029'!Tnet_s-t)/'2029'!Tau_j)),Resal_s+(Salim-Resal_s)*(1-EXP((Tnet_s-t)/Tau_j)))*Salcycl</f>
        <v>5.4908754498755513E-2</v>
      </c>
      <c r="AD295" s="227">
        <f>(INDEX(Models!$BJ295:$BT295,,AH295)*(1-AF295)+INDEX(Models!$BJ295:$BT295,,AH295+1)*AF295-ERP_i)*AE295*Ramure*Pc/MaxiM</f>
        <v>7.4058787137831945E-4</v>
      </c>
      <c r="AE295" s="301">
        <f t="shared" si="117"/>
        <v>0.5</v>
      </c>
      <c r="AF295" s="173">
        <f t="shared" si="118"/>
        <v>0.48610606896356856</v>
      </c>
      <c r="AG295" s="801">
        <f t="shared" si="124"/>
        <v>4</v>
      </c>
      <c r="AH295" s="172">
        <f t="shared" si="119"/>
        <v>10</v>
      </c>
      <c r="AI295" s="221">
        <f t="shared" si="120"/>
        <v>4.4861060689635686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47765</v>
      </c>
      <c r="B296" s="406">
        <f>'2029'!Wh/'2029'!Env_an*'2030'!Env_an</f>
        <v>151.18539604906542</v>
      </c>
      <c r="C296" s="831"/>
      <c r="D296" s="388">
        <f t="shared" si="102"/>
        <v>158.26054114274956</v>
      </c>
      <c r="E296" s="380">
        <f t="shared" si="100"/>
        <v>161.56587013722759</v>
      </c>
      <c r="F296" s="380">
        <f t="shared" si="103"/>
        <v>161.5834874343181</v>
      </c>
      <c r="G296" s="110">
        <f t="shared" si="101"/>
        <v>0.9588611994590126</v>
      </c>
      <c r="H296" s="409" t="b">
        <f>Wh_hp&gt;='2029'!Maxi_hp</f>
        <v>0</v>
      </c>
      <c r="I296" s="385">
        <f>IF(H296,Wh_hp,'2029'!Maxi_hp)</f>
        <v>161.58405468510185</v>
      </c>
      <c r="J296" s="85">
        <f>IF(H296,An,'2029'!An_max)</f>
        <v>2029</v>
      </c>
      <c r="K296" s="193">
        <f t="shared" si="104"/>
        <v>47765</v>
      </c>
      <c r="L296" s="143">
        <f>IF(t&lt;Tvie,1-EXP((T0-t)*PertePVj)+'2029'!Pspv,1-EXP((T0-t)*PertePVj)+Pspv)</f>
        <v>4.4705679903510709E-2</v>
      </c>
      <c r="M296" s="835"/>
      <c r="N296" s="835"/>
      <c r="O296" s="48">
        <f>IF(t&lt;Tnet,'2029'!Resal+('2029'!Salim-'2029'!Resal)*(1-EXP(('2029'!Tnet-t)/('2029'!Tau_j))),Resal+(Salim-Resal)*(1-EXP((Tnet-t)/(Tau_j))))*Salcycl</f>
        <v>2.045808927139519E-2</v>
      </c>
      <c r="P296" s="165">
        <f>(INDEX(Models!$BJ296:$BT296,,T296)*(1-R296)+INDEX(Models!$BJ296:$BT296,,T296+1)*R296-ERP_i)*Q296*Ramure*Pc/MaxiM</f>
        <v>1.1583561422743847E-4</v>
      </c>
      <c r="Q296" s="301">
        <f t="shared" si="105"/>
        <v>0.5</v>
      </c>
      <c r="R296" s="173">
        <f t="shared" si="106"/>
        <v>0.96126197790025336</v>
      </c>
      <c r="S296" s="801">
        <f t="shared" si="107"/>
        <v>0</v>
      </c>
      <c r="T296" s="172">
        <f t="shared" si="108"/>
        <v>6</v>
      </c>
      <c r="U296" s="247">
        <f t="shared" si="109"/>
        <v>0.96126197790025336</v>
      </c>
      <c r="V296" s="378">
        <f t="shared" si="110"/>
        <v>157.67075252582501</v>
      </c>
      <c r="W296" s="397">
        <f t="shared" si="111"/>
        <v>151.18539604906542</v>
      </c>
      <c r="X296" s="153">
        <f t="shared" si="112"/>
        <v>47765</v>
      </c>
      <c r="Y296" s="380">
        <f t="shared" si="113"/>
        <v>145.77684510109654</v>
      </c>
      <c r="Z296" s="380">
        <f t="shared" si="114"/>
        <v>152.59888186749856</v>
      </c>
      <c r="AA296" s="381">
        <f t="shared" si="115"/>
        <v>161.46549059286636</v>
      </c>
      <c r="AB296" s="193">
        <f t="shared" si="116"/>
        <v>47765</v>
      </c>
      <c r="AC296" s="119">
        <f>IF(OR(t&lt;Tnet,NoTnet),'2029'!Resal_s+('2029'!Salim-'2029'!Resal_s)*(1-EXP(('2029'!Tnet_s-t)/'2029'!Tau_j)),Resal_s+(Salim-Resal_s)*(1-EXP((Tnet_s-t)/Tau_j)))*Salcycl</f>
        <v>5.4913335925909142E-2</v>
      </c>
      <c r="AD296" s="227">
        <f>(INDEX(Models!$BJ296:$BT296,,AH296)*(1-AF296)+INDEX(Models!$BJ296:$BT296,,AH296+1)*AF296-ERP_i)*AE296*Ramure*Pc/MaxiM</f>
        <v>7.7584186360931458E-4</v>
      </c>
      <c r="AE296" s="301">
        <f t="shared" si="117"/>
        <v>0.5</v>
      </c>
      <c r="AF296" s="173">
        <f t="shared" si="118"/>
        <v>0.48624954427423184</v>
      </c>
      <c r="AG296" s="801">
        <f t="shared" si="124"/>
        <v>4</v>
      </c>
      <c r="AH296" s="172">
        <f t="shared" si="119"/>
        <v>10</v>
      </c>
      <c r="AI296" s="221">
        <f t="shared" si="120"/>
        <v>4.4862495442742318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47766</v>
      </c>
      <c r="B297" s="406">
        <f>'2029'!Wh/'2029'!Env_an*'2030'!Env_an</f>
        <v>120.95621327224201</v>
      </c>
      <c r="C297" s="831"/>
      <c r="D297" s="388">
        <f t="shared" si="102"/>
        <v>126.61843218294929</v>
      </c>
      <c r="E297" s="380">
        <f t="shared" ref="E297:E360" si="125">Wh_pvt/(1-Psa)</f>
        <v>129.27061472116139</v>
      </c>
      <c r="F297" s="380">
        <f t="shared" si="103"/>
        <v>129.28122291509862</v>
      </c>
      <c r="G297" s="110">
        <f t="shared" ref="G297:G360" si="126">+Wh_hp/MaxiM</f>
        <v>0.77328224371734977</v>
      </c>
      <c r="H297" s="409" t="b">
        <f>Wh_hp&gt;='2029'!Maxi_hp</f>
        <v>0</v>
      </c>
      <c r="I297" s="385">
        <f>IF(H297,Wh_hp,'2029'!Maxi_hp)</f>
        <v>129.28384279715198</v>
      </c>
      <c r="J297" s="85">
        <f>IF(H297,An,'2029'!An_max)</f>
        <v>2029</v>
      </c>
      <c r="K297" s="193">
        <f t="shared" si="104"/>
        <v>47766</v>
      </c>
      <c r="L297" s="143">
        <f>IF(t&lt;Tvie,1-EXP((T0-t)*PertePVj)+'2029'!Pspv,1-EXP((T0-t)*PertePVj)+Pspv)</f>
        <v>4.4718757080533189E-2</v>
      </c>
      <c r="M297" s="835"/>
      <c r="N297" s="835"/>
      <c r="O297" s="48">
        <f>IF(t&lt;Tnet,'2029'!Resal+('2029'!Salim-'2029'!Resal)*(1-EXP(('2029'!Tnet-t)/('2029'!Tau_j))),Resal+(Salim-Resal)*(1-EXP((Tnet-t)/(Tau_j))))*Salcycl</f>
        <v>2.0516515249292325E-2</v>
      </c>
      <c r="P297" s="165">
        <f>(INDEX(Models!$BJ297:$BT297,,T297)*(1-R297)+INDEX(Models!$BJ297:$BT297,,T297+1)*R297-ERP_i)*Q297*Ramure*Pc/MaxiM</f>
        <v>1.2135451516081791E-4</v>
      </c>
      <c r="Q297" s="301">
        <f t="shared" si="105"/>
        <v>0.5</v>
      </c>
      <c r="R297" s="173">
        <f t="shared" si="106"/>
        <v>0.96139975435884439</v>
      </c>
      <c r="S297" s="801">
        <f t="shared" si="107"/>
        <v>0</v>
      </c>
      <c r="T297" s="172">
        <f t="shared" si="108"/>
        <v>6</v>
      </c>
      <c r="U297" s="247">
        <f t="shared" si="109"/>
        <v>0.96139975435884439</v>
      </c>
      <c r="V297" s="378">
        <f t="shared" si="110"/>
        <v>156.41308250125977</v>
      </c>
      <c r="W297" s="397">
        <f t="shared" si="111"/>
        <v>120.95621327224201</v>
      </c>
      <c r="X297" s="153">
        <f t="shared" si="112"/>
        <v>47766</v>
      </c>
      <c r="Y297" s="380">
        <f t="shared" si="113"/>
        <v>116.65340537242261</v>
      </c>
      <c r="Z297" s="380">
        <f t="shared" si="114"/>
        <v>122.1142006472505</v>
      </c>
      <c r="AA297" s="381">
        <f t="shared" si="115"/>
        <v>129.21003849737082</v>
      </c>
      <c r="AB297" s="193">
        <f t="shared" si="116"/>
        <v>47766</v>
      </c>
      <c r="AC297" s="119">
        <f>IF(OR(t&lt;Tnet,NoTnet),'2029'!Resal_s+('2029'!Salim-'2029'!Resal_s)*(1-EXP(('2029'!Tnet_s-t)/'2029'!Tau_j)),Resal_s+(Salim-Resal_s)*(1-EXP((Tnet_s-t)/Tau_j)))*Salcycl</f>
        <v>5.491707867778952E-2</v>
      </c>
      <c r="AD297" s="227">
        <f>(INDEX(Models!$BJ297:$BT297,,AH297)*(1-AF297)+INDEX(Models!$BJ297:$BT297,,AH297+1)*AF297-ERP_i)*AE297*Ramure*Pc/MaxiM</f>
        <v>8.1432810820303335E-4</v>
      </c>
      <c r="AE297" s="301">
        <f t="shared" si="117"/>
        <v>0.5</v>
      </c>
      <c r="AF297" s="173">
        <f t="shared" si="118"/>
        <v>0.4863873207328222</v>
      </c>
      <c r="AG297" s="801">
        <f t="shared" si="124"/>
        <v>4</v>
      </c>
      <c r="AH297" s="172">
        <f t="shared" si="119"/>
        <v>10</v>
      </c>
      <c r="AI297" s="221">
        <f t="shared" si="120"/>
        <v>4.4863873207328222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47767</v>
      </c>
      <c r="B298" s="406">
        <f>'2029'!Wh/'2029'!Env_an*'2030'!Env_an</f>
        <v>93.117724036982437</v>
      </c>
      <c r="C298" s="831"/>
      <c r="D298" s="388">
        <f t="shared" si="102"/>
        <v>97.478098149706767</v>
      </c>
      <c r="E298" s="380">
        <f t="shared" si="125"/>
        <v>99.525792537609973</v>
      </c>
      <c r="F298" s="380">
        <f t="shared" si="103"/>
        <v>99.531197155977694</v>
      </c>
      <c r="G298" s="110">
        <f t="shared" si="126"/>
        <v>0.60012306193699849</v>
      </c>
      <c r="H298" s="409" t="b">
        <f>Wh_hp&gt;='2029'!Maxi_hp</f>
        <v>0</v>
      </c>
      <c r="I298" s="385">
        <f>IF(H298,Wh_hp,'2029'!Maxi_hp)</f>
        <v>99.534908703912748</v>
      </c>
      <c r="J298" s="85">
        <f>IF(H298,An,'2029'!An_max)</f>
        <v>2029</v>
      </c>
      <c r="K298" s="193">
        <f t="shared" si="104"/>
        <v>47767</v>
      </c>
      <c r="L298" s="143">
        <f>IF(t&lt;Tvie,1-EXP((T0-t)*PertePVj)+'2029'!Pspv,1-EXP((T0-t)*PertePVj)+Pspv)</f>
        <v>4.4731834078540089E-2</v>
      </c>
      <c r="M298" s="835"/>
      <c r="N298" s="835"/>
      <c r="O298" s="48">
        <f>IF(t&lt;Tnet,'2029'!Resal+('2029'!Salim-'2029'!Resal)*(1-EXP(('2029'!Tnet-t)/('2029'!Tau_j))),Resal+(Salim-Resal)*(1-EXP((Tnet-t)/(Tau_j))))*Salcycl</f>
        <v>2.0574509739567218E-2</v>
      </c>
      <c r="P298" s="165">
        <f>(INDEX(Models!$BJ298:$BT298,,T298)*(1-R298)+INDEX(Models!$BJ298:$BT298,,T298+1)*R298-ERP_i)*Q298*Ramure*Pc/MaxiM</f>
        <v>1.2663147347057271E-4</v>
      </c>
      <c r="Q298" s="301">
        <f t="shared" si="105"/>
        <v>0.5</v>
      </c>
      <c r="R298" s="173">
        <f t="shared" si="106"/>
        <v>0.96153205533221064</v>
      </c>
      <c r="S298" s="801">
        <f t="shared" si="107"/>
        <v>0</v>
      </c>
      <c r="T298" s="172">
        <f t="shared" si="108"/>
        <v>6</v>
      </c>
      <c r="U298" s="247">
        <f t="shared" si="109"/>
        <v>0.96153205533221064</v>
      </c>
      <c r="V298" s="378">
        <f t="shared" si="110"/>
        <v>155.15315825071858</v>
      </c>
      <c r="W298" s="397">
        <f t="shared" si="111"/>
        <v>93.117724036982437</v>
      </c>
      <c r="X298" s="153">
        <f t="shared" si="112"/>
        <v>47767</v>
      </c>
      <c r="Y298" s="380">
        <f t="shared" si="113"/>
        <v>89.824261816622254</v>
      </c>
      <c r="Z298" s="380">
        <f t="shared" si="114"/>
        <v>94.030414726504574</v>
      </c>
      <c r="AA298" s="381">
        <f t="shared" si="115"/>
        <v>99.494660056933014</v>
      </c>
      <c r="AB298" s="193">
        <f t="shared" si="116"/>
        <v>47767</v>
      </c>
      <c r="AC298" s="119">
        <f>IF(OR(t&lt;Tnet,NoTnet),'2029'!Resal_s+('2029'!Salim-'2029'!Resal_s)*(1-EXP(('2029'!Tnet_s-t)/'2029'!Tau_j)),Resal_s+(Salim-Resal_s)*(1-EXP((Tnet_s-t)/Tau_j)))*Salcycl</f>
        <v>5.4919985929915059E-2</v>
      </c>
      <c r="AD298" s="227">
        <f>(INDEX(Models!$BJ298:$BT298,,AH298)*(1-AF298)+INDEX(Models!$BJ298:$BT298,,AH298+1)*AF298-ERP_i)*AE298*Ramure*Pc/MaxiM</f>
        <v>8.5607278323460406E-4</v>
      </c>
      <c r="AE298" s="301">
        <f t="shared" si="117"/>
        <v>0.5</v>
      </c>
      <c r="AF298" s="173">
        <f t="shared" si="118"/>
        <v>0.48651962170618912</v>
      </c>
      <c r="AG298" s="801">
        <f t="shared" si="124"/>
        <v>4</v>
      </c>
      <c r="AH298" s="172">
        <f t="shared" si="119"/>
        <v>10</v>
      </c>
      <c r="AI298" s="221">
        <f t="shared" si="120"/>
        <v>4.4865196217061891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47768</v>
      </c>
      <c r="B299" s="406">
        <f>'2029'!Wh/'2029'!Env_an*'2030'!Env_an</f>
        <v>116.95802778402594</v>
      </c>
      <c r="C299" s="831"/>
      <c r="D299" s="388">
        <f t="shared" si="102"/>
        <v>122.43643516614688</v>
      </c>
      <c r="E299" s="380">
        <f t="shared" si="125"/>
        <v>125.01576960818095</v>
      </c>
      <c r="F299" s="380">
        <f t="shared" si="103"/>
        <v>125.02658706566709</v>
      </c>
      <c r="G299" s="110">
        <f t="shared" si="126"/>
        <v>0.75996890972259157</v>
      </c>
      <c r="H299" s="409" t="b">
        <f>Wh_hp&gt;='2029'!Maxi_hp</f>
        <v>0</v>
      </c>
      <c r="I299" s="385">
        <f>IF(H299,Wh_hp,'2029'!Maxi_hp)</f>
        <v>125.02949623795888</v>
      </c>
      <c r="J299" s="85">
        <f>IF(H299,An,'2029'!An_max)</f>
        <v>2029</v>
      </c>
      <c r="K299" s="193">
        <f t="shared" si="104"/>
        <v>47768</v>
      </c>
      <c r="L299" s="143">
        <f>IF(t&lt;Tvie,1-EXP((T0-t)*PertePVj)+'2029'!Pspv,1-EXP((T0-t)*PertePVj)+Pspv)</f>
        <v>4.4744910897533963E-2</v>
      </c>
      <c r="M299" s="835"/>
      <c r="N299" s="835"/>
      <c r="O299" s="48">
        <f>IF(t&lt;Tnet,'2029'!Resal+('2029'!Salim-'2029'!Resal)*(1-EXP(('2029'!Tnet-t)/('2029'!Tau_j))),Resal+(Salim-Resal)*(1-EXP((Tnet-t)/(Tau_j))))*Salcycl</f>
        <v>2.0632072658658233E-2</v>
      </c>
      <c r="P299" s="165">
        <f>(INDEX(Models!$BJ299:$BT299,,T299)*(1-R299)+INDEX(Models!$BJ299:$BT299,,T299+1)*R299-ERP_i)*Q299*Ramure*Pc/MaxiM</f>
        <v>1.3166186102564256E-4</v>
      </c>
      <c r="Q299" s="301">
        <f t="shared" si="105"/>
        <v>0.5</v>
      </c>
      <c r="R299" s="173">
        <f t="shared" si="106"/>
        <v>0.96165909566711216</v>
      </c>
      <c r="S299" s="801">
        <f t="shared" si="107"/>
        <v>0</v>
      </c>
      <c r="T299" s="172">
        <f t="shared" si="108"/>
        <v>6</v>
      </c>
      <c r="U299" s="247">
        <f t="shared" si="109"/>
        <v>0.96165909566711216</v>
      </c>
      <c r="V299" s="378">
        <f t="shared" si="110"/>
        <v>153.89148986881244</v>
      </c>
      <c r="W299" s="397">
        <f t="shared" si="111"/>
        <v>116.95802778402594</v>
      </c>
      <c r="X299" s="153">
        <f t="shared" si="112"/>
        <v>47768</v>
      </c>
      <c r="Y299" s="380">
        <f t="shared" si="113"/>
        <v>112.80597781199053</v>
      </c>
      <c r="Z299" s="380">
        <f t="shared" si="114"/>
        <v>118.08989985908396</v>
      </c>
      <c r="AA299" s="381">
        <f t="shared" si="115"/>
        <v>124.95255183321601</v>
      </c>
      <c r="AB299" s="193">
        <f t="shared" si="116"/>
        <v>47768</v>
      </c>
      <c r="AC299" s="119">
        <f>IF(OR(t&lt;Tnet,NoTnet),'2029'!Resal_s+('2029'!Salim-'2029'!Resal_s)*(1-EXP(('2029'!Tnet_s-t)/'2029'!Tau_j)),Resal_s+(Salim-Resal_s)*(1-EXP((Tnet_s-t)/Tau_j)))*Salcycl</f>
        <v>5.4922063402852148E-2</v>
      </c>
      <c r="AD299" s="227">
        <f>(INDEX(Models!$BJ299:$BT299,,AH299)*(1-AF299)+INDEX(Models!$BJ299:$BT299,,AH299+1)*AF299-ERP_i)*AE299*Ramure*Pc/MaxiM</f>
        <v>9.0110051261655234E-4</v>
      </c>
      <c r="AE299" s="301">
        <f t="shared" si="117"/>
        <v>0.5</v>
      </c>
      <c r="AF299" s="173">
        <f t="shared" si="118"/>
        <v>0.48664666204109075</v>
      </c>
      <c r="AG299" s="801">
        <f t="shared" si="124"/>
        <v>4</v>
      </c>
      <c r="AH299" s="172">
        <f t="shared" si="119"/>
        <v>10</v>
      </c>
      <c r="AI299" s="221">
        <f t="shared" si="120"/>
        <v>4.4866466620410907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47769</v>
      </c>
      <c r="B300" s="406">
        <f>'2029'!Wh/'2029'!Env_an*'2030'!Env_an</f>
        <v>90.425684122700176</v>
      </c>
      <c r="C300" s="831"/>
      <c r="D300" s="388">
        <f t="shared" si="102"/>
        <v>94.662591199894109</v>
      </c>
      <c r="E300" s="380">
        <f t="shared" si="125"/>
        <v>96.662460659499374</v>
      </c>
      <c r="F300" s="380">
        <f t="shared" si="103"/>
        <v>96.667971146441161</v>
      </c>
      <c r="G300" s="110">
        <f t="shared" si="126"/>
        <v>0.5924086850674215</v>
      </c>
      <c r="H300" s="409" t="b">
        <f>Wh_hp&gt;='2029'!Maxi_hp</f>
        <v>0</v>
      </c>
      <c r="I300" s="385">
        <f>IF(H300,Wh_hp,'2029'!Maxi_hp)</f>
        <v>96.671928636693281</v>
      </c>
      <c r="J300" s="85">
        <f>IF(H300,An,'2029'!An_max)</f>
        <v>2029</v>
      </c>
      <c r="K300" s="193">
        <f t="shared" si="104"/>
        <v>47769</v>
      </c>
      <c r="L300" s="143">
        <f>IF(t&lt;Tvie,1-EXP((T0-t)*PertePVj)+'2029'!Pspv,1-EXP((T0-t)*PertePVj)+Pspv)</f>
        <v>4.475798753751703E-2</v>
      </c>
      <c r="M300" s="835"/>
      <c r="N300" s="835"/>
      <c r="O300" s="48">
        <f>IF(t&lt;Tnet,'2029'!Resal+('2029'!Salim-'2029'!Resal)*(1-EXP(('2029'!Tnet-t)/('2029'!Tau_j))),Resal+(Salim-Resal)*(1-EXP((Tnet-t)/(Tau_j))))*Salcycl</f>
        <v>2.0689204950512803E-2</v>
      </c>
      <c r="P300" s="165">
        <f>(INDEX(Models!$BJ300:$BT300,,T300)*(1-R300)+INDEX(Models!$BJ300:$BT300,,T300+1)*R300-ERP_i)*Q300*Ramure*Pc/MaxiM</f>
        <v>1.3644111144155564E-4</v>
      </c>
      <c r="Q300" s="301">
        <f t="shared" si="105"/>
        <v>0.5</v>
      </c>
      <c r="R300" s="173">
        <f t="shared" si="106"/>
        <v>0.96178108199670631</v>
      </c>
      <c r="S300" s="801">
        <f t="shared" si="107"/>
        <v>0</v>
      </c>
      <c r="T300" s="172">
        <f t="shared" si="108"/>
        <v>6</v>
      </c>
      <c r="U300" s="247">
        <f t="shared" si="109"/>
        <v>0.96178108199670631</v>
      </c>
      <c r="V300" s="378">
        <f t="shared" si="110"/>
        <v>152.62858709104097</v>
      </c>
      <c r="W300" s="397">
        <f t="shared" si="111"/>
        <v>90.425684122700176</v>
      </c>
      <c r="X300" s="153">
        <f t="shared" si="112"/>
        <v>47769</v>
      </c>
      <c r="Y300" s="380">
        <f t="shared" si="113"/>
        <v>87.234999124335516</v>
      </c>
      <c r="Z300" s="380">
        <f t="shared" si="114"/>
        <v>91.322406244942727</v>
      </c>
      <c r="AA300" s="381">
        <f t="shared" si="115"/>
        <v>96.629626066258908</v>
      </c>
      <c r="AB300" s="193">
        <f t="shared" si="116"/>
        <v>47769</v>
      </c>
      <c r="AC300" s="119">
        <f>IF(OR(t&lt;Tnet,NoTnet),'2029'!Resal_s+('2029'!Salim-'2029'!Resal_s)*(1-EXP(('2029'!Tnet_s-t)/'2029'!Tau_j)),Resal_s+(Salim-Resal_s)*(1-EXP((Tnet_s-t)/Tau_j)))*Salcycl</f>
        <v>5.4923319455640114E-2</v>
      </c>
      <c r="AD300" s="227">
        <f>(INDEX(Models!$BJ300:$BT300,,AH300)*(1-AF300)+INDEX(Models!$BJ300:$BT300,,AH300+1)*AF300-ERP_i)*AE300*Ramure*Pc/MaxiM</f>
        <v>9.4943430837528806E-4</v>
      </c>
      <c r="AE300" s="301">
        <f t="shared" si="117"/>
        <v>0.5</v>
      </c>
      <c r="AF300" s="173">
        <f t="shared" si="118"/>
        <v>0.48676864837068479</v>
      </c>
      <c r="AG300" s="801">
        <f t="shared" si="124"/>
        <v>4</v>
      </c>
      <c r="AH300" s="172">
        <f t="shared" si="119"/>
        <v>10</v>
      </c>
      <c r="AI300" s="221">
        <f t="shared" si="120"/>
        <v>4.4867686483706848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47770</v>
      </c>
      <c r="B301" s="406">
        <f>'2029'!Wh/'2029'!Env_an*'2030'!Env_an</f>
        <v>80.587717632274462</v>
      </c>
      <c r="C301" s="831"/>
      <c r="D301" s="388">
        <f t="shared" si="102"/>
        <v>84.364820405887741</v>
      </c>
      <c r="E301" s="380">
        <f t="shared" si="125"/>
        <v>86.15212450926181</v>
      </c>
      <c r="F301" s="380">
        <f t="shared" si="103"/>
        <v>86.156156758877941</v>
      </c>
      <c r="G301" s="110">
        <f t="shared" si="126"/>
        <v>0.53235655904286905</v>
      </c>
      <c r="H301" s="409" t="b">
        <f>Wh_hp&gt;='2029'!Maxi_hp</f>
        <v>0</v>
      </c>
      <c r="I301" s="385">
        <f>IF(H301,Wh_hp,'2029'!Maxi_hp)</f>
        <v>86.160337022132481</v>
      </c>
      <c r="J301" s="85">
        <f>IF(H301,An,'2029'!An_max)</f>
        <v>2029</v>
      </c>
      <c r="K301" s="193">
        <f t="shared" si="104"/>
        <v>47770</v>
      </c>
      <c r="L301" s="143">
        <f>IF(t&lt;Tvie,1-EXP((T0-t)*PertePVj)+'2029'!Pspv,1-EXP((T0-t)*PertePVj)+Pspv)</f>
        <v>4.4771063998491956E-2</v>
      </c>
      <c r="M301" s="835"/>
      <c r="N301" s="835"/>
      <c r="O301" s="48">
        <f>IF(t&lt;Tnet,'2029'!Resal+('2029'!Salim-'2029'!Resal)*(1-EXP(('2029'!Tnet-t)/('2029'!Tau_j))),Resal+(Salim-Resal)*(1-EXP((Tnet-t)/(Tau_j))))*Salcycl</f>
        <v>2.0745908630284832E-2</v>
      </c>
      <c r="P301" s="165">
        <f>(INDEX(Models!$BJ301:$BT301,,T301)*(1-R301)+INDEX(Models!$BJ301:$BT301,,T301+1)*R301-ERP_i)*Q301*Ramure*Pc/MaxiM</f>
        <v>1.4096474101036476E-4</v>
      </c>
      <c r="Q301" s="301">
        <f t="shared" si="105"/>
        <v>0.5</v>
      </c>
      <c r="R301" s="173">
        <f t="shared" si="106"/>
        <v>0.96189821303748713</v>
      </c>
      <c r="S301" s="801">
        <f t="shared" si="107"/>
        <v>0</v>
      </c>
      <c r="T301" s="172">
        <f t="shared" si="108"/>
        <v>6</v>
      </c>
      <c r="U301" s="247">
        <f t="shared" si="109"/>
        <v>0.96189821303748713</v>
      </c>
      <c r="V301" s="378">
        <f t="shared" si="110"/>
        <v>151.36495929112075</v>
      </c>
      <c r="W301" s="397">
        <f t="shared" si="111"/>
        <v>80.587717632274462</v>
      </c>
      <c r="X301" s="153">
        <f t="shared" si="112"/>
        <v>47770</v>
      </c>
      <c r="Y301" s="380">
        <f t="shared" si="113"/>
        <v>77.752839463484094</v>
      </c>
      <c r="Z301" s="380">
        <f t="shared" si="114"/>
        <v>81.397073029372038</v>
      </c>
      <c r="AA301" s="381">
        <f t="shared" si="115"/>
        <v>86.127520753571517</v>
      </c>
      <c r="AB301" s="193">
        <f t="shared" si="116"/>
        <v>47770</v>
      </c>
      <c r="AC301" s="119">
        <f>IF(OR(t&lt;Tnet,NoTnet),'2029'!Resal_s+('2029'!Salim-'2029'!Resal_s)*(1-EXP(('2029'!Tnet_s-t)/'2029'!Tau_j)),Resal_s+(Salim-Resal_s)*(1-EXP((Tnet_s-t)/Tau_j)))*Salcycl</f>
        <v>5.4923765166006201E-2</v>
      </c>
      <c r="AD301" s="227">
        <f>(INDEX(Models!$BJ301:$BT301,,AH301)*(1-AF301)+INDEX(Models!$BJ301:$BT301,,AH301+1)*AF301-ERP_i)*AE301*Ramure*Pc/MaxiM</f>
        <v>1.001095531248316E-3</v>
      </c>
      <c r="AE301" s="301">
        <f t="shared" si="117"/>
        <v>0.5</v>
      </c>
      <c r="AF301" s="173">
        <f t="shared" si="118"/>
        <v>0.48688577941146516</v>
      </c>
      <c r="AG301" s="801">
        <f t="shared" si="124"/>
        <v>4</v>
      </c>
      <c r="AH301" s="172">
        <f t="shared" si="119"/>
        <v>10</v>
      </c>
      <c r="AI301" s="221">
        <f t="shared" si="120"/>
        <v>4.4868857794114652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47771</v>
      </c>
      <c r="B302" s="406">
        <f>'2029'!Wh/'2029'!Env_an*'2030'!Env_an</f>
        <v>147.21124437105192</v>
      </c>
      <c r="C302" s="831"/>
      <c r="D302" s="388">
        <f t="shared" si="102"/>
        <v>154.11306551618043</v>
      </c>
      <c r="E302" s="380">
        <f t="shared" si="125"/>
        <v>157.38706055333779</v>
      </c>
      <c r="F302" s="380">
        <f t="shared" si="103"/>
        <v>157.40929209760472</v>
      </c>
      <c r="G302" s="110">
        <f t="shared" si="126"/>
        <v>0.98074325294230136</v>
      </c>
      <c r="H302" s="409" t="b">
        <f>Wh_hp&gt;='2029'!Maxi_hp</f>
        <v>0</v>
      </c>
      <c r="I302" s="385">
        <f>IF(H302,Wh_hp,'2029'!Maxi_hp)</f>
        <v>157.40961603397284</v>
      </c>
      <c r="J302" s="85">
        <f>IF(H302,An,'2029'!An_max)</f>
        <v>2029</v>
      </c>
      <c r="K302" s="193">
        <f t="shared" si="104"/>
        <v>47771</v>
      </c>
      <c r="L302" s="143">
        <f>IF(t&lt;Tvie,1-EXP((T0-t)*PertePVj)+'2029'!Pspv,1-EXP((T0-t)*PertePVj)+Pspv)</f>
        <v>4.4784140280461071E-2</v>
      </c>
      <c r="M302" s="835"/>
      <c r="N302" s="835"/>
      <c r="O302" s="48">
        <f>IF(t&lt;Tnet,'2029'!Resal+('2029'!Salim-'2029'!Resal)*(1-EXP(('2029'!Tnet-t)/('2029'!Tau_j))),Resal+(Salim-Resal)*(1-EXP((Tnet-t)/(Tau_j))))*Salcycl</f>
        <v>2.0802186823025575E-2</v>
      </c>
      <c r="P302" s="165">
        <f>(INDEX(Models!$BJ302:$BT302,,T302)*(1-R302)+INDEX(Models!$BJ302:$BT302,,T302+1)*R302-ERP_i)*Q302*Ramure*Pc/MaxiM</f>
        <v>1.4522836903598893E-4</v>
      </c>
      <c r="Q302" s="301">
        <f t="shared" si="105"/>
        <v>0.5</v>
      </c>
      <c r="R302" s="173">
        <f t="shared" si="106"/>
        <v>0.96201067987685307</v>
      </c>
      <c r="S302" s="801">
        <f t="shared" si="107"/>
        <v>0</v>
      </c>
      <c r="T302" s="172">
        <f t="shared" si="108"/>
        <v>6</v>
      </c>
      <c r="U302" s="247">
        <f t="shared" si="109"/>
        <v>0.96201067987685307</v>
      </c>
      <c r="V302" s="378">
        <f t="shared" si="110"/>
        <v>150.10111548623996</v>
      </c>
      <c r="W302" s="397">
        <f t="shared" si="111"/>
        <v>147.21124437105192</v>
      </c>
      <c r="X302" s="153">
        <f t="shared" si="112"/>
        <v>47771</v>
      </c>
      <c r="Y302" s="380">
        <f t="shared" si="113"/>
        <v>141.95562942150909</v>
      </c>
      <c r="Z302" s="380">
        <f t="shared" si="114"/>
        <v>148.6110474162235</v>
      </c>
      <c r="AA302" s="381">
        <f t="shared" si="115"/>
        <v>157.24762382224478</v>
      </c>
      <c r="AB302" s="193">
        <f t="shared" si="116"/>
        <v>47771</v>
      </c>
      <c r="AC302" s="119">
        <f>IF(OR(t&lt;Tnet,NoTnet),'2029'!Resal_s+('2029'!Salim-'2029'!Resal_s)*(1-EXP(('2029'!Tnet_s-t)/'2029'!Tau_j)),Resal_s+(Salim-Resal_s)*(1-EXP((Tnet_s-t)/Tau_j)))*Salcycl</f>
        <v>5.4923414396291212E-2</v>
      </c>
      <c r="AD302" s="227">
        <f>(INDEX(Models!$BJ302:$BT302,,AH302)*(1-AF302)+INDEX(Models!$BJ302:$BT302,,AH302+1)*AF302-ERP_i)*AE302*Ramure*Pc/MaxiM</f>
        <v>1.0561038708553671E-3</v>
      </c>
      <c r="AE302" s="301">
        <f t="shared" si="117"/>
        <v>0.5</v>
      </c>
      <c r="AF302" s="173">
        <f t="shared" si="118"/>
        <v>0.4869982462508311</v>
      </c>
      <c r="AG302" s="801">
        <f t="shared" si="124"/>
        <v>4</v>
      </c>
      <c r="AH302" s="172">
        <f t="shared" si="119"/>
        <v>10</v>
      </c>
      <c r="AI302" s="221">
        <f t="shared" si="120"/>
        <v>4.4869982462508311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47772</v>
      </c>
      <c r="B303" s="406">
        <f>'2029'!Wh/'2029'!Env_an*'2030'!Env_an</f>
        <v>131.98357558513453</v>
      </c>
      <c r="C303" s="831"/>
      <c r="D303" s="388">
        <f t="shared" si="102"/>
        <v>138.17335737383479</v>
      </c>
      <c r="E303" s="380">
        <f t="shared" si="125"/>
        <v>141.11677729513249</v>
      </c>
      <c r="F303" s="380">
        <f t="shared" si="103"/>
        <v>141.13443248812968</v>
      </c>
      <c r="G303" s="110">
        <f t="shared" si="126"/>
        <v>0.88676194223745619</v>
      </c>
      <c r="H303" s="409" t="b">
        <f>Wh_hp&gt;='2029'!Maxi_hp</f>
        <v>0</v>
      </c>
      <c r="I303" s="385">
        <f>IF(H303,Wh_hp,'2029'!Maxi_hp)</f>
        <v>141.13618721344673</v>
      </c>
      <c r="J303" s="85">
        <f>IF(H303,An,'2029'!An_max)</f>
        <v>2029</v>
      </c>
      <c r="K303" s="193">
        <f t="shared" si="104"/>
        <v>47772</v>
      </c>
      <c r="L303" s="143">
        <f>IF(t&lt;Tvie,1-EXP((T0-t)*PertePVj)+'2029'!Pspv,1-EXP((T0-t)*PertePVj)+Pspv)</f>
        <v>4.479721638342693E-2</v>
      </c>
      <c r="M303" s="835"/>
      <c r="N303" s="835"/>
      <c r="O303" s="48">
        <f>IF(t&lt;Tnet,'2029'!Resal+('2029'!Salim-'2029'!Resal)*(1-EXP(('2029'!Tnet-t)/('2029'!Tau_j))),Resal+(Salim-Resal)*(1-EXP((Tnet-t)/(Tau_j))))*Salcycl</f>
        <v>2.0858043796888902E-2</v>
      </c>
      <c r="P303" s="165">
        <f>(INDEX(Models!$BJ303:$BT303,,T303)*(1-R303)+INDEX(Models!$BJ303:$BT303,,T303+1)*R303-ERP_i)*Q303*Ramure*Pc/MaxiM</f>
        <v>1.4923123974812079E-4</v>
      </c>
      <c r="Q303" s="301">
        <f t="shared" si="105"/>
        <v>0.5</v>
      </c>
      <c r="R303" s="173">
        <f t="shared" si="106"/>
        <v>0.96211866625148612</v>
      </c>
      <c r="S303" s="801">
        <f t="shared" si="107"/>
        <v>0</v>
      </c>
      <c r="T303" s="172">
        <f t="shared" si="108"/>
        <v>6</v>
      </c>
      <c r="U303" s="247">
        <f t="shared" si="109"/>
        <v>0.96211866625148612</v>
      </c>
      <c r="V303" s="378">
        <f t="shared" si="110"/>
        <v>148.83407067373156</v>
      </c>
      <c r="W303" s="397">
        <f t="shared" si="111"/>
        <v>131.98357558513453</v>
      </c>
      <c r="X303" s="153">
        <f t="shared" si="112"/>
        <v>47772</v>
      </c>
      <c r="Y303" s="380">
        <f t="shared" si="113"/>
        <v>127.2887894673753</v>
      </c>
      <c r="Z303" s="380">
        <f t="shared" si="114"/>
        <v>133.2583946054225</v>
      </c>
      <c r="AA303" s="381">
        <f t="shared" si="115"/>
        <v>141.00257822970462</v>
      </c>
      <c r="AB303" s="193">
        <f t="shared" si="116"/>
        <v>47772</v>
      </c>
      <c r="AC303" s="119">
        <f>IF(OR(t&lt;Tnet,NoTnet),'2029'!Resal_s+('2029'!Salim-'2029'!Resal_s)*(1-EXP(('2029'!Tnet_s-t)/'2029'!Tau_j)),Resal_s+(Salim-Resal_s)*(1-EXP((Tnet_s-t)/Tau_j)))*Salcycl</f>
        <v>5.4922283844102568E-2</v>
      </c>
      <c r="AD303" s="227">
        <f>(INDEX(Models!$BJ303:$BT303,,AH303)*(1-AF303)+INDEX(Models!$BJ303:$BT303,,AH303+1)*AF303-ERP_i)*AE303*Ramure*Pc/MaxiM</f>
        <v>1.1145035035277048E-3</v>
      </c>
      <c r="AE303" s="301">
        <f t="shared" si="117"/>
        <v>0.5</v>
      </c>
      <c r="AF303" s="173">
        <f t="shared" si="118"/>
        <v>0.48710623262546449</v>
      </c>
      <c r="AG303" s="801">
        <f t="shared" si="124"/>
        <v>4</v>
      </c>
      <c r="AH303" s="172">
        <f t="shared" si="119"/>
        <v>10</v>
      </c>
      <c r="AI303" s="221">
        <f t="shared" si="120"/>
        <v>4.4871062326254645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47773</v>
      </c>
      <c r="B304" s="406">
        <f>'2029'!Wh/'2029'!Env_an*'2030'!Env_an</f>
        <v>84.580379370563008</v>
      </c>
      <c r="C304" s="831"/>
      <c r="D304" s="388">
        <f t="shared" si="102"/>
        <v>88.548252445975919</v>
      </c>
      <c r="E304" s="380">
        <f t="shared" si="125"/>
        <v>90.439660937530306</v>
      </c>
      <c r="F304" s="380">
        <f t="shared" si="103"/>
        <v>90.44513645847718</v>
      </c>
      <c r="G304" s="110">
        <f t="shared" si="126"/>
        <v>0.57313556394654641</v>
      </c>
      <c r="H304" s="409" t="b">
        <f>Wh_hp&gt;='2029'!Maxi_hp</f>
        <v>0</v>
      </c>
      <c r="I304" s="385">
        <f>IF(H304,Wh_hp,'2029'!Maxi_hp)</f>
        <v>90.449542221699417</v>
      </c>
      <c r="J304" s="85">
        <f>IF(H304,An,'2029'!An_max)</f>
        <v>2029</v>
      </c>
      <c r="K304" s="193">
        <f t="shared" si="104"/>
        <v>47773</v>
      </c>
      <c r="L304" s="143">
        <f>IF(t&lt;Tvie,1-EXP((T0-t)*PertePVj)+'2029'!Pspv,1-EXP((T0-t)*PertePVj)+Pspv)</f>
        <v>4.4810292307391864E-2</v>
      </c>
      <c r="M304" s="835"/>
      <c r="N304" s="835"/>
      <c r="O304" s="48">
        <f>IF(t&lt;Tnet,'2029'!Resal+('2029'!Salim-'2029'!Resal)*(1-EXP(('2029'!Tnet-t)/('2029'!Tau_j))),Resal+(Salim-Resal)*(1-EXP((Tnet-t)/(Tau_j))))*Salcycl</f>
        <v>2.0913484990405396E-2</v>
      </c>
      <c r="P304" s="165">
        <f>(INDEX(Models!$BJ304:$BT304,,T304)*(1-R304)+INDEX(Models!$BJ304:$BT304,,T304+1)*R304-ERP_i)*Q304*Ramure*Pc/MaxiM</f>
        <v>1.5512215037967307E-4</v>
      </c>
      <c r="Q304" s="301">
        <f t="shared" si="105"/>
        <v>0.5</v>
      </c>
      <c r="R304" s="173">
        <f t="shared" si="106"/>
        <v>0.96222234881673097</v>
      </c>
      <c r="S304" s="801">
        <f t="shared" si="107"/>
        <v>0</v>
      </c>
      <c r="T304" s="172">
        <f t="shared" si="108"/>
        <v>6</v>
      </c>
      <c r="U304" s="247">
        <f t="shared" si="109"/>
        <v>0.96222234881673097</v>
      </c>
      <c r="V304" s="378">
        <f t="shared" si="110"/>
        <v>147.56086410671622</v>
      </c>
      <c r="W304" s="397">
        <f t="shared" si="111"/>
        <v>84.580379370563008</v>
      </c>
      <c r="X304" s="153">
        <f t="shared" si="112"/>
        <v>47773</v>
      </c>
      <c r="Y304" s="380">
        <f t="shared" si="113"/>
        <v>81.609775650323868</v>
      </c>
      <c r="Z304" s="380">
        <f t="shared" si="114"/>
        <v>85.438290418207586</v>
      </c>
      <c r="AA304" s="381">
        <f t="shared" si="115"/>
        <v>90.40327374787195</v>
      </c>
      <c r="AB304" s="193">
        <f t="shared" si="116"/>
        <v>47773</v>
      </c>
      <c r="AC304" s="119">
        <f>IF(OR(t&lt;Tnet,NoTnet),'2029'!Resal_s+('2029'!Salim-'2029'!Resal_s)*(1-EXP(('2029'!Tnet_s-t)/'2029'!Tau_j)),Resal_s+(Salim-Resal_s)*(1-EXP((Tnet_s-t)/Tau_j)))*Salcycl</f>
        <v>5.4920393076818633E-2</v>
      </c>
      <c r="AD304" s="227">
        <f>(INDEX(Models!$BJ304:$BT304,,AH304)*(1-AF304)+INDEX(Models!$BJ304:$BT304,,AH304+1)*AF304-ERP_i)*AE304*Ramure*Pc/MaxiM</f>
        <v>1.185975499466354E-3</v>
      </c>
      <c r="AE304" s="301">
        <f t="shared" si="117"/>
        <v>0.5</v>
      </c>
      <c r="AF304" s="173">
        <f t="shared" si="118"/>
        <v>0.487209915190709</v>
      </c>
      <c r="AG304" s="801">
        <f t="shared" si="124"/>
        <v>4</v>
      </c>
      <c r="AH304" s="172">
        <f t="shared" si="119"/>
        <v>10</v>
      </c>
      <c r="AI304" s="221">
        <f t="shared" si="120"/>
        <v>4.487209915190709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47774</v>
      </c>
      <c r="B305" s="406">
        <f>'2029'!Wh/'2029'!Env_an*'2030'!Env_an</f>
        <v>135.02925478971827</v>
      </c>
      <c r="C305" s="831"/>
      <c r="D305" s="388">
        <f t="shared" si="102"/>
        <v>141.36574354251994</v>
      </c>
      <c r="E305" s="380">
        <f t="shared" si="125"/>
        <v>144.39346027378502</v>
      </c>
      <c r="F305" s="380">
        <f t="shared" si="103"/>
        <v>144.41439345634723</v>
      </c>
      <c r="G305" s="110">
        <f t="shared" si="126"/>
        <v>0.92305510671802848</v>
      </c>
      <c r="H305" s="409" t="b">
        <f>Wh_hp&gt;='2029'!Maxi_hp</f>
        <v>0</v>
      </c>
      <c r="I305" s="385">
        <f>IF(H305,Wh_hp,'2029'!Maxi_hp)</f>
        <v>144.41572444095902</v>
      </c>
      <c r="J305" s="85">
        <f>IF(H305,An,'2029'!An_max)</f>
        <v>2029</v>
      </c>
      <c r="K305" s="193">
        <f t="shared" si="104"/>
        <v>47774</v>
      </c>
      <c r="L305" s="143">
        <f>IF(t&lt;Tvie,1-EXP((T0-t)*PertePVj)+'2029'!Pspv,1-EXP((T0-t)*PertePVj)+Pspv)</f>
        <v>4.4823368052358425E-2</v>
      </c>
      <c r="M305" s="835"/>
      <c r="N305" s="835"/>
      <c r="O305" s="48">
        <f>IF(t&lt;Tnet,'2029'!Resal+('2029'!Salim-'2029'!Resal)*(1-EXP(('2029'!Tnet-t)/('2029'!Tau_j))),Resal+(Salim-Resal)*(1-EXP((Tnet-t)/(Tau_j))))*Salcycl</f>
        <v>2.096851703341843E-2</v>
      </c>
      <c r="P305" s="165">
        <f>(INDEX(Models!$BJ305:$BT305,,T305)*(1-R305)+INDEX(Models!$BJ305:$BT305,,T305+1)*R305-ERP_i)*Q305*Ramure*Pc/MaxiM</f>
        <v>1.6284890546858327E-4</v>
      </c>
      <c r="Q305" s="301">
        <f t="shared" si="105"/>
        <v>0.5</v>
      </c>
      <c r="R305" s="173">
        <f t="shared" si="106"/>
        <v>0.96232189740717144</v>
      </c>
      <c r="S305" s="801">
        <f t="shared" si="107"/>
        <v>0</v>
      </c>
      <c r="T305" s="172">
        <f t="shared" si="108"/>
        <v>6</v>
      </c>
      <c r="U305" s="247">
        <f t="shared" si="109"/>
        <v>0.96232189740717144</v>
      </c>
      <c r="V305" s="378">
        <f t="shared" si="110"/>
        <v>146.28253164568545</v>
      </c>
      <c r="W305" s="397">
        <f t="shared" si="111"/>
        <v>135.02925478971827</v>
      </c>
      <c r="X305" s="153">
        <f t="shared" si="112"/>
        <v>47774</v>
      </c>
      <c r="Y305" s="380">
        <f t="shared" si="113"/>
        <v>130.21833977384657</v>
      </c>
      <c r="Z305" s="380">
        <f t="shared" si="114"/>
        <v>136.32906775401992</v>
      </c>
      <c r="AA305" s="381">
        <f t="shared" si="115"/>
        <v>144.25101080118108</v>
      </c>
      <c r="AB305" s="193">
        <f t="shared" si="116"/>
        <v>47774</v>
      </c>
      <c r="AC305" s="119">
        <f>IF(OR(t&lt;Tnet,NoTnet),'2029'!Resal_s+('2029'!Salim-'2029'!Resal_s)*(1-EXP(('2029'!Tnet_s-t)/'2029'!Tau_j)),Resal_s+(Salim-Resal_s)*(1-EXP((Tnet_s-t)/Tau_j)))*Salcycl</f>
        <v>5.4917764549184664E-2</v>
      </c>
      <c r="AD305" s="227">
        <f>(INDEX(Models!$BJ305:$BT305,,AH305)*(1-AF305)+INDEX(Models!$BJ305:$BT305,,AH305+1)*AF305-ERP_i)*AE305*Ramure*Pc/MaxiM</f>
        <v>1.2710292134177135E-3</v>
      </c>
      <c r="AE305" s="301">
        <f t="shared" si="117"/>
        <v>0.5</v>
      </c>
      <c r="AF305" s="173">
        <f t="shared" si="118"/>
        <v>0.48730946378114925</v>
      </c>
      <c r="AG305" s="801">
        <f t="shared" si="124"/>
        <v>4</v>
      </c>
      <c r="AH305" s="172">
        <f t="shared" si="119"/>
        <v>10</v>
      </c>
      <c r="AI305" s="221">
        <f t="shared" si="120"/>
        <v>4.4873094637811493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47775</v>
      </c>
      <c r="B306" s="406">
        <f>'2029'!Wh/'2029'!Env_an*'2030'!Env_an</f>
        <v>59.600259573456228</v>
      </c>
      <c r="C306" s="831"/>
      <c r="D306" s="388">
        <f t="shared" si="102"/>
        <v>62.397962291644149</v>
      </c>
      <c r="E306" s="380">
        <f t="shared" si="125"/>
        <v>63.737934302486515</v>
      </c>
      <c r="F306" s="380">
        <f t="shared" si="103"/>
        <v>63.739677651615359</v>
      </c>
      <c r="G306" s="110">
        <f t="shared" si="126"/>
        <v>0.41097636021929762</v>
      </c>
      <c r="H306" s="409" t="b">
        <f>Wh_hp&gt;='2029'!Maxi_hp</f>
        <v>0</v>
      </c>
      <c r="I306" s="385">
        <f>IF(H306,Wh_hp,'2029'!Maxi_hp)</f>
        <v>63.744439004631843</v>
      </c>
      <c r="J306" s="85">
        <f>IF(H306,An,'2029'!An_max)</f>
        <v>2029</v>
      </c>
      <c r="K306" s="193">
        <f t="shared" si="104"/>
        <v>47775</v>
      </c>
      <c r="L306" s="143">
        <f>IF(t&lt;Tvie,1-EXP((T0-t)*PertePVj)+'2029'!Pspv,1-EXP((T0-t)*PertePVj)+Pspv)</f>
        <v>4.4836443618328947E-2</v>
      </c>
      <c r="M306" s="835"/>
      <c r="N306" s="835"/>
      <c r="O306" s="48">
        <f>IF(t&lt;Tnet,'2029'!Resal+('2029'!Salim-'2029'!Resal)*(1-EXP(('2029'!Tnet-t)/('2029'!Tau_j))),Resal+(Salim-Resal)*(1-EXP((Tnet-t)/(Tau_j))))*Salcycl</f>
        <v>2.1023147761318178E-2</v>
      </c>
      <c r="P306" s="165">
        <f>(INDEX(Models!$BJ306:$BT306,,T306)*(1-R306)+INDEX(Models!$BJ306:$BT306,,T306+1)*R306-ERP_i)*Q306*Ramure*Pc/MaxiM</f>
        <v>1.7242838564078674E-4</v>
      </c>
      <c r="Q306" s="301">
        <f t="shared" si="105"/>
        <v>0.5</v>
      </c>
      <c r="R306" s="173">
        <f t="shared" si="106"/>
        <v>0.96241747528860155</v>
      </c>
      <c r="S306" s="801">
        <f t="shared" si="107"/>
        <v>0</v>
      </c>
      <c r="T306" s="172">
        <f t="shared" si="108"/>
        <v>6</v>
      </c>
      <c r="U306" s="247">
        <f t="shared" si="109"/>
        <v>0.96241747528860155</v>
      </c>
      <c r="V306" s="378">
        <f t="shared" si="110"/>
        <v>145.00009844892637</v>
      </c>
      <c r="W306" s="397">
        <f t="shared" si="111"/>
        <v>59.600259573456228</v>
      </c>
      <c r="X306" s="153">
        <f t="shared" si="112"/>
        <v>47775</v>
      </c>
      <c r="Y306" s="380">
        <f t="shared" si="113"/>
        <v>57.526025390551936</v>
      </c>
      <c r="Z306" s="380">
        <f t="shared" si="114"/>
        <v>60.226361240655706</v>
      </c>
      <c r="AA306" s="381">
        <f t="shared" si="115"/>
        <v>63.72582837448784</v>
      </c>
      <c r="AB306" s="193">
        <f t="shared" si="116"/>
        <v>47775</v>
      </c>
      <c r="AC306" s="119">
        <f>IF(OR(t&lt;Tnet,NoTnet),'2029'!Resal_s+('2029'!Salim-'2029'!Resal_s)*(1-EXP(('2029'!Tnet_s-t)/'2029'!Tau_j)),Resal_s+(Salim-Resal_s)*(1-EXP((Tnet_s-t)/Tau_j)))*Salcycl</f>
        <v>5.4914423603367762E-2</v>
      </c>
      <c r="AD306" s="227">
        <f>(INDEX(Models!$BJ306:$BT306,,AH306)*(1-AF306)+INDEX(Models!$BJ306:$BT306,,AH306+1)*AF306-ERP_i)*AE306*Ramure*Pc/MaxiM</f>
        <v>1.3697821382282608E-3</v>
      </c>
      <c r="AE306" s="301">
        <f t="shared" si="117"/>
        <v>0.5</v>
      </c>
      <c r="AF306" s="173">
        <f t="shared" si="118"/>
        <v>0.48740504166257992</v>
      </c>
      <c r="AG306" s="801">
        <f t="shared" si="124"/>
        <v>4</v>
      </c>
      <c r="AH306" s="172">
        <f t="shared" si="119"/>
        <v>10</v>
      </c>
      <c r="AI306" s="221">
        <f t="shared" si="120"/>
        <v>4.4874050416625799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47776</v>
      </c>
      <c r="B307" s="406">
        <f>'2029'!Wh/'2029'!Env_an*'2030'!Env_an</f>
        <v>37.928301821320659</v>
      </c>
      <c r="C307" s="831"/>
      <c r="D307" s="388">
        <f t="shared" si="102"/>
        <v>39.709242235654962</v>
      </c>
      <c r="E307" s="380">
        <f t="shared" si="125"/>
        <v>40.56423018200973</v>
      </c>
      <c r="F307" s="380">
        <f t="shared" si="103"/>
        <v>40.56423018200973</v>
      </c>
      <c r="G307" s="110">
        <f t="shared" si="126"/>
        <v>0.26386553957856035</v>
      </c>
      <c r="H307" s="409" t="b">
        <f>Wh_hp&gt;='2029'!Maxi_hp</f>
        <v>0</v>
      </c>
      <c r="I307" s="385">
        <f>IF(H307,Wh_hp,'2029'!Maxi_hp)</f>
        <v>40.56807036429818</v>
      </c>
      <c r="J307" s="85">
        <f>IF(H307,An,'2029'!An_max)</f>
        <v>2029</v>
      </c>
      <c r="K307" s="193">
        <f t="shared" si="104"/>
        <v>47776</v>
      </c>
      <c r="L307" s="143">
        <f>IF(t&lt;Tvie,1-EXP((T0-t)*PertePVj)+'2029'!Pspv,1-EXP((T0-t)*PertePVj)+Pspv)</f>
        <v>4.4849519005305982E-2</v>
      </c>
      <c r="M307" s="835"/>
      <c r="N307" s="835"/>
      <c r="O307" s="48">
        <f>IF(t&lt;Tnet,'2029'!Resal+('2029'!Salim-'2029'!Resal)*(1-EXP(('2029'!Tnet-t)/('2029'!Tau_j))),Resal+(Salim-Resal)*(1-EXP((Tnet-t)/(Tau_j))))*Salcycl</f>
        <v>2.1077386222257386E-2</v>
      </c>
      <c r="P307" s="165">
        <f>(INDEX(Models!$BJ307:$BT307,,T307)*(1-R307)+INDEX(Models!$BJ307:$BT307,,T307+1)*R307-ERP_i)*Q307*Ramure*Pc/MaxiM</f>
        <v>1.8387694619497404E-4</v>
      </c>
      <c r="Q307" s="301">
        <f t="shared" si="105"/>
        <v>0.5</v>
      </c>
      <c r="R307" s="173">
        <f t="shared" si="106"/>
        <v>0.96250923940159494</v>
      </c>
      <c r="S307" s="801">
        <f t="shared" si="107"/>
        <v>0</v>
      </c>
      <c r="T307" s="172">
        <f t="shared" si="108"/>
        <v>6</v>
      </c>
      <c r="U307" s="247">
        <f t="shared" si="109"/>
        <v>0.96250923940159494</v>
      </c>
      <c r="V307" s="378">
        <f t="shared" si="110"/>
        <v>143.7145894138902</v>
      </c>
      <c r="W307" s="397">
        <f t="shared" si="111"/>
        <v>37.928301821320659</v>
      </c>
      <c r="X307" s="153">
        <f t="shared" si="112"/>
        <v>47776</v>
      </c>
      <c r="Y307" s="380">
        <f t="shared" si="113"/>
        <v>36.617443658198837</v>
      </c>
      <c r="Z307" s="380">
        <f t="shared" si="114"/>
        <v>38.33683213985865</v>
      </c>
      <c r="AA307" s="381">
        <f t="shared" si="115"/>
        <v>40.56423018200973</v>
      </c>
      <c r="AB307" s="193">
        <f t="shared" si="116"/>
        <v>47776</v>
      </c>
      <c r="AC307" s="119">
        <f>IF(OR(t&lt;Tnet,NoTnet),'2029'!Resal_s+('2029'!Salim-'2029'!Resal_s)*(1-EXP(('2029'!Tnet_s-t)/'2029'!Tau_j)),Resal_s+(Salim-Resal_s)*(1-EXP((Tnet_s-t)/Tau_j)))*Salcycl</f>
        <v>5.4910398450971502E-2</v>
      </c>
      <c r="AD307" s="227">
        <f>(INDEX(Models!$BJ307:$BT307,,AH307)*(1-AF307)+INDEX(Models!$BJ307:$BT307,,AH307+1)*AF307-ERP_i)*AE307*Ramure*Pc/MaxiM</f>
        <v>1.4823476740172085E-3</v>
      </c>
      <c r="AE307" s="301">
        <f t="shared" si="117"/>
        <v>0.5</v>
      </c>
      <c r="AF307" s="173">
        <f t="shared" si="118"/>
        <v>0.48749680577557264</v>
      </c>
      <c r="AG307" s="801">
        <f t="shared" si="124"/>
        <v>4</v>
      </c>
      <c r="AH307" s="172">
        <f t="shared" si="119"/>
        <v>10</v>
      </c>
      <c r="AI307" s="221">
        <f t="shared" si="120"/>
        <v>4.4874968057755726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47777</v>
      </c>
      <c r="B308" s="406">
        <f>'2029'!Wh/'2029'!Env_an*'2030'!Env_an</f>
        <v>61.802274029108624</v>
      </c>
      <c r="C308" s="831"/>
      <c r="D308" s="388">
        <f t="shared" si="102"/>
        <v>64.705113269231234</v>
      </c>
      <c r="E308" s="380">
        <f t="shared" si="125"/>
        <v>66.101929176074265</v>
      </c>
      <c r="F308" s="380">
        <f t="shared" si="103"/>
        <v>66.104423284614541</v>
      </c>
      <c r="G308" s="110">
        <f t="shared" si="126"/>
        <v>0.43385316507672705</v>
      </c>
      <c r="H308" s="409" t="b">
        <f>Wh_hp&gt;='2029'!Maxi_hp</f>
        <v>0</v>
      </c>
      <c r="I308" s="385">
        <f>IF(H308,Wh_hp,'2029'!Maxi_hp)</f>
        <v>66.109850807853107</v>
      </c>
      <c r="J308" s="85">
        <f>IF(H308,An,'2029'!An_max)</f>
        <v>2029</v>
      </c>
      <c r="K308" s="193">
        <f t="shared" si="104"/>
        <v>47777</v>
      </c>
      <c r="L308" s="143">
        <f>IF(t&lt;Tvie,1-EXP((T0-t)*PertePVj)+'2029'!Pspv,1-EXP((T0-t)*PertePVj)+Pspv)</f>
        <v>4.4862594213291973E-2</v>
      </c>
      <c r="M308" s="835"/>
      <c r="N308" s="835"/>
      <c r="O308" s="48">
        <f>IF(t&lt;Tnet,'2029'!Resal+('2029'!Salim-'2029'!Resal)*(1-EXP(('2029'!Tnet-t)/('2029'!Tau_j))),Resal+(Salim-Resal)*(1-EXP((Tnet-t)/(Tau_j))))*Salcycl</f>
        <v>2.1131242677083797E-2</v>
      </c>
      <c r="P308" s="165">
        <f>(INDEX(Models!$BJ308:$BT308,,T308)*(1-R308)+INDEX(Models!$BJ308:$BT308,,T308+1)*R308-ERP_i)*Q308*Ramure*Pc/MaxiM</f>
        <v>1.9721036773729089E-4</v>
      </c>
      <c r="Q308" s="301">
        <f t="shared" si="105"/>
        <v>0.5</v>
      </c>
      <c r="R308" s="173">
        <f t="shared" si="106"/>
        <v>0.96259734059688018</v>
      </c>
      <c r="S308" s="801">
        <f t="shared" si="107"/>
        <v>0</v>
      </c>
      <c r="T308" s="172">
        <f t="shared" si="108"/>
        <v>6</v>
      </c>
      <c r="U308" s="247">
        <f t="shared" si="109"/>
        <v>0.96259734059688018</v>
      </c>
      <c r="V308" s="378">
        <f t="shared" si="110"/>
        <v>142.42702916847651</v>
      </c>
      <c r="W308" s="397">
        <f t="shared" si="111"/>
        <v>61.802274029108624</v>
      </c>
      <c r="X308" s="153">
        <f t="shared" si="112"/>
        <v>47777</v>
      </c>
      <c r="Y308" s="380">
        <f t="shared" si="113"/>
        <v>59.653758687588812</v>
      </c>
      <c r="Z308" s="380">
        <f t="shared" si="114"/>
        <v>62.455682633907969</v>
      </c>
      <c r="AA308" s="381">
        <f t="shared" si="115"/>
        <v>66.084076440435709</v>
      </c>
      <c r="AB308" s="193">
        <f t="shared" si="116"/>
        <v>47777</v>
      </c>
      <c r="AC308" s="119">
        <f>IF(OR(t&lt;Tnet,NoTnet),'2029'!Resal_s+('2029'!Salim-'2029'!Resal_s)*(1-EXP(('2029'!Tnet_s-t)/'2029'!Tau_j)),Resal_s+(Salim-Resal_s)*(1-EXP((Tnet_s-t)/Tau_j)))*Salcycl</f>
        <v>5.4905720136652861E-2</v>
      </c>
      <c r="AD308" s="227">
        <f>(INDEX(Models!$BJ308:$BT308,,AH308)*(1-AF308)+INDEX(Models!$BJ308:$BT308,,AH308+1)*AF308-ERP_i)*AE308*Ramure*Pc/MaxiM</f>
        <v>1.6088348033028027E-3</v>
      </c>
      <c r="AE308" s="301">
        <f t="shared" si="117"/>
        <v>0.5</v>
      </c>
      <c r="AF308" s="173">
        <f t="shared" si="118"/>
        <v>0.48758490697085843</v>
      </c>
      <c r="AG308" s="801">
        <f t="shared" si="124"/>
        <v>4</v>
      </c>
      <c r="AH308" s="172">
        <f t="shared" si="119"/>
        <v>10</v>
      </c>
      <c r="AI308" s="221">
        <f t="shared" si="120"/>
        <v>4.4875849069708584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47778</v>
      </c>
      <c r="B309" s="406">
        <f>'2029'!Wh/'2029'!Env_an*'2030'!Env_an</f>
        <v>129.53128976359636</v>
      </c>
      <c r="C309" s="831"/>
      <c r="D309" s="388">
        <f t="shared" si="102"/>
        <v>135.61720248591905</v>
      </c>
      <c r="E309" s="380">
        <f t="shared" si="125"/>
        <v>138.55239742102373</v>
      </c>
      <c r="F309" s="380">
        <f t="shared" si="103"/>
        <v>138.5783787688099</v>
      </c>
      <c r="G309" s="110">
        <f t="shared" si="126"/>
        <v>0.91773760774046287</v>
      </c>
      <c r="H309" s="409" t="b">
        <f>Wh_hp&gt;='2029'!Maxi_hp</f>
        <v>0</v>
      </c>
      <c r="I309" s="385">
        <f>IF(H309,Wh_hp,'2029'!Maxi_hp)</f>
        <v>138.58015949853942</v>
      </c>
      <c r="J309" s="85">
        <f>IF(H309,An,'2029'!An_max)</f>
        <v>2029</v>
      </c>
      <c r="K309" s="193">
        <f t="shared" si="104"/>
        <v>47778</v>
      </c>
      <c r="L309" s="143">
        <f>IF(t&lt;Tvie,1-EXP((T0-t)*PertePVj)+'2029'!Pspv,1-EXP((T0-t)*PertePVj)+Pspv)</f>
        <v>4.4875669242289362E-2</v>
      </c>
      <c r="M309" s="835"/>
      <c r="N309" s="835"/>
      <c r="O309" s="48">
        <f>IF(t&lt;Tnet,'2029'!Resal+('2029'!Salim-'2029'!Resal)*(1-EXP(('2029'!Tnet-t)/('2029'!Tau_j))),Resal+(Salim-Resal)*(1-EXP((Tnet-t)/(Tau_j))))*Salcycl</f>
        <v>2.1184728591779011E-2</v>
      </c>
      <c r="P309" s="165">
        <f>(INDEX(Models!$BJ309:$BT309,,T309)*(1-R309)+INDEX(Models!$BJ309:$BT309,,T309+1)*R309-ERP_i)*Q309*Ramure*Pc/MaxiM</f>
        <v>2.1244381488558201E-4</v>
      </c>
      <c r="Q309" s="301">
        <f t="shared" si="105"/>
        <v>0.5</v>
      </c>
      <c r="R309" s="173">
        <f t="shared" si="106"/>
        <v>0.96268192386272622</v>
      </c>
      <c r="S309" s="801">
        <f t="shared" si="107"/>
        <v>0</v>
      </c>
      <c r="T309" s="172">
        <f t="shared" si="108"/>
        <v>6</v>
      </c>
      <c r="U309" s="247">
        <f t="shared" si="109"/>
        <v>0.96268192386272622</v>
      </c>
      <c r="V309" s="378">
        <f t="shared" si="110"/>
        <v>141.1384420765915</v>
      </c>
      <c r="W309" s="397">
        <f t="shared" si="111"/>
        <v>129.53128976359636</v>
      </c>
      <c r="X309" s="153">
        <f t="shared" si="112"/>
        <v>47778</v>
      </c>
      <c r="Y309" s="380">
        <f t="shared" si="113"/>
        <v>124.89986257762814</v>
      </c>
      <c r="Z309" s="380">
        <f t="shared" si="114"/>
        <v>130.76817180287273</v>
      </c>
      <c r="AA309" s="381">
        <f t="shared" si="115"/>
        <v>138.36443790023654</v>
      </c>
      <c r="AB309" s="193">
        <f t="shared" si="116"/>
        <v>47778</v>
      </c>
      <c r="AC309" s="119">
        <f>IF(OR(t&lt;Tnet,NoTnet),'2029'!Resal_s+('2029'!Salim-'2029'!Resal_s)*(1-EXP(('2029'!Tnet_s-t)/'2029'!Tau_j)),Resal_s+(Salim-Resal_s)*(1-EXP((Tnet_s-t)/Tau_j)))*Salcycl</f>
        <v>5.4900422483130228E-2</v>
      </c>
      <c r="AD309" s="227">
        <f>(INDEX(Models!$BJ309:$BT309,,AH309)*(1-AF309)+INDEX(Models!$BJ309:$BT309,,AH309+1)*AF309-ERP_i)*AE309*Ramure*Pc/MaxiM</f>
        <v>1.7493478265140055E-3</v>
      </c>
      <c r="AE309" s="301">
        <f t="shared" si="117"/>
        <v>0.5</v>
      </c>
      <c r="AF309" s="173">
        <f t="shared" si="118"/>
        <v>0.48766949023670403</v>
      </c>
      <c r="AG309" s="801">
        <f t="shared" si="124"/>
        <v>4</v>
      </c>
      <c r="AH309" s="172">
        <f t="shared" si="119"/>
        <v>10</v>
      </c>
      <c r="AI309" s="221">
        <f t="shared" si="120"/>
        <v>4.487669490236704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47779</v>
      </c>
      <c r="B310" s="406">
        <f>'2029'!Wh/'2029'!Env_an*'2030'!Env_an</f>
        <v>78.66881702320552</v>
      </c>
      <c r="C310" s="831"/>
      <c r="D310" s="388">
        <f t="shared" si="102"/>
        <v>82.366129114918479</v>
      </c>
      <c r="E310" s="380">
        <f t="shared" si="125"/>
        <v>84.153366241433872</v>
      </c>
      <c r="F310" s="380">
        <f t="shared" si="103"/>
        <v>84.160680975867095</v>
      </c>
      <c r="G310" s="110">
        <f t="shared" si="126"/>
        <v>0.56244315238902498</v>
      </c>
      <c r="H310" s="409" t="b">
        <f>Wh_hp&gt;='2029'!Maxi_hp</f>
        <v>0</v>
      </c>
      <c r="I310" s="385">
        <f>IF(H310,Wh_hp,'2029'!Maxi_hp)</f>
        <v>84.166956159489558</v>
      </c>
      <c r="J310" s="85">
        <f>IF(H310,An,'2029'!An_max)</f>
        <v>2029</v>
      </c>
      <c r="K310" s="193">
        <f t="shared" si="104"/>
        <v>47779</v>
      </c>
      <c r="L310" s="143">
        <f>IF(t&lt;Tvie,1-EXP((T0-t)*PertePVj)+'2029'!Pspv,1-EXP((T0-t)*PertePVj)+Pspv)</f>
        <v>4.4888744092300592E-2</v>
      </c>
      <c r="M310" s="835"/>
      <c r="N310" s="835"/>
      <c r="O310" s="48">
        <f>IF(t&lt;Tnet,'2029'!Resal+('2029'!Salim-'2029'!Resal)*(1-EXP(('2029'!Tnet-t)/('2029'!Tau_j))),Resal+(Salim-Resal)*(1-EXP((Tnet-t)/(Tau_j))))*Salcycl</f>
        <v>2.1237856622251524E-2</v>
      </c>
      <c r="P310" s="165">
        <f>(INDEX(Models!$BJ310:$BT310,,T310)*(1-R310)+INDEX(Models!$BJ310:$BT310,,T310+1)*R310-ERP_i)*Q310*Ramure*Pc/MaxiM</f>
        <v>2.3174869813970915E-4</v>
      </c>
      <c r="Q310" s="301">
        <f t="shared" si="105"/>
        <v>0.5</v>
      </c>
      <c r="R310" s="173">
        <f t="shared" si="106"/>
        <v>0.96276312854454793</v>
      </c>
      <c r="S310" s="801">
        <f t="shared" si="107"/>
        <v>0</v>
      </c>
      <c r="T310" s="172">
        <f t="shared" si="108"/>
        <v>6</v>
      </c>
      <c r="U310" s="247">
        <f t="shared" si="109"/>
        <v>0.96276312854454793</v>
      </c>
      <c r="V310" s="378">
        <f t="shared" si="110"/>
        <v>139.84955051513475</v>
      </c>
      <c r="W310" s="397">
        <f t="shared" si="111"/>
        <v>78.66881702320552</v>
      </c>
      <c r="X310" s="153">
        <f t="shared" si="112"/>
        <v>47779</v>
      </c>
      <c r="Y310" s="380">
        <f t="shared" si="113"/>
        <v>75.915888063182848</v>
      </c>
      <c r="Z310" s="380">
        <f t="shared" si="114"/>
        <v>79.483816773822269</v>
      </c>
      <c r="AA310" s="381">
        <f t="shared" si="115"/>
        <v>84.100473764585885</v>
      </c>
      <c r="AB310" s="193">
        <f t="shared" si="116"/>
        <v>47779</v>
      </c>
      <c r="AC310" s="119">
        <f>IF(OR(t&lt;Tnet,NoTnet),'2029'!Resal_s+('2029'!Salim-'2029'!Resal_s)*(1-EXP(('2029'!Tnet_s-t)/'2029'!Tau_j)),Resal_s+(Salim-Resal_s)*(1-EXP((Tnet_s-t)/Tau_j)))*Salcycl</f>
        <v>5.4894542017522523E-2</v>
      </c>
      <c r="AD310" s="227">
        <f>(INDEX(Models!$BJ310:$BT310,,AH310)*(1-AF310)+INDEX(Models!$BJ310:$BT310,,AH310+1)*AF310-ERP_i)*AE310*Ramure*Pc/MaxiM</f>
        <v>1.9075118803587058E-3</v>
      </c>
      <c r="AE310" s="301">
        <f t="shared" si="117"/>
        <v>0.5</v>
      </c>
      <c r="AF310" s="173">
        <f t="shared" si="118"/>
        <v>0.48775069491852641</v>
      </c>
      <c r="AG310" s="801">
        <f t="shared" si="124"/>
        <v>4</v>
      </c>
      <c r="AH310" s="172">
        <f t="shared" si="119"/>
        <v>10</v>
      </c>
      <c r="AI310" s="221">
        <f t="shared" si="120"/>
        <v>4.4877506949185264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47780</v>
      </c>
      <c r="B311" s="406">
        <f>'2029'!Wh/'2029'!Env_an*'2030'!Env_an</f>
        <v>101.19028958936759</v>
      </c>
      <c r="C311" s="831"/>
      <c r="D311" s="388">
        <f t="shared" si="102"/>
        <v>105.94752620965653</v>
      </c>
      <c r="E311" s="380">
        <f t="shared" si="125"/>
        <v>108.25228673983055</v>
      </c>
      <c r="F311" s="380">
        <f t="shared" si="103"/>
        <v>108.26929246339539</v>
      </c>
      <c r="G311" s="110">
        <f t="shared" si="126"/>
        <v>0.73022049477504902</v>
      </c>
      <c r="H311" s="409" t="b">
        <f>Wh_hp&gt;='2029'!Maxi_hp</f>
        <v>0</v>
      </c>
      <c r="I311" s="385">
        <f>IF(H311,Wh_hp,'2029'!Maxi_hp)</f>
        <v>108.27478002131488</v>
      </c>
      <c r="J311" s="85">
        <f>IF(H311,An,'2029'!An_max)</f>
        <v>2029</v>
      </c>
      <c r="K311" s="193">
        <f t="shared" si="104"/>
        <v>47780</v>
      </c>
      <c r="L311" s="143">
        <f>IF(t&lt;Tvie,1-EXP((T0-t)*PertePVj)+'2029'!Pspv,1-EXP((T0-t)*PertePVj)+Pspv)</f>
        <v>4.4901818763327994E-2</v>
      </c>
      <c r="M311" s="835"/>
      <c r="N311" s="835"/>
      <c r="O311" s="48">
        <f>IF(t&lt;Tnet,'2029'!Resal+('2029'!Salim-'2029'!Resal)*(1-EXP(('2029'!Tnet-t)/('2029'!Tau_j))),Resal+(Salim-Resal)*(1-EXP((Tnet-t)/(Tau_j))))*Salcycl</f>
        <v>2.1290640591391883E-2</v>
      </c>
      <c r="P311" s="165">
        <f>(INDEX(Models!$BJ311:$BT311,,T311)*(1-R311)+INDEX(Models!$BJ311:$BT311,,T311+1)*R311-ERP_i)*Q311*Ramure*Pc/MaxiM</f>
        <v>2.5551957534777252E-4</v>
      </c>
      <c r="Q311" s="301">
        <f t="shared" si="105"/>
        <v>0.5</v>
      </c>
      <c r="R311" s="173">
        <f t="shared" si="106"/>
        <v>0.96284108855694062</v>
      </c>
      <c r="S311" s="801">
        <f t="shared" si="107"/>
        <v>0</v>
      </c>
      <c r="T311" s="172">
        <f t="shared" si="108"/>
        <v>6</v>
      </c>
      <c r="U311" s="247">
        <f t="shared" si="109"/>
        <v>0.96284108855694062</v>
      </c>
      <c r="V311" s="378">
        <f t="shared" si="110"/>
        <v>138.56133384624223</v>
      </c>
      <c r="W311" s="397">
        <f t="shared" si="111"/>
        <v>101.19028958936759</v>
      </c>
      <c r="X311" s="153">
        <f t="shared" si="112"/>
        <v>47780</v>
      </c>
      <c r="Y311" s="380">
        <f t="shared" si="113"/>
        <v>97.60699188498829</v>
      </c>
      <c r="Z311" s="380">
        <f t="shared" si="114"/>
        <v>102.19576772579092</v>
      </c>
      <c r="AA311" s="381">
        <f t="shared" si="115"/>
        <v>108.13086752909888</v>
      </c>
      <c r="AB311" s="193">
        <f t="shared" si="116"/>
        <v>47780</v>
      </c>
      <c r="AC311" s="119">
        <f>IF(OR(t&lt;Tnet,NoTnet),'2029'!Resal_s+('2029'!Salim-'2029'!Resal_s)*(1-EXP(('2029'!Tnet_s-t)/'2029'!Tau_j)),Resal_s+(Salim-Resal_s)*(1-EXP((Tnet_s-t)/Tau_j)))*Salcycl</f>
        <v>5.4888117879113317E-2</v>
      </c>
      <c r="AD311" s="227">
        <f>(INDEX(Models!$BJ311:$BT311,,AH311)*(1-AF311)+INDEX(Models!$BJ311:$BT311,,AH311+1)*AF311-ERP_i)*AE311*Ramure*Pc/MaxiM</f>
        <v>2.0799044682888587E-3</v>
      </c>
      <c r="AE311" s="301">
        <f t="shared" si="117"/>
        <v>0.5</v>
      </c>
      <c r="AF311" s="173">
        <f t="shared" si="118"/>
        <v>0.48782865493091876</v>
      </c>
      <c r="AG311" s="801">
        <f t="shared" si="124"/>
        <v>4</v>
      </c>
      <c r="AH311" s="172">
        <f t="shared" si="119"/>
        <v>10</v>
      </c>
      <c r="AI311" s="221">
        <f t="shared" si="120"/>
        <v>4.4878286549309188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47781</v>
      </c>
      <c r="B312" s="406">
        <f>'2029'!Wh/'2029'!Env_an*'2030'!Env_an</f>
        <v>87.507298006538448</v>
      </c>
      <c r="C312" s="831"/>
      <c r="D312" s="388">
        <f t="shared" si="102"/>
        <v>91.62251341642633</v>
      </c>
      <c r="E312" s="380">
        <f t="shared" si="125"/>
        <v>93.620668276323386</v>
      </c>
      <c r="F312" s="380">
        <f t="shared" si="103"/>
        <v>93.633478608769153</v>
      </c>
      <c r="G312" s="110">
        <f t="shared" si="126"/>
        <v>0.63736694839787256</v>
      </c>
      <c r="H312" s="409" t="b">
        <f>Wh_hp&gt;='2029'!Maxi_hp</f>
        <v>0</v>
      </c>
      <c r="I312" s="385">
        <f>IF(H312,Wh_hp,'2029'!Maxi_hp)</f>
        <v>93.640563650250286</v>
      </c>
      <c r="J312" s="85">
        <f>IF(H312,An,'2029'!An_max)</f>
        <v>2029</v>
      </c>
      <c r="K312" s="193">
        <f t="shared" si="104"/>
        <v>47781</v>
      </c>
      <c r="L312" s="143">
        <f>IF(t&lt;Tvie,1-EXP((T0-t)*PertePVj)+'2029'!Pspv,1-EXP((T0-t)*PertePVj)+Pspv)</f>
        <v>4.4914893255374233E-2</v>
      </c>
      <c r="M312" s="835"/>
      <c r="N312" s="835"/>
      <c r="O312" s="48">
        <f>IF(t&lt;Tnet,'2029'!Resal+('2029'!Salim-'2029'!Resal)*(1-EXP(('2029'!Tnet-t)/('2029'!Tau_j))),Resal+(Salim-Resal)*(1-EXP((Tnet-t)/(Tau_j))))*Salcycl</f>
        <v>2.1343095458360314E-2</v>
      </c>
      <c r="P312" s="165">
        <f>(INDEX(Models!$BJ312:$BT312,,T312)*(1-R312)+INDEX(Models!$BJ312:$BT312,,T312+1)*R312-ERP_i)*Q312*Ramure*Pc/MaxiM</f>
        <v>2.8379460550715426E-4</v>
      </c>
      <c r="Q312" s="301">
        <f t="shared" si="105"/>
        <v>0.5</v>
      </c>
      <c r="R312" s="173">
        <f t="shared" si="106"/>
        <v>0.96291593258834884</v>
      </c>
      <c r="S312" s="801">
        <f t="shared" si="107"/>
        <v>0</v>
      </c>
      <c r="T312" s="172">
        <f t="shared" si="108"/>
        <v>6</v>
      </c>
      <c r="U312" s="247">
        <f t="shared" si="109"/>
        <v>0.96291593258834884</v>
      </c>
      <c r="V312" s="378">
        <f t="shared" si="110"/>
        <v>137.27482191398042</v>
      </c>
      <c r="W312" s="397">
        <f t="shared" si="111"/>
        <v>87.507298006538448</v>
      </c>
      <c r="X312" s="153">
        <f t="shared" si="112"/>
        <v>47781</v>
      </c>
      <c r="Y312" s="380">
        <f t="shared" si="113"/>
        <v>84.427672707551224</v>
      </c>
      <c r="Z312" s="380">
        <f t="shared" si="114"/>
        <v>88.398062236903684</v>
      </c>
      <c r="AA312" s="381">
        <f t="shared" si="115"/>
        <v>93.531163977922219</v>
      </c>
      <c r="AB312" s="193">
        <f t="shared" si="116"/>
        <v>47781</v>
      </c>
      <c r="AC312" s="119">
        <f>IF(OR(t&lt;Tnet,NoTnet),'2029'!Resal_s+('2029'!Salim-'2029'!Resal_s)*(1-EXP(('2029'!Tnet_s-t)/'2029'!Tau_j)),Resal_s+(Salim-Resal_s)*(1-EXP((Tnet_s-t)/Tau_j)))*Salcycl</f>
        <v>5.4881191708789072E-2</v>
      </c>
      <c r="AD312" s="227">
        <f>(INDEX(Models!$BJ312:$BT312,,AH312)*(1-AF312)+INDEX(Models!$BJ312:$BT312,,AH312+1)*AF312-ERP_i)*AE312*Ramure*Pc/MaxiM</f>
        <v>2.2666344079471774E-3</v>
      </c>
      <c r="AE312" s="301">
        <f t="shared" si="117"/>
        <v>0.5</v>
      </c>
      <c r="AF312" s="173">
        <f t="shared" si="118"/>
        <v>0.48790349896232676</v>
      </c>
      <c r="AG312" s="801">
        <f t="shared" si="124"/>
        <v>4</v>
      </c>
      <c r="AH312" s="172">
        <f t="shared" si="119"/>
        <v>10</v>
      </c>
      <c r="AI312" s="221">
        <f t="shared" si="120"/>
        <v>4.4879034989623268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47782</v>
      </c>
      <c r="B313" s="406">
        <f>'2029'!Wh/'2029'!Env_an*'2030'!Env_an</f>
        <v>57.789547604570373</v>
      </c>
      <c r="C313" s="831"/>
      <c r="D313" s="388">
        <f t="shared" si="102"/>
        <v>60.508051374346621</v>
      </c>
      <c r="E313" s="380">
        <f t="shared" si="125"/>
        <v>61.830938985188638</v>
      </c>
      <c r="F313" s="380">
        <f t="shared" si="103"/>
        <v>61.834433575363214</v>
      </c>
      <c r="G313" s="110">
        <f t="shared" si="126"/>
        <v>0.42484059304378557</v>
      </c>
      <c r="H313" s="409" t="b">
        <f>Wh_hp&gt;='2029'!Maxi_hp</f>
        <v>0</v>
      </c>
      <c r="I313" s="385">
        <f>IF(H313,Wh_hp,'2029'!Maxi_hp)</f>
        <v>61.842712937282592</v>
      </c>
      <c r="J313" s="85">
        <f>IF(H313,An,'2029'!An_max)</f>
        <v>2029</v>
      </c>
      <c r="K313" s="193">
        <f t="shared" si="104"/>
        <v>47782</v>
      </c>
      <c r="L313" s="143">
        <f>IF(t&lt;Tvie,1-EXP((T0-t)*PertePVj)+'2029'!Pspv,1-EXP((T0-t)*PertePVj)+Pspv)</f>
        <v>4.492796756844164E-2</v>
      </c>
      <c r="M313" s="835"/>
      <c r="N313" s="835"/>
      <c r="O313" s="48">
        <f>IF(t&lt;Tnet,'2029'!Resal+('2029'!Salim-'2029'!Resal)*(1-EXP(('2029'!Tnet-t)/('2029'!Tau_j))),Resal+(Salim-Resal)*(1-EXP((Tnet-t)/(Tau_j))))*Salcycl</f>
        <v>2.1395237280140776E-2</v>
      </c>
      <c r="P313" s="165">
        <f>(INDEX(Models!$BJ313:$BT313,,T313)*(1-R313)+INDEX(Models!$BJ313:$BT313,,T313+1)*R313-ERP_i)*Q313*Ramure*Pc/MaxiM</f>
        <v>3.1660934449095603E-4</v>
      </c>
      <c r="Q313" s="301">
        <f t="shared" si="105"/>
        <v>0.5</v>
      </c>
      <c r="R313" s="173">
        <f t="shared" si="106"/>
        <v>0.96298778429857834</v>
      </c>
      <c r="S313" s="801">
        <f t="shared" si="107"/>
        <v>0</v>
      </c>
      <c r="T313" s="172">
        <f t="shared" si="108"/>
        <v>6</v>
      </c>
      <c r="U313" s="247">
        <f t="shared" si="109"/>
        <v>0.96298778429857834</v>
      </c>
      <c r="V313" s="378">
        <f t="shared" si="110"/>
        <v>135.99104460020027</v>
      </c>
      <c r="W313" s="397">
        <f t="shared" si="111"/>
        <v>57.789547604570373</v>
      </c>
      <c r="X313" s="153">
        <f t="shared" si="112"/>
        <v>47782</v>
      </c>
      <c r="Y313" s="380">
        <f t="shared" si="113"/>
        <v>55.791104905164666</v>
      </c>
      <c r="Z313" s="380">
        <f t="shared" si="114"/>
        <v>58.415599044528328</v>
      </c>
      <c r="AA313" s="381">
        <f t="shared" si="115"/>
        <v>61.807195176001699</v>
      </c>
      <c r="AB313" s="193">
        <f t="shared" si="116"/>
        <v>47782</v>
      </c>
      <c r="AC313" s="119">
        <f>IF(OR(t&lt;Tnet,NoTnet),'2029'!Resal_s+('2029'!Salim-'2029'!Resal_s)*(1-EXP(('2029'!Tnet_s-t)/'2029'!Tau_j)),Resal_s+(Salim-Resal_s)*(1-EXP((Tnet_s-t)/Tau_j)))*Salcycl</f>
        <v>5.4873807520556254E-2</v>
      </c>
      <c r="AD313" s="227">
        <f>(INDEX(Models!$BJ313:$BT313,,AH313)*(1-AF313)+INDEX(Models!$BJ313:$BT313,,AH313+1)*AF313-ERP_i)*AE313*Ramure*Pc/MaxiM</f>
        <v>2.4677948875303705E-3</v>
      </c>
      <c r="AE313" s="301">
        <f t="shared" si="117"/>
        <v>0.5</v>
      </c>
      <c r="AF313" s="173">
        <f t="shared" si="118"/>
        <v>0.48797535067255637</v>
      </c>
      <c r="AG313" s="801">
        <f t="shared" si="124"/>
        <v>4</v>
      </c>
      <c r="AH313" s="172">
        <f t="shared" si="119"/>
        <v>10</v>
      </c>
      <c r="AI313" s="221">
        <f t="shared" si="120"/>
        <v>4.4879753506725564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47783</v>
      </c>
      <c r="B314" s="406">
        <f>'2029'!Wh/'2029'!Env_an*'2030'!Env_an</f>
        <v>51.864922404293317</v>
      </c>
      <c r="C314" s="831"/>
      <c r="D314" s="388">
        <f t="shared" si="102"/>
        <v>54.305466645483484</v>
      </c>
      <c r="E314" s="380">
        <f t="shared" si="125"/>
        <v>55.49568726559302</v>
      </c>
      <c r="F314" s="380">
        <f t="shared" si="103"/>
        <v>55.498073122571491</v>
      </c>
      <c r="G314" s="110">
        <f t="shared" si="126"/>
        <v>0.38488897814478445</v>
      </c>
      <c r="H314" s="409" t="b">
        <f>Wh_hp&gt;='2029'!Maxi_hp</f>
        <v>0</v>
      </c>
      <c r="I314" s="385">
        <f>IF(H314,Wh_hp,'2029'!Maxi_hp)</f>
        <v>55.506958756661589</v>
      </c>
      <c r="J314" s="85">
        <f>IF(H314,An,'2029'!An_max)</f>
        <v>2029</v>
      </c>
      <c r="K314" s="193">
        <f t="shared" si="104"/>
        <v>47783</v>
      </c>
      <c r="L314" s="143">
        <f>IF(t&lt;Tvie,1-EXP((T0-t)*PertePVj)+'2029'!Pspv,1-EXP((T0-t)*PertePVj)+Pspv)</f>
        <v>4.4941041702532658E-2</v>
      </c>
      <c r="M314" s="835"/>
      <c r="N314" s="835"/>
      <c r="O314" s="48">
        <f>IF(t&lt;Tnet,'2029'!Resal+('2029'!Salim-'2029'!Resal)*(1-EXP(('2029'!Tnet-t)/('2029'!Tau_j))),Resal+(Salim-Resal)*(1-EXP((Tnet-t)/(Tau_j))))*Salcycl</f>
        <v>2.1447083165460061E-2</v>
      </c>
      <c r="P314" s="165">
        <f>(INDEX(Models!$BJ314:$BT314,,T314)*(1-R314)+INDEX(Models!$BJ314:$BT314,,T314+1)*R314-ERP_i)*Q314*Ramure*Pc/MaxiM</f>
        <v>3.5399819118812431E-4</v>
      </c>
      <c r="Q314" s="301">
        <f t="shared" si="105"/>
        <v>0.5</v>
      </c>
      <c r="R314" s="173">
        <f t="shared" si="106"/>
        <v>0.96305676250935557</v>
      </c>
      <c r="S314" s="801">
        <f t="shared" si="107"/>
        <v>0</v>
      </c>
      <c r="T314" s="172">
        <f t="shared" si="108"/>
        <v>6</v>
      </c>
      <c r="U314" s="247">
        <f t="shared" si="109"/>
        <v>0.96305676250935557</v>
      </c>
      <c r="V314" s="378">
        <f t="shared" si="110"/>
        <v>134.71103158159411</v>
      </c>
      <c r="W314" s="397">
        <f t="shared" si="111"/>
        <v>51.864922404293317</v>
      </c>
      <c r="X314" s="153">
        <f t="shared" si="112"/>
        <v>47783</v>
      </c>
      <c r="Y314" s="380">
        <f t="shared" si="113"/>
        <v>50.079492135431593</v>
      </c>
      <c r="Z314" s="380">
        <f t="shared" si="114"/>
        <v>52.436021567407352</v>
      </c>
      <c r="AA314" s="381">
        <f t="shared" si="115"/>
        <v>55.479987185433195</v>
      </c>
      <c r="AB314" s="193">
        <f t="shared" si="116"/>
        <v>47783</v>
      </c>
      <c r="AC314" s="119">
        <f>IF(OR(t&lt;Tnet,NoTnet),'2029'!Resal_s+('2029'!Salim-'2029'!Resal_s)*(1-EXP(('2029'!Tnet_s-t)/'2029'!Tau_j)),Resal_s+(Salim-Resal_s)*(1-EXP((Tnet_s-t)/Tau_j)))*Salcycl</f>
        <v>5.486601155569603E-2</v>
      </c>
      <c r="AD314" s="227">
        <f>(INDEX(Models!$BJ314:$BT314,,AH314)*(1-AF314)+INDEX(Models!$BJ314:$BT314,,AH314+1)*AF314-ERP_i)*AE314*Ramure*Pc/MaxiM</f>
        <v>2.6834756193184978E-3</v>
      </c>
      <c r="AE314" s="301">
        <f t="shared" si="117"/>
        <v>0.5</v>
      </c>
      <c r="AF314" s="173">
        <f t="shared" si="118"/>
        <v>0.48804432888333338</v>
      </c>
      <c r="AG314" s="801">
        <f t="shared" si="124"/>
        <v>4</v>
      </c>
      <c r="AH314" s="172">
        <f t="shared" si="119"/>
        <v>10</v>
      </c>
      <c r="AI314" s="221">
        <f t="shared" si="120"/>
        <v>4.4880443288833334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47784</v>
      </c>
      <c r="B315" s="406">
        <f>'2029'!Wh/'2029'!Env_an*'2030'!Env_an</f>
        <v>68.440972646478073</v>
      </c>
      <c r="C315" s="831"/>
      <c r="D315" s="388">
        <f t="shared" si="102"/>
        <v>71.662496816691586</v>
      </c>
      <c r="E315" s="380">
        <f t="shared" si="125"/>
        <v>73.236993394164642</v>
      </c>
      <c r="F315" s="380">
        <f t="shared" si="103"/>
        <v>73.245815578527939</v>
      </c>
      <c r="G315" s="110">
        <f t="shared" si="126"/>
        <v>0.51277172460395837</v>
      </c>
      <c r="H315" s="409" t="b">
        <f>Wh_hp&gt;='2029'!Maxi_hp</f>
        <v>0</v>
      </c>
      <c r="I315" s="385">
        <f>IF(H315,Wh_hp,'2029'!Maxi_hp)</f>
        <v>73.256206223121353</v>
      </c>
      <c r="J315" s="85">
        <f>IF(H315,An,'2029'!An_max)</f>
        <v>2029</v>
      </c>
      <c r="K315" s="193">
        <f t="shared" si="104"/>
        <v>47784</v>
      </c>
      <c r="L315" s="143">
        <f>IF(t&lt;Tvie,1-EXP((T0-t)*PertePVj)+'2029'!Pspv,1-EXP((T0-t)*PertePVj)+Pspv)</f>
        <v>4.4954115657649729E-2</v>
      </c>
      <c r="M315" s="835"/>
      <c r="N315" s="835"/>
      <c r="O315" s="48">
        <f>IF(t&lt;Tnet,'2029'!Resal+('2029'!Salim-'2029'!Resal)*(1-EXP(('2029'!Tnet-t)/('2029'!Tau_j))),Resal+(Salim-Resal)*(1-EXP((Tnet-t)/(Tau_j))))*Salcycl</f>
        <v>2.1498651221235184E-2</v>
      </c>
      <c r="P315" s="165">
        <f>(INDEX(Models!$BJ315:$BT315,,T315)*(1-R315)+INDEX(Models!$BJ315:$BT315,,T315+1)*R315-ERP_i)*Q315*Ramure*Pc/MaxiM</f>
        <v>3.9599437795961959E-4</v>
      </c>
      <c r="Q315" s="301">
        <f t="shared" si="105"/>
        <v>0.5</v>
      </c>
      <c r="R315" s="173">
        <f t="shared" si="106"/>
        <v>0.96312298138813768</v>
      </c>
      <c r="S315" s="801">
        <f t="shared" si="107"/>
        <v>0</v>
      </c>
      <c r="T315" s="172">
        <f t="shared" si="108"/>
        <v>6</v>
      </c>
      <c r="U315" s="247">
        <f t="shared" si="109"/>
        <v>0.96312298138813768</v>
      </c>
      <c r="V315" s="378">
        <f t="shared" si="110"/>
        <v>133.43581229289731</v>
      </c>
      <c r="W315" s="397">
        <f t="shared" si="111"/>
        <v>68.440972646478073</v>
      </c>
      <c r="X315" s="153">
        <f t="shared" si="112"/>
        <v>47784</v>
      </c>
      <c r="Y315" s="380">
        <f t="shared" si="113"/>
        <v>66.057041803869467</v>
      </c>
      <c r="Z315" s="380">
        <f t="shared" si="114"/>
        <v>69.16635408502566</v>
      </c>
      <c r="AA315" s="381">
        <f t="shared" si="115"/>
        <v>73.180901137663412</v>
      </c>
      <c r="AB315" s="193">
        <f t="shared" si="116"/>
        <v>47784</v>
      </c>
      <c r="AC315" s="119">
        <f>IF(OR(t&lt;Tnet,NoTnet),'2029'!Resal_s+('2029'!Salim-'2029'!Resal_s)*(1-EXP(('2029'!Tnet_s-t)/'2029'!Tau_j)),Resal_s+(Salim-Resal_s)*(1-EXP((Tnet_s-t)/Tau_j)))*Salcycl</f>
        <v>5.4857852120266219E-2</v>
      </c>
      <c r="AD315" s="227">
        <f>(INDEX(Models!$BJ315:$BT315,,AH315)*(1-AF315)+INDEX(Models!$BJ315:$BT315,,AH315+1)*AF315-ERP_i)*AE315*Ramure*Pc/MaxiM</f>
        <v>2.9137629154156793E-3</v>
      </c>
      <c r="AE315" s="301">
        <f t="shared" si="117"/>
        <v>0.5</v>
      </c>
      <c r="AF315" s="173">
        <f t="shared" si="118"/>
        <v>0.48811054776211549</v>
      </c>
      <c r="AG315" s="801">
        <f t="shared" si="124"/>
        <v>4</v>
      </c>
      <c r="AH315" s="172">
        <f t="shared" si="119"/>
        <v>10</v>
      </c>
      <c r="AI315" s="221">
        <f t="shared" si="120"/>
        <v>4.4881105477621155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47785</v>
      </c>
      <c r="B316" s="406">
        <f>'2029'!Wh/'2029'!Env_an*'2030'!Env_an</f>
        <v>99.356521378238284</v>
      </c>
      <c r="C316" s="831"/>
      <c r="D316" s="388">
        <f t="shared" si="102"/>
        <v>104.03466800196465</v>
      </c>
      <c r="E316" s="380">
        <f t="shared" si="125"/>
        <v>106.32598886117198</v>
      </c>
      <c r="F316" s="380">
        <f t="shared" si="103"/>
        <v>106.35637024079352</v>
      </c>
      <c r="G316" s="110">
        <f t="shared" si="126"/>
        <v>0.75163512537663268</v>
      </c>
      <c r="H316" s="409" t="b">
        <f>Wh_hp&gt;='2029'!Maxi_hp</f>
        <v>0</v>
      </c>
      <c r="I316" s="385">
        <f>IF(H316,Wh_hp,'2029'!Maxi_hp)</f>
        <v>106.36496623468116</v>
      </c>
      <c r="J316" s="85">
        <f>IF(H316,An,'2029'!An_max)</f>
        <v>2029</v>
      </c>
      <c r="K316" s="193">
        <f t="shared" si="104"/>
        <v>47785</v>
      </c>
      <c r="L316" s="143">
        <f>IF(t&lt;Tvie,1-EXP((T0-t)*PertePVj)+'2029'!Pspv,1-EXP((T0-t)*PertePVj)+Pspv)</f>
        <v>4.4967189433795407E-2</v>
      </c>
      <c r="M316" s="835"/>
      <c r="N316" s="835"/>
      <c r="O316" s="48">
        <f>IF(t&lt;Tnet,'2029'!Resal+('2029'!Salim-'2029'!Resal)*(1-EXP(('2029'!Tnet-t)/('2029'!Tau_j))),Resal+(Salim-Resal)*(1-EXP((Tnet-t)/(Tau_j))))*Salcycl</f>
        <v>2.1549960491776637E-2</v>
      </c>
      <c r="P316" s="165">
        <f>(INDEX(Models!$BJ316:$BT316,,T316)*(1-R316)+INDEX(Models!$BJ316:$BT316,,T316+1)*R316-ERP_i)*Q316*Ramure*Pc/MaxiM</f>
        <v>4.4262997462871632E-4</v>
      </c>
      <c r="Q316" s="301">
        <f t="shared" si="105"/>
        <v>0.5</v>
      </c>
      <c r="R316" s="173">
        <f t="shared" si="106"/>
        <v>0.96318655062537384</v>
      </c>
      <c r="S316" s="801">
        <f t="shared" si="107"/>
        <v>0</v>
      </c>
      <c r="T316" s="172">
        <f t="shared" si="108"/>
        <v>6</v>
      </c>
      <c r="U316" s="247">
        <f t="shared" si="109"/>
        <v>0.96318655062537384</v>
      </c>
      <c r="V316" s="378">
        <f t="shared" si="110"/>
        <v>132.16641588607425</v>
      </c>
      <c r="W316" s="397">
        <f t="shared" si="111"/>
        <v>99.356521378238284</v>
      </c>
      <c r="X316" s="153">
        <f t="shared" si="112"/>
        <v>47785</v>
      </c>
      <c r="Y316" s="380">
        <f t="shared" si="113"/>
        <v>95.806857965437942</v>
      </c>
      <c r="Z316" s="380">
        <f t="shared" si="114"/>
        <v>100.31787065895412</v>
      </c>
      <c r="AA316" s="381">
        <f t="shared" si="115"/>
        <v>106.13955963547153</v>
      </c>
      <c r="AB316" s="193">
        <f t="shared" si="116"/>
        <v>47785</v>
      </c>
      <c r="AC316" s="119">
        <f>IF(OR(t&lt;Tnet,NoTnet),'2029'!Resal_s+('2029'!Salim-'2029'!Resal_s)*(1-EXP(('2029'!Tnet_s-t)/'2029'!Tau_j)),Resal_s+(Salim-Resal_s)*(1-EXP((Tnet_s-t)/Tau_j)))*Salcycl</f>
        <v>5.4849379406807161E-2</v>
      </c>
      <c r="AD316" s="227">
        <f>(INDEX(Models!$BJ316:$BT316,,AH316)*(1-AF316)+INDEX(Models!$BJ316:$BT316,,AH316+1)*AF316-ERP_i)*AE316*Ramure*Pc/MaxiM</f>
        <v>3.158739791554253E-3</v>
      </c>
      <c r="AE316" s="301">
        <f t="shared" si="117"/>
        <v>0.5</v>
      </c>
      <c r="AF316" s="173">
        <f t="shared" si="118"/>
        <v>0.48817411699935231</v>
      </c>
      <c r="AG316" s="801">
        <f t="shared" si="124"/>
        <v>4</v>
      </c>
      <c r="AH316" s="172">
        <f t="shared" si="119"/>
        <v>10</v>
      </c>
      <c r="AI316" s="221">
        <f t="shared" si="120"/>
        <v>4.4881741169993523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47786</v>
      </c>
      <c r="B317" s="406">
        <f>'2029'!Wh/'2029'!Env_an*'2030'!Env_an</f>
        <v>83.064152180463509</v>
      </c>
      <c r="C317" s="831"/>
      <c r="D317" s="388">
        <f t="shared" si="102"/>
        <v>86.976372283243549</v>
      </c>
      <c r="E317" s="380">
        <f t="shared" si="125"/>
        <v>88.896631159018781</v>
      </c>
      <c r="F317" s="380">
        <f t="shared" si="103"/>
        <v>88.917624405238982</v>
      </c>
      <c r="G317" s="110">
        <f t="shared" si="126"/>
        <v>0.63441329662221135</v>
      </c>
      <c r="H317" s="409" t="b">
        <f>Wh_hp&gt;='2029'!Maxi_hp</f>
        <v>0</v>
      </c>
      <c r="I317" s="385">
        <f>IF(H317,Wh_hp,'2029'!Maxi_hp)</f>
        <v>88.929429943369428</v>
      </c>
      <c r="J317" s="85">
        <f>IF(H317,An,'2029'!An_max)</f>
        <v>2029</v>
      </c>
      <c r="K317" s="193">
        <f t="shared" si="104"/>
        <v>47786</v>
      </c>
      <c r="L317" s="143">
        <f>IF(t&lt;Tvie,1-EXP((T0-t)*PertePVj)+'2029'!Pspv,1-EXP((T0-t)*PertePVj)+Pspv)</f>
        <v>4.4980263030972023E-2</v>
      </c>
      <c r="M317" s="835"/>
      <c r="N317" s="835"/>
      <c r="O317" s="48">
        <f>IF(t&lt;Tnet,'2029'!Resal+('2029'!Salim-'2029'!Resal)*(1-EXP(('2029'!Tnet-t)/('2029'!Tau_j))),Resal+(Salim-Resal)*(1-EXP((Tnet-t)/(Tau_j))))*Salcycl</f>
        <v>2.1601030891038726E-2</v>
      </c>
      <c r="P317" s="165">
        <f>(INDEX(Models!$BJ317:$BT317,,T317)*(1-R317)+INDEX(Models!$BJ317:$BT317,,T317+1)*R317-ERP_i)*Q317*Ramure*Pc/MaxiM</f>
        <v>4.9396223188801001E-4</v>
      </c>
      <c r="Q317" s="301">
        <f t="shared" si="105"/>
        <v>0.5</v>
      </c>
      <c r="R317" s="173">
        <f t="shared" si="106"/>
        <v>0.96324757560541663</v>
      </c>
      <c r="S317" s="801">
        <f t="shared" si="107"/>
        <v>0</v>
      </c>
      <c r="T317" s="172">
        <f t="shared" si="108"/>
        <v>6</v>
      </c>
      <c r="U317" s="247">
        <f t="shared" si="109"/>
        <v>0.96324757560541663</v>
      </c>
      <c r="V317" s="378">
        <f t="shared" si="110"/>
        <v>130.89689050541637</v>
      </c>
      <c r="W317" s="397">
        <f t="shared" si="111"/>
        <v>83.064152180463509</v>
      </c>
      <c r="X317" s="153">
        <f t="shared" si="112"/>
        <v>47786</v>
      </c>
      <c r="Y317" s="380">
        <f t="shared" si="113"/>
        <v>80.12997606555767</v>
      </c>
      <c r="Z317" s="380">
        <f t="shared" si="114"/>
        <v>83.904000057494457</v>
      </c>
      <c r="AA317" s="381">
        <f t="shared" si="115"/>
        <v>88.772332030969608</v>
      </c>
      <c r="AB317" s="193">
        <f t="shared" si="116"/>
        <v>47786</v>
      </c>
      <c r="AC317" s="119">
        <f>IF(OR(t&lt;Tnet,NoTnet),'2029'!Resal_s+('2029'!Salim-'2029'!Resal_s)*(1-EXP(('2029'!Tnet_s-t)/'2029'!Tau_j)),Resal_s+(Salim-Resal_s)*(1-EXP((Tnet_s-t)/Tau_j)))*Salcycl</f>
        <v>5.4840645301249429E-2</v>
      </c>
      <c r="AD317" s="227">
        <f>(INDEX(Models!$BJ317:$BT317,,AH317)*(1-AF317)+INDEX(Models!$BJ317:$BT317,,AH317+1)*AF317-ERP_i)*AE317*Ramure*Pc/MaxiM</f>
        <v>3.4186683049212186E-3</v>
      </c>
      <c r="AE317" s="301">
        <f t="shared" si="117"/>
        <v>0.5</v>
      </c>
      <c r="AF317" s="173">
        <f t="shared" si="118"/>
        <v>0.48823514197939488</v>
      </c>
      <c r="AG317" s="801">
        <f t="shared" si="124"/>
        <v>4</v>
      </c>
      <c r="AH317" s="172">
        <f t="shared" si="119"/>
        <v>10</v>
      </c>
      <c r="AI317" s="221">
        <f t="shared" si="120"/>
        <v>4.4882351419793949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47787</v>
      </c>
      <c r="B318" s="406">
        <f>'2029'!Wh/'2029'!Env_an*'2030'!Env_an</f>
        <v>84.09484872679181</v>
      </c>
      <c r="C318" s="831"/>
      <c r="D318" s="388">
        <f t="shared" si="102"/>
        <v>88.056818801785198</v>
      </c>
      <c r="E318" s="380">
        <f t="shared" si="125"/>
        <v>90.005609744869744</v>
      </c>
      <c r="F318" s="380">
        <f t="shared" si="103"/>
        <v>90.03016674432709</v>
      </c>
      <c r="G318" s="110">
        <f t="shared" si="126"/>
        <v>0.64859009259079892</v>
      </c>
      <c r="H318" s="409" t="b">
        <f>Wh_hp&gt;='2029'!Maxi_hp</f>
        <v>0</v>
      </c>
      <c r="I318" s="385">
        <f>IF(H318,Wh_hp,'2029'!Maxi_hp)</f>
        <v>90.0429004935324</v>
      </c>
      <c r="J318" s="85">
        <f>IF(H318,An,'2029'!An_max)</f>
        <v>2029</v>
      </c>
      <c r="K318" s="193">
        <f t="shared" si="104"/>
        <v>47787</v>
      </c>
      <c r="L318" s="143">
        <f>IF(t&lt;Tvie,1-EXP((T0-t)*PertePVj)+'2029'!Pspv,1-EXP((T0-t)*PertePVj)+Pspv)</f>
        <v>4.4993336449182131E-2</v>
      </c>
      <c r="M318" s="835"/>
      <c r="N318" s="835"/>
      <c r="O318" s="48">
        <f>IF(t&lt;Tnet,'2029'!Resal+('2029'!Salim-'2029'!Resal)*(1-EXP(('2029'!Tnet-t)/('2029'!Tau_j))),Resal+(Salim-Resal)*(1-EXP((Tnet-t)/(Tau_j))))*Salcycl</f>
        <v>2.1651883128269326E-2</v>
      </c>
      <c r="P318" s="165">
        <f>(INDEX(Models!$BJ318:$BT318,,T318)*(1-R318)+INDEX(Models!$BJ318:$BT318,,T318+1)*R318-ERP_i)*Q318*Ramure*Pc/MaxiM</f>
        <v>5.4745473601164362E-4</v>
      </c>
      <c r="Q318" s="301">
        <f t="shared" si="105"/>
        <v>0.5</v>
      </c>
      <c r="R318" s="173">
        <f t="shared" si="106"/>
        <v>0.96330615757127747</v>
      </c>
      <c r="S318" s="801">
        <f t="shared" si="107"/>
        <v>0</v>
      </c>
      <c r="T318" s="172">
        <f t="shared" si="108"/>
        <v>6</v>
      </c>
      <c r="U318" s="247">
        <f t="shared" si="109"/>
        <v>0.96330615757127747</v>
      </c>
      <c r="V318" s="378">
        <f t="shared" si="110"/>
        <v>129.62230431675783</v>
      </c>
      <c r="W318" s="397">
        <f t="shared" si="111"/>
        <v>84.09484872679181</v>
      </c>
      <c r="X318" s="153">
        <f t="shared" si="112"/>
        <v>47787</v>
      </c>
      <c r="Y318" s="380">
        <f t="shared" si="113"/>
        <v>81.115661806345599</v>
      </c>
      <c r="Z318" s="380">
        <f t="shared" si="114"/>
        <v>84.937273112575795</v>
      </c>
      <c r="AA318" s="381">
        <f t="shared" si="115"/>
        <v>89.864708113888327</v>
      </c>
      <c r="AB318" s="193">
        <f t="shared" si="116"/>
        <v>47787</v>
      </c>
      <c r="AC318" s="119">
        <f>IF(OR(t&lt;Tnet,NoTnet),'2029'!Resal_s+('2029'!Salim-'2029'!Resal_s)*(1-EXP(('2029'!Tnet_s-t)/'2029'!Tau_j)),Resal_s+(Salim-Resal_s)*(1-EXP((Tnet_s-t)/Tau_j)))*Salcycl</f>
        <v>5.483170317615492E-2</v>
      </c>
      <c r="AD318" s="227">
        <f>(INDEX(Models!$BJ318:$BT318,,AH318)*(1-AF318)+INDEX(Models!$BJ318:$BT318,,AH318+1)*AF318-ERP_i)*AE318*Ramure*Pc/MaxiM</f>
        <v>3.6886066233396374E-3</v>
      </c>
      <c r="AE318" s="301">
        <f t="shared" si="117"/>
        <v>0.5</v>
      </c>
      <c r="AF318" s="173">
        <f t="shared" si="118"/>
        <v>0.48829372394525539</v>
      </c>
      <c r="AG318" s="801">
        <f t="shared" si="124"/>
        <v>4</v>
      </c>
      <c r="AH318" s="172">
        <f t="shared" si="119"/>
        <v>10</v>
      </c>
      <c r="AI318" s="221">
        <f t="shared" si="120"/>
        <v>4.4882937239452554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47788</v>
      </c>
      <c r="B319" s="406">
        <f>'2029'!Wh/'2029'!Env_an*'2030'!Env_an</f>
        <v>83.456348116459523</v>
      </c>
      <c r="C319" s="831"/>
      <c r="D319" s="388">
        <f t="shared" si="102"/>
        <v>87.389432728267238</v>
      </c>
      <c r="E319" s="380">
        <f t="shared" si="125"/>
        <v>89.32807880914045</v>
      </c>
      <c r="F319" s="380">
        <f t="shared" si="103"/>
        <v>89.354943819985778</v>
      </c>
      <c r="G319" s="110">
        <f t="shared" si="126"/>
        <v>0.65005485617099323</v>
      </c>
      <c r="H319" s="409" t="b">
        <f>Wh_hp&gt;='2029'!Maxi_hp</f>
        <v>0</v>
      </c>
      <c r="I319" s="385">
        <f>IF(H319,Wh_hp,'2029'!Maxi_hp)</f>
        <v>89.368757360620421</v>
      </c>
      <c r="J319" s="85">
        <f>IF(H319,An,'2029'!An_max)</f>
        <v>2029</v>
      </c>
      <c r="K319" s="193">
        <f t="shared" si="104"/>
        <v>47788</v>
      </c>
      <c r="L319" s="143">
        <f>IF(t&lt;Tvie,1-EXP((T0-t)*PertePVj)+'2029'!Pspv,1-EXP((T0-t)*PertePVj)+Pspv)</f>
        <v>4.5006409688428062E-2</v>
      </c>
      <c r="M319" s="835"/>
      <c r="N319" s="835"/>
      <c r="O319" s="48">
        <f>IF(t&lt;Tnet,'2029'!Resal+('2029'!Salim-'2029'!Resal)*(1-EXP(('2029'!Tnet-t)/('2029'!Tau_j))),Resal+(Salim-Resal)*(1-EXP((Tnet-t)/(Tau_j))))*Salcycl</f>
        <v>2.1702538627471769E-2</v>
      </c>
      <c r="P319" s="165">
        <f>(INDEX(Models!$BJ319:$BT319,,T319)*(1-R319)+INDEX(Models!$BJ319:$BT319,,T319+1)*R319-ERP_i)*Q319*Ramure*Pc/MaxiM</f>
        <v>6.0088056980457031E-4</v>
      </c>
      <c r="Q319" s="301">
        <f t="shared" si="105"/>
        <v>0.5</v>
      </c>
      <c r="R319" s="173">
        <f t="shared" si="106"/>
        <v>0.96336239378341915</v>
      </c>
      <c r="S319" s="801">
        <f t="shared" si="107"/>
        <v>0</v>
      </c>
      <c r="T319" s="172">
        <f t="shared" si="108"/>
        <v>6</v>
      </c>
      <c r="U319" s="247">
        <f t="shared" si="109"/>
        <v>0.96336239378341915</v>
      </c>
      <c r="V319" s="378">
        <f t="shared" si="110"/>
        <v>128.34499128739307</v>
      </c>
      <c r="W319" s="397">
        <f t="shared" si="111"/>
        <v>83.456348116459523</v>
      </c>
      <c r="X319" s="153">
        <f t="shared" si="112"/>
        <v>47788</v>
      </c>
      <c r="Y319" s="380">
        <f t="shared" si="113"/>
        <v>80.495445025739826</v>
      </c>
      <c r="Z319" s="380">
        <f t="shared" si="114"/>
        <v>84.288989834452963</v>
      </c>
      <c r="AA319" s="381">
        <f t="shared" si="115"/>
        <v>89.177958041089468</v>
      </c>
      <c r="AB319" s="193">
        <f t="shared" si="116"/>
        <v>47788</v>
      </c>
      <c r="AC319" s="119">
        <f>IF(OR(t&lt;Tnet,NoTnet),'2029'!Resal_s+('2029'!Salim-'2029'!Resal_s)*(1-EXP(('2029'!Tnet_s-t)/'2029'!Tau_j)),Resal_s+(Salim-Resal_s)*(1-EXP((Tnet_s-t)/Tau_j)))*Salcycl</f>
        <v>5.4822607671549027E-2</v>
      </c>
      <c r="AD319" s="227">
        <f>(INDEX(Models!$BJ319:$BT319,,AH319)*(1-AF319)+INDEX(Models!$BJ319:$BT319,,AH319+1)*AF319-ERP_i)*AE319*Ramure*Pc/MaxiM</f>
        <v>3.9585807831177934E-3</v>
      </c>
      <c r="AE319" s="301">
        <f t="shared" si="117"/>
        <v>0.5</v>
      </c>
      <c r="AF319" s="173">
        <f t="shared" si="118"/>
        <v>0.48834996015739751</v>
      </c>
      <c r="AG319" s="801">
        <f t="shared" si="124"/>
        <v>4</v>
      </c>
      <c r="AH319" s="172">
        <f t="shared" si="119"/>
        <v>10</v>
      </c>
      <c r="AI319" s="221">
        <f t="shared" si="120"/>
        <v>4.4883499601573975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47789</v>
      </c>
      <c r="B320" s="406">
        <f>'2029'!Wh/'2029'!Env_an*'2030'!Env_an</f>
        <v>110.84758058797026</v>
      </c>
      <c r="C320" s="831"/>
      <c r="D320" s="388">
        <f t="shared" si="102"/>
        <v>116.07313299649496</v>
      </c>
      <c r="E320" s="380">
        <f t="shared" si="125"/>
        <v>118.65422056318003</v>
      </c>
      <c r="F320" s="380">
        <f t="shared" si="103"/>
        <v>118.71772760877137</v>
      </c>
      <c r="G320" s="110">
        <f t="shared" si="126"/>
        <v>0.87225131886297569</v>
      </c>
      <c r="H320" s="409" t="b">
        <f>Wh_hp&gt;='2029'!Maxi_hp</f>
        <v>0</v>
      </c>
      <c r="I320" s="385">
        <f>IF(H320,Wh_hp,'2029'!Maxi_hp)</f>
        <v>118.72502140694162</v>
      </c>
      <c r="J320" s="85">
        <f>IF(H320,An,'2029'!An_max)</f>
        <v>2029</v>
      </c>
      <c r="K320" s="193">
        <f t="shared" si="104"/>
        <v>47789</v>
      </c>
      <c r="L320" s="143">
        <f>IF(t&lt;Tvie,1-EXP((T0-t)*PertePVj)+'2029'!Pspv,1-EXP((T0-t)*PertePVj)+Pspv)</f>
        <v>4.5019482748712369E-2</v>
      </c>
      <c r="M320" s="835"/>
      <c r="N320" s="835"/>
      <c r="O320" s="48">
        <f>IF(t&lt;Tnet,'2029'!Resal+('2029'!Salim-'2029'!Resal)*(1-EXP(('2029'!Tnet-t)/('2029'!Tau_j))),Resal+(Salim-Resal)*(1-EXP((Tnet-t)/(Tau_j))))*Salcycl</f>
        <v>2.1753019441147554E-2</v>
      </c>
      <c r="P320" s="165">
        <f>(INDEX(Models!$BJ320:$BT320,,T320)*(1-R320)+INDEX(Models!$BJ320:$BT320,,T320+1)*R320-ERP_i)*Q320*Ramure*Pc/MaxiM</f>
        <v>6.542422004834202E-4</v>
      </c>
      <c r="Q320" s="301">
        <f t="shared" si="105"/>
        <v>0.5</v>
      </c>
      <c r="R320" s="173">
        <f t="shared" si="106"/>
        <v>0.96341637767277333</v>
      </c>
      <c r="S320" s="801">
        <f t="shared" si="107"/>
        <v>0</v>
      </c>
      <c r="T320" s="172">
        <f t="shared" si="108"/>
        <v>6</v>
      </c>
      <c r="U320" s="247">
        <f t="shared" si="109"/>
        <v>0.96341637767277333</v>
      </c>
      <c r="V320" s="378">
        <f t="shared" si="110"/>
        <v>127.06698966803856</v>
      </c>
      <c r="W320" s="397">
        <f t="shared" si="111"/>
        <v>110.84758058797026</v>
      </c>
      <c r="X320" s="153">
        <f t="shared" si="112"/>
        <v>47789</v>
      </c>
      <c r="Y320" s="380">
        <f t="shared" si="113"/>
        <v>106.78824578707517</v>
      </c>
      <c r="Z320" s="380">
        <f t="shared" si="114"/>
        <v>111.82243392194312</v>
      </c>
      <c r="AA320" s="381">
        <f t="shared" si="115"/>
        <v>118.30725872883109</v>
      </c>
      <c r="AB320" s="193">
        <f t="shared" si="116"/>
        <v>47789</v>
      </c>
      <c r="AC320" s="119">
        <f>IF(OR(t&lt;Tnet,NoTnet),'2029'!Resal_s+('2029'!Salim-'2029'!Resal_s)*(1-EXP(('2029'!Tnet_s-t)/'2029'!Tau_j)),Resal_s+(Salim-Resal_s)*(1-EXP((Tnet_s-t)/Tau_j)))*Salcycl</f>
        <v>5.4813414464717408E-2</v>
      </c>
      <c r="AD320" s="227">
        <f>(INDEX(Models!$BJ320:$BT320,,AH320)*(1-AF320)+INDEX(Models!$BJ320:$BT320,,AH320+1)*AF320-ERP_i)*AE320*Ramure*Pc/MaxiM</f>
        <v>4.2286026808777445E-3</v>
      </c>
      <c r="AE320" s="301">
        <f t="shared" si="117"/>
        <v>0.5</v>
      </c>
      <c r="AF320" s="173">
        <f t="shared" si="118"/>
        <v>0.4884039440467518</v>
      </c>
      <c r="AG320" s="801">
        <f t="shared" si="124"/>
        <v>4</v>
      </c>
      <c r="AH320" s="172">
        <f t="shared" si="119"/>
        <v>10</v>
      </c>
      <c r="AI320" s="221">
        <f t="shared" si="120"/>
        <v>4.4884039440467518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47790</v>
      </c>
      <c r="B321" s="406">
        <f>'2029'!Wh/'2029'!Env_an*'2030'!Env_an</f>
        <v>42.327482221259984</v>
      </c>
      <c r="C321" s="831"/>
      <c r="D321" s="388">
        <f t="shared" si="102"/>
        <v>44.323481884961467</v>
      </c>
      <c r="E321" s="380">
        <f t="shared" si="125"/>
        <v>45.311422607648474</v>
      </c>
      <c r="F321" s="380">
        <f t="shared" si="103"/>
        <v>45.313094001261334</v>
      </c>
      <c r="G321" s="110">
        <f t="shared" si="126"/>
        <v>0.33626664054193239</v>
      </c>
      <c r="H321" s="409" t="b">
        <f>Wh_hp&gt;='2029'!Maxi_hp</f>
        <v>0</v>
      </c>
      <c r="I321" s="385">
        <f>IF(H321,Wh_hp,'2029'!Maxi_hp)</f>
        <v>45.328740601797037</v>
      </c>
      <c r="J321" s="85">
        <f>IF(H321,An,'2029'!An_max)</f>
        <v>2029</v>
      </c>
      <c r="K321" s="193">
        <f t="shared" si="104"/>
        <v>47790</v>
      </c>
      <c r="L321" s="143">
        <f>IF(t&lt;Tvie,1-EXP((T0-t)*PertePVj)+'2029'!Pspv,1-EXP((T0-t)*PertePVj)+Pspv)</f>
        <v>4.5032555630037385E-2</v>
      </c>
      <c r="M321" s="835"/>
      <c r="N321" s="835"/>
      <c r="O321" s="48">
        <f>IF(t&lt;Tnet,'2029'!Resal+('2029'!Salim-'2029'!Resal)*(1-EXP(('2029'!Tnet-t)/('2029'!Tau_j))),Resal+(Salim-Resal)*(1-EXP((Tnet-t)/(Tau_j))))*Salcycl</f>
        <v>2.1803348158842443E-2</v>
      </c>
      <c r="P321" s="165">
        <f>(INDEX(Models!$BJ321:$BT321,,T321)*(1-R321)+INDEX(Models!$BJ321:$BT321,,T321+1)*R321-ERP_i)*Q321*Ramure*Pc/MaxiM</f>
        <v>7.07540973788013E-4</v>
      </c>
      <c r="Q321" s="301">
        <f t="shared" si="105"/>
        <v>0.5</v>
      </c>
      <c r="R321" s="173">
        <f t="shared" si="106"/>
        <v>0.96346819898816649</v>
      </c>
      <c r="S321" s="801">
        <f t="shared" si="107"/>
        <v>0</v>
      </c>
      <c r="T321" s="172">
        <f t="shared" si="108"/>
        <v>6</v>
      </c>
      <c r="U321" s="247">
        <f t="shared" si="109"/>
        <v>0.96346819898816649</v>
      </c>
      <c r="V321" s="378">
        <f t="shared" si="110"/>
        <v>125.79033693614387</v>
      </c>
      <c r="W321" s="397">
        <f t="shared" si="111"/>
        <v>42.327482221259984</v>
      </c>
      <c r="X321" s="153">
        <f t="shared" si="112"/>
        <v>47790</v>
      </c>
      <c r="Y321" s="380">
        <f t="shared" si="113"/>
        <v>40.891421780188082</v>
      </c>
      <c r="Z321" s="380">
        <f t="shared" si="114"/>
        <v>42.819702411076534</v>
      </c>
      <c r="AA321" s="381">
        <f t="shared" si="115"/>
        <v>45.302466966533792</v>
      </c>
      <c r="AB321" s="193">
        <f t="shared" si="116"/>
        <v>47790</v>
      </c>
      <c r="AC321" s="119">
        <f>IF(OR(t&lt;Tnet,NoTnet),'2029'!Resal_s+('2029'!Salim-'2029'!Resal_s)*(1-EXP(('2029'!Tnet_s-t)/'2029'!Tau_j)),Resal_s+(Salim-Resal_s)*(1-EXP((Tnet_s-t)/Tau_j)))*Salcycl</f>
        <v>5.4804180030446202E-2</v>
      </c>
      <c r="AD321" s="227">
        <f>(INDEX(Models!$BJ321:$BT321,,AH321)*(1-AF321)+INDEX(Models!$BJ321:$BT321,,AH321+1)*AF321-ERP_i)*AE321*Ramure*Pc/MaxiM</f>
        <v>4.4986784930596243E-3</v>
      </c>
      <c r="AE321" s="301">
        <f t="shared" si="117"/>
        <v>0.5</v>
      </c>
      <c r="AF321" s="173">
        <f t="shared" si="118"/>
        <v>0.48845576536214441</v>
      </c>
      <c r="AG321" s="801">
        <f t="shared" si="124"/>
        <v>4</v>
      </c>
      <c r="AH321" s="172">
        <f t="shared" si="119"/>
        <v>10</v>
      </c>
      <c r="AI321" s="221">
        <f t="shared" si="120"/>
        <v>4.4884557653621444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47791</v>
      </c>
      <c r="B322" s="406">
        <f>'2029'!Wh/'2029'!Env_an*'2030'!Env_an</f>
        <v>50.163845977352999</v>
      </c>
      <c r="C322" s="831"/>
      <c r="D322" s="388">
        <f t="shared" si="102"/>
        <v>52.530097212659605</v>
      </c>
      <c r="E322" s="380">
        <f t="shared" si="125"/>
        <v>53.703713891826553</v>
      </c>
      <c r="F322" s="380">
        <f t="shared" si="103"/>
        <v>53.709718563150197</v>
      </c>
      <c r="G322" s="110">
        <f t="shared" si="126"/>
        <v>0.40260574035733443</v>
      </c>
      <c r="H322" s="409" t="b">
        <f>Wh_hp&gt;='2029'!Maxi_hp</f>
        <v>0</v>
      </c>
      <c r="I322" s="385">
        <f>IF(H322,Wh_hp,'2029'!Maxi_hp)</f>
        <v>53.727665968753364</v>
      </c>
      <c r="J322" s="85">
        <f>IF(H322,An,'2029'!An_max)</f>
        <v>2029</v>
      </c>
      <c r="K322" s="193">
        <f t="shared" si="104"/>
        <v>47791</v>
      </c>
      <c r="L322" s="143">
        <f>IF(t&lt;Tvie,1-EXP((T0-t)*PertePVj)+'2029'!Pspv,1-EXP((T0-t)*PertePVj)+Pspv)</f>
        <v>4.5045628332405663E-2</v>
      </c>
      <c r="M322" s="835"/>
      <c r="N322" s="835"/>
      <c r="O322" s="48">
        <f>IF(t&lt;Tnet,'2029'!Resal+('2029'!Salim-'2029'!Resal)*(1-EXP(('2029'!Tnet-t)/('2029'!Tau_j))),Resal+(Salim-Resal)*(1-EXP((Tnet-t)/(Tau_j))))*Salcycl</f>
        <v>2.1853547811067967E-2</v>
      </c>
      <c r="P322" s="165">
        <f>(INDEX(Models!$BJ322:$BT322,,T322)*(1-R322)+INDEX(Models!$BJ322:$BT322,,T322+1)*R322-ERP_i)*Q322*Ramure*Pc/MaxiM</f>
        <v>7.6077703323297716E-4</v>
      </c>
      <c r="Q322" s="301">
        <f t="shared" si="105"/>
        <v>0.5</v>
      </c>
      <c r="R322" s="173">
        <f t="shared" si="106"/>
        <v>0.96351794393833878</v>
      </c>
      <c r="S322" s="801">
        <f t="shared" si="107"/>
        <v>0</v>
      </c>
      <c r="T322" s="172">
        <f t="shared" si="108"/>
        <v>6</v>
      </c>
      <c r="U322" s="247">
        <f t="shared" si="109"/>
        <v>0.96351794393833878</v>
      </c>
      <c r="V322" s="378">
        <f t="shared" si="110"/>
        <v>124.5170698227893</v>
      </c>
      <c r="W322" s="397">
        <f t="shared" si="111"/>
        <v>50.163845977352999</v>
      </c>
      <c r="X322" s="153">
        <f t="shared" si="112"/>
        <v>47791</v>
      </c>
      <c r="Y322" s="380">
        <f t="shared" si="113"/>
        <v>48.445904573937405</v>
      </c>
      <c r="Z322" s="380">
        <f t="shared" si="114"/>
        <v>50.731119738567692</v>
      </c>
      <c r="AA322" s="381">
        <f t="shared" si="115"/>
        <v>53.672079248908616</v>
      </c>
      <c r="AB322" s="193">
        <f t="shared" si="116"/>
        <v>47791</v>
      </c>
      <c r="AC322" s="119">
        <f>IF(OR(t&lt;Tnet,NoTnet),'2029'!Resal_s+('2029'!Salim-'2029'!Resal_s)*(1-EXP(('2029'!Tnet_s-t)/'2029'!Tau_j)),Resal_s+(Salim-Resal_s)*(1-EXP((Tnet_s-t)/Tau_j)))*Salcycl</f>
        <v>5.4794961393278316E-2</v>
      </c>
      <c r="AD322" s="227">
        <f>(INDEX(Models!$BJ322:$BT322,,AH322)*(1-AF322)+INDEX(Models!$BJ322:$BT322,,AH322+1)*AF322-ERP_i)*AE322*Ramure*Pc/MaxiM</f>
        <v>4.7688081958597462E-3</v>
      </c>
      <c r="AE322" s="301">
        <f t="shared" si="117"/>
        <v>0.5</v>
      </c>
      <c r="AF322" s="173">
        <f t="shared" si="118"/>
        <v>0.48850551031231682</v>
      </c>
      <c r="AG322" s="801">
        <f t="shared" si="124"/>
        <v>4</v>
      </c>
      <c r="AH322" s="172">
        <f t="shared" si="119"/>
        <v>10</v>
      </c>
      <c r="AI322" s="221">
        <f t="shared" si="120"/>
        <v>4.4885055103123168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47792</v>
      </c>
      <c r="B323" s="406">
        <f>'2029'!Wh/'2029'!Env_an*'2030'!Env_an</f>
        <v>117.96523553384834</v>
      </c>
      <c r="C323" s="831"/>
      <c r="D323" s="388">
        <f t="shared" si="102"/>
        <v>123.53139992957571</v>
      </c>
      <c r="E323" s="380">
        <f t="shared" si="125"/>
        <v>126.29778128713583</v>
      </c>
      <c r="F323" s="380">
        <f t="shared" si="103"/>
        <v>126.39435894668173</v>
      </c>
      <c r="G323" s="110">
        <f t="shared" si="126"/>
        <v>0.95707985951782748</v>
      </c>
      <c r="H323" s="409" t="b">
        <f>Wh_hp&gt;='2029'!Maxi_hp</f>
        <v>0</v>
      </c>
      <c r="I323" s="385">
        <f>IF(H323,Wh_hp,'2029'!Maxi_hp)</f>
        <v>126.39760433382892</v>
      </c>
      <c r="J323" s="85">
        <f>IF(H323,An,'2029'!An_max)</f>
        <v>2029</v>
      </c>
      <c r="K323" s="193">
        <f t="shared" si="104"/>
        <v>47792</v>
      </c>
      <c r="L323" s="143">
        <f>IF(t&lt;Tvie,1-EXP((T0-t)*PertePVj)+'2029'!Pspv,1-EXP((T0-t)*PertePVj)+Pspv)</f>
        <v>4.5058700855819644E-2</v>
      </c>
      <c r="M323" s="835"/>
      <c r="N323" s="835"/>
      <c r="O323" s="48">
        <f>IF(t&lt;Tnet,'2029'!Resal+('2029'!Salim-'2029'!Resal)*(1-EXP(('2029'!Tnet-t)/('2029'!Tau_j))),Resal+(Salim-Resal)*(1-EXP((Tnet-t)/(Tau_j))))*Salcycl</f>
        <v>2.1903641769215169E-2</v>
      </c>
      <c r="P323" s="165">
        <f>(INDEX(Models!$BJ323:$BT323,,T323)*(1-R323)+INDEX(Models!$BJ323:$BT323,,T323+1)*R323-ERP_i)*Q323*Ramure*Pc/MaxiM</f>
        <v>8.1394921740603004E-4</v>
      </c>
      <c r="Q323" s="301">
        <f t="shared" si="105"/>
        <v>0.5</v>
      </c>
      <c r="R323" s="173">
        <f t="shared" si="106"/>
        <v>0.96356569532872827</v>
      </c>
      <c r="S323" s="801">
        <f t="shared" si="107"/>
        <v>0</v>
      </c>
      <c r="T323" s="172">
        <f t="shared" si="108"/>
        <v>6</v>
      </c>
      <c r="U323" s="247">
        <f t="shared" si="109"/>
        <v>0.96356569532872827</v>
      </c>
      <c r="V323" s="378">
        <f t="shared" si="110"/>
        <v>123.24922433286348</v>
      </c>
      <c r="W323" s="397">
        <f t="shared" si="111"/>
        <v>117.96523553384834</v>
      </c>
      <c r="X323" s="153">
        <f t="shared" si="112"/>
        <v>47792</v>
      </c>
      <c r="Y323" s="380">
        <f t="shared" si="113"/>
        <v>113.54691823853463</v>
      </c>
      <c r="Z323" s="380">
        <f t="shared" si="114"/>
        <v>118.90460527814173</v>
      </c>
      <c r="AA323" s="381">
        <f t="shared" si="115"/>
        <v>125.79646737740953</v>
      </c>
      <c r="AB323" s="193">
        <f t="shared" si="116"/>
        <v>47792</v>
      </c>
      <c r="AC323" s="119">
        <f>IF(OR(t&lt;Tnet,NoTnet),'2029'!Resal_s+('2029'!Salim-'2029'!Resal_s)*(1-EXP(('2029'!Tnet_s-t)/'2029'!Tau_j)),Resal_s+(Salim-Resal_s)*(1-EXP((Tnet_s-t)/Tau_j)))*Salcycl</f>
        <v>5.4785815873438705E-2</v>
      </c>
      <c r="AD323" s="227">
        <f>(INDEX(Models!$BJ323:$BT323,,AH323)*(1-AF323)+INDEX(Models!$BJ323:$BT323,,AH323+1)*AF323-ERP_i)*AE323*Ramure*Pc/MaxiM</f>
        <v>5.0389849701365334E-3</v>
      </c>
      <c r="AE323" s="301">
        <f t="shared" si="117"/>
        <v>0.5</v>
      </c>
      <c r="AF323" s="173">
        <f t="shared" si="118"/>
        <v>0.48855326170270619</v>
      </c>
      <c r="AG323" s="801">
        <f t="shared" si="124"/>
        <v>4</v>
      </c>
      <c r="AH323" s="172">
        <f t="shared" si="119"/>
        <v>10</v>
      </c>
      <c r="AI323" s="221">
        <f t="shared" si="120"/>
        <v>4.4885532617027062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47793</v>
      </c>
      <c r="B324" s="406">
        <f>'2029'!Wh/'2029'!Env_an*'2030'!Env_an</f>
        <v>118.37610089684087</v>
      </c>
      <c r="C324" s="831"/>
      <c r="D324" s="388">
        <f t="shared" si="102"/>
        <v>123.96334884094746</v>
      </c>
      <c r="E324" s="380">
        <f t="shared" si="125"/>
        <v>126.7458840806174</v>
      </c>
      <c r="F324" s="380">
        <f t="shared" si="103"/>
        <v>126.85109732002684</v>
      </c>
      <c r="G324" s="110">
        <f t="shared" si="126"/>
        <v>0.97034816134320645</v>
      </c>
      <c r="H324" s="409" t="b">
        <f>Wh_hp&gt;='2029'!Maxi_hp</f>
        <v>0</v>
      </c>
      <c r="I324" s="385">
        <f>IF(H324,Wh_hp,'2029'!Maxi_hp)</f>
        <v>126.85349150450422</v>
      </c>
      <c r="J324" s="85">
        <f>IF(H324,An,'2029'!An_max)</f>
        <v>2029</v>
      </c>
      <c r="K324" s="193">
        <f t="shared" si="104"/>
        <v>47793</v>
      </c>
      <c r="L324" s="143">
        <f>IF(t&lt;Tvie,1-EXP((T0-t)*PertePVj)+'2029'!Pspv,1-EXP((T0-t)*PertePVj)+Pspv)</f>
        <v>4.5071773200281773E-2</v>
      </c>
      <c r="M324" s="835"/>
      <c r="N324" s="835"/>
      <c r="O324" s="48">
        <f>IF(t&lt;Tnet,'2029'!Resal+('2029'!Salim-'2029'!Resal)*(1-EXP(('2029'!Tnet-t)/('2029'!Tau_j))),Resal+(Salim-Resal)*(1-EXP((Tnet-t)/(Tau_j))))*Salcycl</f>
        <v>2.1953653642118192E-2</v>
      </c>
      <c r="P324" s="165">
        <f>(INDEX(Models!$BJ324:$BT324,,T324)*(1-R324)+INDEX(Models!$BJ324:$BT324,,T324+1)*R324-ERP_i)*Q324*Ramure*Pc/MaxiM</f>
        <v>8.6606547609479744E-4</v>
      </c>
      <c r="Q324" s="301">
        <f t="shared" si="105"/>
        <v>0.5</v>
      </c>
      <c r="R324" s="173">
        <f t="shared" si="106"/>
        <v>0.96361153269319744</v>
      </c>
      <c r="S324" s="801">
        <f t="shared" si="107"/>
        <v>0</v>
      </c>
      <c r="T324" s="172">
        <f t="shared" si="108"/>
        <v>6</v>
      </c>
      <c r="U324" s="247">
        <f t="shared" si="109"/>
        <v>0.96361153269319744</v>
      </c>
      <c r="V324" s="378">
        <f t="shared" si="110"/>
        <v>121.98895658145328</v>
      </c>
      <c r="W324" s="397">
        <f t="shared" si="111"/>
        <v>118.37610089684087</v>
      </c>
      <c r="X324" s="153">
        <f t="shared" si="112"/>
        <v>47793</v>
      </c>
      <c r="Y324" s="380">
        <f t="shared" si="113"/>
        <v>113.91709864328951</v>
      </c>
      <c r="Z324" s="380">
        <f t="shared" si="114"/>
        <v>119.29388559919687</v>
      </c>
      <c r="AA324" s="381">
        <f t="shared" si="115"/>
        <v>126.20710717184602</v>
      </c>
      <c r="AB324" s="193">
        <f t="shared" si="116"/>
        <v>47793</v>
      </c>
      <c r="AC324" s="119">
        <f>IF(OR(t&lt;Tnet,NoTnet),'2029'!Resal_s+('2029'!Salim-'2029'!Resal_s)*(1-EXP(('2029'!Tnet_s-t)/'2029'!Tau_j)),Resal_s+(Salim-Resal_s)*(1-EXP((Tnet_s-t)/Tau_j)))*Salcycl</f>
        <v>5.4776800828149598E-2</v>
      </c>
      <c r="AD324" s="227">
        <f>(INDEX(Models!$BJ324:$BT324,,AH324)*(1-AF324)+INDEX(Models!$BJ324:$BT324,,AH324+1)*AF324-ERP_i)*AE324*Ramure*Pc/MaxiM</f>
        <v>5.3010214058149463E-3</v>
      </c>
      <c r="AE324" s="301">
        <f t="shared" si="117"/>
        <v>0.5</v>
      </c>
      <c r="AF324" s="173">
        <f t="shared" si="118"/>
        <v>0.48859909906717558</v>
      </c>
      <c r="AG324" s="801">
        <f t="shared" si="124"/>
        <v>4</v>
      </c>
      <c r="AH324" s="172">
        <f t="shared" si="119"/>
        <v>10</v>
      </c>
      <c r="AI324" s="221">
        <f t="shared" si="120"/>
        <v>4.4885990990671756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47794</v>
      </c>
      <c r="B325" s="406">
        <f>'2029'!Wh/'2029'!Env_an*'2030'!Env_an</f>
        <v>114.29200760423937</v>
      </c>
      <c r="C325" s="831"/>
      <c r="D325" s="388">
        <f t="shared" si="102"/>
        <v>119.68812836363523</v>
      </c>
      <c r="E325" s="380">
        <f t="shared" si="125"/>
        <v>122.38095072855252</v>
      </c>
      <c r="F325" s="380">
        <f t="shared" si="103"/>
        <v>122.48445953568033</v>
      </c>
      <c r="G325" s="110">
        <f t="shared" si="126"/>
        <v>0.94654114632010178</v>
      </c>
      <c r="H325" s="409" t="b">
        <f>Wh_hp&gt;='2029'!Maxi_hp</f>
        <v>0</v>
      </c>
      <c r="I325" s="385">
        <f>IF(H325,Wh_hp,'2029'!Maxi_hp)</f>
        <v>122.48886210517838</v>
      </c>
      <c r="J325" s="85">
        <f>IF(H325,An,'2029'!An_max)</f>
        <v>2029</v>
      </c>
      <c r="K325" s="193">
        <f t="shared" si="104"/>
        <v>47794</v>
      </c>
      <c r="L325" s="143">
        <f>IF(t&lt;Tvie,1-EXP((T0-t)*PertePVj)+'2029'!Pspv,1-EXP((T0-t)*PertePVj)+Pspv)</f>
        <v>4.508484536579449E-2</v>
      </c>
      <c r="M325" s="835"/>
      <c r="N325" s="835"/>
      <c r="O325" s="48">
        <f>IF(t&lt;Tnet,'2029'!Resal+('2029'!Salim-'2029'!Resal)*(1-EXP(('2029'!Tnet-t)/('2029'!Tau_j))),Resal+(Salim-Resal)*(1-EXP((Tnet-t)/(Tau_j))))*Salcycl</f>
        <v>2.2003607169959947E-2</v>
      </c>
      <c r="P325" s="165">
        <f>(INDEX(Models!$BJ325:$BT325,,T325)*(1-R325)+INDEX(Models!$BJ325:$BT325,,T325+1)*R325-ERP_i)*Q325*Ramure*Pc/MaxiM</f>
        <v>9.1485818646359516E-4</v>
      </c>
      <c r="Q325" s="301">
        <f t="shared" si="105"/>
        <v>0.5</v>
      </c>
      <c r="R325" s="173">
        <f t="shared" si="106"/>
        <v>0.96365553242086854</v>
      </c>
      <c r="S325" s="801">
        <f t="shared" si="107"/>
        <v>0</v>
      </c>
      <c r="T325" s="172">
        <f t="shared" si="108"/>
        <v>6</v>
      </c>
      <c r="U325" s="247">
        <f t="shared" si="109"/>
        <v>0.96365553242086854</v>
      </c>
      <c r="V325" s="378">
        <f t="shared" si="110"/>
        <v>120.73857103636324</v>
      </c>
      <c r="W325" s="397">
        <f t="shared" si="111"/>
        <v>114.29200760423937</v>
      </c>
      <c r="X325" s="153">
        <f t="shared" si="112"/>
        <v>47794</v>
      </c>
      <c r="Y325" s="380">
        <f t="shared" si="113"/>
        <v>109.98957699351374</v>
      </c>
      <c r="Z325" s="380">
        <f t="shared" si="114"/>
        <v>115.18256513129366</v>
      </c>
      <c r="AA325" s="381">
        <f t="shared" si="115"/>
        <v>121.85639281013368</v>
      </c>
      <c r="AB325" s="193">
        <f t="shared" si="116"/>
        <v>47794</v>
      </c>
      <c r="AC325" s="119">
        <f>IF(OR(t&lt;Tnet,NoTnet),'2029'!Resal_s+('2029'!Salim-'2029'!Resal_s)*(1-EXP(('2029'!Tnet_s-t)/'2029'!Tau_j)),Resal_s+(Salim-Resal_s)*(1-EXP((Tnet_s-t)/Tau_j)))*Salcycl</f>
        <v>5.4767973390108603E-2</v>
      </c>
      <c r="AD325" s="227">
        <f>(INDEX(Models!$BJ325:$BT325,,AH325)*(1-AF325)+INDEX(Models!$BJ325:$BT325,,AH325+1)*AF325-ERP_i)*AE325*Ramure*Pc/MaxiM</f>
        <v>5.5511410232192294E-3</v>
      </c>
      <c r="AE325" s="301">
        <f t="shared" si="117"/>
        <v>0.5</v>
      </c>
      <c r="AF325" s="173">
        <f t="shared" si="118"/>
        <v>0.48864309879484669</v>
      </c>
      <c r="AG325" s="801">
        <f t="shared" si="124"/>
        <v>4</v>
      </c>
      <c r="AH325" s="172">
        <f t="shared" si="119"/>
        <v>10</v>
      </c>
      <c r="AI325" s="221">
        <f t="shared" si="120"/>
        <v>4.4886430987948467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47795</v>
      </c>
      <c r="B326" s="406">
        <f>'2029'!Wh/'2029'!Env_an*'2030'!Env_an</f>
        <v>76.502726746187349</v>
      </c>
      <c r="C326" s="831"/>
      <c r="D326" s="388">
        <f t="shared" si="102"/>
        <v>80.115781645453765</v>
      </c>
      <c r="E326" s="380">
        <f t="shared" si="125"/>
        <v>81.922460773631826</v>
      </c>
      <c r="F326" s="380">
        <f t="shared" si="103"/>
        <v>81.960710804299396</v>
      </c>
      <c r="G326" s="110">
        <f t="shared" si="126"/>
        <v>0.63987353460424401</v>
      </c>
      <c r="H326" s="409" t="b">
        <f>Wh_hp&gt;='2029'!Maxi_hp</f>
        <v>0</v>
      </c>
      <c r="I326" s="385">
        <f>IF(H326,Wh_hp,'2029'!Maxi_hp)</f>
        <v>81.981545807683716</v>
      </c>
      <c r="J326" s="85">
        <f>IF(H326,An,'2029'!An_max)</f>
        <v>2029</v>
      </c>
      <c r="K326" s="193">
        <f t="shared" si="104"/>
        <v>47795</v>
      </c>
      <c r="L326" s="143">
        <f>IF(t&lt;Tvie,1-EXP((T0-t)*PertePVj)+'2029'!Pspv,1-EXP((T0-t)*PertePVj)+Pspv)</f>
        <v>4.5097917352360239E-2</v>
      </c>
      <c r="M326" s="835"/>
      <c r="N326" s="835"/>
      <c r="O326" s="48">
        <f>IF(t&lt;Tnet,'2029'!Resal+('2029'!Salim-'2029'!Resal)*(1-EXP(('2029'!Tnet-t)/('2029'!Tau_j))),Resal+(Salim-Resal)*(1-EXP((Tnet-t)/(Tau_j))))*Salcycl</f>
        <v>2.2053526116241468E-2</v>
      </c>
      <c r="P326" s="165">
        <f>(INDEX(Models!$BJ326:$BT326,,T326)*(1-R326)+INDEX(Models!$BJ326:$BT326,,T326+1)*R326-ERP_i)*Q326*Ramure*Pc/MaxiM</f>
        <v>9.6029125507717135E-4</v>
      </c>
      <c r="Q326" s="301">
        <f t="shared" si="105"/>
        <v>0.5</v>
      </c>
      <c r="R326" s="173">
        <f t="shared" si="106"/>
        <v>0.96369776787823458</v>
      </c>
      <c r="S326" s="801">
        <f t="shared" si="107"/>
        <v>0</v>
      </c>
      <c r="T326" s="172">
        <f t="shared" si="108"/>
        <v>6</v>
      </c>
      <c r="U326" s="247">
        <f t="shared" si="109"/>
        <v>0.96369776787823458</v>
      </c>
      <c r="V326" s="378">
        <f t="shared" si="110"/>
        <v>119.50009328171632</v>
      </c>
      <c r="W326" s="397">
        <f t="shared" si="111"/>
        <v>76.502726746187349</v>
      </c>
      <c r="X326" s="153">
        <f t="shared" si="112"/>
        <v>47795</v>
      </c>
      <c r="Y326" s="380">
        <f t="shared" si="113"/>
        <v>73.770602940500439</v>
      </c>
      <c r="Z326" s="380">
        <f t="shared" si="114"/>
        <v>77.254625663772785</v>
      </c>
      <c r="AA326" s="381">
        <f t="shared" si="115"/>
        <v>81.730117033929261</v>
      </c>
      <c r="AB326" s="193">
        <f t="shared" si="116"/>
        <v>47795</v>
      </c>
      <c r="AC326" s="119">
        <f>IF(OR(t&lt;Tnet,NoTnet),'2029'!Resal_s+('2029'!Salim-'2029'!Resal_s)*(1-EXP(('2029'!Tnet_s-t)/'2029'!Tau_j)),Resal_s+(Salim-Resal_s)*(1-EXP((Tnet_s-t)/Tau_j)))*Salcycl</f>
        <v>5.4759390204941583E-2</v>
      </c>
      <c r="AD326" s="227">
        <f>(INDEX(Models!$BJ326:$BT326,,AH326)*(1-AF326)+INDEX(Models!$BJ326:$BT326,,AH326+1)*AF326-ERP_i)*AE326*Ramure*Pc/MaxiM</f>
        <v>5.7892027090442923E-3</v>
      </c>
      <c r="AE326" s="301">
        <f t="shared" si="117"/>
        <v>0.5</v>
      </c>
      <c r="AF326" s="173">
        <f t="shared" si="118"/>
        <v>0.48868533425221283</v>
      </c>
      <c r="AG326" s="801">
        <f t="shared" si="124"/>
        <v>4</v>
      </c>
      <c r="AH326" s="172">
        <f t="shared" si="119"/>
        <v>10</v>
      </c>
      <c r="AI326" s="221">
        <f t="shared" si="120"/>
        <v>4.4886853342522128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47796</v>
      </c>
      <c r="B327" s="406">
        <f>'2029'!Wh/'2029'!Env_an*'2030'!Env_an</f>
        <v>43.16219197444277</v>
      </c>
      <c r="C327" s="831"/>
      <c r="D327" s="388">
        <f t="shared" si="102"/>
        <v>45.201265785300919</v>
      </c>
      <c r="E327" s="380">
        <f t="shared" si="125"/>
        <v>46.222951756055203</v>
      </c>
      <c r="F327" s="380">
        <f t="shared" si="103"/>
        <v>46.227249580998773</v>
      </c>
      <c r="G327" s="110">
        <f t="shared" si="126"/>
        <v>0.36459724053569958</v>
      </c>
      <c r="H327" s="409" t="b">
        <f>Wh_hp&gt;='2029'!Maxi_hp</f>
        <v>0</v>
      </c>
      <c r="I327" s="385">
        <f>IF(H327,Wh_hp,'2029'!Maxi_hp)</f>
        <v>46.248894817272948</v>
      </c>
      <c r="J327" s="85">
        <f>IF(H327,An,'2029'!An_max)</f>
        <v>2029</v>
      </c>
      <c r="K327" s="193">
        <f t="shared" si="104"/>
        <v>47796</v>
      </c>
      <c r="L327" s="143">
        <f>IF(t&lt;Tvie,1-EXP((T0-t)*PertePVj)+'2029'!Pspv,1-EXP((T0-t)*PertePVj)+Pspv)</f>
        <v>4.5110989159981352E-2</v>
      </c>
      <c r="M327" s="835"/>
      <c r="N327" s="835"/>
      <c r="O327" s="48">
        <f>IF(t&lt;Tnet,'2029'!Resal+('2029'!Salim-'2029'!Resal)*(1-EXP(('2029'!Tnet-t)/('2029'!Tau_j))),Resal+(Salim-Resal)*(1-EXP((Tnet-t)/(Tau_j))))*Salcycl</f>
        <v>2.2103434158560441E-2</v>
      </c>
      <c r="P327" s="165">
        <f>(INDEX(Models!$BJ327:$BT327,,T327)*(1-R327)+INDEX(Models!$BJ327:$BT327,,T327+1)*R327-ERP_i)*Q327*Ramure*Pc/MaxiM</f>
        <v>1.0023264273920425E-3</v>
      </c>
      <c r="Q327" s="301">
        <f t="shared" si="105"/>
        <v>0.5</v>
      </c>
      <c r="R327" s="173">
        <f t="shared" si="106"/>
        <v>0.96373830952670403</v>
      </c>
      <c r="S327" s="801">
        <f t="shared" si="107"/>
        <v>0</v>
      </c>
      <c r="T327" s="172">
        <f t="shared" si="108"/>
        <v>6</v>
      </c>
      <c r="U327" s="247">
        <f t="shared" si="109"/>
        <v>0.96373830952670403</v>
      </c>
      <c r="V327" s="378">
        <f t="shared" si="110"/>
        <v>118.27554843076869</v>
      </c>
      <c r="W327" s="397">
        <f t="shared" si="111"/>
        <v>43.16219197444277</v>
      </c>
      <c r="X327" s="153">
        <f t="shared" si="112"/>
        <v>47796</v>
      </c>
      <c r="Y327" s="380">
        <f t="shared" si="113"/>
        <v>41.701795390617413</v>
      </c>
      <c r="Z327" s="380">
        <f t="shared" si="114"/>
        <v>43.671876958697247</v>
      </c>
      <c r="AA327" s="381">
        <f t="shared" si="115"/>
        <v>46.201457933394018</v>
      </c>
      <c r="AB327" s="193">
        <f t="shared" si="116"/>
        <v>47796</v>
      </c>
      <c r="AC327" s="119">
        <f>IF(OR(t&lt;Tnet,NoTnet),'2029'!Resal_s+('2029'!Salim-'2029'!Resal_s)*(1-EXP(('2029'!Tnet_s-t)/'2029'!Tau_j)),Resal_s+(Salim-Resal_s)*(1-EXP((Tnet_s-t)/Tau_j)))*Salcycl</f>
        <v>5.4751107169464651E-2</v>
      </c>
      <c r="AD327" s="227">
        <f>(INDEX(Models!$BJ327:$BT327,,AH327)*(1-AF327)+INDEX(Models!$BJ327:$BT327,,AH327+1)*AF327-ERP_i)*AE327*Ramure*Pc/MaxiM</f>
        <v>6.0150542052452355E-3</v>
      </c>
      <c r="AE327" s="301">
        <f t="shared" si="117"/>
        <v>0.5</v>
      </c>
      <c r="AF327" s="173">
        <f t="shared" si="118"/>
        <v>0.48872587590068228</v>
      </c>
      <c r="AG327" s="801">
        <f t="shared" si="124"/>
        <v>4</v>
      </c>
      <c r="AH327" s="172">
        <f t="shared" si="119"/>
        <v>10</v>
      </c>
      <c r="AI327" s="221">
        <f t="shared" si="120"/>
        <v>4.4887258759006823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47797</v>
      </c>
      <c r="B328" s="406">
        <f>'2029'!Wh/'2029'!Env_an*'2030'!Env_an</f>
        <v>89.623210004054854</v>
      </c>
      <c r="C328" s="831"/>
      <c r="D328" s="388">
        <f t="shared" si="102"/>
        <v>93.858486033355632</v>
      </c>
      <c r="E328" s="380">
        <f t="shared" si="125"/>
        <v>95.984872977847346</v>
      </c>
      <c r="F328" s="380">
        <f t="shared" si="103"/>
        <v>96.051371393939164</v>
      </c>
      <c r="G328" s="110">
        <f t="shared" si="126"/>
        <v>0.76530512643795723</v>
      </c>
      <c r="H328" s="409" t="b">
        <f>Wh_hp&gt;='2029'!Maxi_hp</f>
        <v>0</v>
      </c>
      <c r="I328" s="385">
        <f>IF(H328,Wh_hp,'2029'!Maxi_hp)</f>
        <v>96.068617451676303</v>
      </c>
      <c r="J328" s="85">
        <f>IF(H328,An,'2029'!An_max)</f>
        <v>2029</v>
      </c>
      <c r="K328" s="193">
        <f t="shared" si="104"/>
        <v>47797</v>
      </c>
      <c r="L328" s="143">
        <f>IF(t&lt;Tvie,1-EXP((T0-t)*PertePVj)+'2029'!Pspv,1-EXP((T0-t)*PertePVj)+Pspv)</f>
        <v>4.5124060788660492E-2</v>
      </c>
      <c r="M328" s="835"/>
      <c r="N328" s="835"/>
      <c r="O328" s="48">
        <f>IF(t&lt;Tnet,'2029'!Resal+('2029'!Salim-'2029'!Resal)*(1-EXP(('2029'!Tnet-t)/('2029'!Tau_j))),Resal+(Salim-Resal)*(1-EXP((Tnet-t)/(Tau_j))))*Salcycl</f>
        <v>2.2153354778960577E-2</v>
      </c>
      <c r="P328" s="165">
        <f>(INDEX(Models!$BJ328:$BT328,,T328)*(1-R328)+INDEX(Models!$BJ328:$BT328,,T328+1)*R328-ERP_i)*Q328*Ramure*Pc/MaxiM</f>
        <v>1.0409233222906211E-3</v>
      </c>
      <c r="Q328" s="301">
        <f t="shared" si="105"/>
        <v>0.5</v>
      </c>
      <c r="R328" s="173">
        <f t="shared" si="106"/>
        <v>0.96377722503573926</v>
      </c>
      <c r="S328" s="801">
        <f t="shared" si="107"/>
        <v>0</v>
      </c>
      <c r="T328" s="172">
        <f t="shared" si="108"/>
        <v>6</v>
      </c>
      <c r="U328" s="247">
        <f t="shared" si="109"/>
        <v>0.96377722503573926</v>
      </c>
      <c r="V328" s="378">
        <f t="shared" si="110"/>
        <v>117.06696118596999</v>
      </c>
      <c r="W328" s="397">
        <f t="shared" si="111"/>
        <v>89.623210004054854</v>
      </c>
      <c r="X328" s="153">
        <f t="shared" si="112"/>
        <v>47797</v>
      </c>
      <c r="Y328" s="380">
        <f t="shared" si="113"/>
        <v>86.337106155865229</v>
      </c>
      <c r="Z328" s="380">
        <f t="shared" si="114"/>
        <v>90.41709253578388</v>
      </c>
      <c r="AA328" s="381">
        <f t="shared" si="115"/>
        <v>95.653467442467004</v>
      </c>
      <c r="AB328" s="193">
        <f t="shared" si="116"/>
        <v>47797</v>
      </c>
      <c r="AC328" s="119">
        <f>IF(OR(t&lt;Tnet,NoTnet),'2029'!Resal_s+('2029'!Salim-'2029'!Resal_s)*(1-EXP(('2029'!Tnet_s-t)/'2029'!Tau_j)),Resal_s+(Salim-Resal_s)*(1-EXP((Tnet_s-t)/Tau_j)))*Salcycl</f>
        <v>5.4743179172596738E-2</v>
      </c>
      <c r="AD328" s="227">
        <f>(INDEX(Models!$BJ328:$BT328,,AH328)*(1-AF328)+INDEX(Models!$BJ328:$BT328,,AH328+1)*AF328-ERP_i)*AE328*Ramure*Pc/MaxiM</f>
        <v>6.2285318577674142E-3</v>
      </c>
      <c r="AE328" s="301">
        <f t="shared" si="117"/>
        <v>0.5</v>
      </c>
      <c r="AF328" s="173">
        <f t="shared" si="118"/>
        <v>0.48876479140971707</v>
      </c>
      <c r="AG328" s="801">
        <f t="shared" si="124"/>
        <v>4</v>
      </c>
      <c r="AH328" s="172">
        <f t="shared" si="119"/>
        <v>10</v>
      </c>
      <c r="AI328" s="221">
        <f t="shared" si="120"/>
        <v>4.4887647914097171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47798</v>
      </c>
      <c r="B329" s="406">
        <f>'2029'!Wh/'2029'!Env_an*'2030'!Env_an</f>
        <v>109.05067902559288</v>
      </c>
      <c r="C329" s="831"/>
      <c r="D329" s="388">
        <f t="shared" si="102"/>
        <v>114.20559193094468</v>
      </c>
      <c r="E329" s="380">
        <f t="shared" si="125"/>
        <v>116.79891457374812</v>
      </c>
      <c r="F329" s="380">
        <f t="shared" si="103"/>
        <v>116.91413240197788</v>
      </c>
      <c r="G329" s="110">
        <f t="shared" si="126"/>
        <v>0.94100987262138025</v>
      </c>
      <c r="H329" s="409" t="b">
        <f>Wh_hp&gt;='2029'!Maxi_hp</f>
        <v>0</v>
      </c>
      <c r="I329" s="385">
        <f>IF(H329,Wh_hp,'2029'!Maxi_hp)</f>
        <v>116.9195857607769</v>
      </c>
      <c r="J329" s="85">
        <f>IF(H329,An,'2029'!An_max)</f>
        <v>2029</v>
      </c>
      <c r="K329" s="193">
        <f t="shared" si="104"/>
        <v>47798</v>
      </c>
      <c r="L329" s="143">
        <f>IF(t&lt;Tvie,1-EXP((T0-t)*PertePVj)+'2029'!Pspv,1-EXP((T0-t)*PertePVj)+Pspv)</f>
        <v>4.5137132238399991E-2</v>
      </c>
      <c r="M329" s="835"/>
      <c r="N329" s="835"/>
      <c r="O329" s="48">
        <f>IF(t&lt;Tnet,'2029'!Resal+('2029'!Salim-'2029'!Resal)*(1-EXP(('2029'!Tnet-t)/('2029'!Tau_j))),Resal+(Salim-Resal)*(1-EXP((Tnet-t)/(Tau_j))))*Salcycl</f>
        <v>2.2203311154625423E-2</v>
      </c>
      <c r="P329" s="165">
        <f>(INDEX(Models!$BJ329:$BT329,,T329)*(1-R329)+INDEX(Models!$BJ329:$BT329,,T329+1)*R329-ERP_i)*Q329*Ramure*Pc/MaxiM</f>
        <v>1.0760394845968301E-3</v>
      </c>
      <c r="Q329" s="301">
        <f t="shared" si="105"/>
        <v>0.5</v>
      </c>
      <c r="R329" s="173">
        <f t="shared" si="106"/>
        <v>0.96381457939173631</v>
      </c>
      <c r="S329" s="801">
        <f t="shared" si="107"/>
        <v>0</v>
      </c>
      <c r="T329" s="172">
        <f t="shared" si="108"/>
        <v>6</v>
      </c>
      <c r="U329" s="247">
        <f t="shared" si="109"/>
        <v>0.96381457939173631</v>
      </c>
      <c r="V329" s="378">
        <f t="shared" si="110"/>
        <v>115.8763559091875</v>
      </c>
      <c r="W329" s="397">
        <f t="shared" si="111"/>
        <v>109.05067902559288</v>
      </c>
      <c r="X329" s="153">
        <f t="shared" si="112"/>
        <v>47798</v>
      </c>
      <c r="Y329" s="380">
        <f t="shared" si="113"/>
        <v>104.90505656492269</v>
      </c>
      <c r="Z329" s="380">
        <f t="shared" si="114"/>
        <v>109.86400257750337</v>
      </c>
      <c r="AA329" s="381">
        <f t="shared" si="115"/>
        <v>116.22569254965775</v>
      </c>
      <c r="AB329" s="193">
        <f t="shared" si="116"/>
        <v>47798</v>
      </c>
      <c r="AC329" s="119">
        <f>IF(OR(t&lt;Tnet,NoTnet),'2029'!Resal_s+('2029'!Salim-'2029'!Resal_s)*(1-EXP(('2029'!Tnet_s-t)/'2029'!Tau_j)),Resal_s+(Salim-Resal_s)*(1-EXP((Tnet_s-t)/Tau_j)))*Salcycl</f>
        <v>5.4735659840756262E-2</v>
      </c>
      <c r="AD329" s="227">
        <f>(INDEX(Models!$BJ329:$BT329,,AH329)*(1-AF329)+INDEX(Models!$BJ329:$BT329,,AH329+1)*AF329-ERP_i)*AE329*Ramure*Pc/MaxiM</f>
        <v>6.4294603990385571E-3</v>
      </c>
      <c r="AE329" s="301">
        <f t="shared" si="117"/>
        <v>0.5</v>
      </c>
      <c r="AF329" s="173">
        <f t="shared" si="118"/>
        <v>0.48880214576571479</v>
      </c>
      <c r="AG329" s="801">
        <f t="shared" si="124"/>
        <v>4</v>
      </c>
      <c r="AH329" s="172">
        <f t="shared" si="119"/>
        <v>10</v>
      </c>
      <c r="AI329" s="221">
        <f t="shared" si="120"/>
        <v>4.4888021457657148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47799</v>
      </c>
      <c r="B330" s="406">
        <f>'2029'!Wh/'2029'!Env_an*'2030'!Env_an</f>
        <v>107.53592612569484</v>
      </c>
      <c r="C330" s="831"/>
      <c r="D330" s="388">
        <f t="shared" si="102"/>
        <v>112.62077713259609</v>
      </c>
      <c r="E330" s="380">
        <f t="shared" si="125"/>
        <v>115.18400433681245</v>
      </c>
      <c r="F330" s="380">
        <f t="shared" si="103"/>
        <v>115.30031063612623</v>
      </c>
      <c r="G330" s="110">
        <f t="shared" si="126"/>
        <v>0.93740089950341376</v>
      </c>
      <c r="H330" s="409" t="b">
        <f>Wh_hp&gt;='2029'!Maxi_hp</f>
        <v>0</v>
      </c>
      <c r="I330" s="385">
        <f>IF(H330,Wh_hp,'2029'!Maxi_hp)</f>
        <v>115.30618509981954</v>
      </c>
      <c r="J330" s="85">
        <f>IF(H330,An,'2029'!An_max)</f>
        <v>2029</v>
      </c>
      <c r="K330" s="193">
        <f t="shared" si="104"/>
        <v>47799</v>
      </c>
      <c r="L330" s="143">
        <f>IF(t&lt;Tvie,1-EXP((T0-t)*PertePVj)+'2029'!Pspv,1-EXP((T0-t)*PertePVj)+Pspv)</f>
        <v>4.5150203509202402E-2</v>
      </c>
      <c r="M330" s="835"/>
      <c r="N330" s="835"/>
      <c r="O330" s="48">
        <f>IF(t&lt;Tnet,'2029'!Resal+('2029'!Salim-'2029'!Resal)*(1-EXP(('2029'!Tnet-t)/('2029'!Tau_j))),Resal+(Salim-Resal)*(1-EXP((Tnet-t)/(Tau_j))))*Salcycl</f>
        <v>2.2253326049693184E-2</v>
      </c>
      <c r="P330" s="165">
        <f>(INDEX(Models!$BJ330:$BT330,,T330)*(1-R330)+INDEX(Models!$BJ330:$BT330,,T330+1)*R330-ERP_i)*Q330*Ramure*Pc/MaxiM</f>
        <v>1.1076304630735284E-3</v>
      </c>
      <c r="Q330" s="301">
        <f t="shared" si="105"/>
        <v>0.5</v>
      </c>
      <c r="R330" s="173">
        <f t="shared" si="106"/>
        <v>0.96385043500279965</v>
      </c>
      <c r="S330" s="801">
        <f t="shared" si="107"/>
        <v>0</v>
      </c>
      <c r="T330" s="172">
        <f t="shared" si="108"/>
        <v>6</v>
      </c>
      <c r="U330" s="247">
        <f t="shared" si="109"/>
        <v>0.96385043500279965</v>
      </c>
      <c r="V330" s="378">
        <f t="shared" si="110"/>
        <v>114.70575667941583</v>
      </c>
      <c r="W330" s="397">
        <f t="shared" si="111"/>
        <v>107.53592612569484</v>
      </c>
      <c r="X330" s="153">
        <f t="shared" si="112"/>
        <v>47799</v>
      </c>
      <c r="Y330" s="380">
        <f t="shared" si="113"/>
        <v>103.44196445110815</v>
      </c>
      <c r="Z330" s="380">
        <f t="shared" si="114"/>
        <v>108.33323191906348</v>
      </c>
      <c r="AA330" s="381">
        <f t="shared" si="115"/>
        <v>114.60542661806227</v>
      </c>
      <c r="AB330" s="193">
        <f t="shared" si="116"/>
        <v>47799</v>
      </c>
      <c r="AC330" s="119">
        <f>IF(OR(t&lt;Tnet,NoTnet),'2029'!Resal_s+('2029'!Salim-'2029'!Resal_s)*(1-EXP(('2029'!Tnet_s-t)/'2029'!Tau_j)),Resal_s+(Salim-Resal_s)*(1-EXP((Tnet_s-t)/Tau_j)))*Salcycl</f>
        <v>5.4728601289550698E-2</v>
      </c>
      <c r="AD330" s="227">
        <f>(INDEX(Models!$BJ330:$BT330,,AH330)*(1-AF330)+INDEX(Models!$BJ330:$BT330,,AH330+1)*AF330-ERP_i)*AE330*Ramure*Pc/MaxiM</f>
        <v>6.6176527948334975E-3</v>
      </c>
      <c r="AE330" s="301">
        <f t="shared" si="117"/>
        <v>0.5</v>
      </c>
      <c r="AF330" s="173">
        <f t="shared" si="118"/>
        <v>0.48883800137677813</v>
      </c>
      <c r="AG330" s="801">
        <f t="shared" si="124"/>
        <v>4</v>
      </c>
      <c r="AH330" s="172">
        <f t="shared" si="119"/>
        <v>10</v>
      </c>
      <c r="AI330" s="221">
        <f t="shared" si="120"/>
        <v>4.4888380013767781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47800</v>
      </c>
      <c r="B331" s="406">
        <f>'2029'!Wh/'2029'!Env_an*'2030'!Env_an</f>
        <v>106.20393534966456</v>
      </c>
      <c r="C331" s="831"/>
      <c r="D331" s="388">
        <f t="shared" si="102"/>
        <v>111.22732559882702</v>
      </c>
      <c r="E331" s="380">
        <f t="shared" si="125"/>
        <v>113.76466694119674</v>
      </c>
      <c r="F331" s="380">
        <f t="shared" si="103"/>
        <v>113.88206900588791</v>
      </c>
      <c r="G331" s="110">
        <f t="shared" si="126"/>
        <v>0.93526295700831086</v>
      </c>
      <c r="H331" s="409" t="b">
        <f>Wh_hp&gt;='2029'!Maxi_hp</f>
        <v>0</v>
      </c>
      <c r="I331" s="385">
        <f>IF(H331,Wh_hp,'2029'!Maxi_hp)</f>
        <v>113.88822170257234</v>
      </c>
      <c r="J331" s="85">
        <f>IF(H331,An,'2029'!An_max)</f>
        <v>2029</v>
      </c>
      <c r="K331" s="193">
        <f t="shared" si="104"/>
        <v>47800</v>
      </c>
      <c r="L331" s="143">
        <f>IF(t&lt;Tvie,1-EXP((T0-t)*PertePVj)+'2029'!Pspv,1-EXP((T0-t)*PertePVj)+Pspv)</f>
        <v>4.5163274601070058E-2</v>
      </c>
      <c r="M331" s="835"/>
      <c r="N331" s="835"/>
      <c r="O331" s="48">
        <f>IF(t&lt;Tnet,'2029'!Resal+('2029'!Salim-'2029'!Resal)*(1-EXP(('2029'!Tnet-t)/('2029'!Tau_j))),Resal+(Salim-Resal)*(1-EXP((Tnet-t)/(Tau_j))))*Salcycl</f>
        <v>2.2303421708967295E-2</v>
      </c>
      <c r="P331" s="165">
        <f>(INDEX(Models!$BJ331:$BT331,,T331)*(1-R331)+INDEX(Models!$BJ331:$BT331,,T331+1)*R331-ERP_i)*Q331*Ramure*Pc/MaxiM</f>
        <v>1.1357892763328148E-3</v>
      </c>
      <c r="Q331" s="301">
        <f t="shared" si="105"/>
        <v>0.5</v>
      </c>
      <c r="R331" s="173">
        <f t="shared" si="106"/>
        <v>0.9638848517995503</v>
      </c>
      <c r="S331" s="801">
        <f t="shared" si="107"/>
        <v>0</v>
      </c>
      <c r="T331" s="172">
        <f t="shared" si="108"/>
        <v>6</v>
      </c>
      <c r="U331" s="247">
        <f t="shared" si="109"/>
        <v>0.9638848517995503</v>
      </c>
      <c r="V331" s="378">
        <f t="shared" si="110"/>
        <v>113.54323869541211</v>
      </c>
      <c r="W331" s="397">
        <f t="shared" si="111"/>
        <v>106.20393534966456</v>
      </c>
      <c r="X331" s="153">
        <f t="shared" si="112"/>
        <v>47800</v>
      </c>
      <c r="Y331" s="380">
        <f t="shared" si="113"/>
        <v>102.15453802043274</v>
      </c>
      <c r="Z331" s="380">
        <f t="shared" si="114"/>
        <v>106.98639390703438</v>
      </c>
      <c r="AA331" s="381">
        <f t="shared" si="115"/>
        <v>113.17982646963412</v>
      </c>
      <c r="AB331" s="193">
        <f t="shared" si="116"/>
        <v>47800</v>
      </c>
      <c r="AC331" s="119">
        <f>IF(OR(t&lt;Tnet,NoTnet),'2029'!Resal_s+('2029'!Salim-'2029'!Resal_s)*(1-EXP(('2029'!Tnet_s-t)/'2029'!Tau_j)),Resal_s+(Salim-Resal_s)*(1-EXP((Tnet_s-t)/Tau_j)))*Salcycl</f>
        <v>5.4722053883528535E-2</v>
      </c>
      <c r="AD331" s="227">
        <f>(INDEX(Models!$BJ331:$BT331,,AH331)*(1-AF331)+INDEX(Models!$BJ331:$BT331,,AH331+1)*AF331-ERP_i)*AE331*Ramure*Pc/MaxiM</f>
        <v>6.7937437400261633E-3</v>
      </c>
      <c r="AE331" s="301">
        <f t="shared" si="117"/>
        <v>0.5</v>
      </c>
      <c r="AF331" s="173">
        <f t="shared" si="118"/>
        <v>0.48887241817352844</v>
      </c>
      <c r="AG331" s="801">
        <f t="shared" si="124"/>
        <v>4</v>
      </c>
      <c r="AH331" s="172">
        <f t="shared" si="119"/>
        <v>10</v>
      </c>
      <c r="AI331" s="221">
        <f t="shared" si="120"/>
        <v>4.4888724181735284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47801</v>
      </c>
      <c r="B332" s="406">
        <f>'2029'!Wh/'2029'!Env_an*'2030'!Env_an</f>
        <v>40.525866546708244</v>
      </c>
      <c r="C332" s="831"/>
      <c r="D332" s="388">
        <f t="shared" si="102"/>
        <v>42.44329971959516</v>
      </c>
      <c r="E332" s="380">
        <f t="shared" si="125"/>
        <v>43.413754274759221</v>
      </c>
      <c r="F332" s="380">
        <f t="shared" si="103"/>
        <v>43.418119916684049</v>
      </c>
      <c r="G332" s="110">
        <f t="shared" si="126"/>
        <v>0.36023790548126511</v>
      </c>
      <c r="H332" s="409" t="b">
        <f>Wh_hp&gt;='2029'!Maxi_hp</f>
        <v>0</v>
      </c>
      <c r="I332" s="385">
        <f>IF(H332,Wh_hp,'2029'!Maxi_hp)</f>
        <v>43.441828167821527</v>
      </c>
      <c r="J332" s="85">
        <f>IF(H332,An,'2029'!An_max)</f>
        <v>2029</v>
      </c>
      <c r="K332" s="193">
        <f t="shared" si="104"/>
        <v>47801</v>
      </c>
      <c r="L332" s="143">
        <f>IF(t&lt;Tvie,1-EXP((T0-t)*PertePVj)+'2029'!Pspv,1-EXP((T0-t)*PertePVj)+Pspv)</f>
        <v>4.51763455140054E-2</v>
      </c>
      <c r="M332" s="835"/>
      <c r="N332" s="835"/>
      <c r="O332" s="48">
        <f>IF(t&lt;Tnet,'2029'!Resal+('2029'!Salim-'2029'!Resal)*(1-EXP(('2029'!Tnet-t)/('2029'!Tau_j))),Resal+(Salim-Resal)*(1-EXP((Tnet-t)/(Tau_j))))*Salcycl</f>
        <v>2.2353619754287939E-2</v>
      </c>
      <c r="P332" s="165">
        <f>(INDEX(Models!$BJ332:$BT332,,T332)*(1-R332)+INDEX(Models!$BJ332:$BT332,,T332+1)*R332-ERP_i)*Q332*Ramure*Pc/MaxiM</f>
        <v>1.1610647203168683E-3</v>
      </c>
      <c r="Q332" s="301">
        <f t="shared" si="105"/>
        <v>0.5</v>
      </c>
      <c r="R332" s="173">
        <f t="shared" si="106"/>
        <v>0.96391788733211192</v>
      </c>
      <c r="S332" s="801">
        <f t="shared" si="107"/>
        <v>0</v>
      </c>
      <c r="T332" s="172">
        <f t="shared" si="108"/>
        <v>6</v>
      </c>
      <c r="U332" s="247">
        <f t="shared" si="109"/>
        <v>0.96391788733211192</v>
      </c>
      <c r="V332" s="378">
        <f t="shared" si="110"/>
        <v>112.3781903129896</v>
      </c>
      <c r="W332" s="397">
        <f t="shared" si="111"/>
        <v>40.525866546708244</v>
      </c>
      <c r="X332" s="153">
        <f t="shared" si="112"/>
        <v>47801</v>
      </c>
      <c r="Y332" s="380">
        <f t="shared" si="113"/>
        <v>39.164726588522839</v>
      </c>
      <c r="Z332" s="380">
        <f t="shared" si="114"/>
        <v>41.017759043271909</v>
      </c>
      <c r="AA332" s="381">
        <f t="shared" si="115"/>
        <v>43.39199849716222</v>
      </c>
      <c r="AB332" s="193">
        <f t="shared" si="116"/>
        <v>47801</v>
      </c>
      <c r="AC332" s="119">
        <f>IF(OR(t&lt;Tnet,NoTnet),'2029'!Resal_s+('2029'!Salim-'2029'!Resal_s)*(1-EXP(('2029'!Tnet_s-t)/'2029'!Tau_j)),Resal_s+(Salim-Resal_s)*(1-EXP((Tnet_s-t)/Tau_j)))*Salcycl</f>
        <v>5.4716066005708025E-2</v>
      </c>
      <c r="AD332" s="227">
        <f>(INDEX(Models!$BJ332:$BT332,,AH332)*(1-AF332)+INDEX(Models!$BJ332:$BT332,,AH332+1)*AF332-ERP_i)*AE332*Ramure*Pc/MaxiM</f>
        <v>6.9471246551191905E-3</v>
      </c>
      <c r="AE332" s="301">
        <f t="shared" si="117"/>
        <v>0.5</v>
      </c>
      <c r="AF332" s="173">
        <f t="shared" si="118"/>
        <v>0.4889054537060904</v>
      </c>
      <c r="AG332" s="801">
        <f t="shared" si="124"/>
        <v>4</v>
      </c>
      <c r="AH332" s="172">
        <f t="shared" si="119"/>
        <v>10</v>
      </c>
      <c r="AI332" s="221">
        <f t="shared" si="120"/>
        <v>4.4889054537060904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47802</v>
      </c>
      <c r="B333" s="406">
        <f>'2029'!Wh/'2029'!Env_an*'2030'!Env_an</f>
        <v>50.981564386983344</v>
      </c>
      <c r="C333" s="831"/>
      <c r="D333" s="388">
        <f t="shared" si="102"/>
        <v>53.394427391711595</v>
      </c>
      <c r="E333" s="380">
        <f t="shared" si="125"/>
        <v>54.618087813216761</v>
      </c>
      <c r="F333" s="380">
        <f t="shared" si="103"/>
        <v>54.632752330154283</v>
      </c>
      <c r="G333" s="110">
        <f t="shared" si="126"/>
        <v>0.45798722809017289</v>
      </c>
      <c r="H333" s="409" t="b">
        <f>Wh_hp&gt;='2029'!Maxi_hp</f>
        <v>0</v>
      </c>
      <c r="I333" s="385">
        <f>IF(H333,Wh_hp,'2029'!Maxi_hp)</f>
        <v>54.658568853194588</v>
      </c>
      <c r="J333" s="85">
        <f>IF(H333,An,'2029'!An_max)</f>
        <v>2029</v>
      </c>
      <c r="K333" s="193">
        <f t="shared" si="104"/>
        <v>47802</v>
      </c>
      <c r="L333" s="143">
        <f>IF(t&lt;Tvie,1-EXP((T0-t)*PertePVj)+'2029'!Pspv,1-EXP((T0-t)*PertePVj)+Pspv)</f>
        <v>4.5189416248010872E-2</v>
      </c>
      <c r="M333" s="835"/>
      <c r="N333" s="835"/>
      <c r="O333" s="48">
        <f>IF(t&lt;Tnet,'2029'!Resal+('2029'!Salim-'2029'!Resal)*(1-EXP(('2029'!Tnet-t)/('2029'!Tau_j))),Resal+(Salim-Resal)*(1-EXP((Tnet-t)/(Tau_j))))*Salcycl</f>
        <v>2.2403941084313456E-2</v>
      </c>
      <c r="P333" s="165">
        <f>(INDEX(Models!$BJ333:$BT333,,T333)*(1-R333)+INDEX(Models!$BJ333:$BT333,,T333+1)*R333-ERP_i)*Q333*Ramure*Pc/MaxiM</f>
        <v>1.186138837288366E-3</v>
      </c>
      <c r="Q333" s="301">
        <f t="shared" si="105"/>
        <v>0.5</v>
      </c>
      <c r="R333" s="173">
        <f t="shared" si="106"/>
        <v>0.96394959686340709</v>
      </c>
      <c r="S333" s="801">
        <f t="shared" si="107"/>
        <v>0</v>
      </c>
      <c r="T333" s="172">
        <f t="shared" si="108"/>
        <v>6</v>
      </c>
      <c r="U333" s="247">
        <f t="shared" si="109"/>
        <v>0.96394959686340709</v>
      </c>
      <c r="V333" s="378">
        <f t="shared" si="110"/>
        <v>111.21437881469673</v>
      </c>
      <c r="W333" s="397">
        <f t="shared" si="111"/>
        <v>50.981564386983344</v>
      </c>
      <c r="X333" s="153">
        <f t="shared" si="112"/>
        <v>47802</v>
      </c>
      <c r="Y333" s="380">
        <f t="shared" si="113"/>
        <v>49.230968974272855</v>
      </c>
      <c r="Z333" s="380">
        <f t="shared" si="114"/>
        <v>51.56097954090184</v>
      </c>
      <c r="AA333" s="381">
        <f t="shared" si="115"/>
        <v>54.545183849400736</v>
      </c>
      <c r="AB333" s="193">
        <f t="shared" si="116"/>
        <v>47802</v>
      </c>
      <c r="AC333" s="119">
        <f>IF(OR(t&lt;Tnet,NoTnet),'2029'!Resal_s+('2029'!Salim-'2029'!Resal_s)*(1-EXP(('2029'!Tnet_s-t)/'2029'!Tau_j)),Resal_s+(Salim-Resal_s)*(1-EXP((Tnet_s-t)/Tau_j)))*Salcycl</f>
        <v>5.4710683838527063E-2</v>
      </c>
      <c r="AD333" s="227">
        <f>(INDEX(Models!$BJ333:$BT333,,AH333)*(1-AF333)+INDEX(Models!$BJ333:$BT333,,AH333+1)*AF333-ERP_i)*AE333*Ramure*Pc/MaxiM</f>
        <v>7.082972892092471E-3</v>
      </c>
      <c r="AE333" s="301">
        <f t="shared" si="117"/>
        <v>0.5</v>
      </c>
      <c r="AF333" s="173">
        <f t="shared" si="118"/>
        <v>0.48893716323738534</v>
      </c>
      <c r="AG333" s="801">
        <f t="shared" si="124"/>
        <v>4</v>
      </c>
      <c r="AH333" s="172">
        <f t="shared" si="119"/>
        <v>10</v>
      </c>
      <c r="AI333" s="221">
        <f t="shared" si="120"/>
        <v>4.4889371632373853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47803</v>
      </c>
      <c r="B334" s="406">
        <f>'2029'!Wh/'2029'!Env_an*'2030'!Env_an</f>
        <v>106.28085850640902</v>
      </c>
      <c r="C334" s="831"/>
      <c r="D334" s="388">
        <f t="shared" si="102"/>
        <v>111.31245844006547</v>
      </c>
      <c r="E334" s="380">
        <f t="shared" si="125"/>
        <v>113.86932650308324</v>
      </c>
      <c r="F334" s="380">
        <f t="shared" si="103"/>
        <v>114.00061527179284</v>
      </c>
      <c r="G334" s="110">
        <f t="shared" si="126"/>
        <v>0.96564167183177319</v>
      </c>
      <c r="H334" s="409" t="b">
        <f>Wh_hp&gt;='2029'!Maxi_hp</f>
        <v>0</v>
      </c>
      <c r="I334" s="385">
        <f>IF(H334,Wh_hp,'2029'!Maxi_hp)</f>
        <v>114.00409995295183</v>
      </c>
      <c r="J334" s="85">
        <f>IF(H334,An,'2029'!An_max)</f>
        <v>2029</v>
      </c>
      <c r="K334" s="193">
        <f t="shared" si="104"/>
        <v>47803</v>
      </c>
      <c r="L334" s="143">
        <f>IF(t&lt;Tvie,1-EXP((T0-t)*PertePVj)+'2029'!Pspv,1-EXP((T0-t)*PertePVj)+Pspv)</f>
        <v>4.5202486803089026E-2</v>
      </c>
      <c r="M334" s="835"/>
      <c r="N334" s="835"/>
      <c r="O334" s="48">
        <f>IF(t&lt;Tnet,'2029'!Resal+('2029'!Salim-'2029'!Resal)*(1-EXP(('2029'!Tnet-t)/('2029'!Tau_j))),Resal+(Salim-Resal)*(1-EXP((Tnet-t)/(Tau_j))))*Salcycl</f>
        <v>2.2454405778438786E-2</v>
      </c>
      <c r="P334" s="165">
        <f>(INDEX(Models!$BJ334:$BT334,,T334)*(1-R334)+INDEX(Models!$BJ334:$BT334,,T334+1)*R334-ERP_i)*Q334*Ramure*Pc/MaxiM</f>
        <v>1.2109898070535902E-3</v>
      </c>
      <c r="Q334" s="301">
        <f t="shared" si="105"/>
        <v>0.5</v>
      </c>
      <c r="R334" s="173">
        <f t="shared" si="106"/>
        <v>0.9639800334588966</v>
      </c>
      <c r="S334" s="801">
        <f t="shared" si="107"/>
        <v>0</v>
      </c>
      <c r="T334" s="172">
        <f t="shared" si="108"/>
        <v>6</v>
      </c>
      <c r="U334" s="247">
        <f t="shared" si="109"/>
        <v>0.9639800334588966</v>
      </c>
      <c r="V334" s="378">
        <f t="shared" si="110"/>
        <v>110.05588057368794</v>
      </c>
      <c r="W334" s="397">
        <f t="shared" si="111"/>
        <v>106.28085850640902</v>
      </c>
      <c r="X334" s="153">
        <f t="shared" si="112"/>
        <v>47803</v>
      </c>
      <c r="Y334" s="380">
        <f t="shared" si="113"/>
        <v>102.1882745380294</v>
      </c>
      <c r="Z334" s="380">
        <f t="shared" si="114"/>
        <v>107.02612137716658</v>
      </c>
      <c r="AA334" s="381">
        <f t="shared" si="115"/>
        <v>113.21992506802491</v>
      </c>
      <c r="AB334" s="193">
        <f t="shared" si="116"/>
        <v>47803</v>
      </c>
      <c r="AC334" s="119">
        <f>IF(OR(t&lt;Tnet,NoTnet),'2029'!Resal_s+('2029'!Salim-'2029'!Resal_s)*(1-EXP(('2029'!Tnet_s-t)/'2029'!Tau_j)),Resal_s+(Salim-Resal_s)*(1-EXP((Tnet_s-t)/Tau_j)))*Salcycl</f>
        <v>5.4705951157775122E-2</v>
      </c>
      <c r="AD334" s="227">
        <f>(INDEX(Models!$BJ334:$BT334,,AH334)*(1-AF334)+INDEX(Models!$BJ334:$BT334,,AH334+1)*AF334-ERP_i)*AE334*Ramure*Pc/MaxiM</f>
        <v>7.2009806209754283E-3</v>
      </c>
      <c r="AE334" s="301">
        <f t="shared" si="117"/>
        <v>0.5</v>
      </c>
      <c r="AF334" s="173">
        <f t="shared" si="118"/>
        <v>0.48896759983287463</v>
      </c>
      <c r="AG334" s="801">
        <f t="shared" si="124"/>
        <v>4</v>
      </c>
      <c r="AH334" s="172">
        <f t="shared" si="119"/>
        <v>10</v>
      </c>
      <c r="AI334" s="221">
        <f t="shared" si="120"/>
        <v>4.4889675998328746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47804</v>
      </c>
      <c r="B335" s="406">
        <f>'2029'!Wh/'2029'!Env_an*'2030'!Env_an</f>
        <v>63.116314114596491</v>
      </c>
      <c r="C335" s="831"/>
      <c r="D335" s="388">
        <f t="shared" ref="D335:D379" si="127">Wh/(1-Ppv)</f>
        <v>66.105302185412086</v>
      </c>
      <c r="E335" s="380">
        <f t="shared" si="125"/>
        <v>67.627255809479067</v>
      </c>
      <c r="F335" s="380">
        <f t="shared" ref="F335:F379" si="128">Wh_sa/(1-Pvg*MEDIAN((-Sdif+Wh/Env_an)/Csdif,0,1))</f>
        <v>67.660641749212303</v>
      </c>
      <c r="G335" s="110">
        <f t="shared" si="126"/>
        <v>0.57911411755751196</v>
      </c>
      <c r="H335" s="409" t="b">
        <f>Wh_hp&gt;='2029'!Maxi_hp</f>
        <v>0</v>
      </c>
      <c r="I335" s="385">
        <f>IF(H335,Wh_hp,'2029'!Maxi_hp)</f>
        <v>67.686499129807729</v>
      </c>
      <c r="J335" s="85">
        <f>IF(H335,An,'2029'!An_max)</f>
        <v>2029</v>
      </c>
      <c r="K335" s="193">
        <f t="shared" ref="K335:K379" si="129">t</f>
        <v>47804</v>
      </c>
      <c r="L335" s="143">
        <f>IF(t&lt;Tvie,1-EXP((T0-t)*PertePVj)+'2029'!Pspv,1-EXP((T0-t)*PertePVj)+Pspv)</f>
        <v>4.5215557179242305E-2</v>
      </c>
      <c r="M335" s="835"/>
      <c r="N335" s="835"/>
      <c r="O335" s="48">
        <f>IF(t&lt;Tnet,'2029'!Resal+('2029'!Salim-'2029'!Resal)*(1-EXP(('2029'!Tnet-t)/('2029'!Tau_j))),Resal+(Salim-Resal)*(1-EXP((Tnet-t)/(Tau_j))))*Salcycl</f>
        <v>2.2505033005548188E-2</v>
      </c>
      <c r="P335" s="165">
        <f>(INDEX(Models!$BJ335:$BT335,,T335)*(1-R335)+INDEX(Models!$BJ335:$BT335,,T335+1)*R335-ERP_i)*Q335*Ramure*Pc/MaxiM</f>
        <v>1.2355908051041257E-3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0.9640092480728909</v>
      </c>
      <c r="S335" s="801">
        <f t="shared" ref="S335:S379" si="132">INDEX(Echel_vg,T335)</f>
        <v>0</v>
      </c>
      <c r="T335" s="172">
        <f t="shared" ref="T335:T379" si="133">MIN(MATCH(Hp_vg,Echel_vg),10)</f>
        <v>6</v>
      </c>
      <c r="U335" s="247">
        <f t="shared" ref="U335:U379" si="134">IF(OR(t&lt;Ttai,Notai),Hdd+PousH*Croivg,Hdtf+PousH*(Croivg-Croi_tai))</f>
        <v>0.9640092480728909</v>
      </c>
      <c r="V335" s="378">
        <f t="shared" ref="V335:V379" si="135">MaxiM*(1-Ppv)*(1-Pvg)*(1-Psa)</f>
        <v>108.90677115666435</v>
      </c>
      <c r="W335" s="397">
        <f t="shared" ref="W335:W379" si="136">Wh*(A335&gt;Tmaj)</f>
        <v>63.116314114596491</v>
      </c>
      <c r="X335" s="153">
        <f t="shared" ref="X335:X379" si="137">t</f>
        <v>47804</v>
      </c>
      <c r="Y335" s="380">
        <f t="shared" ref="Y335:Y379" si="138">Wh_pvt_s*(1-Ppv)</f>
        <v>60.889465713256826</v>
      </c>
      <c r="Z335" s="380">
        <f t="shared" ref="Z335:Z379" si="139">Wh_sa_s*(1-Psa_s)</f>
        <v>63.77299732007431</v>
      </c>
      <c r="AA335" s="381">
        <f t="shared" ref="AA335:AA379" si="140">Wh_hp*(1-Pvg_s*MEDIAN((-Sdif+Wh/Env_an)/Csdif,0,1))</f>
        <v>67.463372598289311</v>
      </c>
      <c r="AB335" s="193">
        <f t="shared" ref="AB335:AB379" si="141">t</f>
        <v>47804</v>
      </c>
      <c r="AC335" s="119">
        <f>IF(OR(t&lt;Tnet,NoTnet),'2029'!Resal_s+('2029'!Salim-'2029'!Resal_s)*(1-EXP(('2029'!Tnet_s-t)/'2029'!Tau_j)),Resal_s+(Salim-Resal_s)*(1-EXP((Tnet_s-t)/Tau_j)))*Salcycl</f>
        <v>5.470190914096966E-2</v>
      </c>
      <c r="AD335" s="227">
        <f>(INDEX(Models!$BJ335:$BT335,,AH335)*(1-AF335)+INDEX(Models!$BJ335:$BT335,,AH335+1)*AF335-ERP_i)*AE335*Ramure*Pc/MaxiM</f>
        <v>7.3007964118653804E-3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0.48899681444686927</v>
      </c>
      <c r="AG335" s="801">
        <f t="shared" si="124"/>
        <v>4</v>
      </c>
      <c r="AH335" s="172">
        <f t="shared" ref="AH335:AH379" si="144">MIN(MATCH(Hp_vg_s,Echel_vg),10)</f>
        <v>10</v>
      </c>
      <c r="AI335" s="221">
        <f t="shared" ref="AI335:AI379" si="145">IF(OR(t&lt;Ttai,Notai),Hdd_s+PousH*Croivg,Hdtai_s+PousH*(Croivg-Croi_tai))</f>
        <v>4.4889968144468693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47805</v>
      </c>
      <c r="B336" s="406">
        <f>'2029'!Wh/'2029'!Env_an*'2030'!Env_an</f>
        <v>50.088792015993207</v>
      </c>
      <c r="C336" s="831"/>
      <c r="D336" s="388">
        <f t="shared" si="127"/>
        <v>52.461556192619078</v>
      </c>
      <c r="E336" s="380">
        <f t="shared" si="125"/>
        <v>53.672177286299217</v>
      </c>
      <c r="F336" s="380">
        <f t="shared" si="128"/>
        <v>53.688099289121404</v>
      </c>
      <c r="G336" s="110">
        <f t="shared" si="126"/>
        <v>0.4643221900091925</v>
      </c>
      <c r="H336" s="409" t="b">
        <f>Wh_hp&gt;='2029'!Maxi_hp</f>
        <v>0</v>
      </c>
      <c r="I336" s="385">
        <f>IF(H336,Wh_hp,'2029'!Maxi_hp)</f>
        <v>53.714728061427358</v>
      </c>
      <c r="J336" s="85">
        <f>IF(H336,An,'2029'!An_max)</f>
        <v>2029</v>
      </c>
      <c r="K336" s="193">
        <f t="shared" si="129"/>
        <v>47805</v>
      </c>
      <c r="L336" s="143">
        <f>IF(t&lt;Tvie,1-EXP((T0-t)*PertePVj)+'2029'!Pspv,1-EXP((T0-t)*PertePVj)+Pspv)</f>
        <v>4.5228627376473041E-2</v>
      </c>
      <c r="M336" s="835"/>
      <c r="N336" s="835"/>
      <c r="O336" s="48">
        <f>IF(t&lt;Tnet,'2029'!Resal+('2029'!Salim-'2029'!Resal)*(1-EXP(('2029'!Tnet-t)/('2029'!Tau_j))),Resal+(Salim-Resal)*(1-EXP((Tnet-t)/(Tau_j))))*Salcycl</f>
        <v>2.2555840938265202E-2</v>
      </c>
      <c r="P336" s="165">
        <f>(INDEX(Models!$BJ336:$BT336,,T336)*(1-R336)+INDEX(Models!$BJ336:$BT336,,T336+1)*R336-ERP_i)*Q336*Ramure*Pc/MaxiM</f>
        <v>1.2599096911858915E-3</v>
      </c>
      <c r="Q336" s="301">
        <f t="shared" si="130"/>
        <v>0.5</v>
      </c>
      <c r="R336" s="173">
        <f t="shared" si="131"/>
        <v>0.96403728963155433</v>
      </c>
      <c r="S336" s="801">
        <f t="shared" si="132"/>
        <v>0</v>
      </c>
      <c r="T336" s="172">
        <f t="shared" si="133"/>
        <v>6</v>
      </c>
      <c r="U336" s="247">
        <f t="shared" si="134"/>
        <v>0.96403728963155433</v>
      </c>
      <c r="V336" s="378">
        <f t="shared" si="135"/>
        <v>107.77112530637108</v>
      </c>
      <c r="W336" s="397">
        <f t="shared" si="136"/>
        <v>50.088792015993207</v>
      </c>
      <c r="X336" s="153">
        <f t="shared" si="137"/>
        <v>47805</v>
      </c>
      <c r="Y336" s="380">
        <f t="shared" si="138"/>
        <v>48.371819492116806</v>
      </c>
      <c r="Z336" s="380">
        <f t="shared" si="139"/>
        <v>50.663248688741483</v>
      </c>
      <c r="AA336" s="381">
        <f t="shared" si="140"/>
        <v>53.594809533369215</v>
      </c>
      <c r="AB336" s="193">
        <f t="shared" si="141"/>
        <v>47805</v>
      </c>
      <c r="AC336" s="119">
        <f>IF(OR(t&lt;Tnet,NoTnet),'2029'!Resal_s+('2029'!Salim-'2029'!Resal_s)*(1-EXP(('2029'!Tnet_s-t)/'2029'!Tau_j)),Resal_s+(Salim-Resal_s)*(1-EXP((Tnet_s-t)/Tau_j)))*Salcycl</f>
        <v>5.4698596191530169E-2</v>
      </c>
      <c r="AD336" s="227">
        <f>(INDEX(Models!$BJ336:$BT336,,AH336)*(1-AF336)+INDEX(Models!$BJ336:$BT336,,AH336+1)*AF336-ERP_i)*AE336*Ramure*Pc/MaxiM</f>
        <v>7.382027793434629E-3</v>
      </c>
      <c r="AE336" s="301">
        <f t="shared" si="142"/>
        <v>0.5</v>
      </c>
      <c r="AF336" s="173">
        <f t="shared" si="143"/>
        <v>0.4890248560055328</v>
      </c>
      <c r="AG336" s="801">
        <f t="shared" ref="AG336:AG379" si="149">INDEX(Echel_vg,AH336)</f>
        <v>4</v>
      </c>
      <c r="AH336" s="172">
        <f t="shared" si="144"/>
        <v>10</v>
      </c>
      <c r="AI336" s="221">
        <f t="shared" si="145"/>
        <v>4.4890248560055328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47806</v>
      </c>
      <c r="B337" s="406">
        <f>'2029'!Wh/'2029'!Env_an*'2030'!Env_an</f>
        <v>23.817760115558361</v>
      </c>
      <c r="C337" s="831"/>
      <c r="D337" s="388">
        <f t="shared" si="127"/>
        <v>24.946376533796727</v>
      </c>
      <c r="E337" s="380">
        <f t="shared" si="125"/>
        <v>25.523379664456051</v>
      </c>
      <c r="F337" s="380">
        <f t="shared" si="128"/>
        <v>25.523379664456051</v>
      </c>
      <c r="G337" s="110">
        <f t="shared" si="126"/>
        <v>0.22303335588239309</v>
      </c>
      <c r="H337" s="409" t="b">
        <f>Wh_hp&gt;='2029'!Maxi_hp</f>
        <v>0</v>
      </c>
      <c r="I337" s="385">
        <f>IF(H337,Wh_hp,'2029'!Maxi_hp)</f>
        <v>25.540248304423862</v>
      </c>
      <c r="J337" s="85">
        <f>IF(H337,An,'2029'!An_max)</f>
        <v>2029</v>
      </c>
      <c r="K337" s="193">
        <f t="shared" si="129"/>
        <v>47806</v>
      </c>
      <c r="L337" s="143">
        <f>IF(t&lt;Tvie,1-EXP((T0-t)*PertePVj)+'2029'!Pspv,1-EXP((T0-t)*PertePVj)+Pspv)</f>
        <v>4.5241697394783786E-2</v>
      </c>
      <c r="M337" s="835"/>
      <c r="N337" s="835"/>
      <c r="O337" s="48">
        <f>IF(t&lt;Tnet,'2029'!Resal+('2029'!Salim-'2029'!Resal)*(1-EXP(('2029'!Tnet-t)/('2029'!Tau_j))),Resal+(Salim-Resal)*(1-EXP((Tnet-t)/(Tau_j))))*Salcycl</f>
        <v>2.260684667332136E-2</v>
      </c>
      <c r="P337" s="165">
        <f>(INDEX(Models!$BJ337:$BT337,,T337)*(1-R337)+INDEX(Models!$BJ337:$BT337,,T337+1)*R337-ERP_i)*Q337*Ramure*Pc/MaxiM</f>
        <v>1.283908712015155E-3</v>
      </c>
      <c r="Q337" s="301">
        <f t="shared" si="130"/>
        <v>0.5</v>
      </c>
      <c r="R337" s="173">
        <f t="shared" si="131"/>
        <v>0.96406420511272484</v>
      </c>
      <c r="S337" s="801">
        <f t="shared" si="132"/>
        <v>0</v>
      </c>
      <c r="T337" s="172">
        <f t="shared" si="133"/>
        <v>6</v>
      </c>
      <c r="U337" s="247">
        <f t="shared" si="134"/>
        <v>0.96406420511272484</v>
      </c>
      <c r="V337" s="378">
        <f t="shared" si="135"/>
        <v>106.65301695226448</v>
      </c>
      <c r="W337" s="397">
        <f t="shared" si="136"/>
        <v>23.817760115558361</v>
      </c>
      <c r="X337" s="153">
        <f t="shared" si="137"/>
        <v>47806</v>
      </c>
      <c r="Y337" s="380">
        <f t="shared" si="138"/>
        <v>23.035789327593509</v>
      </c>
      <c r="Z337" s="380">
        <f t="shared" si="139"/>
        <v>24.127351670822385</v>
      </c>
      <c r="AA337" s="381">
        <f t="shared" si="140"/>
        <v>25.523379664456051</v>
      </c>
      <c r="AB337" s="193">
        <f t="shared" si="141"/>
        <v>47806</v>
      </c>
      <c r="AC337" s="119">
        <f>IF(OR(t&lt;Tnet,NoTnet),'2029'!Resal_s+('2029'!Salim-'2029'!Resal_s)*(1-EXP(('2029'!Tnet_s-t)/'2029'!Tau_j)),Resal_s+(Salim-Resal_s)*(1-EXP((Tnet_s-t)/Tau_j)))*Salcycl</f>
        <v>5.4696047779980349E-2</v>
      </c>
      <c r="AD337" s="227">
        <f>(INDEX(Models!$BJ337:$BT337,,AH337)*(1-AF337)+INDEX(Models!$BJ337:$BT337,,AH337+1)*AF337-ERP_i)*AE337*Ramure*Pc/MaxiM</f>
        <v>7.444244496796969E-3</v>
      </c>
      <c r="AE337" s="301">
        <f t="shared" si="142"/>
        <v>0.5</v>
      </c>
      <c r="AF337" s="173">
        <f t="shared" si="143"/>
        <v>0.48905177148670287</v>
      </c>
      <c r="AG337" s="801">
        <f t="shared" si="149"/>
        <v>4</v>
      </c>
      <c r="AH337" s="172">
        <f t="shared" si="144"/>
        <v>10</v>
      </c>
      <c r="AI337" s="221">
        <f t="shared" si="145"/>
        <v>4.4890517714867029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47807</v>
      </c>
      <c r="B338" s="406">
        <f>'2029'!Wh/'2029'!Env_an*'2030'!Env_an</f>
        <v>69.646259976487329</v>
      </c>
      <c r="C338" s="831"/>
      <c r="D338" s="388">
        <f t="shared" si="127"/>
        <v>72.947481261286327</v>
      </c>
      <c r="E338" s="380">
        <f t="shared" si="125"/>
        <v>74.638648701556079</v>
      </c>
      <c r="F338" s="380">
        <f t="shared" si="128"/>
        <v>74.688734953834626</v>
      </c>
      <c r="G338" s="110">
        <f t="shared" si="126"/>
        <v>0.65938011142999764</v>
      </c>
      <c r="H338" s="409" t="b">
        <f>Wh_hp&gt;='2029'!Maxi_hp</f>
        <v>0</v>
      </c>
      <c r="I338" s="385">
        <f>IF(H338,Wh_hp,'2029'!Maxi_hp)</f>
        <v>74.713119728216455</v>
      </c>
      <c r="J338" s="85">
        <f>IF(H338,An,'2029'!An_max)</f>
        <v>2029</v>
      </c>
      <c r="K338" s="193">
        <f t="shared" si="129"/>
        <v>47807</v>
      </c>
      <c r="L338" s="143">
        <f>IF(t&lt;Tvie,1-EXP((T0-t)*PertePVj)+'2029'!Pspv,1-EXP((T0-t)*PertePVj)+Pspv)</f>
        <v>4.5254767234176985E-2</v>
      </c>
      <c r="M338" s="835"/>
      <c r="N338" s="835"/>
      <c r="O338" s="48">
        <f>IF(t&lt;Tnet,'2029'!Resal+('2029'!Salim-'2029'!Resal)*(1-EXP(('2029'!Tnet-t)/('2029'!Tau_j))),Resal+(Salim-Resal)*(1-EXP((Tnet-t)/(Tau_j))))*Salcycl</f>
        <v>2.2658066158618609E-2</v>
      </c>
      <c r="P338" s="165">
        <f>(INDEX(Models!$BJ338:$BT338,,T338)*(1-R338)+INDEX(Models!$BJ338:$BT338,,T338+1)*R338-ERP_i)*Q338*Ramure*Pc/MaxiM</f>
        <v>1.3046734333452428E-3</v>
      </c>
      <c r="Q338" s="301">
        <f t="shared" si="130"/>
        <v>0.5</v>
      </c>
      <c r="R338" s="173">
        <f t="shared" si="131"/>
        <v>0.96409003962266382</v>
      </c>
      <c r="S338" s="801">
        <f t="shared" si="132"/>
        <v>0</v>
      </c>
      <c r="T338" s="172">
        <f t="shared" si="133"/>
        <v>6</v>
      </c>
      <c r="U338" s="247">
        <f t="shared" si="134"/>
        <v>0.96409003962266382</v>
      </c>
      <c r="V338" s="378">
        <f t="shared" si="135"/>
        <v>105.5568226583992</v>
      </c>
      <c r="W338" s="397">
        <f t="shared" si="136"/>
        <v>69.646259976487329</v>
      </c>
      <c r="X338" s="153">
        <f t="shared" si="137"/>
        <v>47807</v>
      </c>
      <c r="Y338" s="380">
        <f t="shared" si="138"/>
        <v>67.149333317730893</v>
      </c>
      <c r="Z338" s="380">
        <f t="shared" si="139"/>
        <v>70.33220068897802</v>
      </c>
      <c r="AA338" s="381">
        <f t="shared" si="140"/>
        <v>74.401540595741778</v>
      </c>
      <c r="AB338" s="193">
        <f t="shared" si="141"/>
        <v>47807</v>
      </c>
      <c r="AC338" s="119">
        <f>IF(OR(t&lt;Tnet,NoTnet),'2029'!Resal_s+('2029'!Salim-'2029'!Resal_s)*(1-EXP(('2029'!Tnet_s-t)/'2029'!Tau_j)),Resal_s+(Salim-Resal_s)*(1-EXP((Tnet_s-t)/Tau_j)))*Salcycl</f>
        <v>5.4694296303276525E-2</v>
      </c>
      <c r="AD338" s="227">
        <f>(INDEX(Models!$BJ338:$BT338,,AH338)*(1-AF338)+INDEX(Models!$BJ338:$BT338,,AH338+1)*AF338-ERP_i)*AE338*Ramure*Pc/MaxiM</f>
        <v>7.4809919322090055E-3</v>
      </c>
      <c r="AE338" s="301">
        <f t="shared" si="142"/>
        <v>0.5</v>
      </c>
      <c r="AF338" s="173">
        <f t="shared" si="143"/>
        <v>0.48907760599664218</v>
      </c>
      <c r="AG338" s="801">
        <f t="shared" si="149"/>
        <v>4</v>
      </c>
      <c r="AH338" s="172">
        <f t="shared" si="144"/>
        <v>10</v>
      </c>
      <c r="AI338" s="221">
        <f t="shared" si="145"/>
        <v>4.4890776059966422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47808</v>
      </c>
      <c r="B339" s="406">
        <f>'2029'!Wh/'2029'!Env_an*'2030'!Env_an</f>
        <v>13.796639021538965</v>
      </c>
      <c r="C339" s="831"/>
      <c r="D339" s="388">
        <f t="shared" si="127"/>
        <v>14.450795264573742</v>
      </c>
      <c r="E339" s="380">
        <f t="shared" si="125"/>
        <v>14.786591574840283</v>
      </c>
      <c r="F339" s="380">
        <f t="shared" si="128"/>
        <v>14.786591574840283</v>
      </c>
      <c r="G339" s="110">
        <f t="shared" si="126"/>
        <v>0.13186759838003692</v>
      </c>
      <c r="H339" s="409" t="b">
        <f>Wh_hp&gt;='2029'!Maxi_hp</f>
        <v>0</v>
      </c>
      <c r="I339" s="385">
        <f>IF(H339,Wh_hp,'2029'!Maxi_hp)</f>
        <v>14.796661689654837</v>
      </c>
      <c r="J339" s="85">
        <f>IF(H339,An,'2029'!An_max)</f>
        <v>2029</v>
      </c>
      <c r="K339" s="193">
        <f t="shared" si="129"/>
        <v>47808</v>
      </c>
      <c r="L339" s="143">
        <f>IF(t&lt;Tvie,1-EXP((T0-t)*PertePVj)+'2029'!Pspv,1-EXP((T0-t)*PertePVj)+Pspv)</f>
        <v>4.5267836894654967E-2</v>
      </c>
      <c r="M339" s="835"/>
      <c r="N339" s="835"/>
      <c r="O339" s="48">
        <f>IF(t&lt;Tnet,'2029'!Resal+('2029'!Salim-'2029'!Resal)*(1-EXP(('2029'!Tnet-t)/('2029'!Tau_j))),Resal+(Salim-Resal)*(1-EXP((Tnet-t)/(Tau_j))))*Salcycl</f>
        <v>2.2709514127508955E-2</v>
      </c>
      <c r="P339" s="165">
        <f>(INDEX(Models!$BJ339:$BT339,,T339)*(1-R339)+INDEX(Models!$BJ339:$BT339,,T339+1)*R339-ERP_i)*Q339*Ramure*Pc/MaxiM</f>
        <v>1.3231617745791714E-3</v>
      </c>
      <c r="Q339" s="301">
        <f t="shared" si="130"/>
        <v>0.5</v>
      </c>
      <c r="R339" s="173">
        <f t="shared" si="131"/>
        <v>0.96411483646984886</v>
      </c>
      <c r="S339" s="801">
        <f t="shared" si="132"/>
        <v>0</v>
      </c>
      <c r="T339" s="172">
        <f t="shared" si="133"/>
        <v>6</v>
      </c>
      <c r="U339" s="247">
        <f t="shared" si="134"/>
        <v>0.96411483646984886</v>
      </c>
      <c r="V339" s="378">
        <f t="shared" si="135"/>
        <v>104.48650013674528</v>
      </c>
      <c r="W339" s="397">
        <f t="shared" si="136"/>
        <v>13.796639021538965</v>
      </c>
      <c r="X339" s="153">
        <f t="shared" si="137"/>
        <v>47808</v>
      </c>
      <c r="Y339" s="380">
        <f t="shared" si="138"/>
        <v>13.345115412481304</v>
      </c>
      <c r="Z339" s="380">
        <f t="shared" si="139"/>
        <v>13.977863036555945</v>
      </c>
      <c r="AA339" s="381">
        <f t="shared" si="140"/>
        <v>14.786591574840283</v>
      </c>
      <c r="AB339" s="193">
        <f t="shared" si="141"/>
        <v>47808</v>
      </c>
      <c r="AC339" s="119">
        <f>IF(OR(t&lt;Tnet,NoTnet),'2029'!Resal_s+('2029'!Salim-'2029'!Resal_s)*(1-EXP(('2029'!Tnet_s-t)/'2029'!Tau_j)),Resal_s+(Salim-Resal_s)*(1-EXP((Tnet_s-t)/Tau_j)))*Salcycl</f>
        <v>5.4693370963218357E-2</v>
      </c>
      <c r="AD339" s="227">
        <f>(INDEX(Models!$BJ339:$BT339,,AH339)*(1-AF339)+INDEX(Models!$BJ339:$BT339,,AH339+1)*AF339-ERP_i)*AE339*Ramure*Pc/MaxiM</f>
        <v>7.50030982665477E-3</v>
      </c>
      <c r="AE339" s="301">
        <f t="shared" si="142"/>
        <v>0.5</v>
      </c>
      <c r="AF339" s="173">
        <f t="shared" si="143"/>
        <v>0.48910240284382667</v>
      </c>
      <c r="AG339" s="801">
        <f t="shared" si="149"/>
        <v>4</v>
      </c>
      <c r="AH339" s="172">
        <f t="shared" si="144"/>
        <v>10</v>
      </c>
      <c r="AI339" s="221">
        <f t="shared" si="145"/>
        <v>4.4891024028438267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47809</v>
      </c>
      <c r="B340" s="406">
        <f>'2029'!Wh/'2029'!Env_an*'2030'!Env_an</f>
        <v>33.49560084748169</v>
      </c>
      <c r="C340" s="831"/>
      <c r="D340" s="388">
        <f t="shared" si="127"/>
        <v>35.084247367824297</v>
      </c>
      <c r="E340" s="380">
        <f t="shared" si="125"/>
        <v>35.901406609002024</v>
      </c>
      <c r="F340" s="380">
        <f t="shared" si="128"/>
        <v>35.903041324972563</v>
      </c>
      <c r="G340" s="110">
        <f t="shared" si="126"/>
        <v>0.32337862674420859</v>
      </c>
      <c r="H340" s="409" t="b">
        <f>Wh_hp&gt;='2029'!Maxi_hp</f>
        <v>0</v>
      </c>
      <c r="I340" s="385">
        <f>IF(H340,Wh_hp,'2029'!Maxi_hp)</f>
        <v>35.926947866668051</v>
      </c>
      <c r="J340" s="85">
        <f>IF(H340,An,'2029'!An_max)</f>
        <v>2029</v>
      </c>
      <c r="K340" s="193">
        <f t="shared" si="129"/>
        <v>47809</v>
      </c>
      <c r="L340" s="143">
        <f>IF(t&lt;Tvie,1-EXP((T0-t)*PertePVj)+'2029'!Pspv,1-EXP((T0-t)*PertePVj)+Pspv)</f>
        <v>4.5280906376220398E-2</v>
      </c>
      <c r="M340" s="835"/>
      <c r="N340" s="835"/>
      <c r="O340" s="48">
        <f>IF(t&lt;Tnet,'2029'!Resal+('2029'!Salim-'2029'!Resal)*(1-EXP(('2029'!Tnet-t)/('2029'!Tau_j))),Resal+(Salim-Resal)*(1-EXP((Tnet-t)/(Tau_j))))*Salcycl</f>
        <v>2.2761204040758362E-2</v>
      </c>
      <c r="P340" s="165">
        <f>(INDEX(Models!$BJ340:$BT340,,T340)*(1-R340)+INDEX(Models!$BJ340:$BT340,,T340+1)*R340-ERP_i)*Q340*Ramure*Pc/MaxiM</f>
        <v>1.3392961147743825E-3</v>
      </c>
      <c r="Q340" s="301">
        <f t="shared" si="130"/>
        <v>0.5</v>
      </c>
      <c r="R340" s="173">
        <f t="shared" si="131"/>
        <v>0.96413863723591753</v>
      </c>
      <c r="S340" s="801">
        <f t="shared" si="132"/>
        <v>0</v>
      </c>
      <c r="T340" s="172">
        <f t="shared" si="133"/>
        <v>6</v>
      </c>
      <c r="U340" s="247">
        <f t="shared" si="134"/>
        <v>0.96413863723591753</v>
      </c>
      <c r="V340" s="378">
        <f t="shared" si="135"/>
        <v>103.44611758918731</v>
      </c>
      <c r="W340" s="397">
        <f t="shared" si="136"/>
        <v>33.49560084748169</v>
      </c>
      <c r="X340" s="153">
        <f t="shared" si="137"/>
        <v>47809</v>
      </c>
      <c r="Y340" s="380">
        <f t="shared" si="138"/>
        <v>32.394315757605071</v>
      </c>
      <c r="Z340" s="380">
        <f t="shared" si="139"/>
        <v>33.93072996439988</v>
      </c>
      <c r="AA340" s="381">
        <f t="shared" si="140"/>
        <v>35.893884895324035</v>
      </c>
      <c r="AB340" s="193">
        <f t="shared" si="141"/>
        <v>47809</v>
      </c>
      <c r="AC340" s="119">
        <f>IF(OR(t&lt;Tnet,NoTnet),'2029'!Resal_s+('2029'!Salim-'2029'!Resal_s)*(1-EXP(('2029'!Tnet_s-t)/'2029'!Tau_j)),Resal_s+(Salim-Resal_s)*(1-EXP((Tnet_s-t)/Tau_j)))*Salcycl</f>
        <v>5.46932976647478E-2</v>
      </c>
      <c r="AD340" s="227">
        <f>(INDEX(Models!$BJ340:$BT340,,AH340)*(1-AF340)+INDEX(Models!$BJ340:$BT340,,AH340+1)*AF340-ERP_i)*AE340*Ramure*Pc/MaxiM</f>
        <v>7.50171337068489E-3</v>
      </c>
      <c r="AE340" s="301">
        <f t="shared" si="142"/>
        <v>0.5</v>
      </c>
      <c r="AF340" s="173">
        <f t="shared" si="143"/>
        <v>0.48912620360989578</v>
      </c>
      <c r="AG340" s="801">
        <f t="shared" si="149"/>
        <v>4</v>
      </c>
      <c r="AH340" s="172">
        <f t="shared" si="144"/>
        <v>10</v>
      </c>
      <c r="AI340" s="221">
        <f t="shared" si="145"/>
        <v>4.4891262036098958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47810</v>
      </c>
      <c r="B341" s="406">
        <f>'2029'!Wh/'2029'!Env_an*'2030'!Env_an</f>
        <v>55.240705717342756</v>
      </c>
      <c r="C341" s="831"/>
      <c r="D341" s="388">
        <f t="shared" si="127"/>
        <v>57.861482288878925</v>
      </c>
      <c r="E341" s="380">
        <f t="shared" si="125"/>
        <v>59.212301283650667</v>
      </c>
      <c r="F341" s="380">
        <f t="shared" si="128"/>
        <v>59.239695665660889</v>
      </c>
      <c r="G341" s="110">
        <f t="shared" si="126"/>
        <v>0.53877026941213768</v>
      </c>
      <c r="H341" s="409" t="b">
        <f>Wh_hp&gt;='2029'!Maxi_hp</f>
        <v>0</v>
      </c>
      <c r="I341" s="385">
        <f>IF(H341,Wh_hp,'2029'!Maxi_hp)</f>
        <v>59.266850955124269</v>
      </c>
      <c r="J341" s="85">
        <f>IF(H341,An,'2029'!An_max)</f>
        <v>2029</v>
      </c>
      <c r="K341" s="193">
        <f t="shared" si="129"/>
        <v>47810</v>
      </c>
      <c r="L341" s="143">
        <f>IF(t&lt;Tvie,1-EXP((T0-t)*PertePVj)+'2029'!Pspv,1-EXP((T0-t)*PertePVj)+Pspv)</f>
        <v>4.5293975678875498E-2</v>
      </c>
      <c r="M341" s="835"/>
      <c r="N341" s="835"/>
      <c r="O341" s="48">
        <f>IF(t&lt;Tnet,'2029'!Resal+('2029'!Salim-'2029'!Resal)*(1-EXP(('2029'!Tnet-t)/('2029'!Tau_j))),Resal+(Salim-Resal)*(1-EXP((Tnet-t)/(Tau_j))))*Salcycl</f>
        <v>2.2813148036601071E-2</v>
      </c>
      <c r="P341" s="165">
        <f>(INDEX(Models!$BJ341:$BT341,,T341)*(1-R341)+INDEX(Models!$BJ341:$BT341,,T341+1)*R341-ERP_i)*Q341*Ramure*Pc/MaxiM</f>
        <v>1.3529865194895634E-3</v>
      </c>
      <c r="Q341" s="301">
        <f t="shared" si="130"/>
        <v>0.5</v>
      </c>
      <c r="R341" s="173">
        <f t="shared" si="131"/>
        <v>0.9641614818438673</v>
      </c>
      <c r="S341" s="801">
        <f t="shared" si="132"/>
        <v>0</v>
      </c>
      <c r="T341" s="172">
        <f t="shared" si="133"/>
        <v>6</v>
      </c>
      <c r="U341" s="247">
        <f t="shared" si="134"/>
        <v>0.9641614818438673</v>
      </c>
      <c r="V341" s="378">
        <f t="shared" si="135"/>
        <v>102.43974339048268</v>
      </c>
      <c r="W341" s="397">
        <f t="shared" si="136"/>
        <v>55.240705717342756</v>
      </c>
      <c r="X341" s="153">
        <f t="shared" si="137"/>
        <v>47810</v>
      </c>
      <c r="Y341" s="380">
        <f t="shared" si="138"/>
        <v>53.326420520339852</v>
      </c>
      <c r="Z341" s="380">
        <f t="shared" si="139"/>
        <v>55.856377944466601</v>
      </c>
      <c r="AA341" s="381">
        <f t="shared" si="140"/>
        <v>59.088151128142748</v>
      </c>
      <c r="AB341" s="193">
        <f t="shared" si="141"/>
        <v>47810</v>
      </c>
      <c r="AC341" s="119">
        <f>IF(OR(t&lt;Tnet,NoTnet),'2029'!Resal_s+('2029'!Salim-'2029'!Resal_s)*(1-EXP(('2029'!Tnet_s-t)/'2029'!Tau_j)),Resal_s+(Salim-Resal_s)*(1-EXP((Tnet_s-t)/Tau_j)))*Salcycl</f>
        <v>5.4694098934784566E-2</v>
      </c>
      <c r="AD341" s="227">
        <f>(INDEX(Models!$BJ341:$BT341,,AH341)*(1-AF341)+INDEX(Models!$BJ341:$BT341,,AH341+1)*AF341-ERP_i)*AE341*Ramure*Pc/MaxiM</f>
        <v>7.4846629607424851E-3</v>
      </c>
      <c r="AE341" s="301">
        <f t="shared" si="142"/>
        <v>0.5</v>
      </c>
      <c r="AF341" s="173">
        <f t="shared" si="143"/>
        <v>0.48914904821784511</v>
      </c>
      <c r="AG341" s="801">
        <f t="shared" si="149"/>
        <v>4</v>
      </c>
      <c r="AH341" s="172">
        <f t="shared" si="144"/>
        <v>10</v>
      </c>
      <c r="AI341" s="221">
        <f t="shared" si="145"/>
        <v>4.4891490482178451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47811</v>
      </c>
      <c r="B342" s="406">
        <f>'2029'!Wh/'2029'!Env_an*'2030'!Env_an</f>
        <v>54.35728787237197</v>
      </c>
      <c r="C342" s="831"/>
      <c r="D342" s="388">
        <f t="shared" si="127"/>
        <v>56.936932001487243</v>
      </c>
      <c r="E342" s="380">
        <f t="shared" si="125"/>
        <v>58.269279881659635</v>
      </c>
      <c r="F342" s="380">
        <f t="shared" si="128"/>
        <v>58.296055722519448</v>
      </c>
      <c r="G342" s="110">
        <f t="shared" si="126"/>
        <v>0.5352055543122789</v>
      </c>
      <c r="H342" s="409" t="b">
        <f>Wh_hp&gt;='2029'!Maxi_hp</f>
        <v>0</v>
      </c>
      <c r="I342" s="385">
        <f>IF(H342,Wh_hp,'2029'!Maxi_hp)</f>
        <v>58.323204402620291</v>
      </c>
      <c r="J342" s="85">
        <f>IF(H342,An,'2029'!An_max)</f>
        <v>2029</v>
      </c>
      <c r="K342" s="193">
        <f t="shared" si="129"/>
        <v>47811</v>
      </c>
      <c r="L342" s="143">
        <f>IF(t&lt;Tvie,1-EXP((T0-t)*PertePVj)+'2029'!Pspv,1-EXP((T0-t)*PertePVj)+Pspv)</f>
        <v>4.530704480262282E-2</v>
      </c>
      <c r="M342" s="835"/>
      <c r="N342" s="835"/>
      <c r="O342" s="48">
        <f>IF(t&lt;Tnet,'2029'!Resal+('2029'!Salim-'2029'!Resal)*(1-EXP(('2029'!Tnet-t)/('2029'!Tau_j))),Resal+(Salim-Resal)*(1-EXP((Tnet-t)/(Tau_j))))*Salcycl</f>
        <v>2.2865356889226893E-2</v>
      </c>
      <c r="P342" s="165">
        <f>(INDEX(Models!$BJ342:$BT342,,T342)*(1-R342)+INDEX(Models!$BJ342:$BT342,,T342+1)*R342-ERP_i)*Q342*Ramure*Pc/MaxiM</f>
        <v>1.3641430971808065E-3</v>
      </c>
      <c r="Q342" s="301">
        <f t="shared" si="130"/>
        <v>0.5</v>
      </c>
      <c r="R342" s="173">
        <f t="shared" si="131"/>
        <v>0.96418340862361518</v>
      </c>
      <c r="S342" s="801">
        <f t="shared" si="132"/>
        <v>0</v>
      </c>
      <c r="T342" s="172">
        <f t="shared" si="133"/>
        <v>6</v>
      </c>
      <c r="U342" s="247">
        <f t="shared" si="134"/>
        <v>0.96418340862361518</v>
      </c>
      <c r="V342" s="378">
        <f t="shared" si="135"/>
        <v>101.47144484609071</v>
      </c>
      <c r="W342" s="397">
        <f t="shared" si="136"/>
        <v>54.35728787237197</v>
      </c>
      <c r="X342" s="153">
        <f t="shared" si="137"/>
        <v>47811</v>
      </c>
      <c r="Y342" s="380">
        <f t="shared" si="138"/>
        <v>52.478802678600253</v>
      </c>
      <c r="Z342" s="380">
        <f t="shared" si="139"/>
        <v>54.969299179284889</v>
      </c>
      <c r="AA342" s="381">
        <f t="shared" si="140"/>
        <v>58.149851468306217</v>
      </c>
      <c r="AB342" s="193">
        <f t="shared" si="141"/>
        <v>47811</v>
      </c>
      <c r="AC342" s="119">
        <f>IF(OR(t&lt;Tnet,NoTnet),'2029'!Resal_s+('2029'!Salim-'2029'!Resal_s)*(1-EXP(('2029'!Tnet_s-t)/'2029'!Tau_j)),Resal_s+(Salim-Resal_s)*(1-EXP((Tnet_s-t)/Tau_j)))*Salcycl</f>
        <v>5.4695793862084736E-2</v>
      </c>
      <c r="AD342" s="227">
        <f>(INDEX(Models!$BJ342:$BT342,,AH342)*(1-AF342)+INDEX(Models!$BJ342:$BT342,,AH342+1)*AF342-ERP_i)*AE342*Ramure*Pc/MaxiM</f>
        <v>7.4486371952854269E-3</v>
      </c>
      <c r="AE342" s="301">
        <f t="shared" si="142"/>
        <v>0.5</v>
      </c>
      <c r="AF342" s="173">
        <f t="shared" si="143"/>
        <v>0.48917097499759343</v>
      </c>
      <c r="AG342" s="801">
        <f t="shared" si="149"/>
        <v>4</v>
      </c>
      <c r="AH342" s="172">
        <f t="shared" si="144"/>
        <v>10</v>
      </c>
      <c r="AI342" s="221">
        <f t="shared" si="145"/>
        <v>4.4891709749975934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47812</v>
      </c>
      <c r="B343" s="406">
        <f>'2029'!Wh/'2029'!Env_an*'2030'!Env_an</f>
        <v>17.601721386923931</v>
      </c>
      <c r="C343" s="831"/>
      <c r="D343" s="388">
        <f t="shared" si="127"/>
        <v>18.4373020112711</v>
      </c>
      <c r="E343" s="380">
        <f t="shared" si="125"/>
        <v>18.869756061064276</v>
      </c>
      <c r="F343" s="380">
        <f t="shared" si="128"/>
        <v>18.869756061064276</v>
      </c>
      <c r="G343" s="110">
        <f t="shared" si="126"/>
        <v>0.17482231367031145</v>
      </c>
      <c r="H343" s="409" t="b">
        <f>Wh_hp&gt;='2029'!Maxi_hp</f>
        <v>0</v>
      </c>
      <c r="I343" s="385">
        <f>IF(H343,Wh_hp,'2029'!Maxi_hp)</f>
        <v>18.883083082148648</v>
      </c>
      <c r="J343" s="85">
        <f>IF(H343,An,'2029'!An_max)</f>
        <v>2029</v>
      </c>
      <c r="K343" s="193">
        <f t="shared" si="129"/>
        <v>47812</v>
      </c>
      <c r="L343" s="143">
        <f>IF(t&lt;Tvie,1-EXP((T0-t)*PertePVj)+'2029'!Pspv,1-EXP((T0-t)*PertePVj)+Pspv)</f>
        <v>4.5320113747464918E-2</v>
      </c>
      <c r="M343" s="835"/>
      <c r="N343" s="835"/>
      <c r="O343" s="48">
        <f>IF(t&lt;Tnet,'2029'!Resal+('2029'!Salim-'2029'!Resal)*(1-EXP(('2029'!Tnet-t)/('2029'!Tau_j))),Resal+(Salim-Resal)*(1-EXP((Tnet-t)/(Tau_j))))*Salcycl</f>
        <v>2.2917839975976038E-2</v>
      </c>
      <c r="P343" s="165">
        <f>(INDEX(Models!$BJ343:$BT343,,T343)*(1-R343)+INDEX(Models!$BJ343:$BT343,,T343+1)*R343-ERP_i)*Q343*Ramure*Pc/MaxiM</f>
        <v>1.3726783711495523E-3</v>
      </c>
      <c r="Q343" s="301">
        <f t="shared" si="130"/>
        <v>0.5</v>
      </c>
      <c r="R343" s="173">
        <f t="shared" si="131"/>
        <v>0.96420445437501257</v>
      </c>
      <c r="S343" s="801">
        <f t="shared" si="132"/>
        <v>0</v>
      </c>
      <c r="T343" s="172">
        <f t="shared" si="133"/>
        <v>6</v>
      </c>
      <c r="U343" s="247">
        <f t="shared" si="134"/>
        <v>0.96420445437501257</v>
      </c>
      <c r="V343" s="378">
        <f t="shared" si="135"/>
        <v>100.545288045036</v>
      </c>
      <c r="W343" s="397">
        <f t="shared" si="136"/>
        <v>17.601721386923931</v>
      </c>
      <c r="X343" s="153">
        <f t="shared" si="137"/>
        <v>47812</v>
      </c>
      <c r="Y343" s="380">
        <f t="shared" si="138"/>
        <v>17.029208089910348</v>
      </c>
      <c r="Z343" s="380">
        <f t="shared" si="139"/>
        <v>17.837610632770495</v>
      </c>
      <c r="AA343" s="381">
        <f t="shared" si="140"/>
        <v>18.869756061064276</v>
      </c>
      <c r="AB343" s="193">
        <f t="shared" si="141"/>
        <v>47812</v>
      </c>
      <c r="AC343" s="119">
        <f>IF(OR(t&lt;Tnet,NoTnet),'2029'!Resal_s+('2029'!Salim-'2029'!Resal_s)*(1-EXP(('2029'!Tnet_s-t)/'2029'!Tau_j)),Resal_s+(Salim-Resal_s)*(1-EXP((Tnet_s-t)/Tau_j)))*Salcycl</f>
        <v>5.4698398058441504E-2</v>
      </c>
      <c r="AD343" s="227">
        <f>(INDEX(Models!$BJ343:$BT343,,AH343)*(1-AF343)+INDEX(Models!$BJ343:$BT343,,AH343+1)*AF343-ERP_i)*AE343*Ramure*Pc/MaxiM</f>
        <v>7.3931474247306197E-3</v>
      </c>
      <c r="AE343" s="301">
        <f t="shared" si="142"/>
        <v>0.5</v>
      </c>
      <c r="AF343" s="173">
        <f t="shared" si="143"/>
        <v>0.48919202074899104</v>
      </c>
      <c r="AG343" s="801">
        <f t="shared" si="149"/>
        <v>4</v>
      </c>
      <c r="AH343" s="172">
        <f t="shared" si="144"/>
        <v>10</v>
      </c>
      <c r="AI343" s="221">
        <f t="shared" si="145"/>
        <v>4.489192020748991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47813</v>
      </c>
      <c r="B344" s="406">
        <f>'2029'!Wh/'2029'!Env_an*'2030'!Env_an</f>
        <v>52.983594743065723</v>
      </c>
      <c r="C344" s="831"/>
      <c r="D344" s="388">
        <f t="shared" si="127"/>
        <v>55.499566731101595</v>
      </c>
      <c r="E344" s="380">
        <f t="shared" si="125"/>
        <v>56.804398137374868</v>
      </c>
      <c r="F344" s="380">
        <f t="shared" si="128"/>
        <v>56.830319418354989</v>
      </c>
      <c r="G344" s="110">
        <f t="shared" si="126"/>
        <v>0.53112448051578731</v>
      </c>
      <c r="H344" s="409" t="b">
        <f>Wh_hp&gt;='2029'!Maxi_hp</f>
        <v>0</v>
      </c>
      <c r="I344" s="385">
        <f>IF(H344,Wh_hp,'2029'!Maxi_hp)</f>
        <v>56.857292919262221</v>
      </c>
      <c r="J344" s="85">
        <f>IF(H344,An,'2029'!An_max)</f>
        <v>2029</v>
      </c>
      <c r="K344" s="193">
        <f t="shared" si="129"/>
        <v>47813</v>
      </c>
      <c r="L344" s="143">
        <f>IF(t&lt;Tvie,1-EXP((T0-t)*PertePVj)+'2029'!Pspv,1-EXP((T0-t)*PertePVj)+Pspv)</f>
        <v>4.5333182513404013E-2</v>
      </c>
      <c r="M344" s="835"/>
      <c r="N344" s="835"/>
      <c r="O344" s="48">
        <f>IF(t&lt;Tnet,'2029'!Resal+('2029'!Salim-'2029'!Resal)*(1-EXP(('2029'!Tnet-t)/('2029'!Tau_j))),Resal+(Salim-Resal)*(1-EXP((Tnet-t)/(Tau_j))))*Salcycl</f>
        <v>2.2970605253446796E-2</v>
      </c>
      <c r="P344" s="165">
        <f>(INDEX(Models!$BJ344:$BT344,,T344)*(1-R344)+INDEX(Models!$BJ344:$BT344,,T344+1)*R344-ERP_i)*Q344*Ramure*Pc/MaxiM</f>
        <v>1.3785026690330679E-3</v>
      </c>
      <c r="Q344" s="301">
        <f t="shared" si="130"/>
        <v>0.5</v>
      </c>
      <c r="R344" s="173">
        <f t="shared" si="131"/>
        <v>0.96422465442841099</v>
      </c>
      <c r="S344" s="801">
        <f t="shared" si="132"/>
        <v>0</v>
      </c>
      <c r="T344" s="172">
        <f t="shared" si="133"/>
        <v>6</v>
      </c>
      <c r="U344" s="247">
        <f t="shared" si="134"/>
        <v>0.96422465442841099</v>
      </c>
      <c r="V344" s="378">
        <f t="shared" si="135"/>
        <v>99.665338505439067</v>
      </c>
      <c r="W344" s="397">
        <f t="shared" si="136"/>
        <v>52.983594743065723</v>
      </c>
      <c r="X344" s="153">
        <f t="shared" si="137"/>
        <v>47813</v>
      </c>
      <c r="Y344" s="380">
        <f t="shared" si="138"/>
        <v>51.162042833528346</v>
      </c>
      <c r="Z344" s="380">
        <f t="shared" si="139"/>
        <v>53.591516847967419</v>
      </c>
      <c r="AA344" s="381">
        <f t="shared" si="140"/>
        <v>56.692717554664974</v>
      </c>
      <c r="AB344" s="193">
        <f t="shared" si="141"/>
        <v>47813</v>
      </c>
      <c r="AC344" s="119">
        <f>IF(OR(t&lt;Tnet,NoTnet),'2029'!Resal_s+('2029'!Salim-'2029'!Resal_s)*(1-EXP(('2029'!Tnet_s-t)/'2029'!Tau_j)),Resal_s+(Salim-Resal_s)*(1-EXP((Tnet_s-t)/Tau_j)))*Salcycl</f>
        <v>5.4701923641379067E-2</v>
      </c>
      <c r="AD344" s="227">
        <f>(INDEX(Models!$BJ344:$BT344,,AH344)*(1-AF344)+INDEX(Models!$BJ344:$BT344,,AH344+1)*AF344-ERP_i)*AE344*Ramure*Pc/MaxiM</f>
        <v>7.3177146031519142E-3</v>
      </c>
      <c r="AE344" s="301">
        <f t="shared" si="142"/>
        <v>0.5</v>
      </c>
      <c r="AF344" s="173">
        <f t="shared" si="143"/>
        <v>0.48921222080238902</v>
      </c>
      <c r="AG344" s="801">
        <f t="shared" si="149"/>
        <v>4</v>
      </c>
      <c r="AH344" s="172">
        <f t="shared" si="144"/>
        <v>10</v>
      </c>
      <c r="AI344" s="221">
        <f t="shared" si="145"/>
        <v>4.489212220802389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47814</v>
      </c>
      <c r="B345" s="406">
        <f>'2029'!Wh/'2029'!Env_an*'2030'!Env_an</f>
        <v>57.707593825157524</v>
      </c>
      <c r="C345" s="831"/>
      <c r="D345" s="388">
        <f t="shared" si="127"/>
        <v>60.448716502373635</v>
      </c>
      <c r="E345" s="380">
        <f t="shared" si="125"/>
        <v>61.8732654830862</v>
      </c>
      <c r="F345" s="380">
        <f t="shared" si="128"/>
        <v>61.907965316115629</v>
      </c>
      <c r="G345" s="110">
        <f t="shared" si="126"/>
        <v>0.58347979195325494</v>
      </c>
      <c r="H345" s="409" t="b">
        <f>Wh_hp&gt;='2029'!Maxi_hp</f>
        <v>0</v>
      </c>
      <c r="I345" s="385">
        <f>IF(H345,Wh_hp,'2029'!Maxi_hp)</f>
        <v>61.934124171738382</v>
      </c>
      <c r="J345" s="85">
        <f>IF(H345,An,'2029'!An_max)</f>
        <v>2029</v>
      </c>
      <c r="K345" s="193">
        <f t="shared" si="129"/>
        <v>47814</v>
      </c>
      <c r="L345" s="143">
        <f>IF(t&lt;Tvie,1-EXP((T0-t)*PertePVj)+'2029'!Pspv,1-EXP((T0-t)*PertePVj)+Pspv)</f>
        <v>4.5346251100442769E-2</v>
      </c>
      <c r="M345" s="835"/>
      <c r="N345" s="835"/>
      <c r="O345" s="48">
        <f>IF(t&lt;Tnet,'2029'!Resal+('2029'!Salim-'2029'!Resal)*(1-EXP(('2029'!Tnet-t)/('2029'!Tau_j))),Resal+(Salim-Resal)*(1-EXP((Tnet-t)/(Tau_j))))*Salcycl</f>
        <v>2.3023659242649451E-2</v>
      </c>
      <c r="P345" s="165">
        <f>(INDEX(Models!$BJ345:$BT345,,T345)*(1-R345)+INDEX(Models!$BJ345:$BT345,,T345+1)*R345-ERP_i)*Q345*Ramure*Pc/MaxiM</f>
        <v>1.3817272012899386E-3</v>
      </c>
      <c r="Q345" s="301">
        <f t="shared" si="130"/>
        <v>0.5</v>
      </c>
      <c r="R345" s="173">
        <f t="shared" si="131"/>
        <v>0.96424404270287156</v>
      </c>
      <c r="S345" s="801">
        <f t="shared" si="132"/>
        <v>0</v>
      </c>
      <c r="T345" s="172">
        <f t="shared" si="133"/>
        <v>6</v>
      </c>
      <c r="U345" s="247">
        <f t="shared" si="134"/>
        <v>0.96424404270287156</v>
      </c>
      <c r="V345" s="378">
        <f t="shared" si="135"/>
        <v>98.821205784628162</v>
      </c>
      <c r="W345" s="397">
        <f t="shared" si="136"/>
        <v>57.707593825157524</v>
      </c>
      <c r="X345" s="153">
        <f t="shared" si="137"/>
        <v>47814</v>
      </c>
      <c r="Y345" s="380">
        <f t="shared" si="138"/>
        <v>55.703793972332896</v>
      </c>
      <c r="Z345" s="380">
        <f t="shared" si="139"/>
        <v>58.349735740883482</v>
      </c>
      <c r="AA345" s="381">
        <f t="shared" si="140"/>
        <v>61.726573055541806</v>
      </c>
      <c r="AB345" s="193">
        <f t="shared" si="141"/>
        <v>47814</v>
      </c>
      <c r="AC345" s="119">
        <f>IF(OR(t&lt;Tnet,NoTnet),'2029'!Resal_s+('2029'!Salim-'2029'!Resal_s)*(1-EXP(('2029'!Tnet_s-t)/'2029'!Tau_j)),Resal_s+(Salim-Resal_s)*(1-EXP((Tnet_s-t)/Tau_j)))*Salcycl</f>
        <v>5.4706379238319822E-2</v>
      </c>
      <c r="AD345" s="227">
        <f>(INDEX(Models!$BJ345:$BT345,,AH345)*(1-AF345)+INDEX(Models!$BJ345:$BT345,,AH345+1)*AF345-ERP_i)*AE345*Ramure*Pc/MaxiM</f>
        <v>7.2229344828772836E-3</v>
      </c>
      <c r="AE345" s="301">
        <f t="shared" si="142"/>
        <v>0.5</v>
      </c>
      <c r="AF345" s="173">
        <f t="shared" si="143"/>
        <v>0.48923160907684959</v>
      </c>
      <c r="AG345" s="801">
        <f t="shared" si="149"/>
        <v>4</v>
      </c>
      <c r="AH345" s="172">
        <f t="shared" si="144"/>
        <v>10</v>
      </c>
      <c r="AI345" s="221">
        <f t="shared" si="145"/>
        <v>4.4892316090768496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47815</v>
      </c>
      <c r="B346" s="406">
        <f>'2029'!Wh/'2029'!Env_an*'2030'!Env_an</f>
        <v>37.511799840346001</v>
      </c>
      <c r="C346" s="831"/>
      <c r="D346" s="388">
        <f t="shared" si="127"/>
        <v>39.294156017985955</v>
      </c>
      <c r="E346" s="380">
        <f t="shared" si="125"/>
        <v>40.222367884140702</v>
      </c>
      <c r="F346" s="380">
        <f t="shared" si="128"/>
        <v>40.228939717883073</v>
      </c>
      <c r="G346" s="110">
        <f t="shared" si="126"/>
        <v>0.3823024733922003</v>
      </c>
      <c r="H346" s="409" t="b">
        <f>Wh_hp&gt;='2029'!Maxi_hp</f>
        <v>0</v>
      </c>
      <c r="I346" s="385">
        <f>IF(H346,Wh_hp,'2029'!Maxi_hp)</f>
        <v>40.254147848519523</v>
      </c>
      <c r="J346" s="85">
        <f>IF(H346,An,'2029'!An_max)</f>
        <v>2029</v>
      </c>
      <c r="K346" s="193">
        <f t="shared" si="129"/>
        <v>47815</v>
      </c>
      <c r="L346" s="143">
        <f>IF(t&lt;Tvie,1-EXP((T0-t)*PertePVj)+'2029'!Pspv,1-EXP((T0-t)*PertePVj)+Pspv)</f>
        <v>4.5359319508583518E-2</v>
      </c>
      <c r="M346" s="835"/>
      <c r="N346" s="835"/>
      <c r="O346" s="48">
        <f>IF(t&lt;Tnet,'2029'!Resal+('2029'!Salim-'2029'!Resal)*(1-EXP(('2029'!Tnet-t)/('2029'!Tau_j))),Resal+(Salim-Resal)*(1-EXP((Tnet-t)/(Tau_j))))*Salcycl</f>
        <v>2.3077007023267104E-2</v>
      </c>
      <c r="P346" s="165">
        <f>(INDEX(Models!$BJ346:$BT346,,T346)*(1-R346)+INDEX(Models!$BJ346:$BT346,,T346+1)*R346-ERP_i)*Q346*Ramure*Pc/MaxiM</f>
        <v>1.3815897490688962E-3</v>
      </c>
      <c r="Q346" s="301">
        <f t="shared" si="130"/>
        <v>0.5</v>
      </c>
      <c r="R346" s="173">
        <f t="shared" si="131"/>
        <v>0.96426265176210624</v>
      </c>
      <c r="S346" s="801">
        <f t="shared" si="132"/>
        <v>0</v>
      </c>
      <c r="T346" s="172">
        <f t="shared" si="133"/>
        <v>6</v>
      </c>
      <c r="U346" s="247">
        <f t="shared" si="134"/>
        <v>0.96426265176210624</v>
      </c>
      <c r="V346" s="378">
        <f t="shared" si="135"/>
        <v>98.001182369463066</v>
      </c>
      <c r="W346" s="397">
        <f t="shared" si="136"/>
        <v>37.511799840346001</v>
      </c>
      <c r="X346" s="153">
        <f t="shared" si="137"/>
        <v>47815</v>
      </c>
      <c r="Y346" s="380">
        <f t="shared" si="138"/>
        <v>36.272477718284925</v>
      </c>
      <c r="Z346" s="380">
        <f t="shared" si="139"/>
        <v>37.995948066672675</v>
      </c>
      <c r="AA346" s="381">
        <f t="shared" si="140"/>
        <v>40.195092736060488</v>
      </c>
      <c r="AB346" s="193">
        <f t="shared" si="141"/>
        <v>47815</v>
      </c>
      <c r="AC346" s="119">
        <f>IF(OR(t&lt;Tnet,NoTnet),'2029'!Resal_s+('2029'!Salim-'2029'!Resal_s)*(1-EXP(('2029'!Tnet_s-t)/'2029'!Tau_j)),Resal_s+(Salim-Resal_s)*(1-EXP((Tnet_s-t)/Tau_j)))*Salcycl</f>
        <v>5.4711770012036268E-2</v>
      </c>
      <c r="AD346" s="227">
        <f>(INDEX(Models!$BJ346:$BT346,,AH346)*(1-AF346)+INDEX(Models!$BJ346:$BT346,,AH346+1)*AF346-ERP_i)*AE346*Ramure*Pc/MaxiM</f>
        <v>7.1156156646974122E-3</v>
      </c>
      <c r="AE346" s="301">
        <f t="shared" si="142"/>
        <v>0.5</v>
      </c>
      <c r="AF346" s="173">
        <f t="shared" si="143"/>
        <v>0.48925021813608449</v>
      </c>
      <c r="AG346" s="801">
        <f t="shared" si="149"/>
        <v>4</v>
      </c>
      <c r="AH346" s="172">
        <f t="shared" si="144"/>
        <v>10</v>
      </c>
      <c r="AI346" s="221">
        <f t="shared" si="145"/>
        <v>4.4892502181360845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47816</v>
      </c>
      <c r="B347" s="406">
        <f>'2029'!Wh/'2029'!Env_an*'2030'!Env_an</f>
        <v>53.442164686754936</v>
      </c>
      <c r="C347" s="831"/>
      <c r="D347" s="388">
        <f t="shared" si="127"/>
        <v>55.982211283532415</v>
      </c>
      <c r="E347" s="380">
        <f t="shared" si="125"/>
        <v>57.307777556671759</v>
      </c>
      <c r="F347" s="380">
        <f t="shared" si="128"/>
        <v>57.335960497378935</v>
      </c>
      <c r="G347" s="110">
        <f t="shared" si="126"/>
        <v>0.54928803996880926</v>
      </c>
      <c r="H347" s="409" t="b">
        <f>Wh_hp&gt;='2029'!Maxi_hp</f>
        <v>0</v>
      </c>
      <c r="I347" s="385">
        <f>IF(H347,Wh_hp,'2029'!Maxi_hp)</f>
        <v>57.362091369638662</v>
      </c>
      <c r="J347" s="85">
        <f>IF(H347,An,'2029'!An_max)</f>
        <v>2029</v>
      </c>
      <c r="K347" s="193">
        <f t="shared" si="129"/>
        <v>47816</v>
      </c>
      <c r="L347" s="143">
        <f>IF(t&lt;Tvie,1-EXP((T0-t)*PertePVj)+'2029'!Pspv,1-EXP((T0-t)*PertePVj)+Pspv)</f>
        <v>4.5372387737828701E-2</v>
      </c>
      <c r="M347" s="835"/>
      <c r="N347" s="835"/>
      <c r="O347" s="48">
        <f>IF(t&lt;Tnet,'2029'!Resal+('2029'!Salim-'2029'!Resal)*(1-EXP(('2029'!Tnet-t)/('2029'!Tau_j))),Resal+(Salim-Resal)*(1-EXP((Tnet-t)/(Tau_j))))*Salcycl</f>
        <v>2.3130652237010715E-2</v>
      </c>
      <c r="P347" s="165">
        <f>(INDEX(Models!$BJ347:$BT347,,T347)*(1-R347)+INDEX(Models!$BJ347:$BT347,,T347+1)*R347-ERP_i)*Q347*Ramure*Pc/MaxiM</f>
        <v>1.3775507753456321E-3</v>
      </c>
      <c r="Q347" s="301">
        <f t="shared" si="130"/>
        <v>0.5</v>
      </c>
      <c r="R347" s="173">
        <f t="shared" si="131"/>
        <v>0.96428051286823546</v>
      </c>
      <c r="S347" s="801">
        <f t="shared" si="132"/>
        <v>0</v>
      </c>
      <c r="T347" s="172">
        <f t="shared" si="133"/>
        <v>6</v>
      </c>
      <c r="U347" s="247">
        <f t="shared" si="134"/>
        <v>0.96428051286823546</v>
      </c>
      <c r="V347" s="378">
        <f t="shared" si="135"/>
        <v>97.207270508061626</v>
      </c>
      <c r="W347" s="397">
        <f t="shared" si="136"/>
        <v>53.442164686754936</v>
      </c>
      <c r="X347" s="153">
        <f t="shared" si="137"/>
        <v>47816</v>
      </c>
      <c r="Y347" s="380">
        <f t="shared" si="138"/>
        <v>51.610154806759112</v>
      </c>
      <c r="Z347" s="380">
        <f t="shared" si="139"/>
        <v>54.063128013298353</v>
      </c>
      <c r="AA347" s="381">
        <f t="shared" si="140"/>
        <v>57.192598189130145</v>
      </c>
      <c r="AB347" s="193">
        <f t="shared" si="141"/>
        <v>47816</v>
      </c>
      <c r="AC347" s="119">
        <f>IF(OR(t&lt;Tnet,NoTnet),'2029'!Resal_s+('2029'!Salim-'2029'!Resal_s)*(1-EXP(('2029'!Tnet_s-t)/'2029'!Tau_j)),Resal_s+(Salim-Resal_s)*(1-EXP((Tnet_s-t)/Tau_j)))*Salcycl</f>
        <v>5.4718097707031066E-2</v>
      </c>
      <c r="AD347" s="227">
        <f>(INDEX(Models!$BJ347:$BT347,,AH347)*(1-AF347)+INDEX(Models!$BJ347:$BT347,,AH347+1)*AF347-ERP_i)*AE347*Ramure*Pc/MaxiM</f>
        <v>7.007390071015451E-3</v>
      </c>
      <c r="AE347" s="301">
        <f t="shared" si="142"/>
        <v>0.5</v>
      </c>
      <c r="AF347" s="173">
        <f t="shared" si="143"/>
        <v>0.48926807924221372</v>
      </c>
      <c r="AG347" s="801">
        <f t="shared" si="149"/>
        <v>4</v>
      </c>
      <c r="AH347" s="172">
        <f t="shared" si="144"/>
        <v>10</v>
      </c>
      <c r="AI347" s="221">
        <f t="shared" si="145"/>
        <v>4.4892680792422137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47817</v>
      </c>
      <c r="B348" s="406">
        <f>'2029'!Wh/'2029'!Env_an*'2030'!Env_an</f>
        <v>21.197862115302279</v>
      </c>
      <c r="C348" s="831"/>
      <c r="D348" s="388">
        <f t="shared" si="127"/>
        <v>22.205676881661557</v>
      </c>
      <c r="E348" s="380">
        <f t="shared" si="125"/>
        <v>22.732725974361436</v>
      </c>
      <c r="F348" s="380">
        <f t="shared" si="128"/>
        <v>22.732725974361436</v>
      </c>
      <c r="G348" s="110">
        <f t="shared" si="126"/>
        <v>0.21949935596434789</v>
      </c>
      <c r="H348" s="409" t="b">
        <f>Wh_hp&gt;='2029'!Maxi_hp</f>
        <v>0</v>
      </c>
      <c r="I348" s="385">
        <f>IF(H348,Wh_hp,'2029'!Maxi_hp)</f>
        <v>22.748734729293979</v>
      </c>
      <c r="J348" s="85">
        <f>IF(H348,An,'2029'!An_max)</f>
        <v>2029</v>
      </c>
      <c r="K348" s="193">
        <f t="shared" si="129"/>
        <v>47817</v>
      </c>
      <c r="L348" s="143">
        <f>IF(t&lt;Tvie,1-EXP((T0-t)*PertePVj)+'2029'!Pspv,1-EXP((T0-t)*PertePVj)+Pspv)</f>
        <v>4.5385455788180762E-2</v>
      </c>
      <c r="M348" s="835"/>
      <c r="N348" s="835"/>
      <c r="O348" s="48">
        <f>IF(t&lt;Tnet,'2029'!Resal+('2029'!Salim-'2029'!Resal)*(1-EXP(('2029'!Tnet-t)/('2029'!Tau_j))),Resal+(Salim-Resal)*(1-EXP((Tnet-t)/(Tau_j))))*Salcycl</f>
        <v>2.3184597099982523E-2</v>
      </c>
      <c r="P348" s="165">
        <f>(INDEX(Models!$BJ348:$BT348,,T348)*(1-R348)+INDEX(Models!$BJ348:$BT348,,T348+1)*R348-ERP_i)*Q348*Ramure*Pc/MaxiM</f>
        <v>1.3695435728465839E-3</v>
      </c>
      <c r="Q348" s="301">
        <f t="shared" si="130"/>
        <v>0.5</v>
      </c>
      <c r="R348" s="173">
        <f t="shared" si="131"/>
        <v>0.96429765603344442</v>
      </c>
      <c r="S348" s="801">
        <f t="shared" si="132"/>
        <v>0</v>
      </c>
      <c r="T348" s="172">
        <f t="shared" si="133"/>
        <v>6</v>
      </c>
      <c r="U348" s="247">
        <f t="shared" si="134"/>
        <v>0.96429765603344442</v>
      </c>
      <c r="V348" s="378">
        <f t="shared" si="135"/>
        <v>96.441425199090432</v>
      </c>
      <c r="W348" s="397">
        <f t="shared" si="136"/>
        <v>21.197862115302279</v>
      </c>
      <c r="X348" s="153">
        <f t="shared" si="137"/>
        <v>47817</v>
      </c>
      <c r="Y348" s="380">
        <f t="shared" si="138"/>
        <v>20.513396292828947</v>
      </c>
      <c r="Z348" s="380">
        <f t="shared" si="139"/>
        <v>21.488669345349123</v>
      </c>
      <c r="AA348" s="381">
        <f t="shared" si="140"/>
        <v>22.732725974361436</v>
      </c>
      <c r="AB348" s="193">
        <f t="shared" si="141"/>
        <v>47817</v>
      </c>
      <c r="AC348" s="119">
        <f>IF(OR(t&lt;Tnet,NoTnet),'2029'!Resal_s+('2029'!Salim-'2029'!Resal_s)*(1-EXP(('2029'!Tnet_s-t)/'2029'!Tau_j)),Resal_s+(Salim-Resal_s)*(1-EXP((Tnet_s-t)/Tau_j)))*Salcycl</f>
        <v>5.472536071632559E-2</v>
      </c>
      <c r="AD348" s="227">
        <f>(INDEX(Models!$BJ348:$BT348,,AH348)*(1-AF348)+INDEX(Models!$BJ348:$BT348,,AH348+1)*AF348-ERP_i)*AE348*Ramure*Pc/MaxiM</f>
        <v>6.8981093736259023E-3</v>
      </c>
      <c r="AE348" s="301">
        <f t="shared" si="142"/>
        <v>0.5</v>
      </c>
      <c r="AF348" s="173">
        <f t="shared" si="143"/>
        <v>0.48928522240742289</v>
      </c>
      <c r="AG348" s="801">
        <f t="shared" si="149"/>
        <v>4</v>
      </c>
      <c r="AH348" s="172">
        <f t="shared" si="144"/>
        <v>10</v>
      </c>
      <c r="AI348" s="221">
        <f t="shared" si="145"/>
        <v>4.4892852224074229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47818</v>
      </c>
      <c r="B349" s="406">
        <f>'2029'!Wh/'2029'!Env_an*'2030'!Env_an</f>
        <v>15.920899589910832</v>
      </c>
      <c r="C349" s="831"/>
      <c r="D349" s="388">
        <f t="shared" si="127"/>
        <v>16.678058838696291</v>
      </c>
      <c r="E349" s="380">
        <f t="shared" si="125"/>
        <v>17.074858791563603</v>
      </c>
      <c r="F349" s="380">
        <f t="shared" si="128"/>
        <v>17.074858791563603</v>
      </c>
      <c r="G349" s="110">
        <f t="shared" si="126"/>
        <v>0.16612702593060705</v>
      </c>
      <c r="H349" s="409" t="b">
        <f>Wh_hp&gt;='2029'!Maxi_hp</f>
        <v>0</v>
      </c>
      <c r="I349" s="385">
        <f>IF(H349,Wh_hp,'2029'!Maxi_hp)</f>
        <v>17.086775972873831</v>
      </c>
      <c r="J349" s="85">
        <f>IF(H349,An,'2029'!An_max)</f>
        <v>2029</v>
      </c>
      <c r="K349" s="193">
        <f t="shared" si="129"/>
        <v>47818</v>
      </c>
      <c r="L349" s="143">
        <f>IF(t&lt;Tvie,1-EXP((T0-t)*PertePVj)+'2029'!Pspv,1-EXP((T0-t)*PertePVj)+Pspv)</f>
        <v>4.5398523659642254E-2</v>
      </c>
      <c r="M349" s="835"/>
      <c r="N349" s="835"/>
      <c r="O349" s="48">
        <f>IF(t&lt;Tnet,'2029'!Resal+('2029'!Salim-'2029'!Resal)*(1-EXP(('2029'!Tnet-t)/('2029'!Tau_j))),Resal+(Salim-Resal)*(1-EXP((Tnet-t)/(Tau_j))))*Salcycl</f>
        <v>2.3238842423889478E-2</v>
      </c>
      <c r="P349" s="165">
        <f>(INDEX(Models!$BJ349:$BT349,,T349)*(1-R349)+INDEX(Models!$BJ349:$BT349,,T349+1)*R349-ERP_i)*Q349*Ramure*Pc/MaxiM</f>
        <v>1.35750058941503E-3</v>
      </c>
      <c r="Q349" s="301">
        <f t="shared" si="130"/>
        <v>0.5</v>
      </c>
      <c r="R349" s="173">
        <f t="shared" si="131"/>
        <v>0.96431411006961998</v>
      </c>
      <c r="S349" s="801">
        <f t="shared" si="132"/>
        <v>0</v>
      </c>
      <c r="T349" s="172">
        <f t="shared" si="133"/>
        <v>6</v>
      </c>
      <c r="U349" s="247">
        <f t="shared" si="134"/>
        <v>0.96431411006961998</v>
      </c>
      <c r="V349" s="378">
        <f t="shared" si="135"/>
        <v>95.705601603767974</v>
      </c>
      <c r="W349" s="397">
        <f t="shared" si="136"/>
        <v>15.920899589910832</v>
      </c>
      <c r="X349" s="153">
        <f t="shared" si="137"/>
        <v>47818</v>
      </c>
      <c r="Y349" s="380">
        <f t="shared" si="138"/>
        <v>15.407545696380577</v>
      </c>
      <c r="Z349" s="380">
        <f t="shared" si="139"/>
        <v>16.140291082984984</v>
      </c>
      <c r="AA349" s="381">
        <f t="shared" si="140"/>
        <v>17.074858791563603</v>
      </c>
      <c r="AB349" s="193">
        <f t="shared" si="141"/>
        <v>47818</v>
      </c>
      <c r="AC349" s="119">
        <f>IF(OR(t&lt;Tnet,NoTnet),'2029'!Resal_s+('2029'!Salim-'2029'!Resal_s)*(1-EXP(('2029'!Tnet_s-t)/'2029'!Tau_j)),Resal_s+(Salim-Resal_s)*(1-EXP((Tnet_s-t)/Tau_j)))*Salcycl</f>
        <v>5.4733554167977837E-2</v>
      </c>
      <c r="AD349" s="227">
        <f>(INDEX(Models!$BJ349:$BT349,,AH349)*(1-AF349)+INDEX(Models!$BJ349:$BT349,,AH349+1)*AF349-ERP_i)*AE349*Ramure*Pc/MaxiM</f>
        <v>6.7876249879372189E-3</v>
      </c>
      <c r="AE349" s="301">
        <f t="shared" si="142"/>
        <v>0.5</v>
      </c>
      <c r="AF349" s="173">
        <f t="shared" si="143"/>
        <v>0.48930167644359823</v>
      </c>
      <c r="AG349" s="801">
        <f t="shared" si="149"/>
        <v>4</v>
      </c>
      <c r="AH349" s="172">
        <f t="shared" si="144"/>
        <v>10</v>
      </c>
      <c r="AI349" s="221">
        <f t="shared" si="145"/>
        <v>4.4893016764435982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47819</v>
      </c>
      <c r="B350" s="406">
        <f>'2029'!Wh/'2029'!Env_an*'2030'!Env_an</f>
        <v>25.672198568746158</v>
      </c>
      <c r="C350" s="831"/>
      <c r="D350" s="388">
        <f t="shared" si="127"/>
        <v>26.893474021030624</v>
      </c>
      <c r="E350" s="380">
        <f t="shared" si="125"/>
        <v>27.534854050194465</v>
      </c>
      <c r="F350" s="380">
        <f t="shared" si="128"/>
        <v>27.534854050194465</v>
      </c>
      <c r="G350" s="110">
        <f t="shared" si="126"/>
        <v>0.26986620460818572</v>
      </c>
      <c r="H350" s="409" t="b">
        <f>Wh_hp&gt;='2029'!Maxi_hp</f>
        <v>0</v>
      </c>
      <c r="I350" s="385">
        <f>IF(H350,Wh_hp,'2029'!Maxi_hp)</f>
        <v>27.553840719946681</v>
      </c>
      <c r="J350" s="85">
        <f>IF(H350,An,'2029'!An_max)</f>
        <v>2029</v>
      </c>
      <c r="K350" s="193">
        <f t="shared" si="129"/>
        <v>47819</v>
      </c>
      <c r="L350" s="143">
        <f>IF(t&lt;Tvie,1-EXP((T0-t)*PertePVj)+'2029'!Pspv,1-EXP((T0-t)*PertePVj)+Pspv)</f>
        <v>4.5411591352215508E-2</v>
      </c>
      <c r="M350" s="835"/>
      <c r="N350" s="835"/>
      <c r="O350" s="48">
        <f>IF(t&lt;Tnet,'2029'!Resal+('2029'!Salim-'2029'!Resal)*(1-EXP(('2029'!Tnet-t)/('2029'!Tau_j))),Resal+(Salim-Resal)*(1-EXP((Tnet-t)/(Tau_j))))*Salcycl</f>
        <v>2.3293387645877472E-2</v>
      </c>
      <c r="P350" s="165">
        <f>(INDEX(Models!$BJ350:$BT350,,T350)*(1-R350)+INDEX(Models!$BJ350:$BT350,,T350+1)*R350-ERP_i)*Q350*Ramure*Pc/MaxiM</f>
        <v>1.3413544929283844E-3</v>
      </c>
      <c r="Q350" s="301">
        <f t="shared" si="130"/>
        <v>0.5</v>
      </c>
      <c r="R350" s="173">
        <f t="shared" si="131"/>
        <v>0.9643299026360419</v>
      </c>
      <c r="S350" s="801">
        <f t="shared" si="132"/>
        <v>0</v>
      </c>
      <c r="T350" s="172">
        <f t="shared" si="133"/>
        <v>6</v>
      </c>
      <c r="U350" s="247">
        <f t="shared" si="134"/>
        <v>0.9643299026360419</v>
      </c>
      <c r="V350" s="378">
        <f t="shared" si="135"/>
        <v>95.001754988460547</v>
      </c>
      <c r="W350" s="397">
        <f t="shared" si="136"/>
        <v>25.672198568746158</v>
      </c>
      <c r="X350" s="153">
        <f t="shared" si="137"/>
        <v>47819</v>
      </c>
      <c r="Y350" s="380">
        <f t="shared" si="138"/>
        <v>24.845571399430092</v>
      </c>
      <c r="Z350" s="380">
        <f t="shared" si="139"/>
        <v>26.027522620586723</v>
      </c>
      <c r="AA350" s="381">
        <f t="shared" si="140"/>
        <v>27.534854050194465</v>
      </c>
      <c r="AB350" s="193">
        <f t="shared" si="141"/>
        <v>47819</v>
      </c>
      <c r="AC350" s="119">
        <f>IF(OR(t&lt;Tnet,NoTnet),'2029'!Resal_s+('2029'!Salim-'2029'!Resal_s)*(1-EXP(('2029'!Tnet_s-t)/'2029'!Tau_j)),Resal_s+(Salim-Resal_s)*(1-EXP((Tnet_s-t)/Tau_j)))*Salcycl</f>
        <v>5.474267003049893E-2</v>
      </c>
      <c r="AD350" s="227">
        <f>(INDEX(Models!$BJ350:$BT350,,AH350)*(1-AF350)+INDEX(Models!$BJ350:$BT350,,AH350+1)*AF350-ERP_i)*AE350*Ramure*Pc/MaxiM</f>
        <v>6.6757894786228407E-3</v>
      </c>
      <c r="AE350" s="301">
        <f t="shared" si="142"/>
        <v>0.5</v>
      </c>
      <c r="AF350" s="173">
        <f t="shared" si="143"/>
        <v>0.48931746901001993</v>
      </c>
      <c r="AG350" s="801">
        <f t="shared" si="149"/>
        <v>4</v>
      </c>
      <c r="AH350" s="172">
        <f t="shared" si="144"/>
        <v>10</v>
      </c>
      <c r="AI350" s="221">
        <f t="shared" si="145"/>
        <v>4.4893174690100199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47820</v>
      </c>
      <c r="B351" s="406">
        <f>'2029'!Wh/'2029'!Env_an*'2030'!Env_an</f>
        <v>35.199519728097812</v>
      </c>
      <c r="C351" s="831"/>
      <c r="D351" s="388">
        <f t="shared" si="127"/>
        <v>36.874532801442911</v>
      </c>
      <c r="E351" s="380">
        <f t="shared" si="125"/>
        <v>37.756070246169386</v>
      </c>
      <c r="F351" s="380">
        <f t="shared" si="128"/>
        <v>37.761282831716983</v>
      </c>
      <c r="G351" s="110">
        <f t="shared" si="126"/>
        <v>0.37270419756736733</v>
      </c>
      <c r="H351" s="409" t="b">
        <f>Wh_hp&gt;='2029'!Maxi_hp</f>
        <v>0</v>
      </c>
      <c r="I351" s="385">
        <f>IF(H351,Wh_hp,'2029'!Maxi_hp)</f>
        <v>37.784245812043743</v>
      </c>
      <c r="J351" s="85">
        <f>IF(H351,An,'2029'!An_max)</f>
        <v>2029</v>
      </c>
      <c r="K351" s="193">
        <f t="shared" si="129"/>
        <v>47820</v>
      </c>
      <c r="L351" s="143">
        <f>IF(t&lt;Tvie,1-EXP((T0-t)*PertePVj)+'2029'!Pspv,1-EXP((T0-t)*PertePVj)+Pspv)</f>
        <v>4.5424658865903078E-2</v>
      </c>
      <c r="M351" s="835"/>
      <c r="N351" s="835"/>
      <c r="O351" s="48">
        <f>IF(t&lt;Tnet,'2029'!Resal+('2029'!Salim-'2029'!Resal)*(1-EXP(('2029'!Tnet-t)/('2029'!Tau_j))),Resal+(Salim-Resal)*(1-EXP((Tnet-t)/(Tau_j))))*Salcycl</f>
        <v>2.3348230866688569E-2</v>
      </c>
      <c r="P351" s="165">
        <f>(INDEX(Models!$BJ351:$BT351,,T351)*(1-R351)+INDEX(Models!$BJ351:$BT351,,T351+1)*R351-ERP_i)*Q351*Ramure*Pc/MaxiM</f>
        <v>1.3210393616162057E-3</v>
      </c>
      <c r="Q351" s="301">
        <f t="shared" si="130"/>
        <v>0.5</v>
      </c>
      <c r="R351" s="173">
        <f t="shared" si="131"/>
        <v>0.9643450602852045</v>
      </c>
      <c r="S351" s="801">
        <f t="shared" si="132"/>
        <v>0</v>
      </c>
      <c r="T351" s="172">
        <f t="shared" si="133"/>
        <v>6</v>
      </c>
      <c r="U351" s="247">
        <f t="shared" si="134"/>
        <v>0.9643450602852045</v>
      </c>
      <c r="V351" s="378">
        <f t="shared" si="135"/>
        <v>94.331840682527329</v>
      </c>
      <c r="W351" s="397">
        <f t="shared" si="136"/>
        <v>35.199519728097812</v>
      </c>
      <c r="X351" s="153">
        <f t="shared" si="137"/>
        <v>47820</v>
      </c>
      <c r="Y351" s="380">
        <f t="shared" si="138"/>
        <v>34.049009625015337</v>
      </c>
      <c r="Z351" s="380">
        <f t="shared" si="139"/>
        <v>35.669274239331308</v>
      </c>
      <c r="AA351" s="381">
        <f t="shared" si="140"/>
        <v>37.735388543334608</v>
      </c>
      <c r="AB351" s="193">
        <f t="shared" si="141"/>
        <v>47820</v>
      </c>
      <c r="AC351" s="119">
        <f>IF(OR(t&lt;Tnet,NoTnet),'2029'!Resal_s+('2029'!Salim-'2029'!Resal_s)*(1-EXP(('2029'!Tnet_s-t)/'2029'!Tau_j)),Resal_s+(Salim-Resal_s)*(1-EXP((Tnet_s-t)/Tau_j)))*Salcycl</f>
        <v>5.4752697236192784E-2</v>
      </c>
      <c r="AD351" s="227">
        <f>(INDEX(Models!$BJ351:$BT351,,AH351)*(1-AF351)+INDEX(Models!$BJ351:$BT351,,AH351+1)*AF351-ERP_i)*AE351*Ramure*Pc/MaxiM</f>
        <v>6.5624580895248807E-3</v>
      </c>
      <c r="AE351" s="301">
        <f t="shared" si="142"/>
        <v>0.5</v>
      </c>
      <c r="AF351" s="173">
        <f t="shared" si="143"/>
        <v>0.48933262665918242</v>
      </c>
      <c r="AG351" s="801">
        <f t="shared" si="149"/>
        <v>4</v>
      </c>
      <c r="AH351" s="172">
        <f t="shared" si="144"/>
        <v>10</v>
      </c>
      <c r="AI351" s="221">
        <f t="shared" si="145"/>
        <v>4.4893326266591824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47821</v>
      </c>
      <c r="B352" s="406">
        <f>'2029'!Wh/'2029'!Env_an*'2030'!Env_an</f>
        <v>75.520883177060881</v>
      </c>
      <c r="C352" s="831"/>
      <c r="D352" s="388">
        <f t="shared" si="127"/>
        <v>79.115721676781874</v>
      </c>
      <c r="E352" s="380">
        <f t="shared" si="125"/>
        <v>81.011667619012698</v>
      </c>
      <c r="F352" s="380">
        <f t="shared" si="128"/>
        <v>81.087757469845826</v>
      </c>
      <c r="G352" s="110">
        <f t="shared" si="126"/>
        <v>0.8057158255007375</v>
      </c>
      <c r="H352" s="409" t="b">
        <f>Wh_hp&gt;='2029'!Maxi_hp</f>
        <v>0</v>
      </c>
      <c r="I352" s="385">
        <f>IF(H352,Wh_hp,'2029'!Maxi_hp)</f>
        <v>81.102756829153492</v>
      </c>
      <c r="J352" s="85">
        <f>IF(H352,An,'2029'!An_max)</f>
        <v>2029</v>
      </c>
      <c r="K352" s="193">
        <f t="shared" si="129"/>
        <v>47821</v>
      </c>
      <c r="L352" s="143">
        <f>IF(t&lt;Tvie,1-EXP((T0-t)*PertePVj)+'2029'!Pspv,1-EXP((T0-t)*PertePVj)+Pspv)</f>
        <v>4.5437726200707407E-2</v>
      </c>
      <c r="M352" s="835"/>
      <c r="N352" s="835"/>
      <c r="O352" s="48">
        <f>IF(t&lt;Tnet,'2029'!Resal+('2029'!Salim-'2029'!Resal)*(1-EXP(('2029'!Tnet-t)/('2029'!Tau_j))),Resal+(Salim-Resal)*(1-EXP((Tnet-t)/(Tau_j))))*Salcycl</f>
        <v>2.340336889677682E-2</v>
      </c>
      <c r="P352" s="165">
        <f>(INDEX(Models!$BJ352:$BT352,,T352)*(1-R352)+INDEX(Models!$BJ352:$BT352,,T352+1)*R352-ERP_i)*Q352*Ramure*Pc/MaxiM</f>
        <v>1.298116781308568E-3</v>
      </c>
      <c r="Q352" s="301">
        <f t="shared" si="130"/>
        <v>0.5</v>
      </c>
      <c r="R352" s="173">
        <f t="shared" si="131"/>
        <v>0.96435960850683955</v>
      </c>
      <c r="S352" s="801">
        <f t="shared" si="132"/>
        <v>0</v>
      </c>
      <c r="T352" s="172">
        <f t="shared" si="133"/>
        <v>6</v>
      </c>
      <c r="U352" s="247">
        <f t="shared" si="134"/>
        <v>0.96435960850683955</v>
      </c>
      <c r="V352" s="378">
        <f t="shared" si="135"/>
        <v>93.697661680270045</v>
      </c>
      <c r="W352" s="397">
        <f t="shared" si="136"/>
        <v>75.520883177060881</v>
      </c>
      <c r="X352" s="153">
        <f t="shared" si="137"/>
        <v>47821</v>
      </c>
      <c r="Y352" s="380">
        <f t="shared" si="138"/>
        <v>72.823176153802535</v>
      </c>
      <c r="Z352" s="380">
        <f t="shared" si="139"/>
        <v>76.289602211028111</v>
      </c>
      <c r="AA352" s="381">
        <f t="shared" si="140"/>
        <v>80.709549454735381</v>
      </c>
      <c r="AB352" s="193">
        <f t="shared" si="141"/>
        <v>47821</v>
      </c>
      <c r="AC352" s="119">
        <f>IF(OR(t&lt;Tnet,NoTnet),'2029'!Resal_s+('2029'!Salim-'2029'!Resal_s)*(1-EXP(('2029'!Tnet_s-t)/'2029'!Tau_j)),Resal_s+(Salim-Resal_s)*(1-EXP((Tnet_s-t)/Tau_j)))*Salcycl</f>
        <v>5.4763621821307763E-2</v>
      </c>
      <c r="AD352" s="227">
        <f>(INDEX(Models!$BJ352:$BT352,,AH352)*(1-AF352)+INDEX(Models!$BJ352:$BT352,,AH352+1)*AF352-ERP_i)*AE352*Ramure*Pc/MaxiM</f>
        <v>6.4523476635136839E-3</v>
      </c>
      <c r="AE352" s="301">
        <f t="shared" si="142"/>
        <v>0.5</v>
      </c>
      <c r="AF352" s="173">
        <f t="shared" si="143"/>
        <v>0.4893471748808178</v>
      </c>
      <c r="AG352" s="801">
        <f t="shared" si="149"/>
        <v>4</v>
      </c>
      <c r="AH352" s="172">
        <f t="shared" si="144"/>
        <v>10</v>
      </c>
      <c r="AI352" s="221">
        <f t="shared" si="145"/>
        <v>4.4893471748808178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47822</v>
      </c>
      <c r="B353" s="406">
        <f>'2029'!Wh/'2029'!Env_an*'2030'!Env_an</f>
        <v>94.774047487548486</v>
      </c>
      <c r="C353" s="831"/>
      <c r="D353" s="388">
        <f t="shared" si="127"/>
        <v>99.286707094773362</v>
      </c>
      <c r="E353" s="380">
        <f t="shared" si="125"/>
        <v>101.67180536906353</v>
      </c>
      <c r="F353" s="380">
        <f t="shared" si="128"/>
        <v>101.80165922756321</v>
      </c>
      <c r="G353" s="110">
        <f t="shared" si="126"/>
        <v>1.0179714021442381</v>
      </c>
      <c r="H353" s="409" t="b">
        <f>Wh_hp&gt;='2029'!Maxi_hp</f>
        <v>1</v>
      </c>
      <c r="I353" s="385">
        <f>IF(H353,Wh_hp,'2029'!Maxi_hp)</f>
        <v>101.80165922756321</v>
      </c>
      <c r="J353" s="85">
        <f>IF(H353,An,'2029'!An_max)</f>
        <v>2030</v>
      </c>
      <c r="K353" s="193">
        <f t="shared" si="129"/>
        <v>47822</v>
      </c>
      <c r="L353" s="143">
        <f>IF(t&lt;Tvie,1-EXP((T0-t)*PertePVj)+'2029'!Pspv,1-EXP((T0-t)*PertePVj)+Pspv)</f>
        <v>4.5450793356630825E-2</v>
      </c>
      <c r="M353" s="835"/>
      <c r="N353" s="835"/>
      <c r="O353" s="48">
        <f>IF(t&lt;Tnet,'2029'!Resal+('2029'!Salim-'2029'!Resal)*(1-EXP(('2029'!Tnet-t)/('2029'!Tau_j))),Resal+(Salim-Resal)*(1-EXP((Tnet-t)/(Tau_j))))*Salcycl</f>
        <v>2.3458797309956179E-2</v>
      </c>
      <c r="P353" s="165">
        <f>(INDEX(Models!$BJ353:$BT353,,T353)*(1-R353)+INDEX(Models!$BJ353:$BT353,,T353+1)*R353-ERP_i)*Q353*Ramure*Pc/MaxiM</f>
        <v>1.2755573876197339E-3</v>
      </c>
      <c r="Q353" s="301">
        <f t="shared" si="130"/>
        <v>0.5</v>
      </c>
      <c r="R353" s="173">
        <f t="shared" si="131"/>
        <v>0.96437357177020844</v>
      </c>
      <c r="S353" s="801">
        <f t="shared" si="132"/>
        <v>0</v>
      </c>
      <c r="T353" s="172">
        <f t="shared" si="133"/>
        <v>6</v>
      </c>
      <c r="U353" s="247">
        <f t="shared" si="134"/>
        <v>0.96437357177020844</v>
      </c>
      <c r="V353" s="378">
        <f t="shared" si="135"/>
        <v>93.100893883578664</v>
      </c>
      <c r="W353" s="397">
        <f t="shared" si="136"/>
        <v>94.774047487548486</v>
      </c>
      <c r="X353" s="153">
        <f t="shared" si="137"/>
        <v>47822</v>
      </c>
      <c r="Y353" s="380">
        <f t="shared" si="138"/>
        <v>91.268496117712914</v>
      </c>
      <c r="Z353" s="380">
        <f t="shared" si="139"/>
        <v>95.614239142950652</v>
      </c>
      <c r="AA353" s="381">
        <f t="shared" si="140"/>
        <v>101.15505022024176</v>
      </c>
      <c r="AB353" s="193">
        <f t="shared" si="141"/>
        <v>47822</v>
      </c>
      <c r="AC353" s="119">
        <f>IF(OR(t&lt;Tnet,NoTnet),'2029'!Resal_s+('2029'!Salim-'2029'!Resal_s)*(1-EXP(('2029'!Tnet_s-t)/'2029'!Tau_j)),Resal_s+(Salim-Resal_s)*(1-EXP((Tnet_s-t)/Tau_j)))*Salcycl</f>
        <v>5.4775427081764756E-2</v>
      </c>
      <c r="AD353" s="227">
        <f>(INDEX(Models!$BJ353:$BT353,,AH353)*(1-AF353)+INDEX(Models!$BJ353:$BT353,,AH353+1)*AF353-ERP_i)*AE353*Ramure*Pc/MaxiM</f>
        <v>6.351654896665713E-3</v>
      </c>
      <c r="AE353" s="301">
        <f t="shared" si="142"/>
        <v>0.5</v>
      </c>
      <c r="AF353" s="173">
        <f t="shared" si="143"/>
        <v>0.48936113814418647</v>
      </c>
      <c r="AG353" s="801">
        <f t="shared" si="149"/>
        <v>4</v>
      </c>
      <c r="AH353" s="172">
        <f t="shared" si="144"/>
        <v>10</v>
      </c>
      <c r="AI353" s="221">
        <f t="shared" si="145"/>
        <v>4.4893611381441865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47823</v>
      </c>
      <c r="B354" s="406">
        <f>'2029'!Wh/'2029'!Env_an*'2030'!Env_an</f>
        <v>49.251124549554255</v>
      </c>
      <c r="C354" s="831"/>
      <c r="D354" s="388">
        <f t="shared" si="127"/>
        <v>51.596919700464042</v>
      </c>
      <c r="E354" s="380">
        <f t="shared" si="125"/>
        <v>52.839412623632661</v>
      </c>
      <c r="F354" s="380">
        <f t="shared" si="128"/>
        <v>52.861389266262208</v>
      </c>
      <c r="G354" s="110">
        <f t="shared" si="126"/>
        <v>0.53174837881011217</v>
      </c>
      <c r="H354" s="409" t="b">
        <f>Wh_hp&gt;='2029'!Maxi_hp</f>
        <v>0</v>
      </c>
      <c r="I354" s="385">
        <f>IF(H354,Wh_hp,'2029'!Maxi_hp)</f>
        <v>52.884144870708397</v>
      </c>
      <c r="J354" s="85">
        <f>IF(H354,An,'2029'!An_max)</f>
        <v>2029</v>
      </c>
      <c r="K354" s="193">
        <f t="shared" si="129"/>
        <v>47823</v>
      </c>
      <c r="L354" s="143">
        <f>IF(t&lt;Tvie,1-EXP((T0-t)*PertePVj)+'2029'!Pspv,1-EXP((T0-t)*PertePVj)+Pspv)</f>
        <v>4.5463860333675887E-2</v>
      </c>
      <c r="M354" s="835"/>
      <c r="N354" s="835"/>
      <c r="O354" s="48">
        <f>IF(t&lt;Tnet,'2029'!Resal+('2029'!Salim-'2029'!Resal)*(1-EXP(('2029'!Tnet-t)/('2029'!Tau_j))),Resal+(Salim-Resal)*(1-EXP((Tnet-t)/(Tau_j))))*Salcycl</f>
        <v>2.3514510504094976E-2</v>
      </c>
      <c r="P354" s="165">
        <f>(INDEX(Models!$BJ354:$BT354,,T354)*(1-R354)+INDEX(Models!$BJ354:$BT354,,T354+1)*R354-ERP_i)*Q354*Ramure*Pc/MaxiM</f>
        <v>1.2533408723470654E-3</v>
      </c>
      <c r="Q354" s="301">
        <f t="shared" si="130"/>
        <v>0.5</v>
      </c>
      <c r="R354" s="173">
        <f t="shared" si="131"/>
        <v>0.96438697356473146</v>
      </c>
      <c r="S354" s="801">
        <f t="shared" si="132"/>
        <v>0</v>
      </c>
      <c r="T354" s="172">
        <f t="shared" si="133"/>
        <v>6</v>
      </c>
      <c r="U354" s="247">
        <f t="shared" si="134"/>
        <v>0.96438697356473146</v>
      </c>
      <c r="V354" s="378">
        <f t="shared" si="135"/>
        <v>92.543497288194402</v>
      </c>
      <c r="W354" s="397">
        <f t="shared" si="136"/>
        <v>49.251124549554255</v>
      </c>
      <c r="X354" s="153">
        <f t="shared" si="137"/>
        <v>47823</v>
      </c>
      <c r="Y354" s="380">
        <f t="shared" si="138"/>
        <v>47.594562885640578</v>
      </c>
      <c r="Z354" s="380">
        <f t="shared" si="139"/>
        <v>49.861457212377672</v>
      </c>
      <c r="AA354" s="381">
        <f t="shared" si="140"/>
        <v>52.751617793128396</v>
      </c>
      <c r="AB354" s="193">
        <f t="shared" si="141"/>
        <v>47823</v>
      </c>
      <c r="AC354" s="119">
        <f>IF(OR(t&lt;Tnet,NoTnet),'2029'!Resal_s+('2029'!Salim-'2029'!Resal_s)*(1-EXP(('2029'!Tnet_s-t)/'2029'!Tau_j)),Resal_s+(Salim-Resal_s)*(1-EXP((Tnet_s-t)/Tau_j)))*Salcycl</f>
        <v>5.4788093743111721E-2</v>
      </c>
      <c r="AD354" s="227">
        <f>(INDEX(Models!$BJ354:$BT354,,AH354)*(1-AF354)+INDEX(Models!$BJ354:$BT354,,AH354+1)*AF354-ERP_i)*AE354*Ramure*Pc/MaxiM</f>
        <v>6.2603317629316901E-3</v>
      </c>
      <c r="AE354" s="301">
        <f t="shared" si="142"/>
        <v>0.5</v>
      </c>
      <c r="AF354" s="173">
        <f t="shared" si="143"/>
        <v>0.4893745399387095</v>
      </c>
      <c r="AG354" s="801">
        <f t="shared" si="149"/>
        <v>4</v>
      </c>
      <c r="AH354" s="172">
        <f t="shared" si="144"/>
        <v>10</v>
      </c>
      <c r="AI354" s="221">
        <f t="shared" si="145"/>
        <v>4.4893745399387095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47824</v>
      </c>
      <c r="B355" s="406">
        <f>'2029'!Wh/'2029'!Env_an*'2030'!Env_an</f>
        <v>76.182591535882054</v>
      </c>
      <c r="C355" s="831"/>
      <c r="D355" s="388">
        <f t="shared" si="127"/>
        <v>79.812205384379311</v>
      </c>
      <c r="E355" s="380">
        <f t="shared" si="125"/>
        <v>81.738830636435566</v>
      </c>
      <c r="F355" s="380">
        <f t="shared" si="128"/>
        <v>81.81480021105709</v>
      </c>
      <c r="G355" s="110">
        <f t="shared" si="126"/>
        <v>0.82757384269572354</v>
      </c>
      <c r="H355" s="409" t="b">
        <f>Wh_hp&gt;='2029'!Maxi_hp</f>
        <v>0</v>
      </c>
      <c r="I355" s="385">
        <f>IF(H355,Wh_hp,'2029'!Maxi_hp)</f>
        <v>81.827538342656013</v>
      </c>
      <c r="J355" s="85">
        <f>IF(H355,An,'2029'!An_max)</f>
        <v>2029</v>
      </c>
      <c r="K355" s="193">
        <f t="shared" si="129"/>
        <v>47824</v>
      </c>
      <c r="L355" s="143">
        <f>IF(t&lt;Tvie,1-EXP((T0-t)*PertePVj)+'2029'!Pspv,1-EXP((T0-t)*PertePVj)+Pspv)</f>
        <v>4.5476927131844924E-2</v>
      </c>
      <c r="M355" s="835"/>
      <c r="N355" s="835"/>
      <c r="O355" s="48">
        <f>IF(t&lt;Tnet,'2029'!Resal+('2029'!Salim-'2029'!Resal)*(1-EXP(('2029'!Tnet-t)/('2029'!Tau_j))),Resal+(Salim-Resal)*(1-EXP((Tnet-t)/(Tau_j))))*Salcycl</f>
        <v>2.3570501768316876E-2</v>
      </c>
      <c r="P355" s="165">
        <f>(INDEX(Models!$BJ355:$BT355,,T355)*(1-R355)+INDEX(Models!$BJ355:$BT355,,T355+1)*R355-ERP_i)*Q355*Ramure*Pc/MaxiM</f>
        <v>1.2314479329924744E-3</v>
      </c>
      <c r="Q355" s="301">
        <f t="shared" si="130"/>
        <v>0.5</v>
      </c>
      <c r="R355" s="173">
        <f t="shared" si="131"/>
        <v>0.9643998364390165</v>
      </c>
      <c r="S355" s="801">
        <f t="shared" si="132"/>
        <v>0</v>
      </c>
      <c r="T355" s="172">
        <f t="shared" si="133"/>
        <v>6</v>
      </c>
      <c r="U355" s="247">
        <f t="shared" si="134"/>
        <v>0.9643998364390165</v>
      </c>
      <c r="V355" s="378">
        <f t="shared" si="135"/>
        <v>92.027431296405823</v>
      </c>
      <c r="W355" s="397">
        <f t="shared" si="136"/>
        <v>76.182591535882054</v>
      </c>
      <c r="X355" s="153">
        <f t="shared" si="137"/>
        <v>47824</v>
      </c>
      <c r="Y355" s="380">
        <f t="shared" si="138"/>
        <v>73.470554542377712</v>
      </c>
      <c r="Z355" s="380">
        <f t="shared" si="139"/>
        <v>76.970957152049834</v>
      </c>
      <c r="AA355" s="381">
        <f t="shared" si="140"/>
        <v>81.433651563222597</v>
      </c>
      <c r="AB355" s="193">
        <f t="shared" si="141"/>
        <v>47824</v>
      </c>
      <c r="AC355" s="119">
        <f>IF(OR(t&lt;Tnet,NoTnet),'2029'!Resal_s+('2029'!Salim-'2029'!Resal_s)*(1-EXP(('2029'!Tnet_s-t)/'2029'!Tau_j)),Resal_s+(Salim-Resal_s)*(1-EXP((Tnet_s-t)/Tau_j)))*Salcycl</f>
        <v>5.4801600143253484E-2</v>
      </c>
      <c r="AD355" s="227">
        <f>(INDEX(Models!$BJ355:$BT355,,AH355)*(1-AF355)+INDEX(Models!$BJ355:$BT355,,AH355+1)*AF355-ERP_i)*AE355*Ramure*Pc/MaxiM</f>
        <v>6.1783249001593704E-3</v>
      </c>
      <c r="AE355" s="301">
        <f t="shared" si="142"/>
        <v>0.5</v>
      </c>
      <c r="AF355" s="173">
        <f t="shared" si="143"/>
        <v>0.48938740281299431</v>
      </c>
      <c r="AG355" s="801">
        <f t="shared" si="149"/>
        <v>4</v>
      </c>
      <c r="AH355" s="172">
        <f t="shared" si="144"/>
        <v>10</v>
      </c>
      <c r="AI355" s="221">
        <f t="shared" si="145"/>
        <v>4.4893874028129943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47825</v>
      </c>
      <c r="B356" s="406">
        <f>'2029'!Wh/'2029'!Env_an*'2030'!Env_an</f>
        <v>14.415815798666261</v>
      </c>
      <c r="C356" s="831"/>
      <c r="D356" s="388">
        <f t="shared" si="127"/>
        <v>15.102844081560917</v>
      </c>
      <c r="E356" s="380">
        <f t="shared" si="125"/>
        <v>15.468310185840831</v>
      </c>
      <c r="F356" s="380">
        <f t="shared" si="128"/>
        <v>15.468310185840831</v>
      </c>
      <c r="G356" s="110">
        <f t="shared" si="126"/>
        <v>0.15726534845050175</v>
      </c>
      <c r="H356" s="409" t="b">
        <f>Wh_hp&gt;='2029'!Maxi_hp</f>
        <v>0</v>
      </c>
      <c r="I356" s="385">
        <f>IF(H356,Wh_hp,'2029'!Maxi_hp)</f>
        <v>15.477924912412107</v>
      </c>
      <c r="J356" s="85">
        <f>IF(H356,An,'2029'!An_max)</f>
        <v>2029</v>
      </c>
      <c r="K356" s="193">
        <f t="shared" si="129"/>
        <v>47825</v>
      </c>
      <c r="L356" s="143">
        <f>IF(t&lt;Tvie,1-EXP((T0-t)*PertePVj)+'2029'!Pspv,1-EXP((T0-t)*PertePVj)+Pspv)</f>
        <v>4.5489993751140601E-2</v>
      </c>
      <c r="M356" s="835"/>
      <c r="N356" s="835"/>
      <c r="O356" s="48">
        <f>IF(t&lt;Tnet,'2029'!Resal+('2029'!Salim-'2029'!Resal)*(1-EXP(('2029'!Tnet-t)/('2029'!Tau_j))),Resal+(Salim-Resal)*(1-EXP((Tnet-t)/(Tau_j))))*Salcycl</f>
        <v>2.3626763356119459E-2</v>
      </c>
      <c r="P356" s="165">
        <f>(INDEX(Models!$BJ356:$BT356,,T356)*(1-R356)+INDEX(Models!$BJ356:$BT356,,T356+1)*R356-ERP_i)*Q356*Ramure*Pc/MaxiM</f>
        <v>1.2098604260947397E-3</v>
      </c>
      <c r="Q356" s="301">
        <f t="shared" si="130"/>
        <v>0.5</v>
      </c>
      <c r="R356" s="173">
        <f t="shared" si="131"/>
        <v>0.96441218203835044</v>
      </c>
      <c r="S356" s="801">
        <f t="shared" si="132"/>
        <v>0</v>
      </c>
      <c r="T356" s="172">
        <f t="shared" si="133"/>
        <v>6</v>
      </c>
      <c r="U356" s="247">
        <f t="shared" si="134"/>
        <v>0.96441218203835044</v>
      </c>
      <c r="V356" s="378">
        <f t="shared" si="135"/>
        <v>91.554654699750202</v>
      </c>
      <c r="W356" s="397">
        <f t="shared" si="136"/>
        <v>14.415815798666261</v>
      </c>
      <c r="X356" s="153">
        <f t="shared" si="137"/>
        <v>47825</v>
      </c>
      <c r="Y356" s="380">
        <f t="shared" si="138"/>
        <v>13.955318567486303</v>
      </c>
      <c r="Z356" s="380">
        <f t="shared" si="139"/>
        <v>14.620400494626013</v>
      </c>
      <c r="AA356" s="381">
        <f t="shared" si="140"/>
        <v>15.468310185840831</v>
      </c>
      <c r="AB356" s="193">
        <f t="shared" si="141"/>
        <v>47825</v>
      </c>
      <c r="AC356" s="119">
        <f>IF(OR(t&lt;Tnet,NoTnet),'2029'!Resal_s+('2029'!Salim-'2029'!Resal_s)*(1-EXP(('2029'!Tnet_s-t)/'2029'!Tau_j)),Resal_s+(Salim-Resal_s)*(1-EXP((Tnet_s-t)/Tau_j)))*Salcycl</f>
        <v>5.4815922426417751E-2</v>
      </c>
      <c r="AD356" s="227">
        <f>(INDEX(Models!$BJ356:$BT356,,AH356)*(1-AF356)+INDEX(Models!$BJ356:$BT356,,AH356+1)*AF356-ERP_i)*AE356*Ramure*Pc/MaxiM</f>
        <v>6.1055738991257335E-3</v>
      </c>
      <c r="AE356" s="301">
        <f t="shared" si="142"/>
        <v>0.5</v>
      </c>
      <c r="AF356" s="173">
        <f t="shared" si="143"/>
        <v>0.48939974841232825</v>
      </c>
      <c r="AG356" s="801">
        <f t="shared" si="149"/>
        <v>4</v>
      </c>
      <c r="AH356" s="172">
        <f t="shared" si="144"/>
        <v>10</v>
      </c>
      <c r="AI356" s="221">
        <f t="shared" si="145"/>
        <v>4.4893997484123283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47826</v>
      </c>
      <c r="B357" s="406">
        <f>'2029'!Wh/'2029'!Env_an*'2030'!Env_an</f>
        <v>27.710171230726463</v>
      </c>
      <c r="C357" s="831"/>
      <c r="D357" s="388">
        <f t="shared" si="127"/>
        <v>29.031178702665954</v>
      </c>
      <c r="E357" s="380">
        <f t="shared" si="125"/>
        <v>29.735410961560259</v>
      </c>
      <c r="F357" s="380">
        <f t="shared" si="128"/>
        <v>29.735617088605313</v>
      </c>
      <c r="G357" s="110">
        <f t="shared" si="126"/>
        <v>0.30372326168599639</v>
      </c>
      <c r="H357" s="409" t="b">
        <f>Wh_hp&gt;='2029'!Maxi_hp</f>
        <v>0</v>
      </c>
      <c r="I357" s="385">
        <f>IF(H357,Wh_hp,'2029'!Maxi_hp)</f>
        <v>29.753667827947368</v>
      </c>
      <c r="J357" s="85">
        <f>IF(H357,An,'2029'!An_max)</f>
        <v>2029</v>
      </c>
      <c r="K357" s="193">
        <f t="shared" si="129"/>
        <v>47826</v>
      </c>
      <c r="L357" s="143">
        <f>IF(t&lt;Tvie,1-EXP((T0-t)*PertePVj)+'2029'!Pspv,1-EXP((T0-t)*PertePVj)+Pspv)</f>
        <v>4.5503060191565137E-2</v>
      </c>
      <c r="M357" s="835"/>
      <c r="N357" s="835"/>
      <c r="O357" s="48">
        <f>IF(t&lt;Tnet,'2029'!Resal+('2029'!Salim-'2029'!Resal)*(1-EXP(('2029'!Tnet-t)/('2029'!Tau_j))),Resal+(Salim-Resal)*(1-EXP((Tnet-t)/(Tau_j))))*Salcycl</f>
        <v>2.3683286563776957E-2</v>
      </c>
      <c r="P357" s="165">
        <f>(INDEX(Models!$BJ357:$BT357,,T357)*(1-R357)+INDEX(Models!$BJ357:$BT357,,T357+1)*R357-ERP_i)*Q357*Ramure*Pc/MaxiM</f>
        <v>1.1885615144947368E-3</v>
      </c>
      <c r="Q357" s="301">
        <f t="shared" si="130"/>
        <v>0.5</v>
      </c>
      <c r="R357" s="173">
        <f t="shared" si="131"/>
        <v>0.96442403114071062</v>
      </c>
      <c r="S357" s="801">
        <f t="shared" si="132"/>
        <v>0</v>
      </c>
      <c r="T357" s="172">
        <f t="shared" si="133"/>
        <v>6</v>
      </c>
      <c r="U357" s="247">
        <f t="shared" si="134"/>
        <v>0.96442403114071062</v>
      </c>
      <c r="V357" s="378">
        <f t="shared" si="135"/>
        <v>91.127125705473702</v>
      </c>
      <c r="W357" s="397">
        <f t="shared" si="136"/>
        <v>27.710171230726463</v>
      </c>
      <c r="X357" s="153">
        <f t="shared" si="137"/>
        <v>47826</v>
      </c>
      <c r="Y357" s="380">
        <f t="shared" si="138"/>
        <v>26.825365307073877</v>
      </c>
      <c r="Z357" s="380">
        <f t="shared" si="139"/>
        <v>28.104192049539375</v>
      </c>
      <c r="AA357" s="381">
        <f t="shared" si="140"/>
        <v>29.734569249222957</v>
      </c>
      <c r="AB357" s="193">
        <f t="shared" si="141"/>
        <v>47826</v>
      </c>
      <c r="AC357" s="119">
        <f>IF(OR(t&lt;Tnet,NoTnet),'2029'!Resal_s+('2029'!Salim-'2029'!Resal_s)*(1-EXP(('2029'!Tnet_s-t)/'2029'!Tau_j)),Resal_s+(Salim-Resal_s)*(1-EXP((Tnet_s-t)/Tau_j)))*Salcycl</f>
        <v>5.483103474674314E-2</v>
      </c>
      <c r="AD357" s="227">
        <f>(INDEX(Models!$BJ357:$BT357,,AH357)*(1-AF357)+INDEX(Models!$BJ357:$BT357,,AH357+1)*AF357-ERP_i)*AE357*Ramure*Pc/MaxiM</f>
        <v>6.0420094942594997E-3</v>
      </c>
      <c r="AE357" s="301">
        <f t="shared" si="142"/>
        <v>0.5</v>
      </c>
      <c r="AF357" s="173">
        <f t="shared" si="143"/>
        <v>0.48941159751468888</v>
      </c>
      <c r="AG357" s="801">
        <f t="shared" si="149"/>
        <v>4</v>
      </c>
      <c r="AH357" s="172">
        <f t="shared" si="144"/>
        <v>10</v>
      </c>
      <c r="AI357" s="221">
        <f t="shared" si="145"/>
        <v>4.4894115975146889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47827</v>
      </c>
      <c r="B358" s="406">
        <f>'2029'!Wh/'2029'!Env_an*'2030'!Env_an</f>
        <v>66.790245348089229</v>
      </c>
      <c r="C358" s="831"/>
      <c r="D358" s="388">
        <f t="shared" si="127"/>
        <v>69.975247564838895</v>
      </c>
      <c r="E358" s="380">
        <f t="shared" si="125"/>
        <v>71.676860667676848</v>
      </c>
      <c r="F358" s="380">
        <f t="shared" si="128"/>
        <v>71.729023378537178</v>
      </c>
      <c r="G358" s="110">
        <f t="shared" si="126"/>
        <v>0.73568229106191974</v>
      </c>
      <c r="H358" s="409" t="b">
        <f>Wh_hp&gt;='2029'!Maxi_hp</f>
        <v>0</v>
      </c>
      <c r="I358" s="385">
        <f>IF(H358,Wh_hp,'2029'!Maxi_hp)</f>
        <v>71.745253904201206</v>
      </c>
      <c r="J358" s="85">
        <f>IF(H358,An,'2029'!An_max)</f>
        <v>2029</v>
      </c>
      <c r="K358" s="193">
        <f t="shared" si="129"/>
        <v>47827</v>
      </c>
      <c r="L358" s="143">
        <f>IF(t&lt;Tvie,1-EXP((T0-t)*PertePVj)+'2029'!Pspv,1-EXP((T0-t)*PertePVj)+Pspv)</f>
        <v>4.5516126453121086E-2</v>
      </c>
      <c r="M358" s="835"/>
      <c r="N358" s="835"/>
      <c r="O358" s="48">
        <f>IF(t&lt;Tnet,'2029'!Resal+('2029'!Salim-'2029'!Resal)*(1-EXP(('2029'!Tnet-t)/('2029'!Tau_j))),Resal+(Salim-Resal)*(1-EXP((Tnet-t)/(Tau_j))))*Salcycl</f>
        <v>2.374006181335598E-2</v>
      </c>
      <c r="P358" s="165">
        <f>(INDEX(Models!$BJ358:$BT358,,T358)*(1-R358)+INDEX(Models!$BJ358:$BT358,,T358+1)*R358-ERP_i)*Q358*Ramure*Pc/MaxiM</f>
        <v>1.1675358081466283E-3</v>
      </c>
      <c r="Q358" s="301">
        <f t="shared" si="130"/>
        <v>0.5</v>
      </c>
      <c r="R358" s="173">
        <f t="shared" si="131"/>
        <v>0.96443540369135516</v>
      </c>
      <c r="S358" s="801">
        <f t="shared" si="132"/>
        <v>0</v>
      </c>
      <c r="T358" s="172">
        <f t="shared" si="133"/>
        <v>6</v>
      </c>
      <c r="U358" s="247">
        <f t="shared" si="134"/>
        <v>0.96443540369135516</v>
      </c>
      <c r="V358" s="378">
        <f t="shared" si="135"/>
        <v>90.746801834636429</v>
      </c>
      <c r="W358" s="397">
        <f t="shared" si="136"/>
        <v>66.790245348089229</v>
      </c>
      <c r="X358" s="153">
        <f t="shared" si="137"/>
        <v>47827</v>
      </c>
      <c r="Y358" s="380">
        <f t="shared" si="138"/>
        <v>64.467817258988646</v>
      </c>
      <c r="Z358" s="380">
        <f t="shared" si="139"/>
        <v>67.542070689392688</v>
      </c>
      <c r="AA358" s="381">
        <f t="shared" si="140"/>
        <v>71.46151387202211</v>
      </c>
      <c r="AB358" s="193">
        <f t="shared" si="141"/>
        <v>47827</v>
      </c>
      <c r="AC358" s="119">
        <f>IF(OR(t&lt;Tnet,NoTnet),'2029'!Resal_s+('2029'!Salim-'2029'!Resal_s)*(1-EXP(('2029'!Tnet_s-t)/'2029'!Tau_j)),Resal_s+(Salim-Resal_s)*(1-EXP((Tnet_s-t)/Tau_j)))*Salcycl</f>
        <v>5.4846909479816137E-2</v>
      </c>
      <c r="AD358" s="227">
        <f>(INDEX(Models!$BJ358:$BT358,,AH358)*(1-AF358)+INDEX(Models!$BJ358:$BT358,,AH358+1)*AF358-ERP_i)*AE358*Ramure*Pc/MaxiM</f>
        <v>5.9875516959272826E-3</v>
      </c>
      <c r="AE358" s="301">
        <f t="shared" si="142"/>
        <v>0.5</v>
      </c>
      <c r="AF358" s="173">
        <f t="shared" si="143"/>
        <v>0.4894229700653332</v>
      </c>
      <c r="AG358" s="801">
        <f t="shared" si="149"/>
        <v>4</v>
      </c>
      <c r="AH358" s="172">
        <f t="shared" si="144"/>
        <v>10</v>
      </c>
      <c r="AI358" s="221">
        <f t="shared" si="145"/>
        <v>4.4894229700653332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47828</v>
      </c>
      <c r="B359" s="406">
        <f>'2029'!Wh/'2029'!Env_an*'2030'!Env_an</f>
        <v>62.872117259481328</v>
      </c>
      <c r="C359" s="831"/>
      <c r="D359" s="388">
        <f t="shared" si="127"/>
        <v>65.871178843613023</v>
      </c>
      <c r="E359" s="380">
        <f t="shared" si="125"/>
        <v>67.476932724773917</v>
      </c>
      <c r="F359" s="380">
        <f t="shared" si="128"/>
        <v>67.520673497394412</v>
      </c>
      <c r="G359" s="110">
        <f t="shared" si="126"/>
        <v>0.69506133801450953</v>
      </c>
      <c r="H359" s="409" t="b">
        <f>Wh_hp&gt;='2029'!Maxi_hp</f>
        <v>0</v>
      </c>
      <c r="I359" s="385">
        <f>IF(H359,Wh_hp,'2029'!Maxi_hp)</f>
        <v>67.537987775821165</v>
      </c>
      <c r="J359" s="85">
        <f>IF(H359,An,'2029'!An_max)</f>
        <v>2029</v>
      </c>
      <c r="K359" s="193">
        <f t="shared" si="129"/>
        <v>47828</v>
      </c>
      <c r="L359" s="143">
        <f>IF(t&lt;Tvie,1-EXP((T0-t)*PertePVj)+'2029'!Pspv,1-EXP((T0-t)*PertePVj)+Pspv)</f>
        <v>4.5529192535810892E-2</v>
      </c>
      <c r="M359" s="835"/>
      <c r="N359" s="835"/>
      <c r="O359" s="48">
        <f>IF(t&lt;Tnet,'2029'!Resal+('2029'!Salim-'2029'!Resal)*(1-EXP(('2029'!Tnet-t)/('2029'!Tau_j))),Resal+(Salim-Resal)*(1-EXP((Tnet-t)/(Tau_j))))*Salcycl</f>
        <v>2.3797078739640737E-2</v>
      </c>
      <c r="P359" s="165">
        <f>(INDEX(Models!$BJ359:$BT359,,T359)*(1-R359)+INDEX(Models!$BJ359:$BT359,,T359+1)*R359-ERP_i)*Q359*Ramure*Pc/MaxiM</f>
        <v>1.1468368160361415E-3</v>
      </c>
      <c r="Q359" s="301">
        <f t="shared" si="130"/>
        <v>0.5</v>
      </c>
      <c r="R359" s="173">
        <f t="shared" si="131"/>
        <v>0.96444631883604637</v>
      </c>
      <c r="S359" s="801">
        <f t="shared" si="132"/>
        <v>0</v>
      </c>
      <c r="T359" s="172">
        <f t="shared" si="133"/>
        <v>6</v>
      </c>
      <c r="U359" s="247">
        <f t="shared" si="134"/>
        <v>0.96444631883604637</v>
      </c>
      <c r="V359" s="378">
        <f t="shared" si="135"/>
        <v>90.410326115093582</v>
      </c>
      <c r="W359" s="397">
        <f t="shared" si="136"/>
        <v>62.872117259481328</v>
      </c>
      <c r="X359" s="153">
        <f t="shared" si="137"/>
        <v>47828</v>
      </c>
      <c r="Y359" s="380">
        <f t="shared" si="138"/>
        <v>60.706289586256766</v>
      </c>
      <c r="Z359" s="380">
        <f t="shared" si="139"/>
        <v>63.602039068685094</v>
      </c>
      <c r="AA359" s="381">
        <f t="shared" si="140"/>
        <v>67.294026039966099</v>
      </c>
      <c r="AB359" s="193">
        <f t="shared" si="141"/>
        <v>47828</v>
      </c>
      <c r="AC359" s="119">
        <f>IF(OR(t&lt;Tnet,NoTnet),'2029'!Resal_s+('2029'!Salim-'2029'!Resal_s)*(1-EXP(('2029'!Tnet_s-t)/'2029'!Tau_j)),Resal_s+(Salim-Resal_s)*(1-EXP((Tnet_s-t)/Tau_j)))*Salcycl</f>
        <v>5.4863517440438443E-2</v>
      </c>
      <c r="AD359" s="227">
        <f>(INDEX(Models!$BJ359:$BT359,,AH359)*(1-AF359)+INDEX(Models!$BJ359:$BT359,,AH359+1)*AF359-ERP_i)*AE359*Ramure*Pc/MaxiM</f>
        <v>5.9424567255585139E-3</v>
      </c>
      <c r="AE359" s="301">
        <f t="shared" si="142"/>
        <v>0.5</v>
      </c>
      <c r="AF359" s="173">
        <f t="shared" si="143"/>
        <v>0.4894338852100244</v>
      </c>
      <c r="AG359" s="801">
        <f t="shared" si="149"/>
        <v>4</v>
      </c>
      <c r="AH359" s="172">
        <f t="shared" si="144"/>
        <v>10</v>
      </c>
      <c r="AI359" s="221">
        <f t="shared" si="145"/>
        <v>4.4894338852100244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47829</v>
      </c>
      <c r="B360" s="406">
        <f>'2029'!Wh/'2029'!Env_an*'2030'!Env_an</f>
        <v>21.925745454338308</v>
      </c>
      <c r="C360" s="831"/>
      <c r="D360" s="388">
        <f t="shared" si="127"/>
        <v>22.971939457993965</v>
      </c>
      <c r="E360" s="380">
        <f t="shared" si="125"/>
        <v>23.533310730616332</v>
      </c>
      <c r="F360" s="380">
        <f t="shared" si="128"/>
        <v>23.533310730616332</v>
      </c>
      <c r="G360" s="110">
        <f t="shared" si="126"/>
        <v>0.24303937273334839</v>
      </c>
      <c r="H360" s="409" t="b">
        <f>Wh_hp&gt;='2029'!Maxi_hp</f>
        <v>0</v>
      </c>
      <c r="I360" s="385">
        <f>IF(H360,Wh_hp,'2029'!Maxi_hp)</f>
        <v>23.546929376575672</v>
      </c>
      <c r="J360" s="85">
        <f>IF(H360,An,'2029'!An_max)</f>
        <v>2029</v>
      </c>
      <c r="K360" s="193">
        <f t="shared" si="129"/>
        <v>47829</v>
      </c>
      <c r="L360" s="143">
        <f>IF(t&lt;Tvie,1-EXP((T0-t)*PertePVj)+'2029'!Pspv,1-EXP((T0-t)*PertePVj)+Pspv)</f>
        <v>4.5542258439636996E-2</v>
      </c>
      <c r="M360" s="835"/>
      <c r="N360" s="835"/>
      <c r="O360" s="48">
        <f>IF(t&lt;Tnet,'2029'!Resal+('2029'!Salim-'2029'!Resal)*(1-EXP(('2029'!Tnet-t)/('2029'!Tau_j))),Resal+(Salim-Resal)*(1-EXP((Tnet-t)/(Tau_j))))*Salcycl</f>
        <v>2.385432628023873E-2</v>
      </c>
      <c r="P360" s="165">
        <f>(INDEX(Models!$BJ360:$BT360,,T360)*(1-R360)+INDEX(Models!$BJ360:$BT360,,T360+1)*R360-ERP_i)*Q360*Ramure*Pc/MaxiM</f>
        <v>1.126530562425451E-3</v>
      </c>
      <c r="Q360" s="301">
        <f t="shared" si="130"/>
        <v>0.5</v>
      </c>
      <c r="R360" s="173">
        <f t="shared" si="131"/>
        <v>0.96445679495296122</v>
      </c>
      <c r="S360" s="801">
        <f t="shared" si="132"/>
        <v>0</v>
      </c>
      <c r="T360" s="172">
        <f t="shared" si="133"/>
        <v>6</v>
      </c>
      <c r="U360" s="247">
        <f t="shared" si="134"/>
        <v>0.96445679495296122</v>
      </c>
      <c r="V360" s="378">
        <f t="shared" si="135"/>
        <v>90.113158150753037</v>
      </c>
      <c r="W360" s="397">
        <f t="shared" si="136"/>
        <v>21.925745454338308</v>
      </c>
      <c r="X360" s="153">
        <f t="shared" si="137"/>
        <v>47829</v>
      </c>
      <c r="Y360" s="380">
        <f t="shared" si="138"/>
        <v>21.228842113310058</v>
      </c>
      <c r="Z360" s="380">
        <f t="shared" si="139"/>
        <v>22.241783149670727</v>
      </c>
      <c r="AA360" s="381">
        <f t="shared" si="140"/>
        <v>23.533310730616332</v>
      </c>
      <c r="AB360" s="193">
        <f t="shared" si="141"/>
        <v>47829</v>
      </c>
      <c r="AC360" s="119">
        <f>IF(OR(t&lt;Tnet,NoTnet),'2029'!Resal_s+('2029'!Salim-'2029'!Resal_s)*(1-EXP(('2029'!Tnet_s-t)/'2029'!Tau_j)),Resal_s+(Salim-Resal_s)*(1-EXP((Tnet_s-t)/Tau_j)))*Salcycl</f>
        <v>5.4880828104876746E-2</v>
      </c>
      <c r="AD360" s="227">
        <f>(INDEX(Models!$BJ360:$BT360,,AH360)*(1-AF360)+INDEX(Models!$BJ360:$BT360,,AH360+1)*AF360-ERP_i)*AE360*Ramure*Pc/MaxiM</f>
        <v>5.9070397150260768E-3</v>
      </c>
      <c r="AE360" s="301">
        <f t="shared" si="142"/>
        <v>0.5</v>
      </c>
      <c r="AF360" s="173">
        <f t="shared" si="143"/>
        <v>0.48944436132693969</v>
      </c>
      <c r="AG360" s="801">
        <f t="shared" si="149"/>
        <v>4</v>
      </c>
      <c r="AH360" s="172">
        <f t="shared" si="144"/>
        <v>10</v>
      </c>
      <c r="AI360" s="221">
        <f t="shared" si="145"/>
        <v>4.4894443613269397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47830</v>
      </c>
      <c r="B361" s="406">
        <f>'2029'!Wh/'2029'!Env_an*'2030'!Env_an</f>
        <v>22.836510664905099</v>
      </c>
      <c r="C361" s="831"/>
      <c r="D361" s="388">
        <f t="shared" si="127"/>
        <v>23.926489657367465</v>
      </c>
      <c r="E361" s="380">
        <f t="shared" ref="E361:E379" si="150">Wh_pvt/(1-Psa)</f>
        <v>24.512630600487775</v>
      </c>
      <c r="F361" s="380">
        <f t="shared" si="128"/>
        <v>24.512630600487775</v>
      </c>
      <c r="G361" s="110">
        <f t="shared" ref="G361:G379" si="151">+Wh_hp/MaxiM</f>
        <v>0.25386586721024912</v>
      </c>
      <c r="H361" s="409" t="b">
        <f>Wh_hp&gt;='2029'!Maxi_hp</f>
        <v>0</v>
      </c>
      <c r="I361" s="385">
        <f>IF(H361,Wh_hp,'2029'!Maxi_hp)</f>
        <v>24.526586565834364</v>
      </c>
      <c r="J361" s="85">
        <f>IF(H361,An,'2029'!An_max)</f>
        <v>2029</v>
      </c>
      <c r="K361" s="193">
        <f t="shared" si="129"/>
        <v>47830</v>
      </c>
      <c r="L361" s="143">
        <f>IF(t&lt;Tvie,1-EXP((T0-t)*PertePVj)+'2029'!Pspv,1-EXP((T0-t)*PertePVj)+Pspv)</f>
        <v>4.555532416460184E-2</v>
      </c>
      <c r="M361" s="835"/>
      <c r="N361" s="835"/>
      <c r="O361" s="48">
        <f>IF(t&lt;Tnet,'2029'!Resal+('2029'!Salim-'2029'!Resal)*(1-EXP(('2029'!Tnet-t)/('2029'!Tau_j))),Resal+(Salim-Resal)*(1-EXP((Tnet-t)/(Tau_j))))*Salcycl</f>
        <v>2.3911792768118736E-2</v>
      </c>
      <c r="P361" s="165">
        <f>(INDEX(Models!$BJ361:$BT361,,T361)*(1-R361)+INDEX(Models!$BJ361:$BT361,,T361+1)*R361-ERP_i)*Q361*Ramure*Pc/MaxiM</f>
        <v>1.1083106674423457E-3</v>
      </c>
      <c r="Q361" s="301">
        <f t="shared" si="130"/>
        <v>0.5</v>
      </c>
      <c r="R361" s="173">
        <f t="shared" si="131"/>
        <v>0.96446684968333707</v>
      </c>
      <c r="S361" s="801">
        <f t="shared" si="132"/>
        <v>0</v>
      </c>
      <c r="T361" s="172">
        <f t="shared" si="133"/>
        <v>6</v>
      </c>
      <c r="U361" s="247">
        <f t="shared" si="134"/>
        <v>0.96446684968333707</v>
      </c>
      <c r="V361" s="378">
        <f t="shared" si="135"/>
        <v>89.855327804411047</v>
      </c>
      <c r="W361" s="397">
        <f t="shared" si="136"/>
        <v>22.836510664905099</v>
      </c>
      <c r="X361" s="153">
        <f t="shared" si="137"/>
        <v>47830</v>
      </c>
      <c r="Y361" s="380">
        <f t="shared" si="138"/>
        <v>22.111539970148666</v>
      </c>
      <c r="Z361" s="380">
        <f t="shared" si="139"/>
        <v>23.166916354575573</v>
      </c>
      <c r="AA361" s="381">
        <f t="shared" si="140"/>
        <v>24.512630600487775</v>
      </c>
      <c r="AB361" s="193">
        <f t="shared" si="141"/>
        <v>47830</v>
      </c>
      <c r="AC361" s="119">
        <f>IF(OR(t&lt;Tnet,NoTnet),'2029'!Resal_s+('2029'!Salim-'2029'!Resal_s)*(1-EXP(('2029'!Tnet_s-t)/'2029'!Tau_j)),Resal_s+(Salim-Resal_s)*(1-EXP((Tnet_s-t)/Tau_j)))*Salcycl</f>
        <v>5.4898809835833139E-2</v>
      </c>
      <c r="AD361" s="227">
        <f>(INDEX(Models!$BJ361:$BT361,,AH361)*(1-AF361)+INDEX(Models!$BJ361:$BT361,,AH361+1)*AF361-ERP_i)*AE361*Ramure*Pc/MaxiM</f>
        <v>5.8756869517208304E-3</v>
      </c>
      <c r="AE361" s="301">
        <f t="shared" si="142"/>
        <v>0.5</v>
      </c>
      <c r="AF361" s="173">
        <f t="shared" si="143"/>
        <v>0.4894544160573151</v>
      </c>
      <c r="AG361" s="801">
        <f t="shared" si="149"/>
        <v>4</v>
      </c>
      <c r="AH361" s="172">
        <f t="shared" si="144"/>
        <v>10</v>
      </c>
      <c r="AI361" s="221">
        <f t="shared" si="145"/>
        <v>4.4894544160573151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47831</v>
      </c>
      <c r="B362" s="406">
        <f>'2029'!Wh/'2029'!Env_an*'2030'!Env_an</f>
        <v>67.019134796604334</v>
      </c>
      <c r="C362" s="831"/>
      <c r="D362" s="388">
        <f t="shared" si="127"/>
        <v>70.218896853479691</v>
      </c>
      <c r="E362" s="380">
        <f t="shared" si="150"/>
        <v>71.943340304697188</v>
      </c>
      <c r="F362" s="380">
        <f t="shared" si="128"/>
        <v>71.99362688223367</v>
      </c>
      <c r="G362" s="110">
        <f t="shared" si="151"/>
        <v>0.74737795657231842</v>
      </c>
      <c r="H362" s="409" t="b">
        <f>Wh_hp&gt;='2029'!Maxi_hp</f>
        <v>0</v>
      </c>
      <c r="I362" s="385">
        <f>IF(H362,Wh_hp,'2029'!Maxi_hp)</f>
        <v>72.008192027910425</v>
      </c>
      <c r="J362" s="85">
        <f>IF(H362,An,'2029'!An_max)</f>
        <v>2029</v>
      </c>
      <c r="K362" s="193">
        <f t="shared" si="129"/>
        <v>47831</v>
      </c>
      <c r="L362" s="143">
        <f>IF(t&lt;Tvie,1-EXP((T0-t)*PertePVj)+'2029'!Pspv,1-EXP((T0-t)*PertePVj)+Pspv)</f>
        <v>4.5568389710707868E-2</v>
      </c>
      <c r="M362" s="835"/>
      <c r="N362" s="835"/>
      <c r="O362" s="48">
        <f>IF(t&lt;Tnet,'2029'!Resal+('2029'!Salim-'2029'!Resal)*(1-EXP(('2029'!Tnet-t)/('2029'!Tau_j))),Resal+(Salim-Resal)*(1-EXP((Tnet-t)/(Tau_j))))*Salcycl</f>
        <v>2.396946602582076E-2</v>
      </c>
      <c r="P362" s="165">
        <f>(INDEX(Models!$BJ362:$BT362,,T362)*(1-R362)+INDEX(Models!$BJ362:$BT362,,T362+1)*R362-ERP_i)*Q362*Ramure*Pc/MaxiM</f>
        <v>1.0921835492039014E-3</v>
      </c>
      <c r="Q362" s="301">
        <f t="shared" si="130"/>
        <v>0.5</v>
      </c>
      <c r="R362" s="173">
        <f t="shared" si="131"/>
        <v>0.96447649996090634</v>
      </c>
      <c r="S362" s="801">
        <f t="shared" si="132"/>
        <v>0</v>
      </c>
      <c r="T362" s="172">
        <f t="shared" si="133"/>
        <v>6</v>
      </c>
      <c r="U362" s="247">
        <f t="shared" si="134"/>
        <v>0.96447649996090634</v>
      </c>
      <c r="V362" s="378">
        <f t="shared" si="135"/>
        <v>89.637017696679763</v>
      </c>
      <c r="W362" s="397">
        <f t="shared" si="136"/>
        <v>67.019134796604334</v>
      </c>
      <c r="X362" s="153">
        <f t="shared" si="137"/>
        <v>47831</v>
      </c>
      <c r="Y362" s="380">
        <f t="shared" si="138"/>
        <v>64.696564393651158</v>
      </c>
      <c r="Z362" s="380">
        <f t="shared" si="139"/>
        <v>67.785437632395016</v>
      </c>
      <c r="AA362" s="381">
        <f t="shared" si="140"/>
        <v>71.724354878503561</v>
      </c>
      <c r="AB362" s="193">
        <f t="shared" si="141"/>
        <v>47831</v>
      </c>
      <c r="AC362" s="119">
        <f>IF(OR(t&lt;Tnet,NoTnet),'2029'!Resal_s+('2029'!Salim-'2029'!Resal_s)*(1-EXP(('2029'!Tnet_s-t)/'2029'!Tau_j)),Resal_s+(Salim-Resal_s)*(1-EXP((Tnet_s-t)/Tau_j)))*Salcycl</f>
        <v>5.4917430108375458E-2</v>
      </c>
      <c r="AD362" s="227">
        <f>(INDEX(Models!$BJ362:$BT362,,AH362)*(1-AF362)+INDEX(Models!$BJ362:$BT362,,AH362+1)*AF362-ERP_i)*AE362*Ramure*Pc/MaxiM</f>
        <v>5.8483688320569854E-3</v>
      </c>
      <c r="AE362" s="301">
        <f t="shared" si="142"/>
        <v>0.5</v>
      </c>
      <c r="AF362" s="173">
        <f t="shared" si="143"/>
        <v>0.48946406633488415</v>
      </c>
      <c r="AG362" s="801">
        <f t="shared" si="149"/>
        <v>4</v>
      </c>
      <c r="AH362" s="172">
        <f t="shared" si="144"/>
        <v>10</v>
      </c>
      <c r="AI362" s="221">
        <f t="shared" si="145"/>
        <v>4.4894640663348842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47832</v>
      </c>
      <c r="B363" s="406">
        <f>'2029'!Wh/'2029'!Env_an*'2030'!Env_an</f>
        <v>33.356819243175906</v>
      </c>
      <c r="C363" s="831"/>
      <c r="D363" s="388">
        <f t="shared" si="127"/>
        <v>34.949885897177865</v>
      </c>
      <c r="E363" s="380">
        <f t="shared" si="150"/>
        <v>35.810312209974114</v>
      </c>
      <c r="F363" s="380">
        <f t="shared" si="128"/>
        <v>35.814332142423879</v>
      </c>
      <c r="G363" s="110">
        <f t="shared" si="151"/>
        <v>0.37251495885534514</v>
      </c>
      <c r="H363" s="409" t="b">
        <f>Wh_hp&gt;='2029'!Maxi_hp</f>
        <v>0</v>
      </c>
      <c r="I363" s="385">
        <f>IF(H363,Wh_hp,'2029'!Maxi_hp)</f>
        <v>91.83152399747874</v>
      </c>
      <c r="J363" s="85">
        <f>IF(H363,An,'2029'!An_max)</f>
        <v>2021</v>
      </c>
      <c r="K363" s="193">
        <f t="shared" si="129"/>
        <v>47832</v>
      </c>
      <c r="L363" s="143">
        <f>IF(t&lt;Tvie,1-EXP((T0-t)*PertePVj)+'2029'!Pspv,1-EXP((T0-t)*PertePVj)+Pspv)</f>
        <v>4.5581455077957633E-2</v>
      </c>
      <c r="M363" s="835"/>
      <c r="N363" s="835"/>
      <c r="O363" s="48">
        <f>IF(t&lt;Tnet,'2029'!Resal+('2029'!Salim-'2029'!Resal)*(1-EXP(('2029'!Tnet-t)/('2029'!Tau_j))),Resal+(Salim-Resal)*(1-EXP((Tnet-t)/(Tau_j))))*Salcycl</f>
        <v>2.4027333460572134E-2</v>
      </c>
      <c r="P363" s="165">
        <f>(INDEX(Models!$BJ363:$BT363,,T363)*(1-R363)+INDEX(Models!$BJ363:$BT363,,T363+1)*R363-ERP_i)*Q363*Ramure*Pc/MaxiM</f>
        <v>1.0781530105837781E-3</v>
      </c>
      <c r="Q363" s="301">
        <f t="shared" si="130"/>
        <v>0.5</v>
      </c>
      <c r="R363" s="173">
        <f t="shared" si="131"/>
        <v>0.9644857620401629</v>
      </c>
      <c r="S363" s="801">
        <f t="shared" si="132"/>
        <v>0</v>
      </c>
      <c r="T363" s="172">
        <f t="shared" si="133"/>
        <v>6</v>
      </c>
      <c r="U363" s="247">
        <f t="shared" si="134"/>
        <v>0.9644857620401629</v>
      </c>
      <c r="V363" s="378">
        <f t="shared" si="135"/>
        <v>89.458410115347462</v>
      </c>
      <c r="W363" s="397">
        <f t="shared" si="136"/>
        <v>33.356819243175906</v>
      </c>
      <c r="X363" s="153">
        <f t="shared" si="137"/>
        <v>47832</v>
      </c>
      <c r="Y363" s="380">
        <f t="shared" si="138"/>
        <v>32.284435389222288</v>
      </c>
      <c r="Z363" s="380">
        <f t="shared" si="139"/>
        <v>33.826286759609545</v>
      </c>
      <c r="AA363" s="381">
        <f t="shared" si="140"/>
        <v>35.792613230513254</v>
      </c>
      <c r="AB363" s="193">
        <f t="shared" si="141"/>
        <v>47832</v>
      </c>
      <c r="AC363" s="119">
        <f>IF(OR(t&lt;Tnet,NoTnet),'2029'!Resal_s+('2029'!Salim-'2029'!Resal_s)*(1-EXP(('2029'!Tnet_s-t)/'2029'!Tau_j)),Resal_s+(Salim-Resal_s)*(1-EXP((Tnet_s-t)/Tau_j)))*Salcycl</f>
        <v>5.4936655735083738E-2</v>
      </c>
      <c r="AD363" s="227">
        <f>(INDEX(Models!$BJ363:$BT363,,AH363)*(1-AF363)+INDEX(Models!$BJ363:$BT363,,AH363+1)*AF363-ERP_i)*AE363*Ramure*Pc/MaxiM</f>
        <v>5.8250506832331411E-3</v>
      </c>
      <c r="AE363" s="301">
        <f t="shared" si="142"/>
        <v>0.5</v>
      </c>
      <c r="AF363" s="173">
        <f t="shared" si="143"/>
        <v>0.4894733284141406</v>
      </c>
      <c r="AG363" s="801">
        <f t="shared" si="149"/>
        <v>4</v>
      </c>
      <c r="AH363" s="172">
        <f t="shared" si="144"/>
        <v>10</v>
      </c>
      <c r="AI363" s="221">
        <f t="shared" si="145"/>
        <v>4.4894733284141406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47833</v>
      </c>
      <c r="B364" s="406">
        <f>'2029'!Wh/'2029'!Env_an*'2030'!Env_an</f>
        <v>20.330009876046297</v>
      </c>
      <c r="C364" s="831"/>
      <c r="D364" s="388">
        <f t="shared" si="127"/>
        <v>21.301229202623556</v>
      </c>
      <c r="E364" s="380">
        <f t="shared" si="150"/>
        <v>21.826939378938519</v>
      </c>
      <c r="F364" s="380">
        <f t="shared" si="128"/>
        <v>21.826939378938519</v>
      </c>
      <c r="G364" s="110">
        <f t="shared" si="151"/>
        <v>0.22736682459247856</v>
      </c>
      <c r="H364" s="409" t="b">
        <f>Wh_hp&gt;='2029'!Maxi_hp</f>
        <v>0</v>
      </c>
      <c r="I364" s="385">
        <f>IF(H364,Wh_hp,'2029'!Maxi_hp)</f>
        <v>96.573538746410236</v>
      </c>
      <c r="J364" s="85">
        <f>IF(H364,An,'2029'!An_max)</f>
        <v>2021</v>
      </c>
      <c r="K364" s="193">
        <f t="shared" si="129"/>
        <v>47833</v>
      </c>
      <c r="L364" s="143">
        <f>IF(t&lt;Tvie,1-EXP((T0-t)*PertePVj)+'2029'!Pspv,1-EXP((T0-t)*PertePVj)+Pspv)</f>
        <v>4.5594520266353356E-2</v>
      </c>
      <c r="M364" s="835"/>
      <c r="N364" s="835"/>
      <c r="O364" s="48">
        <f>IF(t&lt;Tnet,'2029'!Resal+('2029'!Salim-'2029'!Resal)*(1-EXP(('2029'!Tnet-t)/('2029'!Tau_j))),Resal+(Salim-Resal)*(1-EXP((Tnet-t)/(Tau_j))))*Salcycl</f>
        <v>2.408538215954523E-2</v>
      </c>
      <c r="P364" s="165">
        <f>(INDEX(Models!$BJ364:$BT364,,T364)*(1-R364)+INDEX(Models!$BJ364:$BT364,,T364+1)*R364-ERP_i)*Q364*Ramure*Pc/MaxiM</f>
        <v>1.0662200640547542E-3</v>
      </c>
      <c r="Q364" s="301">
        <f t="shared" si="130"/>
        <v>0.5</v>
      </c>
      <c r="R364" s="173">
        <f t="shared" si="131"/>
        <v>0.96449465152350811</v>
      </c>
      <c r="S364" s="801">
        <f t="shared" si="132"/>
        <v>0</v>
      </c>
      <c r="T364" s="172">
        <f t="shared" si="133"/>
        <v>6</v>
      </c>
      <c r="U364" s="247">
        <f t="shared" si="134"/>
        <v>0.96449465152350811</v>
      </c>
      <c r="V364" s="378">
        <f t="shared" si="135"/>
        <v>89.319687021242942</v>
      </c>
      <c r="W364" s="397">
        <f t="shared" si="136"/>
        <v>20.330009876046297</v>
      </c>
      <c r="X364" s="153">
        <f t="shared" si="137"/>
        <v>47833</v>
      </c>
      <c r="Y364" s="380">
        <f t="shared" si="138"/>
        <v>19.68691142726739</v>
      </c>
      <c r="Z364" s="380">
        <f t="shared" si="139"/>
        <v>20.627408208889968</v>
      </c>
      <c r="AA364" s="381">
        <f t="shared" si="140"/>
        <v>21.826939378938519</v>
      </c>
      <c r="AB364" s="193">
        <f t="shared" si="141"/>
        <v>47833</v>
      </c>
      <c r="AC364" s="119">
        <f>IF(OR(t&lt;Tnet,NoTnet),'2029'!Resal_s+('2029'!Salim-'2029'!Resal_s)*(1-EXP(('2029'!Tnet_s-t)/'2029'!Tau_j)),Resal_s+(Salim-Resal_s)*(1-EXP((Tnet_s-t)/Tau_j)))*Salcycl</f>
        <v>5.4956453088700882E-2</v>
      </c>
      <c r="AD364" s="227">
        <f>(INDEX(Models!$BJ364:$BT364,,AH364)*(1-AF364)+INDEX(Models!$BJ364:$BT364,,AH364+1)*AF364-ERP_i)*AE364*Ramure*Pc/MaxiM</f>
        <v>5.8056927506166074E-3</v>
      </c>
      <c r="AE364" s="301">
        <f t="shared" si="142"/>
        <v>0.5</v>
      </c>
      <c r="AF364" s="173">
        <f t="shared" si="143"/>
        <v>0.48948221789748647</v>
      </c>
      <c r="AG364" s="801">
        <f t="shared" si="149"/>
        <v>4</v>
      </c>
      <c r="AH364" s="172">
        <f t="shared" si="144"/>
        <v>10</v>
      </c>
      <c r="AI364" s="221">
        <f t="shared" si="145"/>
        <v>4.4894822178974865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47834</v>
      </c>
      <c r="B365" s="406">
        <f>'2029'!Wh/'2029'!Env_an*'2030'!Env_an</f>
        <v>12.613370327900061</v>
      </c>
      <c r="C365" s="831"/>
      <c r="D365" s="388">
        <f t="shared" si="127"/>
        <v>13.216125917708974</v>
      </c>
      <c r="E365" s="380">
        <f t="shared" si="150"/>
        <v>13.543105219124415</v>
      </c>
      <c r="F365" s="380">
        <f t="shared" si="128"/>
        <v>13.543105219124415</v>
      </c>
      <c r="G365" s="110">
        <f t="shared" si="151"/>
        <v>0.14122282348126508</v>
      </c>
      <c r="H365" s="409" t="b">
        <f>Wh_hp&gt;='2029'!Maxi_hp</f>
        <v>0</v>
      </c>
      <c r="I365" s="385">
        <f>IF(H365,Wh_hp,'2029'!Maxi_hp)</f>
        <v>97.364376896272645</v>
      </c>
      <c r="J365" s="85">
        <f>IF(H365,An,'2029'!An_max)</f>
        <v>2021</v>
      </c>
      <c r="K365" s="193">
        <f t="shared" si="129"/>
        <v>47834</v>
      </c>
      <c r="L365" s="143">
        <f>IF(t&lt;Tvie,1-EXP((T0-t)*PertePVj)+'2029'!Pspv,1-EXP((T0-t)*PertePVj)+Pspv)</f>
        <v>4.56075852758977E-2</v>
      </c>
      <c r="M365" s="835"/>
      <c r="N365" s="835"/>
      <c r="O365" s="48">
        <f>IF(t&lt;Tnet,'2029'!Resal+('2029'!Salim-'2029'!Resal)*(1-EXP(('2029'!Tnet-t)/('2029'!Tau_j))),Resal+(Salim-Resal)*(1-EXP((Tnet-t)/(Tau_j))))*Salcycl</f>
        <v>2.4143598984500941E-2</v>
      </c>
      <c r="P365" s="165">
        <f>(INDEX(Models!$BJ365:$BT365,,T365)*(1-R365)+INDEX(Models!$BJ365:$BT365,,T365+1)*R365-ERP_i)*Q365*Ramure*Pc/MaxiM</f>
        <v>1.0563827627188258E-3</v>
      </c>
      <c r="Q365" s="301">
        <f t="shared" si="130"/>
        <v>0.5</v>
      </c>
      <c r="R365" s="173">
        <f t="shared" si="131"/>
        <v>0.96450318338732055</v>
      </c>
      <c r="S365" s="801">
        <f t="shared" si="132"/>
        <v>0</v>
      </c>
      <c r="T365" s="172">
        <f t="shared" si="133"/>
        <v>6</v>
      </c>
      <c r="U365" s="247">
        <f t="shared" si="134"/>
        <v>0.96450318338732055</v>
      </c>
      <c r="V365" s="378">
        <f t="shared" si="135"/>
        <v>89.221030073636996</v>
      </c>
      <c r="W365" s="397">
        <f t="shared" si="136"/>
        <v>12.613370327900061</v>
      </c>
      <c r="X365" s="153">
        <f t="shared" si="137"/>
        <v>47834</v>
      </c>
      <c r="Y365" s="380">
        <f t="shared" si="138"/>
        <v>12.214837884927871</v>
      </c>
      <c r="Z365" s="380">
        <f t="shared" si="139"/>
        <v>12.798548790288701</v>
      </c>
      <c r="AA365" s="381">
        <f t="shared" si="140"/>
        <v>13.543105219124415</v>
      </c>
      <c r="AB365" s="193">
        <f t="shared" si="141"/>
        <v>47834</v>
      </c>
      <c r="AC365" s="119">
        <f>IF(OR(t&lt;Tnet,NoTnet),'2029'!Resal_s+('2029'!Salim-'2029'!Resal_s)*(1-EXP(('2029'!Tnet_s-t)/'2029'!Tau_j)),Resal_s+(Salim-Resal_s)*(1-EXP((Tnet_s-t)/Tau_j)))*Salcycl</f>
        <v>5.4976788320622083E-2</v>
      </c>
      <c r="AD365" s="227">
        <f>(INDEX(Models!$BJ365:$BT365,,AH365)*(1-AF365)+INDEX(Models!$BJ365:$BT365,,AH365+1)*AF365-ERP_i)*AE365*Ramure*Pc/MaxiM</f>
        <v>5.7902501947455125E-3</v>
      </c>
      <c r="AE365" s="301">
        <f t="shared" si="142"/>
        <v>0.5</v>
      </c>
      <c r="AF365" s="173">
        <f t="shared" si="143"/>
        <v>0.48949074976129836</v>
      </c>
      <c r="AG365" s="801">
        <f t="shared" si="149"/>
        <v>4</v>
      </c>
      <c r="AH365" s="172">
        <f t="shared" si="144"/>
        <v>10</v>
      </c>
      <c r="AI365" s="221">
        <f t="shared" si="145"/>
        <v>4.4894907497612984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47835</v>
      </c>
      <c r="B366" s="406">
        <f>'2029'!Wh/'2029'!Env_an*'2030'!Env_an</f>
        <v>68.702109373998113</v>
      </c>
      <c r="C366" s="831"/>
      <c r="D366" s="388">
        <f t="shared" si="127"/>
        <v>71.986165020933598</v>
      </c>
      <c r="E366" s="380">
        <f t="shared" si="150"/>
        <v>73.77158270138888</v>
      </c>
      <c r="F366" s="380">
        <f t="shared" si="128"/>
        <v>73.823656564857572</v>
      </c>
      <c r="G366" s="110">
        <f t="shared" si="151"/>
        <v>0.77026123692171566</v>
      </c>
      <c r="H366" s="409" t="b">
        <f>Wh_hp&gt;='2029'!Maxi_hp</f>
        <v>0</v>
      </c>
      <c r="I366" s="385">
        <f>IF(H366,Wh_hp,'2029'!Maxi_hp)</f>
        <v>98.158403846650032</v>
      </c>
      <c r="J366" s="85">
        <f>IF(H366,An,'2029'!An_max)</f>
        <v>2021</v>
      </c>
      <c r="K366" s="193">
        <f t="shared" si="129"/>
        <v>47835</v>
      </c>
      <c r="L366" s="143">
        <f>IF(t&lt;Tvie,1-EXP((T0-t)*PertePVj)+'2029'!Pspv,1-EXP((T0-t)*PertePVj)+Pspv)</f>
        <v>4.5620650106593108E-2</v>
      </c>
      <c r="M366" s="835"/>
      <c r="N366" s="835"/>
      <c r="O366" s="48">
        <f>IF(t&lt;Tnet,'2029'!Resal+('2029'!Salim-'2029'!Resal)*(1-EXP(('2029'!Tnet-t)/('2029'!Tau_j))),Resal+(Salim-Resal)*(1-EXP((Tnet-t)/(Tau_j))))*Salcycl</f>
        <v>2.4201970665076549E-2</v>
      </c>
      <c r="P366" s="165">
        <f>(INDEX(Models!$BJ366:$BT366,,T366)*(1-R366)+INDEX(Models!$BJ366:$BT366,,T366+1)*R366-ERP_i)*Q366*Ramure*Pc/MaxiM</f>
        <v>1.0493931027863298E-3</v>
      </c>
      <c r="Q366" s="301">
        <f t="shared" si="130"/>
        <v>0.5</v>
      </c>
      <c r="R366" s="173">
        <f t="shared" si="131"/>
        <v>0.96451137200698978</v>
      </c>
      <c r="S366" s="801">
        <f t="shared" si="132"/>
        <v>0</v>
      </c>
      <c r="T366" s="172">
        <f t="shared" si="133"/>
        <v>6</v>
      </c>
      <c r="U366" s="247">
        <f t="shared" si="134"/>
        <v>0.96451137200698978</v>
      </c>
      <c r="V366" s="378">
        <f t="shared" si="135"/>
        <v>89.162553036005377</v>
      </c>
      <c r="W366" s="397">
        <f t="shared" si="136"/>
        <v>68.702109373998113</v>
      </c>
      <c r="X366" s="153">
        <f t="shared" si="137"/>
        <v>47835</v>
      </c>
      <c r="Y366" s="380">
        <f t="shared" si="138"/>
        <v>66.322220104915303</v>
      </c>
      <c r="Z366" s="380">
        <f t="shared" si="139"/>
        <v>69.492513760196857</v>
      </c>
      <c r="AA366" s="381">
        <f t="shared" si="140"/>
        <v>73.536866983485282</v>
      </c>
      <c r="AB366" s="193">
        <f t="shared" si="141"/>
        <v>47835</v>
      </c>
      <c r="AC366" s="119">
        <f>IF(OR(t&lt;Tnet,NoTnet),'2029'!Resal_s+('2029'!Salim-'2029'!Resal_s)*(1-EXP(('2029'!Tnet_s-t)/'2029'!Tau_j)),Resal_s+(Salim-Resal_s)*(1-EXP((Tnet_s-t)/Tau_j)))*Salcycl</f>
        <v>5.4997627573618285E-2</v>
      </c>
      <c r="AD366" s="227">
        <f>(INDEX(Models!$BJ366:$BT366,,AH366)*(1-AF366)+INDEX(Models!$BJ366:$BT366,,AH366+1)*AF366-ERP_i)*AE366*Ramure*Pc/MaxiM</f>
        <v>5.7793869821859854E-3</v>
      </c>
      <c r="AE366" s="301">
        <f t="shared" si="142"/>
        <v>0.5</v>
      </c>
      <c r="AF366" s="173">
        <f t="shared" si="143"/>
        <v>0.48949893838096781</v>
      </c>
      <c r="AG366" s="801">
        <f t="shared" si="149"/>
        <v>4</v>
      </c>
      <c r="AH366" s="172">
        <f t="shared" si="144"/>
        <v>10</v>
      </c>
      <c r="AI366" s="221">
        <f t="shared" si="145"/>
        <v>4.4894989383809678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47836</v>
      </c>
      <c r="B367" s="406">
        <f>'2029'!Wh/'2029'!Env_an*'2030'!Env_an</f>
        <v>66.035267068585426</v>
      </c>
      <c r="C367" s="831"/>
      <c r="D367" s="388">
        <f t="shared" si="127"/>
        <v>69.19279116389923</v>
      </c>
      <c r="E367" s="380">
        <f t="shared" si="150"/>
        <v>70.913179205605388</v>
      </c>
      <c r="F367" s="380">
        <f t="shared" si="128"/>
        <v>70.959808037242851</v>
      </c>
      <c r="G367" s="110">
        <f t="shared" si="151"/>
        <v>0.74047941071110601</v>
      </c>
      <c r="H367" s="409" t="b">
        <f>Wh_hp&gt;='2029'!Maxi_hp</f>
        <v>0</v>
      </c>
      <c r="I367" s="385">
        <f>IF(H367,Wh_hp,'2029'!Maxi_hp)</f>
        <v>96.560601713863988</v>
      </c>
      <c r="J367" s="85">
        <f>IF(H367,An,'2029'!An_max)</f>
        <v>2021</v>
      </c>
      <c r="K367" s="193">
        <f t="shared" si="129"/>
        <v>47836</v>
      </c>
      <c r="L367" s="143">
        <f>IF(t&lt;Tvie,1-EXP((T0-t)*PertePVj)+'2029'!Pspv,1-EXP((T0-t)*PertePVj)+Pspv)</f>
        <v>4.5633714758441801E-2</v>
      </c>
      <c r="M367" s="835"/>
      <c r="N367" s="835"/>
      <c r="O367" s="48">
        <f>IF(t&lt;Tnet,'2029'!Resal+('2029'!Salim-'2029'!Resal)*(1-EXP(('2029'!Tnet-t)/('2029'!Tau_j))),Resal+(Salim-Resal)*(1-EXP((Tnet-t)/(Tau_j))))*Salcycl</f>
        <v>2.4260483889998481E-2</v>
      </c>
      <c r="P367" s="165">
        <f>(INDEX(Models!$BJ367:$BT367,,T367)*(1-R367)+INDEX(Models!$BJ367:$BT367,,T367+1)*R367-ERP_i)*Q367*Ramure*Pc/MaxiM</f>
        <v>1.0435954190425834E-3</v>
      </c>
      <c r="Q367" s="301">
        <f t="shared" si="130"/>
        <v>0.5</v>
      </c>
      <c r="R367" s="173">
        <f t="shared" si="131"/>
        <v>0.96451923118095606</v>
      </c>
      <c r="S367" s="801">
        <f t="shared" si="132"/>
        <v>0</v>
      </c>
      <c r="T367" s="172">
        <f t="shared" si="133"/>
        <v>6</v>
      </c>
      <c r="U367" s="247">
        <f t="shared" si="134"/>
        <v>0.96451923118095606</v>
      </c>
      <c r="V367" s="378">
        <f t="shared" si="135"/>
        <v>89.144583990597738</v>
      </c>
      <c r="W367" s="397">
        <f t="shared" si="136"/>
        <v>66.035267068585426</v>
      </c>
      <c r="X367" s="153">
        <f t="shared" si="137"/>
        <v>47836</v>
      </c>
      <c r="Y367" s="380">
        <f t="shared" si="138"/>
        <v>63.763243458485888</v>
      </c>
      <c r="Z367" s="380">
        <f t="shared" si="139"/>
        <v>66.812129100250928</v>
      </c>
      <c r="AA367" s="381">
        <f t="shared" si="140"/>
        <v>70.70208253844217</v>
      </c>
      <c r="AB367" s="193">
        <f t="shared" si="141"/>
        <v>47836</v>
      </c>
      <c r="AC367" s="119">
        <f>IF(OR(t&lt;Tnet,NoTnet),'2029'!Resal_s+('2029'!Salim-'2029'!Resal_s)*(1-EXP(('2029'!Tnet_s-t)/'2029'!Tau_j)),Resal_s+(Salim-Resal_s)*(1-EXP((Tnet_s-t)/Tau_j)))*Salcycl</f>
        <v>5.5018937187263139E-2</v>
      </c>
      <c r="AD367" s="227">
        <f>(INDEX(Models!$BJ367:$BT367,,AH367)*(1-AF367)+INDEX(Models!$BJ367:$BT367,,AH367+1)*AF367-ERP_i)*AE367*Ramure*Pc/MaxiM</f>
        <v>5.768129727333462E-3</v>
      </c>
      <c r="AE367" s="301">
        <f t="shared" si="142"/>
        <v>0.5</v>
      </c>
      <c r="AF367" s="173">
        <f t="shared" si="143"/>
        <v>0.48950679755493454</v>
      </c>
      <c r="AG367" s="801">
        <f t="shared" si="149"/>
        <v>4</v>
      </c>
      <c r="AH367" s="172">
        <f t="shared" si="144"/>
        <v>10</v>
      </c>
      <c r="AI367" s="221">
        <f t="shared" si="145"/>
        <v>4.4895067975549345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47837</v>
      </c>
      <c r="B368" s="406">
        <f>'2029'!Wh/'2029'!Env_an*'2030'!Env_an</f>
        <v>17.263623268141046</v>
      </c>
      <c r="C368" s="831"/>
      <c r="D368" s="388">
        <f t="shared" si="127"/>
        <v>18.089343539112715</v>
      </c>
      <c r="E368" s="380">
        <f t="shared" si="150"/>
        <v>18.540225610598238</v>
      </c>
      <c r="F368" s="380">
        <f t="shared" si="128"/>
        <v>18.540225610598238</v>
      </c>
      <c r="G368" s="110">
        <f t="shared" si="151"/>
        <v>0.19340818930259948</v>
      </c>
      <c r="H368" s="409" t="b">
        <f>Wh_hp&gt;='2029'!Maxi_hp</f>
        <v>0</v>
      </c>
      <c r="I368" s="385">
        <f>IF(H368,Wh_hp,'2029'!Maxi_hp)</f>
        <v>98.669245392496961</v>
      </c>
      <c r="J368" s="85">
        <f>IF(H368,An,'2029'!An_max)</f>
        <v>2021</v>
      </c>
      <c r="K368" s="193">
        <f t="shared" si="129"/>
        <v>47837</v>
      </c>
      <c r="L368" s="143">
        <f>IF(t&lt;Tvie,1-EXP((T0-t)*PertePVj)+'2029'!Pspv,1-EXP((T0-t)*PertePVj)+Pspv)</f>
        <v>4.5646779231446444E-2</v>
      </c>
      <c r="M368" s="835"/>
      <c r="N368" s="835"/>
      <c r="O368" s="48">
        <f>IF(t&lt;Tnet,'2029'!Resal+('2029'!Salim-'2029'!Resal)*(1-EXP(('2029'!Tnet-t)/('2029'!Tau_j))),Resal+(Salim-Resal)*(1-EXP((Tnet-t)/(Tau_j))))*Salcycl</f>
        <v>2.4319125395528225E-2</v>
      </c>
      <c r="P368" s="165">
        <f>(INDEX(Models!$BJ368:$BT368,,T368)*(1-R368)+INDEX(Models!$BJ368:$BT368,,T368+1)*R368-ERP_i)*Q368*Ramure*Pc/MaxiM</f>
        <v>1.0389813376940698E-3</v>
      </c>
      <c r="Q368" s="301">
        <f t="shared" si="130"/>
        <v>0.5</v>
      </c>
      <c r="R368" s="173">
        <f t="shared" si="131"/>
        <v>0.9645267741537944</v>
      </c>
      <c r="S368" s="801">
        <f t="shared" si="132"/>
        <v>0</v>
      </c>
      <c r="T368" s="172">
        <f t="shared" si="133"/>
        <v>6</v>
      </c>
      <c r="U368" s="247">
        <f t="shared" si="134"/>
        <v>0.9645267741537944</v>
      </c>
      <c r="V368" s="378">
        <f t="shared" si="135"/>
        <v>89.167303349096997</v>
      </c>
      <c r="W368" s="397">
        <f t="shared" si="136"/>
        <v>17.263623268141046</v>
      </c>
      <c r="X368" s="153">
        <f t="shared" si="137"/>
        <v>47837</v>
      </c>
      <c r="Y368" s="380">
        <f t="shared" si="138"/>
        <v>16.720038346120848</v>
      </c>
      <c r="Z368" s="380">
        <f t="shared" si="139"/>
        <v>17.519758913430369</v>
      </c>
      <c r="AA368" s="381">
        <f t="shared" si="140"/>
        <v>18.540225610598238</v>
      </c>
      <c r="AB368" s="193">
        <f t="shared" si="141"/>
        <v>47837</v>
      </c>
      <c r="AC368" s="119">
        <f>IF(OR(t&lt;Tnet,NoTnet),'2029'!Resal_s+('2029'!Salim-'2029'!Resal_s)*(1-EXP(('2029'!Tnet_s-t)/'2029'!Tau_j)),Resal_s+(Salim-Resal_s)*(1-EXP((Tnet_s-t)/Tau_j)))*Salcycl</f>
        <v>5.5040683894619601E-2</v>
      </c>
      <c r="AD368" s="227">
        <f>(INDEX(Models!$BJ368:$BT368,,AH368)*(1-AF368)+INDEX(Models!$BJ368:$BT368,,AH368+1)*AF368-ERP_i)*AE368*Ramure*Pc/MaxiM</f>
        <v>5.7564371449646389E-3</v>
      </c>
      <c r="AE368" s="301">
        <f t="shared" si="142"/>
        <v>0.5</v>
      </c>
      <c r="AF368" s="173">
        <f t="shared" si="143"/>
        <v>0.48951434052777287</v>
      </c>
      <c r="AG368" s="801">
        <f t="shared" si="149"/>
        <v>4</v>
      </c>
      <c r="AH368" s="172">
        <f t="shared" si="144"/>
        <v>10</v>
      </c>
      <c r="AI368" s="221">
        <f t="shared" si="145"/>
        <v>4.4895143405277729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47838</v>
      </c>
      <c r="B369" s="406">
        <f>'2029'!Wh/'2029'!Env_an*'2030'!Env_an</f>
        <v>81.571752152424565</v>
      </c>
      <c r="C369" s="831"/>
      <c r="D369" s="388">
        <f t="shared" si="127"/>
        <v>85.47450466065925</v>
      </c>
      <c r="E369" s="380">
        <f t="shared" si="150"/>
        <v>87.610257176520989</v>
      </c>
      <c r="F369" s="380">
        <f t="shared" si="128"/>
        <v>87.689928840561862</v>
      </c>
      <c r="G369" s="110">
        <f t="shared" si="151"/>
        <v>0.91404875194561408</v>
      </c>
      <c r="H369" s="409" t="b">
        <f>Wh_hp&gt;='2029'!Maxi_hp</f>
        <v>0</v>
      </c>
      <c r="I369" s="385">
        <f>IF(H369,Wh_hp,'2029'!Maxi_hp)</f>
        <v>87.695651782795125</v>
      </c>
      <c r="J369" s="85">
        <f>IF(H369,An,'2029'!An_max)</f>
        <v>2029</v>
      </c>
      <c r="K369" s="193">
        <f t="shared" si="129"/>
        <v>47838</v>
      </c>
      <c r="L369" s="143">
        <f>IF(t&lt;Tvie,1-EXP((T0-t)*PertePVj)+'2029'!Pspv,1-EXP((T0-t)*PertePVj)+Pspv)</f>
        <v>4.5659843525609478E-2</v>
      </c>
      <c r="M369" s="835"/>
      <c r="N369" s="835"/>
      <c r="O369" s="48">
        <f>IF(t&lt;Tnet,'2029'!Resal+('2029'!Salim-'2029'!Resal)*(1-EXP(('2029'!Tnet-t)/('2029'!Tau_j))),Resal+(Salim-Resal)*(1-EXP((Tnet-t)/(Tau_j))))*Salcycl</f>
        <v>2.437788205048334E-2</v>
      </c>
      <c r="P369" s="165">
        <f>(INDEX(Models!$BJ369:$BT369,,T369)*(1-R369)+INDEX(Models!$BJ369:$BT369,,T369+1)*R369-ERP_i)*Q369*Ramure*Pc/MaxiM</f>
        <v>1.035540743939539E-3</v>
      </c>
      <c r="Q369" s="301">
        <f t="shared" si="130"/>
        <v>0.5</v>
      </c>
      <c r="R369" s="173">
        <f t="shared" si="131"/>
        <v>0.96453401363838132</v>
      </c>
      <c r="S369" s="801">
        <f t="shared" si="132"/>
        <v>0</v>
      </c>
      <c r="T369" s="172">
        <f t="shared" si="133"/>
        <v>6</v>
      </c>
      <c r="U369" s="247">
        <f t="shared" si="134"/>
        <v>0.96453401363838132</v>
      </c>
      <c r="V369" s="378">
        <f t="shared" si="135"/>
        <v>89.230891254775187</v>
      </c>
      <c r="W369" s="397">
        <f t="shared" si="136"/>
        <v>81.571752152424565</v>
      </c>
      <c r="X369" s="153">
        <f t="shared" si="137"/>
        <v>47838</v>
      </c>
      <c r="Y369" s="380">
        <f t="shared" si="138"/>
        <v>78.679485500497734</v>
      </c>
      <c r="Z369" s="380">
        <f t="shared" si="139"/>
        <v>82.443859211753789</v>
      </c>
      <c r="AA369" s="381">
        <f t="shared" si="140"/>
        <v>87.247980359122792</v>
      </c>
      <c r="AB369" s="193">
        <f t="shared" si="141"/>
        <v>47838</v>
      </c>
      <c r="AC369" s="119">
        <f>IF(OR(t&lt;Tnet,NoTnet),'2029'!Resal_s+('2029'!Salim-'2029'!Resal_s)*(1-EXP(('2029'!Tnet_s-t)/'2029'!Tau_j)),Resal_s+(Salim-Resal_s)*(1-EXP((Tnet_s-t)/Tau_j)))*Salcycl</f>
        <v>5.506283500884137E-2</v>
      </c>
      <c r="AD369" s="227">
        <f>(INDEX(Models!$BJ369:$BT369,,AH369)*(1-AF369)+INDEX(Models!$BJ369:$BT369,,AH369+1)*AF369-ERP_i)*AE369*Ramure*Pc/MaxiM</f>
        <v>5.7442713763019996E-3</v>
      </c>
      <c r="AE369" s="301">
        <f t="shared" si="142"/>
        <v>0.5</v>
      </c>
      <c r="AF369" s="173">
        <f t="shared" si="143"/>
        <v>0.48952158001235979</v>
      </c>
      <c r="AG369" s="801">
        <f t="shared" si="149"/>
        <v>4</v>
      </c>
      <c r="AH369" s="172">
        <f t="shared" si="144"/>
        <v>10</v>
      </c>
      <c r="AI369" s="221">
        <f t="shared" si="145"/>
        <v>4.4895215800123598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47839</v>
      </c>
      <c r="B370" s="406">
        <f>'2029'!Wh/'2029'!Env_an*'2030'!Env_an</f>
        <v>67.946896247739147</v>
      </c>
      <c r="C370" s="831"/>
      <c r="D370" s="388">
        <f t="shared" si="127"/>
        <v>71.198750189284198</v>
      </c>
      <c r="E370" s="380">
        <f t="shared" si="150"/>
        <v>72.982197236173306</v>
      </c>
      <c r="F370" s="380">
        <f t="shared" si="128"/>
        <v>73.031848525752252</v>
      </c>
      <c r="G370" s="110">
        <f t="shared" si="151"/>
        <v>0.76031192709976936</v>
      </c>
      <c r="H370" s="409" t="b">
        <f>Wh_hp&gt;='2029'!Maxi_hp</f>
        <v>0</v>
      </c>
      <c r="I370" s="385">
        <f>IF(H370,Wh_hp,'2029'!Maxi_hp)</f>
        <v>94.664901862942699</v>
      </c>
      <c r="J370" s="85">
        <f>IF(H370,An,'2029'!An_max)</f>
        <v>2021</v>
      </c>
      <c r="K370" s="193">
        <f t="shared" si="129"/>
        <v>47839</v>
      </c>
      <c r="L370" s="143">
        <f>IF(t&lt;Tvie,1-EXP((T0-t)*PertePVj)+'2029'!Pspv,1-EXP((T0-t)*PertePVj)+Pspv)</f>
        <v>4.5672907640933236E-2</v>
      </c>
      <c r="M370" s="835"/>
      <c r="N370" s="835"/>
      <c r="O370" s="48">
        <f>IF(t&lt;Tnet,'2029'!Resal+('2029'!Salim-'2029'!Resal)*(1-EXP(('2029'!Tnet-t)/('2029'!Tau_j))),Resal+(Salim-Resal)*(1-EXP((Tnet-t)/(Tau_j))))*Salcycl</f>
        <v>2.4436740937215162E-2</v>
      </c>
      <c r="P370" s="165">
        <f>(INDEX(Models!$BJ370:$BT370,,T370)*(1-R370)+INDEX(Models!$BJ370:$BT370,,T370+1)*R370-ERP_i)*Q370*Ramure*Pc/MaxiM</f>
        <v>1.0332617518550964E-3</v>
      </c>
      <c r="Q370" s="301">
        <f t="shared" si="130"/>
        <v>0.5</v>
      </c>
      <c r="R370" s="173">
        <f t="shared" si="131"/>
        <v>0.96454096183717852</v>
      </c>
      <c r="S370" s="801">
        <f t="shared" si="132"/>
        <v>0</v>
      </c>
      <c r="T370" s="172">
        <f t="shared" si="133"/>
        <v>6</v>
      </c>
      <c r="U370" s="247">
        <f t="shared" si="134"/>
        <v>0.96454096183717852</v>
      </c>
      <c r="V370" s="378">
        <f t="shared" si="135"/>
        <v>89.33552770286822</v>
      </c>
      <c r="W370" s="397">
        <f t="shared" si="136"/>
        <v>67.946896247739147</v>
      </c>
      <c r="X370" s="153">
        <f t="shared" si="137"/>
        <v>47839</v>
      </c>
      <c r="Y370" s="380">
        <f t="shared" si="138"/>
        <v>65.608665188434884</v>
      </c>
      <c r="Z370" s="380">
        <f t="shared" si="139"/>
        <v>68.748614299791399</v>
      </c>
      <c r="AA370" s="381">
        <f t="shared" si="140"/>
        <v>72.756428239718915</v>
      </c>
      <c r="AB370" s="193">
        <f t="shared" si="141"/>
        <v>47839</v>
      </c>
      <c r="AC370" s="119">
        <f>IF(OR(t&lt;Tnet,NoTnet),'2029'!Resal_s+('2029'!Salim-'2029'!Resal_s)*(1-EXP(('2029'!Tnet_s-t)/'2029'!Tau_j)),Resal_s+(Salim-Resal_s)*(1-EXP((Tnet_s-t)/Tau_j)))*Salcycl</f>
        <v>5.508535859845292E-2</v>
      </c>
      <c r="AD370" s="227">
        <f>(INDEX(Models!$BJ370:$BT370,,AH370)*(1-AF370)+INDEX(Models!$BJ370:$BT370,,AH370+1)*AF370-ERP_i)*AE370*Ramure*Pc/MaxiM</f>
        <v>5.7315983060367949E-3</v>
      </c>
      <c r="AE370" s="301">
        <f t="shared" si="142"/>
        <v>0.5</v>
      </c>
      <c r="AF370" s="173">
        <f t="shared" si="143"/>
        <v>0.48952852821115656</v>
      </c>
      <c r="AG370" s="801">
        <f t="shared" si="149"/>
        <v>4</v>
      </c>
      <c r="AH370" s="172">
        <f t="shared" si="144"/>
        <v>10</v>
      </c>
      <c r="AI370" s="221">
        <f t="shared" si="145"/>
        <v>4.4895285282111566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47840</v>
      </c>
      <c r="B371" s="406">
        <f>'2029'!Wh/'2029'!Env_an*'2030'!Env_an</f>
        <v>69.693247147414922</v>
      </c>
      <c r="C371" s="831"/>
      <c r="D371" s="388">
        <f t="shared" si="127"/>
        <v>73.029678985871584</v>
      </c>
      <c r="E371" s="380">
        <f t="shared" si="150"/>
        <v>74.863512333479449</v>
      </c>
      <c r="F371" s="380">
        <f t="shared" si="128"/>
        <v>74.916407635302008</v>
      </c>
      <c r="G371" s="110">
        <f t="shared" si="151"/>
        <v>0.77860328435744097</v>
      </c>
      <c r="H371" s="409" t="b">
        <f>Wh_hp&gt;='2029'!Maxi_hp</f>
        <v>0</v>
      </c>
      <c r="I371" s="385">
        <f>IF(H371,Wh_hp,'2029'!Maxi_hp)</f>
        <v>74.928961222520769</v>
      </c>
      <c r="J371" s="85">
        <f>IF(H371,An,'2029'!An_max)</f>
        <v>2029</v>
      </c>
      <c r="K371" s="193">
        <f t="shared" si="129"/>
        <v>47840</v>
      </c>
      <c r="L371" s="143">
        <f>IF(t&lt;Tvie,1-EXP((T0-t)*PertePVj)+'2029'!Pspv,1-EXP((T0-t)*PertePVj)+Pspv)</f>
        <v>4.568597157742027E-2</v>
      </c>
      <c r="M371" s="835"/>
      <c r="N371" s="835"/>
      <c r="O371" s="48">
        <f>IF(t&lt;Tnet,'2029'!Resal+('2029'!Salim-'2029'!Resal)*(1-EXP(('2029'!Tnet-t)/('2029'!Tau_j))),Resal+(Salim-Resal)*(1-EXP((Tnet-t)/(Tau_j))))*Salcycl</f>
        <v>2.4495689427969414E-2</v>
      </c>
      <c r="P371" s="165">
        <f>(INDEX(Models!$BJ371:$BT371,,T371)*(1-R371)+INDEX(Models!$BJ371:$BT371,,T371+1)*R371-ERP_i)*Q371*Ramure*Pc/MaxiM</f>
        <v>1.0321242246254759E-3</v>
      </c>
      <c r="Q371" s="301">
        <f t="shared" si="130"/>
        <v>0.5</v>
      </c>
      <c r="R371" s="173">
        <f t="shared" si="131"/>
        <v>0.96454096183717852</v>
      </c>
      <c r="S371" s="801">
        <f t="shared" si="132"/>
        <v>0</v>
      </c>
      <c r="T371" s="172">
        <f t="shared" si="133"/>
        <v>6</v>
      </c>
      <c r="U371" s="247">
        <f t="shared" si="134"/>
        <v>0.96454096183717852</v>
      </c>
      <c r="V371" s="378">
        <f t="shared" si="135"/>
        <v>89.481392965690105</v>
      </c>
      <c r="W371" s="397">
        <f t="shared" si="136"/>
        <v>69.693247147414922</v>
      </c>
      <c r="X371" s="153">
        <f t="shared" si="137"/>
        <v>47840</v>
      </c>
      <c r="Y371" s="380">
        <f t="shared" si="138"/>
        <v>67.28962347323764</v>
      </c>
      <c r="Z371" s="380">
        <f t="shared" si="139"/>
        <v>70.510986393507281</v>
      </c>
      <c r="AA371" s="381">
        <f t="shared" si="140"/>
        <v>74.623346459736169</v>
      </c>
      <c r="AB371" s="193">
        <f t="shared" si="141"/>
        <v>47840</v>
      </c>
      <c r="AC371" s="119">
        <f>IF(OR(t&lt;Tnet,NoTnet),'2029'!Resal_s+('2029'!Salim-'2029'!Resal_s)*(1-EXP(('2029'!Tnet_s-t)/'2029'!Tau_j)),Resal_s+(Salim-Resal_s)*(1-EXP((Tnet_s-t)/Tau_j)))*Salcycl</f>
        <v>5.5108223650191843E-2</v>
      </c>
      <c r="AD371" s="227">
        <f>(INDEX(Models!$BJ371:$BT371,,AH371)*(1-AF371)+INDEX(Models!$BJ371:$BT371,,AH371+1)*AF371-ERP_i)*AE371*Ramure*Pc/MaxiM</f>
        <v>5.7183819389747719E-3</v>
      </c>
      <c r="AE371" s="301">
        <f t="shared" si="142"/>
        <v>0.5</v>
      </c>
      <c r="AF371" s="173">
        <f t="shared" si="143"/>
        <v>0.48952852821115656</v>
      </c>
      <c r="AG371" s="801">
        <f t="shared" si="149"/>
        <v>4</v>
      </c>
      <c r="AH371" s="172">
        <f t="shared" si="144"/>
        <v>10</v>
      </c>
      <c r="AI371" s="221">
        <f t="shared" si="145"/>
        <v>4.4895285282111566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47841</v>
      </c>
      <c r="B372" s="406">
        <f>'2029'!Wh/'2029'!Env_an*'2030'!Env_an</f>
        <v>84.603587057373872</v>
      </c>
      <c r="C372" s="831"/>
      <c r="D372" s="388">
        <f t="shared" si="127"/>
        <v>88.655036712741634</v>
      </c>
      <c r="E372" s="380">
        <f t="shared" si="150"/>
        <v>90.886734601437155</v>
      </c>
      <c r="F372" s="380">
        <f t="shared" si="128"/>
        <v>90.973052671140238</v>
      </c>
      <c r="G372" s="110">
        <f t="shared" si="151"/>
        <v>0.94343473255440169</v>
      </c>
      <c r="H372" s="409" t="b">
        <f>Wh_hp&gt;='2029'!Maxi_hp</f>
        <v>0</v>
      </c>
      <c r="I372" s="385">
        <f>IF(H372,Wh_hp,'2029'!Maxi_hp)</f>
        <v>90.976946869945024</v>
      </c>
      <c r="J372" s="85">
        <f>IF(H372,An,'2029'!An_max)</f>
        <v>2029</v>
      </c>
      <c r="K372" s="193">
        <f t="shared" si="129"/>
        <v>47841</v>
      </c>
      <c r="L372" s="143">
        <f>IF(t&lt;Tvie,1-EXP((T0-t)*PertePVj)+'2029'!Pspv,1-EXP((T0-t)*PertePVj)+Pspv)</f>
        <v>4.5699035335072913E-2</v>
      </c>
      <c r="M372" s="835"/>
      <c r="N372" s="835"/>
      <c r="O372" s="48">
        <f>IF(t&lt;Tnet,'2029'!Resal+('2029'!Salim-'2029'!Resal)*(1-EXP(('2029'!Tnet-t)/('2029'!Tau_j))),Resal+(Salim-Resal)*(1-EXP((Tnet-t)/(Tau_j))))*Salcycl</f>
        <v>2.4554715256105478E-2</v>
      </c>
      <c r="P372" s="165">
        <f>(INDEX(Models!$BJ372:$BT372,,T372)*(1-R372)+INDEX(Models!$BJ372:$BT372,,T372+1)*R372-ERP_i)*Q372*Ramure*Pc/MaxiM</f>
        <v>1.0321181235419283E-3</v>
      </c>
      <c r="Q372" s="301">
        <f t="shared" si="130"/>
        <v>0.5</v>
      </c>
      <c r="R372" s="173">
        <f t="shared" si="131"/>
        <v>0.96454096183717852</v>
      </c>
      <c r="S372" s="801">
        <f t="shared" si="132"/>
        <v>0</v>
      </c>
      <c r="T372" s="172">
        <f t="shared" si="133"/>
        <v>6</v>
      </c>
      <c r="U372" s="247">
        <f t="shared" si="134"/>
        <v>0.96454096183717852</v>
      </c>
      <c r="V372" s="378">
        <f t="shared" si="135"/>
        <v>89.66866606946985</v>
      </c>
      <c r="W372" s="397">
        <f t="shared" si="136"/>
        <v>84.603587057373872</v>
      </c>
      <c r="X372" s="153">
        <f t="shared" si="137"/>
        <v>47841</v>
      </c>
      <c r="Y372" s="380">
        <f t="shared" si="138"/>
        <v>81.59921867130474</v>
      </c>
      <c r="Z372" s="380">
        <f t="shared" si="139"/>
        <v>85.506796799640412</v>
      </c>
      <c r="AA372" s="381">
        <f t="shared" si="140"/>
        <v>90.49596612630252</v>
      </c>
      <c r="AB372" s="193">
        <f t="shared" si="141"/>
        <v>47841</v>
      </c>
      <c r="AC372" s="119">
        <f>IF(OR(t&lt;Tnet,NoTnet),'2029'!Resal_s+('2029'!Salim-'2029'!Resal_s)*(1-EXP(('2029'!Tnet_s-t)/'2029'!Tau_j)),Resal_s+(Salim-Resal_s)*(1-EXP((Tnet_s-t)/Tau_j)))*Salcycl</f>
        <v>5.5131400218423748E-2</v>
      </c>
      <c r="AD372" s="227">
        <f>(INDEX(Models!$BJ372:$BT372,,AH372)*(1-AF372)+INDEX(Models!$BJ372:$BT372,,AH372+1)*AF372-ERP_i)*AE372*Ramure*Pc/MaxiM</f>
        <v>5.7045954702044498E-3</v>
      </c>
      <c r="AE372" s="301">
        <f t="shared" si="142"/>
        <v>0.5</v>
      </c>
      <c r="AF372" s="173">
        <f t="shared" si="143"/>
        <v>0.48952852821115656</v>
      </c>
      <c r="AG372" s="801">
        <f t="shared" si="149"/>
        <v>4</v>
      </c>
      <c r="AH372" s="172">
        <f t="shared" si="144"/>
        <v>10</v>
      </c>
      <c r="AI372" s="221">
        <f t="shared" si="145"/>
        <v>4.4895285282111566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47842</v>
      </c>
      <c r="B373" s="406">
        <f>'2029'!Wh/'2029'!Env_an*'2030'!Env_an</f>
        <v>47.664528088245845</v>
      </c>
      <c r="C373" s="831"/>
      <c r="D373" s="388">
        <f t="shared" si="127"/>
        <v>49.947744316989962</v>
      </c>
      <c r="E373" s="380">
        <f t="shared" si="150"/>
        <v>51.208172367034699</v>
      </c>
      <c r="F373" s="380">
        <f t="shared" si="128"/>
        <v>51.225576302462223</v>
      </c>
      <c r="G373" s="110">
        <f t="shared" si="151"/>
        <v>0.52982018979340373</v>
      </c>
      <c r="H373" s="409" t="b">
        <f>Wh_hp&gt;='2029'!Maxi_hp</f>
        <v>0</v>
      </c>
      <c r="I373" s="385">
        <f>IF(H373,Wh_hp,'2029'!Maxi_hp)</f>
        <v>51.243826937514314</v>
      </c>
      <c r="J373" s="85">
        <f>IF(H373,An,'2029'!An_max)</f>
        <v>2029</v>
      </c>
      <c r="K373" s="193">
        <f t="shared" si="129"/>
        <v>47842</v>
      </c>
      <c r="L373" s="143">
        <f>IF(t&lt;Tvie,1-EXP((T0-t)*PertePVj)+'2029'!Pspv,1-EXP((T0-t)*PertePVj)+Pspv)</f>
        <v>4.5712098913893717E-2</v>
      </c>
      <c r="M373" s="835"/>
      <c r="N373" s="835"/>
      <c r="O373" s="48">
        <f>IF(t&lt;Tnet,'2029'!Resal+('2029'!Salim-'2029'!Resal)*(1-EXP(('2029'!Tnet-t)/('2029'!Tau_j))),Resal+(Salim-Resal)*(1-EXP((Tnet-t)/(Tau_j))))*Salcycl</f>
        <v>2.4613806581703781E-2</v>
      </c>
      <c r="P373" s="165">
        <f>(INDEX(Models!$BJ373:$BT373,,T373)*(1-R373)+INDEX(Models!$BJ373:$BT373,,T373+1)*R373-ERP_i)*Q373*Ramure*Pc/MaxiM</f>
        <v>1.0331801206180879E-3</v>
      </c>
      <c r="Q373" s="301">
        <f t="shared" si="130"/>
        <v>0.5</v>
      </c>
      <c r="R373" s="173">
        <f t="shared" si="131"/>
        <v>0.96454096183717852</v>
      </c>
      <c r="S373" s="801">
        <f t="shared" si="132"/>
        <v>0</v>
      </c>
      <c r="T373" s="172">
        <f t="shared" si="133"/>
        <v>6</v>
      </c>
      <c r="U373" s="247">
        <f t="shared" si="134"/>
        <v>0.96454096183717852</v>
      </c>
      <c r="V373" s="378">
        <f t="shared" si="135"/>
        <v>89.901188734977893</v>
      </c>
      <c r="W373" s="397">
        <f t="shared" si="136"/>
        <v>47.664528088245845</v>
      </c>
      <c r="X373" s="153">
        <f t="shared" si="137"/>
        <v>47842</v>
      </c>
      <c r="Y373" s="380">
        <f t="shared" si="138"/>
        <v>46.101339083319623</v>
      </c>
      <c r="Z373" s="380">
        <f t="shared" si="139"/>
        <v>48.309675760166485</v>
      </c>
      <c r="AA373" s="381">
        <f t="shared" si="140"/>
        <v>51.129728769820922</v>
      </c>
      <c r="AB373" s="193">
        <f t="shared" si="141"/>
        <v>47842</v>
      </c>
      <c r="AC373" s="119">
        <f>IF(OR(t&lt;Tnet,NoTnet),'2029'!Resal_s+('2029'!Salim-'2029'!Resal_s)*(1-EXP(('2029'!Tnet_s-t)/'2029'!Tau_j)),Resal_s+(Salim-Resal_s)*(1-EXP((Tnet_s-t)/Tau_j)))*Salcycl</f>
        <v>5.515485956027525E-2</v>
      </c>
      <c r="AD373" s="227">
        <f>(INDEX(Models!$BJ373:$BT373,,AH373)*(1-AF373)+INDEX(Models!$BJ373:$BT373,,AH373+1)*AF373-ERP_i)*AE373*Ramure*Pc/MaxiM</f>
        <v>5.6899639594548508E-3</v>
      </c>
      <c r="AE373" s="301">
        <f t="shared" si="142"/>
        <v>0.5</v>
      </c>
      <c r="AF373" s="173">
        <f t="shared" si="143"/>
        <v>0.48952852821115656</v>
      </c>
      <c r="AG373" s="801">
        <f t="shared" si="149"/>
        <v>4</v>
      </c>
      <c r="AH373" s="172">
        <f t="shared" si="144"/>
        <v>10</v>
      </c>
      <c r="AI373" s="221">
        <f t="shared" si="145"/>
        <v>4.4895285282111566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47843</v>
      </c>
      <c r="B374" s="406">
        <f>'2029'!Wh/'2029'!Env_an*'2030'!Env_an</f>
        <v>81.439329885079644</v>
      </c>
      <c r="C374" s="831"/>
      <c r="D374" s="388">
        <f t="shared" si="127"/>
        <v>85.341587841245271</v>
      </c>
      <c r="E374" s="380">
        <f t="shared" si="150"/>
        <v>87.500483064344152</v>
      </c>
      <c r="F374" s="380">
        <f t="shared" si="128"/>
        <v>87.578593705891677</v>
      </c>
      <c r="G374" s="110">
        <f t="shared" si="151"/>
        <v>0.90293071354978904</v>
      </c>
      <c r="H374" s="409" t="b">
        <f>Wh_hp&gt;='2029'!Maxi_hp</f>
        <v>0</v>
      </c>
      <c r="I374" s="385">
        <f>IF(H374,Wh_hp,'2029'!Maxi_hp)</f>
        <v>87.585046430150328</v>
      </c>
      <c r="J374" s="85">
        <f>IF(H374,An,'2029'!An_max)</f>
        <v>2029</v>
      </c>
      <c r="K374" s="193">
        <f t="shared" si="129"/>
        <v>47843</v>
      </c>
      <c r="L374" s="143">
        <f>IF(t&lt;Tvie,1-EXP((T0-t)*PertePVj)+'2029'!Pspv,1-EXP((T0-t)*PertePVj)+Pspv)</f>
        <v>4.5725162313885126E-2</v>
      </c>
      <c r="M374" s="835"/>
      <c r="N374" s="835"/>
      <c r="O374" s="48">
        <f>IF(t&lt;Tnet,'2029'!Resal+('2029'!Salim-'2029'!Resal)*(1-EXP(('2029'!Tnet-t)/('2029'!Tau_j))),Resal+(Salim-Resal)*(1-EXP((Tnet-t)/(Tau_j))))*Salcycl</f>
        <v>2.4672952051148441E-2</v>
      </c>
      <c r="P374" s="165">
        <f>(INDEX(Models!$BJ374:$BT374,,T374)*(1-R374)+INDEX(Models!$BJ374:$BT374,,T374+1)*R374-ERP_i)*Q374*Ramure*Pc/MaxiM</f>
        <v>1.0352602489421265E-3</v>
      </c>
      <c r="Q374" s="301">
        <f t="shared" si="130"/>
        <v>0.5</v>
      </c>
      <c r="R374" s="173">
        <f t="shared" si="131"/>
        <v>0.96454096183717852</v>
      </c>
      <c r="S374" s="801">
        <f t="shared" si="132"/>
        <v>0</v>
      </c>
      <c r="T374" s="172">
        <f t="shared" si="133"/>
        <v>6</v>
      </c>
      <c r="U374" s="247">
        <f t="shared" si="134"/>
        <v>0.96454096183717852</v>
      </c>
      <c r="V374" s="378">
        <f t="shared" si="135"/>
        <v>90.181497230067208</v>
      </c>
      <c r="W374" s="397">
        <f t="shared" si="136"/>
        <v>81.439329885079644</v>
      </c>
      <c r="X374" s="153">
        <f t="shared" si="137"/>
        <v>47843</v>
      </c>
      <c r="Y374" s="380">
        <f t="shared" si="138"/>
        <v>78.576543266948079</v>
      </c>
      <c r="Z374" s="380">
        <f t="shared" si="139"/>
        <v>82.341627551950495</v>
      </c>
      <c r="AA374" s="381">
        <f t="shared" si="140"/>
        <v>87.150466012231405</v>
      </c>
      <c r="AB374" s="193">
        <f t="shared" si="141"/>
        <v>47843</v>
      </c>
      <c r="AC374" s="119">
        <f>IF(OR(t&lt;Tnet,NoTnet),'2029'!Resal_s+('2029'!Salim-'2029'!Resal_s)*(1-EXP(('2029'!Tnet_s-t)/'2029'!Tau_j)),Resal_s+(Salim-Resal_s)*(1-EXP((Tnet_s-t)/Tau_j)))*Salcycl</f>
        <v>5.5178574255770496E-2</v>
      </c>
      <c r="AD374" s="227">
        <f>(INDEX(Models!$BJ374:$BT374,,AH374)*(1-AF374)+INDEX(Models!$BJ374:$BT374,,AH374+1)*AF374-ERP_i)*AE374*Ramure*Pc/MaxiM</f>
        <v>5.674304728991897E-3</v>
      </c>
      <c r="AE374" s="301">
        <f t="shared" si="142"/>
        <v>0.5</v>
      </c>
      <c r="AF374" s="173">
        <f t="shared" si="143"/>
        <v>0.48952852821115656</v>
      </c>
      <c r="AG374" s="801">
        <f t="shared" si="149"/>
        <v>4</v>
      </c>
      <c r="AH374" s="172">
        <f t="shared" si="144"/>
        <v>10</v>
      </c>
      <c r="AI374" s="221">
        <f t="shared" si="145"/>
        <v>4.4895285282111566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47844</v>
      </c>
      <c r="B375" s="406">
        <f>'2029'!Wh/'2029'!Env_an*'2030'!Env_an</f>
        <v>25.241509499317697</v>
      </c>
      <c r="C375" s="831"/>
      <c r="D375" s="388">
        <f t="shared" si="127"/>
        <v>26.451347182454708</v>
      </c>
      <c r="E375" s="380">
        <f t="shared" si="150"/>
        <v>27.12213566180429</v>
      </c>
      <c r="F375" s="380">
        <f t="shared" si="128"/>
        <v>27.12213566180429</v>
      </c>
      <c r="G375" s="110">
        <f t="shared" si="151"/>
        <v>0.27859804435716778</v>
      </c>
      <c r="H375" s="409" t="b">
        <f>Wh_hp&gt;='2029'!Maxi_hp</f>
        <v>0</v>
      </c>
      <c r="I375" s="385">
        <f>IF(H375,Wh_hp,'2029'!Maxi_hp)</f>
        <v>41.855930622746683</v>
      </c>
      <c r="J375" s="85">
        <f>IF(H375,An,'2029'!An_max)</f>
        <v>2021</v>
      </c>
      <c r="K375" s="193">
        <f t="shared" si="129"/>
        <v>47844</v>
      </c>
      <c r="L375" s="143">
        <f>IF(t&lt;Tvie,1-EXP((T0-t)*PertePVj)+'2029'!Pspv,1-EXP((T0-t)*PertePVj)+Pspv)</f>
        <v>4.5738225535049581E-2</v>
      </c>
      <c r="M375" s="835"/>
      <c r="N375" s="835"/>
      <c r="O375" s="48">
        <f>IF(t&lt;Tnet,'2029'!Resal+('2029'!Salim-'2029'!Resal)*(1-EXP(('2029'!Tnet-t)/('2029'!Tau_j))),Resal+(Salim-Resal)*(1-EXP((Tnet-t)/(Tau_j))))*Salcycl</f>
        <v>2.4732140850332873E-2</v>
      </c>
      <c r="P375" s="165">
        <f>(INDEX(Models!$BJ375:$BT375,,T375)*(1-R375)+INDEX(Models!$BJ375:$BT375,,T375+1)*R375-ERP_i)*Q375*Ramure*Pc/MaxiM</f>
        <v>1.0399645363662698E-3</v>
      </c>
      <c r="Q375" s="301">
        <f t="shared" si="130"/>
        <v>0.5</v>
      </c>
      <c r="R375" s="173">
        <f t="shared" si="131"/>
        <v>0.96454096183717852</v>
      </c>
      <c r="S375" s="801">
        <f t="shared" si="132"/>
        <v>0</v>
      </c>
      <c r="T375" s="172">
        <f t="shared" si="133"/>
        <v>6</v>
      </c>
      <c r="U375" s="247">
        <f t="shared" si="134"/>
        <v>0.96454096183717852</v>
      </c>
      <c r="V375" s="378">
        <f t="shared" si="135"/>
        <v>90.50766771452146</v>
      </c>
      <c r="W375" s="397">
        <f t="shared" si="136"/>
        <v>25.241509499317697</v>
      </c>
      <c r="X375" s="153">
        <f t="shared" si="137"/>
        <v>47844</v>
      </c>
      <c r="Y375" s="380">
        <f t="shared" si="138"/>
        <v>24.452886850738658</v>
      </c>
      <c r="Z375" s="380">
        <f t="shared" si="139"/>
        <v>25.624925471262081</v>
      </c>
      <c r="AA375" s="381">
        <f t="shared" si="140"/>
        <v>27.12213566180429</v>
      </c>
      <c r="AB375" s="193">
        <f t="shared" si="141"/>
        <v>47844</v>
      </c>
      <c r="AC375" s="119">
        <f>IF(OR(t&lt;Tnet,NoTnet),'2029'!Resal_s+('2029'!Salim-'2029'!Resal_s)*(1-EXP(('2029'!Tnet_s-t)/'2029'!Tau_j)),Resal_s+(Salim-Resal_s)*(1-EXP((Tnet_s-t)/Tau_j)))*Salcycl</f>
        <v>5.5202518312402242E-2</v>
      </c>
      <c r="AD375" s="227">
        <f>(INDEX(Models!$BJ375:$BT375,,AH375)*(1-AF375)+INDEX(Models!$BJ375:$BT375,,AH375+1)*AF375-ERP_i)*AE375*Ramure*Pc/MaxiM</f>
        <v>5.6625216567329686E-3</v>
      </c>
      <c r="AE375" s="301">
        <f t="shared" si="142"/>
        <v>0.5</v>
      </c>
      <c r="AF375" s="173">
        <f t="shared" si="143"/>
        <v>0.48952852821115656</v>
      </c>
      <c r="AG375" s="801">
        <f t="shared" si="149"/>
        <v>4</v>
      </c>
      <c r="AH375" s="172">
        <f t="shared" si="144"/>
        <v>10</v>
      </c>
      <c r="AI375" s="221">
        <f t="shared" si="145"/>
        <v>4.4895285282111566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47845</v>
      </c>
      <c r="B376" s="406">
        <f>'2029'!Wh/'2029'!Env_an*'2030'!Env_an</f>
        <v>66.241501278669716</v>
      </c>
      <c r="C376" s="831"/>
      <c r="D376" s="388">
        <f t="shared" si="127"/>
        <v>69.417438541693954</v>
      </c>
      <c r="E376" s="380">
        <f t="shared" si="150"/>
        <v>71.182140816072149</v>
      </c>
      <c r="F376" s="380">
        <f t="shared" si="128"/>
        <v>71.227814443236724</v>
      </c>
      <c r="G376" s="110">
        <f t="shared" si="151"/>
        <v>0.72861026968134768</v>
      </c>
      <c r="H376" s="409" t="b">
        <f>Wh_hp&gt;='2029'!Maxi_hp</f>
        <v>0</v>
      </c>
      <c r="I376" s="385">
        <f>IF(H376,Wh_hp,'2029'!Maxi_hp)</f>
        <v>71.242647687100458</v>
      </c>
      <c r="J376" s="85">
        <f>IF(H376,An,'2029'!An_max)</f>
        <v>2029</v>
      </c>
      <c r="K376" s="193">
        <f t="shared" si="129"/>
        <v>47845</v>
      </c>
      <c r="L376" s="143">
        <f>IF(t&lt;Tvie,1-EXP((T0-t)*PertePVj)+'2029'!Pspv,1-EXP((T0-t)*PertePVj)+Pspv)</f>
        <v>4.5751288577389415E-2</v>
      </c>
      <c r="M376" s="835"/>
      <c r="N376" s="835"/>
      <c r="O376" s="48">
        <f>IF(t&lt;Tnet,'2029'!Resal+('2029'!Salim-'2029'!Resal)*(1-EXP(('2029'!Tnet-t)/('2029'!Tau_j))),Resal+(Salim-Resal)*(1-EXP((Tnet-t)/(Tau_j))))*Salcycl</f>
        <v>2.4791362751199288E-2</v>
      </c>
      <c r="P376" s="165">
        <f>(INDEX(Models!$BJ376:$BT376,,T376)*(1-R376)+INDEX(Models!$BJ376:$BT376,,T376+1)*R376-ERP_i)*Q376*Ramure*Pc/MaxiM</f>
        <v>1.0465305739439581E-3</v>
      </c>
      <c r="Q376" s="301">
        <f t="shared" si="130"/>
        <v>0.5</v>
      </c>
      <c r="R376" s="173">
        <f t="shared" si="131"/>
        <v>0.96454096183717852</v>
      </c>
      <c r="S376" s="801">
        <f t="shared" si="132"/>
        <v>0</v>
      </c>
      <c r="T376" s="172">
        <f t="shared" si="133"/>
        <v>6</v>
      </c>
      <c r="U376" s="247">
        <f t="shared" si="134"/>
        <v>0.96454096183717852</v>
      </c>
      <c r="V376" s="378">
        <f t="shared" si="135"/>
        <v>90.877989632493112</v>
      </c>
      <c r="W376" s="397">
        <f t="shared" si="136"/>
        <v>66.241501278669716</v>
      </c>
      <c r="X376" s="153">
        <f t="shared" si="137"/>
        <v>47845</v>
      </c>
      <c r="Y376" s="380">
        <f t="shared" si="138"/>
        <v>63.992884418900651</v>
      </c>
      <c r="Z376" s="380">
        <f t="shared" si="139"/>
        <v>67.061012137494998</v>
      </c>
      <c r="AA376" s="381">
        <f t="shared" si="140"/>
        <v>70.981059491339394</v>
      </c>
      <c r="AB376" s="193">
        <f t="shared" si="141"/>
        <v>47845</v>
      </c>
      <c r="AC376" s="119">
        <f>IF(OR(t&lt;Tnet,NoTnet),'2029'!Resal_s+('2029'!Salim-'2029'!Resal_s)*(1-EXP(('2029'!Tnet_s-t)/'2029'!Tau_j)),Resal_s+(Salim-Resal_s)*(1-EXP((Tnet_s-t)/Tau_j)))*Salcycl</f>
        <v>5.5226667253715743E-2</v>
      </c>
      <c r="AD376" s="227">
        <f>(INDEX(Models!$BJ376:$BT376,,AH376)*(1-AF376)+INDEX(Models!$BJ376:$BT376,,AH376+1)*AF376-ERP_i)*AE376*Ramure*Pc/MaxiM</f>
        <v>5.6539543159583802E-3</v>
      </c>
      <c r="AE376" s="301">
        <f t="shared" si="142"/>
        <v>0.5</v>
      </c>
      <c r="AF376" s="173">
        <f t="shared" si="143"/>
        <v>0.48952852821115656</v>
      </c>
      <c r="AG376" s="801">
        <f t="shared" si="149"/>
        <v>4</v>
      </c>
      <c r="AH376" s="172">
        <f t="shared" si="144"/>
        <v>10</v>
      </c>
      <c r="AI376" s="221">
        <f t="shared" si="145"/>
        <v>4.4895285282111566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47846</v>
      </c>
      <c r="B377" s="406">
        <f>'2029'!Wh/'2029'!Env_an*'2030'!Env_an</f>
        <v>40.964945046276952</v>
      </c>
      <c r="C377" s="831"/>
      <c r="D377" s="388">
        <f t="shared" si="127"/>
        <v>42.929589884987543</v>
      </c>
      <c r="E377" s="380">
        <f t="shared" si="150"/>
        <v>44.023603197459828</v>
      </c>
      <c r="F377" s="380">
        <f t="shared" si="128"/>
        <v>44.033473096708477</v>
      </c>
      <c r="G377" s="110">
        <f t="shared" si="151"/>
        <v>0.44835794296877601</v>
      </c>
      <c r="H377" s="409" t="b">
        <f>Wh_hp&gt;='2029'!Maxi_hp</f>
        <v>0</v>
      </c>
      <c r="I377" s="385">
        <f>IF(H377,Wh_hp,'2029'!Maxi_hp)</f>
        <v>44.052265781389913</v>
      </c>
      <c r="J377" s="85">
        <f>IF(H377,An,'2029'!An_max)</f>
        <v>2029</v>
      </c>
      <c r="K377" s="193">
        <f t="shared" si="129"/>
        <v>47846</v>
      </c>
      <c r="L377" s="143">
        <f>IF(t&lt;Tvie,1-EXP((T0-t)*PertePVj)+'2029'!Pspv,1-EXP((T0-t)*PertePVj)+Pspv)</f>
        <v>4.5764351440907292E-2</v>
      </c>
      <c r="M377" s="835"/>
      <c r="N377" s="835"/>
      <c r="O377" s="48">
        <f>IF(t&lt;Tnet,'2029'!Resal+('2029'!Salim-'2029'!Resal)*(1-EXP(('2029'!Tnet-t)/('2029'!Tau_j))),Resal+(Salim-Resal)*(1-EXP((Tnet-t)/(Tau_j))))*Salcycl</f>
        <v>2.4850608151388391E-2</v>
      </c>
      <c r="P377" s="165">
        <f>(INDEX(Models!$BJ377:$BT377,,T377)*(1-R377)+INDEX(Models!$BJ377:$BT377,,T377+1)*R377-ERP_i)*Q377*Ramure*Pc/MaxiM</f>
        <v>1.0549377182658044E-3</v>
      </c>
      <c r="Q377" s="301">
        <f t="shared" si="130"/>
        <v>0.5</v>
      </c>
      <c r="R377" s="173">
        <f t="shared" si="131"/>
        <v>0.96454096183717852</v>
      </c>
      <c r="S377" s="801">
        <f t="shared" si="132"/>
        <v>0</v>
      </c>
      <c r="T377" s="172">
        <f t="shared" si="133"/>
        <v>6</v>
      </c>
      <c r="U377" s="247">
        <f t="shared" si="134"/>
        <v>0.96454096183717852</v>
      </c>
      <c r="V377" s="378">
        <f t="shared" si="135"/>
        <v>91.290685701590888</v>
      </c>
      <c r="W377" s="397">
        <f t="shared" si="136"/>
        <v>40.964945046276952</v>
      </c>
      <c r="X377" s="153">
        <f t="shared" si="137"/>
        <v>47846</v>
      </c>
      <c r="Y377" s="380">
        <f t="shared" si="138"/>
        <v>39.649112910780751</v>
      </c>
      <c r="Z377" s="380">
        <f t="shared" si="139"/>
        <v>41.550651529998262</v>
      </c>
      <c r="AA377" s="381">
        <f t="shared" si="140"/>
        <v>43.980624960137774</v>
      </c>
      <c r="AB377" s="193">
        <f t="shared" si="141"/>
        <v>47846</v>
      </c>
      <c r="AC377" s="119">
        <f>IF(OR(t&lt;Tnet,NoTnet),'2029'!Resal_s+('2029'!Salim-'2029'!Resal_s)*(1-EXP(('2029'!Tnet_s-t)/'2029'!Tau_j)),Resal_s+(Salim-Resal_s)*(1-EXP((Tnet_s-t)/Tau_j)))*Salcycl</f>
        <v>5.5250998191634114E-2</v>
      </c>
      <c r="AD377" s="227">
        <f>(INDEX(Models!$BJ377:$BT377,,AH377)*(1-AF377)+INDEX(Models!$BJ377:$BT377,,AH377+1)*AF377-ERP_i)*AE377*Ramure*Pc/MaxiM</f>
        <v>5.6486384717761521E-3</v>
      </c>
      <c r="AE377" s="301">
        <f t="shared" si="142"/>
        <v>0.5</v>
      </c>
      <c r="AF377" s="173">
        <f t="shared" si="143"/>
        <v>0.48952852821115656</v>
      </c>
      <c r="AG377" s="801">
        <f t="shared" si="149"/>
        <v>4</v>
      </c>
      <c r="AH377" s="172">
        <f t="shared" si="144"/>
        <v>10</v>
      </c>
      <c r="AI377" s="221">
        <f t="shared" si="145"/>
        <v>4.4895285282111566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47847</v>
      </c>
      <c r="B378" s="406">
        <f>'2029'!Wh/'2029'!Env_an*'2030'!Env_an</f>
        <v>58.662986728091447</v>
      </c>
      <c r="C378" s="831"/>
      <c r="D378" s="388">
        <f t="shared" si="127"/>
        <v>61.477256560989979</v>
      </c>
      <c r="E378" s="380">
        <f t="shared" si="150"/>
        <v>63.047768150038181</v>
      </c>
      <c r="F378" s="380">
        <f t="shared" si="128"/>
        <v>63.080348061552662</v>
      </c>
      <c r="G378" s="110">
        <f t="shared" si="151"/>
        <v>0.63906954489727963</v>
      </c>
      <c r="H378" s="409" t="b">
        <f>Wh_hp&gt;='2029'!Maxi_hp</f>
        <v>0</v>
      </c>
      <c r="I378" s="385">
        <f>IF(H378,Wh_hp,'2029'!Maxi_hp)</f>
        <v>76.342020804358668</v>
      </c>
      <c r="J378" s="85">
        <f>IF(H378,An,'2029'!An_max)</f>
        <v>2021</v>
      </c>
      <c r="K378" s="193">
        <f t="shared" si="129"/>
        <v>47847</v>
      </c>
      <c r="L378" s="143">
        <f>IF(t&lt;Tvie,1-EXP((T0-t)*PertePVj)+'2029'!Pspv,1-EXP((T0-t)*PertePVj)+Pspv)</f>
        <v>4.5777414125605431E-2</v>
      </c>
      <c r="M378" s="835"/>
      <c r="N378" s="835"/>
      <c r="O378" s="48">
        <f>IF(t&lt;Tnet,'2029'!Resal+('2029'!Salim-'2029'!Resal)*(1-EXP(('2029'!Tnet-t)/('2029'!Tau_j))),Resal+(Salim-Resal)*(1-EXP((Tnet-t)/(Tau_j))))*Salcycl</f>
        <v>2.4909868106841957E-2</v>
      </c>
      <c r="P378" s="165">
        <f>(INDEX(Models!$BJ378:$BT378,,T378)*(1-R378)+INDEX(Models!$BJ378:$BT378,,T378+1)*R378-ERP_i)*Q378*Ramure*Pc/MaxiM</f>
        <v>1.0651621114899801E-3</v>
      </c>
      <c r="Q378" s="301">
        <f t="shared" si="130"/>
        <v>0.5</v>
      </c>
      <c r="R378" s="173">
        <f t="shared" si="131"/>
        <v>0.96454096183717852</v>
      </c>
      <c r="S378" s="801">
        <f t="shared" si="132"/>
        <v>0</v>
      </c>
      <c r="T378" s="172">
        <f t="shared" si="133"/>
        <v>6</v>
      </c>
      <c r="U378" s="247">
        <f t="shared" si="134"/>
        <v>0.96454096183717852</v>
      </c>
      <c r="V378" s="378">
        <f t="shared" si="135"/>
        <v>91.743979029060228</v>
      </c>
      <c r="W378" s="397">
        <f t="shared" si="136"/>
        <v>58.662986728091447</v>
      </c>
      <c r="X378" s="153">
        <f t="shared" si="137"/>
        <v>47847</v>
      </c>
      <c r="Y378" s="380">
        <f t="shared" si="138"/>
        <v>56.709816652937228</v>
      </c>
      <c r="Z378" s="380">
        <f t="shared" si="139"/>
        <v>59.430386046638816</v>
      </c>
      <c r="AA378" s="381">
        <f t="shared" si="140"/>
        <v>62.907636469854147</v>
      </c>
      <c r="AB378" s="193">
        <f t="shared" si="141"/>
        <v>47847</v>
      </c>
      <c r="AC378" s="119">
        <f>IF(OR(t&lt;Tnet,NoTnet),'2029'!Resal_s+('2029'!Salim-'2029'!Resal_s)*(1-EXP(('2029'!Tnet_s-t)/'2029'!Tau_j)),Resal_s+(Salim-Resal_s)*(1-EXP((Tnet_s-t)/Tau_j)))*Salcycl</f>
        <v>5.5275489882403418E-2</v>
      </c>
      <c r="AD378" s="227">
        <f>(INDEX(Models!$BJ378:$BT378,,AH378)*(1-AF378)+INDEX(Models!$BJ378:$BT378,,AH378+1)*AF378-ERP_i)*AE378*Ramure*Pc/MaxiM</f>
        <v>5.6466035400557207E-3</v>
      </c>
      <c r="AE378" s="301">
        <f t="shared" si="142"/>
        <v>0.5</v>
      </c>
      <c r="AF378" s="173">
        <f t="shared" si="143"/>
        <v>0.48952852821115656</v>
      </c>
      <c r="AG378" s="801">
        <f t="shared" si="149"/>
        <v>4</v>
      </c>
      <c r="AH378" s="172">
        <f t="shared" si="144"/>
        <v>10</v>
      </c>
      <c r="AI378" s="221">
        <f t="shared" si="145"/>
        <v>4.4895285282111566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47848</v>
      </c>
      <c r="B379" s="406">
        <f>'2029'!Wh/'2029'!Env_an*'2030'!Env_an</f>
        <v>46.955095007381502</v>
      </c>
      <c r="C379" s="831"/>
      <c r="D379" s="388">
        <f t="shared" si="127"/>
        <v>49.208369710692509</v>
      </c>
      <c r="E379" s="380">
        <f t="shared" si="150"/>
        <v>50.46852509459255</v>
      </c>
      <c r="F379" s="380">
        <f t="shared" si="128"/>
        <v>50.484767549243529</v>
      </c>
      <c r="G379" s="110">
        <f t="shared" si="151"/>
        <v>0.50869036069087015</v>
      </c>
      <c r="H379" s="409" t="b">
        <f>Wh_hp&gt;='2029'!Maxi_hp</f>
        <v>0</v>
      </c>
      <c r="I379" s="385">
        <f>IF(H379,Wh_hp,'2029'!Maxi_hp)</f>
        <v>98.426511979974805</v>
      </c>
      <c r="J379" s="85">
        <f>IF(H379,An,'2029'!An_max)</f>
        <v>2021</v>
      </c>
      <c r="K379" s="193">
        <f t="shared" si="129"/>
        <v>47848</v>
      </c>
      <c r="L379" s="143">
        <f>IF(t&lt;Tvie,1-EXP((T0-t)*PertePVj)+'2029'!Pspv,1-EXP((T0-t)*PertePVj)+Pspv)</f>
        <v>4.5790476631486388E-2</v>
      </c>
      <c r="M379" s="835"/>
      <c r="N379" s="835"/>
      <c r="O379" s="48">
        <f>IF(t&lt;Tnet,'2029'!Resal+('2029'!Salim-'2029'!Resal)*(1-EXP(('2029'!Tnet-t)/('2029'!Tau_j))),Resal+(Salim-Resal)*(1-EXP((Tnet-t)/(Tau_j))))*Salcycl</f>
        <v>2.4969134357268111E-2</v>
      </c>
      <c r="P379" s="165">
        <f>(INDEX(Models!$BJ379:$BT379,,T379)*(1-R379)+INDEX(Models!$BJ379:$BT379,,T379+1)*R379-ERP_i)*Q379*Ramure*Pc/MaxiM</f>
        <v>1.077177079806157E-3</v>
      </c>
      <c r="Q379" s="302">
        <f t="shared" si="130"/>
        <v>0.5</v>
      </c>
      <c r="R379" s="173">
        <f t="shared" si="131"/>
        <v>0.96454096183717852</v>
      </c>
      <c r="S379" s="801">
        <f t="shared" si="132"/>
        <v>0</v>
      </c>
      <c r="T379" s="172">
        <f t="shared" si="133"/>
        <v>6</v>
      </c>
      <c r="U379" s="303">
        <f t="shared" si="134"/>
        <v>0.96454096183717852</v>
      </c>
      <c r="V379" s="378">
        <f t="shared" si="135"/>
        <v>92.236093149490941</v>
      </c>
      <c r="W379" s="397">
        <f t="shared" si="136"/>
        <v>46.955095007381502</v>
      </c>
      <c r="X379" s="153">
        <f t="shared" si="137"/>
        <v>47848</v>
      </c>
      <c r="Y379" s="380">
        <f t="shared" si="138"/>
        <v>45.432301412180109</v>
      </c>
      <c r="Z379" s="380">
        <f t="shared" si="139"/>
        <v>47.612500503869164</v>
      </c>
      <c r="AA379" s="381">
        <f t="shared" si="140"/>
        <v>50.399604838823272</v>
      </c>
      <c r="AB379" s="193">
        <f t="shared" si="141"/>
        <v>47848</v>
      </c>
      <c r="AC379" s="119">
        <f>IF(OR(t&lt;Tnet,NoTnet),'2029'!Resal_s+('2029'!Salim-'2029'!Resal_s)*(1-EXP(('2029'!Tnet_s-t)/'2029'!Tau_j)),Resal_s+(Salim-Resal_s)*(1-EXP((Tnet_s-t)/Tau_j)))*Salcycl</f>
        <v>5.5300122766184318E-2</v>
      </c>
      <c r="AD379" s="227">
        <f>(INDEX(Models!$BJ379:$BT379,,AH379)*(1-AF379)+INDEX(Models!$BJ379:$BT379,,AH379+1)*AF379-ERP_i)*AE379*Ramure*Pc/MaxiM</f>
        <v>5.6478729163864008E-3</v>
      </c>
      <c r="AE379" s="302">
        <f t="shared" si="142"/>
        <v>0.5</v>
      </c>
      <c r="AF379" s="173">
        <f t="shared" si="143"/>
        <v>0.48952852821115656</v>
      </c>
      <c r="AG379" s="801">
        <f t="shared" si="149"/>
        <v>4</v>
      </c>
      <c r="AH379" s="172">
        <f t="shared" si="144"/>
        <v>10</v>
      </c>
      <c r="AI379" s="218">
        <f t="shared" si="145"/>
        <v>4.4895285282111566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7"/>
      <c r="C380" s="839"/>
      <c r="D380" s="396"/>
      <c r="E380" s="382"/>
      <c r="F380" s="382"/>
      <c r="G380" s="122"/>
      <c r="H380" s="409" t="b">
        <f>Wh_hp&gt;='2029'!Maxi_hp</f>
        <v>0</v>
      </c>
      <c r="I380" s="385">
        <f>IF(H380,Wh_hp,'2029'!Maxi_hp)</f>
        <v>63.199838713856806</v>
      </c>
      <c r="J380" s="85">
        <f>IF(H380,An,'2029'!An_max)</f>
        <v>2024</v>
      </c>
      <c r="K380" s="230"/>
      <c r="L380" s="210"/>
      <c r="M380" s="840"/>
      <c r="N380" s="840"/>
      <c r="O380" s="149"/>
      <c r="P380" s="318"/>
      <c r="Q380" s="225"/>
      <c r="R380" s="225"/>
      <c r="S380" s="225"/>
      <c r="T380" s="225"/>
      <c r="U380" s="319"/>
      <c r="V380" s="392"/>
      <c r="W380" s="397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7.0191197694504144</v>
      </c>
      <c r="C381" s="370"/>
      <c r="D381" s="368">
        <f>MIN(D15:D380)</f>
        <v>7.3202914410901725</v>
      </c>
      <c r="E381" s="368">
        <f>MIN(E15:E380)</f>
        <v>7.6533310897726077</v>
      </c>
      <c r="F381" s="369">
        <f>MIN(F15:F380)</f>
        <v>7.6533310897726077</v>
      </c>
      <c r="G381" s="125">
        <f>+MIN(G15:G380)</f>
        <v>7.1821638345180738E-2</v>
      </c>
      <c r="H381" s="94"/>
      <c r="I381" s="369">
        <f>MIN(I15:I380)</f>
        <v>7.65787086076881</v>
      </c>
      <c r="J381" s="57">
        <f>MIN(J15:J380)</f>
        <v>2021</v>
      </c>
      <c r="K381" s="196" t="s">
        <v>7</v>
      </c>
      <c r="L381" s="142">
        <f t="shared" ref="L381:T381" si="152">MIN(L15:L380)</f>
        <v>4.1023891216099506E-2</v>
      </c>
      <c r="M381" s="837"/>
      <c r="N381" s="837"/>
      <c r="O381" s="47">
        <f t="shared" si="152"/>
        <v>8.0885102312609237E-3</v>
      </c>
      <c r="P381" s="164">
        <f t="shared" si="152"/>
        <v>2.3532594997062641E-5</v>
      </c>
      <c r="Q381" s="306">
        <f t="shared" si="152"/>
        <v>0.5</v>
      </c>
      <c r="R381" s="307">
        <f t="shared" si="152"/>
        <v>0.46454223487334961</v>
      </c>
      <c r="S381" s="801">
        <f t="shared" si="152"/>
        <v>0</v>
      </c>
      <c r="T381" s="172">
        <f t="shared" si="152"/>
        <v>6</v>
      </c>
      <c r="U381" s="248">
        <f>MIN(U15:U380)</f>
        <v>0.46454223487334961</v>
      </c>
      <c r="V381" s="57">
        <f>MIN(V15:V380)</f>
        <v>89.144583990597738</v>
      </c>
      <c r="W381" s="58"/>
      <c r="X381" s="112" t="s">
        <v>7</v>
      </c>
      <c r="Y381" s="368">
        <f>MIN(Y15:Y380)</f>
        <v>6.8714622391320637</v>
      </c>
      <c r="Z381" s="368">
        <f>MIN(Z15:Z380)</f>
        <v>7.166298320741042</v>
      </c>
      <c r="AA381" s="368">
        <f>MIN(AA15:AA380)</f>
        <v>7.6533310897726077</v>
      </c>
      <c r="AB381" s="196" t="s">
        <v>7</v>
      </c>
      <c r="AC381" s="47">
        <f t="shared" ref="AC381:AH381" si="153">MIN(AC15:AC380)</f>
        <v>4.8175485001433066E-2</v>
      </c>
      <c r="AD381" s="164">
        <f t="shared" si="153"/>
        <v>2.6664988838007777E-4</v>
      </c>
      <c r="AE381" s="306">
        <f t="shared" si="153"/>
        <v>0.5</v>
      </c>
      <c r="AF381" s="307">
        <f t="shared" si="153"/>
        <v>4.569837041312752E-4</v>
      </c>
      <c r="AG381" s="801">
        <f t="shared" si="153"/>
        <v>3</v>
      </c>
      <c r="AH381" s="172">
        <f t="shared" si="153"/>
        <v>9</v>
      </c>
      <c r="AI381" s="222">
        <f>MIN(AI15:AI380)</f>
        <v>3.9895298012473277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122.84012237705929</v>
      </c>
      <c r="C382" s="370"/>
      <c r="D382" s="370">
        <f>AVERAGE(D15:D380)</f>
        <v>128.4069472215148</v>
      </c>
      <c r="E382" s="370">
        <f>AVERAGE(E15:E380)</f>
        <v>131.51638770880271</v>
      </c>
      <c r="F382" s="371">
        <f>AVERAGE(F15:F380)</f>
        <v>131.53130561622177</v>
      </c>
      <c r="G382" s="126">
        <f>AVERAGE(G15:G380)</f>
        <v>0.68240187438737687</v>
      </c>
      <c r="H382" s="94"/>
      <c r="I382" s="371">
        <f>AVERAGE(I15:I380)</f>
        <v>132.55763400935291</v>
      </c>
      <c r="J382" s="59">
        <f>AVERAGE(J15:J380)</f>
        <v>2027.295081967213</v>
      </c>
      <c r="K382" s="196" t="s">
        <v>8</v>
      </c>
      <c r="L382" s="143">
        <f t="shared" ref="L382:V382" si="154">AVERAGE(L15:L380)</f>
        <v>4.3409157765670385E-2</v>
      </c>
      <c r="M382" s="835"/>
      <c r="N382" s="835"/>
      <c r="O382" s="48">
        <f t="shared" si="154"/>
        <v>2.6528877355509545E-2</v>
      </c>
      <c r="P382" s="165">
        <f t="shared" si="154"/>
        <v>2.9973689234285997E-4</v>
      </c>
      <c r="Q382" s="308">
        <f t="shared" si="154"/>
        <v>0.5</v>
      </c>
      <c r="R382" s="173">
        <f t="shared" si="154"/>
        <v>0.74442583187249434</v>
      </c>
      <c r="S382" s="801">
        <f t="shared" si="154"/>
        <v>0</v>
      </c>
      <c r="T382" s="172">
        <f t="shared" si="154"/>
        <v>6</v>
      </c>
      <c r="U382" s="247">
        <f>AVERAGE(U15:U380)</f>
        <v>0.74442583187249434</v>
      </c>
      <c r="V382" s="59">
        <f t="shared" si="154"/>
        <v>174.11530807684684</v>
      </c>
      <c r="X382" s="112" t="s">
        <v>8</v>
      </c>
      <c r="Y382" s="370">
        <f>AVERAGE(Y15:Y380)</f>
        <v>118.69721620558622</v>
      </c>
      <c r="Z382" s="370">
        <f>AVERAGE(Z15:Z380)</f>
        <v>124.07559735152189</v>
      </c>
      <c r="AA382" s="370">
        <f>AVERAGE(AA15:AA380)</f>
        <v>131.42262284642547</v>
      </c>
      <c r="AB382" s="196" t="s">
        <v>8</v>
      </c>
      <c r="AC382" s="48">
        <f t="shared" ref="AC382:AH382" si="155">AVERAGE(AC15:AC380)</f>
        <v>5.6946726085897924E-2</v>
      </c>
      <c r="AD382" s="165">
        <f t="shared" si="155"/>
        <v>2.0259436868117382E-3</v>
      </c>
      <c r="AE382" s="308">
        <f t="shared" si="155"/>
        <v>0.5</v>
      </c>
      <c r="AF382" s="173">
        <f t="shared" si="155"/>
        <v>0.45845449413688294</v>
      </c>
      <c r="AG382" s="801">
        <f t="shared" si="155"/>
        <v>3.8109589041095893</v>
      </c>
      <c r="AH382" s="172">
        <f t="shared" si="155"/>
        <v>9.8109589041095884</v>
      </c>
      <c r="AI382" s="221">
        <f>AVERAGE(AI15:AI380)</f>
        <v>4.2694133982464706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246.04024432824303</v>
      </c>
      <c r="C383" s="372"/>
      <c r="D383" s="372">
        <f>MAX(D15:D380)</f>
        <v>257.19149434699807</v>
      </c>
      <c r="E383" s="372">
        <f>MAX(E15:E380)</f>
        <v>260.60236002070957</v>
      </c>
      <c r="F383" s="373">
        <f>MAX(F15:F380)</f>
        <v>260.61207165828807</v>
      </c>
      <c r="G383" s="127">
        <f>+MAX(G15:G380)</f>
        <v>1.0401867145003136</v>
      </c>
      <c r="H383" s="94"/>
      <c r="I383" s="373">
        <f>MAX(I15:I380)</f>
        <v>260.61207165828807</v>
      </c>
      <c r="J383" s="60">
        <f>MAX(J15:J380)</f>
        <v>2030</v>
      </c>
      <c r="K383" s="196" t="s">
        <v>9</v>
      </c>
      <c r="L383" s="144">
        <f t="shared" ref="L383:T383" si="156">MAX(L15:L380)</f>
        <v>4.5790476631486388E-2</v>
      </c>
      <c r="M383" s="838"/>
      <c r="N383" s="838"/>
      <c r="O383" s="49">
        <f t="shared" si="156"/>
        <v>4.8115542054616683E-2</v>
      </c>
      <c r="P383" s="166">
        <f t="shared" si="156"/>
        <v>1.3817272012899386E-3</v>
      </c>
      <c r="Q383" s="309">
        <f t="shared" si="156"/>
        <v>0.5</v>
      </c>
      <c r="R383" s="310">
        <f t="shared" si="156"/>
        <v>0.96454096183717852</v>
      </c>
      <c r="S383" s="802">
        <f t="shared" si="156"/>
        <v>0</v>
      </c>
      <c r="T383" s="229">
        <f t="shared" si="156"/>
        <v>6</v>
      </c>
      <c r="U383" s="249">
        <f>MAX(U15:U380)</f>
        <v>0.96454096183717852</v>
      </c>
      <c r="V383" s="60">
        <f>MAX(V15:V380)</f>
        <v>238.30678806614924</v>
      </c>
      <c r="X383" s="112" t="s">
        <v>9</v>
      </c>
      <c r="Y383" s="372">
        <f>MAX(Y15:Y380)</f>
        <v>236.26495982239828</v>
      </c>
      <c r="Z383" s="372">
        <f>MAX(Z15:Z380)</f>
        <v>246.97316589187278</v>
      </c>
      <c r="AA383" s="372">
        <f>MAX(AA15:AA380)</f>
        <v>260.51436846222578</v>
      </c>
      <c r="AB383" s="196" t="s">
        <v>9</v>
      </c>
      <c r="AC383" s="49">
        <f t="shared" ref="AC383:AH383" si="157">MAX(AC15:AC380)</f>
        <v>6.6154619906243481E-2</v>
      </c>
      <c r="AD383" s="166">
        <f t="shared" si="157"/>
        <v>7.50171337068489E-3</v>
      </c>
      <c r="AE383" s="309">
        <f t="shared" si="157"/>
        <v>0.5</v>
      </c>
      <c r="AF383" s="310">
        <f t="shared" si="157"/>
        <v>0.99999937969646613</v>
      </c>
      <c r="AG383" s="802">
        <f t="shared" si="157"/>
        <v>4</v>
      </c>
      <c r="AH383" s="229">
        <f t="shared" si="157"/>
        <v>10</v>
      </c>
      <c r="AI383" s="223">
        <f>MAX(AI15:AI380)</f>
        <v>4.4895285282111566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'2030'!An+1</f>
        <v>2031</v>
      </c>
      <c r="K1" s="1270"/>
      <c r="L1" s="113" t="str">
        <f>"Calcul pertes et enveloppes en "&amp;TEXT(An,0)</f>
        <v>Calcul pertes et enveloppes en 2031</v>
      </c>
      <c r="M1" s="239"/>
      <c r="N1" s="239"/>
      <c r="V1" s="450"/>
      <c r="W1" s="448"/>
      <c r="X1" s="479" t="str">
        <f>"Prévision sans nettoyage ni taille végétation en "&amp;TEXT(An,0)</f>
        <v>Prévision sans nettoyage ni taille végétation en 2031</v>
      </c>
      <c r="Y1" s="480"/>
      <c r="Z1" s="481"/>
      <c r="AA1" s="482"/>
      <c r="AB1" s="483"/>
      <c r="AC1" s="484"/>
      <c r="AD1" s="484"/>
      <c r="AE1" s="484"/>
      <c r="AF1" s="484"/>
      <c r="AG1" s="484"/>
      <c r="AH1" s="484"/>
      <c r="AI1" s="484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71">
        <f>Tmaj</f>
        <v>44926</v>
      </c>
      <c r="F3" s="1271"/>
      <c r="G3" s="8"/>
      <c r="H3" s="26"/>
      <c r="I3" s="6"/>
      <c r="J3" s="34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 t="s">
        <v>96</v>
      </c>
      <c r="Y3" s="495"/>
      <c r="Z3" s="496"/>
      <c r="AA3" s="490"/>
      <c r="AB3" s="490"/>
      <c r="AC3" s="422"/>
      <c r="AD3" s="422"/>
      <c r="AE3" s="422"/>
      <c r="AF3" s="422"/>
      <c r="AG3" s="422"/>
      <c r="AH3" s="422"/>
      <c r="AI3" s="422"/>
      <c r="AJ3" s="823">
        <f>AL11-AJ11</f>
        <v>0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9" t="str">
        <f>Station</f>
        <v>Hangar Goussaud Espanès</v>
      </c>
      <c r="F4" s="1200"/>
      <c r="G4" s="1200"/>
      <c r="H4" s="1200"/>
      <c r="I4" s="1201"/>
      <c r="J4" s="154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22"/>
      <c r="AD4" s="422"/>
      <c r="AE4" s="422"/>
      <c r="AF4" s="422"/>
      <c r="AG4" s="422"/>
      <c r="AH4" s="422"/>
      <c r="AI4" s="422"/>
      <c r="AJ4" s="823">
        <f>AL12-AJ12</f>
        <v>1172.9882467717914</v>
      </c>
      <c r="AK4" s="824">
        <f>AM12-AK12</f>
        <v>32.172428997438203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72">
        <f>T0</f>
        <v>44424</v>
      </c>
      <c r="F5" s="1272"/>
      <c r="G5" s="34"/>
      <c r="H5" s="154"/>
      <c r="I5" s="154"/>
      <c r="K5" s="188"/>
      <c r="L5" s="498"/>
      <c r="M5" s="497"/>
      <c r="N5" s="497"/>
      <c r="O5" s="19"/>
      <c r="R5" s="39"/>
      <c r="S5" s="174"/>
      <c r="T5" s="174"/>
      <c r="U5" s="41"/>
      <c r="V5" s="499"/>
      <c r="W5" s="500"/>
      <c r="X5" s="501"/>
      <c r="Y5" s="502"/>
      <c r="Z5" s="232">
        <f>Wh_Psa_s-Wh_Psa</f>
        <v>1172.9882467717914</v>
      </c>
      <c r="AA5" s="233">
        <f>Wh_Pvg_s-Wh_Pvg</f>
        <v>32.172428997438203</v>
      </c>
      <c r="AB5" s="506" t="s">
        <v>6</v>
      </c>
      <c r="AC5" s="500"/>
      <c r="AD5" s="500"/>
      <c r="AE5" s="500"/>
      <c r="AF5" s="500"/>
      <c r="AG5" s="500"/>
      <c r="AH5" s="500"/>
      <c r="AI5" s="500"/>
      <c r="AJ5" s="508">
        <f>SUMIF(AJ15:AJ380,"VRAI",Wh)</f>
        <v>0</v>
      </c>
      <c r="AK5" s="508">
        <f>SUMIF(AK15:AK380,"VRAI",Wh)</f>
        <v>0</v>
      </c>
      <c r="AL5" s="508">
        <f>SUMIF(AJ15:AJ380,"VRAI",Wh_s)</f>
        <v>0</v>
      </c>
      <c r="AM5" s="508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73">
        <f>Tservice</f>
        <v>44536</v>
      </c>
      <c r="F6" s="1273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2"/>
      <c r="W6" s="454"/>
      <c r="X6" s="489"/>
      <c r="Y6" s="490"/>
      <c r="Z6" s="454"/>
      <c r="AA6" s="454"/>
      <c r="AB6" s="508"/>
      <c r="AC6" s="454"/>
      <c r="AD6" s="454"/>
      <c r="AE6" s="454"/>
      <c r="AF6" s="454"/>
      <c r="AG6" s="454"/>
      <c r="AH6" s="454"/>
      <c r="AI6" s="454"/>
      <c r="AJ6" s="508">
        <f>SUMIF(AJ15:AJ380,"FAUX",Wh)</f>
        <v>44065.894886738497</v>
      </c>
      <c r="AK6" s="508">
        <f>SUMIF(AK15:AK380,"FAUX",Wh)</f>
        <v>44065.894886738497</v>
      </c>
      <c r="AL6" s="508">
        <f>SUMIF(AJ15:AJ380,"FAUX",Wh_s)</f>
        <v>42858.282933781855</v>
      </c>
      <c r="AM6" s="508">
        <f>SUMIF(AK15:AK380,"FAUX",Wh_s)</f>
        <v>42858.282933781855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AND(YEAR(Tnet)=An,Resal_2031="I")</f>
        <v>0</v>
      </c>
      <c r="F7" s="316" t="b">
        <f>YEAR(Tnet)=An</f>
        <v>0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2"/>
      <c r="W7" s="510"/>
      <c r="X7" s="511"/>
      <c r="Y7" s="244"/>
      <c r="Z7" s="510"/>
      <c r="AA7" s="510"/>
      <c r="AB7" s="510"/>
      <c r="AC7" s="510"/>
      <c r="AD7" s="244"/>
      <c r="AE7" s="244"/>
      <c r="AF7" s="485"/>
      <c r="AG7" s="485"/>
      <c r="AH7" s="485"/>
      <c r="AI7" s="510"/>
      <c r="AJ7" s="508">
        <f>SUMIF(AJ15:AJ380,"VRAI",Wh_pvt)</f>
        <v>0</v>
      </c>
      <c r="AK7" s="508">
        <f>SUMIF(AK15:AK380,"VRAI",Wh_sa)</f>
        <v>0</v>
      </c>
      <c r="AL7" s="508">
        <f>SUMIF(AJ15:AJ380,"VRAI",Wh_pvt_s)</f>
        <v>0</v>
      </c>
      <c r="AM7" s="508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AND(YEAR(Tnet)=An,Resal_2031&lt;&gt;"I")</f>
        <v>0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0"/>
      <c r="W8" s="399"/>
      <c r="X8" s="1267" t="s">
        <v>102</v>
      </c>
      <c r="Y8" s="1268"/>
      <c r="Z8" s="490"/>
      <c r="AA8" s="490"/>
      <c r="AB8" s="454"/>
      <c r="AC8" s="512" t="s">
        <v>61</v>
      </c>
      <c r="AD8" s="454"/>
      <c r="AE8" s="454"/>
      <c r="AF8" s="454"/>
      <c r="AG8" s="454"/>
      <c r="AH8" s="454"/>
      <c r="AI8" s="454"/>
      <c r="AJ8" s="508">
        <f>SUMIF(AJ15:AJ380,"FAUX",Wh_pvt)</f>
        <v>46292.895514837859</v>
      </c>
      <c r="AK8" s="508">
        <f>SUMIF(AK15:AK380,"FAUX",Wh_sa)</f>
        <v>47997.560212454089</v>
      </c>
      <c r="AL8" s="508">
        <f>SUMIF(AJ15:AJ380,"FAUX",Wh_pvt_s)</f>
        <v>45024.361428021824</v>
      </c>
      <c r="AM8" s="508">
        <f>SUMIF(AK15:AK380,"FAUX",Wh_sa_s)</f>
        <v>47961.301863108638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46292.895514837859</v>
      </c>
      <c r="E9" s="180">
        <f>SUM(E$15:E$380)</f>
        <v>47997.560212454089</v>
      </c>
      <c r="F9" s="180">
        <f>SUM(F$15:F$380)</f>
        <v>48006.875375275704</v>
      </c>
      <c r="H9" s="1260">
        <f>+SUM(Wh)</f>
        <v>44065.894886738497</v>
      </c>
      <c r="I9" s="1261"/>
      <c r="J9" s="1262"/>
      <c r="K9" s="187"/>
      <c r="L9" s="228"/>
      <c r="M9" s="228"/>
      <c r="N9" s="228"/>
      <c r="O9" s="219">
        <f>Tnet_2031</f>
        <v>47603</v>
      </c>
      <c r="P9" s="240" t="s">
        <v>91</v>
      </c>
      <c r="Q9" s="241"/>
      <c r="R9" s="241"/>
      <c r="S9" s="241"/>
      <c r="T9" s="241"/>
      <c r="U9" s="242"/>
      <c r="V9" s="454"/>
      <c r="W9" s="513"/>
      <c r="X9" s="1265">
        <f>+SUM(Wh_s)</f>
        <v>42858.282933781855</v>
      </c>
      <c r="Y9" s="1266"/>
      <c r="Z9" s="508">
        <f>SUM(Z$15:Z$380)</f>
        <v>45024.361428021824</v>
      </c>
      <c r="AA9" s="508">
        <f>SUM(AA$15:AA$380)</f>
        <v>47961.301863108638</v>
      </c>
      <c r="AB9" s="508">
        <f>F9</f>
        <v>48006.875375275704</v>
      </c>
      <c r="AC9" s="321">
        <f>IF(An_Tnet,Tnet,'2030'!Tnet_s)</f>
        <v>47603</v>
      </c>
      <c r="AD9" s="312" t="s">
        <v>91</v>
      </c>
      <c r="AE9" s="312"/>
      <c r="AF9" s="312"/>
      <c r="AG9" s="312"/>
      <c r="AH9" s="312"/>
      <c r="AI9" s="313"/>
      <c r="AJ9" s="508">
        <f>SUMIF(AJ15:AJ380,"VRAI",Wh_sa)</f>
        <v>0</v>
      </c>
      <c r="AK9" s="508">
        <f>SUMIF(AK15:AK380,"VRAI",Wh_hp)</f>
        <v>0</v>
      </c>
      <c r="AL9" s="508">
        <f>SUMIF(AJ15:AJ380,"VRAI",Wh_sa_s)</f>
        <v>0</v>
      </c>
      <c r="AM9" s="508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IF(Inflex,'2030'!Resal+('2030'!Salim-'2030'!Resal)*(1-EXP(-(Tnet-'2030'!Tnet)/('2030'!Tau_j))),IF(An_Tnet,Resal_2031,'2030'!Resal))</f>
        <v>8.0000000000000002E-3</v>
      </c>
      <c r="P10" s="416" t="b">
        <f>NOT(Acti_tai)</f>
        <v>1</v>
      </c>
      <c r="Q10" s="253">
        <f>IF(Acti_tai,'2030'!PousD,Dens-Dd)</f>
        <v>0</v>
      </c>
      <c r="R10" s="270"/>
      <c r="S10" s="271"/>
      <c r="T10" s="272"/>
      <c r="U10" s="262">
        <f>IF(Acti_tai,'2030'!PousH,Hdtf-Hdd)</f>
        <v>0.5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IF(OR(Inflex,GainD),'2030'!Resal_s+('2030'!Salim-'2030'!Resal_s)*(1-EXP(('2030'!Tnet_s-Tnet)/('2030'!Tau_j))),IF(Acti_net,'2030'!Resal+('2030'!Salim-'2030'!Resal)*(1-EXP(('2030'!Tnet-Tnet)/'2030'!Tau_j)),'2030'!Resal_s))</f>
        <v>4.7648314583560052E-2</v>
      </c>
      <c r="AD10" s="422"/>
      <c r="AE10" s="422"/>
      <c r="AF10" s="256"/>
      <c r="AG10" s="257"/>
      <c r="AH10" s="258"/>
      <c r="AI10" s="465"/>
      <c r="AJ10" s="508">
        <f>SUMIF(AJ15:AJ380,"FAUX",Wh_sa)</f>
        <v>47997.560212454089</v>
      </c>
      <c r="AK10" s="508">
        <f>SUMIF(AK15:AK380,"FAUX",Wh_hp)</f>
        <v>48006.875375275704</v>
      </c>
      <c r="AL10" s="508">
        <f>SUMIF(AJ15:AJ380,"FAUX",Wh_sa_s)</f>
        <v>47961.301863108638</v>
      </c>
      <c r="AM10" s="508">
        <f>SUMIF(AK15:AK380,"FAUX",Wh_hp)</f>
        <v>48006.875375275704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2227.0006280993621</v>
      </c>
      <c r="E11" s="51">
        <f>(E$9-D$9)*Prod_an/D$9</f>
        <v>1622.6588237111648</v>
      </c>
      <c r="F11" s="182">
        <f>(F$9-E$9)*Prod_an/E$9</f>
        <v>8.5521218981379938</v>
      </c>
      <c r="G11" s="181" t="s">
        <v>6</v>
      </c>
      <c r="K11" s="190"/>
      <c r="L11" s="207">
        <f>Tvie_2031</f>
        <v>44609</v>
      </c>
      <c r="M11" s="834"/>
      <c r="N11" s="834"/>
      <c r="O11" s="198">
        <f>IF(An_Tnet,Salim_2031,'2030'!Salim)</f>
        <v>0.08</v>
      </c>
      <c r="P11" s="252">
        <f>Ttai_2031</f>
        <v>47208</v>
      </c>
      <c r="Q11" s="268">
        <f>Dens_2031</f>
        <v>0.5</v>
      </c>
      <c r="R11" s="273"/>
      <c r="S11" s="226"/>
      <c r="T11" s="226"/>
      <c r="U11" s="262">
        <f>Htf_2031</f>
        <v>1.4645409618371785</v>
      </c>
      <c r="V11" s="422"/>
      <c r="W11" s="511"/>
      <c r="X11" s="518" t="s">
        <v>43</v>
      </c>
      <c r="Y11" s="50">
        <f>Z$9-Prod_an_s</f>
        <v>2166.0784942399696</v>
      </c>
      <c r="Z11" s="51">
        <f>(AA$9-Z$9)*Prod_an_s/Z$9</f>
        <v>2795.6470704829562</v>
      </c>
      <c r="AA11" s="182">
        <f>(AB$9-AA$9)*Prod_an_s/AA$9</f>
        <v>40.724550895576201</v>
      </c>
      <c r="AB11" s="519" t="s">
        <v>6</v>
      </c>
      <c r="AC11" s="321"/>
      <c r="AD11" s="422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0</v>
      </c>
      <c r="AK11" s="824">
        <f>IF($AK7=0,0,($AK9-$AK7)*$AK5/$AK7)</f>
        <v>0</v>
      </c>
      <c r="AL11" s="823">
        <f>IF($AL7=0,0,($AL9-$AL7)*$AL5/$AL7)</f>
        <v>0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Pspv_2031</f>
        <v>0</v>
      </c>
      <c r="M12" s="208"/>
      <c r="N12" s="208"/>
      <c r="O12" s="201">
        <f>IF(An_Tnet,Tau_2031*365,'2030'!Tau_j)</f>
        <v>912.5</v>
      </c>
      <c r="P12" s="277">
        <f>INDEX(Croivg,MIN(MAX(Ttai-$A$15,0)+1,366))</f>
        <v>2.3909964587625958E-6</v>
      </c>
      <c r="Q12" s="276">
        <f>'2030'!Df</f>
        <v>0.5</v>
      </c>
      <c r="R12" s="274"/>
      <c r="S12" s="275"/>
      <c r="T12" s="275"/>
      <c r="U12" s="263">
        <f>'2030'!Hdf</f>
        <v>0.96454096183717852</v>
      </c>
      <c r="V12" s="40"/>
      <c r="W12" s="34"/>
      <c r="X12" s="54"/>
      <c r="Y12" s="34"/>
      <c r="AB12" s="315" t="s">
        <v>106</v>
      </c>
      <c r="AC12" s="314" t="b">
        <f>NOT(An_Tnet)</f>
        <v>1</v>
      </c>
      <c r="AE12" s="292">
        <f>'2030'!Df_s</f>
        <v>0.5</v>
      </c>
      <c r="AF12" s="199"/>
      <c r="AG12" s="199"/>
      <c r="AH12" s="199"/>
      <c r="AI12" s="293">
        <f>'2030'!Hdf_s</f>
        <v>4.4895285282111566</v>
      </c>
      <c r="AJ12" s="823">
        <f>IF($AJ8=0,0,($AJ10-$AJ8)*$AJ6/$AJ8)</f>
        <v>1622.6588237111648</v>
      </c>
      <c r="AK12" s="824">
        <f>IF($AK8=0,0,($AK10-$AK8)*$AK6/$AK8)</f>
        <v>8.5521218981379938</v>
      </c>
      <c r="AL12" s="823">
        <f>IF($AL8=0,0,($AL10-$AL8)*$AL6/$AL8)</f>
        <v>2795.6470704829562</v>
      </c>
      <c r="AM12" s="824">
        <f>IF($AM8=0,0,($AM10-$AM8)*$AM6/$AM8)</f>
        <v>40.724550895576201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1622.6588237111648</v>
      </c>
      <c r="AK13" s="73">
        <f>+AK11+AK12</f>
        <v>8.5521218981379938</v>
      </c>
      <c r="AL13" s="73">
        <f>+AL11+AL12</f>
        <v>2795.6470704829562</v>
      </c>
      <c r="AM13" s="73">
        <f>+AM11+AM12</f>
        <v>40.724550895576201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411" t="s">
        <v>188</v>
      </c>
      <c r="C14" s="411"/>
      <c r="D14" s="53" t="s">
        <v>30</v>
      </c>
      <c r="E14" s="158" t="s">
        <v>29</v>
      </c>
      <c r="F14" s="158" t="str">
        <f>"Hors pertes "&amp; TEXT(An,0)</f>
        <v>Hors pertes 2031</v>
      </c>
      <c r="G14" s="107" t="s">
        <v>42</v>
      </c>
      <c r="H14" s="408" t="s">
        <v>117</v>
      </c>
      <c r="I14" s="410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2031</v>
      </c>
      <c r="W14" s="828" t="s">
        <v>116</v>
      </c>
      <c r="X14" s="254" t="s">
        <v>2</v>
      </c>
      <c r="Y14" s="107" t="str">
        <f>"Wh / Jour "&amp; TEXT(An,0)</f>
        <v>Wh / Jour 2031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129">
        <f>DATE(An,1,1)</f>
        <v>47849</v>
      </c>
      <c r="B15" s="405">
        <f>'2030'!Wh/'2030'!Env_an*'2031'!Env_an</f>
        <v>92.875329140527739</v>
      </c>
      <c r="C15" s="831"/>
      <c r="D15" s="388">
        <f t="shared" ref="D15:D78" si="0">Wh/(1-Ppv)</f>
        <v>97.333550199043898</v>
      </c>
      <c r="E15" s="395">
        <f t="shared" ref="E15:E79" si="1">Wh_pvt/(1-Psa)</f>
        <v>99.832190120818453</v>
      </c>
      <c r="F15" s="395">
        <f t="shared" ref="F15:F78" si="2">Wh_sa/(1-Pvg*MEDIAN((-Sdif+Wh/Env_an)/Csdif,0,1))</f>
        <v>99.941221484103309</v>
      </c>
      <c r="G15" s="123">
        <f>+Wh_hp/MaxiM</f>
        <v>1.0011866221014731</v>
      </c>
      <c r="H15" s="409" t="b">
        <f>Wh_hp&gt;='2030'!Maxi_hp</f>
        <v>1</v>
      </c>
      <c r="I15" s="391">
        <f>IF(H15,Wh_hp,'2030'!Maxi_hp)</f>
        <v>99.941221484103309</v>
      </c>
      <c r="J15" s="84">
        <f>IF(H15,An,'2030'!An_max)</f>
        <v>2031</v>
      </c>
      <c r="K15" s="193">
        <f t="shared" ref="K15:K78" si="3">t</f>
        <v>47849</v>
      </c>
      <c r="L15" s="142">
        <f>IF(t&lt;Tvie,1-EXP((T0-t)*PertePVj)+'2030'!Pspv,1-EXP((T0-t)*PertePVj)+Pspv)</f>
        <v>4.5803538958552714E-2</v>
      </c>
      <c r="M15" s="835"/>
      <c r="N15" s="835"/>
      <c r="O15" s="48">
        <f>IF(t&lt;Tnet,'2030'!Resal+('2030'!Salim-'2030'!Resal)*(1-EXP(('2030'!Tnet-t)/('2030'!Tau_j))),Resal+(Salim-Resal)*(1-EXP((Tnet-t)/(Tau_j))))*Salcycl</f>
        <v>2.5028399344446509E-2</v>
      </c>
      <c r="P15" s="298">
        <f>(INDEX(Models!$BJ15:$BT15,,T15)*(1-R15)+INDEX(Models!$BJ15:$BT15,,T15+1)*R15-ERP_i)*Q15*Ramure*Pc/MaxiM</f>
        <v>1.0909548799360425E-3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0.96454215733540793</v>
      </c>
      <c r="S15" s="800">
        <f t="shared" ref="S15:S78" si="6">INDEX(Echel_vg,T15)</f>
        <v>0</v>
      </c>
      <c r="T15" s="245">
        <f t="shared" ref="T15:T78" si="7">MIN(MATCH(Hp_vg,Echel_vg),10)</f>
        <v>6</v>
      </c>
      <c r="U15" s="247">
        <f t="shared" ref="U15:U78" si="8">IF(OR(t&lt;Ttai,Notai),Hdd+PousH*Croivg,Hdtf+PousH*(Croivg-Croi_tai))</f>
        <v>0.96454215733540793</v>
      </c>
      <c r="V15" s="377">
        <f t="shared" ref="V15:V78" si="9">MaxiM*(1-Ppv)*(1-Pvg)*(1-Psa)</f>
        <v>92.765251842442794</v>
      </c>
      <c r="W15" s="397">
        <f t="shared" ref="W15:W78" si="10">Wh*(A15&gt;Tmaj)</f>
        <v>92.875329140527739</v>
      </c>
      <c r="X15" s="152">
        <f t="shared" ref="X15:X78" si="11">t</f>
        <v>47849</v>
      </c>
      <c r="Y15" s="380">
        <f t="shared" ref="Y15:Y78" si="12">Wh_pvt_s*(1-Ppv)</f>
        <v>89.578365455292669</v>
      </c>
      <c r="Z15" s="380">
        <f>Wh_sa_s*(1-Psa_s)</f>
        <v>93.878324970439891</v>
      </c>
      <c r="AA15" s="381">
        <f t="shared" ref="AA15:AA78" si="13">Wh_hp*(1-Pvg_s*MEDIAN((-Sdif+Wh/Env_an)/Csdif,0,1))</f>
        <v>99.376307137331949</v>
      </c>
      <c r="AB15" s="193">
        <f t="shared" ref="AB15:AB78" si="14">t</f>
        <v>47849</v>
      </c>
      <c r="AC15" s="119">
        <f>IF(OR(t&lt;Tnet,NoTnet),'2030'!Resal_s+('2030'!Salim-'2030'!Resal_s)*(1-EXP(('2030'!Tnet_s-t)/'2030'!Tau_j)),Resal_s+(Salim-Resal_s)*(1-EXP((Tnet_s-t)/Tau_j)))*Salcycl</f>
        <v>5.5324878990463941E-2</v>
      </c>
      <c r="AD15" s="227">
        <f>(INDEX(Models!$BJ15:$BT15,,AH15)*(1-AF15)+INDEX(Models!$BJ15:$BT15,,AH15+1)*AF15-ERP_i)*AE15*Ramure*Pc/MaxiM</f>
        <v>5.6524659032830696E-3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0.48952972370938586</v>
      </c>
      <c r="AG15" s="800">
        <f>INDEX(Echel_vg,AH15)</f>
        <v>4</v>
      </c>
      <c r="AH15" s="245">
        <f t="shared" ref="AH15:AH78" si="16">MIN(MATCH(Hp_vg_s,Echel_vg),10)</f>
        <v>10</v>
      </c>
      <c r="AI15" s="220">
        <f t="shared" ref="AI15:AI78" si="17">IF(OR(t&lt;Ttai,Notai),Hdd_s+PousH*Croivg,Hdtai_s+PousH*(Croivg-Croi_tai))</f>
        <v>4.4895297237093859</v>
      </c>
      <c r="AJ15" s="261" t="b">
        <f t="shared" ref="AJ15:AJ78" si="18">t&lt;Tnet</f>
        <v>0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47850</v>
      </c>
      <c r="B16" s="406">
        <f>'2030'!Wh/'2030'!Env_an*'2031'!Env_an</f>
        <v>67.912879215612335</v>
      </c>
      <c r="C16" s="831"/>
      <c r="D16" s="388">
        <f t="shared" si="0"/>
        <v>71.173821819147136</v>
      </c>
      <c r="E16" s="380">
        <f t="shared" si="1"/>
        <v>73.005355069601791</v>
      </c>
      <c r="F16" s="380">
        <f t="shared" si="2"/>
        <v>73.054669860062589</v>
      </c>
      <c r="G16" s="110">
        <f t="shared" ref="G16:G79" si="21">+Wh_hp/MaxiM</f>
        <v>0.7273523334163523</v>
      </c>
      <c r="H16" s="409" t="b">
        <f>Wh_hp&gt;='2030'!Maxi_hp</f>
        <v>0</v>
      </c>
      <c r="I16" s="385">
        <f>IF(H16,Wh_hp,'2030'!Maxi_hp)</f>
        <v>73.086107014148709</v>
      </c>
      <c r="J16" s="85">
        <f>IF(H16,An,'2030'!An_max)</f>
        <v>2022</v>
      </c>
      <c r="K16" s="193">
        <f t="shared" si="3"/>
        <v>47850</v>
      </c>
      <c r="L16" s="143">
        <f>IF(t&lt;Tvie,1-EXP((T0-t)*PertePVj)+'2030'!Pspv,1-EXP((T0-t)*PertePVj)+Pspv)</f>
        <v>4.5816601106806631E-2</v>
      </c>
      <c r="M16" s="835"/>
      <c r="N16" s="835"/>
      <c r="O16" s="48">
        <f>IF(t&lt;Tnet,'2030'!Resal+('2030'!Salim-'2030'!Resal)*(1-EXP(('2030'!Tnet-t)/('2030'!Tau_j))),Resal+(Salim-Resal)*(1-EXP((Tnet-t)/(Tau_j))))*Salcycl</f>
        <v>2.508765622341692E-2</v>
      </c>
      <c r="P16" s="165">
        <f>(INDEX(Models!$BJ16:$BT16,,T16)*(1-R16)+INDEX(Models!$BJ16:$BT16,,T16+1)*R16-ERP_i)*Q16*Ramure*Pc/MaxiM</f>
        <v>1.1049005647874339E-3</v>
      </c>
      <c r="Q16" s="301">
        <f t="shared" si="4"/>
        <v>0.5</v>
      </c>
      <c r="R16" s="173">
        <f t="shared" si="5"/>
        <v>0.96457137194940212</v>
      </c>
      <c r="S16" s="801">
        <f t="shared" si="6"/>
        <v>0</v>
      </c>
      <c r="T16" s="172">
        <f t="shared" si="7"/>
        <v>6</v>
      </c>
      <c r="U16" s="247">
        <f t="shared" si="8"/>
        <v>0.96457137194940212</v>
      </c>
      <c r="V16" s="378">
        <f t="shared" si="9"/>
        <v>93.329825556265888</v>
      </c>
      <c r="W16" s="397">
        <f t="shared" si="10"/>
        <v>67.912879215612335</v>
      </c>
      <c r="X16" s="153">
        <f t="shared" si="11"/>
        <v>47850</v>
      </c>
      <c r="Y16" s="380">
        <f t="shared" si="12"/>
        <v>65.621322628860526</v>
      </c>
      <c r="Z16" s="380">
        <f t="shared" ref="Z16:Z78" si="22">Wh_sa_s*(1-Psa_s)</f>
        <v>68.772232576020599</v>
      </c>
      <c r="AA16" s="381">
        <f t="shared" si="13"/>
        <v>72.801793069983844</v>
      </c>
      <c r="AB16" s="193">
        <f t="shared" si="14"/>
        <v>47850</v>
      </c>
      <c r="AC16" s="119">
        <f>IF(OR(t&lt;Tnet,NoTnet),'2030'!Resal_s+('2030'!Salim-'2030'!Resal_s)*(1-EXP(('2030'!Tnet_s-t)/'2030'!Tau_j)),Resal_s+(Salim-Resal_s)*(1-EXP((Tnet_s-t)/Tau_j)))*Salcycl</f>
        <v>5.5349742417603154E-2</v>
      </c>
      <c r="AD16" s="227">
        <f>(INDEX(Models!$BJ16:$BT16,,AH16)*(1-AF16)+INDEX(Models!$BJ16:$BT16,,AH16+1)*AF16-ERP_i)*AE16*Ramure*Pc/MaxiM</f>
        <v>5.6657182473831185E-3</v>
      </c>
      <c r="AE16" s="301">
        <f t="shared" si="15"/>
        <v>0.5</v>
      </c>
      <c r="AF16" s="173">
        <f t="shared" ref="AF16:AF78" si="23">(Hp_vg_s-AG16)/(INDEX(Echel_vg,AH16+1)-AG16)</f>
        <v>0.48955893832338049</v>
      </c>
      <c r="AG16" s="801">
        <f t="shared" ref="AG16:AG79" si="24">INDEX(Echel_vg,AH16)</f>
        <v>4</v>
      </c>
      <c r="AH16" s="172">
        <f t="shared" si="16"/>
        <v>10</v>
      </c>
      <c r="AI16" s="221">
        <f t="shared" si="17"/>
        <v>4.4895589383233805</v>
      </c>
      <c r="AJ16" s="261" t="b">
        <f t="shared" si="18"/>
        <v>0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47851</v>
      </c>
      <c r="B17" s="406">
        <f>'2030'!Wh/'2030'!Env_an*'2031'!Env_an</f>
        <v>70.724412156496484</v>
      </c>
      <c r="C17" s="831"/>
      <c r="D17" s="388">
        <f t="shared" si="0"/>
        <v>74.121369549709968</v>
      </c>
      <c r="E17" s="380">
        <f t="shared" si="1"/>
        <v>76.033373093380234</v>
      </c>
      <c r="F17" s="380">
        <f t="shared" si="2"/>
        <v>76.088467543429033</v>
      </c>
      <c r="G17" s="110">
        <f t="shared" si="21"/>
        <v>0.75266620724971867</v>
      </c>
      <c r="H17" s="409" t="b">
        <f>Wh_hp&gt;='2030'!Maxi_hp</f>
        <v>0</v>
      </c>
      <c r="I17" s="385">
        <f>IF(H17,Wh_hp,'2030'!Maxi_hp)</f>
        <v>76.118546681586153</v>
      </c>
      <c r="J17" s="85">
        <f>IF(H17,An,'2030'!An_max)</f>
        <v>2022</v>
      </c>
      <c r="K17" s="193">
        <f t="shared" si="3"/>
        <v>47851</v>
      </c>
      <c r="L17" s="143">
        <f>IF(t&lt;Tvie,1-EXP((T0-t)*PertePVj)+'2030'!Pspv,1-EXP((T0-t)*PertePVj)+Pspv)</f>
        <v>4.5829663076250804E-2</v>
      </c>
      <c r="M17" s="835"/>
      <c r="N17" s="835"/>
      <c r="O17" s="48">
        <f>IF(t&lt;Tnet,'2030'!Resal+('2030'!Salim-'2030'!Resal)*(1-EXP(('2030'!Tnet-t)/('2030'!Tau_j))),Resal+(Salim-Resal)*(1-EXP((Tnet-t)/(Tau_j))))*Salcycl</f>
        <v>2.5146898866660088E-2</v>
      </c>
      <c r="P17" s="165">
        <f>(INDEX(Models!$BJ17:$BT17,,T17)*(1-R17)+INDEX(Models!$BJ17:$BT17,,T17+1)*R17-ERP_i)*Q17*Ramure*Pc/MaxiM</f>
        <v>1.1189832632816892E-3</v>
      </c>
      <c r="Q17" s="301">
        <f t="shared" si="4"/>
        <v>0.5</v>
      </c>
      <c r="R17" s="173">
        <f t="shared" si="5"/>
        <v>0.96460180854489175</v>
      </c>
      <c r="S17" s="801">
        <f t="shared" si="6"/>
        <v>0</v>
      </c>
      <c r="T17" s="172">
        <f t="shared" si="7"/>
        <v>6</v>
      </c>
      <c r="U17" s="247">
        <f t="shared" si="8"/>
        <v>0.96460180854489175</v>
      </c>
      <c r="V17" s="378">
        <f t="shared" si="9"/>
        <v>93.928041709891303</v>
      </c>
      <c r="W17" s="397">
        <f t="shared" si="10"/>
        <v>70.724412156496484</v>
      </c>
      <c r="X17" s="153">
        <f t="shared" si="11"/>
        <v>47851</v>
      </c>
      <c r="Y17" s="380">
        <f t="shared" si="12"/>
        <v>68.32867933995621</v>
      </c>
      <c r="Z17" s="380">
        <f t="shared" si="22"/>
        <v>71.610567522197641</v>
      </c>
      <c r="AA17" s="381">
        <f t="shared" si="13"/>
        <v>75.80843686629234</v>
      </c>
      <c r="AB17" s="193">
        <f t="shared" si="14"/>
        <v>47851</v>
      </c>
      <c r="AC17" s="119">
        <f>IF(OR(t&lt;Tnet,NoTnet),'2030'!Resal_s+('2030'!Salim-'2030'!Resal_s)*(1-EXP(('2030'!Tnet_s-t)/'2030'!Tau_j)),Resal_s+(Salim-Resal_s)*(1-EXP((Tnet_s-t)/Tau_j)))*Salcycl</f>
        <v>5.5374698616972223E-2</v>
      </c>
      <c r="AD17" s="227">
        <f>(INDEX(Models!$BJ17:$BT17,,AH17)*(1-AF17)+INDEX(Models!$BJ17:$BT17,,AH17+1)*AF17-ERP_i)*AE17*Ramure*Pc/MaxiM</f>
        <v>5.687499206251858E-3</v>
      </c>
      <c r="AE17" s="301">
        <f t="shared" si="15"/>
        <v>0.5</v>
      </c>
      <c r="AF17" s="173">
        <f>(Hp_vg_s-AG17)/(INDEX(Echel_vg,AH17+1)-AG17)</f>
        <v>0.48958937491886978</v>
      </c>
      <c r="AG17" s="801">
        <f>INDEX(Echel_vg,AH17)</f>
        <v>4</v>
      </c>
      <c r="AH17" s="172">
        <f t="shared" si="16"/>
        <v>10</v>
      </c>
      <c r="AI17" s="221">
        <f t="shared" si="17"/>
        <v>4.4895893749188698</v>
      </c>
      <c r="AJ17" s="261" t="b">
        <f t="shared" si="18"/>
        <v>0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47852</v>
      </c>
      <c r="B18" s="406">
        <f>'2030'!Wh/'2030'!Env_an*'2031'!Env_an</f>
        <v>75.953788744815867</v>
      </c>
      <c r="C18" s="831"/>
      <c r="D18" s="388">
        <f t="shared" si="0"/>
        <v>79.603007516994211</v>
      </c>
      <c r="E18" s="380">
        <f t="shared" si="1"/>
        <v>81.661374062999073</v>
      </c>
      <c r="F18" s="380">
        <f t="shared" si="2"/>
        <v>81.727957124128537</v>
      </c>
      <c r="G18" s="110">
        <f t="shared" si="21"/>
        <v>0.80299367750474593</v>
      </c>
      <c r="H18" s="409" t="b">
        <f>Wh_hp&gt;='2030'!Maxi_hp</f>
        <v>0</v>
      </c>
      <c r="I18" s="385">
        <f>IF(H18,Wh_hp,'2030'!Maxi_hp)</f>
        <v>81.754015578877613</v>
      </c>
      <c r="J18" s="85">
        <f>IF(H18,An,'2030'!An_max)</f>
        <v>2022</v>
      </c>
      <c r="K18" s="193">
        <f t="shared" si="3"/>
        <v>47852</v>
      </c>
      <c r="L18" s="143">
        <f>IF(t&lt;Tvie,1-EXP((T0-t)*PertePVj)+'2030'!Pspv,1-EXP((T0-t)*PertePVj)+Pspv)</f>
        <v>4.5842724866887563E-2</v>
      </c>
      <c r="M18" s="835"/>
      <c r="N18" s="835"/>
      <c r="O18" s="48">
        <f>IF(t&lt;Tnet,'2030'!Resal+('2030'!Salim-'2030'!Resal)*(1-EXP(('2030'!Tnet-t)/('2030'!Tau_j))),Resal+(Salim-Resal)*(1-EXP((Tnet-t)/(Tau_j))))*Salcycl</f>
        <v>2.5206121861443297E-2</v>
      </c>
      <c r="P18" s="165">
        <f>(INDEX(Models!$BJ18:$BT18,,T18)*(1-R18)+INDEX(Models!$BJ18:$BT18,,T18+1)*R18-ERP_i)*Q18*Ramure*Pc/MaxiM</f>
        <v>1.133202707851978E-3</v>
      </c>
      <c r="Q18" s="301">
        <f t="shared" si="4"/>
        <v>0.5</v>
      </c>
      <c r="R18" s="173">
        <f t="shared" si="5"/>
        <v>0.9646335180761868</v>
      </c>
      <c r="S18" s="801">
        <f t="shared" si="6"/>
        <v>0</v>
      </c>
      <c r="T18" s="172">
        <f t="shared" si="7"/>
        <v>6</v>
      </c>
      <c r="U18" s="247">
        <f t="shared" si="8"/>
        <v>0.9646335180761868</v>
      </c>
      <c r="V18" s="378">
        <f t="shared" si="9"/>
        <v>94.558125429434341</v>
      </c>
      <c r="W18" s="397">
        <f t="shared" si="10"/>
        <v>75.953788744815867</v>
      </c>
      <c r="X18" s="153">
        <f t="shared" si="11"/>
        <v>47852</v>
      </c>
      <c r="Y18" s="380">
        <f t="shared" si="12"/>
        <v>73.358387258655426</v>
      </c>
      <c r="Z18" s="380">
        <f>Wh_sa_s*(1-Psa_s)</f>
        <v>76.882909317461682</v>
      </c>
      <c r="AA18" s="381">
        <f t="shared" si="13"/>
        <v>81.392004801758929</v>
      </c>
      <c r="AB18" s="193">
        <f>t</f>
        <v>47852</v>
      </c>
      <c r="AC18" s="119">
        <f>IF(OR(t&lt;Tnet,NoTnet),'2030'!Resal_s+('2030'!Salim-'2030'!Resal_s)*(1-EXP(('2030'!Tnet_s-t)/'2030'!Tau_j)),Resal_s+(Salim-Resal_s)*(1-EXP((Tnet_s-t)/Tau_j)))*Salcycl</f>
        <v>5.5399734842258082E-2</v>
      </c>
      <c r="AD18" s="227">
        <f>(INDEX(Models!$BJ18:$BT18,,AH18)*(1-AF18)+INDEX(Models!$BJ18:$BT18,,AH18+1)*AF18-ERP_i)*AE18*Ramure*Pc/MaxiM</f>
        <v>5.7177016941018493E-3</v>
      </c>
      <c r="AE18" s="301">
        <f t="shared" si="15"/>
        <v>0.5</v>
      </c>
      <c r="AF18" s="173">
        <f t="shared" si="23"/>
        <v>0.48962108445016472</v>
      </c>
      <c r="AG18" s="801">
        <f t="shared" si="24"/>
        <v>4</v>
      </c>
      <c r="AH18" s="172">
        <f t="shared" si="16"/>
        <v>10</v>
      </c>
      <c r="AI18" s="221">
        <f t="shared" si="17"/>
        <v>4.4896210844501647</v>
      </c>
      <c r="AJ18" s="261" t="b">
        <f t="shared" si="18"/>
        <v>0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47853</v>
      </c>
      <c r="B19" s="406">
        <f>'2030'!Wh/'2030'!Env_an*'2031'!Env_an</f>
        <v>57.110582905592828</v>
      </c>
      <c r="C19" s="831"/>
      <c r="D19" s="388">
        <f t="shared" si="0"/>
        <v>59.855294510276948</v>
      </c>
      <c r="E19" s="380">
        <f t="shared" si="1"/>
        <v>61.40675587844575</v>
      </c>
      <c r="F19" s="380">
        <f t="shared" si="2"/>
        <v>61.436949684046525</v>
      </c>
      <c r="G19" s="110">
        <f t="shared" si="21"/>
        <v>0.59939205874959434</v>
      </c>
      <c r="H19" s="409" t="b">
        <f>Wh_hp&gt;='2030'!Maxi_hp</f>
        <v>0</v>
      </c>
      <c r="I19" s="385">
        <f>IF(H19,Wh_hp,'2030'!Maxi_hp)</f>
        <v>61.477299806338095</v>
      </c>
      <c r="J19" s="85">
        <f>IF(H19,An,'2030'!An_max)</f>
        <v>2022</v>
      </c>
      <c r="K19" s="193">
        <f t="shared" si="3"/>
        <v>47853</v>
      </c>
      <c r="L19" s="143">
        <f>IF(t&lt;Tvie,1-EXP((T0-t)*PertePVj)+'2030'!Pspv,1-EXP((T0-t)*PertePVj)+Pspv)</f>
        <v>4.5855786478719351E-2</v>
      </c>
      <c r="M19" s="835"/>
      <c r="N19" s="835"/>
      <c r="O19" s="48">
        <f>IF(t&lt;Tnet,'2030'!Resal+('2030'!Salim-'2030'!Resal)*(1-EXP(('2030'!Tnet-t)/('2030'!Tau_j))),Resal+(Salim-Resal)*(1-EXP((Tnet-t)/(Tau_j))))*Salcycl</f>
        <v>2.5265320500563581E-2</v>
      </c>
      <c r="P19" s="165">
        <f>(INDEX(Models!$BJ19:$BT19,,T19)*(1-R19)+INDEX(Models!$BJ19:$BT19,,T19+1)*R19-ERP_i)*Q19*Ramure*Pc/MaxiM</f>
        <v>1.1475595546246269E-3</v>
      </c>
      <c r="Q19" s="301">
        <f t="shared" si="4"/>
        <v>0.5</v>
      </c>
      <c r="R19" s="173">
        <f t="shared" si="5"/>
        <v>0.96466655360874853</v>
      </c>
      <c r="S19" s="801">
        <f t="shared" si="6"/>
        <v>0</v>
      </c>
      <c r="T19" s="172">
        <f t="shared" si="7"/>
        <v>6</v>
      </c>
      <c r="U19" s="247">
        <f t="shared" si="8"/>
        <v>0.96466655360874853</v>
      </c>
      <c r="V19" s="378">
        <f t="shared" si="9"/>
        <v>95.218302315547376</v>
      </c>
      <c r="W19" s="397">
        <f t="shared" si="10"/>
        <v>57.110582905592828</v>
      </c>
      <c r="X19" s="153">
        <f t="shared" si="11"/>
        <v>47853</v>
      </c>
      <c r="Y19" s="380">
        <f t="shared" si="12"/>
        <v>55.234222905330917</v>
      </c>
      <c r="Z19" s="380">
        <f t="shared" si="22"/>
        <v>57.888757404384769</v>
      </c>
      <c r="AA19" s="381">
        <f t="shared" si="13"/>
        <v>61.285496226744804</v>
      </c>
      <c r="AB19" s="193">
        <f t="shared" si="14"/>
        <v>47853</v>
      </c>
      <c r="AC19" s="119">
        <f>IF(OR(t&lt;Tnet,NoTnet),'2030'!Resal_s+('2030'!Salim-'2030'!Resal_s)*(1-EXP(('2030'!Tnet_s-t)/'2030'!Tau_j)),Resal_s+(Salim-Resal_s)*(1-EXP((Tnet_s-t)/Tau_j)))*Salcycl</f>
        <v>5.5424839994649679E-2</v>
      </c>
      <c r="AD19" s="227">
        <f>(INDEX(Models!$BJ19:$BT19,,AH19)*(1-AF19)+INDEX(Models!$BJ19:$BT19,,AH19+1)*AF19-ERP_i)*AE19*Ramure*Pc/MaxiM</f>
        <v>5.7562092140856841E-3</v>
      </c>
      <c r="AE19" s="301">
        <f t="shared" si="15"/>
        <v>0.5</v>
      </c>
      <c r="AF19" s="173">
        <f t="shared" si="23"/>
        <v>0.48965411998272668</v>
      </c>
      <c r="AG19" s="801">
        <f t="shared" si="24"/>
        <v>4</v>
      </c>
      <c r="AH19" s="172">
        <f t="shared" si="16"/>
        <v>10</v>
      </c>
      <c r="AI19" s="221">
        <f t="shared" si="17"/>
        <v>4.4896541199827267</v>
      </c>
      <c r="AJ19" s="261" t="b">
        <f t="shared" si="18"/>
        <v>0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47854</v>
      </c>
      <c r="B20" s="406">
        <f>'2030'!Wh/'2030'!Env_an*'2031'!Env_an</f>
        <v>97.821255889720931</v>
      </c>
      <c r="C20" s="831"/>
      <c r="D20" s="388">
        <f t="shared" si="0"/>
        <v>102.52390950198537</v>
      </c>
      <c r="E20" s="380">
        <f t="shared" si="1"/>
        <v>105.1877353342357</v>
      </c>
      <c r="F20" s="380">
        <f t="shared" si="2"/>
        <v>105.31011151518356</v>
      </c>
      <c r="G20" s="110">
        <f t="shared" si="21"/>
        <v>1.0199616450883788</v>
      </c>
      <c r="H20" s="409" t="b">
        <f>Wh_hp&gt;='2030'!Maxi_hp</f>
        <v>1</v>
      </c>
      <c r="I20" s="385">
        <f>IF(H20,Wh_hp,'2030'!Maxi_hp)</f>
        <v>105.31011151518356</v>
      </c>
      <c r="J20" s="85">
        <f>IF(H20,An,'2030'!An_max)</f>
        <v>2031</v>
      </c>
      <c r="K20" s="193">
        <f t="shared" si="3"/>
        <v>47854</v>
      </c>
      <c r="L20" s="143">
        <f>IF(t&lt;Tvie,1-EXP((T0-t)*PertePVj)+'2030'!Pspv,1-EXP((T0-t)*PertePVj)+Pspv)</f>
        <v>4.5868847911748611E-2</v>
      </c>
      <c r="M20" s="835"/>
      <c r="N20" s="835"/>
      <c r="O20" s="48">
        <f>IF(t&lt;Tnet,'2030'!Resal+('2030'!Salim-'2030'!Resal)*(1-EXP(('2030'!Tnet-t)/('2030'!Tau_j))),Resal+(Salim-Resal)*(1-EXP((Tnet-t)/(Tau_j))))*Salcycl</f>
        <v>2.532449076677978E-2</v>
      </c>
      <c r="P20" s="165">
        <f>(INDEX(Models!$BJ20:$BT20,,T20)*(1-R20)+INDEX(Models!$BJ20:$BT20,,T20+1)*R20-ERP_i)*Q20*Ramure*Pc/MaxiM</f>
        <v>1.1620553732888095E-3</v>
      </c>
      <c r="Q20" s="301">
        <f t="shared" si="4"/>
        <v>0.5</v>
      </c>
      <c r="R20" s="173">
        <f t="shared" si="5"/>
        <v>0.96470097040549918</v>
      </c>
      <c r="S20" s="801">
        <f t="shared" si="6"/>
        <v>0</v>
      </c>
      <c r="T20" s="172">
        <f t="shared" si="7"/>
        <v>6</v>
      </c>
      <c r="U20" s="247">
        <f t="shared" si="8"/>
        <v>0.96470097040549918</v>
      </c>
      <c r="V20" s="378">
        <f t="shared" si="9"/>
        <v>95.906798418135423</v>
      </c>
      <c r="W20" s="397">
        <f t="shared" si="10"/>
        <v>97.821255889720931</v>
      </c>
      <c r="X20" s="153">
        <f t="shared" si="11"/>
        <v>47854</v>
      </c>
      <c r="Y20" s="380">
        <f t="shared" si="12"/>
        <v>94.357318767452369</v>
      </c>
      <c r="Z20" s="380">
        <f t="shared" si="22"/>
        <v>98.893447259255694</v>
      </c>
      <c r="AA20" s="381">
        <f t="shared" si="13"/>
        <v>104.69900771585959</v>
      </c>
      <c r="AB20" s="193">
        <f t="shared" si="14"/>
        <v>47854</v>
      </c>
      <c r="AC20" s="119">
        <f>IF(OR(t&lt;Tnet,NoTnet),'2030'!Resal_s+('2030'!Salim-'2030'!Resal_s)*(1-EXP(('2030'!Tnet_s-t)/'2030'!Tau_j)),Resal_s+(Salim-Resal_s)*(1-EXP((Tnet_s-t)/Tau_j)))*Salcycl</f>
        <v>5.5450004572722283E-2</v>
      </c>
      <c r="AD20" s="227">
        <f>(INDEX(Models!$BJ20:$BT20,,AH20)*(1-AF20)+INDEX(Models!$BJ20:$BT20,,AH20+1)*AF20-ERP_i)*AE20*Ramure*Pc/MaxiM</f>
        <v>5.8028976565641906E-3</v>
      </c>
      <c r="AE20" s="301">
        <f t="shared" si="15"/>
        <v>0.5</v>
      </c>
      <c r="AF20" s="173">
        <f t="shared" si="23"/>
        <v>0.48968853677947699</v>
      </c>
      <c r="AG20" s="801">
        <f t="shared" si="24"/>
        <v>4</v>
      </c>
      <c r="AH20" s="172">
        <f t="shared" si="16"/>
        <v>10</v>
      </c>
      <c r="AI20" s="221">
        <f t="shared" si="17"/>
        <v>4.489688536779477</v>
      </c>
      <c r="AJ20" s="261" t="b">
        <f t="shared" si="18"/>
        <v>0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47855</v>
      </c>
      <c r="B21" s="406">
        <f>'2030'!Wh/'2030'!Env_an*'2031'!Env_an</f>
        <v>37.003808518241783</v>
      </c>
      <c r="C21" s="831"/>
      <c r="D21" s="388">
        <f t="shared" si="0"/>
        <v>38.783258460067231</v>
      </c>
      <c r="E21" s="380">
        <f t="shared" si="1"/>
        <v>39.793358316627391</v>
      </c>
      <c r="F21" s="380">
        <f t="shared" si="2"/>
        <v>39.798909513591937</v>
      </c>
      <c r="G21" s="110">
        <f t="shared" si="21"/>
        <v>0.38257833104361105</v>
      </c>
      <c r="H21" s="409" t="b">
        <f>Wh_hp&gt;='2030'!Maxi_hp</f>
        <v>0</v>
      </c>
      <c r="I21" s="385">
        <f>IF(H21,Wh_hp,'2030'!Maxi_hp)</f>
        <v>39.840230222025987</v>
      </c>
      <c r="J21" s="85">
        <f>IF(H21,An,'2030'!An_max)</f>
        <v>2022</v>
      </c>
      <c r="K21" s="193">
        <f t="shared" si="3"/>
        <v>47855</v>
      </c>
      <c r="L21" s="143">
        <f>IF(t&lt;Tvie,1-EXP((T0-t)*PertePVj)+'2030'!Pspv,1-EXP((T0-t)*PertePVj)+Pspv)</f>
        <v>4.5881909165977897E-2</v>
      </c>
      <c r="M21" s="835"/>
      <c r="N21" s="835"/>
      <c r="O21" s="48">
        <f>IF(t&lt;Tnet,'2030'!Resal+('2030'!Salim-'2030'!Resal)*(1-EXP(('2030'!Tnet-t)/('2030'!Tau_j))),Resal+(Salim-Resal)*(1-EXP((Tnet-t)/(Tau_j))))*Salcycl</f>
        <v>2.5383629311278653E-2</v>
      </c>
      <c r="P21" s="165">
        <f>(INDEX(Models!$BJ21:$BT21,,T21)*(1-R21)+INDEX(Models!$BJ21:$BT21,,T21+1)*R21-ERP_i)*Q21*Ramure*Pc/MaxiM</f>
        <v>1.1766926317998908E-3</v>
      </c>
      <c r="Q21" s="301">
        <f t="shared" si="4"/>
        <v>0.5</v>
      </c>
      <c r="R21" s="173">
        <f t="shared" si="5"/>
        <v>0.96473682601656241</v>
      </c>
      <c r="S21" s="801">
        <f t="shared" si="6"/>
        <v>0</v>
      </c>
      <c r="T21" s="172">
        <f t="shared" si="7"/>
        <v>6</v>
      </c>
      <c r="U21" s="247">
        <f t="shared" si="8"/>
        <v>0.96473682601656241</v>
      </c>
      <c r="V21" s="378">
        <f t="shared" si="9"/>
        <v>96.621840258297155</v>
      </c>
      <c r="W21" s="397">
        <f t="shared" si="10"/>
        <v>37.003808518241783</v>
      </c>
      <c r="X21" s="153">
        <f t="shared" si="11"/>
        <v>47855</v>
      </c>
      <c r="Y21" s="380">
        <f t="shared" si="12"/>
        <v>35.841403234459953</v>
      </c>
      <c r="Z21" s="380">
        <f t="shared" si="22"/>
        <v>37.564955091806247</v>
      </c>
      <c r="AA21" s="381">
        <f t="shared" si="13"/>
        <v>39.771275366713617</v>
      </c>
      <c r="AB21" s="193">
        <f t="shared" si="14"/>
        <v>47855</v>
      </c>
      <c r="AC21" s="119">
        <f>IF(OR(t&lt;Tnet,NoTnet),'2030'!Resal_s+('2030'!Salim-'2030'!Resal_s)*(1-EXP(('2030'!Tnet_s-t)/'2030'!Tau_j)),Resal_s+(Salim-Resal_s)*(1-EXP((Tnet_s-t)/Tau_j)))*Salcycl</f>
        <v>5.5475220609946432E-2</v>
      </c>
      <c r="AD21" s="227">
        <f>(INDEX(Models!$BJ21:$BT21,,AH21)*(1-AF21)+INDEX(Models!$BJ21:$BT21,,AH21+1)*AF21-ERP_i)*AE21*Ramure*Pc/MaxiM</f>
        <v>5.8576370511550036E-3</v>
      </c>
      <c r="AE21" s="301">
        <f t="shared" si="15"/>
        <v>0.5</v>
      </c>
      <c r="AF21" s="173">
        <f t="shared" si="23"/>
        <v>0.48972439239054033</v>
      </c>
      <c r="AG21" s="801">
        <f t="shared" si="24"/>
        <v>4</v>
      </c>
      <c r="AH21" s="172">
        <f t="shared" si="16"/>
        <v>10</v>
      </c>
      <c r="AI21" s="221">
        <f t="shared" si="17"/>
        <v>4.4897243923905403</v>
      </c>
      <c r="AJ21" s="261" t="b">
        <f t="shared" si="18"/>
        <v>0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47856</v>
      </c>
      <c r="B22" s="406">
        <f>'2030'!Wh/'2030'!Env_an*'2031'!Env_an</f>
        <v>24.774707080650682</v>
      </c>
      <c r="C22" s="831"/>
      <c r="D22" s="388">
        <f t="shared" si="0"/>
        <v>25.966435882765683</v>
      </c>
      <c r="E22" s="380">
        <f t="shared" si="1"/>
        <v>26.644340741580429</v>
      </c>
      <c r="F22" s="380">
        <f t="shared" si="2"/>
        <v>26.644340741580429</v>
      </c>
      <c r="G22" s="110">
        <f t="shared" si="21"/>
        <v>0.25415743692167603</v>
      </c>
      <c r="H22" s="409" t="b">
        <f>Wh_hp&gt;='2030'!Maxi_hp</f>
        <v>0</v>
      </c>
      <c r="I22" s="385">
        <f>IF(H22,Wh_hp,'2030'!Maxi_hp)</f>
        <v>26.676117567913273</v>
      </c>
      <c r="J22" s="85">
        <f>IF(H22,An,'2030'!An_max)</f>
        <v>2022</v>
      </c>
      <c r="K22" s="193">
        <f t="shared" si="3"/>
        <v>47856</v>
      </c>
      <c r="L22" s="143">
        <f>IF(t&lt;Tvie,1-EXP((T0-t)*PertePVj)+'2030'!Pspv,1-EXP((T0-t)*PertePVj)+Pspv)</f>
        <v>4.5894970241409538E-2</v>
      </c>
      <c r="M22" s="835"/>
      <c r="N22" s="835"/>
      <c r="O22" s="48">
        <f>IF(t&lt;Tnet,'2030'!Resal+('2030'!Salim-'2030'!Resal)*(1-EXP(('2030'!Tnet-t)/('2030'!Tau_j))),Resal+(Salim-Resal)*(1-EXP((Tnet-t)/(Tau_j))))*Salcycl</f>
        <v>2.5442733426570618E-2</v>
      </c>
      <c r="P22" s="165">
        <f>(INDEX(Models!$BJ22:$BT22,,T22)*(1-R22)+INDEX(Models!$BJ22:$BT22,,T22+1)*R22-ERP_i)*Q22*Ramure*Pc/MaxiM</f>
        <v>1.1914746772648298E-3</v>
      </c>
      <c r="Q22" s="301">
        <f t="shared" si="4"/>
        <v>0.5</v>
      </c>
      <c r="R22" s="173">
        <f t="shared" si="5"/>
        <v>0.96477418037255958</v>
      </c>
      <c r="S22" s="801">
        <f t="shared" si="6"/>
        <v>0</v>
      </c>
      <c r="T22" s="172">
        <f t="shared" si="7"/>
        <v>6</v>
      </c>
      <c r="U22" s="247">
        <f t="shared" si="8"/>
        <v>0.96477418037255958</v>
      </c>
      <c r="V22" s="378">
        <f t="shared" si="9"/>
        <v>97.361654824026203</v>
      </c>
      <c r="W22" s="397">
        <f t="shared" si="10"/>
        <v>24.774707080650682</v>
      </c>
      <c r="X22" s="153">
        <f t="shared" si="11"/>
        <v>47856</v>
      </c>
      <c r="Y22" s="380">
        <f t="shared" si="12"/>
        <v>24.010594049982089</v>
      </c>
      <c r="Z22" s="380">
        <f t="shared" si="22"/>
        <v>25.165566998485794</v>
      </c>
      <c r="AA22" s="381">
        <f t="shared" si="13"/>
        <v>26.644340741580429</v>
      </c>
      <c r="AB22" s="193">
        <f t="shared" si="14"/>
        <v>47856</v>
      </c>
      <c r="AC22" s="119">
        <f>IF(OR(t&lt;Tnet,NoTnet),'2030'!Resal_s+('2030'!Salim-'2030'!Resal_s)*(1-EXP(('2030'!Tnet_s-t)/'2030'!Tau_j)),Resal_s+(Salim-Resal_s)*(1-EXP((Tnet_s-t)/Tau_j)))*Salcycl</f>
        <v>5.5500481600841395E-2</v>
      </c>
      <c r="AD22" s="227">
        <f>(INDEX(Models!$BJ22:$BT22,,AH22)*(1-AF22)+INDEX(Models!$BJ22:$BT22,,AH22+1)*AF22-ERP_i)*AE22*Ramure*Pc/MaxiM</f>
        <v>5.920293259971174E-3</v>
      </c>
      <c r="AE22" s="301">
        <f t="shared" si="15"/>
        <v>0.5</v>
      </c>
      <c r="AF22" s="173">
        <f t="shared" si="23"/>
        <v>0.48976174674653716</v>
      </c>
      <c r="AG22" s="801">
        <f t="shared" si="24"/>
        <v>4</v>
      </c>
      <c r="AH22" s="172">
        <f t="shared" si="16"/>
        <v>10</v>
      </c>
      <c r="AI22" s="221">
        <f t="shared" si="17"/>
        <v>4.4897617467465372</v>
      </c>
      <c r="AJ22" s="261" t="b">
        <f t="shared" si="18"/>
        <v>0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47857</v>
      </c>
      <c r="B23" s="406">
        <f>'2030'!Wh/'2030'!Env_an*'2031'!Env_an</f>
        <v>7.7350052490394052</v>
      </c>
      <c r="C23" s="831"/>
      <c r="D23" s="388">
        <f t="shared" si="0"/>
        <v>8.1071903982859848</v>
      </c>
      <c r="E23" s="380">
        <f t="shared" si="1"/>
        <v>8.3193487753224531</v>
      </c>
      <c r="F23" s="380">
        <f t="shared" si="2"/>
        <v>8.3193487753224531</v>
      </c>
      <c r="G23" s="110">
        <f t="shared" si="21"/>
        <v>7.8725574101486562E-2</v>
      </c>
      <c r="H23" s="409" t="b">
        <f>Wh_hp&gt;='2030'!Maxi_hp</f>
        <v>0</v>
      </c>
      <c r="I23" s="385">
        <f>IF(H23,Wh_hp,'2030'!Maxi_hp)</f>
        <v>8.3293938096908722</v>
      </c>
      <c r="J23" s="85">
        <f>IF(H23,An,'2030'!An_max)</f>
        <v>2022</v>
      </c>
      <c r="K23" s="193">
        <f t="shared" si="3"/>
        <v>47857</v>
      </c>
      <c r="L23" s="143">
        <f>IF(t&lt;Tvie,1-EXP((T0-t)*PertePVj)+'2030'!Pspv,1-EXP((T0-t)*PertePVj)+Pspv)</f>
        <v>4.5908031138045979E-2</v>
      </c>
      <c r="M23" s="835"/>
      <c r="N23" s="835"/>
      <c r="O23" s="48">
        <f>IF(t&lt;Tnet,'2030'!Resal+('2030'!Salim-'2030'!Resal)*(1-EXP(('2030'!Tnet-t)/('2030'!Tau_j))),Resal+(Salim-Resal)*(1-EXP((Tnet-t)/(Tau_j))))*Salcycl</f>
        <v>2.5501801014256177E-2</v>
      </c>
      <c r="P23" s="165">
        <f>(INDEX(Models!$BJ23:$BT23,,T23)*(1-R23)+INDEX(Models!$BJ23:$BT23,,T23+1)*R23-ERP_i)*Q23*Ramure*Pc/MaxiM</f>
        <v>1.2062857086688095E-3</v>
      </c>
      <c r="Q23" s="301">
        <f t="shared" si="4"/>
        <v>0.5</v>
      </c>
      <c r="R23" s="173">
        <f t="shared" si="5"/>
        <v>0.9648130958815947</v>
      </c>
      <c r="S23" s="801">
        <f t="shared" si="6"/>
        <v>0</v>
      </c>
      <c r="T23" s="172">
        <f t="shared" si="7"/>
        <v>6</v>
      </c>
      <c r="U23" s="247">
        <f t="shared" si="8"/>
        <v>0.9648130958815947</v>
      </c>
      <c r="V23" s="378">
        <f t="shared" si="9"/>
        <v>98.134243045235877</v>
      </c>
      <c r="W23" s="397">
        <f t="shared" si="10"/>
        <v>7.7350052490394052</v>
      </c>
      <c r="X23" s="153">
        <f t="shared" si="11"/>
        <v>47857</v>
      </c>
      <c r="Y23" s="380">
        <f t="shared" si="12"/>
        <v>7.4966921829013273</v>
      </c>
      <c r="Z23" s="380">
        <f t="shared" si="22"/>
        <v>7.8574104253737946</v>
      </c>
      <c r="AA23" s="381">
        <f t="shared" si="13"/>
        <v>8.3193487753224531</v>
      </c>
      <c r="AB23" s="193">
        <f t="shared" si="14"/>
        <v>47857</v>
      </c>
      <c r="AC23" s="119">
        <f>IF(OR(t&lt;Tnet,NoTnet),'2030'!Resal_s+('2030'!Salim-'2030'!Resal_s)*(1-EXP(('2030'!Tnet_s-t)/'2030'!Tau_j)),Resal_s+(Salim-Resal_s)*(1-EXP((Tnet_s-t)/Tau_j)))*Salcycl</f>
        <v>5.5525782416876009E-2</v>
      </c>
      <c r="AD23" s="227">
        <f>(INDEX(Models!$BJ23:$BT23,,AH23)*(1-AF23)+INDEX(Models!$BJ23:$BT23,,AH23+1)*AF23-ERP_i)*AE23*Ramure*Pc/MaxiM</f>
        <v>5.9901336817189416E-3</v>
      </c>
      <c r="AE23" s="301">
        <f t="shared" si="15"/>
        <v>0.5</v>
      </c>
      <c r="AF23" s="173">
        <f t="shared" si="23"/>
        <v>0.48980066225557284</v>
      </c>
      <c r="AG23" s="801">
        <f t="shared" si="24"/>
        <v>4</v>
      </c>
      <c r="AH23" s="172">
        <f t="shared" si="16"/>
        <v>10</v>
      </c>
      <c r="AI23" s="221">
        <f t="shared" si="17"/>
        <v>4.4898006622555728</v>
      </c>
      <c r="AJ23" s="261" t="b">
        <f t="shared" si="18"/>
        <v>0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47858</v>
      </c>
      <c r="B24" s="406">
        <f>'2030'!Wh/'2030'!Env_an*'2031'!Env_an</f>
        <v>7.1107891346737908</v>
      </c>
      <c r="C24" s="831"/>
      <c r="D24" s="388">
        <f t="shared" si="0"/>
        <v>7.4530409109512892</v>
      </c>
      <c r="E24" s="380">
        <f t="shared" si="1"/>
        <v>7.6485440493364001</v>
      </c>
      <c r="F24" s="380">
        <f t="shared" si="2"/>
        <v>7.6485440493364001</v>
      </c>
      <c r="G24" s="110">
        <f t="shared" si="21"/>
        <v>7.1776715019256351E-2</v>
      </c>
      <c r="H24" s="409" t="b">
        <f>Wh_hp&gt;='2030'!Maxi_hp</f>
        <v>0</v>
      </c>
      <c r="I24" s="385">
        <f>IF(H24,Wh_hp,'2030'!Maxi_hp)</f>
        <v>7.65787086076881</v>
      </c>
      <c r="J24" s="85">
        <f>IF(H24,An,'2030'!An_max)</f>
        <v>2022</v>
      </c>
      <c r="K24" s="193">
        <f t="shared" si="3"/>
        <v>47858</v>
      </c>
      <c r="L24" s="143">
        <f>IF(t&lt;Tvie,1-EXP((T0-t)*PertePVj)+'2030'!Pspv,1-EXP((T0-t)*PertePVj)+Pspv)</f>
        <v>4.5921091855889773E-2</v>
      </c>
      <c r="M24" s="835"/>
      <c r="N24" s="835"/>
      <c r="O24" s="48">
        <f>IF(t&lt;Tnet,'2030'!Resal+('2030'!Salim-'2030'!Resal)*(1-EXP(('2030'!Tnet-t)/('2030'!Tau_j))),Resal+(Salim-Resal)*(1-EXP((Tnet-t)/(Tau_j))))*Salcycl</f>
        <v>2.556083054814505E-2</v>
      </c>
      <c r="P24" s="165">
        <f>(INDEX(Models!$BJ24:$BT24,,T24)*(1-R24)+INDEX(Models!$BJ24:$BT24,,T24+1)*R24-ERP_i)*Q24*Ramure*Pc/MaxiM</f>
        <v>1.218296133534386E-3</v>
      </c>
      <c r="Q24" s="301">
        <f t="shared" si="4"/>
        <v>0.5</v>
      </c>
      <c r="R24" s="173">
        <f t="shared" si="5"/>
        <v>0.96485363753006426</v>
      </c>
      <c r="S24" s="801">
        <f t="shared" si="6"/>
        <v>0</v>
      </c>
      <c r="T24" s="172">
        <f t="shared" si="7"/>
        <v>6</v>
      </c>
      <c r="U24" s="247">
        <f t="shared" si="8"/>
        <v>0.96485363753006426</v>
      </c>
      <c r="V24" s="378">
        <f t="shared" si="9"/>
        <v>98.947494126183827</v>
      </c>
      <c r="W24" s="397">
        <f t="shared" si="10"/>
        <v>7.1107891346737908</v>
      </c>
      <c r="X24" s="153">
        <f t="shared" si="11"/>
        <v>47858</v>
      </c>
      <c r="Y24" s="380">
        <f t="shared" si="12"/>
        <v>6.8919405646744858</v>
      </c>
      <c r="Z24" s="380">
        <f t="shared" si="22"/>
        <v>7.2236588670436079</v>
      </c>
      <c r="AA24" s="381">
        <f t="shared" si="13"/>
        <v>7.6485440493364001</v>
      </c>
      <c r="AB24" s="193">
        <f t="shared" si="14"/>
        <v>47858</v>
      </c>
      <c r="AC24" s="119">
        <f>IF(OR(t&lt;Tnet,NoTnet),'2030'!Resal_s+('2030'!Salim-'2030'!Resal_s)*(1-EXP(('2030'!Tnet_s-t)/'2030'!Tau_j)),Resal_s+(Salim-Resal_s)*(1-EXP((Tnet_s-t)/Tau_j)))*Salcycl</f>
        <v>5.5551119213290819E-2</v>
      </c>
      <c r="AD24" s="227">
        <f>(INDEX(Models!$BJ24:$BT24,,AH24)*(1-AF24)+INDEX(Models!$BJ24:$BT24,,AH24+1)*AF24-ERP_i)*AE24*Ramure*Pc/MaxiM</f>
        <v>6.0607725784500837E-3</v>
      </c>
      <c r="AE24" s="301">
        <f t="shared" si="15"/>
        <v>0.5</v>
      </c>
      <c r="AF24" s="173">
        <f t="shared" si="23"/>
        <v>0.48984120390404229</v>
      </c>
      <c r="AG24" s="801">
        <f t="shared" si="24"/>
        <v>4</v>
      </c>
      <c r="AH24" s="172">
        <f t="shared" si="16"/>
        <v>10</v>
      </c>
      <c r="AI24" s="221">
        <f t="shared" si="17"/>
        <v>4.4898412039040423</v>
      </c>
      <c r="AJ24" s="261" t="b">
        <f t="shared" si="18"/>
        <v>0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47859</v>
      </c>
      <c r="B25" s="406">
        <f>'2030'!Wh/'2030'!Env_an*'2031'!Env_an</f>
        <v>95.334549764134948</v>
      </c>
      <c r="C25" s="831"/>
      <c r="D25" s="388">
        <f t="shared" si="0"/>
        <v>99.924496829488703</v>
      </c>
      <c r="E25" s="380">
        <f t="shared" si="1"/>
        <v>102.55185705383494</v>
      </c>
      <c r="F25" s="380">
        <f t="shared" si="2"/>
        <v>102.66969827136617</v>
      </c>
      <c r="G25" s="110">
        <f t="shared" si="21"/>
        <v>0.9551886310569454</v>
      </c>
      <c r="H25" s="409" t="b">
        <f>Wh_hp&gt;='2030'!Maxi_hp</f>
        <v>0</v>
      </c>
      <c r="I25" s="385">
        <f>IF(H25,Wh_hp,'2030'!Maxi_hp)</f>
        <v>102.67775078920764</v>
      </c>
      <c r="J25" s="85">
        <f>IF(H25,An,'2030'!An_max)</f>
        <v>2022</v>
      </c>
      <c r="K25" s="193">
        <f t="shared" si="3"/>
        <v>47859</v>
      </c>
      <c r="L25" s="143">
        <f>IF(t&lt;Tvie,1-EXP((T0-t)*PertePVj)+'2030'!Pspv,1-EXP((T0-t)*PertePVj)+Pspv)</f>
        <v>4.5934152394943251E-2</v>
      </c>
      <c r="M25" s="835"/>
      <c r="N25" s="835"/>
      <c r="O25" s="48">
        <f>IF(t&lt;Tnet,'2030'!Resal+('2030'!Salim-'2030'!Resal)*(1-EXP(('2030'!Tnet-t)/('2030'!Tau_j))),Resal+(Salim-Resal)*(1-EXP((Tnet-t)/(Tau_j))))*Salcycl</f>
        <v>2.5619821033245602E-2</v>
      </c>
      <c r="P25" s="165">
        <f>(INDEX(Models!$BJ25:$BT25,,T25)*(1-R25)+INDEX(Models!$BJ25:$BT25,,T25+1)*R25-ERP_i)*Q25*Ramure*Pc/MaxiM</f>
        <v>1.2261312181058167E-3</v>
      </c>
      <c r="Q25" s="301">
        <f t="shared" si="4"/>
        <v>0.5</v>
      </c>
      <c r="R25" s="173">
        <f t="shared" si="5"/>
        <v>0.96489587298743029</v>
      </c>
      <c r="S25" s="801">
        <f t="shared" si="6"/>
        <v>0</v>
      </c>
      <c r="T25" s="172">
        <f t="shared" si="7"/>
        <v>6</v>
      </c>
      <c r="U25" s="247">
        <f t="shared" si="8"/>
        <v>0.96489587298743029</v>
      </c>
      <c r="V25" s="378">
        <f t="shared" si="9"/>
        <v>99.799209879186748</v>
      </c>
      <c r="W25" s="397">
        <f t="shared" si="10"/>
        <v>95.334549764134948</v>
      </c>
      <c r="X25" s="153">
        <f t="shared" si="11"/>
        <v>47859</v>
      </c>
      <c r="Y25" s="380">
        <f t="shared" si="12"/>
        <v>91.979072826393534</v>
      </c>
      <c r="Z25" s="380">
        <f t="shared" si="22"/>
        <v>96.407468160907285</v>
      </c>
      <c r="AA25" s="381">
        <f t="shared" si="13"/>
        <v>102.08075833723856</v>
      </c>
      <c r="AB25" s="193">
        <f t="shared" si="14"/>
        <v>47859</v>
      </c>
      <c r="AC25" s="119">
        <f>IF(OR(t&lt;Tnet,NoTnet),'2030'!Resal_s+('2030'!Salim-'2030'!Resal_s)*(1-EXP(('2030'!Tnet_s-t)/'2030'!Tau_j)),Resal_s+(Salim-Resal_s)*(1-EXP((Tnet_s-t)/Tau_j)))*Salcycl</f>
        <v>5.5576489328074345E-2</v>
      </c>
      <c r="AD25" s="227">
        <f>(INDEX(Models!$BJ25:$BT25,,AH25)*(1-AF25)+INDEX(Models!$BJ25:$BT25,,AH25+1)*AF25-ERP_i)*AE25*Ramure*Pc/MaxiM</f>
        <v>6.1278867780842315E-3</v>
      </c>
      <c r="AE25" s="301">
        <f t="shared" si="15"/>
        <v>0.5</v>
      </c>
      <c r="AF25" s="173">
        <f t="shared" si="23"/>
        <v>0.48988343936140843</v>
      </c>
      <c r="AG25" s="801">
        <f t="shared" si="24"/>
        <v>4</v>
      </c>
      <c r="AH25" s="172">
        <f t="shared" si="16"/>
        <v>10</v>
      </c>
      <c r="AI25" s="221">
        <f t="shared" si="17"/>
        <v>4.4898834393614084</v>
      </c>
      <c r="AJ25" s="261" t="b">
        <f t="shared" si="18"/>
        <v>0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47860</v>
      </c>
      <c r="B26" s="406">
        <f>'2030'!Wh/'2030'!Env_an*'2031'!Env_an</f>
        <v>81.737187799427289</v>
      </c>
      <c r="C26" s="831"/>
      <c r="D26" s="388">
        <f t="shared" si="0"/>
        <v>85.673653378736105</v>
      </c>
      <c r="E26" s="380">
        <f t="shared" si="1"/>
        <v>87.931629644552771</v>
      </c>
      <c r="F26" s="380">
        <f t="shared" si="2"/>
        <v>88.010771849907272</v>
      </c>
      <c r="G26" s="110">
        <f t="shared" si="21"/>
        <v>0.81152577883752852</v>
      </c>
      <c r="H26" s="409" t="b">
        <f>Wh_hp&gt;='2030'!Maxi_hp</f>
        <v>0</v>
      </c>
      <c r="I26" s="385">
        <f>IF(H26,Wh_hp,'2030'!Maxi_hp)</f>
        <v>88.039900443053</v>
      </c>
      <c r="J26" s="85">
        <f>IF(H26,An,'2030'!An_max)</f>
        <v>2022</v>
      </c>
      <c r="K26" s="193">
        <f t="shared" si="3"/>
        <v>47860</v>
      </c>
      <c r="L26" s="143">
        <f>IF(t&lt;Tvie,1-EXP((T0-t)*PertePVj)+'2030'!Pspv,1-EXP((T0-t)*PertePVj)+Pspv)</f>
        <v>4.5947212755208966E-2</v>
      </c>
      <c r="M26" s="835"/>
      <c r="N26" s="835"/>
      <c r="O26" s="48">
        <f>IF(t&lt;Tnet,'2030'!Resal+('2030'!Salim-'2030'!Resal)*(1-EXP(('2030'!Tnet-t)/('2030'!Tau_j))),Resal+(Salim-Resal)*(1-EXP((Tnet-t)/(Tau_j))))*Salcycl</f>
        <v>2.567877196117168E-2</v>
      </c>
      <c r="P26" s="165">
        <f>(INDEX(Models!$BJ26:$BT26,,T26)*(1-R26)+INDEX(Models!$BJ26:$BT26,,T26+1)*R26-ERP_i)*Q26*Ramure*Pc/MaxiM</f>
        <v>1.2299140797644619E-3</v>
      </c>
      <c r="Q26" s="301">
        <f t="shared" si="4"/>
        <v>0.5</v>
      </c>
      <c r="R26" s="173">
        <f t="shared" si="5"/>
        <v>0.9649398727151014</v>
      </c>
      <c r="S26" s="801">
        <f t="shared" si="6"/>
        <v>0</v>
      </c>
      <c r="T26" s="172">
        <f t="shared" si="7"/>
        <v>6</v>
      </c>
      <c r="U26" s="247">
        <f t="shared" si="8"/>
        <v>0.9649398727151014</v>
      </c>
      <c r="V26" s="378">
        <f t="shared" si="9"/>
        <v>100.68704738086868</v>
      </c>
      <c r="W26" s="397">
        <f t="shared" si="10"/>
        <v>81.737187799427289</v>
      </c>
      <c r="X26" s="153">
        <f t="shared" si="11"/>
        <v>47860</v>
      </c>
      <c r="Y26" s="380">
        <f t="shared" si="12"/>
        <v>78.939226712188784</v>
      </c>
      <c r="Z26" s="380">
        <f t="shared" si="22"/>
        <v>82.74094239602546</v>
      </c>
      <c r="AA26" s="381">
        <f t="shared" si="13"/>
        <v>87.612355025694512</v>
      </c>
      <c r="AB26" s="193">
        <f t="shared" si="14"/>
        <v>47860</v>
      </c>
      <c r="AC26" s="119">
        <f>IF(OR(t&lt;Tnet,NoTnet),'2030'!Resal_s+('2030'!Salim-'2030'!Resal_s)*(1-EXP(('2030'!Tnet_s-t)/'2030'!Tau_j)),Resal_s+(Salim-Resal_s)*(1-EXP((Tnet_s-t)/Tau_j)))*Salcycl</f>
        <v>5.5601891174371455E-2</v>
      </c>
      <c r="AD26" s="227">
        <f>(INDEX(Models!$BJ26:$BT26,,AH26)*(1-AF26)+INDEX(Models!$BJ26:$BT26,,AH26+1)*AF26-ERP_i)*AE26*Ramure*Pc/MaxiM</f>
        <v>6.1916200024919555E-3</v>
      </c>
      <c r="AE26" s="301">
        <f t="shared" si="15"/>
        <v>0.5</v>
      </c>
      <c r="AF26" s="173">
        <f t="shared" si="23"/>
        <v>0.48992743908907954</v>
      </c>
      <c r="AG26" s="801">
        <f t="shared" si="24"/>
        <v>4</v>
      </c>
      <c r="AH26" s="172">
        <f t="shared" si="16"/>
        <v>10</v>
      </c>
      <c r="AI26" s="221">
        <f t="shared" si="17"/>
        <v>4.4899274390890795</v>
      </c>
      <c r="AJ26" s="261" t="b">
        <f t="shared" si="18"/>
        <v>0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47861</v>
      </c>
      <c r="B27" s="406">
        <f>'2030'!Wh/'2030'!Env_an*'2031'!Env_an</f>
        <v>26.227750022594179</v>
      </c>
      <c r="C27" s="831"/>
      <c r="D27" s="388">
        <f t="shared" si="0"/>
        <v>27.491255634948722</v>
      </c>
      <c r="E27" s="380">
        <f t="shared" si="1"/>
        <v>28.217508942570454</v>
      </c>
      <c r="F27" s="380">
        <f t="shared" si="2"/>
        <v>28.217508942570454</v>
      </c>
      <c r="G27" s="110">
        <f t="shared" si="21"/>
        <v>0.25780769792051306</v>
      </c>
      <c r="H27" s="409" t="b">
        <f>Wh_hp&gt;='2030'!Maxi_hp</f>
        <v>0</v>
      </c>
      <c r="I27" s="385">
        <f>IF(H27,Wh_hp,'2030'!Maxi_hp)</f>
        <v>28.252238664990184</v>
      </c>
      <c r="J27" s="85">
        <f>IF(H27,An,'2030'!An_max)</f>
        <v>2022</v>
      </c>
      <c r="K27" s="193">
        <f t="shared" si="3"/>
        <v>47861</v>
      </c>
      <c r="L27" s="143">
        <f>IF(t&lt;Tvie,1-EXP((T0-t)*PertePVj)+'2030'!Pspv,1-EXP((T0-t)*PertePVj)+Pspv)</f>
        <v>4.5960272936689361E-2</v>
      </c>
      <c r="M27" s="835"/>
      <c r="N27" s="835"/>
      <c r="O27" s="48">
        <f>IF(t&lt;Tnet,'2030'!Resal+('2030'!Salim-'2030'!Resal)*(1-EXP(('2030'!Tnet-t)/('2030'!Tau_j))),Resal+(Salim-Resal)*(1-EXP((Tnet-t)/(Tau_j))))*Salcycl</f>
        <v>2.57376832625387E-2</v>
      </c>
      <c r="P27" s="165">
        <f>(INDEX(Models!$BJ27:$BT27,,T27)*(1-R27)+INDEX(Models!$BJ27:$BT27,,T27+1)*R27-ERP_i)*Q27*Ramure*Pc/MaxiM</f>
        <v>1.2297727809993202E-3</v>
      </c>
      <c r="Q27" s="301">
        <f t="shared" si="4"/>
        <v>0.5</v>
      </c>
      <c r="R27" s="173">
        <f t="shared" si="5"/>
        <v>0.96498571007957046</v>
      </c>
      <c r="S27" s="801">
        <f t="shared" si="6"/>
        <v>0</v>
      </c>
      <c r="T27" s="172">
        <f t="shared" si="7"/>
        <v>6</v>
      </c>
      <c r="U27" s="247">
        <f t="shared" si="8"/>
        <v>0.96498571007957046</v>
      </c>
      <c r="V27" s="378">
        <f t="shared" si="9"/>
        <v>101.60866436806748</v>
      </c>
      <c r="W27" s="397">
        <f t="shared" si="10"/>
        <v>26.227750022594179</v>
      </c>
      <c r="X27" s="153">
        <f t="shared" si="11"/>
        <v>47861</v>
      </c>
      <c r="Y27" s="380">
        <f t="shared" si="12"/>
        <v>25.423102223529074</v>
      </c>
      <c r="Z27" s="380">
        <f t="shared" si="22"/>
        <v>26.647844426547639</v>
      </c>
      <c r="AA27" s="381">
        <f t="shared" si="13"/>
        <v>28.217508942570454</v>
      </c>
      <c r="AB27" s="193">
        <f t="shared" si="14"/>
        <v>47861</v>
      </c>
      <c r="AC27" s="119">
        <f>IF(OR(t&lt;Tnet,NoTnet),'2030'!Resal_s+('2030'!Salim-'2030'!Resal_s)*(1-EXP(('2030'!Tnet_s-t)/'2030'!Tau_j)),Resal_s+(Salim-Resal_s)*(1-EXP((Tnet_s-t)/Tau_j)))*Salcycl</f>
        <v>5.5627324127635325E-2</v>
      </c>
      <c r="AD27" s="227">
        <f>(INDEX(Models!$BJ27:$BT27,,AH27)*(1-AF27)+INDEX(Models!$BJ27:$BT27,,AH27+1)*AF27-ERP_i)*AE27*Ramure*Pc/MaxiM</f>
        <v>6.2521245146040525E-3</v>
      </c>
      <c r="AE27" s="301">
        <f t="shared" si="15"/>
        <v>0.5</v>
      </c>
      <c r="AF27" s="173">
        <f t="shared" si="23"/>
        <v>0.48997327645354893</v>
      </c>
      <c r="AG27" s="801">
        <f t="shared" si="24"/>
        <v>4</v>
      </c>
      <c r="AH27" s="172">
        <f t="shared" si="16"/>
        <v>10</v>
      </c>
      <c r="AI27" s="221">
        <f t="shared" si="17"/>
        <v>4.4899732764535489</v>
      </c>
      <c r="AJ27" s="261" t="b">
        <f t="shared" si="18"/>
        <v>0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47862</v>
      </c>
      <c r="B28" s="406">
        <f>'2030'!Wh/'2030'!Env_an*'2031'!Env_an</f>
        <v>104.60021639513828</v>
      </c>
      <c r="C28" s="831"/>
      <c r="D28" s="388">
        <f t="shared" si="0"/>
        <v>109.64076792257275</v>
      </c>
      <c r="E28" s="380">
        <f t="shared" si="1"/>
        <v>112.54401584618668</v>
      </c>
      <c r="F28" s="380">
        <f t="shared" si="2"/>
        <v>112.68214599647807</v>
      </c>
      <c r="G28" s="110">
        <f t="shared" si="21"/>
        <v>1.0198758094816887</v>
      </c>
      <c r="H28" s="409" t="b">
        <f>Wh_hp&gt;='2030'!Maxi_hp</f>
        <v>1</v>
      </c>
      <c r="I28" s="385">
        <f>IF(H28,Wh_hp,'2030'!Maxi_hp)</f>
        <v>112.68214599647807</v>
      </c>
      <c r="J28" s="85">
        <f>IF(H28,An,'2030'!An_max)</f>
        <v>2031</v>
      </c>
      <c r="K28" s="193">
        <f t="shared" si="3"/>
        <v>47862</v>
      </c>
      <c r="L28" s="143">
        <f>IF(t&lt;Tvie,1-EXP((T0-t)*PertePVj)+'2030'!Pspv,1-EXP((T0-t)*PertePVj)+Pspv)</f>
        <v>4.5973332939386768E-2</v>
      </c>
      <c r="M28" s="835"/>
      <c r="N28" s="835"/>
      <c r="O28" s="48">
        <f>IF(t&lt;Tnet,'2030'!Resal+('2030'!Salim-'2030'!Resal)*(1-EXP(('2030'!Tnet-t)/('2030'!Tau_j))),Resal+(Salim-Resal)*(1-EXP((Tnet-t)/(Tau_j))))*Salcycl</f>
        <v>2.5796555256938608E-2</v>
      </c>
      <c r="P28" s="165">
        <f>(INDEX(Models!$BJ28:$BT28,,T28)*(1-R28)+INDEX(Models!$BJ28:$BT28,,T28+1)*R28-ERP_i)*Q28*Ramure*Pc/MaxiM</f>
        <v>1.2258388324952504E-3</v>
      </c>
      <c r="Q28" s="301">
        <f t="shared" si="4"/>
        <v>0.5</v>
      </c>
      <c r="R28" s="173">
        <f t="shared" si="5"/>
        <v>0.96503346146995994</v>
      </c>
      <c r="S28" s="801">
        <f t="shared" si="6"/>
        <v>0</v>
      </c>
      <c r="T28" s="172">
        <f t="shared" si="7"/>
        <v>6</v>
      </c>
      <c r="U28" s="247">
        <f t="shared" si="8"/>
        <v>0.96503346146995994</v>
      </c>
      <c r="V28" s="378">
        <f t="shared" si="9"/>
        <v>102.56171920412268</v>
      </c>
      <c r="W28" s="397">
        <f t="shared" si="10"/>
        <v>104.60021639513828</v>
      </c>
      <c r="X28" s="153">
        <f t="shared" si="11"/>
        <v>47862</v>
      </c>
      <c r="Y28" s="380">
        <f t="shared" si="12"/>
        <v>100.87845864391241</v>
      </c>
      <c r="Z28" s="380">
        <f t="shared" si="22"/>
        <v>105.73966339402459</v>
      </c>
      <c r="AA28" s="381">
        <f t="shared" si="13"/>
        <v>111.97117129817332</v>
      </c>
      <c r="AB28" s="193">
        <f t="shared" si="14"/>
        <v>47862</v>
      </c>
      <c r="AC28" s="119">
        <f>IF(OR(t&lt;Tnet,NoTnet),'2030'!Resal_s+('2030'!Salim-'2030'!Resal_s)*(1-EXP(('2030'!Tnet_s-t)/'2030'!Tau_j)),Resal_s+(Salim-Resal_s)*(1-EXP((Tnet_s-t)/Tau_j)))*Salcycl</f>
        <v>5.565278840885348E-2</v>
      </c>
      <c r="AD28" s="227">
        <f>(INDEX(Models!$BJ28:$BT28,,AH28)*(1-AF28)+INDEX(Models!$BJ28:$BT28,,AH28+1)*AF28-ERP_i)*AE28*Ramure*Pc/MaxiM</f>
        <v>6.3095594427796655E-3</v>
      </c>
      <c r="AE28" s="301">
        <f t="shared" si="15"/>
        <v>0.5</v>
      </c>
      <c r="AF28" s="173">
        <f t="shared" si="23"/>
        <v>0.49002102784393831</v>
      </c>
      <c r="AG28" s="801">
        <f t="shared" si="24"/>
        <v>4</v>
      </c>
      <c r="AH28" s="172">
        <f t="shared" si="16"/>
        <v>10</v>
      </c>
      <c r="AI28" s="221">
        <f t="shared" si="17"/>
        <v>4.4900210278439383</v>
      </c>
      <c r="AJ28" s="261" t="b">
        <f t="shared" si="18"/>
        <v>0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47863</v>
      </c>
      <c r="B29" s="406">
        <f>'2030'!Wh/'2030'!Env_an*'2031'!Env_an</f>
        <v>106.20315660860985</v>
      </c>
      <c r="C29" s="831"/>
      <c r="D29" s="388">
        <f t="shared" si="0"/>
        <v>111.32247569951089</v>
      </c>
      <c r="E29" s="380">
        <f t="shared" si="1"/>
        <v>114.27715597548509</v>
      </c>
      <c r="F29" s="380">
        <f t="shared" si="2"/>
        <v>114.4165434492556</v>
      </c>
      <c r="G29" s="110">
        <f t="shared" si="21"/>
        <v>1.025682695128749</v>
      </c>
      <c r="H29" s="409" t="b">
        <f>Wh_hp&gt;='2030'!Maxi_hp</f>
        <v>1</v>
      </c>
      <c r="I29" s="385">
        <f>IF(H29,Wh_hp,'2030'!Maxi_hp)</f>
        <v>114.4165434492556</v>
      </c>
      <c r="J29" s="85">
        <f>IF(H29,An,'2030'!An_max)</f>
        <v>2031</v>
      </c>
      <c r="K29" s="193">
        <f t="shared" si="3"/>
        <v>47863</v>
      </c>
      <c r="L29" s="143">
        <f>IF(t&lt;Tvie,1-EXP((T0-t)*PertePVj)+'2030'!Pspv,1-EXP((T0-t)*PertePVj)+Pspv)</f>
        <v>4.5986392763303741E-2</v>
      </c>
      <c r="M29" s="835"/>
      <c r="N29" s="835"/>
      <c r="O29" s="48">
        <f>IF(t&lt;Tnet,'2030'!Resal+('2030'!Salim-'2030'!Resal)*(1-EXP(('2030'!Tnet-t)/('2030'!Tau_j))),Resal+(Salim-Resal)*(1-EXP((Tnet-t)/(Tau_j))))*Salcycl</f>
        <v>2.5855388601095756E-2</v>
      </c>
      <c r="P29" s="165">
        <f>(INDEX(Models!$BJ29:$BT29,,T29)*(1-R29)+INDEX(Models!$BJ29:$BT29,,T29+1)*R29-ERP_i)*Q29*Ramure*Pc/MaxiM</f>
        <v>1.218245802298089E-3</v>
      </c>
      <c r="Q29" s="301">
        <f t="shared" si="4"/>
        <v>0.5</v>
      </c>
      <c r="R29" s="173">
        <f t="shared" si="5"/>
        <v>0.96508320642013223</v>
      </c>
      <c r="S29" s="801">
        <f t="shared" si="6"/>
        <v>0</v>
      </c>
      <c r="T29" s="172">
        <f t="shared" si="7"/>
        <v>6</v>
      </c>
      <c r="U29" s="247">
        <f t="shared" si="8"/>
        <v>0.96508320642013223</v>
      </c>
      <c r="V29" s="378">
        <f t="shared" si="9"/>
        <v>103.54387093883716</v>
      </c>
      <c r="W29" s="397">
        <f t="shared" si="10"/>
        <v>106.20315660860985</v>
      </c>
      <c r="X29" s="153">
        <f t="shared" si="11"/>
        <v>47863</v>
      </c>
      <c r="Y29" s="380">
        <f t="shared" si="12"/>
        <v>102.42138588753487</v>
      </c>
      <c r="Z29" s="380">
        <f t="shared" si="22"/>
        <v>107.35841198764321</v>
      </c>
      <c r="AA29" s="381">
        <f t="shared" si="13"/>
        <v>113.6883863606643</v>
      </c>
      <c r="AB29" s="193">
        <f t="shared" si="14"/>
        <v>47863</v>
      </c>
      <c r="AC29" s="119">
        <f>IF(OR(t&lt;Tnet,NoTnet),'2030'!Resal_s+('2030'!Salim-'2030'!Resal_s)*(1-EXP(('2030'!Tnet_s-t)/'2030'!Tau_j)),Resal_s+(Salim-Resal_s)*(1-EXP((Tnet_s-t)/Tau_j)))*Salcycl</f>
        <v>5.5678284965184684E-2</v>
      </c>
      <c r="AD29" s="227">
        <f>(INDEX(Models!$BJ29:$BT29,,AH29)*(1-AF29)+INDEX(Models!$BJ29:$BT29,,AH29+1)*AF29-ERP_i)*AE29*Ramure*Pc/MaxiM</f>
        <v>6.3640892010886673E-3</v>
      </c>
      <c r="AE29" s="301">
        <f t="shared" si="15"/>
        <v>0.5</v>
      </c>
      <c r="AF29" s="173">
        <f t="shared" si="23"/>
        <v>0.49007077279411071</v>
      </c>
      <c r="AG29" s="801">
        <f t="shared" si="24"/>
        <v>4</v>
      </c>
      <c r="AH29" s="172">
        <f t="shared" si="16"/>
        <v>10</v>
      </c>
      <c r="AI29" s="221">
        <f t="shared" si="17"/>
        <v>4.4900707727941107</v>
      </c>
      <c r="AJ29" s="261" t="b">
        <f t="shared" si="18"/>
        <v>0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47864</v>
      </c>
      <c r="B30" s="406">
        <f>'2030'!Wh/'2030'!Env_an*'2031'!Env_an</f>
        <v>105.61853131626955</v>
      </c>
      <c r="C30" s="831"/>
      <c r="D30" s="388">
        <f t="shared" si="0"/>
        <v>110.71118521148766</v>
      </c>
      <c r="E30" s="380">
        <f t="shared" si="1"/>
        <v>113.65650071049714</v>
      </c>
      <c r="F30" s="380">
        <f t="shared" si="2"/>
        <v>113.79391184138983</v>
      </c>
      <c r="G30" s="110">
        <f t="shared" si="21"/>
        <v>1.0101938567944702</v>
      </c>
      <c r="H30" s="409" t="b">
        <f>Wh_hp&gt;='2030'!Maxi_hp</f>
        <v>1</v>
      </c>
      <c r="I30" s="385">
        <f>IF(H30,Wh_hp,'2030'!Maxi_hp)</f>
        <v>113.79391184138983</v>
      </c>
      <c r="J30" s="85">
        <f>IF(H30,An,'2030'!An_max)</f>
        <v>2031</v>
      </c>
      <c r="K30" s="193">
        <f t="shared" si="3"/>
        <v>47864</v>
      </c>
      <c r="L30" s="143">
        <f>IF(t&lt;Tvie,1-EXP((T0-t)*PertePVj)+'2030'!Pspv,1-EXP((T0-t)*PertePVj)+Pspv)</f>
        <v>4.5999452408442609E-2</v>
      </c>
      <c r="M30" s="835"/>
      <c r="N30" s="835"/>
      <c r="O30" s="48">
        <f>IF(t&lt;Tnet,'2030'!Resal+('2030'!Salim-'2030'!Resal)*(1-EXP(('2030'!Tnet-t)/('2030'!Tau_j))),Resal+(Salim-Resal)*(1-EXP((Tnet-t)/(Tau_j))))*Salcycl</f>
        <v>2.5914184235811662E-2</v>
      </c>
      <c r="P30" s="165">
        <f>(INDEX(Models!$BJ30:$BT30,,T30)*(1-R30)+INDEX(Models!$BJ30:$BT30,,T30+1)*R30-ERP_i)*Q30*Ramure*Pc/MaxiM</f>
        <v>1.2075437839259354E-3</v>
      </c>
      <c r="Q30" s="301">
        <f t="shared" si="4"/>
        <v>0.5</v>
      </c>
      <c r="R30" s="173">
        <f t="shared" si="5"/>
        <v>0.96513502773552551</v>
      </c>
      <c r="S30" s="801">
        <f t="shared" si="6"/>
        <v>0</v>
      </c>
      <c r="T30" s="172">
        <f t="shared" si="7"/>
        <v>6</v>
      </c>
      <c r="U30" s="247">
        <f t="shared" si="8"/>
        <v>0.96513502773552551</v>
      </c>
      <c r="V30" s="378">
        <f t="shared" si="9"/>
        <v>104.55273570106283</v>
      </c>
      <c r="W30" s="397">
        <f t="shared" si="10"/>
        <v>105.61853131626955</v>
      </c>
      <c r="X30" s="153">
        <f t="shared" si="11"/>
        <v>47864</v>
      </c>
      <c r="Y30" s="380">
        <f t="shared" si="12"/>
        <v>101.85562889199802</v>
      </c>
      <c r="Z30" s="380">
        <f t="shared" si="22"/>
        <v>106.76684531171375</v>
      </c>
      <c r="AA30" s="381">
        <f t="shared" si="13"/>
        <v>113.06499702867229</v>
      </c>
      <c r="AB30" s="193">
        <f t="shared" si="14"/>
        <v>47864</v>
      </c>
      <c r="AC30" s="119">
        <f>IF(OR(t&lt;Tnet,NoTnet),'2030'!Resal_s+('2030'!Salim-'2030'!Resal_s)*(1-EXP(('2030'!Tnet_s-t)/'2030'!Tau_j)),Resal_s+(Salim-Resal_s)*(1-EXP((Tnet_s-t)/Tau_j)))*Salcycl</f>
        <v>5.5703815349337382E-2</v>
      </c>
      <c r="AD30" s="227">
        <f>(INDEX(Models!$BJ30:$BT30,,AH30)*(1-AF30)+INDEX(Models!$BJ30:$BT30,,AH30+1)*AF30-ERP_i)*AE30*Ramure*Pc/MaxiM</f>
        <v>6.4055695152963619E-3</v>
      </c>
      <c r="AE30" s="301">
        <f t="shared" si="15"/>
        <v>0.5</v>
      </c>
      <c r="AF30" s="173">
        <f t="shared" si="23"/>
        <v>0.49012259410950332</v>
      </c>
      <c r="AG30" s="801">
        <f t="shared" si="24"/>
        <v>4</v>
      </c>
      <c r="AH30" s="172">
        <f t="shared" si="16"/>
        <v>10</v>
      </c>
      <c r="AI30" s="221">
        <f t="shared" si="17"/>
        <v>4.4901225941095033</v>
      </c>
      <c r="AJ30" s="261" t="b">
        <f t="shared" si="18"/>
        <v>0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47865</v>
      </c>
      <c r="B31" s="406">
        <f>'2030'!Wh/'2030'!Env_an*'2031'!Env_an</f>
        <v>82.939674932982157</v>
      </c>
      <c r="C31" s="831"/>
      <c r="D31" s="388">
        <f t="shared" si="0"/>
        <v>86.940002846345294</v>
      </c>
      <c r="E31" s="380">
        <f t="shared" si="1"/>
        <v>89.258303710557399</v>
      </c>
      <c r="F31" s="380">
        <f t="shared" si="2"/>
        <v>89.332323877958089</v>
      </c>
      <c r="G31" s="110">
        <f t="shared" si="21"/>
        <v>0.78523076667160796</v>
      </c>
      <c r="H31" s="409" t="b">
        <f>Wh_hp&gt;='2030'!Maxi_hp</f>
        <v>0</v>
      </c>
      <c r="I31" s="385">
        <f>IF(H31,Wh_hp,'2030'!Maxi_hp)</f>
        <v>89.36504341458523</v>
      </c>
      <c r="J31" s="85">
        <f>IF(H31,An,'2030'!An_max)</f>
        <v>2022</v>
      </c>
      <c r="K31" s="193">
        <f t="shared" si="3"/>
        <v>47865</v>
      </c>
      <c r="L31" s="143">
        <f>IF(t&lt;Tvie,1-EXP((T0-t)*PertePVj)+'2030'!Pspv,1-EXP((T0-t)*PertePVj)+Pspv)</f>
        <v>4.6012511874806039E-2</v>
      </c>
      <c r="M31" s="835"/>
      <c r="N31" s="835"/>
      <c r="O31" s="48">
        <f>IF(t&lt;Tnet,'2030'!Resal+('2030'!Salim-'2030'!Resal)*(1-EXP(('2030'!Tnet-t)/('2030'!Tau_j))),Resal+(Salim-Resal)*(1-EXP((Tnet-t)/(Tau_j))))*Salcycl</f>
        <v>2.5972943332306403E-2</v>
      </c>
      <c r="P31" s="165">
        <f>(INDEX(Models!$BJ31:$BT31,,T31)*(1-R31)+INDEX(Models!$BJ31:$BT31,,T31+1)*R31-ERP_i)*Q31*Ramure*Pc/MaxiM</f>
        <v>1.1946306631378796E-3</v>
      </c>
      <c r="Q31" s="301">
        <f t="shared" si="4"/>
        <v>0.5</v>
      </c>
      <c r="R31" s="173">
        <f t="shared" si="5"/>
        <v>0.96518901162487969</v>
      </c>
      <c r="S31" s="801">
        <f t="shared" si="6"/>
        <v>0</v>
      </c>
      <c r="T31" s="172">
        <f t="shared" si="7"/>
        <v>6</v>
      </c>
      <c r="U31" s="247">
        <f t="shared" si="8"/>
        <v>0.96518901162487969</v>
      </c>
      <c r="V31" s="378">
        <f t="shared" si="9"/>
        <v>105.58589176345463</v>
      </c>
      <c r="W31" s="397">
        <f t="shared" si="10"/>
        <v>82.939674932982157</v>
      </c>
      <c r="X31" s="153">
        <f t="shared" si="11"/>
        <v>47865</v>
      </c>
      <c r="Y31" s="380">
        <f t="shared" si="12"/>
        <v>80.113704283934254</v>
      </c>
      <c r="Z31" s="380">
        <f t="shared" si="22"/>
        <v>83.977730610886951</v>
      </c>
      <c r="AA31" s="381">
        <f t="shared" si="13"/>
        <v>88.933965512018517</v>
      </c>
      <c r="AB31" s="193">
        <f t="shared" si="14"/>
        <v>47865</v>
      </c>
      <c r="AC31" s="119">
        <f>IF(OR(t&lt;Tnet,NoTnet),'2030'!Resal_s+('2030'!Salim-'2030'!Resal_s)*(1-EXP(('2030'!Tnet_s-t)/'2030'!Tau_j)),Resal_s+(Salim-Resal_s)*(1-EXP((Tnet_s-t)/Tau_j)))*Salcycl</f>
        <v>5.5729381598999712E-2</v>
      </c>
      <c r="AD31" s="227">
        <f>(INDEX(Models!$BJ31:$BT31,,AH31)*(1-AF31)+INDEX(Models!$BJ31:$BT31,,AH31+1)*AF31-ERP_i)*AE31*Ramure*Pc/MaxiM</f>
        <v>6.4292088977971618E-3</v>
      </c>
      <c r="AE31" s="301">
        <f t="shared" si="15"/>
        <v>0.5</v>
      </c>
      <c r="AF31" s="173">
        <f t="shared" si="23"/>
        <v>0.49017657799885761</v>
      </c>
      <c r="AG31" s="801">
        <f t="shared" si="24"/>
        <v>4</v>
      </c>
      <c r="AH31" s="172">
        <f t="shared" si="16"/>
        <v>10</v>
      </c>
      <c r="AI31" s="221">
        <f t="shared" si="17"/>
        <v>4.4901765779988576</v>
      </c>
      <c r="AJ31" s="261" t="b">
        <f t="shared" si="18"/>
        <v>0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47866</v>
      </c>
      <c r="B32" s="406">
        <f>'2030'!Wh/'2030'!Env_an*'2031'!Env_an</f>
        <v>21.723384596209677</v>
      </c>
      <c r="C32" s="831"/>
      <c r="D32" s="388">
        <f t="shared" si="0"/>
        <v>22.771453761794358</v>
      </c>
      <c r="E32" s="380">
        <f t="shared" si="1"/>
        <v>23.380076123452238</v>
      </c>
      <c r="F32" s="380">
        <f t="shared" si="2"/>
        <v>23.380076123452238</v>
      </c>
      <c r="G32" s="110">
        <f t="shared" si="21"/>
        <v>0.20346545504102265</v>
      </c>
      <c r="H32" s="409" t="b">
        <f>Wh_hp&gt;='2030'!Maxi_hp</f>
        <v>0</v>
      </c>
      <c r="I32" s="385">
        <f>IF(H32,Wh_hp,'2030'!Maxi_hp)</f>
        <v>23.40767107813555</v>
      </c>
      <c r="J32" s="85">
        <f>IF(H32,An,'2030'!An_max)</f>
        <v>2022</v>
      </c>
      <c r="K32" s="193">
        <f t="shared" si="3"/>
        <v>47866</v>
      </c>
      <c r="L32" s="143">
        <f>IF(t&lt;Tvie,1-EXP((T0-t)*PertePVj)+'2030'!Pspv,1-EXP((T0-t)*PertePVj)+Pspv)</f>
        <v>4.602557116239625E-2</v>
      </c>
      <c r="M32" s="835"/>
      <c r="N32" s="835"/>
      <c r="O32" s="48">
        <f>IF(t&lt;Tnet,'2030'!Resal+('2030'!Salim-'2030'!Resal)*(1-EXP(('2030'!Tnet-t)/('2030'!Tau_j))),Resal+(Salim-Resal)*(1-EXP((Tnet-t)/(Tau_j))))*Salcycl</f>
        <v>2.6031667238558646E-2</v>
      </c>
      <c r="P32" s="165">
        <f>(INDEX(Models!$BJ32:$BT32,,T32)*(1-R32)+INDEX(Models!$BJ32:$BT32,,T32+1)*R32-ERP_i)*Q32*Ramure*Pc/MaxiM</f>
        <v>1.179603649656057E-3</v>
      </c>
      <c r="Q32" s="301">
        <f t="shared" si="4"/>
        <v>0.5</v>
      </c>
      <c r="R32" s="173">
        <f t="shared" si="5"/>
        <v>0.96524524783702137</v>
      </c>
      <c r="S32" s="801">
        <f t="shared" si="6"/>
        <v>0</v>
      </c>
      <c r="T32" s="172">
        <f t="shared" si="7"/>
        <v>6</v>
      </c>
      <c r="U32" s="247">
        <f t="shared" si="8"/>
        <v>0.96524524783702137</v>
      </c>
      <c r="V32" s="378">
        <f t="shared" si="9"/>
        <v>106.64100010531226</v>
      </c>
      <c r="W32" s="397">
        <f t="shared" si="10"/>
        <v>21.723384596209677</v>
      </c>
      <c r="X32" s="153">
        <f t="shared" si="11"/>
        <v>47866</v>
      </c>
      <c r="Y32" s="380">
        <f t="shared" si="12"/>
        <v>21.0604358475019</v>
      </c>
      <c r="Z32" s="380">
        <f t="shared" si="22"/>
        <v>22.076520303760724</v>
      </c>
      <c r="AA32" s="381">
        <f t="shared" si="13"/>
        <v>23.380076123452238</v>
      </c>
      <c r="AB32" s="193">
        <f t="shared" si="14"/>
        <v>47866</v>
      </c>
      <c r="AC32" s="119">
        <f>IF(OR(t&lt;Tnet,NoTnet),'2030'!Resal_s+('2030'!Salim-'2030'!Resal_s)*(1-EXP(('2030'!Tnet_s-t)/'2030'!Tau_j)),Resal_s+(Salim-Resal_s)*(1-EXP((Tnet_s-t)/Tau_j)))*Salcycl</f>
        <v>5.5754986117600262E-2</v>
      </c>
      <c r="AD32" s="227">
        <f>(INDEX(Models!$BJ32:$BT32,,AH32)*(1-AF32)+INDEX(Models!$BJ32:$BT32,,AH32+1)*AF32-ERP_i)*AE32*Ramure*Pc/MaxiM</f>
        <v>6.4356416100065745E-3</v>
      </c>
      <c r="AE32" s="301">
        <f t="shared" si="15"/>
        <v>0.5</v>
      </c>
      <c r="AF32" s="173">
        <f t="shared" si="23"/>
        <v>0.49023281421099973</v>
      </c>
      <c r="AG32" s="801">
        <f t="shared" si="24"/>
        <v>4</v>
      </c>
      <c r="AH32" s="172">
        <f t="shared" si="16"/>
        <v>10</v>
      </c>
      <c r="AI32" s="221">
        <f t="shared" si="17"/>
        <v>4.4902328142109997</v>
      </c>
      <c r="AJ32" s="261" t="b">
        <f t="shared" si="18"/>
        <v>0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47867</v>
      </c>
      <c r="B33" s="406">
        <f>'2030'!Wh/'2030'!Env_an*'2031'!Env_an</f>
        <v>44.362614759708613</v>
      </c>
      <c r="C33" s="831"/>
      <c r="D33" s="388">
        <f t="shared" si="0"/>
        <v>46.503575687054415</v>
      </c>
      <c r="E33" s="380">
        <f t="shared" si="1"/>
        <v>47.749373919492882</v>
      </c>
      <c r="F33" s="380">
        <f t="shared" si="2"/>
        <v>47.75824541900311</v>
      </c>
      <c r="G33" s="110">
        <f t="shared" si="21"/>
        <v>0.41144665212744508</v>
      </c>
      <c r="H33" s="409" t="b">
        <f>Wh_hp&gt;='2030'!Maxi_hp</f>
        <v>0</v>
      </c>
      <c r="I33" s="385">
        <f>IF(H33,Wh_hp,'2030'!Maxi_hp)</f>
        <v>47.804919366126292</v>
      </c>
      <c r="J33" s="85">
        <f>IF(H33,An,'2030'!An_max)</f>
        <v>2022</v>
      </c>
      <c r="K33" s="193">
        <f t="shared" si="3"/>
        <v>47867</v>
      </c>
      <c r="L33" s="143">
        <f>IF(t&lt;Tvie,1-EXP((T0-t)*PertePVj)+'2030'!Pspv,1-EXP((T0-t)*PertePVj)+Pspv)</f>
        <v>4.6038630271215797E-2</v>
      </c>
      <c r="M33" s="835"/>
      <c r="N33" s="835"/>
      <c r="O33" s="48">
        <f>IF(t&lt;Tnet,'2030'!Resal+('2030'!Salim-'2030'!Resal)*(1-EXP(('2030'!Tnet-t)/('2030'!Tau_j))),Resal+(Salim-Resal)*(1-EXP((Tnet-t)/(Tau_j))))*Salcycl</f>
        <v>2.609035742623407E-2</v>
      </c>
      <c r="P33" s="165">
        <f>(INDEX(Models!$BJ33:$BT33,,T33)*(1-R33)+INDEX(Models!$BJ33:$BT33,,T33+1)*R33-ERP_i)*Q33*Ramure*Pc/MaxiM</f>
        <v>1.1625577190570696E-3</v>
      </c>
      <c r="Q33" s="301">
        <f t="shared" si="4"/>
        <v>0.5</v>
      </c>
      <c r="R33" s="173">
        <f t="shared" si="5"/>
        <v>0.96530382980288221</v>
      </c>
      <c r="S33" s="801">
        <f t="shared" si="6"/>
        <v>0</v>
      </c>
      <c r="T33" s="172">
        <f t="shared" si="7"/>
        <v>6</v>
      </c>
      <c r="U33" s="247">
        <f t="shared" si="8"/>
        <v>0.96530382980288221</v>
      </c>
      <c r="V33" s="378">
        <f t="shared" si="9"/>
        <v>107.71572234596114</v>
      </c>
      <c r="W33" s="397">
        <f t="shared" si="10"/>
        <v>44.362614759708613</v>
      </c>
      <c r="X33" s="153">
        <f t="shared" si="11"/>
        <v>47867</v>
      </c>
      <c r="Y33" s="380">
        <f t="shared" si="12"/>
        <v>42.974015832018964</v>
      </c>
      <c r="Z33" s="380">
        <f t="shared" si="22"/>
        <v>45.047962313439044</v>
      </c>
      <c r="AA33" s="381">
        <f t="shared" si="13"/>
        <v>47.709212307043167</v>
      </c>
      <c r="AB33" s="193">
        <f t="shared" si="14"/>
        <v>47867</v>
      </c>
      <c r="AC33" s="119">
        <f>IF(OR(t&lt;Tnet,NoTnet),'2030'!Resal_s+('2030'!Salim-'2030'!Resal_s)*(1-EXP(('2030'!Tnet_s-t)/'2030'!Tau_j)),Resal_s+(Salim-Resal_s)*(1-EXP((Tnet_s-t)/Tau_j)))*Salcycl</f>
        <v>5.5780631557634255E-2</v>
      </c>
      <c r="AD33" s="227">
        <f>(INDEX(Models!$BJ33:$BT33,,AH33)*(1-AF33)+INDEX(Models!$BJ33:$BT33,,AH33+1)*AF33-ERP_i)*AE33*Ramure*Pc/MaxiM</f>
        <v>6.4255003038367715E-3</v>
      </c>
      <c r="AE33" s="301">
        <f t="shared" si="15"/>
        <v>0.5</v>
      </c>
      <c r="AF33" s="173">
        <f t="shared" si="23"/>
        <v>0.49029139617686024</v>
      </c>
      <c r="AG33" s="801">
        <f t="shared" si="24"/>
        <v>4</v>
      </c>
      <c r="AH33" s="172">
        <f t="shared" si="16"/>
        <v>10</v>
      </c>
      <c r="AI33" s="221">
        <f t="shared" si="17"/>
        <v>4.4902913961768602</v>
      </c>
      <c r="AJ33" s="261" t="b">
        <f t="shared" si="18"/>
        <v>0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47868</v>
      </c>
      <c r="B34" s="406">
        <f>'2030'!Wh/'2030'!Env_an*'2031'!Env_an</f>
        <v>22.8635191843988</v>
      </c>
      <c r="C34" s="831"/>
      <c r="D34" s="388">
        <f t="shared" si="0"/>
        <v>23.967251606384593</v>
      </c>
      <c r="E34" s="380">
        <f t="shared" si="1"/>
        <v>24.610799790055335</v>
      </c>
      <c r="F34" s="380">
        <f t="shared" si="2"/>
        <v>24.610799790055335</v>
      </c>
      <c r="G34" s="110">
        <f t="shared" si="21"/>
        <v>0.20988742932136176</v>
      </c>
      <c r="H34" s="409" t="b">
        <f>Wh_hp&gt;='2030'!Maxi_hp</f>
        <v>0</v>
      </c>
      <c r="I34" s="385">
        <f>IF(H34,Wh_hp,'2030'!Maxi_hp)</f>
        <v>24.638956934020555</v>
      </c>
      <c r="J34" s="85">
        <f>IF(H34,An,'2030'!An_max)</f>
        <v>2022</v>
      </c>
      <c r="K34" s="193">
        <f t="shared" si="3"/>
        <v>47868</v>
      </c>
      <c r="L34" s="143">
        <f>IF(t&lt;Tvie,1-EXP((T0-t)*PertePVj)+'2030'!Pspv,1-EXP((T0-t)*PertePVj)+Pspv)</f>
        <v>4.6051689201267121E-2</v>
      </c>
      <c r="M34" s="835"/>
      <c r="N34" s="835"/>
      <c r="O34" s="48">
        <f>IF(t&lt;Tnet,'2030'!Resal+('2030'!Salim-'2030'!Resal)*(1-EXP(('2030'!Tnet-t)/('2030'!Tau_j))),Resal+(Salim-Resal)*(1-EXP((Tnet-t)/(Tau_j))))*Salcycl</f>
        <v>2.614901543877431E-2</v>
      </c>
      <c r="P34" s="165">
        <f>(INDEX(Models!$BJ34:$BT34,,T34)*(1-R34)+INDEX(Models!$BJ34:$BT34,,T34+1)*R34-ERP_i)*Q34*Ramure*Pc/MaxiM</f>
        <v>1.143590456596185E-3</v>
      </c>
      <c r="Q34" s="301">
        <f t="shared" si="4"/>
        <v>0.5</v>
      </c>
      <c r="R34" s="173">
        <f t="shared" si="5"/>
        <v>0.96536485478292489</v>
      </c>
      <c r="S34" s="801">
        <f t="shared" si="6"/>
        <v>0</v>
      </c>
      <c r="T34" s="172">
        <f t="shared" si="7"/>
        <v>6</v>
      </c>
      <c r="U34" s="247">
        <f t="shared" si="8"/>
        <v>0.96536485478292489</v>
      </c>
      <c r="V34" s="378">
        <f t="shared" si="9"/>
        <v>108.80772019504167</v>
      </c>
      <c r="W34" s="397">
        <f t="shared" si="10"/>
        <v>22.8635191843988</v>
      </c>
      <c r="X34" s="153">
        <f t="shared" si="11"/>
        <v>47868</v>
      </c>
      <c r="Y34" s="380">
        <f t="shared" si="12"/>
        <v>22.167241849648288</v>
      </c>
      <c r="Z34" s="380">
        <f t="shared" si="22"/>
        <v>23.23736160409765</v>
      </c>
      <c r="AA34" s="381">
        <f t="shared" si="13"/>
        <v>24.610799790055335</v>
      </c>
      <c r="AB34" s="193">
        <f t="shared" si="14"/>
        <v>47868</v>
      </c>
      <c r="AC34" s="119">
        <f>IF(OR(t&lt;Tnet,NoTnet),'2030'!Resal_s+('2030'!Salim-'2030'!Resal_s)*(1-EXP(('2030'!Tnet_s-t)/'2030'!Tau_j)),Resal_s+(Salim-Resal_s)*(1-EXP((Tnet_s-t)/Tau_j)))*Salcycl</f>
        <v>5.5806320707734919E-2</v>
      </c>
      <c r="AD34" s="227">
        <f>(INDEX(Models!$BJ34:$BT34,,AH34)*(1-AF34)+INDEX(Models!$BJ34:$BT34,,AH34+1)*AF34-ERP_i)*AE34*Ramure*Pc/MaxiM</f>
        <v>6.3994413501768811E-3</v>
      </c>
      <c r="AE34" s="301">
        <f t="shared" si="15"/>
        <v>0.5</v>
      </c>
      <c r="AF34" s="173">
        <f t="shared" si="23"/>
        <v>0.49035242115690281</v>
      </c>
      <c r="AG34" s="801">
        <f t="shared" si="24"/>
        <v>4</v>
      </c>
      <c r="AH34" s="172">
        <f t="shared" si="16"/>
        <v>10</v>
      </c>
      <c r="AI34" s="221">
        <f t="shared" si="17"/>
        <v>4.4903524211569028</v>
      </c>
      <c r="AJ34" s="261" t="b">
        <f t="shared" si="18"/>
        <v>0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47869</v>
      </c>
      <c r="B35" s="406">
        <f>'2030'!Wh/'2030'!Env_an*'2031'!Env_an</f>
        <v>57.398688975770767</v>
      </c>
      <c r="C35" s="831"/>
      <c r="D35" s="388">
        <f t="shared" si="0"/>
        <v>60.170424410435608</v>
      </c>
      <c r="E35" s="380">
        <f t="shared" si="1"/>
        <v>61.789789135327041</v>
      </c>
      <c r="F35" s="380">
        <f t="shared" si="2"/>
        <v>61.811820510360079</v>
      </c>
      <c r="G35" s="110">
        <f t="shared" si="21"/>
        <v>0.5218110738401055</v>
      </c>
      <c r="H35" s="409" t="b">
        <f>Wh_hp&gt;='2030'!Maxi_hp</f>
        <v>0</v>
      </c>
      <c r="I35" s="385">
        <f>IF(H35,Wh_hp,'2030'!Maxi_hp)</f>
        <v>61.859209054823204</v>
      </c>
      <c r="J35" s="85">
        <f>IF(H35,An,'2030'!An_max)</f>
        <v>2022</v>
      </c>
      <c r="K35" s="193">
        <f t="shared" si="3"/>
        <v>47869</v>
      </c>
      <c r="L35" s="143">
        <f>IF(t&lt;Tvie,1-EXP((T0-t)*PertePVj)+'2030'!Pspv,1-EXP((T0-t)*PertePVj)+Pspv)</f>
        <v>4.6064747952552665E-2</v>
      </c>
      <c r="M35" s="835"/>
      <c r="N35" s="835"/>
      <c r="O35" s="48">
        <f>IF(t&lt;Tnet,'2030'!Resal+('2030'!Salim-'2030'!Resal)*(1-EXP(('2030'!Tnet-t)/('2030'!Tau_j))),Resal+(Salim-Resal)*(1-EXP((Tnet-t)/(Tau_j))))*Salcycl</f>
        <v>2.6207642841195502E-2</v>
      </c>
      <c r="P35" s="165">
        <f>(INDEX(Models!$BJ35:$BT35,,T35)*(1-R35)+INDEX(Models!$BJ35:$BT35,,T35+1)*R35-ERP_i)*Q35*Ramure*Pc/MaxiM</f>
        <v>1.1227982445997206E-3</v>
      </c>
      <c r="Q35" s="301">
        <f t="shared" si="4"/>
        <v>0.5</v>
      </c>
      <c r="R35" s="173">
        <f t="shared" si="5"/>
        <v>0.96542842402016105</v>
      </c>
      <c r="S35" s="801">
        <f t="shared" si="6"/>
        <v>0</v>
      </c>
      <c r="T35" s="172">
        <f t="shared" si="7"/>
        <v>6</v>
      </c>
      <c r="U35" s="247">
        <f t="shared" si="8"/>
        <v>0.96542842402016105</v>
      </c>
      <c r="V35" s="378">
        <f t="shared" si="9"/>
        <v>109.91465577728614</v>
      </c>
      <c r="W35" s="397">
        <f t="shared" si="10"/>
        <v>57.398688975770767</v>
      </c>
      <c r="X35" s="153">
        <f t="shared" si="11"/>
        <v>47869</v>
      </c>
      <c r="Y35" s="380">
        <f t="shared" si="12"/>
        <v>55.560000175922397</v>
      </c>
      <c r="Z35" s="380">
        <f t="shared" si="22"/>
        <v>58.24294684222334</v>
      </c>
      <c r="AA35" s="381">
        <f t="shared" si="13"/>
        <v>61.687062387651267</v>
      </c>
      <c r="AB35" s="193">
        <f t="shared" si="14"/>
        <v>47869</v>
      </c>
      <c r="AC35" s="119">
        <f>IF(OR(t&lt;Tnet,NoTnet),'2030'!Resal_s+('2030'!Salim-'2030'!Resal_s)*(1-EXP(('2030'!Tnet_s-t)/'2030'!Tau_j)),Resal_s+(Salim-Resal_s)*(1-EXP((Tnet_s-t)/Tau_j)))*Salcycl</f>
        <v>5.5832056384604034E-2</v>
      </c>
      <c r="AD35" s="227">
        <f>(INDEX(Models!$BJ35:$BT35,,AH35)*(1-AF35)+INDEX(Models!$BJ35:$BT35,,AH35+1)*AF35-ERP_i)*AE35*Ramure*Pc/MaxiM</f>
        <v>6.3581234020545383E-3</v>
      </c>
      <c r="AE35" s="301">
        <f t="shared" si="15"/>
        <v>0.5</v>
      </c>
      <c r="AF35" s="173">
        <f t="shared" si="23"/>
        <v>0.49041599039413875</v>
      </c>
      <c r="AG35" s="801">
        <f t="shared" si="24"/>
        <v>4</v>
      </c>
      <c r="AH35" s="172">
        <f t="shared" si="16"/>
        <v>10</v>
      </c>
      <c r="AI35" s="221">
        <f t="shared" si="17"/>
        <v>4.4904159903941387</v>
      </c>
      <c r="AJ35" s="261" t="b">
        <f t="shared" si="18"/>
        <v>0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47870</v>
      </c>
      <c r="B36" s="406">
        <f>'2030'!Wh/'2030'!Env_an*'2031'!Env_an</f>
        <v>110.23202507050244</v>
      </c>
      <c r="C36" s="831"/>
      <c r="D36" s="388">
        <f t="shared" si="0"/>
        <v>115.5566206809298</v>
      </c>
      <c r="E36" s="380">
        <f t="shared" si="1"/>
        <v>118.67373358815179</v>
      </c>
      <c r="F36" s="380">
        <f t="shared" si="2"/>
        <v>118.80309990843362</v>
      </c>
      <c r="G36" s="110">
        <f t="shared" si="21"/>
        <v>0.99276420720177305</v>
      </c>
      <c r="H36" s="409" t="b">
        <f>Wh_hp&gt;='2030'!Maxi_hp</f>
        <v>0</v>
      </c>
      <c r="I36" s="385">
        <f>IF(H36,Wh_hp,'2030'!Maxi_hp)</f>
        <v>118.80444939274724</v>
      </c>
      <c r="J36" s="85">
        <f>IF(H36,An,'2030'!An_max)</f>
        <v>2022</v>
      </c>
      <c r="K36" s="193">
        <f t="shared" si="3"/>
        <v>47870</v>
      </c>
      <c r="L36" s="143">
        <f>IF(t&lt;Tvie,1-EXP((T0-t)*PertePVj)+'2030'!Pspv,1-EXP((T0-t)*PertePVj)+Pspv)</f>
        <v>4.6077806525074871E-2</v>
      </c>
      <c r="M36" s="835"/>
      <c r="N36" s="835"/>
      <c r="O36" s="48">
        <f>IF(t&lt;Tnet,'2030'!Resal+('2030'!Salim-'2030'!Resal)*(1-EXP(('2030'!Tnet-t)/('2030'!Tau_j))),Resal+(Salim-Resal)*(1-EXP((Tnet-t)/(Tau_j))))*Salcycl</f>
        <v>2.626624117211725E-2</v>
      </c>
      <c r="P36" s="165">
        <f>(INDEX(Models!$BJ36:$BT36,,T36)*(1-R36)+INDEX(Models!$BJ36:$BT36,,T36+1)*R36-ERP_i)*Q36*Ramure*Pc/MaxiM</f>
        <v>1.1002692518840491E-3</v>
      </c>
      <c r="Q36" s="301">
        <f t="shared" si="4"/>
        <v>0.5</v>
      </c>
      <c r="R36" s="173">
        <f t="shared" si="5"/>
        <v>0.96549464289894316</v>
      </c>
      <c r="S36" s="801">
        <f t="shared" si="6"/>
        <v>0</v>
      </c>
      <c r="T36" s="172">
        <f t="shared" si="7"/>
        <v>6</v>
      </c>
      <c r="U36" s="247">
        <f t="shared" si="8"/>
        <v>0.96549464289894316</v>
      </c>
      <c r="V36" s="378">
        <f t="shared" si="9"/>
        <v>111.03419236737165</v>
      </c>
      <c r="W36" s="397">
        <f t="shared" si="10"/>
        <v>110.23202507050244</v>
      </c>
      <c r="X36" s="153">
        <f t="shared" si="11"/>
        <v>47870</v>
      </c>
      <c r="Y36" s="380">
        <f t="shared" si="12"/>
        <v>106.33124167818065</v>
      </c>
      <c r="Z36" s="380">
        <f t="shared" si="22"/>
        <v>111.46741569230056</v>
      </c>
      <c r="AA36" s="381">
        <f t="shared" si="13"/>
        <v>118.06211031760554</v>
      </c>
      <c r="AB36" s="193">
        <f t="shared" si="14"/>
        <v>47870</v>
      </c>
      <c r="AC36" s="119">
        <f>IF(OR(t&lt;Tnet,NoTnet),'2030'!Resal_s+('2030'!Salim-'2030'!Resal_s)*(1-EXP(('2030'!Tnet_s-t)/'2030'!Tau_j)),Resal_s+(Salim-Resal_s)*(1-EXP((Tnet_s-t)/Tau_j)))*Salcycl</f>
        <v>5.5857841330840374E-2</v>
      </c>
      <c r="AD36" s="227">
        <f>(INDEX(Models!$BJ36:$BT36,,AH36)*(1-AF36)+INDEX(Models!$BJ36:$BT36,,AH36+1)*AF36-ERP_i)*AE36*Ramure*Pc/MaxiM</f>
        <v>6.3021662900987581E-3</v>
      </c>
      <c r="AE36" s="301">
        <f t="shared" si="15"/>
        <v>0.5</v>
      </c>
      <c r="AF36" s="173">
        <f t="shared" si="23"/>
        <v>0.49048220927292085</v>
      </c>
      <c r="AG36" s="801">
        <f t="shared" si="24"/>
        <v>4</v>
      </c>
      <c r="AH36" s="172">
        <f t="shared" si="16"/>
        <v>10</v>
      </c>
      <c r="AI36" s="221">
        <f t="shared" si="17"/>
        <v>4.4904822092729209</v>
      </c>
      <c r="AJ36" s="261" t="b">
        <f t="shared" si="18"/>
        <v>0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47871</v>
      </c>
      <c r="B37" s="406">
        <f>'2030'!Wh/'2030'!Env_an*'2031'!Env_an</f>
        <v>112.0433272009704</v>
      </c>
      <c r="C37" s="831"/>
      <c r="D37" s="388">
        <f t="shared" si="0"/>
        <v>117.45702298095419</v>
      </c>
      <c r="E37" s="380">
        <f t="shared" si="1"/>
        <v>120.63265493082601</v>
      </c>
      <c r="F37" s="380">
        <f t="shared" si="2"/>
        <v>120.76237748097601</v>
      </c>
      <c r="G37" s="110">
        <f t="shared" si="21"/>
        <v>0.99883170901084273</v>
      </c>
      <c r="H37" s="409" t="b">
        <f>Wh_hp&gt;='2030'!Maxi_hp</f>
        <v>0</v>
      </c>
      <c r="I37" s="385">
        <f>IF(H37,Wh_hp,'2030'!Maxi_hp)</f>
        <v>120.76259406342568</v>
      </c>
      <c r="J37" s="85">
        <f>IF(H37,An,'2030'!An_max)</f>
        <v>2022</v>
      </c>
      <c r="K37" s="193">
        <f t="shared" si="3"/>
        <v>47871</v>
      </c>
      <c r="L37" s="143">
        <f>IF(t&lt;Tvie,1-EXP((T0-t)*PertePVj)+'2030'!Pspv,1-EXP((T0-t)*PertePVj)+Pspv)</f>
        <v>4.6090864918836183E-2</v>
      </c>
      <c r="M37" s="835"/>
      <c r="N37" s="835"/>
      <c r="O37" s="48">
        <f>IF(t&lt;Tnet,'2030'!Resal+('2030'!Salim-'2030'!Resal)*(1-EXP(('2030'!Tnet-t)/('2030'!Tau_j))),Resal+(Salim-Resal)*(1-EXP((Tnet-t)/(Tau_j))))*Salcycl</f>
        <v>2.6324811898509683E-2</v>
      </c>
      <c r="P37" s="165">
        <f>(INDEX(Models!$BJ37:$BT37,,T37)*(1-R37)+INDEX(Models!$BJ37:$BT37,,T37+1)*R37-ERP_i)*Q37*Ramure*Pc/MaxiM</f>
        <v>1.0759897801737284E-3</v>
      </c>
      <c r="Q37" s="301">
        <f t="shared" si="4"/>
        <v>0.5</v>
      </c>
      <c r="R37" s="173">
        <f t="shared" si="5"/>
        <v>0.96556362110972049</v>
      </c>
      <c r="S37" s="801">
        <f t="shared" si="6"/>
        <v>0</v>
      </c>
      <c r="T37" s="172">
        <f t="shared" si="7"/>
        <v>6</v>
      </c>
      <c r="U37" s="247">
        <f t="shared" si="8"/>
        <v>0.96556362110972049</v>
      </c>
      <c r="V37" s="378">
        <f t="shared" si="9"/>
        <v>112.1741781664068</v>
      </c>
      <c r="W37" s="397">
        <f t="shared" si="10"/>
        <v>112.0433272009704</v>
      </c>
      <c r="X37" s="153">
        <f t="shared" si="11"/>
        <v>47871</v>
      </c>
      <c r="Y37" s="380">
        <f t="shared" si="12"/>
        <v>108.08212796735788</v>
      </c>
      <c r="Z37" s="380">
        <f t="shared" si="22"/>
        <v>113.30442700725543</v>
      </c>
      <c r="AA37" s="381">
        <f t="shared" si="13"/>
        <v>120.0110880210068</v>
      </c>
      <c r="AB37" s="193">
        <f t="shared" si="14"/>
        <v>47871</v>
      </c>
      <c r="AC37" s="119">
        <f>IF(OR(t&lt;Tnet,NoTnet),'2030'!Resal_s+('2030'!Salim-'2030'!Resal_s)*(1-EXP(('2030'!Tnet_s-t)/'2030'!Tau_j)),Resal_s+(Salim-Resal_s)*(1-EXP((Tnet_s-t)/Tau_j)))*Salcycl</f>
        <v>5.5883678119620382E-2</v>
      </c>
      <c r="AD37" s="227">
        <f>(INDEX(Models!$BJ37:$BT37,,AH37)*(1-AF37)+INDEX(Models!$BJ37:$BT37,,AH37+1)*AF37-ERP_i)*AE37*Ramure*Pc/MaxiM</f>
        <v>6.231605684164118E-3</v>
      </c>
      <c r="AE37" s="301">
        <f t="shared" si="15"/>
        <v>0.5</v>
      </c>
      <c r="AF37" s="173">
        <f t="shared" si="23"/>
        <v>0.49055118748369875</v>
      </c>
      <c r="AG37" s="801">
        <f t="shared" si="24"/>
        <v>4</v>
      </c>
      <c r="AH37" s="172">
        <f t="shared" si="16"/>
        <v>10</v>
      </c>
      <c r="AI37" s="221">
        <f t="shared" si="17"/>
        <v>4.4905511874836987</v>
      </c>
      <c r="AJ37" s="261" t="b">
        <f t="shared" si="18"/>
        <v>0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47872</v>
      </c>
      <c r="B38" s="406">
        <f>'2030'!Wh/'2030'!Env_an*'2031'!Env_an</f>
        <v>113.42457842900555</v>
      </c>
      <c r="C38" s="831"/>
      <c r="D38" s="388">
        <f t="shared" si="0"/>
        <v>118.90664106895147</v>
      </c>
      <c r="E38" s="380">
        <f t="shared" si="1"/>
        <v>122.12880895920665</v>
      </c>
      <c r="F38" s="380">
        <f t="shared" si="2"/>
        <v>122.2570683053769</v>
      </c>
      <c r="G38" s="110">
        <f t="shared" si="21"/>
        <v>1.000721756393286</v>
      </c>
      <c r="H38" s="409" t="b">
        <f>Wh_hp&gt;='2030'!Maxi_hp</f>
        <v>1</v>
      </c>
      <c r="I38" s="385">
        <f>IF(H38,Wh_hp,'2030'!Maxi_hp)</f>
        <v>122.2570683053769</v>
      </c>
      <c r="J38" s="85">
        <f>IF(H38,An,'2030'!An_max)</f>
        <v>2031</v>
      </c>
      <c r="K38" s="193">
        <f t="shared" si="3"/>
        <v>47872</v>
      </c>
      <c r="L38" s="143">
        <f>IF(t&lt;Tvie,1-EXP((T0-t)*PertePVj)+'2030'!Pspv,1-EXP((T0-t)*PertePVj)+Pspv)</f>
        <v>4.6103923133839042E-2</v>
      </c>
      <c r="M38" s="835"/>
      <c r="N38" s="835"/>
      <c r="O38" s="48">
        <f>IF(t&lt;Tnet,'2030'!Resal+('2030'!Salim-'2030'!Resal)*(1-EXP(('2030'!Tnet-t)/('2030'!Tau_j))),Resal+(Salim-Resal)*(1-EXP((Tnet-t)/(Tau_j))))*Salcycl</f>
        <v>2.6383356373609095E-2</v>
      </c>
      <c r="P38" s="165">
        <f>(INDEX(Models!$BJ38:$BT38,,T38)*(1-R38)+INDEX(Models!$BJ38:$BT38,,T38+1)*R38-ERP_i)*Q38*Ramure*Pc/MaxiM</f>
        <v>1.0490955488143179E-3</v>
      </c>
      <c r="Q38" s="301">
        <f t="shared" si="4"/>
        <v>0.5</v>
      </c>
      <c r="R38" s="173">
        <f t="shared" si="5"/>
        <v>0.96563547281994999</v>
      </c>
      <c r="S38" s="801">
        <f t="shared" si="6"/>
        <v>0</v>
      </c>
      <c r="T38" s="172">
        <f t="shared" si="7"/>
        <v>6</v>
      </c>
      <c r="U38" s="247">
        <f t="shared" si="8"/>
        <v>0.96563547281994999</v>
      </c>
      <c r="V38" s="378">
        <f t="shared" si="9"/>
        <v>113.34277255827885</v>
      </c>
      <c r="W38" s="397">
        <f t="shared" si="10"/>
        <v>113.42457842900555</v>
      </c>
      <c r="X38" s="153">
        <f t="shared" si="11"/>
        <v>47872</v>
      </c>
      <c r="Y38" s="380">
        <f t="shared" si="12"/>
        <v>109.4243810833226</v>
      </c>
      <c r="Z38" s="380">
        <f t="shared" si="22"/>
        <v>114.71310527118951</v>
      </c>
      <c r="AA38" s="381">
        <f t="shared" si="13"/>
        <v>121.50648021909863</v>
      </c>
      <c r="AB38" s="193">
        <f t="shared" si="14"/>
        <v>47872</v>
      </c>
      <c r="AC38" s="119">
        <f>IF(OR(t&lt;Tnet,NoTnet),'2030'!Resal_s+('2030'!Salim-'2030'!Resal_s)*(1-EXP(('2030'!Tnet_s-t)/'2030'!Tau_j)),Resal_s+(Salim-Resal_s)*(1-EXP((Tnet_s-t)/Tau_j)))*Salcycl</f>
        <v>5.5909569067093552E-2</v>
      </c>
      <c r="AD38" s="227">
        <f>(INDEX(Models!$BJ38:$BT38,,AH38)*(1-AF38)+INDEX(Models!$BJ38:$BT38,,AH38+1)*AF38-ERP_i)*AE38*Ramure*Pc/MaxiM</f>
        <v>6.1394248748336995E-3</v>
      </c>
      <c r="AE38" s="301">
        <f t="shared" si="15"/>
        <v>0.5</v>
      </c>
      <c r="AF38" s="173">
        <f t="shared" si="23"/>
        <v>0.49062303919392836</v>
      </c>
      <c r="AG38" s="801">
        <f t="shared" si="24"/>
        <v>4</v>
      </c>
      <c r="AH38" s="172">
        <f t="shared" si="16"/>
        <v>10</v>
      </c>
      <c r="AI38" s="221">
        <f t="shared" si="17"/>
        <v>4.4906230391939284</v>
      </c>
      <c r="AJ38" s="261" t="b">
        <f t="shared" si="18"/>
        <v>0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47873</v>
      </c>
      <c r="B39" s="406">
        <f>'2030'!Wh/'2030'!Env_an*'2031'!Env_an</f>
        <v>112.37329832531682</v>
      </c>
      <c r="C39" s="831"/>
      <c r="D39" s="388">
        <f t="shared" si="0"/>
        <v>117.80616292253546</v>
      </c>
      <c r="E39" s="380">
        <f t="shared" si="1"/>
        <v>121.00578280228292</v>
      </c>
      <c r="F39" s="380">
        <f t="shared" si="2"/>
        <v>121.12623826250409</v>
      </c>
      <c r="G39" s="110">
        <f t="shared" si="21"/>
        <v>0.98107612561474733</v>
      </c>
      <c r="H39" s="409" t="b">
        <f>Wh_hp&gt;='2030'!Maxi_hp</f>
        <v>0</v>
      </c>
      <c r="I39" s="385">
        <f>IF(H39,Wh_hp,'2030'!Maxi_hp)</f>
        <v>121.12958041502201</v>
      </c>
      <c r="J39" s="85">
        <f>IF(H39,An,'2030'!An_max)</f>
        <v>2022</v>
      </c>
      <c r="K39" s="193">
        <f t="shared" si="3"/>
        <v>47873</v>
      </c>
      <c r="L39" s="143">
        <f>IF(t&lt;Tvie,1-EXP((T0-t)*PertePVj)+'2030'!Pspv,1-EXP((T0-t)*PertePVj)+Pspv)</f>
        <v>4.6116981170085891E-2</v>
      </c>
      <c r="M39" s="835"/>
      <c r="N39" s="835"/>
      <c r="O39" s="48">
        <f>IF(t&lt;Tnet,'2030'!Resal+('2030'!Salim-'2030'!Resal)*(1-EXP(('2030'!Tnet-t)/('2030'!Tau_j))),Resal+(Salim-Resal)*(1-EXP((Tnet-t)/(Tau_j))))*Salcycl</f>
        <v>2.6441875798410997E-2</v>
      </c>
      <c r="P39" s="165">
        <f>(INDEX(Models!$BJ39:$BT39,,T39)*(1-R39)+INDEX(Models!$BJ39:$BT39,,T39+1)*R39-ERP_i)*Q39*Ramure*Pc/MaxiM</f>
        <v>1.022052880963231E-3</v>
      </c>
      <c r="Q39" s="301">
        <f t="shared" si="4"/>
        <v>0.5</v>
      </c>
      <c r="R39" s="173">
        <f t="shared" si="5"/>
        <v>0.96571031685135822</v>
      </c>
      <c r="S39" s="801">
        <f t="shared" si="6"/>
        <v>0</v>
      </c>
      <c r="T39" s="172">
        <f t="shared" si="7"/>
        <v>6</v>
      </c>
      <c r="U39" s="247">
        <f t="shared" si="8"/>
        <v>0.96571031685135822</v>
      </c>
      <c r="V39" s="378">
        <f t="shared" si="9"/>
        <v>114.53769166784679</v>
      </c>
      <c r="W39" s="397">
        <f t="shared" si="10"/>
        <v>112.37329832531682</v>
      </c>
      <c r="X39" s="153">
        <f t="shared" si="11"/>
        <v>47873</v>
      </c>
      <c r="Y39" s="380">
        <f t="shared" si="12"/>
        <v>108.43733209433695</v>
      </c>
      <c r="Z39" s="380">
        <f t="shared" si="22"/>
        <v>113.67990618739833</v>
      </c>
      <c r="AA39" s="381">
        <f t="shared" si="13"/>
        <v>120.41540396074544</v>
      </c>
      <c r="AB39" s="193">
        <f t="shared" si="14"/>
        <v>47873</v>
      </c>
      <c r="AC39" s="119">
        <f>IF(OR(t&lt;Tnet,NoTnet),'2030'!Resal_s+('2030'!Salim-'2030'!Resal_s)*(1-EXP(('2030'!Tnet_s-t)/'2030'!Tau_j)),Resal_s+(Salim-Resal_s)*(1-EXP((Tnet_s-t)/Tau_j)))*Salcycl</f>
        <v>5.5935516153255822E-2</v>
      </c>
      <c r="AD39" s="227">
        <f>(INDEX(Models!$BJ39:$BT39,,AH39)*(1-AF39)+INDEX(Models!$BJ39:$BT39,,AH39+1)*AF39-ERP_i)*AE39*Ramure*Pc/MaxiM</f>
        <v>6.0313600119573348E-3</v>
      </c>
      <c r="AE39" s="301">
        <f t="shared" si="15"/>
        <v>0.5</v>
      </c>
      <c r="AF39" s="173">
        <f t="shared" si="23"/>
        <v>0.49069788322533636</v>
      </c>
      <c r="AG39" s="801">
        <f t="shared" si="24"/>
        <v>4</v>
      </c>
      <c r="AH39" s="172">
        <f t="shared" si="16"/>
        <v>10</v>
      </c>
      <c r="AI39" s="221">
        <f t="shared" si="17"/>
        <v>4.4906978832253364</v>
      </c>
      <c r="AJ39" s="261" t="b">
        <f t="shared" si="18"/>
        <v>0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47874</v>
      </c>
      <c r="B40" s="406">
        <f>'2030'!Wh/'2030'!Env_an*'2031'!Env_an</f>
        <v>114.34859180498766</v>
      </c>
      <c r="C40" s="831"/>
      <c r="D40" s="388">
        <f t="shared" si="0"/>
        <v>119.87859612269918</v>
      </c>
      <c r="E40" s="380">
        <f t="shared" si="1"/>
        <v>123.14190224076565</v>
      </c>
      <c r="F40" s="380">
        <f t="shared" si="2"/>
        <v>123.26240499006202</v>
      </c>
      <c r="G40" s="110">
        <f t="shared" si="21"/>
        <v>0.98781663545687304</v>
      </c>
      <c r="H40" s="409" t="b">
        <f>Wh_hp&gt;='2030'!Maxi_hp</f>
        <v>0</v>
      </c>
      <c r="I40" s="385">
        <f>IF(H40,Wh_hp,'2030'!Maxi_hp)</f>
        <v>123.264536354387</v>
      </c>
      <c r="J40" s="85">
        <f>IF(H40,An,'2030'!An_max)</f>
        <v>2022</v>
      </c>
      <c r="K40" s="193">
        <f t="shared" si="3"/>
        <v>47874</v>
      </c>
      <c r="L40" s="143">
        <f>IF(t&lt;Tvie,1-EXP((T0-t)*PertePVj)+'2030'!Pspv,1-EXP((T0-t)*PertePVj)+Pspv)</f>
        <v>4.6130039027579173E-2</v>
      </c>
      <c r="M40" s="835"/>
      <c r="N40" s="835"/>
      <c r="O40" s="48">
        <f>IF(t&lt;Tnet,'2030'!Resal+('2030'!Salim-'2030'!Resal)*(1-EXP(('2030'!Tnet-t)/('2030'!Tau_j))),Resal+(Salim-Resal)*(1-EXP((Tnet-t)/(Tau_j))))*Salcycl</f>
        <v>2.6500371187104767E-2</v>
      </c>
      <c r="P40" s="165">
        <f>(INDEX(Models!$BJ40:$BT40,,T40)*(1-R40)+INDEX(Models!$BJ40:$BT40,,T40+1)*R40-ERP_i)*Q40*Ramure*Pc/MaxiM</f>
        <v>9.949033364363897E-4</v>
      </c>
      <c r="Q40" s="301">
        <f t="shared" si="4"/>
        <v>0.5</v>
      </c>
      <c r="R40" s="173">
        <f t="shared" si="5"/>
        <v>0.96578827686375091</v>
      </c>
      <c r="S40" s="801">
        <f t="shared" si="6"/>
        <v>0</v>
      </c>
      <c r="T40" s="172">
        <f t="shared" si="7"/>
        <v>6</v>
      </c>
      <c r="U40" s="247">
        <f t="shared" si="8"/>
        <v>0.96578827686375091</v>
      </c>
      <c r="V40" s="378">
        <f t="shared" si="9"/>
        <v>115.75692134842696</v>
      </c>
      <c r="W40" s="397">
        <f t="shared" si="10"/>
        <v>114.34859180498766</v>
      </c>
      <c r="X40" s="153">
        <f t="shared" si="11"/>
        <v>47874</v>
      </c>
      <c r="Y40" s="380">
        <f t="shared" si="12"/>
        <v>110.35217654628292</v>
      </c>
      <c r="Z40" s="380">
        <f t="shared" si="22"/>
        <v>115.6889105028369</v>
      </c>
      <c r="AA40" s="381">
        <f t="shared" si="13"/>
        <v>122.54681675634303</v>
      </c>
      <c r="AB40" s="193">
        <f t="shared" si="14"/>
        <v>47874</v>
      </c>
      <c r="AC40" s="119">
        <f>IF(OR(t&lt;Tnet,NoTnet),'2030'!Resal_s+('2030'!Salim-'2030'!Resal_s)*(1-EXP(('2030'!Tnet_s-t)/'2030'!Tau_j)),Resal_s+(Salim-Resal_s)*(1-EXP((Tnet_s-t)/Tau_j)))*Salcycl</f>
        <v>5.5961520951960227E-2</v>
      </c>
      <c r="AD40" s="227">
        <f>(INDEX(Models!$BJ40:$BT40,,AH40)*(1-AF40)+INDEX(Models!$BJ40:$BT40,,AH40+1)*AF40-ERP_i)*AE40*Ramure*Pc/MaxiM</f>
        <v>5.9080902751072768E-3</v>
      </c>
      <c r="AE40" s="301">
        <f t="shared" si="15"/>
        <v>0.5</v>
      </c>
      <c r="AF40" s="173">
        <f t="shared" si="23"/>
        <v>0.49077584323772871</v>
      </c>
      <c r="AG40" s="801">
        <f t="shared" si="24"/>
        <v>4</v>
      </c>
      <c r="AH40" s="172">
        <f t="shared" si="16"/>
        <v>10</v>
      </c>
      <c r="AI40" s="221">
        <f t="shared" si="17"/>
        <v>4.4907758432377287</v>
      </c>
      <c r="AJ40" s="261" t="b">
        <f t="shared" si="18"/>
        <v>0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47875</v>
      </c>
      <c r="B41" s="406">
        <f>'2030'!Wh/'2030'!Env_an*'2031'!Env_an</f>
        <v>116.20902619335973</v>
      </c>
      <c r="C41" s="831"/>
      <c r="D41" s="388">
        <f t="shared" si="0"/>
        <v>121.83067060907004</v>
      </c>
      <c r="E41" s="380">
        <f t="shared" si="1"/>
        <v>125.15463289705338</v>
      </c>
      <c r="F41" s="380">
        <f t="shared" si="2"/>
        <v>125.27469081313576</v>
      </c>
      <c r="G41" s="110">
        <f t="shared" si="21"/>
        <v>0.99324344124778707</v>
      </c>
      <c r="H41" s="409" t="b">
        <f>Wh_hp&gt;='2030'!Maxi_hp</f>
        <v>0</v>
      </c>
      <c r="I41" s="385">
        <f>IF(H41,Wh_hp,'2030'!Maxi_hp)</f>
        <v>125.27585917077172</v>
      </c>
      <c r="J41" s="85">
        <f>IF(H41,An,'2030'!An_max)</f>
        <v>2022</v>
      </c>
      <c r="K41" s="193">
        <f t="shared" si="3"/>
        <v>47875</v>
      </c>
      <c r="L41" s="143">
        <f>IF(t&lt;Tvie,1-EXP((T0-t)*PertePVj)+'2030'!Pspv,1-EXP((T0-t)*PertePVj)+Pspv)</f>
        <v>4.614309670632144E-2</v>
      </c>
      <c r="M41" s="835"/>
      <c r="N41" s="835"/>
      <c r="O41" s="48">
        <f>IF(t&lt;Tnet,'2030'!Resal+('2030'!Salim-'2030'!Resal)*(1-EXP(('2030'!Tnet-t)/('2030'!Tau_j))),Resal+(Salim-Resal)*(1-EXP((Tnet-t)/(Tau_j))))*Salcycl</f>
        <v>2.6558843336766263E-2</v>
      </c>
      <c r="P41" s="165">
        <f>(INDEX(Models!$BJ41:$BT41,,T41)*(1-R41)+INDEX(Models!$BJ41:$BT41,,T41+1)*R41-ERP_i)*Q41*Ramure*Pc/MaxiM</f>
        <v>9.6768480660095412E-4</v>
      </c>
      <c r="Q41" s="301">
        <f t="shared" si="4"/>
        <v>0.5</v>
      </c>
      <c r="R41" s="173">
        <f t="shared" si="5"/>
        <v>0.96586948154557262</v>
      </c>
      <c r="S41" s="801">
        <f t="shared" si="6"/>
        <v>0</v>
      </c>
      <c r="T41" s="172">
        <f t="shared" si="7"/>
        <v>6</v>
      </c>
      <c r="U41" s="247">
        <f t="shared" si="8"/>
        <v>0.96586948154557262</v>
      </c>
      <c r="V41" s="378">
        <f t="shared" si="9"/>
        <v>116.99844810314814</v>
      </c>
      <c r="W41" s="397">
        <f t="shared" si="10"/>
        <v>116.20902619335973</v>
      </c>
      <c r="X41" s="153">
        <f t="shared" si="11"/>
        <v>47875</v>
      </c>
      <c r="Y41" s="380">
        <f t="shared" si="12"/>
        <v>112.15930519938794</v>
      </c>
      <c r="Z41" s="380">
        <f t="shared" si="22"/>
        <v>117.58504321990081</v>
      </c>
      <c r="AA41" s="381">
        <f t="shared" si="13"/>
        <v>124.55878895026723</v>
      </c>
      <c r="AB41" s="193">
        <f t="shared" si="14"/>
        <v>47875</v>
      </c>
      <c r="AC41" s="119">
        <f>IF(OR(t&lt;Tnet,NoTnet),'2030'!Resal_s+('2030'!Salim-'2030'!Resal_s)*(1-EXP(('2030'!Tnet_s-t)/'2030'!Tau_j)),Resal_s+(Salim-Resal_s)*(1-EXP((Tnet_s-t)/Tau_j)))*Salcycl</f>
        <v>5.5987584570614576E-2</v>
      </c>
      <c r="AD41" s="227">
        <f>(INDEX(Models!$BJ41:$BT41,,AH41)*(1-AF41)+INDEX(Models!$BJ41:$BT41,,AH41+1)*AF41-ERP_i)*AE41*Ramure*Pc/MaxiM</f>
        <v>5.7702763659483606E-3</v>
      </c>
      <c r="AE41" s="301">
        <f t="shared" si="15"/>
        <v>0.5</v>
      </c>
      <c r="AF41" s="173">
        <f t="shared" si="23"/>
        <v>0.4908570479195502</v>
      </c>
      <c r="AG41" s="801">
        <f t="shared" si="24"/>
        <v>4</v>
      </c>
      <c r="AH41" s="172">
        <f t="shared" si="16"/>
        <v>10</v>
      </c>
      <c r="AI41" s="221">
        <f t="shared" si="17"/>
        <v>4.4908570479195502</v>
      </c>
      <c r="AJ41" s="261" t="b">
        <f t="shared" si="18"/>
        <v>0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47876</v>
      </c>
      <c r="B42" s="406">
        <f>'2030'!Wh/'2030'!Env_an*'2031'!Env_an</f>
        <v>18.004090039006112</v>
      </c>
      <c r="C42" s="831"/>
      <c r="D42" s="388">
        <f t="shared" si="0"/>
        <v>18.875301359233561</v>
      </c>
      <c r="E42" s="380">
        <f t="shared" si="1"/>
        <v>19.391449241542567</v>
      </c>
      <c r="F42" s="380">
        <f t="shared" si="2"/>
        <v>19.391449241542567</v>
      </c>
      <c r="G42" s="110">
        <f t="shared" si="21"/>
        <v>0.15209808063442851</v>
      </c>
      <c r="H42" s="409" t="b">
        <f>Wh_hp&gt;='2030'!Maxi_hp</f>
        <v>0</v>
      </c>
      <c r="I42" s="385">
        <f>IF(H42,Wh_hp,'2030'!Maxi_hp)</f>
        <v>19.409681636189191</v>
      </c>
      <c r="J42" s="85">
        <f>IF(H42,An,'2030'!An_max)</f>
        <v>2022</v>
      </c>
      <c r="K42" s="193">
        <f t="shared" si="3"/>
        <v>47876</v>
      </c>
      <c r="L42" s="143">
        <f>IF(t&lt;Tvie,1-EXP((T0-t)*PertePVj)+'2030'!Pspv,1-EXP((T0-t)*PertePVj)+Pspv)</f>
        <v>4.6156154206314914E-2</v>
      </c>
      <c r="M42" s="835"/>
      <c r="N42" s="835"/>
      <c r="O42" s="48">
        <f>IF(t&lt;Tnet,'2030'!Resal+('2030'!Salim-'2030'!Resal)*(1-EXP(('2030'!Tnet-t)/('2030'!Tau_j))),Resal+(Salim-Resal)*(1-EXP((Tnet-t)/(Tau_j))))*Salcycl</f>
        <v>2.6617292801574481E-2</v>
      </c>
      <c r="P42" s="165">
        <f>(INDEX(Models!$BJ42:$BT42,,T42)*(1-R42)+INDEX(Models!$BJ42:$BT42,,T42+1)*R42-ERP_i)*Q42*Ramure*Pc/MaxiM</f>
        <v>9.4043160562972804E-4</v>
      </c>
      <c r="Q42" s="301">
        <f t="shared" si="4"/>
        <v>0.5</v>
      </c>
      <c r="R42" s="173">
        <f t="shared" si="5"/>
        <v>0.96595406481141854</v>
      </c>
      <c r="S42" s="801">
        <f t="shared" si="6"/>
        <v>0</v>
      </c>
      <c r="T42" s="172">
        <f t="shared" si="7"/>
        <v>6</v>
      </c>
      <c r="U42" s="247">
        <f t="shared" si="8"/>
        <v>0.96595406481141854</v>
      </c>
      <c r="V42" s="378">
        <f t="shared" si="9"/>
        <v>118.26025909515194</v>
      </c>
      <c r="W42" s="397">
        <f t="shared" si="10"/>
        <v>18.004090039006112</v>
      </c>
      <c r="X42" s="153">
        <f t="shared" si="11"/>
        <v>47876</v>
      </c>
      <c r="Y42" s="380">
        <f t="shared" si="12"/>
        <v>17.460361765490557</v>
      </c>
      <c r="Z42" s="380">
        <f t="shared" si="22"/>
        <v>18.305262273786486</v>
      </c>
      <c r="AA42" s="381">
        <f t="shared" si="13"/>
        <v>19.391449241542567</v>
      </c>
      <c r="AB42" s="193">
        <f t="shared" si="14"/>
        <v>47876</v>
      </c>
      <c r="AC42" s="119">
        <f>IF(OR(t&lt;Tnet,NoTnet),'2030'!Resal_s+('2030'!Salim-'2030'!Resal_s)*(1-EXP(('2030'!Tnet_s-t)/'2030'!Tau_j)),Resal_s+(Salim-Resal_s)*(1-EXP((Tnet_s-t)/Tau_j)))*Salcycl</f>
        <v>5.6013707600003813E-2</v>
      </c>
      <c r="AD42" s="227">
        <f>(INDEX(Models!$BJ42:$BT42,,AH42)*(1-AF42)+INDEX(Models!$BJ42:$BT42,,AH42+1)*AF42-ERP_i)*AE42*Ramure*Pc/MaxiM</f>
        <v>5.618557388901743E-3</v>
      </c>
      <c r="AE42" s="301">
        <f t="shared" si="15"/>
        <v>0.5</v>
      </c>
      <c r="AF42" s="173">
        <f t="shared" si="23"/>
        <v>0.49094163118539669</v>
      </c>
      <c r="AG42" s="801">
        <f t="shared" si="24"/>
        <v>4</v>
      </c>
      <c r="AH42" s="172">
        <f t="shared" si="16"/>
        <v>10</v>
      </c>
      <c r="AI42" s="221">
        <f t="shared" si="17"/>
        <v>4.4909416311853967</v>
      </c>
      <c r="AJ42" s="261" t="b">
        <f t="shared" si="18"/>
        <v>0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47877</v>
      </c>
      <c r="B43" s="406">
        <f>'2030'!Wh/'2030'!Env_an*'2031'!Env_an</f>
        <v>28.218209681648087</v>
      </c>
      <c r="C43" s="831"/>
      <c r="D43" s="388">
        <f t="shared" si="0"/>
        <v>29.584083490154072</v>
      </c>
      <c r="E43" s="380">
        <f t="shared" si="1"/>
        <v>30.394889035601185</v>
      </c>
      <c r="F43" s="380">
        <f t="shared" si="2"/>
        <v>30.394889035601185</v>
      </c>
      <c r="G43" s="110">
        <f t="shared" si="21"/>
        <v>0.23584039522041314</v>
      </c>
      <c r="H43" s="409" t="b">
        <f>Wh_hp&gt;='2030'!Maxi_hp</f>
        <v>0</v>
      </c>
      <c r="I43" s="385">
        <f>IF(H43,Wh_hp,'2030'!Maxi_hp)</f>
        <v>30.422636176591364</v>
      </c>
      <c r="J43" s="85">
        <f>IF(H43,An,'2030'!An_max)</f>
        <v>2022</v>
      </c>
      <c r="K43" s="193">
        <f t="shared" si="3"/>
        <v>47877</v>
      </c>
      <c r="L43" s="143">
        <f>IF(t&lt;Tvie,1-EXP((T0-t)*PertePVj)+'2030'!Pspv,1-EXP((T0-t)*PertePVj)+Pspv)</f>
        <v>4.6169211527562259E-2</v>
      </c>
      <c r="M43" s="835"/>
      <c r="N43" s="835"/>
      <c r="O43" s="48">
        <f>IF(t&lt;Tnet,'2030'!Resal+('2030'!Salim-'2030'!Resal)*(1-EXP(('2030'!Tnet-t)/('2030'!Tau_j))),Resal+(Salim-Resal)*(1-EXP((Tnet-t)/(Tau_j))))*Salcycl</f>
        <v>2.6675719871766163E-2</v>
      </c>
      <c r="P43" s="165">
        <f>(INDEX(Models!$BJ43:$BT43,,T43)*(1-R43)+INDEX(Models!$BJ43:$BT43,,T43+1)*R43-ERP_i)*Q43*Ramure*Pc/MaxiM</f>
        <v>9.1317458282773637E-4</v>
      </c>
      <c r="Q43" s="301">
        <f t="shared" si="4"/>
        <v>0.5</v>
      </c>
      <c r="R43" s="173">
        <f t="shared" si="5"/>
        <v>0.96604216600670378</v>
      </c>
      <c r="S43" s="801">
        <f t="shared" si="6"/>
        <v>0</v>
      </c>
      <c r="T43" s="172">
        <f t="shared" si="7"/>
        <v>6</v>
      </c>
      <c r="U43" s="247">
        <f t="shared" si="8"/>
        <v>0.96604216600670378</v>
      </c>
      <c r="V43" s="378">
        <f t="shared" si="9"/>
        <v>119.54034211758183</v>
      </c>
      <c r="W43" s="397">
        <f t="shared" si="10"/>
        <v>28.218209681648087</v>
      </c>
      <c r="X43" s="153">
        <f t="shared" si="11"/>
        <v>47877</v>
      </c>
      <c r="Y43" s="380">
        <f t="shared" si="12"/>
        <v>27.366895963468902</v>
      </c>
      <c r="Z43" s="380">
        <f t="shared" si="22"/>
        <v>28.691562795217642</v>
      </c>
      <c r="AA43" s="381">
        <f t="shared" si="13"/>
        <v>30.394889035601185</v>
      </c>
      <c r="AB43" s="193">
        <f t="shared" si="14"/>
        <v>47877</v>
      </c>
      <c r="AC43" s="119">
        <f>IF(OR(t&lt;Tnet,NoTnet),'2030'!Resal_s+('2030'!Salim-'2030'!Resal_s)*(1-EXP(('2030'!Tnet_s-t)/'2030'!Tau_j)),Resal_s+(Salim-Resal_s)*(1-EXP((Tnet_s-t)/Tau_j)))*Salcycl</f>
        <v>5.6039890074560068E-2</v>
      </c>
      <c r="AD43" s="227">
        <f>(INDEX(Models!$BJ43:$BT43,,AH43)*(1-AF43)+INDEX(Models!$BJ43:$BT43,,AH43+1)*AF43-ERP_i)*AE43*Ramure*Pc/MaxiM</f>
        <v>5.4535482530606028E-3</v>
      </c>
      <c r="AE43" s="301">
        <f t="shared" si="15"/>
        <v>0.5</v>
      </c>
      <c r="AF43" s="173">
        <f t="shared" si="23"/>
        <v>0.49102973238068159</v>
      </c>
      <c r="AG43" s="801">
        <f t="shared" si="24"/>
        <v>4</v>
      </c>
      <c r="AH43" s="172">
        <f t="shared" si="16"/>
        <v>10</v>
      </c>
      <c r="AI43" s="221">
        <f t="shared" si="17"/>
        <v>4.4910297323806816</v>
      </c>
      <c r="AJ43" s="261" t="b">
        <f t="shared" si="18"/>
        <v>0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47878</v>
      </c>
      <c r="B44" s="406">
        <f>'2030'!Wh/'2030'!Env_an*'2031'!Env_an</f>
        <v>25.423078909109282</v>
      </c>
      <c r="C44" s="831"/>
      <c r="D44" s="388">
        <f t="shared" si="0"/>
        <v>26.654022119782976</v>
      </c>
      <c r="E44" s="380">
        <f t="shared" si="1"/>
        <v>27.386167328289705</v>
      </c>
      <c r="F44" s="380">
        <f t="shared" si="2"/>
        <v>27.386167328289705</v>
      </c>
      <c r="G44" s="110">
        <f t="shared" si="21"/>
        <v>0.21020566246457592</v>
      </c>
      <c r="H44" s="409" t="b">
        <f>Wh_hp&gt;='2030'!Maxi_hp</f>
        <v>0</v>
      </c>
      <c r="I44" s="385">
        <f>IF(H44,Wh_hp,'2030'!Maxi_hp)</f>
        <v>27.410360787722297</v>
      </c>
      <c r="J44" s="85">
        <f>IF(H44,An,'2030'!An_max)</f>
        <v>2022</v>
      </c>
      <c r="K44" s="193">
        <f t="shared" si="3"/>
        <v>47878</v>
      </c>
      <c r="L44" s="143">
        <f>IF(t&lt;Tvie,1-EXP((T0-t)*PertePVj)+'2030'!Pspv,1-EXP((T0-t)*PertePVj)+Pspv)</f>
        <v>4.6182268670065807E-2</v>
      </c>
      <c r="M44" s="835"/>
      <c r="N44" s="835"/>
      <c r="O44" s="48">
        <f>IF(t&lt;Tnet,'2030'!Resal+('2030'!Salim-'2030'!Resal)*(1-EXP(('2030'!Tnet-t)/('2030'!Tau_j))),Resal+(Salim-Resal)*(1-EXP((Tnet-t)/(Tau_j))))*Salcycl</f>
        <v>2.6734124557488928E-2</v>
      </c>
      <c r="P44" s="165">
        <f>(INDEX(Models!$BJ44:$BT44,,T44)*(1-R44)+INDEX(Models!$BJ44:$BT44,,T44+1)*R44-ERP_i)*Q44*Ramure*Pc/MaxiM</f>
        <v>8.8378755455425118E-4</v>
      </c>
      <c r="Q44" s="301">
        <f t="shared" si="4"/>
        <v>0.5</v>
      </c>
      <c r="R44" s="173">
        <f t="shared" si="5"/>
        <v>0.96613393011969728</v>
      </c>
      <c r="S44" s="801">
        <f t="shared" si="6"/>
        <v>0</v>
      </c>
      <c r="T44" s="172">
        <f t="shared" si="7"/>
        <v>6</v>
      </c>
      <c r="U44" s="247">
        <f t="shared" si="8"/>
        <v>0.96613393011969728</v>
      </c>
      <c r="V44" s="378">
        <f t="shared" si="9"/>
        <v>120.83694611533834</v>
      </c>
      <c r="W44" s="397">
        <f t="shared" si="10"/>
        <v>25.423078909109282</v>
      </c>
      <c r="X44" s="153">
        <f t="shared" si="11"/>
        <v>47878</v>
      </c>
      <c r="Y44" s="380">
        <f t="shared" si="12"/>
        <v>24.656885472725666</v>
      </c>
      <c r="Z44" s="380">
        <f t="shared" si="22"/>
        <v>25.850730871133937</v>
      </c>
      <c r="AA44" s="381">
        <f t="shared" si="13"/>
        <v>27.386167328289705</v>
      </c>
      <c r="AB44" s="193">
        <f t="shared" si="14"/>
        <v>47878</v>
      </c>
      <c r="AC44" s="119">
        <f>IF(OR(t&lt;Tnet,NoTnet),'2030'!Resal_s+('2030'!Salim-'2030'!Resal_s)*(1-EXP(('2030'!Tnet_s-t)/'2030'!Tau_j)),Resal_s+(Salim-Resal_s)*(1-EXP((Tnet_s-t)/Tau_j)))*Salcycl</f>
        <v>5.6066131443287905E-2</v>
      </c>
      <c r="AD44" s="227">
        <f>(INDEX(Models!$BJ44:$BT44,,AH44)*(1-AF44)+INDEX(Models!$BJ44:$BT44,,AH44+1)*AF44-ERP_i)*AE44*Ramure*Pc/MaxiM</f>
        <v>5.2715055734166519E-3</v>
      </c>
      <c r="AE44" s="301">
        <f t="shared" si="15"/>
        <v>0.5</v>
      </c>
      <c r="AF44" s="173">
        <f t="shared" si="23"/>
        <v>0.4911214964936752</v>
      </c>
      <c r="AG44" s="801">
        <f t="shared" si="24"/>
        <v>4</v>
      </c>
      <c r="AH44" s="172">
        <f t="shared" si="16"/>
        <v>10</v>
      </c>
      <c r="AI44" s="221">
        <f t="shared" si="17"/>
        <v>4.4911214964936752</v>
      </c>
      <c r="AJ44" s="261" t="b">
        <f t="shared" si="18"/>
        <v>0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47879</v>
      </c>
      <c r="B45" s="406">
        <f>'2030'!Wh/'2030'!Env_an*'2031'!Env_an</f>
        <v>25.266208305648455</v>
      </c>
      <c r="C45" s="831"/>
      <c r="D45" s="388">
        <f t="shared" si="0"/>
        <v>26.489918727268254</v>
      </c>
      <c r="E45" s="380">
        <f t="shared" si="1"/>
        <v>27.219189028348847</v>
      </c>
      <c r="F45" s="380">
        <f t="shared" si="2"/>
        <v>27.219189028348847</v>
      </c>
      <c r="G45" s="110">
        <f t="shared" si="21"/>
        <v>0.20667272371438891</v>
      </c>
      <c r="H45" s="409" t="b">
        <f>Wh_hp&gt;='2030'!Maxi_hp</f>
        <v>0</v>
      </c>
      <c r="I45" s="385">
        <f>IF(H45,Wh_hp,'2030'!Maxi_hp)</f>
        <v>27.242367789857944</v>
      </c>
      <c r="J45" s="85">
        <f>IF(H45,An,'2030'!An_max)</f>
        <v>2022</v>
      </c>
      <c r="K45" s="193">
        <f t="shared" si="3"/>
        <v>47879</v>
      </c>
      <c r="L45" s="143">
        <f>IF(t&lt;Tvie,1-EXP((T0-t)*PertePVj)+'2030'!Pspv,1-EXP((T0-t)*PertePVj)+Pspv)</f>
        <v>4.619532563382811E-2</v>
      </c>
      <c r="M45" s="835"/>
      <c r="N45" s="835"/>
      <c r="O45" s="48">
        <f>IF(t&lt;Tnet,'2030'!Resal+('2030'!Salim-'2030'!Resal)*(1-EXP(('2030'!Tnet-t)/('2030'!Tau_j))),Resal+(Salim-Resal)*(1-EXP((Tnet-t)/(Tau_j))))*Salcycl</f>
        <v>2.6792506577659397E-2</v>
      </c>
      <c r="P45" s="165">
        <f>(INDEX(Models!$BJ45:$BT45,,T45)*(1-R45)+INDEX(Models!$BJ45:$BT45,,T45+1)*R45-ERP_i)*Q45*Ramure*Pc/MaxiM</f>
        <v>8.5200800322837288E-4</v>
      </c>
      <c r="Q45" s="301">
        <f t="shared" si="4"/>
        <v>0.5</v>
      </c>
      <c r="R45" s="173">
        <f t="shared" si="5"/>
        <v>0.96622950800112739</v>
      </c>
      <c r="S45" s="801">
        <f t="shared" si="6"/>
        <v>0</v>
      </c>
      <c r="T45" s="172">
        <f t="shared" si="7"/>
        <v>6</v>
      </c>
      <c r="U45" s="247">
        <f t="shared" si="8"/>
        <v>0.96622950800112739</v>
      </c>
      <c r="V45" s="378">
        <f t="shared" si="9"/>
        <v>122.14810372774522</v>
      </c>
      <c r="W45" s="397">
        <f t="shared" si="10"/>
        <v>25.266208305648455</v>
      </c>
      <c r="X45" s="153">
        <f t="shared" si="11"/>
        <v>47879</v>
      </c>
      <c r="Y45" s="380">
        <f t="shared" si="12"/>
        <v>24.505529840403771</v>
      </c>
      <c r="Z45" s="380">
        <f t="shared" si="22"/>
        <v>25.692398558109748</v>
      </c>
      <c r="AA45" s="381">
        <f t="shared" si="13"/>
        <v>27.219189028348847</v>
      </c>
      <c r="AB45" s="193">
        <f t="shared" si="14"/>
        <v>47879</v>
      </c>
      <c r="AC45" s="119">
        <f>IF(OR(t&lt;Tnet,NoTnet),'2030'!Resal_s+('2030'!Salim-'2030'!Resal_s)*(1-EXP(('2030'!Tnet_s-t)/'2030'!Tau_j)),Resal_s+(Salim-Resal_s)*(1-EXP((Tnet_s-t)/Tau_j)))*Salcycl</f>
        <v>5.6092430551437193E-2</v>
      </c>
      <c r="AD45" s="227">
        <f>(INDEX(Models!$BJ45:$BT45,,AH45)*(1-AF45)+INDEX(Models!$BJ45:$BT45,,AH45+1)*AF45-ERP_i)*AE45*Ramure*Pc/MaxiM</f>
        <v>5.0819506398512094E-3</v>
      </c>
      <c r="AE45" s="301">
        <f t="shared" si="15"/>
        <v>0.5</v>
      </c>
      <c r="AF45" s="173">
        <f t="shared" si="23"/>
        <v>0.49121707437510498</v>
      </c>
      <c r="AG45" s="801">
        <f t="shared" si="24"/>
        <v>4</v>
      </c>
      <c r="AH45" s="172">
        <f t="shared" si="16"/>
        <v>10</v>
      </c>
      <c r="AI45" s="221">
        <f t="shared" si="17"/>
        <v>4.491217074375105</v>
      </c>
      <c r="AJ45" s="261" t="b">
        <f t="shared" si="18"/>
        <v>0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47880</v>
      </c>
      <c r="B46" s="406">
        <f>'2030'!Wh/'2030'!Env_an*'2031'!Env_an</f>
        <v>55.074692754172403</v>
      </c>
      <c r="C46" s="831"/>
      <c r="D46" s="388">
        <f t="shared" si="0"/>
        <v>57.742898699239881</v>
      </c>
      <c r="E46" s="380">
        <f t="shared" si="1"/>
        <v>59.336125002297436</v>
      </c>
      <c r="F46" s="380">
        <f t="shared" si="2"/>
        <v>59.346252875705112</v>
      </c>
      <c r="G46" s="110">
        <f t="shared" si="21"/>
        <v>0.44576199491396756</v>
      </c>
      <c r="H46" s="409" t="b">
        <f>Wh_hp&gt;='2030'!Maxi_hp</f>
        <v>0</v>
      </c>
      <c r="I46" s="385">
        <f>IF(H46,Wh_hp,'2030'!Maxi_hp)</f>
        <v>59.384641801308028</v>
      </c>
      <c r="J46" s="85">
        <f>IF(H46,An,'2030'!An_max)</f>
        <v>2022</v>
      </c>
      <c r="K46" s="193">
        <f t="shared" si="3"/>
        <v>47880</v>
      </c>
      <c r="L46" s="143">
        <f>IF(t&lt;Tvie,1-EXP((T0-t)*PertePVj)+'2030'!Pspv,1-EXP((T0-t)*PertePVj)+Pspv)</f>
        <v>4.6208382418851501E-2</v>
      </c>
      <c r="M46" s="835"/>
      <c r="N46" s="835"/>
      <c r="O46" s="48">
        <f>IF(t&lt;Tnet,'2030'!Resal+('2030'!Salim-'2030'!Resal)*(1-EXP(('2030'!Tnet-t)/('2030'!Tau_j))),Resal+(Salim-Resal)*(1-EXP((Tnet-t)/(Tau_j))))*Salcycl</f>
        <v>2.6850865353877953E-2</v>
      </c>
      <c r="P46" s="165">
        <f>(INDEX(Models!$BJ46:$BT46,,T46)*(1-R46)+INDEX(Models!$BJ46:$BT46,,T46+1)*R46-ERP_i)*Q46*Ramure*Pc/MaxiM</f>
        <v>8.1793571263592487E-4</v>
      </c>
      <c r="Q46" s="301">
        <f t="shared" si="4"/>
        <v>0.5</v>
      </c>
      <c r="R46" s="173">
        <f t="shared" si="5"/>
        <v>0.96632905659156787</v>
      </c>
      <c r="S46" s="801">
        <f t="shared" si="6"/>
        <v>0</v>
      </c>
      <c r="T46" s="172">
        <f t="shared" si="7"/>
        <v>6</v>
      </c>
      <c r="U46" s="247">
        <f t="shared" si="8"/>
        <v>0.96632905659156787</v>
      </c>
      <c r="V46" s="378">
        <f t="shared" si="9"/>
        <v>123.47180477403194</v>
      </c>
      <c r="W46" s="397">
        <f t="shared" si="10"/>
        <v>55.074692754172403</v>
      </c>
      <c r="X46" s="153">
        <f t="shared" si="11"/>
        <v>47880</v>
      </c>
      <c r="Y46" s="380">
        <f t="shared" si="12"/>
        <v>53.372955538603051</v>
      </c>
      <c r="Z46" s="380">
        <f t="shared" si="22"/>
        <v>55.95871734955994</v>
      </c>
      <c r="AA46" s="381">
        <f t="shared" si="13"/>
        <v>59.285762337247071</v>
      </c>
      <c r="AB46" s="193">
        <f t="shared" si="14"/>
        <v>47880</v>
      </c>
      <c r="AC46" s="119">
        <f>IF(OR(t&lt;Tnet,NoTnet),'2030'!Resal_s+('2030'!Salim-'2030'!Resal_s)*(1-EXP(('2030'!Tnet_s-t)/'2030'!Tau_j)),Resal_s+(Salim-Resal_s)*(1-EXP((Tnet_s-t)/Tau_j)))*Salcycl</f>
        <v>5.6118785632901749E-2</v>
      </c>
      <c r="AD46" s="227">
        <f>(INDEX(Models!$BJ46:$BT46,,AH46)*(1-AF46)+INDEX(Models!$BJ46:$BT46,,AH46+1)*AF46-ERP_i)*AE46*Ramure*Pc/MaxiM</f>
        <v>4.8852675867689134E-3</v>
      </c>
      <c r="AE46" s="301">
        <f t="shared" si="15"/>
        <v>0.5</v>
      </c>
      <c r="AF46" s="173">
        <f t="shared" si="23"/>
        <v>0.49131662296554612</v>
      </c>
      <c r="AG46" s="801">
        <f t="shared" si="24"/>
        <v>4</v>
      </c>
      <c r="AH46" s="172">
        <f t="shared" si="16"/>
        <v>10</v>
      </c>
      <c r="AI46" s="221">
        <f t="shared" si="17"/>
        <v>4.4913166229655461</v>
      </c>
      <c r="AJ46" s="261" t="b">
        <f t="shared" si="18"/>
        <v>0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47881</v>
      </c>
      <c r="B47" s="406">
        <f>'2030'!Wh/'2030'!Env_an*'2031'!Env_an</f>
        <v>24.56384571229702</v>
      </c>
      <c r="C47" s="831"/>
      <c r="D47" s="388">
        <f t="shared" si="0"/>
        <v>25.754243927636832</v>
      </c>
      <c r="E47" s="380">
        <f t="shared" si="1"/>
        <v>26.466434507330227</v>
      </c>
      <c r="F47" s="380">
        <f t="shared" si="2"/>
        <v>26.466434507330227</v>
      </c>
      <c r="G47" s="110">
        <f t="shared" si="21"/>
        <v>0.19666231743323412</v>
      </c>
      <c r="H47" s="409" t="b">
        <f>Wh_hp&gt;='2030'!Maxi_hp</f>
        <v>0</v>
      </c>
      <c r="I47" s="385">
        <f>IF(H47,Wh_hp,'2030'!Maxi_hp)</f>
        <v>26.487106634612363</v>
      </c>
      <c r="J47" s="85">
        <f>IF(H47,An,'2030'!An_max)</f>
        <v>2022</v>
      </c>
      <c r="K47" s="193">
        <f t="shared" si="3"/>
        <v>47881</v>
      </c>
      <c r="L47" s="143">
        <f>IF(t&lt;Tvie,1-EXP((T0-t)*PertePVj)+'2030'!Pspv,1-EXP((T0-t)*PertePVj)+Pspv)</f>
        <v>4.6221439025138533E-2</v>
      </c>
      <c r="M47" s="835"/>
      <c r="N47" s="835"/>
      <c r="O47" s="48">
        <f>IF(t&lt;Tnet,'2030'!Resal+('2030'!Salim-'2030'!Resal)*(1-EXP(('2030'!Tnet-t)/('2030'!Tau_j))),Resal+(Salim-Resal)*(1-EXP((Tnet-t)/(Tau_j))))*Salcycl</f>
        <v>2.6909200009398494E-2</v>
      </c>
      <c r="P47" s="165">
        <f>(INDEX(Models!$BJ47:$BT47,,T47)*(1-R47)+INDEX(Models!$BJ47:$BT47,,T47+1)*R47-ERP_i)*Q47*Ramure*Pc/MaxiM</f>
        <v>7.8166507047002073E-4</v>
      </c>
      <c r="Q47" s="301">
        <f t="shared" si="4"/>
        <v>0.5</v>
      </c>
      <c r="R47" s="173">
        <f t="shared" si="5"/>
        <v>0.96643273915681271</v>
      </c>
      <c r="S47" s="801">
        <f t="shared" si="6"/>
        <v>0</v>
      </c>
      <c r="T47" s="172">
        <f t="shared" si="7"/>
        <v>6</v>
      </c>
      <c r="U47" s="247">
        <f t="shared" si="8"/>
        <v>0.96643273915681271</v>
      </c>
      <c r="V47" s="378">
        <f t="shared" si="9"/>
        <v>124.80603977648178</v>
      </c>
      <c r="W47" s="397">
        <f t="shared" si="10"/>
        <v>24.56384571229702</v>
      </c>
      <c r="X47" s="153">
        <f t="shared" si="11"/>
        <v>47881</v>
      </c>
      <c r="Y47" s="380">
        <f t="shared" si="12"/>
        <v>23.825838063543806</v>
      </c>
      <c r="Z47" s="380">
        <f t="shared" si="22"/>
        <v>24.980471399138295</v>
      </c>
      <c r="AA47" s="381">
        <f t="shared" si="13"/>
        <v>26.466434507330227</v>
      </c>
      <c r="AB47" s="193">
        <f t="shared" si="14"/>
        <v>47881</v>
      </c>
      <c r="AC47" s="119">
        <f>IF(OR(t&lt;Tnet,NoTnet),'2030'!Resal_s+('2030'!Salim-'2030'!Resal_s)*(1-EXP(('2030'!Tnet_s-t)/'2030'!Tau_j)),Resal_s+(Salim-Resal_s)*(1-EXP((Tnet_s-t)/Tau_j)))*Salcycl</f>
        <v>5.6145194313211216E-2</v>
      </c>
      <c r="AD47" s="227">
        <f>(INDEX(Models!$BJ47:$BT47,,AH47)*(1-AF47)+INDEX(Models!$BJ47:$BT47,,AH47+1)*AF47-ERP_i)*AE47*Ramure*Pc/MaxiM</f>
        <v>4.6818144038187565E-3</v>
      </c>
      <c r="AE47" s="301">
        <f t="shared" si="15"/>
        <v>0.5</v>
      </c>
      <c r="AF47" s="173">
        <f t="shared" si="23"/>
        <v>0.49142030553079064</v>
      </c>
      <c r="AG47" s="801">
        <f t="shared" si="24"/>
        <v>4</v>
      </c>
      <c r="AH47" s="172">
        <f t="shared" si="16"/>
        <v>10</v>
      </c>
      <c r="AI47" s="221">
        <f t="shared" si="17"/>
        <v>4.4914203055307906</v>
      </c>
      <c r="AJ47" s="261" t="b">
        <f t="shared" si="18"/>
        <v>0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47882</v>
      </c>
      <c r="B48" s="406">
        <f>'2030'!Wh/'2030'!Env_an*'2031'!Env_an</f>
        <v>55.135282194199974</v>
      </c>
      <c r="C48" s="831"/>
      <c r="D48" s="388">
        <f t="shared" si="0"/>
        <v>57.808006193691355</v>
      </c>
      <c r="E48" s="380">
        <f t="shared" si="1"/>
        <v>59.410149969860726</v>
      </c>
      <c r="F48" s="380">
        <f t="shared" si="2"/>
        <v>59.418797839599961</v>
      </c>
      <c r="G48" s="110">
        <f t="shared" si="21"/>
        <v>0.43680416024601754</v>
      </c>
      <c r="H48" s="409" t="b">
        <f>Wh_hp&gt;='2030'!Maxi_hp</f>
        <v>0</v>
      </c>
      <c r="I48" s="385">
        <f>IF(H48,Wh_hp,'2030'!Maxi_hp)</f>
        <v>59.454283525557202</v>
      </c>
      <c r="J48" s="85">
        <f>IF(H48,An,'2030'!An_max)</f>
        <v>2022</v>
      </c>
      <c r="K48" s="193">
        <f t="shared" si="3"/>
        <v>47882</v>
      </c>
      <c r="L48" s="143">
        <f>IF(t&lt;Tvie,1-EXP((T0-t)*PertePVj)+'2030'!Pspv,1-EXP((T0-t)*PertePVj)+Pspv)</f>
        <v>4.6234495452691426E-2</v>
      </c>
      <c r="M48" s="835"/>
      <c r="N48" s="835"/>
      <c r="O48" s="48">
        <f>IF(t&lt;Tnet,'2030'!Resal+('2030'!Salim-'2030'!Resal)*(1-EXP(('2030'!Tnet-t)/('2030'!Tau_j))),Resal+(Salim-Resal)*(1-EXP((Tnet-t)/(Tau_j))))*Salcycl</f>
        <v>2.6967509373097855E-2</v>
      </c>
      <c r="P48" s="165">
        <f>(INDEX(Models!$BJ48:$BT48,,T48)*(1-R48)+INDEX(Models!$BJ48:$BT48,,T48+1)*R48-ERP_i)*Q48*Ramure*Pc/MaxiM</f>
        <v>7.4328491252142993E-4</v>
      </c>
      <c r="Q48" s="301">
        <f t="shared" si="4"/>
        <v>0.5</v>
      </c>
      <c r="R48" s="173">
        <f t="shared" si="5"/>
        <v>0.96654072553144565</v>
      </c>
      <c r="S48" s="801">
        <f t="shared" si="6"/>
        <v>0</v>
      </c>
      <c r="T48" s="172">
        <f t="shared" si="7"/>
        <v>6</v>
      </c>
      <c r="U48" s="247">
        <f t="shared" si="8"/>
        <v>0.96654072553144565</v>
      </c>
      <c r="V48" s="378">
        <f t="shared" si="9"/>
        <v>126.14879992260256</v>
      </c>
      <c r="W48" s="397">
        <f t="shared" si="10"/>
        <v>55.135282194199974</v>
      </c>
      <c r="X48" s="153">
        <f t="shared" si="11"/>
        <v>47882</v>
      </c>
      <c r="Y48" s="380">
        <f t="shared" si="12"/>
        <v>53.441425912743469</v>
      </c>
      <c r="Z48" s="380">
        <f t="shared" si="22"/>
        <v>56.032038963401902</v>
      </c>
      <c r="AA48" s="381">
        <f t="shared" si="13"/>
        <v>59.366768521501086</v>
      </c>
      <c r="AB48" s="193">
        <f t="shared" si="14"/>
        <v>47882</v>
      </c>
      <c r="AC48" s="119">
        <f>IF(OR(t&lt;Tnet,NoTnet),'2030'!Resal_s+('2030'!Salim-'2030'!Resal_s)*(1-EXP(('2030'!Tnet_s-t)/'2030'!Tau_j)),Resal_s+(Salim-Resal_s)*(1-EXP((Tnet_s-t)/Tau_j)))*Salcycl</f>
        <v>5.6171653622875496E-2</v>
      </c>
      <c r="AD48" s="227">
        <f>(INDEX(Models!$BJ48:$BT48,,AH48)*(1-AF48)+INDEX(Models!$BJ48:$BT48,,AH48+1)*AF48-ERP_i)*AE48*Ramure*Pc/MaxiM</f>
        <v>4.4719229495557644E-3</v>
      </c>
      <c r="AE48" s="301">
        <f t="shared" si="15"/>
        <v>0.5</v>
      </c>
      <c r="AF48" s="173">
        <f t="shared" si="23"/>
        <v>0.49152829190542402</v>
      </c>
      <c r="AG48" s="801">
        <f t="shared" si="24"/>
        <v>4</v>
      </c>
      <c r="AH48" s="172">
        <f t="shared" si="16"/>
        <v>10</v>
      </c>
      <c r="AI48" s="221">
        <f t="shared" si="17"/>
        <v>4.491528291905424</v>
      </c>
      <c r="AJ48" s="261" t="b">
        <f t="shared" si="18"/>
        <v>0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47883</v>
      </c>
      <c r="B49" s="406">
        <f>'2030'!Wh/'2030'!Env_an*'2031'!Env_an</f>
        <v>50.162346939818299</v>
      </c>
      <c r="C49" s="831"/>
      <c r="D49" s="388">
        <f t="shared" si="0"/>
        <v>52.59472416485945</v>
      </c>
      <c r="E49" s="380">
        <f t="shared" si="1"/>
        <v>54.055620109746087</v>
      </c>
      <c r="F49" s="380">
        <f t="shared" si="2"/>
        <v>54.060692101038249</v>
      </c>
      <c r="G49" s="110">
        <f t="shared" si="21"/>
        <v>0.39319645775694284</v>
      </c>
      <c r="H49" s="409" t="b">
        <f>Wh_hp&gt;='2030'!Maxi_hp</f>
        <v>0</v>
      </c>
      <c r="I49" s="385">
        <f>IF(H49,Wh_hp,'2030'!Maxi_hp)</f>
        <v>54.093584600989601</v>
      </c>
      <c r="J49" s="85">
        <f>IF(H49,An,'2030'!An_max)</f>
        <v>2022</v>
      </c>
      <c r="K49" s="193">
        <f t="shared" si="3"/>
        <v>47883</v>
      </c>
      <c r="L49" s="143">
        <f>IF(t&lt;Tvie,1-EXP((T0-t)*PertePVj)+'2030'!Pspv,1-EXP((T0-t)*PertePVj)+Pspv)</f>
        <v>4.6247551701512957E-2</v>
      </c>
      <c r="M49" s="835"/>
      <c r="N49" s="835"/>
      <c r="O49" s="48">
        <f>IF(t&lt;Tnet,'2030'!Resal+('2030'!Salim-'2030'!Resal)*(1-EXP(('2030'!Tnet-t)/('2030'!Tau_j))),Resal+(Salim-Resal)*(1-EXP((Tnet-t)/(Tau_j))))*Salcycl</f>
        <v>2.7025791988338314E-2</v>
      </c>
      <c r="P49" s="165">
        <f>(INDEX(Models!$BJ49:$BT49,,T49)*(1-R49)+INDEX(Models!$BJ49:$BT49,,T49+1)*R49-ERP_i)*Q49*Ramure*Pc/MaxiM</f>
        <v>7.028784183714874E-4</v>
      </c>
      <c r="Q49" s="301">
        <f t="shared" si="4"/>
        <v>0.5</v>
      </c>
      <c r="R49" s="173">
        <f t="shared" si="5"/>
        <v>0.96665319237081171</v>
      </c>
      <c r="S49" s="801">
        <f t="shared" si="6"/>
        <v>0</v>
      </c>
      <c r="T49" s="172">
        <f t="shared" si="7"/>
        <v>6</v>
      </c>
      <c r="U49" s="247">
        <f t="shared" si="8"/>
        <v>0.96665319237081171</v>
      </c>
      <c r="V49" s="378">
        <f t="shared" si="9"/>
        <v>127.49807710728038</v>
      </c>
      <c r="W49" s="397">
        <f t="shared" si="10"/>
        <v>50.162346939818299</v>
      </c>
      <c r="X49" s="153">
        <f t="shared" si="11"/>
        <v>47883</v>
      </c>
      <c r="Y49" s="380">
        <f t="shared" si="12"/>
        <v>48.635266905643093</v>
      </c>
      <c r="Z49" s="380">
        <f t="shared" si="22"/>
        <v>50.993595866945725</v>
      </c>
      <c r="AA49" s="381">
        <f t="shared" si="13"/>
        <v>54.029981408031809</v>
      </c>
      <c r="AB49" s="193">
        <f t="shared" si="14"/>
        <v>47883</v>
      </c>
      <c r="AC49" s="119">
        <f>IF(OR(t&lt;Tnet,NoTnet),'2030'!Resal_s+('2030'!Salim-'2030'!Resal_s)*(1-EXP(('2030'!Tnet_s-t)/'2030'!Tau_j)),Resal_s+(Salim-Resal_s)*(1-EXP((Tnet_s-t)/Tau_j)))*Salcycl</f>
        <v>5.61981600207382E-2</v>
      </c>
      <c r="AD49" s="227">
        <f>(INDEX(Models!$BJ49:$BT49,,AH49)*(1-AF49)+INDEX(Models!$BJ49:$BT49,,AH49+1)*AF49-ERP_i)*AE49*Ramure*Pc/MaxiM</f>
        <v>4.2558991299577751E-3</v>
      </c>
      <c r="AE49" s="301">
        <f t="shared" si="15"/>
        <v>0.5</v>
      </c>
      <c r="AF49" s="173">
        <f t="shared" si="23"/>
        <v>0.49164075874478996</v>
      </c>
      <c r="AG49" s="801">
        <f t="shared" si="24"/>
        <v>4</v>
      </c>
      <c r="AH49" s="172">
        <f t="shared" si="16"/>
        <v>10</v>
      </c>
      <c r="AI49" s="221">
        <f t="shared" si="17"/>
        <v>4.49164075874479</v>
      </c>
      <c r="AJ49" s="261" t="b">
        <f t="shared" si="18"/>
        <v>0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47884</v>
      </c>
      <c r="B50" s="406">
        <f>'2030'!Wh/'2030'!Env_an*'2031'!Env_an</f>
        <v>42.049136498475939</v>
      </c>
      <c r="C50" s="831"/>
      <c r="D50" s="388">
        <f t="shared" si="0"/>
        <v>44.088706874347402</v>
      </c>
      <c r="E50" s="380">
        <f t="shared" si="1"/>
        <v>45.31604883116443</v>
      </c>
      <c r="F50" s="380">
        <f t="shared" si="2"/>
        <v>45.317175042288731</v>
      </c>
      <c r="G50" s="110">
        <f t="shared" si="21"/>
        <v>0.32612959668258612</v>
      </c>
      <c r="H50" s="409" t="b">
        <f>Wh_hp&gt;='2030'!Maxi_hp</f>
        <v>0</v>
      </c>
      <c r="I50" s="385">
        <f>IF(H50,Wh_hp,'2030'!Maxi_hp)</f>
        <v>45.345948475362562</v>
      </c>
      <c r="J50" s="85">
        <f>IF(H50,An,'2030'!An_max)</f>
        <v>2022</v>
      </c>
      <c r="K50" s="193">
        <f t="shared" si="3"/>
        <v>47884</v>
      </c>
      <c r="L50" s="143">
        <f>IF(t&lt;Tvie,1-EXP((T0-t)*PertePVj)+'2030'!Pspv,1-EXP((T0-t)*PertePVj)+Pspv)</f>
        <v>4.6260607771605344E-2</v>
      </c>
      <c r="M50" s="835"/>
      <c r="N50" s="835"/>
      <c r="O50" s="48">
        <f>IF(t&lt;Tnet,'2030'!Resal+('2030'!Salim-'2030'!Resal)*(1-EXP(('2030'!Tnet-t)/('2030'!Tau_j))),Resal+(Salim-Resal)*(1-EXP((Tnet-t)/(Tau_j))))*Salcycl</f>
        <v>2.7084046126567164E-2</v>
      </c>
      <c r="P50" s="165">
        <f>(INDEX(Models!$BJ50:$BT50,,T50)*(1-R50)+INDEX(Models!$BJ50:$BT50,,T50+1)*R50-ERP_i)*Q50*Ramure*Pc/MaxiM</f>
        <v>6.6052305204218858E-4</v>
      </c>
      <c r="Q50" s="301">
        <f t="shared" si="4"/>
        <v>0.5</v>
      </c>
      <c r="R50" s="173">
        <f t="shared" si="5"/>
        <v>0.96677032341159252</v>
      </c>
      <c r="S50" s="801">
        <f t="shared" si="6"/>
        <v>0</v>
      </c>
      <c r="T50" s="172">
        <f t="shared" si="7"/>
        <v>6</v>
      </c>
      <c r="U50" s="247">
        <f t="shared" si="8"/>
        <v>0.96677032341159252</v>
      </c>
      <c r="V50" s="378">
        <f t="shared" si="9"/>
        <v>128.85186389800739</v>
      </c>
      <c r="W50" s="397">
        <f t="shared" si="10"/>
        <v>42.049136498475939</v>
      </c>
      <c r="X50" s="153">
        <f t="shared" si="11"/>
        <v>47884</v>
      </c>
      <c r="Y50" s="380">
        <f t="shared" si="12"/>
        <v>40.78450835732221</v>
      </c>
      <c r="Z50" s="380">
        <f t="shared" si="22"/>
        <v>42.76273863663107</v>
      </c>
      <c r="AA50" s="381">
        <f t="shared" si="13"/>
        <v>45.310296914706967</v>
      </c>
      <c r="AB50" s="193">
        <f t="shared" si="14"/>
        <v>47884</v>
      </c>
      <c r="AC50" s="119">
        <f>IF(OR(t&lt;Tnet,NoTnet),'2030'!Resal_s+('2030'!Salim-'2030'!Resal_s)*(1-EXP(('2030'!Tnet_s-t)/'2030'!Tau_j)),Resal_s+(Salim-Resal_s)*(1-EXP((Tnet_s-t)/Tau_j)))*Salcycl</f>
        <v>5.6224709426898646E-2</v>
      </c>
      <c r="AD50" s="227">
        <f>(INDEX(Models!$BJ50:$BT50,,AH50)*(1-AF50)+INDEX(Models!$BJ50:$BT50,,AH50+1)*AF50-ERP_i)*AE50*Ramure*Pc/MaxiM</f>
        <v>4.0340232169686066E-3</v>
      </c>
      <c r="AE50" s="301">
        <f t="shared" si="15"/>
        <v>0.5</v>
      </c>
      <c r="AF50" s="173">
        <f t="shared" si="23"/>
        <v>0.49175788978557033</v>
      </c>
      <c r="AG50" s="801">
        <f t="shared" si="24"/>
        <v>4</v>
      </c>
      <c r="AH50" s="172">
        <f t="shared" si="16"/>
        <v>10</v>
      </c>
      <c r="AI50" s="221">
        <f t="shared" si="17"/>
        <v>4.4917578897855703</v>
      </c>
      <c r="AJ50" s="261" t="b">
        <f t="shared" si="18"/>
        <v>0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47885</v>
      </c>
      <c r="B51" s="406">
        <f>'2030'!Wh/'2030'!Env_an*'2031'!Env_an</f>
        <v>89.207411131863637</v>
      </c>
      <c r="C51" s="831"/>
      <c r="D51" s="388">
        <f t="shared" si="0"/>
        <v>93.535648259942164</v>
      </c>
      <c r="E51" s="380">
        <f t="shared" si="1"/>
        <v>96.145248536224386</v>
      </c>
      <c r="F51" s="380">
        <f t="shared" si="2"/>
        <v>96.177850575602193</v>
      </c>
      <c r="G51" s="110">
        <f t="shared" si="21"/>
        <v>0.68486316138356929</v>
      </c>
      <c r="H51" s="409" t="b">
        <f>Wh_hp&gt;='2030'!Maxi_hp</f>
        <v>0</v>
      </c>
      <c r="I51" s="385">
        <f>IF(H51,Wh_hp,'2030'!Maxi_hp)</f>
        <v>96.204482022680693</v>
      </c>
      <c r="J51" s="85">
        <f>IF(H51,An,'2030'!An_max)</f>
        <v>2022</v>
      </c>
      <c r="K51" s="193">
        <f t="shared" si="3"/>
        <v>47885</v>
      </c>
      <c r="L51" s="143">
        <f>IF(t&lt;Tvie,1-EXP((T0-t)*PertePVj)+'2030'!Pspv,1-EXP((T0-t)*PertePVj)+Pspv)</f>
        <v>4.6273663662971032E-2</v>
      </c>
      <c r="M51" s="835"/>
      <c r="N51" s="835"/>
      <c r="O51" s="48">
        <f>IF(t&lt;Tnet,'2030'!Resal+('2030'!Salim-'2030'!Resal)*(1-EXP(('2030'!Tnet-t)/('2030'!Tau_j))),Resal+(Salim-Resal)*(1-EXP((Tnet-t)/(Tau_j))))*Salcycl</f>
        <v>2.7142269805449794E-2</v>
      </c>
      <c r="P51" s="165">
        <f>(INDEX(Models!$BJ51:$BT51,,T51)*(1-R51)+INDEX(Models!$BJ51:$BT51,,T51+1)*R51-ERP_i)*Q51*Ramure*Pc/MaxiM</f>
        <v>6.1623597061850931E-4</v>
      </c>
      <c r="Q51" s="301">
        <f t="shared" si="4"/>
        <v>0.5</v>
      </c>
      <c r="R51" s="173">
        <f t="shared" si="5"/>
        <v>0.96689230974118667</v>
      </c>
      <c r="S51" s="801">
        <f t="shared" si="6"/>
        <v>0</v>
      </c>
      <c r="T51" s="172">
        <f t="shared" si="7"/>
        <v>6</v>
      </c>
      <c r="U51" s="247">
        <f t="shared" si="8"/>
        <v>0.96689230974118667</v>
      </c>
      <c r="V51" s="378">
        <f t="shared" si="9"/>
        <v>130.21969085441165</v>
      </c>
      <c r="W51" s="397">
        <f t="shared" si="10"/>
        <v>89.207411131863637</v>
      </c>
      <c r="X51" s="153">
        <f t="shared" si="11"/>
        <v>47885</v>
      </c>
      <c r="Y51" s="380">
        <f t="shared" si="12"/>
        <v>86.386319622870715</v>
      </c>
      <c r="Z51" s="380">
        <f t="shared" si="22"/>
        <v>90.577680757620826</v>
      </c>
      <c r="AA51" s="381">
        <f t="shared" si="13"/>
        <v>95.97648239949207</v>
      </c>
      <c r="AB51" s="193">
        <f t="shared" si="14"/>
        <v>47885</v>
      </c>
      <c r="AC51" s="119">
        <f>IF(OR(t&lt;Tnet,NoTnet),'2030'!Resal_s+('2030'!Salim-'2030'!Resal_s)*(1-EXP(('2030'!Tnet_s-t)/'2030'!Tau_j)),Resal_s+(Salim-Resal_s)*(1-EXP((Tnet_s-t)/Tau_j)))*Salcycl</f>
        <v>5.6251297264670541E-2</v>
      </c>
      <c r="AD51" s="227">
        <f>(INDEX(Models!$BJ51:$BT51,,AH51)*(1-AF51)+INDEX(Models!$BJ51:$BT51,,AH51+1)*AF51-ERP_i)*AE51*Ramure*Pc/MaxiM</f>
        <v>3.8062132254647659E-3</v>
      </c>
      <c r="AE51" s="301">
        <f t="shared" si="15"/>
        <v>0.5</v>
      </c>
      <c r="AF51" s="173">
        <f t="shared" si="23"/>
        <v>0.49187987611516437</v>
      </c>
      <c r="AG51" s="801">
        <f t="shared" si="24"/>
        <v>4</v>
      </c>
      <c r="AH51" s="172">
        <f t="shared" si="16"/>
        <v>10</v>
      </c>
      <c r="AI51" s="221">
        <f t="shared" si="17"/>
        <v>4.4918798761151644</v>
      </c>
      <c r="AJ51" s="261" t="b">
        <f t="shared" si="18"/>
        <v>0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47886</v>
      </c>
      <c r="B52" s="406">
        <f>'2030'!Wh/'2030'!Env_an*'2031'!Env_an</f>
        <v>40.307645237576921</v>
      </c>
      <c r="C52" s="831"/>
      <c r="D52" s="388">
        <f t="shared" si="0"/>
        <v>42.263902638734223</v>
      </c>
      <c r="E52" s="380">
        <f t="shared" si="1"/>
        <v>43.445644180692355</v>
      </c>
      <c r="F52" s="380">
        <f t="shared" si="2"/>
        <v>43.44586650502157</v>
      </c>
      <c r="G52" s="110">
        <f t="shared" si="21"/>
        <v>0.30609183468583351</v>
      </c>
      <c r="H52" s="409" t="b">
        <f>Wh_hp&gt;='2030'!Maxi_hp</f>
        <v>0</v>
      </c>
      <c r="I52" s="385">
        <f>IF(H52,Wh_hp,'2030'!Maxi_hp)</f>
        <v>43.470447620371786</v>
      </c>
      <c r="J52" s="85">
        <f>IF(H52,An,'2030'!An_max)</f>
        <v>2022</v>
      </c>
      <c r="K52" s="193">
        <f t="shared" si="3"/>
        <v>47886</v>
      </c>
      <c r="L52" s="143">
        <f>IF(t&lt;Tvie,1-EXP((T0-t)*PertePVj)+'2030'!Pspv,1-EXP((T0-t)*PertePVj)+Pspv)</f>
        <v>4.6286719375612573E-2</v>
      </c>
      <c r="M52" s="835"/>
      <c r="N52" s="835"/>
      <c r="O52" s="48">
        <f>IF(t&lt;Tnet,'2030'!Resal+('2030'!Salim-'2030'!Resal)*(1-EXP(('2030'!Tnet-t)/('2030'!Tau_j))),Resal+(Salim-Resal)*(1-EXP((Tnet-t)/(Tau_j))))*Salcycl</f>
        <v>2.7200460811289136E-2</v>
      </c>
      <c r="P52" s="165">
        <f>(INDEX(Models!$BJ52:$BT52,,T52)*(1-R52)+INDEX(Models!$BJ52:$BT52,,T52+1)*R52-ERP_i)*Q52*Ramure*Pc/MaxiM</f>
        <v>5.7172859416362366E-4</v>
      </c>
      <c r="Q52" s="301">
        <f t="shared" si="4"/>
        <v>0.5</v>
      </c>
      <c r="R52" s="173">
        <f t="shared" si="5"/>
        <v>0.96701935007608808</v>
      </c>
      <c r="S52" s="801">
        <f t="shared" si="6"/>
        <v>0</v>
      </c>
      <c r="T52" s="172">
        <f t="shared" si="7"/>
        <v>6</v>
      </c>
      <c r="U52" s="247">
        <f t="shared" si="8"/>
        <v>0.96701935007608808</v>
      </c>
      <c r="V52" s="378">
        <f t="shared" si="9"/>
        <v>131.61019598547068</v>
      </c>
      <c r="W52" s="397">
        <f t="shared" si="10"/>
        <v>40.307645237576921</v>
      </c>
      <c r="X52" s="153">
        <f t="shared" si="11"/>
        <v>47886</v>
      </c>
      <c r="Y52" s="380">
        <f t="shared" si="12"/>
        <v>39.101778661561454</v>
      </c>
      <c r="Z52" s="380">
        <f t="shared" si="22"/>
        <v>40.999511547078249</v>
      </c>
      <c r="AA52" s="381">
        <f t="shared" si="13"/>
        <v>43.444476240704049</v>
      </c>
      <c r="AB52" s="193">
        <f t="shared" si="14"/>
        <v>47886</v>
      </c>
      <c r="AC52" s="119">
        <f>IF(OR(t&lt;Tnet,NoTnet),'2030'!Resal_s+('2030'!Salim-'2030'!Resal_s)*(1-EXP(('2030'!Tnet_s-t)/'2030'!Tau_j)),Resal_s+(Salim-Resal_s)*(1-EXP((Tnet_s-t)/Tau_j)))*Salcycl</f>
        <v>5.6277918510962782E-2</v>
      </c>
      <c r="AD52" s="227">
        <f>(INDEX(Models!$BJ52:$BT52,,AH52)*(1-AF52)+INDEX(Models!$BJ52:$BT52,,AH52+1)*AF52-ERP_i)*AE52*Ramure*Pc/MaxiM</f>
        <v>3.5751996490343786E-3</v>
      </c>
      <c r="AE52" s="301">
        <f t="shared" si="15"/>
        <v>0.5</v>
      </c>
      <c r="AF52" s="173">
        <f t="shared" si="23"/>
        <v>0.492006916450066</v>
      </c>
      <c r="AG52" s="801">
        <f t="shared" si="24"/>
        <v>4</v>
      </c>
      <c r="AH52" s="172">
        <f t="shared" si="16"/>
        <v>10</v>
      </c>
      <c r="AI52" s="221">
        <f t="shared" si="17"/>
        <v>4.492006916450066</v>
      </c>
      <c r="AJ52" s="261" t="b">
        <f t="shared" si="18"/>
        <v>0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47887</v>
      </c>
      <c r="B53" s="406">
        <f>'2030'!Wh/'2030'!Env_an*'2031'!Env_an</f>
        <v>134.87258356893602</v>
      </c>
      <c r="C53" s="831"/>
      <c r="D53" s="388">
        <f t="shared" si="0"/>
        <v>141.42031219101585</v>
      </c>
      <c r="E53" s="380">
        <f t="shared" si="1"/>
        <v>145.38325871872553</v>
      </c>
      <c r="F53" s="380">
        <f t="shared" si="2"/>
        <v>145.46002837728113</v>
      </c>
      <c r="G53" s="110">
        <f t="shared" si="21"/>
        <v>1.0139250594819573</v>
      </c>
      <c r="H53" s="409" t="b">
        <f>Wh_hp&gt;='2030'!Maxi_hp</f>
        <v>1</v>
      </c>
      <c r="I53" s="385">
        <f>IF(H53,Wh_hp,'2030'!Maxi_hp)</f>
        <v>145.46002837728113</v>
      </c>
      <c r="J53" s="85">
        <f>IF(H53,An,'2030'!An_max)</f>
        <v>2031</v>
      </c>
      <c r="K53" s="193">
        <f t="shared" si="3"/>
        <v>47887</v>
      </c>
      <c r="L53" s="143">
        <f>IF(t&lt;Tvie,1-EXP((T0-t)*PertePVj)+'2030'!Pspv,1-EXP((T0-t)*PertePVj)+Pspv)</f>
        <v>4.629977490953241E-2</v>
      </c>
      <c r="M53" s="835"/>
      <c r="N53" s="835"/>
      <c r="O53" s="48">
        <f>IF(t&lt;Tnet,'2030'!Resal+('2030'!Salim-'2030'!Resal)*(1-EXP(('2030'!Tnet-t)/('2030'!Tau_j))),Resal+(Salim-Resal)*(1-EXP((Tnet-t)/(Tau_j))))*Salcycl</f>
        <v>2.7258616725443115E-2</v>
      </c>
      <c r="P53" s="165">
        <f>(INDEX(Models!$BJ53:$BT53,,T53)*(1-R53)+INDEX(Models!$BJ53:$BT53,,T53+1)*R53-ERP_i)*Q53*Ramure*Pc/MaxiM</f>
        <v>5.2777150817324547E-4</v>
      </c>
      <c r="Q53" s="301">
        <f t="shared" si="4"/>
        <v>0.5</v>
      </c>
      <c r="R53" s="173">
        <f t="shared" si="5"/>
        <v>0.96715165104945433</v>
      </c>
      <c r="S53" s="801">
        <f t="shared" si="6"/>
        <v>0</v>
      </c>
      <c r="T53" s="172">
        <f t="shared" si="7"/>
        <v>6</v>
      </c>
      <c r="U53" s="247">
        <f t="shared" si="8"/>
        <v>0.96715165104945433</v>
      </c>
      <c r="V53" s="378">
        <f t="shared" si="9"/>
        <v>133.02026841889693</v>
      </c>
      <c r="W53" s="397">
        <f t="shared" si="10"/>
        <v>134.87258356893602</v>
      </c>
      <c r="X53" s="153">
        <f t="shared" si="11"/>
        <v>47887</v>
      </c>
      <c r="Y53" s="380">
        <f t="shared" si="12"/>
        <v>130.47618699576395</v>
      </c>
      <c r="Z53" s="380">
        <f t="shared" si="22"/>
        <v>136.81048149421065</v>
      </c>
      <c r="AA53" s="381">
        <f t="shared" si="13"/>
        <v>144.9731309694462</v>
      </c>
      <c r="AB53" s="193">
        <f t="shared" si="14"/>
        <v>47887</v>
      </c>
      <c r="AC53" s="119">
        <f>IF(OR(t&lt;Tnet,NoTnet),'2030'!Resal_s+('2030'!Salim-'2030'!Resal_s)*(1-EXP(('2030'!Tnet_s-t)/'2030'!Tau_j)),Resal_s+(Salim-Resal_s)*(1-EXP((Tnet_s-t)/Tau_j)))*Salcycl</f>
        <v>5.6304567754392215E-2</v>
      </c>
      <c r="AD53" s="227">
        <f>(INDEX(Models!$BJ53:$BT53,,AH53)*(1-AF53)+INDEX(Models!$BJ53:$BT53,,AH53+1)*AF53-ERP_i)*AE53*Ramure*Pc/MaxiM</f>
        <v>3.3472935023225055E-3</v>
      </c>
      <c r="AE53" s="301">
        <f t="shared" si="15"/>
        <v>0.5</v>
      </c>
      <c r="AF53" s="173">
        <f t="shared" si="23"/>
        <v>0.49213921742343203</v>
      </c>
      <c r="AG53" s="801">
        <f t="shared" si="24"/>
        <v>4</v>
      </c>
      <c r="AH53" s="172">
        <f t="shared" si="16"/>
        <v>10</v>
      </c>
      <c r="AI53" s="221">
        <f t="shared" si="17"/>
        <v>4.492139217423432</v>
      </c>
      <c r="AJ53" s="261" t="b">
        <f t="shared" si="18"/>
        <v>0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47888</v>
      </c>
      <c r="B54" s="406">
        <f>'2030'!Wh/'2030'!Env_an*'2031'!Env_an</f>
        <v>134.22474865634643</v>
      </c>
      <c r="C54" s="831"/>
      <c r="D54" s="388">
        <f t="shared" si="0"/>
        <v>140.74295315685723</v>
      </c>
      <c r="E54" s="380">
        <f t="shared" si="1"/>
        <v>144.69556351446147</v>
      </c>
      <c r="F54" s="380">
        <f t="shared" si="2"/>
        <v>144.76551887027316</v>
      </c>
      <c r="G54" s="110">
        <f t="shared" si="21"/>
        <v>0.99834655604027089</v>
      </c>
      <c r="H54" s="409" t="b">
        <f>Wh_hp&gt;='2030'!Maxi_hp</f>
        <v>0</v>
      </c>
      <c r="I54" s="385">
        <f>IF(H54,Wh_hp,'2030'!Maxi_hp)</f>
        <v>144.76568409319361</v>
      </c>
      <c r="J54" s="85">
        <f>IF(H54,An,'2030'!An_max)</f>
        <v>2022</v>
      </c>
      <c r="K54" s="193">
        <f t="shared" si="3"/>
        <v>47888</v>
      </c>
      <c r="L54" s="143">
        <f>IF(t&lt;Tvie,1-EXP((T0-t)*PertePVj)+'2030'!Pspv,1-EXP((T0-t)*PertePVj)+Pspv)</f>
        <v>4.6312830264732985E-2</v>
      </c>
      <c r="M54" s="835"/>
      <c r="N54" s="835"/>
      <c r="O54" s="48">
        <f>IF(t&lt;Tnet,'2030'!Resal+('2030'!Salim-'2030'!Resal)*(1-EXP(('2030'!Tnet-t)/('2030'!Tau_j))),Resal+(Salim-Resal)*(1-EXP((Tnet-t)/(Tau_j))))*Salcycl</f>
        <v>2.7316734954414851E-2</v>
      </c>
      <c r="P54" s="165">
        <f>(INDEX(Models!$BJ54:$BT54,,T54)*(1-R54)+INDEX(Models!$BJ54:$BT54,,T54+1)*R54-ERP_i)*Q54*Ramure*Pc/MaxiM</f>
        <v>4.8437550504807617E-4</v>
      </c>
      <c r="Q54" s="301">
        <f t="shared" si="4"/>
        <v>0.5</v>
      </c>
      <c r="R54" s="173">
        <f t="shared" si="5"/>
        <v>0.96728942750804547</v>
      </c>
      <c r="S54" s="801">
        <f t="shared" si="6"/>
        <v>0</v>
      </c>
      <c r="T54" s="172">
        <f t="shared" si="7"/>
        <v>6</v>
      </c>
      <c r="U54" s="247">
        <f t="shared" si="8"/>
        <v>0.96728942750804547</v>
      </c>
      <c r="V54" s="378">
        <f t="shared" si="9"/>
        <v>134.44689552559134</v>
      </c>
      <c r="W54" s="397">
        <f t="shared" si="10"/>
        <v>134.22474865634643</v>
      </c>
      <c r="X54" s="153">
        <f t="shared" si="11"/>
        <v>47888</v>
      </c>
      <c r="Y54" s="380">
        <f t="shared" si="12"/>
        <v>129.87801103683853</v>
      </c>
      <c r="Z54" s="380">
        <f t="shared" si="22"/>
        <v>136.18512983968446</v>
      </c>
      <c r="AA54" s="381">
        <f t="shared" si="13"/>
        <v>144.31454712238786</v>
      </c>
      <c r="AB54" s="193">
        <f t="shared" si="14"/>
        <v>47888</v>
      </c>
      <c r="AC54" s="119">
        <f>IF(OR(t&lt;Tnet,NoTnet),'2030'!Resal_s+('2030'!Salim-'2030'!Resal_s)*(1-EXP(('2030'!Tnet_s-t)/'2030'!Tau_j)),Resal_s+(Salim-Resal_s)*(1-EXP((Tnet_s-t)/Tau_j)))*Salcycl</f>
        <v>5.6331239260371584E-2</v>
      </c>
      <c r="AD54" s="227">
        <f>(INDEX(Models!$BJ54:$BT54,,AH54)*(1-AF54)+INDEX(Models!$BJ54:$BT54,,AH54+1)*AF54-ERP_i)*AE54*Ramure*Pc/MaxiM</f>
        <v>3.1225581745638769E-3</v>
      </c>
      <c r="AE54" s="301">
        <f t="shared" si="15"/>
        <v>0.5</v>
      </c>
      <c r="AF54" s="173">
        <f t="shared" si="23"/>
        <v>0.49227699388202328</v>
      </c>
      <c r="AG54" s="801">
        <f t="shared" si="24"/>
        <v>4</v>
      </c>
      <c r="AH54" s="172">
        <f t="shared" si="16"/>
        <v>10</v>
      </c>
      <c r="AI54" s="221">
        <f t="shared" si="17"/>
        <v>4.4922769938820233</v>
      </c>
      <c r="AJ54" s="261" t="b">
        <f t="shared" si="18"/>
        <v>0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47889</v>
      </c>
      <c r="B55" s="406">
        <f>'2030'!Wh/'2030'!Env_an*'2031'!Env_an</f>
        <v>126.0659877180744</v>
      </c>
      <c r="C55" s="831"/>
      <c r="D55" s="388">
        <f t="shared" si="0"/>
        <v>132.18979711575662</v>
      </c>
      <c r="E55" s="380">
        <f t="shared" si="1"/>
        <v>135.9103165848623</v>
      </c>
      <c r="F55" s="380">
        <f t="shared" si="2"/>
        <v>135.96415263357667</v>
      </c>
      <c r="G55" s="110">
        <f t="shared" si="21"/>
        <v>0.92768386509348588</v>
      </c>
      <c r="H55" s="409" t="b">
        <f>Wh_hp&gt;='2030'!Maxi_hp</f>
        <v>0</v>
      </c>
      <c r="I55" s="385">
        <f>IF(H55,Wh_hp,'2030'!Maxi_hp)</f>
        <v>135.97033911419149</v>
      </c>
      <c r="J55" s="85">
        <f>IF(H55,An,'2030'!An_max)</f>
        <v>2022</v>
      </c>
      <c r="K55" s="193">
        <f t="shared" si="3"/>
        <v>47889</v>
      </c>
      <c r="L55" s="143">
        <f>IF(t&lt;Tvie,1-EXP((T0-t)*PertePVj)+'2030'!Pspv,1-EXP((T0-t)*PertePVj)+Pspv)</f>
        <v>4.632588544121663E-2</v>
      </c>
      <c r="M55" s="835"/>
      <c r="N55" s="835"/>
      <c r="O55" s="48">
        <f>IF(t&lt;Tnet,'2030'!Resal+('2030'!Salim-'2030'!Resal)*(1-EXP(('2030'!Tnet-t)/('2030'!Tau_j))),Resal+(Salim-Resal)*(1-EXP((Tnet-t)/(Tau_j))))*Salcycl</f>
        <v>2.7374812763257542E-2</v>
      </c>
      <c r="P55" s="165">
        <f>(INDEX(Models!$BJ55:$BT55,,T55)*(1-R55)+INDEX(Models!$BJ55:$BT55,,T55+1)*R55-ERP_i)*Q55*Ramure*Pc/MaxiM</f>
        <v>4.4154661340376741E-4</v>
      </c>
      <c r="Q55" s="301">
        <f t="shared" si="4"/>
        <v>0.5</v>
      </c>
      <c r="R55" s="173">
        <f t="shared" si="5"/>
        <v>0.96743290281870797</v>
      </c>
      <c r="S55" s="801">
        <f t="shared" si="6"/>
        <v>0</v>
      </c>
      <c r="T55" s="172">
        <f t="shared" si="7"/>
        <v>6</v>
      </c>
      <c r="U55" s="247">
        <f t="shared" si="8"/>
        <v>0.96743290281870797</v>
      </c>
      <c r="V55" s="378">
        <f t="shared" si="9"/>
        <v>135.88706559351112</v>
      </c>
      <c r="W55" s="397">
        <f t="shared" si="10"/>
        <v>126.0659877180744</v>
      </c>
      <c r="X55" s="153">
        <f t="shared" si="11"/>
        <v>47889</v>
      </c>
      <c r="Y55" s="380">
        <f t="shared" si="12"/>
        <v>122.03949999016035</v>
      </c>
      <c r="Z55" s="380">
        <f t="shared" si="22"/>
        <v>127.96771782635815</v>
      </c>
      <c r="AA55" s="381">
        <f t="shared" si="13"/>
        <v>135.61044117635745</v>
      </c>
      <c r="AB55" s="193">
        <f t="shared" si="14"/>
        <v>47889</v>
      </c>
      <c r="AC55" s="119">
        <f>IF(OR(t&lt;Tnet,NoTnet),'2030'!Resal_s+('2030'!Salim-'2030'!Resal_s)*(1-EXP(('2030'!Tnet_s-t)/'2030'!Tau_j)),Resal_s+(Salim-Resal_s)*(1-EXP((Tnet_s-t)/Tau_j)))*Salcycl</f>
        <v>5.6357927042359195E-2</v>
      </c>
      <c r="AD55" s="227">
        <f>(INDEX(Models!$BJ55:$BT55,,AH55)*(1-AF55)+INDEX(Models!$BJ55:$BT55,,AH55+1)*AF55-ERP_i)*AE55*Ramure*Pc/MaxiM</f>
        <v>2.901031925390781E-3</v>
      </c>
      <c r="AE55" s="301">
        <f t="shared" si="15"/>
        <v>0.5</v>
      </c>
      <c r="AF55" s="173">
        <f t="shared" si="23"/>
        <v>0.49242046919268567</v>
      </c>
      <c r="AG55" s="801">
        <f t="shared" si="24"/>
        <v>4</v>
      </c>
      <c r="AH55" s="172">
        <f t="shared" si="16"/>
        <v>10</v>
      </c>
      <c r="AI55" s="221">
        <f t="shared" si="17"/>
        <v>4.4924204691926857</v>
      </c>
      <c r="AJ55" s="261" t="b">
        <f t="shared" si="18"/>
        <v>0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47890</v>
      </c>
      <c r="B56" s="406">
        <f>'2030'!Wh/'2030'!Env_an*'2031'!Env_an</f>
        <v>62.877075499733728</v>
      </c>
      <c r="C56" s="831"/>
      <c r="D56" s="388">
        <f t="shared" si="0"/>
        <v>65.93230883169025</v>
      </c>
      <c r="E56" s="380">
        <f t="shared" si="1"/>
        <v>67.792037443850475</v>
      </c>
      <c r="F56" s="380">
        <f t="shared" si="2"/>
        <v>67.798141076704525</v>
      </c>
      <c r="G56" s="110">
        <f t="shared" si="21"/>
        <v>0.45768639886136153</v>
      </c>
      <c r="H56" s="409" t="b">
        <f>Wh_hp&gt;='2030'!Maxi_hp</f>
        <v>0</v>
      </c>
      <c r="I56" s="385">
        <f>IF(H56,Wh_hp,'2030'!Maxi_hp)</f>
        <v>67.819064186061496</v>
      </c>
      <c r="J56" s="85">
        <f>IF(H56,An,'2030'!An_max)</f>
        <v>2022</v>
      </c>
      <c r="K56" s="193">
        <f t="shared" si="3"/>
        <v>47890</v>
      </c>
      <c r="L56" s="143">
        <f>IF(t&lt;Tvie,1-EXP((T0-t)*PertePVj)+'2030'!Pspv,1-EXP((T0-t)*PertePVj)+Pspv)</f>
        <v>4.6338940438985898E-2</v>
      </c>
      <c r="M56" s="835"/>
      <c r="N56" s="835"/>
      <c r="O56" s="48">
        <f>IF(t&lt;Tnet,'2030'!Resal+('2030'!Salim-'2030'!Resal)*(1-EXP(('2030'!Tnet-t)/('2030'!Tau_j))),Resal+(Salim-Resal)*(1-EXP((Tnet-t)/(Tau_j))))*Salcycl</f>
        <v>2.743284731190691E-2</v>
      </c>
      <c r="P56" s="165">
        <f>(INDEX(Models!$BJ56:$BT56,,T56)*(1-R56)+INDEX(Models!$BJ56:$BT56,,T56+1)*R56-ERP_i)*Q56*Ramure*Pc/MaxiM</f>
        <v>3.9928647906084378E-4</v>
      </c>
      <c r="Q56" s="301">
        <f t="shared" si="4"/>
        <v>0.5</v>
      </c>
      <c r="R56" s="173">
        <f t="shared" si="5"/>
        <v>0.96758230918456922</v>
      </c>
      <c r="S56" s="801">
        <f t="shared" si="6"/>
        <v>0</v>
      </c>
      <c r="T56" s="172">
        <f t="shared" si="7"/>
        <v>6</v>
      </c>
      <c r="U56" s="247">
        <f t="shared" si="8"/>
        <v>0.96758230918456922</v>
      </c>
      <c r="V56" s="378">
        <f t="shared" si="9"/>
        <v>137.3377678374427</v>
      </c>
      <c r="W56" s="397">
        <f t="shared" si="10"/>
        <v>62.877075499733728</v>
      </c>
      <c r="X56" s="153">
        <f t="shared" si="11"/>
        <v>47890</v>
      </c>
      <c r="Y56" s="380">
        <f t="shared" si="12"/>
        <v>60.973913846732458</v>
      </c>
      <c r="Z56" s="380">
        <f t="shared" si="22"/>
        <v>63.936671457257312</v>
      </c>
      <c r="AA56" s="381">
        <f t="shared" si="13"/>
        <v>67.757131927915069</v>
      </c>
      <c r="AB56" s="193">
        <f t="shared" si="14"/>
        <v>47890</v>
      </c>
      <c r="AC56" s="119">
        <f>IF(OR(t&lt;Tnet,NoTnet),'2030'!Resal_s+('2030'!Salim-'2030'!Resal_s)*(1-EXP(('2030'!Tnet_s-t)/'2030'!Tau_j)),Resal_s+(Salim-Resal_s)*(1-EXP((Tnet_s-t)/Tau_j)))*Salcycl</f>
        <v>5.6384624938408602E-2</v>
      </c>
      <c r="AD56" s="227">
        <f>(INDEX(Models!$BJ56:$BT56,,AH56)*(1-AF56)+INDEX(Models!$BJ56:$BT56,,AH56+1)*AF56-ERP_i)*AE56*Ramure*Pc/MaxiM</f>
        <v>2.6827299447687082E-3</v>
      </c>
      <c r="AE56" s="301">
        <f t="shared" si="15"/>
        <v>0.5</v>
      </c>
      <c r="AF56" s="173">
        <f t="shared" si="23"/>
        <v>0.49256987555854703</v>
      </c>
      <c r="AG56" s="801">
        <f t="shared" si="24"/>
        <v>4</v>
      </c>
      <c r="AH56" s="172">
        <f t="shared" si="16"/>
        <v>10</v>
      </c>
      <c r="AI56" s="221">
        <f t="shared" si="17"/>
        <v>4.492569875558547</v>
      </c>
      <c r="AJ56" s="261" t="b">
        <f t="shared" si="18"/>
        <v>0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47891</v>
      </c>
      <c r="B57" s="406">
        <f>'2030'!Wh/'2030'!Env_an*'2031'!Env_an</f>
        <v>105.30321973842013</v>
      </c>
      <c r="C57" s="831"/>
      <c r="D57" s="388">
        <f t="shared" si="0"/>
        <v>110.42147544461506</v>
      </c>
      <c r="E57" s="380">
        <f t="shared" si="1"/>
        <v>113.54286365354436</v>
      </c>
      <c r="F57" s="380">
        <f t="shared" si="2"/>
        <v>113.56947532363925</v>
      </c>
      <c r="G57" s="110">
        <f t="shared" si="21"/>
        <v>0.75859708869006259</v>
      </c>
      <c r="H57" s="409" t="b">
        <f>Wh_hp&gt;='2030'!Maxi_hp</f>
        <v>0</v>
      </c>
      <c r="I57" s="385">
        <f>IF(H57,Wh_hp,'2030'!Maxi_hp)</f>
        <v>113.58344330581436</v>
      </c>
      <c r="J57" s="85">
        <f>IF(H57,An,'2030'!An_max)</f>
        <v>2022</v>
      </c>
      <c r="K57" s="193">
        <f t="shared" si="3"/>
        <v>47891</v>
      </c>
      <c r="L57" s="143">
        <f>IF(t&lt;Tvie,1-EXP((T0-t)*PertePVj)+'2030'!Pspv,1-EXP((T0-t)*PertePVj)+Pspv)</f>
        <v>4.6351995258043233E-2</v>
      </c>
      <c r="M57" s="835"/>
      <c r="N57" s="835"/>
      <c r="O57" s="48">
        <f>IF(t&lt;Tnet,'2030'!Resal+('2030'!Salim-'2030'!Resal)*(1-EXP(('2030'!Tnet-t)/('2030'!Tau_j))),Resal+(Salim-Resal)*(1-EXP((Tnet-t)/(Tau_j))))*Salcycl</f>
        <v>2.7490835694030519E-2</v>
      </c>
      <c r="P57" s="165">
        <f>(INDEX(Models!$BJ57:$BT57,,T57)*(1-R57)+INDEX(Models!$BJ57:$BT57,,T57+1)*R57-ERP_i)*Q57*Ramure*Pc/MaxiM</f>
        <v>3.5759272700726228E-4</v>
      </c>
      <c r="Q57" s="301">
        <f t="shared" si="4"/>
        <v>0.5</v>
      </c>
      <c r="R57" s="173">
        <f t="shared" si="5"/>
        <v>0.96773788797109206</v>
      </c>
      <c r="S57" s="801">
        <f t="shared" si="6"/>
        <v>0</v>
      </c>
      <c r="T57" s="172">
        <f t="shared" si="7"/>
        <v>6</v>
      </c>
      <c r="U57" s="247">
        <f t="shared" si="8"/>
        <v>0.96773788797109206</v>
      </c>
      <c r="V57" s="378">
        <f t="shared" si="9"/>
        <v>138.795992386753</v>
      </c>
      <c r="W57" s="397">
        <f t="shared" si="10"/>
        <v>105.30321973842013</v>
      </c>
      <c r="X57" s="153">
        <f t="shared" si="11"/>
        <v>47891</v>
      </c>
      <c r="Y57" s="380">
        <f t="shared" si="12"/>
        <v>102.03040930928611</v>
      </c>
      <c r="Z57" s="380">
        <f t="shared" si="22"/>
        <v>106.98959029112009</v>
      </c>
      <c r="AA57" s="381">
        <f t="shared" si="13"/>
        <v>113.3858357117125</v>
      </c>
      <c r="AB57" s="193">
        <f t="shared" si="14"/>
        <v>47891</v>
      </c>
      <c r="AC57" s="119">
        <f>IF(OR(t&lt;Tnet,NoTnet),'2030'!Resal_s+('2030'!Salim-'2030'!Resal_s)*(1-EXP(('2030'!Tnet_s-t)/'2030'!Tau_j)),Resal_s+(Salim-Resal_s)*(1-EXP((Tnet_s-t)/Tau_j)))*Salcycl</f>
        <v>5.6411326692119533E-2</v>
      </c>
      <c r="AD57" s="227">
        <f>(INDEX(Models!$BJ57:$BT57,,AH57)*(1-AF57)+INDEX(Models!$BJ57:$BT57,,AH57+1)*AF57-ERP_i)*AE57*Ramure*Pc/MaxiM</f>
        <v>2.4676463138635402E-3</v>
      </c>
      <c r="AE57" s="301">
        <f t="shared" si="15"/>
        <v>0.5</v>
      </c>
      <c r="AF57" s="173">
        <f t="shared" si="23"/>
        <v>0.49272545434507009</v>
      </c>
      <c r="AG57" s="801">
        <f t="shared" si="24"/>
        <v>4</v>
      </c>
      <c r="AH57" s="172">
        <f t="shared" si="16"/>
        <v>10</v>
      </c>
      <c r="AI57" s="221">
        <f t="shared" si="17"/>
        <v>4.4927254543450701</v>
      </c>
      <c r="AJ57" s="261" t="b">
        <f t="shared" si="18"/>
        <v>0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47892</v>
      </c>
      <c r="B58" s="406">
        <f>'2030'!Wh/'2030'!Env_an*'2031'!Env_an</f>
        <v>128.47552428324195</v>
      </c>
      <c r="C58" s="831"/>
      <c r="D58" s="388">
        <f t="shared" si="0"/>
        <v>134.72191247767606</v>
      </c>
      <c r="E58" s="380">
        <f t="shared" si="1"/>
        <v>138.53847782918177</v>
      </c>
      <c r="F58" s="380">
        <f t="shared" si="2"/>
        <v>138.57726428859939</v>
      </c>
      <c r="G58" s="110">
        <f t="shared" si="21"/>
        <v>0.91595599451227072</v>
      </c>
      <c r="H58" s="409" t="b">
        <f>Wh_hp&gt;='2030'!Maxi_hp</f>
        <v>0</v>
      </c>
      <c r="I58" s="385">
        <f>IF(H58,Wh_hp,'2030'!Maxi_hp)</f>
        <v>138.58254094560056</v>
      </c>
      <c r="J58" s="85">
        <f>IF(H58,An,'2030'!An_max)</f>
        <v>2022</v>
      </c>
      <c r="K58" s="193">
        <f t="shared" si="3"/>
        <v>47892</v>
      </c>
      <c r="L58" s="143">
        <f>IF(t&lt;Tvie,1-EXP((T0-t)*PertePVj)+'2030'!Pspv,1-EXP((T0-t)*PertePVj)+Pspv)</f>
        <v>4.6365049898390964E-2</v>
      </c>
      <c r="M58" s="835"/>
      <c r="N58" s="835"/>
      <c r="O58" s="48">
        <f>IF(t&lt;Tnet,'2030'!Resal+('2030'!Salim-'2030'!Resal)*(1-EXP(('2030'!Tnet-t)/('2030'!Tau_j))),Resal+(Salim-Resal)*(1-EXP((Tnet-t)/(Tau_j))))*Salcycl</f>
        <v>2.7548774977963538E-2</v>
      </c>
      <c r="P58" s="165">
        <f>(INDEX(Models!$BJ58:$BT58,,T58)*(1-R58)+INDEX(Models!$BJ58:$BT58,,T58+1)*R58-ERP_i)*Q58*Ramure*Pc/MaxiM</f>
        <v>3.1806204627457248E-4</v>
      </c>
      <c r="Q58" s="301">
        <f t="shared" si="4"/>
        <v>0.5</v>
      </c>
      <c r="R58" s="173">
        <f t="shared" si="5"/>
        <v>0.96789989004213128</v>
      </c>
      <c r="S58" s="801">
        <f t="shared" si="6"/>
        <v>0</v>
      </c>
      <c r="T58" s="172">
        <f t="shared" si="7"/>
        <v>6</v>
      </c>
      <c r="U58" s="247">
        <f t="shared" si="8"/>
        <v>0.96789989004213128</v>
      </c>
      <c r="V58" s="378">
        <f t="shared" si="9"/>
        <v>140.25850539783431</v>
      </c>
      <c r="W58" s="397">
        <f t="shared" si="10"/>
        <v>128.47552428324195</v>
      </c>
      <c r="X58" s="153">
        <f t="shared" si="11"/>
        <v>47892</v>
      </c>
      <c r="Y58" s="380">
        <f t="shared" si="12"/>
        <v>124.44541098413188</v>
      </c>
      <c r="Z58" s="380">
        <f t="shared" si="22"/>
        <v>130.49585794949348</v>
      </c>
      <c r="AA58" s="381">
        <f t="shared" si="13"/>
        <v>138.30131093712288</v>
      </c>
      <c r="AB58" s="193">
        <f t="shared" si="14"/>
        <v>47892</v>
      </c>
      <c r="AC58" s="119">
        <f>IF(OR(t&lt;Tnet,NoTnet),'2030'!Resal_s+('2030'!Salim-'2030'!Resal_s)*(1-EXP(('2030'!Tnet_s-t)/'2030'!Tau_j)),Resal_s+(Salim-Resal_s)*(1-EXP((Tnet_s-t)/Tau_j)))*Salcycl</f>
        <v>5.6438026037063785E-2</v>
      </c>
      <c r="AD58" s="227">
        <f>(INDEX(Models!$BJ58:$BT58,,AH58)*(1-AF58)+INDEX(Models!$BJ58:$BT58,,AH58+1)*AF58-ERP_i)*AE58*Ramure*Pc/MaxiM</f>
        <v>2.2629105353983341E-3</v>
      </c>
      <c r="AE58" s="301">
        <f t="shared" si="15"/>
        <v>0.5</v>
      </c>
      <c r="AF58" s="173">
        <f t="shared" si="23"/>
        <v>0.49288745641610898</v>
      </c>
      <c r="AG58" s="801">
        <f t="shared" si="24"/>
        <v>4</v>
      </c>
      <c r="AH58" s="172">
        <f t="shared" si="16"/>
        <v>10</v>
      </c>
      <c r="AI58" s="221">
        <f t="shared" si="17"/>
        <v>4.492887456416109</v>
      </c>
      <c r="AJ58" s="261" t="b">
        <f t="shared" si="18"/>
        <v>0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47893</v>
      </c>
      <c r="B59" s="406">
        <f>'2030'!Wh/'2030'!Env_an*'2031'!Env_an</f>
        <v>73.254011120853932</v>
      </c>
      <c r="C59" s="831"/>
      <c r="D59" s="388">
        <f t="shared" si="0"/>
        <v>76.816620356324492</v>
      </c>
      <c r="E59" s="380">
        <f t="shared" si="1"/>
        <v>78.997477023045477</v>
      </c>
      <c r="F59" s="380">
        <f t="shared" si="2"/>
        <v>79.004391623381409</v>
      </c>
      <c r="G59" s="110">
        <f t="shared" si="21"/>
        <v>0.51678433204089935</v>
      </c>
      <c r="H59" s="409" t="b">
        <f>Wh_hp&gt;='2030'!Maxi_hp</f>
        <v>0</v>
      </c>
      <c r="I59" s="385">
        <f>IF(H59,Wh_hp,'2030'!Maxi_hp)</f>
        <v>79.019753092234637</v>
      </c>
      <c r="J59" s="85">
        <f>IF(H59,An,'2030'!An_max)</f>
        <v>2022</v>
      </c>
      <c r="K59" s="193">
        <f t="shared" si="3"/>
        <v>47893</v>
      </c>
      <c r="L59" s="143">
        <f>IF(t&lt;Tvie,1-EXP((T0-t)*PertePVj)+'2030'!Pspv,1-EXP((T0-t)*PertePVj)+Pspv)</f>
        <v>4.6378104360031758E-2</v>
      </c>
      <c r="M59" s="835"/>
      <c r="N59" s="835"/>
      <c r="O59" s="48">
        <f>IF(t&lt;Tnet,'2030'!Resal+('2030'!Salim-'2030'!Resal)*(1-EXP(('2030'!Tnet-t)/('2030'!Tau_j))),Resal+(Salim-Resal)*(1-EXP((Tnet-t)/(Tau_j))))*Salcycl</f>
        <v>2.7606662249286467E-2</v>
      </c>
      <c r="P59" s="165">
        <f>(INDEX(Models!$BJ59:$BT59,,T59)*(1-R59)+INDEX(Models!$BJ59:$BT59,,T59+1)*R59-ERP_i)*Q59*Ramure*Pc/MaxiM</f>
        <v>2.8247768890756267E-4</v>
      </c>
      <c r="Q59" s="301">
        <f t="shared" si="4"/>
        <v>0.5</v>
      </c>
      <c r="R59" s="173">
        <f t="shared" si="5"/>
        <v>0.96806857610611297</v>
      </c>
      <c r="S59" s="801">
        <f t="shared" si="6"/>
        <v>0</v>
      </c>
      <c r="T59" s="172">
        <f t="shared" si="7"/>
        <v>6</v>
      </c>
      <c r="U59" s="247">
        <f t="shared" si="8"/>
        <v>0.96806857610611297</v>
      </c>
      <c r="V59" s="378">
        <f t="shared" si="9"/>
        <v>141.72203765340919</v>
      </c>
      <c r="W59" s="397">
        <f t="shared" si="10"/>
        <v>73.254011120853932</v>
      </c>
      <c r="X59" s="153">
        <f t="shared" si="11"/>
        <v>47893</v>
      </c>
      <c r="Y59" s="380">
        <f t="shared" si="12"/>
        <v>71.040612972421272</v>
      </c>
      <c r="Z59" s="380">
        <f t="shared" si="22"/>
        <v>74.495576598255923</v>
      </c>
      <c r="AA59" s="381">
        <f t="shared" si="13"/>
        <v>78.953673406171518</v>
      </c>
      <c r="AB59" s="193">
        <f t="shared" si="14"/>
        <v>47893</v>
      </c>
      <c r="AC59" s="119">
        <f>IF(OR(t&lt;Tnet,NoTnet),'2030'!Resal_s+('2030'!Salim-'2030'!Resal_s)*(1-EXP(('2030'!Tnet_s-t)/'2030'!Tau_j)),Resal_s+(Salim-Resal_s)*(1-EXP((Tnet_s-t)/Tau_j)))*Salcycl</f>
        <v>5.6464716783742687E-2</v>
      </c>
      <c r="AD59" s="227">
        <f>(INDEX(Models!$BJ59:$BT59,,AH59)*(1-AF59)+INDEX(Models!$BJ59:$BT59,,AH59+1)*AF59-ERP_i)*AE59*Ramure*Pc/MaxiM</f>
        <v>2.0719584772670514E-3</v>
      </c>
      <c r="AE59" s="301">
        <f t="shared" si="15"/>
        <v>0.5</v>
      </c>
      <c r="AF59" s="173">
        <f t="shared" si="23"/>
        <v>0.493056142480091</v>
      </c>
      <c r="AG59" s="801">
        <f t="shared" si="24"/>
        <v>4</v>
      </c>
      <c r="AH59" s="172">
        <f t="shared" si="16"/>
        <v>10</v>
      </c>
      <c r="AI59" s="221">
        <f t="shared" si="17"/>
        <v>4.493056142480091</v>
      </c>
      <c r="AJ59" s="261" t="b">
        <f t="shared" si="18"/>
        <v>0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47894</v>
      </c>
      <c r="B60" s="406">
        <f>'2030'!Wh/'2030'!Env_an*'2031'!Env_an</f>
        <v>77.345156746488115</v>
      </c>
      <c r="C60" s="831"/>
      <c r="D60" s="388">
        <f t="shared" si="0"/>
        <v>81.107843585449729</v>
      </c>
      <c r="E60" s="380">
        <f t="shared" si="1"/>
        <v>83.415490990054138</v>
      </c>
      <c r="F60" s="380">
        <f t="shared" si="2"/>
        <v>83.422667705513518</v>
      </c>
      <c r="G60" s="110">
        <f t="shared" si="21"/>
        <v>0.54009276909967963</v>
      </c>
      <c r="H60" s="409" t="b">
        <f>Wh_hp&gt;='2030'!Maxi_hp</f>
        <v>0</v>
      </c>
      <c r="I60" s="385">
        <f>IF(H60,Wh_hp,'2030'!Maxi_hp)</f>
        <v>83.436368101478877</v>
      </c>
      <c r="J60" s="85">
        <f>IF(H60,An,'2030'!An_max)</f>
        <v>2022</v>
      </c>
      <c r="K60" s="193">
        <f t="shared" si="3"/>
        <v>47894</v>
      </c>
      <c r="L60" s="143">
        <f>IF(t&lt;Tvie,1-EXP((T0-t)*PertePVj)+'2030'!Pspv,1-EXP((T0-t)*PertePVj)+Pspv)</f>
        <v>4.6391158642967834E-2</v>
      </c>
      <c r="M60" s="835"/>
      <c r="N60" s="835"/>
      <c r="O60" s="48">
        <f>IF(t&lt;Tnet,'2030'!Resal+('2030'!Salim-'2030'!Resal)*(1-EXP(('2030'!Tnet-t)/('2030'!Tau_j))),Resal+(Salim-Resal)*(1-EXP((Tnet-t)/(Tau_j))))*Salcycl</f>
        <v>2.7664494654590643E-2</v>
      </c>
      <c r="P60" s="165">
        <f>(INDEX(Models!$BJ60:$BT60,,T60)*(1-R60)+INDEX(Models!$BJ60:$BT60,,T60+1)*R60-ERP_i)*Q60*Ramure*Pc/MaxiM</f>
        <v>2.5072618986006381E-4</v>
      </c>
      <c r="Q60" s="301">
        <f t="shared" si="4"/>
        <v>0.5</v>
      </c>
      <c r="R60" s="173">
        <f t="shared" si="5"/>
        <v>0.96824421707244335</v>
      </c>
      <c r="S60" s="801">
        <f t="shared" si="6"/>
        <v>0</v>
      </c>
      <c r="T60" s="172">
        <f t="shared" si="7"/>
        <v>6</v>
      </c>
      <c r="U60" s="247">
        <f t="shared" si="8"/>
        <v>0.96824421707244335</v>
      </c>
      <c r="V60" s="378">
        <f t="shared" si="9"/>
        <v>143.18358159120876</v>
      </c>
      <c r="W60" s="397">
        <f t="shared" si="10"/>
        <v>77.345156746488115</v>
      </c>
      <c r="X60" s="153">
        <f t="shared" si="11"/>
        <v>47894</v>
      </c>
      <c r="Y60" s="380">
        <f t="shared" si="12"/>
        <v>75.009768300128997</v>
      </c>
      <c r="Z60" s="380">
        <f t="shared" si="22"/>
        <v>78.658843172412716</v>
      </c>
      <c r="AA60" s="381">
        <f t="shared" si="13"/>
        <v>83.368442620633488</v>
      </c>
      <c r="AB60" s="193">
        <f t="shared" si="14"/>
        <v>47894</v>
      </c>
      <c r="AC60" s="119">
        <f>IF(OR(t&lt;Tnet,NoTnet),'2030'!Resal_s+('2030'!Salim-'2030'!Resal_s)*(1-EXP(('2030'!Tnet_s-t)/'2030'!Tau_j)),Resal_s+(Salim-Resal_s)*(1-EXP((Tnet_s-t)/Tau_j)))*Salcycl</f>
        <v>5.6491392908126048E-2</v>
      </c>
      <c r="AD60" s="227">
        <f>(INDEX(Models!$BJ60:$BT60,,AH60)*(1-AF60)+INDEX(Models!$BJ60:$BT60,,AH60+1)*AF60-ERP_i)*AE60*Ramure*Pc/MaxiM</f>
        <v>1.8944110301949456E-3</v>
      </c>
      <c r="AE60" s="301">
        <f t="shared" si="15"/>
        <v>0.5</v>
      </c>
      <c r="AF60" s="173">
        <f t="shared" si="23"/>
        <v>0.49323178344642127</v>
      </c>
      <c r="AG60" s="801">
        <f t="shared" si="24"/>
        <v>4</v>
      </c>
      <c r="AH60" s="172">
        <f t="shared" si="16"/>
        <v>10</v>
      </c>
      <c r="AI60" s="221">
        <f t="shared" si="17"/>
        <v>4.4932317834464213</v>
      </c>
      <c r="AJ60" s="261" t="b">
        <f t="shared" si="18"/>
        <v>0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47895</v>
      </c>
      <c r="B61" s="406">
        <f>'2030'!Wh/'2030'!Env_an*'2031'!Env_an</f>
        <v>29.873445850793257</v>
      </c>
      <c r="C61" s="831"/>
      <c r="D61" s="388">
        <f t="shared" si="0"/>
        <v>31.327157953219658</v>
      </c>
      <c r="E61" s="380">
        <f t="shared" si="1"/>
        <v>32.220380009494505</v>
      </c>
      <c r="F61" s="380">
        <f t="shared" si="2"/>
        <v>32.220380009494505</v>
      </c>
      <c r="G61" s="110">
        <f t="shared" si="21"/>
        <v>0.206490363640352</v>
      </c>
      <c r="H61" s="409" t="b">
        <f>Wh_hp&gt;='2030'!Maxi_hp</f>
        <v>0</v>
      </c>
      <c r="I61" s="385">
        <f>IF(H61,Wh_hp,'2030'!Maxi_hp)</f>
        <v>32.227533516382081</v>
      </c>
      <c r="J61" s="85">
        <f>IF(H61,An,'2030'!An_max)</f>
        <v>2022</v>
      </c>
      <c r="K61" s="193">
        <f t="shared" si="3"/>
        <v>47895</v>
      </c>
      <c r="L61" s="143">
        <f>IF(t&lt;Tvie,1-EXP((T0-t)*PertePVj)+'2030'!Pspv,1-EXP((T0-t)*PertePVj)+Pspv)</f>
        <v>4.6404212747201856E-2</v>
      </c>
      <c r="M61" s="835"/>
      <c r="N61" s="835"/>
      <c r="O61" s="48">
        <f>IF(t&lt;Tnet,'2030'!Resal+('2030'!Salim-'2030'!Resal)*(1-EXP(('2030'!Tnet-t)/('2030'!Tau_j))),Resal+(Salim-Resal)*(1-EXP((Tnet-t)/(Tau_j))))*Salcycl</f>
        <v>2.7722269445972964E-2</v>
      </c>
      <c r="P61" s="165">
        <f>(INDEX(Models!$BJ61:$BT61,,T61)*(1-R61)+INDEX(Models!$BJ61:$BT61,,T61+1)*R61-ERP_i)*Q61*Ramure*Pc/MaxiM</f>
        <v>2.2269639753819112E-4</v>
      </c>
      <c r="Q61" s="301">
        <f t="shared" si="4"/>
        <v>0.5</v>
      </c>
      <c r="R61" s="173">
        <f t="shared" si="5"/>
        <v>0.96842709441823149</v>
      </c>
      <c r="S61" s="801">
        <f t="shared" si="6"/>
        <v>0</v>
      </c>
      <c r="T61" s="172">
        <f t="shared" si="7"/>
        <v>6</v>
      </c>
      <c r="U61" s="247">
        <f t="shared" si="8"/>
        <v>0.96842709441823149</v>
      </c>
      <c r="V61" s="378">
        <f t="shared" si="9"/>
        <v>144.64013049073694</v>
      </c>
      <c r="W61" s="397">
        <f t="shared" si="10"/>
        <v>29.873445850793257</v>
      </c>
      <c r="X61" s="153">
        <f t="shared" si="11"/>
        <v>47895</v>
      </c>
      <c r="Y61" s="380">
        <f t="shared" si="12"/>
        <v>28.988689239100989</v>
      </c>
      <c r="Z61" s="380">
        <f t="shared" si="22"/>
        <v>30.399347004892011</v>
      </c>
      <c r="AA61" s="381">
        <f t="shared" si="13"/>
        <v>32.220380009494505</v>
      </c>
      <c r="AB61" s="193">
        <f t="shared" si="14"/>
        <v>47895</v>
      </c>
      <c r="AC61" s="119">
        <f>IF(OR(t&lt;Tnet,NoTnet),'2030'!Resal_s+('2030'!Salim-'2030'!Resal_s)*(1-EXP(('2030'!Tnet_s-t)/'2030'!Tau_j)),Resal_s+(Salim-Resal_s)*(1-EXP((Tnet_s-t)/Tau_j)))*Salcycl</f>
        <v>5.6518048640825561E-2</v>
      </c>
      <c r="AD61" s="227">
        <f>(INDEX(Models!$BJ61:$BT61,,AH61)*(1-AF61)+INDEX(Models!$BJ61:$BT61,,AH61+1)*AF61-ERP_i)*AE61*Ramure*Pc/MaxiM</f>
        <v>1.7298906156751378E-3</v>
      </c>
      <c r="AE61" s="301">
        <f t="shared" si="15"/>
        <v>0.5</v>
      </c>
      <c r="AF61" s="173">
        <f t="shared" si="23"/>
        <v>0.49341466079220986</v>
      </c>
      <c r="AG61" s="801">
        <f t="shared" si="24"/>
        <v>4</v>
      </c>
      <c r="AH61" s="172">
        <f t="shared" si="16"/>
        <v>10</v>
      </c>
      <c r="AI61" s="221">
        <f t="shared" si="17"/>
        <v>4.4934146607922099</v>
      </c>
      <c r="AJ61" s="261" t="b">
        <f t="shared" si="18"/>
        <v>0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47896</v>
      </c>
      <c r="B62" s="406">
        <f>'2030'!Wh/'2030'!Env_an*'2031'!Env_an</f>
        <v>44.009800607925939</v>
      </c>
      <c r="C62" s="831"/>
      <c r="D62" s="388">
        <f t="shared" si="0"/>
        <v>46.152052747815468</v>
      </c>
      <c r="E62" s="380">
        <f t="shared" si="1"/>
        <v>47.470790551014836</v>
      </c>
      <c r="F62" s="380">
        <f t="shared" si="2"/>
        <v>47.470807413038187</v>
      </c>
      <c r="G62" s="110">
        <f t="shared" si="21"/>
        <v>0.30119438709322405</v>
      </c>
      <c r="H62" s="409" t="b">
        <f>Wh_hp&gt;='2030'!Maxi_hp</f>
        <v>0</v>
      </c>
      <c r="I62" s="385">
        <f>IF(H62,Wh_hp,'2030'!Maxi_hp)</f>
        <v>47.480172549184005</v>
      </c>
      <c r="J62" s="85">
        <f>IF(H62,An,'2030'!An_max)</f>
        <v>2022</v>
      </c>
      <c r="K62" s="193">
        <f t="shared" si="3"/>
        <v>47896</v>
      </c>
      <c r="L62" s="143">
        <f>IF(t&lt;Tvie,1-EXP((T0-t)*PertePVj)+'2030'!Pspv,1-EXP((T0-t)*PertePVj)+Pspv)</f>
        <v>4.6417266672736046E-2</v>
      </c>
      <c r="M62" s="835"/>
      <c r="N62" s="835"/>
      <c r="O62" s="48">
        <f>IF(t&lt;Tnet,'2030'!Resal+('2030'!Salim-'2030'!Resal)*(1-EXP(('2030'!Tnet-t)/('2030'!Tau_j))),Resal+(Salim-Resal)*(1-EXP((Tnet-t)/(Tau_j))))*Salcycl</f>
        <v>2.7779984025801566E-2</v>
      </c>
      <c r="P62" s="165">
        <f>(INDEX(Models!$BJ62:$BT62,,T62)*(1-R62)+INDEX(Models!$BJ62:$BT62,,T62+1)*R62-ERP_i)*Q62*Ramure*Pc/MaxiM</f>
        <v>1.9828010664895226E-4</v>
      </c>
      <c r="Q62" s="301">
        <f t="shared" si="4"/>
        <v>0.5</v>
      </c>
      <c r="R62" s="173">
        <f t="shared" si="5"/>
        <v>0.96861750056538776</v>
      </c>
      <c r="S62" s="801">
        <f t="shared" si="6"/>
        <v>0</v>
      </c>
      <c r="T62" s="172">
        <f t="shared" si="7"/>
        <v>6</v>
      </c>
      <c r="U62" s="247">
        <f t="shared" si="8"/>
        <v>0.96861750056538776</v>
      </c>
      <c r="V62" s="378">
        <f t="shared" si="9"/>
        <v>146.08867845834007</v>
      </c>
      <c r="W62" s="397">
        <f t="shared" si="10"/>
        <v>44.009800607925939</v>
      </c>
      <c r="X62" s="153">
        <f t="shared" si="11"/>
        <v>47896</v>
      </c>
      <c r="Y62" s="380">
        <f t="shared" si="12"/>
        <v>42.707594235136249</v>
      </c>
      <c r="Z62" s="380">
        <f t="shared" si="22"/>
        <v>44.786459257834792</v>
      </c>
      <c r="AA62" s="381">
        <f t="shared" si="13"/>
        <v>47.470673215649121</v>
      </c>
      <c r="AB62" s="193">
        <f t="shared" si="14"/>
        <v>47896</v>
      </c>
      <c r="AC62" s="119">
        <f>IF(OR(t&lt;Tnet,NoTnet),'2030'!Resal_s+('2030'!Salim-'2030'!Resal_s)*(1-EXP(('2030'!Tnet_s-t)/'2030'!Tau_j)),Resal_s+(Salim-Resal_s)*(1-EXP((Tnet_s-t)/Tau_j)))*Salcycl</f>
        <v>5.6544678555969036E-2</v>
      </c>
      <c r="AD62" s="227">
        <f>(INDEX(Models!$BJ62:$BT62,,AH62)*(1-AF62)+INDEX(Models!$BJ62:$BT62,,AH62+1)*AF62-ERP_i)*AE62*Ramure*Pc/MaxiM</f>
        <v>1.5780237082872854E-3</v>
      </c>
      <c r="AE62" s="301">
        <f t="shared" si="15"/>
        <v>0.5</v>
      </c>
      <c r="AF62" s="173">
        <f t="shared" si="23"/>
        <v>0.49360506693936568</v>
      </c>
      <c r="AG62" s="801">
        <f t="shared" si="24"/>
        <v>4</v>
      </c>
      <c r="AH62" s="172">
        <f t="shared" si="16"/>
        <v>10</v>
      </c>
      <c r="AI62" s="221">
        <f t="shared" si="17"/>
        <v>4.4936050669393657</v>
      </c>
      <c r="AJ62" s="261" t="b">
        <f t="shared" si="18"/>
        <v>0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47897</v>
      </c>
      <c r="B63" s="406">
        <f>'2030'!Wh/'2030'!Env_an*'2031'!Env_an</f>
        <v>125.12482177491782</v>
      </c>
      <c r="C63" s="831"/>
      <c r="D63" s="388">
        <f t="shared" si="0"/>
        <v>131.21728223360986</v>
      </c>
      <c r="E63" s="380">
        <f t="shared" si="1"/>
        <v>134.97465762049967</v>
      </c>
      <c r="F63" s="380">
        <f t="shared" si="2"/>
        <v>134.99340769325235</v>
      </c>
      <c r="G63" s="110">
        <f t="shared" si="21"/>
        <v>0.84812046559230514</v>
      </c>
      <c r="H63" s="409" t="b">
        <f>Wh_hp&gt;='2030'!Maxi_hp</f>
        <v>0</v>
      </c>
      <c r="I63" s="385">
        <f>IF(H63,Wh_hp,'2030'!Maxi_hp)</f>
        <v>134.99858380946762</v>
      </c>
      <c r="J63" s="85">
        <f>IF(H63,An,'2030'!An_max)</f>
        <v>2022</v>
      </c>
      <c r="K63" s="193">
        <f t="shared" si="3"/>
        <v>47897</v>
      </c>
      <c r="L63" s="143">
        <f>IF(t&lt;Tvie,1-EXP((T0-t)*PertePVj)+'2030'!Pspv,1-EXP((T0-t)*PertePVj)+Pspv)</f>
        <v>4.6430320419572957E-2</v>
      </c>
      <c r="M63" s="835"/>
      <c r="N63" s="835"/>
      <c r="O63" s="48">
        <f>IF(t&lt;Tnet,'2030'!Resal+('2030'!Salim-'2030'!Resal)*(1-EXP(('2030'!Tnet-t)/('2030'!Tau_j))),Resal+(Salim-Resal)*(1-EXP((Tnet-t)/(Tau_j))))*Salcycl</f>
        <v>2.7837635991299809E-2</v>
      </c>
      <c r="P63" s="165">
        <f>(INDEX(Models!$BJ63:$BT63,,T63)*(1-R63)+INDEX(Models!$BJ63:$BT63,,T63+1)*R63-ERP_i)*Q63*Ramure*Pc/MaxiM</f>
        <v>1.7737261094460309E-4</v>
      </c>
      <c r="Q63" s="301">
        <f t="shared" si="4"/>
        <v>0.5</v>
      </c>
      <c r="R63" s="173">
        <f t="shared" si="5"/>
        <v>0.96881573926813613</v>
      </c>
      <c r="S63" s="801">
        <f t="shared" si="6"/>
        <v>0</v>
      </c>
      <c r="T63" s="172">
        <f t="shared" si="7"/>
        <v>6</v>
      </c>
      <c r="U63" s="247">
        <f t="shared" si="8"/>
        <v>0.96881573926813613</v>
      </c>
      <c r="V63" s="378">
        <f t="shared" si="9"/>
        <v>147.5262204243401</v>
      </c>
      <c r="W63" s="397">
        <f t="shared" si="10"/>
        <v>125.12482177491782</v>
      </c>
      <c r="X63" s="153">
        <f t="shared" si="11"/>
        <v>47897</v>
      </c>
      <c r="Y63" s="380">
        <f t="shared" si="12"/>
        <v>121.30665258147967</v>
      </c>
      <c r="Z63" s="380">
        <f t="shared" si="22"/>
        <v>127.2132023271282</v>
      </c>
      <c r="AA63" s="381">
        <f t="shared" si="13"/>
        <v>134.84134976455491</v>
      </c>
      <c r="AB63" s="193">
        <f t="shared" si="14"/>
        <v>47897</v>
      </c>
      <c r="AC63" s="119">
        <f>IF(OR(t&lt;Tnet,NoTnet),'2030'!Resal_s+('2030'!Salim-'2030'!Resal_s)*(1-EXP(('2030'!Tnet_s-t)/'2030'!Tau_j)),Resal_s+(Salim-Resal_s)*(1-EXP((Tnet_s-t)/Tau_j)))*Salcycl</f>
        <v>5.6571277658864494E-2</v>
      </c>
      <c r="AD63" s="227">
        <f>(INDEX(Models!$BJ63:$BT63,,AH63)*(1-AF63)+INDEX(Models!$BJ63:$BT63,,AH63+1)*AF63-ERP_i)*AE63*Ramure*Pc/MaxiM</f>
        <v>1.4384430494563249E-3</v>
      </c>
      <c r="AE63" s="301">
        <f t="shared" si="15"/>
        <v>0.5</v>
      </c>
      <c r="AF63" s="173">
        <f t="shared" si="23"/>
        <v>0.49380330564211405</v>
      </c>
      <c r="AG63" s="801">
        <f t="shared" si="24"/>
        <v>4</v>
      </c>
      <c r="AH63" s="172">
        <f t="shared" si="16"/>
        <v>10</v>
      </c>
      <c r="AI63" s="221">
        <f t="shared" si="17"/>
        <v>4.4938033056421141</v>
      </c>
      <c r="AJ63" s="261" t="b">
        <f t="shared" si="18"/>
        <v>0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47898</v>
      </c>
      <c r="B64" s="406">
        <f>'2030'!Wh/'2030'!Env_an*'2031'!Env_an</f>
        <v>71.317892351077759</v>
      </c>
      <c r="C64" s="831"/>
      <c r="D64" s="388">
        <f t="shared" si="0"/>
        <v>74.791460103764152</v>
      </c>
      <c r="E64" s="380">
        <f t="shared" si="1"/>
        <v>76.937653108043463</v>
      </c>
      <c r="F64" s="380">
        <f t="shared" si="2"/>
        <v>76.940795164759777</v>
      </c>
      <c r="G64" s="110">
        <f t="shared" si="21"/>
        <v>0.47874804489122769</v>
      </c>
      <c r="H64" s="409" t="b">
        <f>Wh_hp&gt;='2030'!Maxi_hp</f>
        <v>0</v>
      </c>
      <c r="I64" s="385">
        <f>IF(H64,Wh_hp,'2030'!Maxi_hp)</f>
        <v>76.949920298124354</v>
      </c>
      <c r="J64" s="85">
        <f>IF(H64,An,'2030'!An_max)</f>
        <v>2022</v>
      </c>
      <c r="K64" s="193">
        <f t="shared" si="3"/>
        <v>47898</v>
      </c>
      <c r="L64" s="143">
        <f>IF(t&lt;Tvie,1-EXP((T0-t)*PertePVj)+'2030'!Pspv,1-EXP((T0-t)*PertePVj)+Pspv)</f>
        <v>4.6443373987715142E-2</v>
      </c>
      <c r="M64" s="835"/>
      <c r="N64" s="835"/>
      <c r="O64" s="48">
        <f>IF(t&lt;Tnet,'2030'!Resal+('2030'!Salim-'2030'!Resal)*(1-EXP(('2030'!Tnet-t)/('2030'!Tau_j))),Resal+(Salim-Resal)*(1-EXP((Tnet-t)/(Tau_j))))*Salcycl</f>
        <v>2.7895223178505405E-2</v>
      </c>
      <c r="P64" s="165">
        <f>(INDEX(Models!$BJ64:$BT64,,T64)*(1-R64)+INDEX(Models!$BJ64:$BT64,,T64+1)*R64-ERP_i)*Q64*Ramure*Pc/MaxiM</f>
        <v>1.5987318545950064E-4</v>
      </c>
      <c r="Q64" s="301">
        <f t="shared" si="4"/>
        <v>0.5</v>
      </c>
      <c r="R64" s="173">
        <f t="shared" si="5"/>
        <v>0.96902212601094506</v>
      </c>
      <c r="S64" s="801">
        <f t="shared" si="6"/>
        <v>0</v>
      </c>
      <c r="T64" s="172">
        <f t="shared" si="7"/>
        <v>6</v>
      </c>
      <c r="U64" s="247">
        <f t="shared" si="8"/>
        <v>0.96902212601094506</v>
      </c>
      <c r="V64" s="378">
        <f t="shared" si="9"/>
        <v>148.94975212760204</v>
      </c>
      <c r="W64" s="397">
        <f t="shared" si="10"/>
        <v>71.317892351077759</v>
      </c>
      <c r="X64" s="153">
        <f t="shared" si="11"/>
        <v>47898</v>
      </c>
      <c r="Y64" s="380">
        <f t="shared" si="12"/>
        <v>69.19179354802057</v>
      </c>
      <c r="Z64" s="380">
        <f t="shared" si="22"/>
        <v>72.561808769948357</v>
      </c>
      <c r="AA64" s="381">
        <f t="shared" si="13"/>
        <v>76.915033651326993</v>
      </c>
      <c r="AB64" s="193">
        <f t="shared" si="14"/>
        <v>47898</v>
      </c>
      <c r="AC64" s="119">
        <f>IF(OR(t&lt;Tnet,NoTnet),'2030'!Resal_s+('2030'!Salim-'2030'!Resal_s)*(1-EXP(('2030'!Tnet_s-t)/'2030'!Tau_j)),Resal_s+(Salim-Resal_s)*(1-EXP((Tnet_s-t)/Tau_j)))*Salcycl</f>
        <v>5.6597841471574692E-2</v>
      </c>
      <c r="AD64" s="227">
        <f>(INDEX(Models!$BJ64:$BT64,,AH64)*(1-AF64)+INDEX(Models!$BJ64:$BT64,,AH64+1)*AF64-ERP_i)*AE64*Ramure*Pc/MaxiM</f>
        <v>1.3107895835810304E-3</v>
      </c>
      <c r="AE64" s="301">
        <f t="shared" si="15"/>
        <v>0.5</v>
      </c>
      <c r="AF64" s="173">
        <f t="shared" si="23"/>
        <v>0.49400969238492287</v>
      </c>
      <c r="AG64" s="801">
        <f t="shared" si="24"/>
        <v>4</v>
      </c>
      <c r="AH64" s="172">
        <f t="shared" si="16"/>
        <v>10</v>
      </c>
      <c r="AI64" s="221">
        <f t="shared" si="17"/>
        <v>4.4940096923849229</v>
      </c>
      <c r="AJ64" s="261" t="b">
        <f t="shared" si="18"/>
        <v>0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47899</v>
      </c>
      <c r="B65" s="406">
        <f>'2030'!Wh/'2030'!Env_an*'2031'!Env_an</f>
        <v>89.726483384883991</v>
      </c>
      <c r="C65" s="831"/>
      <c r="D65" s="388">
        <f t="shared" si="0"/>
        <v>94.097937379076043</v>
      </c>
      <c r="E65" s="380">
        <f t="shared" si="1"/>
        <v>96.803871179834871</v>
      </c>
      <c r="F65" s="380">
        <f t="shared" si="2"/>
        <v>96.809849075260161</v>
      </c>
      <c r="G65" s="110">
        <f t="shared" si="21"/>
        <v>0.59666633171058991</v>
      </c>
      <c r="H65" s="409" t="b">
        <f>Wh_hp&gt;='2030'!Maxi_hp</f>
        <v>0</v>
      </c>
      <c r="I65" s="385">
        <f>IF(H65,Wh_hp,'2030'!Maxi_hp)</f>
        <v>96.817942431119334</v>
      </c>
      <c r="J65" s="85">
        <f>IF(H65,An,'2030'!An_max)</f>
        <v>2022</v>
      </c>
      <c r="K65" s="193">
        <f t="shared" si="3"/>
        <v>47899</v>
      </c>
      <c r="L65" s="143">
        <f>IF(t&lt;Tvie,1-EXP((T0-t)*PertePVj)+'2030'!Pspv,1-EXP((T0-t)*PertePVj)+Pspv)</f>
        <v>4.6456427377164822E-2</v>
      </c>
      <c r="M65" s="835"/>
      <c r="N65" s="835"/>
      <c r="O65" s="48">
        <f>IF(t&lt;Tnet,'2030'!Resal+('2030'!Salim-'2030'!Resal)*(1-EXP(('2030'!Tnet-t)/('2030'!Tau_j))),Resal+(Salim-Resal)*(1-EXP((Tnet-t)/(Tau_j))))*Salcycl</f>
        <v>2.7952743705176284E-2</v>
      </c>
      <c r="P65" s="165">
        <f>(INDEX(Models!$BJ65:$BT65,,T65)*(1-R65)+INDEX(Models!$BJ65:$BT65,,T65+1)*R65-ERP_i)*Q65*Ramure*Pc/MaxiM</f>
        <v>1.4567507062294096E-4</v>
      </c>
      <c r="Q65" s="301">
        <f t="shared" si="4"/>
        <v>0.5</v>
      </c>
      <c r="R65" s="173">
        <f t="shared" si="5"/>
        <v>0.96923698841685535</v>
      </c>
      <c r="S65" s="801">
        <f t="shared" si="6"/>
        <v>0</v>
      </c>
      <c r="T65" s="172">
        <f t="shared" si="7"/>
        <v>6</v>
      </c>
      <c r="U65" s="247">
        <f t="shared" si="8"/>
        <v>0.96923698841685535</v>
      </c>
      <c r="V65" s="378">
        <f t="shared" si="9"/>
        <v>150.36704393339113</v>
      </c>
      <c r="W65" s="397">
        <f t="shared" si="10"/>
        <v>89.726483384883991</v>
      </c>
      <c r="X65" s="153">
        <f t="shared" si="11"/>
        <v>47899</v>
      </c>
      <c r="Y65" s="380">
        <f t="shared" si="12"/>
        <v>87.041179457303826</v>
      </c>
      <c r="Z65" s="380">
        <f t="shared" si="22"/>
        <v>91.28180605096702</v>
      </c>
      <c r="AA65" s="381">
        <f t="shared" si="13"/>
        <v>96.760826517328738</v>
      </c>
      <c r="AB65" s="193">
        <f t="shared" si="14"/>
        <v>47899</v>
      </c>
      <c r="AC65" s="119">
        <f>IF(OR(t&lt;Tnet,NoTnet),'2030'!Resal_s+('2030'!Salim-'2030'!Resal_s)*(1-EXP(('2030'!Tnet_s-t)/'2030'!Tau_j)),Resal_s+(Salim-Resal_s)*(1-EXP((Tnet_s-t)/Tau_j)))*Salcycl</f>
        <v>5.6624366115563256E-2</v>
      </c>
      <c r="AD65" s="227">
        <f>(INDEX(Models!$BJ65:$BT65,,AH65)*(1-AF65)+INDEX(Models!$BJ65:$BT65,,AH65+1)*AF65-ERP_i)*AE65*Ramure*Pc/MaxiM</f>
        <v>1.194628557497288E-3</v>
      </c>
      <c r="AE65" s="301">
        <f t="shared" si="15"/>
        <v>0.5</v>
      </c>
      <c r="AF65" s="173">
        <f t="shared" si="23"/>
        <v>0.49422455479083371</v>
      </c>
      <c r="AG65" s="801">
        <f t="shared" si="24"/>
        <v>4</v>
      </c>
      <c r="AH65" s="172">
        <f t="shared" si="16"/>
        <v>10</v>
      </c>
      <c r="AI65" s="221">
        <f t="shared" si="17"/>
        <v>4.4942245547908337</v>
      </c>
      <c r="AJ65" s="261" t="b">
        <f t="shared" si="18"/>
        <v>0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47900</v>
      </c>
      <c r="B66" s="406">
        <f>'2030'!Wh/'2030'!Env_an*'2031'!Env_an</f>
        <v>97.639085888348617</v>
      </c>
      <c r="C66" s="831"/>
      <c r="D66" s="388">
        <f t="shared" si="0"/>
        <v>102.39744182341494</v>
      </c>
      <c r="E66" s="380">
        <f t="shared" si="1"/>
        <v>105.3482674440726</v>
      </c>
      <c r="F66" s="380">
        <f t="shared" si="2"/>
        <v>105.35521296424886</v>
      </c>
      <c r="G66" s="110">
        <f t="shared" si="21"/>
        <v>0.64322016082187039</v>
      </c>
      <c r="H66" s="409" t="b">
        <f>Wh_hp&gt;='2030'!Maxi_hp</f>
        <v>0</v>
      </c>
      <c r="I66" s="385">
        <f>IF(H66,Wh_hp,'2030'!Maxi_hp)</f>
        <v>105.36240150019904</v>
      </c>
      <c r="J66" s="85">
        <f>IF(H66,An,'2030'!An_max)</f>
        <v>2022</v>
      </c>
      <c r="K66" s="193">
        <f t="shared" si="3"/>
        <v>47900</v>
      </c>
      <c r="L66" s="143">
        <f>IF(t&lt;Tvie,1-EXP((T0-t)*PertePVj)+'2030'!Pspv,1-EXP((T0-t)*PertePVj)+Pspv)</f>
        <v>4.6469480587924661E-2</v>
      </c>
      <c r="M66" s="835"/>
      <c r="N66" s="835"/>
      <c r="O66" s="48">
        <f>IF(t&lt;Tnet,'2030'!Resal+('2030'!Salim-'2030'!Resal)*(1-EXP(('2030'!Tnet-t)/('2030'!Tau_j))),Resal+(Salim-Resal)*(1-EXP((Tnet-t)/(Tau_j))))*Salcycl</f>
        <v>2.8010196012233424E-2</v>
      </c>
      <c r="P66" s="165">
        <f>(INDEX(Models!$BJ66:$BT66,,T66)*(1-R66)+INDEX(Models!$BJ66:$BT66,,T66+1)*R66-ERP_i)*Q66*Ramure*Pc/MaxiM</f>
        <v>1.3443682017944206E-4</v>
      </c>
      <c r="Q66" s="301">
        <f t="shared" si="4"/>
        <v>0.5</v>
      </c>
      <c r="R66" s="173">
        <f t="shared" si="5"/>
        <v>0.96946066666614195</v>
      </c>
      <c r="S66" s="801">
        <f t="shared" si="6"/>
        <v>0</v>
      </c>
      <c r="T66" s="172">
        <f t="shared" si="7"/>
        <v>6</v>
      </c>
      <c r="U66" s="247">
        <f t="shared" si="8"/>
        <v>0.96946066666614195</v>
      </c>
      <c r="V66" s="378">
        <f t="shared" si="9"/>
        <v>151.78690274643307</v>
      </c>
      <c r="W66" s="397">
        <f t="shared" si="10"/>
        <v>97.639085888348617</v>
      </c>
      <c r="X66" s="153">
        <f t="shared" si="11"/>
        <v>47900</v>
      </c>
      <c r="Y66" s="380">
        <f t="shared" si="12"/>
        <v>94.717553797357226</v>
      </c>
      <c r="Z66" s="380">
        <f t="shared" si="22"/>
        <v>99.333531406795302</v>
      </c>
      <c r="AA66" s="381">
        <f t="shared" si="13"/>
        <v>105.29879762686984</v>
      </c>
      <c r="AB66" s="193">
        <f t="shared" si="14"/>
        <v>47900</v>
      </c>
      <c r="AC66" s="119">
        <f>IF(OR(t&lt;Tnet,NoTnet),'2030'!Resal_s+('2030'!Salim-'2030'!Resal_s)*(1-EXP(('2030'!Tnet_s-t)/'2030'!Tau_j)),Resal_s+(Salim-Resal_s)*(1-EXP((Tnet_s-t)/Tau_j)))*Salcycl</f>
        <v>5.6650848390621469E-2</v>
      </c>
      <c r="AD66" s="227">
        <f>(INDEX(Models!$BJ66:$BT66,,AH66)*(1-AF66)+INDEX(Models!$BJ66:$BT66,,AH66+1)*AF66-ERP_i)*AE66*Ramure*Pc/MaxiM</f>
        <v>1.091969841585611E-3</v>
      </c>
      <c r="AE66" s="301">
        <f t="shared" si="15"/>
        <v>0.5</v>
      </c>
      <c r="AF66" s="173">
        <f t="shared" si="23"/>
        <v>0.49444823304011987</v>
      </c>
      <c r="AG66" s="801">
        <f t="shared" si="24"/>
        <v>4</v>
      </c>
      <c r="AH66" s="172">
        <f t="shared" si="16"/>
        <v>10</v>
      </c>
      <c r="AI66" s="221">
        <f t="shared" si="17"/>
        <v>4.4944482330401199</v>
      </c>
      <c r="AJ66" s="261" t="b">
        <f t="shared" si="18"/>
        <v>0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47901</v>
      </c>
      <c r="B67" s="406">
        <f>'2030'!Wh/'2030'!Env_an*'2031'!Env_an</f>
        <v>130.70882100237594</v>
      </c>
      <c r="C67" s="831"/>
      <c r="D67" s="388">
        <f t="shared" si="0"/>
        <v>137.08067823718801</v>
      </c>
      <c r="E67" s="380">
        <f t="shared" si="1"/>
        <v>141.03931020483682</v>
      </c>
      <c r="F67" s="380">
        <f t="shared" si="2"/>
        <v>141.05320184572207</v>
      </c>
      <c r="G67" s="110">
        <f t="shared" si="21"/>
        <v>0.8531236166879016</v>
      </c>
      <c r="H67" s="409" t="b">
        <f>Wh_hp&gt;='2030'!Maxi_hp</f>
        <v>0</v>
      </c>
      <c r="I67" s="385">
        <f>IF(H67,Wh_hp,'2030'!Maxi_hp)</f>
        <v>141.0568740138535</v>
      </c>
      <c r="J67" s="85">
        <f>IF(H67,An,'2030'!An_max)</f>
        <v>2022</v>
      </c>
      <c r="K67" s="193">
        <f t="shared" si="3"/>
        <v>47901</v>
      </c>
      <c r="L67" s="143">
        <f>IF(t&lt;Tvie,1-EXP((T0-t)*PertePVj)+'2030'!Pspv,1-EXP((T0-t)*PertePVj)+Pspv)</f>
        <v>4.648253361999688E-2</v>
      </c>
      <c r="M67" s="835"/>
      <c r="N67" s="835"/>
      <c r="O67" s="48">
        <f>IF(t&lt;Tnet,'2030'!Resal+('2030'!Salim-'2030'!Resal)*(1-EXP(('2030'!Tnet-t)/('2030'!Tau_j))),Resal+(Salim-Resal)*(1-EXP((Tnet-t)/(Tau_j))))*Salcycl</f>
        <v>2.8067578903353506E-2</v>
      </c>
      <c r="P67" s="165">
        <f>(INDEX(Models!$BJ67:$BT67,,T67)*(1-R67)+INDEX(Models!$BJ67:$BT67,,T67+1)*R67-ERP_i)*Q67*Ramure*Pc/MaxiM</f>
        <v>1.246318153653868E-4</v>
      </c>
      <c r="Q67" s="301">
        <f t="shared" si="4"/>
        <v>0.5</v>
      </c>
      <c r="R67" s="173">
        <f t="shared" si="5"/>
        <v>0.96969351392521119</v>
      </c>
      <c r="S67" s="801">
        <f t="shared" si="6"/>
        <v>0</v>
      </c>
      <c r="T67" s="172">
        <f t="shared" si="7"/>
        <v>6</v>
      </c>
      <c r="U67" s="247">
        <f t="shared" si="8"/>
        <v>0.96969351392521119</v>
      </c>
      <c r="V67" s="378">
        <f t="shared" si="9"/>
        <v>153.20804688175949</v>
      </c>
      <c r="W67" s="397">
        <f t="shared" si="10"/>
        <v>130.70882100237594</v>
      </c>
      <c r="X67" s="153">
        <f t="shared" si="11"/>
        <v>47901</v>
      </c>
      <c r="Y67" s="380">
        <f t="shared" si="12"/>
        <v>126.77351599834317</v>
      </c>
      <c r="Z67" s="380">
        <f t="shared" si="22"/>
        <v>132.95353306912619</v>
      </c>
      <c r="AA67" s="381">
        <f t="shared" si="13"/>
        <v>140.9417276555603</v>
      </c>
      <c r="AB67" s="193">
        <f t="shared" si="14"/>
        <v>47901</v>
      </c>
      <c r="AC67" s="119">
        <f>IF(OR(t&lt;Tnet,NoTnet),'2030'!Resal_s+('2030'!Salim-'2030'!Resal_s)*(1-EXP(('2030'!Tnet_s-t)/'2030'!Tau_j)),Resal_s+(Salim-Resal_s)*(1-EXP((Tnet_s-t)/Tau_j)))*Salcycl</f>
        <v>5.6677285849340585E-2</v>
      </c>
      <c r="AD67" s="227">
        <f>(INDEX(Models!$BJ67:$BT67,,AH67)*(1-AF67)+INDEX(Models!$BJ67:$BT67,,AH67+1)*AF67-ERP_i)*AE67*Ramure*Pc/MaxiM</f>
        <v>1.00011444299478E-3</v>
      </c>
      <c r="AE67" s="301">
        <f t="shared" si="15"/>
        <v>0.5</v>
      </c>
      <c r="AF67" s="173">
        <f t="shared" si="23"/>
        <v>0.49468108029918945</v>
      </c>
      <c r="AG67" s="801">
        <f t="shared" si="24"/>
        <v>4</v>
      </c>
      <c r="AH67" s="172">
        <f t="shared" si="16"/>
        <v>10</v>
      </c>
      <c r="AI67" s="221">
        <f t="shared" si="17"/>
        <v>4.4946810802991894</v>
      </c>
      <c r="AJ67" s="261" t="b">
        <f t="shared" si="18"/>
        <v>0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47902</v>
      </c>
      <c r="B68" s="406">
        <f>'2030'!Wh/'2030'!Env_an*'2031'!Env_an</f>
        <v>135.06653135710457</v>
      </c>
      <c r="C68" s="831"/>
      <c r="D68" s="388">
        <f t="shared" si="0"/>
        <v>141.65275948492959</v>
      </c>
      <c r="E68" s="380">
        <f t="shared" si="1"/>
        <v>145.75201922349916</v>
      </c>
      <c r="F68" s="380">
        <f t="shared" si="2"/>
        <v>145.76589867010389</v>
      </c>
      <c r="G68" s="110">
        <f t="shared" si="21"/>
        <v>0.87346951273253759</v>
      </c>
      <c r="H68" s="409" t="b">
        <f>Wh_hp&gt;='2030'!Maxi_hp</f>
        <v>0</v>
      </c>
      <c r="I68" s="385">
        <f>IF(H68,Wh_hp,'2030'!Maxi_hp)</f>
        <v>145.76894661808049</v>
      </c>
      <c r="J68" s="85">
        <f>IF(H68,An,'2030'!An_max)</f>
        <v>2022</v>
      </c>
      <c r="K68" s="193">
        <f t="shared" si="3"/>
        <v>47902</v>
      </c>
      <c r="L68" s="143">
        <f>IF(t&lt;Tvie,1-EXP((T0-t)*PertePVj)+'2030'!Pspv,1-EXP((T0-t)*PertePVj)+Pspv)</f>
        <v>4.6495586473384143E-2</v>
      </c>
      <c r="M68" s="835"/>
      <c r="N68" s="835"/>
      <c r="O68" s="48">
        <f>IF(t&lt;Tnet,'2030'!Resal+('2030'!Salim-'2030'!Resal)*(1-EXP(('2030'!Tnet-t)/('2030'!Tau_j))),Resal+(Salim-Resal)*(1-EXP((Tnet-t)/(Tau_j))))*Salcycl</f>
        <v>2.8124891582350462E-2</v>
      </c>
      <c r="P68" s="165">
        <f>(INDEX(Models!$BJ68:$BT68,,T68)*(1-R68)+INDEX(Models!$BJ68:$BT68,,T68+1)*R68-ERP_i)*Q68*Ramure*Pc/MaxiM</f>
        <v>1.1622244980167465E-4</v>
      </c>
      <c r="Q68" s="301">
        <f t="shared" si="4"/>
        <v>0.5</v>
      </c>
      <c r="R68" s="173">
        <f t="shared" si="5"/>
        <v>0.96993589678558911</v>
      </c>
      <c r="S68" s="801">
        <f t="shared" si="6"/>
        <v>0</v>
      </c>
      <c r="T68" s="172">
        <f t="shared" si="7"/>
        <v>6</v>
      </c>
      <c r="U68" s="247">
        <f t="shared" si="8"/>
        <v>0.96993589678558911</v>
      </c>
      <c r="V68" s="378">
        <f t="shared" si="9"/>
        <v>154.6289733480877</v>
      </c>
      <c r="W68" s="397">
        <f t="shared" si="10"/>
        <v>135.06653135710457</v>
      </c>
      <c r="X68" s="153">
        <f t="shared" si="11"/>
        <v>47902</v>
      </c>
      <c r="Y68" s="380">
        <f t="shared" si="12"/>
        <v>131.00858522060022</v>
      </c>
      <c r="Z68" s="380">
        <f t="shared" si="22"/>
        <v>137.39693635612446</v>
      </c>
      <c r="AA68" s="381">
        <f t="shared" si="13"/>
        <v>145.65617715937282</v>
      </c>
      <c r="AB68" s="193">
        <f t="shared" si="14"/>
        <v>47902</v>
      </c>
      <c r="AC68" s="119">
        <f>IF(OR(t&lt;Tnet,NoTnet),'2030'!Resal_s+('2030'!Salim-'2030'!Resal_s)*(1-EXP(('2030'!Tnet_s-t)/'2030'!Tau_j)),Resal_s+(Salim-Resal_s)*(1-EXP((Tnet_s-t)/Tau_j)))*Salcycl</f>
        <v>5.6703676866456137E-2</v>
      </c>
      <c r="AD68" s="227">
        <f>(INDEX(Models!$BJ68:$BT68,,AH68)*(1-AF68)+INDEX(Models!$BJ68:$BT68,,AH68+1)*AF68-ERP_i)*AE68*Ramure*Pc/MaxiM</f>
        <v>9.1877602445412617E-4</v>
      </c>
      <c r="AE68" s="301">
        <f t="shared" si="15"/>
        <v>0.5</v>
      </c>
      <c r="AF68" s="173">
        <f t="shared" si="23"/>
        <v>0.4949234631595667</v>
      </c>
      <c r="AG68" s="801">
        <f t="shared" si="24"/>
        <v>4</v>
      </c>
      <c r="AH68" s="172">
        <f t="shared" si="16"/>
        <v>10</v>
      </c>
      <c r="AI68" s="221">
        <f t="shared" si="17"/>
        <v>4.4949234631595667</v>
      </c>
      <c r="AJ68" s="261" t="b">
        <f t="shared" si="18"/>
        <v>0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47903</v>
      </c>
      <c r="B69" s="406">
        <f>'2030'!Wh/'2030'!Env_an*'2031'!Env_an</f>
        <v>85.612860159693597</v>
      </c>
      <c r="C69" s="831"/>
      <c r="D69" s="388">
        <f t="shared" si="0"/>
        <v>89.788815792941733</v>
      </c>
      <c r="E69" s="380">
        <f t="shared" si="1"/>
        <v>92.39263745344293</v>
      </c>
      <c r="F69" s="380">
        <f t="shared" si="2"/>
        <v>92.39622028051096</v>
      </c>
      <c r="G69" s="110">
        <f t="shared" si="21"/>
        <v>0.54859232217856813</v>
      </c>
      <c r="H69" s="409" t="b">
        <f>Wh_hp&gt;='2030'!Maxi_hp</f>
        <v>0</v>
      </c>
      <c r="I69" s="385">
        <f>IF(H69,Wh_hp,'2030'!Maxi_hp)</f>
        <v>92.402693718208255</v>
      </c>
      <c r="J69" s="85">
        <f>IF(H69,An,'2030'!An_max)</f>
        <v>2022</v>
      </c>
      <c r="K69" s="193">
        <f t="shared" si="3"/>
        <v>47903</v>
      </c>
      <c r="L69" s="143">
        <f>IF(t&lt;Tvie,1-EXP((T0-t)*PertePVj)+'2030'!Pspv,1-EXP((T0-t)*PertePVj)+Pspv)</f>
        <v>4.6508639148088782E-2</v>
      </c>
      <c r="M69" s="835"/>
      <c r="N69" s="835"/>
      <c r="O69" s="48">
        <f>IF(t&lt;Tnet,'2030'!Resal+('2030'!Salim-'2030'!Resal)*(1-EXP(('2030'!Tnet-t)/('2030'!Tau_j))),Resal+(Salim-Resal)*(1-EXP((Tnet-t)/(Tau_j))))*Salcycl</f>
        <v>2.8182133688014629E-2</v>
      </c>
      <c r="P69" s="165">
        <f>(INDEX(Models!$BJ69:$BT69,,T69)*(1-R69)+INDEX(Models!$BJ69:$BT69,,T69+1)*R69-ERP_i)*Q69*Ramure*Pc/MaxiM</f>
        <v>1.0917281287363329E-4</v>
      </c>
      <c r="Q69" s="301">
        <f t="shared" si="4"/>
        <v>0.5</v>
      </c>
      <c r="R69" s="173">
        <f t="shared" si="5"/>
        <v>0.97018819571280734</v>
      </c>
      <c r="S69" s="801">
        <f t="shared" si="6"/>
        <v>0</v>
      </c>
      <c r="T69" s="172">
        <f t="shared" si="7"/>
        <v>6</v>
      </c>
      <c r="U69" s="247">
        <f t="shared" si="8"/>
        <v>0.97018819571280734</v>
      </c>
      <c r="V69" s="378">
        <f t="shared" si="9"/>
        <v>156.0481794195143</v>
      </c>
      <c r="W69" s="397">
        <f t="shared" si="10"/>
        <v>85.612860159693597</v>
      </c>
      <c r="X69" s="153">
        <f t="shared" si="11"/>
        <v>47903</v>
      </c>
      <c r="Y69" s="380">
        <f t="shared" si="12"/>
        <v>83.076119321051081</v>
      </c>
      <c r="Z69" s="380">
        <f t="shared" si="22"/>
        <v>87.128339838155924</v>
      </c>
      <c r="AA69" s="381">
        <f t="shared" si="13"/>
        <v>92.368401147506944</v>
      </c>
      <c r="AB69" s="193">
        <f t="shared" si="14"/>
        <v>47903</v>
      </c>
      <c r="AC69" s="119">
        <f>IF(OR(t&lt;Tnet,NoTnet),'2030'!Resal_s+('2030'!Salim-'2030'!Resal_s)*(1-EXP(('2030'!Tnet_s-t)/'2030'!Tau_j)),Resal_s+(Salim-Resal_s)*(1-EXP((Tnet_s-t)/Tau_j)))*Salcycl</f>
        <v>5.6730020702458021E-2</v>
      </c>
      <c r="AD69" s="227">
        <f>(INDEX(Models!$BJ69:$BT69,,AH69)*(1-AF69)+INDEX(Models!$BJ69:$BT69,,AH69+1)*AF69-ERP_i)*AE69*Ramure*Pc/MaxiM</f>
        <v>8.4768060084640742E-4</v>
      </c>
      <c r="AE69" s="301">
        <f t="shared" si="15"/>
        <v>0.5</v>
      </c>
      <c r="AF69" s="173">
        <f t="shared" si="23"/>
        <v>0.49517576208678538</v>
      </c>
      <c r="AG69" s="801">
        <f t="shared" si="24"/>
        <v>4</v>
      </c>
      <c r="AH69" s="172">
        <f t="shared" si="16"/>
        <v>10</v>
      </c>
      <c r="AI69" s="221">
        <f t="shared" si="17"/>
        <v>4.4951757620867854</v>
      </c>
      <c r="AJ69" s="261" t="b">
        <f t="shared" si="18"/>
        <v>0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47904</v>
      </c>
      <c r="B70" s="406">
        <f>'2030'!Wh/'2030'!Env_an*'2031'!Env_an</f>
        <v>121.25980398565474</v>
      </c>
      <c r="C70" s="831"/>
      <c r="D70" s="388">
        <f t="shared" si="0"/>
        <v>127.17625867624291</v>
      </c>
      <c r="E70" s="380">
        <f t="shared" si="1"/>
        <v>130.87199284070826</v>
      </c>
      <c r="F70" s="380">
        <f t="shared" si="2"/>
        <v>130.881085108332</v>
      </c>
      <c r="G70" s="110">
        <f t="shared" si="21"/>
        <v>0.77005257184149312</v>
      </c>
      <c r="H70" s="409" t="b">
        <f>Wh_hp&gt;='2030'!Maxi_hp</f>
        <v>0</v>
      </c>
      <c r="I70" s="385">
        <f>IF(H70,Wh_hp,'2030'!Maxi_hp)</f>
        <v>130.88551017631676</v>
      </c>
      <c r="J70" s="85">
        <f>IF(H70,An,'2030'!An_max)</f>
        <v>2022</v>
      </c>
      <c r="K70" s="193">
        <f t="shared" si="3"/>
        <v>47904</v>
      </c>
      <c r="L70" s="143">
        <f>IF(t&lt;Tvie,1-EXP((T0-t)*PertePVj)+'2030'!Pspv,1-EXP((T0-t)*PertePVj)+Pspv)</f>
        <v>4.652169164411335E-2</v>
      </c>
      <c r="M70" s="835"/>
      <c r="N70" s="835"/>
      <c r="O70" s="48">
        <f>IF(t&lt;Tnet,'2030'!Resal+('2030'!Salim-'2030'!Resal)*(1-EXP(('2030'!Tnet-t)/('2030'!Tau_j))),Resal+(Salim-Resal)*(1-EXP((Tnet-t)/(Tau_j))))*Salcycl</f>
        <v>2.8239305326110707E-2</v>
      </c>
      <c r="P70" s="165">
        <f>(INDEX(Models!$BJ70:$BT70,,T70)*(1-R70)+INDEX(Models!$BJ70:$BT70,,T70+1)*R70-ERP_i)*Q70*Ramure*Pc/MaxiM</f>
        <v>1.0344815599048987E-4</v>
      </c>
      <c r="Q70" s="301">
        <f t="shared" si="4"/>
        <v>0.5</v>
      </c>
      <c r="R70" s="173">
        <f t="shared" si="5"/>
        <v>0.97045080550494345</v>
      </c>
      <c r="S70" s="801">
        <f t="shared" si="6"/>
        <v>0</v>
      </c>
      <c r="T70" s="172">
        <f t="shared" si="7"/>
        <v>6</v>
      </c>
      <c r="U70" s="247">
        <f t="shared" si="8"/>
        <v>0.97045080550494345</v>
      </c>
      <c r="V70" s="378">
        <f t="shared" si="9"/>
        <v>157.46416272148994</v>
      </c>
      <c r="W70" s="397">
        <f t="shared" si="10"/>
        <v>121.25980398565474</v>
      </c>
      <c r="X70" s="153">
        <f t="shared" si="11"/>
        <v>47904</v>
      </c>
      <c r="Y70" s="380">
        <f t="shared" si="12"/>
        <v>117.64735039849045</v>
      </c>
      <c r="Z70" s="380">
        <f t="shared" si="22"/>
        <v>123.38754785240323</v>
      </c>
      <c r="AA70" s="381">
        <f t="shared" si="13"/>
        <v>130.81195257342634</v>
      </c>
      <c r="AB70" s="193">
        <f t="shared" si="14"/>
        <v>47904</v>
      </c>
      <c r="AC70" s="119">
        <f>IF(OR(t&lt;Tnet,NoTnet),'2030'!Resal_s+('2030'!Salim-'2030'!Resal_s)*(1-EXP(('2030'!Tnet_s-t)/'2030'!Tau_j)),Resal_s+(Salim-Resal_s)*(1-EXP((Tnet_s-t)/Tau_j)))*Salcycl</f>
        <v>5.6756317560933078E-2</v>
      </c>
      <c r="AD70" s="227">
        <f>(INDEX(Models!$BJ70:$BT70,,AH70)*(1-AF70)+INDEX(Models!$BJ70:$BT70,,AH70+1)*AF70-ERP_i)*AE70*Ramure*Pc/MaxiM</f>
        <v>7.8656211529319511E-4</v>
      </c>
      <c r="AE70" s="301">
        <f t="shared" si="15"/>
        <v>0.5</v>
      </c>
      <c r="AF70" s="173">
        <f t="shared" si="23"/>
        <v>0.49543837187892148</v>
      </c>
      <c r="AG70" s="801">
        <f t="shared" si="24"/>
        <v>4</v>
      </c>
      <c r="AH70" s="172">
        <f t="shared" si="16"/>
        <v>10</v>
      </c>
      <c r="AI70" s="221">
        <f t="shared" si="17"/>
        <v>4.4954383718789215</v>
      </c>
      <c r="AJ70" s="261" t="b">
        <f t="shared" si="18"/>
        <v>0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47905</v>
      </c>
      <c r="B71" s="406">
        <f>'2030'!Wh/'2030'!Env_an*'2031'!Env_an</f>
        <v>160.90775640791003</v>
      </c>
      <c r="C71" s="831"/>
      <c r="D71" s="388">
        <f t="shared" si="0"/>
        <v>168.76100664270663</v>
      </c>
      <c r="E71" s="380">
        <f t="shared" si="1"/>
        <v>173.67539636109356</v>
      </c>
      <c r="F71" s="380">
        <f t="shared" si="2"/>
        <v>173.69259452617038</v>
      </c>
      <c r="G71" s="110">
        <f t="shared" si="21"/>
        <v>1.0127920050517858</v>
      </c>
      <c r="H71" s="409" t="b">
        <f>Wh_hp&gt;='2030'!Maxi_hp</f>
        <v>1</v>
      </c>
      <c r="I71" s="385">
        <f>IF(H71,Wh_hp,'2030'!Maxi_hp)</f>
        <v>173.69259452617038</v>
      </c>
      <c r="J71" s="85">
        <f>IF(H71,An,'2030'!An_max)</f>
        <v>2031</v>
      </c>
      <c r="K71" s="193">
        <f t="shared" si="3"/>
        <v>47905</v>
      </c>
      <c r="L71" s="143">
        <f>IF(t&lt;Tvie,1-EXP((T0-t)*PertePVj)+'2030'!Pspv,1-EXP((T0-t)*PertePVj)+Pspv)</f>
        <v>4.6534743961460068E-2</v>
      </c>
      <c r="M71" s="835"/>
      <c r="N71" s="835"/>
      <c r="O71" s="48">
        <f>IF(t&lt;Tnet,'2030'!Resal+('2030'!Salim-'2030'!Resal)*(1-EXP(('2030'!Tnet-t)/('2030'!Tau_j))),Resal+(Salim-Resal)*(1-EXP((Tnet-t)/(Tau_j))))*Salcycl</f>
        <v>2.8296407098270176E-2</v>
      </c>
      <c r="P71" s="165">
        <f>(INDEX(Models!$BJ71:$BT71,,T71)*(1-R71)+INDEX(Models!$BJ71:$BT71,,T71+1)*R71-ERP_i)*Q71*Ramure*Pc/MaxiM</f>
        <v>9.9014958719160278E-5</v>
      </c>
      <c r="Q71" s="301">
        <f t="shared" si="4"/>
        <v>0.5</v>
      </c>
      <c r="R71" s="173">
        <f t="shared" si="5"/>
        <v>0.97072413576050876</v>
      </c>
      <c r="S71" s="801">
        <f t="shared" si="6"/>
        <v>0</v>
      </c>
      <c r="T71" s="172">
        <f t="shared" si="7"/>
        <v>6</v>
      </c>
      <c r="U71" s="247">
        <f t="shared" si="8"/>
        <v>0.97072413576050876</v>
      </c>
      <c r="V71" s="378">
        <f t="shared" si="9"/>
        <v>158.87542121709635</v>
      </c>
      <c r="W71" s="397">
        <f t="shared" si="10"/>
        <v>160.90775640791003</v>
      </c>
      <c r="X71" s="153">
        <f t="shared" si="11"/>
        <v>47905</v>
      </c>
      <c r="Y71" s="380">
        <f t="shared" si="12"/>
        <v>156.091264267658</v>
      </c>
      <c r="Z71" s="380">
        <f t="shared" si="22"/>
        <v>163.70944119787481</v>
      </c>
      <c r="AA71" s="381">
        <f t="shared" si="13"/>
        <v>173.56490216861721</v>
      </c>
      <c r="AB71" s="193">
        <f t="shared" si="14"/>
        <v>47905</v>
      </c>
      <c r="AC71" s="119">
        <f>IF(OR(t&lt;Tnet,NoTnet),'2030'!Resal_s+('2030'!Salim-'2030'!Resal_s)*(1-EXP(('2030'!Tnet_s-t)/'2030'!Tau_j)),Resal_s+(Salim-Resal_s)*(1-EXP((Tnet_s-t)/Tau_j)))*Salcycl</f>
        <v>5.6782568639181935E-2</v>
      </c>
      <c r="AD71" s="227">
        <f>(INDEX(Models!$BJ71:$BT71,,AH71)*(1-AF71)+INDEX(Models!$BJ71:$BT71,,AH71+1)*AF71-ERP_i)*AE71*Ramure*Pc/MaxiM</f>
        <v>7.3516293484768497E-4</v>
      </c>
      <c r="AE71" s="301">
        <f t="shared" si="15"/>
        <v>0.5</v>
      </c>
      <c r="AF71" s="173">
        <f t="shared" si="23"/>
        <v>0.49571170213448656</v>
      </c>
      <c r="AG71" s="801">
        <f t="shared" si="24"/>
        <v>4</v>
      </c>
      <c r="AH71" s="172">
        <f t="shared" si="16"/>
        <v>10</v>
      </c>
      <c r="AI71" s="221">
        <f t="shared" si="17"/>
        <v>4.4957117021344866</v>
      </c>
      <c r="AJ71" s="261" t="b">
        <f t="shared" si="18"/>
        <v>0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47906</v>
      </c>
      <c r="B72" s="406">
        <f>'2030'!Wh/'2030'!Env_an*'2031'!Env_an</f>
        <v>107.05860481924823</v>
      </c>
      <c r="C72" s="831"/>
      <c r="D72" s="388">
        <f t="shared" si="0"/>
        <v>112.28523504518694</v>
      </c>
      <c r="E72" s="380">
        <f t="shared" si="1"/>
        <v>115.56180990331197</v>
      </c>
      <c r="F72" s="380">
        <f t="shared" si="2"/>
        <v>115.56763470272139</v>
      </c>
      <c r="G72" s="110">
        <f t="shared" si="21"/>
        <v>0.66791513102093036</v>
      </c>
      <c r="H72" s="409" t="b">
        <f>Wh_hp&gt;='2030'!Maxi_hp</f>
        <v>0</v>
      </c>
      <c r="I72" s="385">
        <f>IF(H72,Wh_hp,'2030'!Maxi_hp)</f>
        <v>115.57286305662481</v>
      </c>
      <c r="J72" s="85">
        <f>IF(H72,An,'2030'!An_max)</f>
        <v>2022</v>
      </c>
      <c r="K72" s="193">
        <f t="shared" si="3"/>
        <v>47906</v>
      </c>
      <c r="L72" s="143">
        <f>IF(t&lt;Tvie,1-EXP((T0-t)*PertePVj)+'2030'!Pspv,1-EXP((T0-t)*PertePVj)+Pspv)</f>
        <v>4.65477961001316E-2</v>
      </c>
      <c r="M72" s="835"/>
      <c r="N72" s="835"/>
      <c r="O72" s="48">
        <f>IF(t&lt;Tnet,'2030'!Resal+('2030'!Salim-'2030'!Resal)*(1-EXP(('2030'!Tnet-t)/('2030'!Tau_j))),Resal+(Salim-Resal)*(1-EXP((Tnet-t)/(Tau_j))))*Salcycl</f>
        <v>2.8353440127551355E-2</v>
      </c>
      <c r="P72" s="165">
        <f>(INDEX(Models!$BJ72:$BT72,,T72)*(1-R72)+INDEX(Models!$BJ72:$BT72,,T72+1)*R72-ERP_i)*Q72*Ramure*Pc/MaxiM</f>
        <v>9.5886899650815199E-5</v>
      </c>
      <c r="Q72" s="301">
        <f t="shared" si="4"/>
        <v>0.5</v>
      </c>
      <c r="R72" s="173">
        <f t="shared" si="5"/>
        <v>0.97100861135531891</v>
      </c>
      <c r="S72" s="801">
        <f t="shared" si="6"/>
        <v>0</v>
      </c>
      <c r="T72" s="172">
        <f t="shared" si="7"/>
        <v>6</v>
      </c>
      <c r="U72" s="247">
        <f t="shared" si="8"/>
        <v>0.97100861135531891</v>
      </c>
      <c r="V72" s="378">
        <f t="shared" si="9"/>
        <v>160.28044584457407</v>
      </c>
      <c r="W72" s="397">
        <f t="shared" si="10"/>
        <v>107.05860481924823</v>
      </c>
      <c r="X72" s="153">
        <f t="shared" si="11"/>
        <v>47906</v>
      </c>
      <c r="Y72" s="380">
        <f t="shared" si="12"/>
        <v>103.89070178816573</v>
      </c>
      <c r="Z72" s="380">
        <f t="shared" si="22"/>
        <v>108.96267412590336</v>
      </c>
      <c r="AA72" s="381">
        <f t="shared" si="13"/>
        <v>115.52553858976827</v>
      </c>
      <c r="AB72" s="193">
        <f t="shared" si="14"/>
        <v>47906</v>
      </c>
      <c r="AC72" s="119">
        <f>IF(OR(t&lt;Tnet,NoTnet),'2030'!Resal_s+('2030'!Salim-'2030'!Resal_s)*(1-EXP(('2030'!Tnet_s-t)/'2030'!Tau_j)),Resal_s+(Salim-Resal_s)*(1-EXP((Tnet_s-t)/Tau_j)))*Salcycl</f>
        <v>5.6808776171731891E-2</v>
      </c>
      <c r="AD72" s="227">
        <f>(INDEX(Models!$BJ72:$BT72,,AH72)*(1-AF72)+INDEX(Models!$BJ72:$BT72,,AH72+1)*AF72-ERP_i)*AE72*Ramure*Pc/MaxiM</f>
        <v>6.9297935854974776E-4</v>
      </c>
      <c r="AE72" s="301">
        <f t="shared" si="15"/>
        <v>0.5</v>
      </c>
      <c r="AF72" s="173">
        <f t="shared" si="23"/>
        <v>0.49599617772929694</v>
      </c>
      <c r="AG72" s="801">
        <f t="shared" si="24"/>
        <v>4</v>
      </c>
      <c r="AH72" s="172">
        <f t="shared" si="16"/>
        <v>10</v>
      </c>
      <c r="AI72" s="221">
        <f t="shared" si="17"/>
        <v>4.4959961777292969</v>
      </c>
      <c r="AJ72" s="261" t="b">
        <f t="shared" si="18"/>
        <v>0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47907</v>
      </c>
      <c r="B73" s="406">
        <f>'2030'!Wh/'2030'!Env_an*'2031'!Env_an</f>
        <v>145.24061999587275</v>
      </c>
      <c r="C73" s="831"/>
      <c r="D73" s="388">
        <f t="shared" si="0"/>
        <v>152.3333919111312</v>
      </c>
      <c r="E73" s="380">
        <f t="shared" si="1"/>
        <v>156.78779688921736</v>
      </c>
      <c r="F73" s="380">
        <f t="shared" si="2"/>
        <v>156.80021236161286</v>
      </c>
      <c r="G73" s="110">
        <f t="shared" si="21"/>
        <v>0.89832074004027163</v>
      </c>
      <c r="H73" s="409" t="b">
        <f>Wh_hp&gt;='2030'!Maxi_hp</f>
        <v>0</v>
      </c>
      <c r="I73" s="385">
        <f>IF(H73,Wh_hp,'2030'!Maxi_hp)</f>
        <v>156.80231017233547</v>
      </c>
      <c r="J73" s="85">
        <f>IF(H73,An,'2030'!An_max)</f>
        <v>2022</v>
      </c>
      <c r="K73" s="193">
        <f t="shared" si="3"/>
        <v>47907</v>
      </c>
      <c r="L73" s="143">
        <f>IF(t&lt;Tvie,1-EXP((T0-t)*PertePVj)+'2030'!Pspv,1-EXP((T0-t)*PertePVj)+Pspv)</f>
        <v>4.6560848060130278E-2</v>
      </c>
      <c r="M73" s="835"/>
      <c r="N73" s="835"/>
      <c r="O73" s="48">
        <f>IF(t&lt;Tnet,'2030'!Resal+('2030'!Salim-'2030'!Resal)*(1-EXP(('2030'!Tnet-t)/('2030'!Tau_j))),Resal+(Salim-Resal)*(1-EXP((Tnet-t)/(Tau_j))))*Salcycl</f>
        <v>2.8410406080478009E-2</v>
      </c>
      <c r="P73" s="165">
        <f>(INDEX(Models!$BJ73:$BT73,,T73)*(1-R73)+INDEX(Models!$BJ73:$BT73,,T73+1)*R73-ERP_i)*Q73*Ramure*Pc/MaxiM</f>
        <v>9.2634297268347763E-5</v>
      </c>
      <c r="Q73" s="301">
        <f t="shared" si="4"/>
        <v>0.5</v>
      </c>
      <c r="R73" s="173">
        <f t="shared" si="5"/>
        <v>0.97130467292790656</v>
      </c>
      <c r="S73" s="801">
        <f t="shared" si="6"/>
        <v>0</v>
      </c>
      <c r="T73" s="172">
        <f t="shared" si="7"/>
        <v>6</v>
      </c>
      <c r="U73" s="247">
        <f t="shared" si="8"/>
        <v>0.97130467292790656</v>
      </c>
      <c r="V73" s="378">
        <f t="shared" si="9"/>
        <v>161.67796120726388</v>
      </c>
      <c r="W73" s="397">
        <f t="shared" si="10"/>
        <v>145.24061999587275</v>
      </c>
      <c r="X73" s="153">
        <f t="shared" si="11"/>
        <v>47907</v>
      </c>
      <c r="Y73" s="380">
        <f t="shared" si="12"/>
        <v>140.92389929432886</v>
      </c>
      <c r="Z73" s="380">
        <f t="shared" si="22"/>
        <v>147.80586575200394</v>
      </c>
      <c r="AA73" s="381">
        <f t="shared" si="13"/>
        <v>156.71261856884311</v>
      </c>
      <c r="AB73" s="193">
        <f t="shared" si="14"/>
        <v>47907</v>
      </c>
      <c r="AC73" s="119">
        <f>IF(OR(t&lt;Tnet,NoTnet),'2030'!Resal_s+('2030'!Salim-'2030'!Resal_s)*(1-EXP(('2030'!Tnet_s-t)/'2030'!Tau_j)),Resal_s+(Salim-Resal_s)*(1-EXP((Tnet_s-t)/Tau_j)))*Salcycl</f>
        <v>5.6834943466447685E-2</v>
      </c>
      <c r="AD73" s="227">
        <f>(INDEX(Models!$BJ73:$BT73,,AH73)*(1-AF73)+INDEX(Models!$BJ73:$BT73,,AH73+1)*AF73-ERP_i)*AE73*Ramure*Pc/MaxiM</f>
        <v>6.53554627629321E-4</v>
      </c>
      <c r="AE73" s="301">
        <f t="shared" si="15"/>
        <v>0.5</v>
      </c>
      <c r="AF73" s="173">
        <f t="shared" si="23"/>
        <v>0.49629223930188449</v>
      </c>
      <c r="AG73" s="801">
        <f t="shared" si="24"/>
        <v>4</v>
      </c>
      <c r="AH73" s="172">
        <f t="shared" si="16"/>
        <v>10</v>
      </c>
      <c r="AI73" s="221">
        <f t="shared" si="17"/>
        <v>4.4962922393018845</v>
      </c>
      <c r="AJ73" s="261" t="b">
        <f t="shared" si="18"/>
        <v>0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47908</v>
      </c>
      <c r="B74" s="406">
        <f>'2030'!Wh/'2030'!Env_an*'2031'!Env_an</f>
        <v>163.17624890127766</v>
      </c>
      <c r="C74" s="831"/>
      <c r="D74" s="388">
        <f t="shared" si="0"/>
        <v>171.14724347712291</v>
      </c>
      <c r="E74" s="380">
        <f t="shared" si="1"/>
        <v>176.16210421215817</v>
      </c>
      <c r="F74" s="380">
        <f t="shared" si="2"/>
        <v>176.17782993937294</v>
      </c>
      <c r="G74" s="110">
        <f t="shared" si="21"/>
        <v>1.0006732370823301</v>
      </c>
      <c r="H74" s="409" t="b">
        <f>Wh_hp&gt;='2030'!Maxi_hp</f>
        <v>1</v>
      </c>
      <c r="I74" s="385">
        <f>IF(H74,Wh_hp,'2030'!Maxi_hp)</f>
        <v>176.17782993937294</v>
      </c>
      <c r="J74" s="85">
        <f>IF(H74,An,'2030'!An_max)</f>
        <v>2031</v>
      </c>
      <c r="K74" s="193">
        <f t="shared" si="3"/>
        <v>47908</v>
      </c>
      <c r="L74" s="143">
        <f>IF(t&lt;Tvie,1-EXP((T0-t)*PertePVj)+'2030'!Pspv,1-EXP((T0-t)*PertePVj)+Pspv)</f>
        <v>4.6573899841458655E-2</v>
      </c>
      <c r="M74" s="835"/>
      <c r="N74" s="835"/>
      <c r="O74" s="48">
        <f>IF(t&lt;Tnet,'2030'!Resal+('2030'!Salim-'2030'!Resal)*(1-EXP(('2030'!Tnet-t)/('2030'!Tau_j))),Resal+(Salim-Resal)*(1-EXP((Tnet-t)/(Tau_j))))*Salcycl</f>
        <v>2.8467307185407312E-2</v>
      </c>
      <c r="P74" s="165">
        <f>(INDEX(Models!$BJ74:$BT74,,T74)*(1-R74)+INDEX(Models!$BJ74:$BT74,,T74+1)*R74-ERP_i)*Q74*Ramure*Pc/MaxiM</f>
        <v>8.9260534200949734E-5</v>
      </c>
      <c r="Q74" s="301">
        <f t="shared" si="4"/>
        <v>0.5</v>
      </c>
      <c r="R74" s="173">
        <f t="shared" si="5"/>
        <v>0.97161277737296536</v>
      </c>
      <c r="S74" s="801">
        <f t="shared" si="6"/>
        <v>0</v>
      </c>
      <c r="T74" s="172">
        <f t="shared" si="7"/>
        <v>6</v>
      </c>
      <c r="U74" s="247">
        <f t="shared" si="8"/>
        <v>0.97161277737296536</v>
      </c>
      <c r="V74" s="378">
        <f t="shared" si="9"/>
        <v>163.06646650913919</v>
      </c>
      <c r="W74" s="397">
        <f t="shared" si="10"/>
        <v>163.17624890127766</v>
      </c>
      <c r="X74" s="153">
        <f t="shared" si="11"/>
        <v>47908</v>
      </c>
      <c r="Y74" s="380">
        <f t="shared" si="12"/>
        <v>158.32372450071665</v>
      </c>
      <c r="Z74" s="380">
        <f t="shared" si="22"/>
        <v>166.057678171795</v>
      </c>
      <c r="AA74" s="381">
        <f t="shared" si="13"/>
        <v>176.06915986422959</v>
      </c>
      <c r="AB74" s="193">
        <f t="shared" si="14"/>
        <v>47908</v>
      </c>
      <c r="AC74" s="119">
        <f>IF(OR(t&lt;Tnet,NoTnet),'2030'!Resal_s+('2030'!Salim-'2030'!Resal_s)*(1-EXP(('2030'!Tnet_s-t)/'2030'!Tau_j)),Resal_s+(Salim-Resal_s)*(1-EXP((Tnet_s-t)/Tau_j)))*Salcycl</f>
        <v>5.6861074933024239E-2</v>
      </c>
      <c r="AD74" s="227">
        <f>(INDEX(Models!$BJ74:$BT74,,AH74)*(1-AF74)+INDEX(Models!$BJ74:$BT74,,AH74+1)*AF74-ERP_i)*AE74*Ramure*Pc/MaxiM</f>
        <v>6.1682037507642751E-4</v>
      </c>
      <c r="AE74" s="301">
        <f t="shared" si="15"/>
        <v>0.5</v>
      </c>
      <c r="AF74" s="173">
        <f t="shared" si="23"/>
        <v>0.49660034374694373</v>
      </c>
      <c r="AG74" s="801">
        <f t="shared" si="24"/>
        <v>4</v>
      </c>
      <c r="AH74" s="172">
        <f t="shared" si="16"/>
        <v>10</v>
      </c>
      <c r="AI74" s="221">
        <f t="shared" si="17"/>
        <v>4.4966003437469437</v>
      </c>
      <c r="AJ74" s="261" t="b">
        <f t="shared" si="18"/>
        <v>0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47909</v>
      </c>
      <c r="B75" s="406">
        <f>'2030'!Wh/'2030'!Env_an*'2031'!Env_an</f>
        <v>49.938184177267111</v>
      </c>
      <c r="C75" s="831"/>
      <c r="D75" s="388">
        <f t="shared" si="0"/>
        <v>52.378330937370386</v>
      </c>
      <c r="E75" s="380">
        <f t="shared" si="1"/>
        <v>53.916245818183825</v>
      </c>
      <c r="F75" s="380">
        <f t="shared" si="2"/>
        <v>53.916270116497245</v>
      </c>
      <c r="G75" s="110">
        <f t="shared" si="21"/>
        <v>0.30365220670030513</v>
      </c>
      <c r="H75" s="409" t="b">
        <f>Wh_hp&gt;='2030'!Maxi_hp</f>
        <v>0</v>
      </c>
      <c r="I75" s="385">
        <f>IF(H75,Wh_hp,'2030'!Maxi_hp)</f>
        <v>53.920842364129726</v>
      </c>
      <c r="J75" s="85">
        <f>IF(H75,An,'2030'!An_max)</f>
        <v>2022</v>
      </c>
      <c r="K75" s="193">
        <f t="shared" si="3"/>
        <v>47909</v>
      </c>
      <c r="L75" s="143">
        <f>IF(t&lt;Tvie,1-EXP((T0-t)*PertePVj)+'2030'!Pspv,1-EXP((T0-t)*PertePVj)+Pspv)</f>
        <v>4.6586951444119062E-2</v>
      </c>
      <c r="M75" s="835"/>
      <c r="N75" s="835"/>
      <c r="O75" s="48">
        <f>IF(t&lt;Tnet,'2030'!Resal+('2030'!Salim-'2030'!Resal)*(1-EXP(('2030'!Tnet-t)/('2030'!Tau_j))),Resal+(Salim-Resal)*(1-EXP((Tnet-t)/(Tau_j))))*Salcycl</f>
        <v>2.852414624711792E-2</v>
      </c>
      <c r="P75" s="165">
        <f>(INDEX(Models!$BJ75:$BT75,,T75)*(1-R75)+INDEX(Models!$BJ75:$BT75,,T75+1)*R75-ERP_i)*Q75*Ramure*Pc/MaxiM</f>
        <v>8.5768717269032142E-5</v>
      </c>
      <c r="Q75" s="301">
        <f t="shared" si="4"/>
        <v>0.5</v>
      </c>
      <c r="R75" s="173">
        <f t="shared" si="5"/>
        <v>0.97193339834222692</v>
      </c>
      <c r="S75" s="801">
        <f t="shared" si="6"/>
        <v>0</v>
      </c>
      <c r="T75" s="172">
        <f t="shared" si="7"/>
        <v>6</v>
      </c>
      <c r="U75" s="247">
        <f t="shared" si="8"/>
        <v>0.97193339834222692</v>
      </c>
      <c r="V75" s="378">
        <f t="shared" si="9"/>
        <v>164.44446127852345</v>
      </c>
      <c r="W75" s="397">
        <f t="shared" si="10"/>
        <v>49.938184177267111</v>
      </c>
      <c r="X75" s="153">
        <f t="shared" si="11"/>
        <v>47909</v>
      </c>
      <c r="Y75" s="380">
        <f t="shared" si="12"/>
        <v>48.480071572781284</v>
      </c>
      <c r="Z75" s="380">
        <f t="shared" si="22"/>
        <v>50.848970072533881</v>
      </c>
      <c r="AA75" s="381">
        <f t="shared" si="13"/>
        <v>53.916105034456052</v>
      </c>
      <c r="AB75" s="193">
        <f t="shared" si="14"/>
        <v>47909</v>
      </c>
      <c r="AC75" s="119">
        <f>IF(OR(t&lt;Tnet,NoTnet),'2030'!Resal_s+('2030'!Salim-'2030'!Resal_s)*(1-EXP(('2030'!Tnet_s-t)/'2030'!Tau_j)),Resal_s+(Salim-Resal_s)*(1-EXP((Tnet_s-t)/Tau_j)))*Salcycl</f>
        <v>5.6887176103727559E-2</v>
      </c>
      <c r="AD75" s="227">
        <f>(INDEX(Models!$BJ75:$BT75,,AH75)*(1-AF75)+INDEX(Models!$BJ75:$BT75,,AH75+1)*AF75-ERP_i)*AE75*Ramure*Pc/MaxiM</f>
        <v>5.8271019352613312E-4</v>
      </c>
      <c r="AE75" s="301">
        <f t="shared" si="15"/>
        <v>0.5</v>
      </c>
      <c r="AF75" s="173">
        <f t="shared" si="23"/>
        <v>0.49692096471620495</v>
      </c>
      <c r="AG75" s="801">
        <f t="shared" si="24"/>
        <v>4</v>
      </c>
      <c r="AH75" s="172">
        <f t="shared" si="16"/>
        <v>10</v>
      </c>
      <c r="AI75" s="221">
        <f t="shared" si="17"/>
        <v>4.4969209647162049</v>
      </c>
      <c r="AJ75" s="261" t="b">
        <f t="shared" si="18"/>
        <v>0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47910</v>
      </c>
      <c r="B76" s="406">
        <f>'2030'!Wh/'2030'!Env_an*'2031'!Env_an</f>
        <v>150.56098415900956</v>
      </c>
      <c r="C76" s="831"/>
      <c r="D76" s="388">
        <f t="shared" si="0"/>
        <v>157.92005937900387</v>
      </c>
      <c r="E76" s="380">
        <f t="shared" si="1"/>
        <v>162.56635649085393</v>
      </c>
      <c r="F76" s="380">
        <f t="shared" si="2"/>
        <v>162.57795917462769</v>
      </c>
      <c r="G76" s="110">
        <f t="shared" si="21"/>
        <v>0.90802095397264859</v>
      </c>
      <c r="H76" s="409" t="b">
        <f>Wh_hp&gt;='2030'!Maxi_hp</f>
        <v>0</v>
      </c>
      <c r="I76" s="385">
        <f>IF(H76,Wh_hp,'2030'!Maxi_hp)</f>
        <v>162.57970315575704</v>
      </c>
      <c r="J76" s="85">
        <f>IF(H76,An,'2030'!An_max)</f>
        <v>2022</v>
      </c>
      <c r="K76" s="193">
        <f t="shared" si="3"/>
        <v>47910</v>
      </c>
      <c r="L76" s="143">
        <f>IF(t&lt;Tvie,1-EXP((T0-t)*PertePVj)+'2030'!Pspv,1-EXP((T0-t)*PertePVj)+Pspv)</f>
        <v>4.6600002868113943E-2</v>
      </c>
      <c r="M76" s="835"/>
      <c r="N76" s="835"/>
      <c r="O76" s="48">
        <f>IF(t&lt;Tnet,'2030'!Resal+('2030'!Salim-'2030'!Resal)*(1-EXP(('2030'!Tnet-t)/('2030'!Tau_j))),Resal+(Salim-Resal)*(1-EXP((Tnet-t)/(Tau_j))))*Salcycl</f>
        <v>2.8580926657548973E-2</v>
      </c>
      <c r="P76" s="165">
        <f>(INDEX(Models!$BJ76:$BT76,,T76)*(1-R76)+INDEX(Models!$BJ76:$BT76,,T76+1)*R76-ERP_i)*Q76*Ramure*Pc/MaxiM</f>
        <v>8.2161674171902144E-5</v>
      </c>
      <c r="Q76" s="301">
        <f t="shared" si="4"/>
        <v>0.5</v>
      </c>
      <c r="R76" s="173">
        <f t="shared" si="5"/>
        <v>0.97226702675208476</v>
      </c>
      <c r="S76" s="801">
        <f t="shared" si="6"/>
        <v>0</v>
      </c>
      <c r="T76" s="172">
        <f t="shared" si="7"/>
        <v>6</v>
      </c>
      <c r="U76" s="247">
        <f t="shared" si="8"/>
        <v>0.97226702675208476</v>
      </c>
      <c r="V76" s="378">
        <f t="shared" si="9"/>
        <v>165.8104453552391</v>
      </c>
      <c r="W76" s="397">
        <f t="shared" si="10"/>
        <v>150.56098415900956</v>
      </c>
      <c r="X76" s="153">
        <f t="shared" si="11"/>
        <v>47910</v>
      </c>
      <c r="Y76" s="380">
        <f t="shared" si="12"/>
        <v>146.11018443828758</v>
      </c>
      <c r="Z76" s="380">
        <f t="shared" si="22"/>
        <v>153.25171478690052</v>
      </c>
      <c r="AA76" s="381">
        <f t="shared" si="13"/>
        <v>162.50012565591624</v>
      </c>
      <c r="AB76" s="193">
        <f t="shared" si="14"/>
        <v>47910</v>
      </c>
      <c r="AC76" s="119">
        <f>IF(OR(t&lt;Tnet,NoTnet),'2030'!Resal_s+('2030'!Salim-'2030'!Resal_s)*(1-EXP(('2030'!Tnet_s-t)/'2030'!Tau_j)),Resal_s+(Salim-Resal_s)*(1-EXP((Tnet_s-t)/Tau_j)))*Salcycl</f>
        <v>5.6913253646330271E-2</v>
      </c>
      <c r="AD76" s="227">
        <f>(INDEX(Models!$BJ76:$BT76,,AH76)*(1-AF76)+INDEX(Models!$BJ76:$BT76,,AH76+1)*AF76-ERP_i)*AE76*Ramure*Pc/MaxiM</f>
        <v>5.5115974275579162E-4</v>
      </c>
      <c r="AE76" s="301">
        <f t="shared" si="15"/>
        <v>0.5</v>
      </c>
      <c r="AF76" s="173">
        <f t="shared" si="23"/>
        <v>0.49725459312606279</v>
      </c>
      <c r="AG76" s="801">
        <f t="shared" si="24"/>
        <v>4</v>
      </c>
      <c r="AH76" s="172">
        <f t="shared" si="16"/>
        <v>10</v>
      </c>
      <c r="AI76" s="221">
        <f t="shared" si="17"/>
        <v>4.4972545931260628</v>
      </c>
      <c r="AJ76" s="261" t="b">
        <f t="shared" si="18"/>
        <v>0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47911</v>
      </c>
      <c r="B77" s="406">
        <f>'2030'!Wh/'2030'!Env_an*'2031'!Env_an</f>
        <v>19.2243545609008</v>
      </c>
      <c r="C77" s="831"/>
      <c r="D77" s="388">
        <f t="shared" si="0"/>
        <v>20.164272904978869</v>
      </c>
      <c r="E77" s="380">
        <f t="shared" si="1"/>
        <v>20.758754912474338</v>
      </c>
      <c r="F77" s="380">
        <f t="shared" si="2"/>
        <v>20.758754912474338</v>
      </c>
      <c r="G77" s="110">
        <f t="shared" si="21"/>
        <v>0.11499468119262102</v>
      </c>
      <c r="H77" s="409" t="b">
        <f>Wh_hp&gt;='2030'!Maxi_hp</f>
        <v>0</v>
      </c>
      <c r="I77" s="385">
        <f>IF(H77,Wh_hp,'2030'!Maxi_hp)</f>
        <v>20.760372655450283</v>
      </c>
      <c r="J77" s="85">
        <f>IF(H77,An,'2030'!An_max)</f>
        <v>2022</v>
      </c>
      <c r="K77" s="193">
        <f t="shared" si="3"/>
        <v>47911</v>
      </c>
      <c r="L77" s="143">
        <f>IF(t&lt;Tvie,1-EXP((T0-t)*PertePVj)+'2030'!Pspv,1-EXP((T0-t)*PertePVj)+Pspv)</f>
        <v>4.6613054113445851E-2</v>
      </c>
      <c r="M77" s="835"/>
      <c r="N77" s="835"/>
      <c r="O77" s="48">
        <f>IF(t&lt;Tnet,'2030'!Resal+('2030'!Salim-'2030'!Resal)*(1-EXP(('2030'!Tnet-t)/('2030'!Tau_j))),Resal+(Salim-Resal)*(1-EXP((Tnet-t)/(Tau_j))))*Salcycl</f>
        <v>2.8637652402660817E-2</v>
      </c>
      <c r="P77" s="165">
        <f>(INDEX(Models!$BJ77:$BT77,,T77)*(1-R77)+INDEX(Models!$BJ77:$BT77,,T77+1)*R77-ERP_i)*Q77*Ramure*Pc/MaxiM</f>
        <v>7.8441949669520652E-5</v>
      </c>
      <c r="Q77" s="301">
        <f t="shared" si="4"/>
        <v>0.5</v>
      </c>
      <c r="R77" s="173">
        <f t="shared" si="5"/>
        <v>0.97261417129718308</v>
      </c>
      <c r="S77" s="801">
        <f t="shared" si="6"/>
        <v>0</v>
      </c>
      <c r="T77" s="172">
        <f t="shared" si="7"/>
        <v>6</v>
      </c>
      <c r="U77" s="247">
        <f t="shared" si="8"/>
        <v>0.97261417129718308</v>
      </c>
      <c r="V77" s="378">
        <f t="shared" si="9"/>
        <v>167.16291889055992</v>
      </c>
      <c r="W77" s="397">
        <f t="shared" si="10"/>
        <v>19.2243545609008</v>
      </c>
      <c r="X77" s="153">
        <f t="shared" si="11"/>
        <v>47911</v>
      </c>
      <c r="Y77" s="380">
        <f t="shared" si="12"/>
        <v>18.664232784635782</v>
      </c>
      <c r="Z77" s="380">
        <f t="shared" si="22"/>
        <v>19.576765619839612</v>
      </c>
      <c r="AA77" s="381">
        <f t="shared" si="13"/>
        <v>20.758754912474338</v>
      </c>
      <c r="AB77" s="193">
        <f t="shared" si="14"/>
        <v>47911</v>
      </c>
      <c r="AC77" s="119">
        <f>IF(OR(t&lt;Tnet,NoTnet),'2030'!Resal_s+('2030'!Salim-'2030'!Resal_s)*(1-EXP(('2030'!Tnet_s-t)/'2030'!Tau_j)),Resal_s+(Salim-Resal_s)*(1-EXP((Tnet_s-t)/Tau_j)))*Salcycl</f>
        <v>5.6939315369268315E-2</v>
      </c>
      <c r="AD77" s="227">
        <f>(INDEX(Models!$BJ77:$BT77,,AH77)*(1-AF77)+INDEX(Models!$BJ77:$BT77,,AH77+1)*AF77-ERP_i)*AE77*Ramure*Pc/MaxiM</f>
        <v>5.2210684863160004E-4</v>
      </c>
      <c r="AE77" s="301">
        <f t="shared" si="15"/>
        <v>0.5</v>
      </c>
      <c r="AF77" s="173">
        <f t="shared" si="23"/>
        <v>0.497601737671161</v>
      </c>
      <c r="AG77" s="801">
        <f t="shared" si="24"/>
        <v>4</v>
      </c>
      <c r="AH77" s="172">
        <f t="shared" si="16"/>
        <v>10</v>
      </c>
      <c r="AI77" s="221">
        <f t="shared" si="17"/>
        <v>4.497601737671161</v>
      </c>
      <c r="AJ77" s="261" t="b">
        <f t="shared" si="18"/>
        <v>0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47912</v>
      </c>
      <c r="B78" s="406">
        <f>'2030'!Wh/'2030'!Env_an*'2031'!Env_an</f>
        <v>63.484974965206547</v>
      </c>
      <c r="C78" s="831"/>
      <c r="D78" s="388">
        <f t="shared" si="0"/>
        <v>66.589797885330711</v>
      </c>
      <c r="E78" s="380">
        <f t="shared" si="1"/>
        <v>68.55699478486747</v>
      </c>
      <c r="F78" s="380">
        <f t="shared" si="2"/>
        <v>68.557555736815686</v>
      </c>
      <c r="G78" s="110">
        <f t="shared" si="21"/>
        <v>0.37673954662798925</v>
      </c>
      <c r="H78" s="409" t="b">
        <f>Wh_hp&gt;='2030'!Maxi_hp</f>
        <v>0</v>
      </c>
      <c r="I78" s="385">
        <f>IF(H78,Wh_hp,'2030'!Maxi_hp)</f>
        <v>68.562079160993505</v>
      </c>
      <c r="J78" s="85">
        <f>IF(H78,An,'2030'!An_max)</f>
        <v>2022</v>
      </c>
      <c r="K78" s="193">
        <f t="shared" si="3"/>
        <v>47912</v>
      </c>
      <c r="L78" s="143">
        <f>IF(t&lt;Tvie,1-EXP((T0-t)*PertePVj)+'2030'!Pspv,1-EXP((T0-t)*PertePVj)+Pspv)</f>
        <v>4.6626105180117117E-2</v>
      </c>
      <c r="M78" s="835"/>
      <c r="N78" s="835"/>
      <c r="O78" s="48">
        <f>IF(t&lt;Tnet,'2030'!Resal+('2030'!Salim-'2030'!Resal)*(1-EXP(('2030'!Tnet-t)/('2030'!Tau_j))),Resal+(Salim-Resal)*(1-EXP((Tnet-t)/(Tau_j))))*Salcycl</f>
        <v>2.8694328065427075E-2</v>
      </c>
      <c r="P78" s="165">
        <f>(INDEX(Models!$BJ78:$BT78,,T78)*(1-R78)+INDEX(Models!$BJ78:$BT78,,T78+1)*R78-ERP_i)*Q78*Ramure*Pc/MaxiM</f>
        <v>7.4611801234299836E-5</v>
      </c>
      <c r="Q78" s="301">
        <f t="shared" si="4"/>
        <v>0.5</v>
      </c>
      <c r="R78" s="173">
        <f t="shared" si="5"/>
        <v>0.97297535896907872</v>
      </c>
      <c r="S78" s="801">
        <f t="shared" si="6"/>
        <v>0</v>
      </c>
      <c r="T78" s="172">
        <f t="shared" si="7"/>
        <v>6</v>
      </c>
      <c r="U78" s="247">
        <f t="shared" si="8"/>
        <v>0.97297535896907872</v>
      </c>
      <c r="V78" s="378">
        <f t="shared" si="9"/>
        <v>168.50038234001636</v>
      </c>
      <c r="W78" s="397">
        <f t="shared" si="10"/>
        <v>63.484974965206547</v>
      </c>
      <c r="X78" s="153">
        <f t="shared" si="11"/>
        <v>47912</v>
      </c>
      <c r="Y78" s="380">
        <f t="shared" si="12"/>
        <v>61.634322051839213</v>
      </c>
      <c r="Z78" s="380">
        <f t="shared" si="22"/>
        <v>64.648636161244525</v>
      </c>
      <c r="AA78" s="381">
        <f t="shared" si="13"/>
        <v>68.55383049535105</v>
      </c>
      <c r="AB78" s="193">
        <f t="shared" si="14"/>
        <v>47912</v>
      </c>
      <c r="AC78" s="119">
        <f>IF(OR(t&lt;Tnet,NoTnet),'2030'!Resal_s+('2030'!Salim-'2030'!Resal_s)*(1-EXP(('2030'!Tnet_s-t)/'2030'!Tau_j)),Resal_s+(Salim-Resal_s)*(1-EXP((Tnet_s-t)/Tau_j)))*Salcycl</f>
        <v>5.6965370219120785E-2</v>
      </c>
      <c r="AD78" s="227">
        <f>(INDEX(Models!$BJ78:$BT78,,AH78)*(1-AF78)+INDEX(Models!$BJ78:$BT78,,AH78+1)*AF78-ERP_i)*AE78*Ramure*Pc/MaxiM</f>
        <v>4.9549159530559348E-4</v>
      </c>
      <c r="AE78" s="301">
        <f t="shared" si="15"/>
        <v>0.5</v>
      </c>
      <c r="AF78" s="173">
        <f t="shared" si="23"/>
        <v>0.49796292534305664</v>
      </c>
      <c r="AG78" s="801">
        <f t="shared" si="24"/>
        <v>4</v>
      </c>
      <c r="AH78" s="172">
        <f t="shared" si="16"/>
        <v>10</v>
      </c>
      <c r="AI78" s="221">
        <f t="shared" si="17"/>
        <v>4.4979629253430566</v>
      </c>
      <c r="AJ78" s="261" t="b">
        <f t="shared" si="18"/>
        <v>0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47913</v>
      </c>
      <c r="B79" s="406">
        <f>'2030'!Wh/'2030'!Env_an*'2031'!Env_an</f>
        <v>89.628396970097825</v>
      </c>
      <c r="C79" s="831"/>
      <c r="D79" s="388">
        <f t="shared" ref="D79:D142" si="25">Wh/(1-Ppv)</f>
        <v>94.013088056407483</v>
      </c>
      <c r="E79" s="380">
        <f t="shared" si="1"/>
        <v>96.796067816625751</v>
      </c>
      <c r="F79" s="380">
        <f t="shared" ref="F79:F142" si="26">Wh_sa/(1-Pvg*MEDIAN((-Sdif+Wh/Env_an)/Csdif,0,1))</f>
        <v>96.798293775696962</v>
      </c>
      <c r="G79" s="110">
        <f t="shared" si="21"/>
        <v>0.52774664878796118</v>
      </c>
      <c r="H79" s="409" t="b">
        <f>Wh_hp&gt;='2030'!Maxi_hp</f>
        <v>0</v>
      </c>
      <c r="I79" s="385">
        <f>IF(H79,Wh_hp,'2030'!Maxi_hp)</f>
        <v>96.802876321766419</v>
      </c>
      <c r="J79" s="85">
        <f>IF(H79,An,'2030'!An_max)</f>
        <v>2022</v>
      </c>
      <c r="K79" s="193">
        <f t="shared" ref="K79:K142" si="27">t</f>
        <v>47913</v>
      </c>
      <c r="L79" s="143">
        <f>IF(t&lt;Tvie,1-EXP((T0-t)*PertePVj)+'2030'!Pspv,1-EXP((T0-t)*PertePVj)+Pspv)</f>
        <v>4.6639156068130294E-2</v>
      </c>
      <c r="M79" s="835"/>
      <c r="N79" s="835"/>
      <c r="O79" s="48">
        <f>IF(t&lt;Tnet,'2030'!Resal+('2030'!Salim-'2030'!Resal)*(1-EXP(('2030'!Tnet-t)/('2030'!Tau_j))),Resal+(Salim-Resal)*(1-EXP((Tnet-t)/(Tau_j))))*Salcycl</f>
        <v>2.8750958825005734E-2</v>
      </c>
      <c r="P79" s="165">
        <f>(INDEX(Models!$BJ79:$BT79,,T79)*(1-R79)+INDEX(Models!$BJ79:$BT79,,T79+1)*R79-ERP_i)*Q79*Ramure*Pc/MaxiM</f>
        <v>7.0672025176632525E-5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0.97335113557897679</v>
      </c>
      <c r="S79" s="801">
        <f t="shared" ref="S79:S142" si="30">INDEX(Echel_vg,T79)</f>
        <v>0</v>
      </c>
      <c r="T79" s="172">
        <f t="shared" ref="T79:T142" si="31">MIN(MATCH(Hp_vg,Echel_vg),10)</f>
        <v>6</v>
      </c>
      <c r="U79" s="247">
        <f t="shared" ref="U79:U142" si="32">IF(OR(t&lt;Ttai,Notai),Hdd+PousH*Croivg,Hdtf+PousH*(Croivg-Croi_tai))</f>
        <v>0.97335113557897679</v>
      </c>
      <c r="V79" s="378">
        <f t="shared" ref="V79:V142" si="33">MaxiM*(1-Ppv)*(1-Pvg)*(1-Psa)</f>
        <v>169.82414561709689</v>
      </c>
      <c r="W79" s="397">
        <f t="shared" ref="W79:W142" si="34">Wh*(A79&gt;Tmaj)</f>
        <v>89.628396970097825</v>
      </c>
      <c r="X79" s="153">
        <f t="shared" ref="X79:X142" si="35">t</f>
        <v>47913</v>
      </c>
      <c r="Y79" s="380">
        <f t="shared" ref="Y79:Y142" si="36">Wh_pvt_s*(1-Ppv)</f>
        <v>87.010978798347708</v>
      </c>
      <c r="Z79" s="380">
        <f t="shared" ref="Z79:Z142" si="37">Wh_sa_s*(1-Psa_s)</f>
        <v>91.267623746214809</v>
      </c>
      <c r="AA79" s="381">
        <f t="shared" ref="AA79:AA142" si="38">Wh_hp*(1-Pvg_s*MEDIAN((-Sdif+Wh/Env_an)/Csdif,0,1))</f>
        <v>96.783450842696396</v>
      </c>
      <c r="AB79" s="193">
        <f t="shared" ref="AB79:AB142" si="39">t</f>
        <v>47913</v>
      </c>
      <c r="AC79" s="119">
        <f>IF(OR(t&lt;Tnet,NoTnet),'2030'!Resal_s+('2030'!Salim-'2030'!Resal_s)*(1-EXP(('2030'!Tnet_s-t)/'2030'!Tau_j)),Resal_s+(Salim-Resal_s)*(1-EXP((Tnet_s-t)/Tau_j)))*Salcycl</f>
        <v>5.699142827058884E-2</v>
      </c>
      <c r="AD79" s="227">
        <f>(INDEX(Models!$BJ79:$BT79,,AH79)*(1-AF79)+INDEX(Models!$BJ79:$BT79,,AH79+1)*AF79-ERP_i)*AE79*Ramure*Pc/MaxiM</f>
        <v>4.7124861740413645E-4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0.49833870195295482</v>
      </c>
      <c r="AG79" s="801">
        <f t="shared" si="24"/>
        <v>4</v>
      </c>
      <c r="AH79" s="172">
        <f t="shared" ref="AH79:AH142" si="42">MIN(MATCH(Hp_vg_s,Echel_vg),10)</f>
        <v>10</v>
      </c>
      <c r="AI79" s="221">
        <f t="shared" ref="AI79:AI142" si="43">IF(OR(t&lt;Ttai,Notai),Hdd_s+PousH*Croivg,Hdtai_s+PousH*(Croivg-Croi_tai))</f>
        <v>4.4983387019529548</v>
      </c>
      <c r="AJ79" s="261" t="b">
        <f t="shared" ref="AJ79:AJ142" si="44">t&lt;Tnet</f>
        <v>0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47914</v>
      </c>
      <c r="B80" s="406">
        <f>'2030'!Wh/'2030'!Env_an*'2031'!Env_an</f>
        <v>133.15420788913914</v>
      </c>
      <c r="C80" s="831"/>
      <c r="D80" s="388">
        <f t="shared" si="25"/>
        <v>139.67012756074092</v>
      </c>
      <c r="E80" s="380">
        <f t="shared" ref="E80:E143" si="47">Wh_pvt/(1-Psa)</f>
        <v>143.8130286389368</v>
      </c>
      <c r="F80" s="380">
        <f t="shared" si="26"/>
        <v>143.81959711707123</v>
      </c>
      <c r="G80" s="110">
        <f t="shared" ref="G80:G143" si="48">+Wh_hp/MaxiM</f>
        <v>0.77804078459881265</v>
      </c>
      <c r="H80" s="409" t="b">
        <f>Wh_hp&gt;='2030'!Maxi_hp</f>
        <v>0</v>
      </c>
      <c r="I80" s="385">
        <f>IF(H80,Wh_hp,'2030'!Maxi_hp)</f>
        <v>143.82262435298446</v>
      </c>
      <c r="J80" s="85">
        <f>IF(H80,An,'2030'!An_max)</f>
        <v>2022</v>
      </c>
      <c r="K80" s="193">
        <f t="shared" si="27"/>
        <v>47914</v>
      </c>
      <c r="L80" s="143">
        <f>IF(t&lt;Tvie,1-EXP((T0-t)*PertePVj)+'2030'!Pspv,1-EXP((T0-t)*PertePVj)+Pspv)</f>
        <v>4.6652206777487715E-2</v>
      </c>
      <c r="M80" s="835"/>
      <c r="N80" s="835"/>
      <c r="O80" s="48">
        <f>IF(t&lt;Tnet,'2030'!Resal+('2030'!Salim-'2030'!Resal)*(1-EXP(('2030'!Tnet-t)/('2030'!Tau_j))),Resal+(Salim-Resal)*(1-EXP((Tnet-t)/(Tau_j))))*Salcycl</f>
        <v>2.8807550452172453E-2</v>
      </c>
      <c r="P80" s="165">
        <f>(INDEX(Models!$BJ80:$BT80,,T80)*(1-R80)+INDEX(Models!$BJ80:$BT80,,T80+1)*R80-ERP_i)*Q80*Ramure*Pc/MaxiM</f>
        <v>6.6875153512061962E-5</v>
      </c>
      <c r="Q80" s="301">
        <f t="shared" si="28"/>
        <v>0.5</v>
      </c>
      <c r="R80" s="173">
        <f t="shared" si="29"/>
        <v>0.97374206628341242</v>
      </c>
      <c r="S80" s="801">
        <f t="shared" si="30"/>
        <v>0</v>
      </c>
      <c r="T80" s="172">
        <f t="shared" si="31"/>
        <v>6</v>
      </c>
      <c r="U80" s="247">
        <f t="shared" si="32"/>
        <v>0.97374206628341242</v>
      </c>
      <c r="V80" s="378">
        <f t="shared" si="33"/>
        <v>171.13676694079007</v>
      </c>
      <c r="W80" s="397">
        <f t="shared" si="34"/>
        <v>133.15420788913914</v>
      </c>
      <c r="X80" s="153">
        <f t="shared" si="35"/>
        <v>47914</v>
      </c>
      <c r="Y80" s="380">
        <f t="shared" si="36"/>
        <v>129.25264118153461</v>
      </c>
      <c r="Z80" s="380">
        <f t="shared" si="37"/>
        <v>135.57763714397871</v>
      </c>
      <c r="AA80" s="381">
        <f t="shared" si="38"/>
        <v>143.77534815963887</v>
      </c>
      <c r="AB80" s="193">
        <f t="shared" si="39"/>
        <v>47914</v>
      </c>
      <c r="AC80" s="119">
        <f>IF(OR(t&lt;Tnet,NoTnet),'2030'!Resal_s+('2030'!Salim-'2030'!Resal_s)*(1-EXP(('2030'!Tnet_s-t)/'2030'!Tau_j)),Resal_s+(Salim-Resal_s)*(1-EXP((Tnet_s-t)/Tau_j)))*Salcycl</f>
        <v>5.7017500709217239E-2</v>
      </c>
      <c r="AD80" s="227">
        <f>(INDEX(Models!$BJ80:$BT80,,AH80)*(1-AF80)+INDEX(Models!$BJ80:$BT80,,AH80+1)*AF80-ERP_i)*AE80*Ramure*Pc/MaxiM</f>
        <v>4.5050858973459483E-4</v>
      </c>
      <c r="AE80" s="301">
        <f t="shared" si="40"/>
        <v>0.5</v>
      </c>
      <c r="AF80" s="173">
        <f t="shared" si="41"/>
        <v>0.49872963265739045</v>
      </c>
      <c r="AG80" s="801">
        <f t="shared" ref="AG80:AG143" si="49">INDEX(Echel_vg,AH80)</f>
        <v>4</v>
      </c>
      <c r="AH80" s="172">
        <f t="shared" si="42"/>
        <v>10</v>
      </c>
      <c r="AI80" s="221">
        <f t="shared" si="43"/>
        <v>4.4987296326573905</v>
      </c>
      <c r="AJ80" s="261" t="b">
        <f t="shared" si="44"/>
        <v>0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47915</v>
      </c>
      <c r="B81" s="406">
        <f>'2030'!Wh/'2030'!Env_an*'2031'!Env_an</f>
        <v>122.77046080525238</v>
      </c>
      <c r="C81" s="831"/>
      <c r="D81" s="388">
        <f t="shared" si="25"/>
        <v>128.78001326019159</v>
      </c>
      <c r="E81" s="380">
        <f t="shared" si="47"/>
        <v>132.60761392261657</v>
      </c>
      <c r="F81" s="380">
        <f t="shared" si="26"/>
        <v>132.61256447503811</v>
      </c>
      <c r="G81" s="110">
        <f t="shared" si="48"/>
        <v>0.71194745759838196</v>
      </c>
      <c r="H81" s="409" t="b">
        <f>Wh_hp&gt;='2030'!Maxi_hp</f>
        <v>0</v>
      </c>
      <c r="I81" s="385">
        <f>IF(H81,Wh_hp,'2030'!Maxi_hp)</f>
        <v>132.61599951897398</v>
      </c>
      <c r="J81" s="85">
        <f>IF(H81,An,'2030'!An_max)</f>
        <v>2022</v>
      </c>
      <c r="K81" s="193">
        <f t="shared" si="27"/>
        <v>47915</v>
      </c>
      <c r="L81" s="143">
        <f>IF(t&lt;Tvie,1-EXP((T0-t)*PertePVj)+'2030'!Pspv,1-EXP((T0-t)*PertePVj)+Pspv)</f>
        <v>4.6665257308191932E-2</v>
      </c>
      <c r="M81" s="835"/>
      <c r="N81" s="835"/>
      <c r="O81" s="48">
        <f>IF(t&lt;Tnet,'2030'!Resal+('2030'!Salim-'2030'!Resal)*(1-EXP(('2030'!Tnet-t)/('2030'!Tau_j))),Resal+(Salim-Resal)*(1-EXP((Tnet-t)/(Tau_j))))*Salcycl</f>
        <v>2.8864109301133842E-2</v>
      </c>
      <c r="P81" s="165">
        <f>(INDEX(Models!$BJ81:$BT81,,T81)*(1-R81)+INDEX(Models!$BJ81:$BT81,,T81+1)*R81-ERP_i)*Q81*Ramure*Pc/MaxiM</f>
        <v>6.3431592094807018E-5</v>
      </c>
      <c r="Q81" s="301">
        <f t="shared" si="28"/>
        <v>0.5</v>
      </c>
      <c r="R81" s="173">
        <f t="shared" si="29"/>
        <v>0.97414873611162245</v>
      </c>
      <c r="S81" s="801">
        <f t="shared" si="30"/>
        <v>0</v>
      </c>
      <c r="T81" s="172">
        <f t="shared" si="31"/>
        <v>6</v>
      </c>
      <c r="U81" s="247">
        <f t="shared" si="32"/>
        <v>0.97414873611162245</v>
      </c>
      <c r="V81" s="378">
        <f t="shared" si="33"/>
        <v>172.43864696329035</v>
      </c>
      <c r="W81" s="397">
        <f t="shared" si="34"/>
        <v>122.77046080525238</v>
      </c>
      <c r="X81" s="153">
        <f t="shared" si="35"/>
        <v>47915</v>
      </c>
      <c r="Y81" s="380">
        <f t="shared" si="36"/>
        <v>119.18223276402101</v>
      </c>
      <c r="Z81" s="380">
        <f t="shared" si="37"/>
        <v>125.01614325677626</v>
      </c>
      <c r="AA81" s="381">
        <f t="shared" si="38"/>
        <v>132.57892223989421</v>
      </c>
      <c r="AB81" s="193">
        <f t="shared" si="39"/>
        <v>47915</v>
      </c>
      <c r="AC81" s="119">
        <f>IF(OR(t&lt;Tnet,NoTnet),'2030'!Resal_s+('2030'!Salim-'2030'!Resal_s)*(1-EXP(('2030'!Tnet_s-t)/'2030'!Tau_j)),Resal_s+(Salim-Resal_s)*(1-EXP((Tnet_s-t)/Tau_j)))*Salcycl</f>
        <v>5.704359980716632E-2</v>
      </c>
      <c r="AD81" s="227">
        <f>(INDEX(Models!$BJ81:$BT81,,AH81)*(1-AF81)+INDEX(Models!$BJ81:$BT81,,AH81+1)*AF81-ERP_i)*AE81*Ramure*Pc/MaxiM</f>
        <v>4.3105907282557898E-4</v>
      </c>
      <c r="AE81" s="301">
        <f t="shared" si="40"/>
        <v>0.5</v>
      </c>
      <c r="AF81" s="173">
        <f t="shared" si="41"/>
        <v>0.49913630248560015</v>
      </c>
      <c r="AG81" s="801">
        <f t="shared" si="49"/>
        <v>4</v>
      </c>
      <c r="AH81" s="172">
        <f t="shared" si="42"/>
        <v>10</v>
      </c>
      <c r="AI81" s="221">
        <f t="shared" si="43"/>
        <v>4.4991363024856001</v>
      </c>
      <c r="AJ81" s="261" t="b">
        <f t="shared" si="44"/>
        <v>0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47916</v>
      </c>
      <c r="B82" s="406">
        <f>'2030'!Wh/'2030'!Env_an*'2031'!Env_an</f>
        <v>132.24967451374761</v>
      </c>
      <c r="C82" s="831"/>
      <c r="D82" s="388">
        <f t="shared" si="25"/>
        <v>138.72512875393073</v>
      </c>
      <c r="E82" s="380">
        <f t="shared" si="47"/>
        <v>142.85663437661435</v>
      </c>
      <c r="F82" s="380">
        <f t="shared" si="26"/>
        <v>142.86231371871892</v>
      </c>
      <c r="G82" s="110">
        <f t="shared" si="48"/>
        <v>0.76122018690950399</v>
      </c>
      <c r="H82" s="409" t="b">
        <f>Wh_hp&gt;='2030'!Maxi_hp</f>
        <v>0</v>
      </c>
      <c r="I82" s="385">
        <f>IF(H82,Wh_hp,'2030'!Maxi_hp)</f>
        <v>142.86523052784904</v>
      </c>
      <c r="J82" s="85">
        <f>IF(H82,An,'2030'!An_max)</f>
        <v>2022</v>
      </c>
      <c r="K82" s="193">
        <f t="shared" si="27"/>
        <v>47916</v>
      </c>
      <c r="L82" s="143">
        <f>IF(t&lt;Tvie,1-EXP((T0-t)*PertePVj)+'2030'!Pspv,1-EXP((T0-t)*PertePVj)+Pspv)</f>
        <v>4.6678307660245388E-2</v>
      </c>
      <c r="M82" s="835"/>
      <c r="N82" s="835"/>
      <c r="O82" s="48">
        <f>IF(t&lt;Tnet,'2030'!Resal+('2030'!Salim-'2030'!Resal)*(1-EXP(('2030'!Tnet-t)/('2030'!Tau_j))),Resal+(Salim-Resal)*(1-EXP((Tnet-t)/(Tau_j))))*Salcycl</f>
        <v>2.8920642297869684E-2</v>
      </c>
      <c r="P82" s="165">
        <f>(INDEX(Models!$BJ82:$BT82,,T82)*(1-R82)+INDEX(Models!$BJ82:$BT82,,T82+1)*R82-ERP_i)*Q82*Ramure*Pc/MaxiM</f>
        <v>6.0333057093567267E-5</v>
      </c>
      <c r="Q82" s="301">
        <f t="shared" si="28"/>
        <v>0.5</v>
      </c>
      <c r="R82" s="173">
        <f t="shared" si="29"/>
        <v>0.97457175049320943</v>
      </c>
      <c r="S82" s="801">
        <f t="shared" si="30"/>
        <v>0</v>
      </c>
      <c r="T82" s="172">
        <f t="shared" si="31"/>
        <v>6</v>
      </c>
      <c r="U82" s="247">
        <f t="shared" si="32"/>
        <v>0.97457175049320943</v>
      </c>
      <c r="V82" s="378">
        <f t="shared" si="33"/>
        <v>173.7302230029054</v>
      </c>
      <c r="W82" s="397">
        <f t="shared" si="34"/>
        <v>132.24967451374761</v>
      </c>
      <c r="X82" s="153">
        <f t="shared" si="35"/>
        <v>47916</v>
      </c>
      <c r="Y82" s="380">
        <f t="shared" si="36"/>
        <v>128.38626541387646</v>
      </c>
      <c r="Z82" s="380">
        <f t="shared" si="37"/>
        <v>134.67255224076118</v>
      </c>
      <c r="AA82" s="381">
        <f t="shared" si="38"/>
        <v>142.8234491939732</v>
      </c>
      <c r="AB82" s="193">
        <f t="shared" si="39"/>
        <v>47916</v>
      </c>
      <c r="AC82" s="119">
        <f>IF(OR(t&lt;Tnet,NoTnet),'2030'!Resal_s+('2030'!Salim-'2030'!Resal_s)*(1-EXP(('2030'!Tnet_s-t)/'2030'!Tau_j)),Resal_s+(Salim-Resal_s)*(1-EXP((Tnet_s-t)/Tau_j)))*Salcycl</f>
        <v>5.7069738892400065E-2</v>
      </c>
      <c r="AD82" s="227">
        <f>(INDEX(Models!$BJ82:$BT82,,AH82)*(1-AF82)+INDEX(Models!$BJ82:$BT82,,AH82+1)*AF82-ERP_i)*AE82*Ramure*Pc/MaxiM</f>
        <v>4.1286746725685422E-4</v>
      </c>
      <c r="AE82" s="301">
        <f t="shared" si="40"/>
        <v>0.5</v>
      </c>
      <c r="AF82" s="173">
        <f t="shared" si="41"/>
        <v>0.49955931686718724</v>
      </c>
      <c r="AG82" s="801">
        <f t="shared" si="49"/>
        <v>4</v>
      </c>
      <c r="AH82" s="172">
        <f t="shared" si="42"/>
        <v>10</v>
      </c>
      <c r="AI82" s="221">
        <f t="shared" si="43"/>
        <v>4.4995593168671872</v>
      </c>
      <c r="AJ82" s="261" t="b">
        <f t="shared" si="44"/>
        <v>0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47917</v>
      </c>
      <c r="B83" s="406">
        <f>'2030'!Wh/'2030'!Env_an*'2031'!Env_an</f>
        <v>95.062281861042933</v>
      </c>
      <c r="C83" s="831"/>
      <c r="D83" s="388">
        <f t="shared" si="25"/>
        <v>99.718262959431812</v>
      </c>
      <c r="E83" s="380">
        <f t="shared" si="47"/>
        <v>102.69404439927108</v>
      </c>
      <c r="F83" s="380">
        <f t="shared" si="26"/>
        <v>102.69609832923811</v>
      </c>
      <c r="G83" s="110">
        <f t="shared" si="48"/>
        <v>0.54315559519193146</v>
      </c>
      <c r="H83" s="409" t="b">
        <f>Wh_hp&gt;='2030'!Maxi_hp</f>
        <v>0</v>
      </c>
      <c r="I83" s="385">
        <f>IF(H83,Wh_hp,'2030'!Maxi_hp)</f>
        <v>102.6999251260078</v>
      </c>
      <c r="J83" s="85">
        <f>IF(H83,An,'2030'!An_max)</f>
        <v>2022</v>
      </c>
      <c r="K83" s="193">
        <f t="shared" si="27"/>
        <v>47917</v>
      </c>
      <c r="L83" s="143">
        <f>IF(t&lt;Tvie,1-EXP((T0-t)*PertePVj)+'2030'!Pspv,1-EXP((T0-t)*PertePVj)+Pspv)</f>
        <v>4.6691357833650415E-2</v>
      </c>
      <c r="M83" s="835"/>
      <c r="N83" s="835"/>
      <c r="O83" s="48">
        <f>IF(t&lt;Tnet,'2030'!Resal+('2030'!Salim-'2030'!Resal)*(1-EXP(('2030'!Tnet-t)/('2030'!Tau_j))),Resal+(Salim-Resal)*(1-EXP((Tnet-t)/(Tau_j))))*Salcycl</f>
        <v>2.897715692518181E-2</v>
      </c>
      <c r="P83" s="165">
        <f>(INDEX(Models!$BJ83:$BT83,,T83)*(1-R83)+INDEX(Models!$BJ83:$BT83,,T83+1)*R83-ERP_i)*Q83*Ramure*Pc/MaxiM</f>
        <v>5.7571694269142835E-5</v>
      </c>
      <c r="Q83" s="301">
        <f t="shared" si="28"/>
        <v>0.5</v>
      </c>
      <c r="R83" s="173">
        <f t="shared" si="29"/>
        <v>0.97501173578454614</v>
      </c>
      <c r="S83" s="801">
        <f t="shared" si="30"/>
        <v>0</v>
      </c>
      <c r="T83" s="172">
        <f t="shared" si="31"/>
        <v>6</v>
      </c>
      <c r="U83" s="247">
        <f t="shared" si="32"/>
        <v>0.97501173578454614</v>
      </c>
      <c r="V83" s="378">
        <f t="shared" si="33"/>
        <v>175.01193210102753</v>
      </c>
      <c r="W83" s="397">
        <f t="shared" si="34"/>
        <v>95.062281861042933</v>
      </c>
      <c r="X83" s="153">
        <f t="shared" si="35"/>
        <v>47917</v>
      </c>
      <c r="Y83" s="380">
        <f t="shared" si="36"/>
        <v>92.298628748896348</v>
      </c>
      <c r="Z83" s="380">
        <f t="shared" si="37"/>
        <v>96.819251044606077</v>
      </c>
      <c r="AA83" s="381">
        <f t="shared" si="38"/>
        <v>102.68197408669235</v>
      </c>
      <c r="AB83" s="193">
        <f t="shared" si="39"/>
        <v>47917</v>
      </c>
      <c r="AC83" s="119">
        <f>IF(OR(t&lt;Tnet,NoTnet),'2030'!Resal_s+('2030'!Salim-'2030'!Resal_s)*(1-EXP(('2030'!Tnet_s-t)/'2030'!Tau_j)),Resal_s+(Salim-Resal_s)*(1-EXP((Tnet_s-t)/Tau_j)))*Salcycl</f>
        <v>5.7095932311707301E-2</v>
      </c>
      <c r="AD83" s="227">
        <f>(INDEX(Models!$BJ83:$BT83,,AH83)*(1-AF83)+INDEX(Models!$BJ83:$BT83,,AH83+1)*AF83-ERP_i)*AE83*Ramure*Pc/MaxiM</f>
        <v>3.9590277501178089E-4</v>
      </c>
      <c r="AE83" s="301">
        <f t="shared" si="40"/>
        <v>0.5</v>
      </c>
      <c r="AF83" s="173">
        <f t="shared" si="41"/>
        <v>0.49999930215852384</v>
      </c>
      <c r="AG83" s="801">
        <f t="shared" si="49"/>
        <v>4</v>
      </c>
      <c r="AH83" s="172">
        <f t="shared" si="42"/>
        <v>10</v>
      </c>
      <c r="AI83" s="221">
        <f t="shared" si="43"/>
        <v>4.4999993021585238</v>
      </c>
      <c r="AJ83" s="261" t="b">
        <f t="shared" si="44"/>
        <v>0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47918</v>
      </c>
      <c r="B84" s="406">
        <f>'2030'!Wh/'2030'!Env_an*'2031'!Env_an</f>
        <v>65.064941702964262</v>
      </c>
      <c r="C84" s="831"/>
      <c r="D84" s="388">
        <f t="shared" si="25"/>
        <v>68.252640877891281</v>
      </c>
      <c r="E84" s="380">
        <f t="shared" si="47"/>
        <v>70.293519096213572</v>
      </c>
      <c r="F84" s="380">
        <f t="shared" si="26"/>
        <v>70.293901664727358</v>
      </c>
      <c r="G84" s="110">
        <f t="shared" si="48"/>
        <v>0.36907280425739325</v>
      </c>
      <c r="H84" s="409" t="b">
        <f>Wh_hp&gt;='2030'!Maxi_hp</f>
        <v>0</v>
      </c>
      <c r="I84" s="385">
        <f>IF(H84,Wh_hp,'2030'!Maxi_hp)</f>
        <v>70.297364846187307</v>
      </c>
      <c r="J84" s="85">
        <f>IF(H84,An,'2030'!An_max)</f>
        <v>2022</v>
      </c>
      <c r="K84" s="193">
        <f t="shared" si="27"/>
        <v>47918</v>
      </c>
      <c r="L84" s="143">
        <f>IF(t&lt;Tvie,1-EXP((T0-t)*PertePVj)+'2030'!Pspv,1-EXP((T0-t)*PertePVj)+Pspv)</f>
        <v>4.6704407828409567E-2</v>
      </c>
      <c r="M84" s="835"/>
      <c r="N84" s="835"/>
      <c r="O84" s="48">
        <f>IF(t&lt;Tnet,'2030'!Resal+('2030'!Salim-'2030'!Resal)*(1-EXP(('2030'!Tnet-t)/('2030'!Tau_j))),Resal+(Salim-Resal)*(1-EXP((Tnet-t)/(Tau_j))))*Salcycl</f>
        <v>2.9033661204653265E-2</v>
      </c>
      <c r="P84" s="165">
        <f>(INDEX(Models!$BJ84:$BT84,,T84)*(1-R84)+INDEX(Models!$BJ84:$BT84,,T84+1)*R84-ERP_i)*Q84*Ramure*Pc/MaxiM</f>
        <v>5.5140056873360971E-5</v>
      </c>
      <c r="Q84" s="301">
        <f t="shared" si="28"/>
        <v>0.5</v>
      </c>
      <c r="R84" s="173">
        <f t="shared" si="29"/>
        <v>0.97546933979221095</v>
      </c>
      <c r="S84" s="801">
        <f t="shared" si="30"/>
        <v>0</v>
      </c>
      <c r="T84" s="172">
        <f t="shared" si="31"/>
        <v>6</v>
      </c>
      <c r="U84" s="247">
        <f t="shared" si="32"/>
        <v>0.97546933979221095</v>
      </c>
      <c r="V84" s="378">
        <f t="shared" si="33"/>
        <v>176.28421102995802</v>
      </c>
      <c r="W84" s="397">
        <f t="shared" si="34"/>
        <v>65.064941702964262</v>
      </c>
      <c r="X84" s="153">
        <f t="shared" si="35"/>
        <v>47918</v>
      </c>
      <c r="Y84" s="380">
        <f t="shared" si="36"/>
        <v>63.180688169543615</v>
      </c>
      <c r="Z84" s="380">
        <f t="shared" si="37"/>
        <v>66.276072907899561</v>
      </c>
      <c r="AA84" s="381">
        <f t="shared" si="38"/>
        <v>70.291264237759734</v>
      </c>
      <c r="AB84" s="193">
        <f t="shared" si="39"/>
        <v>47918</v>
      </c>
      <c r="AC84" s="119">
        <f>IF(OR(t&lt;Tnet,NoTnet),'2030'!Resal_s+('2030'!Salim-'2030'!Resal_s)*(1-EXP(('2030'!Tnet_s-t)/'2030'!Tau_j)),Resal_s+(Salim-Resal_s)*(1-EXP((Tnet_s-t)/Tau_j)))*Salcycl</f>
        <v>5.7122195388018722E-2</v>
      </c>
      <c r="AD84" s="227">
        <f>(INDEX(Models!$BJ84:$BT84,,AH84)*(1-AF84)+INDEX(Models!$BJ84:$BT84,,AH84+1)*AF84-ERP_i)*AE84*Ramure*Pc/MaxiM</f>
        <v>3.8013549927571298E-4</v>
      </c>
      <c r="AE84" s="301">
        <f t="shared" si="40"/>
        <v>0.5</v>
      </c>
      <c r="AF84" s="173">
        <f t="shared" si="41"/>
        <v>0.50045690616618899</v>
      </c>
      <c r="AG84" s="801">
        <f t="shared" si="49"/>
        <v>4</v>
      </c>
      <c r="AH84" s="172">
        <f t="shared" si="42"/>
        <v>10</v>
      </c>
      <c r="AI84" s="221">
        <f t="shared" si="43"/>
        <v>4.500456906166189</v>
      </c>
      <c r="AJ84" s="261" t="b">
        <f t="shared" si="44"/>
        <v>0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47919</v>
      </c>
      <c r="B85" s="406">
        <f>'2030'!Wh/'2030'!Env_an*'2031'!Env_an</f>
        <v>60.894015994181125</v>
      </c>
      <c r="C85" s="831"/>
      <c r="D85" s="388">
        <f t="shared" si="25"/>
        <v>63.878245209145994</v>
      </c>
      <c r="E85" s="380">
        <f t="shared" si="47"/>
        <v>65.792149609876319</v>
      </c>
      <c r="F85" s="380">
        <f t="shared" si="26"/>
        <v>65.792363802594977</v>
      </c>
      <c r="G85" s="110">
        <f t="shared" si="48"/>
        <v>0.34295603275448378</v>
      </c>
      <c r="H85" s="409" t="b">
        <f>Wh_hp&gt;='2030'!Maxi_hp</f>
        <v>0</v>
      </c>
      <c r="I85" s="385">
        <f>IF(H85,Wh_hp,'2030'!Maxi_hp)</f>
        <v>65.795608679472551</v>
      </c>
      <c r="J85" s="85">
        <f>IF(H85,An,'2030'!An_max)</f>
        <v>2022</v>
      </c>
      <c r="K85" s="193">
        <f t="shared" si="27"/>
        <v>47919</v>
      </c>
      <c r="L85" s="143">
        <f>IF(t&lt;Tvie,1-EXP((T0-t)*PertePVj)+'2030'!Pspv,1-EXP((T0-t)*PertePVj)+Pspv)</f>
        <v>4.6717457644525173E-2</v>
      </c>
      <c r="M85" s="835"/>
      <c r="N85" s="835"/>
      <c r="O85" s="48">
        <f>IF(t&lt;Tnet,'2030'!Resal+('2030'!Salim-'2030'!Resal)*(1-EXP(('2030'!Tnet-t)/('2030'!Tau_j))),Resal+(Salim-Resal)*(1-EXP((Tnet-t)/(Tau_j))))*Salcycl</f>
        <v>2.9090163675743651E-2</v>
      </c>
      <c r="P85" s="165">
        <f>(INDEX(Models!$BJ85:$BT85,,T85)*(1-R85)+INDEX(Models!$BJ85:$BT85,,T85+1)*R85-ERP_i)*Q85*Ramure*Pc/MaxiM</f>
        <v>5.3031086367611489E-5</v>
      </c>
      <c r="Q85" s="301">
        <f t="shared" si="28"/>
        <v>0.5</v>
      </c>
      <c r="R85" s="173">
        <f t="shared" si="29"/>
        <v>0.97594523229156627</v>
      </c>
      <c r="S85" s="801">
        <f t="shared" si="30"/>
        <v>0</v>
      </c>
      <c r="T85" s="172">
        <f t="shared" si="31"/>
        <v>6</v>
      </c>
      <c r="U85" s="247">
        <f t="shared" si="32"/>
        <v>0.97594523229156627</v>
      </c>
      <c r="V85" s="378">
        <f t="shared" si="33"/>
        <v>177.5474962932268</v>
      </c>
      <c r="W85" s="397">
        <f t="shared" si="34"/>
        <v>60.894015994181125</v>
      </c>
      <c r="X85" s="153">
        <f t="shared" si="35"/>
        <v>47919</v>
      </c>
      <c r="Y85" s="380">
        <f t="shared" si="36"/>
        <v>59.133101746587251</v>
      </c>
      <c r="Z85" s="380">
        <f t="shared" si="37"/>
        <v>62.031033947684293</v>
      </c>
      <c r="AA85" s="381">
        <f t="shared" si="38"/>
        <v>65.790887395302192</v>
      </c>
      <c r="AB85" s="193">
        <f t="shared" si="39"/>
        <v>47919</v>
      </c>
      <c r="AC85" s="119">
        <f>IF(OR(t&lt;Tnet,NoTnet),'2030'!Resal_s+('2030'!Salim-'2030'!Resal_s)*(1-EXP(('2030'!Tnet_s-t)/'2030'!Tau_j)),Resal_s+(Salim-Resal_s)*(1-EXP((Tnet_s-t)/Tau_j)))*Salcycl</f>
        <v>5.7148544372520024E-2</v>
      </c>
      <c r="AD85" s="227">
        <f>(INDEX(Models!$BJ85:$BT85,,AH85)*(1-AF85)+INDEX(Models!$BJ85:$BT85,,AH85+1)*AF85-ERP_i)*AE85*Ramure*Pc/MaxiM</f>
        <v>3.6553755489697497E-4</v>
      </c>
      <c r="AE85" s="301">
        <f t="shared" si="40"/>
        <v>0.5</v>
      </c>
      <c r="AF85" s="173">
        <f t="shared" si="41"/>
        <v>0.50093279866554408</v>
      </c>
      <c r="AG85" s="801">
        <f t="shared" si="49"/>
        <v>4</v>
      </c>
      <c r="AH85" s="172">
        <f t="shared" si="42"/>
        <v>10</v>
      </c>
      <c r="AI85" s="221">
        <f t="shared" si="43"/>
        <v>4.5009327986655441</v>
      </c>
      <c r="AJ85" s="261" t="b">
        <f t="shared" si="44"/>
        <v>0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47920</v>
      </c>
      <c r="B86" s="406">
        <f>'2030'!Wh/'2030'!Env_an*'2031'!Env_an</f>
        <v>53.778069129209641</v>
      </c>
      <c r="C86" s="831"/>
      <c r="D86" s="388">
        <f t="shared" si="25"/>
        <v>56.414339848299825</v>
      </c>
      <c r="E86" s="380">
        <f t="shared" si="47"/>
        <v>58.107994586839808</v>
      </c>
      <c r="F86" s="380">
        <f t="shared" si="26"/>
        <v>58.10799786002989</v>
      </c>
      <c r="G86" s="110">
        <f t="shared" si="48"/>
        <v>0.30075306354343695</v>
      </c>
      <c r="H86" s="409" t="b">
        <f>Wh_hp&gt;='2030'!Maxi_hp</f>
        <v>0</v>
      </c>
      <c r="I86" s="385">
        <f>IF(H86,Wh_hp,'2030'!Maxi_hp)</f>
        <v>58.110947281906434</v>
      </c>
      <c r="J86" s="85">
        <f>IF(H86,An,'2030'!An_max)</f>
        <v>2022</v>
      </c>
      <c r="K86" s="193">
        <f t="shared" si="27"/>
        <v>47920</v>
      </c>
      <c r="L86" s="143">
        <f>IF(t&lt;Tvie,1-EXP((T0-t)*PertePVj)+'2030'!Pspv,1-EXP((T0-t)*PertePVj)+Pspv)</f>
        <v>4.6730507281999789E-2</v>
      </c>
      <c r="M86" s="835"/>
      <c r="N86" s="835"/>
      <c r="O86" s="48">
        <f>IF(t&lt;Tnet,'2030'!Resal+('2030'!Salim-'2030'!Resal)*(1-EXP(('2030'!Tnet-t)/('2030'!Tau_j))),Resal+(Salim-Resal)*(1-EXP((Tnet-t)/(Tau_j))))*Salcycl</f>
        <v>2.9146673372265355E-2</v>
      </c>
      <c r="P86" s="165">
        <f>(INDEX(Models!$BJ86:$BT86,,T86)*(1-R86)+INDEX(Models!$BJ86:$BT86,,T86+1)*R86-ERP_i)*Q86*Ramure*Pc/MaxiM</f>
        <v>5.1309920973580608E-5</v>
      </c>
      <c r="Q86" s="301">
        <f t="shared" si="28"/>
        <v>0.5</v>
      </c>
      <c r="R86" s="173">
        <f t="shared" si="29"/>
        <v>0.97644010553841198</v>
      </c>
      <c r="S86" s="801">
        <f t="shared" si="30"/>
        <v>0</v>
      </c>
      <c r="T86" s="172">
        <f t="shared" si="31"/>
        <v>6</v>
      </c>
      <c r="U86" s="247">
        <f t="shared" si="32"/>
        <v>0.97644010553841198</v>
      </c>
      <c r="V86" s="378">
        <f t="shared" si="33"/>
        <v>178.80221127688799</v>
      </c>
      <c r="W86" s="397">
        <f t="shared" si="34"/>
        <v>53.778069129209641</v>
      </c>
      <c r="X86" s="153">
        <f t="shared" si="35"/>
        <v>47920</v>
      </c>
      <c r="Y86" s="380">
        <f t="shared" si="36"/>
        <v>52.225490770726161</v>
      </c>
      <c r="Z86" s="380">
        <f t="shared" si="37"/>
        <v>54.785652084405584</v>
      </c>
      <c r="AA86" s="381">
        <f t="shared" si="38"/>
        <v>58.107975366327118</v>
      </c>
      <c r="AB86" s="193">
        <f t="shared" si="39"/>
        <v>47920</v>
      </c>
      <c r="AC86" s="119">
        <f>IF(OR(t&lt;Tnet,NoTnet),'2030'!Resal_s+('2030'!Salim-'2030'!Resal_s)*(1-EXP(('2030'!Tnet_s-t)/'2030'!Tau_j)),Resal_s+(Salim-Resal_s)*(1-EXP((Tnet_s-t)/Tau_j)))*Salcycl</f>
        <v>5.7174996392092274E-2</v>
      </c>
      <c r="AD86" s="227">
        <f>(INDEX(Models!$BJ86:$BT86,,AH86)*(1-AF86)+INDEX(Models!$BJ86:$BT86,,AH86+1)*AF86-ERP_i)*AE86*Ramure*Pc/MaxiM</f>
        <v>3.5260711463158304E-4</v>
      </c>
      <c r="AE86" s="301">
        <f t="shared" si="40"/>
        <v>0.5</v>
      </c>
      <c r="AF86" s="173">
        <f t="shared" si="41"/>
        <v>0.50142767191239024</v>
      </c>
      <c r="AG86" s="801">
        <f t="shared" si="49"/>
        <v>4</v>
      </c>
      <c r="AH86" s="172">
        <f t="shared" si="42"/>
        <v>10</v>
      </c>
      <c r="AI86" s="221">
        <f t="shared" si="43"/>
        <v>4.5014276719123902</v>
      </c>
      <c r="AJ86" s="261" t="b">
        <f t="shared" si="44"/>
        <v>0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47921</v>
      </c>
      <c r="B87" s="406">
        <f>'2030'!Wh/'2030'!Env_an*'2031'!Env_an</f>
        <v>52.775023426093092</v>
      </c>
      <c r="C87" s="831"/>
      <c r="D87" s="388">
        <f t="shared" si="25"/>
        <v>55.362881414844018</v>
      </c>
      <c r="E87" s="380">
        <f t="shared" si="47"/>
        <v>57.028289960616696</v>
      </c>
      <c r="F87" s="380">
        <f t="shared" si="26"/>
        <v>57.028289960616696</v>
      </c>
      <c r="G87" s="110">
        <f t="shared" si="48"/>
        <v>0.29310047435251751</v>
      </c>
      <c r="H87" s="409" t="b">
        <f>Wh_hp&gt;='2030'!Maxi_hp</f>
        <v>0</v>
      </c>
      <c r="I87" s="385">
        <f>IF(H87,Wh_hp,'2030'!Maxi_hp)</f>
        <v>57.031108128817166</v>
      </c>
      <c r="J87" s="85">
        <f>IF(H87,An,'2030'!An_max)</f>
        <v>2022</v>
      </c>
      <c r="K87" s="193">
        <f t="shared" si="27"/>
        <v>47921</v>
      </c>
      <c r="L87" s="143">
        <f>IF(t&lt;Tvie,1-EXP((T0-t)*PertePVj)+'2030'!Pspv,1-EXP((T0-t)*PertePVj)+Pspv)</f>
        <v>4.6743556740835857E-2</v>
      </c>
      <c r="M87" s="835"/>
      <c r="N87" s="835"/>
      <c r="O87" s="48">
        <f>IF(t&lt;Tnet,'2030'!Resal+('2030'!Salim-'2030'!Resal)*(1-EXP(('2030'!Tnet-t)/('2030'!Tau_j))),Resal+(Salim-Resal)*(1-EXP((Tnet-t)/(Tau_j))))*Salcycl</f>
        <v>2.9203199796500871E-2</v>
      </c>
      <c r="P87" s="165">
        <f>(INDEX(Models!$BJ87:$BT87,,T87)*(1-R87)+INDEX(Models!$BJ87:$BT87,,T87+1)*R87-ERP_i)*Q87*Ramure*Pc/MaxiM</f>
        <v>4.9927700407868034E-5</v>
      </c>
      <c r="Q87" s="301">
        <f t="shared" si="28"/>
        <v>0.5</v>
      </c>
      <c r="R87" s="173">
        <f t="shared" si="29"/>
        <v>0.9769546747714497</v>
      </c>
      <c r="S87" s="801">
        <f t="shared" si="30"/>
        <v>0</v>
      </c>
      <c r="T87" s="172">
        <f t="shared" si="31"/>
        <v>6</v>
      </c>
      <c r="U87" s="247">
        <f t="shared" si="32"/>
        <v>0.9769546747714497</v>
      </c>
      <c r="V87" s="378">
        <f t="shared" si="33"/>
        <v>180.04879933105838</v>
      </c>
      <c r="W87" s="397">
        <f t="shared" si="34"/>
        <v>52.775023426093092</v>
      </c>
      <c r="X87" s="153">
        <f t="shared" si="35"/>
        <v>47921</v>
      </c>
      <c r="Y87" s="380">
        <f t="shared" si="36"/>
        <v>51.25295968317738</v>
      </c>
      <c r="Z87" s="380">
        <f t="shared" si="37"/>
        <v>53.766182275091232</v>
      </c>
      <c r="AA87" s="381">
        <f t="shared" si="38"/>
        <v>57.028289960616696</v>
      </c>
      <c r="AB87" s="193">
        <f t="shared" si="39"/>
        <v>47921</v>
      </c>
      <c r="AC87" s="119">
        <f>IF(OR(t&lt;Tnet,NoTnet),'2030'!Resal_s+('2030'!Salim-'2030'!Resal_s)*(1-EXP(('2030'!Tnet_s-t)/'2030'!Tau_j)),Resal_s+(Salim-Resal_s)*(1-EXP((Tnet_s-t)/Tau_j)))*Salcycl</f>
        <v>5.7201569392633912E-2</v>
      </c>
      <c r="AD87" s="227">
        <f>(INDEX(Models!$BJ87:$BT87,,AH87)*(1-AF87)+INDEX(Models!$BJ87:$BT87,,AH87+1)*AF87-ERP_i)*AE87*Ramure*Pc/MaxiM</f>
        <v>3.415364736374914E-4</v>
      </c>
      <c r="AE87" s="301">
        <f t="shared" si="40"/>
        <v>0.5</v>
      </c>
      <c r="AF87" s="173">
        <f t="shared" si="41"/>
        <v>0.50194224114542774</v>
      </c>
      <c r="AG87" s="801">
        <f t="shared" si="49"/>
        <v>4</v>
      </c>
      <c r="AH87" s="172">
        <f t="shared" si="42"/>
        <v>10</v>
      </c>
      <c r="AI87" s="221">
        <f t="shared" si="43"/>
        <v>4.5019422411454277</v>
      </c>
      <c r="AJ87" s="261" t="b">
        <f t="shared" si="44"/>
        <v>0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47922</v>
      </c>
      <c r="B88" s="406">
        <f>'2030'!Wh/'2030'!Env_an*'2031'!Env_an</f>
        <v>56.30565353284215</v>
      </c>
      <c r="C88" s="831"/>
      <c r="D88" s="388">
        <f t="shared" si="25"/>
        <v>59.067446875047196</v>
      </c>
      <c r="E88" s="380">
        <f t="shared" si="47"/>
        <v>60.847839626483442</v>
      </c>
      <c r="F88" s="380">
        <f t="shared" si="26"/>
        <v>60.84788460912565</v>
      </c>
      <c r="G88" s="110">
        <f t="shared" si="48"/>
        <v>0.31057233476182633</v>
      </c>
      <c r="H88" s="409" t="b">
        <f>Wh_hp&gt;='2030'!Maxi_hp</f>
        <v>0</v>
      </c>
      <c r="I88" s="385">
        <f>IF(H88,Wh_hp,'2030'!Maxi_hp)</f>
        <v>60.850782095593019</v>
      </c>
      <c r="J88" s="85">
        <f>IF(H88,An,'2030'!An_max)</f>
        <v>2022</v>
      </c>
      <c r="K88" s="193">
        <f t="shared" si="27"/>
        <v>47922</v>
      </c>
      <c r="L88" s="143">
        <f>IF(t&lt;Tvie,1-EXP((T0-t)*PertePVj)+'2030'!Pspv,1-EXP((T0-t)*PertePVj)+Pspv)</f>
        <v>4.6756606021035818E-2</v>
      </c>
      <c r="M88" s="835"/>
      <c r="N88" s="835"/>
      <c r="O88" s="48">
        <f>IF(t&lt;Tnet,'2030'!Resal+('2030'!Salim-'2030'!Resal)*(1-EXP(('2030'!Tnet-t)/('2030'!Tau_j))),Resal+(Salim-Resal)*(1-EXP((Tnet-t)/(Tau_j))))*Salcycl</f>
        <v>2.9259752891232414E-2</v>
      </c>
      <c r="P88" s="165">
        <f>(INDEX(Models!$BJ88:$BT88,,T88)*(1-R88)+INDEX(Models!$BJ88:$BT88,,T88+1)*R88-ERP_i)*Q88*Ramure*Pc/MaxiM</f>
        <v>4.8877937385925209E-5</v>
      </c>
      <c r="Q88" s="301">
        <f t="shared" si="28"/>
        <v>0.5</v>
      </c>
      <c r="R88" s="173">
        <f t="shared" si="29"/>
        <v>0.97748967870308123</v>
      </c>
      <c r="S88" s="801">
        <f t="shared" si="30"/>
        <v>0</v>
      </c>
      <c r="T88" s="172">
        <f t="shared" si="31"/>
        <v>6</v>
      </c>
      <c r="U88" s="247">
        <f t="shared" si="32"/>
        <v>0.97748967870308123</v>
      </c>
      <c r="V88" s="378">
        <f t="shared" si="33"/>
        <v>181.28769613218583</v>
      </c>
      <c r="W88" s="397">
        <f t="shared" si="34"/>
        <v>56.30565353284215</v>
      </c>
      <c r="X88" s="153">
        <f t="shared" si="35"/>
        <v>47922</v>
      </c>
      <c r="Y88" s="380">
        <f t="shared" si="36"/>
        <v>54.683166096118335</v>
      </c>
      <c r="Z88" s="380">
        <f t="shared" si="37"/>
        <v>57.365376399686923</v>
      </c>
      <c r="AA88" s="381">
        <f t="shared" si="38"/>
        <v>60.847578803253604</v>
      </c>
      <c r="AB88" s="193">
        <f t="shared" si="39"/>
        <v>47922</v>
      </c>
      <c r="AC88" s="119">
        <f>IF(OR(t&lt;Tnet,NoTnet),'2030'!Resal_s+('2030'!Salim-'2030'!Resal_s)*(1-EXP(('2030'!Tnet_s-t)/'2030'!Tau_j)),Resal_s+(Salim-Resal_s)*(1-EXP((Tnet_s-t)/Tau_j)))*Salcycl</f>
        <v>5.7228282078833986E-2</v>
      </c>
      <c r="AD88" s="227">
        <f>(INDEX(Models!$BJ88:$BT88,,AH88)*(1-AF88)+INDEX(Models!$BJ88:$BT88,,AH88+1)*AF88-ERP_i)*AE88*Ramure*Pc/MaxiM</f>
        <v>3.3228728978529121E-4</v>
      </c>
      <c r="AE88" s="301">
        <f t="shared" si="40"/>
        <v>0.5</v>
      </c>
      <c r="AF88" s="173">
        <f t="shared" si="41"/>
        <v>0.50247724507705893</v>
      </c>
      <c r="AG88" s="801">
        <f t="shared" si="49"/>
        <v>4</v>
      </c>
      <c r="AH88" s="172">
        <f t="shared" si="42"/>
        <v>10</v>
      </c>
      <c r="AI88" s="221">
        <f t="shared" si="43"/>
        <v>4.5024772450770589</v>
      </c>
      <c r="AJ88" s="261" t="b">
        <f t="shared" si="44"/>
        <v>0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47923</v>
      </c>
      <c r="B89" s="406">
        <f>'2030'!Wh/'2030'!Env_an*'2031'!Env_an</f>
        <v>37.422742257858282</v>
      </c>
      <c r="C89" s="831"/>
      <c r="D89" s="388">
        <f t="shared" si="25"/>
        <v>39.258865875353031</v>
      </c>
      <c r="E89" s="380">
        <f t="shared" si="47"/>
        <v>40.444552241756746</v>
      </c>
      <c r="F89" s="380">
        <f t="shared" si="26"/>
        <v>40.444552241756746</v>
      </c>
      <c r="G89" s="110">
        <f t="shared" si="48"/>
        <v>0.20502452387595066</v>
      </c>
      <c r="H89" s="409" t="b">
        <f>Wh_hp&gt;='2030'!Maxi_hp</f>
        <v>0</v>
      </c>
      <c r="I89" s="385">
        <f>IF(H89,Wh_hp,'2030'!Maxi_hp)</f>
        <v>40.446477610903443</v>
      </c>
      <c r="J89" s="85">
        <f>IF(H89,An,'2030'!An_max)</f>
        <v>2022</v>
      </c>
      <c r="K89" s="193">
        <f t="shared" si="27"/>
        <v>47923</v>
      </c>
      <c r="L89" s="143">
        <f>IF(t&lt;Tvie,1-EXP((T0-t)*PertePVj)+'2030'!Pspv,1-EXP((T0-t)*PertePVj)+Pspv)</f>
        <v>4.6769655122602005E-2</v>
      </c>
      <c r="M89" s="835"/>
      <c r="N89" s="835"/>
      <c r="O89" s="48">
        <f>IF(t&lt;Tnet,'2030'!Resal+('2030'!Salim-'2030'!Resal)*(1-EXP(('2030'!Tnet-t)/('2030'!Tau_j))),Resal+(Salim-Resal)*(1-EXP((Tnet-t)/(Tau_j))))*Salcycl</f>
        <v>2.9316343009963129E-2</v>
      </c>
      <c r="P89" s="165">
        <f>(INDEX(Models!$BJ89:$BT89,,T89)*(1-R89)+INDEX(Models!$BJ89:$BT89,,T89+1)*R89-ERP_i)*Q89*Ramure*Pc/MaxiM</f>
        <v>4.8154511486936261E-5</v>
      </c>
      <c r="Q89" s="301">
        <f t="shared" si="28"/>
        <v>0.5</v>
      </c>
      <c r="R89" s="173">
        <f t="shared" si="29"/>
        <v>0.97804587999585313</v>
      </c>
      <c r="S89" s="801">
        <f t="shared" si="30"/>
        <v>0</v>
      </c>
      <c r="T89" s="172">
        <f t="shared" si="31"/>
        <v>6</v>
      </c>
      <c r="U89" s="247">
        <f t="shared" si="32"/>
        <v>0.97804587999585313</v>
      </c>
      <c r="V89" s="378">
        <f t="shared" si="33"/>
        <v>182.51933708490284</v>
      </c>
      <c r="W89" s="397">
        <f t="shared" si="34"/>
        <v>37.422742257858282</v>
      </c>
      <c r="X89" s="153">
        <f t="shared" si="35"/>
        <v>47923</v>
      </c>
      <c r="Y89" s="380">
        <f t="shared" si="36"/>
        <v>36.345617996452333</v>
      </c>
      <c r="Z89" s="380">
        <f t="shared" si="37"/>
        <v>38.128893180721192</v>
      </c>
      <c r="AA89" s="381">
        <f t="shared" si="38"/>
        <v>40.444552241756746</v>
      </c>
      <c r="AB89" s="193">
        <f t="shared" si="39"/>
        <v>47923</v>
      </c>
      <c r="AC89" s="119">
        <f>IF(OR(t&lt;Tnet,NoTnet),'2030'!Resal_s+('2030'!Salim-'2030'!Resal_s)*(1-EXP(('2030'!Tnet_s-t)/'2030'!Tau_j)),Resal_s+(Salim-Resal_s)*(1-EXP((Tnet_s-t)/Tau_j)))*Salcycl</f>
        <v>5.725515385097435E-2</v>
      </c>
      <c r="AD89" s="227">
        <f>(INDEX(Models!$BJ89:$BT89,,AH89)*(1-AF89)+INDEX(Models!$BJ89:$BT89,,AH89+1)*AF89-ERP_i)*AE89*Ramure*Pc/MaxiM</f>
        <v>3.2482312557780013E-4</v>
      </c>
      <c r="AE89" s="301">
        <f t="shared" si="40"/>
        <v>0.5</v>
      </c>
      <c r="AF89" s="173">
        <f t="shared" si="41"/>
        <v>0.50303344636983116</v>
      </c>
      <c r="AG89" s="801">
        <f t="shared" si="49"/>
        <v>4</v>
      </c>
      <c r="AH89" s="172">
        <f t="shared" si="42"/>
        <v>10</v>
      </c>
      <c r="AI89" s="221">
        <f t="shared" si="43"/>
        <v>4.5030334463698312</v>
      </c>
      <c r="AJ89" s="261" t="b">
        <f t="shared" si="44"/>
        <v>0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47924</v>
      </c>
      <c r="B90" s="406">
        <f>'2030'!Wh/'2030'!Env_an*'2031'!Env_an</f>
        <v>48.065919997630012</v>
      </c>
      <c r="C90" s="831"/>
      <c r="D90" s="388">
        <f t="shared" si="25"/>
        <v>50.424934798839622</v>
      </c>
      <c r="E90" s="380">
        <f t="shared" si="47"/>
        <v>51.950887216026572</v>
      </c>
      <c r="F90" s="380">
        <f t="shared" si="26"/>
        <v>51.950887216026572</v>
      </c>
      <c r="G90" s="110">
        <f t="shared" si="48"/>
        <v>0.26157906444889995</v>
      </c>
      <c r="H90" s="409" t="b">
        <f>Wh_hp&gt;='2030'!Maxi_hp</f>
        <v>0</v>
      </c>
      <c r="I90" s="385">
        <f>IF(H90,Wh_hp,'2030'!Maxi_hp)</f>
        <v>51.95333809562544</v>
      </c>
      <c r="J90" s="85">
        <f>IF(H90,An,'2030'!An_max)</f>
        <v>2022</v>
      </c>
      <c r="K90" s="193">
        <f t="shared" si="27"/>
        <v>47924</v>
      </c>
      <c r="L90" s="143">
        <f>IF(t&lt;Tvie,1-EXP((T0-t)*PertePVj)+'2030'!Pspv,1-EXP((T0-t)*PertePVj)+Pspv)</f>
        <v>4.6782704045536971E-2</v>
      </c>
      <c r="M90" s="835"/>
      <c r="N90" s="835"/>
      <c r="O90" s="48">
        <f>IF(t&lt;Tnet,'2030'!Resal+('2030'!Salim-'2030'!Resal)*(1-EXP(('2030'!Tnet-t)/('2030'!Tau_j))),Resal+(Salim-Resal)*(1-EXP((Tnet-t)/(Tau_j))))*Salcycl</f>
        <v>2.937298088561233E-2</v>
      </c>
      <c r="P90" s="165">
        <f>(INDEX(Models!$BJ90:$BT90,,T90)*(1-R90)+INDEX(Models!$BJ90:$BT90,,T90+1)*R90-ERP_i)*Q90*Ramure*Pc/MaxiM</f>
        <v>4.7751660280034428E-5</v>
      </c>
      <c r="Q90" s="301">
        <f t="shared" si="28"/>
        <v>0.5</v>
      </c>
      <c r="R90" s="173">
        <f t="shared" si="29"/>
        <v>0.97862406572161742</v>
      </c>
      <c r="S90" s="801">
        <f t="shared" si="30"/>
        <v>0</v>
      </c>
      <c r="T90" s="172">
        <f t="shared" si="31"/>
        <v>6</v>
      </c>
      <c r="U90" s="247">
        <f t="shared" si="32"/>
        <v>0.97862406572161742</v>
      </c>
      <c r="V90" s="378">
        <f t="shared" si="33"/>
        <v>183.74415732164439</v>
      </c>
      <c r="W90" s="397">
        <f t="shared" si="34"/>
        <v>48.065919997630012</v>
      </c>
      <c r="X90" s="153">
        <f t="shared" si="35"/>
        <v>47924</v>
      </c>
      <c r="Y90" s="380">
        <f t="shared" si="36"/>
        <v>46.683841717784532</v>
      </c>
      <c r="Z90" s="380">
        <f t="shared" si="37"/>
        <v>48.97502585812785</v>
      </c>
      <c r="AA90" s="381">
        <f t="shared" si="38"/>
        <v>51.950887216026572</v>
      </c>
      <c r="AB90" s="193">
        <f t="shared" si="39"/>
        <v>47924</v>
      </c>
      <c r="AC90" s="119">
        <f>IF(OR(t&lt;Tnet,NoTnet),'2030'!Resal_s+('2030'!Salim-'2030'!Resal_s)*(1-EXP(('2030'!Tnet_s-t)/'2030'!Tau_j)),Resal_s+(Salim-Resal_s)*(1-EXP((Tnet_s-t)/Tau_j)))*Salcycl</f>
        <v>5.7282204739338587E-2</v>
      </c>
      <c r="AD90" s="227">
        <f>(INDEX(Models!$BJ90:$BT90,,AH90)*(1-AF90)+INDEX(Models!$BJ90:$BT90,,AH90+1)*AF90-ERP_i)*AE90*Ramure*Pc/MaxiM</f>
        <v>3.1910938538155169E-4</v>
      </c>
      <c r="AE90" s="301">
        <f t="shared" si="40"/>
        <v>0.5</v>
      </c>
      <c r="AF90" s="173">
        <f t="shared" si="41"/>
        <v>0.50361163209559567</v>
      </c>
      <c r="AG90" s="801">
        <f t="shared" si="49"/>
        <v>4</v>
      </c>
      <c r="AH90" s="172">
        <f t="shared" si="42"/>
        <v>10</v>
      </c>
      <c r="AI90" s="221">
        <f t="shared" si="43"/>
        <v>4.5036116320955957</v>
      </c>
      <c r="AJ90" s="261" t="b">
        <f t="shared" si="44"/>
        <v>0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47925</v>
      </c>
      <c r="B91" s="406">
        <f>'2030'!Wh/'2030'!Env_an*'2031'!Env_an</f>
        <v>50.745671854397273</v>
      </c>
      <c r="C91" s="831"/>
      <c r="D91" s="388">
        <f t="shared" si="25"/>
        <v>53.236934269774785</v>
      </c>
      <c r="E91" s="380">
        <f t="shared" si="47"/>
        <v>54.851187019628284</v>
      </c>
      <c r="F91" s="380">
        <f t="shared" si="26"/>
        <v>54.851187019628284</v>
      </c>
      <c r="G91" s="110">
        <f t="shared" si="48"/>
        <v>0.27434332879598899</v>
      </c>
      <c r="H91" s="409" t="b">
        <f>Wh_hp&gt;='2030'!Maxi_hp</f>
        <v>0</v>
      </c>
      <c r="I91" s="385">
        <f>IF(H91,Wh_hp,'2030'!Maxi_hp)</f>
        <v>54.853768261754404</v>
      </c>
      <c r="J91" s="85">
        <f>IF(H91,An,'2030'!An_max)</f>
        <v>2022</v>
      </c>
      <c r="K91" s="193">
        <f t="shared" si="27"/>
        <v>47925</v>
      </c>
      <c r="L91" s="143">
        <f>IF(t&lt;Tvie,1-EXP((T0-t)*PertePVj)+'2030'!Pspv,1-EXP((T0-t)*PertePVj)+Pspv)</f>
        <v>4.6795752789843159E-2</v>
      </c>
      <c r="M91" s="835"/>
      <c r="N91" s="835"/>
      <c r="O91" s="48">
        <f>IF(t&lt;Tnet,'2030'!Resal+('2030'!Salim-'2030'!Resal)*(1-EXP(('2030'!Tnet-t)/('2030'!Tau_j))),Resal+(Salim-Resal)*(1-EXP((Tnet-t)/(Tau_j))))*Salcycl</f>
        <v>2.9429677597967833E-2</v>
      </c>
      <c r="P91" s="165">
        <f>(INDEX(Models!$BJ91:$BT91,,T91)*(1-R91)+INDEX(Models!$BJ91:$BT91,,T91+1)*R91-ERP_i)*Q91*Ramure*Pc/MaxiM</f>
        <v>4.7663972125437285E-5</v>
      </c>
      <c r="Q91" s="301">
        <f t="shared" si="28"/>
        <v>0.5</v>
      </c>
      <c r="R91" s="173">
        <f t="shared" si="29"/>
        <v>0.97922504780024289</v>
      </c>
      <c r="S91" s="801">
        <f t="shared" si="30"/>
        <v>0</v>
      </c>
      <c r="T91" s="172">
        <f t="shared" si="31"/>
        <v>6</v>
      </c>
      <c r="U91" s="247">
        <f t="shared" si="32"/>
        <v>0.97922504780024289</v>
      </c>
      <c r="V91" s="378">
        <f t="shared" si="33"/>
        <v>184.96259171602793</v>
      </c>
      <c r="W91" s="397">
        <f t="shared" si="34"/>
        <v>50.745671854397273</v>
      </c>
      <c r="X91" s="153">
        <f t="shared" si="35"/>
        <v>47925</v>
      </c>
      <c r="Y91" s="380">
        <f t="shared" si="36"/>
        <v>49.287994837231892</v>
      </c>
      <c r="Z91" s="380">
        <f t="shared" si="37"/>
        <v>51.707695366956507</v>
      </c>
      <c r="AA91" s="381">
        <f t="shared" si="38"/>
        <v>54.851187019628284</v>
      </c>
      <c r="AB91" s="193">
        <f t="shared" si="39"/>
        <v>47925</v>
      </c>
      <c r="AC91" s="119">
        <f>IF(OR(t&lt;Tnet,NoTnet),'2030'!Resal_s+('2030'!Salim-'2030'!Resal_s)*(1-EXP(('2030'!Tnet_s-t)/'2030'!Tau_j)),Resal_s+(Salim-Resal_s)*(1-EXP((Tnet_s-t)/Tau_j)))*Salcycl</f>
        <v>5.7309455336798702E-2</v>
      </c>
      <c r="AD91" s="227">
        <f>(INDEX(Models!$BJ91:$BT91,,AH91)*(1-AF91)+INDEX(Models!$BJ91:$BT91,,AH91+1)*AF91-ERP_i)*AE91*Ramure*Pc/MaxiM</f>
        <v>3.1511326183161818E-4</v>
      </c>
      <c r="AE91" s="301">
        <f t="shared" si="40"/>
        <v>0.5</v>
      </c>
      <c r="AF91" s="173">
        <f t="shared" si="41"/>
        <v>0.5042126141742207</v>
      </c>
      <c r="AG91" s="801">
        <f t="shared" si="49"/>
        <v>4</v>
      </c>
      <c r="AH91" s="172">
        <f t="shared" si="42"/>
        <v>10</v>
      </c>
      <c r="AI91" s="221">
        <f t="shared" si="43"/>
        <v>4.5042126141742207</v>
      </c>
      <c r="AJ91" s="261" t="b">
        <f t="shared" si="44"/>
        <v>0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47926</v>
      </c>
      <c r="B92" s="406">
        <f>'2030'!Wh/'2030'!Env_an*'2031'!Env_an</f>
        <v>115.32165751821373</v>
      </c>
      <c r="C92" s="831"/>
      <c r="D92" s="388">
        <f t="shared" si="25"/>
        <v>120.98481152806637</v>
      </c>
      <c r="E92" s="380">
        <f t="shared" si="47"/>
        <v>124.66060968179281</v>
      </c>
      <c r="F92" s="380">
        <f t="shared" si="26"/>
        <v>124.66333378020643</v>
      </c>
      <c r="G92" s="110">
        <f t="shared" si="48"/>
        <v>0.6194097419553104</v>
      </c>
      <c r="H92" s="409" t="b">
        <f>Wh_hp&gt;='2030'!Maxi_hp</f>
        <v>0</v>
      </c>
      <c r="I92" s="385">
        <f>IF(H92,Wh_hp,'2030'!Maxi_hp)</f>
        <v>124.66653595524753</v>
      </c>
      <c r="J92" s="85">
        <f>IF(H92,An,'2030'!An_max)</f>
        <v>2022</v>
      </c>
      <c r="K92" s="193">
        <f t="shared" si="27"/>
        <v>47926</v>
      </c>
      <c r="L92" s="143">
        <f>IF(t&lt;Tvie,1-EXP((T0-t)*PertePVj)+'2030'!Pspv,1-EXP((T0-t)*PertePVj)+Pspv)</f>
        <v>4.6808801355523011E-2</v>
      </c>
      <c r="M92" s="835"/>
      <c r="N92" s="835"/>
      <c r="O92" s="48">
        <f>IF(t&lt;Tnet,'2030'!Resal+('2030'!Salim-'2030'!Resal)*(1-EXP(('2030'!Tnet-t)/('2030'!Tau_j))),Resal+(Salim-Resal)*(1-EXP((Tnet-t)/(Tau_j))))*Salcycl</f>
        <v>2.9486444540173819E-2</v>
      </c>
      <c r="P92" s="165">
        <f>(INDEX(Models!$BJ92:$BT92,,T92)*(1-R92)+INDEX(Models!$BJ92:$BT92,,T92+1)*R92-ERP_i)*Q92*Ramure*Pc/MaxiM</f>
        <v>4.7886380465957928E-5</v>
      </c>
      <c r="Q92" s="301">
        <f t="shared" si="28"/>
        <v>0.5</v>
      </c>
      <c r="R92" s="173">
        <f t="shared" si="29"/>
        <v>0.97984966341444946</v>
      </c>
      <c r="S92" s="801">
        <f t="shared" si="30"/>
        <v>0</v>
      </c>
      <c r="T92" s="172">
        <f t="shared" si="31"/>
        <v>6</v>
      </c>
      <c r="U92" s="247">
        <f t="shared" si="32"/>
        <v>0.97984966341444946</v>
      </c>
      <c r="V92" s="378">
        <f t="shared" si="33"/>
        <v>186.1750748692867</v>
      </c>
      <c r="W92" s="397">
        <f t="shared" si="34"/>
        <v>115.32165751821373</v>
      </c>
      <c r="X92" s="153">
        <f t="shared" si="35"/>
        <v>47926</v>
      </c>
      <c r="Y92" s="380">
        <f t="shared" si="36"/>
        <v>111.99877172905062</v>
      </c>
      <c r="Z92" s="380">
        <f t="shared" si="37"/>
        <v>117.49874724852985</v>
      </c>
      <c r="AA92" s="381">
        <f t="shared" si="38"/>
        <v>124.64553940885354</v>
      </c>
      <c r="AB92" s="193">
        <f t="shared" si="39"/>
        <v>47926</v>
      </c>
      <c r="AC92" s="119">
        <f>IF(OR(t&lt;Tnet,NoTnet),'2030'!Resal_s+('2030'!Salim-'2030'!Resal_s)*(1-EXP(('2030'!Tnet_s-t)/'2030'!Tau_j)),Resal_s+(Salim-Resal_s)*(1-EXP((Tnet_s-t)/Tau_j)))*Salcycl</f>
        <v>5.7336926730135802E-2</v>
      </c>
      <c r="AD92" s="227">
        <f>(INDEX(Models!$BJ92:$BT92,,AH92)*(1-AF92)+INDEX(Models!$BJ92:$BT92,,AH92+1)*AF92-ERP_i)*AE92*Ramure*Pc/MaxiM</f>
        <v>3.1280369038610306E-4</v>
      </c>
      <c r="AE92" s="301">
        <f t="shared" si="40"/>
        <v>0.5</v>
      </c>
      <c r="AF92" s="173">
        <f t="shared" si="41"/>
        <v>0.5048372297884276</v>
      </c>
      <c r="AG92" s="801">
        <f t="shared" si="49"/>
        <v>4</v>
      </c>
      <c r="AH92" s="172">
        <f t="shared" si="42"/>
        <v>10</v>
      </c>
      <c r="AI92" s="221">
        <f t="shared" si="43"/>
        <v>4.5048372297884276</v>
      </c>
      <c r="AJ92" s="261" t="b">
        <f t="shared" si="44"/>
        <v>0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47927</v>
      </c>
      <c r="B93" s="406">
        <f>'2030'!Wh/'2030'!Env_an*'2031'!Env_an</f>
        <v>123.17159576689373</v>
      </c>
      <c r="C93" s="831"/>
      <c r="D93" s="388">
        <f t="shared" si="25"/>
        <v>129.22200926828765</v>
      </c>
      <c r="E93" s="380">
        <f t="shared" si="47"/>
        <v>133.15587226859111</v>
      </c>
      <c r="F93" s="380">
        <f t="shared" si="26"/>
        <v>133.15916286399622</v>
      </c>
      <c r="G93" s="110">
        <f t="shared" si="48"/>
        <v>0.65729242443990665</v>
      </c>
      <c r="H93" s="409" t="b">
        <f>Wh_hp&gt;='2030'!Maxi_hp</f>
        <v>0</v>
      </c>
      <c r="I93" s="385">
        <f>IF(H93,Wh_hp,'2030'!Maxi_hp)</f>
        <v>133.16227442268254</v>
      </c>
      <c r="J93" s="85">
        <f>IF(H93,An,'2030'!An_max)</f>
        <v>2022</v>
      </c>
      <c r="K93" s="193">
        <f t="shared" si="27"/>
        <v>47927</v>
      </c>
      <c r="L93" s="143">
        <f>IF(t&lt;Tvie,1-EXP((T0-t)*PertePVj)+'2030'!Pspv,1-EXP((T0-t)*PertePVj)+Pspv)</f>
        <v>4.6821849742578969E-2</v>
      </c>
      <c r="M93" s="835"/>
      <c r="N93" s="835"/>
      <c r="O93" s="48">
        <f>IF(t&lt;Tnet,'2030'!Resal+('2030'!Salim-'2030'!Resal)*(1-EXP(('2030'!Tnet-t)/('2030'!Tau_j))),Resal+(Salim-Resal)*(1-EXP((Tnet-t)/(Tau_j))))*Salcycl</f>
        <v>2.9543293384526045E-2</v>
      </c>
      <c r="P93" s="165">
        <f>(INDEX(Models!$BJ93:$BT93,,T93)*(1-R93)+INDEX(Models!$BJ93:$BT93,,T93+1)*R93-ERP_i)*Q93*Ramure*Pc/MaxiM</f>
        <v>4.8412635592017409E-5</v>
      </c>
      <c r="Q93" s="301">
        <f t="shared" si="28"/>
        <v>0.5</v>
      </c>
      <c r="R93" s="173">
        <f t="shared" si="29"/>
        <v>0.98049877539707087</v>
      </c>
      <c r="S93" s="801">
        <f t="shared" si="30"/>
        <v>0</v>
      </c>
      <c r="T93" s="172">
        <f t="shared" si="31"/>
        <v>6</v>
      </c>
      <c r="U93" s="247">
        <f t="shared" si="32"/>
        <v>0.98049877539707087</v>
      </c>
      <c r="V93" s="378">
        <f t="shared" si="33"/>
        <v>187.38794460214476</v>
      </c>
      <c r="W93" s="397">
        <f t="shared" si="34"/>
        <v>123.17159576689373</v>
      </c>
      <c r="X93" s="153">
        <f t="shared" si="35"/>
        <v>47927</v>
      </c>
      <c r="Y93" s="380">
        <f t="shared" si="36"/>
        <v>119.62436899136893</v>
      </c>
      <c r="Z93" s="380">
        <f t="shared" si="37"/>
        <v>125.50053624190026</v>
      </c>
      <c r="AA93" s="381">
        <f t="shared" si="38"/>
        <v>133.13794668092396</v>
      </c>
      <c r="AB93" s="193">
        <f t="shared" si="39"/>
        <v>47927</v>
      </c>
      <c r="AC93" s="119">
        <f>IF(OR(t&lt;Tnet,NoTnet),'2030'!Resal_s+('2030'!Salim-'2030'!Resal_s)*(1-EXP(('2030'!Tnet_s-t)/'2030'!Tau_j)),Resal_s+(Salim-Resal_s)*(1-EXP((Tnet_s-t)/Tau_j)))*Salcycl</f>
        <v>5.7364640430630859E-2</v>
      </c>
      <c r="AD93" s="227">
        <f>(INDEX(Models!$BJ93:$BT93,,AH93)*(1-AF93)+INDEX(Models!$BJ93:$BT93,,AH93+1)*AF93-ERP_i)*AE93*Ramure*Pc/MaxiM</f>
        <v>3.1214148604781765E-4</v>
      </c>
      <c r="AE93" s="301">
        <f t="shared" si="40"/>
        <v>0.5</v>
      </c>
      <c r="AF93" s="173">
        <f t="shared" si="41"/>
        <v>0.50548634177104912</v>
      </c>
      <c r="AG93" s="801">
        <f t="shared" si="49"/>
        <v>4</v>
      </c>
      <c r="AH93" s="172">
        <f t="shared" si="42"/>
        <v>10</v>
      </c>
      <c r="AI93" s="221">
        <f t="shared" si="43"/>
        <v>4.5054863417710491</v>
      </c>
      <c r="AJ93" s="261" t="b">
        <f t="shared" si="44"/>
        <v>0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47928</v>
      </c>
      <c r="B94" s="406">
        <f>'2030'!Wh/'2030'!Env_an*'2031'!Env_an</f>
        <v>177.50864383015153</v>
      </c>
      <c r="C94" s="831"/>
      <c r="D94" s="388">
        <f t="shared" si="25"/>
        <v>186.23074160873836</v>
      </c>
      <c r="E94" s="380">
        <f t="shared" si="47"/>
        <v>191.91136326154171</v>
      </c>
      <c r="F94" s="380">
        <f t="shared" si="26"/>
        <v>191.92000861293241</v>
      </c>
      <c r="G94" s="110">
        <f t="shared" si="48"/>
        <v>0.94116174469349023</v>
      </c>
      <c r="H94" s="409" t="b">
        <f>Wh_hp&gt;='2030'!Maxi_hp</f>
        <v>0</v>
      </c>
      <c r="I94" s="385">
        <f>IF(H94,Wh_hp,'2030'!Maxi_hp)</f>
        <v>191.92079017384989</v>
      </c>
      <c r="J94" s="85">
        <f>IF(H94,An,'2030'!An_max)</f>
        <v>2022</v>
      </c>
      <c r="K94" s="193">
        <f t="shared" si="27"/>
        <v>47928</v>
      </c>
      <c r="L94" s="143">
        <f>IF(t&lt;Tvie,1-EXP((T0-t)*PertePVj)+'2030'!Pspv,1-EXP((T0-t)*PertePVj)+Pspv)</f>
        <v>4.6834897951013477E-2</v>
      </c>
      <c r="M94" s="835"/>
      <c r="N94" s="835"/>
      <c r="O94" s="48">
        <f>IF(t&lt;Tnet,'2030'!Resal+('2030'!Salim-'2030'!Resal)*(1-EXP(('2030'!Tnet-t)/('2030'!Tau_j))),Resal+(Salim-Resal)*(1-EXP((Tnet-t)/(Tau_j))))*Salcycl</f>
        <v>2.9600236047834624E-2</v>
      </c>
      <c r="P94" s="165">
        <f>(INDEX(Models!$BJ94:$BT94,,T94)*(1-R94)+INDEX(Models!$BJ94:$BT94,,T94+1)*R94-ERP_i)*Q94*Ramure*Pc/MaxiM</f>
        <v>4.9180189540416375E-5</v>
      </c>
      <c r="Q94" s="301">
        <f t="shared" si="28"/>
        <v>0.5</v>
      </c>
      <c r="R94" s="173">
        <f t="shared" si="29"/>
        <v>0.98117327258677112</v>
      </c>
      <c r="S94" s="801">
        <f t="shared" si="30"/>
        <v>0</v>
      </c>
      <c r="T94" s="172">
        <f t="shared" si="31"/>
        <v>6</v>
      </c>
      <c r="U94" s="247">
        <f t="shared" si="32"/>
        <v>0.98117327258677112</v>
      </c>
      <c r="V94" s="378">
        <f t="shared" si="33"/>
        <v>188.60510539981473</v>
      </c>
      <c r="W94" s="397">
        <f t="shared" si="34"/>
        <v>177.50864383015153</v>
      </c>
      <c r="X94" s="153">
        <f t="shared" si="35"/>
        <v>47928</v>
      </c>
      <c r="Y94" s="380">
        <f t="shared" si="36"/>
        <v>172.38311520646596</v>
      </c>
      <c r="Z94" s="380">
        <f t="shared" si="37"/>
        <v>180.85336405613242</v>
      </c>
      <c r="AA94" s="381">
        <f t="shared" si="38"/>
        <v>191.86499869204562</v>
      </c>
      <c r="AB94" s="193">
        <f t="shared" si="39"/>
        <v>47928</v>
      </c>
      <c r="AC94" s="119">
        <f>IF(OR(t&lt;Tnet,NoTnet),'2030'!Resal_s+('2030'!Salim-'2030'!Resal_s)*(1-EXP(('2030'!Tnet_s-t)/'2030'!Tau_j)),Resal_s+(Salim-Resal_s)*(1-EXP((Tnet_s-t)/Tau_j)))*Salcycl</f>
        <v>5.7392618304433478E-2</v>
      </c>
      <c r="AD94" s="227">
        <f>(INDEX(Models!$BJ94:$BT94,,AH94)*(1-AF94)+INDEX(Models!$BJ94:$BT94,,AH94+1)*AF94-ERP_i)*AE94*Ramure*Pc/MaxiM</f>
        <v>3.1293098609393275E-4</v>
      </c>
      <c r="AE94" s="301">
        <f t="shared" si="40"/>
        <v>0.5</v>
      </c>
      <c r="AF94" s="173">
        <f t="shared" si="41"/>
        <v>0.50616083896074926</v>
      </c>
      <c r="AG94" s="801">
        <f t="shared" si="49"/>
        <v>4</v>
      </c>
      <c r="AH94" s="172">
        <f t="shared" si="42"/>
        <v>10</v>
      </c>
      <c r="AI94" s="221">
        <f t="shared" si="43"/>
        <v>4.5061608389607493</v>
      </c>
      <c r="AJ94" s="261" t="b">
        <f t="shared" si="44"/>
        <v>0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47929</v>
      </c>
      <c r="B95" s="406">
        <f>'2030'!Wh/'2030'!Env_an*'2031'!Env_an</f>
        <v>158.04390623862071</v>
      </c>
      <c r="C95" s="831"/>
      <c r="D95" s="388">
        <f t="shared" si="25"/>
        <v>165.81185087121671</v>
      </c>
      <c r="E95" s="380">
        <f t="shared" si="47"/>
        <v>170.87967812747152</v>
      </c>
      <c r="F95" s="380">
        <f t="shared" si="26"/>
        <v>170.88617325452807</v>
      </c>
      <c r="G95" s="110">
        <f t="shared" si="48"/>
        <v>0.83257408193756288</v>
      </c>
      <c r="H95" s="409" t="b">
        <f>Wh_hp&gt;='2030'!Maxi_hp</f>
        <v>0</v>
      </c>
      <c r="I95" s="385">
        <f>IF(H95,Wh_hp,'2030'!Maxi_hp)</f>
        <v>170.88818318875792</v>
      </c>
      <c r="J95" s="85">
        <f>IF(H95,An,'2030'!An_max)</f>
        <v>2022</v>
      </c>
      <c r="K95" s="193">
        <f t="shared" si="27"/>
        <v>47929</v>
      </c>
      <c r="L95" s="143">
        <f>IF(t&lt;Tvie,1-EXP((T0-t)*PertePVj)+'2030'!Pspv,1-EXP((T0-t)*PertePVj)+Pspv)</f>
        <v>4.6847945980828865E-2</v>
      </c>
      <c r="M95" s="835"/>
      <c r="N95" s="835"/>
      <c r="O95" s="48">
        <f>IF(t&lt;Tnet,'2030'!Resal+('2030'!Salim-'2030'!Resal)*(1-EXP(('2030'!Tnet-t)/('2030'!Tau_j))),Resal+(Salim-Resal)*(1-EXP((Tnet-t)/(Tau_j))))*Salcycl</f>
        <v>2.9657284656601245E-2</v>
      </c>
      <c r="P95" s="165">
        <f>(INDEX(Models!$BJ95:$BT95,,T95)*(1-R95)+INDEX(Models!$BJ95:$BT95,,T95+1)*R95-ERP_i)*Q95*Ramure*Pc/MaxiM</f>
        <v>4.9956341651850488E-5</v>
      </c>
      <c r="Q95" s="301">
        <f t="shared" si="28"/>
        <v>0.5</v>
      </c>
      <c r="R95" s="173">
        <f t="shared" si="29"/>
        <v>0.98187407014794581</v>
      </c>
      <c r="S95" s="801">
        <f t="shared" si="30"/>
        <v>0</v>
      </c>
      <c r="T95" s="172">
        <f t="shared" si="31"/>
        <v>6</v>
      </c>
      <c r="U95" s="247">
        <f t="shared" si="32"/>
        <v>0.98187407014794581</v>
      </c>
      <c r="V95" s="378">
        <f t="shared" si="33"/>
        <v>189.82336985008175</v>
      </c>
      <c r="W95" s="397">
        <f t="shared" si="34"/>
        <v>158.04390623862071</v>
      </c>
      <c r="X95" s="153">
        <f t="shared" si="35"/>
        <v>47929</v>
      </c>
      <c r="Y95" s="380">
        <f t="shared" si="36"/>
        <v>153.49107823977616</v>
      </c>
      <c r="Z95" s="380">
        <f t="shared" si="37"/>
        <v>161.03524888033124</v>
      </c>
      <c r="AA95" s="381">
        <f t="shared" si="38"/>
        <v>170.84533901831884</v>
      </c>
      <c r="AB95" s="193">
        <f t="shared" si="39"/>
        <v>47929</v>
      </c>
      <c r="AC95" s="119">
        <f>IF(OR(t&lt;Tnet,NoTnet),'2030'!Resal_s+('2030'!Salim-'2030'!Resal_s)*(1-EXP(('2030'!Tnet_s-t)/'2030'!Tau_j)),Resal_s+(Salim-Resal_s)*(1-EXP((Tnet_s-t)/Tau_j)))*Salcycl</f>
        <v>5.7420882503184487E-2</v>
      </c>
      <c r="AD95" s="227">
        <f>(INDEX(Models!$BJ95:$BT95,,AH95)*(1-AF95)+INDEX(Models!$BJ95:$BT95,,AH95+1)*AF95-ERP_i)*AE95*Ramure*Pc/MaxiM</f>
        <v>3.1407069290540689E-4</v>
      </c>
      <c r="AE95" s="301">
        <f t="shared" si="40"/>
        <v>0.5</v>
      </c>
      <c r="AF95" s="173">
        <f t="shared" si="41"/>
        <v>0.50686163652192384</v>
      </c>
      <c r="AG95" s="801">
        <f t="shared" si="49"/>
        <v>4</v>
      </c>
      <c r="AH95" s="172">
        <f t="shared" si="42"/>
        <v>10</v>
      </c>
      <c r="AI95" s="221">
        <f t="shared" si="43"/>
        <v>4.5068616365219238</v>
      </c>
      <c r="AJ95" s="261" t="b">
        <f t="shared" si="44"/>
        <v>0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47930</v>
      </c>
      <c r="B96" s="406">
        <f>'2030'!Wh/'2030'!Env_an*'2031'!Env_an</f>
        <v>189.18135009555877</v>
      </c>
      <c r="C96" s="831"/>
      <c r="D96" s="388">
        <f t="shared" si="25"/>
        <v>198.48243422137236</v>
      </c>
      <c r="E96" s="380">
        <f t="shared" si="47"/>
        <v>204.56084760895126</v>
      </c>
      <c r="F96" s="380">
        <f t="shared" si="26"/>
        <v>204.57108380304575</v>
      </c>
      <c r="G96" s="110">
        <f t="shared" si="48"/>
        <v>0.99027273925260351</v>
      </c>
      <c r="H96" s="409" t="b">
        <f>Wh_hp&gt;='2030'!Maxi_hp</f>
        <v>0</v>
      </c>
      <c r="I96" s="385">
        <f>IF(H96,Wh_hp,'2030'!Maxi_hp)</f>
        <v>204.57122568175365</v>
      </c>
      <c r="J96" s="85">
        <f>IF(H96,An,'2030'!An_max)</f>
        <v>2022</v>
      </c>
      <c r="K96" s="193">
        <f t="shared" si="27"/>
        <v>47930</v>
      </c>
      <c r="L96" s="143">
        <f>IF(t&lt;Tvie,1-EXP((T0-t)*PertePVj)+'2030'!Pspv,1-EXP((T0-t)*PertePVj)+Pspv)</f>
        <v>4.6860993832027797E-2</v>
      </c>
      <c r="M96" s="835"/>
      <c r="N96" s="835"/>
      <c r="O96" s="48">
        <f>IF(t&lt;Tnet,'2030'!Resal+('2030'!Salim-'2030'!Resal)*(1-EXP(('2030'!Tnet-t)/('2030'!Tau_j))),Resal+(Salim-Resal)*(1-EXP((Tnet-t)/(Tau_j))))*Salcycl</f>
        <v>2.9714451512240062E-2</v>
      </c>
      <c r="P96" s="165">
        <f>(INDEX(Models!$BJ96:$BT96,,T96)*(1-R96)+INDEX(Models!$BJ96:$BT96,,T96+1)*R96-ERP_i)*Q96*Ramure*Pc/MaxiM</f>
        <v>5.07424163700405E-5</v>
      </c>
      <c r="Q96" s="301">
        <f t="shared" si="28"/>
        <v>0.5</v>
      </c>
      <c r="R96" s="173">
        <f t="shared" si="29"/>
        <v>0.98260210985024043</v>
      </c>
      <c r="S96" s="801">
        <f t="shared" si="30"/>
        <v>0</v>
      </c>
      <c r="T96" s="172">
        <f t="shared" si="31"/>
        <v>6</v>
      </c>
      <c r="U96" s="247">
        <f t="shared" si="32"/>
        <v>0.98260210985024043</v>
      </c>
      <c r="V96" s="378">
        <f t="shared" si="33"/>
        <v>191.03950780821765</v>
      </c>
      <c r="W96" s="397">
        <f t="shared" si="34"/>
        <v>189.18135009555877</v>
      </c>
      <c r="X96" s="153">
        <f t="shared" si="35"/>
        <v>47930</v>
      </c>
      <c r="Y96" s="380">
        <f t="shared" si="36"/>
        <v>183.72572672273211</v>
      </c>
      <c r="Z96" s="380">
        <f t="shared" si="37"/>
        <v>192.75858561427296</v>
      </c>
      <c r="AA96" s="381">
        <f t="shared" si="38"/>
        <v>204.50742585387889</v>
      </c>
      <c r="AB96" s="193">
        <f t="shared" si="39"/>
        <v>47930</v>
      </c>
      <c r="AC96" s="119">
        <f>IF(OR(t&lt;Tnet,NoTnet),'2030'!Resal_s+('2030'!Salim-'2030'!Resal_s)*(1-EXP(('2030'!Tnet_s-t)/'2030'!Tau_j)),Resal_s+(Salim-Resal_s)*(1-EXP((Tnet_s-t)/Tau_j)))*Salcycl</f>
        <v>5.7449455395328919E-2</v>
      </c>
      <c r="AD96" s="227">
        <f>(INDEX(Models!$BJ96:$BT96,,AH96)*(1-AF96)+INDEX(Models!$BJ96:$BT96,,AH96+1)*AF96-ERP_i)*AE96*Ramure*Pc/MaxiM</f>
        <v>3.1556241822613328E-4</v>
      </c>
      <c r="AE96" s="301">
        <f t="shared" si="40"/>
        <v>0.5</v>
      </c>
      <c r="AF96" s="173">
        <f t="shared" si="41"/>
        <v>0.50758967622421824</v>
      </c>
      <c r="AG96" s="801">
        <f t="shared" si="49"/>
        <v>4</v>
      </c>
      <c r="AH96" s="172">
        <f t="shared" si="42"/>
        <v>10</v>
      </c>
      <c r="AI96" s="221">
        <f t="shared" si="43"/>
        <v>4.5075896762242182</v>
      </c>
      <c r="AJ96" s="261" t="b">
        <f t="shared" si="44"/>
        <v>0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47931</v>
      </c>
      <c r="B97" s="406">
        <f>'2030'!Wh/'2030'!Env_an*'2031'!Env_an</f>
        <v>187.60425619269174</v>
      </c>
      <c r="C97" s="831"/>
      <c r="D97" s="388">
        <f t="shared" si="25"/>
        <v>196.83049708230104</v>
      </c>
      <c r="E97" s="380">
        <f t="shared" si="47"/>
        <v>202.87030076778692</v>
      </c>
      <c r="F97" s="380">
        <f t="shared" si="26"/>
        <v>202.88039618722371</v>
      </c>
      <c r="G97" s="110">
        <f t="shared" si="48"/>
        <v>0.97583167434527396</v>
      </c>
      <c r="H97" s="409" t="b">
        <f>Wh_hp&gt;='2030'!Maxi_hp</f>
        <v>0</v>
      </c>
      <c r="I97" s="385">
        <f>IF(H97,Wh_hp,'2030'!Maxi_hp)</f>
        <v>202.880750987478</v>
      </c>
      <c r="J97" s="85">
        <f>IF(H97,An,'2030'!An_max)</f>
        <v>2022</v>
      </c>
      <c r="K97" s="193">
        <f t="shared" si="27"/>
        <v>47931</v>
      </c>
      <c r="L97" s="143">
        <f>IF(t&lt;Tvie,1-EXP((T0-t)*PertePVj)+'2030'!Pspv,1-EXP((T0-t)*PertePVj)+Pspv)</f>
        <v>4.6874041504612607E-2</v>
      </c>
      <c r="M97" s="835"/>
      <c r="N97" s="835"/>
      <c r="O97" s="48">
        <f>IF(t&lt;Tnet,'2030'!Resal+('2030'!Salim-'2030'!Resal)*(1-EXP(('2030'!Tnet-t)/('2030'!Tau_j))),Resal+(Salim-Resal)*(1-EXP((Tnet-t)/(Tau_j))))*Salcycl</f>
        <v>2.9771749056552405E-2</v>
      </c>
      <c r="P97" s="165">
        <f>(INDEX(Models!$BJ97:$BT97,,T97)*(1-R97)+INDEX(Models!$BJ97:$BT97,,T97+1)*R97-ERP_i)*Q97*Ramure*Pc/MaxiM</f>
        <v>5.1539792433149998E-5</v>
      </c>
      <c r="Q97" s="301">
        <f t="shared" si="28"/>
        <v>0.5</v>
      </c>
      <c r="R97" s="173">
        <f t="shared" si="29"/>
        <v>0.98335836030280033</v>
      </c>
      <c r="S97" s="801">
        <f t="shared" si="30"/>
        <v>0</v>
      </c>
      <c r="T97" s="172">
        <f t="shared" si="31"/>
        <v>6</v>
      </c>
      <c r="U97" s="247">
        <f t="shared" si="32"/>
        <v>0.98335836030280033</v>
      </c>
      <c r="V97" s="378">
        <f t="shared" si="33"/>
        <v>192.25028997894776</v>
      </c>
      <c r="W97" s="397">
        <f t="shared" si="34"/>
        <v>187.60425619269174</v>
      </c>
      <c r="X97" s="153">
        <f t="shared" si="35"/>
        <v>47931</v>
      </c>
      <c r="Y97" s="380">
        <f t="shared" si="36"/>
        <v>182.20009645011291</v>
      </c>
      <c r="Z97" s="380">
        <f t="shared" si="37"/>
        <v>191.16056469360618</v>
      </c>
      <c r="AA97" s="381">
        <f t="shared" si="38"/>
        <v>202.81822345415404</v>
      </c>
      <c r="AB97" s="193">
        <f t="shared" si="39"/>
        <v>47931</v>
      </c>
      <c r="AC97" s="119">
        <f>IF(OR(t&lt;Tnet,NoTnet),'2030'!Resal_s+('2030'!Salim-'2030'!Resal_s)*(1-EXP(('2030'!Tnet_s-t)/'2030'!Tau_j)),Resal_s+(Salim-Resal_s)*(1-EXP((Tnet_s-t)/Tau_j)))*Salcycl</f>
        <v>5.747835949851416E-2</v>
      </c>
      <c r="AD97" s="227">
        <f>(INDEX(Models!$BJ97:$BT97,,AH97)*(1-AF97)+INDEX(Models!$BJ97:$BT97,,AH97+1)*AF97-ERP_i)*AE97*Ramure*Pc/MaxiM</f>
        <v>3.1740828377411888E-4</v>
      </c>
      <c r="AE97" s="301">
        <f t="shared" si="40"/>
        <v>0.5</v>
      </c>
      <c r="AF97" s="173">
        <f t="shared" si="41"/>
        <v>0.50834592667677825</v>
      </c>
      <c r="AG97" s="801">
        <f t="shared" si="49"/>
        <v>4</v>
      </c>
      <c r="AH97" s="172">
        <f t="shared" si="42"/>
        <v>10</v>
      </c>
      <c r="AI97" s="221">
        <f t="shared" si="43"/>
        <v>4.5083459266767782</v>
      </c>
      <c r="AJ97" s="261" t="b">
        <f t="shared" si="44"/>
        <v>0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47932</v>
      </c>
      <c r="B98" s="406">
        <f>'2030'!Wh/'2030'!Env_an*'2031'!Env_an</f>
        <v>159.83315706706281</v>
      </c>
      <c r="C98" s="831"/>
      <c r="D98" s="388">
        <f t="shared" si="25"/>
        <v>167.69593111390097</v>
      </c>
      <c r="E98" s="380">
        <f t="shared" si="47"/>
        <v>172.85196519758958</v>
      </c>
      <c r="F98" s="380">
        <f t="shared" si="26"/>
        <v>172.85876774646607</v>
      </c>
      <c r="G98" s="110">
        <f t="shared" si="48"/>
        <v>0.82620327820183392</v>
      </c>
      <c r="H98" s="409" t="b">
        <f>Wh_hp&gt;='2030'!Maxi_hp</f>
        <v>0</v>
      </c>
      <c r="I98" s="385">
        <f>IF(H98,Wh_hp,'2030'!Maxi_hp)</f>
        <v>172.86097391722259</v>
      </c>
      <c r="J98" s="85">
        <f>IF(H98,An,'2030'!An_max)</f>
        <v>2022</v>
      </c>
      <c r="K98" s="193">
        <f t="shared" si="27"/>
        <v>47932</v>
      </c>
      <c r="L98" s="143">
        <f>IF(t&lt;Tvie,1-EXP((T0-t)*PertePVj)+'2030'!Pspv,1-EXP((T0-t)*PertePVj)+Pspv)</f>
        <v>4.6887088998585624E-2</v>
      </c>
      <c r="M98" s="835"/>
      <c r="N98" s="835"/>
      <c r="O98" s="48">
        <f>IF(t&lt;Tnet,'2030'!Resal+('2030'!Salim-'2030'!Resal)*(1-EXP(('2030'!Tnet-t)/('2030'!Tau_j))),Resal+(Salim-Resal)*(1-EXP((Tnet-t)/(Tau_j))))*Salcycl</f>
        <v>2.9829189837643211E-2</v>
      </c>
      <c r="P98" s="165">
        <f>(INDEX(Models!$BJ98:$BT98,,T98)*(1-R98)+INDEX(Models!$BJ98:$BT98,,T98+1)*R98-ERP_i)*Q98*Ramure*Pc/MaxiM</f>
        <v>5.2349903570363452E-5</v>
      </c>
      <c r="Q98" s="301">
        <f t="shared" si="28"/>
        <v>0.5</v>
      </c>
      <c r="R98" s="173">
        <f t="shared" si="29"/>
        <v>0.98414381713804755</v>
      </c>
      <c r="S98" s="801">
        <f t="shared" si="30"/>
        <v>0</v>
      </c>
      <c r="T98" s="172">
        <f t="shared" si="31"/>
        <v>6</v>
      </c>
      <c r="U98" s="247">
        <f t="shared" si="32"/>
        <v>0.98414381713804755</v>
      </c>
      <c r="V98" s="378">
        <f t="shared" si="33"/>
        <v>193.45248790586115</v>
      </c>
      <c r="W98" s="397">
        <f t="shared" si="34"/>
        <v>159.83315706706281</v>
      </c>
      <c r="X98" s="153">
        <f t="shared" si="35"/>
        <v>47932</v>
      </c>
      <c r="Y98" s="380">
        <f t="shared" si="36"/>
        <v>155.24200994905715</v>
      </c>
      <c r="Z98" s="380">
        <f t="shared" si="37"/>
        <v>162.87892877869825</v>
      </c>
      <c r="AA98" s="381">
        <f t="shared" si="38"/>
        <v>172.81723628544637</v>
      </c>
      <c r="AB98" s="193">
        <f t="shared" si="39"/>
        <v>47932</v>
      </c>
      <c r="AC98" s="119">
        <f>IF(OR(t&lt;Tnet,NoTnet),'2030'!Resal_s+('2030'!Salim-'2030'!Resal_s)*(1-EXP(('2030'!Tnet_s-t)/'2030'!Tau_j)),Resal_s+(Salim-Resal_s)*(1-EXP((Tnet_s-t)/Tau_j)))*Salcycl</f>
        <v>5.750761741342033E-2</v>
      </c>
      <c r="AD98" s="227">
        <f>(INDEX(Models!$BJ98:$BT98,,AH98)*(1-AF98)+INDEX(Models!$BJ98:$BT98,,AH98+1)*AF98-ERP_i)*AE98*Ramure*Pc/MaxiM</f>
        <v>3.1961078398513838E-4</v>
      </c>
      <c r="AE98" s="301">
        <f t="shared" si="40"/>
        <v>0.5</v>
      </c>
      <c r="AF98" s="173">
        <f t="shared" si="41"/>
        <v>0.50913138351202569</v>
      </c>
      <c r="AG98" s="801">
        <f t="shared" si="49"/>
        <v>4</v>
      </c>
      <c r="AH98" s="172">
        <f t="shared" si="42"/>
        <v>10</v>
      </c>
      <c r="AI98" s="221">
        <f t="shared" si="43"/>
        <v>4.5091313835120257</v>
      </c>
      <c r="AJ98" s="261" t="b">
        <f t="shared" si="44"/>
        <v>0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47933</v>
      </c>
      <c r="B99" s="406">
        <f>'2030'!Wh/'2030'!Env_an*'2031'!Env_an</f>
        <v>176.22658999595413</v>
      </c>
      <c r="C99" s="831"/>
      <c r="D99" s="388">
        <f t="shared" si="25"/>
        <v>184.8983477076678</v>
      </c>
      <c r="E99" s="380">
        <f t="shared" si="47"/>
        <v>190.5946080623898</v>
      </c>
      <c r="F99" s="380">
        <f t="shared" si="26"/>
        <v>190.60337332514487</v>
      </c>
      <c r="G99" s="110">
        <f t="shared" si="48"/>
        <v>0.90537772954298734</v>
      </c>
      <c r="H99" s="409" t="b">
        <f>Wh_hp&gt;='2030'!Maxi_hp</f>
        <v>0</v>
      </c>
      <c r="I99" s="385">
        <f>IF(H99,Wh_hp,'2030'!Maxi_hp)</f>
        <v>190.60471742459274</v>
      </c>
      <c r="J99" s="85">
        <f>IF(H99,An,'2030'!An_max)</f>
        <v>2022</v>
      </c>
      <c r="K99" s="193">
        <f t="shared" si="27"/>
        <v>47933</v>
      </c>
      <c r="L99" s="143">
        <f>IF(t&lt;Tvie,1-EXP((T0-t)*PertePVj)+'2030'!Pspv,1-EXP((T0-t)*PertePVj)+Pspv)</f>
        <v>4.6900136313949514E-2</v>
      </c>
      <c r="M99" s="835"/>
      <c r="N99" s="835"/>
      <c r="O99" s="48">
        <f>IF(t&lt;Tnet,'2030'!Resal+('2030'!Salim-'2030'!Resal)*(1-EXP(('2030'!Tnet-t)/('2030'!Tau_j))),Resal+(Salim-Resal)*(1-EXP((Tnet-t)/(Tau_j))))*Salcycl</f>
        <v>2.9886786476443029E-2</v>
      </c>
      <c r="P99" s="165">
        <f>(INDEX(Models!$BJ99:$BT99,,T99)*(1-R99)+INDEX(Models!$BJ99:$BT99,,T99+1)*R99-ERP_i)*Q99*Ramure*Pc/MaxiM</f>
        <v>5.3174239602117141E-5</v>
      </c>
      <c r="Q99" s="301">
        <f t="shared" si="28"/>
        <v>0.5</v>
      </c>
      <c r="R99" s="173">
        <f t="shared" si="29"/>
        <v>0.98495950313945113</v>
      </c>
      <c r="S99" s="801">
        <f t="shared" si="30"/>
        <v>0</v>
      </c>
      <c r="T99" s="172">
        <f t="shared" si="31"/>
        <v>6</v>
      </c>
      <c r="U99" s="247">
        <f t="shared" si="32"/>
        <v>0.98495950313945113</v>
      </c>
      <c r="V99" s="378">
        <f t="shared" si="33"/>
        <v>194.64287400846226</v>
      </c>
      <c r="W99" s="397">
        <f t="shared" si="34"/>
        <v>176.22658999595413</v>
      </c>
      <c r="X99" s="153">
        <f t="shared" si="35"/>
        <v>47933</v>
      </c>
      <c r="Y99" s="380">
        <f t="shared" si="36"/>
        <v>171.16389496070283</v>
      </c>
      <c r="Z99" s="380">
        <f t="shared" si="37"/>
        <v>179.58652758456793</v>
      </c>
      <c r="AA99" s="381">
        <f t="shared" si="38"/>
        <v>190.55026622517124</v>
      </c>
      <c r="AB99" s="193">
        <f t="shared" si="39"/>
        <v>47933</v>
      </c>
      <c r="AC99" s="119">
        <f>IF(OR(t&lt;Tnet,NoTnet),'2030'!Resal_s+('2030'!Salim-'2030'!Resal_s)*(1-EXP(('2030'!Tnet_s-t)/'2030'!Tau_j)),Resal_s+(Salim-Resal_s)*(1-EXP((Tnet_s-t)/Tau_j)))*Salcycl</f>
        <v>5.7537251759320861E-2</v>
      </c>
      <c r="AD99" s="227">
        <f>(INDEX(Models!$BJ99:$BT99,,AH99)*(1-AF99)+INDEX(Models!$BJ99:$BT99,,AH99+1)*AF99-ERP_i)*AE99*Ramure*Pc/MaxiM</f>
        <v>3.2217284723531003E-4</v>
      </c>
      <c r="AE99" s="301">
        <f t="shared" si="40"/>
        <v>0.5</v>
      </c>
      <c r="AF99" s="173">
        <f t="shared" si="41"/>
        <v>0.50994706951342916</v>
      </c>
      <c r="AG99" s="801">
        <f t="shared" si="49"/>
        <v>4</v>
      </c>
      <c r="AH99" s="172">
        <f t="shared" si="42"/>
        <v>10</v>
      </c>
      <c r="AI99" s="221">
        <f t="shared" si="43"/>
        <v>4.5099470695134292</v>
      </c>
      <c r="AJ99" s="261" t="b">
        <f t="shared" si="44"/>
        <v>0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47934</v>
      </c>
      <c r="B100" s="406">
        <f>'2030'!Wh/'2030'!Env_an*'2031'!Env_an</f>
        <v>178.14319381959524</v>
      </c>
      <c r="C100" s="831"/>
      <c r="D100" s="388">
        <f t="shared" si="25"/>
        <v>186.9118224345743</v>
      </c>
      <c r="E100" s="380">
        <f t="shared" si="47"/>
        <v>192.68158613964914</v>
      </c>
      <c r="F100" s="380">
        <f t="shared" si="26"/>
        <v>192.69065727064682</v>
      </c>
      <c r="G100" s="110">
        <f t="shared" si="48"/>
        <v>0.90973126167568596</v>
      </c>
      <c r="H100" s="409" t="b">
        <f>Wh_hp&gt;='2030'!Maxi_hp</f>
        <v>0</v>
      </c>
      <c r="I100" s="385">
        <f>IF(H100,Wh_hp,'2030'!Maxi_hp)</f>
        <v>192.69197360418002</v>
      </c>
      <c r="J100" s="85">
        <f>IF(H100,An,'2030'!An_max)</f>
        <v>2022</v>
      </c>
      <c r="K100" s="193">
        <f t="shared" si="27"/>
        <v>47934</v>
      </c>
      <c r="L100" s="143">
        <f>IF(t&lt;Tvie,1-EXP((T0-t)*PertePVj)+'2030'!Pspv,1-EXP((T0-t)*PertePVj)+Pspv)</f>
        <v>4.6913183450706497E-2</v>
      </c>
      <c r="M100" s="835"/>
      <c r="N100" s="835"/>
      <c r="O100" s="48">
        <f>IF(t&lt;Tnet,'2030'!Resal+('2030'!Salim-'2030'!Resal)*(1-EXP(('2030'!Tnet-t)/('2030'!Tau_j))),Resal+(Salim-Resal)*(1-EXP((Tnet-t)/(Tau_j))))*Salcycl</f>
        <v>2.9944551633974477E-2</v>
      </c>
      <c r="P100" s="165">
        <f>(INDEX(Models!$BJ100:$BT100,,T100)*(1-R100)+INDEX(Models!$BJ100:$BT100,,T100+1)*R100-ERP_i)*Q100*Ramure*Pc/MaxiM</f>
        <v>5.4045039959712143E-5</v>
      </c>
      <c r="Q100" s="301">
        <f t="shared" si="28"/>
        <v>0.5</v>
      </c>
      <c r="R100" s="173">
        <f t="shared" si="29"/>
        <v>0.9858064683074157</v>
      </c>
      <c r="S100" s="801">
        <f t="shared" si="30"/>
        <v>0</v>
      </c>
      <c r="T100" s="172">
        <f t="shared" si="31"/>
        <v>6</v>
      </c>
      <c r="U100" s="247">
        <f t="shared" si="32"/>
        <v>0.9858064683074157</v>
      </c>
      <c r="V100" s="378">
        <f t="shared" si="33"/>
        <v>195.81821555704832</v>
      </c>
      <c r="W100" s="397">
        <f t="shared" si="34"/>
        <v>178.14319381959524</v>
      </c>
      <c r="X100" s="153">
        <f t="shared" si="35"/>
        <v>47934</v>
      </c>
      <c r="Y100" s="380">
        <f t="shared" si="36"/>
        <v>173.02961364342141</v>
      </c>
      <c r="Z100" s="380">
        <f t="shared" si="37"/>
        <v>181.5465397684182</v>
      </c>
      <c r="AA100" s="381">
        <f t="shared" si="38"/>
        <v>192.63607565864262</v>
      </c>
      <c r="AB100" s="193">
        <f t="shared" si="39"/>
        <v>47934</v>
      </c>
      <c r="AC100" s="119">
        <f>IF(OR(t&lt;Tnet,NoTnet),'2030'!Resal_s+('2030'!Salim-'2030'!Resal_s)*(1-EXP(('2030'!Tnet_s-t)/'2030'!Tau_j)),Resal_s+(Salim-Resal_s)*(1-EXP((Tnet_s-t)/Tau_j)))*Salcycl</f>
        <v>5.7567285111618627E-2</v>
      </c>
      <c r="AD100" s="227">
        <f>(INDEX(Models!$BJ100:$BT100,,AH100)*(1-AF100)+INDEX(Models!$BJ100:$BT100,,AH100+1)*AF100-ERP_i)*AE100*Ramure*Pc/MaxiM</f>
        <v>3.2519268022755085E-4</v>
      </c>
      <c r="AE100" s="301">
        <f t="shared" si="40"/>
        <v>0.5</v>
      </c>
      <c r="AF100" s="173">
        <f t="shared" si="41"/>
        <v>0.51079403468139351</v>
      </c>
      <c r="AG100" s="801">
        <f t="shared" si="49"/>
        <v>4</v>
      </c>
      <c r="AH100" s="172">
        <f t="shared" si="42"/>
        <v>10</v>
      </c>
      <c r="AI100" s="221">
        <f t="shared" si="43"/>
        <v>4.5107940346813935</v>
      </c>
      <c r="AJ100" s="261" t="b">
        <f t="shared" si="44"/>
        <v>0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47935</v>
      </c>
      <c r="B101" s="406">
        <f>'2030'!Wh/'2030'!Env_an*'2031'!Env_an</f>
        <v>140.46084634176958</v>
      </c>
      <c r="C101" s="831"/>
      <c r="D101" s="388">
        <f t="shared" si="25"/>
        <v>147.37667830479262</v>
      </c>
      <c r="E101" s="380">
        <f t="shared" si="47"/>
        <v>151.9351111707029</v>
      </c>
      <c r="F101" s="380">
        <f t="shared" si="26"/>
        <v>151.94003345051524</v>
      </c>
      <c r="G101" s="110">
        <f t="shared" si="48"/>
        <v>0.71307258269082863</v>
      </c>
      <c r="H101" s="409" t="b">
        <f>Wh_hp&gt;='2030'!Maxi_hp</f>
        <v>0</v>
      </c>
      <c r="I101" s="385">
        <f>IF(H101,Wh_hp,'2030'!Maxi_hp)</f>
        <v>151.9433815966527</v>
      </c>
      <c r="J101" s="85">
        <f>IF(H101,An,'2030'!An_max)</f>
        <v>2022</v>
      </c>
      <c r="K101" s="193">
        <f t="shared" si="27"/>
        <v>47935</v>
      </c>
      <c r="L101" s="143">
        <f>IF(t&lt;Tvie,1-EXP((T0-t)*PertePVj)+'2030'!Pspv,1-EXP((T0-t)*PertePVj)+Pspv)</f>
        <v>4.6926230408859237E-2</v>
      </c>
      <c r="M101" s="835"/>
      <c r="N101" s="835"/>
      <c r="O101" s="48">
        <f>IF(t&lt;Tnet,'2030'!Resal+('2030'!Salim-'2030'!Resal)*(1-EXP(('2030'!Tnet-t)/('2030'!Tau_j))),Resal+(Salim-Resal)*(1-EXP((Tnet-t)/(Tau_j))))*Salcycl</f>
        <v>3.0002497979474733E-2</v>
      </c>
      <c r="P101" s="165">
        <f>(INDEX(Models!$BJ101:$BT101,,T101)*(1-R101)+INDEX(Models!$BJ101:$BT101,,T101+1)*R101-ERP_i)*Q101*Ramure*Pc/MaxiM</f>
        <v>5.4897033978268353E-5</v>
      </c>
      <c r="Q101" s="301">
        <f t="shared" si="28"/>
        <v>0.5</v>
      </c>
      <c r="R101" s="173">
        <f t="shared" si="29"/>
        <v>0.98668578985708</v>
      </c>
      <c r="S101" s="801">
        <f t="shared" si="30"/>
        <v>0</v>
      </c>
      <c r="T101" s="172">
        <f t="shared" si="31"/>
        <v>6</v>
      </c>
      <c r="U101" s="247">
        <f t="shared" si="32"/>
        <v>0.98668578985708</v>
      </c>
      <c r="V101" s="378">
        <f t="shared" si="33"/>
        <v>196.97529979803855</v>
      </c>
      <c r="W101" s="397">
        <f t="shared" si="34"/>
        <v>140.46084634176958</v>
      </c>
      <c r="X101" s="153">
        <f t="shared" si="35"/>
        <v>47935</v>
      </c>
      <c r="Y101" s="380">
        <f t="shared" si="36"/>
        <v>136.44289767143223</v>
      </c>
      <c r="Z101" s="380">
        <f t="shared" si="37"/>
        <v>143.1608990036153</v>
      </c>
      <c r="AA101" s="381">
        <f t="shared" si="38"/>
        <v>151.91060661795953</v>
      </c>
      <c r="AB101" s="193">
        <f t="shared" si="39"/>
        <v>47935</v>
      </c>
      <c r="AC101" s="119">
        <f>IF(OR(t&lt;Tnet,NoTnet),'2030'!Resal_s+('2030'!Salim-'2030'!Resal_s)*(1-EXP(('2030'!Tnet_s-t)/'2030'!Tau_j)),Resal_s+(Salim-Resal_s)*(1-EXP((Tnet_s-t)/Tau_j)))*Salcycl</f>
        <v>5.7597739941549278E-2</v>
      </c>
      <c r="AD101" s="227">
        <f>(INDEX(Models!$BJ101:$BT101,,AH101)*(1-AF101)+INDEX(Models!$BJ101:$BT101,,AH101+1)*AF101-ERP_i)*AE101*Ramure*Pc/MaxiM</f>
        <v>3.2819057190448922E-4</v>
      </c>
      <c r="AE101" s="301">
        <f t="shared" si="40"/>
        <v>0.5</v>
      </c>
      <c r="AF101" s="173">
        <f t="shared" si="41"/>
        <v>0.51167335623105803</v>
      </c>
      <c r="AG101" s="801">
        <f t="shared" si="49"/>
        <v>4</v>
      </c>
      <c r="AH101" s="172">
        <f t="shared" si="42"/>
        <v>10</v>
      </c>
      <c r="AI101" s="221">
        <f t="shared" si="43"/>
        <v>4.511673356231058</v>
      </c>
      <c r="AJ101" s="261" t="b">
        <f t="shared" si="44"/>
        <v>0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47936</v>
      </c>
      <c r="B102" s="406">
        <f>'2030'!Wh/'2030'!Env_an*'2031'!Env_an</f>
        <v>110.44649046865305</v>
      </c>
      <c r="C102" s="831"/>
      <c r="D102" s="388">
        <f t="shared" si="25"/>
        <v>115.88610025059984</v>
      </c>
      <c r="E102" s="380">
        <f t="shared" si="47"/>
        <v>119.47767541951924</v>
      </c>
      <c r="F102" s="380">
        <f t="shared" si="26"/>
        <v>119.48012492797452</v>
      </c>
      <c r="G102" s="110">
        <f t="shared" si="48"/>
        <v>0.55747865574365152</v>
      </c>
      <c r="H102" s="409" t="b">
        <f>Wh_hp&gt;='2030'!Maxi_hp</f>
        <v>0</v>
      </c>
      <c r="I102" s="385">
        <f>IF(H102,Wh_hp,'2030'!Maxi_hp)</f>
        <v>119.48424336256193</v>
      </c>
      <c r="J102" s="85">
        <f>IF(H102,An,'2030'!An_max)</f>
        <v>2022</v>
      </c>
      <c r="K102" s="193">
        <f t="shared" si="27"/>
        <v>47936</v>
      </c>
      <c r="L102" s="143">
        <f>IF(t&lt;Tvie,1-EXP((T0-t)*PertePVj)+'2030'!Pspv,1-EXP((T0-t)*PertePVj)+Pspv)</f>
        <v>4.6939277188410067E-2</v>
      </c>
      <c r="M102" s="835"/>
      <c r="N102" s="835"/>
      <c r="O102" s="48">
        <f>IF(t&lt;Tnet,'2030'!Resal+('2030'!Salim-'2030'!Resal)*(1-EXP(('2030'!Tnet-t)/('2030'!Tau_j))),Resal+(Salim-Resal)*(1-EXP((Tnet-t)/(Tau_j))))*Salcycl</f>
        <v>3.0060638159458621E-2</v>
      </c>
      <c r="P102" s="165">
        <f>(INDEX(Models!$BJ102:$BT102,,T102)*(1-R102)+INDEX(Models!$BJ102:$BT102,,T102+1)*R102-ERP_i)*Q102*Ramure*Pc/MaxiM</f>
        <v>5.5732298335862302E-5</v>
      </c>
      <c r="Q102" s="301">
        <f t="shared" si="28"/>
        <v>0.5</v>
      </c>
      <c r="R102" s="173">
        <f t="shared" si="29"/>
        <v>0.9875985721414664</v>
      </c>
      <c r="S102" s="801">
        <f t="shared" si="30"/>
        <v>0</v>
      </c>
      <c r="T102" s="172">
        <f t="shared" si="31"/>
        <v>6</v>
      </c>
      <c r="U102" s="247">
        <f t="shared" si="32"/>
        <v>0.9875985721414664</v>
      </c>
      <c r="V102" s="378">
        <f t="shared" si="33"/>
        <v>198.11090186260384</v>
      </c>
      <c r="W102" s="397">
        <f t="shared" si="34"/>
        <v>110.44649046865305</v>
      </c>
      <c r="X102" s="153">
        <f t="shared" si="35"/>
        <v>47936</v>
      </c>
      <c r="Y102" s="380">
        <f t="shared" si="36"/>
        <v>107.29646365007102</v>
      </c>
      <c r="Z102" s="380">
        <f t="shared" si="37"/>
        <v>112.58093118509764</v>
      </c>
      <c r="AA102" s="381">
        <f t="shared" si="38"/>
        <v>119.46556929833993</v>
      </c>
      <c r="AB102" s="193">
        <f t="shared" si="39"/>
        <v>47936</v>
      </c>
      <c r="AC102" s="119">
        <f>IF(OR(t&lt;Tnet,NoTnet),'2030'!Resal_s+('2030'!Salim-'2030'!Resal_s)*(1-EXP(('2030'!Tnet_s-t)/'2030'!Tau_j)),Resal_s+(Salim-Resal_s)*(1-EXP((Tnet_s-t)/Tau_j)))*Salcycl</f>
        <v>5.7628638558188797E-2</v>
      </c>
      <c r="AD102" s="227">
        <f>(INDEX(Models!$BJ102:$BT102,,AH102)*(1-AF102)+INDEX(Models!$BJ102:$BT102,,AH102+1)*AF102-ERP_i)*AE102*Ramure*Pc/MaxiM</f>
        <v>3.3117611474824636E-4</v>
      </c>
      <c r="AE102" s="301">
        <f t="shared" si="40"/>
        <v>0.5</v>
      </c>
      <c r="AF102" s="173">
        <f t="shared" si="41"/>
        <v>0.51258613851544421</v>
      </c>
      <c r="AG102" s="801">
        <f t="shared" si="49"/>
        <v>4</v>
      </c>
      <c r="AH102" s="172">
        <f t="shared" si="42"/>
        <v>10</v>
      </c>
      <c r="AI102" s="221">
        <f t="shared" si="43"/>
        <v>4.5125861385154442</v>
      </c>
      <c r="AJ102" s="261" t="b">
        <f t="shared" si="44"/>
        <v>0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47937</v>
      </c>
      <c r="B103" s="406">
        <f>'2030'!Wh/'2030'!Env_an*'2031'!Env_an</f>
        <v>29.014078362301241</v>
      </c>
      <c r="C103" s="831"/>
      <c r="D103" s="388">
        <f t="shared" si="25"/>
        <v>30.443470024146695</v>
      </c>
      <c r="E103" s="380">
        <f t="shared" si="47"/>
        <v>31.388870950172727</v>
      </c>
      <c r="F103" s="380">
        <f t="shared" si="26"/>
        <v>31.388870950172727</v>
      </c>
      <c r="G103" s="110">
        <f t="shared" si="48"/>
        <v>0.14562883105410546</v>
      </c>
      <c r="H103" s="409" t="b">
        <f>Wh_hp&gt;='2030'!Maxi_hp</f>
        <v>0</v>
      </c>
      <c r="I103" s="385">
        <f>IF(H103,Wh_hp,'2030'!Maxi_hp)</f>
        <v>31.39060598359443</v>
      </c>
      <c r="J103" s="85">
        <f>IF(H103,An,'2030'!An_max)</f>
        <v>2022</v>
      </c>
      <c r="K103" s="193">
        <f t="shared" si="27"/>
        <v>47937</v>
      </c>
      <c r="L103" s="143">
        <f>IF(t&lt;Tvie,1-EXP((T0-t)*PertePVj)+'2030'!Pspv,1-EXP((T0-t)*PertePVj)+Pspv)</f>
        <v>4.6952323789361428E-2</v>
      </c>
      <c r="M103" s="835"/>
      <c r="N103" s="835"/>
      <c r="O103" s="48">
        <f>IF(t&lt;Tnet,'2030'!Resal+('2030'!Salim-'2030'!Resal)*(1-EXP(('2030'!Tnet-t)/('2030'!Tau_j))),Resal+(Salim-Resal)*(1-EXP((Tnet-t)/(Tau_j))))*Salcycl</f>
        <v>3.0118984767778929E-2</v>
      </c>
      <c r="P103" s="165">
        <f>(INDEX(Models!$BJ103:$BT103,,T103)*(1-R103)+INDEX(Models!$BJ103:$BT103,,T103+1)*R103-ERP_i)*Q103*Ramure*Pc/MaxiM</f>
        <v>5.6552910443437434E-5</v>
      </c>
      <c r="Q103" s="301">
        <f t="shared" si="28"/>
        <v>0.5</v>
      </c>
      <c r="R103" s="173">
        <f t="shared" si="29"/>
        <v>0.98854594649308469</v>
      </c>
      <c r="S103" s="801">
        <f t="shared" si="30"/>
        <v>0</v>
      </c>
      <c r="T103" s="172">
        <f t="shared" si="31"/>
        <v>6</v>
      </c>
      <c r="U103" s="247">
        <f t="shared" si="32"/>
        <v>0.98854594649308469</v>
      </c>
      <c r="V103" s="378">
        <f t="shared" si="33"/>
        <v>199.22179778362039</v>
      </c>
      <c r="W103" s="397">
        <f t="shared" si="34"/>
        <v>29.014078362301241</v>
      </c>
      <c r="X103" s="153">
        <f t="shared" si="35"/>
        <v>47937</v>
      </c>
      <c r="Y103" s="380">
        <f t="shared" si="36"/>
        <v>28.190186307347226</v>
      </c>
      <c r="Z103" s="380">
        <f t="shared" si="37"/>
        <v>29.578988555360318</v>
      </c>
      <c r="AA103" s="381">
        <f t="shared" si="38"/>
        <v>31.388870950172727</v>
      </c>
      <c r="AB103" s="193">
        <f t="shared" si="39"/>
        <v>47937</v>
      </c>
      <c r="AC103" s="119">
        <f>IF(OR(t&lt;Tnet,NoTnet),'2030'!Resal_s+('2030'!Salim-'2030'!Resal_s)*(1-EXP(('2030'!Tnet_s-t)/'2030'!Tau_j)),Resal_s+(Salim-Resal_s)*(1-EXP((Tnet_s-t)/Tau_j)))*Salcycl</f>
        <v>5.7660003052847908E-2</v>
      </c>
      <c r="AD103" s="227">
        <f>(INDEX(Models!$BJ103:$BT103,,AH103)*(1-AF103)+INDEX(Models!$BJ103:$BT103,,AH103+1)*AF103-ERP_i)*AE103*Ramure*Pc/MaxiM</f>
        <v>3.3415891024744896E-4</v>
      </c>
      <c r="AE103" s="301">
        <f t="shared" si="40"/>
        <v>0.5</v>
      </c>
      <c r="AF103" s="173">
        <f t="shared" si="41"/>
        <v>0.51353351286706239</v>
      </c>
      <c r="AG103" s="801">
        <f t="shared" si="49"/>
        <v>4</v>
      </c>
      <c r="AH103" s="172">
        <f t="shared" si="42"/>
        <v>10</v>
      </c>
      <c r="AI103" s="221">
        <f t="shared" si="43"/>
        <v>4.5135335128670624</v>
      </c>
      <c r="AJ103" s="261" t="b">
        <f t="shared" si="44"/>
        <v>0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47938</v>
      </c>
      <c r="B104" s="406">
        <f>'2030'!Wh/'2030'!Env_an*'2031'!Env_an</f>
        <v>83.946660321868364</v>
      </c>
      <c r="C104" s="831"/>
      <c r="D104" s="388">
        <f t="shared" si="25"/>
        <v>88.083536209504828</v>
      </c>
      <c r="E104" s="380">
        <f t="shared" si="47"/>
        <v>90.824393927228726</v>
      </c>
      <c r="F104" s="380">
        <f t="shared" si="26"/>
        <v>90.825280301945028</v>
      </c>
      <c r="G104" s="110">
        <f t="shared" si="48"/>
        <v>0.41907472571956972</v>
      </c>
      <c r="H104" s="409" t="b">
        <f>Wh_hp&gt;='2030'!Maxi_hp</f>
        <v>0</v>
      </c>
      <c r="I104" s="385">
        <f>IF(H104,Wh_hp,'2030'!Maxi_hp)</f>
        <v>90.829603999259135</v>
      </c>
      <c r="J104" s="85">
        <f>IF(H104,An,'2030'!An_max)</f>
        <v>2029</v>
      </c>
      <c r="K104" s="193">
        <f t="shared" si="27"/>
        <v>47938</v>
      </c>
      <c r="L104" s="143">
        <f>IF(t&lt;Tvie,1-EXP((T0-t)*PertePVj)+'2030'!Pspv,1-EXP((T0-t)*PertePVj)+Pspv)</f>
        <v>4.6965370211715762E-2</v>
      </c>
      <c r="M104" s="835"/>
      <c r="N104" s="835"/>
      <c r="O104" s="48">
        <f>IF(t&lt;Tnet,'2030'!Resal+('2030'!Salim-'2030'!Resal)*(1-EXP(('2030'!Tnet-t)/('2030'!Tau_j))),Resal+(Salim-Resal)*(1-EXP((Tnet-t)/(Tau_j))))*Salcycl</f>
        <v>3.0177550316712834E-2</v>
      </c>
      <c r="P104" s="165">
        <f>(INDEX(Models!$BJ104:$BT104,,T104)*(1-R104)+INDEX(Models!$BJ104:$BT104,,T104+1)*R104-ERP_i)*Q104*Ramure*Pc/MaxiM</f>
        <v>5.7360946222537518E-5</v>
      </c>
      <c r="Q104" s="301">
        <f t="shared" si="28"/>
        <v>0.5</v>
      </c>
      <c r="R104" s="173">
        <f t="shared" si="29"/>
        <v>0.98952907097674891</v>
      </c>
      <c r="S104" s="801">
        <f t="shared" si="30"/>
        <v>0</v>
      </c>
      <c r="T104" s="172">
        <f t="shared" si="31"/>
        <v>6</v>
      </c>
      <c r="U104" s="247">
        <f t="shared" si="32"/>
        <v>0.98952907097674891</v>
      </c>
      <c r="V104" s="378">
        <f t="shared" si="33"/>
        <v>200.30476456034046</v>
      </c>
      <c r="W104" s="397">
        <f t="shared" si="34"/>
        <v>83.946660321868364</v>
      </c>
      <c r="X104" s="153">
        <f t="shared" si="35"/>
        <v>47938</v>
      </c>
      <c r="Y104" s="380">
        <f t="shared" si="36"/>
        <v>81.561172630542131</v>
      </c>
      <c r="Z104" s="380">
        <f t="shared" si="37"/>
        <v>85.580492126147476</v>
      </c>
      <c r="AA104" s="381">
        <f t="shared" si="38"/>
        <v>90.820070486049445</v>
      </c>
      <c r="AB104" s="193">
        <f t="shared" si="39"/>
        <v>47938</v>
      </c>
      <c r="AC104" s="119">
        <f>IF(OR(t&lt;Tnet,NoTnet),'2030'!Resal_s+('2030'!Salim-'2030'!Resal_s)*(1-EXP(('2030'!Tnet_s-t)/'2030'!Tau_j)),Resal_s+(Salim-Resal_s)*(1-EXP((Tnet_s-t)/Tau_j)))*Salcycl</f>
        <v>5.7691855245882037E-2</v>
      </c>
      <c r="AD104" s="227">
        <f>(INDEX(Models!$BJ104:$BT104,,AH104)*(1-AF104)+INDEX(Models!$BJ104:$BT104,,AH104+1)*AF104-ERP_i)*AE104*Ramure*Pc/MaxiM</f>
        <v>3.3714857150080106E-4</v>
      </c>
      <c r="AE104" s="301">
        <f t="shared" si="40"/>
        <v>0.5</v>
      </c>
      <c r="AF104" s="173">
        <f t="shared" si="41"/>
        <v>0.51451663735072728</v>
      </c>
      <c r="AG104" s="801">
        <f t="shared" si="49"/>
        <v>4</v>
      </c>
      <c r="AH104" s="172">
        <f t="shared" si="42"/>
        <v>10</v>
      </c>
      <c r="AI104" s="221">
        <f t="shared" si="43"/>
        <v>4.5145166373507273</v>
      </c>
      <c r="AJ104" s="261" t="b">
        <f t="shared" si="44"/>
        <v>0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47939</v>
      </c>
      <c r="B105" s="406">
        <f>'2030'!Wh/'2030'!Env_an*'2031'!Env_an</f>
        <v>142.49271299929907</v>
      </c>
      <c r="C105" s="831"/>
      <c r="D105" s="388">
        <f t="shared" si="25"/>
        <v>149.51677428892344</v>
      </c>
      <c r="E105" s="380">
        <f t="shared" si="47"/>
        <v>154.17857109680571</v>
      </c>
      <c r="F105" s="380">
        <f t="shared" si="26"/>
        <v>154.18379332216136</v>
      </c>
      <c r="G105" s="110">
        <f t="shared" si="48"/>
        <v>0.7076463648494723</v>
      </c>
      <c r="H105" s="409" t="b">
        <f>Wh_hp&gt;='2030'!Maxi_hp</f>
        <v>0</v>
      </c>
      <c r="I105" s="385">
        <f>IF(H105,Wh_hp,'2030'!Maxi_hp)</f>
        <v>154.18753506658047</v>
      </c>
      <c r="J105" s="85">
        <f>IF(H105,An,'2030'!An_max)</f>
        <v>2029</v>
      </c>
      <c r="K105" s="193">
        <f t="shared" si="27"/>
        <v>47939</v>
      </c>
      <c r="L105" s="143">
        <f>IF(t&lt;Tvie,1-EXP((T0-t)*PertePVj)+'2030'!Pspv,1-EXP((T0-t)*PertePVj)+Pspv)</f>
        <v>4.6978416455475513E-2</v>
      </c>
      <c r="M105" s="835"/>
      <c r="N105" s="835"/>
      <c r="O105" s="48">
        <f>IF(t&lt;Tnet,'2030'!Resal+('2030'!Salim-'2030'!Resal)*(1-EXP(('2030'!Tnet-t)/('2030'!Tau_j))),Resal+(Salim-Resal)*(1-EXP((Tnet-t)/(Tau_j))))*Salcycl</f>
        <v>3.0236347209076191E-2</v>
      </c>
      <c r="P105" s="165">
        <f>(INDEX(Models!$BJ105:$BT105,,T105)*(1-R105)+INDEX(Models!$BJ105:$BT105,,T105+1)*R105-ERP_i)*Q105*Ramure*Pc/MaxiM</f>
        <v>5.8158478614770552E-5</v>
      </c>
      <c r="Q105" s="301">
        <f t="shared" si="28"/>
        <v>0.5</v>
      </c>
      <c r="R105" s="173">
        <f t="shared" si="29"/>
        <v>0.99054913004603418</v>
      </c>
      <c r="S105" s="801">
        <f t="shared" si="30"/>
        <v>0</v>
      </c>
      <c r="T105" s="172">
        <f t="shared" si="31"/>
        <v>6</v>
      </c>
      <c r="U105" s="247">
        <f t="shared" si="32"/>
        <v>0.99054913004603418</v>
      </c>
      <c r="V105" s="378">
        <f t="shared" si="33"/>
        <v>201.35658013294429</v>
      </c>
      <c r="W105" s="397">
        <f t="shared" si="34"/>
        <v>142.49271299929907</v>
      </c>
      <c r="X105" s="153">
        <f t="shared" si="35"/>
        <v>47939</v>
      </c>
      <c r="Y105" s="380">
        <f t="shared" si="36"/>
        <v>138.431030242437</v>
      </c>
      <c r="Z105" s="380">
        <f t="shared" si="37"/>
        <v>145.25487421552148</v>
      </c>
      <c r="AA105" s="381">
        <f t="shared" si="38"/>
        <v>154.15324980223258</v>
      </c>
      <c r="AB105" s="193">
        <f t="shared" si="39"/>
        <v>47939</v>
      </c>
      <c r="AC105" s="119">
        <f>IF(OR(t&lt;Tnet,NoTnet),'2030'!Resal_s+('2030'!Salim-'2030'!Resal_s)*(1-EXP(('2030'!Tnet_s-t)/'2030'!Tau_j)),Resal_s+(Salim-Resal_s)*(1-EXP((Tnet_s-t)/Tau_j)))*Salcycl</f>
        <v>5.7724216635893652E-2</v>
      </c>
      <c r="AD105" s="227">
        <f>(INDEX(Models!$BJ105:$BT105,,AH105)*(1-AF105)+INDEX(Models!$BJ105:$BT105,,AH105+1)*AF105-ERP_i)*AE105*Ramure*Pc/MaxiM</f>
        <v>3.4015472899413151E-4</v>
      </c>
      <c r="AE105" s="301">
        <f t="shared" si="40"/>
        <v>0.5</v>
      </c>
      <c r="AF105" s="173">
        <f t="shared" si="41"/>
        <v>0.51553669642001232</v>
      </c>
      <c r="AG105" s="801">
        <f t="shared" si="49"/>
        <v>4</v>
      </c>
      <c r="AH105" s="172">
        <f t="shared" si="42"/>
        <v>10</v>
      </c>
      <c r="AI105" s="221">
        <f t="shared" si="43"/>
        <v>4.5155366964200123</v>
      </c>
      <c r="AJ105" s="261" t="b">
        <f t="shared" si="44"/>
        <v>0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47940</v>
      </c>
      <c r="B106" s="406">
        <f>'2030'!Wh/'2030'!Env_an*'2031'!Env_an</f>
        <v>69.704228500773311</v>
      </c>
      <c r="C106" s="831"/>
      <c r="D106" s="388">
        <f t="shared" si="25"/>
        <v>73.141242454276721</v>
      </c>
      <c r="E106" s="380">
        <f t="shared" si="47"/>
        <v>75.426311814328301</v>
      </c>
      <c r="F106" s="380">
        <f t="shared" si="26"/>
        <v>75.426594039004343</v>
      </c>
      <c r="G106" s="110">
        <f t="shared" si="48"/>
        <v>0.34441367141566565</v>
      </c>
      <c r="H106" s="409" t="b">
        <f>Wh_hp&gt;='2030'!Maxi_hp</f>
        <v>0</v>
      </c>
      <c r="I106" s="385">
        <f>IF(H106,Wh_hp,'2030'!Maxi_hp)</f>
        <v>75.430750667202759</v>
      </c>
      <c r="J106" s="85">
        <f>IF(H106,An,'2030'!An_max)</f>
        <v>2029</v>
      </c>
      <c r="K106" s="193">
        <f t="shared" si="27"/>
        <v>47940</v>
      </c>
      <c r="L106" s="143">
        <f>IF(t&lt;Tvie,1-EXP((T0-t)*PertePVj)+'2030'!Pspv,1-EXP((T0-t)*PertePVj)+Pspv)</f>
        <v>4.6991462520643124E-2</v>
      </c>
      <c r="M106" s="835"/>
      <c r="N106" s="835"/>
      <c r="O106" s="48">
        <f>IF(t&lt;Tnet,'2030'!Resal+('2030'!Salim-'2030'!Resal)*(1-EXP(('2030'!Tnet-t)/('2030'!Tau_j))),Resal+(Salim-Resal)*(1-EXP((Tnet-t)/(Tau_j))))*Salcycl</f>
        <v>3.0295387711340958E-2</v>
      </c>
      <c r="P106" s="165">
        <f>(INDEX(Models!$BJ106:$BT106,,T106)*(1-R106)+INDEX(Models!$BJ106:$BT106,,T106+1)*R106-ERP_i)*Q106*Ramure*Pc/MaxiM</f>
        <v>5.8947576754887844E-5</v>
      </c>
      <c r="Q106" s="301">
        <f t="shared" si="28"/>
        <v>0.5</v>
      </c>
      <c r="R106" s="173">
        <f t="shared" si="29"/>
        <v>0.99160733409547352</v>
      </c>
      <c r="S106" s="801">
        <f t="shared" si="30"/>
        <v>0</v>
      </c>
      <c r="T106" s="172">
        <f t="shared" si="31"/>
        <v>6</v>
      </c>
      <c r="U106" s="247">
        <f t="shared" si="32"/>
        <v>0.99160733409547352</v>
      </c>
      <c r="V106" s="378">
        <f t="shared" si="33"/>
        <v>202.37402341709335</v>
      </c>
      <c r="W106" s="397">
        <f t="shared" si="34"/>
        <v>69.704228500773311</v>
      </c>
      <c r="X106" s="153">
        <f t="shared" si="35"/>
        <v>47940</v>
      </c>
      <c r="Y106" s="380">
        <f t="shared" si="36"/>
        <v>67.729005313904395</v>
      </c>
      <c r="Z106" s="380">
        <f t="shared" si="37"/>
        <v>71.068623889816379</v>
      </c>
      <c r="AA106" s="381">
        <f t="shared" si="38"/>
        <v>75.424950954482426</v>
      </c>
      <c r="AB106" s="193">
        <f t="shared" si="39"/>
        <v>47940</v>
      </c>
      <c r="AC106" s="119">
        <f>IF(OR(t&lt;Tnet,NoTnet),'2030'!Resal_s+('2030'!Salim-'2030'!Resal_s)*(1-EXP(('2030'!Tnet_s-t)/'2030'!Tau_j)),Resal_s+(Salim-Resal_s)*(1-EXP((Tnet_s-t)/Tau_j)))*Salcycl</f>
        <v>5.7757108351253923E-2</v>
      </c>
      <c r="AD106" s="227">
        <f>(INDEX(Models!$BJ106:$BT106,,AH106)*(1-AF106)+INDEX(Models!$BJ106:$BT106,,AH106+1)*AF106-ERP_i)*AE106*Ramure*Pc/MaxiM</f>
        <v>3.431870392352386E-4</v>
      </c>
      <c r="AE106" s="301">
        <f t="shared" si="40"/>
        <v>0.5</v>
      </c>
      <c r="AF106" s="173">
        <f t="shared" si="41"/>
        <v>0.51659490046945145</v>
      </c>
      <c r="AG106" s="801">
        <f t="shared" si="49"/>
        <v>4</v>
      </c>
      <c r="AH106" s="172">
        <f t="shared" si="42"/>
        <v>10</v>
      </c>
      <c r="AI106" s="221">
        <f t="shared" si="43"/>
        <v>4.5165949004694514</v>
      </c>
      <c r="AJ106" s="261" t="b">
        <f t="shared" si="44"/>
        <v>0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47941</v>
      </c>
      <c r="B107" s="406">
        <f>'2030'!Wh/'2030'!Env_an*'2031'!Env_an</f>
        <v>111.89562799902255</v>
      </c>
      <c r="C107" s="831"/>
      <c r="D107" s="388">
        <f t="shared" si="25"/>
        <v>117.41464569995708</v>
      </c>
      <c r="E107" s="380">
        <f t="shared" si="47"/>
        <v>121.09030359220857</v>
      </c>
      <c r="F107" s="380">
        <f t="shared" si="26"/>
        <v>121.09288910538992</v>
      </c>
      <c r="G107" s="110">
        <f t="shared" si="48"/>
        <v>0.55021222671369241</v>
      </c>
      <c r="H107" s="409" t="b">
        <f>Wh_hp&gt;='2030'!Maxi_hp</f>
        <v>0</v>
      </c>
      <c r="I107" s="385">
        <f>IF(H107,Wh_hp,'2030'!Maxi_hp)</f>
        <v>121.09752352431266</v>
      </c>
      <c r="J107" s="85">
        <f>IF(H107,An,'2030'!An_max)</f>
        <v>2029</v>
      </c>
      <c r="K107" s="193">
        <f t="shared" si="27"/>
        <v>47941</v>
      </c>
      <c r="L107" s="143">
        <f>IF(t&lt;Tvie,1-EXP((T0-t)*PertePVj)+'2030'!Pspv,1-EXP((T0-t)*PertePVj)+Pspv)</f>
        <v>4.7004508407221146E-2</v>
      </c>
      <c r="M107" s="835"/>
      <c r="N107" s="835"/>
      <c r="O107" s="48">
        <f>IF(t&lt;Tnet,'2030'!Resal+('2030'!Salim-'2030'!Resal)*(1-EXP(('2030'!Tnet-t)/('2030'!Tau_j))),Resal+(Salim-Resal)*(1-EXP((Tnet-t)/(Tau_j))))*Salcycl</f>
        <v>3.0354683927706384E-2</v>
      </c>
      <c r="P107" s="165">
        <f>(INDEX(Models!$BJ107:$BT107,,T107)*(1-R107)+INDEX(Models!$BJ107:$BT107,,T107+1)*R107-ERP_i)*Q107*Ramure*Pc/MaxiM</f>
        <v>5.9728413138683571E-5</v>
      </c>
      <c r="Q107" s="301">
        <f t="shared" si="28"/>
        <v>0.5</v>
      </c>
      <c r="R107" s="173">
        <f t="shared" si="29"/>
        <v>0.99270491890028711</v>
      </c>
      <c r="S107" s="801">
        <f t="shared" si="30"/>
        <v>0</v>
      </c>
      <c r="T107" s="172">
        <f t="shared" si="31"/>
        <v>6</v>
      </c>
      <c r="U107" s="247">
        <f t="shared" si="32"/>
        <v>0.99270491890028711</v>
      </c>
      <c r="V107" s="378">
        <f t="shared" si="33"/>
        <v>203.3603185543972</v>
      </c>
      <c r="W107" s="397">
        <f t="shared" si="34"/>
        <v>111.89562799902255</v>
      </c>
      <c r="X107" s="153">
        <f t="shared" si="35"/>
        <v>47941</v>
      </c>
      <c r="Y107" s="380">
        <f t="shared" si="36"/>
        <v>108.71843311171661</v>
      </c>
      <c r="Z107" s="380">
        <f t="shared" si="37"/>
        <v>114.08074232335686</v>
      </c>
      <c r="AA107" s="381">
        <f t="shared" si="38"/>
        <v>121.07790094549104</v>
      </c>
      <c r="AB107" s="193">
        <f t="shared" si="39"/>
        <v>47941</v>
      </c>
      <c r="AC107" s="119">
        <f>IF(OR(t&lt;Tnet,NoTnet),'2030'!Resal_s+('2030'!Salim-'2030'!Resal_s)*(1-EXP(('2030'!Tnet_s-t)/'2030'!Tau_j)),Resal_s+(Salim-Resal_s)*(1-EXP((Tnet_s-t)/Tau_j)))*Salcycl</f>
        <v>5.779055110382432E-2</v>
      </c>
      <c r="AD107" s="227">
        <f>(INDEX(Models!$BJ107:$BT107,,AH107)*(1-AF107)+INDEX(Models!$BJ107:$BT107,,AH107+1)*AF107-ERP_i)*AE107*Ramure*Pc/MaxiM</f>
        <v>3.4624422458518525E-4</v>
      </c>
      <c r="AE107" s="301">
        <f t="shared" si="40"/>
        <v>0.5</v>
      </c>
      <c r="AF107" s="173">
        <f t="shared" si="41"/>
        <v>0.51769248527426548</v>
      </c>
      <c r="AG107" s="801">
        <f t="shared" si="49"/>
        <v>4</v>
      </c>
      <c r="AH107" s="172">
        <f t="shared" si="42"/>
        <v>10</v>
      </c>
      <c r="AI107" s="221">
        <f t="shared" si="43"/>
        <v>4.5176924852742655</v>
      </c>
      <c r="AJ107" s="261" t="b">
        <f t="shared" si="44"/>
        <v>0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47942</v>
      </c>
      <c r="B108" s="406">
        <f>'2030'!Wh/'2030'!Env_an*'2031'!Env_an</f>
        <v>170.71475307824204</v>
      </c>
      <c r="C108" s="831"/>
      <c r="D108" s="388">
        <f t="shared" si="25"/>
        <v>179.13735328014721</v>
      </c>
      <c r="E108" s="380">
        <f t="shared" si="47"/>
        <v>184.75658586058344</v>
      </c>
      <c r="F108" s="380">
        <f t="shared" si="26"/>
        <v>184.76514574692905</v>
      </c>
      <c r="G108" s="110">
        <f t="shared" si="48"/>
        <v>0.83550909265546269</v>
      </c>
      <c r="H108" s="409" t="b">
        <f>Wh_hp&gt;='2030'!Maxi_hp</f>
        <v>0</v>
      </c>
      <c r="I108" s="385">
        <f>IF(H108,Wh_hp,'2030'!Maxi_hp)</f>
        <v>184.76776492355262</v>
      </c>
      <c r="J108" s="85">
        <f>IF(H108,An,'2030'!An_max)</f>
        <v>2029</v>
      </c>
      <c r="K108" s="193">
        <f t="shared" si="27"/>
        <v>47942</v>
      </c>
      <c r="L108" s="143">
        <f>IF(t&lt;Tvie,1-EXP((T0-t)*PertePVj)+'2030'!Pspv,1-EXP((T0-t)*PertePVj)+Pspv)</f>
        <v>4.7017554115211913E-2</v>
      </c>
      <c r="M108" s="835"/>
      <c r="N108" s="835"/>
      <c r="O108" s="48">
        <f>IF(t&lt;Tnet,'2030'!Resal+('2030'!Salim-'2030'!Resal)*(1-EXP(('2030'!Tnet-t)/('2030'!Tau_j))),Resal+(Salim-Resal)*(1-EXP((Tnet-t)/(Tau_j))))*Salcycl</f>
        <v>3.0414247775050772E-2</v>
      </c>
      <c r="P108" s="165">
        <f>(INDEX(Models!$BJ108:$BT108,,T108)*(1-R108)+INDEX(Models!$BJ108:$BT108,,T108+1)*R108-ERP_i)*Q108*Ramure*Pc/MaxiM</f>
        <v>6.0557717546059201E-5</v>
      </c>
      <c r="Q108" s="301">
        <f t="shared" si="28"/>
        <v>0.5</v>
      </c>
      <c r="R108" s="173">
        <f t="shared" si="29"/>
        <v>0.99384314493513981</v>
      </c>
      <c r="S108" s="801">
        <f t="shared" si="30"/>
        <v>0</v>
      </c>
      <c r="T108" s="172">
        <f t="shared" si="31"/>
        <v>6</v>
      </c>
      <c r="U108" s="247">
        <f t="shared" si="32"/>
        <v>0.99384314493513981</v>
      </c>
      <c r="V108" s="378">
        <f t="shared" si="33"/>
        <v>204.32132375782516</v>
      </c>
      <c r="W108" s="397">
        <f t="shared" si="34"/>
        <v>170.71475307824204</v>
      </c>
      <c r="X108" s="153">
        <f t="shared" si="35"/>
        <v>47942</v>
      </c>
      <c r="Y108" s="380">
        <f t="shared" si="36"/>
        <v>165.85193589886339</v>
      </c>
      <c r="Z108" s="380">
        <f t="shared" si="37"/>
        <v>174.03461796704937</v>
      </c>
      <c r="AA108" s="381">
        <f t="shared" si="38"/>
        <v>184.71572440623078</v>
      </c>
      <c r="AB108" s="193">
        <f t="shared" si="39"/>
        <v>47942</v>
      </c>
      <c r="AC108" s="119">
        <f>IF(OR(t&lt;Tnet,NoTnet),'2030'!Resal_s+('2030'!Salim-'2030'!Resal_s)*(1-EXP(('2030'!Tnet_s-t)/'2030'!Tau_j)),Resal_s+(Salim-Resal_s)*(1-EXP((Tnet_s-t)/Tau_j)))*Salcycl</f>
        <v>5.7824565144715609E-2</v>
      </c>
      <c r="AD108" s="227">
        <f>(INDEX(Models!$BJ108:$BT108,,AH108)*(1-AF108)+INDEX(Models!$BJ108:$BT108,,AH108+1)*AF108-ERP_i)*AE108*Ramure*Pc/MaxiM</f>
        <v>3.4963590285101384E-4</v>
      </c>
      <c r="AE108" s="301">
        <f t="shared" si="40"/>
        <v>0.5</v>
      </c>
      <c r="AF108" s="173">
        <f t="shared" si="41"/>
        <v>0.51883071130911773</v>
      </c>
      <c r="AG108" s="801">
        <f t="shared" si="49"/>
        <v>4</v>
      </c>
      <c r="AH108" s="172">
        <f t="shared" si="42"/>
        <v>10</v>
      </c>
      <c r="AI108" s="221">
        <f t="shared" si="43"/>
        <v>4.5188307113091177</v>
      </c>
      <c r="AJ108" s="261" t="b">
        <f t="shared" si="44"/>
        <v>0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47943</v>
      </c>
      <c r="B109" s="406">
        <f>'2030'!Wh/'2030'!Env_an*'2031'!Env_an</f>
        <v>209.16764958185783</v>
      </c>
      <c r="C109" s="831"/>
      <c r="D109" s="388">
        <f t="shared" si="25"/>
        <v>219.49041543606211</v>
      </c>
      <c r="E109" s="380">
        <f t="shared" si="47"/>
        <v>226.38942743994829</v>
      </c>
      <c r="F109" s="380">
        <f t="shared" si="26"/>
        <v>226.40334911043362</v>
      </c>
      <c r="G109" s="110">
        <f t="shared" si="48"/>
        <v>1.0190486017817739</v>
      </c>
      <c r="H109" s="409" t="b">
        <f>Wh_hp&gt;='2030'!Maxi_hp</f>
        <v>1</v>
      </c>
      <c r="I109" s="385">
        <f>IF(H109,Wh_hp,'2030'!Maxi_hp)</f>
        <v>226.40334911043362</v>
      </c>
      <c r="J109" s="85">
        <f>IF(H109,An,'2030'!An_max)</f>
        <v>2031</v>
      </c>
      <c r="K109" s="193">
        <f t="shared" si="27"/>
        <v>47943</v>
      </c>
      <c r="L109" s="143">
        <f>IF(t&lt;Tvie,1-EXP((T0-t)*PertePVj)+'2030'!Pspv,1-EXP((T0-t)*PertePVj)+Pspv)</f>
        <v>4.7030599644617865E-2</v>
      </c>
      <c r="M109" s="835"/>
      <c r="N109" s="835"/>
      <c r="O109" s="48">
        <f>IF(t&lt;Tnet,'2030'!Resal+('2030'!Salim-'2030'!Resal)*(1-EXP(('2030'!Tnet-t)/('2030'!Tau_j))),Resal+(Salim-Resal)*(1-EXP((Tnet-t)/(Tau_j))))*Salcycl</f>
        <v>3.047409095866992E-2</v>
      </c>
      <c r="P109" s="165">
        <f>(INDEX(Models!$BJ109:$BT109,,T109)*(1-R109)+INDEX(Models!$BJ109:$BT109,,T109+1)*R109-ERP_i)*Q109*Ramure*Pc/MaxiM</f>
        <v>6.1490567785513195E-5</v>
      </c>
      <c r="Q109" s="301">
        <f t="shared" si="28"/>
        <v>0.5</v>
      </c>
      <c r="R109" s="173">
        <f t="shared" si="29"/>
        <v>0.99502329656315847</v>
      </c>
      <c r="S109" s="801">
        <f t="shared" si="30"/>
        <v>0</v>
      </c>
      <c r="T109" s="172">
        <f t="shared" si="31"/>
        <v>6</v>
      </c>
      <c r="U109" s="247">
        <f t="shared" si="32"/>
        <v>0.99502329656315847</v>
      </c>
      <c r="V109" s="378">
        <f t="shared" si="33"/>
        <v>205.25777594526389</v>
      </c>
      <c r="W109" s="397">
        <f t="shared" si="34"/>
        <v>209.16764958185783</v>
      </c>
      <c r="X109" s="153">
        <f t="shared" si="35"/>
        <v>47943</v>
      </c>
      <c r="Y109" s="380">
        <f t="shared" si="36"/>
        <v>203.20017195805511</v>
      </c>
      <c r="Z109" s="380">
        <f t="shared" si="37"/>
        <v>213.22843302447856</v>
      </c>
      <c r="AA109" s="381">
        <f t="shared" si="38"/>
        <v>226.32331206226996</v>
      </c>
      <c r="AB109" s="193">
        <f t="shared" si="39"/>
        <v>47943</v>
      </c>
      <c r="AC109" s="119">
        <f>IF(OR(t&lt;Tnet,NoTnet),'2030'!Resal_s+('2030'!Salim-'2030'!Resal_s)*(1-EXP(('2030'!Tnet_s-t)/'2030'!Tau_j)),Resal_s+(Salim-Resal_s)*(1-EXP((Tnet_s-t)/Tau_j)))*Salcycl</f>
        <v>5.7859170221883763E-2</v>
      </c>
      <c r="AD109" s="227">
        <f>(INDEX(Models!$BJ109:$BT109,,AH109)*(1-AF109)+INDEX(Models!$BJ109:$BT109,,AH109+1)*AF109-ERP_i)*AE109*Ramure*Pc/MaxiM</f>
        <v>3.535153012450867E-4</v>
      </c>
      <c r="AE109" s="301">
        <f t="shared" si="40"/>
        <v>0.5</v>
      </c>
      <c r="AF109" s="173">
        <f t="shared" si="41"/>
        <v>0.52001086293713694</v>
      </c>
      <c r="AG109" s="801">
        <f t="shared" si="49"/>
        <v>4</v>
      </c>
      <c r="AH109" s="172">
        <f t="shared" si="42"/>
        <v>10</v>
      </c>
      <c r="AI109" s="221">
        <f t="shared" si="43"/>
        <v>4.5200108629371369</v>
      </c>
      <c r="AJ109" s="261" t="b">
        <f t="shared" si="44"/>
        <v>0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47944</v>
      </c>
      <c r="B110" s="406">
        <f>'2030'!Wh/'2030'!Env_an*'2031'!Env_an</f>
        <v>51.931192680114385</v>
      </c>
      <c r="C110" s="831"/>
      <c r="D110" s="388">
        <f t="shared" si="25"/>
        <v>54.494828023751381</v>
      </c>
      <c r="E110" s="380">
        <f t="shared" si="47"/>
        <v>56.211193242863196</v>
      </c>
      <c r="F110" s="380">
        <f t="shared" si="26"/>
        <v>56.211193242863196</v>
      </c>
      <c r="G110" s="110">
        <f t="shared" si="48"/>
        <v>0.25186903542395422</v>
      </c>
      <c r="H110" s="409" t="b">
        <f>Wh_hp&gt;='2030'!Maxi_hp</f>
        <v>0</v>
      </c>
      <c r="I110" s="385">
        <f>IF(H110,Wh_hp,'2030'!Maxi_hp)</f>
        <v>56.214687180619862</v>
      </c>
      <c r="J110" s="85">
        <f>IF(H110,An,'2030'!An_max)</f>
        <v>2029</v>
      </c>
      <c r="K110" s="193">
        <f t="shared" si="27"/>
        <v>47944</v>
      </c>
      <c r="L110" s="143">
        <f>IF(t&lt;Tvie,1-EXP((T0-t)*PertePVj)+'2030'!Pspv,1-EXP((T0-t)*PertePVj)+Pspv)</f>
        <v>4.7043644995441447E-2</v>
      </c>
      <c r="M110" s="835"/>
      <c r="N110" s="835"/>
      <c r="O110" s="48">
        <f>IF(t&lt;Tnet,'2030'!Resal+('2030'!Salim-'2030'!Resal)*(1-EXP(('2030'!Tnet-t)/('2030'!Tau_j))),Resal+(Salim-Resal)*(1-EXP((Tnet-t)/(Tau_j))))*Salcycl</f>
        <v>3.0534224948689088E-2</v>
      </c>
      <c r="P110" s="165">
        <f>(INDEX(Models!$BJ110:$BT110,,T110)*(1-R110)+INDEX(Models!$BJ110:$BT110,,T110+1)*R110-ERP_i)*Q110*Ramure*Pc/MaxiM</f>
        <v>6.2527414072813817E-5</v>
      </c>
      <c r="Q110" s="301">
        <f t="shared" si="28"/>
        <v>0.5</v>
      </c>
      <c r="R110" s="173">
        <f t="shared" si="29"/>
        <v>0.99624668108619874</v>
      </c>
      <c r="S110" s="801">
        <f t="shared" si="30"/>
        <v>0</v>
      </c>
      <c r="T110" s="172">
        <f t="shared" si="31"/>
        <v>6</v>
      </c>
      <c r="U110" s="247">
        <f t="shared" si="32"/>
        <v>0.99624668108619874</v>
      </c>
      <c r="V110" s="378">
        <f t="shared" si="33"/>
        <v>206.17042293237657</v>
      </c>
      <c r="W110" s="397">
        <f t="shared" si="34"/>
        <v>51.931192680114385</v>
      </c>
      <c r="X110" s="153">
        <f t="shared" si="35"/>
        <v>47944</v>
      </c>
      <c r="Y110" s="380">
        <f t="shared" si="36"/>
        <v>50.465596051583418</v>
      </c>
      <c r="Z110" s="380">
        <f t="shared" si="37"/>
        <v>52.956880749635182</v>
      </c>
      <c r="AA110" s="381">
        <f t="shared" si="38"/>
        <v>56.211193242863196</v>
      </c>
      <c r="AB110" s="193">
        <f t="shared" si="39"/>
        <v>47944</v>
      </c>
      <c r="AC110" s="119">
        <f>IF(OR(t&lt;Tnet,NoTnet),'2030'!Resal_s+('2030'!Salim-'2030'!Resal_s)*(1-EXP(('2030'!Tnet_s-t)/'2030'!Tau_j)),Resal_s+(Salim-Resal_s)*(1-EXP((Tnet_s-t)/Tau_j)))*Salcycl</f>
        <v>5.7894385539328415E-2</v>
      </c>
      <c r="AD110" s="227">
        <f>(INDEX(Models!$BJ110:$BT110,,AH110)*(1-AF110)+INDEX(Models!$BJ110:$BT110,,AH110+1)*AF110-ERP_i)*AE110*Ramure*Pc/MaxiM</f>
        <v>3.578822748822287E-4</v>
      </c>
      <c r="AE110" s="301">
        <f t="shared" si="40"/>
        <v>0.5</v>
      </c>
      <c r="AF110" s="173">
        <f t="shared" si="41"/>
        <v>0.52123424746017655</v>
      </c>
      <c r="AG110" s="801">
        <f t="shared" si="49"/>
        <v>4</v>
      </c>
      <c r="AH110" s="172">
        <f t="shared" si="42"/>
        <v>10</v>
      </c>
      <c r="AI110" s="221">
        <f t="shared" si="43"/>
        <v>4.5212342474601765</v>
      </c>
      <c r="AJ110" s="261" t="b">
        <f t="shared" si="44"/>
        <v>0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47945</v>
      </c>
      <c r="B111" s="406">
        <f>'2030'!Wh/'2030'!Env_an*'2031'!Env_an</f>
        <v>159.59516215034591</v>
      </c>
      <c r="C111" s="831"/>
      <c r="D111" s="388">
        <f t="shared" si="25"/>
        <v>167.47602979491947</v>
      </c>
      <c r="E111" s="380">
        <f t="shared" si="47"/>
        <v>172.76161276381629</v>
      </c>
      <c r="F111" s="380">
        <f t="shared" si="26"/>
        <v>172.76901054678945</v>
      </c>
      <c r="G111" s="110">
        <f t="shared" si="48"/>
        <v>0.77075159354982292</v>
      </c>
      <c r="H111" s="409" t="b">
        <f>Wh_hp&gt;='2030'!Maxi_hp</f>
        <v>0</v>
      </c>
      <c r="I111" s="385">
        <f>IF(H111,Wh_hp,'2030'!Maxi_hp)</f>
        <v>172.77258736468227</v>
      </c>
      <c r="J111" s="85">
        <f>IF(H111,An,'2030'!An_max)</f>
        <v>2029</v>
      </c>
      <c r="K111" s="193">
        <f t="shared" si="27"/>
        <v>47945</v>
      </c>
      <c r="L111" s="143">
        <f>IF(t&lt;Tvie,1-EXP((T0-t)*PertePVj)+'2030'!Pspv,1-EXP((T0-t)*PertePVj)+Pspv)</f>
        <v>4.7056690167685211E-2</v>
      </c>
      <c r="M111" s="835"/>
      <c r="N111" s="835"/>
      <c r="O111" s="48">
        <f>IF(t&lt;Tnet,'2030'!Resal+('2030'!Salim-'2030'!Resal)*(1-EXP(('2030'!Tnet-t)/('2030'!Tau_j))),Resal+(Salim-Resal)*(1-EXP((Tnet-t)/(Tau_j))))*Salcycl</f>
        <v>3.0594660957019397E-2</v>
      </c>
      <c r="P111" s="165">
        <f>(INDEX(Models!$BJ111:$BT111,,T111)*(1-R111)+INDEX(Models!$BJ111:$BT111,,T111+1)*R111-ERP_i)*Q111*Ramure*Pc/MaxiM</f>
        <v>6.366887193626031E-5</v>
      </c>
      <c r="Q111" s="301">
        <f t="shared" si="28"/>
        <v>0.5</v>
      </c>
      <c r="R111" s="173">
        <f t="shared" si="29"/>
        <v>0.99751462764714771</v>
      </c>
      <c r="S111" s="801">
        <f t="shared" si="30"/>
        <v>0</v>
      </c>
      <c r="T111" s="172">
        <f t="shared" si="31"/>
        <v>6</v>
      </c>
      <c r="U111" s="247">
        <f t="shared" si="32"/>
        <v>0.99751462764714771</v>
      </c>
      <c r="V111" s="378">
        <f t="shared" si="33"/>
        <v>207.060012321042</v>
      </c>
      <c r="W111" s="397">
        <f t="shared" si="34"/>
        <v>159.59516215034591</v>
      </c>
      <c r="X111" s="153">
        <f t="shared" si="35"/>
        <v>47945</v>
      </c>
      <c r="Y111" s="380">
        <f t="shared" si="36"/>
        <v>155.06365642949882</v>
      </c>
      <c r="Z111" s="380">
        <f t="shared" si="37"/>
        <v>162.72075665947503</v>
      </c>
      <c r="AA111" s="381">
        <f t="shared" si="38"/>
        <v>172.72686354292262</v>
      </c>
      <c r="AB111" s="193">
        <f t="shared" si="39"/>
        <v>47945</v>
      </c>
      <c r="AC111" s="119">
        <f>IF(OR(t&lt;Tnet,NoTnet),'2030'!Resal_s+('2030'!Salim-'2030'!Resal_s)*(1-EXP(('2030'!Tnet_s-t)/'2030'!Tau_j)),Resal_s+(Salim-Resal_s)*(1-EXP((Tnet_s-t)/Tau_j)))*Salcycl</f>
        <v>5.7930229717632106E-2</v>
      </c>
      <c r="AD111" s="227">
        <f>(INDEX(Models!$BJ111:$BT111,,AH111)*(1-AF111)+INDEX(Models!$BJ111:$BT111,,AH111+1)*AF111-ERP_i)*AE111*Ramure*Pc/MaxiM</f>
        <v>3.6273735001831459E-4</v>
      </c>
      <c r="AE111" s="301">
        <f t="shared" si="40"/>
        <v>0.5</v>
      </c>
      <c r="AF111" s="173">
        <f t="shared" si="41"/>
        <v>0.52250219402112563</v>
      </c>
      <c r="AG111" s="801">
        <f t="shared" si="49"/>
        <v>4</v>
      </c>
      <c r="AH111" s="172">
        <f t="shared" si="42"/>
        <v>10</v>
      </c>
      <c r="AI111" s="221">
        <f t="shared" si="43"/>
        <v>4.5225021940211256</v>
      </c>
      <c r="AJ111" s="261" t="b">
        <f t="shared" si="44"/>
        <v>0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47946</v>
      </c>
      <c r="B112" s="406">
        <f>'2030'!Wh/'2030'!Env_an*'2031'!Env_an</f>
        <v>127.02587524658466</v>
      </c>
      <c r="C112" s="831"/>
      <c r="D112" s="388">
        <f t="shared" si="25"/>
        <v>133.30028432677901</v>
      </c>
      <c r="E112" s="380">
        <f t="shared" si="47"/>
        <v>137.5158903141463</v>
      </c>
      <c r="F112" s="380">
        <f t="shared" si="26"/>
        <v>137.51985545613064</v>
      </c>
      <c r="G112" s="110">
        <f t="shared" si="48"/>
        <v>0.61089283068668632</v>
      </c>
      <c r="H112" s="409" t="b">
        <f>Wh_hp&gt;='2030'!Maxi_hp</f>
        <v>0</v>
      </c>
      <c r="I112" s="385">
        <f>IF(H112,Wh_hp,'2030'!Maxi_hp)</f>
        <v>137.52477670593319</v>
      </c>
      <c r="J112" s="85">
        <f>IF(H112,An,'2030'!An_max)</f>
        <v>2029</v>
      </c>
      <c r="K112" s="193">
        <f t="shared" si="27"/>
        <v>47946</v>
      </c>
      <c r="L112" s="143">
        <f>IF(t&lt;Tvie,1-EXP((T0-t)*PertePVj)+'2030'!Pspv,1-EXP((T0-t)*PertePVj)+Pspv)</f>
        <v>4.7069735161351489E-2</v>
      </c>
      <c r="M112" s="835"/>
      <c r="N112" s="835"/>
      <c r="O112" s="48">
        <f>IF(t&lt;Tnet,'2030'!Resal+('2030'!Salim-'2030'!Resal)*(1-EXP(('2030'!Tnet-t)/('2030'!Tau_j))),Resal+(Salim-Resal)*(1-EXP((Tnet-t)/(Tau_j))))*Salcycl</f>
        <v>3.0655409914716145E-2</v>
      </c>
      <c r="P112" s="165">
        <f>(INDEX(Models!$BJ112:$BT112,,T112)*(1-R112)+INDEX(Models!$BJ112:$BT112,,T112+1)*R112-ERP_i)*Q112*Ramure*Pc/MaxiM</f>
        <v>6.4915719672424584E-5</v>
      </c>
      <c r="Q112" s="301">
        <f t="shared" si="28"/>
        <v>0.5</v>
      </c>
      <c r="R112" s="173">
        <f t="shared" si="29"/>
        <v>0.99882848597489127</v>
      </c>
      <c r="S112" s="801">
        <f t="shared" si="30"/>
        <v>0</v>
      </c>
      <c r="T112" s="172">
        <f t="shared" si="31"/>
        <v>6</v>
      </c>
      <c r="U112" s="247">
        <f t="shared" si="32"/>
        <v>0.99882848597489127</v>
      </c>
      <c r="V112" s="378">
        <f t="shared" si="33"/>
        <v>207.92729153843328</v>
      </c>
      <c r="W112" s="397">
        <f t="shared" si="34"/>
        <v>127.02587524658466</v>
      </c>
      <c r="X112" s="153">
        <f t="shared" si="35"/>
        <v>47946</v>
      </c>
      <c r="Y112" s="380">
        <f t="shared" si="36"/>
        <v>123.43029439205796</v>
      </c>
      <c r="Z112" s="380">
        <f t="shared" si="37"/>
        <v>129.52710071912486</v>
      </c>
      <c r="AA112" s="381">
        <f t="shared" si="38"/>
        <v>137.49737251640602</v>
      </c>
      <c r="AB112" s="193">
        <f t="shared" si="39"/>
        <v>47946</v>
      </c>
      <c r="AC112" s="119">
        <f>IF(OR(t&lt;Tnet,NoTnet),'2030'!Resal_s+('2030'!Salim-'2030'!Resal_s)*(1-EXP(('2030'!Tnet_s-t)/'2030'!Tau_j)),Resal_s+(Salim-Resal_s)*(1-EXP((Tnet_s-t)/Tau_j)))*Salcycl</f>
        <v>5.7966720755555888E-2</v>
      </c>
      <c r="AD112" s="227">
        <f>(INDEX(Models!$BJ112:$BT112,,AH112)*(1-AF112)+INDEX(Models!$BJ112:$BT112,,AH112+1)*AF112-ERP_i)*AE112*Ramure*Pc/MaxiM</f>
        <v>3.680817025809102E-4</v>
      </c>
      <c r="AE112" s="301">
        <f t="shared" si="40"/>
        <v>0.5</v>
      </c>
      <c r="AF112" s="173">
        <f t="shared" si="41"/>
        <v>0.5238160523488693</v>
      </c>
      <c r="AG112" s="801">
        <f t="shared" si="49"/>
        <v>4</v>
      </c>
      <c r="AH112" s="172">
        <f t="shared" si="42"/>
        <v>10</v>
      </c>
      <c r="AI112" s="221">
        <f t="shared" si="43"/>
        <v>4.5238160523488693</v>
      </c>
      <c r="AJ112" s="261" t="b">
        <f t="shared" si="44"/>
        <v>0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47947</v>
      </c>
      <c r="B113" s="406">
        <f>'2030'!Wh/'2030'!Env_an*'2031'!Env_an</f>
        <v>137.11571154249825</v>
      </c>
      <c r="C113" s="831"/>
      <c r="D113" s="388">
        <f t="shared" si="25"/>
        <v>143.89047512344104</v>
      </c>
      <c r="E113" s="380">
        <f t="shared" si="47"/>
        <v>148.45034762076943</v>
      </c>
      <c r="F113" s="380">
        <f t="shared" si="26"/>
        <v>148.45536188492258</v>
      </c>
      <c r="G113" s="110">
        <f t="shared" si="48"/>
        <v>0.65674800379192844</v>
      </c>
      <c r="H113" s="409" t="b">
        <f>Wh_hp&gt;='2030'!Maxi_hp</f>
        <v>0</v>
      </c>
      <c r="I113" s="385">
        <f>IF(H113,Wh_hp,'2030'!Maxi_hp)</f>
        <v>148.46014028866742</v>
      </c>
      <c r="J113" s="85">
        <f>IF(H113,An,'2030'!An_max)</f>
        <v>2029</v>
      </c>
      <c r="K113" s="193">
        <f t="shared" si="27"/>
        <v>47947</v>
      </c>
      <c r="L113" s="143">
        <f>IF(t&lt;Tvie,1-EXP((T0-t)*PertePVj)+'2030'!Pspv,1-EXP((T0-t)*PertePVj)+Pspv)</f>
        <v>4.7082779976442724E-2</v>
      </c>
      <c r="M113" s="835"/>
      <c r="N113" s="835"/>
      <c r="O113" s="48">
        <f>IF(t&lt;Tnet,'2030'!Resal+('2030'!Salim-'2030'!Resal)*(1-EXP(('2030'!Tnet-t)/('2030'!Tau_j))),Resal+(Salim-Resal)*(1-EXP((Tnet-t)/(Tau_j))))*Salcycl</f>
        <v>3.0716482449586725E-2</v>
      </c>
      <c r="P113" s="165">
        <f>(INDEX(Models!$BJ113:$BT113,,T113)*(1-R113)+INDEX(Models!$BJ113:$BT113,,T113+1)*R113-ERP_i)*Q113*Ramure*Pc/MaxiM</f>
        <v>6.6270741342089321E-5</v>
      </c>
      <c r="Q113" s="301">
        <f t="shared" si="28"/>
        <v>0.5</v>
      </c>
      <c r="R113" s="173">
        <f t="shared" si="29"/>
        <v>1.896249624573354E-4</v>
      </c>
      <c r="S113" s="801">
        <f t="shared" si="30"/>
        <v>1</v>
      </c>
      <c r="T113" s="172">
        <f t="shared" si="31"/>
        <v>7</v>
      </c>
      <c r="U113" s="247">
        <f t="shared" si="32"/>
        <v>1.0001896249624573</v>
      </c>
      <c r="V113" s="378">
        <f t="shared" si="33"/>
        <v>208.77300744559835</v>
      </c>
      <c r="W113" s="397">
        <f t="shared" si="34"/>
        <v>137.11571154249825</v>
      </c>
      <c r="X113" s="153">
        <f t="shared" si="35"/>
        <v>47947</v>
      </c>
      <c r="Y113" s="380">
        <f t="shared" si="36"/>
        <v>133.23471753811049</v>
      </c>
      <c r="Z113" s="380">
        <f t="shared" si="37"/>
        <v>139.81772470731167</v>
      </c>
      <c r="AA113" s="381">
        <f t="shared" si="38"/>
        <v>148.42707007378556</v>
      </c>
      <c r="AB113" s="193">
        <f t="shared" si="39"/>
        <v>47947</v>
      </c>
      <c r="AC113" s="119">
        <f>IF(OR(t&lt;Tnet,NoTnet),'2030'!Resal_s+('2030'!Salim-'2030'!Resal_s)*(1-EXP(('2030'!Tnet_s-t)/'2030'!Tau_j)),Resal_s+(Salim-Resal_s)*(1-EXP((Tnet_s-t)/Tau_j)))*Salcycl</f>
        <v>5.8003875992391714E-2</v>
      </c>
      <c r="AD113" s="227">
        <f>(INDEX(Models!$BJ113:$BT113,,AH113)*(1-AF113)+INDEX(Models!$BJ113:$BT113,,AH113+1)*AF113-ERP_i)*AE113*Ramure*Pc/MaxiM</f>
        <v>3.7391713733120845E-4</v>
      </c>
      <c r="AE113" s="301">
        <f t="shared" si="40"/>
        <v>0.5</v>
      </c>
      <c r="AF113" s="173">
        <f t="shared" si="41"/>
        <v>0.52517719133643581</v>
      </c>
      <c r="AG113" s="801">
        <f t="shared" si="49"/>
        <v>4</v>
      </c>
      <c r="AH113" s="172">
        <f t="shared" si="42"/>
        <v>10</v>
      </c>
      <c r="AI113" s="221">
        <f t="shared" si="43"/>
        <v>4.5251771913364358</v>
      </c>
      <c r="AJ113" s="261" t="b">
        <f t="shared" si="44"/>
        <v>0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47948</v>
      </c>
      <c r="B114" s="406">
        <f>'2030'!Wh/'2030'!Env_an*'2031'!Env_an</f>
        <v>214.06156100850322</v>
      </c>
      <c r="C114" s="831"/>
      <c r="D114" s="388">
        <f t="shared" si="25"/>
        <v>224.64122472918999</v>
      </c>
      <c r="E114" s="380">
        <f t="shared" si="47"/>
        <v>231.77476261438991</v>
      </c>
      <c r="F114" s="380">
        <f t="shared" si="26"/>
        <v>231.79044704559419</v>
      </c>
      <c r="G114" s="110">
        <f t="shared" si="48"/>
        <v>1.0212962014267877</v>
      </c>
      <c r="H114" s="409" t="b">
        <f>Wh_hp&gt;='2030'!Maxi_hp</f>
        <v>1</v>
      </c>
      <c r="I114" s="385">
        <f>IF(H114,Wh_hp,'2030'!Maxi_hp)</f>
        <v>231.79044704559419</v>
      </c>
      <c r="J114" s="85">
        <f>IF(H114,An,'2030'!An_max)</f>
        <v>2031</v>
      </c>
      <c r="K114" s="193">
        <f t="shared" si="27"/>
        <v>47948</v>
      </c>
      <c r="L114" s="143">
        <f>IF(t&lt;Tvie,1-EXP((T0-t)*PertePVj)+'2030'!Pspv,1-EXP((T0-t)*PertePVj)+Pspv)</f>
        <v>4.7095824612961357E-2</v>
      </c>
      <c r="M114" s="835"/>
      <c r="N114" s="835"/>
      <c r="O114" s="48">
        <f>IF(t&lt;Tnet,'2030'!Resal+('2030'!Salim-'2030'!Resal)*(1-EXP(('2030'!Tnet-t)/('2030'!Tau_j))),Resal+(Salim-Resal)*(1-EXP((Tnet-t)/(Tau_j))))*Salcycl</f>
        <v>3.0777888863888908E-2</v>
      </c>
      <c r="P114" s="165">
        <f>(INDEX(Models!$BJ114:$BT114,,T114)*(1-R114)+INDEX(Models!$BJ114:$BT114,,T114+1)*R114-ERP_i)*Q114*Ramure*Pc/MaxiM</f>
        <v>6.7666426309644852E-5</v>
      </c>
      <c r="Q114" s="301">
        <f t="shared" si="28"/>
        <v>0.5</v>
      </c>
      <c r="R114" s="173">
        <f t="shared" si="29"/>
        <v>1.5994310687998947E-3</v>
      </c>
      <c r="S114" s="801">
        <f t="shared" si="30"/>
        <v>1</v>
      </c>
      <c r="T114" s="172">
        <f t="shared" si="31"/>
        <v>7</v>
      </c>
      <c r="U114" s="247">
        <f t="shared" si="32"/>
        <v>1.0015994310687999</v>
      </c>
      <c r="V114" s="378">
        <f t="shared" si="33"/>
        <v>209.59792145457067</v>
      </c>
      <c r="W114" s="397">
        <f t="shared" si="34"/>
        <v>214.06156100850322</v>
      </c>
      <c r="X114" s="153">
        <f t="shared" si="35"/>
        <v>47948</v>
      </c>
      <c r="Y114" s="380">
        <f t="shared" si="36"/>
        <v>207.97507927746005</v>
      </c>
      <c r="Z114" s="380">
        <f t="shared" si="37"/>
        <v>218.25392799122466</v>
      </c>
      <c r="AA114" s="381">
        <f t="shared" si="38"/>
        <v>231.7023277867485</v>
      </c>
      <c r="AB114" s="193">
        <f t="shared" si="39"/>
        <v>47948</v>
      </c>
      <c r="AC114" s="119">
        <f>IF(OR(t&lt;Tnet,NoTnet),'2030'!Resal_s+('2030'!Salim-'2030'!Resal_s)*(1-EXP(('2030'!Tnet_s-t)/'2030'!Tau_j)),Resal_s+(Salim-Resal_s)*(1-EXP((Tnet_s-t)/Tau_j)))*Salcycl</f>
        <v>5.8041712070762239E-2</v>
      </c>
      <c r="AD114" s="227">
        <f>(INDEX(Models!$BJ114:$BT114,,AH114)*(1-AF114)+INDEX(Models!$BJ114:$BT114,,AH114+1)*AF114-ERP_i)*AE114*Ramure*Pc/MaxiM</f>
        <v>3.8016777640691841E-4</v>
      </c>
      <c r="AE114" s="301">
        <f t="shared" si="40"/>
        <v>0.5</v>
      </c>
      <c r="AF114" s="173">
        <f t="shared" si="41"/>
        <v>0.52658699744277815</v>
      </c>
      <c r="AG114" s="801">
        <f t="shared" si="49"/>
        <v>4</v>
      </c>
      <c r="AH114" s="172">
        <f t="shared" si="42"/>
        <v>10</v>
      </c>
      <c r="AI114" s="221">
        <f t="shared" si="43"/>
        <v>4.5265869974427781</v>
      </c>
      <c r="AJ114" s="261" t="b">
        <f t="shared" si="44"/>
        <v>0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47949</v>
      </c>
      <c r="B115" s="406">
        <f>'2030'!Wh/'2030'!Env_an*'2031'!Env_an</f>
        <v>172.16185592283864</v>
      </c>
      <c r="C115" s="831"/>
      <c r="D115" s="388">
        <f t="shared" si="25"/>
        <v>180.67316436766183</v>
      </c>
      <c r="E115" s="380">
        <f t="shared" si="47"/>
        <v>186.42236275750153</v>
      </c>
      <c r="F115" s="380">
        <f t="shared" si="26"/>
        <v>186.4318951942096</v>
      </c>
      <c r="G115" s="110">
        <f t="shared" si="48"/>
        <v>0.81823425040355491</v>
      </c>
      <c r="H115" s="409" t="b">
        <f>Wh_hp&gt;='2030'!Maxi_hp</f>
        <v>0</v>
      </c>
      <c r="I115" s="385">
        <f>IF(H115,Wh_hp,'2030'!Maxi_hp)</f>
        <v>186.43519733585043</v>
      </c>
      <c r="J115" s="85">
        <f>IF(H115,An,'2030'!An_max)</f>
        <v>2029</v>
      </c>
      <c r="K115" s="193">
        <f t="shared" si="27"/>
        <v>47949</v>
      </c>
      <c r="L115" s="143">
        <f>IF(t&lt;Tvie,1-EXP((T0-t)*PertePVj)+'2030'!Pspv,1-EXP((T0-t)*PertePVj)+Pspv)</f>
        <v>4.7108869070909942E-2</v>
      </c>
      <c r="M115" s="835"/>
      <c r="N115" s="835"/>
      <c r="O115" s="48">
        <f>IF(t&lt;Tnet,'2030'!Resal+('2030'!Salim-'2030'!Resal)*(1-EXP(('2030'!Tnet-t)/('2030'!Tau_j))),Resal+(Salim-Resal)*(1-EXP((Tnet-t)/(Tau_j))))*Salcycl</f>
        <v>3.0839639111957074E-2</v>
      </c>
      <c r="P115" s="165">
        <f>(INDEX(Models!$BJ115:$BT115,,T115)*(1-R115)+INDEX(Models!$BJ115:$BT115,,T115+1)*R115-ERP_i)*Q115*Ramure*Pc/MaxiM</f>
        <v>6.9062667242836799E-5</v>
      </c>
      <c r="Q115" s="301">
        <f t="shared" si="28"/>
        <v>0.5</v>
      </c>
      <c r="R115" s="173">
        <f t="shared" si="29"/>
        <v>3.0593065346968817E-3</v>
      </c>
      <c r="S115" s="801">
        <f t="shared" si="30"/>
        <v>1</v>
      </c>
      <c r="T115" s="172">
        <f t="shared" si="31"/>
        <v>7</v>
      </c>
      <c r="U115" s="247">
        <f t="shared" si="32"/>
        <v>1.0030593065346969</v>
      </c>
      <c r="V115" s="378">
        <f t="shared" si="33"/>
        <v>210.40278932273176</v>
      </c>
      <c r="W115" s="397">
        <f t="shared" si="34"/>
        <v>172.16185592283864</v>
      </c>
      <c r="X115" s="153">
        <f t="shared" si="35"/>
        <v>47949</v>
      </c>
      <c r="Y115" s="380">
        <f t="shared" si="36"/>
        <v>167.28347276330862</v>
      </c>
      <c r="Z115" s="380">
        <f t="shared" si="37"/>
        <v>175.55360453423836</v>
      </c>
      <c r="AA115" s="381">
        <f t="shared" si="38"/>
        <v>186.37851428810706</v>
      </c>
      <c r="AB115" s="193">
        <f t="shared" si="39"/>
        <v>47949</v>
      </c>
      <c r="AC115" s="119">
        <f>IF(OR(t&lt;Tnet,NoTnet),'2030'!Resal_s+('2030'!Salim-'2030'!Resal_s)*(1-EXP(('2030'!Tnet_s-t)/'2030'!Tau_j)),Resal_s+(Salim-Resal_s)*(1-EXP((Tnet_s-t)/Tau_j)))*Salcycl</f>
        <v>5.8080244899556169E-2</v>
      </c>
      <c r="AD115" s="227">
        <f>(INDEX(Models!$BJ115:$BT115,,AH115)*(1-AF115)+INDEX(Models!$BJ115:$BT115,,AH115+1)*AF115-ERP_i)*AE115*Ramure*Pc/MaxiM</f>
        <v>3.8674557914040178E-4</v>
      </c>
      <c r="AE115" s="301">
        <f t="shared" si="40"/>
        <v>0.5</v>
      </c>
      <c r="AF115" s="173">
        <f t="shared" si="41"/>
        <v>0.52804687290867491</v>
      </c>
      <c r="AG115" s="801">
        <f t="shared" si="49"/>
        <v>4</v>
      </c>
      <c r="AH115" s="172">
        <f t="shared" si="42"/>
        <v>10</v>
      </c>
      <c r="AI115" s="221">
        <f t="shared" si="43"/>
        <v>4.5280468729086749</v>
      </c>
      <c r="AJ115" s="261" t="b">
        <f t="shared" si="44"/>
        <v>0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47950</v>
      </c>
      <c r="B116" s="406">
        <f>'2030'!Wh/'2030'!Env_an*'2031'!Env_an</f>
        <v>144.14617702633248</v>
      </c>
      <c r="C116" s="831"/>
      <c r="D116" s="388">
        <f t="shared" si="25"/>
        <v>151.27452194135992</v>
      </c>
      <c r="E116" s="380">
        <f t="shared" si="47"/>
        <v>156.09822927030899</v>
      </c>
      <c r="F116" s="380">
        <f t="shared" si="26"/>
        <v>156.10424031310089</v>
      </c>
      <c r="G116" s="110">
        <f t="shared" si="48"/>
        <v>0.6825261208568868</v>
      </c>
      <c r="H116" s="409" t="b">
        <f>Wh_hp&gt;='2030'!Maxi_hp</f>
        <v>0</v>
      </c>
      <c r="I116" s="385">
        <f>IF(H116,Wh_hp,'2030'!Maxi_hp)</f>
        <v>156.10916021817334</v>
      </c>
      <c r="J116" s="85">
        <f>IF(H116,An,'2030'!An_max)</f>
        <v>2029</v>
      </c>
      <c r="K116" s="193">
        <f t="shared" si="27"/>
        <v>47950</v>
      </c>
      <c r="L116" s="143">
        <f>IF(t&lt;Tvie,1-EXP((T0-t)*PertePVj)+'2030'!Pspv,1-EXP((T0-t)*PertePVj)+Pspv)</f>
        <v>4.7121913350290812E-2</v>
      </c>
      <c r="M116" s="835"/>
      <c r="N116" s="835"/>
      <c r="O116" s="48">
        <f>IF(t&lt;Tnet,'2030'!Resal+('2030'!Salim-'2030'!Resal)*(1-EXP(('2030'!Tnet-t)/('2030'!Tau_j))),Resal+(Salim-Resal)*(1-EXP((Tnet-t)/(Tau_j))))*Salcycl</f>
        <v>3.0901742777594624E-2</v>
      </c>
      <c r="P116" s="165">
        <f>(INDEX(Models!$BJ116:$BT116,,T116)*(1-R116)+INDEX(Models!$BJ116:$BT116,,T116+1)*R116-ERP_i)*Q116*Ramure*Pc/MaxiM</f>
        <v>7.0460756403148178E-5</v>
      </c>
      <c r="Q116" s="301">
        <f t="shared" si="28"/>
        <v>0.5</v>
      </c>
      <c r="R116" s="173">
        <f t="shared" si="29"/>
        <v>4.5706674033252348E-3</v>
      </c>
      <c r="S116" s="801">
        <f t="shared" si="30"/>
        <v>1</v>
      </c>
      <c r="T116" s="172">
        <f t="shared" si="31"/>
        <v>7</v>
      </c>
      <c r="U116" s="247">
        <f t="shared" si="32"/>
        <v>1.0045706674033252</v>
      </c>
      <c r="V116" s="378">
        <f t="shared" si="33"/>
        <v>211.188358033566</v>
      </c>
      <c r="W116" s="397">
        <f t="shared" si="34"/>
        <v>144.14617702633248</v>
      </c>
      <c r="X116" s="153">
        <f t="shared" si="35"/>
        <v>47950</v>
      </c>
      <c r="Y116" s="380">
        <f t="shared" si="36"/>
        <v>140.07299345305773</v>
      </c>
      <c r="Z116" s="380">
        <f t="shared" si="37"/>
        <v>146.99991049804723</v>
      </c>
      <c r="AA116" s="381">
        <f t="shared" si="38"/>
        <v>156.07065745337911</v>
      </c>
      <c r="AB116" s="193">
        <f t="shared" si="39"/>
        <v>47950</v>
      </c>
      <c r="AC116" s="119">
        <f>IF(OR(t&lt;Tnet,NoTnet),'2030'!Resal_s+('2030'!Salim-'2030'!Resal_s)*(1-EXP(('2030'!Tnet_s-t)/'2030'!Tau_j)),Resal_s+(Salim-Resal_s)*(1-EXP((Tnet_s-t)/Tau_j)))*Salcycl</f>
        <v>5.8119489616691548E-2</v>
      </c>
      <c r="AD116" s="227">
        <f>(INDEX(Models!$BJ116:$BT116,,AH116)*(1-AF116)+INDEX(Models!$BJ116:$BT116,,AH116+1)*AF116-ERP_i)*AE116*Ramure*Pc/MaxiM</f>
        <v>3.9365444234846174E-4</v>
      </c>
      <c r="AE116" s="301">
        <f t="shared" si="40"/>
        <v>0.5</v>
      </c>
      <c r="AF116" s="173">
        <f t="shared" si="41"/>
        <v>0.52955823377730304</v>
      </c>
      <c r="AG116" s="801">
        <f t="shared" si="49"/>
        <v>4</v>
      </c>
      <c r="AH116" s="172">
        <f t="shared" si="42"/>
        <v>10</v>
      </c>
      <c r="AI116" s="221">
        <f t="shared" si="43"/>
        <v>4.529558233777303</v>
      </c>
      <c r="AJ116" s="261" t="b">
        <f t="shared" si="44"/>
        <v>0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47951</v>
      </c>
      <c r="B117" s="406">
        <f>'2030'!Wh/'2030'!Env_an*'2031'!Env_an</f>
        <v>23.913576862223014</v>
      </c>
      <c r="C117" s="831"/>
      <c r="D117" s="388">
        <f t="shared" si="25"/>
        <v>25.096499288351172</v>
      </c>
      <c r="E117" s="380">
        <f t="shared" si="47"/>
        <v>25.898423487305351</v>
      </c>
      <c r="F117" s="380">
        <f t="shared" si="26"/>
        <v>25.898423487305351</v>
      </c>
      <c r="G117" s="110">
        <f t="shared" si="48"/>
        <v>0.11281553227058501</v>
      </c>
      <c r="H117" s="409" t="b">
        <f>Wh_hp&gt;='2030'!Maxi_hp</f>
        <v>0</v>
      </c>
      <c r="I117" s="385">
        <f>IF(H117,Wh_hp,'2030'!Maxi_hp)</f>
        <v>25.900256348874201</v>
      </c>
      <c r="J117" s="85">
        <f>IF(H117,An,'2030'!An_max)</f>
        <v>2029</v>
      </c>
      <c r="K117" s="193">
        <f t="shared" si="27"/>
        <v>47951</v>
      </c>
      <c r="L117" s="143">
        <f>IF(t&lt;Tvie,1-EXP((T0-t)*PertePVj)+'2030'!Pspv,1-EXP((T0-t)*PertePVj)+Pspv)</f>
        <v>4.7134957451106518E-2</v>
      </c>
      <c r="M117" s="835"/>
      <c r="N117" s="835"/>
      <c r="O117" s="48">
        <f>IF(t&lt;Tnet,'2030'!Resal+('2030'!Salim-'2030'!Resal)*(1-EXP(('2030'!Tnet-t)/('2030'!Tau_j))),Resal+(Salim-Resal)*(1-EXP((Tnet-t)/(Tau_j))))*Salcycl</f>
        <v>3.0964209051074412E-2</v>
      </c>
      <c r="P117" s="165">
        <f>(INDEX(Models!$BJ117:$BT117,,T117)*(1-R117)+INDEX(Models!$BJ117:$BT117,,T117+1)*R117-ERP_i)*Q117*Ramure*Pc/MaxiM</f>
        <v>7.1861959685270388E-5</v>
      </c>
      <c r="Q117" s="301">
        <f t="shared" si="28"/>
        <v>0.5</v>
      </c>
      <c r="R117" s="173">
        <f t="shared" si="29"/>
        <v>6.134941336246813E-3</v>
      </c>
      <c r="S117" s="801">
        <f t="shared" si="30"/>
        <v>1</v>
      </c>
      <c r="T117" s="172">
        <f t="shared" si="31"/>
        <v>7</v>
      </c>
      <c r="U117" s="247">
        <f t="shared" si="32"/>
        <v>1.0061349413362468</v>
      </c>
      <c r="V117" s="378">
        <f t="shared" si="33"/>
        <v>211.9553744459111</v>
      </c>
      <c r="W117" s="397">
        <f t="shared" si="34"/>
        <v>23.913576862223014</v>
      </c>
      <c r="X117" s="153">
        <f t="shared" si="35"/>
        <v>47951</v>
      </c>
      <c r="Y117" s="380">
        <f t="shared" si="36"/>
        <v>23.242460539054065</v>
      </c>
      <c r="Z117" s="380">
        <f t="shared" si="37"/>
        <v>24.392185148151707</v>
      </c>
      <c r="AA117" s="381">
        <f t="shared" si="38"/>
        <v>25.898423487305351</v>
      </c>
      <c r="AB117" s="193">
        <f t="shared" si="39"/>
        <v>47951</v>
      </c>
      <c r="AC117" s="119">
        <f>IF(OR(t&lt;Tnet,NoTnet),'2030'!Resal_s+('2030'!Salim-'2030'!Resal_s)*(1-EXP(('2030'!Tnet_s-t)/'2030'!Tau_j)),Resal_s+(Salim-Resal_s)*(1-EXP((Tnet_s-t)/Tau_j)))*Salcycl</f>
        <v>5.8159460551409886E-2</v>
      </c>
      <c r="AD117" s="227">
        <f>(INDEX(Models!$BJ117:$BT117,,AH117)*(1-AF117)+INDEX(Models!$BJ117:$BT117,,AH117+1)*AF117-ERP_i)*AE117*Ramure*Pc/MaxiM</f>
        <v>4.0089856439012715E-4</v>
      </c>
      <c r="AE117" s="301">
        <f t="shared" si="40"/>
        <v>0.5</v>
      </c>
      <c r="AF117" s="173">
        <f t="shared" si="41"/>
        <v>0.53112250771022484</v>
      </c>
      <c r="AG117" s="801">
        <f t="shared" si="49"/>
        <v>4</v>
      </c>
      <c r="AH117" s="172">
        <f t="shared" si="42"/>
        <v>10</v>
      </c>
      <c r="AI117" s="221">
        <f t="shared" si="43"/>
        <v>4.5311225077102248</v>
      </c>
      <c r="AJ117" s="261" t="b">
        <f t="shared" si="44"/>
        <v>0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47952</v>
      </c>
      <c r="B118" s="406">
        <f>'2030'!Wh/'2030'!Env_an*'2031'!Env_an</f>
        <v>171.67541782836525</v>
      </c>
      <c r="C118" s="831"/>
      <c r="D118" s="388">
        <f t="shared" si="25"/>
        <v>180.17007685957896</v>
      </c>
      <c r="E118" s="380">
        <f t="shared" si="47"/>
        <v>185.93922177809009</v>
      </c>
      <c r="F118" s="380">
        <f t="shared" si="26"/>
        <v>185.94909155495921</v>
      </c>
      <c r="G118" s="110">
        <f t="shared" si="48"/>
        <v>0.80709097720915746</v>
      </c>
      <c r="H118" s="409" t="b">
        <f>Wh_hp&gt;='2030'!Maxi_hp</f>
        <v>0</v>
      </c>
      <c r="I118" s="385">
        <f>IF(H118,Wh_hp,'2030'!Maxi_hp)</f>
        <v>185.95278307096302</v>
      </c>
      <c r="J118" s="85">
        <f>IF(H118,An,'2030'!An_max)</f>
        <v>2029</v>
      </c>
      <c r="K118" s="193">
        <f t="shared" si="27"/>
        <v>47952</v>
      </c>
      <c r="L118" s="143">
        <f>IF(t&lt;Tvie,1-EXP((T0-t)*PertePVj)+'2030'!Pspv,1-EXP((T0-t)*PertePVj)+Pspv)</f>
        <v>4.7148001373359394E-2</v>
      </c>
      <c r="M118" s="835"/>
      <c r="N118" s="835"/>
      <c r="O118" s="48">
        <f>IF(t&lt;Tnet,'2030'!Resal+('2030'!Salim-'2030'!Resal)*(1-EXP(('2030'!Tnet-t)/('2030'!Tau_j))),Resal+(Salim-Resal)*(1-EXP((Tnet-t)/(Tau_j))))*Salcycl</f>
        <v>3.1027046705596837E-2</v>
      </c>
      <c r="P118" s="165">
        <f>(INDEX(Models!$BJ118:$BT118,,T118)*(1-R118)+INDEX(Models!$BJ118:$BT118,,T118+1)*R118-ERP_i)*Q118*Ramure*Pc/MaxiM</f>
        <v>7.3267517031071414E-5</v>
      </c>
      <c r="Q118" s="301">
        <f t="shared" si="28"/>
        <v>0.5</v>
      </c>
      <c r="R118" s="173">
        <f t="shared" si="29"/>
        <v>7.7535652158104984E-3</v>
      </c>
      <c r="S118" s="801">
        <f t="shared" si="30"/>
        <v>1</v>
      </c>
      <c r="T118" s="172">
        <f t="shared" si="31"/>
        <v>7</v>
      </c>
      <c r="U118" s="247">
        <f t="shared" si="32"/>
        <v>1.0077535652158105</v>
      </c>
      <c r="V118" s="378">
        <f t="shared" si="33"/>
        <v>212.70458525933657</v>
      </c>
      <c r="W118" s="397">
        <f t="shared" si="34"/>
        <v>171.67541782836525</v>
      </c>
      <c r="X118" s="153">
        <f t="shared" si="35"/>
        <v>47952</v>
      </c>
      <c r="Y118" s="380">
        <f t="shared" si="36"/>
        <v>166.82056267075581</v>
      </c>
      <c r="Z118" s="380">
        <f t="shared" si="37"/>
        <v>175.0749989622698</v>
      </c>
      <c r="AA118" s="381">
        <f t="shared" si="38"/>
        <v>185.89406539042062</v>
      </c>
      <c r="AB118" s="193">
        <f t="shared" si="39"/>
        <v>47952</v>
      </c>
      <c r="AC118" s="119">
        <f>IF(OR(t&lt;Tnet,NoTnet),'2030'!Resal_s+('2030'!Salim-'2030'!Resal_s)*(1-EXP(('2030'!Tnet_s-t)/'2030'!Tau_j)),Resal_s+(Salim-Resal_s)*(1-EXP((Tnet_s-t)/Tau_j)))*Salcycl</f>
        <v>5.82001711858217E-2</v>
      </c>
      <c r="AD118" s="227">
        <f>(INDEX(Models!$BJ118:$BT118,,AH118)*(1-AF118)+INDEX(Models!$BJ118:$BT118,,AH118+1)*AF118-ERP_i)*AE118*Ramure*Pc/MaxiM</f>
        <v>4.0848243085398378E-4</v>
      </c>
      <c r="AE118" s="301">
        <f t="shared" si="40"/>
        <v>0.5</v>
      </c>
      <c r="AF118" s="173">
        <f t="shared" si="41"/>
        <v>0.53274113158978853</v>
      </c>
      <c r="AG118" s="801">
        <f t="shared" si="49"/>
        <v>4</v>
      </c>
      <c r="AH118" s="172">
        <f t="shared" si="42"/>
        <v>10</v>
      </c>
      <c r="AI118" s="221">
        <f t="shared" si="43"/>
        <v>4.5327411315897885</v>
      </c>
      <c r="AJ118" s="261" t="b">
        <f t="shared" si="44"/>
        <v>0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47953</v>
      </c>
      <c r="B119" s="406">
        <f>'2030'!Wh/'2030'!Env_an*'2031'!Env_an</f>
        <v>181.25291571678324</v>
      </c>
      <c r="C119" s="831"/>
      <c r="D119" s="388">
        <f t="shared" si="25"/>
        <v>190.22408224173554</v>
      </c>
      <c r="E119" s="380">
        <f t="shared" si="47"/>
        <v>196.32797069559075</v>
      </c>
      <c r="F119" s="380">
        <f t="shared" si="26"/>
        <v>196.33947460792871</v>
      </c>
      <c r="G119" s="110">
        <f t="shared" si="48"/>
        <v>0.84919776356850418</v>
      </c>
      <c r="H119" s="409" t="b">
        <f>Wh_hp&gt;='2030'!Maxi_hp</f>
        <v>0</v>
      </c>
      <c r="I119" s="385">
        <f>IF(H119,Wh_hp,'2030'!Maxi_hp)</f>
        <v>196.34257530906228</v>
      </c>
      <c r="J119" s="85">
        <f>IF(H119,An,'2030'!An_max)</f>
        <v>2029</v>
      </c>
      <c r="K119" s="193">
        <f t="shared" si="27"/>
        <v>47953</v>
      </c>
      <c r="L119" s="143">
        <f>IF(t&lt;Tvie,1-EXP((T0-t)*PertePVj)+'2030'!Pspv,1-EXP((T0-t)*PertePVj)+Pspv)</f>
        <v>4.7161045117051992E-2</v>
      </c>
      <c r="M119" s="835"/>
      <c r="N119" s="835"/>
      <c r="O119" s="48">
        <f>IF(t&lt;Tnet,'2030'!Resal+('2030'!Salim-'2030'!Resal)*(1-EXP(('2030'!Tnet-t)/('2030'!Tau_j))),Resal+(Salim-Resal)*(1-EXP((Tnet-t)/(Tau_j))))*Salcycl</f>
        <v>3.1090264073066604E-2</v>
      </c>
      <c r="P119" s="165">
        <f>(INDEX(Models!$BJ119:$BT119,,T119)*(1-R119)+INDEX(Models!$BJ119:$BT119,,T119+1)*R119-ERP_i)*Q119*Ramure*Pc/MaxiM</f>
        <v>7.4678642665220281E-5</v>
      </c>
      <c r="Q119" s="301">
        <f t="shared" si="28"/>
        <v>0.5</v>
      </c>
      <c r="R119" s="173">
        <f t="shared" si="29"/>
        <v>9.427982525341827E-3</v>
      </c>
      <c r="S119" s="801">
        <f t="shared" si="30"/>
        <v>1</v>
      </c>
      <c r="T119" s="172">
        <f t="shared" si="31"/>
        <v>7</v>
      </c>
      <c r="U119" s="247">
        <f t="shared" si="32"/>
        <v>1.0094279825253418</v>
      </c>
      <c r="V119" s="378">
        <f t="shared" si="33"/>
        <v>213.43673707290327</v>
      </c>
      <c r="W119" s="397">
        <f t="shared" si="34"/>
        <v>181.25291571678324</v>
      </c>
      <c r="X119" s="153">
        <f t="shared" si="35"/>
        <v>47953</v>
      </c>
      <c r="Y119" s="380">
        <f t="shared" si="36"/>
        <v>176.12649947628665</v>
      </c>
      <c r="Z119" s="380">
        <f t="shared" si="37"/>
        <v>184.84393251735074</v>
      </c>
      <c r="AA119" s="381">
        <f t="shared" si="38"/>
        <v>196.27532837867065</v>
      </c>
      <c r="AB119" s="193">
        <f t="shared" si="39"/>
        <v>47953</v>
      </c>
      <c r="AC119" s="119">
        <f>IF(OR(t&lt;Tnet,NoTnet),'2030'!Resal_s+('2030'!Salim-'2030'!Resal_s)*(1-EXP(('2030'!Tnet_s-t)/'2030'!Tau_j)),Resal_s+(Salim-Resal_s)*(1-EXP((Tnet_s-t)/Tau_j)))*Salcycl</f>
        <v>5.8241634115447811E-2</v>
      </c>
      <c r="AD119" s="227">
        <f>(INDEX(Models!$BJ119:$BT119,,AH119)*(1-AF119)+INDEX(Models!$BJ119:$BT119,,AH119+1)*AF119-ERP_i)*AE119*Ramure*Pc/MaxiM</f>
        <v>4.1641079941849324E-4</v>
      </c>
      <c r="AE119" s="301">
        <f t="shared" si="40"/>
        <v>0.5</v>
      </c>
      <c r="AF119" s="173">
        <f t="shared" si="41"/>
        <v>0.53441554889931986</v>
      </c>
      <c r="AG119" s="801">
        <f t="shared" si="49"/>
        <v>4</v>
      </c>
      <c r="AH119" s="172">
        <f t="shared" si="42"/>
        <v>10</v>
      </c>
      <c r="AI119" s="221">
        <f t="shared" si="43"/>
        <v>4.5344155488993199</v>
      </c>
      <c r="AJ119" s="261" t="b">
        <f t="shared" si="44"/>
        <v>0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47954</v>
      </c>
      <c r="B120" s="406">
        <f>'2030'!Wh/'2030'!Env_an*'2031'!Env_an</f>
        <v>182.3452885613795</v>
      </c>
      <c r="C120" s="831"/>
      <c r="D120" s="388">
        <f t="shared" si="25"/>
        <v>191.37314214008455</v>
      </c>
      <c r="E120" s="380">
        <f t="shared" si="47"/>
        <v>197.52686832358324</v>
      </c>
      <c r="F120" s="380">
        <f t="shared" si="26"/>
        <v>197.53871083505786</v>
      </c>
      <c r="G120" s="110">
        <f t="shared" si="48"/>
        <v>0.85145996049593908</v>
      </c>
      <c r="H120" s="409" t="b">
        <f>Wh_hp&gt;='2030'!Maxi_hp</f>
        <v>0</v>
      </c>
      <c r="I120" s="385">
        <f>IF(H120,Wh_hp,'2030'!Maxi_hp)</f>
        <v>197.54183685343298</v>
      </c>
      <c r="J120" s="85">
        <f>IF(H120,An,'2030'!An_max)</f>
        <v>2029</v>
      </c>
      <c r="K120" s="193">
        <f t="shared" si="27"/>
        <v>47954</v>
      </c>
      <c r="L120" s="143">
        <f>IF(t&lt;Tvie,1-EXP((T0-t)*PertePVj)+'2030'!Pspv,1-EXP((T0-t)*PertePVj)+Pspv)</f>
        <v>4.7174088682186532E-2</v>
      </c>
      <c r="M120" s="835"/>
      <c r="N120" s="835"/>
      <c r="O120" s="48">
        <f>IF(t&lt;Tnet,'2030'!Resal+('2030'!Salim-'2030'!Resal)*(1-EXP(('2030'!Tnet-t)/('2030'!Tau_j))),Resal+(Salim-Resal)*(1-EXP((Tnet-t)/(Tau_j))))*Salcycl</f>
        <v>3.1153869019063363E-2</v>
      </c>
      <c r="P120" s="165">
        <f>(INDEX(Models!$BJ120:$BT120,,T120)*(1-R120)+INDEX(Models!$BJ120:$BT120,,T120+1)*R120-ERP_i)*Q120*Ramure*Pc/MaxiM</f>
        <v>7.609652520929226E-5</v>
      </c>
      <c r="Q120" s="301">
        <f t="shared" si="28"/>
        <v>0.5</v>
      </c>
      <c r="R120" s="173">
        <f t="shared" si="29"/>
        <v>1.1159640498984214E-2</v>
      </c>
      <c r="S120" s="801">
        <f t="shared" si="30"/>
        <v>1</v>
      </c>
      <c r="T120" s="172">
        <f t="shared" si="31"/>
        <v>7</v>
      </c>
      <c r="U120" s="247">
        <f t="shared" si="32"/>
        <v>1.0111596404989842</v>
      </c>
      <c r="V120" s="378">
        <f t="shared" si="33"/>
        <v>214.15257635433764</v>
      </c>
      <c r="W120" s="397">
        <f t="shared" si="34"/>
        <v>182.3452885613795</v>
      </c>
      <c r="X120" s="153">
        <f t="shared" si="35"/>
        <v>47954</v>
      </c>
      <c r="Y120" s="380">
        <f t="shared" si="36"/>
        <v>177.1905098270399</v>
      </c>
      <c r="Z120" s="380">
        <f t="shared" si="37"/>
        <v>185.96315205363712</v>
      </c>
      <c r="AA120" s="381">
        <f t="shared" si="38"/>
        <v>197.47261871586306</v>
      </c>
      <c r="AB120" s="193">
        <f t="shared" si="39"/>
        <v>47954</v>
      </c>
      <c r="AC120" s="119">
        <f>IF(OR(t&lt;Tnet,NoTnet),'2030'!Resal_s+('2030'!Salim-'2030'!Resal_s)*(1-EXP(('2030'!Tnet_s-t)/'2030'!Tau_j)),Resal_s+(Salim-Resal_s)*(1-EXP((Tnet_s-t)/Tau_j)))*Salcycl</f>
        <v>5.8283861008530821E-2</v>
      </c>
      <c r="AD120" s="227">
        <f>(INDEX(Models!$BJ120:$BT120,,AH120)*(1-AF120)+INDEX(Models!$BJ120:$BT120,,AH120+1)*AF120-ERP_i)*AE120*Ramure*Pc/MaxiM</f>
        <v>4.2468868408677393E-4</v>
      </c>
      <c r="AE120" s="301">
        <f t="shared" si="40"/>
        <v>0.5</v>
      </c>
      <c r="AF120" s="173">
        <f t="shared" si="41"/>
        <v>0.53614720687296202</v>
      </c>
      <c r="AG120" s="801">
        <f t="shared" si="49"/>
        <v>4</v>
      </c>
      <c r="AH120" s="172">
        <f t="shared" si="42"/>
        <v>10</v>
      </c>
      <c r="AI120" s="221">
        <f t="shared" si="43"/>
        <v>4.536147206872962</v>
      </c>
      <c r="AJ120" s="261" t="b">
        <f t="shared" si="44"/>
        <v>0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47955</v>
      </c>
      <c r="B121" s="406">
        <f>'2030'!Wh/'2030'!Env_an*'2031'!Env_an</f>
        <v>218.74250153033333</v>
      </c>
      <c r="C121" s="831"/>
      <c r="D121" s="388">
        <f t="shared" si="25"/>
        <v>229.57551151179484</v>
      </c>
      <c r="E121" s="380">
        <f t="shared" si="47"/>
        <v>236.97331334458966</v>
      </c>
      <c r="F121" s="380">
        <f t="shared" si="26"/>
        <v>236.99168583798047</v>
      </c>
      <c r="G121" s="110">
        <f t="shared" si="48"/>
        <v>1.0181229862172456</v>
      </c>
      <c r="H121" s="409" t="b">
        <f>Wh_hp&gt;='2030'!Maxi_hp</f>
        <v>1</v>
      </c>
      <c r="I121" s="385">
        <f>IF(H121,Wh_hp,'2030'!Maxi_hp)</f>
        <v>236.99168583798047</v>
      </c>
      <c r="J121" s="85">
        <f>IF(H121,An,'2030'!An_max)</f>
        <v>2031</v>
      </c>
      <c r="K121" s="193">
        <f t="shared" si="27"/>
        <v>47955</v>
      </c>
      <c r="L121" s="143">
        <f>IF(t&lt;Tvie,1-EXP((T0-t)*PertePVj)+'2030'!Pspv,1-EXP((T0-t)*PertePVj)+Pspv)</f>
        <v>4.7187132068765791E-2</v>
      </c>
      <c r="M121" s="835"/>
      <c r="N121" s="835"/>
      <c r="O121" s="48">
        <f>IF(t&lt;Tnet,'2030'!Resal+('2030'!Salim-'2030'!Resal)*(1-EXP(('2030'!Tnet-t)/('2030'!Tau_j))),Resal+(Salim-Resal)*(1-EXP((Tnet-t)/(Tau_j))))*Salcycl</f>
        <v>3.1217868916899733E-2</v>
      </c>
      <c r="P121" s="165">
        <f>(INDEX(Models!$BJ121:$BT121,,T121)*(1-R121)+INDEX(Models!$BJ121:$BT121,,T121+1)*R121-ERP_i)*Q121*Ramure*Pc/MaxiM</f>
        <v>7.752378876013549E-5</v>
      </c>
      <c r="Q121" s="301">
        <f t="shared" si="28"/>
        <v>0.5</v>
      </c>
      <c r="R121" s="173">
        <f t="shared" si="29"/>
        <v>1.2949987033661126E-2</v>
      </c>
      <c r="S121" s="801">
        <f t="shared" si="30"/>
        <v>1</v>
      </c>
      <c r="T121" s="172">
        <f t="shared" si="31"/>
        <v>7</v>
      </c>
      <c r="U121" s="247">
        <f t="shared" si="32"/>
        <v>1.0129499870336611</v>
      </c>
      <c r="V121" s="378">
        <f t="shared" si="33"/>
        <v>214.84879969467497</v>
      </c>
      <c r="W121" s="397">
        <f t="shared" si="34"/>
        <v>218.74250153033333</v>
      </c>
      <c r="X121" s="153">
        <f t="shared" si="35"/>
        <v>47955</v>
      </c>
      <c r="Y121" s="380">
        <f t="shared" si="36"/>
        <v>212.54587089842235</v>
      </c>
      <c r="Z121" s="380">
        <f t="shared" si="37"/>
        <v>223.07199876498947</v>
      </c>
      <c r="AA121" s="381">
        <f t="shared" si="38"/>
        <v>236.88899034791999</v>
      </c>
      <c r="AB121" s="193">
        <f t="shared" si="39"/>
        <v>47955</v>
      </c>
      <c r="AC121" s="119">
        <f>IF(OR(t&lt;Tnet,NoTnet),'2030'!Resal_s+('2030'!Salim-'2030'!Resal_s)*(1-EXP(('2030'!Tnet_s-t)/'2030'!Tau_j)),Resal_s+(Salim-Resal_s)*(1-EXP((Tnet_s-t)/Tau_j)))*Salcycl</f>
        <v>5.8326862563926794E-2</v>
      </c>
      <c r="AD121" s="227">
        <f>(INDEX(Models!$BJ121:$BT121,,AH121)*(1-AF121)+INDEX(Models!$BJ121:$BT121,,AH121+1)*AF121-ERP_i)*AE121*Ramure*Pc/MaxiM</f>
        <v>4.333295056211871E-4</v>
      </c>
      <c r="AE121" s="301">
        <f t="shared" si="40"/>
        <v>0.5</v>
      </c>
      <c r="AF121" s="173">
        <f t="shared" si="41"/>
        <v>0.53793755340763916</v>
      </c>
      <c r="AG121" s="801">
        <f t="shared" si="49"/>
        <v>4</v>
      </c>
      <c r="AH121" s="172">
        <f t="shared" si="42"/>
        <v>10</v>
      </c>
      <c r="AI121" s="221">
        <f t="shared" si="43"/>
        <v>4.5379375534076392</v>
      </c>
      <c r="AJ121" s="261" t="b">
        <f t="shared" si="44"/>
        <v>0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47956</v>
      </c>
      <c r="B122" s="406">
        <f>'2030'!Wh/'2030'!Env_an*'2031'!Env_an</f>
        <v>161.43450244377192</v>
      </c>
      <c r="C122" s="831"/>
      <c r="D122" s="388">
        <f t="shared" si="25"/>
        <v>169.4317087964088</v>
      </c>
      <c r="E122" s="380">
        <f t="shared" si="47"/>
        <v>174.90307409256133</v>
      </c>
      <c r="F122" s="380">
        <f t="shared" si="26"/>
        <v>174.91192474773879</v>
      </c>
      <c r="G122" s="110">
        <f t="shared" si="48"/>
        <v>0.74901733110821778</v>
      </c>
      <c r="H122" s="409" t="b">
        <f>Wh_hp&gt;='2030'!Maxi_hp</f>
        <v>0</v>
      </c>
      <c r="I122" s="385">
        <f>IF(H122,Wh_hp,'2030'!Maxi_hp)</f>
        <v>174.91675612554513</v>
      </c>
      <c r="J122" s="85">
        <f>IF(H122,An,'2030'!An_max)</f>
        <v>2029</v>
      </c>
      <c r="K122" s="193">
        <f t="shared" si="27"/>
        <v>47956</v>
      </c>
      <c r="L122" s="143">
        <f>IF(t&lt;Tvie,1-EXP((T0-t)*PertePVj)+'2030'!Pspv,1-EXP((T0-t)*PertePVj)+Pspv)</f>
        <v>4.7200175276791989E-2</v>
      </c>
      <c r="M122" s="835"/>
      <c r="N122" s="835"/>
      <c r="O122" s="48">
        <f>IF(t&lt;Tnet,'2030'!Resal+('2030'!Salim-'2030'!Resal)*(1-EXP(('2030'!Tnet-t)/('2030'!Tau_j))),Resal+(Salim-Resal)*(1-EXP((Tnet-t)/(Tau_j))))*Salcycl</f>
        <v>3.1282270620681014E-2</v>
      </c>
      <c r="P122" s="165">
        <f>(INDEX(Models!$BJ122:$BT122,,T122)*(1-R122)+INDEX(Models!$BJ122:$BT122,,T122+1)*R122-ERP_i)*Q122*Ramure*Pc/MaxiM</f>
        <v>7.8880644273003291E-5</v>
      </c>
      <c r="Q122" s="301">
        <f t="shared" si="28"/>
        <v>0.5</v>
      </c>
      <c r="R122" s="173">
        <f t="shared" si="29"/>
        <v>1.4800467356383962E-2</v>
      </c>
      <c r="S122" s="801">
        <f t="shared" si="30"/>
        <v>1</v>
      </c>
      <c r="T122" s="172">
        <f t="shared" si="31"/>
        <v>7</v>
      </c>
      <c r="U122" s="247">
        <f t="shared" si="32"/>
        <v>1.014800467356384</v>
      </c>
      <c r="V122" s="378">
        <f t="shared" si="33"/>
        <v>215.52229853658915</v>
      </c>
      <c r="W122" s="397">
        <f t="shared" si="34"/>
        <v>161.43450244377192</v>
      </c>
      <c r="X122" s="153">
        <f t="shared" si="35"/>
        <v>47956</v>
      </c>
      <c r="Y122" s="380">
        <f t="shared" si="36"/>
        <v>156.88375909939606</v>
      </c>
      <c r="Z122" s="380">
        <f t="shared" si="37"/>
        <v>164.65552892494642</v>
      </c>
      <c r="AA122" s="381">
        <f t="shared" si="38"/>
        <v>174.8623581634933</v>
      </c>
      <c r="AB122" s="193">
        <f t="shared" si="39"/>
        <v>47956</v>
      </c>
      <c r="AC122" s="119">
        <f>IF(OR(t&lt;Tnet,NoTnet),'2030'!Resal_s+('2030'!Salim-'2030'!Resal_s)*(1-EXP(('2030'!Tnet_s-t)/'2030'!Tau_j)),Resal_s+(Salim-Resal_s)*(1-EXP((Tnet_s-t)/Tau_j)))*Salcycl</f>
        <v>5.8370648467428649E-2</v>
      </c>
      <c r="AD122" s="227">
        <f>(INDEX(Models!$BJ122:$BT122,,AH122)*(1-AF122)+INDEX(Models!$BJ122:$BT122,,AH122+1)*AF122-ERP_i)*AE122*Ramure*Pc/MaxiM</f>
        <v>4.4175758983971665E-4</v>
      </c>
      <c r="AE122" s="301">
        <f t="shared" si="40"/>
        <v>0.5</v>
      </c>
      <c r="AF122" s="173">
        <f t="shared" si="41"/>
        <v>0.53978803373036222</v>
      </c>
      <c r="AG122" s="801">
        <f t="shared" si="49"/>
        <v>4</v>
      </c>
      <c r="AH122" s="172">
        <f t="shared" si="42"/>
        <v>10</v>
      </c>
      <c r="AI122" s="221">
        <f t="shared" si="43"/>
        <v>4.5397880337303622</v>
      </c>
      <c r="AJ122" s="261" t="b">
        <f t="shared" si="44"/>
        <v>0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47957</v>
      </c>
      <c r="B123" s="406">
        <f>'2030'!Wh/'2030'!Env_an*'2031'!Env_an</f>
        <v>36.462394558851386</v>
      </c>
      <c r="C123" s="831"/>
      <c r="D123" s="388">
        <f t="shared" si="25"/>
        <v>38.269206982525084</v>
      </c>
      <c r="E123" s="380">
        <f t="shared" si="47"/>
        <v>39.507656674180026</v>
      </c>
      <c r="F123" s="380">
        <f t="shared" si="26"/>
        <v>39.507656674180026</v>
      </c>
      <c r="G123" s="110">
        <f t="shared" si="48"/>
        <v>0.16865791955384529</v>
      </c>
      <c r="H123" s="409" t="b">
        <f>Wh_hp&gt;='2030'!Maxi_hp</f>
        <v>0</v>
      </c>
      <c r="I123" s="385">
        <f>IF(H123,Wh_hp,'2030'!Maxi_hp)</f>
        <v>39.510742342753161</v>
      </c>
      <c r="J123" s="85">
        <f>IF(H123,An,'2030'!An_max)</f>
        <v>2029</v>
      </c>
      <c r="K123" s="193">
        <f t="shared" si="27"/>
        <v>47957</v>
      </c>
      <c r="L123" s="143">
        <f>IF(t&lt;Tvie,1-EXP((T0-t)*PertePVj)+'2030'!Pspv,1-EXP((T0-t)*PertePVj)+Pspv)</f>
        <v>4.7213218306267568E-2</v>
      </c>
      <c r="M123" s="835"/>
      <c r="N123" s="835"/>
      <c r="O123" s="48">
        <f>IF(t&lt;Tnet,'2030'!Resal+('2030'!Salim-'2030'!Resal)*(1-EXP(('2030'!Tnet-t)/('2030'!Tau_j))),Resal+(Salim-Resal)*(1-EXP((Tnet-t)/(Tau_j))))*Salcycl</f>
        <v>3.1347080437304879E-2</v>
      </c>
      <c r="P123" s="165">
        <f>(INDEX(Models!$BJ123:$BT123,,T123)*(1-R123)+INDEX(Models!$BJ123:$BT123,,T123+1)*R123-ERP_i)*Q123*Ramure*Pc/MaxiM</f>
        <v>8.010899480685076E-5</v>
      </c>
      <c r="Q123" s="301">
        <f t="shared" si="28"/>
        <v>0.5</v>
      </c>
      <c r="R123" s="173">
        <f t="shared" si="29"/>
        <v>1.6712520441020784E-2</v>
      </c>
      <c r="S123" s="801">
        <f t="shared" si="30"/>
        <v>1</v>
      </c>
      <c r="T123" s="172">
        <f t="shared" si="31"/>
        <v>7</v>
      </c>
      <c r="U123" s="247">
        <f t="shared" si="32"/>
        <v>1.0167125204410208</v>
      </c>
      <c r="V123" s="378">
        <f t="shared" si="33"/>
        <v>216.1740977804192</v>
      </c>
      <c r="W123" s="397">
        <f t="shared" si="34"/>
        <v>36.462394558851386</v>
      </c>
      <c r="X123" s="153">
        <f t="shared" si="35"/>
        <v>47957</v>
      </c>
      <c r="Y123" s="380">
        <f t="shared" si="36"/>
        <v>35.443485274994977</v>
      </c>
      <c r="Z123" s="380">
        <f t="shared" si="37"/>
        <v>37.199807927633564</v>
      </c>
      <c r="AA123" s="381">
        <f t="shared" si="38"/>
        <v>39.507656674180026</v>
      </c>
      <c r="AB123" s="193">
        <f t="shared" si="39"/>
        <v>47957</v>
      </c>
      <c r="AC123" s="119">
        <f>IF(OR(t&lt;Tnet,NoTnet),'2030'!Resal_s+('2030'!Salim-'2030'!Resal_s)*(1-EXP(('2030'!Tnet_s-t)/'2030'!Tau_j)),Resal_s+(Salim-Resal_s)*(1-EXP((Tnet_s-t)/Tau_j)))*Salcycl</f>
        <v>5.8415227346418255E-2</v>
      </c>
      <c r="AD123" s="227">
        <f>(INDEX(Models!$BJ123:$BT123,,AH123)*(1-AF123)+INDEX(Models!$BJ123:$BT123,,AH123+1)*AF123-ERP_i)*AE123*Ramure*Pc/MaxiM</f>
        <v>4.4966231116131663E-4</v>
      </c>
      <c r="AE123" s="301">
        <f t="shared" si="40"/>
        <v>0.5</v>
      </c>
      <c r="AF123" s="173">
        <f t="shared" si="41"/>
        <v>0.54170008681499926</v>
      </c>
      <c r="AG123" s="801">
        <f t="shared" si="49"/>
        <v>4</v>
      </c>
      <c r="AH123" s="172">
        <f t="shared" si="42"/>
        <v>10</v>
      </c>
      <c r="AI123" s="221">
        <f t="shared" si="43"/>
        <v>4.5417000868149993</v>
      </c>
      <c r="AJ123" s="261" t="b">
        <f t="shared" si="44"/>
        <v>0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47958</v>
      </c>
      <c r="B124" s="406">
        <f>'2030'!Wh/'2030'!Env_an*'2031'!Env_an</f>
        <v>41.352804170622782</v>
      </c>
      <c r="C124" s="831"/>
      <c r="D124" s="388">
        <f t="shared" si="25"/>
        <v>43.402544050855134</v>
      </c>
      <c r="E124" s="380">
        <f t="shared" si="47"/>
        <v>44.810133593951932</v>
      </c>
      <c r="F124" s="380">
        <f t="shared" si="26"/>
        <v>44.810133593951932</v>
      </c>
      <c r="G124" s="110">
        <f t="shared" si="48"/>
        <v>0.19072164369922059</v>
      </c>
      <c r="H124" s="409" t="b">
        <f>Wh_hp&gt;='2030'!Maxi_hp</f>
        <v>0</v>
      </c>
      <c r="I124" s="385">
        <f>IF(H124,Wh_hp,'2030'!Maxi_hp)</f>
        <v>44.813674815712055</v>
      </c>
      <c r="J124" s="85">
        <f>IF(H124,An,'2030'!An_max)</f>
        <v>2029</v>
      </c>
      <c r="K124" s="193">
        <f t="shared" si="27"/>
        <v>47958</v>
      </c>
      <c r="L124" s="143">
        <f>IF(t&lt;Tvie,1-EXP((T0-t)*PertePVj)+'2030'!Pspv,1-EXP((T0-t)*PertePVj)+Pspv)</f>
        <v>4.7226261157195082E-2</v>
      </c>
      <c r="M124" s="835"/>
      <c r="N124" s="835"/>
      <c r="O124" s="48">
        <f>IF(t&lt;Tnet,'2030'!Resal+('2030'!Salim-'2030'!Resal)*(1-EXP(('2030'!Tnet-t)/('2030'!Tau_j))),Resal+(Salim-Resal)*(1-EXP((Tnet-t)/(Tau_j))))*Salcycl</f>
        <v>3.1412304097365576E-2</v>
      </c>
      <c r="P124" s="165">
        <f>(INDEX(Models!$BJ124:$BT124,,T124)*(1-R124)+INDEX(Models!$BJ124:$BT124,,T124+1)*R124-ERP_i)*Q124*Ramure*Pc/MaxiM</f>
        <v>8.1208255445217359E-5</v>
      </c>
      <c r="Q124" s="301">
        <f t="shared" si="28"/>
        <v>0.5</v>
      </c>
      <c r="R124" s="173">
        <f t="shared" si="29"/>
        <v>1.8687575169689996E-2</v>
      </c>
      <c r="S124" s="801">
        <f t="shared" si="30"/>
        <v>1</v>
      </c>
      <c r="T124" s="172">
        <f t="shared" si="31"/>
        <v>7</v>
      </c>
      <c r="U124" s="247">
        <f t="shared" si="32"/>
        <v>1.01868757516969</v>
      </c>
      <c r="V124" s="378">
        <f t="shared" si="33"/>
        <v>216.8052098310817</v>
      </c>
      <c r="W124" s="397">
        <f t="shared" si="34"/>
        <v>41.352804170622782</v>
      </c>
      <c r="X124" s="153">
        <f t="shared" si="35"/>
        <v>47958</v>
      </c>
      <c r="Y124" s="380">
        <f t="shared" si="36"/>
        <v>40.198006142164708</v>
      </c>
      <c r="Z124" s="380">
        <f t="shared" si="37"/>
        <v>42.190505996720013</v>
      </c>
      <c r="AA124" s="381">
        <f t="shared" si="38"/>
        <v>44.810133593951932</v>
      </c>
      <c r="AB124" s="193">
        <f t="shared" si="39"/>
        <v>47958</v>
      </c>
      <c r="AC124" s="119">
        <f>IF(OR(t&lt;Tnet,NoTnet),'2030'!Resal_s+('2030'!Salim-'2030'!Resal_s)*(1-EXP(('2030'!Tnet_s-t)/'2030'!Tau_j)),Resal_s+(Salim-Resal_s)*(1-EXP((Tnet_s-t)/Tau_j)))*Salcycl</f>
        <v>5.8460606722794725E-2</v>
      </c>
      <c r="AD124" s="227">
        <f>(INDEX(Models!$BJ124:$BT124,,AH124)*(1-AF124)+INDEX(Models!$BJ124:$BT124,,AH124+1)*AF124-ERP_i)*AE124*Ramure*Pc/MaxiM</f>
        <v>4.5704444261693311E-4</v>
      </c>
      <c r="AE124" s="301">
        <f t="shared" si="40"/>
        <v>0.5</v>
      </c>
      <c r="AF124" s="173">
        <f t="shared" si="41"/>
        <v>0.54367514154366781</v>
      </c>
      <c r="AG124" s="801">
        <f t="shared" si="49"/>
        <v>4</v>
      </c>
      <c r="AH124" s="172">
        <f t="shared" si="42"/>
        <v>10</v>
      </c>
      <c r="AI124" s="221">
        <f t="shared" si="43"/>
        <v>4.5436751415436678</v>
      </c>
      <c r="AJ124" s="261" t="b">
        <f t="shared" si="44"/>
        <v>0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47959</v>
      </c>
      <c r="B125" s="406">
        <f>'2030'!Wh/'2030'!Env_an*'2031'!Env_an</f>
        <v>36.849979039678225</v>
      </c>
      <c r="C125" s="831"/>
      <c r="D125" s="388">
        <f t="shared" si="25"/>
        <v>38.67705625116043</v>
      </c>
      <c r="E125" s="380">
        <f t="shared" si="47"/>
        <v>39.934099714481974</v>
      </c>
      <c r="F125" s="380">
        <f t="shared" si="26"/>
        <v>39.934099714481974</v>
      </c>
      <c r="G125" s="110">
        <f t="shared" si="48"/>
        <v>0.16947621679931632</v>
      </c>
      <c r="H125" s="409" t="b">
        <f>Wh_hp&gt;='2030'!Maxi_hp</f>
        <v>0</v>
      </c>
      <c r="I125" s="385">
        <f>IF(H125,Wh_hp,'2030'!Maxi_hp)</f>
        <v>39.937287134866864</v>
      </c>
      <c r="J125" s="85">
        <f>IF(H125,An,'2030'!An_max)</f>
        <v>2029</v>
      </c>
      <c r="K125" s="193">
        <f t="shared" si="27"/>
        <v>47959</v>
      </c>
      <c r="L125" s="143">
        <f>IF(t&lt;Tvie,1-EXP((T0-t)*PertePVj)+'2030'!Pspv,1-EXP((T0-t)*PertePVj)+Pspv)</f>
        <v>4.7239303829576862E-2</v>
      </c>
      <c r="M125" s="835"/>
      <c r="N125" s="835"/>
      <c r="O125" s="48">
        <f>IF(t&lt;Tnet,'2030'!Resal+('2030'!Salim-'2030'!Resal)*(1-EXP(('2030'!Tnet-t)/('2030'!Tau_j))),Resal+(Salim-Resal)*(1-EXP((Tnet-t)/(Tau_j))))*Salcycl</f>
        <v>3.1477946724955935E-2</v>
      </c>
      <c r="P125" s="165">
        <f>(INDEX(Models!$BJ125:$BT125,,T125)*(1-R125)+INDEX(Models!$BJ125:$BT125,,T125+1)*R125-ERP_i)*Q125*Ramure*Pc/MaxiM</f>
        <v>8.2177725604502694E-5</v>
      </c>
      <c r="Q125" s="301">
        <f t="shared" si="28"/>
        <v>0.5</v>
      </c>
      <c r="R125" s="173">
        <f t="shared" si="29"/>
        <v>2.0727046235163193E-2</v>
      </c>
      <c r="S125" s="801">
        <f t="shared" si="30"/>
        <v>1</v>
      </c>
      <c r="T125" s="172">
        <f t="shared" si="31"/>
        <v>7</v>
      </c>
      <c r="U125" s="247">
        <f t="shared" si="32"/>
        <v>1.0207270462351632</v>
      </c>
      <c r="V125" s="378">
        <f t="shared" si="33"/>
        <v>217.41664693780689</v>
      </c>
      <c r="W125" s="397">
        <f t="shared" si="34"/>
        <v>36.849979039678225</v>
      </c>
      <c r="X125" s="153">
        <f t="shared" si="35"/>
        <v>47959</v>
      </c>
      <c r="Y125" s="380">
        <f t="shared" si="36"/>
        <v>35.821595210921743</v>
      </c>
      <c r="Z125" s="380">
        <f t="shared" si="37"/>
        <v>37.597683610275865</v>
      </c>
      <c r="AA125" s="381">
        <f t="shared" si="38"/>
        <v>39.934099714481974</v>
      </c>
      <c r="AB125" s="193">
        <f t="shared" si="39"/>
        <v>47959</v>
      </c>
      <c r="AC125" s="119">
        <f>IF(OR(t&lt;Tnet,NoTnet),'2030'!Resal_s+('2030'!Salim-'2030'!Resal_s)*(1-EXP(('2030'!Tnet_s-t)/'2030'!Tau_j)),Resal_s+(Salim-Resal_s)*(1-EXP((Tnet_s-t)/Tau_j)))*Salcycl</f>
        <v>5.8506792964179689E-2</v>
      </c>
      <c r="AD125" s="227">
        <f>(INDEX(Models!$BJ125:$BT125,,AH125)*(1-AF125)+INDEX(Models!$BJ125:$BT125,,AH125+1)*AF125-ERP_i)*AE125*Ramure*Pc/MaxiM</f>
        <v>4.6390465088305065E-4</v>
      </c>
      <c r="AE125" s="301">
        <f t="shared" si="40"/>
        <v>0.5</v>
      </c>
      <c r="AF125" s="173">
        <f t="shared" si="41"/>
        <v>0.54571461260914145</v>
      </c>
      <c r="AG125" s="801">
        <f t="shared" si="49"/>
        <v>4</v>
      </c>
      <c r="AH125" s="172">
        <f t="shared" si="42"/>
        <v>10</v>
      </c>
      <c r="AI125" s="221">
        <f t="shared" si="43"/>
        <v>4.5457146126091414</v>
      </c>
      <c r="AJ125" s="261" t="b">
        <f t="shared" si="44"/>
        <v>0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47960</v>
      </c>
      <c r="B126" s="406">
        <f>'2030'!Wh/'2030'!Env_an*'2031'!Env_an</f>
        <v>112.13179162025855</v>
      </c>
      <c r="C126" s="831"/>
      <c r="D126" s="388">
        <f t="shared" si="25"/>
        <v>117.69306509184258</v>
      </c>
      <c r="E126" s="380">
        <f t="shared" si="47"/>
        <v>121.52649851739103</v>
      </c>
      <c r="F126" s="380">
        <f t="shared" si="26"/>
        <v>121.52958780841055</v>
      </c>
      <c r="G126" s="110">
        <f t="shared" si="48"/>
        <v>0.51431416325332124</v>
      </c>
      <c r="H126" s="409" t="b">
        <f>Wh_hp&gt;='2030'!Maxi_hp</f>
        <v>0</v>
      </c>
      <c r="I126" s="385">
        <f>IF(H126,Wh_hp,'2030'!Maxi_hp)</f>
        <v>121.53637292997469</v>
      </c>
      <c r="J126" s="85">
        <f>IF(H126,An,'2030'!An_max)</f>
        <v>2029</v>
      </c>
      <c r="K126" s="193">
        <f t="shared" si="27"/>
        <v>47960</v>
      </c>
      <c r="L126" s="143">
        <f>IF(t&lt;Tvie,1-EXP((T0-t)*PertePVj)+'2030'!Pspv,1-EXP((T0-t)*PertePVj)+Pspv)</f>
        <v>4.7252346323415462E-2</v>
      </c>
      <c r="M126" s="835"/>
      <c r="N126" s="835"/>
      <c r="O126" s="48">
        <f>IF(t&lt;Tnet,'2030'!Resal+('2030'!Salim-'2030'!Resal)*(1-EXP(('2030'!Tnet-t)/('2030'!Tau_j))),Resal+(Salim-Resal)*(1-EXP((Tnet-t)/(Tau_j))))*Salcycl</f>
        <v>3.1544012806391131E-2</v>
      </c>
      <c r="P126" s="165">
        <f>(INDEX(Models!$BJ126:$BT126,,T126)*(1-R126)+INDEX(Models!$BJ126:$BT126,,T126+1)*R126-ERP_i)*Q126*Ramure*Pc/MaxiM</f>
        <v>8.3016407368996344E-5</v>
      </c>
      <c r="Q126" s="301">
        <f t="shared" si="28"/>
        <v>0.5</v>
      </c>
      <c r="R126" s="173">
        <f t="shared" si="29"/>
        <v>2.2832329782045635E-2</v>
      </c>
      <c r="S126" s="801">
        <f t="shared" si="30"/>
        <v>1</v>
      </c>
      <c r="T126" s="172">
        <f t="shared" si="31"/>
        <v>7</v>
      </c>
      <c r="U126" s="247">
        <f t="shared" si="32"/>
        <v>1.0228323297820456</v>
      </c>
      <c r="V126" s="378">
        <f t="shared" si="33"/>
        <v>218.00942125856972</v>
      </c>
      <c r="W126" s="397">
        <f t="shared" si="34"/>
        <v>112.13179162025855</v>
      </c>
      <c r="X126" s="153">
        <f t="shared" si="35"/>
        <v>47960</v>
      </c>
      <c r="Y126" s="380">
        <f t="shared" si="36"/>
        <v>108.99156403361512</v>
      </c>
      <c r="Z126" s="380">
        <f t="shared" si="37"/>
        <v>114.39709519412042</v>
      </c>
      <c r="AA126" s="381">
        <f t="shared" si="38"/>
        <v>121.51208866622386</v>
      </c>
      <c r="AB126" s="193">
        <f t="shared" si="39"/>
        <v>47960</v>
      </c>
      <c r="AC126" s="119">
        <f>IF(OR(t&lt;Tnet,NoTnet),'2030'!Resal_s+('2030'!Salim-'2030'!Resal_s)*(1-EXP(('2030'!Tnet_s-t)/'2030'!Tau_j)),Resal_s+(Salim-Resal_s)*(1-EXP((Tnet_s-t)/Tau_j)))*Salcycl</f>
        <v>5.8553791233457435E-2</v>
      </c>
      <c r="AD126" s="227">
        <f>(INDEX(Models!$BJ126:$BT126,,AH126)*(1-AF126)+INDEX(Models!$BJ126:$BT126,,AH126+1)*AF126-ERP_i)*AE126*Ramure*Pc/MaxiM</f>
        <v>4.7024249486316672E-4</v>
      </c>
      <c r="AE126" s="301">
        <f t="shared" si="40"/>
        <v>0.5</v>
      </c>
      <c r="AF126" s="173">
        <f t="shared" si="41"/>
        <v>0.54781989615602367</v>
      </c>
      <c r="AG126" s="801">
        <f t="shared" si="49"/>
        <v>4</v>
      </c>
      <c r="AH126" s="172">
        <f t="shared" si="42"/>
        <v>10</v>
      </c>
      <c r="AI126" s="221">
        <f t="shared" si="43"/>
        <v>4.5478198961560237</v>
      </c>
      <c r="AJ126" s="261" t="b">
        <f t="shared" si="44"/>
        <v>0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47961</v>
      </c>
      <c r="B127" s="406">
        <f>'2030'!Wh/'2030'!Env_an*'2031'!Env_an</f>
        <v>40.850805349507631</v>
      </c>
      <c r="C127" s="831"/>
      <c r="D127" s="388">
        <f t="shared" si="25"/>
        <v>42.877423431840228</v>
      </c>
      <c r="E127" s="380">
        <f t="shared" si="47"/>
        <v>44.277043177868265</v>
      </c>
      <c r="F127" s="380">
        <f t="shared" si="26"/>
        <v>44.277043177868265</v>
      </c>
      <c r="G127" s="110">
        <f t="shared" si="48"/>
        <v>0.18687224765125093</v>
      </c>
      <c r="H127" s="409" t="b">
        <f>Wh_hp&gt;='2030'!Maxi_hp</f>
        <v>0</v>
      </c>
      <c r="I127" s="385">
        <f>IF(H127,Wh_hp,'2030'!Maxi_hp)</f>
        <v>44.280629226772071</v>
      </c>
      <c r="J127" s="85">
        <f>IF(H127,An,'2030'!An_max)</f>
        <v>2029</v>
      </c>
      <c r="K127" s="193">
        <f t="shared" si="27"/>
        <v>47961</v>
      </c>
      <c r="L127" s="143">
        <f>IF(t&lt;Tvie,1-EXP((T0-t)*PertePVj)+'2030'!Pspv,1-EXP((T0-t)*PertePVj)+Pspv)</f>
        <v>4.7265388638713213E-2</v>
      </c>
      <c r="M127" s="835"/>
      <c r="N127" s="835"/>
      <c r="O127" s="48">
        <f>IF(t&lt;Tnet,'2030'!Resal+('2030'!Salim-'2030'!Resal)*(1-EXP(('2030'!Tnet-t)/('2030'!Tau_j))),Resal+(Salim-Resal)*(1-EXP((Tnet-t)/(Tau_j))))*Salcycl</f>
        <v>3.1610506157909668E-2</v>
      </c>
      <c r="P127" s="165">
        <f>(INDEX(Models!$BJ127:$BT127,,T127)*(1-R127)+INDEX(Models!$BJ127:$BT127,,T127+1)*R127-ERP_i)*Q127*Ramure*Pc/MaxiM</f>
        <v>8.3722801741710059E-5</v>
      </c>
      <c r="Q127" s="301">
        <f t="shared" si="28"/>
        <v>0.5</v>
      </c>
      <c r="R127" s="173">
        <f t="shared" si="29"/>
        <v>2.5004798786079085E-2</v>
      </c>
      <c r="S127" s="801">
        <f t="shared" si="30"/>
        <v>1</v>
      </c>
      <c r="T127" s="172">
        <f t="shared" si="31"/>
        <v>7</v>
      </c>
      <c r="U127" s="247">
        <f t="shared" si="32"/>
        <v>1.0250047987860791</v>
      </c>
      <c r="V127" s="378">
        <f t="shared" si="33"/>
        <v>218.5845448911254</v>
      </c>
      <c r="W127" s="397">
        <f t="shared" si="34"/>
        <v>40.850805349507631</v>
      </c>
      <c r="X127" s="153">
        <f t="shared" si="35"/>
        <v>47961</v>
      </c>
      <c r="Y127" s="380">
        <f t="shared" si="36"/>
        <v>39.712205488789223</v>
      </c>
      <c r="Z127" s="380">
        <f t="shared" si="37"/>
        <v>41.682337363652202</v>
      </c>
      <c r="AA127" s="381">
        <f t="shared" si="38"/>
        <v>44.277043177868265</v>
      </c>
      <c r="AB127" s="193">
        <f t="shared" si="39"/>
        <v>47961</v>
      </c>
      <c r="AC127" s="119">
        <f>IF(OR(t&lt;Tnet,NoTnet),'2030'!Resal_s+('2030'!Salim-'2030'!Resal_s)*(1-EXP(('2030'!Tnet_s-t)/'2030'!Tau_j)),Resal_s+(Salim-Resal_s)*(1-EXP((Tnet_s-t)/Tau_j)))*Salcycl</f>
        <v>5.8601605436765541E-2</v>
      </c>
      <c r="AD127" s="227">
        <f>(INDEX(Models!$BJ127:$BT127,,AH127)*(1-AF127)+INDEX(Models!$BJ127:$BT127,,AH127+1)*AF127-ERP_i)*AE127*Ramure*Pc/MaxiM</f>
        <v>4.7605528192369231E-4</v>
      </c>
      <c r="AE127" s="301">
        <f t="shared" si="40"/>
        <v>0.5</v>
      </c>
      <c r="AF127" s="173">
        <f t="shared" si="41"/>
        <v>0.54999236516005734</v>
      </c>
      <c r="AG127" s="801">
        <f t="shared" si="49"/>
        <v>4</v>
      </c>
      <c r="AH127" s="172">
        <f t="shared" si="42"/>
        <v>10</v>
      </c>
      <c r="AI127" s="221">
        <f t="shared" si="43"/>
        <v>4.5499923651600573</v>
      </c>
      <c r="AJ127" s="261" t="b">
        <f t="shared" si="44"/>
        <v>0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47962</v>
      </c>
      <c r="B128" s="406">
        <f>'2030'!Wh/'2030'!Env_an*'2031'!Env_an</f>
        <v>110.33911214287312</v>
      </c>
      <c r="C128" s="831"/>
      <c r="D128" s="388">
        <f t="shared" si="25"/>
        <v>115.81464690957318</v>
      </c>
      <c r="E128" s="380">
        <f t="shared" si="47"/>
        <v>119.60337441758557</v>
      </c>
      <c r="F128" s="380">
        <f t="shared" si="26"/>
        <v>119.6063059312828</v>
      </c>
      <c r="G128" s="110">
        <f t="shared" si="48"/>
        <v>0.50347261957819667</v>
      </c>
      <c r="H128" s="409" t="b">
        <f>Wh_hp&gt;='2030'!Maxi_hp</f>
        <v>0</v>
      </c>
      <c r="I128" s="385">
        <f>IF(H128,Wh_hp,'2030'!Maxi_hp)</f>
        <v>119.61321023265994</v>
      </c>
      <c r="J128" s="85">
        <f>IF(H128,An,'2030'!An_max)</f>
        <v>2029</v>
      </c>
      <c r="K128" s="193">
        <f t="shared" si="27"/>
        <v>47962</v>
      </c>
      <c r="L128" s="143">
        <f>IF(t&lt;Tvie,1-EXP((T0-t)*PertePVj)+'2030'!Pspv,1-EXP((T0-t)*PertePVj)+Pspv)</f>
        <v>4.7278430775472668E-2</v>
      </c>
      <c r="M128" s="835"/>
      <c r="N128" s="835"/>
      <c r="O128" s="48">
        <f>IF(t&lt;Tnet,'2030'!Resal+('2030'!Salim-'2030'!Resal)*(1-EXP(('2030'!Tnet-t)/('2030'!Tau_j))),Resal+(Salim-Resal)*(1-EXP((Tnet-t)/(Tau_j))))*Salcycl</f>
        <v>3.1677429892440601E-2</v>
      </c>
      <c r="P128" s="165">
        <f>(INDEX(Models!$BJ128:$BT128,,T128)*(1-R128)+INDEX(Models!$BJ128:$BT128,,T128+1)*R128-ERP_i)*Q128*Ramure*Pc/MaxiM</f>
        <v>8.4307391773683974E-5</v>
      </c>
      <c r="Q128" s="301">
        <f t="shared" si="28"/>
        <v>0.5</v>
      </c>
      <c r="R128" s="173">
        <f t="shared" si="29"/>
        <v>2.7245798172660596E-2</v>
      </c>
      <c r="S128" s="801">
        <f t="shared" si="30"/>
        <v>1</v>
      </c>
      <c r="T128" s="172">
        <f t="shared" si="31"/>
        <v>7</v>
      </c>
      <c r="U128" s="247">
        <f t="shared" si="32"/>
        <v>1.0272457981726606</v>
      </c>
      <c r="V128" s="378">
        <f t="shared" si="33"/>
        <v>219.1430271788503</v>
      </c>
      <c r="W128" s="397">
        <f t="shared" si="34"/>
        <v>110.33911214287312</v>
      </c>
      <c r="X128" s="153">
        <f t="shared" si="35"/>
        <v>47962</v>
      </c>
      <c r="Y128" s="380">
        <f t="shared" si="36"/>
        <v>107.25322051996913</v>
      </c>
      <c r="Z128" s="380">
        <f t="shared" si="37"/>
        <v>112.5756191363112</v>
      </c>
      <c r="AA128" s="381">
        <f t="shared" si="38"/>
        <v>119.58957626703567</v>
      </c>
      <c r="AB128" s="193">
        <f t="shared" si="39"/>
        <v>47962</v>
      </c>
      <c r="AC128" s="119">
        <f>IF(OR(t&lt;Tnet,NoTnet),'2030'!Resal_s+('2030'!Salim-'2030'!Resal_s)*(1-EXP(('2030'!Tnet_s-t)/'2030'!Tau_j)),Resal_s+(Salim-Resal_s)*(1-EXP((Tnet_s-t)/Tau_j)))*Salcycl</f>
        <v>5.8650238170112425E-2</v>
      </c>
      <c r="AD128" s="227">
        <f>(INDEX(Models!$BJ128:$BT128,,AH128)*(1-AF128)+INDEX(Models!$BJ128:$BT128,,AH128+1)*AF128-ERP_i)*AE128*Ramure*Pc/MaxiM</f>
        <v>4.8112835333434154E-4</v>
      </c>
      <c r="AE128" s="301">
        <f t="shared" si="40"/>
        <v>0.5</v>
      </c>
      <c r="AF128" s="173">
        <f t="shared" si="41"/>
        <v>0.55223336454663841</v>
      </c>
      <c r="AG128" s="801">
        <f t="shared" si="49"/>
        <v>4</v>
      </c>
      <c r="AH128" s="172">
        <f t="shared" si="42"/>
        <v>10</v>
      </c>
      <c r="AI128" s="221">
        <f t="shared" si="43"/>
        <v>4.5522333645466384</v>
      </c>
      <c r="AJ128" s="261" t="b">
        <f t="shared" si="44"/>
        <v>0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47963</v>
      </c>
      <c r="B129" s="406">
        <f>'2030'!Wh/'2030'!Env_an*'2031'!Env_an</f>
        <v>186.53109446339479</v>
      </c>
      <c r="C129" s="831"/>
      <c r="D129" s="388">
        <f t="shared" si="25"/>
        <v>195.79030640003404</v>
      </c>
      <c r="E129" s="380">
        <f t="shared" si="47"/>
        <v>202.20940062812588</v>
      </c>
      <c r="F129" s="380">
        <f t="shared" si="26"/>
        <v>202.22285967729758</v>
      </c>
      <c r="G129" s="110">
        <f t="shared" si="48"/>
        <v>0.84906547931413778</v>
      </c>
      <c r="H129" s="409" t="b">
        <f>Wh_hp&gt;='2030'!Maxi_hp</f>
        <v>0</v>
      </c>
      <c r="I129" s="385">
        <f>IF(H129,Wh_hp,'2030'!Maxi_hp)</f>
        <v>202.22642306319699</v>
      </c>
      <c r="J129" s="85">
        <f>IF(H129,An,'2030'!An_max)</f>
        <v>2029</v>
      </c>
      <c r="K129" s="193">
        <f t="shared" si="27"/>
        <v>47963</v>
      </c>
      <c r="L129" s="143">
        <f>IF(t&lt;Tvie,1-EXP((T0-t)*PertePVj)+'2030'!Pspv,1-EXP((T0-t)*PertePVj)+Pspv)</f>
        <v>4.7291472733696271E-2</v>
      </c>
      <c r="M129" s="835"/>
      <c r="N129" s="835"/>
      <c r="O129" s="48">
        <f>IF(t&lt;Tnet,'2030'!Resal+('2030'!Salim-'2030'!Resal)*(1-EXP(('2030'!Tnet-t)/('2030'!Tau_j))),Resal+(Salim-Resal)*(1-EXP((Tnet-t)/(Tau_j))))*Salcycl</f>
        <v>3.1744786385559325E-2</v>
      </c>
      <c r="P129" s="165">
        <f>(INDEX(Models!$BJ129:$BT129,,T129)*(1-R129)+INDEX(Models!$BJ129:$BT129,,T129+1)*R129-ERP_i)*Q129*Ramure*Pc/MaxiM</f>
        <v>8.4848808127681823E-5</v>
      </c>
      <c r="Q129" s="301">
        <f t="shared" si="28"/>
        <v>0.5</v>
      </c>
      <c r="R129" s="173">
        <f t="shared" si="29"/>
        <v>2.955663967762634E-2</v>
      </c>
      <c r="S129" s="801">
        <f t="shared" si="30"/>
        <v>1</v>
      </c>
      <c r="T129" s="172">
        <f t="shared" si="31"/>
        <v>7</v>
      </c>
      <c r="U129" s="247">
        <f t="shared" si="32"/>
        <v>1.0295566396776263</v>
      </c>
      <c r="V129" s="378">
        <f t="shared" si="33"/>
        <v>219.68586229811109</v>
      </c>
      <c r="W129" s="397">
        <f t="shared" si="34"/>
        <v>186.53109446339479</v>
      </c>
      <c r="X129" s="153">
        <f t="shared" si="35"/>
        <v>47963</v>
      </c>
      <c r="Y129" s="380">
        <f t="shared" si="36"/>
        <v>181.28132541750708</v>
      </c>
      <c r="Z129" s="380">
        <f t="shared" si="37"/>
        <v>190.2799442109274</v>
      </c>
      <c r="AA129" s="381">
        <f t="shared" si="38"/>
        <v>202.14584264327462</v>
      </c>
      <c r="AB129" s="193">
        <f t="shared" si="39"/>
        <v>47963</v>
      </c>
      <c r="AC129" s="119">
        <f>IF(OR(t&lt;Tnet,NoTnet),'2030'!Resal_s+('2030'!Salim-'2030'!Resal_s)*(1-EXP(('2030'!Tnet_s-t)/'2030'!Tau_j)),Resal_s+(Salim-Resal_s)*(1-EXP((Tnet_s-t)/Tau_j)))*Salcycl</f>
        <v>5.8699690664857689E-2</v>
      </c>
      <c r="AD129" s="227">
        <f>(INDEX(Models!$BJ129:$BT129,,AH129)*(1-AF129)+INDEX(Models!$BJ129:$BT129,,AH129+1)*AF129-ERP_i)*AE129*Ramure*Pc/MaxiM</f>
        <v>4.8553233285802229E-4</v>
      </c>
      <c r="AE129" s="301">
        <f t="shared" si="40"/>
        <v>0.5</v>
      </c>
      <c r="AF129" s="173">
        <f t="shared" si="41"/>
        <v>0.55454420605160415</v>
      </c>
      <c r="AG129" s="801">
        <f t="shared" si="49"/>
        <v>4</v>
      </c>
      <c r="AH129" s="172">
        <f t="shared" si="42"/>
        <v>10</v>
      </c>
      <c r="AI129" s="221">
        <f t="shared" si="43"/>
        <v>4.5545442060516041</v>
      </c>
      <c r="AJ129" s="261" t="b">
        <f t="shared" si="44"/>
        <v>0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47964</v>
      </c>
      <c r="B130" s="406">
        <f>'2030'!Wh/'2030'!Env_an*'2031'!Env_an</f>
        <v>219.19257072965118</v>
      </c>
      <c r="C130" s="831"/>
      <c r="D130" s="388">
        <f t="shared" si="25"/>
        <v>230.07621435058334</v>
      </c>
      <c r="E130" s="380">
        <f t="shared" si="47"/>
        <v>237.63602887434249</v>
      </c>
      <c r="F130" s="380">
        <f t="shared" si="26"/>
        <v>237.65617737712446</v>
      </c>
      <c r="G130" s="110">
        <f t="shared" si="48"/>
        <v>0.99536080932081106</v>
      </c>
      <c r="H130" s="409" t="b">
        <f>Wh_hp&gt;='2030'!Maxi_hp</f>
        <v>0</v>
      </c>
      <c r="I130" s="385">
        <f>IF(H130,Wh_hp,'2030'!Maxi_hp)</f>
        <v>237.65630655679689</v>
      </c>
      <c r="J130" s="85">
        <f>IF(H130,An,'2030'!An_max)</f>
        <v>2029</v>
      </c>
      <c r="K130" s="193">
        <f t="shared" si="27"/>
        <v>47964</v>
      </c>
      <c r="L130" s="143">
        <f>IF(t&lt;Tvie,1-EXP((T0-t)*PertePVj)+'2030'!Pspv,1-EXP((T0-t)*PertePVj)+Pspv)</f>
        <v>4.7304514513386353E-2</v>
      </c>
      <c r="M130" s="835"/>
      <c r="N130" s="835"/>
      <c r="O130" s="48">
        <f>IF(t&lt;Tnet,'2030'!Resal+('2030'!Salim-'2030'!Resal)*(1-EXP(('2030'!Tnet-t)/('2030'!Tau_j))),Resal+(Salim-Resal)*(1-EXP((Tnet-t)/(Tau_j))))*Salcycl</f>
        <v>3.1812577240788051E-2</v>
      </c>
      <c r="P130" s="165">
        <f>(INDEX(Models!$BJ130:$BT130,,T130)*(1-R130)+INDEX(Models!$BJ130:$BT130,,T130+1)*R130-ERP_i)*Q130*Ramure*Pc/MaxiM</f>
        <v>8.5345602873356357E-5</v>
      </c>
      <c r="Q130" s="301">
        <f t="shared" si="28"/>
        <v>0.5</v>
      </c>
      <c r="R130" s="173">
        <f t="shared" si="29"/>
        <v>3.1938596455485246E-2</v>
      </c>
      <c r="S130" s="801">
        <f t="shared" si="30"/>
        <v>1</v>
      </c>
      <c r="T130" s="172">
        <f t="shared" si="31"/>
        <v>7</v>
      </c>
      <c r="U130" s="247">
        <f t="shared" si="32"/>
        <v>1.0319385964554852</v>
      </c>
      <c r="V130" s="378">
        <f t="shared" si="33"/>
        <v>220.21406177714229</v>
      </c>
      <c r="W130" s="397">
        <f t="shared" si="34"/>
        <v>219.19257072965118</v>
      </c>
      <c r="X130" s="153">
        <f t="shared" si="35"/>
        <v>47964</v>
      </c>
      <c r="Y130" s="380">
        <f t="shared" si="36"/>
        <v>213.00857912464369</v>
      </c>
      <c r="Z130" s="380">
        <f t="shared" si="37"/>
        <v>223.58516689710575</v>
      </c>
      <c r="AA130" s="381">
        <f t="shared" si="38"/>
        <v>237.5406725572627</v>
      </c>
      <c r="AB130" s="193">
        <f t="shared" si="39"/>
        <v>47964</v>
      </c>
      <c r="AC130" s="119">
        <f>IF(OR(t&lt;Tnet,NoTnet),'2030'!Resal_s+('2030'!Salim-'2030'!Resal_s)*(1-EXP(('2030'!Tnet_s-t)/'2030'!Tau_j)),Resal_s+(Salim-Resal_s)*(1-EXP((Tnet_s-t)/Tau_j)))*Salcycl</f>
        <v>5.8749962732351668E-2</v>
      </c>
      <c r="AD130" s="227">
        <f>(INDEX(Models!$BJ130:$BT130,,AH130)*(1-AF130)+INDEX(Models!$BJ130:$BT130,,AH130+1)*AF130-ERP_i)*AE130*Ramure*Pc/MaxiM</f>
        <v>4.8925861105150042E-4</v>
      </c>
      <c r="AE130" s="301">
        <f t="shared" si="40"/>
        <v>0.5</v>
      </c>
      <c r="AF130" s="173">
        <f t="shared" si="41"/>
        <v>0.5569261628294635</v>
      </c>
      <c r="AG130" s="801">
        <f t="shared" si="49"/>
        <v>4</v>
      </c>
      <c r="AH130" s="172">
        <f t="shared" si="42"/>
        <v>10</v>
      </c>
      <c r="AI130" s="221">
        <f t="shared" si="43"/>
        <v>4.5569261628294635</v>
      </c>
      <c r="AJ130" s="261" t="b">
        <f t="shared" si="44"/>
        <v>0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47965</v>
      </c>
      <c r="B131" s="406">
        <f>'2030'!Wh/'2030'!Env_an*'2031'!Env_an</f>
        <v>156.14554960209219</v>
      </c>
      <c r="C131" s="831"/>
      <c r="D131" s="388">
        <f t="shared" si="25"/>
        <v>163.90094160364973</v>
      </c>
      <c r="E131" s="380">
        <f t="shared" si="47"/>
        <v>169.298307640856</v>
      </c>
      <c r="F131" s="380">
        <f t="shared" si="26"/>
        <v>169.30676189545468</v>
      </c>
      <c r="G131" s="110">
        <f t="shared" si="48"/>
        <v>0.70738419703822453</v>
      </c>
      <c r="H131" s="409" t="b">
        <f>Wh_hp&gt;='2030'!Maxi_hp</f>
        <v>0</v>
      </c>
      <c r="I131" s="385">
        <f>IF(H131,Wh_hp,'2030'!Maxi_hp)</f>
        <v>169.3125839842487</v>
      </c>
      <c r="J131" s="85">
        <f>IF(H131,An,'2030'!An_max)</f>
        <v>2029</v>
      </c>
      <c r="K131" s="193">
        <f t="shared" si="27"/>
        <v>47965</v>
      </c>
      <c r="L131" s="143">
        <f>IF(t&lt;Tvie,1-EXP((T0-t)*PertePVj)+'2030'!Pspv,1-EXP((T0-t)*PertePVj)+Pspv)</f>
        <v>4.7317556114545467E-2</v>
      </c>
      <c r="M131" s="835"/>
      <c r="N131" s="835"/>
      <c r="O131" s="48">
        <f>IF(t&lt;Tnet,'2030'!Resal+('2030'!Salim-'2030'!Resal)*(1-EXP(('2030'!Tnet-t)/('2030'!Tau_j))),Resal+(Salim-Resal)*(1-EXP((Tnet-t)/(Tau_j))))*Salcycl</f>
        <v>3.1880803254430982E-2</v>
      </c>
      <c r="P131" s="165">
        <f>(INDEX(Models!$BJ131:$BT131,,T131)*(1-R131)+INDEX(Models!$BJ131:$BT131,,T131+1)*R131-ERP_i)*Q131*Ramure*Pc/MaxiM</f>
        <v>8.5796157049255277E-5</v>
      </c>
      <c r="Q131" s="301">
        <f t="shared" si="28"/>
        <v>0.5</v>
      </c>
      <c r="R131" s="173">
        <f t="shared" si="29"/>
        <v>3.4392897442620196E-2</v>
      </c>
      <c r="S131" s="801">
        <f t="shared" si="30"/>
        <v>1</v>
      </c>
      <c r="T131" s="172">
        <f t="shared" si="31"/>
        <v>7</v>
      </c>
      <c r="U131" s="247">
        <f t="shared" si="32"/>
        <v>1.0343928974426202</v>
      </c>
      <c r="V131" s="378">
        <f t="shared" si="33"/>
        <v>220.72863705986805</v>
      </c>
      <c r="W131" s="397">
        <f t="shared" si="34"/>
        <v>156.14554960209219</v>
      </c>
      <c r="X131" s="153">
        <f t="shared" si="35"/>
        <v>47965</v>
      </c>
      <c r="Y131" s="380">
        <f t="shared" si="36"/>
        <v>151.76773228903659</v>
      </c>
      <c r="Z131" s="380">
        <f t="shared" si="37"/>
        <v>159.30568812632001</v>
      </c>
      <c r="AA131" s="381">
        <f t="shared" si="38"/>
        <v>169.25825149367878</v>
      </c>
      <c r="AB131" s="193">
        <f t="shared" si="39"/>
        <v>47965</v>
      </c>
      <c r="AC131" s="119">
        <f>IF(OR(t&lt;Tnet,NoTnet),'2030'!Resal_s+('2030'!Salim-'2030'!Resal_s)*(1-EXP(('2030'!Tnet_s-t)/'2030'!Tau_j)),Resal_s+(Salim-Resal_s)*(1-EXP((Tnet_s-t)/Tau_j)))*Salcycl</f>
        <v>5.8801052708088927E-2</v>
      </c>
      <c r="AD131" s="227">
        <f>(INDEX(Models!$BJ131:$BT131,,AH131)*(1-AF131)+INDEX(Models!$BJ131:$BT131,,AH131+1)*AF131-ERP_i)*AE131*Ramure*Pc/MaxiM</f>
        <v>4.9229722155911648E-4</v>
      </c>
      <c r="AE131" s="301">
        <f t="shared" si="40"/>
        <v>0.5</v>
      </c>
      <c r="AF131" s="173">
        <f t="shared" si="41"/>
        <v>0.55938046381659845</v>
      </c>
      <c r="AG131" s="801">
        <f t="shared" si="49"/>
        <v>4</v>
      </c>
      <c r="AH131" s="172">
        <f t="shared" si="42"/>
        <v>10</v>
      </c>
      <c r="AI131" s="221">
        <f t="shared" si="43"/>
        <v>4.5593804638165984</v>
      </c>
      <c r="AJ131" s="261" t="b">
        <f t="shared" si="44"/>
        <v>0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47966</v>
      </c>
      <c r="B132" s="406">
        <f>'2030'!Wh/'2030'!Env_an*'2031'!Env_an</f>
        <v>90.940812715207059</v>
      </c>
      <c r="C132" s="831"/>
      <c r="D132" s="388">
        <f t="shared" si="25"/>
        <v>95.458941454515582</v>
      </c>
      <c r="E132" s="380">
        <f t="shared" si="47"/>
        <v>98.609460913519456</v>
      </c>
      <c r="F132" s="380">
        <f t="shared" si="26"/>
        <v>98.610809615244676</v>
      </c>
      <c r="G132" s="110">
        <f t="shared" si="48"/>
        <v>0.41103815498929891</v>
      </c>
      <c r="H132" s="409" t="b">
        <f>Wh_hp&gt;='2030'!Maxi_hp</f>
        <v>0</v>
      </c>
      <c r="I132" s="385">
        <f>IF(H132,Wh_hp,'2030'!Maxi_hp)</f>
        <v>98.617650942123959</v>
      </c>
      <c r="J132" s="85">
        <f>IF(H132,An,'2030'!An_max)</f>
        <v>2029</v>
      </c>
      <c r="K132" s="193">
        <f t="shared" si="27"/>
        <v>47966</v>
      </c>
      <c r="L132" s="143">
        <f>IF(t&lt;Tvie,1-EXP((T0-t)*PertePVj)+'2030'!Pspv,1-EXP((T0-t)*PertePVj)+Pspv)</f>
        <v>4.7330597537175945E-2</v>
      </c>
      <c r="M132" s="835"/>
      <c r="N132" s="835"/>
      <c r="O132" s="48">
        <f>IF(t&lt;Tnet,'2030'!Resal+('2030'!Salim-'2030'!Resal)*(1-EXP(('2030'!Tnet-t)/('2030'!Tau_j))),Resal+(Salim-Resal)*(1-EXP((Tnet-t)/(Tau_j))))*Salcycl</f>
        <v>3.1949464380166062E-2</v>
      </c>
      <c r="P132" s="165">
        <f>(INDEX(Models!$BJ132:$BT132,,T132)*(1-R132)+INDEX(Models!$BJ132:$BT132,,T132+1)*R132-ERP_i)*Q132*Ramure*Pc/MaxiM</f>
        <v>8.6198678364595579E-5</v>
      </c>
      <c r="Q132" s="301">
        <f t="shared" si="28"/>
        <v>0.5</v>
      </c>
      <c r="R132" s="173">
        <f t="shared" si="29"/>
        <v>3.6920721485497632E-2</v>
      </c>
      <c r="S132" s="801">
        <f t="shared" si="30"/>
        <v>1</v>
      </c>
      <c r="T132" s="172">
        <f t="shared" si="31"/>
        <v>7</v>
      </c>
      <c r="U132" s="247">
        <f t="shared" si="32"/>
        <v>1.0369207214854976</v>
      </c>
      <c r="V132" s="378">
        <f t="shared" si="33"/>
        <v>221.23059950128524</v>
      </c>
      <c r="W132" s="397">
        <f t="shared" si="34"/>
        <v>90.940812715207059</v>
      </c>
      <c r="X132" s="153">
        <f t="shared" si="35"/>
        <v>47966</v>
      </c>
      <c r="Y132" s="380">
        <f t="shared" si="36"/>
        <v>88.40770913276431</v>
      </c>
      <c r="Z132" s="380">
        <f t="shared" si="37"/>
        <v>92.799988017054261</v>
      </c>
      <c r="AA132" s="381">
        <f t="shared" si="38"/>
        <v>98.603070313296513</v>
      </c>
      <c r="AB132" s="193">
        <f t="shared" si="39"/>
        <v>47966</v>
      </c>
      <c r="AC132" s="119">
        <f>IF(OR(t&lt;Tnet,NoTnet),'2030'!Resal_s+('2030'!Salim-'2030'!Resal_s)*(1-EXP(('2030'!Tnet_s-t)/'2030'!Tau_j)),Resal_s+(Salim-Resal_s)*(1-EXP((Tnet_s-t)/Tau_j)))*Salcycl</f>
        <v>5.8852957395787185E-2</v>
      </c>
      <c r="AD132" s="227">
        <f>(INDEX(Models!$BJ132:$BT132,,AH132)*(1-AF132)+INDEX(Models!$BJ132:$BT132,,AH132+1)*AF132-ERP_i)*AE132*Ramure*Pc/MaxiM</f>
        <v>4.9463686960619382E-4</v>
      </c>
      <c r="AE132" s="301">
        <f t="shared" si="40"/>
        <v>0.5</v>
      </c>
      <c r="AF132" s="173">
        <f t="shared" si="41"/>
        <v>0.56190828785947566</v>
      </c>
      <c r="AG132" s="801">
        <f t="shared" si="49"/>
        <v>4</v>
      </c>
      <c r="AH132" s="172">
        <f t="shared" si="42"/>
        <v>10</v>
      </c>
      <c r="AI132" s="221">
        <f t="shared" si="43"/>
        <v>4.5619082878594757</v>
      </c>
      <c r="AJ132" s="261" t="b">
        <f t="shared" si="44"/>
        <v>0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47967</v>
      </c>
      <c r="B133" s="406">
        <f>'2030'!Wh/'2030'!Env_an*'2031'!Env_an</f>
        <v>168.05691049923013</v>
      </c>
      <c r="C133" s="831"/>
      <c r="D133" s="388">
        <f t="shared" si="25"/>
        <v>176.40874227117669</v>
      </c>
      <c r="E133" s="380">
        <f t="shared" si="47"/>
        <v>182.24393043666811</v>
      </c>
      <c r="F133" s="380">
        <f t="shared" si="26"/>
        <v>182.2542505813251</v>
      </c>
      <c r="G133" s="110">
        <f t="shared" si="48"/>
        <v>0.75794313990499085</v>
      </c>
      <c r="H133" s="409" t="b">
        <f>Wh_hp&gt;='2030'!Maxi_hp</f>
        <v>0</v>
      </c>
      <c r="I133" s="385">
        <f>IF(H133,Wh_hp,'2030'!Maxi_hp)</f>
        <v>182.25945561582537</v>
      </c>
      <c r="J133" s="85">
        <f>IF(H133,An,'2030'!An_max)</f>
        <v>2029</v>
      </c>
      <c r="K133" s="193">
        <f t="shared" si="27"/>
        <v>47967</v>
      </c>
      <c r="L133" s="143">
        <f>IF(t&lt;Tvie,1-EXP((T0-t)*PertePVj)+'2030'!Pspv,1-EXP((T0-t)*PertePVj)+Pspv)</f>
        <v>4.7343638781280339E-2</v>
      </c>
      <c r="M133" s="835"/>
      <c r="N133" s="835"/>
      <c r="O133" s="48">
        <f>IF(t&lt;Tnet,'2030'!Resal+('2030'!Salim-'2030'!Resal)*(1-EXP(('2030'!Tnet-t)/('2030'!Tau_j))),Resal+(Salim-Resal)*(1-EXP((Tnet-t)/(Tau_j))))*Salcycl</f>
        <v>3.2018559693647489E-2</v>
      </c>
      <c r="P133" s="165">
        <f>(INDEX(Models!$BJ133:$BT133,,T133)*(1-R133)+INDEX(Models!$BJ133:$BT133,,T133+1)*R133-ERP_i)*Q133*Ramure*Pc/MaxiM</f>
        <v>8.655119910064189E-5</v>
      </c>
      <c r="Q133" s="301">
        <f t="shared" si="28"/>
        <v>0.5</v>
      </c>
      <c r="R133" s="173">
        <f t="shared" si="29"/>
        <v>3.9523191246629619E-2</v>
      </c>
      <c r="S133" s="801">
        <f t="shared" si="30"/>
        <v>1</v>
      </c>
      <c r="T133" s="172">
        <f t="shared" si="31"/>
        <v>7</v>
      </c>
      <c r="U133" s="247">
        <f t="shared" si="32"/>
        <v>1.0395231912466296</v>
      </c>
      <c r="V133" s="378">
        <f t="shared" si="33"/>
        <v>221.72096039925484</v>
      </c>
      <c r="W133" s="397">
        <f t="shared" si="34"/>
        <v>168.05691049923013</v>
      </c>
      <c r="X133" s="153">
        <f t="shared" si="35"/>
        <v>47967</v>
      </c>
      <c r="Y133" s="380">
        <f t="shared" si="36"/>
        <v>163.34508307207852</v>
      </c>
      <c r="Z133" s="380">
        <f t="shared" si="37"/>
        <v>171.46275375006522</v>
      </c>
      <c r="AA133" s="381">
        <f t="shared" si="38"/>
        <v>182.19507721039565</v>
      </c>
      <c r="AB133" s="193">
        <f t="shared" si="39"/>
        <v>47967</v>
      </c>
      <c r="AC133" s="119">
        <f>IF(OR(t&lt;Tnet,NoTnet),'2030'!Resal_s+('2030'!Salim-'2030'!Resal_s)*(1-EXP(('2030'!Tnet_s-t)/'2030'!Tau_j)),Resal_s+(Salim-Resal_s)*(1-EXP((Tnet_s-t)/Tau_j)))*Salcycl</f>
        <v>5.8905672011856439E-2</v>
      </c>
      <c r="AD133" s="227">
        <f>(INDEX(Models!$BJ133:$BT133,,AH133)*(1-AF133)+INDEX(Models!$BJ133:$BT133,,AH133+1)*AF133-ERP_i)*AE133*Ramure*Pc/MaxiM</f>
        <v>4.9626496323352035E-4</v>
      </c>
      <c r="AE133" s="301">
        <f t="shared" si="40"/>
        <v>0.5</v>
      </c>
      <c r="AF133" s="173">
        <f t="shared" si="41"/>
        <v>0.56451075762060743</v>
      </c>
      <c r="AG133" s="801">
        <f t="shared" si="49"/>
        <v>4</v>
      </c>
      <c r="AH133" s="172">
        <f t="shared" si="42"/>
        <v>10</v>
      </c>
      <c r="AI133" s="221">
        <f t="shared" si="43"/>
        <v>4.5645107576206074</v>
      </c>
      <c r="AJ133" s="261" t="b">
        <f t="shared" si="44"/>
        <v>0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47968</v>
      </c>
      <c r="B134" s="406">
        <f>'2030'!Wh/'2030'!Env_an*'2031'!Env_an</f>
        <v>157.35791820802862</v>
      </c>
      <c r="C134" s="831"/>
      <c r="D134" s="388">
        <f t="shared" si="25"/>
        <v>165.18030922920144</v>
      </c>
      <c r="E134" s="380">
        <f t="shared" si="47"/>
        <v>170.65634493352331</v>
      </c>
      <c r="F134" s="380">
        <f t="shared" si="26"/>
        <v>170.6649881397482</v>
      </c>
      <c r="G134" s="110">
        <f t="shared" si="48"/>
        <v>0.70815347774953419</v>
      </c>
      <c r="H134" s="409" t="b">
        <f>Wh_hp&gt;='2030'!Maxi_hp</f>
        <v>0</v>
      </c>
      <c r="I134" s="385">
        <f>IF(H134,Wh_hp,'2030'!Maxi_hp)</f>
        <v>170.67087048863931</v>
      </c>
      <c r="J134" s="85">
        <f>IF(H134,An,'2030'!An_max)</f>
        <v>2029</v>
      </c>
      <c r="K134" s="193">
        <f t="shared" si="27"/>
        <v>47968</v>
      </c>
      <c r="L134" s="143">
        <f>IF(t&lt;Tvie,1-EXP((T0-t)*PertePVj)+'2030'!Pspv,1-EXP((T0-t)*PertePVj)+Pspv)</f>
        <v>4.7356679846861094E-2</v>
      </c>
      <c r="M134" s="835"/>
      <c r="N134" s="835"/>
      <c r="O134" s="48">
        <f>IF(t&lt;Tnet,'2030'!Resal+('2030'!Salim-'2030'!Resal)*(1-EXP(('2030'!Tnet-t)/('2030'!Tau_j))),Resal+(Salim-Resal)*(1-EXP((Tnet-t)/(Tau_j))))*Salcycl</f>
        <v>3.2088087357402179E-2</v>
      </c>
      <c r="P134" s="165">
        <f>(INDEX(Models!$BJ134:$BT134,,T134)*(1-R134)+INDEX(Models!$BJ134:$BT134,,T134+1)*R134-ERP_i)*Q134*Ramure*Pc/MaxiM</f>
        <v>8.685157430642025E-5</v>
      </c>
      <c r="Q134" s="301">
        <f t="shared" si="28"/>
        <v>0.5</v>
      </c>
      <c r="R134" s="173">
        <f t="shared" si="29"/>
        <v>4.2201366903908744E-2</v>
      </c>
      <c r="S134" s="801">
        <f t="shared" si="30"/>
        <v>1</v>
      </c>
      <c r="T134" s="172">
        <f t="shared" si="31"/>
        <v>7</v>
      </c>
      <c r="U134" s="247">
        <f t="shared" si="32"/>
        <v>1.0422013669039087</v>
      </c>
      <c r="V134" s="378">
        <f t="shared" si="33"/>
        <v>222.20073099942368</v>
      </c>
      <c r="W134" s="397">
        <f t="shared" si="34"/>
        <v>157.35791820802862</v>
      </c>
      <c r="X134" s="153">
        <f t="shared" si="35"/>
        <v>47968</v>
      </c>
      <c r="Y134" s="380">
        <f t="shared" si="36"/>
        <v>152.95275250934941</v>
      </c>
      <c r="Z134" s="380">
        <f t="shared" si="37"/>
        <v>160.55615913494466</v>
      </c>
      <c r="AA134" s="381">
        <f t="shared" si="38"/>
        <v>170.61551151778067</v>
      </c>
      <c r="AB134" s="193">
        <f t="shared" si="39"/>
        <v>47968</v>
      </c>
      <c r="AC134" s="119">
        <f>IF(OR(t&lt;Tnet,NoTnet),'2030'!Resal_s+('2030'!Salim-'2030'!Resal_s)*(1-EXP(('2030'!Tnet_s-t)/'2030'!Tau_j)),Resal_s+(Salim-Resal_s)*(1-EXP((Tnet_s-t)/Tau_j)))*Salcycl</f>
        <v>5.8959190130773477E-2</v>
      </c>
      <c r="AD134" s="227">
        <f>(INDEX(Models!$BJ134:$BT134,,AH134)*(1-AF134)+INDEX(Models!$BJ134:$BT134,,AH134+1)*AF134-ERP_i)*AE134*Ramure*Pc/MaxiM</f>
        <v>4.9716764791100368E-4</v>
      </c>
      <c r="AE134" s="301">
        <f t="shared" si="40"/>
        <v>0.5</v>
      </c>
      <c r="AF134" s="173">
        <f t="shared" si="41"/>
        <v>0.56718893327788678</v>
      </c>
      <c r="AG134" s="801">
        <f t="shared" si="49"/>
        <v>4</v>
      </c>
      <c r="AH134" s="172">
        <f t="shared" si="42"/>
        <v>10</v>
      </c>
      <c r="AI134" s="221">
        <f t="shared" si="43"/>
        <v>4.5671889332778868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47969</v>
      </c>
      <c r="B135" s="406">
        <f>'2030'!Wh/'2030'!Env_an*'2031'!Env_an</f>
        <v>187.31288910217089</v>
      </c>
      <c r="C135" s="831"/>
      <c r="D135" s="388">
        <f t="shared" si="25"/>
        <v>196.62705792480114</v>
      </c>
      <c r="E135" s="380">
        <f t="shared" si="47"/>
        <v>203.16029577448944</v>
      </c>
      <c r="F135" s="380">
        <f t="shared" si="26"/>
        <v>203.17397807165477</v>
      </c>
      <c r="G135" s="110">
        <f t="shared" si="48"/>
        <v>0.84120649736273323</v>
      </c>
      <c r="H135" s="409" t="b">
        <f>Wh_hp&gt;='2030'!Maxi_hp</f>
        <v>0</v>
      </c>
      <c r="I135" s="385">
        <f>IF(H135,Wh_hp,'2030'!Maxi_hp)</f>
        <v>203.17778932297188</v>
      </c>
      <c r="J135" s="85">
        <f>IF(H135,An,'2030'!An_max)</f>
        <v>2029</v>
      </c>
      <c r="K135" s="193">
        <f t="shared" si="27"/>
        <v>47969</v>
      </c>
      <c r="L135" s="143">
        <f>IF(t&lt;Tvie,1-EXP((T0-t)*PertePVj)+'2030'!Pspv,1-EXP((T0-t)*PertePVj)+Pspv)</f>
        <v>4.736972073392054E-2</v>
      </c>
      <c r="M135" s="835"/>
      <c r="N135" s="835"/>
      <c r="O135" s="48">
        <f>IF(t&lt;Tnet,'2030'!Resal+('2030'!Salim-'2030'!Resal)*(1-EXP(('2030'!Tnet-t)/('2030'!Tau_j))),Resal+(Salim-Resal)*(1-EXP((Tnet-t)/(Tau_j))))*Salcycl</f>
        <v>3.2158044586331418E-2</v>
      </c>
      <c r="P135" s="165">
        <f>(INDEX(Models!$BJ135:$BT135,,T135)*(1-R135)+INDEX(Models!$BJ135:$BT135,,T135+1)*R135-ERP_i)*Q135*Ramure*Pc/MaxiM</f>
        <v>8.7098893112617294E-5</v>
      </c>
      <c r="Q135" s="301">
        <f t="shared" si="28"/>
        <v>0.5</v>
      </c>
      <c r="R135" s="173">
        <f t="shared" si="29"/>
        <v>4.4956239661968711E-2</v>
      </c>
      <c r="S135" s="801">
        <f t="shared" si="30"/>
        <v>1</v>
      </c>
      <c r="T135" s="172">
        <f t="shared" si="31"/>
        <v>7</v>
      </c>
      <c r="U135" s="247">
        <f t="shared" si="32"/>
        <v>1.0449562396619687</v>
      </c>
      <c r="V135" s="378">
        <f t="shared" si="33"/>
        <v>222.66731041958749</v>
      </c>
      <c r="W135" s="397">
        <f t="shared" si="34"/>
        <v>187.31288910217089</v>
      </c>
      <c r="X135" s="153">
        <f t="shared" si="35"/>
        <v>47969</v>
      </c>
      <c r="Y135" s="380">
        <f t="shared" si="36"/>
        <v>182.05760503921832</v>
      </c>
      <c r="Z135" s="380">
        <f t="shared" si="37"/>
        <v>191.11045386829213</v>
      </c>
      <c r="AA135" s="381">
        <f t="shared" si="38"/>
        <v>203.09585164709631</v>
      </c>
      <c r="AB135" s="193">
        <f t="shared" si="39"/>
        <v>47969</v>
      </c>
      <c r="AC135" s="119">
        <f>IF(OR(t&lt;Tnet,NoTnet),'2030'!Resal_s+('2030'!Salim-'2030'!Resal_s)*(1-EXP(('2030'!Tnet_s-t)/'2030'!Tau_j)),Resal_s+(Salim-Resal_s)*(1-EXP((Tnet_s-t)/Tau_j)))*Salcycl</f>
        <v>5.9013503631921781E-2</v>
      </c>
      <c r="AD135" s="227">
        <f>(INDEX(Models!$BJ135:$BT135,,AH135)*(1-AF135)+INDEX(Models!$BJ135:$BT135,,AH135+1)*AF135-ERP_i)*AE135*Ramure*Pc/MaxiM</f>
        <v>4.9733791187676728E-4</v>
      </c>
      <c r="AE135" s="301">
        <f t="shared" si="40"/>
        <v>0.5</v>
      </c>
      <c r="AF135" s="173">
        <f t="shared" si="41"/>
        <v>0.56994380603594674</v>
      </c>
      <c r="AG135" s="801">
        <f t="shared" si="49"/>
        <v>4</v>
      </c>
      <c r="AH135" s="172">
        <f t="shared" si="42"/>
        <v>10</v>
      </c>
      <c r="AI135" s="221">
        <f t="shared" si="43"/>
        <v>4.5699438060359467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47970</v>
      </c>
      <c r="B136" s="406">
        <f>'2030'!Wh/'2030'!Env_an*'2031'!Env_an</f>
        <v>111.1434175818268</v>
      </c>
      <c r="C136" s="831"/>
      <c r="D136" s="388">
        <f t="shared" si="25"/>
        <v>116.67164216986154</v>
      </c>
      <c r="E136" s="380">
        <f t="shared" si="47"/>
        <v>120.55700487484974</v>
      </c>
      <c r="F136" s="380">
        <f t="shared" si="26"/>
        <v>120.55998335561154</v>
      </c>
      <c r="G136" s="110">
        <f t="shared" si="48"/>
        <v>0.49810673875404099</v>
      </c>
      <c r="H136" s="409" t="b">
        <f>Wh_hp&gt;='2030'!Maxi_hp</f>
        <v>0</v>
      </c>
      <c r="I136" s="385">
        <f>IF(H136,Wh_hp,'2030'!Maxi_hp)</f>
        <v>120.56712774043629</v>
      </c>
      <c r="J136" s="85">
        <f>IF(H136,An,'2030'!An_max)</f>
        <v>2029</v>
      </c>
      <c r="K136" s="193">
        <f t="shared" si="27"/>
        <v>47970</v>
      </c>
      <c r="L136" s="143">
        <f>IF(t&lt;Tvie,1-EXP((T0-t)*PertePVj)+'2030'!Pspv,1-EXP((T0-t)*PertePVj)+Pspv)</f>
        <v>4.738276144246123E-2</v>
      </c>
      <c r="M136" s="835"/>
      <c r="N136" s="835"/>
      <c r="O136" s="48">
        <f>IF(t&lt;Tnet,'2030'!Resal+('2030'!Salim-'2030'!Resal)*(1-EXP(('2030'!Tnet-t)/('2030'!Tau_j))),Resal+(Salim-Resal)*(1-EXP((Tnet-t)/(Tau_j))))*Salcycl</f>
        <v>3.22284276141531E-2</v>
      </c>
      <c r="P136" s="165">
        <f>(INDEX(Models!$BJ136:$BT136,,T136)*(1-R136)+INDEX(Models!$BJ136:$BT136,,T136+1)*R136-ERP_i)*Q136*Ramure*Pc/MaxiM</f>
        <v>8.728147562127253E-5</v>
      </c>
      <c r="Q136" s="301">
        <f t="shared" si="28"/>
        <v>0.5</v>
      </c>
      <c r="R136" s="173">
        <f t="shared" si="29"/>
        <v>4.7788725097403839E-2</v>
      </c>
      <c r="S136" s="801">
        <f t="shared" si="30"/>
        <v>1</v>
      </c>
      <c r="T136" s="172">
        <f t="shared" si="31"/>
        <v>7</v>
      </c>
      <c r="U136" s="247">
        <f t="shared" si="32"/>
        <v>1.0477887250974038</v>
      </c>
      <c r="V136" s="378">
        <f t="shared" si="33"/>
        <v>223.11776541587113</v>
      </c>
      <c r="W136" s="397">
        <f t="shared" si="34"/>
        <v>111.1434175818268</v>
      </c>
      <c r="X136" s="153">
        <f t="shared" si="35"/>
        <v>47970</v>
      </c>
      <c r="Y136" s="380">
        <f t="shared" si="36"/>
        <v>108.04844113040814</v>
      </c>
      <c r="Z136" s="380">
        <f t="shared" si="37"/>
        <v>113.42272295430641</v>
      </c>
      <c r="AA136" s="381">
        <f t="shared" si="38"/>
        <v>120.54303137674465</v>
      </c>
      <c r="AB136" s="193">
        <f t="shared" si="39"/>
        <v>47970</v>
      </c>
      <c r="AC136" s="119">
        <f>IF(OR(t&lt;Tnet,NoTnet),'2030'!Resal_s+('2030'!Salim-'2030'!Resal_s)*(1-EXP(('2030'!Tnet_s-t)/'2030'!Tau_j)),Resal_s+(Salim-Resal_s)*(1-EXP((Tnet_s-t)/Tau_j)))*Salcycl</f>
        <v>5.9068602648497011E-2</v>
      </c>
      <c r="AD136" s="227">
        <f>(INDEX(Models!$BJ136:$BT136,,AH136)*(1-AF136)+INDEX(Models!$BJ136:$BT136,,AH136+1)*AF136-ERP_i)*AE136*Ramure*Pc/MaxiM</f>
        <v>4.9676121772403148E-4</v>
      </c>
      <c r="AE136" s="301">
        <f t="shared" si="40"/>
        <v>0.5</v>
      </c>
      <c r="AF136" s="173">
        <f t="shared" si="41"/>
        <v>0.57277629147138232</v>
      </c>
      <c r="AG136" s="801">
        <f t="shared" si="49"/>
        <v>4</v>
      </c>
      <c r="AH136" s="172">
        <f t="shared" si="42"/>
        <v>10</v>
      </c>
      <c r="AI136" s="221">
        <f t="shared" si="43"/>
        <v>4.5727762914713823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47971</v>
      </c>
      <c r="B137" s="406">
        <f>'2030'!Wh/'2030'!Env_an*'2031'!Env_an</f>
        <v>126.55542246750929</v>
      </c>
      <c r="C137" s="831"/>
      <c r="D137" s="388">
        <f t="shared" si="25"/>
        <v>132.85205201652275</v>
      </c>
      <c r="E137" s="380">
        <f t="shared" si="47"/>
        <v>137.28629382466531</v>
      </c>
      <c r="F137" s="380">
        <f t="shared" si="26"/>
        <v>137.29085991597108</v>
      </c>
      <c r="G137" s="110">
        <f t="shared" si="48"/>
        <v>0.56607960644060074</v>
      </c>
      <c r="H137" s="409" t="b">
        <f>Wh_hp&gt;='2030'!Maxi_hp</f>
        <v>0</v>
      </c>
      <c r="I137" s="385">
        <f>IF(H137,Wh_hp,'2030'!Maxi_hp)</f>
        <v>137.29789133183914</v>
      </c>
      <c r="J137" s="85">
        <f>IF(H137,An,'2030'!An_max)</f>
        <v>2029</v>
      </c>
      <c r="K137" s="193">
        <f t="shared" si="27"/>
        <v>47971</v>
      </c>
      <c r="L137" s="143">
        <f>IF(t&lt;Tvie,1-EXP((T0-t)*PertePVj)+'2030'!Pspv,1-EXP((T0-t)*PertePVj)+Pspv)</f>
        <v>4.7395801972485607E-2</v>
      </c>
      <c r="M137" s="835"/>
      <c r="N137" s="835"/>
      <c r="O137" s="48">
        <f>IF(t&lt;Tnet,'2030'!Resal+('2030'!Salim-'2030'!Resal)*(1-EXP(('2030'!Tnet-t)/('2030'!Tau_j))),Resal+(Salim-Resal)*(1-EXP((Tnet-t)/(Tau_j))))*Salcycl</f>
        <v>3.229923166114259E-2</v>
      </c>
      <c r="P137" s="165">
        <f>(INDEX(Models!$BJ137:$BT137,,T137)*(1-R137)+INDEX(Models!$BJ137:$BT137,,T137+1)*R137-ERP_i)*Q137*Ramure*Pc/MaxiM</f>
        <v>8.7486151331253893E-5</v>
      </c>
      <c r="Q137" s="301">
        <f t="shared" si="28"/>
        <v>0.5</v>
      </c>
      <c r="R137" s="173">
        <f t="shared" si="29"/>
        <v>5.0699656362967582E-2</v>
      </c>
      <c r="S137" s="801">
        <f t="shared" si="30"/>
        <v>1</v>
      </c>
      <c r="T137" s="172">
        <f t="shared" si="31"/>
        <v>7</v>
      </c>
      <c r="U137" s="247">
        <f t="shared" si="32"/>
        <v>1.0506996563629676</v>
      </c>
      <c r="V137" s="378">
        <f t="shared" si="33"/>
        <v>223.55258518255437</v>
      </c>
      <c r="W137" s="397">
        <f t="shared" si="34"/>
        <v>126.55542246750929</v>
      </c>
      <c r="X137" s="153">
        <f t="shared" si="35"/>
        <v>47971</v>
      </c>
      <c r="Y137" s="380">
        <f t="shared" si="36"/>
        <v>123.02811874554247</v>
      </c>
      <c r="Z137" s="380">
        <f t="shared" si="37"/>
        <v>129.14925107435755</v>
      </c>
      <c r="AA137" s="381">
        <f t="shared" si="38"/>
        <v>137.26497045994844</v>
      </c>
      <c r="AB137" s="193">
        <f t="shared" si="39"/>
        <v>47971</v>
      </c>
      <c r="AC137" s="119">
        <f>IF(OR(t&lt;Tnet,NoTnet),'2030'!Resal_s+('2030'!Salim-'2030'!Resal_s)*(1-EXP(('2030'!Tnet_s-t)/'2030'!Tau_j)),Resal_s+(Salim-Resal_s)*(1-EXP((Tnet_s-t)/Tau_j)))*Salcycl</f>
        <v>5.9124475519112416E-2</v>
      </c>
      <c r="AD137" s="227">
        <f>(INDEX(Models!$BJ137:$BT137,,AH137)*(1-AF137)+INDEX(Models!$BJ137:$BT137,,AH137+1)*AF137-ERP_i)*AE137*Ramure*Pc/MaxiM</f>
        <v>4.960410810486653E-4</v>
      </c>
      <c r="AE137" s="301">
        <f t="shared" si="40"/>
        <v>0.5</v>
      </c>
      <c r="AF137" s="173">
        <f t="shared" si="41"/>
        <v>0.57568722273694561</v>
      </c>
      <c r="AG137" s="801">
        <f t="shared" si="49"/>
        <v>4</v>
      </c>
      <c r="AH137" s="172">
        <f t="shared" si="42"/>
        <v>10</v>
      </c>
      <c r="AI137" s="221">
        <f t="shared" si="43"/>
        <v>4.5756872227369456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47972</v>
      </c>
      <c r="B138" s="406">
        <f>'2030'!Wh/'2030'!Env_an*'2031'!Env_an</f>
        <v>74.280982213210336</v>
      </c>
      <c r="C138" s="831"/>
      <c r="D138" s="388">
        <f t="shared" si="25"/>
        <v>77.977820405587721</v>
      </c>
      <c r="E138" s="380">
        <f t="shared" si="47"/>
        <v>80.586439798579363</v>
      </c>
      <c r="F138" s="380">
        <f t="shared" si="26"/>
        <v>80.5867594181002</v>
      </c>
      <c r="G138" s="110">
        <f t="shared" si="48"/>
        <v>0.33162479730876043</v>
      </c>
      <c r="H138" s="409" t="b">
        <f>Wh_hp&gt;='2030'!Maxi_hp</f>
        <v>0</v>
      </c>
      <c r="I138" s="385">
        <f>IF(H138,Wh_hp,'2030'!Maxi_hp)</f>
        <v>80.59311571013663</v>
      </c>
      <c r="J138" s="85">
        <f>IF(H138,An,'2030'!An_max)</f>
        <v>2029</v>
      </c>
      <c r="K138" s="193">
        <f t="shared" si="27"/>
        <v>47972</v>
      </c>
      <c r="L138" s="143">
        <f>IF(t&lt;Tvie,1-EXP((T0-t)*PertePVj)+'2030'!Pspv,1-EXP((T0-t)*PertePVj)+Pspv)</f>
        <v>4.7408842323996003E-2</v>
      </c>
      <c r="M138" s="835"/>
      <c r="N138" s="835"/>
      <c r="O138" s="48">
        <f>IF(t&lt;Tnet,'2030'!Resal+('2030'!Salim-'2030'!Resal)*(1-EXP(('2030'!Tnet-t)/('2030'!Tau_j))),Resal+(Salim-Resal)*(1-EXP((Tnet-t)/(Tau_j))))*Salcycl</f>
        <v>3.2370450903547995E-2</v>
      </c>
      <c r="P138" s="165">
        <f>(INDEX(Models!$BJ138:$BT138,,T138)*(1-R138)+INDEX(Models!$BJ138:$BT138,,T138+1)*R138-ERP_i)*Q138*Ramure*Pc/MaxiM</f>
        <v>8.7711924438055159E-5</v>
      </c>
      <c r="Q138" s="301">
        <f t="shared" si="28"/>
        <v>0.5</v>
      </c>
      <c r="R138" s="173">
        <f t="shared" si="29"/>
        <v>5.3689777279257944E-2</v>
      </c>
      <c r="S138" s="801">
        <f t="shared" si="30"/>
        <v>1</v>
      </c>
      <c r="T138" s="172">
        <f t="shared" si="31"/>
        <v>7</v>
      </c>
      <c r="U138" s="247">
        <f t="shared" si="32"/>
        <v>1.0536897772792579</v>
      </c>
      <c r="V138" s="378">
        <f t="shared" si="33"/>
        <v>223.97227853054864</v>
      </c>
      <c r="W138" s="397">
        <f t="shared" si="34"/>
        <v>74.280982213210336</v>
      </c>
      <c r="X138" s="153">
        <f t="shared" si="35"/>
        <v>47972</v>
      </c>
      <c r="Y138" s="380">
        <f t="shared" si="36"/>
        <v>72.221506463484317</v>
      </c>
      <c r="Z138" s="380">
        <f t="shared" si="37"/>
        <v>75.815848049314297</v>
      </c>
      <c r="AA138" s="381">
        <f t="shared" si="38"/>
        <v>80.584955036351531</v>
      </c>
      <c r="AB138" s="193">
        <f t="shared" si="39"/>
        <v>47972</v>
      </c>
      <c r="AC138" s="119">
        <f>IF(OR(t&lt;Tnet,NoTnet),'2030'!Resal_s+('2030'!Salim-'2030'!Resal_s)*(1-EXP(('2030'!Tnet_s-t)/'2030'!Tau_j)),Resal_s+(Salim-Resal_s)*(1-EXP((Tnet_s-t)/Tau_j)))*Salcycl</f>
        <v>5.9181108742766088E-2</v>
      </c>
      <c r="AD138" s="227">
        <f>(INDEX(Models!$BJ138:$BT138,,AH138)*(1-AF138)+INDEX(Models!$BJ138:$BT138,,AH138+1)*AF138-ERP_i)*AE138*Ramure*Pc/MaxiM</f>
        <v>4.9516936633624763E-4</v>
      </c>
      <c r="AE138" s="301">
        <f t="shared" si="40"/>
        <v>0.5</v>
      </c>
      <c r="AF138" s="173">
        <f t="shared" si="41"/>
        <v>0.57867734365323642</v>
      </c>
      <c r="AG138" s="801">
        <f t="shared" si="49"/>
        <v>4</v>
      </c>
      <c r="AH138" s="172">
        <f t="shared" si="42"/>
        <v>10</v>
      </c>
      <c r="AI138" s="221">
        <f t="shared" si="43"/>
        <v>4.5786773436532364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47973</v>
      </c>
      <c r="B139" s="406">
        <f>'2030'!Wh/'2030'!Env_an*'2031'!Env_an</f>
        <v>156.489538123194</v>
      </c>
      <c r="C139" s="831"/>
      <c r="D139" s="388">
        <f t="shared" si="25"/>
        <v>164.28000522770807</v>
      </c>
      <c r="E139" s="380">
        <f t="shared" si="47"/>
        <v>169.78829025935653</v>
      </c>
      <c r="F139" s="380">
        <f t="shared" si="26"/>
        <v>169.79676987255613</v>
      </c>
      <c r="G139" s="110">
        <f t="shared" si="48"/>
        <v>0.69741257450382987</v>
      </c>
      <c r="H139" s="409" t="b">
        <f>Wh_hp&gt;='2030'!Maxi_hp</f>
        <v>0</v>
      </c>
      <c r="I139" s="385">
        <f>IF(H139,Wh_hp,'2030'!Maxi_hp)</f>
        <v>169.80283254720402</v>
      </c>
      <c r="J139" s="85">
        <f>IF(H139,An,'2030'!An_max)</f>
        <v>2029</v>
      </c>
      <c r="K139" s="193">
        <f t="shared" si="27"/>
        <v>47973</v>
      </c>
      <c r="L139" s="143">
        <f>IF(t&lt;Tvie,1-EXP((T0-t)*PertePVj)+'2030'!Pspv,1-EXP((T0-t)*PertePVj)+Pspv)</f>
        <v>4.7421882496994971E-2</v>
      </c>
      <c r="M139" s="835"/>
      <c r="N139" s="835"/>
      <c r="O139" s="48">
        <f>IF(t&lt;Tnet,'2030'!Resal+('2030'!Salim-'2030'!Resal)*(1-EXP(('2030'!Tnet-t)/('2030'!Tau_j))),Resal+(Salim-Resal)*(1-EXP((Tnet-t)/(Tau_j))))*Salcycl</f>
        <v>3.2442078445070674E-2</v>
      </c>
      <c r="P139" s="165">
        <f>(INDEX(Models!$BJ139:$BT139,,T139)*(1-R139)+INDEX(Models!$BJ139:$BT139,,T139+1)*R139-ERP_i)*Q139*Ramure*Pc/MaxiM</f>
        <v>8.7957743064315589E-5</v>
      </c>
      <c r="Q139" s="301">
        <f t="shared" si="28"/>
        <v>0.5</v>
      </c>
      <c r="R139" s="173">
        <f t="shared" si="29"/>
        <v>5.675973534583445E-2</v>
      </c>
      <c r="S139" s="801">
        <f t="shared" si="30"/>
        <v>1</v>
      </c>
      <c r="T139" s="172">
        <f t="shared" si="31"/>
        <v>7</v>
      </c>
      <c r="U139" s="247">
        <f t="shared" si="32"/>
        <v>1.0567597353458345</v>
      </c>
      <c r="V139" s="378">
        <f t="shared" si="33"/>
        <v>224.37735442868029</v>
      </c>
      <c r="W139" s="397">
        <f t="shared" si="34"/>
        <v>156.489538123194</v>
      </c>
      <c r="X139" s="153">
        <f t="shared" si="35"/>
        <v>47973</v>
      </c>
      <c r="Y139" s="380">
        <f t="shared" si="36"/>
        <v>152.12048647832805</v>
      </c>
      <c r="Z139" s="380">
        <f t="shared" si="37"/>
        <v>159.69345052464757</v>
      </c>
      <c r="AA139" s="381">
        <f t="shared" si="38"/>
        <v>169.74913227992351</v>
      </c>
      <c r="AB139" s="193">
        <f t="shared" si="39"/>
        <v>47973</v>
      </c>
      <c r="AC139" s="119">
        <f>IF(OR(t&lt;Tnet,NoTnet),'2030'!Resal_s+('2030'!Salim-'2030'!Resal_s)*(1-EXP(('2030'!Tnet_s-t)/'2030'!Tau_j)),Resal_s+(Salim-Resal_s)*(1-EXP((Tnet_s-t)/Tau_j)))*Salcycl</f>
        <v>5.9238486937851866E-2</v>
      </c>
      <c r="AD139" s="227">
        <f>(INDEX(Models!$BJ139:$BT139,,AH139)*(1-AF139)+INDEX(Models!$BJ139:$BT139,,AH139+1)*AF139-ERP_i)*AE139*Ramure*Pc/MaxiM</f>
        <v>4.94137531317569E-4</v>
      </c>
      <c r="AE139" s="301">
        <f t="shared" si="40"/>
        <v>0.5</v>
      </c>
      <c r="AF139" s="173">
        <f t="shared" si="41"/>
        <v>0.5817473017198127</v>
      </c>
      <c r="AG139" s="801">
        <f t="shared" si="49"/>
        <v>4</v>
      </c>
      <c r="AH139" s="172">
        <f t="shared" si="42"/>
        <v>10</v>
      </c>
      <c r="AI139" s="221">
        <f t="shared" si="43"/>
        <v>4.5817473017198127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47974</v>
      </c>
      <c r="B140" s="406">
        <f>'2030'!Wh/'2030'!Env_an*'2031'!Env_an</f>
        <v>145.58082956236632</v>
      </c>
      <c r="C140" s="831"/>
      <c r="D140" s="388">
        <f t="shared" si="25"/>
        <v>152.83032414241006</v>
      </c>
      <c r="E140" s="380">
        <f t="shared" si="47"/>
        <v>157.96646249433439</v>
      </c>
      <c r="F140" s="380">
        <f t="shared" si="26"/>
        <v>157.97338496227761</v>
      </c>
      <c r="G140" s="110">
        <f t="shared" si="48"/>
        <v>0.64766406542846122</v>
      </c>
      <c r="H140" s="409" t="b">
        <f>Wh_hp&gt;='2030'!Maxi_hp</f>
        <v>0</v>
      </c>
      <c r="I140" s="385">
        <f>IF(H140,Wh_hp,'2030'!Maxi_hp)</f>
        <v>157.97995351825637</v>
      </c>
      <c r="J140" s="85">
        <f>IF(H140,An,'2030'!An_max)</f>
        <v>2029</v>
      </c>
      <c r="K140" s="193">
        <f t="shared" si="27"/>
        <v>47974</v>
      </c>
      <c r="L140" s="143">
        <f>IF(t&lt;Tvie,1-EXP((T0-t)*PertePVj)+'2030'!Pspv,1-EXP((T0-t)*PertePVj)+Pspv)</f>
        <v>4.7434922491484954E-2</v>
      </c>
      <c r="M140" s="835"/>
      <c r="N140" s="835"/>
      <c r="O140" s="48">
        <f>IF(t&lt;Tnet,'2030'!Resal+('2030'!Salim-'2030'!Resal)*(1-EXP(('2030'!Tnet-t)/('2030'!Tau_j))),Resal+(Salim-Resal)*(1-EXP((Tnet-t)/(Tau_j))))*Salcycl</f>
        <v>3.2514106290811882E-2</v>
      </c>
      <c r="P140" s="165">
        <f>(INDEX(Models!$BJ140:$BT140,,T140)*(1-R140)+INDEX(Models!$BJ140:$BT140,,T140+1)*R140-ERP_i)*Q140*Ramure*Pc/MaxiM</f>
        <v>8.8222495827047805E-5</v>
      </c>
      <c r="Q140" s="301">
        <f t="shared" si="28"/>
        <v>0.5</v>
      </c>
      <c r="R140" s="173">
        <f t="shared" si="29"/>
        <v>5.9910074707175909E-2</v>
      </c>
      <c r="S140" s="801">
        <f t="shared" si="30"/>
        <v>1</v>
      </c>
      <c r="T140" s="172">
        <f t="shared" si="31"/>
        <v>7</v>
      </c>
      <c r="U140" s="247">
        <f t="shared" si="32"/>
        <v>1.0599100747071759</v>
      </c>
      <c r="V140" s="378">
        <f t="shared" si="33"/>
        <v>224.76832198341179</v>
      </c>
      <c r="W140" s="397">
        <f t="shared" si="34"/>
        <v>145.58082956236632</v>
      </c>
      <c r="X140" s="153">
        <f t="shared" si="35"/>
        <v>47974</v>
      </c>
      <c r="Y140" s="380">
        <f t="shared" si="36"/>
        <v>141.52232325100195</v>
      </c>
      <c r="Z140" s="380">
        <f t="shared" si="37"/>
        <v>148.56971622470263</v>
      </c>
      <c r="AA140" s="381">
        <f t="shared" si="38"/>
        <v>157.93470618741887</v>
      </c>
      <c r="AB140" s="193">
        <f t="shared" si="39"/>
        <v>47974</v>
      </c>
      <c r="AC140" s="119">
        <f>IF(OR(t&lt;Tnet,NoTnet),'2030'!Resal_s+('2030'!Salim-'2030'!Resal_s)*(1-EXP(('2030'!Tnet_s-t)/'2030'!Tau_j)),Resal_s+(Salim-Resal_s)*(1-EXP((Tnet_s-t)/Tau_j)))*Salcycl</f>
        <v>5.9296592805908793E-2</v>
      </c>
      <c r="AD140" s="227">
        <f>(INDEX(Models!$BJ140:$BT140,,AH140)*(1-AF140)+INDEX(Models!$BJ140:$BT140,,AH140+1)*AF140-ERP_i)*AE140*Ramure*Pc/MaxiM</f>
        <v>4.9293663496460002E-4</v>
      </c>
      <c r="AE140" s="301">
        <f t="shared" si="40"/>
        <v>0.5</v>
      </c>
      <c r="AF140" s="173">
        <f t="shared" si="41"/>
        <v>0.58489764108115416</v>
      </c>
      <c r="AG140" s="801">
        <f t="shared" si="49"/>
        <v>4</v>
      </c>
      <c r="AH140" s="172">
        <f t="shared" si="42"/>
        <v>10</v>
      </c>
      <c r="AI140" s="221">
        <f t="shared" si="43"/>
        <v>4.5848976410811542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47975</v>
      </c>
      <c r="B141" s="406">
        <f>'2030'!Wh/'2030'!Env_an*'2031'!Env_an</f>
        <v>184.62912277369529</v>
      </c>
      <c r="C141" s="831"/>
      <c r="D141" s="388">
        <f t="shared" si="25"/>
        <v>193.82576013478706</v>
      </c>
      <c r="E141" s="380">
        <f t="shared" si="47"/>
        <v>200.35462106801916</v>
      </c>
      <c r="F141" s="380">
        <f t="shared" si="26"/>
        <v>200.36779565145281</v>
      </c>
      <c r="G141" s="110">
        <f t="shared" si="48"/>
        <v>0.82002423083330245</v>
      </c>
      <c r="H141" s="409" t="b">
        <f>Wh_hp&gt;='2030'!Maxi_hp</f>
        <v>0</v>
      </c>
      <c r="I141" s="385">
        <f>IF(H141,Wh_hp,'2030'!Maxi_hp)</f>
        <v>200.37205219920017</v>
      </c>
      <c r="J141" s="85">
        <f>IF(H141,An,'2030'!An_max)</f>
        <v>2029</v>
      </c>
      <c r="K141" s="193">
        <f t="shared" si="27"/>
        <v>47975</v>
      </c>
      <c r="L141" s="143">
        <f>IF(t&lt;Tvie,1-EXP((T0-t)*PertePVj)+'2030'!Pspv,1-EXP((T0-t)*PertePVj)+Pspv)</f>
        <v>4.7447962307468283E-2</v>
      </c>
      <c r="M141" s="835"/>
      <c r="N141" s="835"/>
      <c r="O141" s="48">
        <f>IF(t&lt;Tnet,'2030'!Resal+('2030'!Salim-'2030'!Resal)*(1-EXP(('2030'!Tnet-t)/('2030'!Tau_j))),Resal+(Salim-Resal)*(1-EXP((Tnet-t)/(Tau_j))))*Salcycl</f>
        <v>3.2586525324093264E-2</v>
      </c>
      <c r="P141" s="165">
        <f>(INDEX(Models!$BJ141:$BT141,,T141)*(1-R141)+INDEX(Models!$BJ141:$BT141,,T141+1)*R141-ERP_i)*Q141*Ramure*Pc/MaxiM</f>
        <v>8.8505008545643855E-5</v>
      </c>
      <c r="Q141" s="301">
        <f t="shared" si="28"/>
        <v>0.5</v>
      </c>
      <c r="R141" s="173">
        <f t="shared" si="29"/>
        <v>6.3141229112328112E-2</v>
      </c>
      <c r="S141" s="801">
        <f t="shared" si="30"/>
        <v>1</v>
      </c>
      <c r="T141" s="172">
        <f t="shared" si="31"/>
        <v>7</v>
      </c>
      <c r="U141" s="247">
        <f t="shared" si="32"/>
        <v>1.0631412291123281</v>
      </c>
      <c r="V141" s="378">
        <f t="shared" si="33"/>
        <v>225.14569044132074</v>
      </c>
      <c r="W141" s="397">
        <f t="shared" si="34"/>
        <v>184.62912277369529</v>
      </c>
      <c r="X141" s="153">
        <f t="shared" si="35"/>
        <v>47975</v>
      </c>
      <c r="Y141" s="380">
        <f t="shared" si="36"/>
        <v>179.46657159657104</v>
      </c>
      <c r="Z141" s="380">
        <f t="shared" si="37"/>
        <v>188.4060549923467</v>
      </c>
      <c r="AA141" s="381">
        <f t="shared" si="38"/>
        <v>200.29462393618218</v>
      </c>
      <c r="AB141" s="193">
        <f t="shared" si="39"/>
        <v>47975</v>
      </c>
      <c r="AC141" s="119">
        <f>IF(OR(t&lt;Tnet,NoTnet),'2030'!Resal_s+('2030'!Salim-'2030'!Resal_s)*(1-EXP(('2030'!Tnet_s-t)/'2030'!Tau_j)),Resal_s+(Salim-Resal_s)*(1-EXP((Tnet_s-t)/Tau_j)))*Salcycl</f>
        <v>5.9355407100808687E-2</v>
      </c>
      <c r="AD141" s="227">
        <f>(INDEX(Models!$BJ141:$BT141,,AH141)*(1-AF141)+INDEX(Models!$BJ141:$BT141,,AH141+1)*AF141-ERP_i)*AE141*Ramure*Pc/MaxiM</f>
        <v>4.915573473684787E-4</v>
      </c>
      <c r="AE141" s="301">
        <f t="shared" si="40"/>
        <v>0.5</v>
      </c>
      <c r="AF141" s="173">
        <f t="shared" si="41"/>
        <v>0.58812879548630637</v>
      </c>
      <c r="AG141" s="801">
        <f t="shared" si="49"/>
        <v>4</v>
      </c>
      <c r="AH141" s="172">
        <f t="shared" si="42"/>
        <v>10</v>
      </c>
      <c r="AI141" s="221">
        <f t="shared" si="43"/>
        <v>4.5881287954863064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47976</v>
      </c>
      <c r="B142" s="406">
        <f>'2030'!Wh/'2030'!Env_an*'2031'!Env_an</f>
        <v>201.70700920011157</v>
      </c>
      <c r="C142" s="831"/>
      <c r="D142" s="388">
        <f t="shared" si="25"/>
        <v>211.75721898207658</v>
      </c>
      <c r="E142" s="380">
        <f t="shared" si="47"/>
        <v>218.90655951669396</v>
      </c>
      <c r="F142" s="380">
        <f t="shared" si="26"/>
        <v>218.92305907867643</v>
      </c>
      <c r="G142" s="110">
        <f t="shared" si="48"/>
        <v>0.89443628297584465</v>
      </c>
      <c r="H142" s="409" t="b">
        <f>Wh_hp&gt;='2030'!Maxi_hp</f>
        <v>0</v>
      </c>
      <c r="I142" s="385">
        <f>IF(H142,Wh_hp,'2030'!Maxi_hp)</f>
        <v>218.92578611235012</v>
      </c>
      <c r="J142" s="85">
        <f>IF(H142,An,'2030'!An_max)</f>
        <v>2029</v>
      </c>
      <c r="K142" s="193">
        <f t="shared" si="27"/>
        <v>47976</v>
      </c>
      <c r="L142" s="143">
        <f>IF(t&lt;Tvie,1-EXP((T0-t)*PertePVj)+'2030'!Pspv,1-EXP((T0-t)*PertePVj)+Pspv)</f>
        <v>4.7461001944947512E-2</v>
      </c>
      <c r="M142" s="835"/>
      <c r="N142" s="835"/>
      <c r="O142" s="48">
        <f>IF(t&lt;Tnet,'2030'!Resal+('2030'!Salim-'2030'!Resal)*(1-EXP(('2030'!Tnet-t)/('2030'!Tau_j))),Resal+(Salim-Resal)*(1-EXP((Tnet-t)/(Tau_j))))*Salcycl</f>
        <v>3.2659325286559841E-2</v>
      </c>
      <c r="P142" s="165">
        <f>(INDEX(Models!$BJ142:$BT142,,T142)*(1-R142)+INDEX(Models!$BJ142:$BT142,,T142+1)*R142-ERP_i)*Q142*Ramure*Pc/MaxiM</f>
        <v>8.8749290838161755E-5</v>
      </c>
      <c r="Q142" s="301">
        <f t="shared" si="28"/>
        <v>0.5</v>
      </c>
      <c r="R142" s="173">
        <f t="shared" si="29"/>
        <v>6.6453514910461031E-2</v>
      </c>
      <c r="S142" s="801">
        <f t="shared" si="30"/>
        <v>1</v>
      </c>
      <c r="T142" s="172">
        <f t="shared" si="31"/>
        <v>7</v>
      </c>
      <c r="U142" s="247">
        <f t="shared" si="32"/>
        <v>1.066453514910461</v>
      </c>
      <c r="V142" s="378">
        <f t="shared" si="33"/>
        <v>225.50998156342956</v>
      </c>
      <c r="W142" s="397">
        <f t="shared" si="34"/>
        <v>201.70700920011157</v>
      </c>
      <c r="X142" s="153">
        <f t="shared" si="35"/>
        <v>47976</v>
      </c>
      <c r="Y142" s="380">
        <f t="shared" si="36"/>
        <v>196.06120436054255</v>
      </c>
      <c r="Z142" s="380">
        <f t="shared" si="37"/>
        <v>205.83010749257647</v>
      </c>
      <c r="AA142" s="381">
        <f t="shared" si="38"/>
        <v>218.83199018932348</v>
      </c>
      <c r="AB142" s="193">
        <f t="shared" si="39"/>
        <v>47976</v>
      </c>
      <c r="AC142" s="119">
        <f>IF(OR(t&lt;Tnet,NoTnet),'2030'!Resal_s+('2030'!Salim-'2030'!Resal_s)*(1-EXP(('2030'!Tnet_s-t)/'2030'!Tau_j)),Resal_s+(Salim-Resal_s)*(1-EXP((Tnet_s-t)/Tau_j)))*Salcycl</f>
        <v>5.9414908604077291E-2</v>
      </c>
      <c r="AD142" s="227">
        <f>(INDEX(Models!$BJ142:$BT142,,AH142)*(1-AF142)+INDEX(Models!$BJ142:$BT142,,AH142+1)*AF142-ERP_i)*AE142*Ramure*Pc/MaxiM</f>
        <v>4.8984932788345334E-4</v>
      </c>
      <c r="AE142" s="301">
        <f t="shared" si="40"/>
        <v>0.5</v>
      </c>
      <c r="AF142" s="173">
        <f t="shared" si="41"/>
        <v>0.59144108128443929</v>
      </c>
      <c r="AG142" s="801">
        <f t="shared" si="49"/>
        <v>4</v>
      </c>
      <c r="AH142" s="172">
        <f t="shared" si="42"/>
        <v>10</v>
      </c>
      <c r="AI142" s="221">
        <f t="shared" si="43"/>
        <v>4.5914410812844393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47977</v>
      </c>
      <c r="B143" s="406">
        <f>'2030'!Wh/'2030'!Env_an*'2031'!Env_an</f>
        <v>217.49721683891522</v>
      </c>
      <c r="C143" s="831"/>
      <c r="D143" s="388">
        <f t="shared" ref="D143:D206" si="50">Wh/(1-Ppv)</f>
        <v>228.33731183503249</v>
      </c>
      <c r="E143" s="380">
        <f t="shared" si="47"/>
        <v>236.0642848007619</v>
      </c>
      <c r="F143" s="380">
        <f t="shared" ref="F143:F206" si="51">Wh_sa/(1-Pvg*MEDIAN((-Sdif+Wh/Env_an)/Csdif,0,1))</f>
        <v>236.08417131405349</v>
      </c>
      <c r="G143" s="110">
        <f t="shared" si="48"/>
        <v>0.96296178393019249</v>
      </c>
      <c r="H143" s="409" t="b">
        <f>Wh_hp&gt;='2030'!Maxi_hp</f>
        <v>0</v>
      </c>
      <c r="I143" s="385">
        <f>IF(H143,Wh_hp,'2030'!Maxi_hp)</f>
        <v>236.08520211895498</v>
      </c>
      <c r="J143" s="85">
        <f>IF(H143,An,'2030'!An_max)</f>
        <v>2029</v>
      </c>
      <c r="K143" s="193">
        <f t="shared" ref="K143:K206" si="52">t</f>
        <v>47977</v>
      </c>
      <c r="L143" s="143">
        <f>IF(t&lt;Tvie,1-EXP((T0-t)*PertePVj)+'2030'!Pspv,1-EXP((T0-t)*PertePVj)+Pspv)</f>
        <v>4.7474041403925082E-2</v>
      </c>
      <c r="M143" s="835"/>
      <c r="N143" s="835"/>
      <c r="O143" s="48">
        <f>IF(t&lt;Tnet,'2030'!Resal+('2030'!Salim-'2030'!Resal)*(1-EXP(('2030'!Tnet-t)/('2030'!Tau_j))),Resal+(Salim-Resal)*(1-EXP((Tnet-t)/(Tau_j))))*Salcycl</f>
        <v>3.2732494761971181E-2</v>
      </c>
      <c r="P143" s="165">
        <f>(INDEX(Models!$BJ143:$BT143,,T143)*(1-R143)+INDEX(Models!$BJ143:$BT143,,T143+1)*R143-ERP_i)*Q143*Ramure*Pc/MaxiM</f>
        <v>8.8940251226911276E-5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6.984712412780647E-2</v>
      </c>
      <c r="S143" s="801">
        <f t="shared" ref="S143:S206" si="55">INDEX(Echel_vg,T143)</f>
        <v>1</v>
      </c>
      <c r="T143" s="172">
        <f t="shared" ref="T143:T206" si="56">MIN(MATCH(Hp_vg,Echel_vg),10)</f>
        <v>7</v>
      </c>
      <c r="U143" s="247">
        <f t="shared" ref="U143:U206" si="57">IF(OR(t&lt;Ttai,Notai),Hdd+PousH*Croivg,Hdtf+PousH*(Croivg-Croi_tai))</f>
        <v>1.0698471241278065</v>
      </c>
      <c r="V143" s="378">
        <f t="shared" ref="V143:V206" si="58">MaxiM*(1-Ppv)*(1-Pvg)*(1-Psa)</f>
        <v>225.86170808565112</v>
      </c>
      <c r="W143" s="397">
        <f t="shared" ref="W143:W206" si="59">Wh*(A143&gt;Tmaj)</f>
        <v>217.49721683891522</v>
      </c>
      <c r="X143" s="153">
        <f t="shared" ref="X143:X206" si="60">t</f>
        <v>47977</v>
      </c>
      <c r="Y143" s="380">
        <f t="shared" ref="Y143:Y206" si="61">Wh_pvt_s*(1-Ppv)</f>
        <v>211.40400855319865</v>
      </c>
      <c r="Z143" s="380">
        <f t="shared" ref="Z143:Z206" si="62">Wh_sa_s*(1-Psa_s)</f>
        <v>221.94041710399827</v>
      </c>
      <c r="AA143" s="381">
        <f t="shared" ref="AA143:AA206" si="63">Wh_hp*(1-Pvg_s*MEDIAN((-Sdif+Wh/Env_an)/Csdif,0,1))</f>
        <v>235.97505073380191</v>
      </c>
      <c r="AB143" s="193">
        <f t="shared" ref="AB143:AB206" si="64">t</f>
        <v>47977</v>
      </c>
      <c r="AC143" s="119">
        <f>IF(OR(t&lt;Tnet,NoTnet),'2030'!Resal_s+('2030'!Salim-'2030'!Resal_s)*(1-EXP(('2030'!Tnet_s-t)/'2030'!Tau_j)),Resal_s+(Salim-Resal_s)*(1-EXP((Tnet_s-t)/Tau_j)))*Salcycl</f>
        <v>5.9475074107032545E-2</v>
      </c>
      <c r="AD143" s="227">
        <f>(INDEX(Models!$BJ143:$BT143,,AH143)*(1-AF143)+INDEX(Models!$BJ143:$BT143,,AH143+1)*AF143-ERP_i)*AE143*Ramure*Pc/MaxiM</f>
        <v>4.8802983606451261E-4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0.59483469050178428</v>
      </c>
      <c r="AG143" s="801">
        <f t="shared" si="49"/>
        <v>4</v>
      </c>
      <c r="AH143" s="172">
        <f t="shared" ref="AH143:AH206" si="67">MIN(MATCH(Hp_vg_s,Echel_vg),10)</f>
        <v>10</v>
      </c>
      <c r="AI143" s="221">
        <f t="shared" ref="AI143:AI206" si="68">IF(OR(t&lt;Ttai,Notai),Hdd_s+PousH*Croivg,Hdtai_s+PousH*(Croivg-Croi_tai))</f>
        <v>4.5948346905017843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47978</v>
      </c>
      <c r="B144" s="406">
        <f>'2030'!Wh/'2030'!Env_an*'2031'!Env_an</f>
        <v>208.15059585275293</v>
      </c>
      <c r="C144" s="831"/>
      <c r="D144" s="388">
        <f t="shared" si="50"/>
        <v>218.52784527302174</v>
      </c>
      <c r="E144" s="380">
        <f t="shared" ref="E144:E169" si="72">Wh_pvt/(1-Psa)</f>
        <v>225.9400389733957</v>
      </c>
      <c r="F144" s="380">
        <f t="shared" si="51"/>
        <v>225.95787167421781</v>
      </c>
      <c r="G144" s="110">
        <f t="shared" ref="G144:G169" si="73">+Wh_hp/MaxiM</f>
        <v>0.92019103460195417</v>
      </c>
      <c r="H144" s="409" t="b">
        <f>Wh_hp&gt;='2030'!Maxi_hp</f>
        <v>0</v>
      </c>
      <c r="I144" s="385">
        <f>IF(H144,Wh_hp,'2030'!Maxi_hp)</f>
        <v>225.95999400514879</v>
      </c>
      <c r="J144" s="85">
        <f>IF(H144,An,'2030'!An_max)</f>
        <v>2029</v>
      </c>
      <c r="K144" s="193">
        <f t="shared" si="52"/>
        <v>47978</v>
      </c>
      <c r="L144" s="143">
        <f>IF(t&lt;Tvie,1-EXP((T0-t)*PertePVj)+'2030'!Pspv,1-EXP((T0-t)*PertePVj)+Pspv)</f>
        <v>4.7487080684403438E-2</v>
      </c>
      <c r="M144" s="835"/>
      <c r="N144" s="835"/>
      <c r="O144" s="48">
        <f>IF(t&lt;Tnet,'2030'!Resal+('2030'!Salim-'2030'!Resal)*(1-EXP(('2030'!Tnet-t)/('2030'!Tau_j))),Resal+(Salim-Resal)*(1-EXP((Tnet-t)/(Tau_j))))*Salcycl</f>
        <v>3.280602116407863E-2</v>
      </c>
      <c r="P144" s="165">
        <f>(INDEX(Models!$BJ144:$BT144,,T144)*(1-R144)+INDEX(Models!$BJ144:$BT144,,T144+1)*R144-ERP_i)*Q144*Ramure*Pc/MaxiM</f>
        <v>8.9074965016645635E-5</v>
      </c>
      <c r="Q144" s="301">
        <f t="shared" si="53"/>
        <v>0.5</v>
      </c>
      <c r="R144" s="173">
        <f t="shared" si="54"/>
        <v>7.3322117674524678E-2</v>
      </c>
      <c r="S144" s="801">
        <f t="shared" si="55"/>
        <v>1</v>
      </c>
      <c r="T144" s="172">
        <f t="shared" si="56"/>
        <v>7</v>
      </c>
      <c r="U144" s="247">
        <f t="shared" si="57"/>
        <v>1.0733221176745247</v>
      </c>
      <c r="V144" s="378">
        <f t="shared" si="58"/>
        <v>226.20138014191375</v>
      </c>
      <c r="W144" s="397">
        <f t="shared" si="59"/>
        <v>208.15059585275293</v>
      </c>
      <c r="X144" s="153">
        <f t="shared" si="60"/>
        <v>47978</v>
      </c>
      <c r="Y144" s="380">
        <f t="shared" si="61"/>
        <v>202.32684117573157</v>
      </c>
      <c r="Z144" s="380">
        <f t="shared" si="62"/>
        <v>212.41375006347241</v>
      </c>
      <c r="AA144" s="381">
        <f t="shared" si="63"/>
        <v>225.86055670277617</v>
      </c>
      <c r="AB144" s="193">
        <f t="shared" si="64"/>
        <v>47978</v>
      </c>
      <c r="AC144" s="119">
        <f>IF(OR(t&lt;Tnet,NoTnet),'2030'!Resal_s+('2030'!Salim-'2030'!Resal_s)*(1-EXP(('2030'!Tnet_s-t)/'2030'!Tau_j)),Resal_s+(Salim-Resal_s)*(1-EXP((Tnet_s-t)/Tau_j)))*Salcycl</f>
        <v>5.9535878400402788E-2</v>
      </c>
      <c r="AD144" s="227">
        <f>(INDEX(Models!$BJ144:$BT144,,AH144)*(1-AF144)+INDEX(Models!$BJ144:$BT144,,AH144+1)*AF144-ERP_i)*AE144*Ramure*Pc/MaxiM</f>
        <v>4.8609168982485329E-4</v>
      </c>
      <c r="AE144" s="301">
        <f t="shared" si="65"/>
        <v>0.5</v>
      </c>
      <c r="AF144" s="173">
        <f t="shared" si="66"/>
        <v>0.59830968404850271</v>
      </c>
      <c r="AG144" s="801">
        <f t="shared" ref="AG144:AG207" si="74">INDEX(Echel_vg,AH144)</f>
        <v>4</v>
      </c>
      <c r="AH144" s="172">
        <f t="shared" si="67"/>
        <v>10</v>
      </c>
      <c r="AI144" s="221">
        <f t="shared" si="68"/>
        <v>4.5983096840485027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47979</v>
      </c>
      <c r="B145" s="406">
        <f>'2030'!Wh/'2030'!Env_an*'2031'!Env_an</f>
        <v>224.19841935428641</v>
      </c>
      <c r="C145" s="831"/>
      <c r="D145" s="388">
        <f t="shared" si="50"/>
        <v>235.3789475585088</v>
      </c>
      <c r="E145" s="380">
        <f t="shared" si="72"/>
        <v>243.38129804365994</v>
      </c>
      <c r="F145" s="380">
        <f t="shared" si="51"/>
        <v>243.40267848150529</v>
      </c>
      <c r="G145" s="110">
        <f t="shared" si="73"/>
        <v>0.98970826108971988</v>
      </c>
      <c r="H145" s="409" t="b">
        <f>Wh_hp&gt;='2030'!Maxi_hp</f>
        <v>0</v>
      </c>
      <c r="I145" s="385">
        <f>IF(H145,Wh_hp,'2030'!Maxi_hp)</f>
        <v>243.40297258238232</v>
      </c>
      <c r="J145" s="85">
        <f>IF(H145,An,'2030'!An_max)</f>
        <v>2029</v>
      </c>
      <c r="K145" s="193">
        <f t="shared" si="52"/>
        <v>47979</v>
      </c>
      <c r="L145" s="143">
        <f>IF(t&lt;Tvie,1-EXP((T0-t)*PertePVj)+'2030'!Pspv,1-EXP((T0-t)*PertePVj)+Pspv)</f>
        <v>4.7500119786384909E-2</v>
      </c>
      <c r="M145" s="835"/>
      <c r="N145" s="835"/>
      <c r="O145" s="48">
        <f>IF(t&lt;Tnet,'2030'!Resal+('2030'!Salim-'2030'!Resal)*(1-EXP(('2030'!Tnet-t)/('2030'!Tau_j))),Resal+(Salim-Resal)*(1-EXP((Tnet-t)/(Tau_j))))*Salcycl</f>
        <v>3.2879890728973009E-2</v>
      </c>
      <c r="P145" s="165">
        <f>(INDEX(Models!$BJ145:$BT145,,T145)*(1-R145)+INDEX(Models!$BJ145:$BT145,,T145+1)*R145-ERP_i)*Q145*Ramure*Pc/MaxiM</f>
        <v>8.9150346831507984E-5</v>
      </c>
      <c r="Q145" s="301">
        <f t="shared" si="53"/>
        <v>0.5</v>
      </c>
      <c r="R145" s="173">
        <f t="shared" si="54"/>
        <v>7.6878418732889031E-2</v>
      </c>
      <c r="S145" s="801">
        <f t="shared" si="55"/>
        <v>1</v>
      </c>
      <c r="T145" s="172">
        <f t="shared" si="56"/>
        <v>7</v>
      </c>
      <c r="U145" s="247">
        <f t="shared" si="57"/>
        <v>1.076878418732889</v>
      </c>
      <c r="V145" s="378">
        <f t="shared" si="58"/>
        <v>226.52950805393462</v>
      </c>
      <c r="W145" s="397">
        <f t="shared" si="59"/>
        <v>224.19841935428641</v>
      </c>
      <c r="X145" s="153">
        <f t="shared" si="60"/>
        <v>47979</v>
      </c>
      <c r="Y145" s="380">
        <f t="shared" si="61"/>
        <v>217.91994623620201</v>
      </c>
      <c r="Z145" s="380">
        <f t="shared" si="62"/>
        <v>228.78737390216739</v>
      </c>
      <c r="AA145" s="381">
        <f t="shared" si="63"/>
        <v>243.28659680436445</v>
      </c>
      <c r="AB145" s="193">
        <f t="shared" si="64"/>
        <v>47979</v>
      </c>
      <c r="AC145" s="119">
        <f>IF(OR(t&lt;Tnet,NoTnet),'2030'!Resal_s+('2030'!Salim-'2030'!Resal_s)*(1-EXP(('2030'!Tnet_s-t)/'2030'!Tau_j)),Resal_s+(Salim-Resal_s)*(1-EXP((Tnet_s-t)/Tau_j)))*Salcycl</f>
        <v>5.9597294272057288E-2</v>
      </c>
      <c r="AD145" s="227">
        <f>(INDEX(Models!$BJ145:$BT145,,AH145)*(1-AF145)+INDEX(Models!$BJ145:$BT145,,AH145+1)*AF145-ERP_i)*AE145*Ramure*Pc/MaxiM</f>
        <v>4.8402758880509853E-4</v>
      </c>
      <c r="AE145" s="301">
        <f t="shared" si="65"/>
        <v>0.5</v>
      </c>
      <c r="AF145" s="173">
        <f t="shared" si="66"/>
        <v>0.60186598510686729</v>
      </c>
      <c r="AG145" s="801">
        <f t="shared" si="74"/>
        <v>4</v>
      </c>
      <c r="AH145" s="172">
        <f t="shared" si="67"/>
        <v>10</v>
      </c>
      <c r="AI145" s="221">
        <f t="shared" si="68"/>
        <v>4.6018659851068673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47980</v>
      </c>
      <c r="B146" s="406">
        <f>'2030'!Wh/'2030'!Env_an*'2031'!Env_an</f>
        <v>168.39536894092222</v>
      </c>
      <c r="C146" s="831"/>
      <c r="D146" s="388">
        <f t="shared" si="50"/>
        <v>176.79548067334289</v>
      </c>
      <c r="E146" s="380">
        <f t="shared" si="72"/>
        <v>182.8201521490906</v>
      </c>
      <c r="F146" s="380">
        <f t="shared" si="51"/>
        <v>182.83045325235415</v>
      </c>
      <c r="G146" s="110">
        <f t="shared" si="73"/>
        <v>0.74230709231307956</v>
      </c>
      <c r="H146" s="409" t="b">
        <f>Wh_hp&gt;='2030'!Maxi_hp</f>
        <v>0</v>
      </c>
      <c r="I146" s="385">
        <f>IF(H146,Wh_hp,'2030'!Maxi_hp)</f>
        <v>182.83596719196737</v>
      </c>
      <c r="J146" s="85">
        <f>IF(H146,An,'2030'!An_max)</f>
        <v>2029</v>
      </c>
      <c r="K146" s="193">
        <f t="shared" si="52"/>
        <v>47980</v>
      </c>
      <c r="L146" s="143">
        <f>IF(t&lt;Tvie,1-EXP((T0-t)*PertePVj)+'2030'!Pspv,1-EXP((T0-t)*PertePVj)+Pspv)</f>
        <v>4.751315870987205E-2</v>
      </c>
      <c r="M146" s="835"/>
      <c r="N146" s="835"/>
      <c r="O146" s="48">
        <f>IF(t&lt;Tnet,'2030'!Resal+('2030'!Salim-'2030'!Resal)*(1-EXP(('2030'!Tnet-t)/('2030'!Tau_j))),Resal+(Salim-Resal)*(1-EXP((Tnet-t)/(Tau_j))))*Salcycl</f>
        <v>3.2954088512269504E-2</v>
      </c>
      <c r="P146" s="165">
        <f>(INDEX(Models!$BJ146:$BT146,,T146)*(1-R146)+INDEX(Models!$BJ146:$BT146,,T146+1)*R146-ERP_i)*Q146*Ramure*Pc/MaxiM</f>
        <v>8.9163153153210952E-5</v>
      </c>
      <c r="Q146" s="301">
        <f t="shared" si="53"/>
        <v>0.5</v>
      </c>
      <c r="R146" s="173">
        <f t="shared" si="54"/>
        <v>8.0515806380717647E-2</v>
      </c>
      <c r="S146" s="801">
        <f t="shared" si="55"/>
        <v>1</v>
      </c>
      <c r="T146" s="172">
        <f t="shared" si="56"/>
        <v>7</v>
      </c>
      <c r="U146" s="247">
        <f t="shared" si="57"/>
        <v>1.0805158063807176</v>
      </c>
      <c r="V146" s="378">
        <f t="shared" si="58"/>
        <v>226.84660231246013</v>
      </c>
      <c r="W146" s="397">
        <f t="shared" si="59"/>
        <v>168.39536894092222</v>
      </c>
      <c r="X146" s="153">
        <f t="shared" si="60"/>
        <v>47980</v>
      </c>
      <c r="Y146" s="380">
        <f t="shared" si="61"/>
        <v>163.70445869476799</v>
      </c>
      <c r="Z146" s="380">
        <f t="shared" si="62"/>
        <v>171.87057248269485</v>
      </c>
      <c r="AA146" s="381">
        <f t="shared" si="63"/>
        <v>182.7747869621524</v>
      </c>
      <c r="AB146" s="193">
        <f t="shared" si="64"/>
        <v>47980</v>
      </c>
      <c r="AC146" s="119">
        <f>IF(OR(t&lt;Tnet,NoTnet),'2030'!Resal_s+('2030'!Salim-'2030'!Resal_s)*(1-EXP(('2030'!Tnet_s-t)/'2030'!Tau_j)),Resal_s+(Salim-Resal_s)*(1-EXP((Tnet_s-t)/Tau_j)))*Salcycl</f>
        <v>5.9659292513444429E-2</v>
      </c>
      <c r="AD146" s="227">
        <f>(INDEX(Models!$BJ146:$BT146,,AH146)*(1-AF146)+INDEX(Models!$BJ146:$BT146,,AH146+1)*AF146-ERP_i)*AE146*Ramure*Pc/MaxiM</f>
        <v>4.818301333111568E-4</v>
      </c>
      <c r="AE146" s="301">
        <f t="shared" si="65"/>
        <v>0.5</v>
      </c>
      <c r="AF146" s="173">
        <f t="shared" si="66"/>
        <v>0.60550337275469612</v>
      </c>
      <c r="AG146" s="801">
        <f t="shared" si="74"/>
        <v>4</v>
      </c>
      <c r="AH146" s="172">
        <f t="shared" si="67"/>
        <v>10</v>
      </c>
      <c r="AI146" s="221">
        <f t="shared" si="68"/>
        <v>4.6055033727546961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47981</v>
      </c>
      <c r="B147" s="406">
        <f>'2030'!Wh/'2030'!Env_an*'2031'!Env_an</f>
        <v>160.01189677900933</v>
      </c>
      <c r="C147" s="831"/>
      <c r="D147" s="388">
        <f t="shared" si="50"/>
        <v>167.99611322793018</v>
      </c>
      <c r="E147" s="380">
        <f t="shared" si="72"/>
        <v>173.73431411567489</v>
      </c>
      <c r="F147" s="380">
        <f t="shared" si="51"/>
        <v>173.74325894450311</v>
      </c>
      <c r="G147" s="110">
        <f t="shared" si="73"/>
        <v>0.70439639114843478</v>
      </c>
      <c r="H147" s="409" t="b">
        <f>Wh_hp&gt;='2030'!Maxi_hp</f>
        <v>0</v>
      </c>
      <c r="I147" s="385">
        <f>IF(H147,Wh_hp,'2030'!Maxi_hp)</f>
        <v>173.74924574289659</v>
      </c>
      <c r="J147" s="85">
        <f>IF(H147,An,'2030'!An_max)</f>
        <v>2029</v>
      </c>
      <c r="K147" s="193">
        <f t="shared" si="52"/>
        <v>47981</v>
      </c>
      <c r="L147" s="143">
        <f>IF(t&lt;Tvie,1-EXP((T0-t)*PertePVj)+'2030'!Pspv,1-EXP((T0-t)*PertePVj)+Pspv)</f>
        <v>4.7526197454867303E-2</v>
      </c>
      <c r="M147" s="835"/>
      <c r="N147" s="835"/>
      <c r="O147" s="48">
        <f>IF(t&lt;Tnet,'2030'!Resal+('2030'!Salim-'2030'!Resal)*(1-EXP(('2030'!Tnet-t)/('2030'!Tau_j))),Resal+(Salim-Resal)*(1-EXP((Tnet-t)/(Tau_j))))*Salcycl</f>
        <v>3.3028598391473339E-2</v>
      </c>
      <c r="P147" s="165">
        <f>(INDEX(Models!$BJ147:$BT147,,T147)*(1-R147)+INDEX(Models!$BJ147:$BT147,,T147+1)*R147-ERP_i)*Q147*Ramure*Pc/MaxiM</f>
        <v>8.9109985714027251E-5</v>
      </c>
      <c r="Q147" s="301">
        <f t="shared" si="53"/>
        <v>0.5</v>
      </c>
      <c r="R147" s="173">
        <f t="shared" si="54"/>
        <v>8.4233909506169713E-2</v>
      </c>
      <c r="S147" s="801">
        <f t="shared" si="55"/>
        <v>1</v>
      </c>
      <c r="T147" s="172">
        <f t="shared" si="56"/>
        <v>7</v>
      </c>
      <c r="U147" s="247">
        <f t="shared" si="57"/>
        <v>1.0842339095061697</v>
      </c>
      <c r="V147" s="378">
        <f t="shared" si="58"/>
        <v>227.15317358038109</v>
      </c>
      <c r="W147" s="397">
        <f t="shared" si="59"/>
        <v>160.01189677900933</v>
      </c>
      <c r="X147" s="153">
        <f t="shared" si="60"/>
        <v>47981</v>
      </c>
      <c r="Y147" s="380">
        <f t="shared" si="61"/>
        <v>155.55967374516237</v>
      </c>
      <c r="Z147" s="380">
        <f t="shared" si="62"/>
        <v>163.32173476003948</v>
      </c>
      <c r="AA147" s="381">
        <f t="shared" si="63"/>
        <v>173.69512772283156</v>
      </c>
      <c r="AB147" s="193">
        <f t="shared" si="64"/>
        <v>47981</v>
      </c>
      <c r="AC147" s="119">
        <f>IF(OR(t&lt;Tnet,NoTnet),'2030'!Resal_s+('2030'!Salim-'2030'!Resal_s)*(1-EXP(('2030'!Tnet_s-t)/'2030'!Tau_j)),Resal_s+(Salim-Resal_s)*(1-EXP((Tnet_s-t)/Tau_j)))*Salcycl</f>
        <v>5.9721841935284993E-2</v>
      </c>
      <c r="AD147" s="227">
        <f>(INDEX(Models!$BJ147:$BT147,,AH147)*(1-AF147)+INDEX(Models!$BJ147:$BT147,,AH147+1)*AF147-ERP_i)*AE147*Ramure*Pc/MaxiM</f>
        <v>4.7949184472081768E-4</v>
      </c>
      <c r="AE147" s="301">
        <f t="shared" si="65"/>
        <v>0.5</v>
      </c>
      <c r="AF147" s="173">
        <f t="shared" si="66"/>
        <v>0.60922147588014752</v>
      </c>
      <c r="AG147" s="801">
        <f t="shared" si="74"/>
        <v>4</v>
      </c>
      <c r="AH147" s="172">
        <f t="shared" si="67"/>
        <v>10</v>
      </c>
      <c r="AI147" s="221">
        <f t="shared" si="68"/>
        <v>4.6092214758801475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47982</v>
      </c>
      <c r="B148" s="406">
        <f>'2030'!Wh/'2030'!Env_an*'2031'!Env_an</f>
        <v>197.42189099433358</v>
      </c>
      <c r="C148" s="831"/>
      <c r="D148" s="388">
        <f t="shared" si="50"/>
        <v>207.27561539612535</v>
      </c>
      <c r="E148" s="380">
        <f t="shared" si="72"/>
        <v>214.37206010970695</v>
      </c>
      <c r="F148" s="380">
        <f t="shared" si="51"/>
        <v>214.38753981882343</v>
      </c>
      <c r="G148" s="110">
        <f t="shared" si="73"/>
        <v>0.8679657482543458</v>
      </c>
      <c r="H148" s="409" t="b">
        <f>Wh_hp&gt;='2030'!Maxi_hp</f>
        <v>0</v>
      </c>
      <c r="I148" s="385">
        <f>IF(H148,Wh_hp,'2030'!Maxi_hp)</f>
        <v>214.39082340655861</v>
      </c>
      <c r="J148" s="85">
        <f>IF(H148,An,'2030'!An_max)</f>
        <v>2029</v>
      </c>
      <c r="K148" s="193">
        <f t="shared" si="52"/>
        <v>47982</v>
      </c>
      <c r="L148" s="143">
        <f>IF(t&lt;Tvie,1-EXP((T0-t)*PertePVj)+'2030'!Pspv,1-EXP((T0-t)*PertePVj)+Pspv)</f>
        <v>4.753923602137311E-2</v>
      </c>
      <c r="M148" s="835"/>
      <c r="N148" s="835"/>
      <c r="O148" s="48">
        <f>IF(t&lt;Tnet,'2030'!Resal+('2030'!Salim-'2030'!Resal)*(1-EXP(('2030'!Tnet-t)/('2030'!Tau_j))),Resal+(Salim-Resal)*(1-EXP((Tnet-t)/(Tau_j))))*Salcycl</f>
        <v>3.3103403073842456E-2</v>
      </c>
      <c r="P148" s="165">
        <f>(INDEX(Models!$BJ148:$BT148,,T148)*(1-R148)+INDEX(Models!$BJ148:$BT148,,T148+1)*R148-ERP_i)*Q148*Ramure*Pc/MaxiM</f>
        <v>8.8987295812907691E-5</v>
      </c>
      <c r="Q148" s="301">
        <f t="shared" si="53"/>
        <v>0.5</v>
      </c>
      <c r="R148" s="173">
        <f t="shared" si="54"/>
        <v>8.8032201071772231E-2</v>
      </c>
      <c r="S148" s="801">
        <f t="shared" si="55"/>
        <v>1</v>
      </c>
      <c r="T148" s="172">
        <f t="shared" si="56"/>
        <v>7</v>
      </c>
      <c r="U148" s="247">
        <f t="shared" si="57"/>
        <v>1.0880322010717722</v>
      </c>
      <c r="V148" s="378">
        <f t="shared" si="58"/>
        <v>227.44973269704437</v>
      </c>
      <c r="W148" s="397">
        <f t="shared" si="59"/>
        <v>197.42189099433358</v>
      </c>
      <c r="X148" s="153">
        <f t="shared" si="60"/>
        <v>47982</v>
      </c>
      <c r="Y148" s="380">
        <f t="shared" si="61"/>
        <v>191.91358992396951</v>
      </c>
      <c r="Z148" s="380">
        <f t="shared" si="62"/>
        <v>201.49238391963411</v>
      </c>
      <c r="AA148" s="381">
        <f t="shared" si="63"/>
        <v>214.30456278845116</v>
      </c>
      <c r="AB148" s="193">
        <f t="shared" si="64"/>
        <v>47982</v>
      </c>
      <c r="AC148" s="119">
        <f>IF(OR(t&lt;Tnet,NoTnet),'2030'!Resal_s+('2030'!Salim-'2030'!Resal_s)*(1-EXP(('2030'!Tnet_s-t)/'2030'!Tau_j)),Resal_s+(Salim-Resal_s)*(1-EXP((Tnet_s-t)/Tau_j)))*Salcycl</f>
        <v>5.9784909393014223E-2</v>
      </c>
      <c r="AD148" s="227">
        <f>(INDEX(Models!$BJ148:$BT148,,AH148)*(1-AF148)+INDEX(Models!$BJ148:$BT148,,AH148+1)*AF148-ERP_i)*AE148*Ramure*Pc/MaxiM</f>
        <v>4.7700518736143612E-4</v>
      </c>
      <c r="AE148" s="301">
        <f t="shared" si="65"/>
        <v>0.5</v>
      </c>
      <c r="AF148" s="173">
        <f t="shared" si="66"/>
        <v>0.61301976744575004</v>
      </c>
      <c r="AG148" s="801">
        <f t="shared" si="74"/>
        <v>4</v>
      </c>
      <c r="AH148" s="172">
        <f t="shared" si="67"/>
        <v>10</v>
      </c>
      <c r="AI148" s="221">
        <f t="shared" si="68"/>
        <v>4.61301976744575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47983</v>
      </c>
      <c r="B149" s="406">
        <f>'2030'!Wh/'2030'!Env_an*'2031'!Env_an</f>
        <v>207.7210955612106</v>
      </c>
      <c r="C149" s="831"/>
      <c r="D149" s="388">
        <f t="shared" si="50"/>
        <v>218.09185951113881</v>
      </c>
      <c r="E149" s="380">
        <f t="shared" si="72"/>
        <v>225.57613367797566</v>
      </c>
      <c r="F149" s="380">
        <f t="shared" si="51"/>
        <v>225.59364990631053</v>
      </c>
      <c r="G149" s="110">
        <f t="shared" si="73"/>
        <v>0.91210964156993291</v>
      </c>
      <c r="H149" s="409" t="b">
        <f>Wh_hp&gt;='2030'!Maxi_hp</f>
        <v>0</v>
      </c>
      <c r="I149" s="385">
        <f>IF(H149,Wh_hp,'2030'!Maxi_hp)</f>
        <v>225.59593675151336</v>
      </c>
      <c r="J149" s="85">
        <f>IF(H149,An,'2030'!An_max)</f>
        <v>2029</v>
      </c>
      <c r="K149" s="193">
        <f t="shared" si="52"/>
        <v>47983</v>
      </c>
      <c r="L149" s="143">
        <f>IF(t&lt;Tvie,1-EXP((T0-t)*PertePVj)+'2030'!Pspv,1-EXP((T0-t)*PertePVj)+Pspv)</f>
        <v>4.7552274409391804E-2</v>
      </c>
      <c r="M149" s="835"/>
      <c r="N149" s="835"/>
      <c r="O149" s="48">
        <f>IF(t&lt;Tnet,'2030'!Resal+('2030'!Salim-'2030'!Resal)*(1-EXP(('2030'!Tnet-t)/('2030'!Tau_j))),Resal+(Salim-Resal)*(1-EXP((Tnet-t)/(Tau_j))))*Salcycl</f>
        <v>3.3178484110030569E-2</v>
      </c>
      <c r="P149" s="165">
        <f>(INDEX(Models!$BJ149:$BT149,,T149)*(1-R149)+INDEX(Models!$BJ149:$BT149,,T149+1)*R149-ERP_i)*Q149*Ramure*Pc/MaxiM</f>
        <v>8.8792305431142441E-5</v>
      </c>
      <c r="Q149" s="301">
        <f t="shared" si="53"/>
        <v>0.5</v>
      </c>
      <c r="R149" s="173">
        <f t="shared" si="54"/>
        <v>9.1909992786811889E-2</v>
      </c>
      <c r="S149" s="801">
        <f t="shared" si="55"/>
        <v>1</v>
      </c>
      <c r="T149" s="172">
        <f t="shared" si="56"/>
        <v>7</v>
      </c>
      <c r="U149" s="247">
        <f t="shared" si="57"/>
        <v>1.0919099927868119</v>
      </c>
      <c r="V149" s="378">
        <f t="shared" si="58"/>
        <v>227.73444155466609</v>
      </c>
      <c r="W149" s="397">
        <f t="shared" si="59"/>
        <v>207.7210955612106</v>
      </c>
      <c r="X149" s="153">
        <f t="shared" si="60"/>
        <v>47983</v>
      </c>
      <c r="Y149" s="380">
        <f t="shared" si="61"/>
        <v>201.92295488202339</v>
      </c>
      <c r="Z149" s="380">
        <f t="shared" si="62"/>
        <v>212.00423861247813</v>
      </c>
      <c r="AA149" s="381">
        <f t="shared" si="63"/>
        <v>225.5000705231308</v>
      </c>
      <c r="AB149" s="193">
        <f t="shared" si="64"/>
        <v>47983</v>
      </c>
      <c r="AC149" s="119">
        <f>IF(OR(t&lt;Tnet,NoTnet),'2030'!Resal_s+('2030'!Salim-'2030'!Resal_s)*(1-EXP(('2030'!Tnet_s-t)/'2030'!Tau_j)),Resal_s+(Salim-Resal_s)*(1-EXP((Tnet_s-t)/Tau_j)))*Salcycl</f>
        <v>5.9848459822403124E-2</v>
      </c>
      <c r="AD149" s="227">
        <f>(INDEX(Models!$BJ149:$BT149,,AH149)*(1-AF149)+INDEX(Models!$BJ149:$BT149,,AH149+1)*AF149-ERP_i)*AE149*Ramure*Pc/MaxiM</f>
        <v>4.7436748451202654E-4</v>
      </c>
      <c r="AE149" s="301">
        <f t="shared" si="65"/>
        <v>0.5</v>
      </c>
      <c r="AF149" s="173">
        <f t="shared" si="66"/>
        <v>0.61689755916078948</v>
      </c>
      <c r="AG149" s="801">
        <f t="shared" si="74"/>
        <v>4</v>
      </c>
      <c r="AH149" s="172">
        <f t="shared" si="67"/>
        <v>10</v>
      </c>
      <c r="AI149" s="221">
        <f t="shared" si="68"/>
        <v>4.6168975591607895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47984</v>
      </c>
      <c r="B150" s="406">
        <f>'2030'!Wh/'2030'!Env_an*'2031'!Env_an</f>
        <v>200.87809303564066</v>
      </c>
      <c r="C150" s="831"/>
      <c r="D150" s="388">
        <f t="shared" si="50"/>
        <v>210.91009777058687</v>
      </c>
      <c r="E150" s="380">
        <f t="shared" si="72"/>
        <v>218.1649150018898</v>
      </c>
      <c r="F150" s="380">
        <f t="shared" si="51"/>
        <v>218.18094182676688</v>
      </c>
      <c r="G150" s="110">
        <f t="shared" si="73"/>
        <v>0.88100988358908339</v>
      </c>
      <c r="H150" s="409" t="b">
        <f>Wh_hp&gt;='2030'!Maxi_hp</f>
        <v>0</v>
      </c>
      <c r="I150" s="385">
        <f>IF(H150,Wh_hp,'2030'!Maxi_hp)</f>
        <v>218.18391555281727</v>
      </c>
      <c r="J150" s="85">
        <f>IF(H150,An,'2030'!An_max)</f>
        <v>2029</v>
      </c>
      <c r="K150" s="193">
        <f t="shared" si="52"/>
        <v>47984</v>
      </c>
      <c r="L150" s="143">
        <f>IF(t&lt;Tvie,1-EXP((T0-t)*PertePVj)+'2030'!Pspv,1-EXP((T0-t)*PertePVj)+Pspv)</f>
        <v>4.7565312618926048E-2</v>
      </c>
      <c r="M150" s="835"/>
      <c r="N150" s="835"/>
      <c r="O150" s="48">
        <f>IF(t&lt;Tnet,'2030'!Resal+('2030'!Salim-'2030'!Resal)*(1-EXP(('2030'!Tnet-t)/('2030'!Tau_j))),Resal+(Salim-Resal)*(1-EXP((Tnet-t)/(Tau_j))))*Salcycl</f>
        <v>3.3253821913757642E-2</v>
      </c>
      <c r="P150" s="165">
        <f>(INDEX(Models!$BJ150:$BT150,,T150)*(1-R150)+INDEX(Models!$BJ150:$BT150,,T150+1)*R150-ERP_i)*Q150*Ramure*Pc/MaxiM</f>
        <v>8.8498374269471811E-5</v>
      </c>
      <c r="Q150" s="301">
        <f t="shared" si="53"/>
        <v>0.5</v>
      </c>
      <c r="R150" s="173">
        <f t="shared" si="54"/>
        <v>9.586643024793795E-2</v>
      </c>
      <c r="S150" s="801">
        <f t="shared" si="55"/>
        <v>1</v>
      </c>
      <c r="T150" s="172">
        <f t="shared" si="56"/>
        <v>7</v>
      </c>
      <c r="U150" s="247">
        <f t="shared" si="57"/>
        <v>1.095866430247938</v>
      </c>
      <c r="V150" s="378">
        <f t="shared" si="58"/>
        <v>228.00546848298018</v>
      </c>
      <c r="W150" s="397">
        <f t="shared" si="59"/>
        <v>200.87809303564066</v>
      </c>
      <c r="X150" s="153">
        <f t="shared" si="60"/>
        <v>47984</v>
      </c>
      <c r="Y150" s="380">
        <f t="shared" si="61"/>
        <v>195.27657253284531</v>
      </c>
      <c r="Z150" s="380">
        <f t="shared" si="62"/>
        <v>205.02883307389891</v>
      </c>
      <c r="AA150" s="381">
        <f t="shared" si="63"/>
        <v>218.09546828355079</v>
      </c>
      <c r="AB150" s="193">
        <f t="shared" si="64"/>
        <v>47984</v>
      </c>
      <c r="AC150" s="119">
        <f>IF(OR(t&lt;Tnet,NoTnet),'2030'!Resal_s+('2030'!Salim-'2030'!Resal_s)*(1-EXP(('2030'!Tnet_s-t)/'2030'!Tau_j)),Resal_s+(Salim-Resal_s)*(1-EXP((Tnet_s-t)/Tau_j)))*Salcycl</f>
        <v>5.9912456285720075E-2</v>
      </c>
      <c r="AD150" s="227">
        <f>(INDEX(Models!$BJ150:$BT150,,AH150)*(1-AF150)+INDEX(Models!$BJ150:$BT150,,AH150+1)*AF150-ERP_i)*AE150*Ramure*Pc/MaxiM</f>
        <v>4.7197555820887899E-4</v>
      </c>
      <c r="AE150" s="301">
        <f t="shared" si="65"/>
        <v>0.5</v>
      </c>
      <c r="AF150" s="173">
        <f t="shared" si="66"/>
        <v>0.62085399662191598</v>
      </c>
      <c r="AG150" s="801">
        <f t="shared" si="74"/>
        <v>4</v>
      </c>
      <c r="AH150" s="172">
        <f t="shared" si="67"/>
        <v>10</v>
      </c>
      <c r="AI150" s="221">
        <f t="shared" si="68"/>
        <v>4.620853996621916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47985</v>
      </c>
      <c r="B151" s="406">
        <f>'2030'!Wh/'2030'!Env_an*'2031'!Env_an</f>
        <v>218.9891472540919</v>
      </c>
      <c r="C151" s="831"/>
      <c r="D151" s="388">
        <f t="shared" si="50"/>
        <v>229.92877934215434</v>
      </c>
      <c r="E151" s="380">
        <f t="shared" si="72"/>
        <v>237.85638907424629</v>
      </c>
      <c r="F151" s="380">
        <f t="shared" si="51"/>
        <v>237.87613328461259</v>
      </c>
      <c r="G151" s="110">
        <f t="shared" si="73"/>
        <v>0.95936580873207189</v>
      </c>
      <c r="H151" s="409" t="b">
        <f>Wh_hp&gt;='2030'!Maxi_hp</f>
        <v>0</v>
      </c>
      <c r="I151" s="385">
        <f>IF(H151,Wh_hp,'2030'!Maxi_hp)</f>
        <v>237.87723169197011</v>
      </c>
      <c r="J151" s="85">
        <f>IF(H151,An,'2030'!An_max)</f>
        <v>2029</v>
      </c>
      <c r="K151" s="193">
        <f t="shared" si="52"/>
        <v>47985</v>
      </c>
      <c r="L151" s="143">
        <f>IF(t&lt;Tvie,1-EXP((T0-t)*PertePVj)+'2030'!Pspv,1-EXP((T0-t)*PertePVj)+Pspv)</f>
        <v>4.7578350649978063E-2</v>
      </c>
      <c r="M151" s="835"/>
      <c r="N151" s="835"/>
      <c r="O151" s="48">
        <f>IF(t&lt;Tnet,'2030'!Resal+('2030'!Salim-'2030'!Resal)*(1-EXP(('2030'!Tnet-t)/('2030'!Tau_j))),Resal+(Salim-Resal)*(1-EXP((Tnet-t)/(Tau_j))))*Salcycl</f>
        <v>3.3329395787713559E-2</v>
      </c>
      <c r="P151" s="165">
        <f>(INDEX(Models!$BJ151:$BT151,,T151)*(1-R151)+INDEX(Models!$BJ151:$BT151,,T151+1)*R151-ERP_i)*Q151*Ramure*Pc/MaxiM</f>
        <v>8.8116509229416509E-5</v>
      </c>
      <c r="Q151" s="301">
        <f t="shared" si="53"/>
        <v>0.5</v>
      </c>
      <c r="R151" s="173">
        <f t="shared" si="54"/>
        <v>9.9900488607911786E-2</v>
      </c>
      <c r="S151" s="801">
        <f t="shared" si="55"/>
        <v>1</v>
      </c>
      <c r="T151" s="172">
        <f t="shared" si="56"/>
        <v>7</v>
      </c>
      <c r="U151" s="247">
        <f t="shared" si="57"/>
        <v>1.0999004886079118</v>
      </c>
      <c r="V151" s="378">
        <f t="shared" si="58"/>
        <v>228.26332266608978</v>
      </c>
      <c r="W151" s="397">
        <f t="shared" si="59"/>
        <v>218.9891472540919</v>
      </c>
      <c r="X151" s="153">
        <f t="shared" si="60"/>
        <v>47985</v>
      </c>
      <c r="Y151" s="380">
        <f t="shared" si="61"/>
        <v>212.87586616355875</v>
      </c>
      <c r="Z151" s="380">
        <f t="shared" si="62"/>
        <v>223.51010847856662</v>
      </c>
      <c r="AA151" s="381">
        <f t="shared" si="63"/>
        <v>237.77085794440623</v>
      </c>
      <c r="AB151" s="193">
        <f t="shared" si="64"/>
        <v>47985</v>
      </c>
      <c r="AC151" s="119">
        <f>IF(OR(t&lt;Tnet,NoTnet),'2030'!Resal_s+('2030'!Salim-'2030'!Resal_s)*(1-EXP(('2030'!Tnet_s-t)/'2030'!Tau_j)),Resal_s+(Salim-Resal_s)*(1-EXP((Tnet_s-t)/Tau_j)))*Salcycl</f>
        <v>5.9976860028717029E-2</v>
      </c>
      <c r="AD151" s="227">
        <f>(INDEX(Models!$BJ151:$BT151,,AH151)*(1-AF151)+INDEX(Models!$BJ151:$BT151,,AH151+1)*AF151-ERP_i)*AE151*Ramure*Pc/MaxiM</f>
        <v>4.6983370389716144E-4</v>
      </c>
      <c r="AE151" s="301">
        <f t="shared" si="65"/>
        <v>0.5</v>
      </c>
      <c r="AF151" s="173">
        <f t="shared" si="66"/>
        <v>0.6248880549818896</v>
      </c>
      <c r="AG151" s="801">
        <f t="shared" si="74"/>
        <v>4</v>
      </c>
      <c r="AH151" s="172">
        <f t="shared" si="67"/>
        <v>10</v>
      </c>
      <c r="AI151" s="221">
        <f t="shared" si="68"/>
        <v>4.6248880549818896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47986</v>
      </c>
      <c r="B152" s="406">
        <f>'2030'!Wh/'2030'!Env_an*'2031'!Env_an</f>
        <v>210.32515191312262</v>
      </c>
      <c r="C152" s="831"/>
      <c r="D152" s="388">
        <f t="shared" si="50"/>
        <v>220.83499600285359</v>
      </c>
      <c r="E152" s="380">
        <f t="shared" si="72"/>
        <v>228.46697741111015</v>
      </c>
      <c r="F152" s="380">
        <f t="shared" si="51"/>
        <v>228.48472650837058</v>
      </c>
      <c r="G152" s="110">
        <f t="shared" si="73"/>
        <v>0.9204167075878027</v>
      </c>
      <c r="H152" s="409" t="b">
        <f>Wh_hp&gt;='2030'!Maxi_hp</f>
        <v>0</v>
      </c>
      <c r="I152" s="385">
        <f>IF(H152,Wh_hp,'2030'!Maxi_hp)</f>
        <v>228.48677432647796</v>
      </c>
      <c r="J152" s="85">
        <f>IF(H152,An,'2030'!An_max)</f>
        <v>2029</v>
      </c>
      <c r="K152" s="193">
        <f t="shared" si="52"/>
        <v>47986</v>
      </c>
      <c r="L152" s="143">
        <f>IF(t&lt;Tvie,1-EXP((T0-t)*PertePVj)+'2030'!Pspv,1-EXP((T0-t)*PertePVj)+Pspv)</f>
        <v>4.7591388502550402E-2</v>
      </c>
      <c r="M152" s="835"/>
      <c r="N152" s="835"/>
      <c r="O152" s="48">
        <f>IF(t&lt;Tnet,'2030'!Resal+('2030'!Salim-'2030'!Resal)*(1-EXP(('2030'!Tnet-t)/('2030'!Tau_j))),Resal+(Salim-Resal)*(1-EXP((Tnet-t)/(Tau_j))))*Salcycl</f>
        <v>3.3405183955856135E-2</v>
      </c>
      <c r="P152" s="165">
        <f>(INDEX(Models!$BJ152:$BT152,,T152)*(1-R152)+INDEX(Models!$BJ152:$BT152,,T152+1)*R152-ERP_i)*Q152*Ramure*Pc/MaxiM</f>
        <v>8.7645017205727462E-5</v>
      </c>
      <c r="Q152" s="301">
        <f t="shared" si="53"/>
        <v>0.5</v>
      </c>
      <c r="R152" s="173">
        <f t="shared" si="54"/>
        <v>0.10401096883186889</v>
      </c>
      <c r="S152" s="801">
        <f t="shared" si="55"/>
        <v>1</v>
      </c>
      <c r="T152" s="172">
        <f t="shared" si="56"/>
        <v>7</v>
      </c>
      <c r="U152" s="247">
        <f t="shared" si="57"/>
        <v>1.1040109688318689</v>
      </c>
      <c r="V152" s="378">
        <f t="shared" si="58"/>
        <v>228.5085162995309</v>
      </c>
      <c r="W152" s="397">
        <f t="shared" si="59"/>
        <v>210.32515191312262</v>
      </c>
      <c r="X152" s="153">
        <f t="shared" si="60"/>
        <v>47986</v>
      </c>
      <c r="Y152" s="380">
        <f t="shared" si="61"/>
        <v>204.46027826218801</v>
      </c>
      <c r="Z152" s="380">
        <f t="shared" si="62"/>
        <v>214.67705750866736</v>
      </c>
      <c r="AA152" s="381">
        <f t="shared" si="63"/>
        <v>228.38996330653637</v>
      </c>
      <c r="AB152" s="193">
        <f t="shared" si="64"/>
        <v>47986</v>
      </c>
      <c r="AC152" s="119">
        <f>IF(OR(t&lt;Tnet,NoTnet),'2030'!Resal_s+('2030'!Salim-'2030'!Resal_s)*(1-EXP(('2030'!Tnet_s-t)/'2030'!Tau_j)),Resal_s+(Salim-Resal_s)*(1-EXP((Tnet_s-t)/Tau_j)))*Salcycl</f>
        <v>6.0041630548642207E-2</v>
      </c>
      <c r="AD152" s="227">
        <f>(INDEX(Models!$BJ152:$BT152,,AH152)*(1-AF152)+INDEX(Models!$BJ152:$BT152,,AH152+1)*AF152-ERP_i)*AE152*Ramure*Pc/MaxiM</f>
        <v>4.6794055682756303E-4</v>
      </c>
      <c r="AE152" s="301">
        <f t="shared" si="65"/>
        <v>0.5</v>
      </c>
      <c r="AF152" s="173">
        <f t="shared" si="66"/>
        <v>0.62899853520584692</v>
      </c>
      <c r="AG152" s="801">
        <f t="shared" si="74"/>
        <v>4</v>
      </c>
      <c r="AH152" s="172">
        <f t="shared" si="67"/>
        <v>10</v>
      </c>
      <c r="AI152" s="221">
        <f t="shared" si="68"/>
        <v>4.6289985352058469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47987</v>
      </c>
      <c r="B153" s="406">
        <f>'2030'!Wh/'2030'!Env_an*'2031'!Env_an</f>
        <v>214.69616220720306</v>
      </c>
      <c r="C153" s="831"/>
      <c r="D153" s="388">
        <f t="shared" si="50"/>
        <v>225.42750943845084</v>
      </c>
      <c r="E153" s="380">
        <f t="shared" si="72"/>
        <v>233.23654019886396</v>
      </c>
      <c r="F153" s="380">
        <f t="shared" si="51"/>
        <v>233.25507080074945</v>
      </c>
      <c r="G153" s="110">
        <f t="shared" si="73"/>
        <v>0.93858991131607106</v>
      </c>
      <c r="H153" s="409" t="b">
        <f>Wh_hp&gt;='2030'!Maxi_hp</f>
        <v>0</v>
      </c>
      <c r="I153" s="385">
        <f>IF(H153,Wh_hp,'2030'!Maxi_hp)</f>
        <v>233.25666777506135</v>
      </c>
      <c r="J153" s="85">
        <f>IF(H153,An,'2030'!An_max)</f>
        <v>2029</v>
      </c>
      <c r="K153" s="193">
        <f t="shared" si="52"/>
        <v>47987</v>
      </c>
      <c r="L153" s="143">
        <f>IF(t&lt;Tvie,1-EXP((T0-t)*PertePVj)+'2030'!Pspv,1-EXP((T0-t)*PertePVj)+Pspv)</f>
        <v>4.7604426176645509E-2</v>
      </c>
      <c r="M153" s="835"/>
      <c r="N153" s="835"/>
      <c r="O153" s="48">
        <f>IF(t&lt;Tnet,'2030'!Resal+('2030'!Salim-'2030'!Resal)*(1-EXP(('2030'!Tnet-t)/('2030'!Tau_j))),Resal+(Salim-Resal)*(1-EXP((Tnet-t)/(Tau_j))))*Salcycl</f>
        <v>3.3481163602216493E-2</v>
      </c>
      <c r="P153" s="165">
        <f>(INDEX(Models!$BJ153:$BT153,,T153)*(1-R153)+INDEX(Models!$BJ153:$BT153,,T153+1)*R153-ERP_i)*Q153*Ramure*Pc/MaxiM</f>
        <v>8.7082230115142535E-5</v>
      </c>
      <c r="Q153" s="301">
        <f t="shared" si="53"/>
        <v>0.5</v>
      </c>
      <c r="R153" s="173">
        <f t="shared" si="54"/>
        <v>0.10819649459916536</v>
      </c>
      <c r="S153" s="801">
        <f t="shared" si="55"/>
        <v>1</v>
      </c>
      <c r="T153" s="172">
        <f t="shared" si="56"/>
        <v>7</v>
      </c>
      <c r="U153" s="247">
        <f t="shared" si="57"/>
        <v>1.1081964945991654</v>
      </c>
      <c r="V153" s="378">
        <f t="shared" si="58"/>
        <v>228.74156166059899</v>
      </c>
      <c r="W153" s="397">
        <f t="shared" si="59"/>
        <v>214.69616220720306</v>
      </c>
      <c r="X153" s="153">
        <f t="shared" si="60"/>
        <v>47987</v>
      </c>
      <c r="Y153" s="380">
        <f t="shared" si="61"/>
        <v>208.70950076344931</v>
      </c>
      <c r="Z153" s="380">
        <f t="shared" si="62"/>
        <v>219.14161142684992</v>
      </c>
      <c r="AA153" s="381">
        <f t="shared" si="63"/>
        <v>233.15584589522203</v>
      </c>
      <c r="AB153" s="193">
        <f t="shared" si="64"/>
        <v>47987</v>
      </c>
      <c r="AC153" s="119">
        <f>IF(OR(t&lt;Tnet,NoTnet),'2030'!Resal_s+('2030'!Salim-'2030'!Resal_s)*(1-EXP(('2030'!Tnet_s-t)/'2030'!Tau_j)),Resal_s+(Salim-Resal_s)*(1-EXP((Tnet_s-t)/Tau_j)))*Salcycl</f>
        <v>6.0106725673393459E-2</v>
      </c>
      <c r="AD153" s="227">
        <f>(INDEX(Models!$BJ153:$BT153,,AH153)*(1-AF153)+INDEX(Models!$BJ153:$BT153,,AH153+1)*AF153-ERP_i)*AE153*Ramure*Pc/MaxiM</f>
        <v>4.6629494873864826E-4</v>
      </c>
      <c r="AE153" s="301">
        <f t="shared" si="65"/>
        <v>0.5</v>
      </c>
      <c r="AF153" s="173">
        <f t="shared" si="66"/>
        <v>0.63318406097314295</v>
      </c>
      <c r="AG153" s="801">
        <f t="shared" si="74"/>
        <v>4</v>
      </c>
      <c r="AH153" s="172">
        <f t="shared" si="67"/>
        <v>10</v>
      </c>
      <c r="AI153" s="221">
        <f t="shared" si="68"/>
        <v>4.6331840609731429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47988</v>
      </c>
      <c r="B154" s="406">
        <f>'2030'!Wh/'2030'!Env_an*'2031'!Env_an</f>
        <v>192.56646117939661</v>
      </c>
      <c r="C154" s="831"/>
      <c r="D154" s="388">
        <f t="shared" si="50"/>
        <v>202.19444795985902</v>
      </c>
      <c r="E154" s="380">
        <f t="shared" si="72"/>
        <v>209.21514565085826</v>
      </c>
      <c r="F154" s="380">
        <f t="shared" si="51"/>
        <v>209.22912215406049</v>
      </c>
      <c r="G154" s="110">
        <f t="shared" si="73"/>
        <v>0.84102106372306384</v>
      </c>
      <c r="H154" s="409" t="b">
        <f>Wh_hp&gt;='2030'!Maxi_hp</f>
        <v>0</v>
      </c>
      <c r="I154" s="385">
        <f>IF(H154,Wh_hp,'2030'!Maxi_hp)</f>
        <v>209.23278925477109</v>
      </c>
      <c r="J154" s="85">
        <f>IF(H154,An,'2030'!An_max)</f>
        <v>2029</v>
      </c>
      <c r="K154" s="193">
        <f t="shared" si="52"/>
        <v>47988</v>
      </c>
      <c r="L154" s="143">
        <f>IF(t&lt;Tvie,1-EXP((T0-t)*PertePVj)+'2030'!Pspv,1-EXP((T0-t)*PertePVj)+Pspv)</f>
        <v>4.7617463672265714E-2</v>
      </c>
      <c r="M154" s="835"/>
      <c r="N154" s="835"/>
      <c r="O154" s="48">
        <f>IF(t&lt;Tnet,'2030'!Resal+('2030'!Salim-'2030'!Resal)*(1-EXP(('2030'!Tnet-t)/('2030'!Tau_j))),Resal+(Salim-Resal)*(1-EXP((Tnet-t)/(Tau_j))))*Salcycl</f>
        <v>3.3557310916273203E-2</v>
      </c>
      <c r="P154" s="165">
        <f>(INDEX(Models!$BJ154:$BT154,,T154)*(1-R154)+INDEX(Models!$BJ154:$BT154,,T154+1)*R154-ERP_i)*Q154*Ramure*Pc/MaxiM</f>
        <v>8.6426516838690649E-5</v>
      </c>
      <c r="Q154" s="301">
        <f t="shared" si="53"/>
        <v>0.5</v>
      </c>
      <c r="R154" s="173">
        <f t="shared" si="54"/>
        <v>0.11245550990682607</v>
      </c>
      <c r="S154" s="801">
        <f t="shared" si="55"/>
        <v>1</v>
      </c>
      <c r="T154" s="172">
        <f t="shared" si="56"/>
        <v>7</v>
      </c>
      <c r="U154" s="247">
        <f t="shared" si="57"/>
        <v>1.1124555099068261</v>
      </c>
      <c r="V154" s="378">
        <f t="shared" si="58"/>
        <v>228.96297110989426</v>
      </c>
      <c r="W154" s="397">
        <f t="shared" si="59"/>
        <v>192.56646117939661</v>
      </c>
      <c r="X154" s="153">
        <f t="shared" si="60"/>
        <v>47988</v>
      </c>
      <c r="Y154" s="380">
        <f t="shared" si="61"/>
        <v>187.20860572340425</v>
      </c>
      <c r="Z154" s="380">
        <f t="shared" si="62"/>
        <v>196.56870908748158</v>
      </c>
      <c r="AA154" s="381">
        <f t="shared" si="63"/>
        <v>209.15394130454004</v>
      </c>
      <c r="AB154" s="193">
        <f t="shared" si="64"/>
        <v>47988</v>
      </c>
      <c r="AC154" s="119">
        <f>IF(OR(t&lt;Tnet,NoTnet),'2030'!Resal_s+('2030'!Salim-'2030'!Resal_s)*(1-EXP(('2030'!Tnet_s-t)/'2030'!Tau_j)),Resal_s+(Salim-Resal_s)*(1-EXP((Tnet_s-t)/Tau_j)))*Salcycl</f>
        <v>6.0172101651833843E-2</v>
      </c>
      <c r="AD154" s="227">
        <f>(INDEX(Models!$BJ154:$BT154,,AH154)*(1-AF154)+INDEX(Models!$BJ154:$BT154,,AH154+1)*AF154-ERP_i)*AE154*Ramure*Pc/MaxiM</f>
        <v>4.6489589441787494E-4</v>
      </c>
      <c r="AE154" s="301">
        <f t="shared" si="65"/>
        <v>0.5</v>
      </c>
      <c r="AF154" s="173">
        <f t="shared" si="66"/>
        <v>0.6374430762808041</v>
      </c>
      <c r="AG154" s="801">
        <f t="shared" si="74"/>
        <v>4</v>
      </c>
      <c r="AH154" s="172">
        <f t="shared" si="67"/>
        <v>10</v>
      </c>
      <c r="AI154" s="221">
        <f t="shared" si="68"/>
        <v>4.6374430762808041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47989</v>
      </c>
      <c r="B155" s="406">
        <f>'2030'!Wh/'2030'!Env_an*'2031'!Env_an</f>
        <v>199.52170851196871</v>
      </c>
      <c r="C155" s="831"/>
      <c r="D155" s="388">
        <f t="shared" si="50"/>
        <v>209.50031339648234</v>
      </c>
      <c r="E155" s="380">
        <f t="shared" si="72"/>
        <v>216.7918024102328</v>
      </c>
      <c r="F155" s="380">
        <f t="shared" si="51"/>
        <v>216.80694426658147</v>
      </c>
      <c r="G155" s="110">
        <f t="shared" si="73"/>
        <v>0.87060135733117339</v>
      </c>
      <c r="H155" s="409" t="b">
        <f>Wh_hp&gt;='2030'!Maxi_hp</f>
        <v>0</v>
      </c>
      <c r="I155" s="385">
        <f>IF(H155,Wh_hp,'2030'!Maxi_hp)</f>
        <v>216.80999913057556</v>
      </c>
      <c r="J155" s="85">
        <f>IF(H155,An,'2030'!An_max)</f>
        <v>2029</v>
      </c>
      <c r="K155" s="193">
        <f t="shared" si="52"/>
        <v>47989</v>
      </c>
      <c r="L155" s="143">
        <f>IF(t&lt;Tvie,1-EXP((T0-t)*PertePVj)+'2030'!Pspv,1-EXP((T0-t)*PertePVj)+Pspv)</f>
        <v>4.7630500989413682E-2</v>
      </c>
      <c r="M155" s="835"/>
      <c r="N155" s="835"/>
      <c r="O155" s="48">
        <f>IF(t&lt;Tnet,'2030'!Resal+('2030'!Salim-'2030'!Resal)*(1-EXP(('2030'!Tnet-t)/('2030'!Tau_j))),Resal+(Salim-Resal)*(1-EXP((Tnet-t)/(Tau_j))))*Salcycl</f>
        <v>3.3633601144903338E-2</v>
      </c>
      <c r="P155" s="165">
        <f>(INDEX(Models!$BJ155:$BT155,,T155)*(1-R155)+INDEX(Models!$BJ155:$BT155,,T155+1)*R155-ERP_i)*Q155*Ramure*Pc/MaxiM</f>
        <v>8.5676295230211518E-5</v>
      </c>
      <c r="Q155" s="301">
        <f t="shared" si="53"/>
        <v>0.5</v>
      </c>
      <c r="R155" s="173">
        <f t="shared" si="54"/>
        <v>0.11678627742776881</v>
      </c>
      <c r="S155" s="801">
        <f t="shared" si="55"/>
        <v>1</v>
      </c>
      <c r="T155" s="172">
        <f t="shared" si="56"/>
        <v>7</v>
      </c>
      <c r="U155" s="247">
        <f t="shared" si="57"/>
        <v>1.1167862774277688</v>
      </c>
      <c r="V155" s="378">
        <f t="shared" si="58"/>
        <v>229.17325706090693</v>
      </c>
      <c r="W155" s="397">
        <f t="shared" si="59"/>
        <v>199.52170851196871</v>
      </c>
      <c r="X155" s="153">
        <f t="shared" si="60"/>
        <v>47989</v>
      </c>
      <c r="Y155" s="380">
        <f t="shared" si="61"/>
        <v>193.96906535722002</v>
      </c>
      <c r="Z155" s="380">
        <f t="shared" si="62"/>
        <v>203.66996796803537</v>
      </c>
      <c r="AA155" s="381">
        <f t="shared" si="63"/>
        <v>216.72498549980926</v>
      </c>
      <c r="AB155" s="193">
        <f t="shared" si="64"/>
        <v>47989</v>
      </c>
      <c r="AC155" s="119">
        <f>IF(OR(t&lt;Tnet,NoTnet),'2030'!Resal_s+('2030'!Salim-'2030'!Resal_s)*(1-EXP(('2030'!Tnet_s-t)/'2030'!Tau_j)),Resal_s+(Salim-Resal_s)*(1-EXP((Tnet_s-t)/Tau_j)))*Salcycl</f>
        <v>6.0237713255195474E-2</v>
      </c>
      <c r="AD155" s="227">
        <f>(INDEX(Models!$BJ155:$BT155,,AH155)*(1-AF155)+INDEX(Models!$BJ155:$BT155,,AH155+1)*AF155-ERP_i)*AE155*Ramure*Pc/MaxiM</f>
        <v>4.6374257798935945E-4</v>
      </c>
      <c r="AE155" s="301">
        <f t="shared" si="65"/>
        <v>0.5</v>
      </c>
      <c r="AF155" s="173">
        <f t="shared" si="66"/>
        <v>0.64177384380174729</v>
      </c>
      <c r="AG155" s="801">
        <f t="shared" si="74"/>
        <v>4</v>
      </c>
      <c r="AH155" s="172">
        <f t="shared" si="67"/>
        <v>10</v>
      </c>
      <c r="AI155" s="221">
        <f t="shared" si="68"/>
        <v>4.6417738438017473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47990</v>
      </c>
      <c r="B156" s="406">
        <f>'2030'!Wh/'2030'!Env_an*'2031'!Env_an</f>
        <v>148.58829204564555</v>
      </c>
      <c r="C156" s="831"/>
      <c r="D156" s="388">
        <f t="shared" si="50"/>
        <v>156.0217187518077</v>
      </c>
      <c r="E156" s="380">
        <f t="shared" si="72"/>
        <v>161.46469501766191</v>
      </c>
      <c r="F156" s="380">
        <f t="shared" si="51"/>
        <v>161.47150287492022</v>
      </c>
      <c r="G156" s="110">
        <f t="shared" si="73"/>
        <v>0.64777456709292547</v>
      </c>
      <c r="H156" s="409" t="b">
        <f>Wh_hp&gt;='2030'!Maxi_hp</f>
        <v>0</v>
      </c>
      <c r="I156" s="385">
        <f>IF(H156,Wh_hp,'2030'!Maxi_hp)</f>
        <v>161.47761462431231</v>
      </c>
      <c r="J156" s="85">
        <f>IF(H156,An,'2030'!An_max)</f>
        <v>2029</v>
      </c>
      <c r="K156" s="193">
        <f t="shared" si="52"/>
        <v>47990</v>
      </c>
      <c r="L156" s="143">
        <f>IF(t&lt;Tvie,1-EXP((T0-t)*PertePVj)+'2030'!Pspv,1-EXP((T0-t)*PertePVj)+Pspv)</f>
        <v>4.7643538128091634E-2</v>
      </c>
      <c r="M156" s="835"/>
      <c r="N156" s="835"/>
      <c r="O156" s="48">
        <f>IF(t&lt;Tnet,'2030'!Resal+('2030'!Salim-'2030'!Resal)*(1-EXP(('2030'!Tnet-t)/('2030'!Tau_j))),Resal+(Salim-Resal)*(1-EXP((Tnet-t)/(Tau_j))))*Salcycl</f>
        <v>3.3710008650862176E-2</v>
      </c>
      <c r="P156" s="165">
        <f>(INDEX(Models!$BJ156:$BT156,,T156)*(1-R156)+INDEX(Models!$BJ156:$BT156,,T156+1)*R156-ERP_i)*Q156*Ramure*Pc/MaxiM</f>
        <v>8.4855546927778836E-5</v>
      </c>
      <c r="Q156" s="301">
        <f t="shared" si="53"/>
        <v>0.5</v>
      </c>
      <c r="R156" s="173">
        <f t="shared" si="54"/>
        <v>0.12118687767332448</v>
      </c>
      <c r="S156" s="801">
        <f t="shared" si="55"/>
        <v>1</v>
      </c>
      <c r="T156" s="172">
        <f t="shared" si="56"/>
        <v>7</v>
      </c>
      <c r="U156" s="247">
        <f t="shared" si="57"/>
        <v>1.1211868776733245</v>
      </c>
      <c r="V156" s="378">
        <f t="shared" si="58"/>
        <v>229.37292612123534</v>
      </c>
      <c r="W156" s="397">
        <f t="shared" si="59"/>
        <v>148.58829204564555</v>
      </c>
      <c r="X156" s="153">
        <f t="shared" si="60"/>
        <v>47990</v>
      </c>
      <c r="Y156" s="380">
        <f t="shared" si="61"/>
        <v>144.4718152877486</v>
      </c>
      <c r="Z156" s="380">
        <f t="shared" si="62"/>
        <v>151.69930700504872</v>
      </c>
      <c r="AA156" s="381">
        <f t="shared" si="63"/>
        <v>161.43436657183997</v>
      </c>
      <c r="AB156" s="193">
        <f t="shared" si="64"/>
        <v>47990</v>
      </c>
      <c r="AC156" s="119">
        <f>IF(OR(t&lt;Tnet,NoTnet),'2030'!Resal_s+('2030'!Salim-'2030'!Resal_s)*(1-EXP(('2030'!Tnet_s-t)/'2030'!Tau_j)),Resal_s+(Salim-Resal_s)*(1-EXP((Tnet_s-t)/Tau_j)))*Salcycl</f>
        <v>6.0303513889398863E-2</v>
      </c>
      <c r="AD156" s="227">
        <f>(INDEX(Models!$BJ156:$BT156,,AH156)*(1-AF156)+INDEX(Models!$BJ156:$BT156,,AH156+1)*AF156-ERP_i)*AE156*Ramure*Pc/MaxiM</f>
        <v>4.6288005009305702E-4</v>
      </c>
      <c r="AE156" s="301">
        <f t="shared" si="65"/>
        <v>0.5</v>
      </c>
      <c r="AF156" s="173">
        <f t="shared" si="66"/>
        <v>0.64617444404730229</v>
      </c>
      <c r="AG156" s="801">
        <f t="shared" si="74"/>
        <v>4</v>
      </c>
      <c r="AH156" s="172">
        <f t="shared" si="67"/>
        <v>10</v>
      </c>
      <c r="AI156" s="221">
        <f t="shared" si="68"/>
        <v>4.6461744440473023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47991</v>
      </c>
      <c r="B157" s="406">
        <f>'2030'!Wh/'2030'!Env_an*'2031'!Env_an</f>
        <v>70.240569978579714</v>
      </c>
      <c r="C157" s="831"/>
      <c r="D157" s="388">
        <f t="shared" si="50"/>
        <v>73.755504727816529</v>
      </c>
      <c r="E157" s="380">
        <f t="shared" si="72"/>
        <v>76.334583671678487</v>
      </c>
      <c r="F157" s="380">
        <f t="shared" si="51"/>
        <v>76.334638428872367</v>
      </c>
      <c r="G157" s="110">
        <f t="shared" si="73"/>
        <v>0.30595034290810974</v>
      </c>
      <c r="H157" s="409" t="b">
        <f>Wh_hp&gt;='2030'!Maxi_hp</f>
        <v>0</v>
      </c>
      <c r="I157" s="385">
        <f>IF(H157,Wh_hp,'2030'!Maxi_hp)</f>
        <v>76.340256260634632</v>
      </c>
      <c r="J157" s="85">
        <f>IF(H157,An,'2030'!An_max)</f>
        <v>2029</v>
      </c>
      <c r="K157" s="193">
        <f t="shared" si="52"/>
        <v>47991</v>
      </c>
      <c r="L157" s="143">
        <f>IF(t&lt;Tvie,1-EXP((T0-t)*PertePVj)+'2030'!Pspv,1-EXP((T0-t)*PertePVj)+Pspv)</f>
        <v>4.7656575088302122E-2</v>
      </c>
      <c r="M157" s="835"/>
      <c r="N157" s="835"/>
      <c r="O157" s="48">
        <f>IF(t&lt;Tnet,'2030'!Resal+('2030'!Salim-'2030'!Resal)*(1-EXP(('2030'!Tnet-t)/('2030'!Tau_j))),Resal+(Salim-Resal)*(1-EXP((Tnet-t)/(Tau_j))))*Salcycl</f>
        <v>3.3786506977686433E-2</v>
      </c>
      <c r="P157" s="165">
        <f>(INDEX(Models!$BJ157:$BT157,,T157)*(1-R157)+INDEX(Models!$BJ157:$BT157,,T157+1)*R157-ERP_i)*Q157*Ramure*Pc/MaxiM</f>
        <v>8.4027040797441245E-5</v>
      </c>
      <c r="Q157" s="301">
        <f t="shared" si="53"/>
        <v>0.5</v>
      </c>
      <c r="R157" s="173">
        <f t="shared" si="54"/>
        <v>0.12565520900509686</v>
      </c>
      <c r="S157" s="801">
        <f t="shared" si="55"/>
        <v>1</v>
      </c>
      <c r="T157" s="172">
        <f t="shared" si="56"/>
        <v>7</v>
      </c>
      <c r="U157" s="247">
        <f t="shared" si="57"/>
        <v>1.1256552090050969</v>
      </c>
      <c r="V157" s="378">
        <f t="shared" si="58"/>
        <v>229.56247600600918</v>
      </c>
      <c r="W157" s="397">
        <f t="shared" si="59"/>
        <v>70.240569978579714</v>
      </c>
      <c r="X157" s="153">
        <f t="shared" si="60"/>
        <v>47991</v>
      </c>
      <c r="Y157" s="380">
        <f t="shared" si="61"/>
        <v>68.307855619585865</v>
      </c>
      <c r="Z157" s="380">
        <f t="shared" si="62"/>
        <v>71.726074683530712</v>
      </c>
      <c r="AA157" s="381">
        <f t="shared" si="63"/>
        <v>76.334337064723556</v>
      </c>
      <c r="AB157" s="193">
        <f t="shared" si="64"/>
        <v>47991</v>
      </c>
      <c r="AC157" s="119">
        <f>IF(OR(t&lt;Tnet,NoTnet),'2030'!Resal_s+('2030'!Salim-'2030'!Resal_s)*(1-EXP(('2030'!Tnet_s-t)/'2030'!Tau_j)),Resal_s+(Salim-Resal_s)*(1-EXP((Tnet_s-t)/Tau_j)))*Salcycl</f>
        <v>6.0369455718014726E-2</v>
      </c>
      <c r="AD157" s="227">
        <f>(INDEX(Models!$BJ157:$BT157,,AH157)*(1-AF157)+INDEX(Models!$BJ157:$BT157,,AH157+1)*AF157-ERP_i)*AE157*Ramure*Pc/MaxiM</f>
        <v>4.6245499143621481E-4</v>
      </c>
      <c r="AE157" s="301">
        <f t="shared" si="65"/>
        <v>0.5</v>
      </c>
      <c r="AF157" s="173">
        <f t="shared" si="66"/>
        <v>0.65064277537907511</v>
      </c>
      <c r="AG157" s="801">
        <f t="shared" si="74"/>
        <v>4</v>
      </c>
      <c r="AH157" s="172">
        <f t="shared" si="67"/>
        <v>10</v>
      </c>
      <c r="AI157" s="221">
        <f t="shared" si="68"/>
        <v>4.6506427753790751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47992</v>
      </c>
      <c r="B158" s="406">
        <f>'2030'!Wh/'2030'!Env_an*'2031'!Env_an</f>
        <v>65.600764952818921</v>
      </c>
      <c r="C158" s="831"/>
      <c r="D158" s="388">
        <f t="shared" si="50"/>
        <v>68.884460446165264</v>
      </c>
      <c r="E158" s="380">
        <f t="shared" si="72"/>
        <v>71.298858609227992</v>
      </c>
      <c r="F158" s="380">
        <f t="shared" si="51"/>
        <v>71.298858609227992</v>
      </c>
      <c r="G158" s="110">
        <f t="shared" si="73"/>
        <v>0.28551674482851747</v>
      </c>
      <c r="H158" s="409" t="b">
        <f>Wh_hp&gt;='2030'!Maxi_hp</f>
        <v>0</v>
      </c>
      <c r="I158" s="385">
        <f>IF(H158,Wh_hp,'2030'!Maxi_hp)</f>
        <v>71.30408019264982</v>
      </c>
      <c r="J158" s="85">
        <f>IF(H158,An,'2030'!An_max)</f>
        <v>2029</v>
      </c>
      <c r="K158" s="193">
        <f t="shared" si="52"/>
        <v>47992</v>
      </c>
      <c r="L158" s="143">
        <f>IF(t&lt;Tvie,1-EXP((T0-t)*PertePVj)+'2030'!Pspv,1-EXP((T0-t)*PertePVj)+Pspv)</f>
        <v>4.766961187004759E-2</v>
      </c>
      <c r="M158" s="835"/>
      <c r="N158" s="835"/>
      <c r="O158" s="48">
        <f>IF(t&lt;Tnet,'2030'!Resal+('2030'!Salim-'2030'!Resal)*(1-EXP(('2030'!Tnet-t)/('2030'!Tau_j))),Resal+(Salim-Resal)*(1-EXP((Tnet-t)/(Tau_j))))*Salcycl</f>
        <v>3.3863068920857019E-2</v>
      </c>
      <c r="P158" s="165">
        <f>(INDEX(Models!$BJ158:$BT158,,T158)*(1-R158)+INDEX(Models!$BJ158:$BT158,,T158+1)*R158-ERP_i)*Q158*Ramure*Pc/MaxiM</f>
        <v>8.3192423330830825E-5</v>
      </c>
      <c r="Q158" s="301">
        <f t="shared" si="53"/>
        <v>0.5</v>
      </c>
      <c r="R158" s="173">
        <f t="shared" si="54"/>
        <v>0.1301889885359262</v>
      </c>
      <c r="S158" s="801">
        <f t="shared" si="55"/>
        <v>1</v>
      </c>
      <c r="T158" s="172">
        <f t="shared" si="56"/>
        <v>7</v>
      </c>
      <c r="U158" s="247">
        <f t="shared" si="57"/>
        <v>1.1301889885359262</v>
      </c>
      <c r="V158" s="378">
        <f t="shared" si="58"/>
        <v>229.74241845467577</v>
      </c>
      <c r="W158" s="397">
        <f t="shared" si="59"/>
        <v>65.600764952818921</v>
      </c>
      <c r="X158" s="153">
        <f t="shared" si="60"/>
        <v>47992</v>
      </c>
      <c r="Y158" s="380">
        <f t="shared" si="61"/>
        <v>63.796495723531287</v>
      </c>
      <c r="Z158" s="380">
        <f t="shared" si="62"/>
        <v>66.989877167319577</v>
      </c>
      <c r="AA158" s="381">
        <f t="shared" si="63"/>
        <v>71.298858609227992</v>
      </c>
      <c r="AB158" s="193">
        <f t="shared" si="64"/>
        <v>47992</v>
      </c>
      <c r="AC158" s="119">
        <f>IF(OR(t&lt;Tnet,NoTnet),'2030'!Resal_s+('2030'!Salim-'2030'!Resal_s)*(1-EXP(('2030'!Tnet_s-t)/'2030'!Tau_j)),Resal_s+(Salim-Resal_s)*(1-EXP((Tnet_s-t)/Tau_j)))*Salcycl</f>
        <v>6.0435489795494651E-2</v>
      </c>
      <c r="AD158" s="227">
        <f>(INDEX(Models!$BJ158:$BT158,,AH158)*(1-AF158)+INDEX(Models!$BJ158:$BT158,,AH158+1)*AF158-ERP_i)*AE158*Ramure*Pc/MaxiM</f>
        <v>4.6246688802835959E-4</v>
      </c>
      <c r="AE158" s="301">
        <f t="shared" si="65"/>
        <v>0.5</v>
      </c>
      <c r="AF158" s="173">
        <f t="shared" si="66"/>
        <v>0.65517655490990467</v>
      </c>
      <c r="AG158" s="801">
        <f t="shared" si="74"/>
        <v>4</v>
      </c>
      <c r="AH158" s="172">
        <f t="shared" si="67"/>
        <v>10</v>
      </c>
      <c r="AI158" s="221">
        <f t="shared" si="68"/>
        <v>4.6551765549099047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47993</v>
      </c>
      <c r="B159" s="406">
        <f>'2030'!Wh/'2030'!Env_an*'2031'!Env_an</f>
        <v>162.78134166021752</v>
      </c>
      <c r="C159" s="831"/>
      <c r="D159" s="388">
        <f t="shared" si="50"/>
        <v>170.93182372374201</v>
      </c>
      <c r="E159" s="380">
        <f t="shared" si="72"/>
        <v>176.9370067426749</v>
      </c>
      <c r="F159" s="380">
        <f t="shared" si="51"/>
        <v>176.94550048111779</v>
      </c>
      <c r="G159" s="110">
        <f t="shared" si="73"/>
        <v>0.70798763828312128</v>
      </c>
      <c r="H159" s="409" t="b">
        <f>Wh_hp&gt;='2030'!Maxi_hp</f>
        <v>0</v>
      </c>
      <c r="I159" s="385">
        <f>IF(H159,Wh_hp,'2030'!Maxi_hp)</f>
        <v>176.95083328160706</v>
      </c>
      <c r="J159" s="85">
        <f>IF(H159,An,'2030'!An_max)</f>
        <v>2029</v>
      </c>
      <c r="K159" s="193">
        <f t="shared" si="52"/>
        <v>47993</v>
      </c>
      <c r="L159" s="143">
        <f>IF(t&lt;Tvie,1-EXP((T0-t)*PertePVj)+'2030'!Pspv,1-EXP((T0-t)*PertePVj)+Pspv)</f>
        <v>4.768264847333048E-2</v>
      </c>
      <c r="M159" s="835"/>
      <c r="N159" s="835"/>
      <c r="O159" s="48">
        <f>IF(t&lt;Tnet,'2030'!Resal+('2030'!Salim-'2030'!Resal)*(1-EXP(('2030'!Tnet-t)/('2030'!Tau_j))),Resal+(Salim-Resal)*(1-EXP((Tnet-t)/(Tau_j))))*Salcycl</f>
        <v>3.3939666604999204E-2</v>
      </c>
      <c r="P159" s="165">
        <f>(INDEX(Models!$BJ159:$BT159,,T159)*(1-R159)+INDEX(Models!$BJ159:$BT159,,T159+1)*R159-ERP_i)*Q159*Ramure*Pc/MaxiM</f>
        <v>8.2353963362981878E-5</v>
      </c>
      <c r="Q159" s="301">
        <f t="shared" si="53"/>
        <v>0.5</v>
      </c>
      <c r="R159" s="173">
        <f t="shared" si="54"/>
        <v>0.13478575395364345</v>
      </c>
      <c r="S159" s="801">
        <f t="shared" si="55"/>
        <v>1</v>
      </c>
      <c r="T159" s="172">
        <f t="shared" si="56"/>
        <v>7</v>
      </c>
      <c r="U159" s="247">
        <f t="shared" si="57"/>
        <v>1.1347857539536435</v>
      </c>
      <c r="V159" s="378">
        <f t="shared" si="58"/>
        <v>229.91326505123592</v>
      </c>
      <c r="W159" s="397">
        <f t="shared" si="59"/>
        <v>162.78134166021752</v>
      </c>
      <c r="X159" s="153">
        <f t="shared" si="60"/>
        <v>47993</v>
      </c>
      <c r="Y159" s="380">
        <f t="shared" si="61"/>
        <v>158.270539589912</v>
      </c>
      <c r="Z159" s="380">
        <f t="shared" si="62"/>
        <v>166.19516523161835</v>
      </c>
      <c r="AA159" s="381">
        <f t="shared" si="63"/>
        <v>176.89775656273372</v>
      </c>
      <c r="AB159" s="193">
        <f t="shared" si="64"/>
        <v>47993</v>
      </c>
      <c r="AC159" s="119">
        <f>IF(OR(t&lt;Tnet,NoTnet),'2030'!Resal_s+('2030'!Salim-'2030'!Resal_s)*(1-EXP(('2030'!Tnet_s-t)/'2030'!Tau_j)),Resal_s+(Salim-Resal_s)*(1-EXP((Tnet_s-t)/Tau_j)))*Salcycl</f>
        <v>6.0501566210195999E-2</v>
      </c>
      <c r="AD159" s="227">
        <f>(INDEX(Models!$BJ159:$BT159,,AH159)*(1-AF159)+INDEX(Models!$BJ159:$BT159,,AH159+1)*AF159-ERP_i)*AE159*Ramure*Pc/MaxiM</f>
        <v>4.6291758709601305E-4</v>
      </c>
      <c r="AE159" s="301">
        <f t="shared" si="65"/>
        <v>0.5</v>
      </c>
      <c r="AF159" s="173">
        <f t="shared" si="66"/>
        <v>0.6597733203276217</v>
      </c>
      <c r="AG159" s="801">
        <f t="shared" si="74"/>
        <v>4</v>
      </c>
      <c r="AH159" s="172">
        <f t="shared" si="67"/>
        <v>10</v>
      </c>
      <c r="AI159" s="221">
        <f t="shared" si="68"/>
        <v>4.6597733203276217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47994</v>
      </c>
      <c r="B160" s="406">
        <f>'2030'!Wh/'2030'!Env_an*'2031'!Env_an</f>
        <v>104.68331117031082</v>
      </c>
      <c r="C160" s="831"/>
      <c r="D160" s="388">
        <f t="shared" si="50"/>
        <v>109.92632240579017</v>
      </c>
      <c r="E160" s="380">
        <f t="shared" si="72"/>
        <v>113.79728164168171</v>
      </c>
      <c r="F160" s="380">
        <f t="shared" si="51"/>
        <v>113.79933560834064</v>
      </c>
      <c r="G160" s="110">
        <f t="shared" si="73"/>
        <v>0.45496654308227674</v>
      </c>
      <c r="H160" s="409" t="b">
        <f>Wh_hp&gt;='2030'!Maxi_hp</f>
        <v>0</v>
      </c>
      <c r="I160" s="385">
        <f>IF(H160,Wh_hp,'2030'!Maxi_hp)</f>
        <v>113.80565121774659</v>
      </c>
      <c r="J160" s="85">
        <f>IF(H160,An,'2030'!An_max)</f>
        <v>2029</v>
      </c>
      <c r="K160" s="193">
        <f t="shared" si="52"/>
        <v>47994</v>
      </c>
      <c r="L160" s="143">
        <f>IF(t&lt;Tvie,1-EXP((T0-t)*PertePVj)+'2030'!Pspv,1-EXP((T0-t)*PertePVj)+Pspv)</f>
        <v>4.7695684898153123E-2</v>
      </c>
      <c r="M160" s="835"/>
      <c r="N160" s="835"/>
      <c r="O160" s="48">
        <f>IF(t&lt;Tnet,'2030'!Resal+('2030'!Salim-'2030'!Resal)*(1-EXP(('2030'!Tnet-t)/('2030'!Tau_j))),Resal+(Salim-Resal)*(1-EXP((Tnet-t)/(Tau_j))))*Salcycl</f>
        <v>3.4016271566839132E-2</v>
      </c>
      <c r="P160" s="165">
        <f>(INDEX(Models!$BJ160:$BT160,,T160)*(1-R160)+INDEX(Models!$BJ160:$BT160,,T160+1)*R160-ERP_i)*Q160*Ramure*Pc/MaxiM</f>
        <v>8.1514118799452093E-5</v>
      </c>
      <c r="Q160" s="301">
        <f t="shared" si="53"/>
        <v>0.5</v>
      </c>
      <c r="R160" s="173">
        <f t="shared" si="54"/>
        <v>0.13944286629447578</v>
      </c>
      <c r="S160" s="801">
        <f t="shared" si="55"/>
        <v>1</v>
      </c>
      <c r="T160" s="172">
        <f t="shared" si="56"/>
        <v>7</v>
      </c>
      <c r="U160" s="247">
        <f t="shared" si="57"/>
        <v>1.1394428662944758</v>
      </c>
      <c r="V160" s="378">
        <f t="shared" si="58"/>
        <v>230.0755273227648</v>
      </c>
      <c r="W160" s="397">
        <f t="shared" si="59"/>
        <v>104.68331117031082</v>
      </c>
      <c r="X160" s="153">
        <f t="shared" si="60"/>
        <v>47994</v>
      </c>
      <c r="Y160" s="380">
        <f t="shared" si="61"/>
        <v>101.79733161813435</v>
      </c>
      <c r="Z160" s="380">
        <f t="shared" si="62"/>
        <v>106.89580001246486</v>
      </c>
      <c r="AA160" s="381">
        <f t="shared" si="63"/>
        <v>113.78764869954477</v>
      </c>
      <c r="AB160" s="193">
        <f t="shared" si="64"/>
        <v>47994</v>
      </c>
      <c r="AC160" s="119">
        <f>IF(OR(t&lt;Tnet,NoTnet),'2030'!Resal_s+('2030'!Salim-'2030'!Resal_s)*(1-EXP(('2030'!Tnet_s-t)/'2030'!Tau_j)),Resal_s+(Salim-Resal_s)*(1-EXP((Tnet_s-t)/Tau_j)))*Salcycl</f>
        <v>6.0567634236627733E-2</v>
      </c>
      <c r="AD160" s="227">
        <f>(INDEX(Models!$BJ160:$BT160,,AH160)*(1-AF160)+INDEX(Models!$BJ160:$BT160,,AH160+1)*AF160-ERP_i)*AE160*Ramure*Pc/MaxiM</f>
        <v>4.6380892690746285E-4</v>
      </c>
      <c r="AE160" s="301">
        <f t="shared" si="65"/>
        <v>0.5</v>
      </c>
      <c r="AF160" s="173">
        <f t="shared" si="66"/>
        <v>0.66443043266845336</v>
      </c>
      <c r="AG160" s="801">
        <f t="shared" si="74"/>
        <v>4</v>
      </c>
      <c r="AH160" s="172">
        <f t="shared" si="67"/>
        <v>10</v>
      </c>
      <c r="AI160" s="221">
        <f t="shared" si="68"/>
        <v>4.6644304326684534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47995</v>
      </c>
      <c r="B161" s="406">
        <f>'2030'!Wh/'2030'!Env_an*'2031'!Env_an</f>
        <v>176.24657180351622</v>
      </c>
      <c r="C161" s="831"/>
      <c r="D161" s="388">
        <f t="shared" si="50"/>
        <v>185.07632666271968</v>
      </c>
      <c r="E161" s="380">
        <f t="shared" si="72"/>
        <v>191.60881829148067</v>
      </c>
      <c r="F161" s="380">
        <f t="shared" si="51"/>
        <v>191.61909905774027</v>
      </c>
      <c r="G161" s="110">
        <f t="shared" si="73"/>
        <v>0.76550417246466984</v>
      </c>
      <c r="H161" s="409" t="b">
        <f>Wh_hp&gt;='2030'!Maxi_hp</f>
        <v>0</v>
      </c>
      <c r="I161" s="385">
        <f>IF(H161,Wh_hp,'2030'!Maxi_hp)</f>
        <v>191.62361307819157</v>
      </c>
      <c r="J161" s="85">
        <f>IF(H161,An,'2030'!An_max)</f>
        <v>2029</v>
      </c>
      <c r="K161" s="193">
        <f t="shared" si="52"/>
        <v>47995</v>
      </c>
      <c r="L161" s="143">
        <f>IF(t&lt;Tvie,1-EXP((T0-t)*PertePVj)+'2030'!Pspv,1-EXP((T0-t)*PertePVj)+Pspv)</f>
        <v>4.7708721144518185E-2</v>
      </c>
      <c r="M161" s="835"/>
      <c r="N161" s="835"/>
      <c r="O161" s="48">
        <f>IF(t&lt;Tnet,'2030'!Resal+('2030'!Salim-'2030'!Resal)*(1-EXP(('2030'!Tnet-t)/('2030'!Tau_j))),Resal+(Salim-Resal)*(1-EXP((Tnet-t)/(Tau_j))))*Salcycl</f>
        <v>3.4092854843578185E-2</v>
      </c>
      <c r="P161" s="165">
        <f>(INDEX(Models!$BJ161:$BT161,,T161)*(1-R161)+INDEX(Models!$BJ161:$BT161,,T161+1)*R161-ERP_i)*Q161*Ramure*Pc/MaxiM</f>
        <v>8.0675534715400656E-5</v>
      </c>
      <c r="Q161" s="301">
        <f t="shared" si="53"/>
        <v>0.5</v>
      </c>
      <c r="R161" s="173">
        <f t="shared" si="54"/>
        <v>0.1441575136854516</v>
      </c>
      <c r="S161" s="801">
        <f t="shared" si="55"/>
        <v>1</v>
      </c>
      <c r="T161" s="172">
        <f t="shared" si="56"/>
        <v>7</v>
      </c>
      <c r="U161" s="247">
        <f t="shared" si="57"/>
        <v>1.1441575136854516</v>
      </c>
      <c r="V161" s="378">
        <f t="shared" si="58"/>
        <v>230.2297167003824</v>
      </c>
      <c r="W161" s="397">
        <f t="shared" si="59"/>
        <v>176.24657180351622</v>
      </c>
      <c r="X161" s="153">
        <f t="shared" si="60"/>
        <v>47995</v>
      </c>
      <c r="Y161" s="380">
        <f t="shared" si="61"/>
        <v>171.35991550921639</v>
      </c>
      <c r="Z161" s="380">
        <f t="shared" si="62"/>
        <v>179.9448543886347</v>
      </c>
      <c r="AA161" s="381">
        <f t="shared" si="63"/>
        <v>191.55982429136097</v>
      </c>
      <c r="AB161" s="193">
        <f t="shared" si="64"/>
        <v>47995</v>
      </c>
      <c r="AC161" s="119">
        <f>IF(OR(t&lt;Tnet,NoTnet),'2030'!Resal_s+('2030'!Salim-'2030'!Resal_s)*(1-EXP(('2030'!Tnet_s-t)/'2030'!Tau_j)),Resal_s+(Salim-Resal_s)*(1-EXP((Tnet_s-t)/Tau_j)))*Salcycl</f>
        <v>6.0633642496246982E-2</v>
      </c>
      <c r="AD161" s="227">
        <f>(INDEX(Models!$BJ161:$BT161,,AH161)*(1-AF161)+INDEX(Models!$BJ161:$BT161,,AH161+1)*AF161-ERP_i)*AE161*Ramure*Pc/MaxiM</f>
        <v>4.6514270940838359E-4</v>
      </c>
      <c r="AE161" s="301">
        <f t="shared" si="65"/>
        <v>0.5</v>
      </c>
      <c r="AF161" s="173">
        <f t="shared" si="66"/>
        <v>0.66914508005942963</v>
      </c>
      <c r="AG161" s="801">
        <f t="shared" si="74"/>
        <v>4</v>
      </c>
      <c r="AH161" s="172">
        <f t="shared" si="67"/>
        <v>10</v>
      </c>
      <c r="AI161" s="221">
        <f t="shared" si="68"/>
        <v>4.6691450800594296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47996</v>
      </c>
      <c r="B162" s="406">
        <f>'2030'!Wh/'2030'!Env_an*'2031'!Env_an</f>
        <v>216.83968801245956</v>
      </c>
      <c r="C162" s="831"/>
      <c r="D162" s="388">
        <f t="shared" si="50"/>
        <v>227.70622940802681</v>
      </c>
      <c r="E162" s="380">
        <f t="shared" si="72"/>
        <v>235.76207500440418</v>
      </c>
      <c r="F162" s="380">
        <f t="shared" si="51"/>
        <v>235.77931968751562</v>
      </c>
      <c r="G162" s="110">
        <f t="shared" si="73"/>
        <v>0.94123480914299695</v>
      </c>
      <c r="H162" s="409" t="b">
        <f>Wh_hp&gt;='2030'!Maxi_hp</f>
        <v>0</v>
      </c>
      <c r="I162" s="385">
        <f>IF(H162,Wh_hp,'2030'!Maxi_hp)</f>
        <v>235.78069313008908</v>
      </c>
      <c r="J162" s="85">
        <f>IF(H162,An,'2030'!An_max)</f>
        <v>2029</v>
      </c>
      <c r="K162" s="193">
        <f t="shared" si="52"/>
        <v>47996</v>
      </c>
      <c r="L162" s="143">
        <f>IF(t&lt;Tvie,1-EXP((T0-t)*PertePVj)+'2030'!Pspv,1-EXP((T0-t)*PertePVj)+Pspv)</f>
        <v>4.7721757212427884E-2</v>
      </c>
      <c r="M162" s="835"/>
      <c r="N162" s="835"/>
      <c r="O162" s="48">
        <f>IF(t&lt;Tnet,'2030'!Resal+('2030'!Salim-'2030'!Resal)*(1-EXP(('2030'!Tnet-t)/('2030'!Tau_j))),Resal+(Salim-Resal)*(1-EXP((Tnet-t)/(Tau_j))))*Salcycl</f>
        <v>3.4169387066290767E-2</v>
      </c>
      <c r="P162" s="165">
        <f>(INDEX(Models!$BJ162:$BT162,,T162)*(1-R162)+INDEX(Models!$BJ162:$BT162,,T162+1)*R162-ERP_i)*Q162*Ramure*Pc/MaxiM</f>
        <v>7.9841040012870699E-5</v>
      </c>
      <c r="Q162" s="301">
        <f t="shared" si="53"/>
        <v>0.5</v>
      </c>
      <c r="R162" s="173">
        <f t="shared" si="54"/>
        <v>0.14892671606699404</v>
      </c>
      <c r="S162" s="801">
        <f t="shared" si="55"/>
        <v>1</v>
      </c>
      <c r="T162" s="172">
        <f t="shared" si="56"/>
        <v>7</v>
      </c>
      <c r="U162" s="247">
        <f t="shared" si="57"/>
        <v>1.148926716066994</v>
      </c>
      <c r="V162" s="378">
        <f t="shared" si="58"/>
        <v>230.37634450984308</v>
      </c>
      <c r="W162" s="397">
        <f t="shared" si="59"/>
        <v>216.83968801245956</v>
      </c>
      <c r="X162" s="153">
        <f t="shared" si="60"/>
        <v>47996</v>
      </c>
      <c r="Y162" s="380">
        <f t="shared" si="61"/>
        <v>210.80859241997888</v>
      </c>
      <c r="Z162" s="380">
        <f t="shared" si="62"/>
        <v>221.37289601711993</v>
      </c>
      <c r="AA162" s="381">
        <f t="shared" si="63"/>
        <v>235.67847056217471</v>
      </c>
      <c r="AB162" s="193">
        <f t="shared" si="64"/>
        <v>47996</v>
      </c>
      <c r="AC162" s="119">
        <f>IF(OR(t&lt;Tnet,NoTnet),'2030'!Resal_s+('2030'!Salim-'2030'!Resal_s)*(1-EXP(('2030'!Tnet_s-t)/'2030'!Tau_j)),Resal_s+(Salim-Resal_s)*(1-EXP((Tnet_s-t)/Tau_j)))*Salcycl</f>
        <v>6.0699539126043325E-2</v>
      </c>
      <c r="AD162" s="227">
        <f>(INDEX(Models!$BJ162:$BT162,,AH162)*(1-AF162)+INDEX(Models!$BJ162:$BT162,,AH162+1)*AF162-ERP_i)*AE162*Ramure*Pc/MaxiM</f>
        <v>4.6692067343718515E-4</v>
      </c>
      <c r="AE162" s="301">
        <f t="shared" si="65"/>
        <v>0.5</v>
      </c>
      <c r="AF162" s="173">
        <f t="shared" si="66"/>
        <v>0.67391428244097185</v>
      </c>
      <c r="AG162" s="801">
        <f t="shared" si="74"/>
        <v>4</v>
      </c>
      <c r="AH162" s="172">
        <f t="shared" si="67"/>
        <v>10</v>
      </c>
      <c r="AI162" s="221">
        <f t="shared" si="68"/>
        <v>4.6739142824409718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47997</v>
      </c>
      <c r="B163" s="406">
        <f>'2030'!Wh/'2030'!Env_an*'2031'!Env_an</f>
        <v>236.20846386291737</v>
      </c>
      <c r="C163" s="831"/>
      <c r="D163" s="388">
        <f t="shared" si="50"/>
        <v>248.0490331389266</v>
      </c>
      <c r="E163" s="380">
        <f t="shared" si="72"/>
        <v>256.84490219387675</v>
      </c>
      <c r="F163" s="380">
        <f t="shared" si="51"/>
        <v>256.86519806358928</v>
      </c>
      <c r="G163" s="110">
        <f t="shared" si="73"/>
        <v>1.024695533351327</v>
      </c>
      <c r="H163" s="409" t="b">
        <f>Wh_hp&gt;='2030'!Maxi_hp</f>
        <v>1</v>
      </c>
      <c r="I163" s="385">
        <f>IF(H163,Wh_hp,'2030'!Maxi_hp)</f>
        <v>256.86519806358928</v>
      </c>
      <c r="J163" s="85">
        <f>IF(H163,An,'2030'!An_max)</f>
        <v>2031</v>
      </c>
      <c r="K163" s="193">
        <f t="shared" si="52"/>
        <v>47997</v>
      </c>
      <c r="L163" s="143">
        <f>IF(t&lt;Tvie,1-EXP((T0-t)*PertePVj)+'2030'!Pspv,1-EXP((T0-t)*PertePVj)+Pspv)</f>
        <v>4.7734793101884776E-2</v>
      </c>
      <c r="M163" s="835"/>
      <c r="N163" s="835"/>
      <c r="O163" s="48">
        <f>IF(t&lt;Tnet,'2030'!Resal+('2030'!Salim-'2030'!Resal)*(1-EXP(('2030'!Tnet-t)/('2030'!Tau_j))),Resal+(Salim-Resal)*(1-EXP((Tnet-t)/(Tau_j))))*Salcycl</f>
        <v>3.4245838557896306E-2</v>
      </c>
      <c r="P163" s="165">
        <f>(INDEX(Models!$BJ163:$BT163,,T163)*(1-R163)+INDEX(Models!$BJ163:$BT163,,T163+1)*R163-ERP_i)*Q163*Ramure*Pc/MaxiM</f>
        <v>7.9013700047782123E-5</v>
      </c>
      <c r="Q163" s="301">
        <f t="shared" si="53"/>
        <v>0.5</v>
      </c>
      <c r="R163" s="173">
        <f t="shared" si="54"/>
        <v>0.15374733089821602</v>
      </c>
      <c r="S163" s="801">
        <f t="shared" si="55"/>
        <v>1</v>
      </c>
      <c r="T163" s="172">
        <f t="shared" si="56"/>
        <v>7</v>
      </c>
      <c r="U163" s="247">
        <f t="shared" si="57"/>
        <v>1.153747330898216</v>
      </c>
      <c r="V163" s="378">
        <f t="shared" si="58"/>
        <v>230.51575436303864</v>
      </c>
      <c r="W163" s="397">
        <f t="shared" si="59"/>
        <v>236.20846386291737</v>
      </c>
      <c r="X163" s="153">
        <f t="shared" si="60"/>
        <v>47997</v>
      </c>
      <c r="Y163" s="380">
        <f t="shared" si="61"/>
        <v>229.63259359453684</v>
      </c>
      <c r="Z163" s="380">
        <f t="shared" si="62"/>
        <v>241.14353011230588</v>
      </c>
      <c r="AA163" s="381">
        <f t="shared" si="63"/>
        <v>256.74469108909562</v>
      </c>
      <c r="AB163" s="193">
        <f t="shared" si="64"/>
        <v>47997</v>
      </c>
      <c r="AC163" s="119">
        <f>IF(OR(t&lt;Tnet,NoTnet),'2030'!Resal_s+('2030'!Salim-'2030'!Resal_s)*(1-EXP(('2030'!Tnet_s-t)/'2030'!Tau_j)),Resal_s+(Salim-Resal_s)*(1-EXP((Tnet_s-t)/Tau_j)))*Salcycl</f>
        <v>6.0765271954058932E-2</v>
      </c>
      <c r="AD163" s="227">
        <f>(INDEX(Models!$BJ163:$BT163,,AH163)*(1-AF163)+INDEX(Models!$BJ163:$BT163,,AH163+1)*AF163-ERP_i)*AE163*Ramure*Pc/MaxiM</f>
        <v>4.6914480981508999E-4</v>
      </c>
      <c r="AE163" s="301">
        <f t="shared" si="65"/>
        <v>0.5</v>
      </c>
      <c r="AF163" s="173">
        <f t="shared" si="66"/>
        <v>0.67873489727219383</v>
      </c>
      <c r="AG163" s="801">
        <f t="shared" si="74"/>
        <v>4</v>
      </c>
      <c r="AH163" s="172">
        <f t="shared" si="67"/>
        <v>10</v>
      </c>
      <c r="AI163" s="221">
        <f t="shared" si="68"/>
        <v>4.6787348972721938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47998</v>
      </c>
      <c r="B164" s="406">
        <f>'2030'!Wh/'2030'!Env_an*'2031'!Env_an</f>
        <v>199.1111765101559</v>
      </c>
      <c r="C164" s="831"/>
      <c r="D164" s="388">
        <f t="shared" si="50"/>
        <v>209.09500921582296</v>
      </c>
      <c r="E164" s="380">
        <f t="shared" si="72"/>
        <v>216.52667666482174</v>
      </c>
      <c r="F164" s="380">
        <f t="shared" si="51"/>
        <v>216.5402983550407</v>
      </c>
      <c r="G164" s="110">
        <f t="shared" si="73"/>
        <v>0.86325682498066869</v>
      </c>
      <c r="H164" s="409" t="b">
        <f>Wh_hp&gt;='2030'!Maxi_hp</f>
        <v>0</v>
      </c>
      <c r="I164" s="385">
        <f>IF(H164,Wh_hp,'2030'!Maxi_hp)</f>
        <v>216.54315695417628</v>
      </c>
      <c r="J164" s="85">
        <f>IF(H164,An,'2030'!An_max)</f>
        <v>2029</v>
      </c>
      <c r="K164" s="193">
        <f t="shared" si="52"/>
        <v>47998</v>
      </c>
      <c r="L164" s="143">
        <f>IF(t&lt;Tvie,1-EXP((T0-t)*PertePVj)+'2030'!Pspv,1-EXP((T0-t)*PertePVj)+Pspv)</f>
        <v>4.7747828812891413E-2</v>
      </c>
      <c r="M164" s="835"/>
      <c r="N164" s="835"/>
      <c r="O164" s="48">
        <f>IF(t&lt;Tnet,'2030'!Resal+('2030'!Salim-'2030'!Resal)*(1-EXP(('2030'!Tnet-t)/('2030'!Tau_j))),Resal+(Salim-Resal)*(1-EXP((Tnet-t)/(Tau_j))))*Salcycl</f>
        <v>3.4322179435205713E-2</v>
      </c>
      <c r="P164" s="165">
        <f>(INDEX(Models!$BJ164:$BT164,,T164)*(1-R164)+INDEX(Models!$BJ164:$BT164,,T164+1)*R164-ERP_i)*Q164*Ramure*Pc/MaxiM</f>
        <v>7.8176042492897213E-5</v>
      </c>
      <c r="Q164" s="301">
        <f t="shared" si="53"/>
        <v>0.5</v>
      </c>
      <c r="R164" s="173">
        <f t="shared" si="54"/>
        <v>0.15861605983830351</v>
      </c>
      <c r="S164" s="801">
        <f t="shared" si="55"/>
        <v>1</v>
      </c>
      <c r="T164" s="172">
        <f t="shared" si="56"/>
        <v>7</v>
      </c>
      <c r="U164" s="247">
        <f t="shared" si="57"/>
        <v>1.1586160598383035</v>
      </c>
      <c r="V164" s="378">
        <f t="shared" si="58"/>
        <v>230.64762435318806</v>
      </c>
      <c r="W164" s="397">
        <f t="shared" si="59"/>
        <v>199.1111765101559</v>
      </c>
      <c r="X164" s="153">
        <f t="shared" si="60"/>
        <v>47998</v>
      </c>
      <c r="Y164" s="380">
        <f t="shared" si="61"/>
        <v>193.58418930265705</v>
      </c>
      <c r="Z164" s="380">
        <f t="shared" si="62"/>
        <v>203.29088781318157</v>
      </c>
      <c r="AA164" s="381">
        <f t="shared" si="63"/>
        <v>216.45821153746485</v>
      </c>
      <c r="AB164" s="193">
        <f t="shared" si="64"/>
        <v>47998</v>
      </c>
      <c r="AC164" s="119">
        <f>IF(OR(t&lt;Tnet,NoTnet),'2030'!Resal_s+('2030'!Salim-'2030'!Resal_s)*(1-EXP(('2030'!Tnet_s-t)/'2030'!Tau_j)),Resal_s+(Salim-Resal_s)*(1-EXP((Tnet_s-t)/Tau_j)))*Salcycl</f>
        <v>6.0830788680910151E-2</v>
      </c>
      <c r="AD164" s="227">
        <f>(INDEX(Models!$BJ164:$BT164,,AH164)*(1-AF164)+INDEX(Models!$BJ164:$BT164,,AH164+1)*AF164-ERP_i)*AE164*Ramure*Pc/MaxiM</f>
        <v>4.7110325046021757E-4</v>
      </c>
      <c r="AE164" s="301">
        <f t="shared" si="65"/>
        <v>0.5</v>
      </c>
      <c r="AF164" s="173">
        <f t="shared" si="66"/>
        <v>0.68360362621228177</v>
      </c>
      <c r="AG164" s="801">
        <f t="shared" si="74"/>
        <v>4</v>
      </c>
      <c r="AH164" s="172">
        <f t="shared" si="67"/>
        <v>10</v>
      </c>
      <c r="AI164" s="221">
        <f t="shared" si="68"/>
        <v>4.6836036262122818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47999</v>
      </c>
      <c r="B165" s="406">
        <f>'2030'!Wh/'2030'!Env_an*'2031'!Env_an</f>
        <v>218.20508484616502</v>
      </c>
      <c r="C165" s="831"/>
      <c r="D165" s="388">
        <f t="shared" si="50"/>
        <v>229.1494611762362</v>
      </c>
      <c r="E165" s="380">
        <f t="shared" si="72"/>
        <v>237.31263117441944</v>
      </c>
      <c r="F165" s="380">
        <f t="shared" si="51"/>
        <v>237.32955846704021</v>
      </c>
      <c r="G165" s="110">
        <f t="shared" si="73"/>
        <v>0.94554055127193315</v>
      </c>
      <c r="H165" s="409" t="b">
        <f>Wh_hp&gt;='2030'!Maxi_hp</f>
        <v>0</v>
      </c>
      <c r="I165" s="385">
        <f>IF(H165,Wh_hp,'2030'!Maxi_hp)</f>
        <v>237.33078972971109</v>
      </c>
      <c r="J165" s="85">
        <f>IF(H165,An,'2030'!An_max)</f>
        <v>2029</v>
      </c>
      <c r="K165" s="193">
        <f t="shared" si="52"/>
        <v>47999</v>
      </c>
      <c r="L165" s="143">
        <f>IF(t&lt;Tvie,1-EXP((T0-t)*PertePVj)+'2030'!Pspv,1-EXP((T0-t)*PertePVj)+Pspv)</f>
        <v>4.7760864345450016E-2</v>
      </c>
      <c r="M165" s="835"/>
      <c r="N165" s="835"/>
      <c r="O165" s="48">
        <f>IF(t&lt;Tnet,'2030'!Resal+('2030'!Salim-'2030'!Resal)*(1-EXP(('2030'!Tnet-t)/('2030'!Tau_j))),Resal+(Salim-Resal)*(1-EXP((Tnet-t)/(Tau_j))))*Salcycl</f>
        <v>3.4398379714493554E-2</v>
      </c>
      <c r="P165" s="165">
        <f>(INDEX(Models!$BJ165:$BT165,,T165)*(1-R165)+INDEX(Models!$BJ165:$BT165,,T165+1)*R165-ERP_i)*Q165*Ramure*Pc/MaxiM</f>
        <v>7.7340389409690747E-5</v>
      </c>
      <c r="Q165" s="301">
        <f t="shared" si="53"/>
        <v>0.5</v>
      </c>
      <c r="R165" s="173">
        <f t="shared" si="54"/>
        <v>0.16352945638793015</v>
      </c>
      <c r="S165" s="801">
        <f t="shared" si="55"/>
        <v>1</v>
      </c>
      <c r="T165" s="172">
        <f t="shared" si="56"/>
        <v>7</v>
      </c>
      <c r="U165" s="247">
        <f t="shared" si="57"/>
        <v>1.1635294563879301</v>
      </c>
      <c r="V165" s="378">
        <f t="shared" si="58"/>
        <v>230.77145834887139</v>
      </c>
      <c r="W165" s="397">
        <f t="shared" si="59"/>
        <v>218.20508484616502</v>
      </c>
      <c r="X165" s="153">
        <f t="shared" si="60"/>
        <v>47999</v>
      </c>
      <c r="Y165" s="380">
        <f t="shared" si="61"/>
        <v>212.13987419320512</v>
      </c>
      <c r="Z165" s="380">
        <f t="shared" si="62"/>
        <v>222.78004153587369</v>
      </c>
      <c r="AA165" s="381">
        <f t="shared" si="63"/>
        <v>237.22617551301042</v>
      </c>
      <c r="AB165" s="193">
        <f t="shared" si="64"/>
        <v>47999</v>
      </c>
      <c r="AC165" s="119">
        <f>IF(OR(t&lt;Tnet,NoTnet),'2030'!Resal_s+('2030'!Salim-'2030'!Resal_s)*(1-EXP(('2030'!Tnet_s-t)/'2030'!Tau_j)),Resal_s+(Salim-Resal_s)*(1-EXP((Tnet_s-t)/Tau_j)))*Salcycl</f>
        <v>6.0896037066299445E-2</v>
      </c>
      <c r="AD165" s="227">
        <f>(INDEX(Models!$BJ165:$BT165,,AH165)*(1-AF165)+INDEX(Models!$BJ165:$BT165,,AH165+1)*AF165-ERP_i)*AE165*Ramure*Pc/MaxiM</f>
        <v>4.7235420938955368E-4</v>
      </c>
      <c r="AE165" s="301">
        <f t="shared" si="65"/>
        <v>0.5</v>
      </c>
      <c r="AF165" s="173">
        <f t="shared" si="66"/>
        <v>0.68851702276190796</v>
      </c>
      <c r="AG165" s="801">
        <f t="shared" si="74"/>
        <v>4</v>
      </c>
      <c r="AH165" s="172">
        <f t="shared" si="67"/>
        <v>10</v>
      </c>
      <c r="AI165" s="221">
        <f t="shared" si="68"/>
        <v>4.688517022761908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48000</v>
      </c>
      <c r="B166" s="406">
        <f>'2030'!Wh/'2030'!Env_an*'2031'!Env_an</f>
        <v>227.7993161422896</v>
      </c>
      <c r="C166" s="831"/>
      <c r="D166" s="388">
        <f t="shared" si="50"/>
        <v>239.22817917973117</v>
      </c>
      <c r="E166" s="380">
        <f t="shared" si="72"/>
        <v>247.76990015979317</v>
      </c>
      <c r="F166" s="380">
        <f t="shared" si="51"/>
        <v>247.78849464236359</v>
      </c>
      <c r="G166" s="110">
        <f t="shared" si="73"/>
        <v>0.98662642756689056</v>
      </c>
      <c r="H166" s="409" t="b">
        <f>Wh_hp&gt;='2030'!Maxi_hp</f>
        <v>0</v>
      </c>
      <c r="I166" s="385">
        <f>IF(H166,Wh_hp,'2030'!Maxi_hp)</f>
        <v>247.78880612470752</v>
      </c>
      <c r="J166" s="85">
        <f>IF(H166,An,'2030'!An_max)</f>
        <v>2029</v>
      </c>
      <c r="K166" s="193">
        <f t="shared" si="52"/>
        <v>48000</v>
      </c>
      <c r="L166" s="143">
        <f>IF(t&lt;Tvie,1-EXP((T0-t)*PertePVj)+'2030'!Pspv,1-EXP((T0-t)*PertePVj)+Pspv)</f>
        <v>4.7773899699563027E-2</v>
      </c>
      <c r="M166" s="835"/>
      <c r="N166" s="835"/>
      <c r="O166" s="48">
        <f>IF(t&lt;Tnet,'2030'!Resal+('2030'!Salim-'2030'!Resal)*(1-EXP(('2030'!Tnet-t)/('2030'!Tau_j))),Resal+(Salim-Resal)*(1-EXP((Tnet-t)/(Tau_j))))*Salcycl</f>
        <v>3.4474409420003162E-2</v>
      </c>
      <c r="P166" s="165">
        <f>(INDEX(Models!$BJ166:$BT166,,T166)*(1-R166)+INDEX(Models!$BJ166:$BT166,,T166+1)*R166-ERP_i)*Q166*Ramure*Pc/MaxiM</f>
        <v>7.6503195081841749E-5</v>
      </c>
      <c r="Q166" s="301">
        <f t="shared" si="53"/>
        <v>0.5</v>
      </c>
      <c r="R166" s="173">
        <f t="shared" si="54"/>
        <v>0.16848393446501242</v>
      </c>
      <c r="S166" s="801">
        <f t="shared" si="55"/>
        <v>1</v>
      </c>
      <c r="T166" s="172">
        <f t="shared" si="56"/>
        <v>7</v>
      </c>
      <c r="U166" s="247">
        <f t="shared" si="57"/>
        <v>1.1684839344650124</v>
      </c>
      <c r="V166" s="378">
        <f t="shared" si="58"/>
        <v>230.88676406445532</v>
      </c>
      <c r="W166" s="397">
        <f t="shared" si="59"/>
        <v>227.7993161422896</v>
      </c>
      <c r="X166" s="153">
        <f t="shared" si="60"/>
        <v>48000</v>
      </c>
      <c r="Y166" s="380">
        <f t="shared" si="61"/>
        <v>221.46411749464738</v>
      </c>
      <c r="Z166" s="380">
        <f t="shared" si="62"/>
        <v>232.5751388507133</v>
      </c>
      <c r="AA166" s="381">
        <f t="shared" si="63"/>
        <v>247.67355797972215</v>
      </c>
      <c r="AB166" s="193">
        <f t="shared" si="64"/>
        <v>48000</v>
      </c>
      <c r="AC166" s="119">
        <f>IF(OR(t&lt;Tnet,NoTnet),'2030'!Resal_s+('2030'!Salim-'2030'!Resal_s)*(1-EXP(('2030'!Tnet_s-t)/'2030'!Tau_j)),Resal_s+(Salim-Resal_s)*(1-EXP((Tnet_s-t)/Tau_j)))*Salcycl</f>
        <v>6.0960965119437563E-2</v>
      </c>
      <c r="AD166" s="227">
        <f>(INDEX(Models!$BJ166:$BT166,,AH166)*(1-AF166)+INDEX(Models!$BJ166:$BT166,,AH166+1)*AF166-ERP_i)*AE166*Ramure*Pc/MaxiM</f>
        <v>4.7288338843588486E-4</v>
      </c>
      <c r="AE166" s="301">
        <f t="shared" si="65"/>
        <v>0.5</v>
      </c>
      <c r="AF166" s="173">
        <f t="shared" si="66"/>
        <v>0.69347150083899045</v>
      </c>
      <c r="AG166" s="801">
        <f t="shared" si="74"/>
        <v>4</v>
      </c>
      <c r="AH166" s="172">
        <f t="shared" si="67"/>
        <v>10</v>
      </c>
      <c r="AI166" s="221">
        <f t="shared" si="68"/>
        <v>4.6934715008389905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48001</v>
      </c>
      <c r="B167" s="406">
        <f>'2030'!Wh/'2030'!Env_an*'2031'!Env_an</f>
        <v>160.22743846825014</v>
      </c>
      <c r="C167" s="831"/>
      <c r="D167" s="388">
        <f t="shared" si="50"/>
        <v>168.26847303051426</v>
      </c>
      <c r="E167" s="380">
        <f t="shared" si="72"/>
        <v>174.29024251145105</v>
      </c>
      <c r="F167" s="380">
        <f t="shared" si="51"/>
        <v>174.29765852295068</v>
      </c>
      <c r="G167" s="110">
        <f t="shared" si="73"/>
        <v>0.69362317640803295</v>
      </c>
      <c r="H167" s="409" t="b">
        <f>Wh_hp&gt;='2030'!Maxi_hp</f>
        <v>0</v>
      </c>
      <c r="I167" s="385">
        <f>IF(H167,Wh_hp,'2030'!Maxi_hp)</f>
        <v>174.30261051803021</v>
      </c>
      <c r="J167" s="85">
        <f>IF(H167,An,'2030'!An_max)</f>
        <v>2029</v>
      </c>
      <c r="K167" s="193">
        <f t="shared" si="52"/>
        <v>48001</v>
      </c>
      <c r="L167" s="143">
        <f>IF(t&lt;Tvie,1-EXP((T0-t)*PertePVj)+'2030'!Pspv,1-EXP((T0-t)*PertePVj)+Pspv)</f>
        <v>4.7786934875233111E-2</v>
      </c>
      <c r="M167" s="835"/>
      <c r="N167" s="835"/>
      <c r="O167" s="48">
        <f>IF(t&lt;Tnet,'2030'!Resal+('2030'!Salim-'2030'!Resal)*(1-EXP(('2030'!Tnet-t)/('2030'!Tau_j))),Resal+(Salim-Resal)*(1-EXP((Tnet-t)/(Tau_j))))*Salcycl</f>
        <v>3.4550238694751711E-2</v>
      </c>
      <c r="P167" s="165">
        <f>(INDEX(Models!$BJ167:$BT167,,T167)*(1-R167)+INDEX(Models!$BJ167:$BT167,,T167+1)*R167-ERP_i)*Q167*Ramure*Pc/MaxiM</f>
        <v>7.5660791092052994E-5</v>
      </c>
      <c r="Q167" s="301">
        <f t="shared" si="53"/>
        <v>0.5</v>
      </c>
      <c r="R167" s="173">
        <f t="shared" si="54"/>
        <v>0.17347577787942514</v>
      </c>
      <c r="S167" s="801">
        <f t="shared" si="55"/>
        <v>1</v>
      </c>
      <c r="T167" s="172">
        <f t="shared" si="56"/>
        <v>7</v>
      </c>
      <c r="U167" s="247">
        <f t="shared" si="57"/>
        <v>1.1734757778794251</v>
      </c>
      <c r="V167" s="378">
        <f t="shared" si="58"/>
        <v>230.99304941001486</v>
      </c>
      <c r="W167" s="397">
        <f t="shared" si="59"/>
        <v>160.22743846825014</v>
      </c>
      <c r="X167" s="153">
        <f t="shared" si="60"/>
        <v>48001</v>
      </c>
      <c r="Y167" s="380">
        <f t="shared" si="61"/>
        <v>155.79876900262857</v>
      </c>
      <c r="Z167" s="380">
        <f t="shared" si="62"/>
        <v>163.61755021940863</v>
      </c>
      <c r="AA167" s="381">
        <f t="shared" si="63"/>
        <v>174.25132836899076</v>
      </c>
      <c r="AB167" s="193">
        <f t="shared" si="64"/>
        <v>48001</v>
      </c>
      <c r="AC167" s="119">
        <f>IF(OR(t&lt;Tnet,NoTnet),'2030'!Resal_s+('2030'!Salim-'2030'!Resal_s)*(1-EXP(('2030'!Tnet_s-t)/'2030'!Tau_j)),Resal_s+(Salim-Resal_s)*(1-EXP((Tnet_s-t)/Tau_j)))*Salcycl</f>
        <v>6.1025521292235228E-2</v>
      </c>
      <c r="AD167" s="227">
        <f>(INDEX(Models!$BJ167:$BT167,,AH167)*(1-AF167)+INDEX(Models!$BJ167:$BT167,,AH167+1)*AF167-ERP_i)*AE167*Ramure*Pc/MaxiM</f>
        <v>4.7267673468436732E-4</v>
      </c>
      <c r="AE167" s="301">
        <f t="shared" si="65"/>
        <v>0.5</v>
      </c>
      <c r="AF167" s="173">
        <f t="shared" si="66"/>
        <v>0.69846334425340295</v>
      </c>
      <c r="AG167" s="801">
        <f t="shared" si="74"/>
        <v>4</v>
      </c>
      <c r="AH167" s="172">
        <f t="shared" si="67"/>
        <v>10</v>
      </c>
      <c r="AI167" s="221">
        <f t="shared" si="68"/>
        <v>4.698463344253403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48002</v>
      </c>
      <c r="B168" s="406">
        <f>'2030'!Wh/'2030'!Env_an*'2031'!Env_an</f>
        <v>220.13051211945435</v>
      </c>
      <c r="C168" s="831"/>
      <c r="D168" s="388">
        <f t="shared" si="50"/>
        <v>231.18095479367938</v>
      </c>
      <c r="E168" s="380">
        <f t="shared" si="72"/>
        <v>239.47290477910818</v>
      </c>
      <c r="F168" s="380">
        <f t="shared" si="51"/>
        <v>239.48960705168929</v>
      </c>
      <c r="G168" s="110">
        <f t="shared" si="73"/>
        <v>0.95257071049560149</v>
      </c>
      <c r="H168" s="409" t="b">
        <f>Wh_hp&gt;='2030'!Maxi_hp</f>
        <v>0</v>
      </c>
      <c r="I168" s="385">
        <f>IF(H168,Wh_hp,'2030'!Maxi_hp)</f>
        <v>239.49064596399853</v>
      </c>
      <c r="J168" s="85">
        <f>IF(H168,An,'2030'!An_max)</f>
        <v>2029</v>
      </c>
      <c r="K168" s="193">
        <f t="shared" si="52"/>
        <v>48002</v>
      </c>
      <c r="L168" s="143">
        <f>IF(t&lt;Tvie,1-EXP((T0-t)*PertePVj)+'2030'!Pspv,1-EXP((T0-t)*PertePVj)+Pspv)</f>
        <v>4.77999698724626E-2</v>
      </c>
      <c r="M168" s="835"/>
      <c r="N168" s="835"/>
      <c r="O168" s="48">
        <f>IF(t&lt;Tnet,'2030'!Resal+('2030'!Salim-'2030'!Resal)*(1-EXP(('2030'!Tnet-t)/('2030'!Tau_j))),Resal+(Salim-Resal)*(1-EXP((Tnet-t)/(Tau_j))))*Salcycl</f>
        <v>3.4625837912967056E-2</v>
      </c>
      <c r="P168" s="165">
        <f>(INDEX(Models!$BJ168:$BT168,,T168)*(1-R168)+INDEX(Models!$BJ168:$BT168,,T168+1)*R168-ERP_i)*Q168*Ramure*Pc/MaxiM</f>
        <v>7.4809395444550038E-5</v>
      </c>
      <c r="Q168" s="301">
        <f t="shared" si="53"/>
        <v>0.5</v>
      </c>
      <c r="R168" s="173">
        <f t="shared" si="54"/>
        <v>0.17850115066169692</v>
      </c>
      <c r="S168" s="801">
        <f t="shared" si="55"/>
        <v>1</v>
      </c>
      <c r="T168" s="172">
        <f t="shared" si="56"/>
        <v>7</v>
      </c>
      <c r="U168" s="247">
        <f t="shared" si="57"/>
        <v>1.1785011506616969</v>
      </c>
      <c r="V168" s="378">
        <f t="shared" si="58"/>
        <v>231.08982244926204</v>
      </c>
      <c r="W168" s="397">
        <f t="shared" si="59"/>
        <v>220.13051211945435</v>
      </c>
      <c r="X168" s="153">
        <f t="shared" si="60"/>
        <v>48002</v>
      </c>
      <c r="Y168" s="380">
        <f t="shared" si="61"/>
        <v>214.01684550675915</v>
      </c>
      <c r="Z168" s="380">
        <f t="shared" si="62"/>
        <v>224.76038514522395</v>
      </c>
      <c r="AA168" s="381">
        <f t="shared" si="63"/>
        <v>239.38428867476358</v>
      </c>
      <c r="AB168" s="193">
        <f t="shared" si="64"/>
        <v>48002</v>
      </c>
      <c r="AC168" s="119">
        <f>IF(OR(t&lt;Tnet,NoTnet),'2030'!Resal_s+('2030'!Salim-'2030'!Resal_s)*(1-EXP(('2030'!Tnet_s-t)/'2030'!Tau_j)),Resal_s+(Salim-Resal_s)*(1-EXP((Tnet_s-t)/Tau_j)))*Salcycl</f>
        <v>6.1089654674071778E-2</v>
      </c>
      <c r="AD168" s="227">
        <f>(INDEX(Models!$BJ168:$BT168,,AH168)*(1-AF168)+INDEX(Models!$BJ168:$BT168,,AH168+1)*AF168-ERP_i)*AE168*Ramure*Pc/MaxiM</f>
        <v>4.7172048406949512E-4</v>
      </c>
      <c r="AE168" s="301">
        <f t="shared" si="65"/>
        <v>0.5</v>
      </c>
      <c r="AF168" s="173">
        <f t="shared" si="66"/>
        <v>0.70348871703567539</v>
      </c>
      <c r="AG168" s="801">
        <f t="shared" si="74"/>
        <v>4</v>
      </c>
      <c r="AH168" s="172">
        <f t="shared" si="67"/>
        <v>10</v>
      </c>
      <c r="AI168" s="221">
        <f t="shared" si="68"/>
        <v>4.7034887170356754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48003</v>
      </c>
      <c r="B169" s="406">
        <f>'2030'!Wh/'2030'!Env_an*'2031'!Env_an</f>
        <v>95.908846123285315</v>
      </c>
      <c r="C169" s="831"/>
      <c r="D169" s="388">
        <f t="shared" si="50"/>
        <v>100.72480153143334</v>
      </c>
      <c r="E169" s="380">
        <f t="shared" si="72"/>
        <v>104.34572094596585</v>
      </c>
      <c r="F169" s="380">
        <f t="shared" si="51"/>
        <v>104.34698716274573</v>
      </c>
      <c r="G169" s="110">
        <f t="shared" si="73"/>
        <v>0.41484701071283947</v>
      </c>
      <c r="H169" s="409" t="b">
        <f>Wh_hp&gt;='2030'!Maxi_hp</f>
        <v>0</v>
      </c>
      <c r="I169" s="385">
        <f>IF(H169,Wh_hp,'2030'!Maxi_hp)</f>
        <v>104.35249417533518</v>
      </c>
      <c r="J169" s="85">
        <f>IF(H169,An,'2030'!An_max)</f>
        <v>2029</v>
      </c>
      <c r="K169" s="193">
        <f t="shared" si="52"/>
        <v>48003</v>
      </c>
      <c r="L169" s="143">
        <f>IF(t&lt;Tvie,1-EXP((T0-t)*PertePVj)+'2030'!Pspv,1-EXP((T0-t)*PertePVj)+Pspv)</f>
        <v>4.7813004691253824E-2</v>
      </c>
      <c r="M169" s="835"/>
      <c r="N169" s="835"/>
      <c r="O169" s="48">
        <f>IF(t&lt;Tnet,'2030'!Resal+('2030'!Salim-'2030'!Resal)*(1-EXP(('2030'!Tnet-t)/('2030'!Tau_j))),Resal+(Salim-Resal)*(1-EXP((Tnet-t)/(Tau_j))))*Salcycl</f>
        <v>3.4701177793457924E-2</v>
      </c>
      <c r="P169" s="165">
        <f>(INDEX(Models!$BJ169:$BT169,,T169)*(1-R169)+INDEX(Models!$BJ169:$BT169,,T169+1)*R169-ERP_i)*Q169*Ramure*Pc/MaxiM</f>
        <v>7.394512263029822E-5</v>
      </c>
      <c r="Q169" s="301">
        <f t="shared" si="53"/>
        <v>0.5</v>
      </c>
      <c r="R169" s="173">
        <f t="shared" si="54"/>
        <v>0.18355610819135681</v>
      </c>
      <c r="S169" s="801">
        <f t="shared" si="55"/>
        <v>1</v>
      </c>
      <c r="T169" s="172">
        <f t="shared" si="56"/>
        <v>7</v>
      </c>
      <c r="U169" s="247">
        <f t="shared" si="57"/>
        <v>1.1835561081913568</v>
      </c>
      <c r="V169" s="378">
        <f t="shared" si="58"/>
        <v>231.17659138449329</v>
      </c>
      <c r="W169" s="397">
        <f t="shared" si="59"/>
        <v>95.908846123285315</v>
      </c>
      <c r="X169" s="153">
        <f t="shared" si="60"/>
        <v>48003</v>
      </c>
      <c r="Y169" s="380">
        <f t="shared" si="61"/>
        <v>93.274587886117928</v>
      </c>
      <c r="Z169" s="380">
        <f t="shared" si="62"/>
        <v>97.958266964015493</v>
      </c>
      <c r="AA169" s="381">
        <f t="shared" si="63"/>
        <v>104.33893898609982</v>
      </c>
      <c r="AB169" s="193">
        <f t="shared" si="64"/>
        <v>48003</v>
      </c>
      <c r="AC169" s="119">
        <f>IF(OR(t&lt;Tnet,NoTnet),'2030'!Resal_s+('2030'!Salim-'2030'!Resal_s)*(1-EXP(('2030'!Tnet_s-t)/'2030'!Tau_j)),Resal_s+(Salim-Resal_s)*(1-EXP((Tnet_s-t)/Tau_j)))*Salcycl</f>
        <v>6.1153315186906171E-2</v>
      </c>
      <c r="AD169" s="227">
        <f>(INDEX(Models!$BJ169:$BT169,,AH169)*(1-AF169)+INDEX(Models!$BJ169:$BT169,,AH169+1)*AF169-ERP_i)*AE169*Ramure*Pc/MaxiM</f>
        <v>4.700012023914859E-4</v>
      </c>
      <c r="AE169" s="301">
        <f t="shared" si="65"/>
        <v>0.5</v>
      </c>
      <c r="AF169" s="173">
        <f t="shared" si="66"/>
        <v>0.70854367456533485</v>
      </c>
      <c r="AG169" s="801">
        <f t="shared" si="74"/>
        <v>4</v>
      </c>
      <c r="AH169" s="172">
        <f t="shared" si="67"/>
        <v>10</v>
      </c>
      <c r="AI169" s="221">
        <f t="shared" si="68"/>
        <v>4.7085436745653348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48004</v>
      </c>
      <c r="B170" s="406">
        <f>'2030'!Wh/'2030'!Env_an*'2031'!Env_an</f>
        <v>124.26221549751716</v>
      </c>
      <c r="C170" s="831"/>
      <c r="D170" s="388">
        <f t="shared" si="50"/>
        <v>130.50369011382094</v>
      </c>
      <c r="E170" s="380">
        <f t="shared" ref="E170:E232" si="75">Wh_pvt/(1-Psa)</f>
        <v>135.20563221106968</v>
      </c>
      <c r="F170" s="380">
        <f t="shared" si="51"/>
        <v>135.20898302488777</v>
      </c>
      <c r="G170" s="110">
        <f t="shared" ref="G170:G232" si="76">+Wh_hp/MaxiM</f>
        <v>0.53731752058446935</v>
      </c>
      <c r="H170" s="409" t="b">
        <f>Wh_hp&gt;='2030'!Maxi_hp</f>
        <v>0</v>
      </c>
      <c r="I170" s="385">
        <f>IF(H170,Wh_hp,'2030'!Maxi_hp)</f>
        <v>135.21454646972202</v>
      </c>
      <c r="J170" s="85">
        <f>IF(H170,An,'2030'!An_max)</f>
        <v>2029</v>
      </c>
      <c r="K170" s="193">
        <f t="shared" si="52"/>
        <v>48004</v>
      </c>
      <c r="L170" s="143">
        <f>IF(t&lt;Tvie,1-EXP((T0-t)*PertePVj)+'2030'!Pspv,1-EXP((T0-t)*PertePVj)+Pspv)</f>
        <v>4.7826039331609449E-2</v>
      </c>
      <c r="M170" s="835"/>
      <c r="N170" s="835"/>
      <c r="O170" s="48">
        <f>IF(t&lt;Tnet,'2030'!Resal+('2030'!Salim-'2030'!Resal)*(1-EXP(('2030'!Tnet-t)/('2030'!Tau_j))),Resal+(Salim-Resal)*(1-EXP((Tnet-t)/(Tau_j))))*Salcycl</f>
        <v>3.4776229513194715E-2</v>
      </c>
      <c r="P170" s="165">
        <f>(INDEX(Models!$BJ170:$BT170,,T170)*(1-R170)+INDEX(Models!$BJ170:$BT170,,T170+1)*R170-ERP_i)*Q170*Ramure*Pc/MaxiM</f>
        <v>7.3091266341168272E-5</v>
      </c>
      <c r="Q170" s="301">
        <f t="shared" si="53"/>
        <v>0.5</v>
      </c>
      <c r="R170" s="173">
        <f t="shared" si="54"/>
        <v>0.18863660906162871</v>
      </c>
      <c r="S170" s="801">
        <f t="shared" si="55"/>
        <v>1</v>
      </c>
      <c r="T170" s="172">
        <f t="shared" si="56"/>
        <v>7</v>
      </c>
      <c r="U170" s="247">
        <f t="shared" si="57"/>
        <v>1.1886366090616287</v>
      </c>
      <c r="V170" s="378">
        <f t="shared" si="58"/>
        <v>231.25285819207025</v>
      </c>
      <c r="W170" s="397">
        <f t="shared" si="59"/>
        <v>124.26221549751716</v>
      </c>
      <c r="X170" s="153">
        <f t="shared" si="60"/>
        <v>48004</v>
      </c>
      <c r="Y170" s="380">
        <f t="shared" si="61"/>
        <v>120.84214951410027</v>
      </c>
      <c r="Z170" s="380">
        <f t="shared" si="62"/>
        <v>126.91184017390435</v>
      </c>
      <c r="AA170" s="381">
        <f t="shared" si="63"/>
        <v>135.18754209619541</v>
      </c>
      <c r="AB170" s="193">
        <f t="shared" si="64"/>
        <v>48004</v>
      </c>
      <c r="AC170" s="119">
        <f>IF(OR(t&lt;Tnet,NoTnet),'2030'!Resal_s+('2030'!Salim-'2030'!Resal_s)*(1-EXP(('2030'!Tnet_s-t)/'2030'!Tau_j)),Resal_s+(Salim-Resal_s)*(1-EXP((Tnet_s-t)/Tau_j)))*Salcycl</f>
        <v>6.1216453779463796E-2</v>
      </c>
      <c r="AD170" s="227">
        <f>(INDEX(Models!$BJ170:$BT170,,AH170)*(1-AF170)+INDEX(Models!$BJ170:$BT170,,AH170+1)*AF170-ERP_i)*AE170*Ramure*Pc/MaxiM</f>
        <v>4.6769075058472566E-4</v>
      </c>
      <c r="AE170" s="301">
        <f t="shared" si="65"/>
        <v>0.5</v>
      </c>
      <c r="AF170" s="173">
        <f t="shared" si="66"/>
        <v>0.71362417543560674</v>
      </c>
      <c r="AG170" s="801">
        <f t="shared" si="74"/>
        <v>4</v>
      </c>
      <c r="AH170" s="172">
        <f t="shared" si="67"/>
        <v>10</v>
      </c>
      <c r="AI170" s="221">
        <f t="shared" si="68"/>
        <v>4.7136241754356067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48005</v>
      </c>
      <c r="B171" s="406">
        <f>'2030'!Wh/'2030'!Env_an*'2031'!Env_an</f>
        <v>182.58753528943683</v>
      </c>
      <c r="C171" s="831"/>
      <c r="D171" s="388">
        <f t="shared" si="50"/>
        <v>191.76121416459409</v>
      </c>
      <c r="E171" s="380">
        <f t="shared" si="75"/>
        <v>198.68559898513723</v>
      </c>
      <c r="F171" s="380">
        <f t="shared" si="51"/>
        <v>198.6956290616383</v>
      </c>
      <c r="G171" s="110">
        <f t="shared" si="76"/>
        <v>0.78931798499687722</v>
      </c>
      <c r="H171" s="409" t="b">
        <f>Wh_hp&gt;='2030'!Maxi_hp</f>
        <v>0</v>
      </c>
      <c r="I171" s="385">
        <f>IF(H171,Wh_hp,'2030'!Maxi_hp)</f>
        <v>198.69929778180276</v>
      </c>
      <c r="J171" s="85">
        <f>IF(H171,An,'2030'!An_max)</f>
        <v>2029</v>
      </c>
      <c r="K171" s="193">
        <f t="shared" si="52"/>
        <v>48005</v>
      </c>
      <c r="L171" s="143">
        <f>IF(t&lt;Tvie,1-EXP((T0-t)*PertePVj)+'2030'!Pspv,1-EXP((T0-t)*PertePVj)+Pspv)</f>
        <v>4.7839073793531695E-2</v>
      </c>
      <c r="M171" s="835"/>
      <c r="N171" s="835"/>
      <c r="O171" s="48">
        <f>IF(t&lt;Tnet,'2030'!Resal+('2030'!Salim-'2030'!Resal)*(1-EXP(('2030'!Tnet-t)/('2030'!Tau_j))),Resal+(Salim-Resal)*(1-EXP((Tnet-t)/(Tau_j))))*Salcycl</f>
        <v>3.4850964820359868E-2</v>
      </c>
      <c r="P171" s="165">
        <f>(INDEX(Models!$BJ171:$BT171,,T171)*(1-R171)+INDEX(Models!$BJ171:$BT171,,T171+1)*R171-ERP_i)*Q171*Ramure*Pc/MaxiM</f>
        <v>7.2211699768545494E-5</v>
      </c>
      <c r="Q171" s="301">
        <f t="shared" si="53"/>
        <v>0.5</v>
      </c>
      <c r="R171" s="173">
        <f t="shared" si="54"/>
        <v>0.19373852760876864</v>
      </c>
      <c r="S171" s="801">
        <f t="shared" si="55"/>
        <v>1</v>
      </c>
      <c r="T171" s="172">
        <f t="shared" si="56"/>
        <v>7</v>
      </c>
      <c r="U171" s="247">
        <f t="shared" si="57"/>
        <v>1.1937385276087686</v>
      </c>
      <c r="V171" s="378">
        <f t="shared" si="58"/>
        <v>231.31813863317174</v>
      </c>
      <c r="W171" s="397">
        <f t="shared" si="59"/>
        <v>182.58753528943683</v>
      </c>
      <c r="X171" s="153">
        <f t="shared" si="60"/>
        <v>48005</v>
      </c>
      <c r="Y171" s="380">
        <f t="shared" si="61"/>
        <v>177.53912608809389</v>
      </c>
      <c r="Z171" s="380">
        <f t="shared" si="62"/>
        <v>186.45915958285815</v>
      </c>
      <c r="AA171" s="381">
        <f t="shared" si="63"/>
        <v>198.63107789826432</v>
      </c>
      <c r="AB171" s="193">
        <f t="shared" si="64"/>
        <v>48005</v>
      </c>
      <c r="AC171" s="119">
        <f>IF(OR(t&lt;Tnet,NoTnet),'2030'!Resal_s+('2030'!Salim-'2030'!Resal_s)*(1-EXP(('2030'!Tnet_s-t)/'2030'!Tau_j)),Resal_s+(Salim-Resal_s)*(1-EXP((Tnet_s-t)/Tau_j)))*Salcycl</f>
        <v>6.1279022619211906E-2</v>
      </c>
      <c r="AD171" s="227">
        <f>(INDEX(Models!$BJ171:$BT171,,AH171)*(1-AF171)+INDEX(Models!$BJ171:$BT171,,AH171+1)*AF171-ERP_i)*AE171*Ramure*Pc/MaxiM</f>
        <v>4.6473715617047375E-4</v>
      </c>
      <c r="AE171" s="301">
        <f t="shared" si="65"/>
        <v>0.5</v>
      </c>
      <c r="AF171" s="173">
        <f t="shared" si="66"/>
        <v>0.71872609398274712</v>
      </c>
      <c r="AG171" s="801">
        <f t="shared" si="74"/>
        <v>4</v>
      </c>
      <c r="AH171" s="172">
        <f t="shared" si="67"/>
        <v>10</v>
      </c>
      <c r="AI171" s="221">
        <f t="shared" si="68"/>
        <v>4.7187260939827471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48006</v>
      </c>
      <c r="B172" s="406">
        <f>'2030'!Wh/'2030'!Env_an*'2031'!Env_an</f>
        <v>113.77474088799561</v>
      </c>
      <c r="C172" s="831"/>
      <c r="D172" s="388">
        <f t="shared" si="50"/>
        <v>119.49271941170176</v>
      </c>
      <c r="E172" s="380">
        <f t="shared" si="75"/>
        <v>123.81707484772878</v>
      </c>
      <c r="F172" s="380">
        <f t="shared" si="51"/>
        <v>123.81949308634826</v>
      </c>
      <c r="G172" s="110">
        <f t="shared" si="76"/>
        <v>0.4917141201550097</v>
      </c>
      <c r="H172" s="409" t="b">
        <f>Wh_hp&gt;='2030'!Maxi_hp</f>
        <v>0</v>
      </c>
      <c r="I172" s="385">
        <f>IF(H172,Wh_hp,'2030'!Maxi_hp)</f>
        <v>123.82492521296413</v>
      </c>
      <c r="J172" s="85">
        <f>IF(H172,An,'2030'!An_max)</f>
        <v>2029</v>
      </c>
      <c r="K172" s="193">
        <f t="shared" si="52"/>
        <v>48006</v>
      </c>
      <c r="L172" s="143">
        <f>IF(t&lt;Tvie,1-EXP((T0-t)*PertePVj)+'2030'!Pspv,1-EXP((T0-t)*PertePVj)+Pspv)</f>
        <v>4.7852108077023114E-2</v>
      </c>
      <c r="M172" s="835"/>
      <c r="N172" s="835"/>
      <c r="O172" s="48">
        <f>IF(t&lt;Tnet,'2030'!Resal+('2030'!Salim-'2030'!Resal)*(1-EXP(('2030'!Tnet-t)/('2030'!Tau_j))),Resal+(Salim-Resal)*(1-EXP((Tnet-t)/(Tau_j))))*Salcycl</f>
        <v>3.492535614611441E-2</v>
      </c>
      <c r="P172" s="165">
        <f>(INDEX(Models!$BJ172:$BT172,,T172)*(1-R172)+INDEX(Models!$BJ172:$BT172,,T172+1)*R172-ERP_i)*Q172*Ramure*Pc/MaxiM</f>
        <v>7.1301128378776943E-5</v>
      </c>
      <c r="Q172" s="301">
        <f t="shared" si="53"/>
        <v>0.5</v>
      </c>
      <c r="R172" s="173">
        <f t="shared" si="54"/>
        <v>0.19885766702659469</v>
      </c>
      <c r="S172" s="801">
        <f t="shared" si="55"/>
        <v>1</v>
      </c>
      <c r="T172" s="172">
        <f t="shared" si="56"/>
        <v>7</v>
      </c>
      <c r="U172" s="247">
        <f t="shared" si="57"/>
        <v>1.1988576670265947</v>
      </c>
      <c r="V172" s="378">
        <f t="shared" si="58"/>
        <v>231.37194134415017</v>
      </c>
      <c r="W172" s="397">
        <f t="shared" si="59"/>
        <v>113.77474088799561</v>
      </c>
      <c r="X172" s="153">
        <f t="shared" si="60"/>
        <v>48006</v>
      </c>
      <c r="Y172" s="380">
        <f t="shared" si="61"/>
        <v>110.64872971343414</v>
      </c>
      <c r="Z172" s="380">
        <f t="shared" si="62"/>
        <v>116.20960425587432</v>
      </c>
      <c r="AA172" s="381">
        <f t="shared" si="63"/>
        <v>123.80385336479526</v>
      </c>
      <c r="AB172" s="193">
        <f t="shared" si="64"/>
        <v>48006</v>
      </c>
      <c r="AC172" s="119">
        <f>IF(OR(t&lt;Tnet,NoTnet),'2030'!Resal_s+('2030'!Salim-'2030'!Resal_s)*(1-EXP(('2030'!Tnet_s-t)/'2030'!Tau_j)),Resal_s+(Salim-Resal_s)*(1-EXP((Tnet_s-t)/Tau_j)))*Salcycl</f>
        <v>6.1340975280826139E-2</v>
      </c>
      <c r="AD172" s="227">
        <f>(INDEX(Models!$BJ172:$BT172,,AH172)*(1-AF172)+INDEX(Models!$BJ172:$BT172,,AH172+1)*AF172-ERP_i)*AE172*Ramure*Pc/MaxiM</f>
        <v>4.6113306820783127E-4</v>
      </c>
      <c r="AE172" s="301">
        <f t="shared" si="65"/>
        <v>0.5</v>
      </c>
      <c r="AF172" s="173">
        <f t="shared" si="66"/>
        <v>0.7238452334005725</v>
      </c>
      <c r="AG172" s="801">
        <f t="shared" si="74"/>
        <v>4</v>
      </c>
      <c r="AH172" s="172">
        <f t="shared" si="67"/>
        <v>10</v>
      </c>
      <c r="AI172" s="221">
        <f t="shared" si="68"/>
        <v>4.7238452334005725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48007</v>
      </c>
      <c r="B173" s="406">
        <f>'2030'!Wh/'2030'!Env_an*'2031'!Env_an</f>
        <v>86.683557227337715</v>
      </c>
      <c r="C173" s="831"/>
      <c r="D173" s="388">
        <f t="shared" si="50"/>
        <v>91.041260085779854</v>
      </c>
      <c r="E173" s="380">
        <f t="shared" si="75"/>
        <v>94.343213764772941</v>
      </c>
      <c r="F173" s="380">
        <f t="shared" si="51"/>
        <v>94.34392096579262</v>
      </c>
      <c r="G173" s="110">
        <f t="shared" si="76"/>
        <v>0.37455898392526932</v>
      </c>
      <c r="H173" s="409" t="b">
        <f>Wh_hp&gt;='2030'!Maxi_hp</f>
        <v>0</v>
      </c>
      <c r="I173" s="385">
        <f>IF(H173,Wh_hp,'2030'!Maxi_hp)</f>
        <v>94.348932779037895</v>
      </c>
      <c r="J173" s="85">
        <f>IF(H173,An,'2030'!An_max)</f>
        <v>2029</v>
      </c>
      <c r="K173" s="193">
        <f t="shared" si="52"/>
        <v>48007</v>
      </c>
      <c r="L173" s="143">
        <f>IF(t&lt;Tvie,1-EXP((T0-t)*PertePVj)+'2030'!Pspv,1-EXP((T0-t)*PertePVj)+Pspv)</f>
        <v>4.7865142182086151E-2</v>
      </c>
      <c r="M173" s="835"/>
      <c r="N173" s="835"/>
      <c r="O173" s="48">
        <f>IF(t&lt;Tnet,'2030'!Resal+('2030'!Salim-'2030'!Resal)*(1-EXP(('2030'!Tnet-t)/('2030'!Tau_j))),Resal+(Salim-Resal)*(1-EXP((Tnet-t)/(Tau_j))))*Salcycl</f>
        <v>3.4999376714321857E-2</v>
      </c>
      <c r="P173" s="165">
        <f>(INDEX(Models!$BJ173:$BT173,,T173)*(1-R173)+INDEX(Models!$BJ173:$BT173,,T173+1)*R173-ERP_i)*Q173*Ramure*Pc/MaxiM</f>
        <v>7.0354176971453833E-5</v>
      </c>
      <c r="Q173" s="301">
        <f t="shared" si="53"/>
        <v>0.5</v>
      </c>
      <c r="R173" s="173">
        <f t="shared" si="54"/>
        <v>0.20398977297986121</v>
      </c>
      <c r="S173" s="801">
        <f t="shared" si="55"/>
        <v>1</v>
      </c>
      <c r="T173" s="172">
        <f t="shared" si="56"/>
        <v>7</v>
      </c>
      <c r="U173" s="247">
        <f t="shared" si="57"/>
        <v>1.2039897729798612</v>
      </c>
      <c r="V173" s="378">
        <f t="shared" si="58"/>
        <v>231.4137749596116</v>
      </c>
      <c r="W173" s="397">
        <f t="shared" si="59"/>
        <v>86.683557227337715</v>
      </c>
      <c r="X173" s="153">
        <f t="shared" si="60"/>
        <v>48007</v>
      </c>
      <c r="Y173" s="380">
        <f t="shared" si="61"/>
        <v>84.308380436115371</v>
      </c>
      <c r="Z173" s="380">
        <f t="shared" si="62"/>
        <v>88.546679857233514</v>
      </c>
      <c r="AA173" s="381">
        <f t="shared" si="63"/>
        <v>94.339328486973727</v>
      </c>
      <c r="AB173" s="193">
        <f t="shared" si="64"/>
        <v>48007</v>
      </c>
      <c r="AC173" s="119">
        <f>IF(OR(t&lt;Tnet,NoTnet),'2030'!Resal_s+('2030'!Salim-'2030'!Resal_s)*(1-EXP(('2030'!Tnet_s-t)/'2030'!Tau_j)),Resal_s+(Salim-Resal_s)*(1-EXP((Tnet_s-t)/Tau_j)))*Salcycl</f>
        <v>6.1402266929852588E-2</v>
      </c>
      <c r="AD173" s="227">
        <f>(INDEX(Models!$BJ173:$BT173,,AH173)*(1-AF173)+INDEX(Models!$BJ173:$BT173,,AH173+1)*AF173-ERP_i)*AE173*Ramure*Pc/MaxiM</f>
        <v>4.5687160874213604E-4</v>
      </c>
      <c r="AE173" s="301">
        <f t="shared" si="65"/>
        <v>0.5</v>
      </c>
      <c r="AF173" s="173">
        <f t="shared" si="66"/>
        <v>0.72897733935383879</v>
      </c>
      <c r="AG173" s="801">
        <f t="shared" si="74"/>
        <v>4</v>
      </c>
      <c r="AH173" s="172">
        <f t="shared" si="67"/>
        <v>10</v>
      </c>
      <c r="AI173" s="221">
        <f t="shared" si="68"/>
        <v>4.7289773393538388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48008</v>
      </c>
      <c r="B174" s="406">
        <f>'2030'!Wh/'2030'!Env_an*'2031'!Env_an</f>
        <v>183.89489708260433</v>
      </c>
      <c r="C174" s="831"/>
      <c r="D174" s="388">
        <f t="shared" si="50"/>
        <v>193.14219301374126</v>
      </c>
      <c r="E174" s="380">
        <f t="shared" si="75"/>
        <v>200.16249223365182</v>
      </c>
      <c r="F174" s="380">
        <f t="shared" si="51"/>
        <v>200.17230215904706</v>
      </c>
      <c r="G174" s="110">
        <f t="shared" si="76"/>
        <v>0.79454135801453185</v>
      </c>
      <c r="H174" s="409" t="b">
        <f>Wh_hp&gt;='2030'!Maxi_hp</f>
        <v>0</v>
      </c>
      <c r="I174" s="385">
        <f>IF(H174,Wh_hp,'2030'!Maxi_hp)</f>
        <v>200.17573631914226</v>
      </c>
      <c r="J174" s="85">
        <f>IF(H174,An,'2030'!An_max)</f>
        <v>2029</v>
      </c>
      <c r="K174" s="193">
        <f t="shared" si="52"/>
        <v>48008</v>
      </c>
      <c r="L174" s="143">
        <f>IF(t&lt;Tvie,1-EXP((T0-t)*PertePVj)+'2030'!Pspv,1-EXP((T0-t)*PertePVj)+Pspv)</f>
        <v>4.7878176108723247E-2</v>
      </c>
      <c r="M174" s="835"/>
      <c r="N174" s="835"/>
      <c r="O174" s="48">
        <f>IF(t&lt;Tnet,'2030'!Resal+('2030'!Salim-'2030'!Resal)*(1-EXP(('2030'!Tnet-t)/('2030'!Tau_j))),Resal+(Salim-Resal)*(1-EXP((Tnet-t)/(Tau_j))))*Salcycl</f>
        <v>3.5073000648471547E-2</v>
      </c>
      <c r="P174" s="165">
        <f>(INDEX(Models!$BJ174:$BT174,,T174)*(1-R174)+INDEX(Models!$BJ174:$BT174,,T174+1)*R174-ERP_i)*Q174*Ramure*Pc/MaxiM</f>
        <v>6.9365406873064453E-5</v>
      </c>
      <c r="Q174" s="301">
        <f t="shared" si="53"/>
        <v>0.5</v>
      </c>
      <c r="R174" s="173">
        <f t="shared" si="54"/>
        <v>0.20913054762416694</v>
      </c>
      <c r="S174" s="801">
        <f t="shared" si="55"/>
        <v>1</v>
      </c>
      <c r="T174" s="172">
        <f t="shared" si="56"/>
        <v>7</v>
      </c>
      <c r="U174" s="247">
        <f t="shared" si="57"/>
        <v>1.2091305476241669</v>
      </c>
      <c r="V174" s="378">
        <f t="shared" si="58"/>
        <v>231.44314806503783</v>
      </c>
      <c r="W174" s="397">
        <f t="shared" si="59"/>
        <v>183.89489708260433</v>
      </c>
      <c r="X174" s="153">
        <f t="shared" si="60"/>
        <v>48008</v>
      </c>
      <c r="Y174" s="380">
        <f t="shared" si="61"/>
        <v>178.81719379621623</v>
      </c>
      <c r="Z174" s="380">
        <f t="shared" si="62"/>
        <v>187.80915352344181</v>
      </c>
      <c r="AA174" s="381">
        <f t="shared" si="63"/>
        <v>200.10838614538176</v>
      </c>
      <c r="AB174" s="193">
        <f t="shared" si="64"/>
        <v>48008</v>
      </c>
      <c r="AC174" s="119">
        <f>IF(OR(t&lt;Tnet,NoTnet),'2030'!Resal_s+('2030'!Salim-'2030'!Resal_s)*(1-EXP(('2030'!Tnet_s-t)/'2030'!Tau_j)),Resal_s+(Salim-Resal_s)*(1-EXP((Tnet_s-t)/Tau_j)))*Salcycl</f>
        <v>6.1462854500282563E-2</v>
      </c>
      <c r="AD174" s="227">
        <f>(INDEX(Models!$BJ174:$BT174,,AH174)*(1-AF174)+INDEX(Models!$BJ174:$BT174,,AH174+1)*AF174-ERP_i)*AE174*Ramure*Pc/MaxiM</f>
        <v>4.5194638235987878E-4</v>
      </c>
      <c r="AE174" s="301">
        <f t="shared" si="65"/>
        <v>0.5</v>
      </c>
      <c r="AF174" s="173">
        <f t="shared" si="66"/>
        <v>0.73411811399814475</v>
      </c>
      <c r="AG174" s="801">
        <f t="shared" si="74"/>
        <v>4</v>
      </c>
      <c r="AH174" s="172">
        <f t="shared" si="67"/>
        <v>10</v>
      </c>
      <c r="AI174" s="221">
        <f t="shared" si="68"/>
        <v>4.7341181139981448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48009</v>
      </c>
      <c r="B175" s="406">
        <f>'2030'!Wh/'2030'!Env_an*'2031'!Env_an</f>
        <v>232.47817474417019</v>
      </c>
      <c r="C175" s="831"/>
      <c r="D175" s="388">
        <f t="shared" si="50"/>
        <v>244.17186055937808</v>
      </c>
      <c r="E175" s="380">
        <f t="shared" si="75"/>
        <v>253.06617576421377</v>
      </c>
      <c r="F175" s="380">
        <f t="shared" si="51"/>
        <v>253.083468788971</v>
      </c>
      <c r="G175" s="110">
        <f t="shared" si="76"/>
        <v>1.0044007926630023</v>
      </c>
      <c r="H175" s="409" t="b">
        <f>Wh_hp&gt;='2030'!Maxi_hp</f>
        <v>1</v>
      </c>
      <c r="I175" s="385">
        <f>IF(H175,Wh_hp,'2030'!Maxi_hp)</f>
        <v>253.083468788971</v>
      </c>
      <c r="J175" s="85">
        <f>IF(H175,An,'2030'!An_max)</f>
        <v>2031</v>
      </c>
      <c r="K175" s="193">
        <f t="shared" si="52"/>
        <v>48009</v>
      </c>
      <c r="L175" s="143">
        <f>IF(t&lt;Tvie,1-EXP((T0-t)*PertePVj)+'2030'!Pspv,1-EXP((T0-t)*PertePVj)+Pspv)</f>
        <v>4.7891209856936845E-2</v>
      </c>
      <c r="M175" s="835"/>
      <c r="N175" s="835"/>
      <c r="O175" s="48">
        <f>IF(t&lt;Tnet,'2030'!Resal+('2030'!Salim-'2030'!Resal)*(1-EXP(('2030'!Tnet-t)/('2030'!Tau_j))),Resal+(Salim-Resal)*(1-EXP((Tnet-t)/(Tau_j))))*Salcycl</f>
        <v>3.5146203075051327E-2</v>
      </c>
      <c r="P175" s="165">
        <f>(INDEX(Models!$BJ175:$BT175,,T175)*(1-R175)+INDEX(Models!$BJ175:$BT175,,T175+1)*R175-ERP_i)*Q175*Ramure*Pc/MaxiM</f>
        <v>6.8329333559345634E-5</v>
      </c>
      <c r="Q175" s="301">
        <f t="shared" si="53"/>
        <v>0.5</v>
      </c>
      <c r="R175" s="173">
        <f t="shared" si="54"/>
        <v>0.21427566393517861</v>
      </c>
      <c r="S175" s="801">
        <f t="shared" si="55"/>
        <v>1</v>
      </c>
      <c r="T175" s="172">
        <f t="shared" si="56"/>
        <v>7</v>
      </c>
      <c r="U175" s="247">
        <f t="shared" si="57"/>
        <v>1.2142756639351786</v>
      </c>
      <c r="V175" s="378">
        <f t="shared" si="58"/>
        <v>231.45956917038345</v>
      </c>
      <c r="W175" s="397">
        <f t="shared" si="59"/>
        <v>232.47817474417019</v>
      </c>
      <c r="X175" s="153">
        <f t="shared" si="60"/>
        <v>48009</v>
      </c>
      <c r="Y175" s="380">
        <f t="shared" si="61"/>
        <v>226.03736479403045</v>
      </c>
      <c r="Z175" s="380">
        <f t="shared" si="62"/>
        <v>237.40707693714944</v>
      </c>
      <c r="AA175" s="381">
        <f t="shared" si="63"/>
        <v>252.97050460787048</v>
      </c>
      <c r="AB175" s="193">
        <f t="shared" si="64"/>
        <v>48009</v>
      </c>
      <c r="AC175" s="119">
        <f>IF(OR(t&lt;Tnet,NoTnet),'2030'!Resal_s+('2030'!Salim-'2030'!Resal_s)*(1-EXP(('2030'!Tnet_s-t)/'2030'!Tau_j)),Resal_s+(Salim-Resal_s)*(1-EXP((Tnet_s-t)/Tau_j)))*Salcycl</f>
        <v>6.1522696864782317E-2</v>
      </c>
      <c r="AD175" s="227">
        <f>(INDEX(Models!$BJ175:$BT175,,AH175)*(1-AF175)+INDEX(Models!$BJ175:$BT175,,AH175+1)*AF175-ERP_i)*AE175*Ramure*Pc/MaxiM</f>
        <v>4.4635148096031931E-4</v>
      </c>
      <c r="AE175" s="301">
        <f t="shared" si="65"/>
        <v>0.5</v>
      </c>
      <c r="AF175" s="173">
        <f t="shared" si="66"/>
        <v>0.73926323030915686</v>
      </c>
      <c r="AG175" s="801">
        <f t="shared" si="74"/>
        <v>4</v>
      </c>
      <c r="AH175" s="172">
        <f t="shared" si="67"/>
        <v>10</v>
      </c>
      <c r="AI175" s="221">
        <f t="shared" si="68"/>
        <v>4.7392632303091569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48010</v>
      </c>
      <c r="B176" s="406">
        <f>'2030'!Wh/'2030'!Env_an*'2031'!Env_an</f>
        <v>220.8065300625382</v>
      </c>
      <c r="C176" s="831"/>
      <c r="D176" s="388">
        <f t="shared" si="50"/>
        <v>231.91630520154047</v>
      </c>
      <c r="E176" s="380">
        <f t="shared" si="75"/>
        <v>240.382320588574</v>
      </c>
      <c r="F176" s="380">
        <f t="shared" si="51"/>
        <v>240.39742191224673</v>
      </c>
      <c r="G176" s="110">
        <f t="shared" si="76"/>
        <v>0.95395802346693748</v>
      </c>
      <c r="H176" s="409" t="b">
        <f>Wh_hp&gt;='2030'!Maxi_hp</f>
        <v>0</v>
      </c>
      <c r="I176" s="385">
        <f>IF(H176,Wh_hp,'2030'!Maxi_hp)</f>
        <v>240.3983121746576</v>
      </c>
      <c r="J176" s="85">
        <f>IF(H176,An,'2030'!An_max)</f>
        <v>2029</v>
      </c>
      <c r="K176" s="193">
        <f t="shared" si="52"/>
        <v>48010</v>
      </c>
      <c r="L176" s="143">
        <f>IF(t&lt;Tvie,1-EXP((T0-t)*PertePVj)+'2030'!Pspv,1-EXP((T0-t)*PertePVj)+Pspv)</f>
        <v>4.7904243426729387E-2</v>
      </c>
      <c r="M176" s="835"/>
      <c r="N176" s="835"/>
      <c r="O176" s="48">
        <f>IF(t&lt;Tnet,'2030'!Resal+('2030'!Salim-'2030'!Resal)*(1-EXP(('2030'!Tnet-t)/('2030'!Tau_j))),Resal+(Salim-Resal)*(1-EXP((Tnet-t)/(Tau_j))))*Salcycl</f>
        <v>3.5218960222634363E-2</v>
      </c>
      <c r="P176" s="165">
        <f>(INDEX(Models!$BJ176:$BT176,,T176)*(1-R176)+INDEX(Models!$BJ176:$BT176,,T176+1)*R176-ERP_i)*Q176*Ramure*Pc/MaxiM</f>
        <v>6.7240444523033901E-5</v>
      </c>
      <c r="Q176" s="301">
        <f t="shared" si="53"/>
        <v>0.5</v>
      </c>
      <c r="R176" s="173">
        <f t="shared" si="54"/>
        <v>0.21942078024619005</v>
      </c>
      <c r="S176" s="801">
        <f t="shared" si="55"/>
        <v>1</v>
      </c>
      <c r="T176" s="172">
        <f t="shared" si="56"/>
        <v>7</v>
      </c>
      <c r="U176" s="247">
        <f t="shared" si="57"/>
        <v>1.2194207802461901</v>
      </c>
      <c r="V176" s="378">
        <f t="shared" si="58"/>
        <v>231.46254667410886</v>
      </c>
      <c r="W176" s="397">
        <f t="shared" si="59"/>
        <v>220.8065300625382</v>
      </c>
      <c r="X176" s="153">
        <f t="shared" si="60"/>
        <v>48010</v>
      </c>
      <c r="Y176" s="380">
        <f t="shared" si="61"/>
        <v>214.69814223925903</v>
      </c>
      <c r="Z176" s="380">
        <f t="shared" si="62"/>
        <v>225.50057676130024</v>
      </c>
      <c r="AA176" s="381">
        <f t="shared" si="63"/>
        <v>240.29858537162673</v>
      </c>
      <c r="AB176" s="193">
        <f t="shared" si="64"/>
        <v>48010</v>
      </c>
      <c r="AC176" s="119">
        <f>IF(OR(t&lt;Tnet,NoTnet),'2030'!Resal_s+('2030'!Salim-'2030'!Resal_s)*(1-EXP(('2030'!Tnet_s-t)/'2030'!Tau_j)),Resal_s+(Salim-Resal_s)*(1-EXP((Tnet_s-t)/Tau_j)))*Salcycl</f>
        <v>6.1581754996356215E-2</v>
      </c>
      <c r="AD176" s="227">
        <f>(INDEX(Models!$BJ176:$BT176,,AH176)*(1-AF176)+INDEX(Models!$BJ176:$BT176,,AH176+1)*AF176-ERP_i)*AE176*Ramure*Pc/MaxiM</f>
        <v>4.4008148361291099E-4</v>
      </c>
      <c r="AE176" s="301">
        <f t="shared" si="65"/>
        <v>0.5</v>
      </c>
      <c r="AF176" s="173">
        <f t="shared" si="66"/>
        <v>0.74440834662016808</v>
      </c>
      <c r="AG176" s="801">
        <f t="shared" si="74"/>
        <v>4</v>
      </c>
      <c r="AH176" s="172">
        <f t="shared" si="67"/>
        <v>10</v>
      </c>
      <c r="AI176" s="221">
        <f t="shared" si="68"/>
        <v>4.7444083466201681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48011</v>
      </c>
      <c r="B177" s="406">
        <f>'2030'!Wh/'2030'!Env_an*'2031'!Env_an</f>
        <v>174.32138031907175</v>
      </c>
      <c r="C177" s="831"/>
      <c r="D177" s="388">
        <f t="shared" si="50"/>
        <v>183.0947837562718</v>
      </c>
      <c r="E177" s="380">
        <f t="shared" si="75"/>
        <v>189.79280913996638</v>
      </c>
      <c r="F177" s="380">
        <f t="shared" si="51"/>
        <v>189.80093021103065</v>
      </c>
      <c r="G177" s="110">
        <f t="shared" si="76"/>
        <v>0.75314752545293784</v>
      </c>
      <c r="H177" s="409" t="b">
        <f>Wh_hp&gt;='2030'!Maxi_hp</f>
        <v>0</v>
      </c>
      <c r="I177" s="385">
        <f>IF(H177,Wh_hp,'2030'!Maxi_hp)</f>
        <v>189.80462137520485</v>
      </c>
      <c r="J177" s="85">
        <f>IF(H177,An,'2030'!An_max)</f>
        <v>2029</v>
      </c>
      <c r="K177" s="193">
        <f t="shared" si="52"/>
        <v>48011</v>
      </c>
      <c r="L177" s="143">
        <f>IF(t&lt;Tvie,1-EXP((T0-t)*PertePVj)+'2030'!Pspv,1-EXP((T0-t)*PertePVj)+Pspv)</f>
        <v>4.7917276818103316E-2</v>
      </c>
      <c r="M177" s="835"/>
      <c r="N177" s="835"/>
      <c r="O177" s="48">
        <f>IF(t&lt;Tnet,'2030'!Resal+('2030'!Salim-'2030'!Resal)*(1-EXP(('2030'!Tnet-t)/('2030'!Tau_j))),Resal+(Salim-Resal)*(1-EXP((Tnet-t)/(Tau_j))))*Salcycl</f>
        <v>3.5291249515965656E-2</v>
      </c>
      <c r="P177" s="165">
        <f>(INDEX(Models!$BJ177:$BT177,,T177)*(1-R177)+INDEX(Models!$BJ177:$BT177,,T177+1)*R177-ERP_i)*Q177*Ramure*Pc/MaxiM</f>
        <v>6.6093169396050957E-5</v>
      </c>
      <c r="Q177" s="301">
        <f t="shared" si="53"/>
        <v>0.5</v>
      </c>
      <c r="R177" s="173">
        <f t="shared" si="54"/>
        <v>0.22456155489049601</v>
      </c>
      <c r="S177" s="801">
        <f t="shared" si="55"/>
        <v>1</v>
      </c>
      <c r="T177" s="172">
        <f t="shared" si="56"/>
        <v>7</v>
      </c>
      <c r="U177" s="247">
        <f t="shared" si="57"/>
        <v>1.224561554890496</v>
      </c>
      <c r="V177" s="378">
        <f t="shared" si="58"/>
        <v>231.45175618901288</v>
      </c>
      <c r="W177" s="397">
        <f t="shared" si="59"/>
        <v>174.32138031907175</v>
      </c>
      <c r="X177" s="153">
        <f t="shared" si="60"/>
        <v>48011</v>
      </c>
      <c r="Y177" s="380">
        <f t="shared" si="61"/>
        <v>169.51991189320529</v>
      </c>
      <c r="Z177" s="380">
        <f t="shared" si="62"/>
        <v>178.05166270286188</v>
      </c>
      <c r="AA177" s="381">
        <f t="shared" si="63"/>
        <v>189.74771005552347</v>
      </c>
      <c r="AB177" s="193">
        <f t="shared" si="64"/>
        <v>48011</v>
      </c>
      <c r="AC177" s="119">
        <f>IF(OR(t&lt;Tnet,NoTnet),'2030'!Resal_s+('2030'!Salim-'2030'!Resal_s)*(1-EXP(('2030'!Tnet_s-t)/'2030'!Tau_j)),Resal_s+(Salim-Resal_s)*(1-EXP((Tnet_s-t)/Tau_j)))*Salcycl</f>
        <v>6.1639992120269223E-2</v>
      </c>
      <c r="AD177" s="227">
        <f>(INDEX(Models!$BJ177:$BT177,,AH177)*(1-AF177)+INDEX(Models!$BJ177:$BT177,,AH177+1)*AF177-ERP_i)*AE177*Ramure*Pc/MaxiM</f>
        <v>4.3313113816843818E-4</v>
      </c>
      <c r="AE177" s="301">
        <f t="shared" si="65"/>
        <v>0.5</v>
      </c>
      <c r="AF177" s="173">
        <f t="shared" si="66"/>
        <v>0.74954912126447404</v>
      </c>
      <c r="AG177" s="801">
        <f t="shared" si="74"/>
        <v>4</v>
      </c>
      <c r="AH177" s="172">
        <f t="shared" si="67"/>
        <v>10</v>
      </c>
      <c r="AI177" s="221">
        <f t="shared" si="68"/>
        <v>4.749549121264474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48012</v>
      </c>
      <c r="B178" s="406">
        <f>'2030'!Wh/'2030'!Env_an*'2031'!Env_an</f>
        <v>214.39618280650572</v>
      </c>
      <c r="C178" s="831"/>
      <c r="D178" s="388">
        <f t="shared" si="50"/>
        <v>225.18958965440893</v>
      </c>
      <c r="E178" s="380">
        <f t="shared" si="75"/>
        <v>233.44491373262875</v>
      </c>
      <c r="F178" s="380">
        <f t="shared" si="51"/>
        <v>233.45849303601892</v>
      </c>
      <c r="G178" s="110">
        <f t="shared" si="76"/>
        <v>0.92640115588483385</v>
      </c>
      <c r="H178" s="409" t="b">
        <f>Wh_hp&gt;='2030'!Maxi_hp</f>
        <v>0</v>
      </c>
      <c r="I178" s="385">
        <f>IF(H178,Wh_hp,'2030'!Maxi_hp)</f>
        <v>233.4598192113329</v>
      </c>
      <c r="J178" s="85">
        <f>IF(H178,An,'2030'!An_max)</f>
        <v>2029</v>
      </c>
      <c r="K178" s="193">
        <f t="shared" si="52"/>
        <v>48012</v>
      </c>
      <c r="L178" s="143">
        <f>IF(t&lt;Tvie,1-EXP((T0-t)*PertePVj)+'2030'!Pspv,1-EXP((T0-t)*PertePVj)+Pspv)</f>
        <v>4.7930310031060963E-2</v>
      </c>
      <c r="M178" s="835"/>
      <c r="N178" s="835"/>
      <c r="O178" s="48">
        <f>IF(t&lt;Tnet,'2030'!Resal+('2030'!Salim-'2030'!Resal)*(1-EXP(('2030'!Tnet-t)/('2030'!Tau_j))),Resal+(Salim-Resal)*(1-EXP((Tnet-t)/(Tau_j))))*Salcycl</f>
        <v>3.5363049664362683E-2</v>
      </c>
      <c r="P178" s="165">
        <f>(INDEX(Models!$BJ178:$BT178,,T178)*(1-R178)+INDEX(Models!$BJ178:$BT178,,T178+1)*R178-ERP_i)*Q178*Ramure*Pc/MaxiM</f>
        <v>6.4999335057965929E-5</v>
      </c>
      <c r="Q178" s="301">
        <f t="shared" si="53"/>
        <v>0.5</v>
      </c>
      <c r="R178" s="173">
        <f t="shared" si="54"/>
        <v>0.22969366084376253</v>
      </c>
      <c r="S178" s="801">
        <f t="shared" si="55"/>
        <v>1</v>
      </c>
      <c r="T178" s="172">
        <f t="shared" si="56"/>
        <v>7</v>
      </c>
      <c r="U178" s="247">
        <f t="shared" si="57"/>
        <v>1.2296936608437625</v>
      </c>
      <c r="V178" s="378">
        <f t="shared" si="58"/>
        <v>231.42751526014348</v>
      </c>
      <c r="W178" s="397">
        <f t="shared" si="59"/>
        <v>214.39618280650572</v>
      </c>
      <c r="X178" s="153">
        <f t="shared" si="60"/>
        <v>48012</v>
      </c>
      <c r="Y178" s="380">
        <f t="shared" si="61"/>
        <v>208.47583506669045</v>
      </c>
      <c r="Z178" s="380">
        <f t="shared" si="62"/>
        <v>218.97119219654172</v>
      </c>
      <c r="AA178" s="381">
        <f t="shared" si="63"/>
        <v>233.36947600392804</v>
      </c>
      <c r="AB178" s="193">
        <f t="shared" si="64"/>
        <v>48012</v>
      </c>
      <c r="AC178" s="119">
        <f>IF(OR(t&lt;Tnet,NoTnet),'2030'!Resal_s+('2030'!Salim-'2030'!Resal_s)*(1-EXP(('2030'!Tnet_s-t)/'2030'!Tau_j)),Resal_s+(Salim-Resal_s)*(1-EXP((Tnet_s-t)/Tau_j)))*Salcycl</f>
        <v>6.1697373855113688E-2</v>
      </c>
      <c r="AD178" s="227">
        <f>(INDEX(Models!$BJ178:$BT178,,AH178)*(1-AF178)+INDEX(Models!$BJ178:$BT178,,AH178+1)*AF178-ERP_i)*AE178*Ramure*Pc/MaxiM</f>
        <v>4.2609313073668239E-4</v>
      </c>
      <c r="AE178" s="301">
        <f t="shared" si="65"/>
        <v>0.5</v>
      </c>
      <c r="AF178" s="173">
        <f t="shared" si="66"/>
        <v>0.75468122721774034</v>
      </c>
      <c r="AG178" s="801">
        <f t="shared" si="74"/>
        <v>4</v>
      </c>
      <c r="AH178" s="172">
        <f t="shared" si="67"/>
        <v>10</v>
      </c>
      <c r="AI178" s="221">
        <f t="shared" si="68"/>
        <v>4.7546812272177403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48013</v>
      </c>
      <c r="B179" s="406">
        <f>'2030'!Wh/'2030'!Env_an*'2031'!Env_an</f>
        <v>193.57219562238393</v>
      </c>
      <c r="C179" s="831"/>
      <c r="D179" s="388">
        <f t="shared" si="50"/>
        <v>203.32003795413064</v>
      </c>
      <c r="E179" s="380">
        <f t="shared" si="75"/>
        <v>210.78921481707226</v>
      </c>
      <c r="F179" s="380">
        <f t="shared" si="51"/>
        <v>210.79955672920903</v>
      </c>
      <c r="G179" s="110">
        <f t="shared" si="76"/>
        <v>0.83654882226914018</v>
      </c>
      <c r="H179" s="409" t="b">
        <f>Wh_hp&gt;='2030'!Maxi_hp</f>
        <v>0</v>
      </c>
      <c r="I179" s="385">
        <f>IF(H179,Wh_hp,'2030'!Maxi_hp)</f>
        <v>210.80216538755784</v>
      </c>
      <c r="J179" s="85">
        <f>IF(H179,An,'2030'!An_max)</f>
        <v>2029</v>
      </c>
      <c r="K179" s="193">
        <f t="shared" si="52"/>
        <v>48013</v>
      </c>
      <c r="L179" s="143">
        <f>IF(t&lt;Tvie,1-EXP((T0-t)*PertePVj)+'2030'!Pspv,1-EXP((T0-t)*PertePVj)+Pspv)</f>
        <v>4.7943343065604993E-2</v>
      </c>
      <c r="M179" s="835"/>
      <c r="N179" s="835"/>
      <c r="O179" s="48">
        <f>IF(t&lt;Tnet,'2030'!Resal+('2030'!Salim-'2030'!Resal)*(1-EXP(('2030'!Tnet-t)/('2030'!Tau_j))),Resal+(Salim-Resal)*(1-EXP((Tnet-t)/(Tau_j))))*Salcycl</f>
        <v>3.5434340743778242E-2</v>
      </c>
      <c r="P179" s="165">
        <f>(INDEX(Models!$BJ179:$BT179,,T179)*(1-R179)+INDEX(Models!$BJ179:$BT179,,T179+1)*R179-ERP_i)*Q179*Ramure*Pc/MaxiM</f>
        <v>6.4004399177070202E-5</v>
      </c>
      <c r="Q179" s="301">
        <f t="shared" si="53"/>
        <v>0.5</v>
      </c>
      <c r="R179" s="173">
        <f t="shared" si="54"/>
        <v>0.23481280026158835</v>
      </c>
      <c r="S179" s="801">
        <f t="shared" si="55"/>
        <v>1</v>
      </c>
      <c r="T179" s="172">
        <f t="shared" si="56"/>
        <v>7</v>
      </c>
      <c r="U179" s="247">
        <f t="shared" si="57"/>
        <v>1.2348128002615884</v>
      </c>
      <c r="V179" s="378">
        <f t="shared" si="58"/>
        <v>231.39032365631064</v>
      </c>
      <c r="W179" s="397">
        <f t="shared" si="59"/>
        <v>193.57219562238393</v>
      </c>
      <c r="X179" s="153">
        <f t="shared" si="60"/>
        <v>48013</v>
      </c>
      <c r="Y179" s="380">
        <f t="shared" si="61"/>
        <v>188.23896225251829</v>
      </c>
      <c r="Z179" s="380">
        <f t="shared" si="62"/>
        <v>197.71823544477311</v>
      </c>
      <c r="AA179" s="381">
        <f t="shared" si="63"/>
        <v>210.73173528077808</v>
      </c>
      <c r="AB179" s="193">
        <f t="shared" si="64"/>
        <v>48013</v>
      </c>
      <c r="AC179" s="119">
        <f>IF(OR(t&lt;Tnet,NoTnet),'2030'!Resal_s+('2030'!Salim-'2030'!Resal_s)*(1-EXP(('2030'!Tnet_s-t)/'2030'!Tau_j)),Resal_s+(Salim-Resal_s)*(1-EXP((Tnet_s-t)/Tau_j)))*Salcycl</f>
        <v>6.1753868341974424E-2</v>
      </c>
      <c r="AD179" s="227">
        <f>(INDEX(Models!$BJ179:$BT179,,AH179)*(1-AF179)+INDEX(Models!$BJ179:$BT179,,AH179+1)*AF179-ERP_i)*AE179*Ramure*Pc/MaxiM</f>
        <v>4.1973582841675465E-4</v>
      </c>
      <c r="AE179" s="301">
        <f t="shared" si="65"/>
        <v>0.5</v>
      </c>
      <c r="AF179" s="173">
        <f t="shared" si="66"/>
        <v>0.7598003666355666</v>
      </c>
      <c r="AG179" s="801">
        <f t="shared" si="74"/>
        <v>4</v>
      </c>
      <c r="AH179" s="172">
        <f t="shared" si="67"/>
        <v>10</v>
      </c>
      <c r="AI179" s="221">
        <f t="shared" si="68"/>
        <v>4.7598003666355666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48014</v>
      </c>
      <c r="B180" s="406">
        <f>'2030'!Wh/'2030'!Env_an*'2031'!Env_an</f>
        <v>217.29301530328928</v>
      </c>
      <c r="C180" s="831"/>
      <c r="D180" s="388">
        <f t="shared" si="50"/>
        <v>228.23850694201676</v>
      </c>
      <c r="E180" s="380">
        <f t="shared" si="75"/>
        <v>236.64045082345655</v>
      </c>
      <c r="F180" s="380">
        <f t="shared" si="51"/>
        <v>236.65409110341145</v>
      </c>
      <c r="G180" s="110">
        <f t="shared" si="76"/>
        <v>0.93927196960057191</v>
      </c>
      <c r="H180" s="409" t="b">
        <f>Wh_hp&gt;='2030'!Maxi_hp</f>
        <v>0</v>
      </c>
      <c r="I180" s="385">
        <f>IF(H180,Wh_hp,'2030'!Maxi_hp)</f>
        <v>236.65515989721396</v>
      </c>
      <c r="J180" s="85">
        <f>IF(H180,An,'2030'!An_max)</f>
        <v>2029</v>
      </c>
      <c r="K180" s="193">
        <f t="shared" si="52"/>
        <v>48014</v>
      </c>
      <c r="L180" s="143">
        <f>IF(t&lt;Tvie,1-EXP((T0-t)*PertePVj)+'2030'!Pspv,1-EXP((T0-t)*PertePVj)+Pspv)</f>
        <v>4.7956375921737626E-2</v>
      </c>
      <c r="M180" s="835"/>
      <c r="N180" s="835"/>
      <c r="O180" s="48">
        <f>IF(t&lt;Tnet,'2030'!Resal+('2030'!Salim-'2030'!Resal)*(1-EXP(('2030'!Tnet-t)/('2030'!Tau_j))),Resal+(Salim-Resal)*(1-EXP((Tnet-t)/(Tau_j))))*Salcycl</f>
        <v>3.5505104271914965E-2</v>
      </c>
      <c r="P180" s="165">
        <f>(INDEX(Models!$BJ180:$BT180,,T180)*(1-R180)+INDEX(Models!$BJ180:$BT180,,T180+1)*R180-ERP_i)*Q180*Ramure*Pc/MaxiM</f>
        <v>6.3112902209531572E-5</v>
      </c>
      <c r="Q180" s="301">
        <f t="shared" si="53"/>
        <v>0.5</v>
      </c>
      <c r="R180" s="173">
        <f t="shared" si="54"/>
        <v>0.2399147188087285</v>
      </c>
      <c r="S180" s="801">
        <f t="shared" si="55"/>
        <v>1</v>
      </c>
      <c r="T180" s="172">
        <f t="shared" si="56"/>
        <v>7</v>
      </c>
      <c r="U180" s="247">
        <f t="shared" si="57"/>
        <v>1.2399147188087285</v>
      </c>
      <c r="V180" s="378">
        <f t="shared" si="58"/>
        <v>231.34069004489265</v>
      </c>
      <c r="W180" s="397">
        <f t="shared" si="59"/>
        <v>217.29301530328928</v>
      </c>
      <c r="X180" s="153">
        <f t="shared" si="60"/>
        <v>48014</v>
      </c>
      <c r="Y180" s="380">
        <f t="shared" si="61"/>
        <v>211.29910681552605</v>
      </c>
      <c r="Z180" s="380">
        <f t="shared" si="62"/>
        <v>221.94267307876669</v>
      </c>
      <c r="AA180" s="381">
        <f t="shared" si="63"/>
        <v>236.56460003550794</v>
      </c>
      <c r="AB180" s="193">
        <f t="shared" si="64"/>
        <v>48014</v>
      </c>
      <c r="AC180" s="119">
        <f>IF(OR(t&lt;Tnet,NoTnet),'2030'!Resal_s+('2030'!Salim-'2030'!Resal_s)*(1-EXP(('2030'!Tnet_s-t)/'2030'!Tau_j)),Resal_s+(Salim-Resal_s)*(1-EXP((Tnet_s-t)/Tau_j)))*Salcycl</f>
        <v>6.1809446360725759E-2</v>
      </c>
      <c r="AD180" s="227">
        <f>(INDEX(Models!$BJ180:$BT180,,AH180)*(1-AF180)+INDEX(Models!$BJ180:$BT180,,AH180+1)*AF180-ERP_i)*AE180*Ramure*Pc/MaxiM</f>
        <v>4.1407075484554794E-4</v>
      </c>
      <c r="AE180" s="301">
        <f t="shared" si="65"/>
        <v>0.5</v>
      </c>
      <c r="AF180" s="173">
        <f t="shared" si="66"/>
        <v>0.76490228518270609</v>
      </c>
      <c r="AG180" s="801">
        <f t="shared" si="74"/>
        <v>4</v>
      </c>
      <c r="AH180" s="172">
        <f t="shared" si="67"/>
        <v>10</v>
      </c>
      <c r="AI180" s="221">
        <f t="shared" si="68"/>
        <v>4.7649022851827061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48015</v>
      </c>
      <c r="B181" s="406">
        <f>'2030'!Wh/'2030'!Env_an*'2031'!Env_an</f>
        <v>205.1362907187067</v>
      </c>
      <c r="C181" s="831"/>
      <c r="D181" s="388">
        <f t="shared" si="50"/>
        <v>215.47237302209936</v>
      </c>
      <c r="E181" s="380">
        <f t="shared" si="75"/>
        <v>223.42063431432175</v>
      </c>
      <c r="F181" s="380">
        <f t="shared" si="51"/>
        <v>223.43231189377195</v>
      </c>
      <c r="G181" s="110">
        <f t="shared" si="76"/>
        <v>0.88695522402751903</v>
      </c>
      <c r="H181" s="409" t="b">
        <f>Wh_hp&gt;='2030'!Maxi_hp</f>
        <v>0</v>
      </c>
      <c r="I181" s="385">
        <f>IF(H181,Wh_hp,'2030'!Maxi_hp)</f>
        <v>223.43415981643923</v>
      </c>
      <c r="J181" s="85">
        <f>IF(H181,An,'2030'!An_max)</f>
        <v>2029</v>
      </c>
      <c r="K181" s="193">
        <f t="shared" si="52"/>
        <v>48015</v>
      </c>
      <c r="L181" s="143">
        <f>IF(t&lt;Tvie,1-EXP((T0-t)*PertePVj)+'2030'!Pspv,1-EXP((T0-t)*PertePVj)+Pspv)</f>
        <v>4.7969408599461416E-2</v>
      </c>
      <c r="M181" s="835"/>
      <c r="N181" s="835"/>
      <c r="O181" s="48">
        <f>IF(t&lt;Tnet,'2030'!Resal+('2030'!Salim-'2030'!Resal)*(1-EXP(('2030'!Tnet-t)/('2030'!Tau_j))),Resal+(Salim-Resal)*(1-EXP((Tnet-t)/(Tau_j))))*Salcycl</f>
        <v>3.557532327582727E-2</v>
      </c>
      <c r="P181" s="165">
        <f>(INDEX(Models!$BJ181:$BT181,,T181)*(1-R181)+INDEX(Models!$BJ181:$BT181,,T181+1)*R181-ERP_i)*Q181*Ramure*Pc/MaxiM</f>
        <v>6.2329452712518588E-5</v>
      </c>
      <c r="Q181" s="301">
        <f t="shared" si="53"/>
        <v>0.5</v>
      </c>
      <c r="R181" s="173">
        <f t="shared" si="54"/>
        <v>0.2449952196790004</v>
      </c>
      <c r="S181" s="801">
        <f t="shared" si="55"/>
        <v>1</v>
      </c>
      <c r="T181" s="172">
        <f t="shared" si="56"/>
        <v>7</v>
      </c>
      <c r="U181" s="247">
        <f t="shared" si="57"/>
        <v>1.2449952196790004</v>
      </c>
      <c r="V181" s="378">
        <f t="shared" si="58"/>
        <v>231.27912251704919</v>
      </c>
      <c r="W181" s="397">
        <f t="shared" si="59"/>
        <v>205.1362907187067</v>
      </c>
      <c r="X181" s="153">
        <f t="shared" si="60"/>
        <v>48015</v>
      </c>
      <c r="Y181" s="380">
        <f t="shared" si="61"/>
        <v>199.48655866711653</v>
      </c>
      <c r="Z181" s="380">
        <f t="shared" si="62"/>
        <v>209.53797122595662</v>
      </c>
      <c r="AA181" s="381">
        <f t="shared" si="63"/>
        <v>223.35566422606661</v>
      </c>
      <c r="AB181" s="193">
        <f t="shared" si="64"/>
        <v>48015</v>
      </c>
      <c r="AC181" s="119">
        <f>IF(OR(t&lt;Tnet,NoTnet),'2030'!Resal_s+('2030'!Salim-'2030'!Resal_s)*(1-EXP(('2030'!Tnet_s-t)/'2030'!Tau_j)),Resal_s+(Salim-Resal_s)*(1-EXP((Tnet_s-t)/Tau_j)))*Salcycl</f>
        <v>6.1864081432582728E-2</v>
      </c>
      <c r="AD181" s="227">
        <f>(INDEX(Models!$BJ181:$BT181,,AH181)*(1-AF181)+INDEX(Models!$BJ181:$BT181,,AH181+1)*AF181-ERP_i)*AE181*Ramure*Pc/MaxiM</f>
        <v>4.0910937066490453E-4</v>
      </c>
      <c r="AE181" s="301">
        <f t="shared" si="65"/>
        <v>0.5</v>
      </c>
      <c r="AF181" s="173">
        <f t="shared" si="66"/>
        <v>0.76998278605297799</v>
      </c>
      <c r="AG181" s="801">
        <f t="shared" si="74"/>
        <v>4</v>
      </c>
      <c r="AH181" s="172">
        <f t="shared" si="67"/>
        <v>10</v>
      </c>
      <c r="AI181" s="221">
        <f t="shared" si="68"/>
        <v>4.769982786052978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48016</v>
      </c>
      <c r="B182" s="406">
        <f>'2030'!Wh/'2030'!Env_an*'2031'!Env_an</f>
        <v>211.53607284430112</v>
      </c>
      <c r="C182" s="831"/>
      <c r="D182" s="388">
        <f t="shared" si="50"/>
        <v>222.19765892600469</v>
      </c>
      <c r="E182" s="380">
        <f t="shared" si="75"/>
        <v>230.41064220085153</v>
      </c>
      <c r="F182" s="380">
        <f t="shared" si="51"/>
        <v>230.42312304657835</v>
      </c>
      <c r="G182" s="110">
        <f t="shared" si="76"/>
        <v>0.9149173028362183</v>
      </c>
      <c r="H182" s="409" t="b">
        <f>Wh_hp&gt;='2030'!Maxi_hp</f>
        <v>0</v>
      </c>
      <c r="I182" s="385">
        <f>IF(H182,Wh_hp,'2030'!Maxi_hp)</f>
        <v>230.42453646624156</v>
      </c>
      <c r="J182" s="85">
        <f>IF(H182,An,'2030'!An_max)</f>
        <v>2029</v>
      </c>
      <c r="K182" s="193">
        <f t="shared" si="52"/>
        <v>48016</v>
      </c>
      <c r="L182" s="143">
        <f>IF(t&lt;Tvie,1-EXP((T0-t)*PertePVj)+'2030'!Pspv,1-EXP((T0-t)*PertePVj)+Pspv)</f>
        <v>4.7982441098778805E-2</v>
      </c>
      <c r="M182" s="835"/>
      <c r="N182" s="835"/>
      <c r="O182" s="48">
        <f>IF(t&lt;Tnet,'2030'!Resal+('2030'!Salim-'2030'!Resal)*(1-EXP(('2030'!Tnet-t)/('2030'!Tau_j))),Resal+(Salim-Resal)*(1-EXP((Tnet-t)/(Tau_j))))*Salcycl</f>
        <v>3.5644982351498683E-2</v>
      </c>
      <c r="P182" s="165">
        <f>(INDEX(Models!$BJ182:$BT182,,T182)*(1-R182)+INDEX(Models!$BJ182:$BT182,,T182+1)*R182-ERP_i)*Q182*Ramure*Pc/MaxiM</f>
        <v>6.1658710843420799E-5</v>
      </c>
      <c r="Q182" s="301">
        <f t="shared" si="53"/>
        <v>0.5</v>
      </c>
      <c r="R182" s="173">
        <f t="shared" si="54"/>
        <v>0.25005017720866007</v>
      </c>
      <c r="S182" s="801">
        <f t="shared" si="55"/>
        <v>1</v>
      </c>
      <c r="T182" s="172">
        <f t="shared" si="56"/>
        <v>7</v>
      </c>
      <c r="U182" s="247">
        <f t="shared" si="57"/>
        <v>1.2500501772086601</v>
      </c>
      <c r="V182" s="378">
        <f t="shared" si="58"/>
        <v>231.20612856664766</v>
      </c>
      <c r="W182" s="397">
        <f t="shared" si="59"/>
        <v>211.53607284430112</v>
      </c>
      <c r="X182" s="153">
        <f t="shared" si="60"/>
        <v>48016</v>
      </c>
      <c r="Y182" s="380">
        <f t="shared" si="61"/>
        <v>205.71096817379765</v>
      </c>
      <c r="Z182" s="380">
        <f t="shared" si="62"/>
        <v>216.07896435357836</v>
      </c>
      <c r="AA182" s="381">
        <f t="shared" si="63"/>
        <v>230.34117139772775</v>
      </c>
      <c r="AB182" s="193">
        <f t="shared" si="64"/>
        <v>48016</v>
      </c>
      <c r="AC182" s="119">
        <f>IF(OR(t&lt;Tnet,NoTnet),'2030'!Resal_s+('2030'!Salim-'2030'!Resal_s)*(1-EXP(('2030'!Tnet_s-t)/'2030'!Tau_j)),Resal_s+(Salim-Resal_s)*(1-EXP((Tnet_s-t)/Tau_j)))*Salcycl</f>
        <v>6.1917749908126478E-2</v>
      </c>
      <c r="AD182" s="227">
        <f>(INDEX(Models!$BJ182:$BT182,,AH182)*(1-AF182)+INDEX(Models!$BJ182:$BT182,,AH182+1)*AF182-ERP_i)*AE182*Ramure*Pc/MaxiM</f>
        <v>4.048630301356811E-4</v>
      </c>
      <c r="AE182" s="301">
        <f t="shared" si="65"/>
        <v>0.5</v>
      </c>
      <c r="AF182" s="173">
        <f t="shared" si="66"/>
        <v>0.77503774358263833</v>
      </c>
      <c r="AG182" s="801">
        <f t="shared" si="74"/>
        <v>4</v>
      </c>
      <c r="AH182" s="172">
        <f t="shared" si="67"/>
        <v>10</v>
      </c>
      <c r="AI182" s="221">
        <f t="shared" si="68"/>
        <v>4.7750377435826383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48017</v>
      </c>
      <c r="B183" s="406">
        <f>'2030'!Wh/'2030'!Env_an*'2031'!Env_an</f>
        <v>218.0845277211138</v>
      </c>
      <c r="C183" s="831"/>
      <c r="D183" s="388">
        <f t="shared" si="50"/>
        <v>229.07929703285603</v>
      </c>
      <c r="E183" s="380">
        <f t="shared" si="75"/>
        <v>237.5636617346567</v>
      </c>
      <c r="F183" s="380">
        <f t="shared" si="51"/>
        <v>237.57700907721562</v>
      </c>
      <c r="G183" s="110">
        <f t="shared" si="76"/>
        <v>0.94358499322929168</v>
      </c>
      <c r="H183" s="409" t="b">
        <f>Wh_hp&gt;='2030'!Maxi_hp</f>
        <v>0</v>
      </c>
      <c r="I183" s="385">
        <f>IF(H183,Wh_hp,'2030'!Maxi_hp)</f>
        <v>237.57796297820991</v>
      </c>
      <c r="J183" s="85">
        <f>IF(H183,An,'2030'!An_max)</f>
        <v>2029</v>
      </c>
      <c r="K183" s="193">
        <f t="shared" si="52"/>
        <v>48017</v>
      </c>
      <c r="L183" s="143">
        <f>IF(t&lt;Tvie,1-EXP((T0-t)*PertePVj)+'2030'!Pspv,1-EXP((T0-t)*PertePVj)+Pspv)</f>
        <v>4.7995473419692236E-2</v>
      </c>
      <c r="M183" s="835"/>
      <c r="N183" s="835"/>
      <c r="O183" s="48">
        <f>IF(t&lt;Tnet,'2030'!Resal+('2030'!Salim-'2030'!Resal)*(1-EXP(('2030'!Tnet-t)/('2030'!Tau_j))),Resal+(Salim-Resal)*(1-EXP((Tnet-t)/(Tau_j))))*Salcycl</f>
        <v>3.5714067714940151E-2</v>
      </c>
      <c r="P183" s="165">
        <f>(INDEX(Models!$BJ183:$BT183,,T183)*(1-R183)+INDEX(Models!$BJ183:$BT183,,T183+1)*R183-ERP_i)*Q183*Ramure*Pc/MaxiM</f>
        <v>6.110537190256173E-5</v>
      </c>
      <c r="Q183" s="301">
        <f t="shared" si="53"/>
        <v>0.5</v>
      </c>
      <c r="R183" s="173">
        <f t="shared" si="54"/>
        <v>0.25507554999093207</v>
      </c>
      <c r="S183" s="801">
        <f t="shared" si="55"/>
        <v>1</v>
      </c>
      <c r="T183" s="172">
        <f t="shared" si="56"/>
        <v>7</v>
      </c>
      <c r="U183" s="247">
        <f t="shared" si="57"/>
        <v>1.2550755499909321</v>
      </c>
      <c r="V183" s="378">
        <f t="shared" si="58"/>
        <v>231.12221508669825</v>
      </c>
      <c r="W183" s="397">
        <f t="shared" si="59"/>
        <v>218.0845277211138</v>
      </c>
      <c r="X183" s="153">
        <f t="shared" si="60"/>
        <v>48017</v>
      </c>
      <c r="Y183" s="380">
        <f t="shared" si="61"/>
        <v>212.07997728757329</v>
      </c>
      <c r="Z183" s="380">
        <f t="shared" si="62"/>
        <v>222.77202614717081</v>
      </c>
      <c r="AA183" s="381">
        <f t="shared" si="63"/>
        <v>237.48934310694528</v>
      </c>
      <c r="AB183" s="193">
        <f t="shared" si="64"/>
        <v>48017</v>
      </c>
      <c r="AC183" s="119">
        <f>IF(OR(t&lt;Tnet,NoTnet),'2030'!Resal_s+('2030'!Salim-'2030'!Resal_s)*(1-EXP(('2030'!Tnet_s-t)/'2030'!Tau_j)),Resal_s+(Salim-Resal_s)*(1-EXP((Tnet_s-t)/Tau_j)))*Salcycl</f>
        <v>6.1970431040128983E-2</v>
      </c>
      <c r="AD183" s="227">
        <f>(INDEX(Models!$BJ183:$BT183,,AH183)*(1-AF183)+INDEX(Models!$BJ183:$BT183,,AH183+1)*AF183-ERP_i)*AE183*Ramure*Pc/MaxiM</f>
        <v>4.0134294095829463E-4</v>
      </c>
      <c r="AE183" s="301">
        <f t="shared" si="65"/>
        <v>0.5</v>
      </c>
      <c r="AF183" s="173">
        <f t="shared" si="66"/>
        <v>0.78006311636490988</v>
      </c>
      <c r="AG183" s="801">
        <f t="shared" si="74"/>
        <v>4</v>
      </c>
      <c r="AH183" s="172">
        <f t="shared" si="67"/>
        <v>10</v>
      </c>
      <c r="AI183" s="221">
        <f t="shared" si="68"/>
        <v>4.7800631163649099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48018</v>
      </c>
      <c r="B184" s="406">
        <f>'2030'!Wh/'2030'!Env_an*'2031'!Env_an</f>
        <v>222.22697629258892</v>
      </c>
      <c r="C184" s="831"/>
      <c r="D184" s="388">
        <f t="shared" si="50"/>
        <v>233.43378338041387</v>
      </c>
      <c r="E184" s="380">
        <f t="shared" si="75"/>
        <v>242.09662203813963</v>
      </c>
      <c r="F184" s="380">
        <f t="shared" si="51"/>
        <v>242.11054157268632</v>
      </c>
      <c r="G184" s="110">
        <f t="shared" si="76"/>
        <v>0.96190235205561769</v>
      </c>
      <c r="H184" s="409" t="b">
        <f>Wh_hp&gt;='2030'!Maxi_hp</f>
        <v>0</v>
      </c>
      <c r="I184" s="385">
        <f>IF(H184,Wh_hp,'2030'!Maxi_hp)</f>
        <v>242.11119232632598</v>
      </c>
      <c r="J184" s="85">
        <f>IF(H184,An,'2030'!An_max)</f>
        <v>2029</v>
      </c>
      <c r="K184" s="193">
        <f t="shared" si="52"/>
        <v>48018</v>
      </c>
      <c r="L184" s="143">
        <f>IF(t&lt;Tvie,1-EXP((T0-t)*PertePVj)+'2030'!Pspv,1-EXP((T0-t)*PertePVj)+Pspv)</f>
        <v>4.8008505562204151E-2</v>
      </c>
      <c r="M184" s="835"/>
      <c r="N184" s="835"/>
      <c r="O184" s="48">
        <f>IF(t&lt;Tnet,'2030'!Resal+('2030'!Salim-'2030'!Resal)*(1-EXP(('2030'!Tnet-t)/('2030'!Tau_j))),Resal+(Salim-Resal)*(1-EXP((Tnet-t)/(Tau_j))))*Salcycl</f>
        <v>3.5782567244416322E-2</v>
      </c>
      <c r="P184" s="165">
        <f>(INDEX(Models!$BJ184:$BT184,,T184)*(1-R184)+INDEX(Models!$BJ184:$BT184,,T184+1)*R184-ERP_i)*Q184*Ramure*Pc/MaxiM</f>
        <v>6.0801324664255322E-5</v>
      </c>
      <c r="Q184" s="301">
        <f t="shared" si="53"/>
        <v>0.5</v>
      </c>
      <c r="R184" s="173">
        <f t="shared" si="54"/>
        <v>0.26006739340534457</v>
      </c>
      <c r="S184" s="801">
        <f t="shared" si="55"/>
        <v>1</v>
      </c>
      <c r="T184" s="172">
        <f t="shared" si="56"/>
        <v>7</v>
      </c>
      <c r="U184" s="247">
        <f t="shared" si="57"/>
        <v>1.2600673934053446</v>
      </c>
      <c r="V184" s="378">
        <f t="shared" si="58"/>
        <v>231.02785897135499</v>
      </c>
      <c r="W184" s="397">
        <f t="shared" si="59"/>
        <v>222.22697629258892</v>
      </c>
      <c r="X184" s="153">
        <f t="shared" si="60"/>
        <v>48018</v>
      </c>
      <c r="Y184" s="380">
        <f t="shared" si="61"/>
        <v>216.11027422472182</v>
      </c>
      <c r="Z184" s="380">
        <f t="shared" si="62"/>
        <v>227.00861876118654</v>
      </c>
      <c r="AA184" s="381">
        <f t="shared" si="63"/>
        <v>242.01915681078441</v>
      </c>
      <c r="AB184" s="193">
        <f t="shared" si="64"/>
        <v>48018</v>
      </c>
      <c r="AC184" s="119">
        <f>IF(OR(t&lt;Tnet,NoTnet),'2030'!Resal_s+('2030'!Salim-'2030'!Resal_s)*(1-EXP(('2030'!Tnet_s-t)/'2030'!Tau_j)),Resal_s+(Salim-Resal_s)*(1-EXP((Tnet_s-t)/Tau_j)))*Salcycl</f>
        <v>6.2022107040615039E-2</v>
      </c>
      <c r="AD184" s="227">
        <f>(INDEX(Models!$BJ184:$BT184,,AH184)*(1-AF184)+INDEX(Models!$BJ184:$BT184,,AH184+1)*AF184-ERP_i)*AE184*Ramure*Pc/MaxiM</f>
        <v>3.99173877483251E-4</v>
      </c>
      <c r="AE184" s="301">
        <f t="shared" si="65"/>
        <v>0.5</v>
      </c>
      <c r="AF184" s="173">
        <f t="shared" si="66"/>
        <v>0.78505495977932238</v>
      </c>
      <c r="AG184" s="801">
        <f t="shared" si="74"/>
        <v>4</v>
      </c>
      <c r="AH184" s="172">
        <f t="shared" si="67"/>
        <v>10</v>
      </c>
      <c r="AI184" s="221">
        <f t="shared" si="68"/>
        <v>4.7850549597793224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48019</v>
      </c>
      <c r="B185" s="406">
        <f>'2030'!Wh/'2030'!Env_an*'2031'!Env_an</f>
        <v>119.67625558492735</v>
      </c>
      <c r="C185" s="831"/>
      <c r="D185" s="388">
        <f t="shared" si="50"/>
        <v>125.71319657164591</v>
      </c>
      <c r="E185" s="380">
        <f t="shared" si="75"/>
        <v>130.38765536565313</v>
      </c>
      <c r="F185" s="380">
        <f t="shared" si="51"/>
        <v>130.39012416589563</v>
      </c>
      <c r="G185" s="110">
        <f t="shared" si="76"/>
        <v>0.51822883671425168</v>
      </c>
      <c r="H185" s="409" t="b">
        <f>Wh_hp&gt;='2030'!Maxi_hp</f>
        <v>0</v>
      </c>
      <c r="I185" s="385">
        <f>IF(H185,Wh_hp,'2030'!Maxi_hp)</f>
        <v>130.39453511978883</v>
      </c>
      <c r="J185" s="85">
        <f>IF(H185,An,'2030'!An_max)</f>
        <v>2029</v>
      </c>
      <c r="K185" s="193">
        <f t="shared" si="52"/>
        <v>48019</v>
      </c>
      <c r="L185" s="143">
        <f>IF(t&lt;Tvie,1-EXP((T0-t)*PertePVj)+'2030'!Pspv,1-EXP((T0-t)*PertePVj)+Pspv)</f>
        <v>4.8021537526316993E-2</v>
      </c>
      <c r="M185" s="835"/>
      <c r="N185" s="835"/>
      <c r="O185" s="48">
        <f>IF(t&lt;Tnet,'2030'!Resal+('2030'!Salim-'2030'!Resal)*(1-EXP(('2030'!Tnet-t)/('2030'!Tau_j))),Resal+(Salim-Resal)*(1-EXP((Tnet-t)/(Tau_j))))*Salcycl</f>
        <v>3.5850470513472975E-2</v>
      </c>
      <c r="P185" s="165">
        <f>(INDEX(Models!$BJ185:$BT185,,T185)*(1-R185)+INDEX(Models!$BJ185:$BT185,,T185+1)*R185-ERP_i)*Q185*Ramure*Pc/MaxiM</f>
        <v>6.0727311140775596E-5</v>
      </c>
      <c r="Q185" s="301">
        <f t="shared" si="53"/>
        <v>0.5</v>
      </c>
      <c r="R185" s="173">
        <f t="shared" si="54"/>
        <v>0.26502187148242684</v>
      </c>
      <c r="S185" s="801">
        <f t="shared" si="55"/>
        <v>1</v>
      </c>
      <c r="T185" s="172">
        <f t="shared" si="56"/>
        <v>7</v>
      </c>
      <c r="U185" s="247">
        <f t="shared" si="57"/>
        <v>1.2650218714824268</v>
      </c>
      <c r="V185" s="378">
        <f t="shared" si="58"/>
        <v>230.92357147886614</v>
      </c>
      <c r="W185" s="397">
        <f t="shared" si="59"/>
        <v>119.67625558492735</v>
      </c>
      <c r="X185" s="153">
        <f t="shared" si="60"/>
        <v>48019</v>
      </c>
      <c r="Y185" s="380">
        <f t="shared" si="61"/>
        <v>116.40913213890133</v>
      </c>
      <c r="Z185" s="380">
        <f t="shared" si="62"/>
        <v>122.28126657027117</v>
      </c>
      <c r="AA185" s="381">
        <f t="shared" si="63"/>
        <v>130.37393708414064</v>
      </c>
      <c r="AB185" s="193">
        <f t="shared" si="64"/>
        <v>48019</v>
      </c>
      <c r="AC185" s="119">
        <f>IF(OR(t&lt;Tnet,NoTnet),'2030'!Resal_s+('2030'!Salim-'2030'!Resal_s)*(1-EXP(('2030'!Tnet_s-t)/'2030'!Tau_j)),Resal_s+(Salim-Resal_s)*(1-EXP((Tnet_s-t)/Tau_j)))*Salcycl</f>
        <v>6.2072763121716688E-2</v>
      </c>
      <c r="AD185" s="227">
        <f>(INDEX(Models!$BJ185:$BT185,,AH185)*(1-AF185)+INDEX(Models!$BJ185:$BT185,,AH185+1)*AF185-ERP_i)*AE185*Ramure*Pc/MaxiM</f>
        <v>3.9816828161226336E-4</v>
      </c>
      <c r="AE185" s="301">
        <f t="shared" si="65"/>
        <v>0.5</v>
      </c>
      <c r="AF185" s="173">
        <f t="shared" si="66"/>
        <v>0.79000943785640487</v>
      </c>
      <c r="AG185" s="801">
        <f t="shared" si="74"/>
        <v>4</v>
      </c>
      <c r="AH185" s="172">
        <f t="shared" si="67"/>
        <v>10</v>
      </c>
      <c r="AI185" s="221">
        <f t="shared" si="68"/>
        <v>4.7900094378564049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48020</v>
      </c>
      <c r="B186" s="406">
        <f>'2030'!Wh/'2030'!Env_an*'2031'!Env_an</f>
        <v>85.358108178290408</v>
      </c>
      <c r="C186" s="831"/>
      <c r="D186" s="388">
        <f t="shared" si="50"/>
        <v>89.665134286025236</v>
      </c>
      <c r="E186" s="380">
        <f t="shared" si="75"/>
        <v>93.005691201016944</v>
      </c>
      <c r="F186" s="380">
        <f t="shared" si="51"/>
        <v>93.006256082786194</v>
      </c>
      <c r="G186" s="110">
        <f t="shared" si="76"/>
        <v>0.36979975699061229</v>
      </c>
      <c r="H186" s="409" t="b">
        <f>Wh_hp&gt;='2030'!Maxi_hp</f>
        <v>0</v>
      </c>
      <c r="I186" s="385">
        <f>IF(H186,Wh_hp,'2030'!Maxi_hp)</f>
        <v>93.010369322438692</v>
      </c>
      <c r="J186" s="85">
        <f>IF(H186,An,'2030'!An_max)</f>
        <v>2029</v>
      </c>
      <c r="K186" s="193">
        <f t="shared" si="52"/>
        <v>48020</v>
      </c>
      <c r="L186" s="143">
        <f>IF(t&lt;Tvie,1-EXP((T0-t)*PertePVj)+'2030'!Pspv,1-EXP((T0-t)*PertePVj)+Pspv)</f>
        <v>4.8034569312033093E-2</v>
      </c>
      <c r="M186" s="835"/>
      <c r="N186" s="835"/>
      <c r="O186" s="48">
        <f>IF(t&lt;Tnet,'2030'!Resal+('2030'!Salim-'2030'!Resal)*(1-EXP(('2030'!Tnet-t)/('2030'!Tau_j))),Resal+(Salim-Resal)*(1-EXP((Tnet-t)/(Tau_j))))*Salcycl</f>
        <v>3.5917768814508665E-2</v>
      </c>
      <c r="P186" s="165">
        <f>(INDEX(Models!$BJ186:$BT186,,T186)*(1-R186)+INDEX(Models!$BJ186:$BT186,,T186+1)*R186-ERP_i)*Q186*Ramure*Pc/MaxiM</f>
        <v>6.089244377988043E-5</v>
      </c>
      <c r="Q186" s="301">
        <f t="shared" si="53"/>
        <v>0.5</v>
      </c>
      <c r="R186" s="173">
        <f t="shared" si="54"/>
        <v>0.2699352680320537</v>
      </c>
      <c r="S186" s="801">
        <f t="shared" si="55"/>
        <v>1</v>
      </c>
      <c r="T186" s="172">
        <f t="shared" si="56"/>
        <v>7</v>
      </c>
      <c r="U186" s="247">
        <f t="shared" si="57"/>
        <v>1.2699352680320537</v>
      </c>
      <c r="V186" s="378">
        <f t="shared" si="58"/>
        <v>230.80985669305485</v>
      </c>
      <c r="W186" s="397">
        <f t="shared" si="59"/>
        <v>85.358108178290408</v>
      </c>
      <c r="X186" s="153">
        <f t="shared" si="60"/>
        <v>48020</v>
      </c>
      <c r="Y186" s="380">
        <f t="shared" si="61"/>
        <v>83.035203424359594</v>
      </c>
      <c r="Z186" s="380">
        <f t="shared" si="62"/>
        <v>87.225019677817158</v>
      </c>
      <c r="AA186" s="381">
        <f t="shared" si="63"/>
        <v>93.002560800199475</v>
      </c>
      <c r="AB186" s="193">
        <f t="shared" si="64"/>
        <v>48020</v>
      </c>
      <c r="AC186" s="119">
        <f>IF(OR(t&lt;Tnet,NoTnet),'2030'!Resal_s+('2030'!Salim-'2030'!Resal_s)*(1-EXP(('2030'!Tnet_s-t)/'2030'!Tau_j)),Resal_s+(Salim-Resal_s)*(1-EXP((Tnet_s-t)/Tau_j)))*Salcycl</f>
        <v>6.2122387519999649E-2</v>
      </c>
      <c r="AD186" s="227">
        <f>(INDEX(Models!$BJ186:$BT186,,AH186)*(1-AF186)+INDEX(Models!$BJ186:$BT186,,AH186+1)*AF186-ERP_i)*AE186*Ramure*Pc/MaxiM</f>
        <v>3.9833961620627144E-4</v>
      </c>
      <c r="AE186" s="301">
        <f t="shared" si="65"/>
        <v>0.5</v>
      </c>
      <c r="AF186" s="173">
        <f t="shared" si="66"/>
        <v>0.79492283440603195</v>
      </c>
      <c r="AG186" s="801">
        <f t="shared" si="74"/>
        <v>4</v>
      </c>
      <c r="AH186" s="172">
        <f t="shared" si="67"/>
        <v>10</v>
      </c>
      <c r="AI186" s="221">
        <f t="shared" si="68"/>
        <v>4.794922834406032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48021</v>
      </c>
      <c r="B187" s="406">
        <f>'2030'!Wh/'2030'!Env_an*'2031'!Env_an</f>
        <v>168.7257699149032</v>
      </c>
      <c r="C187" s="831"/>
      <c r="D187" s="388">
        <f t="shared" si="50"/>
        <v>177.24181385314157</v>
      </c>
      <c r="E187" s="380">
        <f t="shared" si="75"/>
        <v>183.8578379821611</v>
      </c>
      <c r="F187" s="380">
        <f t="shared" si="51"/>
        <v>183.86478481293335</v>
      </c>
      <c r="G187" s="110">
        <f t="shared" si="76"/>
        <v>0.73138772978799405</v>
      </c>
      <c r="H187" s="409" t="b">
        <f>Wh_hp&gt;='2030'!Maxi_hp</f>
        <v>0</v>
      </c>
      <c r="I187" s="385">
        <f>IF(H187,Wh_hp,'2030'!Maxi_hp)</f>
        <v>183.86826356986123</v>
      </c>
      <c r="J187" s="85">
        <f>IF(H187,An,'2030'!An_max)</f>
        <v>2029</v>
      </c>
      <c r="K187" s="193">
        <f t="shared" si="52"/>
        <v>48021</v>
      </c>
      <c r="L187" s="143">
        <f>IF(t&lt;Tvie,1-EXP((T0-t)*PertePVj)+'2030'!Pspv,1-EXP((T0-t)*PertePVj)+Pspv)</f>
        <v>4.8047600919355116E-2</v>
      </c>
      <c r="M187" s="835"/>
      <c r="N187" s="835"/>
      <c r="O187" s="48">
        <f>IF(t&lt;Tnet,'2030'!Resal+('2030'!Salim-'2030'!Resal)*(1-EXP(('2030'!Tnet-t)/('2030'!Tau_j))),Resal+(Salim-Resal)*(1-EXP((Tnet-t)/(Tau_j))))*Salcycl</f>
        <v>3.5984455172705015E-2</v>
      </c>
      <c r="P187" s="165">
        <f>(INDEX(Models!$BJ187:$BT187,,T187)*(1-R187)+INDEX(Models!$BJ187:$BT187,,T187+1)*R187-ERP_i)*Q187*Ramure*Pc/MaxiM</f>
        <v>6.1305733384522297E-5</v>
      </c>
      <c r="Q187" s="301">
        <f t="shared" si="53"/>
        <v>0.5</v>
      </c>
      <c r="R187" s="173">
        <f t="shared" si="54"/>
        <v>0.2748039969721412</v>
      </c>
      <c r="S187" s="801">
        <f t="shared" si="55"/>
        <v>1</v>
      </c>
      <c r="T187" s="172">
        <f t="shared" si="56"/>
        <v>7</v>
      </c>
      <c r="U187" s="247">
        <f t="shared" si="57"/>
        <v>1.2748039969721412</v>
      </c>
      <c r="V187" s="378">
        <f t="shared" si="58"/>
        <v>230.68721812034502</v>
      </c>
      <c r="W187" s="397">
        <f t="shared" si="59"/>
        <v>168.7257699149032</v>
      </c>
      <c r="X187" s="153">
        <f t="shared" si="60"/>
        <v>48021</v>
      </c>
      <c r="Y187" s="380">
        <f t="shared" si="61"/>
        <v>164.10827015036506</v>
      </c>
      <c r="Z187" s="380">
        <f t="shared" si="62"/>
        <v>172.39125644187024</v>
      </c>
      <c r="AA187" s="381">
        <f t="shared" si="63"/>
        <v>183.81949289663922</v>
      </c>
      <c r="AB187" s="193">
        <f t="shared" si="64"/>
        <v>48021</v>
      </c>
      <c r="AC187" s="119">
        <f>IF(OR(t&lt;Tnet,NoTnet),'2030'!Resal_s+('2030'!Salim-'2030'!Resal_s)*(1-EXP(('2030'!Tnet_s-t)/'2030'!Tau_j)),Resal_s+(Salim-Resal_s)*(1-EXP((Tnet_s-t)/Tau_j)))*Salcycl</f>
        <v>6.2170971504066794E-2</v>
      </c>
      <c r="AD187" s="227">
        <f>(INDEX(Models!$BJ187:$BT187,,AH187)*(1-AF187)+INDEX(Models!$BJ187:$BT187,,AH187+1)*AF187-ERP_i)*AE187*Ramure*Pc/MaxiM</f>
        <v>3.997008471675153E-4</v>
      </c>
      <c r="AE187" s="301">
        <f t="shared" si="65"/>
        <v>0.5</v>
      </c>
      <c r="AF187" s="173">
        <f t="shared" si="66"/>
        <v>0.79979156334611901</v>
      </c>
      <c r="AG187" s="801">
        <f t="shared" si="74"/>
        <v>4</v>
      </c>
      <c r="AH187" s="172">
        <f t="shared" si="67"/>
        <v>10</v>
      </c>
      <c r="AI187" s="221">
        <f t="shared" si="68"/>
        <v>4.799791563346119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48022</v>
      </c>
      <c r="B188" s="406">
        <f>'2030'!Wh/'2030'!Env_an*'2031'!Env_an</f>
        <v>165.08682712960385</v>
      </c>
      <c r="C188" s="831"/>
      <c r="D188" s="388">
        <f t="shared" si="50"/>
        <v>173.42157782259514</v>
      </c>
      <c r="E188" s="380">
        <f t="shared" si="75"/>
        <v>179.9073314560313</v>
      </c>
      <c r="F188" s="380">
        <f t="shared" si="51"/>
        <v>179.91395849360867</v>
      </c>
      <c r="G188" s="110">
        <f t="shared" si="76"/>
        <v>0.71601937406366867</v>
      </c>
      <c r="H188" s="409" t="b">
        <f>Wh_hp&gt;='2030'!Maxi_hp</f>
        <v>0</v>
      </c>
      <c r="I188" s="385">
        <f>IF(H188,Wh_hp,'2030'!Maxi_hp)</f>
        <v>179.91758660176592</v>
      </c>
      <c r="J188" s="85">
        <f>IF(H188,An,'2030'!An_max)</f>
        <v>2029</v>
      </c>
      <c r="K188" s="193">
        <f t="shared" si="52"/>
        <v>48022</v>
      </c>
      <c r="L188" s="143">
        <f>IF(t&lt;Tvie,1-EXP((T0-t)*PertePVj)+'2030'!Pspv,1-EXP((T0-t)*PertePVj)+Pspv)</f>
        <v>4.8060632348285282E-2</v>
      </c>
      <c r="M188" s="835"/>
      <c r="N188" s="835"/>
      <c r="O188" s="48">
        <f>IF(t&lt;Tnet,'2030'!Resal+('2030'!Salim-'2030'!Resal)*(1-EXP(('2030'!Tnet-t)/('2030'!Tau_j))),Resal+(Salim-Resal)*(1-EXP((Tnet-t)/(Tau_j))))*Salcycl</f>
        <v>3.6050524350205497E-2</v>
      </c>
      <c r="P188" s="165">
        <f>(INDEX(Models!$BJ188:$BT188,,T188)*(1-R188)+INDEX(Models!$BJ188:$BT188,,T188+1)*R188-ERP_i)*Q188*Ramure*Pc/MaxiM</f>
        <v>6.1975532202596218E-5</v>
      </c>
      <c r="Q188" s="301">
        <f t="shared" si="53"/>
        <v>0.5</v>
      </c>
      <c r="R188" s="173">
        <f t="shared" si="54"/>
        <v>0.27962461180336318</v>
      </c>
      <c r="S188" s="801">
        <f t="shared" si="55"/>
        <v>1</v>
      </c>
      <c r="T188" s="172">
        <f t="shared" si="56"/>
        <v>7</v>
      </c>
      <c r="U188" s="247">
        <f t="shared" si="57"/>
        <v>1.2796246118033632</v>
      </c>
      <c r="V188" s="378">
        <f t="shared" si="58"/>
        <v>230.55615881412302</v>
      </c>
      <c r="W188" s="397">
        <f t="shared" si="59"/>
        <v>165.08682712960385</v>
      </c>
      <c r="X188" s="153">
        <f t="shared" si="60"/>
        <v>48022</v>
      </c>
      <c r="Y188" s="380">
        <f t="shared" si="61"/>
        <v>160.5727924119023</v>
      </c>
      <c r="Z188" s="380">
        <f t="shared" si="62"/>
        <v>168.67964270456659</v>
      </c>
      <c r="AA188" s="381">
        <f t="shared" si="63"/>
        <v>179.87094476605182</v>
      </c>
      <c r="AB188" s="193">
        <f t="shared" si="64"/>
        <v>48022</v>
      </c>
      <c r="AC188" s="119">
        <f>IF(OR(t&lt;Tnet,NoTnet),'2030'!Resal_s+('2030'!Salim-'2030'!Resal_s)*(1-EXP(('2030'!Tnet_s-t)/'2030'!Tau_j)),Resal_s+(Salim-Resal_s)*(1-EXP((Tnet_s-t)/Tau_j)))*Salcycl</f>
        <v>6.2218509365373847E-2</v>
      </c>
      <c r="AD188" s="227">
        <f>(INDEX(Models!$BJ188:$BT188,,AH188)*(1-AF188)+INDEX(Models!$BJ188:$BT188,,AH188+1)*AF188-ERP_i)*AE188*Ramure*Pc/MaxiM</f>
        <v>4.0226098407181502E-4</v>
      </c>
      <c r="AE188" s="301">
        <f t="shared" si="65"/>
        <v>0.5</v>
      </c>
      <c r="AF188" s="173">
        <f t="shared" si="66"/>
        <v>0.80461217817734099</v>
      </c>
      <c r="AG188" s="801">
        <f t="shared" si="74"/>
        <v>4</v>
      </c>
      <c r="AH188" s="172">
        <f t="shared" si="67"/>
        <v>10</v>
      </c>
      <c r="AI188" s="221">
        <f t="shared" si="68"/>
        <v>4.804612178177341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48023</v>
      </c>
      <c r="B189" s="406">
        <f>'2030'!Wh/'2030'!Env_an*'2031'!Env_an</f>
        <v>164.95664412852</v>
      </c>
      <c r="C189" s="831"/>
      <c r="D189" s="388">
        <f t="shared" si="50"/>
        <v>173.28719441900355</v>
      </c>
      <c r="E189" s="380">
        <f t="shared" si="75"/>
        <v>179.78012866306173</v>
      </c>
      <c r="F189" s="380">
        <f t="shared" si="51"/>
        <v>179.7868487175885</v>
      </c>
      <c r="G189" s="110">
        <f t="shared" si="76"/>
        <v>0.71588599152134924</v>
      </c>
      <c r="H189" s="409" t="b">
        <f>Wh_hp&gt;='2030'!Maxi_hp</f>
        <v>0</v>
      </c>
      <c r="I189" s="385">
        <f>IF(H189,Wh_hp,'2030'!Maxi_hp)</f>
        <v>179.79052169971587</v>
      </c>
      <c r="J189" s="85">
        <f>IF(H189,An,'2030'!An_max)</f>
        <v>2029</v>
      </c>
      <c r="K189" s="193">
        <f t="shared" si="52"/>
        <v>48023</v>
      </c>
      <c r="L189" s="143">
        <f>IF(t&lt;Tvie,1-EXP((T0-t)*PertePVj)+'2030'!Pspv,1-EXP((T0-t)*PertePVj)+Pspv)</f>
        <v>4.8073663598826144E-2</v>
      </c>
      <c r="M189" s="835"/>
      <c r="N189" s="835"/>
      <c r="O189" s="48">
        <f>IF(t&lt;Tnet,'2030'!Resal+('2030'!Salim-'2030'!Resal)*(1-EXP(('2030'!Tnet-t)/('2030'!Tau_j))),Resal+(Salim-Resal)*(1-EXP((Tnet-t)/(Tau_j))))*Salcycl</f>
        <v>3.6115972840508069E-2</v>
      </c>
      <c r="P189" s="165">
        <f>(INDEX(Models!$BJ189:$BT189,,T189)*(1-R189)+INDEX(Models!$BJ189:$BT189,,T189+1)*R189-ERP_i)*Q189*Ramure*Pc/MaxiM</f>
        <v>6.2909978503277323E-5</v>
      </c>
      <c r="Q189" s="301">
        <f t="shared" si="53"/>
        <v>0.5</v>
      </c>
      <c r="R189" s="173">
        <f t="shared" si="54"/>
        <v>0.28439381418490539</v>
      </c>
      <c r="S189" s="801">
        <f t="shared" si="55"/>
        <v>1</v>
      </c>
      <c r="T189" s="172">
        <f t="shared" si="56"/>
        <v>7</v>
      </c>
      <c r="U189" s="247">
        <f t="shared" si="57"/>
        <v>1.2843938141849054</v>
      </c>
      <c r="V189" s="378">
        <f t="shared" si="58"/>
        <v>230.41718128086089</v>
      </c>
      <c r="W189" s="397">
        <f t="shared" si="59"/>
        <v>164.95664412852</v>
      </c>
      <c r="X189" s="153">
        <f t="shared" si="60"/>
        <v>48023</v>
      </c>
      <c r="Y189" s="380">
        <f t="shared" si="61"/>
        <v>160.4488493273806</v>
      </c>
      <c r="Z189" s="380">
        <f t="shared" si="62"/>
        <v>168.55174942839488</v>
      </c>
      <c r="AA189" s="381">
        <f t="shared" si="63"/>
        <v>179.74347671722333</v>
      </c>
      <c r="AB189" s="193">
        <f t="shared" si="64"/>
        <v>48023</v>
      </c>
      <c r="AC189" s="119">
        <f>IF(OR(t&lt;Tnet,NoTnet),'2030'!Resal_s+('2030'!Salim-'2030'!Resal_s)*(1-EXP(('2030'!Tnet_s-t)/'2030'!Tau_j)),Resal_s+(Salim-Resal_s)*(1-EXP((Tnet_s-t)/Tau_j)))*Salcycl</f>
        <v>6.2264998392322864E-2</v>
      </c>
      <c r="AD189" s="227">
        <f>(INDEX(Models!$BJ189:$BT189,,AH189)*(1-AF189)+INDEX(Models!$BJ189:$BT189,,AH189+1)*AF189-ERP_i)*AE189*Ramure*Pc/MaxiM</f>
        <v>4.0602819512109377E-4</v>
      </c>
      <c r="AE189" s="301">
        <f t="shared" si="65"/>
        <v>0.5</v>
      </c>
      <c r="AF189" s="173">
        <f t="shared" si="66"/>
        <v>0.8093813805588832</v>
      </c>
      <c r="AG189" s="801">
        <f t="shared" si="74"/>
        <v>4</v>
      </c>
      <c r="AH189" s="172">
        <f t="shared" si="67"/>
        <v>10</v>
      </c>
      <c r="AI189" s="221">
        <f t="shared" si="68"/>
        <v>4.8093813805588832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48024</v>
      </c>
      <c r="B190" s="406">
        <f>'2030'!Wh/'2030'!Env_an*'2031'!Env_an</f>
        <v>140.70478919640342</v>
      </c>
      <c r="C190" s="831"/>
      <c r="D190" s="388">
        <f t="shared" si="50"/>
        <v>147.81260899359961</v>
      </c>
      <c r="E190" s="380">
        <f t="shared" si="75"/>
        <v>153.36134496771965</v>
      </c>
      <c r="F190" s="380">
        <f t="shared" si="51"/>
        <v>153.36571438886369</v>
      </c>
      <c r="G190" s="110">
        <f t="shared" si="76"/>
        <v>0.61101878242212426</v>
      </c>
      <c r="H190" s="409" t="b">
        <f>Wh_hp&gt;='2030'!Maxi_hp</f>
        <v>0</v>
      </c>
      <c r="I190" s="385">
        <f>IF(H190,Wh_hp,'2030'!Maxi_hp)</f>
        <v>153.37007720635765</v>
      </c>
      <c r="J190" s="85">
        <f>IF(H190,An,'2030'!An_max)</f>
        <v>2029</v>
      </c>
      <c r="K190" s="193">
        <f t="shared" si="52"/>
        <v>48024</v>
      </c>
      <c r="L190" s="143">
        <f>IF(t&lt;Tvie,1-EXP((T0-t)*PertePVj)+'2030'!Pspv,1-EXP((T0-t)*PertePVj)+Pspv)</f>
        <v>4.8086694670980146E-2</v>
      </c>
      <c r="M190" s="835"/>
      <c r="N190" s="835"/>
      <c r="O190" s="48">
        <f>IF(t&lt;Tnet,'2030'!Resal+('2030'!Salim-'2030'!Resal)*(1-EXP(('2030'!Tnet-t)/('2030'!Tau_j))),Resal+(Salim-Resal)*(1-EXP((Tnet-t)/(Tau_j))))*Salcycl</f>
        <v>3.618079885311367E-2</v>
      </c>
      <c r="P190" s="165">
        <f>(INDEX(Models!$BJ190:$BT190,,T190)*(1-R190)+INDEX(Models!$BJ190:$BT190,,T190+1)*R190-ERP_i)*Q190*Ramure*Pc/MaxiM</f>
        <v>6.411751011170175E-5</v>
      </c>
      <c r="Q190" s="301">
        <f t="shared" si="53"/>
        <v>0.5</v>
      </c>
      <c r="R190" s="173">
        <f t="shared" si="54"/>
        <v>0.28910846157588144</v>
      </c>
      <c r="S190" s="801">
        <f t="shared" si="55"/>
        <v>1</v>
      </c>
      <c r="T190" s="172">
        <f t="shared" si="56"/>
        <v>7</v>
      </c>
      <c r="U190" s="247">
        <f t="shared" si="57"/>
        <v>1.2891084615758814</v>
      </c>
      <c r="V190" s="378">
        <f t="shared" si="58"/>
        <v>230.27078736244374</v>
      </c>
      <c r="W190" s="397">
        <f t="shared" si="59"/>
        <v>140.70478919640342</v>
      </c>
      <c r="X190" s="153">
        <f t="shared" si="60"/>
        <v>48024</v>
      </c>
      <c r="Y190" s="380">
        <f t="shared" si="61"/>
        <v>136.86910817270629</v>
      </c>
      <c r="Z190" s="380">
        <f t="shared" si="62"/>
        <v>143.78316534340149</v>
      </c>
      <c r="AA190" s="381">
        <f t="shared" si="63"/>
        <v>153.33770503285069</v>
      </c>
      <c r="AB190" s="193">
        <f t="shared" si="64"/>
        <v>48024</v>
      </c>
      <c r="AC190" s="119">
        <f>IF(OR(t&lt;Tnet,NoTnet),'2030'!Resal_s+('2030'!Salim-'2030'!Resal_s)*(1-EXP(('2030'!Tnet_s-t)/'2030'!Tau_j)),Resal_s+(Salim-Resal_s)*(1-EXP((Tnet_s-t)/Tau_j)))*Salcycl</f>
        <v>6.2310438827829433E-2</v>
      </c>
      <c r="AD190" s="227">
        <f>(INDEX(Models!$BJ190:$BT190,,AH190)*(1-AF190)+INDEX(Models!$BJ190:$BT190,,AH190+1)*AF190-ERP_i)*AE190*Ramure*Pc/MaxiM</f>
        <v>4.1101329173429531E-4</v>
      </c>
      <c r="AE190" s="301">
        <f t="shared" si="65"/>
        <v>0.5</v>
      </c>
      <c r="AF190" s="173">
        <f t="shared" si="66"/>
        <v>0.81409602794985947</v>
      </c>
      <c r="AG190" s="801">
        <f t="shared" si="74"/>
        <v>4</v>
      </c>
      <c r="AH190" s="172">
        <f t="shared" si="67"/>
        <v>10</v>
      </c>
      <c r="AI190" s="221">
        <f t="shared" si="68"/>
        <v>4.8140960279498595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48025</v>
      </c>
      <c r="B191" s="406">
        <f>'2030'!Wh/'2030'!Env_an*'2031'!Env_an</f>
        <v>46.793299339505673</v>
      </c>
      <c r="C191" s="831"/>
      <c r="D191" s="388">
        <f t="shared" si="50"/>
        <v>49.157774817606303</v>
      </c>
      <c r="E191" s="380">
        <f t="shared" si="75"/>
        <v>51.00650573469111</v>
      </c>
      <c r="F191" s="380">
        <f t="shared" si="51"/>
        <v>51.00650573469111</v>
      </c>
      <c r="G191" s="110">
        <f t="shared" si="76"/>
        <v>0.2033311107119509</v>
      </c>
      <c r="H191" s="409" t="b">
        <f>Wh_hp&gt;='2030'!Maxi_hp</f>
        <v>0</v>
      </c>
      <c r="I191" s="385">
        <f>IF(H191,Wh_hp,'2030'!Maxi_hp)</f>
        <v>51.009172868676558</v>
      </c>
      <c r="J191" s="85">
        <f>IF(H191,An,'2030'!An_max)</f>
        <v>2029</v>
      </c>
      <c r="K191" s="193">
        <f t="shared" si="52"/>
        <v>48025</v>
      </c>
      <c r="L191" s="143">
        <f>IF(t&lt;Tvie,1-EXP((T0-t)*PertePVj)+'2030'!Pspv,1-EXP((T0-t)*PertePVj)+Pspv)</f>
        <v>4.8099725564749729E-2</v>
      </c>
      <c r="M191" s="835"/>
      <c r="N191" s="835"/>
      <c r="O191" s="48">
        <f>IF(t&lt;Tnet,'2030'!Resal+('2030'!Salim-'2030'!Resal)*(1-EXP(('2030'!Tnet-t)/('2030'!Tau_j))),Resal+(Salim-Resal)*(1-EXP((Tnet-t)/(Tau_j))))*Salcycl</f>
        <v>3.6245002288549794E-2</v>
      </c>
      <c r="P191" s="165">
        <f>(INDEX(Models!$BJ191:$BT191,,T191)*(1-R191)+INDEX(Models!$BJ191:$BT191,,T191+1)*R191-ERP_i)*Q191*Ramure*Pc/MaxiM</f>
        <v>6.5606071018520175E-5</v>
      </c>
      <c r="Q191" s="301">
        <f t="shared" si="53"/>
        <v>0.5</v>
      </c>
      <c r="R191" s="173">
        <f t="shared" si="54"/>
        <v>0.29376557391671376</v>
      </c>
      <c r="S191" s="801">
        <f t="shared" si="55"/>
        <v>1</v>
      </c>
      <c r="T191" s="172">
        <f t="shared" si="56"/>
        <v>7</v>
      </c>
      <c r="U191" s="247">
        <f t="shared" si="57"/>
        <v>1.2937655739167138</v>
      </c>
      <c r="V191" s="378">
        <f t="shared" si="58"/>
        <v>230.11839777569222</v>
      </c>
      <c r="W191" s="397">
        <f t="shared" si="59"/>
        <v>46.793299339505673</v>
      </c>
      <c r="X191" s="153">
        <f t="shared" si="60"/>
        <v>48025</v>
      </c>
      <c r="Y191" s="380">
        <f t="shared" si="61"/>
        <v>45.525585900902726</v>
      </c>
      <c r="Z191" s="380">
        <f t="shared" si="62"/>
        <v>47.826003546340452</v>
      </c>
      <c r="AA191" s="381">
        <f t="shared" si="63"/>
        <v>51.00650573469111</v>
      </c>
      <c r="AB191" s="193">
        <f t="shared" si="64"/>
        <v>48025</v>
      </c>
      <c r="AC191" s="119">
        <f>IF(OR(t&lt;Tnet,NoTnet),'2030'!Resal_s+('2030'!Salim-'2030'!Resal_s)*(1-EXP(('2030'!Tnet_s-t)/'2030'!Tau_j)),Resal_s+(Salim-Resal_s)*(1-EXP((Tnet_s-t)/Tau_j)))*Salcycl</f>
        <v>6.2354833810689722E-2</v>
      </c>
      <c r="AD191" s="227">
        <f>(INDEX(Models!$BJ191:$BT191,,AH191)*(1-AF191)+INDEX(Models!$BJ191:$BT191,,AH191+1)*AF191-ERP_i)*AE191*Ramure*Pc/MaxiM</f>
        <v>4.1722473336997033E-4</v>
      </c>
      <c r="AE191" s="301">
        <f t="shared" si="65"/>
        <v>0.5</v>
      </c>
      <c r="AF191" s="173">
        <f t="shared" si="66"/>
        <v>0.81875314029069202</v>
      </c>
      <c r="AG191" s="801">
        <f t="shared" si="74"/>
        <v>4</v>
      </c>
      <c r="AH191" s="172">
        <f t="shared" si="67"/>
        <v>10</v>
      </c>
      <c r="AI191" s="221">
        <f t="shared" si="68"/>
        <v>4.818753140290692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48026</v>
      </c>
      <c r="B192" s="406">
        <f>'2030'!Wh/'2030'!Env_an*'2031'!Env_an</f>
        <v>54.668764015235311</v>
      </c>
      <c r="C192" s="831"/>
      <c r="D192" s="388">
        <f t="shared" si="50"/>
        <v>57.431974612451214</v>
      </c>
      <c r="E192" s="380">
        <f t="shared" si="75"/>
        <v>59.595814283360326</v>
      </c>
      <c r="F192" s="380">
        <f t="shared" si="51"/>
        <v>59.595814283360326</v>
      </c>
      <c r="G192" s="110">
        <f t="shared" si="76"/>
        <v>0.23771515971660367</v>
      </c>
      <c r="H192" s="409" t="b">
        <f>Wh_hp&gt;='2030'!Maxi_hp</f>
        <v>0</v>
      </c>
      <c r="I192" s="385">
        <f>IF(H192,Wh_hp,'2030'!Maxi_hp)</f>
        <v>59.599011427560399</v>
      </c>
      <c r="J192" s="85">
        <f>IF(H192,An,'2030'!An_max)</f>
        <v>2029</v>
      </c>
      <c r="K192" s="193">
        <f t="shared" si="52"/>
        <v>48026</v>
      </c>
      <c r="L192" s="143">
        <f>IF(t&lt;Tvie,1-EXP((T0-t)*PertePVj)+'2030'!Pspv,1-EXP((T0-t)*PertePVj)+Pspv)</f>
        <v>4.8112756280137337E-2</v>
      </c>
      <c r="M192" s="835"/>
      <c r="N192" s="835"/>
      <c r="O192" s="48">
        <f>IF(t&lt;Tnet,'2030'!Resal+('2030'!Salim-'2030'!Resal)*(1-EXP(('2030'!Tnet-t)/('2030'!Tau_j))),Resal+(Salim-Resal)*(1-EXP((Tnet-t)/(Tau_j))))*Salcycl</f>
        <v>3.630858470396426E-2</v>
      </c>
      <c r="P192" s="165">
        <f>(INDEX(Models!$BJ192:$BT192,,T192)*(1-R192)+INDEX(Models!$BJ192:$BT192,,T192+1)*R192-ERP_i)*Q192*Ramure*Pc/MaxiM</f>
        <v>6.7412766179358928E-5</v>
      </c>
      <c r="Q192" s="301">
        <f t="shared" si="53"/>
        <v>0.5</v>
      </c>
      <c r="R192" s="173">
        <f t="shared" si="54"/>
        <v>0.29836233933443079</v>
      </c>
      <c r="S192" s="801">
        <f t="shared" si="55"/>
        <v>1</v>
      </c>
      <c r="T192" s="172">
        <f t="shared" si="56"/>
        <v>7</v>
      </c>
      <c r="U192" s="247">
        <f t="shared" si="57"/>
        <v>1.2983623393344308</v>
      </c>
      <c r="V192" s="378">
        <f t="shared" si="58"/>
        <v>229.96042283462015</v>
      </c>
      <c r="W192" s="397">
        <f t="shared" si="59"/>
        <v>54.668764015235311</v>
      </c>
      <c r="X192" s="153">
        <f t="shared" si="60"/>
        <v>48026</v>
      </c>
      <c r="Y192" s="380">
        <f t="shared" si="61"/>
        <v>53.188740000972466</v>
      </c>
      <c r="Z192" s="380">
        <f t="shared" si="62"/>
        <v>55.877143382148041</v>
      </c>
      <c r="AA192" s="381">
        <f t="shared" si="63"/>
        <v>59.595814283360326</v>
      </c>
      <c r="AB192" s="193">
        <f t="shared" si="64"/>
        <v>48026</v>
      </c>
      <c r="AC192" s="119">
        <f>IF(OR(t&lt;Tnet,NoTnet),'2030'!Resal_s+('2030'!Salim-'2030'!Resal_s)*(1-EXP(('2030'!Tnet_s-t)/'2030'!Tau_j)),Resal_s+(Salim-Resal_s)*(1-EXP((Tnet_s-t)/Tau_j)))*Salcycl</f>
        <v>6.2398189301200162E-2</v>
      </c>
      <c r="AD192" s="227">
        <f>(INDEX(Models!$BJ192:$BT192,,AH192)*(1-AF192)+INDEX(Models!$BJ192:$BT192,,AH192+1)*AF192-ERP_i)*AE192*Ramure*Pc/MaxiM</f>
        <v>4.2488562755433137E-4</v>
      </c>
      <c r="AE192" s="301">
        <f t="shared" si="65"/>
        <v>0.5</v>
      </c>
      <c r="AF192" s="173">
        <f t="shared" si="66"/>
        <v>0.82334990570840905</v>
      </c>
      <c r="AG192" s="801">
        <f t="shared" si="74"/>
        <v>4</v>
      </c>
      <c r="AH192" s="172">
        <f t="shared" si="67"/>
        <v>10</v>
      </c>
      <c r="AI192" s="221">
        <f t="shared" si="68"/>
        <v>4.823349905708409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48027</v>
      </c>
      <c r="B193" s="406">
        <f>'2030'!Wh/'2030'!Env_an*'2031'!Env_an</f>
        <v>239.03063256405525</v>
      </c>
      <c r="C193" s="831"/>
      <c r="D193" s="388">
        <f t="shared" si="50"/>
        <v>251.11577691005019</v>
      </c>
      <c r="E193" s="380">
        <f t="shared" si="75"/>
        <v>260.59398383235941</v>
      </c>
      <c r="F193" s="380">
        <f t="shared" si="51"/>
        <v>260.61207165828807</v>
      </c>
      <c r="G193" s="110">
        <f t="shared" si="76"/>
        <v>1.0401867145003136</v>
      </c>
      <c r="H193" s="409" t="b">
        <f>Wh_hp&gt;='2030'!Maxi_hp</f>
        <v>1</v>
      </c>
      <c r="I193" s="385">
        <f>IF(H193,Wh_hp,'2030'!Maxi_hp)</f>
        <v>260.61207165828807</v>
      </c>
      <c r="J193" s="85">
        <f>IF(H193,An,'2030'!An_max)</f>
        <v>2031</v>
      </c>
      <c r="K193" s="193">
        <f t="shared" si="52"/>
        <v>48027</v>
      </c>
      <c r="L193" s="143">
        <f>IF(t&lt;Tvie,1-EXP((T0-t)*PertePVj)+'2030'!Pspv,1-EXP((T0-t)*PertePVj)+Pspv)</f>
        <v>4.8125786817145411E-2</v>
      </c>
      <c r="M193" s="835"/>
      <c r="N193" s="835"/>
      <c r="O193" s="48">
        <f>IF(t&lt;Tnet,'2030'!Resal+('2030'!Salim-'2030'!Resal)*(1-EXP(('2030'!Tnet-t)/('2030'!Tau_j))),Resal+(Salim-Resal)*(1-EXP((Tnet-t)/(Tau_j))))*Salcycl</f>
        <v>3.6371549269558649E-2</v>
      </c>
      <c r="P193" s="165">
        <f>(INDEX(Models!$BJ193:$BT193,,T193)*(1-R193)+INDEX(Models!$BJ193:$BT193,,T193+1)*R193-ERP_i)*Q193*Ramure*Pc/MaxiM</f>
        <v>6.9405173035796754E-5</v>
      </c>
      <c r="Q193" s="301">
        <f t="shared" si="53"/>
        <v>0.5</v>
      </c>
      <c r="R193" s="173">
        <f t="shared" si="54"/>
        <v>0.30289611886526036</v>
      </c>
      <c r="S193" s="801">
        <f t="shared" si="55"/>
        <v>1</v>
      </c>
      <c r="T193" s="172">
        <f t="shared" si="56"/>
        <v>7</v>
      </c>
      <c r="U193" s="247">
        <f t="shared" si="57"/>
        <v>1.3028961188652604</v>
      </c>
      <c r="V193" s="378">
        <f t="shared" si="58"/>
        <v>229.79589071071834</v>
      </c>
      <c r="W193" s="397">
        <f t="shared" si="59"/>
        <v>239.03063256405525</v>
      </c>
      <c r="X193" s="153">
        <f t="shared" si="60"/>
        <v>48027</v>
      </c>
      <c r="Y193" s="380">
        <f t="shared" si="61"/>
        <v>232.47950268934088</v>
      </c>
      <c r="Z193" s="380">
        <f t="shared" si="62"/>
        <v>244.23342860815757</v>
      </c>
      <c r="AA193" s="381">
        <f t="shared" si="63"/>
        <v>260.49912805849522</v>
      </c>
      <c r="AB193" s="193">
        <f t="shared" si="64"/>
        <v>48027</v>
      </c>
      <c r="AC193" s="119">
        <f>IF(OR(t&lt;Tnet,NoTnet),'2030'!Resal_s+('2030'!Salim-'2030'!Resal_s)*(1-EXP(('2030'!Tnet_s-t)/'2030'!Tau_j)),Resal_s+(Salim-Resal_s)*(1-EXP((Tnet_s-t)/Tau_j)))*Salcycl</f>
        <v>6.2440513991606147E-2</v>
      </c>
      <c r="AD193" s="227">
        <f>(INDEX(Models!$BJ193:$BT193,,AH193)*(1-AF193)+INDEX(Models!$BJ193:$BT193,,AH193+1)*AF193-ERP_i)*AE193*Ramure*Pc/MaxiM</f>
        <v>4.3337823560582255E-4</v>
      </c>
      <c r="AE193" s="301">
        <f t="shared" si="65"/>
        <v>0.5</v>
      </c>
      <c r="AF193" s="173">
        <f t="shared" si="66"/>
        <v>0.82788368523923861</v>
      </c>
      <c r="AG193" s="801">
        <f t="shared" si="74"/>
        <v>4</v>
      </c>
      <c r="AH193" s="172">
        <f t="shared" si="67"/>
        <v>10</v>
      </c>
      <c r="AI193" s="221">
        <f t="shared" si="68"/>
        <v>4.8278836852392386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48028</v>
      </c>
      <c r="B194" s="406">
        <f>'2030'!Wh/'2030'!Env_an*'2031'!Env_an</f>
        <v>226.94031518994035</v>
      </c>
      <c r="C194" s="831"/>
      <c r="D194" s="388">
        <f t="shared" si="50"/>
        <v>238.41744918791218</v>
      </c>
      <c r="E194" s="380">
        <f t="shared" si="75"/>
        <v>247.43237580185141</v>
      </c>
      <c r="F194" s="380">
        <f t="shared" si="51"/>
        <v>247.44979428408973</v>
      </c>
      <c r="G194" s="110">
        <f t="shared" si="76"/>
        <v>0.98831238649032949</v>
      </c>
      <c r="H194" s="409" t="b">
        <f>Wh_hp&gt;='2030'!Maxi_hp</f>
        <v>0</v>
      </c>
      <c r="I194" s="385">
        <f>IF(H194,Wh_hp,'2030'!Maxi_hp)</f>
        <v>247.45002898638091</v>
      </c>
      <c r="J194" s="85">
        <f>IF(H194,An,'2030'!An_max)</f>
        <v>2029</v>
      </c>
      <c r="K194" s="193">
        <f t="shared" si="52"/>
        <v>48028</v>
      </c>
      <c r="L194" s="143">
        <f>IF(t&lt;Tvie,1-EXP((T0-t)*PertePVj)+'2030'!Pspv,1-EXP((T0-t)*PertePVj)+Pspv)</f>
        <v>4.8138817175776283E-2</v>
      </c>
      <c r="M194" s="835"/>
      <c r="N194" s="835"/>
      <c r="O194" s="48">
        <f>IF(t&lt;Tnet,'2030'!Resal+('2030'!Salim-'2030'!Resal)*(1-EXP(('2030'!Tnet-t)/('2030'!Tau_j))),Resal+(Salim-Resal)*(1-EXP((Tnet-t)/(Tau_j))))*Salcycl</f>
        <v>3.6433900716204379E-2</v>
      </c>
      <c r="P194" s="165">
        <f>(INDEX(Models!$BJ194:$BT194,,T194)*(1-R194)+INDEX(Models!$BJ194:$BT194,,T194+1)*R194-ERP_i)*Q194*Ramure*Pc/MaxiM</f>
        <v>7.1587125252371941E-5</v>
      </c>
      <c r="Q194" s="301">
        <f t="shared" si="53"/>
        <v>0.5</v>
      </c>
      <c r="R194" s="173">
        <f t="shared" si="54"/>
        <v>0.30736445019703273</v>
      </c>
      <c r="S194" s="801">
        <f t="shared" si="55"/>
        <v>1</v>
      </c>
      <c r="T194" s="172">
        <f t="shared" si="56"/>
        <v>7</v>
      </c>
      <c r="U194" s="247">
        <f t="shared" si="57"/>
        <v>1.3073644501970327</v>
      </c>
      <c r="V194" s="378">
        <f t="shared" si="58"/>
        <v>229.62379815077853</v>
      </c>
      <c r="W194" s="397">
        <f t="shared" si="59"/>
        <v>226.94031518994035</v>
      </c>
      <c r="X194" s="153">
        <f t="shared" si="60"/>
        <v>48028</v>
      </c>
      <c r="Y194" s="380">
        <f t="shared" si="61"/>
        <v>220.72489237773215</v>
      </c>
      <c r="Z194" s="380">
        <f t="shared" si="62"/>
        <v>231.88769156740841</v>
      </c>
      <c r="AA194" s="381">
        <f t="shared" si="63"/>
        <v>247.34207433721241</v>
      </c>
      <c r="AB194" s="193">
        <f t="shared" si="64"/>
        <v>48028</v>
      </c>
      <c r="AC194" s="119">
        <f>IF(OR(t&lt;Tnet,NoTnet),'2030'!Resal_s+('2030'!Salim-'2030'!Resal_s)*(1-EXP(('2030'!Tnet_s-t)/'2030'!Tau_j)),Resal_s+(Salim-Resal_s)*(1-EXP((Tnet_s-t)/Tau_j)))*Salcycl</f>
        <v>6.2481819202075364E-2</v>
      </c>
      <c r="AD194" s="227">
        <f>(INDEX(Models!$BJ194:$BT194,,AH194)*(1-AF194)+INDEX(Models!$BJ194:$BT194,,AH194+1)*AF194-ERP_i)*AE194*Ramure*Pc/MaxiM</f>
        <v>4.427114385615311E-4</v>
      </c>
      <c r="AE194" s="301">
        <f t="shared" si="65"/>
        <v>0.5</v>
      </c>
      <c r="AF194" s="173">
        <f t="shared" si="66"/>
        <v>0.83235201657101054</v>
      </c>
      <c r="AG194" s="801">
        <f t="shared" si="74"/>
        <v>4</v>
      </c>
      <c r="AH194" s="172">
        <f t="shared" si="67"/>
        <v>10</v>
      </c>
      <c r="AI194" s="221">
        <f t="shared" si="68"/>
        <v>4.8323520165710105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48029</v>
      </c>
      <c r="B195" s="406">
        <f>'2030'!Wh/'2030'!Env_an*'2031'!Env_an</f>
        <v>52.989887810381816</v>
      </c>
      <c r="C195" s="831"/>
      <c r="D195" s="388">
        <f t="shared" si="50"/>
        <v>55.670526504874495</v>
      </c>
      <c r="E195" s="380">
        <f t="shared" si="75"/>
        <v>57.779216286722161</v>
      </c>
      <c r="F195" s="380">
        <f t="shared" si="51"/>
        <v>57.779216286722161</v>
      </c>
      <c r="G195" s="110">
        <f t="shared" si="76"/>
        <v>0.23093289309753157</v>
      </c>
      <c r="H195" s="409" t="b">
        <f>Wh_hp&gt;='2030'!Maxi_hp</f>
        <v>0</v>
      </c>
      <c r="I195" s="385">
        <f>IF(H195,Wh_hp,'2030'!Maxi_hp)</f>
        <v>57.782603571556919</v>
      </c>
      <c r="J195" s="85">
        <f>IF(H195,An,'2030'!An_max)</f>
        <v>2029</v>
      </c>
      <c r="K195" s="193">
        <f t="shared" si="52"/>
        <v>48029</v>
      </c>
      <c r="L195" s="143">
        <f>IF(t&lt;Tvie,1-EXP((T0-t)*PertePVj)+'2030'!Pspv,1-EXP((T0-t)*PertePVj)+Pspv)</f>
        <v>4.8151847356032507E-2</v>
      </c>
      <c r="M195" s="835"/>
      <c r="N195" s="835"/>
      <c r="O195" s="48">
        <f>IF(t&lt;Tnet,'2030'!Resal+('2030'!Salim-'2030'!Resal)*(1-EXP(('2030'!Tnet-t)/('2030'!Tau_j))),Resal+(Salim-Resal)*(1-EXP((Tnet-t)/(Tau_j))))*Salcycl</f>
        <v>3.6495645274652946E-2</v>
      </c>
      <c r="P195" s="165">
        <f>(INDEX(Models!$BJ195:$BT195,,T195)*(1-R195)+INDEX(Models!$BJ195:$BT195,,T195+1)*R195-ERP_i)*Q195*Ramure*Pc/MaxiM</f>
        <v>7.3962354315429462E-5</v>
      </c>
      <c r="Q195" s="301">
        <f t="shared" si="53"/>
        <v>0.5</v>
      </c>
      <c r="R195" s="173">
        <f t="shared" si="54"/>
        <v>0.31176505044258818</v>
      </c>
      <c r="S195" s="801">
        <f t="shared" si="55"/>
        <v>1</v>
      </c>
      <c r="T195" s="172">
        <f t="shared" si="56"/>
        <v>7</v>
      </c>
      <c r="U195" s="247">
        <f t="shared" si="57"/>
        <v>1.3117650504425882</v>
      </c>
      <c r="V195" s="378">
        <f t="shared" si="58"/>
        <v>229.44314187042426</v>
      </c>
      <c r="W195" s="397">
        <f t="shared" si="59"/>
        <v>52.989887810381816</v>
      </c>
      <c r="X195" s="153">
        <f t="shared" si="60"/>
        <v>48029</v>
      </c>
      <c r="Y195" s="380">
        <f t="shared" si="61"/>
        <v>51.558508799499506</v>
      </c>
      <c r="Z195" s="380">
        <f t="shared" si="62"/>
        <v>54.166737264010457</v>
      </c>
      <c r="AA195" s="381">
        <f t="shared" si="63"/>
        <v>57.779216286722161</v>
      </c>
      <c r="AB195" s="193">
        <f t="shared" si="64"/>
        <v>48029</v>
      </c>
      <c r="AC195" s="119">
        <f>IF(OR(t&lt;Tnet,NoTnet),'2030'!Resal_s+('2030'!Salim-'2030'!Resal_s)*(1-EXP(('2030'!Tnet_s-t)/'2030'!Tau_j)),Resal_s+(Salim-Resal_s)*(1-EXP((Tnet_s-t)/Tau_j)))*Salcycl</f>
        <v>6.2522118763003398E-2</v>
      </c>
      <c r="AD195" s="227">
        <f>(INDEX(Models!$BJ195:$BT195,,AH195)*(1-AF195)+INDEX(Models!$BJ195:$BT195,,AH195+1)*AF195-ERP_i)*AE195*Ramure*Pc/MaxiM</f>
        <v>4.5289397818958885E-4</v>
      </c>
      <c r="AE195" s="301">
        <f t="shared" si="65"/>
        <v>0.5</v>
      </c>
      <c r="AF195" s="173">
        <f t="shared" si="66"/>
        <v>0.83675261681656643</v>
      </c>
      <c r="AG195" s="801">
        <f t="shared" si="74"/>
        <v>4</v>
      </c>
      <c r="AH195" s="172">
        <f t="shared" si="67"/>
        <v>10</v>
      </c>
      <c r="AI195" s="221">
        <f t="shared" si="68"/>
        <v>4.8367526168165664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48030</v>
      </c>
      <c r="B196" s="406">
        <f>'2030'!Wh/'2030'!Env_an*'2031'!Env_an</f>
        <v>203.20492489059507</v>
      </c>
      <c r="C196" s="831"/>
      <c r="D196" s="388">
        <f t="shared" si="50"/>
        <v>213.48752536735904</v>
      </c>
      <c r="E196" s="380">
        <f t="shared" si="75"/>
        <v>221.58807419673744</v>
      </c>
      <c r="F196" s="380">
        <f t="shared" si="51"/>
        <v>221.60228150114935</v>
      </c>
      <c r="G196" s="110">
        <f t="shared" si="76"/>
        <v>0.8863677794072633</v>
      </c>
      <c r="H196" s="409" t="b">
        <f>Wh_hp&gt;='2030'!Maxi_hp</f>
        <v>0</v>
      </c>
      <c r="I196" s="385">
        <f>IF(H196,Wh_hp,'2030'!Maxi_hp)</f>
        <v>221.60446106591681</v>
      </c>
      <c r="J196" s="85">
        <f>IF(H196,An,'2030'!An_max)</f>
        <v>2029</v>
      </c>
      <c r="K196" s="193">
        <f t="shared" si="52"/>
        <v>48030</v>
      </c>
      <c r="L196" s="143">
        <f>IF(t&lt;Tvie,1-EXP((T0-t)*PertePVj)+'2030'!Pspv,1-EXP((T0-t)*PertePVj)+Pspv)</f>
        <v>4.8164877357916636E-2</v>
      </c>
      <c r="M196" s="835"/>
      <c r="N196" s="835"/>
      <c r="O196" s="48">
        <f>IF(t&lt;Tnet,'2030'!Resal+('2030'!Salim-'2030'!Resal)*(1-EXP(('2030'!Tnet-t)/('2030'!Tau_j))),Resal+(Salim-Resal)*(1-EXP((Tnet-t)/(Tau_j))))*Salcycl</f>
        <v>3.6556790606818976E-2</v>
      </c>
      <c r="P196" s="165">
        <f>(INDEX(Models!$BJ196:$BT196,,T196)*(1-R196)+INDEX(Models!$BJ196:$BT196,,T196+1)*R196-ERP_i)*Q196*Ramure*Pc/MaxiM</f>
        <v>7.6534499170772204E-5</v>
      </c>
      <c r="Q196" s="301">
        <f t="shared" si="53"/>
        <v>0.5</v>
      </c>
      <c r="R196" s="173">
        <f t="shared" si="54"/>
        <v>0.31609581796353114</v>
      </c>
      <c r="S196" s="801">
        <f t="shared" si="55"/>
        <v>1</v>
      </c>
      <c r="T196" s="172">
        <f t="shared" si="56"/>
        <v>7</v>
      </c>
      <c r="U196" s="247">
        <f t="shared" si="57"/>
        <v>1.3160958179635311</v>
      </c>
      <c r="V196" s="378">
        <f t="shared" si="58"/>
        <v>229.25291857475708</v>
      </c>
      <c r="W196" s="397">
        <f t="shared" si="59"/>
        <v>203.20492489059507</v>
      </c>
      <c r="X196" s="153">
        <f t="shared" si="60"/>
        <v>48030</v>
      </c>
      <c r="Y196" s="380">
        <f t="shared" si="61"/>
        <v>197.65598048226386</v>
      </c>
      <c r="Z196" s="380">
        <f t="shared" si="62"/>
        <v>207.65779259501861</v>
      </c>
      <c r="AA196" s="381">
        <f t="shared" si="63"/>
        <v>221.51616009135611</v>
      </c>
      <c r="AB196" s="193">
        <f t="shared" si="64"/>
        <v>48030</v>
      </c>
      <c r="AC196" s="119">
        <f>IF(OR(t&lt;Tnet,NoTnet),'2030'!Resal_s+('2030'!Salim-'2030'!Resal_s)*(1-EXP(('2030'!Tnet_s-t)/'2030'!Tau_j)),Resal_s+(Salim-Resal_s)*(1-EXP((Tnet_s-t)/Tau_j)))*Salcycl</f>
        <v>6.2561428884565978E-2</v>
      </c>
      <c r="AD196" s="227">
        <f>(INDEX(Models!$BJ196:$BT196,,AH196)*(1-AF196)+INDEX(Models!$BJ196:$BT196,,AH196+1)*AF196-ERP_i)*AE196*Ramure*Pc/MaxiM</f>
        <v>4.6393452095472732E-4</v>
      </c>
      <c r="AE196" s="301">
        <f t="shared" si="65"/>
        <v>0.5</v>
      </c>
      <c r="AF196" s="173">
        <f t="shared" si="66"/>
        <v>0.84108338433750873</v>
      </c>
      <c r="AG196" s="801">
        <f t="shared" si="74"/>
        <v>4</v>
      </c>
      <c r="AH196" s="172">
        <f t="shared" si="67"/>
        <v>10</v>
      </c>
      <c r="AI196" s="221">
        <f t="shared" si="68"/>
        <v>4.8410833843375087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48031</v>
      </c>
      <c r="B197" s="406">
        <f>'2030'!Wh/'2030'!Env_an*'2031'!Env_an</f>
        <v>224.56822308769623</v>
      </c>
      <c r="C197" s="831"/>
      <c r="D197" s="388">
        <f t="shared" si="50"/>
        <v>235.93508154732663</v>
      </c>
      <c r="E197" s="380">
        <f t="shared" si="75"/>
        <v>244.90277098255046</v>
      </c>
      <c r="F197" s="380">
        <f t="shared" si="51"/>
        <v>244.92165180863358</v>
      </c>
      <c r="G197" s="110">
        <f t="shared" si="76"/>
        <v>0.9804219236802163</v>
      </c>
      <c r="H197" s="409" t="b">
        <f>Wh_hp&gt;='2030'!Maxi_hp</f>
        <v>0</v>
      </c>
      <c r="I197" s="385">
        <f>IF(H197,Wh_hp,'2030'!Maxi_hp)</f>
        <v>244.92208142110059</v>
      </c>
      <c r="J197" s="85">
        <f>IF(H197,An,'2030'!An_max)</f>
        <v>2029</v>
      </c>
      <c r="K197" s="193">
        <f t="shared" si="52"/>
        <v>48031</v>
      </c>
      <c r="L197" s="143">
        <f>IF(t&lt;Tvie,1-EXP((T0-t)*PertePVj)+'2030'!Pspv,1-EXP((T0-t)*PertePVj)+Pspv)</f>
        <v>4.8177907181430779E-2</v>
      </c>
      <c r="M197" s="835"/>
      <c r="N197" s="835"/>
      <c r="O197" s="48">
        <f>IF(t&lt;Tnet,'2030'!Resal+('2030'!Salim-'2030'!Resal)*(1-EXP(('2030'!Tnet-t)/('2030'!Tau_j))),Resal+(Salim-Resal)*(1-EXP((Tnet-t)/(Tau_j))))*Salcycl</f>
        <v>3.6617345729676405E-2</v>
      </c>
      <c r="P197" s="165">
        <f>(INDEX(Models!$BJ197:$BT197,,T197)*(1-R197)+INDEX(Models!$BJ197:$BT197,,T197+1)*R197-ERP_i)*Q197*Ramure*Pc/MaxiM</f>
        <v>7.9307117569383094E-5</v>
      </c>
      <c r="Q197" s="301">
        <f t="shared" si="53"/>
        <v>0.5</v>
      </c>
      <c r="R197" s="173">
        <f t="shared" si="54"/>
        <v>0.32035483327119163</v>
      </c>
      <c r="S197" s="801">
        <f t="shared" si="55"/>
        <v>1</v>
      </c>
      <c r="T197" s="172">
        <f t="shared" si="56"/>
        <v>7</v>
      </c>
      <c r="U197" s="247">
        <f t="shared" si="57"/>
        <v>1.3203548332711916</v>
      </c>
      <c r="V197" s="378">
        <f t="shared" si="58"/>
        <v>229.05212497026193</v>
      </c>
      <c r="W197" s="397">
        <f t="shared" si="59"/>
        <v>224.56822308769623</v>
      </c>
      <c r="X197" s="153">
        <f t="shared" si="60"/>
        <v>48031</v>
      </c>
      <c r="Y197" s="380">
        <f t="shared" si="61"/>
        <v>218.42738918468274</v>
      </c>
      <c r="Z197" s="380">
        <f t="shared" si="62"/>
        <v>229.48342009783346</v>
      </c>
      <c r="AA197" s="381">
        <f t="shared" si="63"/>
        <v>244.80836708539482</v>
      </c>
      <c r="AB197" s="193">
        <f t="shared" si="64"/>
        <v>48031</v>
      </c>
      <c r="AC197" s="119">
        <f>IF(OR(t&lt;Tnet,NoTnet),'2030'!Resal_s+('2030'!Salim-'2030'!Resal_s)*(1-EXP(('2030'!Tnet_s-t)/'2030'!Tau_j)),Resal_s+(Salim-Resal_s)*(1-EXP((Tnet_s-t)/Tau_j)))*Salcycl</f>
        <v>6.2599768014528906E-2</v>
      </c>
      <c r="AD197" s="227">
        <f>(INDEX(Models!$BJ197:$BT197,,AH197)*(1-AF197)+INDEX(Models!$BJ197:$BT197,,AH197+1)*AF197-ERP_i)*AE197*Ramure*Pc/MaxiM</f>
        <v>4.7584172562966189E-4</v>
      </c>
      <c r="AE197" s="301">
        <f t="shared" si="65"/>
        <v>0.5</v>
      </c>
      <c r="AF197" s="173">
        <f t="shared" si="66"/>
        <v>0.84534239964516988</v>
      </c>
      <c r="AG197" s="801">
        <f t="shared" si="74"/>
        <v>4</v>
      </c>
      <c r="AH197" s="172">
        <f t="shared" si="67"/>
        <v>10</v>
      </c>
      <c r="AI197" s="221">
        <f t="shared" si="68"/>
        <v>4.8453423996451699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48032</v>
      </c>
      <c r="B198" s="406">
        <f>'2030'!Wh/'2030'!Env_an*'2031'!Env_an</f>
        <v>185.99503092947913</v>
      </c>
      <c r="C198" s="831"/>
      <c r="D198" s="388">
        <f t="shared" si="50"/>
        <v>195.4121242650852</v>
      </c>
      <c r="E198" s="380">
        <f t="shared" si="75"/>
        <v>202.8521994875253</v>
      </c>
      <c r="F198" s="380">
        <f t="shared" si="51"/>
        <v>202.86441549281034</v>
      </c>
      <c r="G198" s="110">
        <f t="shared" si="76"/>
        <v>0.81275617622186969</v>
      </c>
      <c r="H198" s="409" t="b">
        <f>Wh_hp&gt;='2030'!Maxi_hp</f>
        <v>0</v>
      </c>
      <c r="I198" s="385">
        <f>IF(H198,Wh_hp,'2030'!Maxi_hp)</f>
        <v>202.86793814339714</v>
      </c>
      <c r="J198" s="85">
        <f>IF(H198,An,'2030'!An_max)</f>
        <v>2029</v>
      </c>
      <c r="K198" s="193">
        <f t="shared" si="52"/>
        <v>48032</v>
      </c>
      <c r="L198" s="143">
        <f>IF(t&lt;Tvie,1-EXP((T0-t)*PertePVj)+'2030'!Pspv,1-EXP((T0-t)*PertePVj)+Pspv)</f>
        <v>4.8190936826577713E-2</v>
      </c>
      <c r="M198" s="835"/>
      <c r="N198" s="835"/>
      <c r="O198" s="48">
        <f>IF(t&lt;Tnet,'2030'!Resal+('2030'!Salim-'2030'!Resal)*(1-EXP(('2030'!Tnet-t)/('2030'!Tau_j))),Resal+(Salim-Resal)*(1-EXP((Tnet-t)/(Tau_j))))*Salcycl</f>
        <v>3.6677320932365025E-2</v>
      </c>
      <c r="P198" s="165">
        <f>(INDEX(Models!$BJ198:$BT198,,T198)*(1-R198)+INDEX(Models!$BJ198:$BT198,,T198+1)*R198-ERP_i)*Q198*Ramure*Pc/MaxiM</f>
        <v>8.2204452513992831E-5</v>
      </c>
      <c r="Q198" s="301">
        <f t="shared" si="53"/>
        <v>0.5</v>
      </c>
      <c r="R198" s="173">
        <f t="shared" si="54"/>
        <v>0.3245403590384881</v>
      </c>
      <c r="S198" s="801">
        <f t="shared" si="55"/>
        <v>1</v>
      </c>
      <c r="T198" s="172">
        <f t="shared" si="56"/>
        <v>7</v>
      </c>
      <c r="U198" s="247">
        <f t="shared" si="57"/>
        <v>1.3245403590384881</v>
      </c>
      <c r="V198" s="378">
        <f t="shared" si="58"/>
        <v>228.8397759089128</v>
      </c>
      <c r="W198" s="397">
        <f t="shared" si="59"/>
        <v>185.99503092947913</v>
      </c>
      <c r="X198" s="153">
        <f t="shared" si="60"/>
        <v>48032</v>
      </c>
      <c r="Y198" s="380">
        <f t="shared" si="61"/>
        <v>180.92901775812072</v>
      </c>
      <c r="Z198" s="380">
        <f t="shared" si="62"/>
        <v>190.08961435488553</v>
      </c>
      <c r="AA198" s="381">
        <f t="shared" si="63"/>
        <v>202.79192386452476</v>
      </c>
      <c r="AB198" s="193">
        <f t="shared" si="64"/>
        <v>48032</v>
      </c>
      <c r="AC198" s="119">
        <f>IF(OR(t&lt;Tnet,NoTnet),'2030'!Resal_s+('2030'!Salim-'2030'!Resal_s)*(1-EXP(('2030'!Tnet_s-t)/'2030'!Tau_j)),Resal_s+(Salim-Resal_s)*(1-EXP((Tnet_s-t)/Tau_j)))*Salcycl</f>
        <v>6.2637156685416306E-2</v>
      </c>
      <c r="AD198" s="227">
        <f>(INDEX(Models!$BJ198:$BT198,,AH198)*(1-AF198)+INDEX(Models!$BJ198:$BT198,,AH198+1)*AF198-ERP_i)*AE198*Ramure*Pc/MaxiM</f>
        <v>4.8781368999221324E-4</v>
      </c>
      <c r="AE198" s="301">
        <f t="shared" si="65"/>
        <v>0.5</v>
      </c>
      <c r="AF198" s="173">
        <f t="shared" si="66"/>
        <v>0.84952792541246591</v>
      </c>
      <c r="AG198" s="801">
        <f t="shared" si="74"/>
        <v>4</v>
      </c>
      <c r="AH198" s="172">
        <f t="shared" si="67"/>
        <v>10</v>
      </c>
      <c r="AI198" s="221">
        <f t="shared" si="68"/>
        <v>4.8495279254124659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48033</v>
      </c>
      <c r="B199" s="406">
        <f>'2030'!Wh/'2030'!Env_an*'2031'!Env_an</f>
        <v>181.44459815716152</v>
      </c>
      <c r="C199" s="831"/>
      <c r="D199" s="388">
        <f t="shared" si="50"/>
        <v>190.63390866481151</v>
      </c>
      <c r="E199" s="380">
        <f t="shared" si="75"/>
        <v>197.90426370880942</v>
      </c>
      <c r="F199" s="380">
        <f t="shared" si="51"/>
        <v>197.91613858456222</v>
      </c>
      <c r="G199" s="110">
        <f t="shared" si="76"/>
        <v>0.79364925594344327</v>
      </c>
      <c r="H199" s="409" t="b">
        <f>Wh_hp&gt;='2030'!Maxi_hp</f>
        <v>0</v>
      </c>
      <c r="I199" s="385">
        <f>IF(H199,Wh_hp,'2030'!Maxi_hp)</f>
        <v>197.92005110878949</v>
      </c>
      <c r="J199" s="85">
        <f>IF(H199,An,'2030'!An_max)</f>
        <v>2029</v>
      </c>
      <c r="K199" s="193">
        <f t="shared" si="52"/>
        <v>48033</v>
      </c>
      <c r="L199" s="143">
        <f>IF(t&lt;Tvie,1-EXP((T0-t)*PertePVj)+'2030'!Pspv,1-EXP((T0-t)*PertePVj)+Pspv)</f>
        <v>4.8203966293359768E-2</v>
      </c>
      <c r="M199" s="835"/>
      <c r="N199" s="835"/>
      <c r="O199" s="48">
        <f>IF(t&lt;Tnet,'2030'!Resal+('2030'!Salim-'2030'!Resal)*(1-EXP(('2030'!Tnet-t)/('2030'!Tau_j))),Resal+(Salim-Resal)*(1-EXP((Tnet-t)/(Tau_j))))*Salcycl</f>
        <v>3.6736727687157272E-2</v>
      </c>
      <c r="P199" s="165">
        <f>(INDEX(Models!$BJ199:$BT199,,T199)*(1-R199)+INDEX(Models!$BJ199:$BT199,,T199+1)*R199-ERP_i)*Q199*Ramure*Pc/MaxiM</f>
        <v>8.5076557387298409E-5</v>
      </c>
      <c r="Q199" s="301">
        <f t="shared" si="53"/>
        <v>0.5</v>
      </c>
      <c r="R199" s="173">
        <f t="shared" si="54"/>
        <v>0.32865083926244543</v>
      </c>
      <c r="S199" s="801">
        <f t="shared" si="55"/>
        <v>1</v>
      </c>
      <c r="T199" s="172">
        <f t="shared" si="56"/>
        <v>7</v>
      </c>
      <c r="U199" s="247">
        <f t="shared" si="57"/>
        <v>1.3286508392624454</v>
      </c>
      <c r="V199" s="378">
        <f t="shared" si="58"/>
        <v>228.61490316363935</v>
      </c>
      <c r="W199" s="397">
        <f t="shared" si="59"/>
        <v>181.44459815716152</v>
      </c>
      <c r="X199" s="153">
        <f t="shared" si="60"/>
        <v>48033</v>
      </c>
      <c r="Y199" s="380">
        <f t="shared" si="61"/>
        <v>176.50743913306576</v>
      </c>
      <c r="Z199" s="380">
        <f t="shared" si="62"/>
        <v>185.44670589315396</v>
      </c>
      <c r="AA199" s="381">
        <f t="shared" si="63"/>
        <v>197.846459169643</v>
      </c>
      <c r="AB199" s="193">
        <f t="shared" si="64"/>
        <v>48033</v>
      </c>
      <c r="AC199" s="119">
        <f>IF(OR(t&lt;Tnet,NoTnet),'2030'!Resal_s+('2030'!Salim-'2030'!Resal_s)*(1-EXP(('2030'!Tnet_s-t)/'2030'!Tau_j)),Resal_s+(Salim-Resal_s)*(1-EXP((Tnet_s-t)/Tau_j)))*Salcycl</f>
        <v>6.2673617352216049E-2</v>
      </c>
      <c r="AD199" s="227">
        <f>(INDEX(Models!$BJ199:$BT199,,AH199)*(1-AF199)+INDEX(Models!$BJ199:$BT199,,AH199+1)*AF199-ERP_i)*AE199*Ramure*Pc/MaxiM</f>
        <v>4.9921235939562661E-4</v>
      </c>
      <c r="AE199" s="301">
        <f t="shared" si="65"/>
        <v>0.5</v>
      </c>
      <c r="AF199" s="173">
        <f t="shared" si="66"/>
        <v>0.85363840563642324</v>
      </c>
      <c r="AG199" s="801">
        <f t="shared" si="74"/>
        <v>4</v>
      </c>
      <c r="AH199" s="172">
        <f t="shared" si="67"/>
        <v>10</v>
      </c>
      <c r="AI199" s="221">
        <f t="shared" si="68"/>
        <v>4.8536384056364232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48034</v>
      </c>
      <c r="B200" s="406">
        <f>'2030'!Wh/'2030'!Env_an*'2031'!Env_an</f>
        <v>218.26163018094428</v>
      </c>
      <c r="C200" s="831"/>
      <c r="D200" s="388">
        <f t="shared" si="50"/>
        <v>229.31868836464162</v>
      </c>
      <c r="E200" s="380">
        <f t="shared" si="75"/>
        <v>238.07894073058014</v>
      </c>
      <c r="F200" s="380">
        <f t="shared" si="51"/>
        <v>238.09854951560732</v>
      </c>
      <c r="G200" s="110">
        <f t="shared" si="76"/>
        <v>0.95570433436765434</v>
      </c>
      <c r="H200" s="409" t="b">
        <f>Wh_hp&gt;='2030'!Maxi_hp</f>
        <v>0</v>
      </c>
      <c r="I200" s="385">
        <f>IF(H200,Wh_hp,'2030'!Maxi_hp)</f>
        <v>238.09959127534054</v>
      </c>
      <c r="J200" s="85">
        <f>IF(H200,An,'2030'!An_max)</f>
        <v>2029</v>
      </c>
      <c r="K200" s="193">
        <f t="shared" si="52"/>
        <v>48034</v>
      </c>
      <c r="L200" s="143">
        <f>IF(t&lt;Tvie,1-EXP((T0-t)*PertePVj)+'2030'!Pspv,1-EXP((T0-t)*PertePVj)+Pspv)</f>
        <v>4.8216995581779276E-2</v>
      </c>
      <c r="M200" s="835"/>
      <c r="N200" s="835"/>
      <c r="O200" s="48">
        <f>IF(t&lt;Tnet,'2030'!Resal+('2030'!Salim-'2030'!Resal)*(1-EXP(('2030'!Tnet-t)/('2030'!Tau_j))),Resal+(Salim-Resal)*(1-EXP((Tnet-t)/(Tau_j))))*Salcycl</f>
        <v>3.6795578554980196E-2</v>
      </c>
      <c r="P200" s="165">
        <f>(INDEX(Models!$BJ200:$BT200,,T200)*(1-R200)+INDEX(Models!$BJ200:$BT200,,T200+1)*R200-ERP_i)*Q200*Ramure*Pc/MaxiM</f>
        <v>8.7918526276711535E-5</v>
      </c>
      <c r="Q200" s="301">
        <f t="shared" si="53"/>
        <v>0.5</v>
      </c>
      <c r="R200" s="173">
        <f t="shared" si="54"/>
        <v>0.33268489762241904</v>
      </c>
      <c r="S200" s="801">
        <f t="shared" si="55"/>
        <v>1</v>
      </c>
      <c r="T200" s="172">
        <f t="shared" si="56"/>
        <v>7</v>
      </c>
      <c r="U200" s="247">
        <f t="shared" si="57"/>
        <v>1.332684897622419</v>
      </c>
      <c r="V200" s="378">
        <f t="shared" si="58"/>
        <v>228.37650525579431</v>
      </c>
      <c r="W200" s="397">
        <f t="shared" si="59"/>
        <v>218.26163018094428</v>
      </c>
      <c r="X200" s="153">
        <f t="shared" si="60"/>
        <v>48034</v>
      </c>
      <c r="Y200" s="380">
        <f t="shared" si="61"/>
        <v>212.30563452462485</v>
      </c>
      <c r="Z200" s="380">
        <f t="shared" si="62"/>
        <v>223.06096404232085</v>
      </c>
      <c r="AA200" s="381">
        <f t="shared" si="63"/>
        <v>237.98479394817249</v>
      </c>
      <c r="AB200" s="193">
        <f t="shared" si="64"/>
        <v>48034</v>
      </c>
      <c r="AC200" s="119">
        <f>IF(OR(t&lt;Tnet,NoTnet),'2030'!Resal_s+('2030'!Salim-'2030'!Resal_s)*(1-EXP(('2030'!Tnet_s-t)/'2030'!Tau_j)),Resal_s+(Salim-Resal_s)*(1-EXP((Tnet_s-t)/Tau_j)))*Salcycl</f>
        <v>6.2709174221869363E-2</v>
      </c>
      <c r="AD200" s="227">
        <f>(INDEX(Models!$BJ200:$BT200,,AH200)*(1-AF200)+INDEX(Models!$BJ200:$BT200,,AH200+1)*AF200-ERP_i)*AE200*Ramure*Pc/MaxiM</f>
        <v>5.1003781370388809E-4</v>
      </c>
      <c r="AE200" s="301">
        <f t="shared" si="65"/>
        <v>0.5</v>
      </c>
      <c r="AF200" s="173">
        <f t="shared" si="66"/>
        <v>0.85767246399639685</v>
      </c>
      <c r="AG200" s="801">
        <f t="shared" si="74"/>
        <v>4</v>
      </c>
      <c r="AH200" s="172">
        <f t="shared" si="67"/>
        <v>10</v>
      </c>
      <c r="AI200" s="221">
        <f t="shared" si="68"/>
        <v>4.8576724639963968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48035</v>
      </c>
      <c r="B201" s="406">
        <f>'2030'!Wh/'2030'!Env_an*'2031'!Env_an</f>
        <v>173.26318640784865</v>
      </c>
      <c r="C201" s="831"/>
      <c r="D201" s="388">
        <f t="shared" si="50"/>
        <v>182.04313111658101</v>
      </c>
      <c r="E201" s="380">
        <f t="shared" si="75"/>
        <v>189.00884162409415</v>
      </c>
      <c r="F201" s="380">
        <f t="shared" si="51"/>
        <v>189.02009906187234</v>
      </c>
      <c r="G201" s="110">
        <f t="shared" si="76"/>
        <v>0.75949090898988936</v>
      </c>
      <c r="H201" s="409" t="b">
        <f>Wh_hp&gt;='2030'!Maxi_hp</f>
        <v>0</v>
      </c>
      <c r="I201" s="385">
        <f>IF(H201,Wh_hp,'2030'!Maxi_hp)</f>
        <v>189.02472060372321</v>
      </c>
      <c r="J201" s="85">
        <f>IF(H201,An,'2030'!An_max)</f>
        <v>2029</v>
      </c>
      <c r="K201" s="193">
        <f t="shared" si="52"/>
        <v>48035</v>
      </c>
      <c r="L201" s="143">
        <f>IF(t&lt;Tvie,1-EXP((T0-t)*PertePVj)+'2030'!Pspv,1-EXP((T0-t)*PertePVj)+Pspv)</f>
        <v>4.8230024691838791E-2</v>
      </c>
      <c r="M201" s="835"/>
      <c r="N201" s="835"/>
      <c r="O201" s="48">
        <f>IF(t&lt;Tnet,'2030'!Resal+('2030'!Salim-'2030'!Resal)*(1-EXP(('2030'!Tnet-t)/('2030'!Tau_j))),Resal+(Salim-Resal)*(1-EXP((Tnet-t)/(Tau_j))))*Salcycl</f>
        <v>3.6853887086228027E-2</v>
      </c>
      <c r="P201" s="165">
        <f>(INDEX(Models!$BJ201:$BT201,,T201)*(1-R201)+INDEX(Models!$BJ201:$BT201,,T201+1)*R201-ERP_i)*Q201*Ramure*Pc/MaxiM</f>
        <v>9.0725696228691449E-5</v>
      </c>
      <c r="Q201" s="301">
        <f t="shared" si="53"/>
        <v>0.5</v>
      </c>
      <c r="R201" s="173">
        <f t="shared" si="54"/>
        <v>0.33664133508354532</v>
      </c>
      <c r="S201" s="801">
        <f t="shared" si="55"/>
        <v>1</v>
      </c>
      <c r="T201" s="172">
        <f t="shared" si="56"/>
        <v>7</v>
      </c>
      <c r="U201" s="247">
        <f t="shared" si="57"/>
        <v>1.3366413350835453</v>
      </c>
      <c r="V201" s="378">
        <f t="shared" si="58"/>
        <v>228.12358070148699</v>
      </c>
      <c r="W201" s="397">
        <f t="shared" si="59"/>
        <v>173.26318640784865</v>
      </c>
      <c r="X201" s="153">
        <f t="shared" si="60"/>
        <v>48035</v>
      </c>
      <c r="Y201" s="380">
        <f t="shared" si="61"/>
        <v>168.55821670765832</v>
      </c>
      <c r="Z201" s="380">
        <f t="shared" si="62"/>
        <v>177.09974161885393</v>
      </c>
      <c r="AA201" s="381">
        <f t="shared" si="63"/>
        <v>188.95554027578544</v>
      </c>
      <c r="AB201" s="193">
        <f t="shared" si="64"/>
        <v>48035</v>
      </c>
      <c r="AC201" s="119">
        <f>IF(OR(t&lt;Tnet,NoTnet),'2030'!Resal_s+('2030'!Salim-'2030'!Resal_s)*(1-EXP(('2030'!Tnet_s-t)/'2030'!Tau_j)),Resal_s+(Salim-Resal_s)*(1-EXP((Tnet_s-t)/Tau_j)))*Salcycl</f>
        <v>6.2743853075848829E-2</v>
      </c>
      <c r="AD201" s="227">
        <f>(INDEX(Models!$BJ201:$BT201,,AH201)*(1-AF201)+INDEX(Models!$BJ201:$BT201,,AH201+1)*AF201-ERP_i)*AE201*Ramure*Pc/MaxiM</f>
        <v>5.2029075628225055E-4</v>
      </c>
      <c r="AE201" s="301">
        <f t="shared" si="65"/>
        <v>0.5</v>
      </c>
      <c r="AF201" s="173">
        <f t="shared" si="66"/>
        <v>0.86162890145752336</v>
      </c>
      <c r="AG201" s="801">
        <f t="shared" si="74"/>
        <v>4</v>
      </c>
      <c r="AH201" s="172">
        <f t="shared" si="67"/>
        <v>10</v>
      </c>
      <c r="AI201" s="221">
        <f t="shared" si="68"/>
        <v>4.8616289014575234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48036</v>
      </c>
      <c r="B202" s="406">
        <f>'2030'!Wh/'2030'!Env_an*'2031'!Env_an</f>
        <v>215.32310607315446</v>
      </c>
      <c r="C202" s="831"/>
      <c r="D202" s="388">
        <f t="shared" si="50"/>
        <v>226.23749360898836</v>
      </c>
      <c r="E202" s="380">
        <f t="shared" si="75"/>
        <v>234.90835266671888</v>
      </c>
      <c r="F202" s="380">
        <f t="shared" si="51"/>
        <v>234.92859123179377</v>
      </c>
      <c r="G202" s="110">
        <f t="shared" si="76"/>
        <v>0.9449931019036365</v>
      </c>
      <c r="H202" s="409" t="b">
        <f>Wh_hp&gt;='2030'!Maxi_hp</f>
        <v>0</v>
      </c>
      <c r="I202" s="385">
        <f>IF(H202,Wh_hp,'2030'!Maxi_hp)</f>
        <v>234.92994084873499</v>
      </c>
      <c r="J202" s="85">
        <f>IF(H202,An,'2030'!An_max)</f>
        <v>2029</v>
      </c>
      <c r="K202" s="193">
        <f t="shared" si="52"/>
        <v>48036</v>
      </c>
      <c r="L202" s="143">
        <f>IF(t&lt;Tvie,1-EXP((T0-t)*PertePVj)+'2030'!Pspv,1-EXP((T0-t)*PertePVj)+Pspv)</f>
        <v>4.8243053623540755E-2</v>
      </c>
      <c r="M202" s="835"/>
      <c r="N202" s="835"/>
      <c r="O202" s="48">
        <f>IF(t&lt;Tnet,'2030'!Resal+('2030'!Salim-'2030'!Resal)*(1-EXP(('2030'!Tnet-t)/('2030'!Tau_j))),Resal+(Salim-Resal)*(1-EXP((Tnet-t)/(Tau_j))))*Salcycl</f>
        <v>3.6911667717633163E-2</v>
      </c>
      <c r="P202" s="165">
        <f>(INDEX(Models!$BJ202:$BT202,,T202)*(1-R202)+INDEX(Models!$BJ202:$BT202,,T202+1)*R202-ERP_i)*Q202*Ramure*Pc/MaxiM</f>
        <v>9.3493655083292903E-5</v>
      </c>
      <c r="Q202" s="301">
        <f t="shared" si="53"/>
        <v>0.5</v>
      </c>
      <c r="R202" s="173">
        <f t="shared" si="54"/>
        <v>0.34051912679858498</v>
      </c>
      <c r="S202" s="801">
        <f t="shared" si="55"/>
        <v>1</v>
      </c>
      <c r="T202" s="172">
        <f t="shared" si="56"/>
        <v>7</v>
      </c>
      <c r="U202" s="247">
        <f t="shared" si="57"/>
        <v>1.340519126798585</v>
      </c>
      <c r="V202" s="378">
        <f t="shared" si="58"/>
        <v>227.85512799609722</v>
      </c>
      <c r="W202" s="397">
        <f t="shared" si="59"/>
        <v>215.32310607315446</v>
      </c>
      <c r="X202" s="153">
        <f t="shared" si="60"/>
        <v>48036</v>
      </c>
      <c r="Y202" s="380">
        <f t="shared" si="61"/>
        <v>209.45581420663032</v>
      </c>
      <c r="Z202" s="380">
        <f t="shared" si="62"/>
        <v>220.07279800170943</v>
      </c>
      <c r="AA202" s="381">
        <f t="shared" si="63"/>
        <v>234.81386813002152</v>
      </c>
      <c r="AB202" s="193">
        <f t="shared" si="64"/>
        <v>48036</v>
      </c>
      <c r="AC202" s="119">
        <f>IF(OR(t&lt;Tnet,NoTnet),'2030'!Resal_s+('2030'!Salim-'2030'!Resal_s)*(1-EXP(('2030'!Tnet_s-t)/'2030'!Tau_j)),Resal_s+(Salim-Resal_s)*(1-EXP((Tnet_s-t)/Tau_j)))*Salcycl</f>
        <v>6.2777681087173354E-2</v>
      </c>
      <c r="AD202" s="227">
        <f>(INDEX(Models!$BJ202:$BT202,,AH202)*(1-AF202)+INDEX(Models!$BJ202:$BT202,,AH202+1)*AF202-ERP_i)*AE202*Ramure*Pc/MaxiM</f>
        <v>5.2997245938591145E-4</v>
      </c>
      <c r="AE202" s="301">
        <f t="shared" si="65"/>
        <v>0.5</v>
      </c>
      <c r="AF202" s="173">
        <f t="shared" si="66"/>
        <v>0.86550669317256279</v>
      </c>
      <c r="AG202" s="801">
        <f t="shared" si="74"/>
        <v>4</v>
      </c>
      <c r="AH202" s="172">
        <f t="shared" si="67"/>
        <v>10</v>
      </c>
      <c r="AI202" s="221">
        <f t="shared" si="68"/>
        <v>4.8655066931725628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48037</v>
      </c>
      <c r="B203" s="406">
        <f>'2030'!Wh/'2030'!Env_an*'2031'!Env_an</f>
        <v>228.35205659380688</v>
      </c>
      <c r="C203" s="831"/>
      <c r="D203" s="388">
        <f t="shared" si="50"/>
        <v>239.93014545771291</v>
      </c>
      <c r="E203" s="380">
        <f t="shared" si="75"/>
        <v>249.14060858840304</v>
      </c>
      <c r="F203" s="380">
        <f t="shared" si="51"/>
        <v>249.16458276776109</v>
      </c>
      <c r="G203" s="110">
        <f t="shared" si="76"/>
        <v>1.0034359116923777</v>
      </c>
      <c r="H203" s="409" t="b">
        <f>Wh_hp&gt;='2030'!Maxi_hp</f>
        <v>1</v>
      </c>
      <c r="I203" s="385">
        <f>IF(H203,Wh_hp,'2030'!Maxi_hp)</f>
        <v>249.16458276776109</v>
      </c>
      <c r="J203" s="85">
        <f>IF(H203,An,'2030'!An_max)</f>
        <v>2031</v>
      </c>
      <c r="K203" s="193">
        <f t="shared" si="52"/>
        <v>48037</v>
      </c>
      <c r="L203" s="143">
        <f>IF(t&lt;Tvie,1-EXP((T0-t)*PertePVj)+'2030'!Pspv,1-EXP((T0-t)*PertePVj)+Pspv)</f>
        <v>4.825608237688761E-2</v>
      </c>
      <c r="M203" s="835"/>
      <c r="N203" s="835"/>
      <c r="O203" s="48">
        <f>IF(t&lt;Tnet,'2030'!Resal+('2030'!Salim-'2030'!Resal)*(1-EXP(('2030'!Tnet-t)/('2030'!Tau_j))),Resal+(Salim-Resal)*(1-EXP((Tnet-t)/(Tau_j))))*Salcycl</f>
        <v>3.6968935665989515E-2</v>
      </c>
      <c r="P203" s="165">
        <f>(INDEX(Models!$BJ203:$BT203,,T203)*(1-R203)+INDEX(Models!$BJ203:$BT203,,T203+1)*R203-ERP_i)*Q203*Ramure*Pc/MaxiM</f>
        <v>9.6218246958452948E-5</v>
      </c>
      <c r="Q203" s="301">
        <f t="shared" si="53"/>
        <v>0.5</v>
      </c>
      <c r="R203" s="173">
        <f t="shared" si="54"/>
        <v>0.34431741836418728</v>
      </c>
      <c r="S203" s="801">
        <f t="shared" si="55"/>
        <v>1</v>
      </c>
      <c r="T203" s="172">
        <f t="shared" si="56"/>
        <v>7</v>
      </c>
      <c r="U203" s="247">
        <f t="shared" si="57"/>
        <v>1.3443174183641873</v>
      </c>
      <c r="V203" s="378">
        <f t="shared" si="58"/>
        <v>227.57014566946506</v>
      </c>
      <c r="W203" s="397">
        <f t="shared" si="59"/>
        <v>228.35205659380688</v>
      </c>
      <c r="X203" s="153">
        <f t="shared" si="60"/>
        <v>48037</v>
      </c>
      <c r="Y203" s="380">
        <f t="shared" si="61"/>
        <v>222.12608551426297</v>
      </c>
      <c r="Z203" s="380">
        <f t="shared" si="62"/>
        <v>233.38850020602305</v>
      </c>
      <c r="AA203" s="381">
        <f t="shared" si="63"/>
        <v>249.03026195166302</v>
      </c>
      <c r="AB203" s="193">
        <f t="shared" si="64"/>
        <v>48037</v>
      </c>
      <c r="AC203" s="119">
        <f>IF(OR(t&lt;Tnet,NoTnet),'2030'!Resal_s+('2030'!Salim-'2030'!Resal_s)*(1-EXP(('2030'!Tnet_s-t)/'2030'!Tau_j)),Resal_s+(Salim-Resal_s)*(1-EXP((Tnet_s-t)/Tau_j)))*Salcycl</f>
        <v>6.281068663324163E-2</v>
      </c>
      <c r="AD203" s="227">
        <f>(INDEX(Models!$BJ203:$BT203,,AH203)*(1-AF203)+INDEX(Models!$BJ203:$BT203,,AH203+1)*AF203-ERP_i)*AE203*Ramure*Pc/MaxiM</f>
        <v>5.3908470700783683E-4</v>
      </c>
      <c r="AE203" s="301">
        <f t="shared" si="65"/>
        <v>0.5</v>
      </c>
      <c r="AF203" s="173">
        <f t="shared" si="66"/>
        <v>0.86930498473816531</v>
      </c>
      <c r="AG203" s="801">
        <f t="shared" si="74"/>
        <v>4</v>
      </c>
      <c r="AH203" s="172">
        <f t="shared" si="67"/>
        <v>10</v>
      </c>
      <c r="AI203" s="221">
        <f t="shared" si="68"/>
        <v>4.8693049847381653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48038</v>
      </c>
      <c r="B204" s="406">
        <f>'2030'!Wh/'2030'!Env_an*'2031'!Env_an</f>
        <v>225.96603525463419</v>
      </c>
      <c r="C204" s="831"/>
      <c r="D204" s="388">
        <f t="shared" si="50"/>
        <v>237.42639632158628</v>
      </c>
      <c r="E204" s="380">
        <f t="shared" si="75"/>
        <v>246.55527982728097</v>
      </c>
      <c r="F204" s="380">
        <f t="shared" si="51"/>
        <v>246.57946593086302</v>
      </c>
      <c r="G204" s="110">
        <f t="shared" si="76"/>
        <v>0.99427204004380254</v>
      </c>
      <c r="H204" s="409" t="b">
        <f>Wh_hp&gt;='2030'!Maxi_hp</f>
        <v>0</v>
      </c>
      <c r="I204" s="385">
        <f>IF(H204,Wh_hp,'2030'!Maxi_hp)</f>
        <v>246.57962082377705</v>
      </c>
      <c r="J204" s="85">
        <f>IF(H204,An,'2030'!An_max)</f>
        <v>2029</v>
      </c>
      <c r="K204" s="193">
        <f t="shared" si="52"/>
        <v>48038</v>
      </c>
      <c r="L204" s="143">
        <f>IF(t&lt;Tvie,1-EXP((T0-t)*PertePVj)+'2030'!Pspv,1-EXP((T0-t)*PertePVj)+Pspv)</f>
        <v>4.8269110951881689E-2</v>
      </c>
      <c r="M204" s="835"/>
      <c r="N204" s="835"/>
      <c r="O204" s="48">
        <f>IF(t&lt;Tnet,'2030'!Resal+('2030'!Salim-'2030'!Resal)*(1-EXP(('2030'!Tnet-t)/('2030'!Tau_j))),Resal+(Salim-Resal)*(1-EXP((Tnet-t)/(Tau_j))))*Salcycl</f>
        <v>3.702570681954058E-2</v>
      </c>
      <c r="P204" s="165">
        <f>(INDEX(Models!$BJ204:$BT204,,T204)*(1-R204)+INDEX(Models!$BJ204:$BT204,,T204+1)*R204-ERP_i)*Q204*Ramure*Pc/MaxiM</f>
        <v>9.8895575494732402E-5</v>
      </c>
      <c r="Q204" s="301">
        <f t="shared" si="53"/>
        <v>0.5</v>
      </c>
      <c r="R204" s="173">
        <f t="shared" si="54"/>
        <v>0.34803552148963934</v>
      </c>
      <c r="S204" s="801">
        <f t="shared" si="55"/>
        <v>1</v>
      </c>
      <c r="T204" s="172">
        <f t="shared" si="56"/>
        <v>7</v>
      </c>
      <c r="U204" s="247">
        <f t="shared" si="57"/>
        <v>1.3480355214896393</v>
      </c>
      <c r="V204" s="378">
        <f t="shared" si="58"/>
        <v>227.26763229816143</v>
      </c>
      <c r="W204" s="397">
        <f t="shared" si="59"/>
        <v>225.96603525463419</v>
      </c>
      <c r="X204" s="153">
        <f t="shared" si="60"/>
        <v>48038</v>
      </c>
      <c r="Y204" s="380">
        <f t="shared" si="61"/>
        <v>219.81003826866097</v>
      </c>
      <c r="Z204" s="380">
        <f t="shared" si="62"/>
        <v>230.95818450161457</v>
      </c>
      <c r="AA204" s="381">
        <f t="shared" si="63"/>
        <v>246.44553648610679</v>
      </c>
      <c r="AB204" s="193">
        <f t="shared" si="64"/>
        <v>48038</v>
      </c>
      <c r="AC204" s="119">
        <f>IF(OR(t&lt;Tnet,NoTnet),'2030'!Resal_s+('2030'!Salim-'2030'!Resal_s)*(1-EXP(('2030'!Tnet_s-t)/'2030'!Tau_j)),Resal_s+(Salim-Resal_s)*(1-EXP((Tnet_s-t)/Tau_j)))*Salcycl</f>
        <v>6.2842899105885475E-2</v>
      </c>
      <c r="AD204" s="227">
        <f>(INDEX(Models!$BJ204:$BT204,,AH204)*(1-AF204)+INDEX(Models!$BJ204:$BT204,,AH204+1)*AF204-ERP_i)*AE204*Ramure*Pc/MaxiM</f>
        <v>5.4762973580783024E-4</v>
      </c>
      <c r="AE204" s="301">
        <f t="shared" si="65"/>
        <v>0.5</v>
      </c>
      <c r="AF204" s="173">
        <f t="shared" si="66"/>
        <v>0.8730230878636176</v>
      </c>
      <c r="AG204" s="801">
        <f t="shared" si="74"/>
        <v>4</v>
      </c>
      <c r="AH204" s="172">
        <f t="shared" si="67"/>
        <v>10</v>
      </c>
      <c r="AI204" s="221">
        <f t="shared" si="68"/>
        <v>4.8730230878636176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48039</v>
      </c>
      <c r="B205" s="406">
        <f>'2030'!Wh/'2030'!Env_an*'2031'!Env_an</f>
        <v>224.15121232596164</v>
      </c>
      <c r="C205" s="831"/>
      <c r="D205" s="388">
        <f t="shared" si="50"/>
        <v>235.52275479260689</v>
      </c>
      <c r="E205" s="380">
        <f t="shared" si="75"/>
        <v>244.59274228168715</v>
      </c>
      <c r="F205" s="380">
        <f t="shared" si="51"/>
        <v>244.61713923285649</v>
      </c>
      <c r="G205" s="110">
        <f t="shared" si="76"/>
        <v>0.98767945976888505</v>
      </c>
      <c r="H205" s="409" t="b">
        <f>Wh_hp&gt;='2030'!Maxi_hp</f>
        <v>0</v>
      </c>
      <c r="I205" s="385">
        <f>IF(H205,Wh_hp,'2030'!Maxi_hp)</f>
        <v>244.61747709166897</v>
      </c>
      <c r="J205" s="85">
        <f>IF(H205,An,'2030'!An_max)</f>
        <v>2029</v>
      </c>
      <c r="K205" s="193">
        <f t="shared" si="52"/>
        <v>48039</v>
      </c>
      <c r="L205" s="143">
        <f>IF(t&lt;Tvie,1-EXP((T0-t)*PertePVj)+'2030'!Pspv,1-EXP((T0-t)*PertePVj)+Pspv)</f>
        <v>4.8282139348525543E-2</v>
      </c>
      <c r="M205" s="835"/>
      <c r="N205" s="835"/>
      <c r="O205" s="48">
        <f>IF(t&lt;Tnet,'2030'!Resal+('2030'!Salim-'2030'!Resal)*(1-EXP(('2030'!Tnet-t)/('2030'!Tau_j))),Resal+(Salim-Resal)*(1-EXP((Tnet-t)/(Tau_j))))*Salcycl</f>
        <v>3.7081997627855849E-2</v>
      </c>
      <c r="P205" s="165">
        <f>(INDEX(Models!$BJ205:$BT205,,T205)*(1-R205)+INDEX(Models!$BJ205:$BT205,,T205+1)*R205-ERP_i)*Q205*Ramure*Pc/MaxiM</f>
        <v>1.0152185556332542E-4</v>
      </c>
      <c r="Q205" s="301">
        <f t="shared" si="53"/>
        <v>0.5</v>
      </c>
      <c r="R205" s="173">
        <f t="shared" si="54"/>
        <v>0.35167290913746818</v>
      </c>
      <c r="S205" s="801">
        <f t="shared" si="55"/>
        <v>1</v>
      </c>
      <c r="T205" s="172">
        <f t="shared" si="56"/>
        <v>7</v>
      </c>
      <c r="U205" s="247">
        <f t="shared" si="57"/>
        <v>1.3516729091374682</v>
      </c>
      <c r="V205" s="378">
        <f t="shared" si="58"/>
        <v>226.94692047997921</v>
      </c>
      <c r="W205" s="397">
        <f t="shared" si="59"/>
        <v>224.15121232596164</v>
      </c>
      <c r="X205" s="153">
        <f t="shared" si="60"/>
        <v>48039</v>
      </c>
      <c r="Y205" s="380">
        <f t="shared" si="61"/>
        <v>218.04985983275913</v>
      </c>
      <c r="Z205" s="380">
        <f t="shared" si="62"/>
        <v>229.11187112060563</v>
      </c>
      <c r="AA205" s="381">
        <f t="shared" si="63"/>
        <v>244.48361946733525</v>
      </c>
      <c r="AB205" s="193">
        <f t="shared" si="64"/>
        <v>48039</v>
      </c>
      <c r="AC205" s="119">
        <f>IF(OR(t&lt;Tnet,NoTnet),'2030'!Resal_s+('2030'!Salim-'2030'!Resal_s)*(1-EXP(('2030'!Tnet_s-t)/'2030'!Tau_j)),Resal_s+(Salim-Resal_s)*(1-EXP((Tnet_s-t)/Tau_j)))*Salcycl</f>
        <v>6.2874348720051529E-2</v>
      </c>
      <c r="AD205" s="227">
        <f>(INDEX(Models!$BJ205:$BT205,,AH205)*(1-AF205)+INDEX(Models!$BJ205:$BT205,,AH205+1)*AF205-ERP_i)*AE205*Ramure*Pc/MaxiM</f>
        <v>5.5560935692388887E-4</v>
      </c>
      <c r="AE205" s="301">
        <f t="shared" si="65"/>
        <v>0.5</v>
      </c>
      <c r="AF205" s="173">
        <f t="shared" si="66"/>
        <v>0.87666047551144644</v>
      </c>
      <c r="AG205" s="801">
        <f t="shared" si="74"/>
        <v>4</v>
      </c>
      <c r="AH205" s="172">
        <f t="shared" si="67"/>
        <v>10</v>
      </c>
      <c r="AI205" s="221">
        <f t="shared" si="68"/>
        <v>4.8766604755114464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48040</v>
      </c>
      <c r="B206" s="406">
        <f>'2030'!Wh/'2030'!Env_an*'2031'!Env_an</f>
        <v>218.0825432567776</v>
      </c>
      <c r="C206" s="831"/>
      <c r="D206" s="388">
        <f t="shared" si="50"/>
        <v>229.14934948813527</v>
      </c>
      <c r="E206" s="380">
        <f t="shared" si="75"/>
        <v>237.98769484947175</v>
      </c>
      <c r="F206" s="380">
        <f t="shared" si="51"/>
        <v>238.0111493130982</v>
      </c>
      <c r="G206" s="110">
        <f t="shared" si="76"/>
        <v>0.96236973022117489</v>
      </c>
      <c r="H206" s="409" t="b">
        <f>Wh_hp&gt;='2030'!Maxi_hp</f>
        <v>0</v>
      </c>
      <c r="I206" s="385">
        <f>IF(H206,Wh_hp,'2030'!Maxi_hp)</f>
        <v>238.01217455982328</v>
      </c>
      <c r="J206" s="85">
        <f>IF(H206,An,'2030'!An_max)</f>
        <v>2029</v>
      </c>
      <c r="K206" s="193">
        <f t="shared" si="52"/>
        <v>48040</v>
      </c>
      <c r="L206" s="143">
        <f>IF(t&lt;Tvie,1-EXP((T0-t)*PertePVj)+'2030'!Pspv,1-EXP((T0-t)*PertePVj)+Pspv)</f>
        <v>4.8295167566821617E-2</v>
      </c>
      <c r="M206" s="835"/>
      <c r="N206" s="835"/>
      <c r="O206" s="48">
        <f>IF(t&lt;Tnet,'2030'!Resal+('2030'!Salim-'2030'!Resal)*(1-EXP(('2030'!Tnet-t)/('2030'!Tau_j))),Resal+(Salim-Resal)*(1-EXP((Tnet-t)/(Tau_j))))*Salcycl</f>
        <v>3.713782499102225E-2</v>
      </c>
      <c r="P206" s="165">
        <f>(INDEX(Models!$BJ206:$BT206,,T206)*(1-R206)+INDEX(Models!$BJ206:$BT206,,T206+1)*R206-ERP_i)*Q206*Ramure*Pc/MaxiM</f>
        <v>1.0414111770530532E-4</v>
      </c>
      <c r="Q206" s="301">
        <f t="shared" si="53"/>
        <v>0.5</v>
      </c>
      <c r="R206" s="173">
        <f t="shared" si="54"/>
        <v>0.35522921019583231</v>
      </c>
      <c r="S206" s="801">
        <f t="shared" si="55"/>
        <v>1</v>
      </c>
      <c r="T206" s="172">
        <f t="shared" si="56"/>
        <v>7</v>
      </c>
      <c r="U206" s="247">
        <f t="shared" si="57"/>
        <v>1.3552292101958323</v>
      </c>
      <c r="V206" s="378">
        <f t="shared" si="58"/>
        <v>226.608667704646</v>
      </c>
      <c r="W206" s="397">
        <f t="shared" si="59"/>
        <v>218.0825432567776</v>
      </c>
      <c r="X206" s="153">
        <f t="shared" si="60"/>
        <v>48040</v>
      </c>
      <c r="Y206" s="380">
        <f t="shared" si="61"/>
        <v>212.15423994214507</v>
      </c>
      <c r="Z206" s="380">
        <f t="shared" si="62"/>
        <v>222.92020877916573</v>
      </c>
      <c r="AA206" s="381">
        <f t="shared" si="63"/>
        <v>237.88433889440572</v>
      </c>
      <c r="AB206" s="193">
        <f t="shared" si="64"/>
        <v>48040</v>
      </c>
      <c r="AC206" s="119">
        <f>IF(OR(t&lt;Tnet,NoTnet),'2030'!Resal_s+('2030'!Salim-'2030'!Resal_s)*(1-EXP(('2030'!Tnet_s-t)/'2030'!Tau_j)),Resal_s+(Salim-Resal_s)*(1-EXP((Tnet_s-t)/Tau_j)))*Salcycl</f>
        <v>6.2905066322514053E-2</v>
      </c>
      <c r="AD206" s="227">
        <f>(INDEX(Models!$BJ206:$BT206,,AH206)*(1-AF206)+INDEX(Models!$BJ206:$BT206,,AH206+1)*AF206-ERP_i)*AE206*Ramure*Pc/MaxiM</f>
        <v>5.6305609668340036E-4</v>
      </c>
      <c r="AE206" s="301">
        <f t="shared" si="65"/>
        <v>0.5</v>
      </c>
      <c r="AF206" s="173">
        <f t="shared" si="66"/>
        <v>0.88021677656981012</v>
      </c>
      <c r="AG206" s="801">
        <f t="shared" si="74"/>
        <v>4</v>
      </c>
      <c r="AH206" s="172">
        <f t="shared" si="67"/>
        <v>10</v>
      </c>
      <c r="AI206" s="221">
        <f t="shared" si="68"/>
        <v>4.8802167765698101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48041</v>
      </c>
      <c r="B207" s="406">
        <f>'2030'!Wh/'2030'!Env_an*'2031'!Env_an</f>
        <v>215.52731230293631</v>
      </c>
      <c r="C207" s="831"/>
      <c r="D207" s="388">
        <f t="shared" ref="D207:D270" si="77">Wh/(1-Ppv)</f>
        <v>226.46755105803456</v>
      </c>
      <c r="E207" s="380">
        <f t="shared" si="75"/>
        <v>235.21598778111189</v>
      </c>
      <c r="F207" s="380">
        <f t="shared" ref="F207:F270" si="78">Wh_sa/(1-Pvg*MEDIAN((-Sdif+Wh/Env_an)/Csdif,0,1))</f>
        <v>235.23939234873387</v>
      </c>
      <c r="G207" s="110">
        <f t="shared" si="76"/>
        <v>0.95258367260460686</v>
      </c>
      <c r="H207" s="409" t="b">
        <f>Wh_hp&gt;='2030'!Maxi_hp</f>
        <v>0</v>
      </c>
      <c r="I207" s="385">
        <f>IF(H207,Wh_hp,'2030'!Maxi_hp)</f>
        <v>235.24069445483727</v>
      </c>
      <c r="J207" s="85">
        <f>IF(H207,An,'2030'!An_max)</f>
        <v>2029</v>
      </c>
      <c r="K207" s="193">
        <f t="shared" ref="K207:K270" si="79">t</f>
        <v>48041</v>
      </c>
      <c r="L207" s="143">
        <f>IF(t&lt;Tvie,1-EXP((T0-t)*PertePVj)+'2030'!Pspv,1-EXP((T0-t)*PertePVj)+Pspv)</f>
        <v>4.8308195606772353E-2</v>
      </c>
      <c r="M207" s="835"/>
      <c r="N207" s="835"/>
      <c r="O207" s="48">
        <f>IF(t&lt;Tnet,'2030'!Resal+('2030'!Salim-'2030'!Resal)*(1-EXP(('2030'!Tnet-t)/('2030'!Tau_j))),Resal+(Salim-Resal)*(1-EXP((Tnet-t)/(Tau_j))))*Salcycl</f>
        <v>3.719320614897343E-2</v>
      </c>
      <c r="P207" s="165">
        <f>(INDEX(Models!$BJ207:$BT207,,T207)*(1-R207)+INDEX(Models!$BJ207:$BT207,,T207+1)*R207-ERP_i)*Q207*Ramure*Pc/MaxiM</f>
        <v>1.0672049407072951E-4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0.35870420374255052</v>
      </c>
      <c r="S207" s="801">
        <f t="shared" ref="S207:S270" si="82">INDEX(Echel_vg,T207)</f>
        <v>1</v>
      </c>
      <c r="T207" s="172">
        <f t="shared" ref="T207:T270" si="83">MIN(MATCH(Hp_vg,Echel_vg),10)</f>
        <v>7</v>
      </c>
      <c r="U207" s="247">
        <f t="shared" ref="U207:U270" si="84">IF(OR(t&lt;Ttai,Notai),Hdd+PousH*Croivg,Hdtf+PousH*(Croivg-Croi_tai))</f>
        <v>1.3587042037425505</v>
      </c>
      <c r="V207" s="378">
        <f t="shared" ref="V207:V270" si="85">MaxiM*(1-Ppv)*(1-Pvg)*(1-Psa)</f>
        <v>226.25388249604694</v>
      </c>
      <c r="W207" s="397">
        <f t="shared" ref="W207:W270" si="86">Wh*(A207&gt;Tmaj)</f>
        <v>215.52731230293631</v>
      </c>
      <c r="X207" s="153">
        <f t="shared" ref="X207:X270" si="87">t</f>
        <v>48041</v>
      </c>
      <c r="Y207" s="380">
        <f t="shared" ref="Y207:Y270" si="88">Wh_pvt_s*(1-Ppv)</f>
        <v>209.67435652258669</v>
      </c>
      <c r="Z207" s="380">
        <f t="shared" ref="Z207:Z270" si="89">Wh_sa_s*(1-Psa_s)</f>
        <v>220.3174972766202</v>
      </c>
      <c r="AA207" s="381">
        <f t="shared" ref="AA207:AA270" si="90">Wh_hp*(1-Pvg_s*MEDIAN((-Sdif+Wh/Env_an)/Csdif,0,1))</f>
        <v>235.11444439672056</v>
      </c>
      <c r="AB207" s="193">
        <f t="shared" ref="AB207:AB270" si="91">t</f>
        <v>48041</v>
      </c>
      <c r="AC207" s="119">
        <f>IF(OR(t&lt;Tnet,NoTnet),'2030'!Resal_s+('2030'!Salim-'2030'!Resal_s)*(1-EXP(('2030'!Tnet_s-t)/'2030'!Tau_j)),Resal_s+(Salim-Resal_s)*(1-EXP((Tnet_s-t)/Tau_j)))*Salcycl</f>
        <v>6.2935083202003181E-2</v>
      </c>
      <c r="AD207" s="227">
        <f>(INDEX(Models!$BJ207:$BT207,,AH207)*(1-AF207)+INDEX(Models!$BJ207:$BT207,,AH207+1)*AF207-ERP_i)*AE207*Ramure*Pc/MaxiM</f>
        <v>5.6973952210365619E-4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0.88369177011652855</v>
      </c>
      <c r="AG207" s="801">
        <f t="shared" si="74"/>
        <v>4</v>
      </c>
      <c r="AH207" s="172">
        <f t="shared" ref="AH207:AH270" si="94">MIN(MATCH(Hp_vg_s,Echel_vg),10)</f>
        <v>10</v>
      </c>
      <c r="AI207" s="221">
        <f t="shared" ref="AI207:AI270" si="95">IF(OR(t&lt;Ttai,Notai),Hdd_s+PousH*Croivg,Hdtai_s+PousH*(Croivg-Croi_tai))</f>
        <v>4.8836917701165286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48042</v>
      </c>
      <c r="B208" s="406">
        <f>'2030'!Wh/'2030'!Env_an*'2031'!Env_an</f>
        <v>215.65469693180208</v>
      </c>
      <c r="C208" s="831"/>
      <c r="D208" s="388">
        <f t="shared" si="77"/>
        <v>226.60450379880555</v>
      </c>
      <c r="E208" s="380">
        <f t="shared" si="75"/>
        <v>235.37166489615862</v>
      </c>
      <c r="F208" s="380">
        <f t="shared" si="78"/>
        <v>235.39571974141097</v>
      </c>
      <c r="G208" s="110">
        <f t="shared" si="76"/>
        <v>0.95470943789771634</v>
      </c>
      <c r="H208" s="409" t="b">
        <f>Wh_hp&gt;='2030'!Maxi_hp</f>
        <v>0</v>
      </c>
      <c r="I208" s="385">
        <f>IF(H208,Wh_hp,'2030'!Maxi_hp)</f>
        <v>235.39698733659677</v>
      </c>
      <c r="J208" s="85">
        <f>IF(H208,An,'2030'!An_max)</f>
        <v>2029</v>
      </c>
      <c r="K208" s="193">
        <f t="shared" si="79"/>
        <v>48042</v>
      </c>
      <c r="L208" s="143">
        <f>IF(t&lt;Tvie,1-EXP((T0-t)*PertePVj)+'2030'!Pspv,1-EXP((T0-t)*PertePVj)+Pspv)</f>
        <v>4.8321223468380081E-2</v>
      </c>
      <c r="M208" s="835"/>
      <c r="N208" s="835"/>
      <c r="O208" s="48">
        <f>IF(t&lt;Tnet,'2030'!Resal+('2030'!Salim-'2030'!Resal)*(1-EXP(('2030'!Tnet-t)/('2030'!Tau_j))),Resal+(Salim-Resal)*(1-EXP((Tnet-t)/(Tau_j))))*Salcycl</f>
        <v>3.7248158571767699E-2</v>
      </c>
      <c r="P208" s="165">
        <f>(INDEX(Models!$BJ208:$BT208,,T208)*(1-R208)+INDEX(Models!$BJ208:$BT208,,T208+1)*R208-ERP_i)*Q208*Ramure*Pc/MaxiM</f>
        <v>1.0925692357878378E-4</v>
      </c>
      <c r="Q208" s="301">
        <f t="shared" si="80"/>
        <v>0.5</v>
      </c>
      <c r="R208" s="173">
        <f t="shared" si="81"/>
        <v>0.36209781295989596</v>
      </c>
      <c r="S208" s="801">
        <f t="shared" si="82"/>
        <v>1</v>
      </c>
      <c r="T208" s="172">
        <f t="shared" si="83"/>
        <v>7</v>
      </c>
      <c r="U208" s="247">
        <f t="shared" si="84"/>
        <v>1.362097812959896</v>
      </c>
      <c r="V208" s="378">
        <f t="shared" si="85"/>
        <v>225.88356622167103</v>
      </c>
      <c r="W208" s="397">
        <f t="shared" si="86"/>
        <v>215.65469693180208</v>
      </c>
      <c r="X208" s="153">
        <f t="shared" si="87"/>
        <v>48042</v>
      </c>
      <c r="Y208" s="380">
        <f t="shared" si="88"/>
        <v>209.80272712492516</v>
      </c>
      <c r="Z208" s="380">
        <f t="shared" si="89"/>
        <v>220.45540186316677</v>
      </c>
      <c r="AA208" s="381">
        <f t="shared" si="90"/>
        <v>235.26897925059905</v>
      </c>
      <c r="AB208" s="193">
        <f t="shared" si="91"/>
        <v>48042</v>
      </c>
      <c r="AC208" s="119">
        <f>IF(OR(t&lt;Tnet,NoTnet),'2030'!Resal_s+('2030'!Salim-'2030'!Resal_s)*(1-EXP(('2030'!Tnet_s-t)/'2030'!Tau_j)),Resal_s+(Salim-Resal_s)*(1-EXP((Tnet_s-t)/Tau_j)))*Salcycl</f>
        <v>6.2964430902101493E-2</v>
      </c>
      <c r="AD208" s="227">
        <f>(INDEX(Models!$BJ208:$BT208,,AH208)*(1-AF208)+INDEX(Models!$BJ208:$BT208,,AH208+1)*AF208-ERP_i)*AE208*Ramure*Pc/MaxiM</f>
        <v>5.756543421381649E-4</v>
      </c>
      <c r="AE208" s="301">
        <f t="shared" si="92"/>
        <v>0.5</v>
      </c>
      <c r="AF208" s="173">
        <f t="shared" si="93"/>
        <v>0.88708537933387444</v>
      </c>
      <c r="AG208" s="801">
        <f t="shared" ref="AG208:AG271" si="99">INDEX(Echel_vg,AH208)</f>
        <v>4</v>
      </c>
      <c r="AH208" s="172">
        <f t="shared" si="94"/>
        <v>10</v>
      </c>
      <c r="AI208" s="221">
        <f t="shared" si="95"/>
        <v>4.8870853793338744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48043</v>
      </c>
      <c r="B209" s="406">
        <f>'2030'!Wh/'2030'!Env_an*'2031'!Env_an</f>
        <v>213.32632275256833</v>
      </c>
      <c r="C209" s="831"/>
      <c r="D209" s="388">
        <f t="shared" si="77"/>
        <v>224.16097564793387</v>
      </c>
      <c r="E209" s="380">
        <f t="shared" si="75"/>
        <v>232.84678954992481</v>
      </c>
      <c r="F209" s="380">
        <f t="shared" si="78"/>
        <v>232.87080555399254</v>
      </c>
      <c r="G209" s="110">
        <f t="shared" si="76"/>
        <v>0.94601195242629887</v>
      </c>
      <c r="H209" s="409" t="b">
        <f>Wh_hp&gt;='2030'!Maxi_hp</f>
        <v>0</v>
      </c>
      <c r="I209" s="385">
        <f>IF(H209,Wh_hp,'2030'!Maxi_hp)</f>
        <v>232.87232615690147</v>
      </c>
      <c r="J209" s="85">
        <f>IF(H209,An,'2030'!An_max)</f>
        <v>2029</v>
      </c>
      <c r="K209" s="193">
        <f t="shared" si="79"/>
        <v>48043</v>
      </c>
      <c r="L209" s="143">
        <f>IF(t&lt;Tvie,1-EXP((T0-t)*PertePVj)+'2030'!Pspv,1-EXP((T0-t)*PertePVj)+Pspv)</f>
        <v>4.8334251151647356E-2</v>
      </c>
      <c r="M209" s="835"/>
      <c r="N209" s="835"/>
      <c r="O209" s="48">
        <f>IF(t&lt;Tnet,'2030'!Resal+('2030'!Salim-'2030'!Resal)*(1-EXP(('2030'!Tnet-t)/('2030'!Tau_j))),Resal+(Salim-Resal)*(1-EXP((Tnet-t)/(Tau_j))))*Salcycl</f>
        <v>3.7302699851606093E-2</v>
      </c>
      <c r="P209" s="165">
        <f>(INDEX(Models!$BJ209:$BT209,,T209)*(1-R209)+INDEX(Models!$BJ209:$BT209,,T209+1)*R209-ERP_i)*Q209*Ramure*Pc/MaxiM</f>
        <v>1.1174747239828284E-4</v>
      </c>
      <c r="Q209" s="301">
        <f t="shared" si="80"/>
        <v>0.5</v>
      </c>
      <c r="R209" s="173">
        <f t="shared" si="81"/>
        <v>0.36541009875802888</v>
      </c>
      <c r="S209" s="801">
        <f t="shared" si="82"/>
        <v>1</v>
      </c>
      <c r="T209" s="172">
        <f t="shared" si="83"/>
        <v>7</v>
      </c>
      <c r="U209" s="247">
        <f t="shared" si="84"/>
        <v>1.3654100987580289</v>
      </c>
      <c r="V209" s="378">
        <f t="shared" si="85"/>
        <v>225.49871988070564</v>
      </c>
      <c r="W209" s="397">
        <f t="shared" si="86"/>
        <v>213.32632275256833</v>
      </c>
      <c r="X209" s="153">
        <f t="shared" si="87"/>
        <v>48043</v>
      </c>
      <c r="Y209" s="380">
        <f t="shared" si="88"/>
        <v>207.54362926116917</v>
      </c>
      <c r="Z209" s="380">
        <f t="shared" si="89"/>
        <v>218.08458433260387</v>
      </c>
      <c r="AA209" s="381">
        <f t="shared" si="90"/>
        <v>232.74598499123601</v>
      </c>
      <c r="AB209" s="193">
        <f t="shared" si="91"/>
        <v>48043</v>
      </c>
      <c r="AC209" s="119">
        <f>IF(OR(t&lt;Tnet,NoTnet),'2030'!Resal_s+('2030'!Salim-'2030'!Resal_s)*(1-EXP(('2030'!Tnet_s-t)/'2030'!Tau_j)),Resal_s+(Salim-Resal_s)*(1-EXP((Tnet_s-t)/Tau_j)))*Salcycl</f>
        <v>6.2993141038219042E-2</v>
      </c>
      <c r="AD209" s="227">
        <f>(INDEX(Models!$BJ209:$BT209,,AH209)*(1-AF209)+INDEX(Models!$BJ209:$BT209,,AH209+1)*AF209-ERP_i)*AE209*Ramure*Pc/MaxiM</f>
        <v>5.8079530433260507E-4</v>
      </c>
      <c r="AE209" s="301">
        <f t="shared" si="92"/>
        <v>0.5</v>
      </c>
      <c r="AF209" s="173">
        <f t="shared" si="93"/>
        <v>0.89039766513200735</v>
      </c>
      <c r="AG209" s="801">
        <f t="shared" si="99"/>
        <v>4</v>
      </c>
      <c r="AH209" s="172">
        <f t="shared" si="94"/>
        <v>10</v>
      </c>
      <c r="AI209" s="221">
        <f t="shared" si="95"/>
        <v>4.8903976651320074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48044</v>
      </c>
      <c r="B210" s="406">
        <f>'2030'!Wh/'2030'!Env_an*'2031'!Env_an</f>
        <v>204.6307427057024</v>
      </c>
      <c r="C210" s="831"/>
      <c r="D210" s="388">
        <f t="shared" si="77"/>
        <v>215.02669841245293</v>
      </c>
      <c r="E210" s="380">
        <f t="shared" si="75"/>
        <v>223.37114004890751</v>
      </c>
      <c r="F210" s="380">
        <f t="shared" si="78"/>
        <v>223.39333534905782</v>
      </c>
      <c r="G210" s="110">
        <f t="shared" si="76"/>
        <v>0.90905106211109887</v>
      </c>
      <c r="H210" s="409" t="b">
        <f>Wh_hp&gt;='2030'!Maxi_hp</f>
        <v>0</v>
      </c>
      <c r="I210" s="385">
        <f>IF(H210,Wh_hp,'2030'!Maxi_hp)</f>
        <v>223.395832088715</v>
      </c>
      <c r="J210" s="85">
        <f>IF(H210,An,'2030'!An_max)</f>
        <v>2029</v>
      </c>
      <c r="K210" s="193">
        <f t="shared" si="79"/>
        <v>48044</v>
      </c>
      <c r="L210" s="143">
        <f>IF(t&lt;Tvie,1-EXP((T0-t)*PertePVj)+'2030'!Pspv,1-EXP((T0-t)*PertePVj)+Pspv)</f>
        <v>4.834727865657662E-2</v>
      </c>
      <c r="M210" s="835"/>
      <c r="N210" s="835"/>
      <c r="O210" s="48">
        <f>IF(t&lt;Tnet,'2030'!Resal+('2030'!Salim-'2030'!Resal)*(1-EXP(('2030'!Tnet-t)/('2030'!Tau_j))),Resal+(Salim-Resal)*(1-EXP((Tnet-t)/(Tau_j))))*Salcycl</f>
        <v>3.7356847597355428E-2</v>
      </c>
      <c r="P210" s="165">
        <f>(INDEX(Models!$BJ210:$BT210,,T210)*(1-R210)+INDEX(Models!$BJ210:$BT210,,T210+1)*R210-ERP_i)*Q210*Ramure*Pc/MaxiM</f>
        <v>1.1418933099146113E-4</v>
      </c>
      <c r="Q210" s="301">
        <f t="shared" si="80"/>
        <v>0.5</v>
      </c>
      <c r="R210" s="173">
        <f t="shared" si="81"/>
        <v>0.3686412531631813</v>
      </c>
      <c r="S210" s="801">
        <f t="shared" si="82"/>
        <v>1</v>
      </c>
      <c r="T210" s="172">
        <f t="shared" si="83"/>
        <v>7</v>
      </c>
      <c r="U210" s="247">
        <f t="shared" si="84"/>
        <v>1.3686412531631813</v>
      </c>
      <c r="V210" s="378">
        <f t="shared" si="85"/>
        <v>225.10034410979284</v>
      </c>
      <c r="W210" s="397">
        <f t="shared" si="86"/>
        <v>204.6307427057024</v>
      </c>
      <c r="X210" s="153">
        <f t="shared" si="87"/>
        <v>48044</v>
      </c>
      <c r="Y210" s="380">
        <f t="shared" si="88"/>
        <v>199.09358951063857</v>
      </c>
      <c r="Z210" s="380">
        <f t="shared" si="89"/>
        <v>209.20823851539384</v>
      </c>
      <c r="AA210" s="381">
        <f t="shared" si="90"/>
        <v>223.2795967099224</v>
      </c>
      <c r="AB210" s="193">
        <f t="shared" si="91"/>
        <v>48044</v>
      </c>
      <c r="AC210" s="119">
        <f>IF(OR(t&lt;Tnet,NoTnet),'2030'!Resal_s+('2030'!Salim-'2030'!Resal_s)*(1-EXP(('2030'!Tnet_s-t)/'2030'!Tau_j)),Resal_s+(Salim-Resal_s)*(1-EXP((Tnet_s-t)/Tau_j)))*Salcycl</f>
        <v>6.3021245119900593E-2</v>
      </c>
      <c r="AD210" s="227">
        <f>(INDEX(Models!$BJ210:$BT210,,AH210)*(1-AF210)+INDEX(Models!$BJ210:$BT210,,AH210+1)*AF210-ERP_i)*AE210*Ramure*Pc/MaxiM</f>
        <v>5.8515717394210583E-4</v>
      </c>
      <c r="AE210" s="301">
        <f t="shared" si="92"/>
        <v>0.5</v>
      </c>
      <c r="AF210" s="173">
        <f t="shared" si="93"/>
        <v>0.89362881953715956</v>
      </c>
      <c r="AG210" s="801">
        <f t="shared" si="99"/>
        <v>4</v>
      </c>
      <c r="AH210" s="172">
        <f t="shared" si="94"/>
        <v>10</v>
      </c>
      <c r="AI210" s="221">
        <f t="shared" si="95"/>
        <v>4.8936288195371596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48045</v>
      </c>
      <c r="B211" s="406">
        <f>'2030'!Wh/'2030'!Env_an*'2031'!Env_an</f>
        <v>210.02557411950249</v>
      </c>
      <c r="C211" s="831"/>
      <c r="D211" s="388">
        <f t="shared" si="77"/>
        <v>220.69862726405796</v>
      </c>
      <c r="E211" s="380">
        <f t="shared" si="75"/>
        <v>229.27598381666351</v>
      </c>
      <c r="F211" s="380">
        <f t="shared" si="78"/>
        <v>229.30022332039715</v>
      </c>
      <c r="G211" s="110">
        <f t="shared" si="76"/>
        <v>0.93472702500318394</v>
      </c>
      <c r="H211" s="409" t="b">
        <f>Wh_hp&gt;='2030'!Maxi_hp</f>
        <v>0</v>
      </c>
      <c r="I211" s="385">
        <f>IF(H211,Wh_hp,'2030'!Maxi_hp)</f>
        <v>229.3020897974196</v>
      </c>
      <c r="J211" s="85">
        <f>IF(H211,An,'2030'!An_max)</f>
        <v>2029</v>
      </c>
      <c r="K211" s="193">
        <f t="shared" si="79"/>
        <v>48045</v>
      </c>
      <c r="L211" s="143">
        <f>IF(t&lt;Tvie,1-EXP((T0-t)*PertePVj)+'2030'!Pspv,1-EXP((T0-t)*PertePVj)+Pspv)</f>
        <v>4.8360305983170204E-2</v>
      </c>
      <c r="M211" s="835"/>
      <c r="N211" s="835"/>
      <c r="O211" s="48">
        <f>IF(t&lt;Tnet,'2030'!Resal+('2030'!Salim-'2030'!Resal)*(1-EXP(('2030'!Tnet-t)/('2030'!Tau_j))),Resal+(Salim-Resal)*(1-EXP((Tnet-t)/(Tau_j))))*Salcycl</f>
        <v>3.7410619332307694E-2</v>
      </c>
      <c r="P211" s="165">
        <f>(INDEX(Models!$BJ211:$BT211,,T211)*(1-R211)+INDEX(Models!$BJ211:$BT211,,T211+1)*R211-ERP_i)*Q211*Ramure*Pc/MaxiM</f>
        <v>1.1657981032853234E-4</v>
      </c>
      <c r="Q211" s="301">
        <f t="shared" si="80"/>
        <v>0.5</v>
      </c>
      <c r="R211" s="173">
        <f t="shared" si="81"/>
        <v>0.37179159252452276</v>
      </c>
      <c r="S211" s="801">
        <f t="shared" si="82"/>
        <v>1</v>
      </c>
      <c r="T211" s="172">
        <f t="shared" si="83"/>
        <v>7</v>
      </c>
      <c r="U211" s="247">
        <f t="shared" si="84"/>
        <v>1.3717915925245228</v>
      </c>
      <c r="V211" s="378">
        <f t="shared" si="85"/>
        <v>224.68943925263122</v>
      </c>
      <c r="W211" s="397">
        <f t="shared" si="86"/>
        <v>210.02557411950249</v>
      </c>
      <c r="X211" s="153">
        <f t="shared" si="87"/>
        <v>48045</v>
      </c>
      <c r="Y211" s="380">
        <f t="shared" si="88"/>
        <v>204.34409956326488</v>
      </c>
      <c r="Z211" s="380">
        <f t="shared" si="89"/>
        <v>214.7284322501695</v>
      </c>
      <c r="AA211" s="381">
        <f t="shared" si="90"/>
        <v>229.17781243948949</v>
      </c>
      <c r="AB211" s="193">
        <f t="shared" si="91"/>
        <v>48045</v>
      </c>
      <c r="AC211" s="119">
        <f>IF(OR(t&lt;Tnet,NoTnet),'2030'!Resal_s+('2030'!Salim-'2030'!Resal_s)*(1-EXP(('2030'!Tnet_s-t)/'2030'!Tau_j)),Resal_s+(Salim-Resal_s)*(1-EXP((Tnet_s-t)/Tau_j)))*Salcycl</f>
        <v>6.3048774379653783E-2</v>
      </c>
      <c r="AD211" s="227">
        <f>(INDEX(Models!$BJ211:$BT211,,AH211)*(1-AF211)+INDEX(Models!$BJ211:$BT211,,AH211+1)*AF211-ERP_i)*AE211*Ramure*Pc/MaxiM</f>
        <v>5.8873471318442183E-4</v>
      </c>
      <c r="AE211" s="301">
        <f t="shared" si="92"/>
        <v>0.5</v>
      </c>
      <c r="AF211" s="173">
        <f t="shared" si="93"/>
        <v>0.89677915889850102</v>
      </c>
      <c r="AG211" s="801">
        <f t="shared" si="99"/>
        <v>4</v>
      </c>
      <c r="AH211" s="172">
        <f t="shared" si="94"/>
        <v>10</v>
      </c>
      <c r="AI211" s="221">
        <f t="shared" si="95"/>
        <v>4.896779158898501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48046</v>
      </c>
      <c r="B212" s="406">
        <f>'2030'!Wh/'2030'!Env_an*'2031'!Env_an</f>
        <v>209.33829243971957</v>
      </c>
      <c r="C212" s="831"/>
      <c r="D212" s="388">
        <f t="shared" si="77"/>
        <v>219.97943072420398</v>
      </c>
      <c r="E212" s="380">
        <f t="shared" si="75"/>
        <v>228.54151754116683</v>
      </c>
      <c r="F212" s="380">
        <f t="shared" si="78"/>
        <v>228.56611936717496</v>
      </c>
      <c r="G212" s="110">
        <f t="shared" si="76"/>
        <v>0.93342277584013633</v>
      </c>
      <c r="H212" s="409" t="b">
        <f>Wh_hp&gt;='2030'!Maxi_hp</f>
        <v>0</v>
      </c>
      <c r="I212" s="385">
        <f>IF(H212,Wh_hp,'2030'!Maxi_hp)</f>
        <v>228.56804395764479</v>
      </c>
      <c r="J212" s="85">
        <f>IF(H212,An,'2030'!An_max)</f>
        <v>2029</v>
      </c>
      <c r="K212" s="193">
        <f t="shared" si="79"/>
        <v>48046</v>
      </c>
      <c r="L212" s="143">
        <f>IF(t&lt;Tvie,1-EXP((T0-t)*PertePVj)+'2030'!Pspv,1-EXP((T0-t)*PertePVj)+Pspv)</f>
        <v>4.8373333131430774E-2</v>
      </c>
      <c r="M212" s="835"/>
      <c r="N212" s="835"/>
      <c r="O212" s="48">
        <f>IF(t&lt;Tnet,'2030'!Resal+('2030'!Salim-'2030'!Resal)*(1-EXP(('2030'!Tnet-t)/('2030'!Tau_j))),Resal+(Salim-Resal)*(1-EXP((Tnet-t)/(Tau_j))))*Salcycl</f>
        <v>3.7464032395866806E-2</v>
      </c>
      <c r="P212" s="165">
        <f>(INDEX(Models!$BJ212:$BT212,,T212)*(1-R212)+INDEX(Models!$BJ212:$BT212,,T212+1)*R212-ERP_i)*Q212*Ramure*Pc/MaxiM</f>
        <v>1.1894675894750109E-4</v>
      </c>
      <c r="Q212" s="301">
        <f t="shared" si="80"/>
        <v>0.5</v>
      </c>
      <c r="R212" s="173">
        <f t="shared" si="81"/>
        <v>0.37486155059109905</v>
      </c>
      <c r="S212" s="801">
        <f t="shared" si="82"/>
        <v>1</v>
      </c>
      <c r="T212" s="172">
        <f t="shared" si="83"/>
        <v>7</v>
      </c>
      <c r="U212" s="247">
        <f t="shared" si="84"/>
        <v>1.374861550591099</v>
      </c>
      <c r="V212" s="378">
        <f t="shared" si="85"/>
        <v>224.26699853606615</v>
      </c>
      <c r="W212" s="397">
        <f t="shared" si="86"/>
        <v>209.33829243971957</v>
      </c>
      <c r="X212" s="153">
        <f t="shared" si="87"/>
        <v>48046</v>
      </c>
      <c r="Y212" s="380">
        <f t="shared" si="88"/>
        <v>203.68085390064309</v>
      </c>
      <c r="Z212" s="380">
        <f t="shared" si="89"/>
        <v>214.03441180444958</v>
      </c>
      <c r="AA212" s="381">
        <f t="shared" si="90"/>
        <v>228.44366980538521</v>
      </c>
      <c r="AB212" s="193">
        <f t="shared" si="91"/>
        <v>48046</v>
      </c>
      <c r="AC212" s="119">
        <f>IF(OR(t&lt;Tnet,NoTnet),'2030'!Resal_s+('2030'!Salim-'2030'!Resal_s)*(1-EXP(('2030'!Tnet_s-t)/'2030'!Tau_j)),Resal_s+(Salim-Resal_s)*(1-EXP((Tnet_s-t)/Tau_j)))*Salcycl</f>
        <v>6.3075759609408838E-2</v>
      </c>
      <c r="AD212" s="227">
        <f>(INDEX(Models!$BJ212:$BT212,,AH212)*(1-AF212)+INDEX(Models!$BJ212:$BT212,,AH212+1)*AF212-ERP_i)*AE212*Ramure*Pc/MaxiM</f>
        <v>5.9202835206718137E-4</v>
      </c>
      <c r="AE212" s="301">
        <f t="shared" si="92"/>
        <v>0.5</v>
      </c>
      <c r="AF212" s="173">
        <f t="shared" si="93"/>
        <v>0.8998491169650773</v>
      </c>
      <c r="AG212" s="801">
        <f t="shared" si="99"/>
        <v>4</v>
      </c>
      <c r="AH212" s="172">
        <f t="shared" si="94"/>
        <v>10</v>
      </c>
      <c r="AI212" s="221">
        <f t="shared" si="95"/>
        <v>4.8998491169650773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48047</v>
      </c>
      <c r="B213" s="406">
        <f>'2030'!Wh/'2030'!Env_an*'2031'!Env_an</f>
        <v>212.78077515834428</v>
      </c>
      <c r="C213" s="831"/>
      <c r="D213" s="388">
        <f t="shared" si="77"/>
        <v>223.59996351146089</v>
      </c>
      <c r="E213" s="380">
        <f t="shared" si="75"/>
        <v>232.3157787071664</v>
      </c>
      <c r="F213" s="380">
        <f t="shared" si="78"/>
        <v>232.34199305513823</v>
      </c>
      <c r="G213" s="110">
        <f t="shared" si="76"/>
        <v>0.9506105143149558</v>
      </c>
      <c r="H213" s="409" t="b">
        <f>Wh_hp&gt;='2030'!Maxi_hp</f>
        <v>0</v>
      </c>
      <c r="I213" s="385">
        <f>IF(H213,Wh_hp,'2030'!Maxi_hp)</f>
        <v>232.34346592643129</v>
      </c>
      <c r="J213" s="85">
        <f>IF(H213,An,'2030'!An_max)</f>
        <v>2029</v>
      </c>
      <c r="K213" s="193">
        <f t="shared" si="79"/>
        <v>48047</v>
      </c>
      <c r="L213" s="143">
        <f>IF(t&lt;Tvie,1-EXP((T0-t)*PertePVj)+'2030'!Pspv,1-EXP((T0-t)*PertePVj)+Pspv)</f>
        <v>4.8386360101360437E-2</v>
      </c>
      <c r="M213" s="835"/>
      <c r="N213" s="835"/>
      <c r="O213" s="48">
        <f>IF(t&lt;Tnet,'2030'!Resal+('2030'!Salim-'2030'!Resal)*(1-EXP(('2030'!Tnet-t)/('2030'!Tau_j))),Resal+(Salim-Resal)*(1-EXP((Tnet-t)/(Tau_j))))*Salcycl</f>
        <v>3.7517103849806922E-2</v>
      </c>
      <c r="P213" s="165">
        <f>(INDEX(Models!$BJ213:$BT213,,T213)*(1-R213)+INDEX(Models!$BJ213:$BT213,,T213+1)*R213-ERP_i)*Q213*Ramure*Pc/MaxiM</f>
        <v>1.2138999051873776E-4</v>
      </c>
      <c r="Q213" s="301">
        <f t="shared" si="80"/>
        <v>0.5</v>
      </c>
      <c r="R213" s="173">
        <f t="shared" si="81"/>
        <v>0.37785167150738941</v>
      </c>
      <c r="S213" s="801">
        <f t="shared" si="82"/>
        <v>1</v>
      </c>
      <c r="T213" s="172">
        <f t="shared" si="83"/>
        <v>7</v>
      </c>
      <c r="U213" s="247">
        <f t="shared" si="84"/>
        <v>1.3778516715073894</v>
      </c>
      <c r="V213" s="378">
        <f t="shared" si="85"/>
        <v>223.83399890419639</v>
      </c>
      <c r="W213" s="397">
        <f t="shared" si="86"/>
        <v>212.78077515834428</v>
      </c>
      <c r="X213" s="153">
        <f t="shared" si="87"/>
        <v>48047</v>
      </c>
      <c r="Y213" s="380">
        <f t="shared" si="88"/>
        <v>207.03319293268291</v>
      </c>
      <c r="Z213" s="380">
        <f t="shared" si="89"/>
        <v>217.56013601773813</v>
      </c>
      <c r="AA213" s="381">
        <f t="shared" si="90"/>
        <v>232.21331421384403</v>
      </c>
      <c r="AB213" s="193">
        <f t="shared" si="91"/>
        <v>48047</v>
      </c>
      <c r="AC213" s="119">
        <f>IF(OR(t&lt;Tnet,NoTnet),'2030'!Resal_s+('2030'!Salim-'2030'!Resal_s)*(1-EXP(('2030'!Tnet_s-t)/'2030'!Tau_j)),Resal_s+(Salim-Resal_s)*(1-EXP((Tnet_s-t)/Tau_j)))*Salcycl</f>
        <v>6.3102231005634141E-2</v>
      </c>
      <c r="AD213" s="227">
        <f>(INDEX(Models!$BJ213:$BT213,,AH213)*(1-AF213)+INDEX(Models!$BJ213:$BT213,,AH213+1)*AF213-ERP_i)*AE213*Ramure*Pc/MaxiM</f>
        <v>5.9586922937930934E-4</v>
      </c>
      <c r="AE213" s="301">
        <f t="shared" si="92"/>
        <v>0.5</v>
      </c>
      <c r="AF213" s="173">
        <f t="shared" si="93"/>
        <v>0.90283923788136722</v>
      </c>
      <c r="AG213" s="801">
        <f t="shared" si="99"/>
        <v>4</v>
      </c>
      <c r="AH213" s="172">
        <f t="shared" si="94"/>
        <v>10</v>
      </c>
      <c r="AI213" s="221">
        <f t="shared" si="95"/>
        <v>4.9028392378813672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48048</v>
      </c>
      <c r="B214" s="406">
        <f>'2030'!Wh/'2030'!Env_an*'2031'!Env_an</f>
        <v>150.59959922715819</v>
      </c>
      <c r="C214" s="831"/>
      <c r="D214" s="388">
        <f t="shared" si="77"/>
        <v>158.25924989207468</v>
      </c>
      <c r="E214" s="380">
        <f t="shared" si="75"/>
        <v>164.43712819694497</v>
      </c>
      <c r="F214" s="380">
        <f t="shared" si="78"/>
        <v>164.44801985489505</v>
      </c>
      <c r="G214" s="110">
        <f t="shared" si="76"/>
        <v>0.67411227872463364</v>
      </c>
      <c r="H214" s="409" t="b">
        <f>Wh_hp&gt;='2030'!Maxi_hp</f>
        <v>0</v>
      </c>
      <c r="I214" s="385">
        <f>IF(H214,Wh_hp,'2030'!Maxi_hp)</f>
        <v>164.45500555412158</v>
      </c>
      <c r="J214" s="85">
        <f>IF(H214,An,'2030'!An_max)</f>
        <v>2029</v>
      </c>
      <c r="K214" s="193">
        <f t="shared" si="79"/>
        <v>48048</v>
      </c>
      <c r="L214" s="143">
        <f>IF(t&lt;Tvie,1-EXP((T0-t)*PertePVj)+'2030'!Pspv,1-EXP((T0-t)*PertePVj)+Pspv)</f>
        <v>4.8399386892961971E-2</v>
      </c>
      <c r="M214" s="835"/>
      <c r="N214" s="835"/>
      <c r="O214" s="48">
        <f>IF(t&lt;Tnet,'2030'!Resal+('2030'!Salim-'2030'!Resal)*(1-EXP(('2030'!Tnet-t)/('2030'!Tau_j))),Resal+(Salim-Resal)*(1-EXP((Tnet-t)/(Tau_j))))*Salcycl</f>
        <v>3.7569850389694806E-2</v>
      </c>
      <c r="P214" s="165">
        <f>(INDEX(Models!$BJ214:$BT214,,T214)*(1-R214)+INDEX(Models!$BJ214:$BT214,,T214+1)*R214-ERP_i)*Q214*Ramure*Pc/MaxiM</f>
        <v>1.2391283154617082E-4</v>
      </c>
      <c r="Q214" s="301">
        <f t="shared" si="80"/>
        <v>0.5</v>
      </c>
      <c r="R214" s="173">
        <f t="shared" si="81"/>
        <v>0.38076260277295315</v>
      </c>
      <c r="S214" s="801">
        <f t="shared" si="82"/>
        <v>1</v>
      </c>
      <c r="T214" s="172">
        <f t="shared" si="83"/>
        <v>7</v>
      </c>
      <c r="U214" s="247">
        <f t="shared" si="84"/>
        <v>1.3807626027729532</v>
      </c>
      <c r="V214" s="378">
        <f t="shared" si="85"/>
        <v>223.39143883954037</v>
      </c>
      <c r="W214" s="397">
        <f t="shared" si="86"/>
        <v>150.59959922715819</v>
      </c>
      <c r="X214" s="153">
        <f t="shared" si="87"/>
        <v>48048</v>
      </c>
      <c r="Y214" s="380">
        <f t="shared" si="88"/>
        <v>146.56293682692711</v>
      </c>
      <c r="Z214" s="380">
        <f t="shared" si="89"/>
        <v>154.0172786862648</v>
      </c>
      <c r="AA214" s="381">
        <f t="shared" si="90"/>
        <v>164.39525840070209</v>
      </c>
      <c r="AB214" s="193">
        <f t="shared" si="91"/>
        <v>48048</v>
      </c>
      <c r="AC214" s="119">
        <f>IF(OR(t&lt;Tnet,NoTnet),'2030'!Resal_s+('2030'!Salim-'2030'!Resal_s)*(1-EXP(('2030'!Tnet_s-t)/'2030'!Tau_j)),Resal_s+(Salim-Resal_s)*(1-EXP((Tnet_s-t)/Tau_j)))*Salcycl</f>
        <v>6.3128218024036273E-2</v>
      </c>
      <c r="AD214" s="227">
        <f>(INDEX(Models!$BJ214:$BT214,,AH214)*(1-AF214)+INDEX(Models!$BJ214:$BT214,,AH214+1)*AF214-ERP_i)*AE214*Ramure*Pc/MaxiM</f>
        <v>6.0025950277882011E-4</v>
      </c>
      <c r="AE214" s="301">
        <f t="shared" si="92"/>
        <v>0.5</v>
      </c>
      <c r="AF214" s="173">
        <f t="shared" si="93"/>
        <v>0.90575016914693141</v>
      </c>
      <c r="AG214" s="801">
        <f t="shared" si="99"/>
        <v>4</v>
      </c>
      <c r="AH214" s="172">
        <f t="shared" si="94"/>
        <v>10</v>
      </c>
      <c r="AI214" s="221">
        <f t="shared" si="95"/>
        <v>4.9057501691469314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48049</v>
      </c>
      <c r="B215" s="406">
        <f>'2030'!Wh/'2030'!Env_an*'2031'!Env_an</f>
        <v>154.41739236737621</v>
      </c>
      <c r="C215" s="831"/>
      <c r="D215" s="388">
        <f t="shared" si="77"/>
        <v>162.27344130911317</v>
      </c>
      <c r="E215" s="380">
        <f t="shared" si="75"/>
        <v>168.61720645634887</v>
      </c>
      <c r="F215" s="380">
        <f t="shared" si="78"/>
        <v>168.62917340008931</v>
      </c>
      <c r="G215" s="110">
        <f t="shared" si="76"/>
        <v>0.69260157062226468</v>
      </c>
      <c r="H215" s="409" t="b">
        <f>Wh_hp&gt;='2030'!Maxi_hp</f>
        <v>0</v>
      </c>
      <c r="I215" s="385">
        <f>IF(H215,Wh_hp,'2030'!Maxi_hp)</f>
        <v>168.63603993388253</v>
      </c>
      <c r="J215" s="85">
        <f>IF(H215,An,'2030'!An_max)</f>
        <v>2029</v>
      </c>
      <c r="K215" s="193">
        <f t="shared" si="79"/>
        <v>48049</v>
      </c>
      <c r="L215" s="143">
        <f>IF(t&lt;Tvie,1-EXP((T0-t)*PertePVj)+'2030'!Pspv,1-EXP((T0-t)*PertePVj)+Pspv)</f>
        <v>4.8412413506237595E-2</v>
      </c>
      <c r="M215" s="835"/>
      <c r="N215" s="835"/>
      <c r="O215" s="48">
        <f>IF(t&lt;Tnet,'2030'!Resal+('2030'!Salim-'2030'!Resal)*(1-EXP(('2030'!Tnet-t)/('2030'!Tau_j))),Resal+(Salim-Resal)*(1-EXP((Tnet-t)/(Tau_j))))*Salcycl</f>
        <v>3.76222882620105E-2</v>
      </c>
      <c r="P215" s="165">
        <f>(INDEX(Models!$BJ215:$BT215,,T215)*(1-R215)+INDEX(Models!$BJ215:$BT215,,T215+1)*R215-ERP_i)*Q215*Ramure*Pc/MaxiM</f>
        <v>1.2651848432430527E-4</v>
      </c>
      <c r="Q215" s="301">
        <f t="shared" si="80"/>
        <v>0.5</v>
      </c>
      <c r="R215" s="173">
        <f t="shared" si="81"/>
        <v>0.38359508820838828</v>
      </c>
      <c r="S215" s="801">
        <f t="shared" si="82"/>
        <v>1</v>
      </c>
      <c r="T215" s="172">
        <f t="shared" si="83"/>
        <v>7</v>
      </c>
      <c r="U215" s="247">
        <f t="shared" si="84"/>
        <v>1.3835950882083883</v>
      </c>
      <c r="V215" s="378">
        <f t="shared" si="85"/>
        <v>222.94031668943686</v>
      </c>
      <c r="W215" s="397">
        <f t="shared" si="86"/>
        <v>154.41739236737621</v>
      </c>
      <c r="X215" s="153">
        <f t="shared" si="87"/>
        <v>48049</v>
      </c>
      <c r="Y215" s="380">
        <f t="shared" si="88"/>
        <v>150.28040229172507</v>
      </c>
      <c r="Z215" s="380">
        <f t="shared" si="89"/>
        <v>157.92598014592758</v>
      </c>
      <c r="AA215" s="381">
        <f t="shared" si="90"/>
        <v>168.57192951201984</v>
      </c>
      <c r="AB215" s="193">
        <f t="shared" si="91"/>
        <v>48049</v>
      </c>
      <c r="AC215" s="119">
        <f>IF(OR(t&lt;Tnet,NoTnet),'2030'!Resal_s+('2030'!Salim-'2030'!Resal_s)*(1-EXP(('2030'!Tnet_s-t)/'2030'!Tau_j)),Resal_s+(Salim-Resal_s)*(1-EXP((Tnet_s-t)/Tau_j)))*Salcycl</f>
        <v>6.3153749244669932E-2</v>
      </c>
      <c r="AD215" s="227">
        <f>(INDEX(Models!$BJ215:$BT215,,AH215)*(1-AF215)+INDEX(Models!$BJ215:$BT215,,AH215+1)*AF215-ERP_i)*AE215*Ramure*Pc/MaxiM</f>
        <v>6.0520130389664654E-4</v>
      </c>
      <c r="AE215" s="301">
        <f t="shared" si="92"/>
        <v>0.5</v>
      </c>
      <c r="AF215" s="173">
        <f t="shared" si="93"/>
        <v>0.90858265458236609</v>
      </c>
      <c r="AG215" s="801">
        <f t="shared" si="99"/>
        <v>4</v>
      </c>
      <c r="AH215" s="172">
        <f t="shared" si="94"/>
        <v>10</v>
      </c>
      <c r="AI215" s="221">
        <f t="shared" si="95"/>
        <v>4.9085826545823661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48050</v>
      </c>
      <c r="B216" s="406">
        <f>'2030'!Wh/'2030'!Env_an*'2031'!Env_an</f>
        <v>206.28529784827003</v>
      </c>
      <c r="C216" s="831"/>
      <c r="D216" s="388">
        <f t="shared" si="77"/>
        <v>216.78311559266675</v>
      </c>
      <c r="E216" s="380">
        <f t="shared" si="75"/>
        <v>225.27003653316754</v>
      </c>
      <c r="F216" s="380">
        <f t="shared" si="78"/>
        <v>225.29611961786259</v>
      </c>
      <c r="G216" s="110">
        <f t="shared" si="76"/>
        <v>0.9271890218872082</v>
      </c>
      <c r="H216" s="409" t="b">
        <f>Wh_hp&gt;='2030'!Maxi_hp</f>
        <v>0</v>
      </c>
      <c r="I216" s="385">
        <f>IF(H216,Wh_hp,'2030'!Maxi_hp)</f>
        <v>225.29832929317698</v>
      </c>
      <c r="J216" s="85">
        <f>IF(H216,An,'2030'!An_max)</f>
        <v>2029</v>
      </c>
      <c r="K216" s="193">
        <f t="shared" si="79"/>
        <v>48050</v>
      </c>
      <c r="L216" s="143">
        <f>IF(t&lt;Tvie,1-EXP((T0-t)*PertePVj)+'2030'!Pspv,1-EXP((T0-t)*PertePVj)+Pspv)</f>
        <v>4.8425439941189863E-2</v>
      </c>
      <c r="M216" s="835"/>
      <c r="N216" s="835"/>
      <c r="O216" s="48">
        <f>IF(t&lt;Tnet,'2030'!Resal+('2030'!Salim-'2030'!Resal)*(1-EXP(('2030'!Tnet-t)/('2030'!Tau_j))),Resal+(Salim-Resal)*(1-EXP((Tnet-t)/(Tau_j))))*Salcycl</f>
        <v>3.7674433187439113E-2</v>
      </c>
      <c r="P216" s="165">
        <f>(INDEX(Models!$BJ216:$BT216,,T216)*(1-R216)+INDEX(Models!$BJ216:$BT216,,T216+1)*R216-ERP_i)*Q216*Ramure*Pc/MaxiM</f>
        <v>1.2921002292897484E-4</v>
      </c>
      <c r="Q216" s="301">
        <f t="shared" si="80"/>
        <v>0.5</v>
      </c>
      <c r="R216" s="173">
        <f t="shared" si="81"/>
        <v>0.38634996096644825</v>
      </c>
      <c r="S216" s="801">
        <f t="shared" si="82"/>
        <v>1</v>
      </c>
      <c r="T216" s="172">
        <f t="shared" si="83"/>
        <v>7</v>
      </c>
      <c r="U216" s="247">
        <f t="shared" si="84"/>
        <v>1.3863499609664482</v>
      </c>
      <c r="V216" s="378">
        <f t="shared" si="85"/>
        <v>222.48163069767878</v>
      </c>
      <c r="W216" s="397">
        <f t="shared" si="86"/>
        <v>206.28529784827003</v>
      </c>
      <c r="X216" s="153">
        <f t="shared" si="87"/>
        <v>48050</v>
      </c>
      <c r="Y216" s="380">
        <f t="shared" si="88"/>
        <v>200.73149344908083</v>
      </c>
      <c r="Z216" s="380">
        <f t="shared" si="89"/>
        <v>210.94667919314176</v>
      </c>
      <c r="AA216" s="381">
        <f t="shared" si="90"/>
        <v>225.17284083452762</v>
      </c>
      <c r="AB216" s="193">
        <f t="shared" si="91"/>
        <v>48050</v>
      </c>
      <c r="AC216" s="119">
        <f>IF(OR(t&lt;Tnet,NoTnet),'2030'!Resal_s+('2030'!Salim-'2030'!Resal_s)*(1-EXP(('2030'!Tnet_s-t)/'2030'!Tau_j)),Resal_s+(Salim-Resal_s)*(1-EXP((Tnet_s-t)/Tau_j)))*Salcycl</f>
        <v>6.3178852248172476E-2</v>
      </c>
      <c r="AD216" s="227">
        <f>(INDEX(Models!$BJ216:$BT216,,AH216)*(1-AF216)+INDEX(Models!$BJ216:$BT216,,AH216+1)*AF216-ERP_i)*AE216*Ramure*Pc/MaxiM</f>
        <v>6.1069672577448639E-4</v>
      </c>
      <c r="AE216" s="301">
        <f t="shared" si="92"/>
        <v>0.5</v>
      </c>
      <c r="AF216" s="173">
        <f t="shared" si="93"/>
        <v>0.91133752734042606</v>
      </c>
      <c r="AG216" s="801">
        <f t="shared" si="99"/>
        <v>4</v>
      </c>
      <c r="AH216" s="172">
        <f t="shared" si="94"/>
        <v>10</v>
      </c>
      <c r="AI216" s="221">
        <f t="shared" si="95"/>
        <v>4.9113375273404261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48051</v>
      </c>
      <c r="B217" s="406">
        <f>'2030'!Wh/'2030'!Env_an*'2031'!Env_an</f>
        <v>156.48925036263608</v>
      </c>
      <c r="C217" s="831"/>
      <c r="D217" s="388">
        <f t="shared" si="77"/>
        <v>164.45520841657813</v>
      </c>
      <c r="E217" s="380">
        <f t="shared" si="75"/>
        <v>170.90273636935765</v>
      </c>
      <c r="F217" s="380">
        <f t="shared" si="78"/>
        <v>170.91578381341913</v>
      </c>
      <c r="G217" s="110">
        <f t="shared" si="76"/>
        <v>0.70481529995745851</v>
      </c>
      <c r="H217" s="409" t="b">
        <f>Wh_hp&gt;='2030'!Maxi_hp</f>
        <v>0</v>
      </c>
      <c r="I217" s="385">
        <f>IF(H217,Wh_hp,'2030'!Maxi_hp)</f>
        <v>170.92269977278428</v>
      </c>
      <c r="J217" s="85">
        <f>IF(H217,An,'2030'!An_max)</f>
        <v>2029</v>
      </c>
      <c r="K217" s="193">
        <f t="shared" si="79"/>
        <v>48051</v>
      </c>
      <c r="L217" s="143">
        <f>IF(t&lt;Tvie,1-EXP((T0-t)*PertePVj)+'2030'!Pspv,1-EXP((T0-t)*PertePVj)+Pspv)</f>
        <v>4.8438466197821106E-2</v>
      </c>
      <c r="M217" s="835"/>
      <c r="N217" s="835"/>
      <c r="O217" s="48">
        <f>IF(t&lt;Tnet,'2030'!Resal+('2030'!Salim-'2030'!Resal)*(1-EXP(('2030'!Tnet-t)/('2030'!Tau_j))),Resal+(Salim-Resal)*(1-EXP((Tnet-t)/(Tau_j))))*Salcycl</f>
        <v>3.7726300290739721E-2</v>
      </c>
      <c r="P217" s="165">
        <f>(INDEX(Models!$BJ217:$BT217,,T217)*(1-R217)+INDEX(Models!$BJ217:$BT217,,T217+1)*R217-ERP_i)*Q217*Ramure*Pc/MaxiM</f>
        <v>1.3199038938731432E-4</v>
      </c>
      <c r="Q217" s="301">
        <f t="shared" si="80"/>
        <v>0.5</v>
      </c>
      <c r="R217" s="173">
        <f t="shared" si="81"/>
        <v>0.38902813662372737</v>
      </c>
      <c r="S217" s="801">
        <f t="shared" si="82"/>
        <v>1</v>
      </c>
      <c r="T217" s="172">
        <f t="shared" si="83"/>
        <v>7</v>
      </c>
      <c r="U217" s="247">
        <f t="shared" si="84"/>
        <v>1.3890281366237274</v>
      </c>
      <c r="V217" s="378">
        <f t="shared" si="85"/>
        <v>222.01637900757504</v>
      </c>
      <c r="W217" s="397">
        <f t="shared" si="86"/>
        <v>156.48925036263608</v>
      </c>
      <c r="X217" s="153">
        <f t="shared" si="87"/>
        <v>48051</v>
      </c>
      <c r="Y217" s="380">
        <f t="shared" si="88"/>
        <v>152.30330964833735</v>
      </c>
      <c r="Z217" s="380">
        <f t="shared" si="89"/>
        <v>160.05618579365552</v>
      </c>
      <c r="AA217" s="381">
        <f t="shared" si="90"/>
        <v>170.85481738565872</v>
      </c>
      <c r="AB217" s="193">
        <f t="shared" si="91"/>
        <v>48051</v>
      </c>
      <c r="AC217" s="119">
        <f>IF(OR(t&lt;Tnet,NoTnet),'2030'!Resal_s+('2030'!Salim-'2030'!Resal_s)*(1-EXP(('2030'!Tnet_s-t)/'2030'!Tau_j)),Resal_s+(Salim-Resal_s)*(1-EXP((Tnet_s-t)/Tau_j)))*Salcycl</f>
        <v>6.3203553503722379E-2</v>
      </c>
      <c r="AD217" s="227">
        <f>(INDEX(Models!$BJ217:$BT217,,AH217)*(1-AF217)+INDEX(Models!$BJ217:$BT217,,AH217+1)*AF217-ERP_i)*AE217*Ramure*Pc/MaxiM</f>
        <v>6.1674780912996155E-4</v>
      </c>
      <c r="AE217" s="301">
        <f t="shared" si="92"/>
        <v>0.5</v>
      </c>
      <c r="AF217" s="173">
        <f t="shared" si="93"/>
        <v>0.9140157029977054</v>
      </c>
      <c r="AG217" s="801">
        <f t="shared" si="99"/>
        <v>4</v>
      </c>
      <c r="AH217" s="172">
        <f t="shared" si="94"/>
        <v>10</v>
      </c>
      <c r="AI217" s="221">
        <f t="shared" si="95"/>
        <v>4.9140157029977054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48052</v>
      </c>
      <c r="B218" s="406">
        <f>'2030'!Wh/'2030'!Env_an*'2031'!Env_an</f>
        <v>180.09895486594536</v>
      </c>
      <c r="C218" s="831"/>
      <c r="D218" s="388">
        <f t="shared" si="77"/>
        <v>189.26933666970663</v>
      </c>
      <c r="E218" s="380">
        <f t="shared" si="75"/>
        <v>196.70026022462957</v>
      </c>
      <c r="F218" s="380">
        <f t="shared" si="78"/>
        <v>196.71969998145457</v>
      </c>
      <c r="G218" s="110">
        <f t="shared" si="76"/>
        <v>0.81289132223741556</v>
      </c>
      <c r="H218" s="409" t="b">
        <f>Wh_hp&gt;='2030'!Maxi_hp</f>
        <v>0</v>
      </c>
      <c r="I218" s="385">
        <f>IF(H218,Wh_hp,'2030'!Maxi_hp)</f>
        <v>196.72483795977595</v>
      </c>
      <c r="J218" s="85">
        <f>IF(H218,An,'2030'!An_max)</f>
        <v>2029</v>
      </c>
      <c r="K218" s="193">
        <f t="shared" si="79"/>
        <v>48052</v>
      </c>
      <c r="L218" s="143">
        <f>IF(t&lt;Tvie,1-EXP((T0-t)*PertePVj)+'2030'!Pspv,1-EXP((T0-t)*PertePVj)+Pspv)</f>
        <v>4.8451492276133878E-2</v>
      </c>
      <c r="M218" s="835"/>
      <c r="N218" s="835"/>
      <c r="O218" s="48">
        <f>IF(t&lt;Tnet,'2030'!Resal+('2030'!Salim-'2030'!Resal)*(1-EXP(('2030'!Tnet-t)/('2030'!Tau_j))),Resal+(Salim-Resal)*(1-EXP((Tnet-t)/(Tau_j))))*Salcycl</f>
        <v>3.7777904037528516E-2</v>
      </c>
      <c r="P218" s="165">
        <f>(INDEX(Models!$BJ218:$BT218,,T218)*(1-R218)+INDEX(Models!$BJ218:$BT218,,T218+1)*R218-ERP_i)*Q218*Ramure*Pc/MaxiM</f>
        <v>1.3486238995688739E-4</v>
      </c>
      <c r="Q218" s="301">
        <f t="shared" si="80"/>
        <v>0.5</v>
      </c>
      <c r="R218" s="173">
        <f t="shared" si="81"/>
        <v>0.39163060638485958</v>
      </c>
      <c r="S218" s="801">
        <f t="shared" si="82"/>
        <v>1</v>
      </c>
      <c r="T218" s="172">
        <f t="shared" si="83"/>
        <v>7</v>
      </c>
      <c r="U218" s="247">
        <f t="shared" si="84"/>
        <v>1.3916306063848596</v>
      </c>
      <c r="V218" s="378">
        <f t="shared" si="85"/>
        <v>221.54555968826099</v>
      </c>
      <c r="W218" s="397">
        <f t="shared" si="86"/>
        <v>180.09895486594536</v>
      </c>
      <c r="X218" s="153">
        <f t="shared" si="87"/>
        <v>48052</v>
      </c>
      <c r="Y218" s="380">
        <f t="shared" si="88"/>
        <v>175.27272131753818</v>
      </c>
      <c r="Z218" s="380">
        <f t="shared" si="89"/>
        <v>184.19735819542825</v>
      </c>
      <c r="AA218" s="381">
        <f t="shared" si="90"/>
        <v>196.62984617336966</v>
      </c>
      <c r="AB218" s="193">
        <f t="shared" si="91"/>
        <v>48052</v>
      </c>
      <c r="AC218" s="119">
        <f>IF(OR(t&lt;Tnet,NoTnet),'2030'!Resal_s+('2030'!Salim-'2030'!Resal_s)*(1-EXP(('2030'!Tnet_s-t)/'2030'!Tau_j)),Resal_s+(Salim-Resal_s)*(1-EXP((Tnet_s-t)/Tau_j)))*Salcycl</f>
        <v>6.3227878269200385E-2</v>
      </c>
      <c r="AD218" s="227">
        <f>(INDEX(Models!$BJ218:$BT218,,AH218)*(1-AF218)+INDEX(Models!$BJ218:$BT218,,AH218+1)*AF218-ERP_i)*AE218*Ramure*Pc/MaxiM</f>
        <v>6.2335652725193876E-4</v>
      </c>
      <c r="AE218" s="301">
        <f t="shared" si="92"/>
        <v>0.5</v>
      </c>
      <c r="AF218" s="173">
        <f t="shared" si="93"/>
        <v>0.91661817275883717</v>
      </c>
      <c r="AG218" s="801">
        <f t="shared" si="99"/>
        <v>4</v>
      </c>
      <c r="AH218" s="172">
        <f t="shared" si="94"/>
        <v>10</v>
      </c>
      <c r="AI218" s="221">
        <f t="shared" si="95"/>
        <v>4.9166181727588372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48053</v>
      </c>
      <c r="B219" s="406">
        <f>'2030'!Wh/'2030'!Env_an*'2031'!Env_an</f>
        <v>209.0110316564176</v>
      </c>
      <c r="C219" s="831"/>
      <c r="D219" s="388">
        <f t="shared" si="77"/>
        <v>219.65658207068924</v>
      </c>
      <c r="E219" s="380">
        <f t="shared" si="75"/>
        <v>228.29272656409705</v>
      </c>
      <c r="F219" s="380">
        <f t="shared" si="78"/>
        <v>228.32174431373008</v>
      </c>
      <c r="G219" s="110">
        <f t="shared" si="76"/>
        <v>0.94545162751772938</v>
      </c>
      <c r="H219" s="409" t="b">
        <f>Wh_hp&gt;='2030'!Maxi_hp</f>
        <v>0</v>
      </c>
      <c r="I219" s="385">
        <f>IF(H219,Wh_hp,'2030'!Maxi_hp)</f>
        <v>228.32351583987924</v>
      </c>
      <c r="J219" s="85">
        <f>IF(H219,An,'2030'!An_max)</f>
        <v>2029</v>
      </c>
      <c r="K219" s="193">
        <f t="shared" si="79"/>
        <v>48053</v>
      </c>
      <c r="L219" s="143">
        <f>IF(t&lt;Tvie,1-EXP((T0-t)*PertePVj)+'2030'!Pspv,1-EXP((T0-t)*PertePVj)+Pspv)</f>
        <v>4.8464518176130622E-2</v>
      </c>
      <c r="M219" s="835"/>
      <c r="N219" s="835"/>
      <c r="O219" s="48">
        <f>IF(t&lt;Tnet,'2030'!Resal+('2030'!Salim-'2030'!Resal)*(1-EXP(('2030'!Tnet-t)/('2030'!Tau_j))),Resal+(Salim-Resal)*(1-EXP((Tnet-t)/(Tau_j))))*Salcycl</f>
        <v>3.7829258178241003E-2</v>
      </c>
      <c r="P219" s="165">
        <f>(INDEX(Models!$BJ219:$BT219,,T219)*(1-R219)+INDEX(Models!$BJ219:$BT219,,T219+1)*R219-ERP_i)*Q219*Ramure*Pc/MaxiM</f>
        <v>1.3783006569241209E-4</v>
      </c>
      <c r="Q219" s="301">
        <f t="shared" si="80"/>
        <v>0.5</v>
      </c>
      <c r="R219" s="173">
        <f t="shared" si="81"/>
        <v>0.39415843042773679</v>
      </c>
      <c r="S219" s="801">
        <f t="shared" si="82"/>
        <v>1</v>
      </c>
      <c r="T219" s="172">
        <f t="shared" si="83"/>
        <v>7</v>
      </c>
      <c r="U219" s="247">
        <f t="shared" si="84"/>
        <v>1.3941584304277368</v>
      </c>
      <c r="V219" s="378">
        <f t="shared" si="85"/>
        <v>221.067668409573</v>
      </c>
      <c r="W219" s="397">
        <f t="shared" si="86"/>
        <v>209.0110316564176</v>
      </c>
      <c r="X219" s="153">
        <f t="shared" si="87"/>
        <v>48053</v>
      </c>
      <c r="Y219" s="380">
        <f t="shared" si="88"/>
        <v>203.3960573735865</v>
      </c>
      <c r="Z219" s="380">
        <f t="shared" si="89"/>
        <v>213.7556205300134</v>
      </c>
      <c r="AA219" s="381">
        <f t="shared" si="90"/>
        <v>228.18899684509628</v>
      </c>
      <c r="AB219" s="193">
        <f t="shared" si="91"/>
        <v>48053</v>
      </c>
      <c r="AC219" s="119">
        <f>IF(OR(t&lt;Tnet,NoTnet),'2030'!Resal_s+('2030'!Salim-'2030'!Resal_s)*(1-EXP(('2030'!Tnet_s-t)/'2030'!Tau_j)),Resal_s+(Salim-Resal_s)*(1-EXP((Tnet_s-t)/Tau_j)))*Salcycl</f>
        <v>6.3251850503908469E-2</v>
      </c>
      <c r="AD219" s="227">
        <f>(INDEX(Models!$BJ219:$BT219,,AH219)*(1-AF219)+INDEX(Models!$BJ219:$BT219,,AH219+1)*AF219-ERP_i)*AE219*Ramure*Pc/MaxiM</f>
        <v>6.3053105611850008E-4</v>
      </c>
      <c r="AE219" s="301">
        <f t="shared" si="92"/>
        <v>0.5</v>
      </c>
      <c r="AF219" s="173">
        <f t="shared" si="93"/>
        <v>0.91914599680171527</v>
      </c>
      <c r="AG219" s="801">
        <f t="shared" si="99"/>
        <v>4</v>
      </c>
      <c r="AH219" s="172">
        <f t="shared" si="94"/>
        <v>10</v>
      </c>
      <c r="AI219" s="221">
        <f t="shared" si="95"/>
        <v>4.9191459968017153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48054</v>
      </c>
      <c r="B220" s="406">
        <f>'2030'!Wh/'2030'!Env_an*'2031'!Env_an</f>
        <v>112.52647369809679</v>
      </c>
      <c r="C220" s="831"/>
      <c r="D220" s="388">
        <f t="shared" si="77"/>
        <v>118.25939889958025</v>
      </c>
      <c r="E220" s="380">
        <f t="shared" si="75"/>
        <v>122.91548359753628</v>
      </c>
      <c r="F220" s="380">
        <f t="shared" si="78"/>
        <v>122.92067903519732</v>
      </c>
      <c r="G220" s="110">
        <f t="shared" si="76"/>
        <v>0.5100875061599619</v>
      </c>
      <c r="H220" s="409" t="b">
        <f>Wh_hp&gt;='2030'!Maxi_hp</f>
        <v>0</v>
      </c>
      <c r="I220" s="385">
        <f>IF(H220,Wh_hp,'2030'!Maxi_hp)</f>
        <v>122.92940764051831</v>
      </c>
      <c r="J220" s="85">
        <f>IF(H220,An,'2030'!An_max)</f>
        <v>2029</v>
      </c>
      <c r="K220" s="193">
        <f t="shared" si="79"/>
        <v>48054</v>
      </c>
      <c r="L220" s="143">
        <f>IF(t&lt;Tvie,1-EXP((T0-t)*PertePVj)+'2030'!Pspv,1-EXP((T0-t)*PertePVj)+Pspv)</f>
        <v>4.8477543897813669E-2</v>
      </c>
      <c r="M220" s="835"/>
      <c r="N220" s="835"/>
      <c r="O220" s="48">
        <f>IF(t&lt;Tnet,'2030'!Resal+('2030'!Salim-'2030'!Resal)*(1-EXP(('2030'!Tnet-t)/('2030'!Tau_j))),Resal+(Salim-Resal)*(1-EXP((Tnet-t)/(Tau_j))))*Salcycl</f>
        <v>3.7880375699464452E-2</v>
      </c>
      <c r="P220" s="165">
        <f>(INDEX(Models!$BJ220:$BT220,,T220)*(1-R220)+INDEX(Models!$BJ220:$BT220,,T220+1)*R220-ERP_i)*Q220*Ramure*Pc/MaxiM</f>
        <v>1.4079625529740675E-4</v>
      </c>
      <c r="Q220" s="301">
        <f t="shared" si="80"/>
        <v>0.5</v>
      </c>
      <c r="R220" s="173">
        <f t="shared" si="81"/>
        <v>0.39661273141487174</v>
      </c>
      <c r="S220" s="801">
        <f t="shared" si="82"/>
        <v>1</v>
      </c>
      <c r="T220" s="172">
        <f t="shared" si="83"/>
        <v>7</v>
      </c>
      <c r="U220" s="247">
        <f t="shared" si="84"/>
        <v>1.3966127314148717</v>
      </c>
      <c r="V220" s="378">
        <f t="shared" si="85"/>
        <v>220.58055661948634</v>
      </c>
      <c r="W220" s="397">
        <f t="shared" si="86"/>
        <v>112.52647369809679</v>
      </c>
      <c r="X220" s="153">
        <f t="shared" si="87"/>
        <v>48054</v>
      </c>
      <c r="Y220" s="380">
        <f t="shared" si="88"/>
        <v>109.53998432199828</v>
      </c>
      <c r="Z220" s="380">
        <f t="shared" si="89"/>
        <v>115.12075581559844</v>
      </c>
      <c r="AA220" s="381">
        <f t="shared" si="90"/>
        <v>122.89713243329406</v>
      </c>
      <c r="AB220" s="193">
        <f t="shared" si="91"/>
        <v>48054</v>
      </c>
      <c r="AC220" s="119">
        <f>IF(OR(t&lt;Tnet,NoTnet),'2030'!Resal_s+('2030'!Salim-'2030'!Resal_s)*(1-EXP(('2030'!Tnet_s-t)/'2030'!Tau_j)),Resal_s+(Salim-Resal_s)*(1-EXP((Tnet_s-t)/Tau_j)))*Salcycl</f>
        <v>6.327549279407696E-2</v>
      </c>
      <c r="AD220" s="227">
        <f>(INDEX(Models!$BJ220:$BT220,,AH220)*(1-AF220)+INDEX(Models!$BJ220:$BT220,,AH220+1)*AF220-ERP_i)*AE220*Ramure*Pc/MaxiM</f>
        <v>6.3811243426326752E-4</v>
      </c>
      <c r="AE220" s="301">
        <f t="shared" si="92"/>
        <v>0.5</v>
      </c>
      <c r="AF220" s="173">
        <f t="shared" si="93"/>
        <v>0.92160029778885022</v>
      </c>
      <c r="AG220" s="801">
        <f t="shared" si="99"/>
        <v>4</v>
      </c>
      <c r="AH220" s="172">
        <f t="shared" si="94"/>
        <v>10</v>
      </c>
      <c r="AI220" s="221">
        <f t="shared" si="95"/>
        <v>4.9216002977888502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48055</v>
      </c>
      <c r="B221" s="406">
        <f>'2030'!Wh/'2030'!Env_an*'2031'!Env_an</f>
        <v>200.78450772756065</v>
      </c>
      <c r="C221" s="831"/>
      <c r="D221" s="388">
        <f t="shared" si="77"/>
        <v>211.016834178555</v>
      </c>
      <c r="E221" s="380">
        <f t="shared" si="75"/>
        <v>219.33654772416216</v>
      </c>
      <c r="F221" s="380">
        <f t="shared" si="78"/>
        <v>219.36412325734472</v>
      </c>
      <c r="G221" s="110">
        <f t="shared" si="76"/>
        <v>0.91229111923701178</v>
      </c>
      <c r="H221" s="409" t="b">
        <f>Wh_hp&gt;='2030'!Maxi_hp</f>
        <v>0</v>
      </c>
      <c r="I221" s="385">
        <f>IF(H221,Wh_hp,'2030'!Maxi_hp)</f>
        <v>219.36696344341152</v>
      </c>
      <c r="J221" s="85">
        <f>IF(H221,An,'2030'!An_max)</f>
        <v>2029</v>
      </c>
      <c r="K221" s="193">
        <f t="shared" si="79"/>
        <v>48055</v>
      </c>
      <c r="L221" s="143">
        <f>IF(t&lt;Tvie,1-EXP((T0-t)*PertePVj)+'2030'!Pspv,1-EXP((T0-t)*PertePVj)+Pspv)</f>
        <v>4.8490569441185571E-2</v>
      </c>
      <c r="M221" s="835"/>
      <c r="N221" s="835"/>
      <c r="O221" s="48">
        <f>IF(t&lt;Tnet,'2030'!Resal+('2030'!Salim-'2030'!Resal)*(1-EXP(('2030'!Tnet-t)/('2030'!Tau_j))),Resal+(Salim-Resal)*(1-EXP((Tnet-t)/(Tau_j))))*Salcycl</f>
        <v>3.793126878275678E-2</v>
      </c>
      <c r="P221" s="165">
        <f>(INDEX(Models!$BJ221:$BT221,,T221)*(1-R221)+INDEX(Models!$BJ221:$BT221,,T221+1)*R221-ERP_i)*Q221*Ramure*Pc/MaxiM</f>
        <v>1.4370991953764579E-4</v>
      </c>
      <c r="Q221" s="301">
        <f t="shared" si="80"/>
        <v>0.5</v>
      </c>
      <c r="R221" s="173">
        <f t="shared" si="81"/>
        <v>0.39899468819273065</v>
      </c>
      <c r="S221" s="801">
        <f t="shared" si="82"/>
        <v>1</v>
      </c>
      <c r="T221" s="172">
        <f t="shared" si="83"/>
        <v>7</v>
      </c>
      <c r="U221" s="247">
        <f t="shared" si="84"/>
        <v>1.3989946881927307</v>
      </c>
      <c r="V221" s="378">
        <f t="shared" si="85"/>
        <v>220.08423436937687</v>
      </c>
      <c r="W221" s="397">
        <f t="shared" si="86"/>
        <v>200.78450772756065</v>
      </c>
      <c r="X221" s="153">
        <f t="shared" si="87"/>
        <v>48055</v>
      </c>
      <c r="Y221" s="380">
        <f t="shared" si="88"/>
        <v>195.40436310269854</v>
      </c>
      <c r="Z221" s="380">
        <f t="shared" si="89"/>
        <v>205.36250806041829</v>
      </c>
      <c r="AA221" s="381">
        <f t="shared" si="90"/>
        <v>219.24015238212445</v>
      </c>
      <c r="AB221" s="193">
        <f t="shared" si="91"/>
        <v>48055</v>
      </c>
      <c r="AC221" s="119">
        <f>IF(OR(t&lt;Tnet,NoTnet),'2030'!Resal_s+('2030'!Salim-'2030'!Resal_s)*(1-EXP(('2030'!Tnet_s-t)/'2030'!Tau_j)),Resal_s+(Salim-Resal_s)*(1-EXP((Tnet_s-t)/Tau_j)))*Salcycl</f>
        <v>6.3298826291263141E-2</v>
      </c>
      <c r="AD221" s="227">
        <f>(INDEX(Models!$BJ221:$BT221,,AH221)*(1-AF221)+INDEX(Models!$BJ221:$BT221,,AH221+1)*AF221-ERP_i)*AE221*Ramure*Pc/MaxiM</f>
        <v>6.4607434369341971E-4</v>
      </c>
      <c r="AE221" s="301">
        <f t="shared" si="92"/>
        <v>0.5</v>
      </c>
      <c r="AF221" s="173">
        <f t="shared" si="93"/>
        <v>0.92398225456670868</v>
      </c>
      <c r="AG221" s="801">
        <f t="shared" si="99"/>
        <v>4</v>
      </c>
      <c r="AH221" s="172">
        <f t="shared" si="94"/>
        <v>10</v>
      </c>
      <c r="AI221" s="221">
        <f t="shared" si="95"/>
        <v>4.9239822545667087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48056</v>
      </c>
      <c r="B222" s="406">
        <f>'2030'!Wh/'2030'!Env_an*'2031'!Env_an</f>
        <v>220.34664580947347</v>
      </c>
      <c r="C222" s="831"/>
      <c r="D222" s="388">
        <f t="shared" si="77"/>
        <v>231.5790628390285</v>
      </c>
      <c r="E222" s="380">
        <f t="shared" si="75"/>
        <v>240.72215957193248</v>
      </c>
      <c r="F222" s="380">
        <f t="shared" si="78"/>
        <v>240.75744789111329</v>
      </c>
      <c r="G222" s="110">
        <f t="shared" si="76"/>
        <v>1.0034973585030091</v>
      </c>
      <c r="H222" s="409" t="b">
        <f>Wh_hp&gt;='2030'!Maxi_hp</f>
        <v>1</v>
      </c>
      <c r="I222" s="385">
        <f>IF(H222,Wh_hp,'2030'!Maxi_hp)</f>
        <v>240.75744789111329</v>
      </c>
      <c r="J222" s="85">
        <f>IF(H222,An,'2030'!An_max)</f>
        <v>2031</v>
      </c>
      <c r="K222" s="193">
        <f t="shared" si="79"/>
        <v>48056</v>
      </c>
      <c r="L222" s="143">
        <f>IF(t&lt;Tvie,1-EXP((T0-t)*PertePVj)+'2030'!Pspv,1-EXP((T0-t)*PertePVj)+Pspv)</f>
        <v>4.8503594806248662E-2</v>
      </c>
      <c r="M222" s="835"/>
      <c r="N222" s="835"/>
      <c r="O222" s="48">
        <f>IF(t&lt;Tnet,'2030'!Resal+('2030'!Salim-'2030'!Resal)*(1-EXP(('2030'!Tnet-t)/('2030'!Tau_j))),Resal+(Salim-Resal)*(1-EXP((Tnet-t)/(Tau_j))))*Salcycl</f>
        <v>3.7981948770993187E-2</v>
      </c>
      <c r="P222" s="165">
        <f>(INDEX(Models!$BJ222:$BT222,,T222)*(1-R222)+INDEX(Models!$BJ222:$BT222,,T222+1)*R222-ERP_i)*Q222*Ramure*Pc/MaxiM</f>
        <v>1.4657207695922142E-4</v>
      </c>
      <c r="Q222" s="301">
        <f t="shared" si="80"/>
        <v>0.5</v>
      </c>
      <c r="R222" s="173">
        <f t="shared" si="81"/>
        <v>0.40130552969769662</v>
      </c>
      <c r="S222" s="801">
        <f t="shared" si="82"/>
        <v>1</v>
      </c>
      <c r="T222" s="172">
        <f t="shared" si="83"/>
        <v>7</v>
      </c>
      <c r="U222" s="247">
        <f t="shared" si="84"/>
        <v>1.4013055296976966</v>
      </c>
      <c r="V222" s="378">
        <f t="shared" si="85"/>
        <v>219.57870037463854</v>
      </c>
      <c r="W222" s="397">
        <f t="shared" si="86"/>
        <v>220.34664580947347</v>
      </c>
      <c r="X222" s="153">
        <f t="shared" si="87"/>
        <v>48056</v>
      </c>
      <c r="Y222" s="380">
        <f t="shared" si="88"/>
        <v>214.43365989731842</v>
      </c>
      <c r="Z222" s="380">
        <f t="shared" si="89"/>
        <v>225.36465584823068</v>
      </c>
      <c r="AA222" s="381">
        <f t="shared" si="90"/>
        <v>240.59989102969411</v>
      </c>
      <c r="AB222" s="193">
        <f t="shared" si="91"/>
        <v>48056</v>
      </c>
      <c r="AC222" s="119">
        <f>IF(OR(t&lt;Tnet,NoTnet),'2030'!Resal_s+('2030'!Salim-'2030'!Resal_s)*(1-EXP(('2030'!Tnet_s-t)/'2030'!Tau_j)),Resal_s+(Salim-Resal_s)*(1-EXP((Tnet_s-t)/Tau_j)))*Salcycl</f>
        <v>6.3321870663620286E-2</v>
      </c>
      <c r="AD222" s="227">
        <f>(INDEX(Models!$BJ222:$BT222,,AH222)*(1-AF222)+INDEX(Models!$BJ222:$BT222,,AH222+1)*AF222-ERP_i)*AE222*Ramure*Pc/MaxiM</f>
        <v>6.5442154666153329E-4</v>
      </c>
      <c r="AE222" s="301">
        <f t="shared" si="92"/>
        <v>0.5</v>
      </c>
      <c r="AF222" s="173">
        <f t="shared" si="93"/>
        <v>0.92629309607167443</v>
      </c>
      <c r="AG222" s="801">
        <f t="shared" si="99"/>
        <v>4</v>
      </c>
      <c r="AH222" s="172">
        <f t="shared" si="94"/>
        <v>10</v>
      </c>
      <c r="AI222" s="221">
        <f t="shared" si="95"/>
        <v>4.9262930960716744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48057</v>
      </c>
      <c r="B223" s="406">
        <f>'2030'!Wh/'2030'!Env_an*'2031'!Env_an</f>
        <v>177.99001718520094</v>
      </c>
      <c r="C223" s="831"/>
      <c r="D223" s="388">
        <f t="shared" si="77"/>
        <v>187.06581841071412</v>
      </c>
      <c r="E223" s="380">
        <f t="shared" si="75"/>
        <v>194.46166741413253</v>
      </c>
      <c r="F223" s="380">
        <f t="shared" si="78"/>
        <v>194.48293815848757</v>
      </c>
      <c r="G223" s="110">
        <f t="shared" si="76"/>
        <v>0.81247001894883308</v>
      </c>
      <c r="H223" s="409" t="b">
        <f>Wh_hp&gt;='2030'!Maxi_hp</f>
        <v>0</v>
      </c>
      <c r="I223" s="385">
        <f>IF(H223,Wh_hp,'2030'!Maxi_hp)</f>
        <v>194.48851648937162</v>
      </c>
      <c r="J223" s="85">
        <f>IF(H223,An,'2030'!An_max)</f>
        <v>2029</v>
      </c>
      <c r="K223" s="193">
        <f t="shared" si="79"/>
        <v>48057</v>
      </c>
      <c r="L223" s="143">
        <f>IF(t&lt;Tvie,1-EXP((T0-t)*PertePVj)+'2030'!Pspv,1-EXP((T0-t)*PertePVj)+Pspv)</f>
        <v>4.8516619993005494E-2</v>
      </c>
      <c r="M223" s="835"/>
      <c r="N223" s="835"/>
      <c r="O223" s="48">
        <f>IF(t&lt;Tnet,'2030'!Resal+('2030'!Salim-'2030'!Resal)*(1-EXP(('2030'!Tnet-t)/('2030'!Tau_j))),Resal+(Salim-Resal)*(1-EXP((Tnet-t)/(Tau_j))))*Salcycl</f>
        <v>3.8032426142207025E-2</v>
      </c>
      <c r="P223" s="165">
        <f>(INDEX(Models!$BJ223:$BT223,,T223)*(1-R223)+INDEX(Models!$BJ223:$BT223,,T223+1)*R223-ERP_i)*Q223*Ramure*Pc/MaxiM</f>
        <v>1.4938369748205793E-4</v>
      </c>
      <c r="Q223" s="301">
        <f t="shared" si="80"/>
        <v>0.5</v>
      </c>
      <c r="R223" s="173">
        <f t="shared" si="81"/>
        <v>0.40354652908427813</v>
      </c>
      <c r="S223" s="801">
        <f t="shared" si="82"/>
        <v>1</v>
      </c>
      <c r="T223" s="172">
        <f t="shared" si="83"/>
        <v>7</v>
      </c>
      <c r="U223" s="247">
        <f t="shared" si="84"/>
        <v>1.4035465290842781</v>
      </c>
      <c r="V223" s="378">
        <f t="shared" si="85"/>
        <v>219.06395356081609</v>
      </c>
      <c r="W223" s="397">
        <f t="shared" si="86"/>
        <v>177.99001718520094</v>
      </c>
      <c r="X223" s="153">
        <f t="shared" si="87"/>
        <v>48057</v>
      </c>
      <c r="Y223" s="380">
        <f t="shared" si="88"/>
        <v>173.24137441577929</v>
      </c>
      <c r="Z223" s="380">
        <f t="shared" si="89"/>
        <v>182.07503993869631</v>
      </c>
      <c r="AA223" s="381">
        <f t="shared" si="90"/>
        <v>194.38851097579018</v>
      </c>
      <c r="AB223" s="193">
        <f t="shared" si="91"/>
        <v>48057</v>
      </c>
      <c r="AC223" s="119">
        <f>IF(OR(t&lt;Tnet,NoTnet),'2030'!Resal_s+('2030'!Salim-'2030'!Resal_s)*(1-EXP(('2030'!Tnet_s-t)/'2030'!Tau_j)),Resal_s+(Salim-Resal_s)*(1-EXP((Tnet_s-t)/Tau_j)))*Salcycl</f>
        <v>6.3344644059892097E-2</v>
      </c>
      <c r="AD223" s="227">
        <f>(INDEX(Models!$BJ223:$BT223,,AH223)*(1-AF223)+INDEX(Models!$BJ223:$BT223,,AH223+1)*AF223-ERP_i)*AE223*Ramure*Pc/MaxiM</f>
        <v>6.6315881845449955E-4</v>
      </c>
      <c r="AE223" s="301">
        <f t="shared" si="92"/>
        <v>0.5</v>
      </c>
      <c r="AF223" s="173">
        <f t="shared" si="93"/>
        <v>0.92853409545825638</v>
      </c>
      <c r="AG223" s="801">
        <f t="shared" si="99"/>
        <v>4</v>
      </c>
      <c r="AH223" s="172">
        <f t="shared" si="94"/>
        <v>10</v>
      </c>
      <c r="AI223" s="221">
        <f t="shared" si="95"/>
        <v>4.9285340954582564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48058</v>
      </c>
      <c r="B224" s="406">
        <f>'2030'!Wh/'2030'!Env_an*'2031'!Env_an</f>
        <v>108.11752012242108</v>
      </c>
      <c r="C224" s="831"/>
      <c r="D224" s="388">
        <f t="shared" si="77"/>
        <v>113.63204282133078</v>
      </c>
      <c r="E224" s="380">
        <f t="shared" si="75"/>
        <v>118.13078323949408</v>
      </c>
      <c r="F224" s="380">
        <f t="shared" si="78"/>
        <v>118.13578321761669</v>
      </c>
      <c r="G224" s="110">
        <f t="shared" si="76"/>
        <v>0.49467213960175416</v>
      </c>
      <c r="H224" s="409" t="b">
        <f>Wh_hp&gt;='2030'!Maxi_hp</f>
        <v>0</v>
      </c>
      <c r="I224" s="385">
        <f>IF(H224,Wh_hp,'2030'!Maxi_hp)</f>
        <v>118.14507297317589</v>
      </c>
      <c r="J224" s="85">
        <f>IF(H224,An,'2030'!An_max)</f>
        <v>2029</v>
      </c>
      <c r="K224" s="193">
        <f t="shared" si="79"/>
        <v>48058</v>
      </c>
      <c r="L224" s="143">
        <f>IF(t&lt;Tvie,1-EXP((T0-t)*PertePVj)+'2030'!Pspv,1-EXP((T0-t)*PertePVj)+Pspv)</f>
        <v>4.8529645001458399E-2</v>
      </c>
      <c r="M224" s="835"/>
      <c r="N224" s="835"/>
      <c r="O224" s="48">
        <f>IF(t&lt;Tnet,'2030'!Resal+('2030'!Salim-'2030'!Resal)*(1-EXP(('2030'!Tnet-t)/('2030'!Tau_j))),Resal+(Salim-Resal)*(1-EXP((Tnet-t)/(Tau_j))))*Salcycl</f>
        <v>3.8082710490818523E-2</v>
      </c>
      <c r="P224" s="165">
        <f>(INDEX(Models!$BJ224:$BT224,,T224)*(1-R224)+INDEX(Models!$BJ224:$BT224,,T224+1)*R224-ERP_i)*Q224*Ramure*Pc/MaxiM</f>
        <v>1.5214569909632238E-4</v>
      </c>
      <c r="Q224" s="301">
        <f t="shared" si="80"/>
        <v>0.5</v>
      </c>
      <c r="R224" s="173">
        <f t="shared" si="81"/>
        <v>0.40571899808831136</v>
      </c>
      <c r="S224" s="801">
        <f t="shared" si="82"/>
        <v>1</v>
      </c>
      <c r="T224" s="172">
        <f t="shared" si="83"/>
        <v>7</v>
      </c>
      <c r="U224" s="247">
        <f t="shared" si="84"/>
        <v>1.4057189980883114</v>
      </c>
      <c r="V224" s="378">
        <f t="shared" si="85"/>
        <v>218.53999308800556</v>
      </c>
      <c r="W224" s="397">
        <f t="shared" si="86"/>
        <v>108.11752012242108</v>
      </c>
      <c r="X224" s="153">
        <f t="shared" si="87"/>
        <v>48058</v>
      </c>
      <c r="Y224" s="380">
        <f t="shared" si="88"/>
        <v>105.26036635059077</v>
      </c>
      <c r="Z224" s="380">
        <f t="shared" si="89"/>
        <v>110.62916022302358</v>
      </c>
      <c r="AA224" s="381">
        <f t="shared" si="90"/>
        <v>118.11368965827292</v>
      </c>
      <c r="AB224" s="193">
        <f t="shared" si="91"/>
        <v>48058</v>
      </c>
      <c r="AC224" s="119">
        <f>IF(OR(t&lt;Tnet,NoTnet),'2030'!Resal_s+('2030'!Salim-'2030'!Resal_s)*(1-EXP(('2030'!Tnet_s-t)/'2030'!Tau_j)),Resal_s+(Salim-Resal_s)*(1-EXP((Tnet_s-t)/Tau_j)))*Salcycl</f>
        <v>6.3367163085867609E-2</v>
      </c>
      <c r="AD224" s="227">
        <f>(INDEX(Models!$BJ224:$BT224,,AH224)*(1-AF224)+INDEX(Models!$BJ224:$BT224,,AH224+1)*AF224-ERP_i)*AE224*Ramure*Pc/MaxiM</f>
        <v>6.7229094797118915E-4</v>
      </c>
      <c r="AE224" s="301">
        <f t="shared" si="92"/>
        <v>0.5</v>
      </c>
      <c r="AF224" s="173">
        <f t="shared" si="93"/>
        <v>0.93070656446228917</v>
      </c>
      <c r="AG224" s="801">
        <f t="shared" si="99"/>
        <v>4</v>
      </c>
      <c r="AH224" s="172">
        <f t="shared" si="94"/>
        <v>10</v>
      </c>
      <c r="AI224" s="221">
        <f t="shared" si="95"/>
        <v>4.9307065644622892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48059</v>
      </c>
      <c r="B225" s="406">
        <f>'2030'!Wh/'2030'!Env_an*'2031'!Env_an</f>
        <v>187.14295175313779</v>
      </c>
      <c r="C225" s="831"/>
      <c r="D225" s="388">
        <f t="shared" si="77"/>
        <v>196.69085078152375</v>
      </c>
      <c r="E225" s="380">
        <f t="shared" si="75"/>
        <v>204.48857485933672</v>
      </c>
      <c r="F225" s="380">
        <f t="shared" si="78"/>
        <v>204.5138403312165</v>
      </c>
      <c r="G225" s="110">
        <f t="shared" si="76"/>
        <v>0.85840016927839224</v>
      </c>
      <c r="H225" s="409" t="b">
        <f>Wh_hp&gt;='2030'!Maxi_hp</f>
        <v>0</v>
      </c>
      <c r="I225" s="385">
        <f>IF(H225,Wh_hp,'2030'!Maxi_hp)</f>
        <v>204.51842335448276</v>
      </c>
      <c r="J225" s="85">
        <f>IF(H225,An,'2030'!An_max)</f>
        <v>2029</v>
      </c>
      <c r="K225" s="193">
        <f t="shared" si="79"/>
        <v>48059</v>
      </c>
      <c r="L225" s="143">
        <f>IF(t&lt;Tvie,1-EXP((T0-t)*PertePVj)+'2030'!Pspv,1-EXP((T0-t)*PertePVj)+Pspv)</f>
        <v>4.854266983160993E-2</v>
      </c>
      <c r="M225" s="835"/>
      <c r="N225" s="835"/>
      <c r="O225" s="48">
        <f>IF(t&lt;Tnet,'2030'!Resal+('2030'!Salim-'2030'!Resal)*(1-EXP(('2030'!Tnet-t)/('2030'!Tau_j))),Resal+(Salim-Resal)*(1-EXP((Tnet-t)/(Tau_j))))*Salcycl</f>
        <v>3.8132810516073305E-2</v>
      </c>
      <c r="P225" s="165">
        <f>(INDEX(Models!$BJ225:$BT225,,T225)*(1-R225)+INDEX(Models!$BJ225:$BT225,,T225+1)*R225-ERP_i)*Q225*Ramure*Pc/MaxiM</f>
        <v>1.5485894503486364E-4</v>
      </c>
      <c r="Q225" s="301">
        <f t="shared" si="80"/>
        <v>0.5</v>
      </c>
      <c r="R225" s="173">
        <f t="shared" si="81"/>
        <v>0.40782428163519402</v>
      </c>
      <c r="S225" s="801">
        <f t="shared" si="82"/>
        <v>1</v>
      </c>
      <c r="T225" s="172">
        <f t="shared" si="83"/>
        <v>7</v>
      </c>
      <c r="U225" s="247">
        <f t="shared" si="84"/>
        <v>1.407824281635194</v>
      </c>
      <c r="V225" s="378">
        <f t="shared" si="85"/>
        <v>218.0068183266531</v>
      </c>
      <c r="W225" s="397">
        <f t="shared" si="86"/>
        <v>187.14295175313779</v>
      </c>
      <c r="X225" s="153">
        <f t="shared" si="87"/>
        <v>48059</v>
      </c>
      <c r="Y225" s="380">
        <f t="shared" si="88"/>
        <v>182.15235084908633</v>
      </c>
      <c r="Z225" s="380">
        <f t="shared" si="89"/>
        <v>191.4456330026369</v>
      </c>
      <c r="AA225" s="381">
        <f t="shared" si="90"/>
        <v>204.40259991678525</v>
      </c>
      <c r="AB225" s="193">
        <f t="shared" si="91"/>
        <v>48059</v>
      </c>
      <c r="AC225" s="119">
        <f>IF(OR(t&lt;Tnet,NoTnet),'2030'!Resal_s+('2030'!Salim-'2030'!Resal_s)*(1-EXP(('2030'!Tnet_s-t)/'2030'!Tau_j)),Resal_s+(Salim-Resal_s)*(1-EXP((Tnet_s-t)/Tau_j)))*Salcycl</f>
        <v>6.3389442792915987E-2</v>
      </c>
      <c r="AD225" s="227">
        <f>(INDEX(Models!$BJ225:$BT225,,AH225)*(1-AF225)+INDEX(Models!$BJ225:$BT225,,AH225+1)*AF225-ERP_i)*AE225*Ramure*Pc/MaxiM</f>
        <v>6.818227384011356E-4</v>
      </c>
      <c r="AE225" s="301">
        <f t="shared" si="92"/>
        <v>0.5</v>
      </c>
      <c r="AF225" s="173">
        <f t="shared" si="93"/>
        <v>0.93281184800917227</v>
      </c>
      <c r="AG225" s="801">
        <f t="shared" si="99"/>
        <v>4</v>
      </c>
      <c r="AH225" s="172">
        <f t="shared" si="94"/>
        <v>10</v>
      </c>
      <c r="AI225" s="221">
        <f t="shared" si="95"/>
        <v>4.9328118480091723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48060</v>
      </c>
      <c r="B226" s="406">
        <f>'2030'!Wh/'2030'!Env_an*'2031'!Env_an</f>
        <v>214.16440135078005</v>
      </c>
      <c r="C226" s="831"/>
      <c r="D226" s="388">
        <f t="shared" si="77"/>
        <v>225.09399668382122</v>
      </c>
      <c r="E226" s="380">
        <f t="shared" si="75"/>
        <v>234.02989803252694</v>
      </c>
      <c r="F226" s="380">
        <f t="shared" si="78"/>
        <v>234.06596257898582</v>
      </c>
      <c r="G226" s="110">
        <f t="shared" si="76"/>
        <v>0.98482158391759123</v>
      </c>
      <c r="H226" s="409" t="b">
        <f>Wh_hp&gt;='2030'!Maxi_hp</f>
        <v>0</v>
      </c>
      <c r="I226" s="385">
        <f>IF(H226,Wh_hp,'2030'!Maxi_hp)</f>
        <v>234.06653411113189</v>
      </c>
      <c r="J226" s="85">
        <f>IF(H226,An,'2030'!An_max)</f>
        <v>2029</v>
      </c>
      <c r="K226" s="193">
        <f t="shared" si="79"/>
        <v>48060</v>
      </c>
      <c r="L226" s="143">
        <f>IF(t&lt;Tvie,1-EXP((T0-t)*PertePVj)+'2030'!Pspv,1-EXP((T0-t)*PertePVj)+Pspv)</f>
        <v>4.855569448346253E-2</v>
      </c>
      <c r="M226" s="835"/>
      <c r="N226" s="835"/>
      <c r="O226" s="48">
        <f>IF(t&lt;Tnet,'2030'!Resal+('2030'!Salim-'2030'!Resal)*(1-EXP(('2030'!Tnet-t)/('2030'!Tau_j))),Resal+(Salim-Resal)*(1-EXP((Tnet-t)/(Tau_j))))*Salcycl</f>
        <v>3.8182734017444896E-2</v>
      </c>
      <c r="P226" s="165">
        <f>(INDEX(Models!$BJ226:$BT226,,T226)*(1-R226)+INDEX(Models!$BJ226:$BT226,,T226+1)*R226-ERP_i)*Q226*Ramure*Pc/MaxiM</f>
        <v>1.5749279066767539E-4</v>
      </c>
      <c r="Q226" s="301">
        <f t="shared" si="80"/>
        <v>0.5</v>
      </c>
      <c r="R226" s="173">
        <f t="shared" si="81"/>
        <v>0.40986375270066699</v>
      </c>
      <c r="S226" s="801">
        <f t="shared" si="82"/>
        <v>1</v>
      </c>
      <c r="T226" s="172">
        <f t="shared" si="83"/>
        <v>7</v>
      </c>
      <c r="U226" s="247">
        <f t="shared" si="84"/>
        <v>1.409863752700667</v>
      </c>
      <c r="V226" s="378">
        <f t="shared" si="85"/>
        <v>217.46443571991526</v>
      </c>
      <c r="W226" s="397">
        <f t="shared" si="86"/>
        <v>214.16440135078005</v>
      </c>
      <c r="X226" s="153">
        <f t="shared" si="87"/>
        <v>48060</v>
      </c>
      <c r="Y226" s="380">
        <f t="shared" si="88"/>
        <v>208.43778062767709</v>
      </c>
      <c r="Z226" s="380">
        <f t="shared" si="89"/>
        <v>219.07512548989041</v>
      </c>
      <c r="AA226" s="381">
        <f t="shared" si="90"/>
        <v>233.90755354445997</v>
      </c>
      <c r="AB226" s="193">
        <f t="shared" si="91"/>
        <v>48060</v>
      </c>
      <c r="AC226" s="119">
        <f>IF(OR(t&lt;Tnet,NoTnet),'2030'!Resal_s+('2030'!Salim-'2030'!Resal_s)*(1-EXP(('2030'!Tnet_s-t)/'2030'!Tau_j)),Resal_s+(Salim-Resal_s)*(1-EXP((Tnet_s-t)/Tau_j)))*Salcycl</f>
        <v>6.3411496678110857E-2</v>
      </c>
      <c r="AD226" s="227">
        <f>(INDEX(Models!$BJ226:$BT226,,AH226)*(1-AF226)+INDEX(Models!$BJ226:$BT226,,AH226+1)*AF226-ERP_i)*AE226*Ramure*Pc/MaxiM</f>
        <v>6.9176749367669266E-4</v>
      </c>
      <c r="AE226" s="301">
        <f t="shared" si="92"/>
        <v>0.5</v>
      </c>
      <c r="AF226" s="173">
        <f t="shared" si="93"/>
        <v>0.93485131907464503</v>
      </c>
      <c r="AG226" s="801">
        <f t="shared" si="99"/>
        <v>4</v>
      </c>
      <c r="AH226" s="172">
        <f t="shared" si="94"/>
        <v>10</v>
      </c>
      <c r="AI226" s="221">
        <f t="shared" si="95"/>
        <v>4.934851319074645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48061</v>
      </c>
      <c r="B227" s="406">
        <f>'2030'!Wh/'2030'!Env_an*'2031'!Env_an</f>
        <v>213.12722830541273</v>
      </c>
      <c r="C227" s="831"/>
      <c r="D227" s="388">
        <f t="shared" si="77"/>
        <v>224.00695935893302</v>
      </c>
      <c r="E227" s="380">
        <f t="shared" si="75"/>
        <v>232.91175522143334</v>
      </c>
      <c r="F227" s="380">
        <f t="shared" si="78"/>
        <v>232.9480994341981</v>
      </c>
      <c r="G227" s="110">
        <f t="shared" si="76"/>
        <v>0.98254379239596457</v>
      </c>
      <c r="H227" s="409" t="b">
        <f>Wh_hp&gt;='2030'!Maxi_hp</f>
        <v>0</v>
      </c>
      <c r="I227" s="385">
        <f>IF(H227,Wh_hp,'2030'!Maxi_hp)</f>
        <v>232.94876372391144</v>
      </c>
      <c r="J227" s="85">
        <f>IF(H227,An,'2030'!An_max)</f>
        <v>2029</v>
      </c>
      <c r="K227" s="193">
        <f t="shared" si="79"/>
        <v>48061</v>
      </c>
      <c r="L227" s="143">
        <f>IF(t&lt;Tvie,1-EXP((T0-t)*PertePVj)+'2030'!Pspv,1-EXP((T0-t)*PertePVj)+Pspv)</f>
        <v>4.8568718957018531E-2</v>
      </c>
      <c r="M227" s="835"/>
      <c r="N227" s="835"/>
      <c r="O227" s="48">
        <f>IF(t&lt;Tnet,'2030'!Resal+('2030'!Salim-'2030'!Resal)*(1-EXP(('2030'!Tnet-t)/('2030'!Tau_j))),Resal+(Salim-Resal)*(1-EXP((Tnet-t)/(Tau_j))))*Salcycl</f>
        <v>3.8232487896690232E-2</v>
      </c>
      <c r="P227" s="165">
        <f>(INDEX(Models!$BJ227:$BT227,,T227)*(1-R227)+INDEX(Models!$BJ227:$BT227,,T227+1)*R227-ERP_i)*Q227*Ramure*Pc/MaxiM</f>
        <v>1.6000778716304166E-4</v>
      </c>
      <c r="Q227" s="301">
        <f t="shared" si="80"/>
        <v>0.5</v>
      </c>
      <c r="R227" s="173">
        <f t="shared" si="81"/>
        <v>0.41183880742933621</v>
      </c>
      <c r="S227" s="801">
        <f t="shared" si="82"/>
        <v>1</v>
      </c>
      <c r="T227" s="172">
        <f t="shared" si="83"/>
        <v>7</v>
      </c>
      <c r="U227" s="247">
        <f t="shared" si="84"/>
        <v>1.4118388074293362</v>
      </c>
      <c r="V227" s="378">
        <f t="shared" si="85"/>
        <v>216.91285375387406</v>
      </c>
      <c r="W227" s="397">
        <f t="shared" si="86"/>
        <v>213.12722830541273</v>
      </c>
      <c r="X227" s="153">
        <f t="shared" si="87"/>
        <v>48061</v>
      </c>
      <c r="Y227" s="380">
        <f t="shared" si="88"/>
        <v>207.43311196565006</v>
      </c>
      <c r="Z227" s="380">
        <f t="shared" si="89"/>
        <v>218.02216943955949</v>
      </c>
      <c r="AA227" s="381">
        <f t="shared" si="90"/>
        <v>232.78873568943217</v>
      </c>
      <c r="AB227" s="193">
        <f t="shared" si="91"/>
        <v>48061</v>
      </c>
      <c r="AC227" s="119">
        <f>IF(OR(t&lt;Tnet,NoTnet),'2030'!Resal_s+('2030'!Salim-'2030'!Resal_s)*(1-EXP(('2030'!Tnet_s-t)/'2030'!Tau_j)),Resal_s+(Salim-Resal_s)*(1-EXP((Tnet_s-t)/Tau_j)))*Salcycl</f>
        <v>6.343333669535034E-2</v>
      </c>
      <c r="AD227" s="227">
        <f>(INDEX(Models!$BJ227:$BT227,,AH227)*(1-AF227)+INDEX(Models!$BJ227:$BT227,,AH227+1)*AF227-ERP_i)*AE227*Ramure*Pc/MaxiM</f>
        <v>7.016093681559588E-4</v>
      </c>
      <c r="AE227" s="301">
        <f t="shared" si="92"/>
        <v>0.5</v>
      </c>
      <c r="AF227" s="173">
        <f t="shared" si="93"/>
        <v>0.93682637380331446</v>
      </c>
      <c r="AG227" s="801">
        <f t="shared" si="99"/>
        <v>4</v>
      </c>
      <c r="AH227" s="172">
        <f t="shared" si="94"/>
        <v>10</v>
      </c>
      <c r="AI227" s="221">
        <f t="shared" si="95"/>
        <v>4.9368263738033145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48062</v>
      </c>
      <c r="B228" s="406">
        <f>'2030'!Wh/'2030'!Env_an*'2031'!Env_an</f>
        <v>213.18443109256552</v>
      </c>
      <c r="C228" s="831"/>
      <c r="D228" s="388">
        <f t="shared" si="77"/>
        <v>224.07014956944852</v>
      </c>
      <c r="E228" s="380">
        <f t="shared" si="75"/>
        <v>232.989470698632</v>
      </c>
      <c r="F228" s="380">
        <f t="shared" si="78"/>
        <v>233.02652326282438</v>
      </c>
      <c r="G228" s="110">
        <f t="shared" si="76"/>
        <v>0.98535550913702652</v>
      </c>
      <c r="H228" s="409" t="b">
        <f>Wh_hp&gt;='2030'!Maxi_hp</f>
        <v>0</v>
      </c>
      <c r="I228" s="385">
        <f>IF(H228,Wh_hp,'2030'!Maxi_hp)</f>
        <v>233.02708881208648</v>
      </c>
      <c r="J228" s="85">
        <f>IF(H228,An,'2030'!An_max)</f>
        <v>2029</v>
      </c>
      <c r="K228" s="193">
        <f t="shared" si="79"/>
        <v>48062</v>
      </c>
      <c r="L228" s="143">
        <f>IF(t&lt;Tvie,1-EXP((T0-t)*PertePVj)+'2030'!Pspv,1-EXP((T0-t)*PertePVj)+Pspv)</f>
        <v>4.8581743252280374E-2</v>
      </c>
      <c r="M228" s="835"/>
      <c r="N228" s="835"/>
      <c r="O228" s="48">
        <f>IF(t&lt;Tnet,'2030'!Resal+('2030'!Salim-'2030'!Resal)*(1-EXP(('2030'!Tnet-t)/('2030'!Tau_j))),Resal+(Salim-Resal)*(1-EXP((Tnet-t)/(Tau_j))))*Salcycl</f>
        <v>3.828207816618668E-2</v>
      </c>
      <c r="P228" s="165">
        <f>(INDEX(Models!$BJ228:$BT228,,T228)*(1-R228)+INDEX(Models!$BJ228:$BT228,,T228+1)*R228-ERP_i)*Q228*Ramure*Pc/MaxiM</f>
        <v>1.6240257962291699E-4</v>
      </c>
      <c r="Q228" s="301">
        <f t="shared" si="80"/>
        <v>0.5</v>
      </c>
      <c r="R228" s="173">
        <f t="shared" si="81"/>
        <v>0.41375086051397303</v>
      </c>
      <c r="S228" s="801">
        <f t="shared" si="82"/>
        <v>1</v>
      </c>
      <c r="T228" s="172">
        <f t="shared" si="83"/>
        <v>7</v>
      </c>
      <c r="U228" s="247">
        <f t="shared" si="84"/>
        <v>1.413750860513973</v>
      </c>
      <c r="V228" s="378">
        <f t="shared" si="85"/>
        <v>216.35207278579759</v>
      </c>
      <c r="W228" s="397">
        <f t="shared" si="86"/>
        <v>213.18443109256552</v>
      </c>
      <c r="X228" s="153">
        <f t="shared" si="87"/>
        <v>48062</v>
      </c>
      <c r="Y228" s="380">
        <f t="shared" si="88"/>
        <v>207.49274648174227</v>
      </c>
      <c r="Z228" s="380">
        <f t="shared" si="89"/>
        <v>218.08783362117211</v>
      </c>
      <c r="AA228" s="381">
        <f t="shared" si="90"/>
        <v>232.86422691733029</v>
      </c>
      <c r="AB228" s="193">
        <f t="shared" si="91"/>
        <v>48062</v>
      </c>
      <c r="AC228" s="119">
        <f>IF(OR(t&lt;Tnet,NoTnet),'2030'!Resal_s+('2030'!Salim-'2030'!Resal_s)*(1-EXP(('2030'!Tnet_s-t)/'2030'!Tau_j)),Resal_s+(Salim-Resal_s)*(1-EXP((Tnet_s-t)/Tau_j)))*Salcycl</f>
        <v>6.3454973276784093E-2</v>
      </c>
      <c r="AD228" s="227">
        <f>(INDEX(Models!$BJ228:$BT228,,AH228)*(1-AF228)+INDEX(Models!$BJ228:$BT228,,AH228+1)*AF228-ERP_i)*AE228*Ramure*Pc/MaxiM</f>
        <v>7.1135009805972562E-4</v>
      </c>
      <c r="AE228" s="301">
        <f t="shared" si="92"/>
        <v>0.5</v>
      </c>
      <c r="AF228" s="173">
        <f t="shared" si="93"/>
        <v>0.9387384268879515</v>
      </c>
      <c r="AG228" s="801">
        <f t="shared" si="99"/>
        <v>4</v>
      </c>
      <c r="AH228" s="172">
        <f t="shared" si="94"/>
        <v>10</v>
      </c>
      <c r="AI228" s="221">
        <f t="shared" si="95"/>
        <v>4.9387384268879515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48063</v>
      </c>
      <c r="B229" s="406">
        <f>'2030'!Wh/'2030'!Env_an*'2031'!Env_an</f>
        <v>202.4157086512449</v>
      </c>
      <c r="C229" s="831"/>
      <c r="D229" s="388">
        <f t="shared" si="77"/>
        <v>212.75446225110747</v>
      </c>
      <c r="E229" s="380">
        <f t="shared" si="75"/>
        <v>221.23472324953602</v>
      </c>
      <c r="F229" s="380">
        <f t="shared" si="78"/>
        <v>221.26793632867356</v>
      </c>
      <c r="G229" s="110">
        <f t="shared" si="76"/>
        <v>0.9380424268484483</v>
      </c>
      <c r="H229" s="409" t="b">
        <f>Wh_hp&gt;='2030'!Maxi_hp</f>
        <v>0</v>
      </c>
      <c r="I229" s="385">
        <f>IF(H229,Wh_hp,'2030'!Maxi_hp)</f>
        <v>221.2702390111952</v>
      </c>
      <c r="J229" s="85">
        <f>IF(H229,An,'2030'!An_max)</f>
        <v>2029</v>
      </c>
      <c r="K229" s="193">
        <f t="shared" si="79"/>
        <v>48063</v>
      </c>
      <c r="L229" s="143">
        <f>IF(t&lt;Tvie,1-EXP((T0-t)*PertePVj)+'2030'!Pspv,1-EXP((T0-t)*PertePVj)+Pspv)</f>
        <v>4.8594767369250613E-2</v>
      </c>
      <c r="M229" s="835"/>
      <c r="N229" s="835"/>
      <c r="O229" s="48">
        <f>IF(t&lt;Tnet,'2030'!Resal+('2030'!Salim-'2030'!Resal)*(1-EXP(('2030'!Tnet-t)/('2030'!Tau_j))),Resal+(Salim-Resal)*(1-EXP((Tnet-t)/(Tau_j))))*Salcycl</f>
        <v>3.833150996312383E-2</v>
      </c>
      <c r="P229" s="165">
        <f>(INDEX(Models!$BJ229:$BT229,,T229)*(1-R229)+INDEX(Models!$BJ229:$BT229,,T229+1)*R229-ERP_i)*Q229*Ramure*Pc/MaxiM</f>
        <v>1.6467581854969567E-4</v>
      </c>
      <c r="Q229" s="301">
        <f t="shared" si="80"/>
        <v>0.5</v>
      </c>
      <c r="R229" s="173">
        <f t="shared" si="81"/>
        <v>0.41560134083669587</v>
      </c>
      <c r="S229" s="801">
        <f t="shared" si="82"/>
        <v>1</v>
      </c>
      <c r="T229" s="172">
        <f t="shared" si="83"/>
        <v>7</v>
      </c>
      <c r="U229" s="247">
        <f t="shared" si="84"/>
        <v>1.4156013408366959</v>
      </c>
      <c r="V229" s="378">
        <f t="shared" si="85"/>
        <v>215.78209336523258</v>
      </c>
      <c r="W229" s="397">
        <f t="shared" si="86"/>
        <v>202.4157086512449</v>
      </c>
      <c r="X229" s="153">
        <f t="shared" si="87"/>
        <v>48063</v>
      </c>
      <c r="Y229" s="380">
        <f t="shared" si="88"/>
        <v>197.02313811390232</v>
      </c>
      <c r="Z229" s="380">
        <f t="shared" si="89"/>
        <v>207.08645628226131</v>
      </c>
      <c r="AA229" s="381">
        <f t="shared" si="90"/>
        <v>221.12252128994649</v>
      </c>
      <c r="AB229" s="193">
        <f t="shared" si="91"/>
        <v>48063</v>
      </c>
      <c r="AC229" s="119">
        <f>IF(OR(t&lt;Tnet,NoTnet),'2030'!Resal_s+('2030'!Salim-'2030'!Resal_s)*(1-EXP(('2030'!Tnet_s-t)/'2030'!Tau_j)),Resal_s+(Salim-Resal_s)*(1-EXP((Tnet_s-t)/Tau_j)))*Salcycl</f>
        <v>6.3476415363772118E-2</v>
      </c>
      <c r="AD229" s="227">
        <f>(INDEX(Models!$BJ229:$BT229,,AH229)*(1-AF229)+INDEX(Models!$BJ229:$BT229,,AH229+1)*AF229-ERP_i)*AE229*Ramure*Pc/MaxiM</f>
        <v>7.2099128276102286E-4</v>
      </c>
      <c r="AE229" s="301">
        <f t="shared" si="92"/>
        <v>0.5</v>
      </c>
      <c r="AF229" s="173">
        <f t="shared" si="93"/>
        <v>0.94058890721067367</v>
      </c>
      <c r="AG229" s="801">
        <f t="shared" si="99"/>
        <v>4</v>
      </c>
      <c r="AH229" s="172">
        <f t="shared" si="94"/>
        <v>10</v>
      </c>
      <c r="AI229" s="221">
        <f t="shared" si="95"/>
        <v>4.9405889072106737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48064</v>
      </c>
      <c r="B230" s="406">
        <f>'2030'!Wh/'2030'!Env_an*'2031'!Env_an</f>
        <v>192.09484112131867</v>
      </c>
      <c r="C230" s="831"/>
      <c r="D230" s="388">
        <f t="shared" si="77"/>
        <v>201.90920144847738</v>
      </c>
      <c r="E230" s="380">
        <f t="shared" si="75"/>
        <v>209.96793620424921</v>
      </c>
      <c r="F230" s="380">
        <f t="shared" si="78"/>
        <v>209.99759531566264</v>
      </c>
      <c r="G230" s="110">
        <f t="shared" si="76"/>
        <v>0.89259907792757565</v>
      </c>
      <c r="H230" s="409" t="b">
        <f>Wh_hp&gt;='2030'!Maxi_hp</f>
        <v>0</v>
      </c>
      <c r="I230" s="385">
        <f>IF(H230,Wh_hp,'2030'!Maxi_hp)</f>
        <v>210.00143124713034</v>
      </c>
      <c r="J230" s="85">
        <f>IF(H230,An,'2030'!An_max)</f>
        <v>2029</v>
      </c>
      <c r="K230" s="193">
        <f t="shared" si="79"/>
        <v>48064</v>
      </c>
      <c r="L230" s="143">
        <f>IF(t&lt;Tvie,1-EXP((T0-t)*PertePVj)+'2030'!Pspv,1-EXP((T0-t)*PertePVj)+Pspv)</f>
        <v>4.860779130793158E-2</v>
      </c>
      <c r="M230" s="835"/>
      <c r="N230" s="835"/>
      <c r="O230" s="48">
        <f>IF(t&lt;Tnet,'2030'!Resal+('2030'!Salim-'2030'!Resal)*(1-EXP(('2030'!Tnet-t)/('2030'!Tau_j))),Resal+(Salim-Resal)*(1-EXP((Tnet-t)/(Tau_j))))*Salcycl</f>
        <v>3.8380787569072379E-2</v>
      </c>
      <c r="P230" s="165">
        <f>(INDEX(Models!$BJ230:$BT230,,T230)*(1-R230)+INDEX(Models!$BJ230:$BT230,,T230+1)*R230-ERP_i)*Q230*Ramure*Pc/MaxiM</f>
        <v>1.6682615476239004E-4</v>
      </c>
      <c r="Q230" s="301">
        <f t="shared" si="80"/>
        <v>0.5</v>
      </c>
      <c r="R230" s="173">
        <f t="shared" si="81"/>
        <v>0.41739168737137278</v>
      </c>
      <c r="S230" s="801">
        <f t="shared" si="82"/>
        <v>1</v>
      </c>
      <c r="T230" s="172">
        <f t="shared" si="83"/>
        <v>7</v>
      </c>
      <c r="U230" s="247">
        <f t="shared" si="84"/>
        <v>1.4173916873713728</v>
      </c>
      <c r="V230" s="378">
        <f t="shared" si="85"/>
        <v>215.20291622588147</v>
      </c>
      <c r="W230" s="397">
        <f t="shared" si="86"/>
        <v>192.09484112131867</v>
      </c>
      <c r="X230" s="153">
        <f t="shared" si="87"/>
        <v>48064</v>
      </c>
      <c r="Y230" s="380">
        <f t="shared" si="88"/>
        <v>186.98815303828664</v>
      </c>
      <c r="Z230" s="380">
        <f t="shared" si="89"/>
        <v>196.54160642680648</v>
      </c>
      <c r="AA230" s="381">
        <f t="shared" si="90"/>
        <v>209.86771759608681</v>
      </c>
      <c r="AB230" s="193">
        <f t="shared" si="91"/>
        <v>48064</v>
      </c>
      <c r="AC230" s="119">
        <f>IF(OR(t&lt;Tnet,NoTnet),'2030'!Resal_s+('2030'!Salim-'2030'!Resal_s)*(1-EXP(('2030'!Tnet_s-t)/'2030'!Tau_j)),Resal_s+(Salim-Resal_s)*(1-EXP((Tnet_s-t)/Tau_j)))*Salcycl</f>
        <v>6.3497670446523255E-2</v>
      </c>
      <c r="AD230" s="227">
        <f>(INDEX(Models!$BJ230:$BT230,,AH230)*(1-AF230)+INDEX(Models!$BJ230:$BT230,,AH230+1)*AF230-ERP_i)*AE230*Ramure*Pc/MaxiM</f>
        <v>7.3053437927151266E-4</v>
      </c>
      <c r="AE230" s="301">
        <f t="shared" si="92"/>
        <v>0.5</v>
      </c>
      <c r="AF230" s="173">
        <f t="shared" si="93"/>
        <v>0.94237925374535081</v>
      </c>
      <c r="AG230" s="801">
        <f t="shared" si="99"/>
        <v>4</v>
      </c>
      <c r="AH230" s="172">
        <f t="shared" si="94"/>
        <v>10</v>
      </c>
      <c r="AI230" s="221">
        <f t="shared" si="95"/>
        <v>4.9423792537453508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48065</v>
      </c>
      <c r="B231" s="406">
        <f>'2030'!Wh/'2030'!Env_an*'2031'!Env_an</f>
        <v>178.73171426869251</v>
      </c>
      <c r="C231" s="831"/>
      <c r="D231" s="388">
        <f t="shared" si="77"/>
        <v>187.86590783098603</v>
      </c>
      <c r="E231" s="380">
        <f t="shared" si="75"/>
        <v>195.3741184871451</v>
      </c>
      <c r="F231" s="380">
        <f t="shared" si="78"/>
        <v>195.39923148666006</v>
      </c>
      <c r="G231" s="110">
        <f t="shared" si="76"/>
        <v>0.83276977910287253</v>
      </c>
      <c r="H231" s="409" t="b">
        <f>Wh_hp&gt;='2030'!Maxi_hp</f>
        <v>0</v>
      </c>
      <c r="I231" s="385">
        <f>IF(H231,Wh_hp,'2030'!Maxi_hp)</f>
        <v>195.40485390053539</v>
      </c>
      <c r="J231" s="85">
        <f>IF(H231,An,'2030'!An_max)</f>
        <v>2029</v>
      </c>
      <c r="K231" s="193">
        <f t="shared" si="79"/>
        <v>48065</v>
      </c>
      <c r="L231" s="143">
        <f>IF(t&lt;Tvie,1-EXP((T0-t)*PertePVj)+'2030'!Pspv,1-EXP((T0-t)*PertePVj)+Pspv)</f>
        <v>4.8620815068325829E-2</v>
      </c>
      <c r="M231" s="835"/>
      <c r="N231" s="835"/>
      <c r="O231" s="48">
        <f>IF(t&lt;Tnet,'2030'!Resal+('2030'!Salim-'2030'!Resal)*(1-EXP(('2030'!Tnet-t)/('2030'!Tau_j))),Resal+(Salim-Resal)*(1-EXP((Tnet-t)/(Tau_j))))*Salcycl</f>
        <v>3.842991443440897E-2</v>
      </c>
      <c r="P231" s="165">
        <f>(INDEX(Models!$BJ231:$BT231,,T231)*(1-R231)+INDEX(Models!$BJ231:$BT231,,T231+1)*R231-ERP_i)*Q231*Ramure*Pc/MaxiM</f>
        <v>1.6885223482640289E-4</v>
      </c>
      <c r="Q231" s="301">
        <f t="shared" si="80"/>
        <v>0.5</v>
      </c>
      <c r="R231" s="173">
        <f t="shared" si="81"/>
        <v>0.41912334534501516</v>
      </c>
      <c r="S231" s="801">
        <f t="shared" si="82"/>
        <v>1</v>
      </c>
      <c r="T231" s="172">
        <f t="shared" si="83"/>
        <v>7</v>
      </c>
      <c r="U231" s="247">
        <f t="shared" si="84"/>
        <v>1.4191233453450152</v>
      </c>
      <c r="V231" s="378">
        <f t="shared" si="85"/>
        <v>214.61454226968959</v>
      </c>
      <c r="W231" s="397">
        <f t="shared" si="86"/>
        <v>178.73171426869251</v>
      </c>
      <c r="X231" s="153">
        <f t="shared" si="87"/>
        <v>48065</v>
      </c>
      <c r="Y231" s="380">
        <f t="shared" si="88"/>
        <v>173.99265172058097</v>
      </c>
      <c r="Z231" s="380">
        <f t="shared" si="89"/>
        <v>182.88465259314739</v>
      </c>
      <c r="AA231" s="381">
        <f t="shared" si="90"/>
        <v>195.28917588134388</v>
      </c>
      <c r="AB231" s="193">
        <f t="shared" si="91"/>
        <v>48065</v>
      </c>
      <c r="AC231" s="119">
        <f>IF(OR(t&lt;Tnet,NoTnet),'2030'!Resal_s+('2030'!Salim-'2030'!Resal_s)*(1-EXP(('2030'!Tnet_s-t)/'2030'!Tau_j)),Resal_s+(Salim-Resal_s)*(1-EXP((Tnet_s-t)/Tau_j)))*Salcycl</f>
        <v>6.3518744611495259E-2</v>
      </c>
      <c r="AD231" s="227">
        <f>(INDEX(Models!$BJ231:$BT231,,AH231)*(1-AF231)+INDEX(Models!$BJ231:$BT231,,AH231+1)*AF231-ERP_i)*AE231*Ramure*Pc/MaxiM</f>
        <v>7.3998069811407013E-4</v>
      </c>
      <c r="AE231" s="301">
        <f t="shared" si="92"/>
        <v>0.5</v>
      </c>
      <c r="AF231" s="173">
        <f t="shared" si="93"/>
        <v>0.94411091171899297</v>
      </c>
      <c r="AG231" s="801">
        <f t="shared" si="99"/>
        <v>4</v>
      </c>
      <c r="AH231" s="172">
        <f t="shared" si="94"/>
        <v>10</v>
      </c>
      <c r="AI231" s="221">
        <f t="shared" si="95"/>
        <v>4.944110911718993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48066</v>
      </c>
      <c r="B232" s="406">
        <f>'2030'!Wh/'2030'!Env_an*'2031'!Env_an</f>
        <v>191.70961662938566</v>
      </c>
      <c r="C232" s="831"/>
      <c r="D232" s="388">
        <f t="shared" si="77"/>
        <v>201.50981232865715</v>
      </c>
      <c r="E232" s="380">
        <f t="shared" si="75"/>
        <v>209.57398740914675</v>
      </c>
      <c r="F232" s="380">
        <f t="shared" si="78"/>
        <v>209.60444863723595</v>
      </c>
      <c r="G232" s="110">
        <f t="shared" si="76"/>
        <v>0.89574550698532651</v>
      </c>
      <c r="H232" s="409" t="b">
        <f>Wh_hp&gt;='2030'!Maxi_hp</f>
        <v>0</v>
      </c>
      <c r="I232" s="385">
        <f>IF(H232,Wh_hp,'2030'!Maxi_hp)</f>
        <v>209.60824900891876</v>
      </c>
      <c r="J232" s="85">
        <f>IF(H232,An,'2030'!An_max)</f>
        <v>2029</v>
      </c>
      <c r="K232" s="193">
        <f t="shared" si="79"/>
        <v>48066</v>
      </c>
      <c r="L232" s="143">
        <f>IF(t&lt;Tvie,1-EXP((T0-t)*PertePVj)+'2030'!Pspv,1-EXP((T0-t)*PertePVj)+Pspv)</f>
        <v>4.863383865043569E-2</v>
      </c>
      <c r="M232" s="835"/>
      <c r="N232" s="835"/>
      <c r="O232" s="48">
        <f>IF(t&lt;Tnet,'2030'!Resal+('2030'!Salim-'2030'!Resal)*(1-EXP(('2030'!Tnet-t)/('2030'!Tau_j))),Resal+(Salim-Resal)*(1-EXP((Tnet-t)/(Tau_j))))*Salcycl</f>
        <v>3.8478893207037554E-2</v>
      </c>
      <c r="P232" s="165">
        <f>(INDEX(Models!$BJ232:$BT232,,T232)*(1-R232)+INDEX(Models!$BJ232:$BT232,,T232+1)*R232-ERP_i)*Q232*Ramure*Pc/MaxiM</f>
        <v>1.7075269696457246E-4</v>
      </c>
      <c r="Q232" s="301">
        <f t="shared" si="80"/>
        <v>0.5</v>
      </c>
      <c r="R232" s="173">
        <f t="shared" si="81"/>
        <v>0.42079776265454671</v>
      </c>
      <c r="S232" s="801">
        <f t="shared" si="82"/>
        <v>1</v>
      </c>
      <c r="T232" s="172">
        <f t="shared" si="83"/>
        <v>7</v>
      </c>
      <c r="U232" s="247">
        <f t="shared" si="84"/>
        <v>1.4207977626545467</v>
      </c>
      <c r="V232" s="378">
        <f t="shared" si="85"/>
        <v>214.01697258214563</v>
      </c>
      <c r="W232" s="397">
        <f t="shared" si="86"/>
        <v>191.70961662938566</v>
      </c>
      <c r="X232" s="153">
        <f t="shared" si="87"/>
        <v>48066</v>
      </c>
      <c r="Y232" s="380">
        <f t="shared" si="88"/>
        <v>186.62100846793302</v>
      </c>
      <c r="Z232" s="380">
        <f t="shared" si="89"/>
        <v>196.16107451541166</v>
      </c>
      <c r="AA232" s="381">
        <f t="shared" si="90"/>
        <v>209.47077253660854</v>
      </c>
      <c r="AB232" s="193">
        <f t="shared" si="91"/>
        <v>48066</v>
      </c>
      <c r="AC232" s="119">
        <f>IF(OR(t&lt;Tnet,NoTnet),'2030'!Resal_s+('2030'!Salim-'2030'!Resal_s)*(1-EXP(('2030'!Tnet_s-t)/'2030'!Tau_j)),Resal_s+(Salim-Resal_s)*(1-EXP((Tnet_s-t)/Tau_j)))*Salcycl</f>
        <v>6.3539642595583534E-2</v>
      </c>
      <c r="AD232" s="227">
        <f>(INDEX(Models!$BJ232:$BT232,,AH232)*(1-AF232)+INDEX(Models!$BJ232:$BT232,,AH232+1)*AF232-ERP_i)*AE232*Ramure*Pc/MaxiM</f>
        <v>7.493314003950009E-4</v>
      </c>
      <c r="AE232" s="301">
        <f t="shared" si="92"/>
        <v>0.5</v>
      </c>
      <c r="AF232" s="173">
        <f t="shared" si="93"/>
        <v>0.9457853290285243</v>
      </c>
      <c r="AG232" s="801">
        <f t="shared" si="99"/>
        <v>4</v>
      </c>
      <c r="AH232" s="172">
        <f t="shared" si="94"/>
        <v>10</v>
      </c>
      <c r="AI232" s="221">
        <f t="shared" si="95"/>
        <v>4.9457853290285243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48067</v>
      </c>
      <c r="B233" s="406">
        <f>'2030'!Wh/'2030'!Env_an*'2031'!Env_an</f>
        <v>204.87490846727823</v>
      </c>
      <c r="C233" s="831"/>
      <c r="D233" s="388">
        <f t="shared" si="77"/>
        <v>215.35106186716962</v>
      </c>
      <c r="E233" s="380">
        <f t="shared" ref="E233:E296" si="100">Wh_pvt/(1-Psa)</f>
        <v>223.9805219952637</v>
      </c>
      <c r="F233" s="380">
        <f t="shared" si="78"/>
        <v>224.01696211375764</v>
      </c>
      <c r="G233" s="110">
        <f t="shared" ref="G233:G296" si="101">+Wh_hp/MaxiM</f>
        <v>0.95999085465127831</v>
      </c>
      <c r="H233" s="409" t="b">
        <f>Wh_hp&gt;='2030'!Maxi_hp</f>
        <v>0</v>
      </c>
      <c r="I233" s="385">
        <f>IF(H233,Wh_hp,'2030'!Maxi_hp)</f>
        <v>224.01853624492227</v>
      </c>
      <c r="J233" s="85">
        <f>IF(H233,An,'2030'!An_max)</f>
        <v>2029</v>
      </c>
      <c r="K233" s="193">
        <f t="shared" si="79"/>
        <v>48067</v>
      </c>
      <c r="L233" s="143">
        <f>IF(t&lt;Tvie,1-EXP((T0-t)*PertePVj)+'2030'!Pspv,1-EXP((T0-t)*PertePVj)+Pspv)</f>
        <v>4.8646862054263607E-2</v>
      </c>
      <c r="M233" s="835"/>
      <c r="N233" s="835"/>
      <c r="O233" s="48">
        <f>IF(t&lt;Tnet,'2030'!Resal+('2030'!Salim-'2030'!Resal)*(1-EXP(('2030'!Tnet-t)/('2030'!Tau_j))),Resal+(Salim-Resal)*(1-EXP((Tnet-t)/(Tau_j))))*Salcycl</f>
        <v>3.8527725764817042E-2</v>
      </c>
      <c r="P233" s="165">
        <f>(INDEX(Models!$BJ233:$BT233,,T233)*(1-R233)+INDEX(Models!$BJ233:$BT233,,T233+1)*R233-ERP_i)*Q233*Ramure*Pc/MaxiM</f>
        <v>1.7252529183167041E-4</v>
      </c>
      <c r="Q233" s="301">
        <f t="shared" si="80"/>
        <v>0.5</v>
      </c>
      <c r="R233" s="173">
        <f t="shared" si="81"/>
        <v>0.42241638653411018</v>
      </c>
      <c r="S233" s="801">
        <f t="shared" si="82"/>
        <v>1</v>
      </c>
      <c r="T233" s="172">
        <f t="shared" si="83"/>
        <v>7</v>
      </c>
      <c r="U233" s="247">
        <f t="shared" si="84"/>
        <v>1.4224163865341102</v>
      </c>
      <c r="V233" s="378">
        <f t="shared" si="85"/>
        <v>213.4112917689605</v>
      </c>
      <c r="W233" s="397">
        <f t="shared" si="86"/>
        <v>204.87490846727823</v>
      </c>
      <c r="X233" s="153">
        <f t="shared" si="87"/>
        <v>48067</v>
      </c>
      <c r="Y233" s="380">
        <f t="shared" si="88"/>
        <v>199.4305604976704</v>
      </c>
      <c r="Z233" s="380">
        <f t="shared" si="89"/>
        <v>209.62832048707196</v>
      </c>
      <c r="AA233" s="381">
        <f t="shared" si="90"/>
        <v>223.85673703803289</v>
      </c>
      <c r="AB233" s="193">
        <f t="shared" si="91"/>
        <v>48067</v>
      </c>
      <c r="AC233" s="119">
        <f>IF(OR(t&lt;Tnet,NoTnet),'2030'!Resal_s+('2030'!Salim-'2030'!Resal_s)*(1-EXP(('2030'!Tnet_s-t)/'2030'!Tau_j)),Resal_s+(Salim-Resal_s)*(1-EXP((Tnet_s-t)/Tau_j)))*Salcycl</f>
        <v>6.3560367846081517E-2</v>
      </c>
      <c r="AD233" s="227">
        <f>(INDEX(Models!$BJ233:$BT233,,AH233)*(1-AF233)+INDEX(Models!$BJ233:$BT233,,AH233+1)*AF233-ERP_i)*AE233*Ramure*Pc/MaxiM</f>
        <v>7.5858364600962065E-4</v>
      </c>
      <c r="AE233" s="301">
        <f t="shared" si="92"/>
        <v>0.5</v>
      </c>
      <c r="AF233" s="173">
        <f t="shared" si="93"/>
        <v>0.94740395290808799</v>
      </c>
      <c r="AG233" s="801">
        <f t="shared" si="99"/>
        <v>4</v>
      </c>
      <c r="AH233" s="172">
        <f t="shared" si="94"/>
        <v>10</v>
      </c>
      <c r="AI233" s="221">
        <f t="shared" si="95"/>
        <v>4.947403952908088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48068</v>
      </c>
      <c r="B234" s="406">
        <f>'2030'!Wh/'2030'!Env_an*'2031'!Env_an</f>
        <v>208.47039751922057</v>
      </c>
      <c r="C234" s="831"/>
      <c r="D234" s="388">
        <f t="shared" si="77"/>
        <v>219.13340380956893</v>
      </c>
      <c r="E234" s="380">
        <f t="shared" si="100"/>
        <v>227.92597022772742</v>
      </c>
      <c r="F234" s="380">
        <f t="shared" si="78"/>
        <v>227.9645229244004</v>
      </c>
      <c r="G234" s="110">
        <f t="shared" si="101"/>
        <v>0.97965722651171749</v>
      </c>
      <c r="H234" s="409" t="b">
        <f>Wh_hp&gt;='2030'!Maxi_hp</f>
        <v>0</v>
      </c>
      <c r="I234" s="385">
        <f>IF(H234,Wh_hp,'2030'!Maxi_hp)</f>
        <v>227.96534476449787</v>
      </c>
      <c r="J234" s="85">
        <f>IF(H234,An,'2030'!An_max)</f>
        <v>2029</v>
      </c>
      <c r="K234" s="193">
        <f t="shared" si="79"/>
        <v>48068</v>
      </c>
      <c r="L234" s="143">
        <f>IF(t&lt;Tvie,1-EXP((T0-t)*PertePVj)+'2030'!Pspv,1-EXP((T0-t)*PertePVj)+Pspv)</f>
        <v>4.8659885279812132E-2</v>
      </c>
      <c r="M234" s="835"/>
      <c r="N234" s="835"/>
      <c r="O234" s="48">
        <f>IF(t&lt;Tnet,'2030'!Resal+('2030'!Salim-'2030'!Resal)*(1-EXP(('2030'!Tnet-t)/('2030'!Tau_j))),Resal+(Salim-Resal)*(1-EXP((Tnet-t)/(Tau_j))))*Salcycl</f>
        <v>3.8576413251081458E-2</v>
      </c>
      <c r="P234" s="165">
        <f>(INDEX(Models!$BJ234:$BT234,,T234)*(1-R234)+INDEX(Models!$BJ234:$BT234,,T234+1)*R234-ERP_i)*Q234*Ramure*Pc/MaxiM</f>
        <v>1.7417765090937346E-4</v>
      </c>
      <c r="Q234" s="301">
        <f t="shared" si="80"/>
        <v>0.5</v>
      </c>
      <c r="R234" s="173">
        <f t="shared" si="81"/>
        <v>0.42398066046703176</v>
      </c>
      <c r="S234" s="801">
        <f t="shared" si="82"/>
        <v>1</v>
      </c>
      <c r="T234" s="172">
        <f t="shared" si="83"/>
        <v>7</v>
      </c>
      <c r="U234" s="247">
        <f t="shared" si="84"/>
        <v>1.4239806604670318</v>
      </c>
      <c r="V234" s="378">
        <f t="shared" si="85"/>
        <v>212.79824894046888</v>
      </c>
      <c r="W234" s="397">
        <f t="shared" si="86"/>
        <v>208.47039751922057</v>
      </c>
      <c r="X234" s="153">
        <f t="shared" si="87"/>
        <v>48068</v>
      </c>
      <c r="Y234" s="380">
        <f t="shared" si="88"/>
        <v>202.93157890551672</v>
      </c>
      <c r="Z234" s="380">
        <f t="shared" si="89"/>
        <v>213.3112813866824</v>
      </c>
      <c r="AA234" s="381">
        <f t="shared" si="90"/>
        <v>227.79467711787214</v>
      </c>
      <c r="AB234" s="193">
        <f t="shared" si="91"/>
        <v>48068</v>
      </c>
      <c r="AC234" s="119">
        <f>IF(OR(t&lt;Tnet,NoTnet),'2030'!Resal_s+('2030'!Salim-'2030'!Resal_s)*(1-EXP(('2030'!Tnet_s-t)/'2030'!Tau_j)),Resal_s+(Salim-Resal_s)*(1-EXP((Tnet_s-t)/Tau_j)))*Salcycl</f>
        <v>6.3580922585365435E-2</v>
      </c>
      <c r="AD234" s="227">
        <f>(INDEX(Models!$BJ234:$BT234,,AH234)*(1-AF234)+INDEX(Models!$BJ234:$BT234,,AH234+1)*AF234-ERP_i)*AE234*Ramure*Pc/MaxiM</f>
        <v>7.6734823114515049E-4</v>
      </c>
      <c r="AE234" s="301">
        <f t="shared" si="92"/>
        <v>0.5</v>
      </c>
      <c r="AF234" s="173">
        <f t="shared" si="93"/>
        <v>0.94896822684100979</v>
      </c>
      <c r="AG234" s="801">
        <f t="shared" si="99"/>
        <v>4</v>
      </c>
      <c r="AH234" s="172">
        <f t="shared" si="94"/>
        <v>10</v>
      </c>
      <c r="AI234" s="221">
        <f t="shared" si="95"/>
        <v>4.9489682268410098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48069</v>
      </c>
      <c r="B235" s="406">
        <f>'2030'!Wh/'2030'!Env_an*'2031'!Env_an</f>
        <v>198.68300961194453</v>
      </c>
      <c r="C235" s="831"/>
      <c r="D235" s="388">
        <f t="shared" si="77"/>
        <v>208.84826191857823</v>
      </c>
      <c r="E235" s="380">
        <f t="shared" si="100"/>
        <v>217.23911312913603</v>
      </c>
      <c r="F235" s="380">
        <f t="shared" si="78"/>
        <v>217.27384268458388</v>
      </c>
      <c r="G235" s="110">
        <f t="shared" si="101"/>
        <v>0.93638581633500373</v>
      </c>
      <c r="H235" s="409" t="b">
        <f>Wh_hp&gt;='2030'!Maxi_hp</f>
        <v>0</v>
      </c>
      <c r="I235" s="385">
        <f>IF(H235,Wh_hp,'2030'!Maxi_hp)</f>
        <v>217.27631381130089</v>
      </c>
      <c r="J235" s="85">
        <f>IF(H235,An,'2030'!An_max)</f>
        <v>2029</v>
      </c>
      <c r="K235" s="193">
        <f t="shared" si="79"/>
        <v>48069</v>
      </c>
      <c r="L235" s="143">
        <f>IF(t&lt;Tvie,1-EXP((T0-t)*PertePVj)+'2030'!Pspv,1-EXP((T0-t)*PertePVj)+Pspv)</f>
        <v>4.8672908327083597E-2</v>
      </c>
      <c r="M235" s="835"/>
      <c r="N235" s="835"/>
      <c r="O235" s="48">
        <f>IF(t&lt;Tnet,'2030'!Resal+('2030'!Salim-'2030'!Resal)*(1-EXP(('2030'!Tnet-t)/('2030'!Tau_j))),Resal+(Salim-Resal)*(1-EXP((Tnet-t)/(Tau_j))))*Salcycl</f>
        <v>3.8624956112621928E-2</v>
      </c>
      <c r="P235" s="165">
        <f>(INDEX(Models!$BJ235:$BT235,,T235)*(1-R235)+INDEX(Models!$BJ235:$BT235,,T235+1)*R235-ERP_i)*Q235*Ramure*Pc/MaxiM</f>
        <v>1.7581629255953159E-4</v>
      </c>
      <c r="Q235" s="301">
        <f t="shared" si="80"/>
        <v>0.5</v>
      </c>
      <c r="R235" s="173">
        <f t="shared" si="81"/>
        <v>0.42549202133566011</v>
      </c>
      <c r="S235" s="801">
        <f t="shared" si="82"/>
        <v>1</v>
      </c>
      <c r="T235" s="172">
        <f t="shared" si="83"/>
        <v>7</v>
      </c>
      <c r="U235" s="247">
        <f t="shared" si="84"/>
        <v>1.4254920213356601</v>
      </c>
      <c r="V235" s="378">
        <f t="shared" si="85"/>
        <v>212.17732251175647</v>
      </c>
      <c r="W235" s="397">
        <f t="shared" si="86"/>
        <v>198.68300961194453</v>
      </c>
      <c r="X235" s="153">
        <f t="shared" si="87"/>
        <v>48069</v>
      </c>
      <c r="Y235" s="380">
        <f t="shared" si="88"/>
        <v>193.41568393165284</v>
      </c>
      <c r="Z235" s="380">
        <f t="shared" si="89"/>
        <v>203.3114431667554</v>
      </c>
      <c r="AA235" s="381">
        <f t="shared" si="90"/>
        <v>217.12059711050421</v>
      </c>
      <c r="AB235" s="193">
        <f t="shared" si="91"/>
        <v>48069</v>
      </c>
      <c r="AC235" s="119">
        <f>IF(OR(t&lt;Tnet,NoTnet),'2030'!Resal_s+('2030'!Salim-'2030'!Resal_s)*(1-EXP(('2030'!Tnet_s-t)/'2030'!Tau_j)),Resal_s+(Salim-Resal_s)*(1-EXP((Tnet_s-t)/Tau_j)))*Salcycl</f>
        <v>6.3601307879236402E-2</v>
      </c>
      <c r="AD235" s="227">
        <f>(INDEX(Models!$BJ235:$BT235,,AH235)*(1-AF235)+INDEX(Models!$BJ235:$BT235,,AH235+1)*AF235-ERP_i)*AE235*Ramure*Pc/MaxiM</f>
        <v>7.7579653233112366E-4</v>
      </c>
      <c r="AE235" s="301">
        <f t="shared" si="92"/>
        <v>0.5</v>
      </c>
      <c r="AF235" s="173">
        <f t="shared" si="93"/>
        <v>0.95047958770963792</v>
      </c>
      <c r="AG235" s="801">
        <f t="shared" si="99"/>
        <v>4</v>
      </c>
      <c r="AH235" s="172">
        <f t="shared" si="94"/>
        <v>10</v>
      </c>
      <c r="AI235" s="221">
        <f t="shared" si="95"/>
        <v>4.9504795877096379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48070</v>
      </c>
      <c r="B236" s="406">
        <f>'2030'!Wh/'2030'!Env_an*'2031'!Env_an</f>
        <v>193.14230498443266</v>
      </c>
      <c r="C236" s="831"/>
      <c r="D236" s="388">
        <f t="shared" si="77"/>
        <v>203.02685655355558</v>
      </c>
      <c r="E236" s="380">
        <f t="shared" si="100"/>
        <v>211.19445448411656</v>
      </c>
      <c r="F236" s="380">
        <f t="shared" si="78"/>
        <v>211.22727639549746</v>
      </c>
      <c r="G236" s="110">
        <f t="shared" si="101"/>
        <v>0.91297498397589849</v>
      </c>
      <c r="H236" s="409" t="b">
        <f>Wh_hp&gt;='2030'!Maxi_hp</f>
        <v>0</v>
      </c>
      <c r="I236" s="385">
        <f>IF(H236,Wh_hp,'2030'!Maxi_hp)</f>
        <v>211.23059122556415</v>
      </c>
      <c r="J236" s="85">
        <f>IF(H236,An,'2030'!An_max)</f>
        <v>2029</v>
      </c>
      <c r="K236" s="193">
        <f t="shared" si="79"/>
        <v>48070</v>
      </c>
      <c r="L236" s="143">
        <f>IF(t&lt;Tvie,1-EXP((T0-t)*PertePVj)+'2030'!Pspv,1-EXP((T0-t)*PertePVj)+Pspv)</f>
        <v>4.8685931196080556E-2</v>
      </c>
      <c r="M236" s="835"/>
      <c r="N236" s="835"/>
      <c r="O236" s="48">
        <f>IF(t&lt;Tnet,'2030'!Resal+('2030'!Salim-'2030'!Resal)*(1-EXP(('2030'!Tnet-t)/('2030'!Tau_j))),Resal+(Salim-Resal)*(1-EXP((Tnet-t)/(Tau_j))))*Salcycl</f>
        <v>3.8673354139491647E-2</v>
      </c>
      <c r="P236" s="165">
        <f>(INDEX(Models!$BJ236:$BT236,,T236)*(1-R236)+INDEX(Models!$BJ236:$BT236,,T236+1)*R236-ERP_i)*Q236*Ramure*Pc/MaxiM</f>
        <v>1.7744137335481942E-4</v>
      </c>
      <c r="Q236" s="301">
        <f t="shared" si="80"/>
        <v>0.5</v>
      </c>
      <c r="R236" s="173">
        <f t="shared" si="81"/>
        <v>0.42695189680155732</v>
      </c>
      <c r="S236" s="801">
        <f t="shared" si="82"/>
        <v>1</v>
      </c>
      <c r="T236" s="172">
        <f t="shared" si="83"/>
        <v>7</v>
      </c>
      <c r="U236" s="247">
        <f t="shared" si="84"/>
        <v>1.4269518968015573</v>
      </c>
      <c r="V236" s="378">
        <f t="shared" si="85"/>
        <v>211.54801393645488</v>
      </c>
      <c r="W236" s="397">
        <f t="shared" si="86"/>
        <v>193.14230498443266</v>
      </c>
      <c r="X236" s="153">
        <f t="shared" si="87"/>
        <v>48070</v>
      </c>
      <c r="Y236" s="380">
        <f t="shared" si="88"/>
        <v>188.02997975053734</v>
      </c>
      <c r="Z236" s="380">
        <f t="shared" si="89"/>
        <v>197.65289499707086</v>
      </c>
      <c r="AA236" s="381">
        <f t="shared" si="90"/>
        <v>211.08227068581465</v>
      </c>
      <c r="AB236" s="193">
        <f t="shared" si="91"/>
        <v>48070</v>
      </c>
      <c r="AC236" s="119">
        <f>IF(OR(t&lt;Tnet,NoTnet),'2030'!Resal_s+('2030'!Salim-'2030'!Resal_s)*(1-EXP(('2030'!Tnet_s-t)/'2030'!Tau_j)),Resal_s+(Salim-Resal_s)*(1-EXP((Tnet_s-t)/Tau_j)))*Salcycl</f>
        <v>6.3621523707847211E-2</v>
      </c>
      <c r="AD236" s="227">
        <f>(INDEX(Models!$BJ236:$BT236,,AH236)*(1-AF236)+INDEX(Models!$BJ236:$BT236,,AH236+1)*AF236-ERP_i)*AE236*Ramure*Pc/MaxiM</f>
        <v>7.8392790632481437E-4</v>
      </c>
      <c r="AE236" s="301">
        <f t="shared" si="92"/>
        <v>0.5</v>
      </c>
      <c r="AF236" s="173">
        <f t="shared" si="93"/>
        <v>0.95193946317553557</v>
      </c>
      <c r="AG236" s="801">
        <f t="shared" si="99"/>
        <v>4</v>
      </c>
      <c r="AH236" s="172">
        <f t="shared" si="94"/>
        <v>10</v>
      </c>
      <c r="AI236" s="221">
        <f t="shared" si="95"/>
        <v>4.9519394631755356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48071</v>
      </c>
      <c r="B237" s="406">
        <f>'2030'!Wh/'2030'!Env_an*'2031'!Env_an</f>
        <v>179.25292498464631</v>
      </c>
      <c r="C237" s="831"/>
      <c r="D237" s="388">
        <f t="shared" si="77"/>
        <v>188.42923143733947</v>
      </c>
      <c r="E237" s="380">
        <f t="shared" si="100"/>
        <v>196.01941821707476</v>
      </c>
      <c r="F237" s="380">
        <f t="shared" si="78"/>
        <v>196.04699414392033</v>
      </c>
      <c r="G237" s="110">
        <f t="shared" si="101"/>
        <v>0.84987051679730152</v>
      </c>
      <c r="H237" s="409" t="b">
        <f>Wh_hp&gt;='2030'!Maxi_hp</f>
        <v>0</v>
      </c>
      <c r="I237" s="385">
        <f>IF(H237,Wh_hp,'2030'!Maxi_hp)</f>
        <v>196.05234647519208</v>
      </c>
      <c r="J237" s="85">
        <f>IF(H237,An,'2030'!An_max)</f>
        <v>2029</v>
      </c>
      <c r="K237" s="193">
        <f t="shared" si="79"/>
        <v>48071</v>
      </c>
      <c r="L237" s="143">
        <f>IF(t&lt;Tvie,1-EXP((T0-t)*PertePVj)+'2030'!Pspv,1-EXP((T0-t)*PertePVj)+Pspv)</f>
        <v>4.869895388680523E-2</v>
      </c>
      <c r="M237" s="835"/>
      <c r="N237" s="835"/>
      <c r="O237" s="48">
        <f>IF(t&lt;Tnet,'2030'!Resal+('2030'!Salim-'2030'!Resal)*(1-EXP(('2030'!Tnet-t)/('2030'!Tau_j))),Resal+(Salim-Resal)*(1-EXP((Tnet-t)/(Tau_j))))*Salcycl</f>
        <v>3.8721606505993218E-2</v>
      </c>
      <c r="P237" s="165">
        <f>(INDEX(Models!$BJ237:$BT237,,T237)*(1-R237)+INDEX(Models!$BJ237:$BT237,,T237+1)*R237-ERP_i)*Q237*Ramure*Pc/MaxiM</f>
        <v>1.7905306572908749E-4</v>
      </c>
      <c r="Q237" s="301">
        <f t="shared" si="80"/>
        <v>0.5</v>
      </c>
      <c r="R237" s="173">
        <f t="shared" si="81"/>
        <v>0.42836170290789966</v>
      </c>
      <c r="S237" s="801">
        <f t="shared" si="82"/>
        <v>1</v>
      </c>
      <c r="T237" s="172">
        <f t="shared" si="83"/>
        <v>7</v>
      </c>
      <c r="U237" s="247">
        <f t="shared" si="84"/>
        <v>1.4283617029078997</v>
      </c>
      <c r="V237" s="378">
        <f t="shared" si="85"/>
        <v>210.90982492602117</v>
      </c>
      <c r="W237" s="397">
        <f t="shared" si="86"/>
        <v>179.25292498464631</v>
      </c>
      <c r="X237" s="153">
        <f t="shared" si="87"/>
        <v>48071</v>
      </c>
      <c r="Y237" s="380">
        <f t="shared" si="88"/>
        <v>174.5219608692465</v>
      </c>
      <c r="Z237" s="380">
        <f t="shared" si="89"/>
        <v>183.45608005195049</v>
      </c>
      <c r="AA237" s="381">
        <f t="shared" si="90"/>
        <v>195.92505816762858</v>
      </c>
      <c r="AB237" s="193">
        <f t="shared" si="91"/>
        <v>48071</v>
      </c>
      <c r="AC237" s="119">
        <f>IF(OR(t&lt;Tnet,NoTnet),'2030'!Resal_s+('2030'!Salim-'2030'!Resal_s)*(1-EXP(('2030'!Tnet_s-t)/'2030'!Tau_j)),Resal_s+(Salim-Resal_s)*(1-EXP((Tnet_s-t)/Tau_j)))*Salcycl</f>
        <v>6.3641569038146911E-2</v>
      </c>
      <c r="AD237" s="227">
        <f>(INDEX(Models!$BJ237:$BT237,,AH237)*(1-AF237)+INDEX(Models!$BJ237:$BT237,,AH237+1)*AF237-ERP_i)*AE237*Ramure*Pc/MaxiM</f>
        <v>7.9174167018865749E-4</v>
      </c>
      <c r="AE237" s="301">
        <f t="shared" si="92"/>
        <v>0.5</v>
      </c>
      <c r="AF237" s="173">
        <f t="shared" si="93"/>
        <v>0.95334926928187791</v>
      </c>
      <c r="AG237" s="801">
        <f t="shared" si="99"/>
        <v>4</v>
      </c>
      <c r="AH237" s="172">
        <f t="shared" si="94"/>
        <v>10</v>
      </c>
      <c r="AI237" s="221">
        <f t="shared" si="95"/>
        <v>4.9533492692818779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48072</v>
      </c>
      <c r="B238" s="406">
        <f>'2030'!Wh/'2030'!Env_an*'2031'!Env_an</f>
        <v>187.79814284047498</v>
      </c>
      <c r="C238" s="831"/>
      <c r="D238" s="388">
        <f t="shared" si="77"/>
        <v>197.41459808317191</v>
      </c>
      <c r="E238" s="380">
        <f t="shared" si="100"/>
        <v>205.37700539519946</v>
      </c>
      <c r="F238" s="380">
        <f t="shared" si="78"/>
        <v>205.40844918562595</v>
      </c>
      <c r="G238" s="110">
        <f t="shared" si="101"/>
        <v>0.893136820306073</v>
      </c>
      <c r="H238" s="409" t="b">
        <f>Wh_hp&gt;='2030'!Maxi_hp</f>
        <v>0</v>
      </c>
      <c r="I238" s="385">
        <f>IF(H238,Wh_hp,'2030'!Maxi_hp)</f>
        <v>205.41247375101565</v>
      </c>
      <c r="J238" s="85">
        <f>IF(H238,An,'2030'!An_max)</f>
        <v>2029</v>
      </c>
      <c r="K238" s="193">
        <f t="shared" si="79"/>
        <v>48072</v>
      </c>
      <c r="L238" s="143">
        <f>IF(t&lt;Tvie,1-EXP((T0-t)*PertePVj)+'2030'!Pspv,1-EXP((T0-t)*PertePVj)+Pspv)</f>
        <v>4.8711976399260282E-2</v>
      </c>
      <c r="M238" s="835"/>
      <c r="N238" s="835"/>
      <c r="O238" s="48">
        <f>IF(t&lt;Tnet,'2030'!Resal+('2030'!Salim-'2030'!Resal)*(1-EXP(('2030'!Tnet-t)/('2030'!Tau_j))),Resal+(Salim-Resal)*(1-EXP((Tnet-t)/(Tau_j))))*Salcycl</f>
        <v>3.8769711812214759E-2</v>
      </c>
      <c r="P238" s="165">
        <f>(INDEX(Models!$BJ238:$BT238,,T238)*(1-R238)+INDEX(Models!$BJ238:$BT238,,T238+1)*R238-ERP_i)*Q238*Ramure*Pc/MaxiM</f>
        <v>1.8065155773947401E-4</v>
      </c>
      <c r="Q238" s="301">
        <f t="shared" si="80"/>
        <v>0.5</v>
      </c>
      <c r="R238" s="173">
        <f t="shared" si="81"/>
        <v>0.42972284189546572</v>
      </c>
      <c r="S238" s="801">
        <f t="shared" si="82"/>
        <v>1</v>
      </c>
      <c r="T238" s="172">
        <f t="shared" si="83"/>
        <v>7</v>
      </c>
      <c r="U238" s="247">
        <f t="shared" si="84"/>
        <v>1.4297228418954657</v>
      </c>
      <c r="V238" s="378">
        <f t="shared" si="85"/>
        <v>210.26225743622331</v>
      </c>
      <c r="W238" s="397">
        <f t="shared" si="86"/>
        <v>187.79814284047498</v>
      </c>
      <c r="X238" s="153">
        <f t="shared" si="87"/>
        <v>48072</v>
      </c>
      <c r="Y238" s="380">
        <f t="shared" si="88"/>
        <v>182.83907442951113</v>
      </c>
      <c r="Z238" s="380">
        <f t="shared" si="89"/>
        <v>192.20159393728434</v>
      </c>
      <c r="AA238" s="381">
        <f t="shared" si="90"/>
        <v>205.26933583365215</v>
      </c>
      <c r="AB238" s="193">
        <f t="shared" si="91"/>
        <v>48072</v>
      </c>
      <c r="AC238" s="119">
        <f>IF(OR(t&lt;Tnet,NoTnet),'2030'!Resal_s+('2030'!Salim-'2030'!Resal_s)*(1-EXP(('2030'!Tnet_s-t)/'2030'!Tau_j)),Resal_s+(Salim-Resal_s)*(1-EXP((Tnet_s-t)/Tau_j)))*Salcycl</f>
        <v>6.3661441896795193E-2</v>
      </c>
      <c r="AD238" s="227">
        <f>(INDEX(Models!$BJ238:$BT238,,AH238)*(1-AF238)+INDEX(Models!$BJ238:$BT238,,AH238+1)*AF238-ERP_i)*AE238*Ramure*Pc/MaxiM</f>
        <v>7.9923709564184346E-4</v>
      </c>
      <c r="AE238" s="301">
        <f t="shared" si="92"/>
        <v>0.5</v>
      </c>
      <c r="AF238" s="173">
        <f t="shared" si="93"/>
        <v>0.95471040826944353</v>
      </c>
      <c r="AG238" s="801">
        <f t="shared" si="99"/>
        <v>4</v>
      </c>
      <c r="AH238" s="172">
        <f t="shared" si="94"/>
        <v>10</v>
      </c>
      <c r="AI238" s="221">
        <f t="shared" si="95"/>
        <v>4.9547104082694435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48073</v>
      </c>
      <c r="B239" s="406">
        <f>'2030'!Wh/'2030'!Env_an*'2031'!Env_an</f>
        <v>130.54369239918802</v>
      </c>
      <c r="C239" s="831"/>
      <c r="D239" s="388">
        <f t="shared" si="77"/>
        <v>137.23023544756123</v>
      </c>
      <c r="E239" s="380">
        <f t="shared" si="100"/>
        <v>142.77232414367597</v>
      </c>
      <c r="F239" s="380">
        <f t="shared" si="78"/>
        <v>142.78432367668813</v>
      </c>
      <c r="G239" s="110">
        <f t="shared" si="101"/>
        <v>0.62274749320217049</v>
      </c>
      <c r="H239" s="409" t="b">
        <f>Wh_hp&gt;='2030'!Maxi_hp</f>
        <v>0</v>
      </c>
      <c r="I239" s="385">
        <f>IF(H239,Wh_hp,'2030'!Maxi_hp)</f>
        <v>142.79427961604301</v>
      </c>
      <c r="J239" s="85">
        <f>IF(H239,An,'2030'!An_max)</f>
        <v>2029</v>
      </c>
      <c r="K239" s="193">
        <f t="shared" si="79"/>
        <v>48073</v>
      </c>
      <c r="L239" s="143">
        <f>IF(t&lt;Tvie,1-EXP((T0-t)*PertePVj)+'2030'!Pspv,1-EXP((T0-t)*PertePVj)+Pspv)</f>
        <v>4.8724998733448155E-2</v>
      </c>
      <c r="M239" s="835"/>
      <c r="N239" s="835"/>
      <c r="O239" s="48">
        <f>IF(t&lt;Tnet,'2030'!Resal+('2030'!Salim-'2030'!Resal)*(1-EXP(('2030'!Tnet-t)/('2030'!Tau_j))),Resal+(Salim-Resal)*(1-EXP((Tnet-t)/(Tau_j))))*Salcycl</f>
        <v>3.8817668125494594E-2</v>
      </c>
      <c r="P239" s="165">
        <f>(INDEX(Models!$BJ239:$BT239,,T239)*(1-R239)+INDEX(Models!$BJ239:$BT239,,T239+1)*R239-ERP_i)*Q239*Ramure*Pc/MaxiM</f>
        <v>1.8223705298143719E-4</v>
      </c>
      <c r="Q239" s="301">
        <f t="shared" si="80"/>
        <v>0.5</v>
      </c>
      <c r="R239" s="173">
        <f t="shared" si="81"/>
        <v>0.43103670022320939</v>
      </c>
      <c r="S239" s="801">
        <f t="shared" si="82"/>
        <v>1</v>
      </c>
      <c r="T239" s="172">
        <f t="shared" si="83"/>
        <v>7</v>
      </c>
      <c r="U239" s="247">
        <f t="shared" si="84"/>
        <v>1.4310367002232094</v>
      </c>
      <c r="V239" s="378">
        <f t="shared" si="85"/>
        <v>209.60481364356303</v>
      </c>
      <c r="W239" s="397">
        <f t="shared" si="86"/>
        <v>130.54369239918802</v>
      </c>
      <c r="X239" s="153">
        <f t="shared" si="87"/>
        <v>48073</v>
      </c>
      <c r="Y239" s="380">
        <f t="shared" si="88"/>
        <v>127.13023451494794</v>
      </c>
      <c r="Z239" s="380">
        <f t="shared" si="89"/>
        <v>133.64193776319519</v>
      </c>
      <c r="AA239" s="381">
        <f t="shared" si="90"/>
        <v>142.73122479197602</v>
      </c>
      <c r="AB239" s="193">
        <f t="shared" si="91"/>
        <v>48073</v>
      </c>
      <c r="AC239" s="119">
        <f>IF(OR(t&lt;Tnet,NoTnet),'2030'!Resal_s+('2030'!Salim-'2030'!Resal_s)*(1-EXP(('2030'!Tnet_s-t)/'2030'!Tau_j)),Resal_s+(Salim-Resal_s)*(1-EXP((Tnet_s-t)/Tau_j)))*Salcycl</f>
        <v>6.3681139442529261E-2</v>
      </c>
      <c r="AD239" s="227">
        <f>(INDEX(Models!$BJ239:$BT239,,AH239)*(1-AF239)+INDEX(Models!$BJ239:$BT239,,AH239+1)*AF239-ERP_i)*AE239*Ramure*Pc/MaxiM</f>
        <v>8.0641340431558337E-4</v>
      </c>
      <c r="AE239" s="301">
        <f t="shared" si="92"/>
        <v>0.5</v>
      </c>
      <c r="AF239" s="173">
        <f t="shared" si="93"/>
        <v>0.9560242665971872</v>
      </c>
      <c r="AG239" s="801">
        <f t="shared" si="99"/>
        <v>4</v>
      </c>
      <c r="AH239" s="172">
        <f t="shared" si="94"/>
        <v>10</v>
      </c>
      <c r="AI239" s="221">
        <f t="shared" si="95"/>
        <v>4.9560242665971872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48074</v>
      </c>
      <c r="B240" s="406">
        <f>'2030'!Wh/'2030'!Env_an*'2031'!Env_an</f>
        <v>143.18978031441077</v>
      </c>
      <c r="C240" s="831"/>
      <c r="D240" s="388">
        <f t="shared" si="77"/>
        <v>150.52612577692253</v>
      </c>
      <c r="E240" s="380">
        <f t="shared" si="100"/>
        <v>156.6129626516323</v>
      </c>
      <c r="F240" s="380">
        <f t="shared" si="78"/>
        <v>156.62879382958229</v>
      </c>
      <c r="G240" s="110">
        <f t="shared" si="101"/>
        <v>0.68526845433867511</v>
      </c>
      <c r="H240" s="409" t="b">
        <f>Wh_hp&gt;='2030'!Maxi_hp</f>
        <v>0</v>
      </c>
      <c r="I240" s="385">
        <f>IF(H240,Wh_hp,'2030'!Maxi_hp)</f>
        <v>156.63796668199029</v>
      </c>
      <c r="J240" s="85">
        <f>IF(H240,An,'2030'!An_max)</f>
        <v>2029</v>
      </c>
      <c r="K240" s="193">
        <f t="shared" si="79"/>
        <v>48074</v>
      </c>
      <c r="L240" s="143">
        <f>IF(t&lt;Tvie,1-EXP((T0-t)*PertePVj)+'2030'!Pspv,1-EXP((T0-t)*PertePVj)+Pspv)</f>
        <v>4.873802088937107E-2</v>
      </c>
      <c r="M240" s="835"/>
      <c r="N240" s="835"/>
      <c r="O240" s="48">
        <f>IF(t&lt;Tnet,'2030'!Resal+('2030'!Salim-'2030'!Resal)*(1-EXP(('2030'!Tnet-t)/('2030'!Tau_j))),Resal+(Salim-Resal)*(1-EXP((Tnet-t)/(Tau_j))))*Salcycl</f>
        <v>3.8865473021216394E-2</v>
      </c>
      <c r="P240" s="165">
        <f>(INDEX(Models!$BJ240:$BT240,,T240)*(1-R240)+INDEX(Models!$BJ240:$BT240,,T240+1)*R240-ERP_i)*Q240*Ramure*Pc/MaxiM</f>
        <v>1.8361681421935158E-4</v>
      </c>
      <c r="Q240" s="301">
        <f t="shared" si="80"/>
        <v>0.5</v>
      </c>
      <c r="R240" s="173">
        <f t="shared" si="81"/>
        <v>0.43230464678415825</v>
      </c>
      <c r="S240" s="801">
        <f t="shared" si="82"/>
        <v>1</v>
      </c>
      <c r="T240" s="172">
        <f t="shared" si="83"/>
        <v>7</v>
      </c>
      <c r="U240" s="247">
        <f t="shared" si="84"/>
        <v>1.4323046467841583</v>
      </c>
      <c r="V240" s="378">
        <f t="shared" si="85"/>
        <v>208.93703627850883</v>
      </c>
      <c r="W240" s="397">
        <f t="shared" si="86"/>
        <v>143.18978031441077</v>
      </c>
      <c r="X240" s="153">
        <f t="shared" si="87"/>
        <v>48074</v>
      </c>
      <c r="Y240" s="380">
        <f t="shared" si="88"/>
        <v>139.44156054326254</v>
      </c>
      <c r="Z240" s="380">
        <f t="shared" si="89"/>
        <v>146.58586551901482</v>
      </c>
      <c r="AA240" s="381">
        <f t="shared" si="90"/>
        <v>156.55876165809465</v>
      </c>
      <c r="AB240" s="193">
        <f t="shared" si="91"/>
        <v>48074</v>
      </c>
      <c r="AC240" s="119">
        <f>IF(OR(t&lt;Tnet,NoTnet),'2030'!Resal_s+('2030'!Salim-'2030'!Resal_s)*(1-EXP(('2030'!Tnet_s-t)/'2030'!Tau_j)),Resal_s+(Salim-Resal_s)*(1-EXP((Tnet_s-t)/Tau_j)))*Salcycl</f>
        <v>6.3700658037008667E-2</v>
      </c>
      <c r="AD240" s="227">
        <f>(INDEX(Models!$BJ240:$BT240,,AH240)*(1-AF240)+INDEX(Models!$BJ240:$BT240,,AH240+1)*AF240-ERP_i)*AE240*Ramure*Pc/MaxiM</f>
        <v>8.1226326063965507E-4</v>
      </c>
      <c r="AE240" s="301">
        <f t="shared" si="92"/>
        <v>0.5</v>
      </c>
      <c r="AF240" s="173">
        <f t="shared" si="93"/>
        <v>0.95729221315813628</v>
      </c>
      <c r="AG240" s="801">
        <f t="shared" si="99"/>
        <v>4</v>
      </c>
      <c r="AH240" s="172">
        <f t="shared" si="94"/>
        <v>10</v>
      </c>
      <c r="AI240" s="221">
        <f t="shared" si="95"/>
        <v>4.9572922131581363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48075</v>
      </c>
      <c r="B241" s="406">
        <f>'2030'!Wh/'2030'!Env_an*'2031'!Env_an</f>
        <v>147.39876457810641</v>
      </c>
      <c r="C241" s="831"/>
      <c r="D241" s="388">
        <f t="shared" si="77"/>
        <v>154.95287902586639</v>
      </c>
      <c r="E241" s="380">
        <f t="shared" si="100"/>
        <v>161.22671408217366</v>
      </c>
      <c r="F241" s="380">
        <f t="shared" si="78"/>
        <v>161.24407427683622</v>
      </c>
      <c r="G241" s="110">
        <f t="shared" si="101"/>
        <v>0.70771395260279713</v>
      </c>
      <c r="H241" s="409" t="b">
        <f>Wh_hp&gt;='2030'!Maxi_hp</f>
        <v>0</v>
      </c>
      <c r="I241" s="385">
        <f>IF(H241,Wh_hp,'2030'!Maxi_hp)</f>
        <v>161.25289414254411</v>
      </c>
      <c r="J241" s="85">
        <f>IF(H241,An,'2030'!An_max)</f>
        <v>2029</v>
      </c>
      <c r="K241" s="193">
        <f t="shared" si="79"/>
        <v>48075</v>
      </c>
      <c r="L241" s="143">
        <f>IF(t&lt;Tvie,1-EXP((T0-t)*PertePVj)+'2030'!Pspv,1-EXP((T0-t)*PertePVj)+Pspv)</f>
        <v>4.8751042867031691E-2</v>
      </c>
      <c r="M241" s="835"/>
      <c r="N241" s="835"/>
      <c r="O241" s="48">
        <f>IF(t&lt;Tnet,'2030'!Resal+('2030'!Salim-'2030'!Resal)*(1-EXP(('2030'!Tnet-t)/('2030'!Tau_j))),Resal+(Salim-Resal)*(1-EXP((Tnet-t)/(Tau_j))))*Salcycl</f>
        <v>3.8913123622364681E-2</v>
      </c>
      <c r="P241" s="165">
        <f>(INDEX(Models!$BJ241:$BT241,,T241)*(1-R241)+INDEX(Models!$BJ241:$BT241,,T241+1)*R241-ERP_i)*Q241*Ramure*Pc/MaxiM</f>
        <v>1.8482261917191211E-4</v>
      </c>
      <c r="Q241" s="301">
        <f t="shared" si="80"/>
        <v>0.5</v>
      </c>
      <c r="R241" s="173">
        <f t="shared" si="81"/>
        <v>0.43352803130719852</v>
      </c>
      <c r="S241" s="801">
        <f t="shared" si="82"/>
        <v>1</v>
      </c>
      <c r="T241" s="172">
        <f t="shared" si="83"/>
        <v>7</v>
      </c>
      <c r="U241" s="247">
        <f t="shared" si="84"/>
        <v>1.4335280313071985</v>
      </c>
      <c r="V241" s="378">
        <f t="shared" si="85"/>
        <v>208.25842098756084</v>
      </c>
      <c r="W241" s="397">
        <f t="shared" si="86"/>
        <v>147.39876457810641</v>
      </c>
      <c r="X241" s="153">
        <f t="shared" si="87"/>
        <v>48075</v>
      </c>
      <c r="Y241" s="380">
        <f t="shared" si="88"/>
        <v>143.54134959692584</v>
      </c>
      <c r="Z241" s="380">
        <f t="shared" si="89"/>
        <v>150.89777341733392</v>
      </c>
      <c r="AA241" s="381">
        <f t="shared" si="90"/>
        <v>161.16735628192723</v>
      </c>
      <c r="AB241" s="193">
        <f t="shared" si="91"/>
        <v>48075</v>
      </c>
      <c r="AC241" s="119">
        <f>IF(OR(t&lt;Tnet,NoTnet),'2030'!Resal_s+('2030'!Salim-'2030'!Resal_s)*(1-EXP(('2030'!Tnet_s-t)/'2030'!Tau_j)),Resal_s+(Salim-Resal_s)*(1-EXP((Tnet_s-t)/Tau_j)))*Salcycl</f>
        <v>6.3719993313217163E-2</v>
      </c>
      <c r="AD241" s="227">
        <f>(INDEX(Models!$BJ241:$BT241,,AH241)*(1-AF241)+INDEX(Models!$BJ241:$BT241,,AH241+1)*AF241-ERP_i)*AE241*Ramure*Pc/MaxiM</f>
        <v>8.1676623058131079E-4</v>
      </c>
      <c r="AE241" s="301">
        <f t="shared" si="92"/>
        <v>0.5</v>
      </c>
      <c r="AF241" s="173">
        <f t="shared" si="93"/>
        <v>0.95851559768117678</v>
      </c>
      <c r="AG241" s="801">
        <f t="shared" si="99"/>
        <v>4</v>
      </c>
      <c r="AH241" s="172">
        <f t="shared" si="94"/>
        <v>10</v>
      </c>
      <c r="AI241" s="221">
        <f t="shared" si="95"/>
        <v>4.9585155976811768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48076</v>
      </c>
      <c r="B242" s="406">
        <f>'2030'!Wh/'2030'!Env_an*'2031'!Env_an</f>
        <v>132.60273051040926</v>
      </c>
      <c r="C242" s="831"/>
      <c r="D242" s="388">
        <f t="shared" si="77"/>
        <v>139.40046373869356</v>
      </c>
      <c r="E242" s="380">
        <f t="shared" si="100"/>
        <v>145.05177014799213</v>
      </c>
      <c r="F242" s="380">
        <f t="shared" si="78"/>
        <v>145.06482061923938</v>
      </c>
      <c r="G242" s="110">
        <f t="shared" si="101"/>
        <v>0.63877723680544829</v>
      </c>
      <c r="H242" s="409" t="b">
        <f>Wh_hp&gt;='2030'!Maxi_hp</f>
        <v>0</v>
      </c>
      <c r="I242" s="385">
        <f>IF(H242,Wh_hp,'2030'!Maxi_hp)</f>
        <v>145.0746731521381</v>
      </c>
      <c r="J242" s="85">
        <f>IF(H242,An,'2030'!An_max)</f>
        <v>2029</v>
      </c>
      <c r="K242" s="193">
        <f t="shared" si="79"/>
        <v>48076</v>
      </c>
      <c r="L242" s="143">
        <f>IF(t&lt;Tvie,1-EXP((T0-t)*PertePVj)+'2030'!Pspv,1-EXP((T0-t)*PertePVj)+Pspv)</f>
        <v>4.876406466643235E-2</v>
      </c>
      <c r="M242" s="835"/>
      <c r="N242" s="835"/>
      <c r="O242" s="48">
        <f>IF(t&lt;Tnet,'2030'!Resal+('2030'!Salim-'2030'!Resal)*(1-EXP(('2030'!Tnet-t)/('2030'!Tau_j))),Resal+(Salim-Resal)*(1-EXP((Tnet-t)/(Tau_j))))*Salcycl</f>
        <v>3.8960616637306114E-2</v>
      </c>
      <c r="P242" s="165">
        <f>(INDEX(Models!$BJ242:$BT242,,T242)*(1-R242)+INDEX(Models!$BJ242:$BT242,,T242+1)*R242-ERP_i)*Q242*Ramure*Pc/MaxiM</f>
        <v>1.8585291525835036E-4</v>
      </c>
      <c r="Q242" s="301">
        <f t="shared" si="80"/>
        <v>0.5</v>
      </c>
      <c r="R242" s="173">
        <f t="shared" si="81"/>
        <v>0.43470818293521729</v>
      </c>
      <c r="S242" s="801">
        <f t="shared" si="82"/>
        <v>1</v>
      </c>
      <c r="T242" s="172">
        <f t="shared" si="83"/>
        <v>7</v>
      </c>
      <c r="U242" s="247">
        <f t="shared" si="84"/>
        <v>1.4347081829352173</v>
      </c>
      <c r="V242" s="378">
        <f t="shared" si="85"/>
        <v>207.56847061313252</v>
      </c>
      <c r="W242" s="397">
        <f t="shared" si="86"/>
        <v>132.60273051040926</v>
      </c>
      <c r="X242" s="153">
        <f t="shared" si="87"/>
        <v>48076</v>
      </c>
      <c r="Y242" s="380">
        <f t="shared" si="88"/>
        <v>129.14417551917253</v>
      </c>
      <c r="Z242" s="380">
        <f t="shared" si="89"/>
        <v>135.76460972732895</v>
      </c>
      <c r="AA242" s="381">
        <f t="shared" si="90"/>
        <v>145.00724697838237</v>
      </c>
      <c r="AB242" s="193">
        <f t="shared" si="91"/>
        <v>48076</v>
      </c>
      <c r="AC242" s="119">
        <f>IF(OR(t&lt;Tnet,NoTnet),'2030'!Resal_s+('2030'!Salim-'2030'!Resal_s)*(1-EXP(('2030'!Tnet_s-t)/'2030'!Tau_j)),Resal_s+(Salim-Resal_s)*(1-EXP((Tnet_s-t)/Tau_j)))*Salcycl</f>
        <v>6.3739140240565484E-2</v>
      </c>
      <c r="AD242" s="227">
        <f>(INDEX(Models!$BJ242:$BT242,,AH242)*(1-AF242)+INDEX(Models!$BJ242:$BT242,,AH242+1)*AF242-ERP_i)*AE242*Ramure*Pc/MaxiM</f>
        <v>8.1991131144478727E-4</v>
      </c>
      <c r="AE242" s="301">
        <f t="shared" si="92"/>
        <v>0.5</v>
      </c>
      <c r="AF242" s="173">
        <f t="shared" si="93"/>
        <v>0.9596957493091951</v>
      </c>
      <c r="AG242" s="801">
        <f t="shared" si="99"/>
        <v>4</v>
      </c>
      <c r="AH242" s="172">
        <f t="shared" si="94"/>
        <v>10</v>
      </c>
      <c r="AI242" s="221">
        <f t="shared" si="95"/>
        <v>4.9596957493091951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48077</v>
      </c>
      <c r="B243" s="406">
        <f>'2030'!Wh/'2030'!Env_an*'2031'!Env_an</f>
        <v>102.12606248244822</v>
      </c>
      <c r="C243" s="831"/>
      <c r="D243" s="388">
        <f t="shared" si="77"/>
        <v>107.36291253106121</v>
      </c>
      <c r="E243" s="380">
        <f t="shared" si="100"/>
        <v>111.72091626749987</v>
      </c>
      <c r="F243" s="380">
        <f t="shared" si="78"/>
        <v>111.72668796410119</v>
      </c>
      <c r="G243" s="110">
        <f t="shared" si="101"/>
        <v>0.49361388653873012</v>
      </c>
      <c r="H243" s="409" t="b">
        <f>Wh_hp&gt;='2030'!Maxi_hp</f>
        <v>0</v>
      </c>
      <c r="I243" s="385">
        <f>IF(H243,Wh_hp,'2030'!Maxi_hp)</f>
        <v>111.73736508947414</v>
      </c>
      <c r="J243" s="85">
        <f>IF(H243,An,'2030'!An_max)</f>
        <v>2029</v>
      </c>
      <c r="K243" s="193">
        <f t="shared" si="79"/>
        <v>48077</v>
      </c>
      <c r="L243" s="143">
        <f>IF(t&lt;Tvie,1-EXP((T0-t)*PertePVj)+'2030'!Pspv,1-EXP((T0-t)*PertePVj)+Pspv)</f>
        <v>4.8777086287575488E-2</v>
      </c>
      <c r="M243" s="835"/>
      <c r="N243" s="835"/>
      <c r="O243" s="48">
        <f>IF(t&lt;Tnet,'2030'!Resal+('2030'!Salim-'2030'!Resal)*(1-EXP(('2030'!Tnet-t)/('2030'!Tau_j))),Resal+(Salim-Resal)*(1-EXP((Tnet-t)/(Tau_j))))*Salcycl</f>
        <v>3.9007948395303561E-2</v>
      </c>
      <c r="P243" s="165">
        <f>(INDEX(Models!$BJ243:$BT243,,T243)*(1-R243)+INDEX(Models!$BJ243:$BT243,,T243+1)*R243-ERP_i)*Q243*Ramure*Pc/MaxiM</f>
        <v>1.8670612978958782E-4</v>
      </c>
      <c r="Q243" s="301">
        <f t="shared" si="80"/>
        <v>0.5</v>
      </c>
      <c r="R243" s="173">
        <f t="shared" si="81"/>
        <v>0.43584640897006999</v>
      </c>
      <c r="S243" s="801">
        <f t="shared" si="82"/>
        <v>1</v>
      </c>
      <c r="T243" s="172">
        <f t="shared" si="83"/>
        <v>7</v>
      </c>
      <c r="U243" s="247">
        <f t="shared" si="84"/>
        <v>1.43584640897007</v>
      </c>
      <c r="V243" s="378">
        <f t="shared" si="85"/>
        <v>206.86668817467313</v>
      </c>
      <c r="W243" s="397">
        <f t="shared" si="86"/>
        <v>102.12606248244822</v>
      </c>
      <c r="X243" s="153">
        <f t="shared" si="87"/>
        <v>48077</v>
      </c>
      <c r="Y243" s="380">
        <f t="shared" si="88"/>
        <v>99.478346189413401</v>
      </c>
      <c r="Z243" s="380">
        <f t="shared" si="89"/>
        <v>104.57942586892716</v>
      </c>
      <c r="AA243" s="381">
        <f t="shared" si="90"/>
        <v>111.70128692999623</v>
      </c>
      <c r="AB243" s="193">
        <f t="shared" si="91"/>
        <v>48077</v>
      </c>
      <c r="AC243" s="119">
        <f>IF(OR(t&lt;Tnet,NoTnet),'2030'!Resal_s+('2030'!Salim-'2030'!Resal_s)*(1-EXP(('2030'!Tnet_s-t)/'2030'!Tau_j)),Resal_s+(Salim-Resal_s)*(1-EXP((Tnet_s-t)/Tau_j)))*Salcycl</f>
        <v>6.3758093185912648E-2</v>
      </c>
      <c r="AD243" s="227">
        <f>(INDEX(Models!$BJ243:$BT243,,AH243)*(1-AF243)+INDEX(Models!$BJ243:$BT243,,AH243+1)*AF243-ERP_i)*AE243*Ramure*Pc/MaxiM</f>
        <v>8.2168712217238558E-4</v>
      </c>
      <c r="AE243" s="301">
        <f t="shared" si="92"/>
        <v>0.5</v>
      </c>
      <c r="AF243" s="173">
        <f t="shared" si="93"/>
        <v>0.96083397534404824</v>
      </c>
      <c r="AG243" s="801">
        <f t="shared" si="99"/>
        <v>4</v>
      </c>
      <c r="AH243" s="172">
        <f t="shared" si="94"/>
        <v>10</v>
      </c>
      <c r="AI243" s="221">
        <f t="shared" si="95"/>
        <v>4.9608339753440482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48078</v>
      </c>
      <c r="B244" s="406">
        <f>'2030'!Wh/'2030'!Env_an*'2031'!Env_an</f>
        <v>125.40142375238796</v>
      </c>
      <c r="C244" s="831"/>
      <c r="D244" s="388">
        <f t="shared" si="77"/>
        <v>131.83359926292061</v>
      </c>
      <c r="E244" s="380">
        <f t="shared" si="100"/>
        <v>137.19163430102867</v>
      </c>
      <c r="F244" s="380">
        <f t="shared" si="78"/>
        <v>137.20295714725725</v>
      </c>
      <c r="G244" s="110">
        <f t="shared" si="101"/>
        <v>0.60823044603387522</v>
      </c>
      <c r="H244" s="409" t="b">
        <f>Wh_hp&gt;='2030'!Maxi_hp</f>
        <v>0</v>
      </c>
      <c r="I244" s="385">
        <f>IF(H244,Wh_hp,'2030'!Maxi_hp)</f>
        <v>137.21312789105099</v>
      </c>
      <c r="J244" s="85">
        <f>IF(H244,An,'2030'!An_max)</f>
        <v>2029</v>
      </c>
      <c r="K244" s="193">
        <f t="shared" si="79"/>
        <v>48078</v>
      </c>
      <c r="L244" s="143">
        <f>IF(t&lt;Tvie,1-EXP((T0-t)*PertePVj)+'2030'!Pspv,1-EXP((T0-t)*PertePVj)+Pspv)</f>
        <v>4.8790107730463661E-2</v>
      </c>
      <c r="M244" s="835"/>
      <c r="N244" s="835"/>
      <c r="O244" s="48">
        <f>IF(t&lt;Tnet,'2030'!Resal+('2030'!Salim-'2030'!Resal)*(1-EXP(('2030'!Tnet-t)/('2030'!Tau_j))),Resal+(Salim-Resal)*(1-EXP((Tnet-t)/(Tau_j))))*Salcycl</f>
        <v>3.9055114879317968E-2</v>
      </c>
      <c r="P244" s="165">
        <f>(INDEX(Models!$BJ244:$BT244,,T244)*(1-R244)+INDEX(Models!$BJ244:$BT244,,T244+1)*R244-ERP_i)*Q244*Ramure*Pc/MaxiM</f>
        <v>1.873806649609425E-4</v>
      </c>
      <c r="Q244" s="301">
        <f t="shared" si="80"/>
        <v>0.5</v>
      </c>
      <c r="R244" s="173">
        <f t="shared" si="81"/>
        <v>0.43694399377488358</v>
      </c>
      <c r="S244" s="801">
        <f t="shared" si="82"/>
        <v>1</v>
      </c>
      <c r="T244" s="172">
        <f t="shared" si="83"/>
        <v>7</v>
      </c>
      <c r="U244" s="247">
        <f t="shared" si="84"/>
        <v>1.4369439937748836</v>
      </c>
      <c r="V244" s="378">
        <f t="shared" si="85"/>
        <v>206.15257686046601</v>
      </c>
      <c r="W244" s="397">
        <f t="shared" si="86"/>
        <v>125.40142375238796</v>
      </c>
      <c r="X244" s="153">
        <f t="shared" si="87"/>
        <v>48078</v>
      </c>
      <c r="Y244" s="380">
        <f t="shared" si="88"/>
        <v>122.1411311813909</v>
      </c>
      <c r="Z244" s="380">
        <f t="shared" si="89"/>
        <v>128.40607753770163</v>
      </c>
      <c r="AA244" s="381">
        <f t="shared" si="90"/>
        <v>137.15328122889025</v>
      </c>
      <c r="AB244" s="193">
        <f t="shared" si="91"/>
        <v>48078</v>
      </c>
      <c r="AC244" s="119">
        <f>IF(OR(t&lt;Tnet,NoTnet),'2030'!Resal_s+('2030'!Salim-'2030'!Resal_s)*(1-EXP(('2030'!Tnet_s-t)/'2030'!Tau_j)),Resal_s+(Salim-Resal_s)*(1-EXP((Tnet_s-t)/Tau_j)))*Salcycl</f>
        <v>6.3776845969807497E-2</v>
      </c>
      <c r="AD244" s="227">
        <f>(INDEX(Models!$BJ244:$BT244,,AH244)*(1-AF244)+INDEX(Models!$BJ244:$BT244,,AH244+1)*AF244-ERP_i)*AE244*Ramure*Pc/MaxiM</f>
        <v>8.2208187131190924E-4</v>
      </c>
      <c r="AE244" s="301">
        <f t="shared" si="92"/>
        <v>0.5</v>
      </c>
      <c r="AF244" s="173">
        <f t="shared" si="93"/>
        <v>0.96193156014886139</v>
      </c>
      <c r="AG244" s="801">
        <f t="shared" si="99"/>
        <v>4</v>
      </c>
      <c r="AH244" s="172">
        <f t="shared" si="94"/>
        <v>10</v>
      </c>
      <c r="AI244" s="221">
        <f t="shared" si="95"/>
        <v>4.9619315601488614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48079</v>
      </c>
      <c r="B245" s="406">
        <f>'2030'!Wh/'2030'!Env_an*'2031'!Env_an</f>
        <v>135.30289757374632</v>
      </c>
      <c r="C245" s="831"/>
      <c r="D245" s="388">
        <f t="shared" si="77"/>
        <v>142.24489345807487</v>
      </c>
      <c r="E245" s="380">
        <f t="shared" si="100"/>
        <v>148.03330842778487</v>
      </c>
      <c r="F245" s="380">
        <f t="shared" si="78"/>
        <v>148.04755920875698</v>
      </c>
      <c r="G245" s="110">
        <f t="shared" si="101"/>
        <v>0.65858624249428743</v>
      </c>
      <c r="H245" s="409" t="b">
        <f>Wh_hp&gt;='2030'!Maxi_hp</f>
        <v>0</v>
      </c>
      <c r="I245" s="385">
        <f>IF(H245,Wh_hp,'2030'!Maxi_hp)</f>
        <v>148.05713882233269</v>
      </c>
      <c r="J245" s="85">
        <f>IF(H245,An,'2030'!An_max)</f>
        <v>2029</v>
      </c>
      <c r="K245" s="193">
        <f t="shared" si="79"/>
        <v>48079</v>
      </c>
      <c r="L245" s="143">
        <f>IF(t&lt;Tvie,1-EXP((T0-t)*PertePVj)+'2030'!Pspv,1-EXP((T0-t)*PertePVj)+Pspv)</f>
        <v>4.8803128995099088E-2</v>
      </c>
      <c r="M245" s="835"/>
      <c r="N245" s="835"/>
      <c r="O245" s="48">
        <f>IF(t&lt;Tnet,'2030'!Resal+('2030'!Salim-'2030'!Resal)*(1-EXP(('2030'!Tnet-t)/('2030'!Tau_j))),Resal+(Salim-Resal)*(1-EXP((Tnet-t)/(Tau_j))))*Salcycl</f>
        <v>3.910211175570516E-2</v>
      </c>
      <c r="P245" s="165">
        <f>(INDEX(Models!$BJ245:$BT245,,T245)*(1-R245)+INDEX(Models!$BJ245:$BT245,,T245+1)*R245-ERP_i)*Q245*Ramure*Pc/MaxiM</f>
        <v>1.8787489283573545E-4</v>
      </c>
      <c r="Q245" s="301">
        <f t="shared" si="80"/>
        <v>0.5</v>
      </c>
      <c r="R245" s="173">
        <f t="shared" si="81"/>
        <v>0.43800219782432293</v>
      </c>
      <c r="S245" s="801">
        <f t="shared" si="82"/>
        <v>1</v>
      </c>
      <c r="T245" s="172">
        <f t="shared" si="83"/>
        <v>7</v>
      </c>
      <c r="U245" s="247">
        <f t="shared" si="84"/>
        <v>1.4380021978243229</v>
      </c>
      <c r="V245" s="378">
        <f t="shared" si="85"/>
        <v>205.42564001084659</v>
      </c>
      <c r="W245" s="397">
        <f t="shared" si="86"/>
        <v>135.30289757374632</v>
      </c>
      <c r="X245" s="153">
        <f t="shared" si="87"/>
        <v>48079</v>
      </c>
      <c r="Y245" s="380">
        <f t="shared" si="88"/>
        <v>131.78309411120574</v>
      </c>
      <c r="Z245" s="380">
        <f t="shared" si="89"/>
        <v>138.54449917605621</v>
      </c>
      <c r="AA245" s="381">
        <f t="shared" si="90"/>
        <v>147.98527798297715</v>
      </c>
      <c r="AB245" s="193">
        <f t="shared" si="91"/>
        <v>48079</v>
      </c>
      <c r="AC245" s="119">
        <f>IF(OR(t&lt;Tnet,NoTnet),'2030'!Resal_s+('2030'!Salim-'2030'!Resal_s)*(1-EXP(('2030'!Tnet_s-t)/'2030'!Tau_j)),Resal_s+(Salim-Resal_s)*(1-EXP((Tnet_s-t)/Tau_j)))*Salcycl</f>
        <v>6.3795391917342695E-2</v>
      </c>
      <c r="AD245" s="227">
        <f>(INDEX(Models!$BJ245:$BT245,,AH245)*(1-AF245)+INDEX(Models!$BJ245:$BT245,,AH245+1)*AF245-ERP_i)*AE245*Ramure*Pc/MaxiM</f>
        <v>8.2108332462400878E-4</v>
      </c>
      <c r="AE245" s="301">
        <f t="shared" si="92"/>
        <v>0.5</v>
      </c>
      <c r="AF245" s="173">
        <f t="shared" si="93"/>
        <v>0.96298976419830051</v>
      </c>
      <c r="AG245" s="801">
        <f t="shared" si="99"/>
        <v>4</v>
      </c>
      <c r="AH245" s="172">
        <f t="shared" si="94"/>
        <v>10</v>
      </c>
      <c r="AI245" s="221">
        <f t="shared" si="95"/>
        <v>4.9629897641983005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48080</v>
      </c>
      <c r="B246" s="406">
        <f>'2030'!Wh/'2030'!Env_an*'2031'!Env_an</f>
        <v>197.64281859769068</v>
      </c>
      <c r="C246" s="831"/>
      <c r="D246" s="388">
        <f t="shared" si="77"/>
        <v>207.78613788976969</v>
      </c>
      <c r="E246" s="380">
        <f t="shared" si="100"/>
        <v>216.25218031071316</v>
      </c>
      <c r="F246" s="380">
        <f t="shared" si="78"/>
        <v>216.29088281218452</v>
      </c>
      <c r="G246" s="110">
        <f t="shared" si="101"/>
        <v>0.96558429826225756</v>
      </c>
      <c r="H246" s="409" t="b">
        <f>Wh_hp&gt;='2030'!Maxi_hp</f>
        <v>0</v>
      </c>
      <c r="I246" s="385">
        <f>IF(H246,Wh_hp,'2030'!Maxi_hp)</f>
        <v>216.29229438679943</v>
      </c>
      <c r="J246" s="85">
        <f>IF(H246,An,'2030'!An_max)</f>
        <v>2029</v>
      </c>
      <c r="K246" s="193">
        <f t="shared" si="79"/>
        <v>48080</v>
      </c>
      <c r="L246" s="143">
        <f>IF(t&lt;Tvie,1-EXP((T0-t)*PertePVj)+'2030'!Pspv,1-EXP((T0-t)*PertePVj)+Pspv)</f>
        <v>4.8816150081484433E-2</v>
      </c>
      <c r="M246" s="835"/>
      <c r="N246" s="835"/>
      <c r="O246" s="48">
        <f>IF(t&lt;Tnet,'2030'!Resal+('2030'!Salim-'2030'!Resal)*(1-EXP(('2030'!Tnet-t)/('2030'!Tau_j))),Resal+(Salim-Resal)*(1-EXP((Tnet-t)/(Tau_j))))*Salcycl</f>
        <v>3.9148934400473401E-2</v>
      </c>
      <c r="P246" s="165">
        <f>(INDEX(Models!$BJ246:$BT246,,T246)*(1-R246)+INDEX(Models!$BJ246:$BT246,,T246+1)*R246-ERP_i)*Q246*Ramure*Pc/MaxiM</f>
        <v>1.8818715023943629E-4</v>
      </c>
      <c r="Q246" s="301">
        <f t="shared" si="80"/>
        <v>0.5</v>
      </c>
      <c r="R246" s="173">
        <f t="shared" si="81"/>
        <v>0.43902225689360819</v>
      </c>
      <c r="S246" s="801">
        <f t="shared" si="82"/>
        <v>1</v>
      </c>
      <c r="T246" s="172">
        <f t="shared" si="83"/>
        <v>7</v>
      </c>
      <c r="U246" s="247">
        <f t="shared" si="84"/>
        <v>1.4390222568936082</v>
      </c>
      <c r="V246" s="378">
        <f t="shared" si="85"/>
        <v>204.68538112627655</v>
      </c>
      <c r="W246" s="397">
        <f t="shared" si="86"/>
        <v>197.64281859769068</v>
      </c>
      <c r="X246" s="153">
        <f t="shared" si="87"/>
        <v>48080</v>
      </c>
      <c r="Y246" s="380">
        <f t="shared" si="88"/>
        <v>192.45391411260306</v>
      </c>
      <c r="Z246" s="380">
        <f t="shared" si="89"/>
        <v>202.33093121701958</v>
      </c>
      <c r="AA246" s="381">
        <f t="shared" si="90"/>
        <v>216.12251363112262</v>
      </c>
      <c r="AB246" s="193">
        <f t="shared" si="91"/>
        <v>48080</v>
      </c>
      <c r="AC246" s="119">
        <f>IF(OR(t&lt;Tnet,NoTnet),'2030'!Resal_s+('2030'!Salim-'2030'!Resal_s)*(1-EXP(('2030'!Tnet_s-t)/'2030'!Tau_j)),Resal_s+(Salim-Resal_s)*(1-EXP((Tnet_s-t)/Tau_j)))*Salcycl</f>
        <v>6.3813723903111991E-2</v>
      </c>
      <c r="AD246" s="227">
        <f>(INDEX(Models!$BJ246:$BT246,,AH246)*(1-AF246)+INDEX(Models!$BJ246:$BT246,,AH246+1)*AF246-ERP_i)*AE246*Ramure*Pc/MaxiM</f>
        <v>8.1867877185250572E-4</v>
      </c>
      <c r="AE246" s="301">
        <f t="shared" si="92"/>
        <v>0.5</v>
      </c>
      <c r="AF246" s="173">
        <f t="shared" si="93"/>
        <v>0.96400982326758644</v>
      </c>
      <c r="AG246" s="801">
        <f t="shared" si="99"/>
        <v>4</v>
      </c>
      <c r="AH246" s="172">
        <f t="shared" si="94"/>
        <v>10</v>
      </c>
      <c r="AI246" s="221">
        <f t="shared" si="95"/>
        <v>4.9640098232675864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48081</v>
      </c>
      <c r="B247" s="406">
        <f>'2030'!Wh/'2030'!Env_an*'2031'!Env_an</f>
        <v>126.0924817435782</v>
      </c>
      <c r="C247" s="831"/>
      <c r="D247" s="388">
        <f t="shared" si="77"/>
        <v>132.56554753131778</v>
      </c>
      <c r="E247" s="380">
        <f t="shared" si="100"/>
        <v>137.97349854467279</v>
      </c>
      <c r="F247" s="380">
        <f t="shared" si="78"/>
        <v>137.9853143138601</v>
      </c>
      <c r="G247" s="110">
        <f t="shared" si="101"/>
        <v>0.61824133147048443</v>
      </c>
      <c r="H247" s="409" t="b">
        <f>Wh_hp&gt;='2030'!Maxi_hp</f>
        <v>0</v>
      </c>
      <c r="I247" s="385">
        <f>IF(H247,Wh_hp,'2030'!Maxi_hp)</f>
        <v>137.9953000327186</v>
      </c>
      <c r="J247" s="85">
        <f>IF(H247,An,'2030'!An_max)</f>
        <v>2029</v>
      </c>
      <c r="K247" s="193">
        <f t="shared" si="79"/>
        <v>48081</v>
      </c>
      <c r="L247" s="143">
        <f>IF(t&lt;Tvie,1-EXP((T0-t)*PertePVj)+'2030'!Pspv,1-EXP((T0-t)*PertePVj)+Pspv)</f>
        <v>4.8829170989622028E-2</v>
      </c>
      <c r="M247" s="835"/>
      <c r="N247" s="835"/>
      <c r="O247" s="48">
        <f>IF(t&lt;Tnet,'2030'!Resal+('2030'!Salim-'2030'!Resal)*(1-EXP(('2030'!Tnet-t)/('2030'!Tau_j))),Resal+(Salim-Resal)*(1-EXP((Tnet-t)/(Tau_j))))*Salcycl</f>
        <v>3.9195577921828623E-2</v>
      </c>
      <c r="P247" s="165">
        <f>(INDEX(Models!$BJ247:$BT247,,T247)*(1-R247)+INDEX(Models!$BJ247:$BT247,,T247+1)*R247-ERP_i)*Q247*Ramure*Pc/MaxiM</f>
        <v>1.8831458049055702E-4</v>
      </c>
      <c r="Q247" s="301">
        <f t="shared" si="80"/>
        <v>0.5</v>
      </c>
      <c r="R247" s="173">
        <f t="shared" si="81"/>
        <v>0.44000538137727241</v>
      </c>
      <c r="S247" s="801">
        <f t="shared" si="82"/>
        <v>1</v>
      </c>
      <c r="T247" s="172">
        <f t="shared" si="83"/>
        <v>7</v>
      </c>
      <c r="U247" s="247">
        <f t="shared" si="84"/>
        <v>1.4400053813772724</v>
      </c>
      <c r="V247" s="378">
        <f t="shared" si="85"/>
        <v>203.93255277925743</v>
      </c>
      <c r="W247" s="397">
        <f t="shared" si="86"/>
        <v>126.0924817435782</v>
      </c>
      <c r="X247" s="153">
        <f t="shared" si="87"/>
        <v>48081</v>
      </c>
      <c r="Y247" s="380">
        <f t="shared" si="88"/>
        <v>122.82430346553248</v>
      </c>
      <c r="Z247" s="380">
        <f t="shared" si="89"/>
        <v>129.12959451597351</v>
      </c>
      <c r="AA247" s="381">
        <f t="shared" si="90"/>
        <v>137.93418667661609</v>
      </c>
      <c r="AB247" s="193">
        <f t="shared" si="91"/>
        <v>48081</v>
      </c>
      <c r="AC247" s="119">
        <f>IF(OR(t&lt;Tnet,NoTnet),'2030'!Resal_s+('2030'!Salim-'2030'!Resal_s)*(1-EXP(('2030'!Tnet_s-t)/'2030'!Tau_j)),Resal_s+(Salim-Resal_s)*(1-EXP((Tnet_s-t)/Tau_j)))*Salcycl</f>
        <v>6.3831834389865852E-2</v>
      </c>
      <c r="AD247" s="227">
        <f>(INDEX(Models!$BJ247:$BT247,,AH247)*(1-AF247)+INDEX(Models!$BJ247:$BT247,,AH247+1)*AF247-ERP_i)*AE247*Ramure*Pc/MaxiM</f>
        <v>8.1485000311532787E-4</v>
      </c>
      <c r="AE247" s="301">
        <f t="shared" si="92"/>
        <v>0.5</v>
      </c>
      <c r="AF247" s="173">
        <f t="shared" si="93"/>
        <v>0.96499294775125044</v>
      </c>
      <c r="AG247" s="801">
        <f t="shared" si="99"/>
        <v>4</v>
      </c>
      <c r="AH247" s="172">
        <f t="shared" si="94"/>
        <v>10</v>
      </c>
      <c r="AI247" s="221">
        <f t="shared" si="95"/>
        <v>4.9649929477512504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48082</v>
      </c>
      <c r="B248" s="406">
        <f>'2030'!Wh/'2030'!Env_an*'2031'!Env_an</f>
        <v>99.440441143367039</v>
      </c>
      <c r="C248" s="831"/>
      <c r="D248" s="388">
        <f t="shared" si="77"/>
        <v>104.54673270583422</v>
      </c>
      <c r="E248" s="380">
        <f t="shared" si="100"/>
        <v>108.81693074792723</v>
      </c>
      <c r="F248" s="380">
        <f t="shared" si="78"/>
        <v>108.82247068499089</v>
      </c>
      <c r="G248" s="110">
        <f t="shared" si="101"/>
        <v>0.48938152198312146</v>
      </c>
      <c r="H248" s="409" t="b">
        <f>Wh_hp&gt;='2030'!Maxi_hp</f>
        <v>0</v>
      </c>
      <c r="I248" s="385">
        <f>IF(H248,Wh_hp,'2030'!Maxi_hp)</f>
        <v>108.83298124459706</v>
      </c>
      <c r="J248" s="85">
        <f>IF(H248,An,'2030'!An_max)</f>
        <v>2029</v>
      </c>
      <c r="K248" s="193">
        <f t="shared" si="79"/>
        <v>48082</v>
      </c>
      <c r="L248" s="143">
        <f>IF(t&lt;Tvie,1-EXP((T0-t)*PertePVj)+'2030'!Pspv,1-EXP((T0-t)*PertePVj)+Pspv)</f>
        <v>4.8842191719514316E-2</v>
      </c>
      <c r="M248" s="835"/>
      <c r="N248" s="835"/>
      <c r="O248" s="48">
        <f>IF(t&lt;Tnet,'2030'!Resal+('2030'!Salim-'2030'!Resal)*(1-EXP(('2030'!Tnet-t)/('2030'!Tau_j))),Resal+(Salim-Resal)*(1-EXP((Tnet-t)/(Tau_j))))*Salcycl</f>
        <v>3.9242037178799434E-2</v>
      </c>
      <c r="P248" s="165">
        <f>(INDEX(Models!$BJ248:$BT248,,T248)*(1-R248)+INDEX(Models!$BJ248:$BT248,,T248+1)*R248-ERP_i)*Q248*Ramure*Pc/MaxiM</f>
        <v>1.8810169877671613E-4</v>
      </c>
      <c r="Q248" s="301">
        <f t="shared" si="80"/>
        <v>0.5</v>
      </c>
      <c r="R248" s="173">
        <f t="shared" si="81"/>
        <v>0.44095275572889081</v>
      </c>
      <c r="S248" s="801">
        <f t="shared" si="82"/>
        <v>1</v>
      </c>
      <c r="T248" s="172">
        <f t="shared" si="83"/>
        <v>7</v>
      </c>
      <c r="U248" s="247">
        <f t="shared" si="84"/>
        <v>1.4409527557288908</v>
      </c>
      <c r="V248" s="378">
        <f t="shared" si="85"/>
        <v>203.16827134475591</v>
      </c>
      <c r="W248" s="397">
        <f t="shared" si="86"/>
        <v>99.440441143367039</v>
      </c>
      <c r="X248" s="153">
        <f t="shared" si="87"/>
        <v>48082</v>
      </c>
      <c r="Y248" s="380">
        <f t="shared" si="88"/>
        <v>96.877199889088033</v>
      </c>
      <c r="Z248" s="380">
        <f t="shared" si="89"/>
        <v>101.85186837105799</v>
      </c>
      <c r="AA248" s="381">
        <f t="shared" si="90"/>
        <v>108.79862993490111</v>
      </c>
      <c r="AB248" s="193">
        <f t="shared" si="91"/>
        <v>48082</v>
      </c>
      <c r="AC248" s="119">
        <f>IF(OR(t&lt;Tnet,NoTnet),'2030'!Resal_s+('2030'!Salim-'2030'!Resal_s)*(1-EXP(('2030'!Tnet_s-t)/'2030'!Tau_j)),Resal_s+(Salim-Resal_s)*(1-EXP((Tnet_s-t)/Tau_j)))*Salcycl</f>
        <v>6.3849715460568543E-2</v>
      </c>
      <c r="AD248" s="227">
        <f>(INDEX(Models!$BJ248:$BT248,,AH248)*(1-AF248)+INDEX(Models!$BJ248:$BT248,,AH248+1)*AF248-ERP_i)*AE248*Ramure*Pc/MaxiM</f>
        <v>8.0948312958486199E-4</v>
      </c>
      <c r="AE248" s="301">
        <f t="shared" si="92"/>
        <v>0.5</v>
      </c>
      <c r="AF248" s="173">
        <f t="shared" si="93"/>
        <v>0.96594032210286862</v>
      </c>
      <c r="AG248" s="801">
        <f t="shared" si="99"/>
        <v>4</v>
      </c>
      <c r="AH248" s="172">
        <f t="shared" si="94"/>
        <v>10</v>
      </c>
      <c r="AI248" s="221">
        <f t="shared" si="95"/>
        <v>4.9659403221028686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48083</v>
      </c>
      <c r="B249" s="406">
        <f>'2030'!Wh/'2030'!Env_an*'2031'!Env_an</f>
        <v>172.58773219711352</v>
      </c>
      <c r="C249" s="831"/>
      <c r="D249" s="388">
        <f t="shared" si="77"/>
        <v>181.45263941278822</v>
      </c>
      <c r="E249" s="380">
        <f t="shared" si="100"/>
        <v>188.87314549862643</v>
      </c>
      <c r="F249" s="380">
        <f t="shared" si="78"/>
        <v>188.90111840070296</v>
      </c>
      <c r="G249" s="110">
        <f t="shared" si="101"/>
        <v>0.85270396201531173</v>
      </c>
      <c r="H249" s="409" t="b">
        <f>Wh_hp&gt;='2030'!Maxi_hp</f>
        <v>0</v>
      </c>
      <c r="I249" s="385">
        <f>IF(H249,Wh_hp,'2030'!Maxi_hp)</f>
        <v>188.90635990161761</v>
      </c>
      <c r="J249" s="85">
        <f>IF(H249,An,'2030'!An_max)</f>
        <v>2029</v>
      </c>
      <c r="K249" s="193">
        <f t="shared" si="79"/>
        <v>48083</v>
      </c>
      <c r="L249" s="143">
        <f>IF(t&lt;Tvie,1-EXP((T0-t)*PertePVj)+'2030'!Pspv,1-EXP((T0-t)*PertePVj)+Pspv)</f>
        <v>4.8855212271163739E-2</v>
      </c>
      <c r="M249" s="835"/>
      <c r="N249" s="835"/>
      <c r="O249" s="48">
        <f>IF(t&lt;Tnet,'2030'!Resal+('2030'!Salim-'2030'!Resal)*(1-EXP(('2030'!Tnet-t)/('2030'!Tau_j))),Resal+(Salim-Resal)*(1-EXP((Tnet-t)/(Tau_j))))*Salcycl</f>
        <v>3.9288306795802176E-2</v>
      </c>
      <c r="P249" s="165">
        <f>(INDEX(Models!$BJ249:$BT249,,T249)*(1-R249)+INDEX(Models!$BJ249:$BT249,,T249+1)*R249-ERP_i)*Q249*Ramure*Pc/MaxiM</f>
        <v>1.875348648008505E-4</v>
      </c>
      <c r="Q249" s="301">
        <f t="shared" si="80"/>
        <v>0.5</v>
      </c>
      <c r="R249" s="173">
        <f t="shared" si="81"/>
        <v>0.44186553801327699</v>
      </c>
      <c r="S249" s="801">
        <f t="shared" si="82"/>
        <v>1</v>
      </c>
      <c r="T249" s="172">
        <f t="shared" si="83"/>
        <v>7</v>
      </c>
      <c r="U249" s="247">
        <f t="shared" si="84"/>
        <v>1.441865538013277</v>
      </c>
      <c r="V249" s="378">
        <f t="shared" si="85"/>
        <v>202.39254165413948</v>
      </c>
      <c r="W249" s="397">
        <f t="shared" si="86"/>
        <v>172.58773219711352</v>
      </c>
      <c r="X249" s="153">
        <f t="shared" si="87"/>
        <v>48083</v>
      </c>
      <c r="Y249" s="380">
        <f t="shared" si="88"/>
        <v>168.09047352992172</v>
      </c>
      <c r="Z249" s="380">
        <f t="shared" si="89"/>
        <v>176.72438066058453</v>
      </c>
      <c r="AA249" s="381">
        <f t="shared" si="90"/>
        <v>188.78134667144116</v>
      </c>
      <c r="AB249" s="193">
        <f t="shared" si="91"/>
        <v>48083</v>
      </c>
      <c r="AC249" s="119">
        <f>IF(OR(t&lt;Tnet,NoTnet),'2030'!Resal_s+('2030'!Salim-'2030'!Resal_s)*(1-EXP(('2030'!Tnet_s-t)/'2030'!Tau_j)),Resal_s+(Salim-Resal_s)*(1-EXP((Tnet_s-t)/Tau_j)))*Salcycl</f>
        <v>6.3867358843672214E-2</v>
      </c>
      <c r="AD249" s="227">
        <f>(INDEX(Models!$BJ249:$BT249,,AH249)*(1-AF249)+INDEX(Models!$BJ249:$BT249,,AH249+1)*AF249-ERP_i)*AE249*Ramure*Pc/MaxiM</f>
        <v>8.0296906601378065E-4</v>
      </c>
      <c r="AE249" s="301">
        <f t="shared" si="92"/>
        <v>0.5</v>
      </c>
      <c r="AF249" s="173">
        <f t="shared" si="93"/>
        <v>0.9668531043872548</v>
      </c>
      <c r="AG249" s="801">
        <f t="shared" si="99"/>
        <v>4</v>
      </c>
      <c r="AH249" s="172">
        <f t="shared" si="94"/>
        <v>10</v>
      </c>
      <c r="AI249" s="221">
        <f t="shared" si="95"/>
        <v>4.9668531043872548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48084</v>
      </c>
      <c r="B250" s="406">
        <f>'2030'!Wh/'2030'!Env_an*'2031'!Env_an</f>
        <v>183.82727515993523</v>
      </c>
      <c r="C250" s="831"/>
      <c r="D250" s="388">
        <f t="shared" si="77"/>
        <v>193.2721432184496</v>
      </c>
      <c r="E250" s="380">
        <f t="shared" si="100"/>
        <v>201.18565651850383</v>
      </c>
      <c r="F250" s="380">
        <f t="shared" si="78"/>
        <v>201.21847563169203</v>
      </c>
      <c r="G250" s="110">
        <f t="shared" si="101"/>
        <v>0.91179593156480376</v>
      </c>
      <c r="H250" s="409" t="b">
        <f>Wh_hp&gt;='2030'!Maxi_hp</f>
        <v>0</v>
      </c>
      <c r="I250" s="385">
        <f>IF(H250,Wh_hp,'2030'!Maxi_hp)</f>
        <v>201.22179931817598</v>
      </c>
      <c r="J250" s="85">
        <f>IF(H250,An,'2030'!An_max)</f>
        <v>2029</v>
      </c>
      <c r="K250" s="193">
        <f t="shared" si="79"/>
        <v>48084</v>
      </c>
      <c r="L250" s="143">
        <f>IF(t&lt;Tvie,1-EXP((T0-t)*PertePVj)+'2030'!Pspv,1-EXP((T0-t)*PertePVj)+Pspv)</f>
        <v>4.886823264457274E-2</v>
      </c>
      <c r="M250" s="835"/>
      <c r="N250" s="835"/>
      <c r="O250" s="48">
        <f>IF(t&lt;Tnet,'2030'!Resal+('2030'!Salim-'2030'!Resal)*(1-EXP(('2030'!Tnet-t)/('2030'!Tau_j))),Resal+(Salim-Resal)*(1-EXP((Tnet-t)/(Tau_j))))*Salcycl</f>
        <v>3.9334381173075278E-2</v>
      </c>
      <c r="P250" s="165">
        <f>(INDEX(Models!$BJ250:$BT250,,T250)*(1-R250)+INDEX(Models!$BJ250:$BT250,,T250+1)*R250-ERP_i)*Q250*Ramure*Pc/MaxiM</f>
        <v>1.8661013374070786E-4</v>
      </c>
      <c r="Q250" s="301">
        <f t="shared" si="80"/>
        <v>0.5</v>
      </c>
      <c r="R250" s="173">
        <f t="shared" si="81"/>
        <v>0.4427448595629413</v>
      </c>
      <c r="S250" s="801">
        <f t="shared" si="82"/>
        <v>1</v>
      </c>
      <c r="T250" s="172">
        <f t="shared" si="83"/>
        <v>7</v>
      </c>
      <c r="U250" s="247">
        <f t="shared" si="84"/>
        <v>1.4427448595629413</v>
      </c>
      <c r="V250" s="378">
        <f t="shared" si="85"/>
        <v>201.60536654585761</v>
      </c>
      <c r="W250" s="397">
        <f t="shared" si="86"/>
        <v>183.82727515993523</v>
      </c>
      <c r="X250" s="153">
        <f t="shared" si="87"/>
        <v>48084</v>
      </c>
      <c r="Y250" s="380">
        <f t="shared" si="88"/>
        <v>179.03414753727239</v>
      </c>
      <c r="Z250" s="380">
        <f t="shared" si="89"/>
        <v>188.23274932249146</v>
      </c>
      <c r="AA250" s="381">
        <f t="shared" si="90"/>
        <v>201.07860705740742</v>
      </c>
      <c r="AB250" s="193">
        <f t="shared" si="91"/>
        <v>48084</v>
      </c>
      <c r="AC250" s="119">
        <f>IF(OR(t&lt;Tnet,NoTnet),'2030'!Resal_s+('2030'!Salim-'2030'!Resal_s)*(1-EXP(('2030'!Tnet_s-t)/'2030'!Tau_j)),Resal_s+(Salim-Resal_s)*(1-EXP((Tnet_s-t)/Tau_j)))*Salcycl</f>
        <v>6.3884755931537307E-2</v>
      </c>
      <c r="AD250" s="227">
        <f>(INDEX(Models!$BJ250:$BT250,,AH250)*(1-AF250)+INDEX(Models!$BJ250:$BT250,,AH250+1)*AF250-ERP_i)*AE250*Ramure*Pc/MaxiM</f>
        <v>7.952955097754494E-4</v>
      </c>
      <c r="AE250" s="301">
        <f t="shared" si="92"/>
        <v>0.5</v>
      </c>
      <c r="AF250" s="173">
        <f t="shared" si="93"/>
        <v>0.96773242593691933</v>
      </c>
      <c r="AG250" s="801">
        <f t="shared" si="99"/>
        <v>4</v>
      </c>
      <c r="AH250" s="172">
        <f t="shared" si="94"/>
        <v>10</v>
      </c>
      <c r="AI250" s="221">
        <f t="shared" si="95"/>
        <v>4.9677324259369193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48085</v>
      </c>
      <c r="B251" s="406">
        <f>'2030'!Wh/'2030'!Env_an*'2031'!Env_an</f>
        <v>128.76575459327893</v>
      </c>
      <c r="C251" s="831"/>
      <c r="D251" s="388">
        <f t="shared" si="77"/>
        <v>135.38346812922495</v>
      </c>
      <c r="E251" s="380">
        <f t="shared" si="100"/>
        <v>140.9334638002567</v>
      </c>
      <c r="F251" s="380">
        <f t="shared" si="78"/>
        <v>140.94619732209145</v>
      </c>
      <c r="G251" s="110">
        <f t="shared" si="101"/>
        <v>0.64118125519476499</v>
      </c>
      <c r="H251" s="409" t="b">
        <f>Wh_hp&gt;='2030'!Maxi_hp</f>
        <v>0</v>
      </c>
      <c r="I251" s="385">
        <f>IF(H251,Wh_hp,'2030'!Maxi_hp)</f>
        <v>140.95559496487385</v>
      </c>
      <c r="J251" s="85">
        <f>IF(H251,An,'2030'!An_max)</f>
        <v>2029</v>
      </c>
      <c r="K251" s="193">
        <f t="shared" si="79"/>
        <v>48085</v>
      </c>
      <c r="L251" s="143">
        <f>IF(t&lt;Tvie,1-EXP((T0-t)*PertePVj)+'2030'!Pspv,1-EXP((T0-t)*PertePVj)+Pspv)</f>
        <v>4.8881252839743761E-2</v>
      </c>
      <c r="M251" s="835"/>
      <c r="N251" s="835"/>
      <c r="O251" s="48">
        <f>IF(t&lt;Tnet,'2030'!Resal+('2030'!Salim-'2030'!Resal)*(1-EXP(('2030'!Tnet-t)/('2030'!Tau_j))),Resal+(Salim-Resal)*(1-EXP((Tnet-t)/(Tau_j))))*Salcycl</f>
        <v>3.9380254492983241E-2</v>
      </c>
      <c r="P251" s="165">
        <f>(INDEX(Models!$BJ251:$BT251,,T251)*(1-R251)+INDEX(Models!$BJ251:$BT251,,T251+1)*R251-ERP_i)*Q251*Ramure*Pc/MaxiM</f>
        <v>1.8532351295911571E-4</v>
      </c>
      <c r="Q251" s="301">
        <f t="shared" si="80"/>
        <v>0.5</v>
      </c>
      <c r="R251" s="173">
        <f t="shared" si="81"/>
        <v>0.44359182473090586</v>
      </c>
      <c r="S251" s="801">
        <f t="shared" si="82"/>
        <v>1</v>
      </c>
      <c r="T251" s="172">
        <f t="shared" si="83"/>
        <v>7</v>
      </c>
      <c r="U251" s="247">
        <f t="shared" si="84"/>
        <v>1.4435918247309059</v>
      </c>
      <c r="V251" s="378">
        <f t="shared" si="85"/>
        <v>200.80674883356033</v>
      </c>
      <c r="W251" s="397">
        <f t="shared" si="86"/>
        <v>128.76575459327893</v>
      </c>
      <c r="X251" s="153">
        <f t="shared" si="87"/>
        <v>48085</v>
      </c>
      <c r="Y251" s="380">
        <f t="shared" si="88"/>
        <v>125.44199024792667</v>
      </c>
      <c r="Z251" s="380">
        <f t="shared" si="89"/>
        <v>131.88888414034241</v>
      </c>
      <c r="AA251" s="381">
        <f t="shared" si="90"/>
        <v>140.89216058579615</v>
      </c>
      <c r="AB251" s="193">
        <f t="shared" si="91"/>
        <v>48085</v>
      </c>
      <c r="AC251" s="119">
        <f>IF(OR(t&lt;Tnet,NoTnet),'2030'!Resal_s+('2030'!Salim-'2030'!Resal_s)*(1-EXP(('2030'!Tnet_s-t)/'2030'!Tau_j)),Resal_s+(Salim-Resal_s)*(1-EXP((Tnet_s-t)/Tau_j)))*Salcycl</f>
        <v>6.3901897792043555E-2</v>
      </c>
      <c r="AD251" s="227">
        <f>(INDEX(Models!$BJ251:$BT251,,AH251)*(1-AF251)+INDEX(Models!$BJ251:$BT251,,AH251+1)*AF251-ERP_i)*AE251*Ramure*Pc/MaxiM</f>
        <v>7.864499648285242E-4</v>
      </c>
      <c r="AE251" s="301">
        <f t="shared" si="92"/>
        <v>0.5</v>
      </c>
      <c r="AF251" s="173">
        <f t="shared" si="93"/>
        <v>0.96857939110488367</v>
      </c>
      <c r="AG251" s="801">
        <f t="shared" si="99"/>
        <v>4</v>
      </c>
      <c r="AH251" s="172">
        <f t="shared" si="94"/>
        <v>10</v>
      </c>
      <c r="AI251" s="221">
        <f t="shared" si="95"/>
        <v>4.9685793911048837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48086</v>
      </c>
      <c r="B252" s="406">
        <f>'2030'!Wh/'2030'!Env_an*'2031'!Env_an</f>
        <v>173.86570967492813</v>
      </c>
      <c r="C252" s="831"/>
      <c r="D252" s="388">
        <f t="shared" si="77"/>
        <v>182.80376693466019</v>
      </c>
      <c r="E252" s="380">
        <f t="shared" si="100"/>
        <v>190.30678724134563</v>
      </c>
      <c r="F252" s="380">
        <f t="shared" si="78"/>
        <v>190.33522105996451</v>
      </c>
      <c r="G252" s="110">
        <f t="shared" si="101"/>
        <v>0.86931312223764756</v>
      </c>
      <c r="H252" s="409" t="b">
        <f>Wh_hp&gt;='2030'!Maxi_hp</f>
        <v>0</v>
      </c>
      <c r="I252" s="385">
        <f>IF(H252,Wh_hp,'2030'!Maxi_hp)</f>
        <v>190.33979790914634</v>
      </c>
      <c r="J252" s="85">
        <f>IF(H252,An,'2030'!An_max)</f>
        <v>2029</v>
      </c>
      <c r="K252" s="193">
        <f t="shared" si="79"/>
        <v>48086</v>
      </c>
      <c r="L252" s="143">
        <f>IF(t&lt;Tvie,1-EXP((T0-t)*PertePVj)+'2030'!Pspv,1-EXP((T0-t)*PertePVj)+Pspv)</f>
        <v>4.8894272856679244E-2</v>
      </c>
      <c r="M252" s="835"/>
      <c r="N252" s="835"/>
      <c r="O252" s="48">
        <f>IF(t&lt;Tnet,'2030'!Resal+('2030'!Salim-'2030'!Resal)*(1-EXP(('2030'!Tnet-t)/('2030'!Tau_j))),Resal+(Salim-Resal)*(1-EXP((Tnet-t)/(Tau_j))))*Salcycl</f>
        <v>3.9425920722260775E-2</v>
      </c>
      <c r="P252" s="165">
        <f>(INDEX(Models!$BJ252:$BT252,,T252)*(1-R252)+INDEX(Models!$BJ252:$BT252,,T252+1)*R252-ERP_i)*Q252*Ramure*Pc/MaxiM</f>
        <v>1.8367080767313501E-4</v>
      </c>
      <c r="Q252" s="301">
        <f t="shared" si="80"/>
        <v>0.5</v>
      </c>
      <c r="R252" s="173">
        <f t="shared" si="81"/>
        <v>0.44440751073230955</v>
      </c>
      <c r="S252" s="801">
        <f t="shared" si="82"/>
        <v>1</v>
      </c>
      <c r="T252" s="172">
        <f t="shared" si="83"/>
        <v>7</v>
      </c>
      <c r="U252" s="247">
        <f t="shared" si="84"/>
        <v>1.4444075107323096</v>
      </c>
      <c r="V252" s="378">
        <f t="shared" si="85"/>
        <v>199.99669135440857</v>
      </c>
      <c r="W252" s="397">
        <f t="shared" si="86"/>
        <v>173.86570967492813</v>
      </c>
      <c r="X252" s="153">
        <f t="shared" si="87"/>
        <v>48086</v>
      </c>
      <c r="Y252" s="380">
        <f t="shared" si="88"/>
        <v>169.35075979108564</v>
      </c>
      <c r="Z252" s="380">
        <f t="shared" si="89"/>
        <v>178.05671331591762</v>
      </c>
      <c r="AA252" s="381">
        <f t="shared" si="90"/>
        <v>190.21502471532776</v>
      </c>
      <c r="AB252" s="193">
        <f t="shared" si="91"/>
        <v>48086</v>
      </c>
      <c r="AC252" s="119">
        <f>IF(OR(t&lt;Tnet,NoTnet),'2030'!Resal_s+('2030'!Salim-'2030'!Resal_s)*(1-EXP(('2030'!Tnet_s-t)/'2030'!Tau_j)),Resal_s+(Salim-Resal_s)*(1-EXP((Tnet_s-t)/Tau_j)))*Salcycl</f>
        <v>6.3918775173549186E-2</v>
      </c>
      <c r="AD252" s="227">
        <f>(INDEX(Models!$BJ252:$BT252,,AH252)*(1-AF252)+INDEX(Models!$BJ252:$BT252,,AH252+1)*AF252-ERP_i)*AE252*Ramure*Pc/MaxiM</f>
        <v>7.7641909427315469E-4</v>
      </c>
      <c r="AE252" s="301">
        <f t="shared" si="92"/>
        <v>0.5</v>
      </c>
      <c r="AF252" s="173">
        <f t="shared" si="93"/>
        <v>0.96939507710628803</v>
      </c>
      <c r="AG252" s="801">
        <f t="shared" si="99"/>
        <v>4</v>
      </c>
      <c r="AH252" s="172">
        <f t="shared" si="94"/>
        <v>10</v>
      </c>
      <c r="AI252" s="221">
        <f t="shared" si="95"/>
        <v>4.969395077106288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48087</v>
      </c>
      <c r="B253" s="406">
        <f>'2030'!Wh/'2030'!Env_an*'2031'!Env_an</f>
        <v>190.19419645298564</v>
      </c>
      <c r="C253" s="831"/>
      <c r="D253" s="388">
        <f t="shared" si="77"/>
        <v>199.97440311785479</v>
      </c>
      <c r="E253" s="380">
        <f t="shared" si="100"/>
        <v>208.19202845572488</v>
      </c>
      <c r="F253" s="380">
        <f t="shared" si="78"/>
        <v>208.22741603100638</v>
      </c>
      <c r="G253" s="110">
        <f t="shared" si="101"/>
        <v>0.95489786657956499</v>
      </c>
      <c r="H253" s="409" t="b">
        <f>Wh_hp&gt;='2030'!Maxi_hp</f>
        <v>0</v>
      </c>
      <c r="I253" s="385">
        <f>IF(H253,Wh_hp,'2030'!Maxi_hp)</f>
        <v>208.229123650536</v>
      </c>
      <c r="J253" s="85">
        <f>IF(H253,An,'2030'!An_max)</f>
        <v>2029</v>
      </c>
      <c r="K253" s="193">
        <f t="shared" si="79"/>
        <v>48087</v>
      </c>
      <c r="L253" s="143">
        <f>IF(t&lt;Tvie,1-EXP((T0-t)*PertePVj)+'2030'!Pspv,1-EXP((T0-t)*PertePVj)+Pspv)</f>
        <v>4.8907292695381632E-2</v>
      </c>
      <c r="M253" s="835"/>
      <c r="N253" s="835"/>
      <c r="O253" s="48">
        <f>IF(t&lt;Tnet,'2030'!Resal+('2030'!Salim-'2030'!Resal)*(1-EXP(('2030'!Tnet-t)/('2030'!Tau_j))),Resal+(Salim-Resal)*(1-EXP((Tnet-t)/(Tau_j))))*Salcycl</f>
        <v>3.9471373610338277E-2</v>
      </c>
      <c r="P253" s="165">
        <f>(INDEX(Models!$BJ253:$BT253,,T253)*(1-R253)+INDEX(Models!$BJ253:$BT253,,T253+1)*R253-ERP_i)*Q253*Ramure*Pc/MaxiM</f>
        <v>1.8164771955304102E-4</v>
      </c>
      <c r="Q253" s="301">
        <f t="shared" si="80"/>
        <v>0.5</v>
      </c>
      <c r="R253" s="173">
        <f t="shared" si="81"/>
        <v>0.44519296756755677</v>
      </c>
      <c r="S253" s="801">
        <f t="shared" si="82"/>
        <v>1</v>
      </c>
      <c r="T253" s="172">
        <f t="shared" si="83"/>
        <v>7</v>
      </c>
      <c r="U253" s="247">
        <f t="shared" si="84"/>
        <v>1.4451929675675568</v>
      </c>
      <c r="V253" s="378">
        <f t="shared" si="85"/>
        <v>199.17519692646485</v>
      </c>
      <c r="W253" s="397">
        <f t="shared" si="86"/>
        <v>190.19419645298564</v>
      </c>
      <c r="X253" s="153">
        <f t="shared" si="87"/>
        <v>48087</v>
      </c>
      <c r="Y253" s="380">
        <f t="shared" si="88"/>
        <v>185.24887131151795</v>
      </c>
      <c r="Z253" s="380">
        <f t="shared" si="89"/>
        <v>194.77477840883705</v>
      </c>
      <c r="AA253" s="381">
        <f t="shared" si="90"/>
        <v>208.07834623366213</v>
      </c>
      <c r="AB253" s="193">
        <f t="shared" si="91"/>
        <v>48087</v>
      </c>
      <c r="AC253" s="119">
        <f>IF(OR(t&lt;Tnet,NoTnet),'2030'!Resal_s+('2030'!Salim-'2030'!Resal_s)*(1-EXP(('2030'!Tnet_s-t)/'2030'!Tau_j)),Resal_s+(Salim-Resal_s)*(1-EXP((Tnet_s-t)/Tau_j)))*Salcycl</f>
        <v>6.3935378503469101E-2</v>
      </c>
      <c r="AD253" s="227">
        <f>(INDEX(Models!$BJ253:$BT253,,AH253)*(1-AF253)+INDEX(Models!$BJ253:$BT253,,AH253+1)*AF253-ERP_i)*AE253*Ramure*Pc/MaxiM</f>
        <v>7.6518915258870122E-4</v>
      </c>
      <c r="AE253" s="301">
        <f t="shared" si="92"/>
        <v>0.5</v>
      </c>
      <c r="AF253" s="173">
        <f t="shared" si="93"/>
        <v>0.97018053394153458</v>
      </c>
      <c r="AG253" s="801">
        <f t="shared" si="99"/>
        <v>4</v>
      </c>
      <c r="AH253" s="172">
        <f t="shared" si="94"/>
        <v>10</v>
      </c>
      <c r="AI253" s="221">
        <f t="shared" si="95"/>
        <v>4.9701805339415346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48088</v>
      </c>
      <c r="B254" s="406">
        <f>'2030'!Wh/'2030'!Env_an*'2031'!Env_an</f>
        <v>187.30747306542855</v>
      </c>
      <c r="C254" s="831"/>
      <c r="D254" s="388">
        <f t="shared" si="77"/>
        <v>196.94193399229758</v>
      </c>
      <c r="E254" s="380">
        <f t="shared" si="100"/>
        <v>205.04460083621126</v>
      </c>
      <c r="F254" s="380">
        <f t="shared" si="78"/>
        <v>205.07846593825749</v>
      </c>
      <c r="G254" s="110">
        <f t="shared" si="101"/>
        <v>0.94435154881794969</v>
      </c>
      <c r="H254" s="409" t="b">
        <f>Wh_hp&gt;='2030'!Maxi_hp</f>
        <v>0</v>
      </c>
      <c r="I254" s="385">
        <f>IF(H254,Wh_hp,'2030'!Maxi_hp)</f>
        <v>205.08051372704736</v>
      </c>
      <c r="J254" s="85">
        <f>IF(H254,An,'2030'!An_max)</f>
        <v>2029</v>
      </c>
      <c r="K254" s="193">
        <f t="shared" si="79"/>
        <v>48088</v>
      </c>
      <c r="L254" s="143">
        <f>IF(t&lt;Tvie,1-EXP((T0-t)*PertePVj)+'2030'!Pspv,1-EXP((T0-t)*PertePVj)+Pspv)</f>
        <v>4.8920312355853257E-2</v>
      </c>
      <c r="M254" s="835"/>
      <c r="N254" s="835"/>
      <c r="O254" s="48">
        <f>IF(t&lt;Tnet,'2030'!Resal+('2030'!Salim-'2030'!Resal)*(1-EXP(('2030'!Tnet-t)/('2030'!Tau_j))),Resal+(Salim-Resal)*(1-EXP((Tnet-t)/(Tau_j))))*Salcycl</f>
        <v>3.9516606683957782E-2</v>
      </c>
      <c r="P254" s="165">
        <f>(INDEX(Models!$BJ254:$BT254,,T254)*(1-R254)+INDEX(Models!$BJ254:$BT254,,T254+1)*R254-ERP_i)*Q254*Ramure*Pc/MaxiM</f>
        <v>1.793900765927453E-4</v>
      </c>
      <c r="Q254" s="301">
        <f t="shared" si="80"/>
        <v>0.5</v>
      </c>
      <c r="R254" s="173">
        <f t="shared" si="81"/>
        <v>0.44594921802011656</v>
      </c>
      <c r="S254" s="801">
        <f t="shared" si="82"/>
        <v>1</v>
      </c>
      <c r="T254" s="172">
        <f t="shared" si="83"/>
        <v>7</v>
      </c>
      <c r="U254" s="247">
        <f t="shared" si="84"/>
        <v>1.4459492180201166</v>
      </c>
      <c r="V254" s="378">
        <f t="shared" si="85"/>
        <v>198.34224054799461</v>
      </c>
      <c r="W254" s="397">
        <f t="shared" si="86"/>
        <v>187.30747306542855</v>
      </c>
      <c r="X254" s="153">
        <f t="shared" si="87"/>
        <v>48088</v>
      </c>
      <c r="Y254" s="380">
        <f t="shared" si="88"/>
        <v>182.4458447905352</v>
      </c>
      <c r="Z254" s="380">
        <f t="shared" si="89"/>
        <v>191.8302400532379</v>
      </c>
      <c r="AA254" s="381">
        <f t="shared" si="90"/>
        <v>204.93626196313511</v>
      </c>
      <c r="AB254" s="193">
        <f t="shared" si="91"/>
        <v>48088</v>
      </c>
      <c r="AC254" s="119">
        <f>IF(OR(t&lt;Tnet,NoTnet),'2030'!Resal_s+('2030'!Salim-'2030'!Resal_s)*(1-EXP(('2030'!Tnet_s-t)/'2030'!Tau_j)),Resal_s+(Salim-Resal_s)*(1-EXP((Tnet_s-t)/Tau_j)))*Salcycl</f>
        <v>6.3951697880850353E-2</v>
      </c>
      <c r="AD254" s="227">
        <f>(INDEX(Models!$BJ254:$BT254,,AH254)*(1-AF254)+INDEX(Models!$BJ254:$BT254,,AH254+1)*AF254-ERP_i)*AE254*Ramure*Pc/MaxiM</f>
        <v>7.5328230088217635E-4</v>
      </c>
      <c r="AE254" s="301">
        <f t="shared" si="92"/>
        <v>0.5</v>
      </c>
      <c r="AF254" s="173">
        <f t="shared" si="93"/>
        <v>0.97093678439409459</v>
      </c>
      <c r="AG254" s="801">
        <f t="shared" si="99"/>
        <v>4</v>
      </c>
      <c r="AH254" s="172">
        <f t="shared" si="94"/>
        <v>10</v>
      </c>
      <c r="AI254" s="221">
        <f t="shared" si="95"/>
        <v>4.9709367843940946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48089</v>
      </c>
      <c r="B255" s="406">
        <f>'2030'!Wh/'2030'!Env_an*'2031'!Env_an</f>
        <v>126.08952508071962</v>
      </c>
      <c r="C255" s="831"/>
      <c r="D255" s="388">
        <f t="shared" si="77"/>
        <v>132.57695732772225</v>
      </c>
      <c r="E255" s="380">
        <f t="shared" si="100"/>
        <v>138.03796178403306</v>
      </c>
      <c r="F255" s="380">
        <f t="shared" si="78"/>
        <v>138.04978216422552</v>
      </c>
      <c r="G255" s="110">
        <f t="shared" si="101"/>
        <v>0.63837673021717312</v>
      </c>
      <c r="H255" s="409" t="b">
        <f>Wh_hp&gt;='2030'!Maxi_hp</f>
        <v>0</v>
      </c>
      <c r="I255" s="385">
        <f>IF(H255,Wh_hp,'2030'!Maxi_hp)</f>
        <v>138.05862062184124</v>
      </c>
      <c r="J255" s="85">
        <f>IF(H255,An,'2030'!An_max)</f>
        <v>2029</v>
      </c>
      <c r="K255" s="193">
        <f t="shared" si="79"/>
        <v>48089</v>
      </c>
      <c r="L255" s="143">
        <f>IF(t&lt;Tvie,1-EXP((T0-t)*PertePVj)+'2030'!Pspv,1-EXP((T0-t)*PertePVj)+Pspv)</f>
        <v>4.8933331838096783E-2</v>
      </c>
      <c r="M255" s="835"/>
      <c r="N255" s="835"/>
      <c r="O255" s="48">
        <f>IF(t&lt;Tnet,'2030'!Resal+('2030'!Salim-'2030'!Resal)*(1-EXP(('2030'!Tnet-t)/('2030'!Tau_j))),Resal+(Salim-Resal)*(1-EXP((Tnet-t)/(Tau_j))))*Salcycl</f>
        <v>3.956161323835538E-2</v>
      </c>
      <c r="P255" s="165">
        <f>(INDEX(Models!$BJ255:$BT255,,T255)*(1-R255)+INDEX(Models!$BJ255:$BT255,,T255+1)*R255-ERP_i)*Q255*Ramure*Pc/MaxiM</f>
        <v>1.7709989931709628E-4</v>
      </c>
      <c r="Q255" s="301">
        <f t="shared" si="80"/>
        <v>0.5</v>
      </c>
      <c r="R255" s="173">
        <f t="shared" si="81"/>
        <v>0.44667725772241118</v>
      </c>
      <c r="S255" s="801">
        <f t="shared" si="82"/>
        <v>1</v>
      </c>
      <c r="T255" s="172">
        <f t="shared" si="83"/>
        <v>7</v>
      </c>
      <c r="U255" s="247">
        <f t="shared" si="84"/>
        <v>1.4466772577224112</v>
      </c>
      <c r="V255" s="378">
        <f t="shared" si="85"/>
        <v>197.49778458027083</v>
      </c>
      <c r="W255" s="397">
        <f t="shared" si="86"/>
        <v>126.08952508071962</v>
      </c>
      <c r="X255" s="153">
        <f t="shared" si="87"/>
        <v>48089</v>
      </c>
      <c r="Y255" s="380">
        <f t="shared" si="88"/>
        <v>122.85186023074533</v>
      </c>
      <c r="Z255" s="380">
        <f t="shared" si="89"/>
        <v>129.1727113811877</v>
      </c>
      <c r="AA255" s="381">
        <f t="shared" si="90"/>
        <v>138.00027473832597</v>
      </c>
      <c r="AB255" s="193">
        <f t="shared" si="91"/>
        <v>48089</v>
      </c>
      <c r="AC255" s="119">
        <f>IF(OR(t&lt;Tnet,NoTnet),'2030'!Resal_s+('2030'!Salim-'2030'!Resal_s)*(1-EXP(('2030'!Tnet_s-t)/'2030'!Tau_j)),Resal_s+(Salim-Resal_s)*(1-EXP((Tnet_s-t)/Tau_j)))*Salcycl</f>
        <v>6.3967723063428406E-2</v>
      </c>
      <c r="AD255" s="227">
        <f>(INDEX(Models!$BJ255:$BT255,,AH255)*(1-AF255)+INDEX(Models!$BJ255:$BT255,,AH255+1)*AF255-ERP_i)*AE255*Ramure*Pc/MaxiM</f>
        <v>7.417494191815085E-4</v>
      </c>
      <c r="AE255" s="301">
        <f t="shared" si="92"/>
        <v>0.5</v>
      </c>
      <c r="AF255" s="173">
        <f t="shared" si="93"/>
        <v>0.97166482409638899</v>
      </c>
      <c r="AG255" s="801">
        <f t="shared" si="99"/>
        <v>4</v>
      </c>
      <c r="AH255" s="172">
        <f t="shared" si="94"/>
        <v>10</v>
      </c>
      <c r="AI255" s="221">
        <f t="shared" si="95"/>
        <v>4.971664824096389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48090</v>
      </c>
      <c r="B256" s="406">
        <f>'2030'!Wh/'2030'!Env_an*'2031'!Env_an</f>
        <v>187.23054052780682</v>
      </c>
      <c r="C256" s="831"/>
      <c r="D256" s="388">
        <f t="shared" si="77"/>
        <v>196.86643414138712</v>
      </c>
      <c r="E256" s="380">
        <f t="shared" si="100"/>
        <v>204.98515539700242</v>
      </c>
      <c r="F256" s="380">
        <f t="shared" si="78"/>
        <v>205.01853797339734</v>
      </c>
      <c r="G256" s="110">
        <f t="shared" si="101"/>
        <v>0.95212855281587683</v>
      </c>
      <c r="H256" s="409" t="b">
        <f>Wh_hp&gt;='2030'!Maxi_hp</f>
        <v>0</v>
      </c>
      <c r="I256" s="385">
        <f>IF(H256,Wh_hp,'2030'!Maxi_hp)</f>
        <v>205.02025180731076</v>
      </c>
      <c r="J256" s="85">
        <f>IF(H256,An,'2030'!An_max)</f>
        <v>2029</v>
      </c>
      <c r="K256" s="193">
        <f t="shared" si="79"/>
        <v>48090</v>
      </c>
      <c r="L256" s="143">
        <f>IF(t&lt;Tvie,1-EXP((T0-t)*PertePVj)+'2030'!Pspv,1-EXP((T0-t)*PertePVj)+Pspv)</f>
        <v>4.8946351142114541E-2</v>
      </c>
      <c r="M256" s="835"/>
      <c r="N256" s="835"/>
      <c r="O256" s="48">
        <f>IF(t&lt;Tnet,'2030'!Resal+('2030'!Salim-'2030'!Resal)*(1-EXP(('2030'!Tnet-t)/('2030'!Tau_j))),Resal+(Salim-Resal)*(1-EXP((Tnet-t)/(Tau_j))))*Salcycl</f>
        <v>3.9606386325348672E-2</v>
      </c>
      <c r="P256" s="165">
        <f>(INDEX(Models!$BJ256:$BT256,,T256)*(1-R256)+INDEX(Models!$BJ256:$BT256,,T256+1)*R256-ERP_i)*Q256*Ramure*Pc/MaxiM</f>
        <v>1.7477687310279419E-4</v>
      </c>
      <c r="Q256" s="301">
        <f t="shared" si="80"/>
        <v>0.5</v>
      </c>
      <c r="R256" s="173">
        <f t="shared" si="81"/>
        <v>0.44737805528358598</v>
      </c>
      <c r="S256" s="801">
        <f t="shared" si="82"/>
        <v>1</v>
      </c>
      <c r="T256" s="172">
        <f t="shared" si="83"/>
        <v>7</v>
      </c>
      <c r="U256" s="247">
        <f t="shared" si="84"/>
        <v>1.447378055283586</v>
      </c>
      <c r="V256" s="378">
        <f t="shared" si="85"/>
        <v>196.64183187180925</v>
      </c>
      <c r="W256" s="397">
        <f t="shared" si="86"/>
        <v>187.23054052780682</v>
      </c>
      <c r="X256" s="153">
        <f t="shared" si="87"/>
        <v>48090</v>
      </c>
      <c r="Y256" s="380">
        <f t="shared" si="88"/>
        <v>182.38368215854359</v>
      </c>
      <c r="Z256" s="380">
        <f t="shared" si="89"/>
        <v>191.77013029450762</v>
      </c>
      <c r="AA256" s="381">
        <f t="shared" si="90"/>
        <v>204.87899380892145</v>
      </c>
      <c r="AB256" s="193">
        <f t="shared" si="91"/>
        <v>48090</v>
      </c>
      <c r="AC256" s="119">
        <f>IF(OR(t&lt;Tnet,NoTnet),'2030'!Resal_s+('2030'!Salim-'2030'!Resal_s)*(1-EXP(('2030'!Tnet_s-t)/'2030'!Tau_j)),Resal_s+(Salim-Resal_s)*(1-EXP((Tnet_s-t)/Tau_j)))*Salcycl</f>
        <v>6.39834434497452E-2</v>
      </c>
      <c r="AD256" s="227">
        <f>(INDEX(Models!$BJ256:$BT256,,AH256)*(1-AF256)+INDEX(Models!$BJ256:$BT256,,AH256+1)*AF256-ERP_i)*AE256*Ramure*Pc/MaxiM</f>
        <v>7.3059348200971088E-4</v>
      </c>
      <c r="AE256" s="301">
        <f t="shared" si="92"/>
        <v>0.5</v>
      </c>
      <c r="AF256" s="173">
        <f t="shared" si="93"/>
        <v>0.97236562165756357</v>
      </c>
      <c r="AG256" s="801">
        <f t="shared" si="99"/>
        <v>4</v>
      </c>
      <c r="AH256" s="172">
        <f t="shared" si="94"/>
        <v>10</v>
      </c>
      <c r="AI256" s="221">
        <f t="shared" si="95"/>
        <v>4.9723656216575636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48091</v>
      </c>
      <c r="B257" s="406">
        <f>'2030'!Wh/'2030'!Env_an*'2031'!Env_an</f>
        <v>83.292796352241837</v>
      </c>
      <c r="C257" s="831"/>
      <c r="D257" s="388">
        <f t="shared" si="77"/>
        <v>87.58069187402171</v>
      </c>
      <c r="E257" s="380">
        <f t="shared" si="100"/>
        <v>91.196725839522628</v>
      </c>
      <c r="F257" s="380">
        <f t="shared" si="78"/>
        <v>91.199543994771091</v>
      </c>
      <c r="G257" s="110">
        <f t="shared" si="101"/>
        <v>0.42539277189461272</v>
      </c>
      <c r="H257" s="409" t="b">
        <f>Wh_hp&gt;='2030'!Maxi_hp</f>
        <v>0</v>
      </c>
      <c r="I257" s="385">
        <f>IF(H257,Wh_hp,'2030'!Maxi_hp)</f>
        <v>91.208568570550895</v>
      </c>
      <c r="J257" s="85">
        <f>IF(H257,An,'2030'!An_max)</f>
        <v>2029</v>
      </c>
      <c r="K257" s="193">
        <f t="shared" si="79"/>
        <v>48091</v>
      </c>
      <c r="L257" s="143">
        <f>IF(t&lt;Tvie,1-EXP((T0-t)*PertePVj)+'2030'!Pspv,1-EXP((T0-t)*PertePVj)+Pspv)</f>
        <v>4.8959370267908975E-2</v>
      </c>
      <c r="M257" s="835"/>
      <c r="N257" s="835"/>
      <c r="O257" s="48">
        <f>IF(t&lt;Tnet,'2030'!Resal+('2030'!Salim-'2030'!Resal)*(1-EXP(('2030'!Tnet-t)/('2030'!Tau_j))),Resal+(Salim-Resal)*(1-EXP((Tnet-t)/(Tau_j))))*Salcycl</f>
        <v>3.9650918738727461E-2</v>
      </c>
      <c r="P257" s="165">
        <f>(INDEX(Models!$BJ257:$BT257,,T257)*(1-R257)+INDEX(Models!$BJ257:$BT257,,T257+1)*R257-ERP_i)*Q257*Ramure*Pc/MaxiM</f>
        <v>1.7242065575174336E-4</v>
      </c>
      <c r="Q257" s="301">
        <f t="shared" si="80"/>
        <v>0.5</v>
      </c>
      <c r="R257" s="173">
        <f t="shared" si="81"/>
        <v>0.44805255247328613</v>
      </c>
      <c r="S257" s="801">
        <f t="shared" si="82"/>
        <v>1</v>
      </c>
      <c r="T257" s="172">
        <f t="shared" si="83"/>
        <v>7</v>
      </c>
      <c r="U257" s="247">
        <f t="shared" si="84"/>
        <v>1.4480525524732861</v>
      </c>
      <c r="V257" s="378">
        <f t="shared" si="85"/>
        <v>195.77438527575563</v>
      </c>
      <c r="W257" s="397">
        <f t="shared" si="86"/>
        <v>83.292796352241837</v>
      </c>
      <c r="X257" s="153">
        <f t="shared" si="87"/>
        <v>48091</v>
      </c>
      <c r="Y257" s="380">
        <f t="shared" si="88"/>
        <v>81.173092415062953</v>
      </c>
      <c r="Z257" s="380">
        <f t="shared" si="89"/>
        <v>85.351866026932498</v>
      </c>
      <c r="AA257" s="381">
        <f t="shared" si="90"/>
        <v>91.187778828855954</v>
      </c>
      <c r="AB257" s="193">
        <f t="shared" si="91"/>
        <v>48091</v>
      </c>
      <c r="AC257" s="119">
        <f>IF(OR(t&lt;Tnet,NoTnet),'2030'!Resal_s+('2030'!Salim-'2030'!Resal_s)*(1-EXP(('2030'!Tnet_s-t)/'2030'!Tau_j)),Resal_s+(Salim-Resal_s)*(1-EXP((Tnet_s-t)/Tau_j)))*Salcycl</f>
        <v>6.3998848057001956E-2</v>
      </c>
      <c r="AD257" s="227">
        <f>(INDEX(Models!$BJ257:$BT257,,AH257)*(1-AF257)+INDEX(Models!$BJ257:$BT257,,AH257+1)*AF257-ERP_i)*AE257*Ramure*Pc/MaxiM</f>
        <v>7.1981755555186784E-4</v>
      </c>
      <c r="AE257" s="301">
        <f t="shared" si="92"/>
        <v>0.5</v>
      </c>
      <c r="AF257" s="173">
        <f t="shared" si="93"/>
        <v>0.97304011884726371</v>
      </c>
      <c r="AG257" s="801">
        <f t="shared" si="99"/>
        <v>4</v>
      </c>
      <c r="AH257" s="172">
        <f t="shared" si="94"/>
        <v>10</v>
      </c>
      <c r="AI257" s="221">
        <f t="shared" si="95"/>
        <v>4.9730401188472637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48092</v>
      </c>
      <c r="B258" s="406">
        <f>'2030'!Wh/'2030'!Env_an*'2031'!Env_an</f>
        <v>165.66279296789511</v>
      </c>
      <c r="C258" s="831"/>
      <c r="D258" s="388">
        <f t="shared" si="77"/>
        <v>174.19346303861491</v>
      </c>
      <c r="E258" s="380">
        <f t="shared" si="100"/>
        <v>181.39393199151473</v>
      </c>
      <c r="F258" s="380">
        <f t="shared" si="78"/>
        <v>181.41816905282346</v>
      </c>
      <c r="G258" s="110">
        <f t="shared" si="101"/>
        <v>0.8499775573658942</v>
      </c>
      <c r="H258" s="409" t="b">
        <f>Wh_hp&gt;='2030'!Maxi_hp</f>
        <v>0</v>
      </c>
      <c r="I258" s="385">
        <f>IF(H258,Wh_hp,'2030'!Maxi_hp)</f>
        <v>181.42278939640917</v>
      </c>
      <c r="J258" s="85">
        <f>IF(H258,An,'2030'!An_max)</f>
        <v>2029</v>
      </c>
      <c r="K258" s="193">
        <f t="shared" si="79"/>
        <v>48092</v>
      </c>
      <c r="L258" s="143">
        <f>IF(t&lt;Tvie,1-EXP((T0-t)*PertePVj)+'2030'!Pspv,1-EXP((T0-t)*PertePVj)+Pspv)</f>
        <v>4.8972389215482415E-2</v>
      </c>
      <c r="M258" s="835"/>
      <c r="N258" s="835"/>
      <c r="O258" s="48">
        <f>IF(t&lt;Tnet,'2030'!Resal+('2030'!Salim-'2030'!Resal)*(1-EXP(('2030'!Tnet-t)/('2030'!Tau_j))),Resal+(Salim-Resal)*(1-EXP((Tnet-t)/(Tau_j))))*Salcycl</f>
        <v>3.9695202997400411E-2</v>
      </c>
      <c r="P258" s="165">
        <f>(INDEX(Models!$BJ258:$BT258,,T258)*(1-R258)+INDEX(Models!$BJ258:$BT258,,T258+1)*R258-ERP_i)*Q258*Ramure*Pc/MaxiM</f>
        <v>1.700308778186344E-4</v>
      </c>
      <c r="Q258" s="301">
        <f t="shared" si="80"/>
        <v>0.5</v>
      </c>
      <c r="R258" s="173">
        <f t="shared" si="81"/>
        <v>0.44870166445590765</v>
      </c>
      <c r="S258" s="801">
        <f t="shared" si="82"/>
        <v>1</v>
      </c>
      <c r="T258" s="172">
        <f t="shared" si="83"/>
        <v>7</v>
      </c>
      <c r="U258" s="247">
        <f t="shared" si="84"/>
        <v>1.4487016644559076</v>
      </c>
      <c r="V258" s="378">
        <f t="shared" si="85"/>
        <v>194.89544766692185</v>
      </c>
      <c r="W258" s="397">
        <f t="shared" si="86"/>
        <v>165.66279296789511</v>
      </c>
      <c r="X258" s="153">
        <f t="shared" si="87"/>
        <v>48092</v>
      </c>
      <c r="Y258" s="380">
        <f t="shared" si="88"/>
        <v>161.39911295037268</v>
      </c>
      <c r="Z258" s="380">
        <f t="shared" si="89"/>
        <v>169.71022830476187</v>
      </c>
      <c r="AA258" s="381">
        <f t="shared" si="90"/>
        <v>181.31704405387305</v>
      </c>
      <c r="AB258" s="193">
        <f t="shared" si="91"/>
        <v>48092</v>
      </c>
      <c r="AC258" s="119">
        <f>IF(OR(t&lt;Tnet,NoTnet),'2030'!Resal_s+('2030'!Salim-'2030'!Resal_s)*(1-EXP(('2030'!Tnet_s-t)/'2030'!Tau_j)),Resal_s+(Salim-Resal_s)*(1-EXP((Tnet_s-t)/Tau_j)))*Salcycl</f>
        <v>6.4013925495402163E-2</v>
      </c>
      <c r="AD258" s="227">
        <f>(INDEX(Models!$BJ258:$BT258,,AH258)*(1-AF258)+INDEX(Models!$BJ258:$BT258,,AH258+1)*AF258-ERP_i)*AE258*Ramure*Pc/MaxiM</f>
        <v>7.0942479873848546E-4</v>
      </c>
      <c r="AE258" s="301">
        <f t="shared" si="92"/>
        <v>0.5</v>
      </c>
      <c r="AF258" s="173">
        <f t="shared" si="93"/>
        <v>0.97368923082988523</v>
      </c>
      <c r="AG258" s="801">
        <f t="shared" si="99"/>
        <v>4</v>
      </c>
      <c r="AH258" s="172">
        <f t="shared" si="94"/>
        <v>10</v>
      </c>
      <c r="AI258" s="221">
        <f t="shared" si="95"/>
        <v>4.9736892308298852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48093</v>
      </c>
      <c r="B259" s="406">
        <f>'2030'!Wh/'2030'!Env_an*'2031'!Env_an</f>
        <v>163.29156964623942</v>
      </c>
      <c r="C259" s="831"/>
      <c r="D259" s="388">
        <f t="shared" si="77"/>
        <v>171.70248597367049</v>
      </c>
      <c r="E259" s="380">
        <f t="shared" si="100"/>
        <v>178.80818583363882</v>
      </c>
      <c r="F259" s="380">
        <f t="shared" si="78"/>
        <v>178.83138043392452</v>
      </c>
      <c r="G259" s="110">
        <f t="shared" si="101"/>
        <v>0.84165542446639319</v>
      </c>
      <c r="H259" s="409" t="b">
        <f>Wh_hp&gt;='2030'!Maxi_hp</f>
        <v>0</v>
      </c>
      <c r="I259" s="385">
        <f>IF(H259,Wh_hp,'2030'!Maxi_hp)</f>
        <v>178.83611813422939</v>
      </c>
      <c r="J259" s="85">
        <f>IF(H259,An,'2030'!An_max)</f>
        <v>2029</v>
      </c>
      <c r="K259" s="193">
        <f t="shared" si="79"/>
        <v>48093</v>
      </c>
      <c r="L259" s="143">
        <f>IF(t&lt;Tvie,1-EXP((T0-t)*PertePVj)+'2030'!Pspv,1-EXP((T0-t)*PertePVj)+Pspv)</f>
        <v>4.8985407984837415E-2</v>
      </c>
      <c r="M259" s="835"/>
      <c r="N259" s="835"/>
      <c r="O259" s="48">
        <f>IF(t&lt;Tnet,'2030'!Resal+('2030'!Salim-'2030'!Resal)*(1-EXP(('2030'!Tnet-t)/('2030'!Tau_j))),Resal+(Salim-Resal)*(1-EXP((Tnet-t)/(Tau_j))))*Salcycl</f>
        <v>3.9739231326799504E-2</v>
      </c>
      <c r="P259" s="165">
        <f>(INDEX(Models!$BJ259:$BT259,,T259)*(1-R259)+INDEX(Models!$BJ259:$BT259,,T259+1)*R259-ERP_i)*Q259*Ramure*Pc/MaxiM</f>
        <v>1.6760714294885581E-4</v>
      </c>
      <c r="Q259" s="301">
        <f t="shared" si="80"/>
        <v>0.5</v>
      </c>
      <c r="R259" s="173">
        <f t="shared" si="81"/>
        <v>0.44932628007011433</v>
      </c>
      <c r="S259" s="801">
        <f t="shared" si="82"/>
        <v>1</v>
      </c>
      <c r="T259" s="172">
        <f t="shared" si="83"/>
        <v>7</v>
      </c>
      <c r="U259" s="247">
        <f t="shared" si="84"/>
        <v>1.4493262800701143</v>
      </c>
      <c r="V259" s="378">
        <f t="shared" si="85"/>
        <v>194.00502193093649</v>
      </c>
      <c r="W259" s="397">
        <f t="shared" si="86"/>
        <v>163.29156964623942</v>
      </c>
      <c r="X259" s="153">
        <f t="shared" si="87"/>
        <v>48093</v>
      </c>
      <c r="Y259" s="380">
        <f t="shared" si="88"/>
        <v>159.09566210341552</v>
      </c>
      <c r="Z259" s="380">
        <f t="shared" si="89"/>
        <v>167.29045320566328</v>
      </c>
      <c r="AA259" s="381">
        <f t="shared" si="90"/>
        <v>178.73459021709411</v>
      </c>
      <c r="AB259" s="193">
        <f t="shared" si="91"/>
        <v>48093</v>
      </c>
      <c r="AC259" s="119">
        <f>IF(OR(t&lt;Tnet,NoTnet),'2030'!Resal_s+('2030'!Salim-'2030'!Resal_s)*(1-EXP(('2030'!Tnet_s-t)/'2030'!Tau_j)),Resal_s+(Salim-Resal_s)*(1-EXP((Tnet_s-t)/Tau_j)))*Salcycl</f>
        <v>6.4028663939814739E-2</v>
      </c>
      <c r="AD259" s="227">
        <f>(INDEX(Models!$BJ259:$BT259,,AH259)*(1-AF259)+INDEX(Models!$BJ259:$BT259,,AH259+1)*AF259-ERP_i)*AE259*Ramure*Pc/MaxiM</f>
        <v>6.9941846414818965E-4</v>
      </c>
      <c r="AE259" s="301">
        <f t="shared" si="92"/>
        <v>0.5</v>
      </c>
      <c r="AF259" s="173">
        <f t="shared" si="93"/>
        <v>0.97431384644409214</v>
      </c>
      <c r="AG259" s="801">
        <f t="shared" si="99"/>
        <v>4</v>
      </c>
      <c r="AH259" s="172">
        <f t="shared" si="94"/>
        <v>10</v>
      </c>
      <c r="AI259" s="221">
        <f t="shared" si="95"/>
        <v>4.9743138464440921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48094</v>
      </c>
      <c r="B260" s="406">
        <f>'2030'!Wh/'2030'!Env_an*'2031'!Env_an</f>
        <v>127.55266215098675</v>
      </c>
      <c r="C260" s="831"/>
      <c r="D260" s="388">
        <f t="shared" si="77"/>
        <v>134.12455427570021</v>
      </c>
      <c r="E260" s="380">
        <f t="shared" si="100"/>
        <v>139.68150289628431</v>
      </c>
      <c r="F260" s="380">
        <f t="shared" si="78"/>
        <v>139.69338543828491</v>
      </c>
      <c r="G260" s="110">
        <f t="shared" si="101"/>
        <v>0.66048882005313247</v>
      </c>
      <c r="H260" s="409" t="b">
        <f>Wh_hp&gt;='2030'!Maxi_hp</f>
        <v>0</v>
      </c>
      <c r="I260" s="385">
        <f>IF(H260,Wh_hp,'2030'!Maxi_hp)</f>
        <v>139.70120384469499</v>
      </c>
      <c r="J260" s="85">
        <f>IF(H260,An,'2030'!An_max)</f>
        <v>2029</v>
      </c>
      <c r="K260" s="193">
        <f t="shared" si="79"/>
        <v>48094</v>
      </c>
      <c r="L260" s="143">
        <f>IF(t&lt;Tvie,1-EXP((T0-t)*PertePVj)+'2030'!Pspv,1-EXP((T0-t)*PertePVj)+Pspv)</f>
        <v>4.8998426575976417E-2</v>
      </c>
      <c r="M260" s="835"/>
      <c r="N260" s="835"/>
      <c r="O260" s="48">
        <f>IF(t&lt;Tnet,'2030'!Resal+('2030'!Salim-'2030'!Resal)*(1-EXP(('2030'!Tnet-t)/('2030'!Tau_j))),Resal+(Salim-Resal)*(1-EXP((Tnet-t)/(Tau_j))))*Salcycl</f>
        <v>3.9782995639087708E-2</v>
      </c>
      <c r="P260" s="165">
        <f>(INDEX(Models!$BJ260:$BT260,,T260)*(1-R260)+INDEX(Models!$BJ260:$BT260,,T260+1)*R260-ERP_i)*Q260*Ramure*Pc/MaxiM</f>
        <v>1.6514902820967945E-4</v>
      </c>
      <c r="Q260" s="301">
        <f t="shared" si="80"/>
        <v>0.5</v>
      </c>
      <c r="R260" s="173">
        <f t="shared" si="81"/>
        <v>0.44992726214873979</v>
      </c>
      <c r="S260" s="801">
        <f t="shared" si="82"/>
        <v>1</v>
      </c>
      <c r="T260" s="172">
        <f t="shared" si="83"/>
        <v>7</v>
      </c>
      <c r="U260" s="247">
        <f t="shared" si="84"/>
        <v>1.4499272621487398</v>
      </c>
      <c r="V260" s="378">
        <f t="shared" si="85"/>
        <v>193.10311097505985</v>
      </c>
      <c r="W260" s="397">
        <f t="shared" si="86"/>
        <v>127.55266215098675</v>
      </c>
      <c r="X260" s="153">
        <f t="shared" si="87"/>
        <v>48094</v>
      </c>
      <c r="Y260" s="380">
        <f t="shared" si="88"/>
        <v>124.29642093230946</v>
      </c>
      <c r="Z260" s="380">
        <f t="shared" si="89"/>
        <v>130.70054183484442</v>
      </c>
      <c r="AA260" s="381">
        <f t="shared" si="90"/>
        <v>139.64375390171924</v>
      </c>
      <c r="AB260" s="193">
        <f t="shared" si="91"/>
        <v>48094</v>
      </c>
      <c r="AC260" s="119">
        <f>IF(OR(t&lt;Tnet,NoTnet),'2030'!Resal_s+('2030'!Salim-'2030'!Resal_s)*(1-EXP(('2030'!Tnet_s-t)/'2030'!Tau_j)),Resal_s+(Salim-Resal_s)*(1-EXP((Tnet_s-t)/Tau_j)))*Salcycl</f>
        <v>6.4043051099650458E-2</v>
      </c>
      <c r="AD260" s="227">
        <f>(INDEX(Models!$BJ260:$BT260,,AH260)*(1-AF260)+INDEX(Models!$BJ260:$BT260,,AH260+1)*AF260-ERP_i)*AE260*Ramure*Pc/MaxiM</f>
        <v>6.8980189861413902E-4</v>
      </c>
      <c r="AE260" s="301">
        <f t="shared" si="92"/>
        <v>0.5</v>
      </c>
      <c r="AF260" s="173">
        <f t="shared" si="93"/>
        <v>0.97491482852271805</v>
      </c>
      <c r="AG260" s="801">
        <f t="shared" si="99"/>
        <v>4</v>
      </c>
      <c r="AH260" s="172">
        <f t="shared" si="94"/>
        <v>10</v>
      </c>
      <c r="AI260" s="221">
        <f t="shared" si="95"/>
        <v>4.974914828522718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48095</v>
      </c>
      <c r="B261" s="406">
        <f>'2030'!Wh/'2030'!Env_an*'2031'!Env_an</f>
        <v>179.6771870360437</v>
      </c>
      <c r="C261" s="831"/>
      <c r="D261" s="388">
        <f t="shared" si="77"/>
        <v>188.93727594223975</v>
      </c>
      <c r="E261" s="380">
        <f t="shared" si="100"/>
        <v>196.77409706170062</v>
      </c>
      <c r="F261" s="380">
        <f t="shared" si="78"/>
        <v>196.80313101111994</v>
      </c>
      <c r="G261" s="110">
        <f t="shared" si="101"/>
        <v>0.9348807551727617</v>
      </c>
      <c r="H261" s="409" t="b">
        <f>Wh_hp&gt;='2030'!Maxi_hp</f>
        <v>0</v>
      </c>
      <c r="I261" s="385">
        <f>IF(H261,Wh_hp,'2030'!Maxi_hp)</f>
        <v>196.80521181645327</v>
      </c>
      <c r="J261" s="85">
        <f>IF(H261,An,'2030'!An_max)</f>
        <v>2029</v>
      </c>
      <c r="K261" s="193">
        <f t="shared" si="79"/>
        <v>48095</v>
      </c>
      <c r="L261" s="143">
        <f>IF(t&lt;Tvie,1-EXP((T0-t)*PertePVj)+'2030'!Pspv,1-EXP((T0-t)*PertePVj)+Pspv)</f>
        <v>4.9011444988901864E-2</v>
      </c>
      <c r="M261" s="835"/>
      <c r="N261" s="835"/>
      <c r="O261" s="48">
        <f>IF(t&lt;Tnet,'2030'!Resal+('2030'!Salim-'2030'!Resal)*(1-EXP(('2030'!Tnet-t)/('2030'!Tau_j))),Resal+(Salim-Resal)*(1-EXP((Tnet-t)/(Tau_j))))*Salcycl</f>
        <v>3.982648751275196E-2</v>
      </c>
      <c r="P261" s="165">
        <f>(INDEX(Models!$BJ261:$BT261,,T261)*(1-R261)+INDEX(Models!$BJ261:$BT261,,T261+1)*R261-ERP_i)*Q261*Ramure*Pc/MaxiM</f>
        <v>1.6265608447528496E-4</v>
      </c>
      <c r="Q261" s="301">
        <f t="shared" si="80"/>
        <v>0.5</v>
      </c>
      <c r="R261" s="173">
        <f t="shared" si="81"/>
        <v>0.45050544787450386</v>
      </c>
      <c r="S261" s="801">
        <f t="shared" si="82"/>
        <v>1</v>
      </c>
      <c r="T261" s="172">
        <f t="shared" si="83"/>
        <v>7</v>
      </c>
      <c r="U261" s="247">
        <f t="shared" si="84"/>
        <v>1.4505054478745039</v>
      </c>
      <c r="V261" s="378">
        <f t="shared" si="85"/>
        <v>192.18971772416924</v>
      </c>
      <c r="W261" s="397">
        <f t="shared" si="86"/>
        <v>179.6771870360437</v>
      </c>
      <c r="X261" s="153">
        <f t="shared" si="87"/>
        <v>48095</v>
      </c>
      <c r="Y261" s="380">
        <f t="shared" si="88"/>
        <v>175.06063357162517</v>
      </c>
      <c r="Z261" s="380">
        <f t="shared" si="89"/>
        <v>184.08279747339566</v>
      </c>
      <c r="AA261" s="381">
        <f t="shared" si="90"/>
        <v>196.68164841747182</v>
      </c>
      <c r="AB261" s="193">
        <f t="shared" si="91"/>
        <v>48095</v>
      </c>
      <c r="AC261" s="119">
        <f>IF(OR(t&lt;Tnet,NoTnet),'2030'!Resal_s+('2030'!Salim-'2030'!Resal_s)*(1-EXP(('2030'!Tnet_s-t)/'2030'!Tau_j)),Resal_s+(Salim-Resal_s)*(1-EXP((Tnet_s-t)/Tau_j)))*Salcycl</f>
        <v>6.4057074187898536E-2</v>
      </c>
      <c r="AD261" s="227">
        <f>(INDEX(Models!$BJ261:$BT261,,AH261)*(1-AF261)+INDEX(Models!$BJ261:$BT261,,AH261+1)*AF261-ERP_i)*AE261*Ramure*Pc/MaxiM</f>
        <v>6.8057854373626526E-4</v>
      </c>
      <c r="AE261" s="301">
        <f t="shared" si="92"/>
        <v>0.5</v>
      </c>
      <c r="AF261" s="173">
        <f t="shared" si="93"/>
        <v>0.97549301424848167</v>
      </c>
      <c r="AG261" s="801">
        <f t="shared" si="99"/>
        <v>4</v>
      </c>
      <c r="AH261" s="172">
        <f t="shared" si="94"/>
        <v>10</v>
      </c>
      <c r="AI261" s="221">
        <f t="shared" si="95"/>
        <v>4.9754930142484817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48096</v>
      </c>
      <c r="B262" s="406">
        <f>'2030'!Wh/'2030'!Env_an*'2031'!Env_an</f>
        <v>158.68878321677641</v>
      </c>
      <c r="C262" s="831"/>
      <c r="D262" s="388">
        <f t="shared" si="77"/>
        <v>166.86946938162001</v>
      </c>
      <c r="E262" s="380">
        <f t="shared" si="100"/>
        <v>173.79877404551183</v>
      </c>
      <c r="F262" s="380">
        <f t="shared" si="78"/>
        <v>173.81984336829746</v>
      </c>
      <c r="G262" s="110">
        <f t="shared" si="101"/>
        <v>0.82964858027695532</v>
      </c>
      <c r="H262" s="409" t="b">
        <f>Wh_hp&gt;='2030'!Maxi_hp</f>
        <v>0</v>
      </c>
      <c r="I262" s="385">
        <f>IF(H262,Wh_hp,'2030'!Maxi_hp)</f>
        <v>173.82457901661357</v>
      </c>
      <c r="J262" s="85">
        <f>IF(H262,An,'2030'!An_max)</f>
        <v>2029</v>
      </c>
      <c r="K262" s="193">
        <f t="shared" si="79"/>
        <v>48096</v>
      </c>
      <c r="L262" s="143">
        <f>IF(t&lt;Tvie,1-EXP((T0-t)*PertePVj)+'2030'!Pspv,1-EXP((T0-t)*PertePVj)+Pspv)</f>
        <v>4.9024463223616199E-2</v>
      </c>
      <c r="M262" s="835"/>
      <c r="N262" s="835"/>
      <c r="O262" s="48">
        <f>IF(t&lt;Tnet,'2030'!Resal+('2030'!Salim-'2030'!Resal)*(1-EXP(('2030'!Tnet-t)/('2030'!Tau_j))),Resal+(Salim-Resal)*(1-EXP((Tnet-t)/(Tau_j))))*Salcycl</f>
        <v>3.9869698172193498E-2</v>
      </c>
      <c r="P262" s="165">
        <f>(INDEX(Models!$BJ262:$BT262,,T262)*(1-R262)+INDEX(Models!$BJ262:$BT262,,T262+1)*R262-ERP_i)*Q262*Ramure*Pc/MaxiM</f>
        <v>1.6018982669886283E-4</v>
      </c>
      <c r="Q262" s="301">
        <f t="shared" si="80"/>
        <v>0.5</v>
      </c>
      <c r="R262" s="173">
        <f t="shared" si="81"/>
        <v>0.45106164916727587</v>
      </c>
      <c r="S262" s="801">
        <f t="shared" si="82"/>
        <v>1</v>
      </c>
      <c r="T262" s="172">
        <f t="shared" si="83"/>
        <v>7</v>
      </c>
      <c r="U262" s="247">
        <f t="shared" si="84"/>
        <v>1.4510616491672759</v>
      </c>
      <c r="V262" s="378">
        <f t="shared" si="85"/>
        <v>191.26483326032397</v>
      </c>
      <c r="W262" s="397">
        <f t="shared" si="86"/>
        <v>158.68878321677641</v>
      </c>
      <c r="X262" s="153">
        <f t="shared" si="87"/>
        <v>48096</v>
      </c>
      <c r="Y262" s="380">
        <f t="shared" si="88"/>
        <v>154.62897135771789</v>
      </c>
      <c r="Z262" s="380">
        <f t="shared" si="89"/>
        <v>162.60036707345708</v>
      </c>
      <c r="AA262" s="381">
        <f t="shared" si="90"/>
        <v>173.73146724761142</v>
      </c>
      <c r="AB262" s="193">
        <f t="shared" si="91"/>
        <v>48096</v>
      </c>
      <c r="AC262" s="119">
        <f>IF(OR(t&lt;Tnet,NoTnet),'2030'!Resal_s+('2030'!Salim-'2030'!Resal_s)*(1-EXP(('2030'!Tnet_s-t)/'2030'!Tau_j)),Resal_s+(Salim-Resal_s)*(1-EXP((Tnet_s-t)/Tau_j)))*Salcycl</f>
        <v>6.4070719890310351E-2</v>
      </c>
      <c r="AD262" s="227">
        <f>(INDEX(Models!$BJ262:$BT262,,AH262)*(1-AF262)+INDEX(Models!$BJ262:$BT262,,AH262+1)*AF262-ERP_i)*AE262*Ramure*Pc/MaxiM</f>
        <v>6.7192266220673198E-4</v>
      </c>
      <c r="AE262" s="301">
        <f t="shared" si="92"/>
        <v>0.5</v>
      </c>
      <c r="AF262" s="173">
        <f t="shared" si="93"/>
        <v>0.9760492155412539</v>
      </c>
      <c r="AG262" s="801">
        <f t="shared" si="99"/>
        <v>4</v>
      </c>
      <c r="AH262" s="172">
        <f t="shared" si="94"/>
        <v>10</v>
      </c>
      <c r="AI262" s="221">
        <f t="shared" si="95"/>
        <v>4.9760492155412539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48097</v>
      </c>
      <c r="B263" s="406">
        <f>'2030'!Wh/'2030'!Env_an*'2031'!Env_an</f>
        <v>177.96172637857597</v>
      </c>
      <c r="C263" s="831"/>
      <c r="D263" s="388">
        <f t="shared" si="77"/>
        <v>187.1385284649663</v>
      </c>
      <c r="E263" s="380">
        <f t="shared" si="100"/>
        <v>194.91822522064788</v>
      </c>
      <c r="F263" s="380">
        <f t="shared" si="78"/>
        <v>194.94615206578945</v>
      </c>
      <c r="G263" s="110">
        <f t="shared" si="101"/>
        <v>0.93501069503602863</v>
      </c>
      <c r="H263" s="409" t="b">
        <f>Wh_hp&gt;='2030'!Maxi_hp</f>
        <v>0</v>
      </c>
      <c r="I263" s="385">
        <f>IF(H263,Wh_hp,'2030'!Maxi_hp)</f>
        <v>194.94814982272536</v>
      </c>
      <c r="J263" s="85">
        <f>IF(H263,An,'2030'!An_max)</f>
        <v>2029</v>
      </c>
      <c r="K263" s="193">
        <f t="shared" si="79"/>
        <v>48097</v>
      </c>
      <c r="L263" s="143">
        <f>IF(t&lt;Tvie,1-EXP((T0-t)*PertePVj)+'2030'!Pspv,1-EXP((T0-t)*PertePVj)+Pspv)</f>
        <v>4.9037481280121753E-2</v>
      </c>
      <c r="M263" s="835"/>
      <c r="N263" s="835"/>
      <c r="O263" s="48">
        <f>IF(t&lt;Tnet,'2030'!Resal+('2030'!Salim-'2030'!Resal)*(1-EXP(('2030'!Tnet-t)/('2030'!Tau_j))),Resal+(Salim-Resal)*(1-EXP((Tnet-t)/(Tau_j))))*Salcycl</f>
        <v>3.991261846794953E-2</v>
      </c>
      <c r="P263" s="165">
        <f>(INDEX(Models!$BJ263:$BT263,,T263)*(1-R263)+INDEX(Models!$BJ263:$BT263,,T263+1)*R263-ERP_i)*Q263*Ramure*Pc/MaxiM</f>
        <v>1.5791189129871883E-4</v>
      </c>
      <c r="Q263" s="301">
        <f t="shared" si="80"/>
        <v>0.5</v>
      </c>
      <c r="R263" s="173">
        <f t="shared" si="81"/>
        <v>0.45159665309890751</v>
      </c>
      <c r="S263" s="801">
        <f t="shared" si="82"/>
        <v>1</v>
      </c>
      <c r="T263" s="172">
        <f t="shared" si="83"/>
        <v>7</v>
      </c>
      <c r="U263" s="247">
        <f t="shared" si="84"/>
        <v>1.4515966530989075</v>
      </c>
      <c r="V263" s="378">
        <f t="shared" si="85"/>
        <v>190.32842985917313</v>
      </c>
      <c r="W263" s="397">
        <f t="shared" si="86"/>
        <v>177.96172637857597</v>
      </c>
      <c r="X263" s="153">
        <f t="shared" si="87"/>
        <v>48097</v>
      </c>
      <c r="Y263" s="380">
        <f t="shared" si="88"/>
        <v>173.40167661034545</v>
      </c>
      <c r="Z263" s="380">
        <f t="shared" si="89"/>
        <v>182.34333446050758</v>
      </c>
      <c r="AA263" s="381">
        <f t="shared" si="90"/>
        <v>194.82873405345535</v>
      </c>
      <c r="AB263" s="193">
        <f t="shared" si="91"/>
        <v>48097</v>
      </c>
      <c r="AC263" s="119">
        <f>IF(OR(t&lt;Tnet,NoTnet),'2030'!Resal_s+('2030'!Salim-'2030'!Resal_s)*(1-EXP(('2030'!Tnet_s-t)/'2030'!Tau_j)),Resal_s+(Salim-Resal_s)*(1-EXP((Tnet_s-t)/Tau_j)))*Salcycl</f>
        <v>6.4083974335747293E-2</v>
      </c>
      <c r="AD263" s="227">
        <f>(INDEX(Models!$BJ263:$BT263,,AH263)*(1-AF263)+INDEX(Models!$BJ263:$BT263,,AH263+1)*AF263-ERP_i)*AE263*Ramure*Pc/MaxiM</f>
        <v>6.6393823957651063E-4</v>
      </c>
      <c r="AE263" s="301">
        <f t="shared" si="92"/>
        <v>0.5</v>
      </c>
      <c r="AF263" s="173">
        <f t="shared" si="93"/>
        <v>0.9765842194728851</v>
      </c>
      <c r="AG263" s="801">
        <f t="shared" si="99"/>
        <v>4</v>
      </c>
      <c r="AH263" s="172">
        <f t="shared" si="94"/>
        <v>10</v>
      </c>
      <c r="AI263" s="221">
        <f t="shared" si="95"/>
        <v>4.9765842194728851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48098</v>
      </c>
      <c r="B264" s="406">
        <f>'2030'!Wh/'2030'!Env_an*'2031'!Env_an</f>
        <v>135.2607047828017</v>
      </c>
      <c r="C264" s="831"/>
      <c r="D264" s="388">
        <f t="shared" si="77"/>
        <v>142.23752645445168</v>
      </c>
      <c r="E264" s="380">
        <f t="shared" si="100"/>
        <v>148.15718205189216</v>
      </c>
      <c r="F264" s="380">
        <f t="shared" si="78"/>
        <v>148.17084483462153</v>
      </c>
      <c r="G264" s="110">
        <f t="shared" si="101"/>
        <v>0.71418172309405292</v>
      </c>
      <c r="H264" s="409" t="b">
        <f>Wh_hp&gt;='2030'!Maxi_hp</f>
        <v>0</v>
      </c>
      <c r="I264" s="385">
        <f>IF(H264,Wh_hp,'2030'!Maxi_hp)</f>
        <v>148.17743596191121</v>
      </c>
      <c r="J264" s="85">
        <f>IF(H264,An,'2030'!An_max)</f>
        <v>2029</v>
      </c>
      <c r="K264" s="193">
        <f t="shared" si="79"/>
        <v>48098</v>
      </c>
      <c r="L264" s="143">
        <f>IF(t&lt;Tvie,1-EXP((T0-t)*PertePVj)+'2030'!Pspv,1-EXP((T0-t)*PertePVj)+Pspv)</f>
        <v>4.9050499158421079E-2</v>
      </c>
      <c r="M264" s="835"/>
      <c r="N264" s="835"/>
      <c r="O264" s="48">
        <f>IF(t&lt;Tnet,'2030'!Resal+('2030'!Salim-'2030'!Resal)*(1-EXP(('2030'!Tnet-t)/('2030'!Tau_j))),Resal+(Salim-Resal)*(1-EXP((Tnet-t)/(Tau_j))))*Salcycl</f>
        <v>3.9955238858195269E-2</v>
      </c>
      <c r="P264" s="165">
        <f>(INDEX(Models!$BJ264:$BT264,,T264)*(1-R264)+INDEX(Models!$BJ264:$BT264,,T264+1)*R264-ERP_i)*Q264*Ramure*Pc/MaxiM</f>
        <v>1.5582454620235731E-4</v>
      </c>
      <c r="Q264" s="301">
        <f t="shared" si="80"/>
        <v>0.5</v>
      </c>
      <c r="R264" s="173">
        <f t="shared" si="81"/>
        <v>0.45211122233194501</v>
      </c>
      <c r="S264" s="801">
        <f t="shared" si="82"/>
        <v>1</v>
      </c>
      <c r="T264" s="172">
        <f t="shared" si="83"/>
        <v>7</v>
      </c>
      <c r="U264" s="247">
        <f t="shared" si="84"/>
        <v>1.452111222331945</v>
      </c>
      <c r="V264" s="378">
        <f t="shared" si="85"/>
        <v>189.38051061927828</v>
      </c>
      <c r="W264" s="397">
        <f t="shared" si="86"/>
        <v>135.2607047828017</v>
      </c>
      <c r="X264" s="153">
        <f t="shared" si="87"/>
        <v>48098</v>
      </c>
      <c r="Y264" s="380">
        <f t="shared" si="88"/>
        <v>131.82031630027595</v>
      </c>
      <c r="Z264" s="380">
        <f t="shared" si="89"/>
        <v>138.6196808385898</v>
      </c>
      <c r="AA264" s="381">
        <f t="shared" si="90"/>
        <v>148.1132709615419</v>
      </c>
      <c r="AB264" s="193">
        <f t="shared" si="91"/>
        <v>48098</v>
      </c>
      <c r="AC264" s="119">
        <f>IF(OR(t&lt;Tnet,NoTnet),'2030'!Resal_s+('2030'!Salim-'2030'!Resal_s)*(1-EXP(('2030'!Tnet_s-t)/'2030'!Tau_j)),Resal_s+(Salim-Resal_s)*(1-EXP((Tnet_s-t)/Tau_j)))*Salcycl</f>
        <v>6.4096823068725092E-2</v>
      </c>
      <c r="AD264" s="227">
        <f>(INDEX(Models!$BJ264:$BT264,,AH264)*(1-AF264)+INDEX(Models!$BJ264:$BT264,,AH264+1)*AF264-ERP_i)*AE264*Ramure*Pc/MaxiM</f>
        <v>6.5663216809122148E-4</v>
      </c>
      <c r="AE264" s="301">
        <f t="shared" si="92"/>
        <v>0.5</v>
      </c>
      <c r="AF264" s="173">
        <f t="shared" si="93"/>
        <v>0.97709878870592348</v>
      </c>
      <c r="AG264" s="801">
        <f t="shared" si="99"/>
        <v>4</v>
      </c>
      <c r="AH264" s="172">
        <f t="shared" si="94"/>
        <v>10</v>
      </c>
      <c r="AI264" s="221">
        <f t="shared" si="95"/>
        <v>4.9770987887059235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48099</v>
      </c>
      <c r="B265" s="406">
        <f>'2030'!Wh/'2030'!Env_an*'2031'!Env_an</f>
        <v>157.23687928545127</v>
      </c>
      <c r="C265" s="831"/>
      <c r="D265" s="388">
        <f t="shared" si="77"/>
        <v>165.34950764115027</v>
      </c>
      <c r="E265" s="380">
        <f t="shared" si="100"/>
        <v>172.23863078314059</v>
      </c>
      <c r="F265" s="380">
        <f t="shared" si="78"/>
        <v>172.25887740785606</v>
      </c>
      <c r="G265" s="110">
        <f t="shared" si="101"/>
        <v>0.83446691437399401</v>
      </c>
      <c r="H265" s="409" t="b">
        <f>Wh_hp&gt;='2030'!Maxi_hp</f>
        <v>0</v>
      </c>
      <c r="I265" s="385">
        <f>IF(H265,Wh_hp,'2030'!Maxi_hp)</f>
        <v>172.26326213194801</v>
      </c>
      <c r="J265" s="85">
        <f>IF(H265,An,'2030'!An_max)</f>
        <v>2029</v>
      </c>
      <c r="K265" s="193">
        <f t="shared" si="79"/>
        <v>48099</v>
      </c>
      <c r="L265" s="143">
        <f>IF(t&lt;Tvie,1-EXP((T0-t)*PertePVj)+'2030'!Pspv,1-EXP((T0-t)*PertePVj)+Pspv)</f>
        <v>4.906351685851662E-2</v>
      </c>
      <c r="M265" s="835"/>
      <c r="N265" s="835"/>
      <c r="O265" s="48">
        <f>IF(t&lt;Tnet,'2030'!Resal+('2030'!Salim-'2030'!Resal)*(1-EXP(('2030'!Tnet-t)/('2030'!Tau_j))),Resal+(Salim-Resal)*(1-EXP((Tnet-t)/(Tau_j))))*Salcycl</f>
        <v>3.9997549392181246E-2</v>
      </c>
      <c r="P265" s="165">
        <f>(INDEX(Models!$BJ265:$BT265,,T265)*(1-R265)+INDEX(Models!$BJ265:$BT265,,T265+1)*R265-ERP_i)*Q265*Ramure*Pc/MaxiM</f>
        <v>1.5393010082403202E-4</v>
      </c>
      <c r="Q265" s="301">
        <f t="shared" si="80"/>
        <v>0.5</v>
      </c>
      <c r="R265" s="173">
        <f t="shared" si="81"/>
        <v>0.45260609557879095</v>
      </c>
      <c r="S265" s="801">
        <f t="shared" si="82"/>
        <v>1</v>
      </c>
      <c r="T265" s="172">
        <f t="shared" si="83"/>
        <v>7</v>
      </c>
      <c r="U265" s="247">
        <f t="shared" si="84"/>
        <v>1.4526060955787909</v>
      </c>
      <c r="V265" s="378">
        <f t="shared" si="85"/>
        <v>188.42107867239579</v>
      </c>
      <c r="W265" s="397">
        <f t="shared" si="86"/>
        <v>157.23687928545127</v>
      </c>
      <c r="X265" s="153">
        <f t="shared" si="87"/>
        <v>48099</v>
      </c>
      <c r="Y265" s="380">
        <f t="shared" si="88"/>
        <v>153.22960103036652</v>
      </c>
      <c r="Z265" s="380">
        <f t="shared" si="89"/>
        <v>161.13547407936449</v>
      </c>
      <c r="AA265" s="381">
        <f t="shared" si="90"/>
        <v>172.17338055309878</v>
      </c>
      <c r="AB265" s="193">
        <f t="shared" si="91"/>
        <v>48099</v>
      </c>
      <c r="AC265" s="119">
        <f>IF(OR(t&lt;Tnet,NoTnet),'2030'!Resal_s+('2030'!Salim-'2030'!Resal_s)*(1-EXP(('2030'!Tnet_s-t)/'2030'!Tau_j)),Resal_s+(Salim-Resal_s)*(1-EXP((Tnet_s-t)/Tau_j)))*Salcycl</f>
        <v>6.4109251025190758E-2</v>
      </c>
      <c r="AD265" s="227">
        <f>(INDEX(Models!$BJ265:$BT265,,AH265)*(1-AF265)+INDEX(Models!$BJ265:$BT265,,AH265+1)*AF265-ERP_i)*AE265*Ramure*Pc/MaxiM</f>
        <v>6.50011528235821E-4</v>
      </c>
      <c r="AE265" s="301">
        <f t="shared" si="92"/>
        <v>0.5</v>
      </c>
      <c r="AF265" s="173">
        <f t="shared" si="93"/>
        <v>0.97759366195276876</v>
      </c>
      <c r="AG265" s="801">
        <f t="shared" si="99"/>
        <v>4</v>
      </c>
      <c r="AH265" s="172">
        <f t="shared" si="94"/>
        <v>10</v>
      </c>
      <c r="AI265" s="221">
        <f t="shared" si="95"/>
        <v>4.9775936619527688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48100</v>
      </c>
      <c r="B266" s="406">
        <f>'2030'!Wh/'2030'!Env_an*'2031'!Env_an</f>
        <v>84.09738516884525</v>
      </c>
      <c r="C266" s="831"/>
      <c r="D266" s="388">
        <f t="shared" si="77"/>
        <v>88.437595883755236</v>
      </c>
      <c r="E266" s="380">
        <f t="shared" si="100"/>
        <v>92.126290134671521</v>
      </c>
      <c r="F266" s="380">
        <f t="shared" si="78"/>
        <v>92.1292682005665</v>
      </c>
      <c r="G266" s="110">
        <f t="shared" si="101"/>
        <v>0.44858490007186497</v>
      </c>
      <c r="H266" s="409" t="b">
        <f>Wh_hp&gt;='2030'!Maxi_hp</f>
        <v>0</v>
      </c>
      <c r="I266" s="385">
        <f>IF(H266,Wh_hp,'2030'!Maxi_hp)</f>
        <v>92.136995888017253</v>
      </c>
      <c r="J266" s="85">
        <f>IF(H266,An,'2030'!An_max)</f>
        <v>2029</v>
      </c>
      <c r="K266" s="193">
        <f t="shared" si="79"/>
        <v>48100</v>
      </c>
      <c r="L266" s="143">
        <f>IF(t&lt;Tvie,1-EXP((T0-t)*PertePVj)+'2030'!Pspv,1-EXP((T0-t)*PertePVj)+Pspv)</f>
        <v>4.9076534380410708E-2</v>
      </c>
      <c r="M266" s="835"/>
      <c r="N266" s="835"/>
      <c r="O266" s="48">
        <f>IF(t&lt;Tnet,'2030'!Resal+('2030'!Salim-'2030'!Resal)*(1-EXP(('2030'!Tnet-t)/('2030'!Tau_j))),Resal+(Salim-Resal)*(1-EXP((Tnet-t)/(Tau_j))))*Salcycl</f>
        <v>4.003953969625941E-2</v>
      </c>
      <c r="P266" s="165">
        <f>(INDEX(Models!$BJ266:$BT266,,T266)*(1-R266)+INDEX(Models!$BJ266:$BT266,,T266+1)*R266-ERP_i)*Q266*Ramure*Pc/MaxiM</f>
        <v>1.5223090669554061E-4</v>
      </c>
      <c r="Q266" s="301">
        <f t="shared" si="80"/>
        <v>0.5</v>
      </c>
      <c r="R266" s="173">
        <f t="shared" si="81"/>
        <v>0.45308198807814604</v>
      </c>
      <c r="S266" s="801">
        <f t="shared" si="82"/>
        <v>1</v>
      </c>
      <c r="T266" s="172">
        <f t="shared" si="83"/>
        <v>7</v>
      </c>
      <c r="U266" s="247">
        <f t="shared" si="84"/>
        <v>1.453081988078146</v>
      </c>
      <c r="V266" s="378">
        <f t="shared" si="85"/>
        <v>187.45013718605958</v>
      </c>
      <c r="W266" s="397">
        <f t="shared" si="86"/>
        <v>84.09738516884525</v>
      </c>
      <c r="X266" s="153">
        <f t="shared" si="87"/>
        <v>48100</v>
      </c>
      <c r="Y266" s="380">
        <f t="shared" si="88"/>
        <v>81.979143250470301</v>
      </c>
      <c r="Z266" s="380">
        <f t="shared" si="89"/>
        <v>86.210032893715052</v>
      </c>
      <c r="AA266" s="381">
        <f t="shared" si="90"/>
        <v>92.116668108979781</v>
      </c>
      <c r="AB266" s="193">
        <f t="shared" si="91"/>
        <v>48100</v>
      </c>
      <c r="AC266" s="119">
        <f>IF(OR(t&lt;Tnet,NoTnet),'2030'!Resal_s+('2030'!Salim-'2030'!Resal_s)*(1-EXP(('2030'!Tnet_s-t)/'2030'!Tau_j)),Resal_s+(Salim-Resal_s)*(1-EXP((Tnet_s-t)/Tau_j)))*Salcycl</f>
        <v>6.4121242512558074E-2</v>
      </c>
      <c r="AD266" s="227">
        <f>(INDEX(Models!$BJ266:$BT266,,AH266)*(1-AF266)+INDEX(Models!$BJ266:$BT266,,AH266+1)*AF266-ERP_i)*AE266*Ramure*Pc/MaxiM</f>
        <v>6.4408358791765287E-4</v>
      </c>
      <c r="AE266" s="301">
        <f t="shared" si="92"/>
        <v>0.5</v>
      </c>
      <c r="AF266" s="173">
        <f t="shared" si="93"/>
        <v>0.97806955445212385</v>
      </c>
      <c r="AG266" s="801">
        <f t="shared" si="99"/>
        <v>4</v>
      </c>
      <c r="AH266" s="172">
        <f t="shared" si="94"/>
        <v>10</v>
      </c>
      <c r="AI266" s="221">
        <f t="shared" si="95"/>
        <v>4.9780695544521238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48101</v>
      </c>
      <c r="B267" s="406">
        <f>'2030'!Wh/'2030'!Env_an*'2031'!Env_an</f>
        <v>174.94657523888571</v>
      </c>
      <c r="C267" s="831"/>
      <c r="D267" s="388">
        <f t="shared" si="77"/>
        <v>183.97797138109399</v>
      </c>
      <c r="E267" s="380">
        <f t="shared" si="100"/>
        <v>191.65993121748386</v>
      </c>
      <c r="F267" s="380">
        <f t="shared" si="78"/>
        <v>191.68627372257686</v>
      </c>
      <c r="G267" s="110">
        <f t="shared" si="101"/>
        <v>0.9382014009161157</v>
      </c>
      <c r="H267" s="409" t="b">
        <f>Wh_hp&gt;='2030'!Maxi_hp</f>
        <v>0</v>
      </c>
      <c r="I267" s="385">
        <f>IF(H267,Wh_hp,'2030'!Maxi_hp)</f>
        <v>191.68805815593115</v>
      </c>
      <c r="J267" s="85">
        <f>IF(H267,An,'2030'!An_max)</f>
        <v>2029</v>
      </c>
      <c r="K267" s="193">
        <f t="shared" si="79"/>
        <v>48101</v>
      </c>
      <c r="L267" s="143">
        <f>IF(t&lt;Tvie,1-EXP((T0-t)*PertePVj)+'2030'!Pspv,1-EXP((T0-t)*PertePVj)+Pspv)</f>
        <v>4.9089551724105895E-2</v>
      </c>
      <c r="M267" s="835"/>
      <c r="N267" s="835"/>
      <c r="O267" s="48">
        <f>IF(t&lt;Tnet,'2030'!Resal+('2030'!Salim-'2030'!Resal)*(1-EXP(('2030'!Tnet-t)/('2030'!Tau_j))),Resal+(Salim-Resal)*(1-EXP((Tnet-t)/(Tau_j))))*Salcycl</f>
        <v>4.008119896314092E-2</v>
      </c>
      <c r="P267" s="165">
        <f>(INDEX(Models!$BJ267:$BT267,,T267)*(1-R267)+INDEX(Models!$BJ267:$BT267,,T267+1)*R267-ERP_i)*Q267*Ramure*Pc/MaxiM</f>
        <v>1.5072935797312548E-4</v>
      </c>
      <c r="Q267" s="301">
        <f t="shared" si="80"/>
        <v>0.5</v>
      </c>
      <c r="R267" s="173">
        <f t="shared" si="81"/>
        <v>0.45353959208581096</v>
      </c>
      <c r="S267" s="801">
        <f t="shared" si="82"/>
        <v>1</v>
      </c>
      <c r="T267" s="172">
        <f t="shared" si="83"/>
        <v>7</v>
      </c>
      <c r="U267" s="247">
        <f t="shared" si="84"/>
        <v>1.453539592085811</v>
      </c>
      <c r="V267" s="378">
        <f t="shared" si="85"/>
        <v>186.46768936132986</v>
      </c>
      <c r="W267" s="397">
        <f t="shared" si="86"/>
        <v>174.94657523888571</v>
      </c>
      <c r="X267" s="153">
        <f t="shared" si="87"/>
        <v>48101</v>
      </c>
      <c r="Y267" s="380">
        <f t="shared" si="88"/>
        <v>170.48722184216058</v>
      </c>
      <c r="Z267" s="380">
        <f t="shared" si="89"/>
        <v>179.28840949352568</v>
      </c>
      <c r="AA267" s="381">
        <f t="shared" si="90"/>
        <v>191.57462286419022</v>
      </c>
      <c r="AB267" s="193">
        <f t="shared" si="91"/>
        <v>48101</v>
      </c>
      <c r="AC267" s="119">
        <f>IF(OR(t&lt;Tnet,NoTnet),'2030'!Resal_s+('2030'!Salim-'2030'!Resal_s)*(1-EXP(('2030'!Tnet_s-t)/'2030'!Tau_j)),Resal_s+(Salim-Resal_s)*(1-EXP((Tnet_s-t)/Tau_j)))*Salcycl</f>
        <v>6.4132781195004041E-2</v>
      </c>
      <c r="AD267" s="227">
        <f>(INDEX(Models!$BJ267:$BT267,,AH267)*(1-AF267)+INDEX(Models!$BJ267:$BT267,,AH267+1)*AF267-ERP_i)*AE267*Ramure*Pc/MaxiM</f>
        <v>6.388558013888559E-4</v>
      </c>
      <c r="AE267" s="301">
        <f t="shared" si="92"/>
        <v>0.5</v>
      </c>
      <c r="AF267" s="173">
        <f t="shared" si="93"/>
        <v>0.97852715845978899</v>
      </c>
      <c r="AG267" s="801">
        <f t="shared" si="99"/>
        <v>4</v>
      </c>
      <c r="AH267" s="172">
        <f t="shared" si="94"/>
        <v>10</v>
      </c>
      <c r="AI267" s="221">
        <f t="shared" si="95"/>
        <v>4.978527158459789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48102</v>
      </c>
      <c r="B268" s="406">
        <f>'2030'!Wh/'2030'!Env_an*'2031'!Env_an</f>
        <v>178.33270996379849</v>
      </c>
      <c r="C268" s="831"/>
      <c r="D268" s="388">
        <f t="shared" si="77"/>
        <v>187.54147832280219</v>
      </c>
      <c r="E268" s="380">
        <f t="shared" si="100"/>
        <v>195.38064121530977</v>
      </c>
      <c r="F268" s="380">
        <f t="shared" si="78"/>
        <v>195.4082099350594</v>
      </c>
      <c r="G268" s="110">
        <f t="shared" si="101"/>
        <v>0.96149041391026413</v>
      </c>
      <c r="H268" s="409" t="b">
        <f>Wh_hp&gt;='2030'!Maxi_hp</f>
        <v>0</v>
      </c>
      <c r="I268" s="385">
        <f>IF(H268,Wh_hp,'2030'!Maxi_hp)</f>
        <v>195.40933295481071</v>
      </c>
      <c r="J268" s="85">
        <f>IF(H268,An,'2030'!An_max)</f>
        <v>2029</v>
      </c>
      <c r="K268" s="193">
        <f t="shared" si="79"/>
        <v>48102</v>
      </c>
      <c r="L268" s="143">
        <f>IF(t&lt;Tvie,1-EXP((T0-t)*PertePVj)+'2030'!Pspv,1-EXP((T0-t)*PertePVj)+Pspv)</f>
        <v>4.9102568889604625E-2</v>
      </c>
      <c r="M268" s="835"/>
      <c r="N268" s="835"/>
      <c r="O268" s="48">
        <f>IF(t&lt;Tnet,'2030'!Resal+('2030'!Salim-'2030'!Resal)*(1-EXP(('2030'!Tnet-t)/('2030'!Tau_j))),Resal+(Salim-Resal)*(1-EXP((Tnet-t)/(Tau_j))))*Salcycl</f>
        <v>4.0122515945010186E-2</v>
      </c>
      <c r="P268" s="165">
        <f>(INDEX(Models!$BJ268:$BT268,,T268)*(1-R268)+INDEX(Models!$BJ268:$BT268,,T268+1)*R268-ERP_i)*Q268*Ramure*Pc/MaxiM</f>
        <v>1.4929425399216631E-4</v>
      </c>
      <c r="Q268" s="301">
        <f t="shared" si="80"/>
        <v>0.5</v>
      </c>
      <c r="R268" s="173">
        <f t="shared" si="81"/>
        <v>0.45397957737714778</v>
      </c>
      <c r="S268" s="801">
        <f t="shared" si="82"/>
        <v>1</v>
      </c>
      <c r="T268" s="172">
        <f t="shared" si="83"/>
        <v>7</v>
      </c>
      <c r="U268" s="247">
        <f t="shared" si="84"/>
        <v>1.4539795773771478</v>
      </c>
      <c r="V268" s="378">
        <f t="shared" si="85"/>
        <v>185.473763222419</v>
      </c>
      <c r="W268" s="397">
        <f t="shared" si="86"/>
        <v>178.33270996379849</v>
      </c>
      <c r="X268" s="153">
        <f t="shared" si="87"/>
        <v>48102</v>
      </c>
      <c r="Y268" s="380">
        <f t="shared" si="88"/>
        <v>173.79019038459847</v>
      </c>
      <c r="Z268" s="380">
        <f t="shared" si="89"/>
        <v>182.76439150924799</v>
      </c>
      <c r="AA268" s="381">
        <f t="shared" si="90"/>
        <v>195.29111554788233</v>
      </c>
      <c r="AB268" s="193">
        <f t="shared" si="91"/>
        <v>48102</v>
      </c>
      <c r="AC268" s="119">
        <f>IF(OR(t&lt;Tnet,NoTnet),'2030'!Resal_s+('2030'!Salim-'2030'!Resal_s)*(1-EXP(('2030'!Tnet_s-t)/'2030'!Tau_j)),Resal_s+(Salim-Resal_s)*(1-EXP((Tnet_s-t)/Tau_j)))*Salcycl</f>
        <v>6.4143850084992737E-2</v>
      </c>
      <c r="AD268" s="227">
        <f>(INDEX(Models!$BJ268:$BT268,,AH268)*(1-AF268)+INDEX(Models!$BJ268:$BT268,,AH268+1)*AF268-ERP_i)*AE268*Ramure*Pc/MaxiM</f>
        <v>6.341070364906424E-4</v>
      </c>
      <c r="AE268" s="301">
        <f t="shared" si="92"/>
        <v>0.5</v>
      </c>
      <c r="AF268" s="173">
        <f t="shared" si="93"/>
        <v>0.97896714375112559</v>
      </c>
      <c r="AG268" s="801">
        <f t="shared" si="99"/>
        <v>4</v>
      </c>
      <c r="AH268" s="172">
        <f t="shared" si="94"/>
        <v>10</v>
      </c>
      <c r="AI268" s="221">
        <f t="shared" si="95"/>
        <v>4.9789671437511256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48103</v>
      </c>
      <c r="B269" s="406">
        <f>'2030'!Wh/'2030'!Env_an*'2031'!Env_an</f>
        <v>123.47580716531517</v>
      </c>
      <c r="C269" s="831"/>
      <c r="D269" s="388">
        <f t="shared" si="77"/>
        <v>129.8536450186588</v>
      </c>
      <c r="E269" s="380">
        <f t="shared" si="100"/>
        <v>135.28725170485805</v>
      </c>
      <c r="F269" s="380">
        <f t="shared" si="78"/>
        <v>135.29780162488302</v>
      </c>
      <c r="G269" s="110">
        <f t="shared" si="101"/>
        <v>0.66931352322539173</v>
      </c>
      <c r="H269" s="409" t="b">
        <f>Wh_hp&gt;='2030'!Maxi_hp</f>
        <v>0</v>
      </c>
      <c r="I269" s="385">
        <f>IF(H269,Wh_hp,'2030'!Maxi_hp)</f>
        <v>135.30441262985983</v>
      </c>
      <c r="J269" s="85">
        <f>IF(H269,An,'2030'!An_max)</f>
        <v>2029</v>
      </c>
      <c r="K269" s="193">
        <f t="shared" si="79"/>
        <v>48103</v>
      </c>
      <c r="L269" s="143">
        <f>IF(t&lt;Tvie,1-EXP((T0-t)*PertePVj)+'2030'!Pspv,1-EXP((T0-t)*PertePVj)+Pspv)</f>
        <v>4.9115585876909229E-2</v>
      </c>
      <c r="M269" s="835"/>
      <c r="N269" s="835"/>
      <c r="O269" s="48">
        <f>IF(t&lt;Tnet,'2030'!Resal+('2030'!Salim-'2030'!Resal)*(1-EXP(('2030'!Tnet-t)/('2030'!Tau_j))),Resal+(Salim-Resal)*(1-EXP((Tnet-t)/(Tau_j))))*Salcycl</f>
        <v>4.0163478951092874E-2</v>
      </c>
      <c r="P269" s="165">
        <f>(INDEX(Models!$BJ269:$BT269,,T269)*(1-R269)+INDEX(Models!$BJ269:$BT269,,T269+1)*R269-ERP_i)*Q269*Ramure*Pc/MaxiM</f>
        <v>1.477768187119969E-4</v>
      </c>
      <c r="Q269" s="301">
        <f t="shared" si="80"/>
        <v>0.5</v>
      </c>
      <c r="R269" s="173">
        <f t="shared" si="81"/>
        <v>0.45440259175873465</v>
      </c>
      <c r="S269" s="801">
        <f t="shared" si="82"/>
        <v>1</v>
      </c>
      <c r="T269" s="172">
        <f t="shared" si="83"/>
        <v>7</v>
      </c>
      <c r="U269" s="247">
        <f t="shared" si="84"/>
        <v>1.4544025917587347</v>
      </c>
      <c r="V269" s="378">
        <f t="shared" si="85"/>
        <v>184.46838953709164</v>
      </c>
      <c r="W269" s="397">
        <f t="shared" si="86"/>
        <v>123.47580716531517</v>
      </c>
      <c r="X269" s="153">
        <f t="shared" si="87"/>
        <v>48103</v>
      </c>
      <c r="Y269" s="380">
        <f t="shared" si="88"/>
        <v>120.35896090451682</v>
      </c>
      <c r="Z269" s="380">
        <f t="shared" si="89"/>
        <v>126.57580576237787</v>
      </c>
      <c r="AA269" s="381">
        <f t="shared" si="90"/>
        <v>135.25287721448547</v>
      </c>
      <c r="AB269" s="193">
        <f t="shared" si="91"/>
        <v>48103</v>
      </c>
      <c r="AC269" s="119">
        <f>IF(OR(t&lt;Tnet,NoTnet),'2030'!Resal_s+('2030'!Salim-'2030'!Resal_s)*(1-EXP(('2030'!Tnet_s-t)/'2030'!Tau_j)),Resal_s+(Salim-Resal_s)*(1-EXP((Tnet_s-t)/Tau_j)))*Salcycl</f>
        <v>6.415443154194346E-2</v>
      </c>
      <c r="AD269" s="227">
        <f>(INDEX(Models!$BJ269:$BT269,,AH269)*(1-AF269)+INDEX(Models!$BJ269:$BT269,,AH269+1)*AF269-ERP_i)*AE269*Ramure*Pc/MaxiM</f>
        <v>6.2927362817475361E-4</v>
      </c>
      <c r="AE269" s="301">
        <f t="shared" si="92"/>
        <v>0.5</v>
      </c>
      <c r="AF269" s="173">
        <f t="shared" si="93"/>
        <v>0.97939015813271268</v>
      </c>
      <c r="AG269" s="801">
        <f t="shared" si="99"/>
        <v>4</v>
      </c>
      <c r="AH269" s="172">
        <f t="shared" si="94"/>
        <v>10</v>
      </c>
      <c r="AI269" s="221">
        <f t="shared" si="95"/>
        <v>4.9793901581327127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48104</v>
      </c>
      <c r="B270" s="406">
        <f>'2030'!Wh/'2030'!Env_an*'2031'!Env_an</f>
        <v>44.451728170368455</v>
      </c>
      <c r="C270" s="831"/>
      <c r="D270" s="388">
        <f t="shared" si="77"/>
        <v>46.748412346754485</v>
      </c>
      <c r="E270" s="380">
        <f t="shared" si="100"/>
        <v>48.706616865628817</v>
      </c>
      <c r="F270" s="380">
        <f t="shared" si="78"/>
        <v>48.706616865628817</v>
      </c>
      <c r="G270" s="110">
        <f t="shared" si="101"/>
        <v>0.24227227960964212</v>
      </c>
      <c r="H270" s="409" t="b">
        <f>Wh_hp&gt;='2030'!Maxi_hp</f>
        <v>0</v>
      </c>
      <c r="I270" s="385">
        <f>IF(H270,Wh_hp,'2030'!Maxi_hp)</f>
        <v>48.711601917338598</v>
      </c>
      <c r="J270" s="85">
        <f>IF(H270,An,'2030'!An_max)</f>
        <v>2029</v>
      </c>
      <c r="K270" s="193">
        <f t="shared" si="79"/>
        <v>48104</v>
      </c>
      <c r="L270" s="143">
        <f>IF(t&lt;Tvie,1-EXP((T0-t)*PertePVj)+'2030'!Pspv,1-EXP((T0-t)*PertePVj)+Pspv)</f>
        <v>4.9128602686022149E-2</v>
      </c>
      <c r="M270" s="835"/>
      <c r="N270" s="835"/>
      <c r="O270" s="48">
        <f>IF(t&lt;Tnet,'2030'!Resal+('2030'!Salim-'2030'!Resal)*(1-EXP(('2030'!Tnet-t)/('2030'!Tau_j))),Resal+(Salim-Resal)*(1-EXP((Tnet-t)/(Tau_j))))*Salcycl</f>
        <v>4.0204075850240266E-2</v>
      </c>
      <c r="P270" s="165">
        <f>(INDEX(Models!$BJ270:$BT270,,T270)*(1-R270)+INDEX(Models!$BJ270:$BT270,,T270+1)*R270-ERP_i)*Q270*Ramure*Pc/MaxiM</f>
        <v>1.4617577419400116E-4</v>
      </c>
      <c r="Q270" s="301">
        <f t="shared" si="80"/>
        <v>0.5</v>
      </c>
      <c r="R270" s="173">
        <f t="shared" si="81"/>
        <v>0.45480926158694479</v>
      </c>
      <c r="S270" s="801">
        <f t="shared" si="82"/>
        <v>1</v>
      </c>
      <c r="T270" s="172">
        <f t="shared" si="83"/>
        <v>7</v>
      </c>
      <c r="U270" s="247">
        <f t="shared" si="84"/>
        <v>1.4548092615869448</v>
      </c>
      <c r="V270" s="378">
        <f t="shared" si="85"/>
        <v>183.4515714146111</v>
      </c>
      <c r="W270" s="397">
        <f t="shared" si="86"/>
        <v>44.451728170368455</v>
      </c>
      <c r="X270" s="153">
        <f t="shared" si="87"/>
        <v>48104</v>
      </c>
      <c r="Y270" s="380">
        <f t="shared" si="88"/>
        <v>43.342031246353109</v>
      </c>
      <c r="Z270" s="380">
        <f t="shared" si="89"/>
        <v>45.581380793223673</v>
      </c>
      <c r="AA270" s="381">
        <f t="shared" si="90"/>
        <v>48.706616865628817</v>
      </c>
      <c r="AB270" s="193">
        <f t="shared" si="91"/>
        <v>48104</v>
      </c>
      <c r="AC270" s="119">
        <f>IF(OR(t&lt;Tnet,NoTnet),'2030'!Resal_s+('2030'!Salim-'2030'!Resal_s)*(1-EXP(('2030'!Tnet_s-t)/'2030'!Tau_j)),Resal_s+(Salim-Resal_s)*(1-EXP((Tnet_s-t)/Tau_j)))*Salcycl</f>
        <v>6.4164507278898178E-2</v>
      </c>
      <c r="AD270" s="227">
        <f>(INDEX(Models!$BJ270:$BT270,,AH270)*(1-AF270)+INDEX(Models!$BJ270:$BT270,,AH270+1)*AF270-ERP_i)*AE270*Ramure*Pc/MaxiM</f>
        <v>6.2435357116184711E-4</v>
      </c>
      <c r="AE270" s="301">
        <f t="shared" si="92"/>
        <v>0.5</v>
      </c>
      <c r="AF270" s="173">
        <f t="shared" si="93"/>
        <v>0.97979682796092238</v>
      </c>
      <c r="AG270" s="801">
        <f t="shared" si="99"/>
        <v>4</v>
      </c>
      <c r="AH270" s="172">
        <f t="shared" si="94"/>
        <v>10</v>
      </c>
      <c r="AI270" s="221">
        <f t="shared" si="95"/>
        <v>4.9797968279609224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48105</v>
      </c>
      <c r="B271" s="406">
        <f>'2030'!Wh/'2030'!Env_an*'2031'!Env_an</f>
        <v>141.76077778583189</v>
      </c>
      <c r="C271" s="831"/>
      <c r="D271" s="388">
        <f t="shared" ref="D271:D334" si="102">Wh/(1-Ppv)</f>
        <v>149.08716236375525</v>
      </c>
      <c r="E271" s="380">
        <f t="shared" si="100"/>
        <v>155.33865695614301</v>
      </c>
      <c r="F271" s="380">
        <f t="shared" ref="F271:F334" si="103">Wh_sa/(1-Pvg*MEDIAN((-Sdif+Wh/Env_an)/Csdif,0,1))</f>
        <v>155.35395616745419</v>
      </c>
      <c r="G271" s="110">
        <f t="shared" si="101"/>
        <v>0.77706217030842151</v>
      </c>
      <c r="H271" s="409" t="b">
        <f>Wh_hp&gt;='2030'!Maxi_hp</f>
        <v>0</v>
      </c>
      <c r="I271" s="385">
        <f>IF(H271,Wh_hp,'2030'!Maxi_hp)</f>
        <v>155.35896226024306</v>
      </c>
      <c r="J271" s="85">
        <f>IF(H271,An,'2030'!An_max)</f>
        <v>2029</v>
      </c>
      <c r="K271" s="193">
        <f t="shared" ref="K271:K334" si="104">t</f>
        <v>48105</v>
      </c>
      <c r="L271" s="143">
        <f>IF(t&lt;Tvie,1-EXP((T0-t)*PertePVj)+'2030'!Pspv,1-EXP((T0-t)*PertePVj)+Pspv)</f>
        <v>4.9141619316945939E-2</v>
      </c>
      <c r="M271" s="835"/>
      <c r="N271" s="835"/>
      <c r="O271" s="48">
        <f>IF(t&lt;Tnet,'2030'!Resal+('2030'!Salim-'2030'!Resal)*(1-EXP(('2030'!Tnet-t)/('2030'!Tau_j))),Resal+(Salim-Resal)*(1-EXP((Tnet-t)/(Tau_j))))*Salcycl</f>
        <v>4.0244294079050336E-2</v>
      </c>
      <c r="P271" s="165">
        <f>(INDEX(Models!$BJ271:$BT271,,T271)*(1-R271)+INDEX(Models!$BJ271:$BT271,,T271+1)*R271-ERP_i)*Q271*Ramure*Pc/MaxiM</f>
        <v>1.4448981506963549E-4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0.4552001922913802</v>
      </c>
      <c r="S271" s="801">
        <f t="shared" ref="S271:S334" si="107">INDEX(Echel_vg,T271)</f>
        <v>1</v>
      </c>
      <c r="T271" s="172">
        <f t="shared" ref="T271:T334" si="108">MIN(MATCH(Hp_vg,Echel_vg),10)</f>
        <v>7</v>
      </c>
      <c r="U271" s="247">
        <f t="shared" ref="U271:U334" si="109">IF(OR(t&lt;Ttai,Notai),Hdd+PousH*Croivg,Hdtf+PousH*(Croivg-Croi_tai))</f>
        <v>1.4552001922913802</v>
      </c>
      <c r="V271" s="378">
        <f t="shared" ref="V271:V334" si="110">MaxiM*(1-Ppv)*(1-Pvg)*(1-Psa)</f>
        <v>182.42331196970596</v>
      </c>
      <c r="W271" s="397">
        <f t="shared" ref="W271:W334" si="111">Wh*(A271&gt;Tmaj)</f>
        <v>141.76077778583189</v>
      </c>
      <c r="X271" s="153">
        <f t="shared" ref="X271:X334" si="112">t</f>
        <v>48105</v>
      </c>
      <c r="Y271" s="380">
        <f t="shared" ref="Y271:Y334" si="113">Wh_pvt_s*(1-Ppv)</f>
        <v>138.18148962495647</v>
      </c>
      <c r="Z271" s="380">
        <f t="shared" ref="Z271:Z334" si="114">Wh_sa_s*(1-Psa_s)</f>
        <v>145.32289185450844</v>
      </c>
      <c r="AA271" s="381">
        <f t="shared" ref="AA271:AA334" si="115">Wh_hp*(1-Pvg_s*MEDIAN((-Sdif+Wh/Env_an)/Csdif,0,1))</f>
        <v>155.28837724099211</v>
      </c>
      <c r="AB271" s="193">
        <f t="shared" ref="AB271:AB334" si="116">t</f>
        <v>48105</v>
      </c>
      <c r="AC271" s="119">
        <f>IF(OR(t&lt;Tnet,NoTnet),'2030'!Resal_s+('2030'!Salim-'2030'!Resal_s)*(1-EXP(('2030'!Tnet_s-t)/'2030'!Tau_j)),Resal_s+(Salim-Resal_s)*(1-EXP((Tnet_s-t)/Tau_j)))*Salcycl</f>
        <v>6.4174058377969995E-2</v>
      </c>
      <c r="AD271" s="227">
        <f>(INDEX(Models!$BJ271:$BT271,,AH271)*(1-AF271)+INDEX(Models!$BJ271:$BT271,,AH271+1)*AF271-ERP_i)*AE271*Ramure*Pc/MaxiM</f>
        <v>6.1934479916967084E-4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0.98018775866535801</v>
      </c>
      <c r="AG271" s="801">
        <f t="shared" si="99"/>
        <v>4</v>
      </c>
      <c r="AH271" s="172">
        <f t="shared" ref="AH271:AH334" si="119">MIN(MATCH(Hp_vg_s,Echel_vg),10)</f>
        <v>10</v>
      </c>
      <c r="AI271" s="221">
        <f t="shared" ref="AI271:AI334" si="120">IF(OR(t&lt;Ttai,Notai),Hdd_s+PousH*Croivg,Hdtai_s+PousH*(Croivg-Croi_tai))</f>
        <v>4.980187758665358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48106</v>
      </c>
      <c r="B272" s="406">
        <f>'2030'!Wh/'2030'!Env_an*'2031'!Env_an</f>
        <v>158.63030050071873</v>
      </c>
      <c r="C272" s="831"/>
      <c r="D272" s="388">
        <f t="shared" si="102"/>
        <v>166.83080810845155</v>
      </c>
      <c r="E272" s="380">
        <f t="shared" si="100"/>
        <v>173.83353938301556</v>
      </c>
      <c r="F272" s="380">
        <f t="shared" si="103"/>
        <v>173.85390497583055</v>
      </c>
      <c r="G272" s="110">
        <f t="shared" si="101"/>
        <v>0.87453458001476847</v>
      </c>
      <c r="H272" s="409" t="b">
        <f>Wh_hp&gt;='2030'!Maxi_hp</f>
        <v>0</v>
      </c>
      <c r="I272" s="385">
        <f>IF(H272,Wh_hp,'2030'!Maxi_hp)</f>
        <v>173.85701985696772</v>
      </c>
      <c r="J272" s="85">
        <f>IF(H272,An,'2030'!An_max)</f>
        <v>2029</v>
      </c>
      <c r="K272" s="193">
        <f t="shared" si="104"/>
        <v>48106</v>
      </c>
      <c r="L272" s="143">
        <f>IF(t&lt;Tvie,1-EXP((T0-t)*PertePVj)+'2030'!Pspv,1-EXP((T0-t)*PertePVj)+Pspv)</f>
        <v>4.9154635769683042E-2</v>
      </c>
      <c r="M272" s="835"/>
      <c r="N272" s="835"/>
      <c r="O272" s="48">
        <f>IF(t&lt;Tnet,'2030'!Resal+('2030'!Salim-'2030'!Resal)*(1-EXP(('2030'!Tnet-t)/('2030'!Tau_j))),Resal+(Salim-Resal)*(1-EXP((Tnet-t)/(Tau_j))))*Salcycl</f>
        <v>4.0284120655994682E-2</v>
      </c>
      <c r="P272" s="165">
        <f>(INDEX(Models!$BJ272:$BT272,,T272)*(1-R272)+INDEX(Models!$BJ272:$BT272,,T272+1)*R272-ERP_i)*Q272*Ramure*Pc/MaxiM</f>
        <v>1.4271760994757324E-4</v>
      </c>
      <c r="Q272" s="301">
        <f t="shared" si="105"/>
        <v>0.5</v>
      </c>
      <c r="R272" s="173">
        <f t="shared" si="106"/>
        <v>0.45557596890127838</v>
      </c>
      <c r="S272" s="801">
        <f t="shared" si="107"/>
        <v>1</v>
      </c>
      <c r="T272" s="172">
        <f t="shared" si="108"/>
        <v>7</v>
      </c>
      <c r="U272" s="247">
        <f t="shared" si="109"/>
        <v>1.4555759689012784</v>
      </c>
      <c r="V272" s="378">
        <f t="shared" si="110"/>
        <v>181.38361430468979</v>
      </c>
      <c r="W272" s="397">
        <f t="shared" si="111"/>
        <v>158.63030050071873</v>
      </c>
      <c r="X272" s="153">
        <f t="shared" si="112"/>
        <v>48106</v>
      </c>
      <c r="Y272" s="380">
        <f t="shared" si="113"/>
        <v>154.62019975758778</v>
      </c>
      <c r="Z272" s="380">
        <f t="shared" si="114"/>
        <v>162.61340231989095</v>
      </c>
      <c r="AA272" s="381">
        <f t="shared" si="115"/>
        <v>173.76625309166266</v>
      </c>
      <c r="AB272" s="193">
        <f t="shared" si="116"/>
        <v>48106</v>
      </c>
      <c r="AC272" s="119">
        <f>IF(OR(t&lt;Tnet,NoTnet),'2030'!Resal_s+('2030'!Salim-'2030'!Resal_s)*(1-EXP(('2030'!Tnet_s-t)/'2030'!Tau_j)),Resal_s+(Salim-Resal_s)*(1-EXP((Tnet_s-t)/Tau_j)))*Salcycl</f>
        <v>6.4183065315268864E-2</v>
      </c>
      <c r="AD272" s="227">
        <f>(INDEX(Models!$BJ272:$BT272,,AH272)*(1-AF272)+INDEX(Models!$BJ272:$BT272,,AH272+1)*AF272-ERP_i)*AE272*Ramure*Pc/MaxiM</f>
        <v>6.1424518939796186E-4</v>
      </c>
      <c r="AE272" s="301">
        <f t="shared" si="117"/>
        <v>0.5</v>
      </c>
      <c r="AF272" s="173">
        <f t="shared" si="118"/>
        <v>0.98056353527525619</v>
      </c>
      <c r="AG272" s="801">
        <f t="shared" ref="AG272:AG335" si="124">INDEX(Echel_vg,AH272)</f>
        <v>4</v>
      </c>
      <c r="AH272" s="172">
        <f t="shared" si="119"/>
        <v>10</v>
      </c>
      <c r="AI272" s="221">
        <f t="shared" si="120"/>
        <v>4.9805635352752562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48107</v>
      </c>
      <c r="B273" s="406">
        <f>'2030'!Wh/'2030'!Env_an*'2031'!Env_an</f>
        <v>101.2703736244703</v>
      </c>
      <c r="C273" s="831"/>
      <c r="D273" s="388">
        <f t="shared" si="102"/>
        <v>106.50707650217819</v>
      </c>
      <c r="E273" s="380">
        <f t="shared" si="100"/>
        <v>110.98227494978588</v>
      </c>
      <c r="F273" s="380">
        <f t="shared" si="103"/>
        <v>110.98811688939924</v>
      </c>
      <c r="G273" s="110">
        <f t="shared" si="101"/>
        <v>0.56152634302983473</v>
      </c>
      <c r="H273" s="409" t="b">
        <f>Wh_hp&gt;='2030'!Maxi_hp</f>
        <v>0</v>
      </c>
      <c r="I273" s="385">
        <f>IF(H273,Wh_hp,'2030'!Maxi_hp)</f>
        <v>110.99497781145503</v>
      </c>
      <c r="J273" s="85">
        <f>IF(H273,An,'2030'!An_max)</f>
        <v>2029</v>
      </c>
      <c r="K273" s="193">
        <f t="shared" si="104"/>
        <v>48107</v>
      </c>
      <c r="L273" s="143">
        <f>IF(t&lt;Tvie,1-EXP((T0-t)*PertePVj)+'2030'!Pspv,1-EXP((T0-t)*PertePVj)+Pspv)</f>
        <v>4.9167652044235788E-2</v>
      </c>
      <c r="M273" s="835"/>
      <c r="N273" s="835"/>
      <c r="O273" s="48">
        <f>IF(t&lt;Tnet,'2030'!Resal+('2030'!Salim-'2030'!Resal)*(1-EXP(('2030'!Tnet-t)/('2030'!Tau_j))),Resal+(Salim-Resal)*(1-EXP((Tnet-t)/(Tau_j))))*Salcycl</f>
        <v>4.0323542201964248E-2</v>
      </c>
      <c r="P273" s="165">
        <f>(INDEX(Models!$BJ273:$BT273,,T273)*(1-R273)+INDEX(Models!$BJ273:$BT273,,T273+1)*R273-ERP_i)*Q273*Ramure*Pc/MaxiM</f>
        <v>1.408578030837914E-4</v>
      </c>
      <c r="Q273" s="301">
        <f t="shared" si="105"/>
        <v>0.5</v>
      </c>
      <c r="R273" s="173">
        <f t="shared" si="106"/>
        <v>0.45593715657317402</v>
      </c>
      <c r="S273" s="801">
        <f t="shared" si="107"/>
        <v>1</v>
      </c>
      <c r="T273" s="172">
        <f t="shared" si="108"/>
        <v>7</v>
      </c>
      <c r="U273" s="247">
        <f t="shared" si="109"/>
        <v>1.455937156573174</v>
      </c>
      <c r="V273" s="378">
        <f t="shared" si="110"/>
        <v>180.3324815086043</v>
      </c>
      <c r="W273" s="397">
        <f t="shared" si="111"/>
        <v>101.2703736244703</v>
      </c>
      <c r="X273" s="153">
        <f t="shared" si="112"/>
        <v>48107</v>
      </c>
      <c r="Y273" s="380">
        <f t="shared" si="113"/>
        <v>98.734415708622535</v>
      </c>
      <c r="Z273" s="380">
        <f t="shared" si="114"/>
        <v>103.83998390557068</v>
      </c>
      <c r="AA273" s="381">
        <f t="shared" si="115"/>
        <v>110.96285702985089</v>
      </c>
      <c r="AB273" s="193">
        <f t="shared" si="116"/>
        <v>48107</v>
      </c>
      <c r="AC273" s="119">
        <f>IF(OR(t&lt;Tnet,NoTnet),'2030'!Resal_s+('2030'!Salim-'2030'!Resal_s)*(1-EXP(('2030'!Tnet_s-t)/'2030'!Tau_j)),Resal_s+(Salim-Resal_s)*(1-EXP((Tnet_s-t)/Tau_j)))*Salcycl</f>
        <v>6.4191507995905617E-2</v>
      </c>
      <c r="AD273" s="227">
        <f>(INDEX(Models!$BJ273:$BT273,,AH273)*(1-AF273)+INDEX(Models!$BJ273:$BT273,,AH273+1)*AF273-ERP_i)*AE273*Ramure*Pc/MaxiM</f>
        <v>6.0905256775445359E-4</v>
      </c>
      <c r="AE273" s="301">
        <f t="shared" si="117"/>
        <v>0.5</v>
      </c>
      <c r="AF273" s="173">
        <f t="shared" si="118"/>
        <v>0.98092472294715183</v>
      </c>
      <c r="AG273" s="801">
        <f t="shared" si="124"/>
        <v>4</v>
      </c>
      <c r="AH273" s="172">
        <f t="shared" si="119"/>
        <v>10</v>
      </c>
      <c r="AI273" s="221">
        <f t="shared" si="120"/>
        <v>4.9809247229471518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48108</v>
      </c>
      <c r="B274" s="406">
        <f>'2030'!Wh/'2030'!Env_an*'2031'!Env_an</f>
        <v>184.03357027146848</v>
      </c>
      <c r="C274" s="831"/>
      <c r="D274" s="388">
        <f t="shared" si="102"/>
        <v>193.55261731119626</v>
      </c>
      <c r="E274" s="380">
        <f t="shared" si="100"/>
        <v>201.69347944496164</v>
      </c>
      <c r="F274" s="380">
        <f t="shared" si="103"/>
        <v>201.72150038015278</v>
      </c>
      <c r="G274" s="110">
        <f t="shared" si="101"/>
        <v>1.0265725210341587</v>
      </c>
      <c r="H274" s="409" t="b">
        <f>Wh_hp&gt;='2030'!Maxi_hp</f>
        <v>1</v>
      </c>
      <c r="I274" s="385">
        <f>IF(H274,Wh_hp,'2030'!Maxi_hp)</f>
        <v>201.72150038015278</v>
      </c>
      <c r="J274" s="85">
        <f>IF(H274,An,'2030'!An_max)</f>
        <v>2031</v>
      </c>
      <c r="K274" s="193">
        <f t="shared" si="104"/>
        <v>48108</v>
      </c>
      <c r="L274" s="143">
        <f>IF(t&lt;Tvie,1-EXP((T0-t)*PertePVj)+'2030'!Pspv,1-EXP((T0-t)*PertePVj)+Pspv)</f>
        <v>4.918066814060662E-2</v>
      </c>
      <c r="M274" s="835"/>
      <c r="N274" s="835"/>
      <c r="O274" s="48">
        <f>IF(t&lt;Tnet,'2030'!Resal+('2030'!Salim-'2030'!Resal)*(1-EXP(('2030'!Tnet-t)/('2030'!Tau_j))),Resal+(Salim-Resal)*(1-EXP((Tnet-t)/(Tau_j))))*Salcycl</f>
        <v>4.0362544967582209E-2</v>
      </c>
      <c r="P274" s="165">
        <f>(INDEX(Models!$BJ274:$BT274,,T274)*(1-R274)+INDEX(Models!$BJ274:$BT274,,T274+1)*R274-ERP_i)*Q274*Ramure*Pc/MaxiM</f>
        <v>1.3890901633355297E-4</v>
      </c>
      <c r="Q274" s="301">
        <f t="shared" si="105"/>
        <v>0.5</v>
      </c>
      <c r="R274" s="173">
        <f t="shared" si="106"/>
        <v>0.45628430111827223</v>
      </c>
      <c r="S274" s="801">
        <f t="shared" si="107"/>
        <v>1</v>
      </c>
      <c r="T274" s="172">
        <f t="shared" si="108"/>
        <v>7</v>
      </c>
      <c r="U274" s="247">
        <f t="shared" si="109"/>
        <v>1.4562843011182722</v>
      </c>
      <c r="V274" s="378">
        <f t="shared" si="110"/>
        <v>179.26991664074052</v>
      </c>
      <c r="W274" s="397">
        <f t="shared" si="111"/>
        <v>184.03357027146848</v>
      </c>
      <c r="X274" s="153">
        <f t="shared" si="112"/>
        <v>48108</v>
      </c>
      <c r="Y274" s="380">
        <f t="shared" si="113"/>
        <v>179.37885072165986</v>
      </c>
      <c r="Z274" s="380">
        <f t="shared" si="114"/>
        <v>188.65713465340679</v>
      </c>
      <c r="AA274" s="381">
        <f t="shared" si="115"/>
        <v>201.59970805597916</v>
      </c>
      <c r="AB274" s="193">
        <f t="shared" si="116"/>
        <v>48108</v>
      </c>
      <c r="AC274" s="119">
        <f>IF(OR(t&lt;Tnet,NoTnet),'2030'!Resal_s+('2030'!Salim-'2030'!Resal_s)*(1-EXP(('2030'!Tnet_s-t)/'2030'!Tau_j)),Resal_s+(Salim-Resal_s)*(1-EXP((Tnet_s-t)/Tau_j)))*Salcycl</f>
        <v>6.4199365799570293E-2</v>
      </c>
      <c r="AD274" s="227">
        <f>(INDEX(Models!$BJ274:$BT274,,AH274)*(1-AF274)+INDEX(Models!$BJ274:$BT274,,AH274+1)*AF274-ERP_i)*AE274*Ramure*Pc/MaxiM</f>
        <v>6.0376471493666143E-4</v>
      </c>
      <c r="AE274" s="301">
        <f t="shared" si="117"/>
        <v>0.5</v>
      </c>
      <c r="AF274" s="173">
        <f t="shared" si="118"/>
        <v>0.98127186749225004</v>
      </c>
      <c r="AG274" s="801">
        <f t="shared" si="124"/>
        <v>4</v>
      </c>
      <c r="AH274" s="172">
        <f t="shared" si="119"/>
        <v>10</v>
      </c>
      <c r="AI274" s="221">
        <f t="shared" si="120"/>
        <v>4.98127186749225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48109</v>
      </c>
      <c r="B275" s="406">
        <f>'2030'!Wh/'2030'!Env_an*'2031'!Env_an</f>
        <v>177.72694414601344</v>
      </c>
      <c r="C275" s="831"/>
      <c r="D275" s="388">
        <f t="shared" si="102"/>
        <v>186.92234282234628</v>
      </c>
      <c r="E275" s="380">
        <f t="shared" si="100"/>
        <v>194.79216339079915</v>
      </c>
      <c r="F275" s="380">
        <f t="shared" si="103"/>
        <v>194.81872912312934</v>
      </c>
      <c r="G275" s="110">
        <f t="shared" si="101"/>
        <v>0.99738582132783327</v>
      </c>
      <c r="H275" s="409" t="b">
        <f>Wh_hp&gt;='2030'!Maxi_hp</f>
        <v>0</v>
      </c>
      <c r="I275" s="385">
        <f>IF(H275,Wh_hp,'2030'!Maxi_hp)</f>
        <v>194.81879892285977</v>
      </c>
      <c r="J275" s="85">
        <f>IF(H275,An,'2030'!An_max)</f>
        <v>2029</v>
      </c>
      <c r="K275" s="193">
        <f t="shared" si="104"/>
        <v>48109</v>
      </c>
      <c r="L275" s="143">
        <f>IF(t&lt;Tvie,1-EXP((T0-t)*PertePVj)+'2030'!Pspv,1-EXP((T0-t)*PertePVj)+Pspv)</f>
        <v>4.9193684058798093E-2</v>
      </c>
      <c r="M275" s="835"/>
      <c r="N275" s="835"/>
      <c r="O275" s="48">
        <f>IF(t&lt;Tnet,'2030'!Resal+('2030'!Salim-'2030'!Resal)*(1-EXP(('2030'!Tnet-t)/('2030'!Tau_j))),Resal+(Salim-Resal)*(1-EXP((Tnet-t)/(Tau_j))))*Salcycl</f>
        <v>4.0401114867563433E-2</v>
      </c>
      <c r="P275" s="165">
        <f>(INDEX(Models!$BJ275:$BT275,,T275)*(1-R275)+INDEX(Models!$BJ275:$BT275,,T275+1)*R275-ERP_i)*Q275*Ramure*Pc/MaxiM</f>
        <v>1.3687234111997465E-4</v>
      </c>
      <c r="Q275" s="301">
        <f t="shared" si="105"/>
        <v>0.5</v>
      </c>
      <c r="R275" s="173">
        <f t="shared" si="106"/>
        <v>0.45661792952813007</v>
      </c>
      <c r="S275" s="801">
        <f t="shared" si="107"/>
        <v>1</v>
      </c>
      <c r="T275" s="172">
        <f t="shared" si="108"/>
        <v>7</v>
      </c>
      <c r="U275" s="247">
        <f t="shared" si="109"/>
        <v>1.4566179295281301</v>
      </c>
      <c r="V275" s="378">
        <f t="shared" si="110"/>
        <v>178.19268081097348</v>
      </c>
      <c r="W275" s="397">
        <f t="shared" si="111"/>
        <v>177.72694414601344</v>
      </c>
      <c r="X275" s="153">
        <f t="shared" si="112"/>
        <v>48109</v>
      </c>
      <c r="Y275" s="380">
        <f t="shared" si="113"/>
        <v>173.23823450620858</v>
      </c>
      <c r="Z275" s="380">
        <f t="shared" si="114"/>
        <v>182.2013922306777</v>
      </c>
      <c r="AA275" s="381">
        <f t="shared" si="115"/>
        <v>194.7025867725294</v>
      </c>
      <c r="AB275" s="193">
        <f t="shared" si="116"/>
        <v>48109</v>
      </c>
      <c r="AC275" s="119">
        <f>IF(OR(t&lt;Tnet,NoTnet),'2030'!Resal_s+('2030'!Salim-'2030'!Resal_s)*(1-EXP(('2030'!Tnet_s-t)/'2030'!Tau_j)),Resal_s+(Salim-Resal_s)*(1-EXP((Tnet_s-t)/Tau_j)))*Salcycl</f>
        <v>6.4206617637067295E-2</v>
      </c>
      <c r="AD275" s="227">
        <f>(INDEX(Models!$BJ275:$BT275,,AH275)*(1-AF275)+INDEX(Models!$BJ275:$BT275,,AH275+1)*AF275-ERP_i)*AE275*Ramure*Pc/MaxiM</f>
        <v>5.983902582543893E-4</v>
      </c>
      <c r="AE275" s="301">
        <f t="shared" si="117"/>
        <v>0.5</v>
      </c>
      <c r="AF275" s="173">
        <f t="shared" si="118"/>
        <v>0.98160549590210788</v>
      </c>
      <c r="AG275" s="801">
        <f t="shared" si="124"/>
        <v>4</v>
      </c>
      <c r="AH275" s="172">
        <f t="shared" si="119"/>
        <v>10</v>
      </c>
      <c r="AI275" s="221">
        <f t="shared" si="120"/>
        <v>4.9816054959021079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48110</v>
      </c>
      <c r="B276" s="406">
        <f>'2030'!Wh/'2030'!Env_an*'2031'!Env_an</f>
        <v>175.3698577560863</v>
      </c>
      <c r="C276" s="831"/>
      <c r="D276" s="388">
        <f t="shared" si="102"/>
        <v>184.44582825623417</v>
      </c>
      <c r="E276" s="380">
        <f t="shared" si="100"/>
        <v>192.21901881437697</v>
      </c>
      <c r="F276" s="380">
        <f t="shared" si="103"/>
        <v>192.24459846910267</v>
      </c>
      <c r="G276" s="110">
        <f t="shared" si="101"/>
        <v>0.99023723194566027</v>
      </c>
      <c r="H276" s="409" t="b">
        <f>Wh_hp&gt;='2030'!Maxi_hp</f>
        <v>0</v>
      </c>
      <c r="I276" s="385">
        <f>IF(H276,Wh_hp,'2030'!Maxi_hp)</f>
        <v>192.24485214165745</v>
      </c>
      <c r="J276" s="85">
        <f>IF(H276,An,'2030'!An_max)</f>
        <v>2029</v>
      </c>
      <c r="K276" s="193">
        <f t="shared" si="104"/>
        <v>48110</v>
      </c>
      <c r="L276" s="143">
        <f>IF(t&lt;Tvie,1-EXP((T0-t)*PertePVj)+'2030'!Pspv,1-EXP((T0-t)*PertePVj)+Pspv)</f>
        <v>4.9206699798812537E-2</v>
      </c>
      <c r="M276" s="835"/>
      <c r="N276" s="835"/>
      <c r="O276" s="48">
        <f>IF(t&lt;Tnet,'2030'!Resal+('2030'!Salim-'2030'!Resal)*(1-EXP(('2030'!Tnet-t)/('2030'!Tau_j))),Resal+(Salim-Resal)*(1-EXP((Tnet-t)/(Tau_j))))*Salcycl</f>
        <v>4.0439237522324728E-2</v>
      </c>
      <c r="P276" s="165">
        <f>(INDEX(Models!$BJ276:$BT276,,T276)*(1-R276)+INDEX(Models!$BJ276:$BT276,,T276+1)*R276-ERP_i)*Q276*Ramure*Pc/MaxiM</f>
        <v>1.3493947545649209E-4</v>
      </c>
      <c r="Q276" s="301">
        <f t="shared" si="105"/>
        <v>0.5</v>
      </c>
      <c r="R276" s="173">
        <f t="shared" si="106"/>
        <v>0.45693855049739174</v>
      </c>
      <c r="S276" s="801">
        <f t="shared" si="107"/>
        <v>1</v>
      </c>
      <c r="T276" s="172">
        <f t="shared" si="108"/>
        <v>7</v>
      </c>
      <c r="U276" s="247">
        <f t="shared" si="109"/>
        <v>1.4569385504973917</v>
      </c>
      <c r="V276" s="378">
        <f t="shared" si="110"/>
        <v>177.09849930489401</v>
      </c>
      <c r="W276" s="397">
        <f t="shared" si="111"/>
        <v>175.3698577560863</v>
      </c>
      <c r="X276" s="153">
        <f t="shared" si="112"/>
        <v>48110</v>
      </c>
      <c r="Y276" s="380">
        <f t="shared" si="113"/>
        <v>170.94750934020186</v>
      </c>
      <c r="Z276" s="380">
        <f t="shared" si="114"/>
        <v>179.79460867470294</v>
      </c>
      <c r="AA276" s="381">
        <f t="shared" si="115"/>
        <v>192.13202916275353</v>
      </c>
      <c r="AB276" s="193">
        <f t="shared" si="116"/>
        <v>48110</v>
      </c>
      <c r="AC276" s="119">
        <f>IF(OR(t&lt;Tnet,NoTnet),'2030'!Resal_s+('2030'!Salim-'2030'!Resal_s)*(1-EXP(('2030'!Tnet_s-t)/'2030'!Tau_j)),Resal_s+(Salim-Resal_s)*(1-EXP((Tnet_s-t)/Tau_j)))*Salcycl</f>
        <v>6.4213242018068994E-2</v>
      </c>
      <c r="AD276" s="227">
        <f>(INDEX(Models!$BJ276:$BT276,,AH276)*(1-AF276)+INDEX(Models!$BJ276:$BT276,,AH276+1)*AF276-ERP_i)*AE276*Ramure*Pc/MaxiM</f>
        <v>5.9383300181900035E-4</v>
      </c>
      <c r="AE276" s="301">
        <f t="shared" si="117"/>
        <v>0.5</v>
      </c>
      <c r="AF276" s="173">
        <f t="shared" si="118"/>
        <v>0.98192611687136999</v>
      </c>
      <c r="AG276" s="801">
        <f t="shared" si="124"/>
        <v>4</v>
      </c>
      <c r="AH276" s="172">
        <f t="shared" si="119"/>
        <v>10</v>
      </c>
      <c r="AI276" s="221">
        <f t="shared" si="120"/>
        <v>4.98192611687137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48111</v>
      </c>
      <c r="B277" s="406">
        <f>'2030'!Wh/'2030'!Env_an*'2031'!Env_an</f>
        <v>179.35992785132274</v>
      </c>
      <c r="C277" s="831"/>
      <c r="D277" s="388">
        <f t="shared" si="102"/>
        <v>188.6449800748214</v>
      </c>
      <c r="E277" s="380">
        <f t="shared" si="100"/>
        <v>196.60285379473106</v>
      </c>
      <c r="F277" s="380">
        <f t="shared" si="103"/>
        <v>196.62901416079933</v>
      </c>
      <c r="G277" s="110">
        <f t="shared" si="101"/>
        <v>1.0191548690504901</v>
      </c>
      <c r="H277" s="409" t="b">
        <f>Wh_hp&gt;='2030'!Maxi_hp</f>
        <v>1</v>
      </c>
      <c r="I277" s="385">
        <f>IF(H277,Wh_hp,'2030'!Maxi_hp)</f>
        <v>196.62901416079933</v>
      </c>
      <c r="J277" s="85">
        <f>IF(H277,An,'2030'!An_max)</f>
        <v>2031</v>
      </c>
      <c r="K277" s="193">
        <f t="shared" si="104"/>
        <v>48111</v>
      </c>
      <c r="L277" s="143">
        <f>IF(t&lt;Tvie,1-EXP((T0-t)*PertePVj)+'2030'!Pspv,1-EXP((T0-t)*PertePVj)+Pspv)</f>
        <v>4.9219715360652505E-2</v>
      </c>
      <c r="M277" s="835"/>
      <c r="N277" s="835"/>
      <c r="O277" s="48">
        <f>IF(t&lt;Tnet,'2030'!Resal+('2030'!Salim-'2030'!Resal)*(1-EXP(('2030'!Tnet-t)/('2030'!Tau_j))),Resal+(Salim-Resal)*(1-EXP((Tnet-t)/(Tau_j))))*Salcycl</f>
        <v>4.0476898306971237E-2</v>
      </c>
      <c r="P277" s="165">
        <f>(INDEX(Models!$BJ277:$BT277,,T277)*(1-R277)+INDEX(Models!$BJ277:$BT277,,T277+1)*R277-ERP_i)*Q277*Ramure*Pc/MaxiM</f>
        <v>1.3304428229945234E-4</v>
      </c>
      <c r="Q277" s="301">
        <f t="shared" si="105"/>
        <v>0.5</v>
      </c>
      <c r="R277" s="173">
        <f t="shared" si="106"/>
        <v>0.45724665494245054</v>
      </c>
      <c r="S277" s="801">
        <f t="shared" si="107"/>
        <v>1</v>
      </c>
      <c r="T277" s="172">
        <f t="shared" si="108"/>
        <v>7</v>
      </c>
      <c r="U277" s="247">
        <f t="shared" si="109"/>
        <v>1.4572466549424505</v>
      </c>
      <c r="V277" s="378">
        <f t="shared" si="110"/>
        <v>175.98888382726946</v>
      </c>
      <c r="W277" s="397">
        <f t="shared" si="111"/>
        <v>179.35992785132274</v>
      </c>
      <c r="X277" s="153">
        <f t="shared" si="112"/>
        <v>48111</v>
      </c>
      <c r="Y277" s="380">
        <f t="shared" si="113"/>
        <v>174.84194095763991</v>
      </c>
      <c r="Z277" s="380">
        <f t="shared" si="114"/>
        <v>183.89310735861693</v>
      </c>
      <c r="AA277" s="381">
        <f t="shared" si="115"/>
        <v>196.51301963550509</v>
      </c>
      <c r="AB277" s="193">
        <f t="shared" si="116"/>
        <v>48111</v>
      </c>
      <c r="AC277" s="119">
        <f>IF(OR(t&lt;Tnet,NoTnet),'2030'!Resal_s+('2030'!Salim-'2030'!Resal_s)*(1-EXP(('2030'!Tnet_s-t)/'2030'!Tau_j)),Resal_s+(Salim-Resal_s)*(1-EXP((Tnet_s-t)/Tau_j)))*Salcycl</f>
        <v>6.4219217130222425E-2</v>
      </c>
      <c r="AD277" s="227">
        <f>(INDEX(Models!$BJ277:$BT277,,AH277)*(1-AF277)+INDEX(Models!$BJ277:$BT277,,AH277+1)*AF277-ERP_i)*AE277*Ramure*Pc/MaxiM</f>
        <v>5.8991561234897761E-4</v>
      </c>
      <c r="AE277" s="301">
        <f t="shared" si="117"/>
        <v>0.5</v>
      </c>
      <c r="AF277" s="173">
        <f t="shared" si="118"/>
        <v>0.98223422131642835</v>
      </c>
      <c r="AG277" s="801">
        <f t="shared" si="124"/>
        <v>4</v>
      </c>
      <c r="AH277" s="172">
        <f t="shared" si="119"/>
        <v>10</v>
      </c>
      <c r="AI277" s="221">
        <f t="shared" si="120"/>
        <v>4.9822342213164283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48112</v>
      </c>
      <c r="B278" s="406">
        <f>'2030'!Wh/'2030'!Env_an*'2031'!Env_an</f>
        <v>174.50650163318593</v>
      </c>
      <c r="C278" s="831"/>
      <c r="D278" s="388">
        <f t="shared" si="102"/>
        <v>183.54281565645459</v>
      </c>
      <c r="E278" s="380">
        <f t="shared" si="100"/>
        <v>191.29287078754695</v>
      </c>
      <c r="F278" s="380">
        <f t="shared" si="103"/>
        <v>191.3178954285157</v>
      </c>
      <c r="G278" s="110">
        <f t="shared" si="101"/>
        <v>0.99794756653322303</v>
      </c>
      <c r="H278" s="409" t="b">
        <f>Wh_hp&gt;='2030'!Maxi_hp</f>
        <v>0</v>
      </c>
      <c r="I278" s="385">
        <f>IF(H278,Wh_hp,'2030'!Maxi_hp)</f>
        <v>191.31794707345679</v>
      </c>
      <c r="J278" s="85">
        <f>IF(H278,An,'2030'!An_max)</f>
        <v>2029</v>
      </c>
      <c r="K278" s="193">
        <f t="shared" si="104"/>
        <v>48112</v>
      </c>
      <c r="L278" s="143">
        <f>IF(t&lt;Tvie,1-EXP((T0-t)*PertePVj)+'2030'!Pspv,1-EXP((T0-t)*PertePVj)+Pspv)</f>
        <v>4.923273074432033E-2</v>
      </c>
      <c r="M278" s="835"/>
      <c r="N278" s="835"/>
      <c r="O278" s="48">
        <f>IF(t&lt;Tnet,'2030'!Resal+('2030'!Salim-'2030'!Resal)*(1-EXP(('2030'!Tnet-t)/('2030'!Tau_j))),Resal+(Salim-Resal)*(1-EXP((Tnet-t)/(Tau_j))))*Salcycl</f>
        <v>4.0514082407700977E-2</v>
      </c>
      <c r="P278" s="165">
        <f>(INDEX(Models!$BJ278:$BT278,,T278)*(1-R278)+INDEX(Models!$BJ278:$BT278,,T278+1)*R278-ERP_i)*Q278*Ramure*Pc/MaxiM</f>
        <v>1.3118593177467757E-4</v>
      </c>
      <c r="Q278" s="301">
        <f t="shared" si="105"/>
        <v>0.5</v>
      </c>
      <c r="R278" s="173">
        <f t="shared" si="106"/>
        <v>0.45754271651503808</v>
      </c>
      <c r="S278" s="801">
        <f t="shared" si="107"/>
        <v>1</v>
      </c>
      <c r="T278" s="172">
        <f t="shared" si="108"/>
        <v>7</v>
      </c>
      <c r="U278" s="247">
        <f t="shared" si="109"/>
        <v>1.4575427165150381</v>
      </c>
      <c r="V278" s="378">
        <f t="shared" si="110"/>
        <v>174.86533397781642</v>
      </c>
      <c r="W278" s="397">
        <f t="shared" si="111"/>
        <v>174.50650163318593</v>
      </c>
      <c r="X278" s="153">
        <f t="shared" si="112"/>
        <v>48112</v>
      </c>
      <c r="Y278" s="380">
        <f t="shared" si="113"/>
        <v>170.11686702268381</v>
      </c>
      <c r="Z278" s="380">
        <f t="shared" si="114"/>
        <v>178.92587652482186</v>
      </c>
      <c r="AA278" s="381">
        <f t="shared" si="115"/>
        <v>191.2059896061491</v>
      </c>
      <c r="AB278" s="193">
        <f t="shared" si="116"/>
        <v>48112</v>
      </c>
      <c r="AC278" s="119">
        <f>IF(OR(t&lt;Tnet,NoTnet),'2030'!Resal_s+('2030'!Salim-'2030'!Resal_s)*(1-EXP(('2030'!Tnet_s-t)/'2030'!Tau_j)),Resal_s+(Salim-Resal_s)*(1-EXP((Tnet_s-t)/Tau_j)))*Salcycl</f>
        <v>6.4224520929611742E-2</v>
      </c>
      <c r="AD278" s="227">
        <f>(INDEX(Models!$BJ278:$BT278,,AH278)*(1-AF278)+INDEX(Models!$BJ278:$BT278,,AH278+1)*AF278-ERP_i)*AE278*Ramure*Pc/MaxiM</f>
        <v>5.8664056745090715E-4</v>
      </c>
      <c r="AE278" s="301">
        <f t="shared" si="117"/>
        <v>0.5</v>
      </c>
      <c r="AF278" s="173">
        <f t="shared" si="118"/>
        <v>0.98253028288901589</v>
      </c>
      <c r="AG278" s="801">
        <f t="shared" si="124"/>
        <v>4</v>
      </c>
      <c r="AH278" s="172">
        <f t="shared" si="119"/>
        <v>10</v>
      </c>
      <c r="AI278" s="221">
        <f t="shared" si="120"/>
        <v>4.9825302828890159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48113</v>
      </c>
      <c r="B279" s="406">
        <f>'2030'!Wh/'2030'!Env_an*'2031'!Env_an</f>
        <v>169.50709333598496</v>
      </c>
      <c r="C279" s="831"/>
      <c r="D279" s="388">
        <f t="shared" si="102"/>
        <v>178.28696807181285</v>
      </c>
      <c r="E279" s="380">
        <f t="shared" si="100"/>
        <v>185.82220236881417</v>
      </c>
      <c r="F279" s="380">
        <f t="shared" si="103"/>
        <v>185.84540929598492</v>
      </c>
      <c r="G279" s="110">
        <f t="shared" si="101"/>
        <v>0.97569197676074948</v>
      </c>
      <c r="H279" s="409" t="b">
        <f>Wh_hp&gt;='2030'!Maxi_hp</f>
        <v>0</v>
      </c>
      <c r="I279" s="385">
        <f>IF(H279,Wh_hp,'2030'!Maxi_hp)</f>
        <v>185.84599558132493</v>
      </c>
      <c r="J279" s="85">
        <f>IF(H279,An,'2030'!An_max)</f>
        <v>2029</v>
      </c>
      <c r="K279" s="193">
        <f t="shared" si="104"/>
        <v>48113</v>
      </c>
      <c r="L279" s="143">
        <f>IF(t&lt;Tvie,1-EXP((T0-t)*PertePVj)+'2030'!Pspv,1-EXP((T0-t)*PertePVj)+Pspv)</f>
        <v>4.9245745949818454E-2</v>
      </c>
      <c r="M279" s="835"/>
      <c r="N279" s="835"/>
      <c r="O279" s="48">
        <f>IF(t&lt;Tnet,'2030'!Resal+('2030'!Salim-'2030'!Resal)*(1-EXP(('2030'!Tnet-t)/('2030'!Tau_j))),Resal+(Salim-Resal)*(1-EXP((Tnet-t)/(Tau_j))))*Salcycl</f>
        <v>4.0550774885584576E-2</v>
      </c>
      <c r="P279" s="165">
        <f>(INDEX(Models!$BJ279:$BT279,,T279)*(1-R279)+INDEX(Models!$BJ279:$BT279,,T279+1)*R279-ERP_i)*Q279*Ramure*Pc/MaxiM</f>
        <v>1.2936365053430981E-4</v>
      </c>
      <c r="Q279" s="301">
        <f t="shared" si="105"/>
        <v>0.5</v>
      </c>
      <c r="R279" s="173">
        <f t="shared" si="106"/>
        <v>0.45782719210984846</v>
      </c>
      <c r="S279" s="801">
        <f t="shared" si="107"/>
        <v>1</v>
      </c>
      <c r="T279" s="172">
        <f t="shared" si="108"/>
        <v>7</v>
      </c>
      <c r="U279" s="247">
        <f t="shared" si="109"/>
        <v>1.4578271921098485</v>
      </c>
      <c r="V279" s="378">
        <f t="shared" si="110"/>
        <v>173.72934896195787</v>
      </c>
      <c r="W279" s="397">
        <f t="shared" si="111"/>
        <v>169.50709333598496</v>
      </c>
      <c r="X279" s="153">
        <f t="shared" si="112"/>
        <v>48113</v>
      </c>
      <c r="Y279" s="380">
        <f t="shared" si="113"/>
        <v>165.25124516448227</v>
      </c>
      <c r="Z279" s="380">
        <f t="shared" si="114"/>
        <v>173.81068184603691</v>
      </c>
      <c r="AA279" s="381">
        <f t="shared" si="115"/>
        <v>185.74064191249008</v>
      </c>
      <c r="AB279" s="193">
        <f t="shared" si="116"/>
        <v>48113</v>
      </c>
      <c r="AC279" s="119">
        <f>IF(OR(t&lt;Tnet,NoTnet),'2030'!Resal_s+('2030'!Salim-'2030'!Resal_s)*(1-EXP(('2030'!Tnet_s-t)/'2030'!Tau_j)),Resal_s+(Salim-Resal_s)*(1-EXP((Tnet_s-t)/Tau_j)))*Salcycl</f>
        <v>6.4229131242444212E-2</v>
      </c>
      <c r="AD279" s="227">
        <f>(INDEX(Models!$BJ279:$BT279,,AH279)*(1-AF279)+INDEX(Models!$BJ279:$BT279,,AH279+1)*AF279-ERP_i)*AE279*Ramure*Pc/MaxiM</f>
        <v>5.8401058813628917E-4</v>
      </c>
      <c r="AE279" s="301">
        <f t="shared" si="117"/>
        <v>0.5</v>
      </c>
      <c r="AF279" s="173">
        <f t="shared" si="118"/>
        <v>0.98281475848382627</v>
      </c>
      <c r="AG279" s="801">
        <f t="shared" si="124"/>
        <v>4</v>
      </c>
      <c r="AH279" s="172">
        <f t="shared" si="119"/>
        <v>10</v>
      </c>
      <c r="AI279" s="221">
        <f t="shared" si="120"/>
        <v>4.9828147584838263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48114</v>
      </c>
      <c r="B280" s="406">
        <f>'2030'!Wh/'2030'!Env_an*'2031'!Env_an</f>
        <v>108.69243954433908</v>
      </c>
      <c r="C280" s="831"/>
      <c r="D280" s="388">
        <f t="shared" si="102"/>
        <v>114.32389285653643</v>
      </c>
      <c r="E280" s="380">
        <f t="shared" si="100"/>
        <v>119.1602450448446</v>
      </c>
      <c r="F280" s="380">
        <f t="shared" si="103"/>
        <v>119.16740785873931</v>
      </c>
      <c r="G280" s="110">
        <f t="shared" si="101"/>
        <v>0.62975765958597119</v>
      </c>
      <c r="H280" s="409" t="b">
        <f>Wh_hp&gt;='2030'!Maxi_hp</f>
        <v>0</v>
      </c>
      <c r="I280" s="385">
        <f>IF(H280,Wh_hp,'2030'!Maxi_hp)</f>
        <v>119.17305933098852</v>
      </c>
      <c r="J280" s="85">
        <f>IF(H280,An,'2030'!An_max)</f>
        <v>2029</v>
      </c>
      <c r="K280" s="193">
        <f t="shared" si="104"/>
        <v>48114</v>
      </c>
      <c r="L280" s="143">
        <f>IF(t&lt;Tvie,1-EXP((T0-t)*PertePVj)+'2030'!Pspv,1-EXP((T0-t)*PertePVj)+Pspv)</f>
        <v>4.9258760977149318E-2</v>
      </c>
      <c r="M280" s="835"/>
      <c r="N280" s="835"/>
      <c r="O280" s="48">
        <f>IF(t&lt;Tnet,'2030'!Resal+('2030'!Salim-'2030'!Resal)*(1-EXP(('2030'!Tnet-t)/('2030'!Tau_j))),Resal+(Salim-Resal)*(1-EXP((Tnet-t)/(Tau_j))))*Salcycl</f>
        <v>4.0586960747588822E-2</v>
      </c>
      <c r="P280" s="165">
        <f>(INDEX(Models!$BJ280:$BT280,,T280)*(1-R280)+INDEX(Models!$BJ280:$BT280,,T280+1)*R280-ERP_i)*Q280*Ramure*Pc/MaxiM</f>
        <v>1.2757728616924255E-4</v>
      </c>
      <c r="Q280" s="301">
        <f t="shared" si="105"/>
        <v>0.5</v>
      </c>
      <c r="R280" s="173">
        <f t="shared" si="106"/>
        <v>0.45810052236541354</v>
      </c>
      <c r="S280" s="801">
        <f t="shared" si="107"/>
        <v>1</v>
      </c>
      <c r="T280" s="172">
        <f t="shared" si="108"/>
        <v>7</v>
      </c>
      <c r="U280" s="247">
        <f t="shared" si="109"/>
        <v>1.4581005223654135</v>
      </c>
      <c r="V280" s="378">
        <f t="shared" si="110"/>
        <v>172.58242747194885</v>
      </c>
      <c r="W280" s="397">
        <f t="shared" si="111"/>
        <v>108.69243954433908</v>
      </c>
      <c r="X280" s="153">
        <f t="shared" si="112"/>
        <v>48114</v>
      </c>
      <c r="Y280" s="380">
        <f t="shared" si="113"/>
        <v>105.99086338195742</v>
      </c>
      <c r="Z280" s="380">
        <f t="shared" si="114"/>
        <v>111.4823455968864</v>
      </c>
      <c r="AA280" s="381">
        <f t="shared" si="115"/>
        <v>119.13472977762414</v>
      </c>
      <c r="AB280" s="193">
        <f t="shared" si="116"/>
        <v>48114</v>
      </c>
      <c r="AC280" s="119">
        <f>IF(OR(t&lt;Tnet,NoTnet),'2030'!Resal_s+('2030'!Salim-'2030'!Resal_s)*(1-EXP(('2030'!Tnet_s-t)/'2030'!Tau_j)),Resal_s+(Salim-Resal_s)*(1-EXP((Tnet_s-t)/Tau_j)))*Salcycl</f>
        <v>6.4233025877689934E-2</v>
      </c>
      <c r="AD280" s="227">
        <f>(INDEX(Models!$BJ280:$BT280,,AH280)*(1-AF280)+INDEX(Models!$BJ280:$BT280,,AH280+1)*AF280-ERP_i)*AE280*Ramure*Pc/MaxiM</f>
        <v>5.820311636146289E-4</v>
      </c>
      <c r="AE280" s="301">
        <f t="shared" si="117"/>
        <v>0.5</v>
      </c>
      <c r="AF280" s="173">
        <f t="shared" si="118"/>
        <v>0.98308808873939135</v>
      </c>
      <c r="AG280" s="801">
        <f t="shared" si="124"/>
        <v>4</v>
      </c>
      <c r="AH280" s="172">
        <f t="shared" si="119"/>
        <v>10</v>
      </c>
      <c r="AI280" s="221">
        <f t="shared" si="120"/>
        <v>4.9830880887393914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48115</v>
      </c>
      <c r="B281" s="406">
        <f>'2030'!Wh/'2030'!Env_an*'2031'!Env_an</f>
        <v>73.122281061253858</v>
      </c>
      <c r="C281" s="831"/>
      <c r="D281" s="388">
        <f t="shared" si="102"/>
        <v>76.911865243936887</v>
      </c>
      <c r="E281" s="380">
        <f t="shared" si="100"/>
        <v>80.168521011777074</v>
      </c>
      <c r="F281" s="380">
        <f t="shared" si="103"/>
        <v>80.170344737712043</v>
      </c>
      <c r="G281" s="110">
        <f t="shared" si="101"/>
        <v>0.42650889968609634</v>
      </c>
      <c r="H281" s="409" t="b">
        <f>Wh_hp&gt;='2030'!Maxi_hp</f>
        <v>0</v>
      </c>
      <c r="I281" s="385">
        <f>IF(H281,Wh_hp,'2030'!Maxi_hp)</f>
        <v>80.176158430643952</v>
      </c>
      <c r="J281" s="85">
        <f>IF(H281,An,'2030'!An_max)</f>
        <v>2029</v>
      </c>
      <c r="K281" s="193">
        <f t="shared" si="104"/>
        <v>48115</v>
      </c>
      <c r="L281" s="143">
        <f>IF(t&lt;Tvie,1-EXP((T0-t)*PertePVj)+'2030'!Pspv,1-EXP((T0-t)*PertePVj)+Pspv)</f>
        <v>4.9271775826315367E-2</v>
      </c>
      <c r="M281" s="835"/>
      <c r="N281" s="835"/>
      <c r="O281" s="48">
        <f>IF(t&lt;Tnet,'2030'!Resal+('2030'!Salim-'2030'!Resal)*(1-EXP(('2030'!Tnet-t)/('2030'!Tau_j))),Resal+(Salim-Resal)*(1-EXP((Tnet-t)/(Tau_j))))*Salcycl</f>
        <v>4.0622625024624825E-2</v>
      </c>
      <c r="P281" s="165">
        <f>(INDEX(Models!$BJ281:$BT281,,T281)*(1-R281)+INDEX(Models!$BJ281:$BT281,,T281+1)*R281-ERP_i)*Q281*Ramure*Pc/MaxiM</f>
        <v>1.2582642797289689E-4</v>
      </c>
      <c r="Q281" s="301">
        <f t="shared" si="105"/>
        <v>0.5</v>
      </c>
      <c r="R281" s="173">
        <f t="shared" si="106"/>
        <v>0.45836313215754965</v>
      </c>
      <c r="S281" s="801">
        <f t="shared" si="107"/>
        <v>1</v>
      </c>
      <c r="T281" s="172">
        <f t="shared" si="108"/>
        <v>7</v>
      </c>
      <c r="U281" s="247">
        <f t="shared" si="109"/>
        <v>1.4583631321575496</v>
      </c>
      <c r="V281" s="378">
        <f t="shared" si="110"/>
        <v>171.42606783537551</v>
      </c>
      <c r="W281" s="397">
        <f t="shared" si="111"/>
        <v>73.122281061253858</v>
      </c>
      <c r="X281" s="153">
        <f t="shared" si="112"/>
        <v>48115</v>
      </c>
      <c r="Y281" s="380">
        <f t="shared" si="113"/>
        <v>71.316626156460103</v>
      </c>
      <c r="Z281" s="380">
        <f t="shared" si="114"/>
        <v>75.012631731264946</v>
      </c>
      <c r="AA281" s="381">
        <f t="shared" si="115"/>
        <v>80.161927987055208</v>
      </c>
      <c r="AB281" s="193">
        <f t="shared" si="116"/>
        <v>48115</v>
      </c>
      <c r="AC281" s="119">
        <f>IF(OR(t&lt;Tnet,NoTnet),'2030'!Resal_s+('2030'!Salim-'2030'!Resal_s)*(1-EXP(('2030'!Tnet_s-t)/'2030'!Tau_j)),Resal_s+(Salim-Resal_s)*(1-EXP((Tnet_s-t)/Tau_j)))*Salcycl</f>
        <v>6.4236182750267559E-2</v>
      </c>
      <c r="AD281" s="227">
        <f>(INDEX(Models!$BJ281:$BT281,,AH281)*(1-AF281)+INDEX(Models!$BJ281:$BT281,,AH281+1)*AF281-ERP_i)*AE281*Ramure*Pc/MaxiM</f>
        <v>5.8070659082056408E-4</v>
      </c>
      <c r="AE281" s="301">
        <f t="shared" si="117"/>
        <v>0.5</v>
      </c>
      <c r="AF281" s="173">
        <f t="shared" si="118"/>
        <v>0.98335069853152746</v>
      </c>
      <c r="AG281" s="801">
        <f t="shared" si="124"/>
        <v>4</v>
      </c>
      <c r="AH281" s="172">
        <f t="shared" si="119"/>
        <v>10</v>
      </c>
      <c r="AI281" s="221">
        <f t="shared" si="120"/>
        <v>4.9833506985315275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48116</v>
      </c>
      <c r="B282" s="406">
        <f>'2030'!Wh/'2030'!Env_an*'2031'!Env_an</f>
        <v>127.0049201325858</v>
      </c>
      <c r="C282" s="831"/>
      <c r="D282" s="388">
        <f t="shared" si="102"/>
        <v>133.58881699076011</v>
      </c>
      <c r="E282" s="380">
        <f t="shared" si="100"/>
        <v>139.25042641299581</v>
      </c>
      <c r="F282" s="380">
        <f t="shared" si="103"/>
        <v>139.26148849084029</v>
      </c>
      <c r="G282" s="110">
        <f t="shared" si="101"/>
        <v>0.74590583090556517</v>
      </c>
      <c r="H282" s="409" t="b">
        <f>Wh_hp&gt;='2030'!Maxi_hp</f>
        <v>0</v>
      </c>
      <c r="I282" s="385">
        <f>IF(H282,Wh_hp,'2030'!Maxi_hp)</f>
        <v>139.26592630992718</v>
      </c>
      <c r="J282" s="85">
        <f>IF(H282,An,'2030'!An_max)</f>
        <v>2029</v>
      </c>
      <c r="K282" s="193">
        <f t="shared" si="104"/>
        <v>48116</v>
      </c>
      <c r="L282" s="143">
        <f>IF(t&lt;Tvie,1-EXP((T0-t)*PertePVj)+'2030'!Pspv,1-EXP((T0-t)*PertePVj)+Pspv)</f>
        <v>4.9284790497319153E-2</v>
      </c>
      <c r="M282" s="835"/>
      <c r="N282" s="835"/>
      <c r="O282" s="48">
        <f>IF(t&lt;Tnet,'2030'!Resal+('2030'!Salim-'2030'!Resal)*(1-EXP(('2030'!Tnet-t)/('2030'!Tau_j))),Resal+(Salim-Resal)*(1-EXP((Tnet-t)/(Tau_j))))*Salcycl</f>
        <v>4.0657752856312346E-2</v>
      </c>
      <c r="P282" s="165">
        <f>(INDEX(Models!$BJ282:$BT282,,T282)*(1-R282)+INDEX(Models!$BJ282:$BT282,,T282+1)*R282-ERP_i)*Q282*Ramure*Pc/MaxiM</f>
        <v>1.2468886916458766E-4</v>
      </c>
      <c r="Q282" s="301">
        <f t="shared" si="105"/>
        <v>0.5</v>
      </c>
      <c r="R282" s="173">
        <f t="shared" si="106"/>
        <v>0.45861543108476788</v>
      </c>
      <c r="S282" s="801">
        <f t="shared" si="107"/>
        <v>1</v>
      </c>
      <c r="T282" s="172">
        <f t="shared" si="108"/>
        <v>7</v>
      </c>
      <c r="U282" s="247">
        <f t="shared" si="109"/>
        <v>1.4586154310847679</v>
      </c>
      <c r="V282" s="378">
        <f t="shared" si="110"/>
        <v>170.26166951024936</v>
      </c>
      <c r="W282" s="397">
        <f t="shared" si="111"/>
        <v>127.0049201325858</v>
      </c>
      <c r="X282" s="153">
        <f t="shared" si="112"/>
        <v>48116</v>
      </c>
      <c r="Y282" s="380">
        <f t="shared" si="113"/>
        <v>123.84701856926081</v>
      </c>
      <c r="Z282" s="380">
        <f t="shared" si="114"/>
        <v>130.26721076024984</v>
      </c>
      <c r="AA282" s="381">
        <f t="shared" si="115"/>
        <v>139.20985411242006</v>
      </c>
      <c r="AB282" s="193">
        <f t="shared" si="116"/>
        <v>48116</v>
      </c>
      <c r="AC282" s="119">
        <f>IF(OR(t&lt;Tnet,NoTnet),'2030'!Resal_s+('2030'!Salim-'2030'!Resal_s)*(1-EXP(('2030'!Tnet_s-t)/'2030'!Tau_j)),Resal_s+(Salim-Resal_s)*(1-EXP((Tnet_s-t)/Tau_j)))*Salcycl</f>
        <v>6.4238580014231689E-2</v>
      </c>
      <c r="AD282" s="227">
        <f>(INDEX(Models!$BJ282:$BT282,,AH282)*(1-AF282)+INDEX(Models!$BJ282:$BT282,,AH282+1)*AF282-ERP_i)*AE282*Ramure*Pc/MaxiM</f>
        <v>5.8200930654660828E-4</v>
      </c>
      <c r="AE282" s="301">
        <f t="shared" si="117"/>
        <v>0.5</v>
      </c>
      <c r="AF282" s="173">
        <f t="shared" si="118"/>
        <v>0.98360299745874613</v>
      </c>
      <c r="AG282" s="801">
        <f t="shared" si="124"/>
        <v>4</v>
      </c>
      <c r="AH282" s="172">
        <f t="shared" si="119"/>
        <v>10</v>
      </c>
      <c r="AI282" s="221">
        <f t="shared" si="120"/>
        <v>4.9836029974587461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48117</v>
      </c>
      <c r="B283" s="406">
        <f>'2030'!Wh/'2030'!Env_an*'2031'!Env_an</f>
        <v>128.55097623932306</v>
      </c>
      <c r="C283" s="831"/>
      <c r="D283" s="388">
        <f t="shared" si="102"/>
        <v>135.21687118645281</v>
      </c>
      <c r="E283" s="380">
        <f t="shared" si="100"/>
        <v>140.95255918004256</v>
      </c>
      <c r="F283" s="380">
        <f t="shared" si="103"/>
        <v>140.96408115468208</v>
      </c>
      <c r="G283" s="110">
        <f t="shared" si="101"/>
        <v>0.76021624721412218</v>
      </c>
      <c r="H283" s="409" t="b">
        <f>Wh_hp&gt;='2030'!Maxi_hp</f>
        <v>0</v>
      </c>
      <c r="I283" s="385">
        <f>IF(H283,Wh_hp,'2030'!Maxi_hp)</f>
        <v>140.96831126778343</v>
      </c>
      <c r="J283" s="85">
        <f>IF(H283,An,'2030'!An_max)</f>
        <v>2029</v>
      </c>
      <c r="K283" s="193">
        <f t="shared" si="104"/>
        <v>48117</v>
      </c>
      <c r="L283" s="143">
        <f>IF(t&lt;Tvie,1-EXP((T0-t)*PertePVj)+'2030'!Pspv,1-EXP((T0-t)*PertePVj)+Pspv)</f>
        <v>4.9297804990163008E-2</v>
      </c>
      <c r="M283" s="835"/>
      <c r="N283" s="835"/>
      <c r="O283" s="48">
        <f>IF(t&lt;Tnet,'2030'!Resal+('2030'!Salim-'2030'!Resal)*(1-EXP(('2030'!Tnet-t)/('2030'!Tau_j))),Resal+(Salim-Resal)*(1-EXP((Tnet-t)/(Tau_j))))*Salcycl</f>
        <v>4.0692329582064514E-2</v>
      </c>
      <c r="P283" s="165">
        <f>(INDEX(Models!$BJ283:$BT283,,T283)*(1-R283)+INDEX(Models!$BJ283:$BT283,,T283+1)*R283-ERP_i)*Q283*Ramure*Pc/MaxiM</f>
        <v>1.2431513195890087E-4</v>
      </c>
      <c r="Q283" s="301">
        <f t="shared" si="105"/>
        <v>0.5</v>
      </c>
      <c r="R283" s="173">
        <f t="shared" si="106"/>
        <v>0.4588578139451458</v>
      </c>
      <c r="S283" s="801">
        <f t="shared" si="107"/>
        <v>1</v>
      </c>
      <c r="T283" s="172">
        <f t="shared" si="108"/>
        <v>7</v>
      </c>
      <c r="U283" s="247">
        <f t="shared" si="109"/>
        <v>1.4588578139451458</v>
      </c>
      <c r="V283" s="378">
        <f t="shared" si="110"/>
        <v>169.09070648864127</v>
      </c>
      <c r="W283" s="397">
        <f t="shared" si="111"/>
        <v>128.55097623932306</v>
      </c>
      <c r="X283" s="153">
        <f t="shared" si="112"/>
        <v>48117</v>
      </c>
      <c r="Y283" s="380">
        <f t="shared" si="113"/>
        <v>125.35738480391605</v>
      </c>
      <c r="Z283" s="380">
        <f t="shared" si="114"/>
        <v>131.857678947106</v>
      </c>
      <c r="AA283" s="381">
        <f t="shared" si="115"/>
        <v>140.90974886118568</v>
      </c>
      <c r="AB283" s="193">
        <f t="shared" si="116"/>
        <v>48117</v>
      </c>
      <c r="AC283" s="119">
        <f>IF(OR(t&lt;Tnet,NoTnet),'2030'!Resal_s+('2030'!Salim-'2030'!Resal_s)*(1-EXP(('2030'!Tnet_s-t)/'2030'!Tau_j)),Resal_s+(Salim-Resal_s)*(1-EXP((Tnet_s-t)/Tau_j)))*Salcycl</f>
        <v>6.4240196205282721E-2</v>
      </c>
      <c r="AD283" s="227">
        <f>(INDEX(Models!$BJ283:$BT283,,AH283)*(1-AF283)+INDEX(Models!$BJ283:$BT283,,AH283+1)*AF283-ERP_i)*AE283*Ramure*Pc/MaxiM</f>
        <v>5.8621255877973073E-4</v>
      </c>
      <c r="AE283" s="301">
        <f t="shared" si="117"/>
        <v>0.5</v>
      </c>
      <c r="AF283" s="173">
        <f t="shared" si="118"/>
        <v>0.98384538031912427</v>
      </c>
      <c r="AG283" s="801">
        <f t="shared" si="124"/>
        <v>4</v>
      </c>
      <c r="AH283" s="172">
        <f t="shared" si="119"/>
        <v>10</v>
      </c>
      <c r="AI283" s="221">
        <f t="shared" si="120"/>
        <v>4.9838453803191243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48118</v>
      </c>
      <c r="B284" s="406">
        <f>'2030'!Wh/'2030'!Env_an*'2031'!Env_an</f>
        <v>59.036935563471459</v>
      </c>
      <c r="C284" s="831"/>
      <c r="D284" s="388">
        <f t="shared" si="102"/>
        <v>62.099092702730907</v>
      </c>
      <c r="E284" s="380">
        <f t="shared" si="100"/>
        <v>64.7355341300417</v>
      </c>
      <c r="F284" s="380">
        <f t="shared" si="103"/>
        <v>64.73612913748417</v>
      </c>
      <c r="G284" s="110">
        <f t="shared" si="101"/>
        <v>0.35154827735239841</v>
      </c>
      <c r="H284" s="409" t="b">
        <f>Wh_hp&gt;='2030'!Maxi_hp</f>
        <v>0</v>
      </c>
      <c r="I284" s="385">
        <f>IF(H284,Wh_hp,'2030'!Maxi_hp)</f>
        <v>64.741404228586603</v>
      </c>
      <c r="J284" s="85">
        <f>IF(H284,An,'2030'!An_max)</f>
        <v>2029</v>
      </c>
      <c r="K284" s="193">
        <f t="shared" si="104"/>
        <v>48118</v>
      </c>
      <c r="L284" s="143">
        <f>IF(t&lt;Tvie,1-EXP((T0-t)*PertePVj)+'2030'!Pspv,1-EXP((T0-t)*PertePVj)+Pspv)</f>
        <v>4.9310819304849263E-2</v>
      </c>
      <c r="M284" s="835"/>
      <c r="N284" s="835"/>
      <c r="O284" s="48">
        <f>IF(t&lt;Tnet,'2030'!Resal+('2030'!Salim-'2030'!Resal)*(1-EXP(('2030'!Tnet-t)/('2030'!Tau_j))),Resal+(Salim-Resal)*(1-EXP((Tnet-t)/(Tau_j))))*Salcycl</f>
        <v>4.0726340838011271E-2</v>
      </c>
      <c r="P284" s="165">
        <f>(INDEX(Models!$BJ284:$BT284,,T284)*(1-R284)+INDEX(Models!$BJ284:$BT284,,T284+1)*R284-ERP_i)*Q284*Ramure*Pc/MaxiM</f>
        <v>1.2471465493114989E-4</v>
      </c>
      <c r="Q284" s="301">
        <f t="shared" si="105"/>
        <v>0.5</v>
      </c>
      <c r="R284" s="173">
        <f t="shared" si="106"/>
        <v>0.45909066120421516</v>
      </c>
      <c r="S284" s="801">
        <f t="shared" si="107"/>
        <v>1</v>
      </c>
      <c r="T284" s="172">
        <f t="shared" si="108"/>
        <v>7</v>
      </c>
      <c r="U284" s="247">
        <f t="shared" si="109"/>
        <v>1.4590906612042152</v>
      </c>
      <c r="V284" s="378">
        <f t="shared" si="110"/>
        <v>167.91467675195881</v>
      </c>
      <c r="W284" s="397">
        <f t="shared" si="111"/>
        <v>59.036935563471459</v>
      </c>
      <c r="X284" s="153">
        <f t="shared" si="112"/>
        <v>48118</v>
      </c>
      <c r="Y284" s="380">
        <f t="shared" si="113"/>
        <v>57.587774479323194</v>
      </c>
      <c r="Z284" s="380">
        <f t="shared" si="114"/>
        <v>60.574765810645495</v>
      </c>
      <c r="AA284" s="381">
        <f t="shared" si="115"/>
        <v>64.733298299391549</v>
      </c>
      <c r="AB284" s="193">
        <f t="shared" si="116"/>
        <v>48118</v>
      </c>
      <c r="AC284" s="119">
        <f>IF(OR(t&lt;Tnet,NoTnet),'2030'!Resal_s+('2030'!Salim-'2030'!Resal_s)*(1-EXP(('2030'!Tnet_s-t)/'2030'!Tau_j)),Resal_s+(Salim-Resal_s)*(1-EXP((Tnet_s-t)/Tau_j)))*Salcycl</f>
        <v>6.4241010391789991E-2</v>
      </c>
      <c r="AD284" s="227">
        <f>(INDEX(Models!$BJ284:$BT284,,AH284)*(1-AF284)+INDEX(Models!$BJ284:$BT284,,AH284+1)*AF284-ERP_i)*AE284*Ramure*Pc/MaxiM</f>
        <v>5.9334887379760355E-4</v>
      </c>
      <c r="AE284" s="301">
        <f t="shared" si="117"/>
        <v>0.5</v>
      </c>
      <c r="AF284" s="173">
        <f t="shared" si="118"/>
        <v>0.98407822757819297</v>
      </c>
      <c r="AG284" s="801">
        <f t="shared" si="124"/>
        <v>4</v>
      </c>
      <c r="AH284" s="172">
        <f t="shared" si="119"/>
        <v>10</v>
      </c>
      <c r="AI284" s="221">
        <f t="shared" si="120"/>
        <v>4.984078227578193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48119</v>
      </c>
      <c r="B285" s="406">
        <f>'2030'!Wh/'2030'!Env_an*'2031'!Env_an</f>
        <v>59.216355308423282</v>
      </c>
      <c r="C285" s="831"/>
      <c r="D285" s="388">
        <f t="shared" si="102"/>
        <v>62.288671359862008</v>
      </c>
      <c r="E285" s="380">
        <f t="shared" si="100"/>
        <v>64.935424500010868</v>
      </c>
      <c r="F285" s="380">
        <f t="shared" si="103"/>
        <v>64.93606861999217</v>
      </c>
      <c r="G285" s="110">
        <f t="shared" si="101"/>
        <v>0.35511116328949932</v>
      </c>
      <c r="H285" s="409" t="b">
        <f>Wh_hp&gt;='2030'!Maxi_hp</f>
        <v>0</v>
      </c>
      <c r="I285" s="385">
        <f>IF(H285,Wh_hp,'2030'!Maxi_hp)</f>
        <v>64.941384966890908</v>
      </c>
      <c r="J285" s="85">
        <f>IF(H285,An,'2030'!An_max)</f>
        <v>2029</v>
      </c>
      <c r="K285" s="193">
        <f t="shared" si="104"/>
        <v>48119</v>
      </c>
      <c r="L285" s="143">
        <f>IF(t&lt;Tvie,1-EXP((T0-t)*PertePVj)+'2030'!Pspv,1-EXP((T0-t)*PertePVj)+Pspv)</f>
        <v>4.9323833441380582E-2</v>
      </c>
      <c r="M285" s="835"/>
      <c r="N285" s="835"/>
      <c r="O285" s="48">
        <f>IF(t&lt;Tnet,'2030'!Resal+('2030'!Salim-'2030'!Resal)*(1-EXP(('2030'!Tnet-t)/('2030'!Tau_j))),Resal+(Salim-Resal)*(1-EXP((Tnet-t)/(Tau_j))))*Salcycl</f>
        <v>4.0759772659196399E-2</v>
      </c>
      <c r="P285" s="165">
        <f>(INDEX(Models!$BJ285:$BT285,,T285)*(1-R285)+INDEX(Models!$BJ285:$BT285,,T285+1)*R285-ERP_i)*Q285*Ramure*Pc/MaxiM</f>
        <v>1.2589682302979917E-4</v>
      </c>
      <c r="Q285" s="301">
        <f t="shared" si="105"/>
        <v>0.5</v>
      </c>
      <c r="R285" s="173">
        <f t="shared" si="106"/>
        <v>0.45931433945350175</v>
      </c>
      <c r="S285" s="801">
        <f t="shared" si="107"/>
        <v>1</v>
      </c>
      <c r="T285" s="172">
        <f t="shared" si="108"/>
        <v>7</v>
      </c>
      <c r="U285" s="247">
        <f t="shared" si="109"/>
        <v>1.4593143394535018</v>
      </c>
      <c r="V285" s="378">
        <f t="shared" si="110"/>
        <v>166.73507789865201</v>
      </c>
      <c r="W285" s="397">
        <f t="shared" si="111"/>
        <v>59.216355308423282</v>
      </c>
      <c r="X285" s="153">
        <f t="shared" si="112"/>
        <v>48119</v>
      </c>
      <c r="Y285" s="380">
        <f t="shared" si="113"/>
        <v>57.764625323181662</v>
      </c>
      <c r="Z285" s="380">
        <f t="shared" si="114"/>
        <v>60.76162141761219</v>
      </c>
      <c r="AA285" s="381">
        <f t="shared" si="115"/>
        <v>64.932981215383805</v>
      </c>
      <c r="AB285" s="193">
        <f t="shared" si="116"/>
        <v>48119</v>
      </c>
      <c r="AC285" s="119">
        <f>IF(OR(t&lt;Tnet,NoTnet),'2030'!Resal_s+('2030'!Salim-'2030'!Resal_s)*(1-EXP(('2030'!Tnet_s-t)/'2030'!Tau_j)),Resal_s+(Salim-Resal_s)*(1-EXP((Tnet_s-t)/Tau_j)))*Salcycl</f>
        <v>6.424100233339268E-2</v>
      </c>
      <c r="AD285" s="227">
        <f>(INDEX(Models!$BJ285:$BT285,,AH285)*(1-AF285)+INDEX(Models!$BJ285:$BT285,,AH285+1)*AF285-ERP_i)*AE285*Ramure*Pc/MaxiM</f>
        <v>6.0345035534020415E-4</v>
      </c>
      <c r="AE285" s="301">
        <f t="shared" si="117"/>
        <v>0.5</v>
      </c>
      <c r="AF285" s="173">
        <f t="shared" si="118"/>
        <v>0.98430190582748001</v>
      </c>
      <c r="AG285" s="801">
        <f t="shared" si="124"/>
        <v>4</v>
      </c>
      <c r="AH285" s="172">
        <f t="shared" si="119"/>
        <v>10</v>
      </c>
      <c r="AI285" s="221">
        <f t="shared" si="120"/>
        <v>4.98430190582748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48120</v>
      </c>
      <c r="B286" s="406">
        <f>'2030'!Wh/'2030'!Env_an*'2031'!Env_an</f>
        <v>88.124010525015677</v>
      </c>
      <c r="C286" s="831"/>
      <c r="D286" s="388">
        <f t="shared" si="102"/>
        <v>92.697408418513021</v>
      </c>
      <c r="E286" s="380">
        <f t="shared" si="100"/>
        <v>96.639589663526749</v>
      </c>
      <c r="F286" s="380">
        <f t="shared" si="103"/>
        <v>96.643690717988321</v>
      </c>
      <c r="G286" s="110">
        <f t="shared" si="101"/>
        <v>0.53225410912289706</v>
      </c>
      <c r="H286" s="409" t="b">
        <f>Wh_hp&gt;='2030'!Maxi_hp</f>
        <v>0</v>
      </c>
      <c r="I286" s="385">
        <f>IF(H286,Wh_hp,'2030'!Maxi_hp)</f>
        <v>96.649523548208606</v>
      </c>
      <c r="J286" s="85">
        <f>IF(H286,An,'2030'!An_max)</f>
        <v>2029</v>
      </c>
      <c r="K286" s="193">
        <f t="shared" si="104"/>
        <v>48120</v>
      </c>
      <c r="L286" s="143">
        <f>IF(t&lt;Tvie,1-EXP((T0-t)*PertePVj)+'2030'!Pspv,1-EXP((T0-t)*PertePVj)+Pspv)</f>
        <v>4.9336847399759298E-2</v>
      </c>
      <c r="M286" s="835"/>
      <c r="N286" s="835"/>
      <c r="O286" s="48">
        <f>IF(t&lt;Tnet,'2030'!Resal+('2030'!Salim-'2030'!Resal)*(1-EXP(('2030'!Tnet-t)/('2030'!Tau_j))),Resal+(Salim-Resal)*(1-EXP((Tnet-t)/(Tau_j))))*Salcycl</f>
        <v>4.0792611586404195E-2</v>
      </c>
      <c r="P286" s="165">
        <f>(INDEX(Models!$BJ286:$BT286,,T286)*(1-R286)+INDEX(Models!$BJ286:$BT286,,T286+1)*R286-ERP_i)*Q286*Ramure*Pc/MaxiM</f>
        <v>1.2787087268680873E-4</v>
      </c>
      <c r="Q286" s="301">
        <f t="shared" si="105"/>
        <v>0.5</v>
      </c>
      <c r="R286" s="173">
        <f t="shared" si="106"/>
        <v>0.45952920185941193</v>
      </c>
      <c r="S286" s="801">
        <f t="shared" si="107"/>
        <v>1</v>
      </c>
      <c r="T286" s="172">
        <f t="shared" si="108"/>
        <v>7</v>
      </c>
      <c r="U286" s="247">
        <f t="shared" si="109"/>
        <v>1.4595292018594119</v>
      </c>
      <c r="V286" s="378">
        <f t="shared" si="110"/>
        <v>165.5534071502675</v>
      </c>
      <c r="W286" s="397">
        <f t="shared" si="111"/>
        <v>88.124010525015677</v>
      </c>
      <c r="X286" s="153">
        <f t="shared" si="112"/>
        <v>48120</v>
      </c>
      <c r="Y286" s="380">
        <f t="shared" si="113"/>
        <v>85.955902746607009</v>
      </c>
      <c r="Z286" s="380">
        <f t="shared" si="114"/>
        <v>90.416781708117767</v>
      </c>
      <c r="AA286" s="381">
        <f t="shared" si="115"/>
        <v>96.623916877601445</v>
      </c>
      <c r="AB286" s="193">
        <f t="shared" si="116"/>
        <v>48120</v>
      </c>
      <c r="AC286" s="119">
        <f>IF(OR(t&lt;Tnet,NoTnet),'2030'!Resal_s+('2030'!Salim-'2030'!Resal_s)*(1-EXP(('2030'!Tnet_s-t)/'2030'!Tau_j)),Resal_s+(Salim-Resal_s)*(1-EXP((Tnet_s-t)/Tau_j)))*Salcycl</f>
        <v>6.4240152646125717E-2</v>
      </c>
      <c r="AD286" s="227">
        <f>(INDEX(Models!$BJ286:$BT286,,AH286)*(1-AF286)+INDEX(Models!$BJ286:$BT286,,AH286+1)*AF286-ERP_i)*AE286*Ramure*Pc/MaxiM</f>
        <v>6.1654831710606414E-4</v>
      </c>
      <c r="AE286" s="301">
        <f t="shared" si="117"/>
        <v>0.5</v>
      </c>
      <c r="AF286" s="173">
        <f t="shared" si="118"/>
        <v>0.98451676823338996</v>
      </c>
      <c r="AG286" s="801">
        <f t="shared" si="124"/>
        <v>4</v>
      </c>
      <c r="AH286" s="172">
        <f t="shared" si="119"/>
        <v>10</v>
      </c>
      <c r="AI286" s="221">
        <f t="shared" si="120"/>
        <v>4.98451676823339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48121</v>
      </c>
      <c r="B287" s="406">
        <f>'2030'!Wh/'2030'!Env_an*'2031'!Env_an</f>
        <v>126.36324456339453</v>
      </c>
      <c r="C287" s="831"/>
      <c r="D287" s="388">
        <f t="shared" si="102"/>
        <v>132.92297492350028</v>
      </c>
      <c r="E287" s="380">
        <f t="shared" si="100"/>
        <v>138.58050242406722</v>
      </c>
      <c r="F287" s="380">
        <f t="shared" si="103"/>
        <v>138.5926278003372</v>
      </c>
      <c r="G287" s="110">
        <f t="shared" si="101"/>
        <v>0.7687345496793242</v>
      </c>
      <c r="H287" s="409" t="b">
        <f>Wh_hp&gt;='2030'!Maxi_hp</f>
        <v>0</v>
      </c>
      <c r="I287" s="385">
        <f>IF(H287,Wh_hp,'2030'!Maxi_hp)</f>
        <v>138.59685569757437</v>
      </c>
      <c r="J287" s="85">
        <f>IF(H287,An,'2030'!An_max)</f>
        <v>2029</v>
      </c>
      <c r="K287" s="193">
        <f t="shared" si="104"/>
        <v>48121</v>
      </c>
      <c r="L287" s="143">
        <f>IF(t&lt;Tvie,1-EXP((T0-t)*PertePVj)+'2030'!Pspv,1-EXP((T0-t)*PertePVj)+Pspv)</f>
        <v>4.9349861179987853E-2</v>
      </c>
      <c r="M287" s="835"/>
      <c r="N287" s="835"/>
      <c r="O287" s="48">
        <f>IF(t&lt;Tnet,'2030'!Resal+('2030'!Salim-'2030'!Resal)*(1-EXP(('2030'!Tnet-t)/('2030'!Tau_j))),Resal+(Salim-Resal)*(1-EXP((Tnet-t)/(Tau_j))))*Salcycl</f>
        <v>4.082484477689699E-2</v>
      </c>
      <c r="P287" s="165">
        <f>(INDEX(Models!$BJ287:$BT287,,T287)*(1-R287)+INDEX(Models!$BJ287:$BT287,,T287+1)*R287-ERP_i)*Q287*Ramure*Pc/MaxiM</f>
        <v>1.3064579258913352E-4</v>
      </c>
      <c r="Q287" s="301">
        <f t="shared" si="105"/>
        <v>0.5</v>
      </c>
      <c r="R287" s="173">
        <f t="shared" si="106"/>
        <v>0.45973558860222097</v>
      </c>
      <c r="S287" s="801">
        <f t="shared" si="107"/>
        <v>1</v>
      </c>
      <c r="T287" s="172">
        <f t="shared" si="108"/>
        <v>7</v>
      </c>
      <c r="U287" s="247">
        <f t="shared" si="109"/>
        <v>1.459735588602221</v>
      </c>
      <c r="V287" s="378">
        <f t="shared" si="110"/>
        <v>164.37116134356475</v>
      </c>
      <c r="W287" s="397">
        <f t="shared" si="111"/>
        <v>126.36324456339453</v>
      </c>
      <c r="X287" s="153">
        <f t="shared" si="112"/>
        <v>48121</v>
      </c>
      <c r="Y287" s="380">
        <f t="shared" si="113"/>
        <v>123.23725139951506</v>
      </c>
      <c r="Z287" s="380">
        <f t="shared" si="114"/>
        <v>129.63470615223645</v>
      </c>
      <c r="AA287" s="381">
        <f t="shared" si="115"/>
        <v>138.53390874923826</v>
      </c>
      <c r="AB287" s="193">
        <f t="shared" si="116"/>
        <v>48121</v>
      </c>
      <c r="AC287" s="119">
        <f>IF(OR(t&lt;Tnet,NoTnet),'2030'!Resal_s+('2030'!Salim-'2030'!Resal_s)*(1-EXP(('2030'!Tnet_s-t)/'2030'!Tau_j)),Resal_s+(Salim-Resal_s)*(1-EXP((Tnet_s-t)/Tau_j)))*Salcycl</f>
        <v>6.4238442972906734E-2</v>
      </c>
      <c r="AD287" s="227">
        <f>(INDEX(Models!$BJ287:$BT287,,AH287)*(1-AF287)+INDEX(Models!$BJ287:$BT287,,AH287+1)*AF287-ERP_i)*AE287*Ramure*Pc/MaxiM</f>
        <v>6.3267290021345492E-4</v>
      </c>
      <c r="AE287" s="301">
        <f t="shared" si="117"/>
        <v>0.5</v>
      </c>
      <c r="AF287" s="173">
        <f t="shared" si="118"/>
        <v>0.98472315497619878</v>
      </c>
      <c r="AG287" s="801">
        <f t="shared" si="124"/>
        <v>4</v>
      </c>
      <c r="AH287" s="172">
        <f t="shared" si="119"/>
        <v>10</v>
      </c>
      <c r="AI287" s="221">
        <f t="shared" si="120"/>
        <v>4.9847231549761988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48122</v>
      </c>
      <c r="B288" s="406">
        <f>'2030'!Wh/'2030'!Env_an*'2031'!Env_an</f>
        <v>143.23610521015885</v>
      </c>
      <c r="C288" s="831"/>
      <c r="D288" s="388">
        <f t="shared" si="102"/>
        <v>150.67379698359909</v>
      </c>
      <c r="E288" s="380">
        <f t="shared" si="100"/>
        <v>157.09202086913831</v>
      </c>
      <c r="F288" s="380">
        <f t="shared" si="103"/>
        <v>157.10942599121842</v>
      </c>
      <c r="G288" s="110">
        <f t="shared" si="101"/>
        <v>0.87770629045373416</v>
      </c>
      <c r="H288" s="409" t="b">
        <f>Wh_hp&gt;='2030'!Maxi_hp</f>
        <v>0</v>
      </c>
      <c r="I288" s="385">
        <f>IF(H288,Wh_hp,'2030'!Maxi_hp)</f>
        <v>157.11203126188397</v>
      </c>
      <c r="J288" s="85">
        <f>IF(H288,An,'2030'!An_max)</f>
        <v>2029</v>
      </c>
      <c r="K288" s="193">
        <f t="shared" si="104"/>
        <v>48122</v>
      </c>
      <c r="L288" s="143">
        <f>IF(t&lt;Tvie,1-EXP((T0-t)*PertePVj)+'2030'!Pspv,1-EXP((T0-t)*PertePVj)+Pspv)</f>
        <v>4.9362874782068689E-2</v>
      </c>
      <c r="M288" s="835"/>
      <c r="N288" s="835"/>
      <c r="O288" s="48">
        <f>IF(t&lt;Tnet,'2030'!Resal+('2030'!Salim-'2030'!Resal)*(1-EXP(('2030'!Tnet-t)/('2030'!Tau_j))),Resal+(Salim-Resal)*(1-EXP((Tnet-t)/(Tau_j))))*Salcycl</f>
        <v>4.0856460118275262E-2</v>
      </c>
      <c r="P288" s="165">
        <f>(INDEX(Models!$BJ288:$BT288,,T288)*(1-R288)+INDEX(Models!$BJ288:$BT288,,T288+1)*R288-ERP_i)*Q288*Ramure*Pc/MaxiM</f>
        <v>1.3423022029776182E-4</v>
      </c>
      <c r="Q288" s="301">
        <f t="shared" si="105"/>
        <v>0.5</v>
      </c>
      <c r="R288" s="173">
        <f t="shared" si="106"/>
        <v>0.45993382730496934</v>
      </c>
      <c r="S288" s="801">
        <f t="shared" si="107"/>
        <v>1</v>
      </c>
      <c r="T288" s="172">
        <f t="shared" si="108"/>
        <v>7</v>
      </c>
      <c r="U288" s="247">
        <f t="shared" si="109"/>
        <v>1.4599338273049693</v>
      </c>
      <c r="V288" s="378">
        <f t="shared" si="110"/>
        <v>163.18983693051754</v>
      </c>
      <c r="W288" s="397">
        <f t="shared" si="111"/>
        <v>143.23610521015885</v>
      </c>
      <c r="X288" s="153">
        <f t="shared" si="112"/>
        <v>48122</v>
      </c>
      <c r="Y288" s="380">
        <f t="shared" si="113"/>
        <v>139.68497806510234</v>
      </c>
      <c r="Z288" s="380">
        <f t="shared" si="114"/>
        <v>146.93827366891429</v>
      </c>
      <c r="AA288" s="381">
        <f t="shared" si="115"/>
        <v>157.02490273419045</v>
      </c>
      <c r="AB288" s="193">
        <f t="shared" si="116"/>
        <v>48122</v>
      </c>
      <c r="AC288" s="119">
        <f>IF(OR(t&lt;Tnet,NoTnet),'2030'!Resal_s+('2030'!Salim-'2030'!Resal_s)*(1-EXP(('2030'!Tnet_s-t)/'2030'!Tau_j)),Resal_s+(Salim-Resal_s)*(1-EXP((Tnet_s-t)/Tau_j)))*Salcycl</f>
        <v>6.423585615811947E-2</v>
      </c>
      <c r="AD288" s="227">
        <f>(INDEX(Models!$BJ288:$BT288,,AH288)*(1-AF288)+INDEX(Models!$BJ288:$BT288,,AH288+1)*AF288-ERP_i)*AE288*Ramure*Pc/MaxiM</f>
        <v>6.5185267640896374E-4</v>
      </c>
      <c r="AE288" s="301">
        <f t="shared" si="117"/>
        <v>0.5</v>
      </c>
      <c r="AF288" s="173">
        <f t="shared" si="118"/>
        <v>0.98492139367894715</v>
      </c>
      <c r="AG288" s="801">
        <f t="shared" si="124"/>
        <v>4</v>
      </c>
      <c r="AH288" s="172">
        <f t="shared" si="119"/>
        <v>10</v>
      </c>
      <c r="AI288" s="221">
        <f t="shared" si="120"/>
        <v>4.9849213936789472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48123</v>
      </c>
      <c r="B289" s="406">
        <f>'2030'!Wh/'2030'!Env_an*'2031'!Env_an</f>
        <v>148.28603865953971</v>
      </c>
      <c r="C289" s="831"/>
      <c r="D289" s="388">
        <f t="shared" si="102"/>
        <v>155.98808910884634</v>
      </c>
      <c r="E289" s="380">
        <f t="shared" si="100"/>
        <v>162.6379391181371</v>
      </c>
      <c r="F289" s="380">
        <f t="shared" si="103"/>
        <v>162.65776119485099</v>
      </c>
      <c r="G289" s="110">
        <f t="shared" si="101"/>
        <v>0.91529603012906358</v>
      </c>
      <c r="H289" s="409" t="b">
        <f>Wh_hp&gt;='2030'!Maxi_hp</f>
        <v>0</v>
      </c>
      <c r="I289" s="385">
        <f>IF(H289,Wh_hp,'2030'!Maxi_hp)</f>
        <v>162.6596915163866</v>
      </c>
      <c r="J289" s="85">
        <f>IF(H289,An,'2030'!An_max)</f>
        <v>2029</v>
      </c>
      <c r="K289" s="193">
        <f t="shared" si="104"/>
        <v>48123</v>
      </c>
      <c r="L289" s="143">
        <f>IF(t&lt;Tvie,1-EXP((T0-t)*PertePVj)+'2030'!Pspv,1-EXP((T0-t)*PertePVj)+Pspv)</f>
        <v>4.9375888206004248E-2</v>
      </c>
      <c r="M289" s="835"/>
      <c r="N289" s="835"/>
      <c r="O289" s="48">
        <f>IF(t&lt;Tnet,'2030'!Resal+('2030'!Salim-'2030'!Resal)*(1-EXP(('2030'!Tnet-t)/('2030'!Tau_j))),Resal+(Salim-Resal)*(1-EXP((Tnet-t)/(Tau_j))))*Salcycl</f>
        <v>4.0887446344609779E-2</v>
      </c>
      <c r="P289" s="165">
        <f>(INDEX(Models!$BJ289:$BT289,,T289)*(1-R289)+INDEX(Models!$BJ289:$BT289,,T289+1)*R289-ERP_i)*Q289*Ramure*Pc/MaxiM</f>
        <v>1.386364572666805E-4</v>
      </c>
      <c r="Q289" s="301">
        <f t="shared" si="105"/>
        <v>0.5</v>
      </c>
      <c r="R289" s="173">
        <f t="shared" si="106"/>
        <v>0.46012423345212561</v>
      </c>
      <c r="S289" s="801">
        <f t="shared" si="107"/>
        <v>1</v>
      </c>
      <c r="T289" s="172">
        <f t="shared" si="108"/>
        <v>7</v>
      </c>
      <c r="U289" s="247">
        <f t="shared" si="109"/>
        <v>1.4601242334521256</v>
      </c>
      <c r="V289" s="378">
        <f t="shared" si="110"/>
        <v>162.00611202242192</v>
      </c>
      <c r="W289" s="397">
        <f t="shared" si="111"/>
        <v>148.28603865953971</v>
      </c>
      <c r="X289" s="153">
        <f t="shared" si="112"/>
        <v>48123</v>
      </c>
      <c r="Y289" s="380">
        <f t="shared" si="113"/>
        <v>144.60862702414738</v>
      </c>
      <c r="Z289" s="380">
        <f t="shared" si="114"/>
        <v>152.1196708878395</v>
      </c>
      <c r="AA289" s="381">
        <f t="shared" si="115"/>
        <v>162.56137427225002</v>
      </c>
      <c r="AB289" s="193">
        <f t="shared" si="116"/>
        <v>48123</v>
      </c>
      <c r="AC289" s="119">
        <f>IF(OR(t&lt;Tnet,NoTnet),'2030'!Resal_s+('2030'!Salim-'2030'!Resal_s)*(1-EXP(('2030'!Tnet_s-t)/'2030'!Tau_j)),Resal_s+(Salim-Resal_s)*(1-EXP((Tnet_s-t)/Tau_j)))*Salcycl</f>
        <v>6.4232376424938759E-2</v>
      </c>
      <c r="AD289" s="227">
        <f>(INDEX(Models!$BJ289:$BT289,,AH289)*(1-AF289)+INDEX(Models!$BJ289:$BT289,,AH289+1)*AF289-ERP_i)*AE289*Ramure*Pc/MaxiM</f>
        <v>6.7413428315841334E-4</v>
      </c>
      <c r="AE289" s="301">
        <f t="shared" si="117"/>
        <v>0.5</v>
      </c>
      <c r="AF289" s="173">
        <f t="shared" si="118"/>
        <v>0.98511179982610386</v>
      </c>
      <c r="AG289" s="801">
        <f t="shared" si="124"/>
        <v>4</v>
      </c>
      <c r="AH289" s="172">
        <f t="shared" si="119"/>
        <v>10</v>
      </c>
      <c r="AI289" s="221">
        <f t="shared" si="120"/>
        <v>4.9851117998261039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48124</v>
      </c>
      <c r="B290" s="406">
        <f>'2030'!Wh/'2030'!Env_an*'2031'!Env_an</f>
        <v>139.2825363613378</v>
      </c>
      <c r="C290" s="831"/>
      <c r="D290" s="388">
        <f t="shared" si="102"/>
        <v>146.51894615374633</v>
      </c>
      <c r="E290" s="380">
        <f t="shared" si="100"/>
        <v>152.76995559700086</v>
      </c>
      <c r="F290" s="380">
        <f t="shared" si="103"/>
        <v>152.787738257695</v>
      </c>
      <c r="G290" s="110">
        <f t="shared" si="101"/>
        <v>0.86607493343850439</v>
      </c>
      <c r="H290" s="409" t="b">
        <f>Wh_hp&gt;='2030'!Maxi_hp</f>
        <v>0</v>
      </c>
      <c r="I290" s="385">
        <f>IF(H290,Wh_hp,'2030'!Maxi_hp)</f>
        <v>152.79071462961011</v>
      </c>
      <c r="J290" s="85">
        <f>IF(H290,An,'2030'!An_max)</f>
        <v>2029</v>
      </c>
      <c r="K290" s="193">
        <f t="shared" si="104"/>
        <v>48124</v>
      </c>
      <c r="L290" s="143">
        <f>IF(t&lt;Tvie,1-EXP((T0-t)*PertePVj)+'2030'!Pspv,1-EXP((T0-t)*PertePVj)+Pspv)</f>
        <v>4.9388901451796974E-2</v>
      </c>
      <c r="M290" s="835"/>
      <c r="N290" s="835"/>
      <c r="O290" s="48">
        <f>IF(t&lt;Tnet,'2030'!Resal+('2030'!Salim-'2030'!Resal)*(1-EXP(('2030'!Tnet-t)/('2030'!Tau_j))),Resal+(Salim-Resal)*(1-EXP((Tnet-t)/(Tau_j))))*Salcycl</f>
        <v>4.0917793153939112E-2</v>
      </c>
      <c r="P290" s="165">
        <f>(INDEX(Models!$BJ290:$BT290,,T290)*(1-R290)+INDEX(Models!$BJ290:$BT290,,T290+1)*R290-ERP_i)*Q290*Ramure*Pc/MaxiM</f>
        <v>1.4391765079321351E-4</v>
      </c>
      <c r="Q290" s="301">
        <f t="shared" si="105"/>
        <v>0.5</v>
      </c>
      <c r="R290" s="173">
        <f t="shared" si="106"/>
        <v>0.46030711079791375</v>
      </c>
      <c r="S290" s="801">
        <f t="shared" si="107"/>
        <v>1</v>
      </c>
      <c r="T290" s="172">
        <f t="shared" si="108"/>
        <v>7</v>
      </c>
      <c r="U290" s="247">
        <f t="shared" si="109"/>
        <v>1.4603071107979138</v>
      </c>
      <c r="V290" s="378">
        <f t="shared" si="110"/>
        <v>160.81599425091611</v>
      </c>
      <c r="W290" s="397">
        <f t="shared" si="111"/>
        <v>139.2825363613378</v>
      </c>
      <c r="X290" s="153">
        <f t="shared" si="112"/>
        <v>48124</v>
      </c>
      <c r="Y290" s="380">
        <f t="shared" si="113"/>
        <v>135.83629298847416</v>
      </c>
      <c r="Z290" s="380">
        <f t="shared" si="114"/>
        <v>142.8936535623524</v>
      </c>
      <c r="AA290" s="381">
        <f t="shared" si="115"/>
        <v>152.70135456845097</v>
      </c>
      <c r="AB290" s="193">
        <f t="shared" si="116"/>
        <v>48124</v>
      </c>
      <c r="AC290" s="119">
        <f>IF(OR(t&lt;Tnet,NoTnet),'2030'!Resal_s+('2030'!Salim-'2030'!Resal_s)*(1-EXP(('2030'!Tnet_s-t)/'2030'!Tau_j)),Resal_s+(Salim-Resal_s)*(1-EXP((Tnet_s-t)/Tau_j)))*Salcycl</f>
        <v>6.422798955396368E-2</v>
      </c>
      <c r="AD290" s="227">
        <f>(INDEX(Models!$BJ290:$BT290,,AH290)*(1-AF290)+INDEX(Models!$BJ290:$BT290,,AH290+1)*AF290-ERP_i)*AE290*Ramure*Pc/MaxiM</f>
        <v>6.9911571933394261E-4</v>
      </c>
      <c r="AE290" s="301">
        <f t="shared" si="117"/>
        <v>0.5</v>
      </c>
      <c r="AF290" s="173">
        <f t="shared" si="118"/>
        <v>0.98529467717189156</v>
      </c>
      <c r="AG290" s="801">
        <f t="shared" si="124"/>
        <v>4</v>
      </c>
      <c r="AH290" s="172">
        <f t="shared" si="119"/>
        <v>10</v>
      </c>
      <c r="AI290" s="221">
        <f t="shared" si="120"/>
        <v>4.9852946771718916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48125</v>
      </c>
      <c r="B291" s="406">
        <f>'2030'!Wh/'2030'!Env_an*'2031'!Env_an</f>
        <v>159.37920309098769</v>
      </c>
      <c r="C291" s="831"/>
      <c r="D291" s="388">
        <f t="shared" si="102"/>
        <v>167.66202828024586</v>
      </c>
      <c r="E291" s="380">
        <f t="shared" si="100"/>
        <v>174.82048872599159</v>
      </c>
      <c r="F291" s="380">
        <f t="shared" si="103"/>
        <v>174.84663798287474</v>
      </c>
      <c r="G291" s="110">
        <f t="shared" si="101"/>
        <v>0.99849101152485853</v>
      </c>
      <c r="H291" s="409" t="b">
        <f>Wh_hp&gt;='2030'!Maxi_hp</f>
        <v>0</v>
      </c>
      <c r="I291" s="385">
        <f>IF(H291,Wh_hp,'2030'!Maxi_hp)</f>
        <v>174.84667794074412</v>
      </c>
      <c r="J291" s="85">
        <f>IF(H291,An,'2030'!An_max)</f>
        <v>2029</v>
      </c>
      <c r="K291" s="193">
        <f t="shared" si="104"/>
        <v>48125</v>
      </c>
      <c r="L291" s="143">
        <f>IF(t&lt;Tvie,1-EXP((T0-t)*PertePVj)+'2030'!Pspv,1-EXP((T0-t)*PertePVj)+Pspv)</f>
        <v>4.9401914519449197E-2</v>
      </c>
      <c r="M291" s="835"/>
      <c r="N291" s="835"/>
      <c r="O291" s="48">
        <f>IF(t&lt;Tnet,'2030'!Resal+('2030'!Salim-'2030'!Resal)*(1-EXP(('2030'!Tnet-t)/('2030'!Tau_j))),Resal+(Salim-Resal)*(1-EXP((Tnet-t)/(Tau_j))))*Salcycl</f>
        <v>4.0947491326177948E-2</v>
      </c>
      <c r="P291" s="165">
        <f>(INDEX(Models!$BJ291:$BT291,,T291)*(1-R291)+INDEX(Models!$BJ291:$BT291,,T291+1)*R291-ERP_i)*Q291*Ramure*Pc/MaxiM</f>
        <v>1.4987841206404143E-4</v>
      </c>
      <c r="Q291" s="301">
        <f t="shared" si="105"/>
        <v>0.5</v>
      </c>
      <c r="R291" s="173">
        <f t="shared" si="106"/>
        <v>0.46048275176424402</v>
      </c>
      <c r="S291" s="801">
        <f t="shared" si="107"/>
        <v>1</v>
      </c>
      <c r="T291" s="172">
        <f t="shared" si="108"/>
        <v>7</v>
      </c>
      <c r="U291" s="247">
        <f t="shared" si="109"/>
        <v>1.460482751764244</v>
      </c>
      <c r="V291" s="378">
        <f t="shared" si="110"/>
        <v>159.62001636515629</v>
      </c>
      <c r="W291" s="397">
        <f t="shared" si="111"/>
        <v>159.37920309098769</v>
      </c>
      <c r="X291" s="153">
        <f t="shared" si="112"/>
        <v>48125</v>
      </c>
      <c r="Y291" s="380">
        <f t="shared" si="113"/>
        <v>155.42184567488141</v>
      </c>
      <c r="Z291" s="380">
        <f t="shared" si="114"/>
        <v>163.49900978005002</v>
      </c>
      <c r="AA291" s="381">
        <f t="shared" si="115"/>
        <v>174.71999675626154</v>
      </c>
      <c r="AB291" s="193">
        <f t="shared" si="116"/>
        <v>48125</v>
      </c>
      <c r="AC291" s="119">
        <f>IF(OR(t&lt;Tnet,NoTnet),'2030'!Resal_s+('2030'!Salim-'2030'!Resal_s)*(1-EXP(('2030'!Tnet_s-t)/'2030'!Tau_j)),Resal_s+(Salim-Resal_s)*(1-EXP((Tnet_s-t)/Tau_j)))*Salcycl</f>
        <v>6.4222683061659278E-2</v>
      </c>
      <c r="AD291" s="227">
        <f>(INDEX(Models!$BJ291:$BT291,,AH291)*(1-AF291)+INDEX(Models!$BJ291:$BT291,,AH291+1)*AF291-ERP_i)*AE291*Ramure*Pc/MaxiM</f>
        <v>7.2586330202265492E-4</v>
      </c>
      <c r="AE291" s="301">
        <f t="shared" si="117"/>
        <v>0.5</v>
      </c>
      <c r="AF291" s="173">
        <f t="shared" si="118"/>
        <v>0.98547031813822183</v>
      </c>
      <c r="AG291" s="801">
        <f t="shared" si="124"/>
        <v>4</v>
      </c>
      <c r="AH291" s="172">
        <f t="shared" si="119"/>
        <v>10</v>
      </c>
      <c r="AI291" s="221">
        <f t="shared" si="120"/>
        <v>4.9854703181382218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48126</v>
      </c>
      <c r="B292" s="406">
        <f>'2030'!Wh/'2030'!Env_an*'2031'!Env_an</f>
        <v>161.98059334303227</v>
      </c>
      <c r="C292" s="831"/>
      <c r="D292" s="388">
        <f t="shared" si="102"/>
        <v>170.40094360152028</v>
      </c>
      <c r="E292" s="380">
        <f t="shared" si="100"/>
        <v>177.68172462579565</v>
      </c>
      <c r="F292" s="380">
        <f t="shared" si="103"/>
        <v>177.70954073163577</v>
      </c>
      <c r="G292" s="110">
        <f t="shared" si="101"/>
        <v>1.0224841894661152</v>
      </c>
      <c r="H292" s="409" t="b">
        <f>Wh_hp&gt;='2030'!Maxi_hp</f>
        <v>1</v>
      </c>
      <c r="I292" s="385">
        <f>IF(H292,Wh_hp,'2030'!Maxi_hp)</f>
        <v>177.70954073163577</v>
      </c>
      <c r="J292" s="85">
        <f>IF(H292,An,'2030'!An_max)</f>
        <v>2031</v>
      </c>
      <c r="K292" s="193">
        <f t="shared" si="104"/>
        <v>48126</v>
      </c>
      <c r="L292" s="143">
        <f>IF(t&lt;Tvie,1-EXP((T0-t)*PertePVj)+'2030'!Pspv,1-EXP((T0-t)*PertePVj)+Pspv)</f>
        <v>4.9414927408963583E-2</v>
      </c>
      <c r="M292" s="835"/>
      <c r="N292" s="835"/>
      <c r="O292" s="48">
        <f>IF(t&lt;Tnet,'2030'!Resal+('2030'!Salim-'2030'!Resal)*(1-EXP(('2030'!Tnet-t)/('2030'!Tau_j))),Resal+(Salim-Resal)*(1-EXP((Tnet-t)/(Tau_j))))*Salcycl</f>
        <v>4.0976532840442489E-2</v>
      </c>
      <c r="P292" s="165">
        <f>(INDEX(Models!$BJ292:$BT292,,T292)*(1-R292)+INDEX(Models!$BJ292:$BT292,,T292+1)*R292-ERP_i)*Q292*Ramure*Pc/MaxiM</f>
        <v>1.5652567513024345E-4</v>
      </c>
      <c r="Q292" s="301">
        <f t="shared" si="105"/>
        <v>0.5</v>
      </c>
      <c r="R292" s="173">
        <f t="shared" si="106"/>
        <v>0.46065143782822582</v>
      </c>
      <c r="S292" s="801">
        <f t="shared" si="107"/>
        <v>1</v>
      </c>
      <c r="T292" s="172">
        <f t="shared" si="108"/>
        <v>7</v>
      </c>
      <c r="U292" s="247">
        <f t="shared" si="109"/>
        <v>1.4606514378282258</v>
      </c>
      <c r="V292" s="378">
        <f t="shared" si="110"/>
        <v>158.41867777692448</v>
      </c>
      <c r="W292" s="397">
        <f t="shared" si="111"/>
        <v>161.98059334303227</v>
      </c>
      <c r="X292" s="153">
        <f t="shared" si="112"/>
        <v>48126</v>
      </c>
      <c r="Y292" s="380">
        <f t="shared" si="113"/>
        <v>157.96082424356555</v>
      </c>
      <c r="Z292" s="380">
        <f t="shared" si="114"/>
        <v>166.17221203885234</v>
      </c>
      <c r="AA292" s="381">
        <f t="shared" si="115"/>
        <v>177.57547821342479</v>
      </c>
      <c r="AB292" s="193">
        <f t="shared" si="116"/>
        <v>48126</v>
      </c>
      <c r="AC292" s="119">
        <f>IF(OR(t&lt;Tnet,NoTnet),'2030'!Resal_s+('2030'!Salim-'2030'!Resal_s)*(1-EXP(('2030'!Tnet_s-t)/'2030'!Tau_j)),Resal_s+(Salim-Resal_s)*(1-EXP((Tnet_s-t)/Tau_j)))*Salcycl</f>
        <v>6.4216446377055897E-2</v>
      </c>
      <c r="AD292" s="227">
        <f>(INDEX(Models!$BJ292:$BT292,,AH292)*(1-AF292)+INDEX(Models!$BJ292:$BT292,,AH292+1)*AF292-ERP_i)*AE292*Ramure*Pc/MaxiM</f>
        <v>7.5439122547408676E-4</v>
      </c>
      <c r="AE292" s="301">
        <f t="shared" si="117"/>
        <v>0.5</v>
      </c>
      <c r="AF292" s="173">
        <f t="shared" si="118"/>
        <v>0.98563900420220385</v>
      </c>
      <c r="AG292" s="801">
        <f t="shared" si="124"/>
        <v>4</v>
      </c>
      <c r="AH292" s="172">
        <f t="shared" si="119"/>
        <v>10</v>
      </c>
      <c r="AI292" s="221">
        <f t="shared" si="120"/>
        <v>4.9856390042022039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48127</v>
      </c>
      <c r="B293" s="406">
        <f>'2030'!Wh/'2030'!Env_an*'2031'!Env_an</f>
        <v>54.388687962992897</v>
      </c>
      <c r="C293" s="831"/>
      <c r="D293" s="388">
        <f t="shared" si="102"/>
        <v>57.216796346695169</v>
      </c>
      <c r="E293" s="380">
        <f t="shared" si="100"/>
        <v>59.663283996383804</v>
      </c>
      <c r="F293" s="380">
        <f t="shared" si="103"/>
        <v>59.663925871512156</v>
      </c>
      <c r="G293" s="110">
        <f t="shared" si="101"/>
        <v>0.3459035908489051</v>
      </c>
      <c r="H293" s="409" t="b">
        <f>Wh_hp&gt;='2030'!Maxi_hp</f>
        <v>0</v>
      </c>
      <c r="I293" s="385">
        <f>IF(H293,Wh_hp,'2030'!Maxi_hp)</f>
        <v>59.670380346633422</v>
      </c>
      <c r="J293" s="85">
        <f>IF(H293,An,'2030'!An_max)</f>
        <v>2029</v>
      </c>
      <c r="K293" s="193">
        <f t="shared" si="104"/>
        <v>48127</v>
      </c>
      <c r="L293" s="143">
        <f>IF(t&lt;Tvie,1-EXP((T0-t)*PertePVj)+'2030'!Pspv,1-EXP((T0-t)*PertePVj)+Pspv)</f>
        <v>4.9427940120342351E-2</v>
      </c>
      <c r="M293" s="835"/>
      <c r="N293" s="835"/>
      <c r="O293" s="48">
        <f>IF(t&lt;Tnet,'2030'!Resal+('2030'!Salim-'2030'!Resal)*(1-EXP(('2030'!Tnet-t)/('2030'!Tau_j))),Resal+(Salim-Resal)*(1-EXP((Tnet-t)/(Tau_j))))*Salcycl</f>
        <v>4.1004910990768119E-2</v>
      </c>
      <c r="P293" s="165">
        <f>(INDEX(Models!$BJ293:$BT293,,T293)*(1-R293)+INDEX(Models!$BJ293:$BT293,,T293+1)*R293-ERP_i)*Q293*Ramure*Pc/MaxiM</f>
        <v>1.6386614892115542E-4</v>
      </c>
      <c r="Q293" s="301">
        <f t="shared" si="105"/>
        <v>0.5</v>
      </c>
      <c r="R293" s="173">
        <f t="shared" si="106"/>
        <v>0.46081343989926493</v>
      </c>
      <c r="S293" s="801">
        <f t="shared" si="107"/>
        <v>1</v>
      </c>
      <c r="T293" s="172">
        <f t="shared" si="108"/>
        <v>7</v>
      </c>
      <c r="U293" s="247">
        <f t="shared" si="109"/>
        <v>1.4608134398992649</v>
      </c>
      <c r="V293" s="378">
        <f t="shared" si="110"/>
        <v>157.21247761055491</v>
      </c>
      <c r="W293" s="397">
        <f t="shared" si="111"/>
        <v>54.388687962992897</v>
      </c>
      <c r="X293" s="153">
        <f t="shared" si="112"/>
        <v>48127</v>
      </c>
      <c r="Y293" s="380">
        <f t="shared" si="113"/>
        <v>53.070506805680175</v>
      </c>
      <c r="Z293" s="380">
        <f t="shared" si="114"/>
        <v>55.830072275003431</v>
      </c>
      <c r="AA293" s="381">
        <f t="shared" si="115"/>
        <v>59.660852096243914</v>
      </c>
      <c r="AB293" s="193">
        <f t="shared" si="116"/>
        <v>48127</v>
      </c>
      <c r="AC293" s="119">
        <f>IF(OR(t&lt;Tnet,NoTnet),'2030'!Resal_s+('2030'!Salim-'2030'!Resal_s)*(1-EXP(('2030'!Tnet_s-t)/'2030'!Tau_j)),Resal_s+(Salim-Resal_s)*(1-EXP((Tnet_s-t)/Tau_j)))*Salcycl</f>
        <v>6.4209271015116032E-2</v>
      </c>
      <c r="AD293" s="227">
        <f>(INDEX(Models!$BJ293:$BT293,,AH293)*(1-AF293)+INDEX(Models!$BJ293:$BT293,,AH293+1)*AF293-ERP_i)*AE293*Ramure*Pc/MaxiM</f>
        <v>7.8471293497372541E-4</v>
      </c>
      <c r="AE293" s="301">
        <f t="shared" si="117"/>
        <v>0.5</v>
      </c>
      <c r="AF293" s="173">
        <f t="shared" si="118"/>
        <v>0.98580100627324274</v>
      </c>
      <c r="AG293" s="801">
        <f t="shared" si="124"/>
        <v>4</v>
      </c>
      <c r="AH293" s="172">
        <f t="shared" si="119"/>
        <v>10</v>
      </c>
      <c r="AI293" s="221">
        <f t="shared" si="120"/>
        <v>4.9858010062732427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48128</v>
      </c>
      <c r="B294" s="406">
        <f>'2030'!Wh/'2030'!Env_an*'2031'!Env_an</f>
        <v>111.76437702215915</v>
      </c>
      <c r="C294" s="831"/>
      <c r="D294" s="388">
        <f t="shared" si="102"/>
        <v>117.57752170594921</v>
      </c>
      <c r="E294" s="380">
        <f t="shared" si="100"/>
        <v>122.60846846234976</v>
      </c>
      <c r="F294" s="380">
        <f t="shared" si="103"/>
        <v>122.62100853687581</v>
      </c>
      <c r="G294" s="110">
        <f t="shared" si="101"/>
        <v>0.71637962422470125</v>
      </c>
      <c r="H294" s="409" t="b">
        <f>Wh_hp&gt;='2030'!Maxi_hp</f>
        <v>0</v>
      </c>
      <c r="I294" s="385">
        <f>IF(H294,Wh_hp,'2030'!Maxi_hp)</f>
        <v>122.6270364044056</v>
      </c>
      <c r="J294" s="85">
        <f>IF(H294,An,'2030'!An_max)</f>
        <v>2029</v>
      </c>
      <c r="K294" s="193">
        <f t="shared" si="104"/>
        <v>48128</v>
      </c>
      <c r="L294" s="143">
        <f>IF(t&lt;Tvie,1-EXP((T0-t)*PertePVj)+'2030'!Pspv,1-EXP((T0-t)*PertePVj)+Pspv)</f>
        <v>4.9440952653588055E-2</v>
      </c>
      <c r="M294" s="835"/>
      <c r="N294" s="835"/>
      <c r="O294" s="48">
        <f>IF(t&lt;Tnet,'2030'!Resal+('2030'!Salim-'2030'!Resal)*(1-EXP(('2030'!Tnet-t)/('2030'!Tau_j))),Resal+(Salim-Resal)*(1-EXP((Tnet-t)/(Tau_j))))*Salcycl</f>
        <v>4.1032620499174076E-2</v>
      </c>
      <c r="P294" s="165">
        <f>(INDEX(Models!$BJ294:$BT294,,T294)*(1-R294)+INDEX(Models!$BJ294:$BT294,,T294+1)*R294-ERP_i)*Q294*Ramure*Pc/MaxiM</f>
        <v>1.7190628867240371E-4</v>
      </c>
      <c r="Q294" s="301">
        <f t="shared" si="105"/>
        <v>0.5</v>
      </c>
      <c r="R294" s="173">
        <f t="shared" si="106"/>
        <v>0.46096901868578777</v>
      </c>
      <c r="S294" s="801">
        <f t="shared" si="107"/>
        <v>1</v>
      </c>
      <c r="T294" s="172">
        <f t="shared" si="108"/>
        <v>7</v>
      </c>
      <c r="U294" s="247">
        <f t="shared" si="109"/>
        <v>1.4609690186857878</v>
      </c>
      <c r="V294" s="378">
        <f t="shared" si="110"/>
        <v>156.00191469420298</v>
      </c>
      <c r="W294" s="397">
        <f t="shared" si="111"/>
        <v>111.76437702215915</v>
      </c>
      <c r="X294" s="153">
        <f t="shared" si="112"/>
        <v>48128</v>
      </c>
      <c r="Y294" s="380">
        <f t="shared" si="113"/>
        <v>109.02231478543123</v>
      </c>
      <c r="Z294" s="380">
        <f t="shared" si="114"/>
        <v>114.6928379565465</v>
      </c>
      <c r="AA294" s="381">
        <f t="shared" si="115"/>
        <v>122.56142230552436</v>
      </c>
      <c r="AB294" s="193">
        <f t="shared" si="116"/>
        <v>48128</v>
      </c>
      <c r="AC294" s="119">
        <f>IF(OR(t&lt;Tnet,NoTnet),'2030'!Resal_s+('2030'!Salim-'2030'!Resal_s)*(1-EXP(('2030'!Tnet_s-t)/'2030'!Tau_j)),Resal_s+(Salim-Resal_s)*(1-EXP((Tnet_s-t)/Tau_j)))*Salcycl</f>
        <v>6.4201150745157323E-2</v>
      </c>
      <c r="AD294" s="227">
        <f>(INDEX(Models!$BJ294:$BT294,,AH294)*(1-AF294)+INDEX(Models!$BJ294:$BT294,,AH294+1)*AF294-ERP_i)*AE294*Ramure*Pc/MaxiM</f>
        <v>8.1684106951091396E-4</v>
      </c>
      <c r="AE294" s="301">
        <f t="shared" si="117"/>
        <v>0.5</v>
      </c>
      <c r="AF294" s="173">
        <f t="shared" si="118"/>
        <v>0.9859565850597658</v>
      </c>
      <c r="AG294" s="801">
        <f t="shared" si="124"/>
        <v>4</v>
      </c>
      <c r="AH294" s="172">
        <f t="shared" si="119"/>
        <v>10</v>
      </c>
      <c r="AI294" s="221">
        <f t="shared" si="120"/>
        <v>4.9859565850597658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48129</v>
      </c>
      <c r="B295" s="406">
        <f>'2030'!Wh/'2030'!Env_an*'2031'!Env_an</f>
        <v>62.446343190335497</v>
      </c>
      <c r="C295" s="831"/>
      <c r="D295" s="388">
        <f t="shared" si="102"/>
        <v>65.695232941461114</v>
      </c>
      <c r="E295" s="380">
        <f t="shared" si="100"/>
        <v>68.508154301607021</v>
      </c>
      <c r="F295" s="380">
        <f t="shared" si="103"/>
        <v>68.509983064294374</v>
      </c>
      <c r="G295" s="110">
        <f t="shared" si="101"/>
        <v>0.40337064545718943</v>
      </c>
      <c r="H295" s="409" t="b">
        <f>Wh_hp&gt;='2030'!Maxi_hp</f>
        <v>0</v>
      </c>
      <c r="I295" s="385">
        <f>IF(H295,Wh_hp,'2030'!Maxi_hp)</f>
        <v>68.517420037381285</v>
      </c>
      <c r="J295" s="85">
        <f>IF(H295,An,'2030'!An_max)</f>
        <v>2029</v>
      </c>
      <c r="K295" s="193">
        <f t="shared" si="104"/>
        <v>48129</v>
      </c>
      <c r="L295" s="143">
        <f>IF(t&lt;Tvie,1-EXP((T0-t)*PertePVj)+'2030'!Pspv,1-EXP((T0-t)*PertePVj)+Pspv)</f>
        <v>4.9453965008703027E-2</v>
      </c>
      <c r="M295" s="835"/>
      <c r="N295" s="835"/>
      <c r="O295" s="48">
        <f>IF(t&lt;Tnet,'2030'!Resal+('2030'!Salim-'2030'!Resal)*(1-EXP(('2030'!Tnet-t)/('2030'!Tau_j))),Resal+(Salim-Resal)*(1-EXP((Tnet-t)/(Tau_j))))*Salcycl</f>
        <v>4.1059657625018127E-2</v>
      </c>
      <c r="P295" s="165">
        <f>(INDEX(Models!$BJ295:$BT295,,T295)*(1-R295)+INDEX(Models!$BJ295:$BT295,,T295+1)*R295-ERP_i)*Q295*Ramure*Pc/MaxiM</f>
        <v>1.8065226949722226E-4</v>
      </c>
      <c r="Q295" s="301">
        <f t="shared" si="105"/>
        <v>0.5</v>
      </c>
      <c r="R295" s="173">
        <f t="shared" si="106"/>
        <v>0.46111842505164891</v>
      </c>
      <c r="S295" s="801">
        <f t="shared" si="107"/>
        <v>1</v>
      </c>
      <c r="T295" s="172">
        <f t="shared" si="108"/>
        <v>7</v>
      </c>
      <c r="U295" s="247">
        <f t="shared" si="109"/>
        <v>1.4611184250516489</v>
      </c>
      <c r="V295" s="378">
        <f t="shared" si="110"/>
        <v>154.78748755497662</v>
      </c>
      <c r="W295" s="397">
        <f t="shared" si="111"/>
        <v>62.446343190335497</v>
      </c>
      <c r="X295" s="153">
        <f t="shared" si="112"/>
        <v>48129</v>
      </c>
      <c r="Y295" s="380">
        <f t="shared" si="113"/>
        <v>60.933921729496575</v>
      </c>
      <c r="Z295" s="380">
        <f t="shared" si="114"/>
        <v>64.104124878133305</v>
      </c>
      <c r="AA295" s="381">
        <f t="shared" si="115"/>
        <v>68.501370450248402</v>
      </c>
      <c r="AB295" s="193">
        <f t="shared" si="116"/>
        <v>48129</v>
      </c>
      <c r="AC295" s="119">
        <f>IF(OR(t&lt;Tnet,NoTnet),'2030'!Resal_s+('2030'!Salim-'2030'!Resal_s)*(1-EXP(('2030'!Tnet_s-t)/'2030'!Tau_j)),Resal_s+(Salim-Resal_s)*(1-EXP((Tnet_s-t)/Tau_j)))*Salcycl</f>
        <v>6.4192081752711183E-2</v>
      </c>
      <c r="AD295" s="227">
        <f>(INDEX(Models!$BJ295:$BT295,,AH295)*(1-AF295)+INDEX(Models!$BJ295:$BT295,,AH295+1)*AF295-ERP_i)*AE295*Ramure*Pc/MaxiM</f>
        <v>8.5078741187877749E-4</v>
      </c>
      <c r="AE295" s="301">
        <f t="shared" si="117"/>
        <v>0.5</v>
      </c>
      <c r="AF295" s="173">
        <f t="shared" si="118"/>
        <v>0.98610599142562716</v>
      </c>
      <c r="AG295" s="801">
        <f t="shared" si="124"/>
        <v>4</v>
      </c>
      <c r="AH295" s="172">
        <f t="shared" si="119"/>
        <v>10</v>
      </c>
      <c r="AI295" s="221">
        <f t="shared" si="120"/>
        <v>4.9861059914256272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48130</v>
      </c>
      <c r="B296" s="406">
        <f>'2030'!Wh/'2030'!Env_an*'2031'!Env_an</f>
        <v>147.25310038856054</v>
      </c>
      <c r="C296" s="831"/>
      <c r="D296" s="388">
        <f t="shared" si="102"/>
        <v>154.91634362431503</v>
      </c>
      <c r="E296" s="380">
        <f t="shared" si="100"/>
        <v>161.55395259527586</v>
      </c>
      <c r="F296" s="380">
        <f t="shared" si="103"/>
        <v>161.58278695354133</v>
      </c>
      <c r="G296" s="110">
        <f t="shared" si="101"/>
        <v>0.9588570426986377</v>
      </c>
      <c r="H296" s="409" t="b">
        <f>Wh_hp&gt;='2030'!Maxi_hp</f>
        <v>0</v>
      </c>
      <c r="I296" s="385">
        <f>IF(H296,Wh_hp,'2030'!Maxi_hp)</f>
        <v>161.58405468510185</v>
      </c>
      <c r="J296" s="85">
        <f>IF(H296,An,'2030'!An_max)</f>
        <v>2029</v>
      </c>
      <c r="K296" s="193">
        <f t="shared" si="104"/>
        <v>48130</v>
      </c>
      <c r="L296" s="143">
        <f>IF(t&lt;Tvie,1-EXP((T0-t)*PertePVj)+'2030'!Pspv,1-EXP((T0-t)*PertePVj)+Pspv)</f>
        <v>4.9466977185689931E-2</v>
      </c>
      <c r="M296" s="835"/>
      <c r="N296" s="835"/>
      <c r="O296" s="48">
        <f>IF(t&lt;Tnet,'2030'!Resal+('2030'!Salim-'2030'!Resal)*(1-EXP(('2030'!Tnet-t)/('2030'!Tau_j))),Resal+(Salim-Resal)*(1-EXP((Tnet-t)/(Tau_j))))*Salcycl</f>
        <v>4.1086020269583537E-2</v>
      </c>
      <c r="P296" s="165">
        <f>(INDEX(Models!$BJ296:$BT296,,T296)*(1-R296)+INDEX(Models!$BJ296:$BT296,,T296+1)*R296-ERP_i)*Q296*Ramure*Pc/MaxiM</f>
        <v>1.8958981408286334E-4</v>
      </c>
      <c r="Q296" s="301">
        <f t="shared" si="105"/>
        <v>0.5</v>
      </c>
      <c r="R296" s="173">
        <f t="shared" si="106"/>
        <v>0.46126190036231152</v>
      </c>
      <c r="S296" s="801">
        <f t="shared" si="107"/>
        <v>1</v>
      </c>
      <c r="T296" s="172">
        <f t="shared" si="108"/>
        <v>7</v>
      </c>
      <c r="U296" s="247">
        <f t="shared" si="109"/>
        <v>1.4612619003623115</v>
      </c>
      <c r="V296" s="378">
        <f t="shared" si="110"/>
        <v>153.56977430869202</v>
      </c>
      <c r="W296" s="397">
        <f t="shared" si="111"/>
        <v>147.25310038856054</v>
      </c>
      <c r="X296" s="153">
        <f t="shared" si="112"/>
        <v>48130</v>
      </c>
      <c r="Y296" s="380">
        <f t="shared" si="113"/>
        <v>143.61147174513161</v>
      </c>
      <c r="Z296" s="380">
        <f t="shared" si="114"/>
        <v>151.08519988072692</v>
      </c>
      <c r="AA296" s="381">
        <f t="shared" si="115"/>
        <v>161.44721518341734</v>
      </c>
      <c r="AB296" s="193">
        <f t="shared" si="116"/>
        <v>48130</v>
      </c>
      <c r="AC296" s="119">
        <f>IF(OR(t&lt;Tnet,NoTnet),'2030'!Resal_s+('2030'!Salim-'2030'!Resal_s)*(1-EXP(('2030'!Tnet_s-t)/'2030'!Tau_j)),Resal_s+(Salim-Resal_s)*(1-EXP((Tnet_s-t)/Tau_j)))*Salcycl</f>
        <v>6.4182062793206637E-2</v>
      </c>
      <c r="AD296" s="227">
        <f>(INDEX(Models!$BJ296:$BT296,,AH296)*(1-AF296)+INDEX(Models!$BJ296:$BT296,,AH296+1)*AF296-ERP_i)*AE296*Ramure*Pc/MaxiM</f>
        <v>8.9140276527252082E-4</v>
      </c>
      <c r="AE296" s="301">
        <f t="shared" si="117"/>
        <v>0.5</v>
      </c>
      <c r="AF296" s="173">
        <f t="shared" si="118"/>
        <v>0.98624946673628955</v>
      </c>
      <c r="AG296" s="801">
        <f t="shared" si="124"/>
        <v>4</v>
      </c>
      <c r="AH296" s="172">
        <f t="shared" si="119"/>
        <v>10</v>
      </c>
      <c r="AI296" s="221">
        <f t="shared" si="120"/>
        <v>4.9862494667362895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48131</v>
      </c>
      <c r="B297" s="406">
        <f>'2030'!Wh/'2030'!Env_an*'2031'!Env_an</f>
        <v>117.81368992955527</v>
      </c>
      <c r="C297" s="831"/>
      <c r="D297" s="388">
        <f t="shared" si="102"/>
        <v>123.94656460570795</v>
      </c>
      <c r="E297" s="380">
        <f t="shared" ref="E297:E360" si="125">Wh_pvt/(1-Psa)</f>
        <v>129.26069245966247</v>
      </c>
      <c r="F297" s="380">
        <f t="shared" si="103"/>
        <v>129.27800900478255</v>
      </c>
      <c r="G297" s="110">
        <f t="shared" ref="G297:G360" si="126">+Wh_hp/MaxiM</f>
        <v>0.77326302004569591</v>
      </c>
      <c r="H297" s="409" t="b">
        <f>Wh_hp&gt;='2030'!Maxi_hp</f>
        <v>0</v>
      </c>
      <c r="I297" s="385">
        <f>IF(H297,Wh_hp,'2030'!Maxi_hp)</f>
        <v>129.28384279715198</v>
      </c>
      <c r="J297" s="85">
        <f>IF(H297,An,'2030'!An_max)</f>
        <v>2029</v>
      </c>
      <c r="K297" s="193">
        <f t="shared" si="104"/>
        <v>48131</v>
      </c>
      <c r="L297" s="143">
        <f>IF(t&lt;Tvie,1-EXP((T0-t)*PertePVj)+'2030'!Pspv,1-EXP((T0-t)*PertePVj)+Pspv)</f>
        <v>4.9479989184550988E-2</v>
      </c>
      <c r="M297" s="835"/>
      <c r="N297" s="835"/>
      <c r="O297" s="48">
        <f>IF(t&lt;Tnet,'2030'!Resal+('2030'!Salim-'2030'!Resal)*(1-EXP(('2030'!Tnet-t)/('2030'!Tau_j))),Resal+(Salim-Resal)*(1-EXP((Tnet-t)/(Tau_j))))*Salcycl</f>
        <v>4.1111708074849297E-2</v>
      </c>
      <c r="P297" s="165">
        <f>(INDEX(Models!$BJ297:$BT297,,T297)*(1-R297)+INDEX(Models!$BJ297:$BT297,,T297+1)*R297-ERP_i)*Q297*Ramure*Pc/MaxiM</f>
        <v>1.9810093900273729E-4</v>
      </c>
      <c r="Q297" s="301">
        <f t="shared" si="105"/>
        <v>0.5</v>
      </c>
      <c r="R297" s="173">
        <f t="shared" si="106"/>
        <v>0.46139967682090255</v>
      </c>
      <c r="S297" s="801">
        <f t="shared" si="107"/>
        <v>1</v>
      </c>
      <c r="T297" s="172">
        <f t="shared" si="108"/>
        <v>7</v>
      </c>
      <c r="U297" s="247">
        <f t="shared" si="109"/>
        <v>1.4613996768209025</v>
      </c>
      <c r="V297" s="378">
        <f t="shared" si="110"/>
        <v>152.34936597472233</v>
      </c>
      <c r="W297" s="397">
        <f t="shared" si="111"/>
        <v>117.81368992955527</v>
      </c>
      <c r="X297" s="153">
        <f t="shared" si="112"/>
        <v>48131</v>
      </c>
      <c r="Y297" s="380">
        <f t="shared" si="113"/>
        <v>114.92307439422287</v>
      </c>
      <c r="Z297" s="380">
        <f t="shared" si="114"/>
        <v>120.90547604108893</v>
      </c>
      <c r="AA297" s="381">
        <f t="shared" si="115"/>
        <v>129.19613343689659</v>
      </c>
      <c r="AB297" s="193">
        <f t="shared" si="116"/>
        <v>48131</v>
      </c>
      <c r="AC297" s="119">
        <f>IF(OR(t&lt;Tnet,NoTnet),'2030'!Resal_s+('2030'!Salim-'2030'!Resal_s)*(1-EXP(('2030'!Tnet_s-t)/'2030'!Tau_j)),Resal_s+(Salim-Resal_s)*(1-EXP((Tnet_s-t)/Tau_j)))*Salcycl</f>
        <v>6.4171095335891465E-2</v>
      </c>
      <c r="AD297" s="227">
        <f>(INDEX(Models!$BJ297:$BT297,,AH297)*(1-AF297)+INDEX(Models!$BJ297:$BT297,,AH297+1)*AF297-ERP_i)*AE297*Ramure*Pc/MaxiM</f>
        <v>9.3665490241293548E-4</v>
      </c>
      <c r="AE297" s="301">
        <f t="shared" si="117"/>
        <v>0.5</v>
      </c>
      <c r="AF297" s="173">
        <f t="shared" si="118"/>
        <v>0.9863872431948808</v>
      </c>
      <c r="AG297" s="801">
        <f t="shared" si="124"/>
        <v>4</v>
      </c>
      <c r="AH297" s="172">
        <f t="shared" si="119"/>
        <v>10</v>
      </c>
      <c r="AI297" s="221">
        <f t="shared" si="120"/>
        <v>4.9863872431948808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48132</v>
      </c>
      <c r="B298" s="406">
        <f>'2030'!Wh/'2030'!Env_an*'2031'!Env_an</f>
        <v>90.701213553009879</v>
      </c>
      <c r="C298" s="831"/>
      <c r="D298" s="388">
        <f t="shared" si="102"/>
        <v>95.424035434708614</v>
      </c>
      <c r="E298" s="380">
        <f t="shared" si="125"/>
        <v>99.517874628630381</v>
      </c>
      <c r="F298" s="380">
        <f t="shared" si="103"/>
        <v>99.526673874103182</v>
      </c>
      <c r="G298" s="110">
        <f t="shared" si="126"/>
        <v>0.60009578882217518</v>
      </c>
      <c r="H298" s="409" t="b">
        <f>Wh_hp&gt;='2030'!Maxi_hp</f>
        <v>0</v>
      </c>
      <c r="I298" s="385">
        <f>IF(H298,Wh_hp,'2030'!Maxi_hp)</f>
        <v>99.534908703912748</v>
      </c>
      <c r="J298" s="85">
        <f>IF(H298,An,'2030'!An_max)</f>
        <v>2029</v>
      </c>
      <c r="K298" s="193">
        <f t="shared" si="104"/>
        <v>48132</v>
      </c>
      <c r="L298" s="143">
        <f>IF(t&lt;Tvie,1-EXP((T0-t)*PertePVj)+'2030'!Pspv,1-EXP((T0-t)*PertePVj)+Pspv)</f>
        <v>4.9493001005288639E-2</v>
      </c>
      <c r="M298" s="835"/>
      <c r="N298" s="835"/>
      <c r="O298" s="48">
        <f>IF(t&lt;Tnet,'2030'!Resal+('2030'!Salim-'2030'!Resal)*(1-EXP(('2030'!Tnet-t)/('2030'!Tau_j))),Resal+(Salim-Resal)*(1-EXP((Tnet-t)/(Tau_j))))*Salcycl</f>
        <v>4.1136722515414503E-2</v>
      </c>
      <c r="P298" s="165">
        <f>(INDEX(Models!$BJ298:$BT298,,T298)*(1-R298)+INDEX(Models!$BJ298:$BT298,,T298+1)*R298-ERP_i)*Q298*Ramure*Pc/MaxiM</f>
        <v>2.0617775108599772E-4</v>
      </c>
      <c r="Q298" s="301">
        <f t="shared" si="105"/>
        <v>0.5</v>
      </c>
      <c r="R298" s="173">
        <f t="shared" si="106"/>
        <v>0.46153197779426902</v>
      </c>
      <c r="S298" s="801">
        <f t="shared" si="107"/>
        <v>1</v>
      </c>
      <c r="T298" s="172">
        <f t="shared" si="108"/>
        <v>7</v>
      </c>
      <c r="U298" s="247">
        <f t="shared" si="109"/>
        <v>1.461531977794269</v>
      </c>
      <c r="V298" s="378">
        <f t="shared" si="110"/>
        <v>151.12675793421806</v>
      </c>
      <c r="W298" s="397">
        <f t="shared" si="111"/>
        <v>90.701213553009879</v>
      </c>
      <c r="X298" s="153">
        <f t="shared" si="112"/>
        <v>48132</v>
      </c>
      <c r="Y298" s="380">
        <f t="shared" si="113"/>
        <v>88.493836262603637</v>
      </c>
      <c r="Z298" s="380">
        <f t="shared" si="114"/>
        <v>93.101719772918813</v>
      </c>
      <c r="AA298" s="381">
        <f t="shared" si="115"/>
        <v>99.484568476782187</v>
      </c>
      <c r="AB298" s="193">
        <f t="shared" si="116"/>
        <v>48132</v>
      </c>
      <c r="AC298" s="119">
        <f>IF(OR(t&lt;Tnet,NoTnet),'2030'!Resal_s+('2030'!Salim-'2030'!Resal_s)*(1-EXP(('2030'!Tnet_s-t)/'2030'!Tau_j)),Resal_s+(Salim-Resal_s)*(1-EXP((Tnet_s-t)/Tau_j)))*Salcycl</f>
        <v>6.4159183696444425E-2</v>
      </c>
      <c r="AD298" s="227">
        <f>(INDEX(Models!$BJ298:$BT298,,AH298)*(1-AF298)+INDEX(Models!$BJ298:$BT298,,AH298+1)*AF298-ERP_i)*AE298*Ramure*Pc/MaxiM</f>
        <v>9.8658415145364388E-4</v>
      </c>
      <c r="AE298" s="301">
        <f t="shared" si="117"/>
        <v>0.5</v>
      </c>
      <c r="AF298" s="173">
        <f t="shared" si="118"/>
        <v>0.98651954416824683</v>
      </c>
      <c r="AG298" s="801">
        <f t="shared" si="124"/>
        <v>4</v>
      </c>
      <c r="AH298" s="172">
        <f t="shared" si="119"/>
        <v>10</v>
      </c>
      <c r="AI298" s="221">
        <f t="shared" si="120"/>
        <v>4.9865195441682468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48133</v>
      </c>
      <c r="B299" s="406">
        <f>'2030'!Wh/'2030'!Env_an*'2031'!Env_an</f>
        <v>113.926340925324</v>
      </c>
      <c r="C299" s="831"/>
      <c r="D299" s="388">
        <f t="shared" si="102"/>
        <v>119.86013845569114</v>
      </c>
      <c r="E299" s="380">
        <f t="shared" si="125"/>
        <v>125.00549813772862</v>
      </c>
      <c r="F299" s="380">
        <f t="shared" si="103"/>
        <v>125.02306466626024</v>
      </c>
      <c r="G299" s="110">
        <f t="shared" si="126"/>
        <v>0.75994749896429081</v>
      </c>
      <c r="H299" s="409" t="b">
        <f>Wh_hp&gt;='2030'!Maxi_hp</f>
        <v>0</v>
      </c>
      <c r="I299" s="385">
        <f>IF(H299,Wh_hp,'2030'!Maxi_hp)</f>
        <v>125.02949623795888</v>
      </c>
      <c r="J299" s="85">
        <f>IF(H299,An,'2030'!An_max)</f>
        <v>2029</v>
      </c>
      <c r="K299" s="193">
        <f t="shared" si="104"/>
        <v>48133</v>
      </c>
      <c r="L299" s="143">
        <f>IF(t&lt;Tvie,1-EXP((T0-t)*PertePVj)+'2030'!Pspv,1-EXP((T0-t)*PertePVj)+Pspv)</f>
        <v>4.950601264790544E-2</v>
      </c>
      <c r="M299" s="835"/>
      <c r="N299" s="835"/>
      <c r="O299" s="48">
        <f>IF(t&lt;Tnet,'2030'!Resal+('2030'!Salim-'2030'!Resal)*(1-EXP(('2030'!Tnet-t)/('2030'!Tau_j))),Resal+(Salim-Resal)*(1-EXP((Tnet-t)/(Tau_j))))*Salcycl</f>
        <v>4.1161066982577321E-2</v>
      </c>
      <c r="P299" s="165">
        <f>(INDEX(Models!$BJ299:$BT299,,T299)*(1-R299)+INDEX(Models!$BJ299:$BT299,,T299+1)*R299-ERP_i)*Q299*Ramure*Pc/MaxiM</f>
        <v>2.1381244189714156E-4</v>
      </c>
      <c r="Q299" s="301">
        <f t="shared" si="105"/>
        <v>0.5</v>
      </c>
      <c r="R299" s="173">
        <f t="shared" si="106"/>
        <v>0.46165901812917043</v>
      </c>
      <c r="S299" s="801">
        <f t="shared" si="107"/>
        <v>1</v>
      </c>
      <c r="T299" s="172">
        <f t="shared" si="108"/>
        <v>7</v>
      </c>
      <c r="U299" s="247">
        <f t="shared" si="109"/>
        <v>1.4616590181291704</v>
      </c>
      <c r="V299" s="378">
        <f t="shared" si="110"/>
        <v>149.90244511197992</v>
      </c>
      <c r="W299" s="397">
        <f t="shared" si="111"/>
        <v>113.926340925324</v>
      </c>
      <c r="X299" s="153">
        <f t="shared" si="112"/>
        <v>48133</v>
      </c>
      <c r="Y299" s="380">
        <f t="shared" si="113"/>
        <v>111.13483168721795</v>
      </c>
      <c r="Z299" s="380">
        <f t="shared" si="114"/>
        <v>116.9232348295223</v>
      </c>
      <c r="AA299" s="381">
        <f t="shared" si="115"/>
        <v>124.93751878303632</v>
      </c>
      <c r="AB299" s="193">
        <f t="shared" si="116"/>
        <v>48133</v>
      </c>
      <c r="AC299" s="119">
        <f>IF(OR(t&lt;Tnet,NoTnet),'2030'!Resal_s+('2030'!Salim-'2030'!Resal_s)*(1-EXP(('2030'!Tnet_s-t)/'2030'!Tau_j)),Resal_s+(Salim-Resal_s)*(1-EXP((Tnet_s-t)/Tau_j)))*Salcycl</f>
        <v>6.4146335156787027E-2</v>
      </c>
      <c r="AD299" s="227">
        <f>(INDEX(Models!$BJ299:$BT299,,AH299)*(1-AF299)+INDEX(Models!$BJ299:$BT299,,AH299+1)*AF299-ERP_i)*AE299*Ramure*Pc/MaxiM</f>
        <v>1.0412287295937465E-3</v>
      </c>
      <c r="AE299" s="301">
        <f t="shared" si="117"/>
        <v>0.5</v>
      </c>
      <c r="AF299" s="173">
        <f t="shared" si="118"/>
        <v>0.98664658450314846</v>
      </c>
      <c r="AG299" s="801">
        <f t="shared" si="124"/>
        <v>4</v>
      </c>
      <c r="AH299" s="172">
        <f t="shared" si="119"/>
        <v>10</v>
      </c>
      <c r="AI299" s="221">
        <f t="shared" si="120"/>
        <v>4.9866465845031485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48134</v>
      </c>
      <c r="B300" s="406">
        <f>'2030'!Wh/'2030'!Env_an*'2031'!Env_an</f>
        <v>88.084497402958462</v>
      </c>
      <c r="C300" s="831"/>
      <c r="D300" s="388">
        <f t="shared" si="102"/>
        <v>92.673603825370336</v>
      </c>
      <c r="E300" s="380">
        <f t="shared" si="125"/>
        <v>96.654286132639328</v>
      </c>
      <c r="F300" s="380">
        <f t="shared" si="103"/>
        <v>96.663211176470824</v>
      </c>
      <c r="G300" s="110">
        <f t="shared" si="126"/>
        <v>0.59237951462433014</v>
      </c>
      <c r="H300" s="409" t="b">
        <f>Wh_hp&gt;='2030'!Maxi_hp</f>
        <v>0</v>
      </c>
      <c r="I300" s="385">
        <f>IF(H300,Wh_hp,'2030'!Maxi_hp)</f>
        <v>96.671928636693281</v>
      </c>
      <c r="J300" s="85">
        <f>IF(H300,An,'2030'!An_max)</f>
        <v>2029</v>
      </c>
      <c r="K300" s="193">
        <f t="shared" si="104"/>
        <v>48134</v>
      </c>
      <c r="L300" s="143">
        <f>IF(t&lt;Tvie,1-EXP((T0-t)*PertePVj)+'2030'!Pspv,1-EXP((T0-t)*PertePVj)+Pspv)</f>
        <v>4.9519024112403831E-2</v>
      </c>
      <c r="M300" s="835"/>
      <c r="N300" s="835"/>
      <c r="O300" s="48">
        <f>IF(t&lt;Tnet,'2030'!Resal+('2030'!Salim-'2030'!Resal)*(1-EXP(('2030'!Tnet-t)/('2030'!Tau_j))),Resal+(Salim-Resal)*(1-EXP((Tnet-t)/(Tau_j))))*Salcycl</f>
        <v>4.1184746859609225E-2</v>
      </c>
      <c r="P300" s="165">
        <f>(INDEX(Models!$BJ300:$BT300,,T300)*(1-R300)+INDEX(Models!$BJ300:$BT300,,T300+1)*R300-ERP_i)*Q300*Ramure*Pc/MaxiM</f>
        <v>2.2099732346809604E-4</v>
      </c>
      <c r="Q300" s="301">
        <f t="shared" si="105"/>
        <v>0.5</v>
      </c>
      <c r="R300" s="173">
        <f t="shared" si="106"/>
        <v>0.46178100445876469</v>
      </c>
      <c r="S300" s="801">
        <f t="shared" si="107"/>
        <v>1</v>
      </c>
      <c r="T300" s="172">
        <f t="shared" si="108"/>
        <v>7</v>
      </c>
      <c r="U300" s="247">
        <f t="shared" si="109"/>
        <v>1.4617810044587647</v>
      </c>
      <c r="V300" s="378">
        <f t="shared" si="110"/>
        <v>148.6769219793276</v>
      </c>
      <c r="W300" s="397">
        <f t="shared" si="111"/>
        <v>88.084497402958462</v>
      </c>
      <c r="X300" s="153">
        <f t="shared" si="112"/>
        <v>48134</v>
      </c>
      <c r="Y300" s="380">
        <f t="shared" si="113"/>
        <v>85.944726845909585</v>
      </c>
      <c r="Z300" s="380">
        <f t="shared" si="114"/>
        <v>90.422353551738425</v>
      </c>
      <c r="AA300" s="381">
        <f t="shared" si="115"/>
        <v>96.618762117172281</v>
      </c>
      <c r="AB300" s="193">
        <f t="shared" si="116"/>
        <v>48134</v>
      </c>
      <c r="AC300" s="119">
        <f>IF(OR(t&lt;Tnet,NoTnet),'2030'!Resal_s+('2030'!Salim-'2030'!Resal_s)*(1-EXP(('2030'!Tnet_s-t)/'2030'!Tau_j)),Resal_s+(Salim-Resal_s)*(1-EXP((Tnet_s-t)/Tau_j)))*Salcycl</f>
        <v>6.4132560070675498E-2</v>
      </c>
      <c r="AD300" s="227">
        <f>(INDEX(Models!$BJ300:$BT300,,AH300)*(1-AF300)+INDEX(Models!$BJ300:$BT300,,AH300+1)*AF300-ERP_i)*AE300*Ramure*Pc/MaxiM</f>
        <v>1.1006246379407893E-3</v>
      </c>
      <c r="AE300" s="301">
        <f t="shared" si="117"/>
        <v>0.5</v>
      </c>
      <c r="AF300" s="173">
        <f t="shared" si="118"/>
        <v>0.9867685708327425</v>
      </c>
      <c r="AG300" s="801">
        <f t="shared" si="124"/>
        <v>4</v>
      </c>
      <c r="AH300" s="172">
        <f t="shared" si="119"/>
        <v>10</v>
      </c>
      <c r="AI300" s="221">
        <f t="shared" si="120"/>
        <v>4.9867685708327425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48135</v>
      </c>
      <c r="B301" s="406">
        <f>'2030'!Wh/'2030'!Env_an*'2031'!Env_an</f>
        <v>78.503730493932835</v>
      </c>
      <c r="C301" s="831"/>
      <c r="D301" s="388">
        <f t="shared" si="102"/>
        <v>82.594820044114272</v>
      </c>
      <c r="E301" s="380">
        <f t="shared" si="125"/>
        <v>86.144648886614007</v>
      </c>
      <c r="F301" s="380">
        <f t="shared" si="103"/>
        <v>86.151162503120815</v>
      </c>
      <c r="G301" s="110">
        <f t="shared" si="126"/>
        <v>0.53232569967181698</v>
      </c>
      <c r="H301" s="409" t="b">
        <f>Wh_hp&gt;='2030'!Maxi_hp</f>
        <v>0</v>
      </c>
      <c r="I301" s="385">
        <f>IF(H301,Wh_hp,'2030'!Maxi_hp)</f>
        <v>86.160337022132481</v>
      </c>
      <c r="J301" s="85">
        <f>IF(H301,An,'2030'!An_max)</f>
        <v>2029</v>
      </c>
      <c r="K301" s="193">
        <f t="shared" si="104"/>
        <v>48135</v>
      </c>
      <c r="L301" s="143">
        <f>IF(t&lt;Tvie,1-EXP((T0-t)*PertePVj)+'2030'!Pspv,1-EXP((T0-t)*PertePVj)+Pspv)</f>
        <v>4.9532035398786145E-2</v>
      </c>
      <c r="M301" s="835"/>
      <c r="N301" s="835"/>
      <c r="O301" s="48">
        <f>IF(t&lt;Tnet,'2030'!Resal+('2030'!Salim-'2030'!Resal)*(1-EXP(('2030'!Tnet-t)/('2030'!Tau_j))),Resal+(Salim-Resal)*(1-EXP((Tnet-t)/(Tau_j))))*Salcycl</f>
        <v>4.1207769587314931E-2</v>
      </c>
      <c r="P301" s="165">
        <f>(INDEX(Models!$BJ301:$BT301,,T301)*(1-R301)+INDEX(Models!$BJ301:$BT301,,T301+1)*R301-ERP_i)*Q301*Ramure*Pc/MaxiM</f>
        <v>2.2772486319145376E-4</v>
      </c>
      <c r="Q301" s="301">
        <f t="shared" si="105"/>
        <v>0.5</v>
      </c>
      <c r="R301" s="173">
        <f t="shared" si="106"/>
        <v>0.4618981354995455</v>
      </c>
      <c r="S301" s="801">
        <f t="shared" si="107"/>
        <v>1</v>
      </c>
      <c r="T301" s="172">
        <f t="shared" si="108"/>
        <v>7</v>
      </c>
      <c r="U301" s="247">
        <f t="shared" si="109"/>
        <v>1.4618981354995455</v>
      </c>
      <c r="V301" s="378">
        <f t="shared" si="110"/>
        <v>147.45068255483596</v>
      </c>
      <c r="W301" s="397">
        <f t="shared" si="111"/>
        <v>78.503730493932835</v>
      </c>
      <c r="X301" s="153">
        <f t="shared" si="112"/>
        <v>48135</v>
      </c>
      <c r="Y301" s="380">
        <f t="shared" si="113"/>
        <v>76.604061081428171</v>
      </c>
      <c r="Z301" s="380">
        <f t="shared" si="114"/>
        <v>80.596152563194281</v>
      </c>
      <c r="AA301" s="381">
        <f t="shared" si="115"/>
        <v>86.117845557587572</v>
      </c>
      <c r="AB301" s="193">
        <f t="shared" si="116"/>
        <v>48135</v>
      </c>
      <c r="AC301" s="119">
        <f>IF(OR(t&lt;Tnet,NoTnet),'2030'!Resal_s+('2030'!Salim-'2030'!Resal_s)*(1-EXP(('2030'!Tnet_s-t)/'2030'!Tau_j)),Resal_s+(Salim-Resal_s)*(1-EXP((Tnet_s-t)/Tau_j)))*Salcycl</f>
        <v>6.411787195373915E-2</v>
      </c>
      <c r="AD301" s="227">
        <f>(INDEX(Models!$BJ301:$BT301,,AH301)*(1-AF301)+INDEX(Models!$BJ301:$BT301,,AH301+1)*AF301-ERP_i)*AE301*Ramure*Pc/MaxiM</f>
        <v>1.1648055815988193E-3</v>
      </c>
      <c r="AE301" s="301">
        <f t="shared" si="117"/>
        <v>0.5</v>
      </c>
      <c r="AF301" s="173">
        <f t="shared" si="118"/>
        <v>0.98688570187352376</v>
      </c>
      <c r="AG301" s="801">
        <f t="shared" si="124"/>
        <v>4</v>
      </c>
      <c r="AH301" s="172">
        <f t="shared" si="119"/>
        <v>10</v>
      </c>
      <c r="AI301" s="221">
        <f t="shared" si="120"/>
        <v>4.9868857018735238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48136</v>
      </c>
      <c r="B302" s="406">
        <f>'2030'!Wh/'2030'!Env_an*'2031'!Env_an</f>
        <v>143.408990496869</v>
      </c>
      <c r="C302" s="831"/>
      <c r="D302" s="388">
        <f t="shared" si="102"/>
        <v>150.88457371897266</v>
      </c>
      <c r="E302" s="380">
        <f t="shared" si="125"/>
        <v>157.37308895131594</v>
      </c>
      <c r="F302" s="380">
        <f t="shared" si="103"/>
        <v>157.40890768032767</v>
      </c>
      <c r="G302" s="110">
        <f t="shared" si="126"/>
        <v>0.98074085781907994</v>
      </c>
      <c r="H302" s="409" t="b">
        <f>Wh_hp&gt;='2030'!Maxi_hp</f>
        <v>0</v>
      </c>
      <c r="I302" s="385">
        <f>IF(H302,Wh_hp,'2030'!Maxi_hp)</f>
        <v>157.40961603397284</v>
      </c>
      <c r="J302" s="85">
        <f>IF(H302,An,'2030'!An_max)</f>
        <v>2029</v>
      </c>
      <c r="K302" s="193">
        <f t="shared" si="104"/>
        <v>48136</v>
      </c>
      <c r="L302" s="143">
        <f>IF(t&lt;Tvie,1-EXP((T0-t)*PertePVj)+'2030'!Pspv,1-EXP((T0-t)*PertePVj)+Pspv)</f>
        <v>4.9545046507054935E-2</v>
      </c>
      <c r="M302" s="835"/>
      <c r="N302" s="835"/>
      <c r="O302" s="48">
        <f>IF(t&lt;Tnet,'2030'!Resal+('2030'!Salim-'2030'!Resal)*(1-EXP(('2030'!Tnet-t)/('2030'!Tau_j))),Resal+(Salim-Resal)*(1-EXP((Tnet-t)/(Tau_j))))*Salcycl</f>
        <v>4.1230144719028451E-2</v>
      </c>
      <c r="P302" s="165">
        <f>(INDEX(Models!$BJ302:$BT302,,T302)*(1-R302)+INDEX(Models!$BJ302:$BT302,,T302+1)*R302-ERP_i)*Q302*Ramure*Pc/MaxiM</f>
        <v>2.339877174839819E-4</v>
      </c>
      <c r="Q302" s="301">
        <f t="shared" si="105"/>
        <v>0.5</v>
      </c>
      <c r="R302" s="173">
        <f t="shared" si="106"/>
        <v>0.46201060233891145</v>
      </c>
      <c r="S302" s="801">
        <f t="shared" si="107"/>
        <v>1</v>
      </c>
      <c r="T302" s="172">
        <f t="shared" si="108"/>
        <v>7</v>
      </c>
      <c r="U302" s="247">
        <f t="shared" si="109"/>
        <v>1.4620106023389114</v>
      </c>
      <c r="V302" s="378">
        <f t="shared" si="110"/>
        <v>146.22422041402521</v>
      </c>
      <c r="W302" s="397">
        <f t="shared" si="111"/>
        <v>143.408990496869</v>
      </c>
      <c r="X302" s="153">
        <f t="shared" si="112"/>
        <v>48136</v>
      </c>
      <c r="Y302" s="380">
        <f t="shared" si="113"/>
        <v>139.85172267376149</v>
      </c>
      <c r="Z302" s="380">
        <f t="shared" si="114"/>
        <v>147.14187364672361</v>
      </c>
      <c r="AA302" s="381">
        <f t="shared" si="115"/>
        <v>157.2200377139431</v>
      </c>
      <c r="AB302" s="193">
        <f t="shared" si="116"/>
        <v>48136</v>
      </c>
      <c r="AC302" s="119">
        <f>IF(OR(t&lt;Tnet,NoTnet),'2030'!Resal_s+('2030'!Salim-'2030'!Resal_s)*(1-EXP(('2030'!Tnet_s-t)/'2030'!Tau_j)),Resal_s+(Salim-Resal_s)*(1-EXP((Tnet_s-t)/Tau_j)))*Salcycl</f>
        <v>6.4102287556732404E-2</v>
      </c>
      <c r="AD302" s="227">
        <f>(INDEX(Models!$BJ302:$BT302,,AH302)*(1-AF302)+INDEX(Models!$BJ302:$BT302,,AH302+1)*AF302-ERP_i)*AE302*Ramure*Pc/MaxiM</f>
        <v>1.2338029169359553E-3</v>
      </c>
      <c r="AE302" s="301">
        <f t="shared" si="117"/>
        <v>0.5</v>
      </c>
      <c r="AF302" s="173">
        <f t="shared" si="118"/>
        <v>0.9869981687128897</v>
      </c>
      <c r="AG302" s="801">
        <f t="shared" si="124"/>
        <v>4</v>
      </c>
      <c r="AH302" s="172">
        <f t="shared" si="119"/>
        <v>10</v>
      </c>
      <c r="AI302" s="221">
        <f t="shared" si="120"/>
        <v>4.9869981687128897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48137</v>
      </c>
      <c r="B303" s="406">
        <f>'2030'!Wh/'2030'!Env_an*'2031'!Env_an</f>
        <v>128.57881895969058</v>
      </c>
      <c r="C303" s="831"/>
      <c r="D303" s="388">
        <f t="shared" si="102"/>
        <v>135.28319111527057</v>
      </c>
      <c r="E303" s="380">
        <f t="shared" si="125"/>
        <v>141.10399681893935</v>
      </c>
      <c r="F303" s="380">
        <f t="shared" si="103"/>
        <v>141.13236472429406</v>
      </c>
      <c r="G303" s="110">
        <f t="shared" si="126"/>
        <v>0.88674895026772471</v>
      </c>
      <c r="H303" s="409" t="b">
        <f>Wh_hp&gt;='2030'!Maxi_hp</f>
        <v>0</v>
      </c>
      <c r="I303" s="385">
        <f>IF(H303,Wh_hp,'2030'!Maxi_hp)</f>
        <v>141.13618721344673</v>
      </c>
      <c r="J303" s="85">
        <f>IF(H303,An,'2030'!An_max)</f>
        <v>2029</v>
      </c>
      <c r="K303" s="193">
        <f t="shared" si="104"/>
        <v>48137</v>
      </c>
      <c r="L303" s="143">
        <f>IF(t&lt;Tvie,1-EXP((T0-t)*PertePVj)+'2030'!Pspv,1-EXP((T0-t)*PertePVj)+Pspv)</f>
        <v>4.9558057437212533E-2</v>
      </c>
      <c r="M303" s="835"/>
      <c r="N303" s="835"/>
      <c r="O303" s="48">
        <f>IF(t&lt;Tnet,'2030'!Resal+('2030'!Salim-'2030'!Resal)*(1-EXP(('2030'!Tnet-t)/('2030'!Tau_j))),Resal+(Salim-Resal)*(1-EXP((Tnet-t)/(Tau_j))))*Salcycl</f>
        <v>4.1251883964264137E-2</v>
      </c>
      <c r="P303" s="165">
        <f>(INDEX(Models!$BJ303:$BT303,,T303)*(1-R303)+INDEX(Models!$BJ303:$BT303,,T303+1)*R303-ERP_i)*Q303*Ramure*Pc/MaxiM</f>
        <v>2.3978439148378925E-4</v>
      </c>
      <c r="Q303" s="301">
        <f t="shared" si="105"/>
        <v>0.5</v>
      </c>
      <c r="R303" s="173">
        <f t="shared" si="106"/>
        <v>0.46211858871354439</v>
      </c>
      <c r="S303" s="801">
        <f t="shared" si="107"/>
        <v>1</v>
      </c>
      <c r="T303" s="172">
        <f t="shared" si="108"/>
        <v>7</v>
      </c>
      <c r="U303" s="247">
        <f t="shared" si="109"/>
        <v>1.4621185887135444</v>
      </c>
      <c r="V303" s="378">
        <f t="shared" si="110"/>
        <v>144.99462484896443</v>
      </c>
      <c r="W303" s="397">
        <f t="shared" si="111"/>
        <v>128.57881895969058</v>
      </c>
      <c r="X303" s="153">
        <f t="shared" si="112"/>
        <v>48137</v>
      </c>
      <c r="Y303" s="380">
        <f t="shared" si="113"/>
        <v>125.40415083661659</v>
      </c>
      <c r="Z303" s="380">
        <f t="shared" si="114"/>
        <v>131.94298906724882</v>
      </c>
      <c r="AA303" s="381">
        <f t="shared" si="115"/>
        <v>140.97765891626781</v>
      </c>
      <c r="AB303" s="193">
        <f t="shared" si="116"/>
        <v>48137</v>
      </c>
      <c r="AC303" s="119">
        <f>IF(OR(t&lt;Tnet,NoTnet),'2030'!Resal_s+('2030'!Salim-'2030'!Resal_s)*(1-EXP(('2030'!Tnet_s-t)/'2030'!Tau_j)),Resal_s+(Salim-Resal_s)*(1-EXP((Tnet_s-t)/Tau_j)))*Salcycl</f>
        <v>6.4085826920881467E-2</v>
      </c>
      <c r="AD303" s="227">
        <f>(INDEX(Models!$BJ303:$BT303,,AH303)*(1-AF303)+INDEX(Models!$BJ303:$BT303,,AH303+1)*AF303-ERP_i)*AE303*Ramure*Pc/MaxiM</f>
        <v>1.307676318457279E-3</v>
      </c>
      <c r="AE303" s="301">
        <f t="shared" si="117"/>
        <v>0.5</v>
      </c>
      <c r="AF303" s="173">
        <f t="shared" si="118"/>
        <v>0.9871061550875222</v>
      </c>
      <c r="AG303" s="801">
        <f t="shared" si="124"/>
        <v>4</v>
      </c>
      <c r="AH303" s="172">
        <f t="shared" si="119"/>
        <v>10</v>
      </c>
      <c r="AI303" s="221">
        <f t="shared" si="120"/>
        <v>4.9871061550875222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48138</v>
      </c>
      <c r="B304" s="406">
        <f>'2030'!Wh/'2030'!Env_an*'2031'!Env_an</f>
        <v>82.401129105774729</v>
      </c>
      <c r="C304" s="831"/>
      <c r="D304" s="388">
        <f t="shared" si="102"/>
        <v>86.698885469306688</v>
      </c>
      <c r="E304" s="380">
        <f t="shared" si="125"/>
        <v>90.431254757258017</v>
      </c>
      <c r="F304" s="380">
        <f t="shared" si="103"/>
        <v>90.440010160971781</v>
      </c>
      <c r="G304" s="110">
        <f t="shared" si="126"/>
        <v>0.57310307946449734</v>
      </c>
      <c r="H304" s="409" t="b">
        <f>Wh_hp&gt;='2030'!Maxi_hp</f>
        <v>0</v>
      </c>
      <c r="I304" s="385">
        <f>IF(H304,Wh_hp,'2030'!Maxi_hp)</f>
        <v>90.449542221699417</v>
      </c>
      <c r="J304" s="85">
        <f>IF(H304,An,'2030'!An_max)</f>
        <v>2029</v>
      </c>
      <c r="K304" s="193">
        <f t="shared" si="104"/>
        <v>48138</v>
      </c>
      <c r="L304" s="143">
        <f>IF(t&lt;Tvie,1-EXP((T0-t)*PertePVj)+'2030'!Pspv,1-EXP((T0-t)*PertePVj)+Pspv)</f>
        <v>4.957106818926138E-2</v>
      </c>
      <c r="M304" s="835"/>
      <c r="N304" s="835"/>
      <c r="O304" s="48">
        <f>IF(t&lt;Tnet,'2030'!Resal+('2030'!Salim-'2030'!Resal)*(1-EXP(('2030'!Tnet-t)/('2030'!Tau_j))),Resal+(Salim-Resal)*(1-EXP((Tnet-t)/(Tau_j))))*Salcycl</f>
        <v>4.1273001220319357E-2</v>
      </c>
      <c r="P304" s="165">
        <f>(INDEX(Models!$BJ304:$BT304,,T304)*(1-R304)+INDEX(Models!$BJ304:$BT304,,T304+1)*R304-ERP_i)*Q304*Ramure*Pc/MaxiM</f>
        <v>2.4805567313313881E-4</v>
      </c>
      <c r="Q304" s="301">
        <f t="shared" si="105"/>
        <v>0.5</v>
      </c>
      <c r="R304" s="173">
        <f t="shared" si="106"/>
        <v>0.46222227127878934</v>
      </c>
      <c r="S304" s="801">
        <f t="shared" si="107"/>
        <v>1</v>
      </c>
      <c r="T304" s="172">
        <f t="shared" si="108"/>
        <v>7</v>
      </c>
      <c r="U304" s="247">
        <f t="shared" si="109"/>
        <v>1.4622222712787893</v>
      </c>
      <c r="V304" s="378">
        <f t="shared" si="110"/>
        <v>143.75889425779795</v>
      </c>
      <c r="W304" s="397">
        <f t="shared" si="111"/>
        <v>82.401129105774729</v>
      </c>
      <c r="X304" s="153">
        <f t="shared" si="112"/>
        <v>48138</v>
      </c>
      <c r="Y304" s="380">
        <f t="shared" si="113"/>
        <v>80.405798793307511</v>
      </c>
      <c r="Z304" s="380">
        <f t="shared" si="114"/>
        <v>84.599485666034965</v>
      </c>
      <c r="AA304" s="381">
        <f t="shared" si="115"/>
        <v>90.39068230801692</v>
      </c>
      <c r="AB304" s="193">
        <f t="shared" si="116"/>
        <v>48138</v>
      </c>
      <c r="AC304" s="119">
        <f>IF(OR(t&lt;Tnet,NoTnet),'2030'!Resal_s+('2030'!Salim-'2030'!Resal_s)*(1-EXP(('2030'!Tnet_s-t)/'2030'!Tau_j)),Resal_s+(Salim-Resal_s)*(1-EXP((Tnet_s-t)/Tau_j)))*Salcycl</f>
        <v>6.406851341433363E-2</v>
      </c>
      <c r="AD304" s="227">
        <f>(INDEX(Models!$BJ304:$BT304,,AH304)*(1-AF304)+INDEX(Models!$BJ304:$BT304,,AH304+1)*AF304-ERP_i)*AE304*Ramure*Pc/MaxiM</f>
        <v>1.3975430681400125E-3</v>
      </c>
      <c r="AE304" s="301">
        <f t="shared" si="117"/>
        <v>0.5</v>
      </c>
      <c r="AF304" s="173">
        <f t="shared" si="118"/>
        <v>0.9872098376527676</v>
      </c>
      <c r="AG304" s="801">
        <f t="shared" si="124"/>
        <v>4</v>
      </c>
      <c r="AH304" s="172">
        <f t="shared" si="119"/>
        <v>10</v>
      </c>
      <c r="AI304" s="221">
        <f t="shared" si="120"/>
        <v>4.9872098376527676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48139</v>
      </c>
      <c r="B305" s="406">
        <f>'2030'!Wh/'2030'!Env_an*'2031'!Env_an</f>
        <v>131.5543523908778</v>
      </c>
      <c r="C305" s="831"/>
      <c r="D305" s="388">
        <f t="shared" si="102"/>
        <v>138.41766478373319</v>
      </c>
      <c r="E305" s="380">
        <f t="shared" si="125"/>
        <v>144.37960585606467</v>
      </c>
      <c r="F305" s="380">
        <f t="shared" si="103"/>
        <v>144.41287031650637</v>
      </c>
      <c r="G305" s="110">
        <f t="shared" si="126"/>
        <v>0.92304537124793651</v>
      </c>
      <c r="H305" s="409" t="b">
        <f>Wh_hp&gt;='2030'!Maxi_hp</f>
        <v>0</v>
      </c>
      <c r="I305" s="385">
        <f>IF(H305,Wh_hp,'2030'!Maxi_hp)</f>
        <v>144.41572444095902</v>
      </c>
      <c r="J305" s="85">
        <f>IF(H305,An,'2030'!An_max)</f>
        <v>2029</v>
      </c>
      <c r="K305" s="193">
        <f t="shared" si="104"/>
        <v>48139</v>
      </c>
      <c r="L305" s="143">
        <f>IF(t&lt;Tvie,1-EXP((T0-t)*PertePVj)+'2030'!Pspv,1-EXP((T0-t)*PertePVj)+Pspv)</f>
        <v>4.9584078763204031E-2</v>
      </c>
      <c r="M305" s="835"/>
      <c r="N305" s="835"/>
      <c r="O305" s="48">
        <f>IF(t&lt;Tnet,'2030'!Resal+('2030'!Salim-'2030'!Resal)*(1-EXP(('2030'!Tnet-t)/('2030'!Tau_j))),Resal+(Salim-Resal)*(1-EXP((Tnet-t)/(Tau_j))))*Salcycl</f>
        <v>4.1293512591210987E-2</v>
      </c>
      <c r="P305" s="165">
        <f>(INDEX(Models!$BJ305:$BT305,,T305)*(1-R305)+INDEX(Models!$BJ305:$BT305,,T305+1)*R305-ERP_i)*Q305*Ramure*Pc/MaxiM</f>
        <v>2.5878234675680631E-4</v>
      </c>
      <c r="Q305" s="301">
        <f t="shared" si="105"/>
        <v>0.5</v>
      </c>
      <c r="R305" s="173">
        <f t="shared" si="106"/>
        <v>0.4623218198692296</v>
      </c>
      <c r="S305" s="801">
        <f t="shared" si="107"/>
        <v>1</v>
      </c>
      <c r="T305" s="172">
        <f t="shared" si="108"/>
        <v>7</v>
      </c>
      <c r="U305" s="247">
        <f t="shared" si="109"/>
        <v>1.4623218198692296</v>
      </c>
      <c r="V305" s="378">
        <f t="shared" si="110"/>
        <v>142.51803245685667</v>
      </c>
      <c r="W305" s="397">
        <f t="shared" si="111"/>
        <v>131.5543523908778</v>
      </c>
      <c r="X305" s="153">
        <f t="shared" si="112"/>
        <v>48139</v>
      </c>
      <c r="Y305" s="380">
        <f t="shared" si="113"/>
        <v>128.28925490537137</v>
      </c>
      <c r="Z305" s="380">
        <f t="shared" si="114"/>
        <v>134.98222413869698</v>
      </c>
      <c r="AA305" s="381">
        <f t="shared" si="115"/>
        <v>144.21953954867752</v>
      </c>
      <c r="AB305" s="193">
        <f t="shared" si="116"/>
        <v>48139</v>
      </c>
      <c r="AC305" s="119">
        <f>IF(OR(t&lt;Tnet,NoTnet),'2030'!Resal_s+('2030'!Salim-'2030'!Resal_s)*(1-EXP(('2030'!Tnet_s-t)/'2030'!Tau_j)),Resal_s+(Salim-Resal_s)*(1-EXP((Tnet_s-t)/Tau_j)))*Salcycl</f>
        <v>6.4050373748854722E-2</v>
      </c>
      <c r="AD305" s="227">
        <f>(INDEX(Models!$BJ305:$BT305,,AH305)*(1-AF305)+INDEX(Models!$BJ305:$BT305,,AH305+1)*AF305-ERP_i)*AE305*Ramure*Pc/MaxiM</f>
        <v>1.5040252910984468E-3</v>
      </c>
      <c r="AE305" s="301">
        <f t="shared" si="117"/>
        <v>0.5</v>
      </c>
      <c r="AF305" s="173">
        <f t="shared" si="118"/>
        <v>0.98730938624320785</v>
      </c>
      <c r="AG305" s="801">
        <f t="shared" si="124"/>
        <v>4</v>
      </c>
      <c r="AH305" s="172">
        <f t="shared" si="119"/>
        <v>10</v>
      </c>
      <c r="AI305" s="221">
        <f t="shared" si="120"/>
        <v>4.9873093862432079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48140</v>
      </c>
      <c r="B306" s="406">
        <f>'2030'!Wh/'2030'!Env_an*'2031'!Env_an</f>
        <v>58.068303153141244</v>
      </c>
      <c r="C306" s="831"/>
      <c r="D306" s="388">
        <f t="shared" si="102"/>
        <v>61.098616692745523</v>
      </c>
      <c r="E306" s="380">
        <f t="shared" si="125"/>
        <v>63.731587582590592</v>
      </c>
      <c r="F306" s="380">
        <f t="shared" si="103"/>
        <v>63.734337290047996</v>
      </c>
      <c r="G306" s="110">
        <f t="shared" si="126"/>
        <v>0.41094192699904813</v>
      </c>
      <c r="H306" s="409" t="b">
        <f>Wh_hp&gt;='2030'!Maxi_hp</f>
        <v>0</v>
      </c>
      <c r="I306" s="385">
        <f>IF(H306,Wh_hp,'2030'!Maxi_hp)</f>
        <v>63.744439004631843</v>
      </c>
      <c r="J306" s="85">
        <f>IF(H306,An,'2030'!An_max)</f>
        <v>2029</v>
      </c>
      <c r="K306" s="193">
        <f t="shared" si="104"/>
        <v>48140</v>
      </c>
      <c r="L306" s="143">
        <f>IF(t&lt;Tvie,1-EXP((T0-t)*PertePVj)+'2030'!Pspv,1-EXP((T0-t)*PertePVj)+Pspv)</f>
        <v>4.9597089159042818E-2</v>
      </c>
      <c r="M306" s="835"/>
      <c r="N306" s="835"/>
      <c r="O306" s="48">
        <f>IF(t&lt;Tnet,'2030'!Resal+('2030'!Salim-'2030'!Resal)*(1-EXP(('2030'!Tnet-t)/('2030'!Tau_j))),Resal+(Salim-Resal)*(1-EXP((Tnet-t)/(Tau_j))))*Salcycl</f>
        <v>4.131343639342052E-2</v>
      </c>
      <c r="P306" s="165">
        <f>(INDEX(Models!$BJ306:$BT306,,T306)*(1-R306)+INDEX(Models!$BJ306:$BT306,,T306+1)*R306-ERP_i)*Q306*Ramure*Pc/MaxiM</f>
        <v>2.7198645275893516E-4</v>
      </c>
      <c r="Q306" s="301">
        <f t="shared" si="105"/>
        <v>0.5</v>
      </c>
      <c r="R306" s="173">
        <f t="shared" si="106"/>
        <v>0.46241739775065982</v>
      </c>
      <c r="S306" s="801">
        <f t="shared" si="107"/>
        <v>1</v>
      </c>
      <c r="T306" s="172">
        <f t="shared" si="108"/>
        <v>7</v>
      </c>
      <c r="U306" s="247">
        <f t="shared" si="109"/>
        <v>1.4624173977506598</v>
      </c>
      <c r="V306" s="378">
        <f t="shared" si="110"/>
        <v>141.27303696706551</v>
      </c>
      <c r="W306" s="397">
        <f t="shared" si="111"/>
        <v>58.068303153141244</v>
      </c>
      <c r="X306" s="153">
        <f t="shared" si="112"/>
        <v>48140</v>
      </c>
      <c r="Y306" s="380">
        <f t="shared" si="113"/>
        <v>56.68007007205285</v>
      </c>
      <c r="Z306" s="380">
        <f t="shared" si="114"/>
        <v>59.637938210753056</v>
      </c>
      <c r="AA306" s="381">
        <f t="shared" si="115"/>
        <v>63.717886081336431</v>
      </c>
      <c r="AB306" s="193">
        <f t="shared" si="116"/>
        <v>48140</v>
      </c>
      <c r="AC306" s="119">
        <f>IF(OR(t&lt;Tnet,NoTnet),'2030'!Resal_s+('2030'!Salim-'2030'!Resal_s)*(1-EXP(('2030'!Tnet_s-t)/'2030'!Tau_j)),Resal_s+(Salim-Resal_s)*(1-EXP((Tnet_s-t)/Tau_j)))*Salcycl</f>
        <v>6.4031437976069749E-2</v>
      </c>
      <c r="AD306" s="227">
        <f>(INDEX(Models!$BJ306:$BT306,,AH306)*(1-AF306)+INDEX(Models!$BJ306:$BT306,,AH306+1)*AF306-ERP_i)*AE306*Ramure*Pc/MaxiM</f>
        <v>1.6272661620783356E-3</v>
      </c>
      <c r="AE306" s="301">
        <f t="shared" si="117"/>
        <v>0.5</v>
      </c>
      <c r="AF306" s="173">
        <f t="shared" si="118"/>
        <v>0.98740496412463763</v>
      </c>
      <c r="AG306" s="801">
        <f t="shared" si="124"/>
        <v>4</v>
      </c>
      <c r="AH306" s="172">
        <f t="shared" si="119"/>
        <v>10</v>
      </c>
      <c r="AI306" s="221">
        <f t="shared" si="120"/>
        <v>4.9874049641246376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48141</v>
      </c>
      <c r="B307" s="406">
        <f>'2030'!Wh/'2030'!Env_an*'2031'!Env_an</f>
        <v>36.954542238489957</v>
      </c>
      <c r="C307" s="831"/>
      <c r="D307" s="388">
        <f t="shared" si="102"/>
        <v>38.883559488854999</v>
      </c>
      <c r="E307" s="380">
        <f t="shared" si="125"/>
        <v>40.560018336852096</v>
      </c>
      <c r="F307" s="380">
        <f t="shared" si="103"/>
        <v>40.560018336852096</v>
      </c>
      <c r="G307" s="110">
        <f t="shared" si="126"/>
        <v>0.26383814202189149</v>
      </c>
      <c r="H307" s="409" t="b">
        <f>Wh_hp&gt;='2030'!Maxi_hp</f>
        <v>0</v>
      </c>
      <c r="I307" s="385">
        <f>IF(H307,Wh_hp,'2030'!Maxi_hp)</f>
        <v>40.56807036429818</v>
      </c>
      <c r="J307" s="85">
        <f>IF(H307,An,'2030'!An_max)</f>
        <v>2029</v>
      </c>
      <c r="K307" s="193">
        <f t="shared" si="104"/>
        <v>48141</v>
      </c>
      <c r="L307" s="143">
        <f>IF(t&lt;Tvie,1-EXP((T0-t)*PertePVj)+'2030'!Pspv,1-EXP((T0-t)*PertePVj)+Pspv)</f>
        <v>4.9610099376780292E-2</v>
      </c>
      <c r="M307" s="835"/>
      <c r="N307" s="835"/>
      <c r="O307" s="48">
        <f>IF(t&lt;Tnet,'2030'!Resal+('2030'!Salim-'2030'!Resal)*(1-EXP(('2030'!Tnet-t)/('2030'!Tau_j))),Resal+(Salim-Resal)*(1-EXP((Tnet-t)/(Tau_j))))*Salcycl</f>
        <v>4.1332793148022212E-2</v>
      </c>
      <c r="P307" s="165">
        <f>(INDEX(Models!$BJ307:$BT307,,T307)*(1-R307)+INDEX(Models!$BJ307:$BT307,,T307+1)*R307-ERP_i)*Q307*Ramure*Pc/MaxiM</f>
        <v>2.8768936116028434E-4</v>
      </c>
      <c r="Q307" s="301">
        <f t="shared" si="105"/>
        <v>0.5</v>
      </c>
      <c r="R307" s="173">
        <f t="shared" si="106"/>
        <v>0.46250916186365321</v>
      </c>
      <c r="S307" s="801">
        <f t="shared" si="107"/>
        <v>1</v>
      </c>
      <c r="T307" s="172">
        <f t="shared" si="108"/>
        <v>7</v>
      </c>
      <c r="U307" s="247">
        <f t="shared" si="109"/>
        <v>1.4625091618636532</v>
      </c>
      <c r="V307" s="378">
        <f t="shared" si="110"/>
        <v>140.02490514345737</v>
      </c>
      <c r="W307" s="397">
        <f t="shared" si="111"/>
        <v>36.954542238489957</v>
      </c>
      <c r="X307" s="153">
        <f t="shared" si="112"/>
        <v>48141</v>
      </c>
      <c r="Y307" s="380">
        <f t="shared" si="113"/>
        <v>36.080318030631403</v>
      </c>
      <c r="Z307" s="380">
        <f t="shared" si="114"/>
        <v>37.963701010471254</v>
      </c>
      <c r="AA307" s="381">
        <f t="shared" si="115"/>
        <v>40.560018336852096</v>
      </c>
      <c r="AB307" s="193">
        <f t="shared" si="116"/>
        <v>48141</v>
      </c>
      <c r="AC307" s="119">
        <f>IF(OR(t&lt;Tnet,NoTnet),'2030'!Resal_s+('2030'!Salim-'2030'!Resal_s)*(1-EXP(('2030'!Tnet_s-t)/'2030'!Tau_j)),Resal_s+(Salim-Resal_s)*(1-EXP((Tnet_s-t)/Tau_j)))*Salcycl</f>
        <v>6.4011739462698211E-2</v>
      </c>
      <c r="AD307" s="227">
        <f>(INDEX(Models!$BJ307:$BT307,,AH307)*(1-AF307)+INDEX(Models!$BJ307:$BT307,,AH307+1)*AF307-ERP_i)*AE307*Ramure*Pc/MaxiM</f>
        <v>1.7674038206441883E-3</v>
      </c>
      <c r="AE307" s="301">
        <f t="shared" si="117"/>
        <v>0.5</v>
      </c>
      <c r="AF307" s="173">
        <f t="shared" si="118"/>
        <v>0.98749672823763124</v>
      </c>
      <c r="AG307" s="801">
        <f t="shared" si="124"/>
        <v>4</v>
      </c>
      <c r="AH307" s="172">
        <f t="shared" si="119"/>
        <v>10</v>
      </c>
      <c r="AI307" s="221">
        <f t="shared" si="120"/>
        <v>4.9874967282376312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48142</v>
      </c>
      <c r="B308" s="406">
        <f>'2030'!Wh/'2030'!Env_an*'2031'!Env_an</f>
        <v>60.217418137560863</v>
      </c>
      <c r="C308" s="831"/>
      <c r="D308" s="388">
        <f t="shared" si="102"/>
        <v>63.361618673812877</v>
      </c>
      <c r="E308" s="380">
        <f t="shared" si="125"/>
        <v>66.094742390667136</v>
      </c>
      <c r="F308" s="380">
        <f t="shared" si="103"/>
        <v>66.098610898790128</v>
      </c>
      <c r="G308" s="110">
        <f t="shared" si="126"/>
        <v>0.43381501752379081</v>
      </c>
      <c r="H308" s="409" t="b">
        <f>Wh_hp&gt;='2030'!Maxi_hp</f>
        <v>0</v>
      </c>
      <c r="I308" s="385">
        <f>IF(H308,Wh_hp,'2030'!Maxi_hp)</f>
        <v>66.109850807853107</v>
      </c>
      <c r="J308" s="85">
        <f>IF(H308,An,'2030'!An_max)</f>
        <v>2029</v>
      </c>
      <c r="K308" s="193">
        <f t="shared" si="104"/>
        <v>48142</v>
      </c>
      <c r="L308" s="143">
        <f>IF(t&lt;Tvie,1-EXP((T0-t)*PertePVj)+'2030'!Pspv,1-EXP((T0-t)*PertePVj)+Pspv)</f>
        <v>4.9623109416418676E-2</v>
      </c>
      <c r="M308" s="835"/>
      <c r="N308" s="835"/>
      <c r="O308" s="48">
        <f>IF(t&lt;Tnet,'2030'!Resal+('2030'!Salim-'2030'!Resal)*(1-EXP(('2030'!Tnet-t)/('2030'!Tau_j))),Resal+(Salim-Resal)*(1-EXP((Tnet-t)/(Tau_j))))*Salcycl</f>
        <v>4.1351605558873954E-2</v>
      </c>
      <c r="P308" s="165">
        <f>(INDEX(Models!$BJ308:$BT308,,T308)*(1-R308)+INDEX(Models!$BJ308:$BT308,,T308+1)*R308-ERP_i)*Q308*Ramure*Pc/MaxiM</f>
        <v>3.0591170502199512E-4</v>
      </c>
      <c r="Q308" s="301">
        <f t="shared" si="105"/>
        <v>0.5</v>
      </c>
      <c r="R308" s="173">
        <f t="shared" si="106"/>
        <v>0.46259726305893856</v>
      </c>
      <c r="S308" s="801">
        <f t="shared" si="107"/>
        <v>1</v>
      </c>
      <c r="T308" s="172">
        <f t="shared" si="108"/>
        <v>7</v>
      </c>
      <c r="U308" s="247">
        <f t="shared" si="109"/>
        <v>1.4625972630589386</v>
      </c>
      <c r="V308" s="378">
        <f t="shared" si="110"/>
        <v>138.77463417428928</v>
      </c>
      <c r="W308" s="397">
        <f t="shared" si="111"/>
        <v>60.217418137560863</v>
      </c>
      <c r="X308" s="153">
        <f t="shared" si="112"/>
        <v>48142</v>
      </c>
      <c r="Y308" s="380">
        <f t="shared" si="113"/>
        <v>58.777098020152273</v>
      </c>
      <c r="Z308" s="380">
        <f t="shared" si="114"/>
        <v>61.846093484091398</v>
      </c>
      <c r="AA308" s="381">
        <f t="shared" si="115"/>
        <v>66.074273096953547</v>
      </c>
      <c r="AB308" s="193">
        <f t="shared" si="116"/>
        <v>48142</v>
      </c>
      <c r="AC308" s="119">
        <f>IF(OR(t&lt;Tnet,NoTnet),'2030'!Resal_s+('2030'!Salim-'2030'!Resal_s)*(1-EXP(('2030'!Tnet_s-t)/'2030'!Tau_j)),Resal_s+(Salim-Resal_s)*(1-EXP((Tnet_s-t)/Tau_j)))*Salcycl</f>
        <v>6.3991314844401945E-2</v>
      </c>
      <c r="AD308" s="227">
        <f>(INDEX(Models!$BJ308:$BT308,,AH308)*(1-AF308)+INDEX(Models!$BJ308:$BT308,,AH308+1)*AF308-ERP_i)*AE308*Ramure*Pc/MaxiM</f>
        <v>1.9245709766185356E-3</v>
      </c>
      <c r="AE308" s="301">
        <f t="shared" si="117"/>
        <v>0.5</v>
      </c>
      <c r="AF308" s="173">
        <f t="shared" si="118"/>
        <v>0.98758482943291614</v>
      </c>
      <c r="AG308" s="801">
        <f t="shared" si="124"/>
        <v>4</v>
      </c>
      <c r="AH308" s="172">
        <f t="shared" si="119"/>
        <v>10</v>
      </c>
      <c r="AI308" s="221">
        <f t="shared" si="120"/>
        <v>4.9875848294329161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48143</v>
      </c>
      <c r="B309" s="406">
        <f>'2030'!Wh/'2030'!Env_an*'2031'!Env_an</f>
        <v>126.21338268061149</v>
      </c>
      <c r="C309" s="831"/>
      <c r="D309" s="388">
        <f t="shared" si="102"/>
        <v>132.80532356166651</v>
      </c>
      <c r="E309" s="380">
        <f t="shared" si="125"/>
        <v>138.53656728557573</v>
      </c>
      <c r="F309" s="380">
        <f t="shared" si="103"/>
        <v>138.57651808058668</v>
      </c>
      <c r="G309" s="110">
        <f t="shared" si="126"/>
        <v>0.91772528530189856</v>
      </c>
      <c r="H309" s="409" t="b">
        <f>Wh_hp&gt;='2030'!Maxi_hp</f>
        <v>0</v>
      </c>
      <c r="I309" s="385">
        <f>IF(H309,Wh_hp,'2030'!Maxi_hp)</f>
        <v>138.58015949853942</v>
      </c>
      <c r="J309" s="85">
        <f>IF(H309,An,'2030'!An_max)</f>
        <v>2029</v>
      </c>
      <c r="K309" s="193">
        <f t="shared" si="104"/>
        <v>48143</v>
      </c>
      <c r="L309" s="143">
        <f>IF(t&lt;Tvie,1-EXP((T0-t)*PertePVj)+'2030'!Pspv,1-EXP((T0-t)*PertePVj)+Pspv)</f>
        <v>4.9636119277960633E-2</v>
      </c>
      <c r="M309" s="835"/>
      <c r="N309" s="835"/>
      <c r="O309" s="48">
        <f>IF(t&lt;Tnet,'2030'!Resal+('2030'!Salim-'2030'!Resal)*(1-EXP(('2030'!Tnet-t)/('2030'!Tau_j))),Resal+(Salim-Resal)*(1-EXP((Tnet-t)/(Tau_j))))*Salcycl</f>
        <v>4.1369898476659762E-2</v>
      </c>
      <c r="P309" s="165">
        <f>(INDEX(Models!$BJ309:$BT309,,T309)*(1-R309)+INDEX(Models!$BJ309:$BT309,,T309+1)*R309-ERP_i)*Q309*Ramure*Pc/MaxiM</f>
        <v>3.2667332464658927E-4</v>
      </c>
      <c r="Q309" s="301">
        <f t="shared" si="105"/>
        <v>0.5</v>
      </c>
      <c r="R309" s="173">
        <f t="shared" si="106"/>
        <v>0.46268184632478437</v>
      </c>
      <c r="S309" s="801">
        <f t="shared" si="107"/>
        <v>1</v>
      </c>
      <c r="T309" s="172">
        <f t="shared" si="108"/>
        <v>7</v>
      </c>
      <c r="U309" s="247">
        <f t="shared" si="109"/>
        <v>1.4626818463247844</v>
      </c>
      <c r="V309" s="378">
        <f t="shared" si="110"/>
        <v>137.52322109406268</v>
      </c>
      <c r="W309" s="397">
        <f t="shared" si="111"/>
        <v>126.21338268061149</v>
      </c>
      <c r="X309" s="153">
        <f t="shared" si="112"/>
        <v>48143</v>
      </c>
      <c r="Y309" s="380">
        <f t="shared" si="113"/>
        <v>123.04502207275038</v>
      </c>
      <c r="Z309" s="380">
        <f t="shared" si="114"/>
        <v>129.47148410066561</v>
      </c>
      <c r="AA309" s="381">
        <f t="shared" si="115"/>
        <v>138.31983196276462</v>
      </c>
      <c r="AB309" s="193">
        <f t="shared" si="116"/>
        <v>48143</v>
      </c>
      <c r="AC309" s="119">
        <f>IF(OR(t&lt;Tnet,NoTnet),'2030'!Resal_s+('2030'!Salim-'2030'!Resal_s)*(1-EXP(('2030'!Tnet_s-t)/'2030'!Tau_j)),Resal_s+(Salim-Resal_s)*(1-EXP((Tnet_s-t)/Tau_j)))*Salcycl</f>
        <v>6.3970203958033822E-2</v>
      </c>
      <c r="AD309" s="227">
        <f>(INDEX(Models!$BJ309:$BT309,,AH309)*(1-AF309)+INDEX(Models!$BJ309:$BT309,,AH309+1)*AF309-ERP_i)*AE309*Ramure*Pc/MaxiM</f>
        <v>2.0988945896214702E-3</v>
      </c>
      <c r="AE309" s="301">
        <f t="shared" si="117"/>
        <v>0.5</v>
      </c>
      <c r="AF309" s="173">
        <f t="shared" si="118"/>
        <v>0.98766941269876263</v>
      </c>
      <c r="AG309" s="801">
        <f t="shared" si="124"/>
        <v>4</v>
      </c>
      <c r="AH309" s="172">
        <f t="shared" si="119"/>
        <v>10</v>
      </c>
      <c r="AI309" s="221">
        <f t="shared" si="120"/>
        <v>4.9876694126987626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48144</v>
      </c>
      <c r="B310" s="406">
        <f>'2030'!Wh/'2030'!Env_an*'2031'!Env_an</f>
        <v>76.655898621312829</v>
      </c>
      <c r="C310" s="831"/>
      <c r="D310" s="388">
        <f t="shared" si="102"/>
        <v>80.660628571360576</v>
      </c>
      <c r="E310" s="380">
        <f t="shared" si="125"/>
        <v>84.143118625210136</v>
      </c>
      <c r="F310" s="380">
        <f t="shared" si="103"/>
        <v>84.1542751704214</v>
      </c>
      <c r="G310" s="110">
        <f t="shared" si="126"/>
        <v>0.56240034259510829</v>
      </c>
      <c r="H310" s="409" t="b">
        <f>Wh_hp&gt;='2030'!Maxi_hp</f>
        <v>0</v>
      </c>
      <c r="I310" s="385">
        <f>IF(H310,Wh_hp,'2030'!Maxi_hp)</f>
        <v>84.166956159489558</v>
      </c>
      <c r="J310" s="85">
        <f>IF(H310,An,'2030'!An_max)</f>
        <v>2029</v>
      </c>
      <c r="K310" s="193">
        <f t="shared" si="104"/>
        <v>48144</v>
      </c>
      <c r="L310" s="143">
        <f>IF(t&lt;Tvie,1-EXP((T0-t)*PertePVj)+'2030'!Pspv,1-EXP((T0-t)*PertePVj)+Pspv)</f>
        <v>4.9649128961408495E-2</v>
      </c>
      <c r="M310" s="835"/>
      <c r="N310" s="835"/>
      <c r="O310" s="48">
        <f>IF(t&lt;Tnet,'2030'!Resal+('2030'!Salim-'2030'!Resal)*(1-EXP(('2030'!Tnet-t)/('2030'!Tau_j))),Resal+(Salim-Resal)*(1-EXP((Tnet-t)/(Tau_j))))*Salcycl</f>
        <v>4.1387698848687253E-2</v>
      </c>
      <c r="P310" s="165">
        <f>(INDEX(Models!$BJ310:$BT310,,T310)*(1-R310)+INDEX(Models!$BJ310:$BT310,,T310+1)*R310-ERP_i)*Q310*Ramure*Pc/MaxiM</f>
        <v>3.5349357668239267E-4</v>
      </c>
      <c r="Q310" s="301">
        <f t="shared" si="105"/>
        <v>0.5</v>
      </c>
      <c r="R310" s="173">
        <f t="shared" si="106"/>
        <v>0.46276305100660631</v>
      </c>
      <c r="S310" s="801">
        <f t="shared" si="107"/>
        <v>1</v>
      </c>
      <c r="T310" s="172">
        <f t="shared" si="108"/>
        <v>7</v>
      </c>
      <c r="U310" s="247">
        <f t="shared" si="109"/>
        <v>1.4627630510066063</v>
      </c>
      <c r="V310" s="378">
        <f t="shared" si="110"/>
        <v>136.27118561299952</v>
      </c>
      <c r="W310" s="397">
        <f t="shared" si="111"/>
        <v>76.655898621312829</v>
      </c>
      <c r="X310" s="153">
        <f t="shared" si="112"/>
        <v>48144</v>
      </c>
      <c r="Y310" s="380">
        <f t="shared" si="113"/>
        <v>74.797372552121331</v>
      </c>
      <c r="Z310" s="380">
        <f t="shared" si="114"/>
        <v>78.705007625635133</v>
      </c>
      <c r="AA310" s="381">
        <f t="shared" si="115"/>
        <v>84.081915792783036</v>
      </c>
      <c r="AB310" s="193">
        <f t="shared" si="116"/>
        <v>48144</v>
      </c>
      <c r="AC310" s="119">
        <f>IF(OR(t&lt;Tnet,NoTnet),'2030'!Resal_s+('2030'!Salim-'2030'!Resal_s)*(1-EXP(('2030'!Tnet_s-t)/'2030'!Tau_j)),Resal_s+(Salim-Resal_s)*(1-EXP((Tnet_s-t)/Tau_j)))*Salcycl</f>
        <v>6.3948449752252334E-2</v>
      </c>
      <c r="AD310" s="227">
        <f>(INDEX(Models!$BJ310:$BT310,,AH310)*(1-AF310)+INDEX(Models!$BJ310:$BT310,,AH310+1)*AF310-ERP_i)*AE310*Ramure*Pc/MaxiM</f>
        <v>2.2926967733776569E-3</v>
      </c>
      <c r="AE310" s="301">
        <f t="shared" si="117"/>
        <v>0.5</v>
      </c>
      <c r="AF310" s="173">
        <f t="shared" si="118"/>
        <v>0.98775061738058412</v>
      </c>
      <c r="AG310" s="801">
        <f t="shared" si="124"/>
        <v>4</v>
      </c>
      <c r="AH310" s="172">
        <f t="shared" si="119"/>
        <v>10</v>
      </c>
      <c r="AI310" s="221">
        <f t="shared" si="120"/>
        <v>4.9877506173805841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48145</v>
      </c>
      <c r="B311" s="406">
        <f>'2030'!Wh/'2030'!Env_an*'2031'!Env_an</f>
        <v>98.603685120282833</v>
      </c>
      <c r="C311" s="831"/>
      <c r="D311" s="388">
        <f t="shared" si="102"/>
        <v>103.75645242756063</v>
      </c>
      <c r="E311" s="380">
        <f t="shared" si="125"/>
        <v>108.23805286563132</v>
      </c>
      <c r="F311" s="380">
        <f t="shared" si="103"/>
        <v>108.26380603392683</v>
      </c>
      <c r="G311" s="110">
        <f t="shared" si="126"/>
        <v>0.73018349164008878</v>
      </c>
      <c r="H311" s="409" t="b">
        <f>Wh_hp&gt;='2030'!Maxi_hp</f>
        <v>0</v>
      </c>
      <c r="I311" s="385">
        <f>IF(H311,Wh_hp,'2030'!Maxi_hp)</f>
        <v>108.27478002131488</v>
      </c>
      <c r="J311" s="85">
        <f>IF(H311,An,'2030'!An_max)</f>
        <v>2029</v>
      </c>
      <c r="K311" s="193">
        <f t="shared" si="104"/>
        <v>48145</v>
      </c>
      <c r="L311" s="143">
        <f>IF(t&lt;Tvie,1-EXP((T0-t)*PertePVj)+'2030'!Pspv,1-EXP((T0-t)*PertePVj)+Pspv)</f>
        <v>4.9662138466764705E-2</v>
      </c>
      <c r="M311" s="835"/>
      <c r="N311" s="835"/>
      <c r="O311" s="48">
        <f>IF(t&lt;Tnet,'2030'!Resal+('2030'!Salim-'2030'!Resal)*(1-EXP(('2030'!Tnet-t)/('2030'!Tau_j))),Resal+(Salim-Resal)*(1-EXP((Tnet-t)/(Tau_j))))*Salcycl</f>
        <v>4.1405035654459077E-2</v>
      </c>
      <c r="P311" s="165">
        <f>(INDEX(Models!$BJ311:$BT311,,T311)*(1-R311)+INDEX(Models!$BJ311:$BT311,,T311+1)*R311-ERP_i)*Q311*Ramure*Pc/MaxiM</f>
        <v>3.8697395468983872E-4</v>
      </c>
      <c r="Q311" s="301">
        <f t="shared" si="105"/>
        <v>0.5</v>
      </c>
      <c r="R311" s="173">
        <f t="shared" si="106"/>
        <v>0.46284101101899888</v>
      </c>
      <c r="S311" s="801">
        <f t="shared" si="107"/>
        <v>1</v>
      </c>
      <c r="T311" s="172">
        <f t="shared" si="108"/>
        <v>7</v>
      </c>
      <c r="U311" s="247">
        <f t="shared" si="109"/>
        <v>1.4628410110189989</v>
      </c>
      <c r="V311" s="378">
        <f t="shared" si="110"/>
        <v>135.01945876293686</v>
      </c>
      <c r="W311" s="397">
        <f t="shared" si="111"/>
        <v>98.603685120282833</v>
      </c>
      <c r="X311" s="153">
        <f t="shared" si="112"/>
        <v>48145</v>
      </c>
      <c r="Y311" s="380">
        <f t="shared" si="113"/>
        <v>96.161950157949391</v>
      </c>
      <c r="Z311" s="380">
        <f t="shared" si="114"/>
        <v>101.18711886613222</v>
      </c>
      <c r="AA311" s="381">
        <f t="shared" si="115"/>
        <v>108.09736140387255</v>
      </c>
      <c r="AB311" s="193">
        <f t="shared" si="116"/>
        <v>48145</v>
      </c>
      <c r="AC311" s="119">
        <f>IF(OR(t&lt;Tnet,NoTnet),'2030'!Resal_s+('2030'!Salim-'2030'!Resal_s)*(1-EXP(('2030'!Tnet_s-t)/'2030'!Tau_j)),Resal_s+(Salim-Resal_s)*(1-EXP((Tnet_s-t)/Tau_j)))*Salcycl</f>
        <v>6.3926098176645851E-2</v>
      </c>
      <c r="AD311" s="227">
        <f>(INDEX(Models!$BJ311:$BT311,,AH311)*(1-AF311)+INDEX(Models!$BJ311:$BT311,,AH311+1)*AF311-ERP_i)*AE311*Ramure*Pc/MaxiM</f>
        <v>2.5010412695600504E-3</v>
      </c>
      <c r="AE311" s="301">
        <f t="shared" si="117"/>
        <v>0.5</v>
      </c>
      <c r="AF311" s="173">
        <f t="shared" si="118"/>
        <v>0.98782857739297647</v>
      </c>
      <c r="AG311" s="801">
        <f t="shared" si="124"/>
        <v>4</v>
      </c>
      <c r="AH311" s="172">
        <f t="shared" si="119"/>
        <v>10</v>
      </c>
      <c r="AI311" s="221">
        <f t="shared" si="120"/>
        <v>4.9878285773929765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48146</v>
      </c>
      <c r="B312" s="406">
        <f>'2030'!Wh/'2030'!Env_an*'2031'!Env_an</f>
        <v>85.272504461540805</v>
      </c>
      <c r="C312" s="831"/>
      <c r="D312" s="388">
        <f t="shared" si="102"/>
        <v>89.729847918424525</v>
      </c>
      <c r="E312" s="380">
        <f t="shared" si="125"/>
        <v>93.607241440770139</v>
      </c>
      <c r="F312" s="380">
        <f t="shared" si="103"/>
        <v>93.626522287340194</v>
      </c>
      <c r="G312" s="110">
        <f t="shared" si="126"/>
        <v>0.63731959643117087</v>
      </c>
      <c r="H312" s="409" t="b">
        <f>Wh_hp&gt;='2030'!Maxi_hp</f>
        <v>0</v>
      </c>
      <c r="I312" s="385">
        <f>IF(H312,Wh_hp,'2030'!Maxi_hp)</f>
        <v>93.640563650250286</v>
      </c>
      <c r="J312" s="85">
        <f>IF(H312,An,'2030'!An_max)</f>
        <v>2029</v>
      </c>
      <c r="K312" s="193">
        <f t="shared" si="104"/>
        <v>48146</v>
      </c>
      <c r="L312" s="143">
        <f>IF(t&lt;Tvie,1-EXP((T0-t)*PertePVj)+'2030'!Pspv,1-EXP((T0-t)*PertePVj)+Pspv)</f>
        <v>4.9675147794031704E-2</v>
      </c>
      <c r="M312" s="835"/>
      <c r="N312" s="835"/>
      <c r="O312" s="48">
        <f>IF(t&lt;Tnet,'2030'!Resal+('2030'!Salim-'2030'!Resal)*(1-EXP(('2030'!Tnet-t)/('2030'!Tau_j))),Resal+(Salim-Resal)*(1-EXP((Tnet-t)/(Tau_j))))*Salcycl</f>
        <v>4.1421939827155703E-2</v>
      </c>
      <c r="P312" s="165">
        <f>(INDEX(Models!$BJ312:$BT312,,T312)*(1-R312)+INDEX(Models!$BJ312:$BT312,,T312+1)*R312-ERP_i)*Q312*Ramure*Pc/MaxiM</f>
        <v>4.2717133349744099E-4</v>
      </c>
      <c r="Q312" s="301">
        <f t="shared" si="105"/>
        <v>0.5</v>
      </c>
      <c r="R312" s="173">
        <f t="shared" si="106"/>
        <v>0.46291585505040711</v>
      </c>
      <c r="S312" s="801">
        <f t="shared" si="107"/>
        <v>1</v>
      </c>
      <c r="T312" s="172">
        <f t="shared" si="108"/>
        <v>7</v>
      </c>
      <c r="U312" s="247">
        <f t="shared" si="109"/>
        <v>1.4629158550504071</v>
      </c>
      <c r="V312" s="378">
        <f t="shared" si="110"/>
        <v>133.76904704842417</v>
      </c>
      <c r="W312" s="397">
        <f t="shared" si="111"/>
        <v>85.272504461540805</v>
      </c>
      <c r="X312" s="153">
        <f t="shared" si="112"/>
        <v>48146</v>
      </c>
      <c r="Y312" s="380">
        <f t="shared" si="113"/>
        <v>83.180406944769402</v>
      </c>
      <c r="Z312" s="380">
        <f t="shared" si="114"/>
        <v>87.52839279293238</v>
      </c>
      <c r="AA312" s="381">
        <f t="shared" si="115"/>
        <v>93.503569941240599</v>
      </c>
      <c r="AB312" s="193">
        <f t="shared" si="116"/>
        <v>48146</v>
      </c>
      <c r="AC312" s="119">
        <f>IF(OR(t&lt;Tnet,NoTnet),'2030'!Resal_s+('2030'!Salim-'2030'!Resal_s)*(1-EXP(('2030'!Tnet_s-t)/'2030'!Tau_j)),Resal_s+(Salim-Resal_s)*(1-EXP((Tnet_s-t)/Tau_j)))*Salcycl</f>
        <v>6.3903198049690801E-2</v>
      </c>
      <c r="AD312" s="227">
        <f>(INDEX(Models!$BJ312:$BT312,,AH312)*(1-AF312)+INDEX(Models!$BJ312:$BT312,,AH312+1)*AF312-ERP_i)*AE312*Ramure*Pc/MaxiM</f>
        <v>2.7240358689209036E-3</v>
      </c>
      <c r="AE312" s="301">
        <f t="shared" si="117"/>
        <v>0.5</v>
      </c>
      <c r="AF312" s="173">
        <f t="shared" si="118"/>
        <v>0.98790342142438536</v>
      </c>
      <c r="AG312" s="801">
        <f t="shared" si="124"/>
        <v>4</v>
      </c>
      <c r="AH312" s="172">
        <f t="shared" si="119"/>
        <v>10</v>
      </c>
      <c r="AI312" s="221">
        <f t="shared" si="120"/>
        <v>4.9879034214243854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48147</v>
      </c>
      <c r="B313" s="406">
        <f>'2030'!Wh/'2030'!Env_an*'2031'!Env_an</f>
        <v>56.314930108797597</v>
      </c>
      <c r="C313" s="831"/>
      <c r="D313" s="388">
        <f t="shared" si="102"/>
        <v>59.259421546988307</v>
      </c>
      <c r="E313" s="380">
        <f t="shared" si="125"/>
        <v>61.821195713548072</v>
      </c>
      <c r="F313" s="380">
        <f t="shared" si="103"/>
        <v>61.826428363495268</v>
      </c>
      <c r="G313" s="110">
        <f t="shared" si="126"/>
        <v>0.42478559231424423</v>
      </c>
      <c r="H313" s="409" t="b">
        <f>Wh_hp&gt;='2030'!Maxi_hp</f>
        <v>0</v>
      </c>
      <c r="I313" s="385">
        <f>IF(H313,Wh_hp,'2030'!Maxi_hp)</f>
        <v>61.842712937282592</v>
      </c>
      <c r="J313" s="85">
        <f>IF(H313,An,'2030'!An_max)</f>
        <v>2029</v>
      </c>
      <c r="K313" s="193">
        <f t="shared" si="104"/>
        <v>48147</v>
      </c>
      <c r="L313" s="143">
        <f>IF(t&lt;Tvie,1-EXP((T0-t)*PertePVj)+'2030'!Pspv,1-EXP((T0-t)*PertePVj)+Pspv)</f>
        <v>4.9688156943211936E-2</v>
      </c>
      <c r="M313" s="835"/>
      <c r="N313" s="835"/>
      <c r="O313" s="48">
        <f>IF(t&lt;Tnet,'2030'!Resal+('2030'!Salim-'2030'!Resal)*(1-EXP(('2030'!Tnet-t)/('2030'!Tau_j))),Resal+(Salim-Resal)*(1-EXP((Tnet-t)/(Tau_j))))*Salcycl</f>
        <v>4.143844416128549E-2</v>
      </c>
      <c r="P313" s="165">
        <f>(INDEX(Models!$BJ313:$BT313,,T313)*(1-R313)+INDEX(Models!$BJ313:$BT313,,T313+1)*R313-ERP_i)*Q313*Ramure*Pc/MaxiM</f>
        <v>4.7413868157638488E-4</v>
      </c>
      <c r="Q313" s="301">
        <f t="shared" si="105"/>
        <v>0.5</v>
      </c>
      <c r="R313" s="173">
        <f t="shared" si="106"/>
        <v>0.46298770676063672</v>
      </c>
      <c r="S313" s="801">
        <f t="shared" si="107"/>
        <v>1</v>
      </c>
      <c r="T313" s="172">
        <f t="shared" si="108"/>
        <v>7</v>
      </c>
      <c r="U313" s="247">
        <f t="shared" si="109"/>
        <v>1.4629877067606367</v>
      </c>
      <c r="V313" s="378">
        <f t="shared" si="110"/>
        <v>132.5209573275321</v>
      </c>
      <c r="W313" s="397">
        <f t="shared" si="111"/>
        <v>56.314930108797597</v>
      </c>
      <c r="X313" s="153">
        <f t="shared" si="112"/>
        <v>48147</v>
      </c>
      <c r="Y313" s="380">
        <f t="shared" si="113"/>
        <v>54.972090479549564</v>
      </c>
      <c r="Z313" s="380">
        <f t="shared" si="114"/>
        <v>57.846369990218655</v>
      </c>
      <c r="AA313" s="381">
        <f t="shared" si="115"/>
        <v>61.793741921397235</v>
      </c>
      <c r="AB313" s="193">
        <f t="shared" si="116"/>
        <v>48147</v>
      </c>
      <c r="AC313" s="119">
        <f>IF(OR(t&lt;Tnet,NoTnet),'2030'!Resal_s+('2030'!Salim-'2030'!Resal_s)*(1-EXP(('2030'!Tnet_s-t)/'2030'!Tau_j)),Resal_s+(Salim-Resal_s)*(1-EXP((Tnet_s-t)/Tau_j)))*Salcycl</f>
        <v>6.3879800906048168E-2</v>
      </c>
      <c r="AD313" s="227">
        <f>(INDEX(Models!$BJ313:$BT313,,AH313)*(1-AF313)+INDEX(Models!$BJ313:$BT313,,AH313+1)*AF313-ERP_i)*AE313*Ramure*Pc/MaxiM</f>
        <v>2.9617701772872707E-3</v>
      </c>
      <c r="AE313" s="301">
        <f t="shared" si="117"/>
        <v>0.5</v>
      </c>
      <c r="AF313" s="173">
        <f t="shared" si="118"/>
        <v>0.98797527313461497</v>
      </c>
      <c r="AG313" s="801">
        <f t="shared" si="124"/>
        <v>4</v>
      </c>
      <c r="AH313" s="172">
        <f t="shared" si="119"/>
        <v>10</v>
      </c>
      <c r="AI313" s="221">
        <f t="shared" si="120"/>
        <v>4.987975273134615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48148</v>
      </c>
      <c r="B314" s="406">
        <f>'2030'!Wh/'2030'!Env_an*'2031'!Env_an</f>
        <v>50.542480915182317</v>
      </c>
      <c r="C314" s="831"/>
      <c r="D314" s="388">
        <f t="shared" si="102"/>
        <v>53.185881222100612</v>
      </c>
      <c r="E314" s="380">
        <f t="shared" si="125"/>
        <v>55.486031533109234</v>
      </c>
      <c r="F314" s="380">
        <f t="shared" si="103"/>
        <v>55.48958908359635</v>
      </c>
      <c r="G314" s="110">
        <f t="shared" si="126"/>
        <v>0.38483013983008346</v>
      </c>
      <c r="H314" s="409" t="b">
        <f>Wh_hp&gt;='2030'!Maxi_hp</f>
        <v>0</v>
      </c>
      <c r="I314" s="385">
        <f>IF(H314,Wh_hp,'2030'!Maxi_hp)</f>
        <v>55.506958756661589</v>
      </c>
      <c r="J314" s="85">
        <f>IF(H314,An,'2030'!An_max)</f>
        <v>2029</v>
      </c>
      <c r="K314" s="193">
        <f t="shared" si="104"/>
        <v>48148</v>
      </c>
      <c r="L314" s="143">
        <f>IF(t&lt;Tvie,1-EXP((T0-t)*PertePVj)+'2030'!Pspv,1-EXP((T0-t)*PertePVj)+Pspv)</f>
        <v>4.9701165914307843E-2</v>
      </c>
      <c r="M314" s="835"/>
      <c r="N314" s="835"/>
      <c r="O314" s="48">
        <f>IF(t&lt;Tnet,'2030'!Resal+('2030'!Salim-'2030'!Resal)*(1-EXP(('2030'!Tnet-t)/('2030'!Tau_j))),Resal+(Salim-Resal)*(1-EXP((Tnet-t)/(Tau_j))))*Salcycl</f>
        <v>4.1454583206876026E-2</v>
      </c>
      <c r="P314" s="165">
        <f>(INDEX(Models!$BJ314:$BT314,,T314)*(1-R314)+INDEX(Models!$BJ314:$BT314,,T314+1)*R314-ERP_i)*Q314*Ramure*Pc/MaxiM</f>
        <v>5.2792728095233255E-4</v>
      </c>
      <c r="Q314" s="301">
        <f t="shared" si="105"/>
        <v>0.5</v>
      </c>
      <c r="R314" s="173">
        <f t="shared" si="106"/>
        <v>0.46305668497141395</v>
      </c>
      <c r="S314" s="801">
        <f t="shared" si="107"/>
        <v>1</v>
      </c>
      <c r="T314" s="172">
        <f t="shared" si="108"/>
        <v>7</v>
      </c>
      <c r="U314" s="247">
        <f t="shared" si="109"/>
        <v>1.4630566849714139</v>
      </c>
      <c r="V314" s="378">
        <f t="shared" si="110"/>
        <v>131.27619645708046</v>
      </c>
      <c r="W314" s="397">
        <f t="shared" si="111"/>
        <v>50.542480915182317</v>
      </c>
      <c r="X314" s="153">
        <f t="shared" si="112"/>
        <v>48148</v>
      </c>
      <c r="Y314" s="380">
        <f t="shared" si="113"/>
        <v>49.345189468632988</v>
      </c>
      <c r="Z314" s="380">
        <f t="shared" si="114"/>
        <v>51.925970756461375</v>
      </c>
      <c r="AA314" s="381">
        <f t="shared" si="115"/>
        <v>55.467928634316074</v>
      </c>
      <c r="AB314" s="193">
        <f t="shared" si="116"/>
        <v>48148</v>
      </c>
      <c r="AC314" s="119">
        <f>IF(OR(t&lt;Tnet,NoTnet),'2030'!Resal_s+('2030'!Salim-'2030'!Resal_s)*(1-EXP(('2030'!Tnet_s-t)/'2030'!Tau_j)),Resal_s+(Salim-Resal_s)*(1-EXP((Tnet_s-t)/Tau_j)))*Salcycl</f>
        <v>6.3855960823880731E-2</v>
      </c>
      <c r="AD314" s="227">
        <f>(INDEX(Models!$BJ314:$BT314,,AH314)*(1-AF314)+INDEX(Models!$BJ314:$BT314,,AH314+1)*AF314-ERP_i)*AE314*Ramure*Pc/MaxiM</f>
        <v>3.2143302348490005E-3</v>
      </c>
      <c r="AE314" s="301">
        <f t="shared" si="117"/>
        <v>0.5</v>
      </c>
      <c r="AF314" s="173">
        <f t="shared" si="118"/>
        <v>0.98804425134539198</v>
      </c>
      <c r="AG314" s="801">
        <f t="shared" si="124"/>
        <v>4</v>
      </c>
      <c r="AH314" s="172">
        <f t="shared" si="119"/>
        <v>10</v>
      </c>
      <c r="AI314" s="221">
        <f t="shared" si="120"/>
        <v>4.988044251345392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48149</v>
      </c>
      <c r="B315" s="406">
        <f>'2030'!Wh/'2030'!Env_an*'2031'!Env_an</f>
        <v>66.697047141855407</v>
      </c>
      <c r="C315" s="831"/>
      <c r="D315" s="388">
        <f t="shared" si="102"/>
        <v>70.18630118081937</v>
      </c>
      <c r="E315" s="380">
        <f t="shared" si="125"/>
        <v>73.222882923275066</v>
      </c>
      <c r="F315" s="380">
        <f t="shared" si="103"/>
        <v>73.235994029046594</v>
      </c>
      <c r="G315" s="110">
        <f t="shared" si="126"/>
        <v>0.51270296691690065</v>
      </c>
      <c r="H315" s="409" t="b">
        <f>Wh_hp&gt;='2030'!Maxi_hp</f>
        <v>0</v>
      </c>
      <c r="I315" s="385">
        <f>IF(H315,Wh_hp,'2030'!Maxi_hp)</f>
        <v>73.256206223121353</v>
      </c>
      <c r="J315" s="85">
        <f>IF(H315,An,'2030'!An_max)</f>
        <v>2029</v>
      </c>
      <c r="K315" s="193">
        <f t="shared" si="104"/>
        <v>48149</v>
      </c>
      <c r="L315" s="143">
        <f>IF(t&lt;Tvie,1-EXP((T0-t)*PertePVj)+'2030'!Pspv,1-EXP((T0-t)*PertePVj)+Pspv)</f>
        <v>4.9714174707321868E-2</v>
      </c>
      <c r="M315" s="835"/>
      <c r="N315" s="835"/>
      <c r="O315" s="48">
        <f>IF(t&lt;Tnet,'2030'!Resal+('2030'!Salim-'2030'!Resal)*(1-EXP(('2030'!Tnet-t)/('2030'!Tau_j))),Resal+(Salim-Resal)*(1-EXP((Tnet-t)/(Tau_j))))*Salcycl</f>
        <v>4.1470393150697275E-2</v>
      </c>
      <c r="P315" s="165">
        <f>(INDEX(Models!$BJ315:$BT315,,T315)*(1-R315)+INDEX(Models!$BJ315:$BT315,,T315+1)*R315-ERP_i)*Q315*Ramure*Pc/MaxiM</f>
        <v>5.8858670826626193E-4</v>
      </c>
      <c r="Q315" s="301">
        <f t="shared" si="105"/>
        <v>0.5</v>
      </c>
      <c r="R315" s="173">
        <f t="shared" si="106"/>
        <v>0.46312290385019605</v>
      </c>
      <c r="S315" s="801">
        <f t="shared" si="107"/>
        <v>1</v>
      </c>
      <c r="T315" s="172">
        <f t="shared" si="108"/>
        <v>7</v>
      </c>
      <c r="U315" s="247">
        <f t="shared" si="109"/>
        <v>1.4631229038501961</v>
      </c>
      <c r="V315" s="378">
        <f t="shared" si="110"/>
        <v>130.03577124599965</v>
      </c>
      <c r="W315" s="397">
        <f t="shared" si="111"/>
        <v>66.697047141855407</v>
      </c>
      <c r="X315" s="153">
        <f t="shared" si="112"/>
        <v>48149</v>
      </c>
      <c r="Y315" s="380">
        <f t="shared" si="113"/>
        <v>65.083750709773625</v>
      </c>
      <c r="Z315" s="380">
        <f t="shared" si="114"/>
        <v>68.488605193841025</v>
      </c>
      <c r="AA315" s="381">
        <f t="shared" si="115"/>
        <v>73.15843497187123</v>
      </c>
      <c r="AB315" s="193">
        <f t="shared" si="116"/>
        <v>48149</v>
      </c>
      <c r="AC315" s="119">
        <f>IF(OR(t&lt;Tnet,NoTnet),'2030'!Resal_s+('2030'!Salim-'2030'!Resal_s)*(1-EXP(('2030'!Tnet_s-t)/'2030'!Tau_j)),Resal_s+(Salim-Resal_s)*(1-EXP((Tnet_s-t)/Tau_j)))*Salcycl</f>
        <v>6.3831734233047902E-2</v>
      </c>
      <c r="AD315" s="227">
        <f>(INDEX(Models!$BJ315:$BT315,,AH315)*(1-AF315)+INDEX(Models!$BJ315:$BT315,,AH315+1)*AF315-ERP_i)*AE315*Ramure*Pc/MaxiM</f>
        <v>3.4817986335099614E-3</v>
      </c>
      <c r="AE315" s="301">
        <f t="shared" si="117"/>
        <v>0.5</v>
      </c>
      <c r="AF315" s="173">
        <f t="shared" si="118"/>
        <v>0.98811047022417409</v>
      </c>
      <c r="AG315" s="801">
        <f t="shared" si="124"/>
        <v>4</v>
      </c>
      <c r="AH315" s="172">
        <f t="shared" si="119"/>
        <v>10</v>
      </c>
      <c r="AI315" s="221">
        <f t="shared" si="120"/>
        <v>4.9881104702241741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48150</v>
      </c>
      <c r="B316" s="406">
        <f>'2030'!Wh/'2030'!Env_an*'2031'!Env_an</f>
        <v>96.82632509232657</v>
      </c>
      <c r="C316" s="831"/>
      <c r="D316" s="388">
        <f t="shared" si="102"/>
        <v>101.89318624396925</v>
      </c>
      <c r="E316" s="380">
        <f t="shared" si="125"/>
        <v>106.30327450178963</v>
      </c>
      <c r="F316" s="380">
        <f t="shared" si="103"/>
        <v>106.34830914285692</v>
      </c>
      <c r="G316" s="110">
        <f t="shared" si="126"/>
        <v>0.7515781564866213</v>
      </c>
      <c r="H316" s="409" t="b">
        <f>Wh_hp&gt;='2030'!Maxi_hp</f>
        <v>0</v>
      </c>
      <c r="I316" s="385">
        <f>IF(H316,Wh_hp,'2030'!Maxi_hp)</f>
        <v>106.36496623468116</v>
      </c>
      <c r="J316" s="85">
        <f>IF(H316,An,'2030'!An_max)</f>
        <v>2029</v>
      </c>
      <c r="K316" s="193">
        <f t="shared" si="104"/>
        <v>48150</v>
      </c>
      <c r="L316" s="143">
        <f>IF(t&lt;Tvie,1-EXP((T0-t)*PertePVj)+'2030'!Pspv,1-EXP((T0-t)*PertePVj)+Pspv)</f>
        <v>4.9727183322256452E-2</v>
      </c>
      <c r="M316" s="835"/>
      <c r="N316" s="835"/>
      <c r="O316" s="48">
        <f>IF(t&lt;Tnet,'2030'!Resal+('2030'!Salim-'2030'!Resal)*(1-EXP(('2030'!Tnet-t)/('2030'!Tau_j))),Resal+(Salim-Resal)*(1-EXP((Tnet-t)/(Tau_j))))*Salcycl</f>
        <v>4.1485911685120586E-2</v>
      </c>
      <c r="P316" s="165">
        <f>(INDEX(Models!$BJ316:$BT316,,T316)*(1-R316)+INDEX(Models!$BJ316:$BT316,,T316+1)*R316-ERP_i)*Q316*Ramure*Pc/MaxiM</f>
        <v>6.5616483632341762E-4</v>
      </c>
      <c r="Q316" s="301">
        <f t="shared" si="105"/>
        <v>0.5</v>
      </c>
      <c r="R316" s="173">
        <f t="shared" si="106"/>
        <v>0.46318647308743222</v>
      </c>
      <c r="S316" s="801">
        <f t="shared" si="107"/>
        <v>1</v>
      </c>
      <c r="T316" s="172">
        <f t="shared" si="108"/>
        <v>7</v>
      </c>
      <c r="U316" s="247">
        <f t="shared" si="109"/>
        <v>1.4631864730874322</v>
      </c>
      <c r="V316" s="378">
        <f t="shared" si="110"/>
        <v>128.80068840328366</v>
      </c>
      <c r="W316" s="397">
        <f t="shared" si="111"/>
        <v>96.82632509232657</v>
      </c>
      <c r="X316" s="153">
        <f t="shared" si="112"/>
        <v>48150</v>
      </c>
      <c r="Y316" s="380">
        <f t="shared" si="113"/>
        <v>94.381719217285976</v>
      </c>
      <c r="Z316" s="380">
        <f t="shared" si="114"/>
        <v>99.320655669447291</v>
      </c>
      <c r="AA316" s="381">
        <f t="shared" si="115"/>
        <v>106.08995659480959</v>
      </c>
      <c r="AB316" s="193">
        <f t="shared" si="116"/>
        <v>48150</v>
      </c>
      <c r="AC316" s="119">
        <f>IF(OR(t&lt;Tnet,NoTnet),'2030'!Resal_s+('2030'!Salim-'2030'!Resal_s)*(1-EXP(('2030'!Tnet_s-t)/'2030'!Tau_j)),Resal_s+(Salim-Resal_s)*(1-EXP((Tnet_s-t)/Tau_j)))*Salcycl</f>
        <v>6.3807179705203873E-2</v>
      </c>
      <c r="AD316" s="227">
        <f>(INDEX(Models!$BJ316:$BT316,,AH316)*(1-AF316)+INDEX(Models!$BJ316:$BT316,,AH316+1)*AF316-ERP_i)*AE316*Ramure*Pc/MaxiM</f>
        <v>3.7642546578730515E-3</v>
      </c>
      <c r="AE316" s="301">
        <f t="shared" si="117"/>
        <v>0.5</v>
      </c>
      <c r="AF316" s="173">
        <f t="shared" si="118"/>
        <v>0.98817403946141003</v>
      </c>
      <c r="AG316" s="801">
        <f t="shared" si="124"/>
        <v>4</v>
      </c>
      <c r="AH316" s="172">
        <f t="shared" si="119"/>
        <v>10</v>
      </c>
      <c r="AI316" s="221">
        <f t="shared" si="120"/>
        <v>4.98817403946141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48151</v>
      </c>
      <c r="B317" s="406">
        <f>'2030'!Wh/'2030'!Env_an*'2031'!Env_an</f>
        <v>80.949906302027472</v>
      </c>
      <c r="C317" s="831"/>
      <c r="D317" s="388">
        <f t="shared" si="102"/>
        <v>85.187130508951384</v>
      </c>
      <c r="E317" s="380">
        <f t="shared" si="125"/>
        <v>88.875571405743813</v>
      </c>
      <c r="F317" s="380">
        <f t="shared" si="103"/>
        <v>88.906624082809913</v>
      </c>
      <c r="G317" s="110">
        <f t="shared" si="126"/>
        <v>0.63433481104791933</v>
      </c>
      <c r="H317" s="409" t="b">
        <f>Wh_hp&gt;='2030'!Maxi_hp</f>
        <v>0</v>
      </c>
      <c r="I317" s="385">
        <f>IF(H317,Wh_hp,'2030'!Maxi_hp)</f>
        <v>88.929429943369428</v>
      </c>
      <c r="J317" s="85">
        <f>IF(H317,An,'2030'!An_max)</f>
        <v>2029</v>
      </c>
      <c r="K317" s="193">
        <f t="shared" si="104"/>
        <v>48151</v>
      </c>
      <c r="L317" s="143">
        <f>IF(t&lt;Tvie,1-EXP((T0-t)*PertePVj)+'2030'!Pspv,1-EXP((T0-t)*PertePVj)+Pspv)</f>
        <v>4.9740191759114039E-2</v>
      </c>
      <c r="M317" s="835"/>
      <c r="N317" s="835"/>
      <c r="O317" s="48">
        <f>IF(t&lt;Tnet,'2030'!Resal+('2030'!Salim-'2030'!Resal)*(1-EXP(('2030'!Tnet-t)/('2030'!Tau_j))),Resal+(Salim-Resal)*(1-EXP((Tnet-t)/(Tau_j))))*Salcycl</f>
        <v>4.1501177865327921E-2</v>
      </c>
      <c r="P317" s="165">
        <f>(INDEX(Models!$BJ317:$BT317,,T317)*(1-R317)+INDEX(Models!$BJ317:$BT317,,T317+1)*R317-ERP_i)*Q317*Ramure*Pc/MaxiM</f>
        <v>7.3074680153701851E-4</v>
      </c>
      <c r="Q317" s="301">
        <f t="shared" si="105"/>
        <v>0.5</v>
      </c>
      <c r="R317" s="173">
        <f t="shared" si="106"/>
        <v>0.46324749806747478</v>
      </c>
      <c r="S317" s="801">
        <f t="shared" si="107"/>
        <v>1</v>
      </c>
      <c r="T317" s="172">
        <f t="shared" si="108"/>
        <v>7</v>
      </c>
      <c r="U317" s="247">
        <f t="shared" si="109"/>
        <v>1.4632474980674748</v>
      </c>
      <c r="V317" s="378">
        <f t="shared" si="110"/>
        <v>127.56514986897537</v>
      </c>
      <c r="W317" s="397">
        <f t="shared" si="111"/>
        <v>80.949906302027472</v>
      </c>
      <c r="X317" s="153">
        <f t="shared" si="112"/>
        <v>48151</v>
      </c>
      <c r="Y317" s="380">
        <f t="shared" si="113"/>
        <v>78.942213570813223</v>
      </c>
      <c r="Z317" s="380">
        <f t="shared" si="114"/>
        <v>83.074347548120002</v>
      </c>
      <c r="AA317" s="381">
        <f t="shared" si="115"/>
        <v>88.73401204705614</v>
      </c>
      <c r="AB317" s="193">
        <f t="shared" si="116"/>
        <v>48151</v>
      </c>
      <c r="AC317" s="119">
        <f>IF(OR(t&lt;Tnet,NoTnet),'2030'!Resal_s+('2030'!Salim-'2030'!Resal_s)*(1-EXP(('2030'!Tnet_s-t)/'2030'!Tau_j)),Resal_s+(Salim-Resal_s)*(1-EXP((Tnet_s-t)/Tau_j)))*Salcycl</f>
        <v>6.378235772698726E-2</v>
      </c>
      <c r="AD317" s="227">
        <f>(INDEX(Models!$BJ317:$BT317,,AH317)*(1-AF317)+INDEX(Models!$BJ317:$BT317,,AH317+1)*AF317-ERP_i)*AE317*Ramure*Pc/MaxiM</f>
        <v>4.0619909441417454E-3</v>
      </c>
      <c r="AE317" s="301">
        <f t="shared" si="117"/>
        <v>0.5</v>
      </c>
      <c r="AF317" s="173">
        <f t="shared" si="118"/>
        <v>0.98823506444145259</v>
      </c>
      <c r="AG317" s="801">
        <f t="shared" si="124"/>
        <v>4</v>
      </c>
      <c r="AH317" s="172">
        <f t="shared" si="119"/>
        <v>10</v>
      </c>
      <c r="AI317" s="221">
        <f t="shared" si="120"/>
        <v>4.9882350644414526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48152</v>
      </c>
      <c r="B318" s="406">
        <f>'2030'!Wh/'2030'!Env_an*'2031'!Env_an</f>
        <v>81.955267891248297</v>
      </c>
      <c r="C318" s="831"/>
      <c r="D318" s="388">
        <f t="shared" si="102"/>
        <v>86.246297164896362</v>
      </c>
      <c r="E318" s="380">
        <f t="shared" si="125"/>
        <v>89.982011214309139</v>
      </c>
      <c r="F318" s="380">
        <f t="shared" si="103"/>
        <v>90.018317947941185</v>
      </c>
      <c r="G318" s="110">
        <f t="shared" si="126"/>
        <v>0.64850473218080606</v>
      </c>
      <c r="H318" s="409" t="b">
        <f>Wh_hp&gt;='2030'!Maxi_hp</f>
        <v>0</v>
      </c>
      <c r="I318" s="385">
        <f>IF(H318,Wh_hp,'2030'!Maxi_hp)</f>
        <v>90.0429004935324</v>
      </c>
      <c r="J318" s="85">
        <f>IF(H318,An,'2030'!An_max)</f>
        <v>2029</v>
      </c>
      <c r="K318" s="193">
        <f t="shared" si="104"/>
        <v>48152</v>
      </c>
      <c r="L318" s="143">
        <f>IF(t&lt;Tvie,1-EXP((T0-t)*PertePVj)+'2030'!Pspv,1-EXP((T0-t)*PertePVj)+Pspv)</f>
        <v>4.9753200017896959E-2</v>
      </c>
      <c r="M318" s="835"/>
      <c r="N318" s="835"/>
      <c r="O318" s="48">
        <f>IF(t&lt;Tnet,'2030'!Resal+('2030'!Salim-'2030'!Resal)*(1-EXP(('2030'!Tnet-t)/('2030'!Tau_j))),Resal+(Salim-Resal)*(1-EXP((Tnet-t)/(Tau_j))))*Salcycl</f>
        <v>4.1516231955690173E-2</v>
      </c>
      <c r="P318" s="165">
        <f>(INDEX(Models!$BJ318:$BT318,,T318)*(1-R318)+INDEX(Models!$BJ318:$BT318,,T318+1)*R318-ERP_i)*Q318*Ramure*Pc/MaxiM</f>
        <v>8.0950075181122113E-4</v>
      </c>
      <c r="Q318" s="301">
        <f t="shared" si="105"/>
        <v>0.5</v>
      </c>
      <c r="R318" s="173">
        <f t="shared" si="106"/>
        <v>0.46330608003333573</v>
      </c>
      <c r="S318" s="801">
        <f t="shared" si="107"/>
        <v>1</v>
      </c>
      <c r="T318" s="172">
        <f t="shared" si="108"/>
        <v>7</v>
      </c>
      <c r="U318" s="247">
        <f t="shared" si="109"/>
        <v>1.4633060800333357</v>
      </c>
      <c r="V318" s="378">
        <f t="shared" si="110"/>
        <v>126.3243924663407</v>
      </c>
      <c r="W318" s="397">
        <f t="shared" si="111"/>
        <v>81.955267891248297</v>
      </c>
      <c r="X318" s="153">
        <f t="shared" si="112"/>
        <v>48152</v>
      </c>
      <c r="Y318" s="380">
        <f t="shared" si="113"/>
        <v>79.911484535636276</v>
      </c>
      <c r="Z318" s="380">
        <f t="shared" si="114"/>
        <v>84.095505017371622</v>
      </c>
      <c r="AA318" s="381">
        <f t="shared" si="115"/>
        <v>89.822337469919191</v>
      </c>
      <c r="AB318" s="193">
        <f t="shared" si="116"/>
        <v>48152</v>
      </c>
      <c r="AC318" s="119">
        <f>IF(OR(t&lt;Tnet,NoTnet),'2030'!Resal_s+('2030'!Salim-'2030'!Resal_s)*(1-EXP(('2030'!Tnet_s-t)/'2030'!Tau_j)),Resal_s+(Salim-Resal_s)*(1-EXP((Tnet_s-t)/Tau_j)))*Salcycl</f>
        <v>6.3757330457643077E-2</v>
      </c>
      <c r="AD318" s="227">
        <f>(INDEX(Models!$BJ318:$BT318,,AH318)*(1-AF318)+INDEX(Models!$BJ318:$BT318,,AH318+1)*AF318-ERP_i)*AE318*Ramure*Pc/MaxiM</f>
        <v>4.3696121470738567E-3</v>
      </c>
      <c r="AE318" s="301">
        <f t="shared" si="117"/>
        <v>0.5</v>
      </c>
      <c r="AF318" s="173">
        <f t="shared" si="118"/>
        <v>0.98829364640731399</v>
      </c>
      <c r="AG318" s="801">
        <f t="shared" si="124"/>
        <v>4</v>
      </c>
      <c r="AH318" s="172">
        <f t="shared" si="119"/>
        <v>10</v>
      </c>
      <c r="AI318" s="221">
        <f t="shared" si="120"/>
        <v>4.988293646407314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48153</v>
      </c>
      <c r="B319" s="406">
        <f>'2030'!Wh/'2030'!Env_an*'2031'!Env_an</f>
        <v>81.33380513751662</v>
      </c>
      <c r="C319" s="831"/>
      <c r="D319" s="388">
        <f t="shared" si="102"/>
        <v>85.593467450541695</v>
      </c>
      <c r="E319" s="380">
        <f t="shared" si="125"/>
        <v>89.302291199903621</v>
      </c>
      <c r="F319" s="380">
        <f t="shared" si="103"/>
        <v>89.342049617184472</v>
      </c>
      <c r="G319" s="110">
        <f t="shared" si="126"/>
        <v>0.64996105118618641</v>
      </c>
      <c r="H319" s="409" t="b">
        <f>Wh_hp&gt;='2030'!Maxi_hp</f>
        <v>0</v>
      </c>
      <c r="I319" s="385">
        <f>IF(H319,Wh_hp,'2030'!Maxi_hp)</f>
        <v>89.368757360620421</v>
      </c>
      <c r="J319" s="85">
        <f>IF(H319,An,'2030'!An_max)</f>
        <v>2029</v>
      </c>
      <c r="K319" s="193">
        <f t="shared" si="104"/>
        <v>48153</v>
      </c>
      <c r="L319" s="143">
        <f>IF(t&lt;Tvie,1-EXP((T0-t)*PertePVj)+'2030'!Pspv,1-EXP((T0-t)*PertePVj)+Pspv)</f>
        <v>4.9766208098607767E-2</v>
      </c>
      <c r="M319" s="835"/>
      <c r="N319" s="835"/>
      <c r="O319" s="48">
        <f>IF(t&lt;Tnet,'2030'!Resal+('2030'!Salim-'2030'!Resal)*(1-EXP(('2030'!Tnet-t)/('2030'!Tau_j))),Resal+(Salim-Resal)*(1-EXP((Tnet-t)/(Tau_j))))*Salcycl</f>
        <v>4.1531115266233237E-2</v>
      </c>
      <c r="P319" s="165">
        <f>(INDEX(Models!$BJ319:$BT319,,T319)*(1-R319)+INDEX(Models!$BJ319:$BT319,,T319+1)*R319-ERP_i)*Q319*Ramure*Pc/MaxiM</f>
        <v>8.8939135283140223E-4</v>
      </c>
      <c r="Q319" s="301">
        <f t="shared" si="105"/>
        <v>0.5</v>
      </c>
      <c r="R319" s="173">
        <f t="shared" si="106"/>
        <v>0.46336231624547741</v>
      </c>
      <c r="S319" s="801">
        <f t="shared" si="107"/>
        <v>1</v>
      </c>
      <c r="T319" s="172">
        <f t="shared" si="108"/>
        <v>7</v>
      </c>
      <c r="U319" s="247">
        <f t="shared" si="109"/>
        <v>1.4633623162454774</v>
      </c>
      <c r="V319" s="378">
        <f t="shared" si="110"/>
        <v>125.08079669599546</v>
      </c>
      <c r="W319" s="397">
        <f t="shared" si="111"/>
        <v>81.33380513751662</v>
      </c>
      <c r="X319" s="153">
        <f t="shared" si="112"/>
        <v>48153</v>
      </c>
      <c r="Y319" s="380">
        <f t="shared" si="113"/>
        <v>79.299283754568151</v>
      </c>
      <c r="Z319" s="380">
        <f t="shared" si="114"/>
        <v>83.452392906268273</v>
      </c>
      <c r="AA319" s="381">
        <f t="shared" si="115"/>
        <v>89.133033809558441</v>
      </c>
      <c r="AB319" s="193">
        <f t="shared" si="116"/>
        <v>48153</v>
      </c>
      <c r="AC319" s="119">
        <f>IF(OR(t&lt;Tnet,NoTnet),'2030'!Resal_s+('2030'!Salim-'2030'!Resal_s)*(1-EXP(('2030'!Tnet_s-t)/'2030'!Tau_j)),Resal_s+(Salim-Resal_s)*(1-EXP((Tnet_s-t)/Tau_j)))*Salcycl</f>
        <v>6.3732161472562651E-2</v>
      </c>
      <c r="AD319" s="227">
        <f>(INDEX(Models!$BJ319:$BT319,,AH319)*(1-AF319)+INDEX(Models!$BJ319:$BT319,,AH319+1)*AF319-ERP_i)*AE319*Ramure*Pc/MaxiM</f>
        <v>4.6756602657121015E-3</v>
      </c>
      <c r="AE319" s="301">
        <f t="shared" si="117"/>
        <v>0.5</v>
      </c>
      <c r="AF319" s="173">
        <f t="shared" si="118"/>
        <v>0.98834988261945522</v>
      </c>
      <c r="AG319" s="801">
        <f t="shared" si="124"/>
        <v>4</v>
      </c>
      <c r="AH319" s="172">
        <f t="shared" si="119"/>
        <v>10</v>
      </c>
      <c r="AI319" s="221">
        <f t="shared" si="120"/>
        <v>4.9883498826194552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48154</v>
      </c>
      <c r="B320" s="406">
        <f>'2030'!Wh/'2030'!Env_an*'2031'!Env_an</f>
        <v>108.02931381756305</v>
      </c>
      <c r="C320" s="831"/>
      <c r="D320" s="388">
        <f t="shared" si="102"/>
        <v>113.68864545663847</v>
      </c>
      <c r="E320" s="380">
        <f t="shared" si="125"/>
        <v>118.61667856164394</v>
      </c>
      <c r="F320" s="380">
        <f t="shared" si="103"/>
        <v>118.71087274556335</v>
      </c>
      <c r="G320" s="110">
        <f t="shared" si="126"/>
        <v>0.87220095432522515</v>
      </c>
      <c r="H320" s="409" t="b">
        <f>Wh_hp&gt;='2030'!Maxi_hp</f>
        <v>0</v>
      </c>
      <c r="I320" s="385">
        <f>IF(H320,Wh_hp,'2030'!Maxi_hp)</f>
        <v>118.72502140694162</v>
      </c>
      <c r="J320" s="85">
        <f>IF(H320,An,'2030'!An_max)</f>
        <v>2029</v>
      </c>
      <c r="K320" s="193">
        <f t="shared" si="104"/>
        <v>48154</v>
      </c>
      <c r="L320" s="143">
        <f>IF(t&lt;Tvie,1-EXP((T0-t)*PertePVj)+'2030'!Pspv,1-EXP((T0-t)*PertePVj)+Pspv)</f>
        <v>4.9779216001249016E-2</v>
      </c>
      <c r="M320" s="835"/>
      <c r="N320" s="835"/>
      <c r="O320" s="48">
        <f>IF(t&lt;Tnet,'2030'!Resal+('2030'!Salim-'2030'!Resal)*(1-EXP(('2030'!Tnet-t)/('2030'!Tau_j))),Resal+(Salim-Resal)*(1-EXP((Tnet-t)/(Tau_j))))*Salcycl</f>
        <v>4.154586998020194E-2</v>
      </c>
      <c r="P320" s="165">
        <f>(INDEX(Models!$BJ320:$BT320,,T320)*(1-R320)+INDEX(Models!$BJ320:$BT320,,T320+1)*R320-ERP_i)*Q320*Ramure*Pc/MaxiM</f>
        <v>9.7043356558061222E-4</v>
      </c>
      <c r="Q320" s="301">
        <f t="shared" si="105"/>
        <v>0.5</v>
      </c>
      <c r="R320" s="173">
        <f t="shared" si="106"/>
        <v>0.46341630013483148</v>
      </c>
      <c r="S320" s="801">
        <f t="shared" si="107"/>
        <v>1</v>
      </c>
      <c r="T320" s="172">
        <f t="shared" si="108"/>
        <v>7</v>
      </c>
      <c r="U320" s="247">
        <f t="shared" si="109"/>
        <v>1.4634163001348315</v>
      </c>
      <c r="V320" s="378">
        <f t="shared" si="110"/>
        <v>123.83634924541869</v>
      </c>
      <c r="W320" s="397">
        <f t="shared" si="111"/>
        <v>108.02931381756305</v>
      </c>
      <c r="X320" s="153">
        <f t="shared" si="112"/>
        <v>48154</v>
      </c>
      <c r="Y320" s="380">
        <f t="shared" si="113"/>
        <v>105.1852339374374</v>
      </c>
      <c r="Z320" s="380">
        <f t="shared" si="114"/>
        <v>110.69557276446152</v>
      </c>
      <c r="AA320" s="381">
        <f t="shared" si="115"/>
        <v>118.22748089921883</v>
      </c>
      <c r="AB320" s="193">
        <f t="shared" si="116"/>
        <v>48154</v>
      </c>
      <c r="AC320" s="119">
        <f>IF(OR(t&lt;Tnet,NoTnet),'2030'!Resal_s+('2030'!Salim-'2030'!Resal_s)*(1-EXP(('2030'!Tnet_s-t)/'2030'!Tau_j)),Resal_s+(Salim-Resal_s)*(1-EXP((Tnet_s-t)/Tau_j)))*Salcycl</f>
        <v>6.370691549435771E-2</v>
      </c>
      <c r="AD320" s="227">
        <f>(INDEX(Models!$BJ320:$BT320,,AH320)*(1-AF320)+INDEX(Models!$BJ320:$BT320,,AH320+1)*AF320-ERP_i)*AE320*Ramure*Pc/MaxiM</f>
        <v>4.9801341601090629E-3</v>
      </c>
      <c r="AE320" s="301">
        <f t="shared" si="117"/>
        <v>0.5</v>
      </c>
      <c r="AF320" s="173">
        <f t="shared" si="118"/>
        <v>0.98840386650880951</v>
      </c>
      <c r="AG320" s="801">
        <f t="shared" si="124"/>
        <v>4</v>
      </c>
      <c r="AH320" s="172">
        <f t="shared" si="119"/>
        <v>10</v>
      </c>
      <c r="AI320" s="221">
        <f t="shared" si="120"/>
        <v>4.9884038665088095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48155</v>
      </c>
      <c r="B321" s="406">
        <f>'2030'!Wh/'2030'!Env_an*'2031'!Env_an</f>
        <v>41.251615114922437</v>
      </c>
      <c r="C321" s="831"/>
      <c r="D321" s="388">
        <f t="shared" si="102"/>
        <v>43.413257757869069</v>
      </c>
      <c r="E321" s="380">
        <f t="shared" si="125"/>
        <v>45.295774561898078</v>
      </c>
      <c r="F321" s="380">
        <f t="shared" si="103"/>
        <v>45.298260356498993</v>
      </c>
      <c r="G321" s="110">
        <f t="shared" si="126"/>
        <v>0.33615656066323141</v>
      </c>
      <c r="H321" s="409" t="b">
        <f>Wh_hp&gt;='2030'!Maxi_hp</f>
        <v>0</v>
      </c>
      <c r="I321" s="385">
        <f>IF(H321,Wh_hp,'2030'!Maxi_hp)</f>
        <v>45.328740601797037</v>
      </c>
      <c r="J321" s="85">
        <f>IF(H321,An,'2030'!An_max)</f>
        <v>2029</v>
      </c>
      <c r="K321" s="193">
        <f t="shared" si="104"/>
        <v>48155</v>
      </c>
      <c r="L321" s="143">
        <f>IF(t&lt;Tvie,1-EXP((T0-t)*PertePVj)+'2030'!Pspv,1-EXP((T0-t)*PertePVj)+Pspv)</f>
        <v>4.9792223725822815E-2</v>
      </c>
      <c r="M321" s="835"/>
      <c r="N321" s="835"/>
      <c r="O321" s="48">
        <f>IF(t&lt;Tnet,'2030'!Resal+('2030'!Salim-'2030'!Resal)*(1-EXP(('2030'!Tnet-t)/('2030'!Tau_j))),Resal+(Salim-Resal)*(1-EXP((Tnet-t)/(Tau_j))))*Salcycl</f>
        <v>4.1560538973817333E-2</v>
      </c>
      <c r="P321" s="165">
        <f>(INDEX(Models!$BJ321:$BT321,,T321)*(1-R321)+INDEX(Models!$BJ321:$BT321,,T321+1)*R321-ERP_i)*Q321*Ramure*Pc/MaxiM</f>
        <v>1.0526410217884276E-3</v>
      </c>
      <c r="Q321" s="301">
        <f t="shared" si="105"/>
        <v>0.5</v>
      </c>
      <c r="R321" s="173">
        <f t="shared" si="106"/>
        <v>0.46346812145022476</v>
      </c>
      <c r="S321" s="801">
        <f t="shared" si="107"/>
        <v>1</v>
      </c>
      <c r="T321" s="172">
        <f t="shared" si="108"/>
        <v>7</v>
      </c>
      <c r="U321" s="247">
        <f t="shared" si="109"/>
        <v>1.4634681214502248</v>
      </c>
      <c r="V321" s="378">
        <f t="shared" si="110"/>
        <v>122.59303630065415</v>
      </c>
      <c r="W321" s="397">
        <f t="shared" si="111"/>
        <v>41.251615114922437</v>
      </c>
      <c r="X321" s="153">
        <f t="shared" si="112"/>
        <v>48155</v>
      </c>
      <c r="Y321" s="380">
        <f t="shared" si="113"/>
        <v>40.290625301409307</v>
      </c>
      <c r="Z321" s="380">
        <f t="shared" si="114"/>
        <v>42.401910726716331</v>
      </c>
      <c r="AA321" s="381">
        <f t="shared" si="115"/>
        <v>45.285784577573637</v>
      </c>
      <c r="AB321" s="193">
        <f t="shared" si="116"/>
        <v>48155</v>
      </c>
      <c r="AC321" s="119">
        <f>IF(OR(t&lt;Tnet,NoTnet),'2030'!Resal_s+('2030'!Salim-'2030'!Resal_s)*(1-EXP(('2030'!Tnet_s-t)/'2030'!Tau_j)),Resal_s+(Salim-Resal_s)*(1-EXP((Tnet_s-t)/Tau_j)))*Salcycl</f>
        <v>6.3681658113205156E-2</v>
      </c>
      <c r="AD321" s="227">
        <f>(INDEX(Models!$BJ321:$BT321,,AH321)*(1-AF321)+INDEX(Models!$BJ321:$BT321,,AH321+1)*AF321-ERP_i)*AE321*Ramure*Pc/MaxiM</f>
        <v>5.283025665424896E-3</v>
      </c>
      <c r="AE321" s="301">
        <f t="shared" si="117"/>
        <v>0.5</v>
      </c>
      <c r="AF321" s="173">
        <f t="shared" si="118"/>
        <v>0.98845568782420301</v>
      </c>
      <c r="AG321" s="801">
        <f t="shared" si="124"/>
        <v>4</v>
      </c>
      <c r="AH321" s="172">
        <f t="shared" si="119"/>
        <v>10</v>
      </c>
      <c r="AI321" s="221">
        <f t="shared" si="120"/>
        <v>4.988455687824203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48156</v>
      </c>
      <c r="B322" s="406">
        <f>'2030'!Wh/'2030'!Env_an*'2031'!Env_an</f>
        <v>48.889082937977264</v>
      </c>
      <c r="C322" s="831"/>
      <c r="D322" s="388">
        <f t="shared" si="102"/>
        <v>51.45164396499554</v>
      </c>
      <c r="E322" s="380">
        <f t="shared" si="125"/>
        <v>53.683546293730856</v>
      </c>
      <c r="F322" s="380">
        <f t="shared" si="103"/>
        <v>53.692509861151443</v>
      </c>
      <c r="G322" s="110">
        <f t="shared" si="126"/>
        <v>0.40247674466727784</v>
      </c>
      <c r="H322" s="409" t="b">
        <f>Wh_hp&gt;='2030'!Maxi_hp</f>
        <v>0</v>
      </c>
      <c r="I322" s="385">
        <f>IF(H322,Wh_hp,'2030'!Maxi_hp)</f>
        <v>53.727665968753364</v>
      </c>
      <c r="J322" s="85">
        <f>IF(H322,An,'2030'!An_max)</f>
        <v>2029</v>
      </c>
      <c r="K322" s="193">
        <f t="shared" si="104"/>
        <v>48156</v>
      </c>
      <c r="L322" s="143">
        <f>IF(t&lt;Tvie,1-EXP((T0-t)*PertePVj)+'2030'!Pspv,1-EXP((T0-t)*PertePVj)+Pspv)</f>
        <v>4.9805231272331829E-2</v>
      </c>
      <c r="M322" s="835"/>
      <c r="N322" s="835"/>
      <c r="O322" s="48">
        <f>IF(t&lt;Tnet,'2030'!Resal+('2030'!Salim-'2030'!Resal)*(1-EXP(('2030'!Tnet-t)/('2030'!Tau_j))),Resal+(Salim-Resal)*(1-EXP((Tnet-t)/(Tau_j))))*Salcycl</f>
        <v>4.1575165629398017E-2</v>
      </c>
      <c r="P322" s="165">
        <f>(INDEX(Models!$BJ322:$BT322,,T322)*(1-R322)+INDEX(Models!$BJ322:$BT322,,T322+1)*R322-ERP_i)*Q322*Ramure*Pc/MaxiM</f>
        <v>1.136025849186942E-3</v>
      </c>
      <c r="Q322" s="301">
        <f t="shared" si="105"/>
        <v>0.5</v>
      </c>
      <c r="R322" s="173">
        <f t="shared" si="106"/>
        <v>0.46351786640039716</v>
      </c>
      <c r="S322" s="801">
        <f t="shared" si="107"/>
        <v>1</v>
      </c>
      <c r="T322" s="172">
        <f t="shared" si="108"/>
        <v>7</v>
      </c>
      <c r="U322" s="247">
        <f t="shared" si="109"/>
        <v>1.4635178664003972</v>
      </c>
      <c r="V322" s="378">
        <f t="shared" si="110"/>
        <v>121.35284357001913</v>
      </c>
      <c r="W322" s="397">
        <f t="shared" si="111"/>
        <v>48.889082937977264</v>
      </c>
      <c r="X322" s="153">
        <f t="shared" si="112"/>
        <v>48156</v>
      </c>
      <c r="Y322" s="380">
        <f t="shared" si="113"/>
        <v>47.731492944610686</v>
      </c>
      <c r="Z322" s="380">
        <f t="shared" si="114"/>
        <v>50.233377951053356</v>
      </c>
      <c r="AA322" s="381">
        <f t="shared" si="115"/>
        <v>53.648447993291406</v>
      </c>
      <c r="AB322" s="193">
        <f t="shared" si="116"/>
        <v>48156</v>
      </c>
      <c r="AC322" s="119">
        <f>IF(OR(t&lt;Tnet,NoTnet),'2030'!Resal_s+('2030'!Salim-'2030'!Resal_s)*(1-EXP(('2030'!Tnet_s-t)/'2030'!Tau_j)),Resal_s+(Salim-Resal_s)*(1-EXP((Tnet_s-t)/Tau_j)))*Salcycl</f>
        <v>6.3656455498304287E-2</v>
      </c>
      <c r="AD322" s="227">
        <f>(INDEX(Models!$BJ322:$BT322,,AH322)*(1-AF322)+INDEX(Models!$BJ322:$BT322,,AH322+1)*AF322-ERP_i)*AE322*Ramure*Pc/MaxiM</f>
        <v>5.5843191113273561E-3</v>
      </c>
      <c r="AE322" s="301">
        <f t="shared" si="117"/>
        <v>0.5</v>
      </c>
      <c r="AF322" s="173">
        <f t="shared" si="118"/>
        <v>0.98850543277437541</v>
      </c>
      <c r="AG322" s="801">
        <f t="shared" si="124"/>
        <v>4</v>
      </c>
      <c r="AH322" s="172">
        <f t="shared" si="119"/>
        <v>10</v>
      </c>
      <c r="AI322" s="221">
        <f t="shared" si="120"/>
        <v>4.9885054327743754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48157</v>
      </c>
      <c r="B323" s="406">
        <f>'2030'!Wh/'2030'!Env_an*'2031'!Env_an</f>
        <v>114.9680210200623</v>
      </c>
      <c r="C323" s="831"/>
      <c r="D323" s="388">
        <f t="shared" si="102"/>
        <v>120.99581963728937</v>
      </c>
      <c r="E323" s="380">
        <f t="shared" si="125"/>
        <v>126.24638055266065</v>
      </c>
      <c r="F323" s="380">
        <f t="shared" si="103"/>
        <v>126.39120482192962</v>
      </c>
      <c r="G323" s="110">
        <f t="shared" si="126"/>
        <v>0.95705597594185288</v>
      </c>
      <c r="H323" s="409" t="b">
        <f>Wh_hp&gt;='2030'!Maxi_hp</f>
        <v>0</v>
      </c>
      <c r="I323" s="385">
        <f>IF(H323,Wh_hp,'2030'!Maxi_hp)</f>
        <v>126.39760433382892</v>
      </c>
      <c r="J323" s="85">
        <f>IF(H323,An,'2030'!An_max)</f>
        <v>2029</v>
      </c>
      <c r="K323" s="193">
        <f t="shared" si="104"/>
        <v>48157</v>
      </c>
      <c r="L323" s="143">
        <f>IF(t&lt;Tvie,1-EXP((T0-t)*PertePVj)+'2030'!Pspv,1-EXP((T0-t)*PertePVj)+Pspv)</f>
        <v>4.9818238640778501E-2</v>
      </c>
      <c r="M323" s="835"/>
      <c r="N323" s="835"/>
      <c r="O323" s="48">
        <f>IF(t&lt;Tnet,'2030'!Resal+('2030'!Salim-'2030'!Resal)*(1-EXP(('2030'!Tnet-t)/('2030'!Tau_j))),Resal+(Salim-Resal)*(1-EXP((Tnet-t)/(Tau_j))))*Salcycl</f>
        <v>4.1589793643083024E-2</v>
      </c>
      <c r="P323" s="165">
        <f>(INDEX(Models!$BJ323:$BT323,,T323)*(1-R323)+INDEX(Models!$BJ323:$BT323,,T323+1)*R323-ERP_i)*Q323*Ramure*Pc/MaxiM</f>
        <v>1.2205984583044283E-3</v>
      </c>
      <c r="Q323" s="301">
        <f t="shared" si="105"/>
        <v>0.5</v>
      </c>
      <c r="R323" s="173">
        <f t="shared" si="106"/>
        <v>0.46356561779078653</v>
      </c>
      <c r="S323" s="801">
        <f t="shared" si="107"/>
        <v>1</v>
      </c>
      <c r="T323" s="172">
        <f t="shared" si="108"/>
        <v>7</v>
      </c>
      <c r="U323" s="247">
        <f t="shared" si="109"/>
        <v>1.4635656177907865</v>
      </c>
      <c r="V323" s="378">
        <f t="shared" si="110"/>
        <v>120.11775630067923</v>
      </c>
      <c r="W323" s="397">
        <f t="shared" si="111"/>
        <v>114.9680210200623</v>
      </c>
      <c r="X323" s="153">
        <f t="shared" si="112"/>
        <v>48157</v>
      </c>
      <c r="Y323" s="380">
        <f t="shared" si="113"/>
        <v>111.83168556386254</v>
      </c>
      <c r="Z323" s="380">
        <f t="shared" si="114"/>
        <v>117.69504542361338</v>
      </c>
      <c r="AA323" s="381">
        <f t="shared" si="115"/>
        <v>125.69306805937515</v>
      </c>
      <c r="AB323" s="193">
        <f t="shared" si="116"/>
        <v>48157</v>
      </c>
      <c r="AC323" s="119">
        <f>IF(OR(t&lt;Tnet,NoTnet),'2030'!Resal_s+('2030'!Salim-'2030'!Resal_s)*(1-EXP(('2030'!Tnet_s-t)/'2030'!Tau_j)),Resal_s+(Salim-Resal_s)*(1-EXP((Tnet_s-t)/Tau_j)))*Salcycl</f>
        <v>6.3631374102378041E-2</v>
      </c>
      <c r="AD323" s="227">
        <f>(INDEX(Models!$BJ323:$BT323,,AH323)*(1-AF323)+INDEX(Models!$BJ323:$BT323,,AH323+1)*AF323-ERP_i)*AE323*Ramure*Pc/MaxiM</f>
        <v>5.8839907175846536E-3</v>
      </c>
      <c r="AE323" s="301">
        <f t="shared" si="117"/>
        <v>0.5</v>
      </c>
      <c r="AF323" s="173">
        <f t="shared" si="118"/>
        <v>0.98855318416476479</v>
      </c>
      <c r="AG323" s="801">
        <f t="shared" si="124"/>
        <v>4</v>
      </c>
      <c r="AH323" s="172">
        <f t="shared" si="119"/>
        <v>10</v>
      </c>
      <c r="AI323" s="221">
        <f t="shared" si="120"/>
        <v>4.9885531841647648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48158</v>
      </c>
      <c r="B324" s="406">
        <f>'2030'!Wh/'2030'!Env_an*'2031'!Env_an</f>
        <v>115.36888777443473</v>
      </c>
      <c r="C324" s="831"/>
      <c r="D324" s="388">
        <f t="shared" si="102"/>
        <v>121.41936605288004</v>
      </c>
      <c r="E324" s="380">
        <f t="shared" si="125"/>
        <v>126.69024619832648</v>
      </c>
      <c r="F324" s="380">
        <f t="shared" si="103"/>
        <v>126.84873843928725</v>
      </c>
      <c r="G324" s="110">
        <f t="shared" si="126"/>
        <v>0.97033011707211336</v>
      </c>
      <c r="H324" s="409" t="b">
        <f>Wh_hp&gt;='2030'!Maxi_hp</f>
        <v>0</v>
      </c>
      <c r="I324" s="385">
        <f>IF(H324,Wh_hp,'2030'!Maxi_hp)</f>
        <v>126.85349150450422</v>
      </c>
      <c r="J324" s="85">
        <f>IF(H324,An,'2030'!An_max)</f>
        <v>2029</v>
      </c>
      <c r="K324" s="193">
        <f t="shared" si="104"/>
        <v>48158</v>
      </c>
      <c r="L324" s="143">
        <f>IF(t&lt;Tvie,1-EXP((T0-t)*PertePVj)+'2030'!Pspv,1-EXP((T0-t)*PertePVj)+Pspv)</f>
        <v>4.9831245831165272E-2</v>
      </c>
      <c r="M324" s="835"/>
      <c r="N324" s="835"/>
      <c r="O324" s="48">
        <f>IF(t&lt;Tnet,'2030'!Resal+('2030'!Salim-'2030'!Resal)*(1-EXP(('2030'!Tnet-t)/('2030'!Tau_j))),Resal+(Salim-Resal)*(1-EXP((Tnet-t)/(Tau_j))))*Salcycl</f>
        <v>4.1604466828449954E-2</v>
      </c>
      <c r="P324" s="165">
        <f>(INDEX(Models!$BJ324:$BT324,,T324)*(1-R324)+INDEX(Models!$BJ324:$BT324,,T324+1)*R324-ERP_i)*Q324*Ramure*Pc/MaxiM</f>
        <v>1.304657203511765E-3</v>
      </c>
      <c r="Q324" s="301">
        <f t="shared" si="105"/>
        <v>0.5</v>
      </c>
      <c r="R324" s="173">
        <f t="shared" si="106"/>
        <v>0.4636114551552557</v>
      </c>
      <c r="S324" s="801">
        <f t="shared" si="107"/>
        <v>1</v>
      </c>
      <c r="T324" s="172">
        <f t="shared" si="108"/>
        <v>7</v>
      </c>
      <c r="U324" s="247">
        <f t="shared" si="109"/>
        <v>1.4636114551552557</v>
      </c>
      <c r="V324" s="378">
        <f t="shared" si="110"/>
        <v>118.88996288051978</v>
      </c>
      <c r="W324" s="397">
        <f t="shared" si="111"/>
        <v>115.36888777443473</v>
      </c>
      <c r="X324" s="153">
        <f t="shared" si="112"/>
        <v>48158</v>
      </c>
      <c r="Y324" s="380">
        <f t="shared" si="113"/>
        <v>112.19421888755934</v>
      </c>
      <c r="Z324" s="380">
        <f t="shared" si="114"/>
        <v>118.07820284061208</v>
      </c>
      <c r="AA324" s="381">
        <f t="shared" si="115"/>
        <v>126.09891072949989</v>
      </c>
      <c r="AB324" s="193">
        <f t="shared" si="116"/>
        <v>48158</v>
      </c>
      <c r="AC324" s="119">
        <f>IF(OR(t&lt;Tnet,NoTnet),'2030'!Resal_s+('2030'!Salim-'2030'!Resal_s)*(1-EXP(('2030'!Tnet_s-t)/'2030'!Tau_j)),Resal_s+(Salim-Resal_s)*(1-EXP((Tnet_s-t)/Tau_j)))*Salcycl</f>
        <v>6.3606480361225085E-2</v>
      </c>
      <c r="AD324" s="227">
        <f>(INDEX(Models!$BJ324:$BT324,,AH324)*(1-AF324)+INDEX(Models!$BJ324:$BT324,,AH324+1)*AF324-ERP_i)*AE324*Ramure*Pc/MaxiM</f>
        <v>6.1723407848649154E-3</v>
      </c>
      <c r="AE324" s="301">
        <f t="shared" si="117"/>
        <v>0.5</v>
      </c>
      <c r="AF324" s="173">
        <f t="shared" si="118"/>
        <v>0.98859902152923418</v>
      </c>
      <c r="AG324" s="801">
        <f t="shared" si="124"/>
        <v>4</v>
      </c>
      <c r="AH324" s="172">
        <f t="shared" si="119"/>
        <v>10</v>
      </c>
      <c r="AI324" s="221">
        <f t="shared" si="120"/>
        <v>4.9885990215292342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48159</v>
      </c>
      <c r="B325" s="406">
        <f>'2030'!Wh/'2030'!Env_an*'2031'!Env_an</f>
        <v>111.3890502574709</v>
      </c>
      <c r="C325" s="831"/>
      <c r="D325" s="388">
        <f t="shared" si="102"/>
        <v>117.23241225538088</v>
      </c>
      <c r="E325" s="380">
        <f t="shared" si="125"/>
        <v>122.32341861674631</v>
      </c>
      <c r="F325" s="380">
        <f t="shared" si="103"/>
        <v>122.48006191810887</v>
      </c>
      <c r="G325" s="110">
        <f t="shared" si="126"/>
        <v>0.94650716220495001</v>
      </c>
      <c r="H325" s="409" t="b">
        <f>Wh_hp&gt;='2030'!Maxi_hp</f>
        <v>0</v>
      </c>
      <c r="I325" s="385">
        <f>IF(H325,Wh_hp,'2030'!Maxi_hp)</f>
        <v>122.48886210517838</v>
      </c>
      <c r="J325" s="85">
        <f>IF(H325,An,'2030'!An_max)</f>
        <v>2029</v>
      </c>
      <c r="K325" s="193">
        <f t="shared" si="104"/>
        <v>48159</v>
      </c>
      <c r="L325" s="143">
        <f>IF(t&lt;Tvie,1-EXP((T0-t)*PertePVj)+'2030'!Pspv,1-EXP((T0-t)*PertePVj)+Pspv)</f>
        <v>4.9844252843494474E-2</v>
      </c>
      <c r="M325" s="835"/>
      <c r="N325" s="835"/>
      <c r="O325" s="48">
        <f>IF(t&lt;Tnet,'2030'!Resal+('2030'!Salim-'2030'!Resal)*(1-EXP(('2030'!Tnet-t)/('2030'!Tau_j))),Resal+(Salim-Resal)*(1-EXP((Tnet-t)/(Tau_j))))*Salcycl</f>
        <v>4.1619228917368203E-2</v>
      </c>
      <c r="P325" s="165">
        <f>(INDEX(Models!$BJ325:$BT325,,T325)*(1-R325)+INDEX(Models!$BJ325:$BT325,,T325+1)*R325-ERP_i)*Q325*Ramure*Pc/MaxiM</f>
        <v>1.3845348619638618E-3</v>
      </c>
      <c r="Q325" s="301">
        <f t="shared" si="105"/>
        <v>0.5</v>
      </c>
      <c r="R325" s="173">
        <f t="shared" si="106"/>
        <v>0.46365545488292681</v>
      </c>
      <c r="S325" s="801">
        <f t="shared" si="107"/>
        <v>1</v>
      </c>
      <c r="T325" s="172">
        <f t="shared" si="108"/>
        <v>7</v>
      </c>
      <c r="U325" s="247">
        <f t="shared" si="109"/>
        <v>1.4636554548829268</v>
      </c>
      <c r="V325" s="378">
        <f t="shared" si="110"/>
        <v>117.67187434273252</v>
      </c>
      <c r="W325" s="397">
        <f t="shared" si="111"/>
        <v>111.3890502574709</v>
      </c>
      <c r="X325" s="153">
        <f t="shared" si="112"/>
        <v>48159</v>
      </c>
      <c r="Y325" s="380">
        <f t="shared" si="113"/>
        <v>108.32681688379822</v>
      </c>
      <c r="Z325" s="380">
        <f t="shared" si="114"/>
        <v>114.00953707640427</v>
      </c>
      <c r="AA325" s="381">
        <f t="shared" si="115"/>
        <v>121.75066865846998</v>
      </c>
      <c r="AB325" s="193">
        <f t="shared" si="116"/>
        <v>48159</v>
      </c>
      <c r="AC325" s="119">
        <f>IF(OR(t&lt;Tnet,NoTnet),'2030'!Resal_s+('2030'!Salim-'2030'!Resal_s)*(1-EXP(('2030'!Tnet_s-t)/'2030'!Tau_j)),Resal_s+(Salim-Resal_s)*(1-EXP((Tnet_s-t)/Tau_j)))*Salcycl</f>
        <v>6.3581840390386793E-2</v>
      </c>
      <c r="AD325" s="227">
        <f>(INDEX(Models!$BJ325:$BT325,,AH325)*(1-AF325)+INDEX(Models!$BJ325:$BT325,,AH325+1)*AF325-ERP_i)*AE325*Ramure*Pc/MaxiM</f>
        <v>6.4469427499749769E-3</v>
      </c>
      <c r="AE325" s="301">
        <f t="shared" si="117"/>
        <v>0.5</v>
      </c>
      <c r="AF325" s="173">
        <f t="shared" si="118"/>
        <v>0.98864302125690529</v>
      </c>
      <c r="AG325" s="801">
        <f t="shared" si="124"/>
        <v>4</v>
      </c>
      <c r="AH325" s="172">
        <f t="shared" si="119"/>
        <v>10</v>
      </c>
      <c r="AI325" s="221">
        <f t="shared" si="120"/>
        <v>4.9886430212569053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48160</v>
      </c>
      <c r="B326" s="406">
        <f>'2030'!Wh/'2030'!Env_an*'2031'!Env_an</f>
        <v>74.559986583364022</v>
      </c>
      <c r="C326" s="831"/>
      <c r="D326" s="388">
        <f t="shared" si="102"/>
        <v>78.47240569146247</v>
      </c>
      <c r="E326" s="380">
        <f t="shared" si="125"/>
        <v>81.881468867130465</v>
      </c>
      <c r="F326" s="380">
        <f t="shared" si="103"/>
        <v>81.939615552457724</v>
      </c>
      <c r="G326" s="110">
        <f t="shared" si="126"/>
        <v>0.63970884236052339</v>
      </c>
      <c r="H326" s="409" t="b">
        <f>Wh_hp&gt;='2030'!Maxi_hp</f>
        <v>0</v>
      </c>
      <c r="I326" s="385">
        <f>IF(H326,Wh_hp,'2030'!Maxi_hp)</f>
        <v>81.981545807683716</v>
      </c>
      <c r="J326" s="85">
        <f>IF(H326,An,'2030'!An_max)</f>
        <v>2029</v>
      </c>
      <c r="K326" s="193">
        <f t="shared" si="104"/>
        <v>48160</v>
      </c>
      <c r="L326" s="143">
        <f>IF(t&lt;Tvie,1-EXP((T0-t)*PertePVj)+'2030'!Pspv,1-EXP((T0-t)*PertePVj)+Pspv)</f>
        <v>4.9857259677768551E-2</v>
      </c>
      <c r="M326" s="835"/>
      <c r="N326" s="835"/>
      <c r="O326" s="48">
        <f>IF(t&lt;Tnet,'2030'!Resal+('2030'!Salim-'2030'!Resal)*(1-EXP(('2030'!Tnet-t)/('2030'!Tau_j))),Resal+(Salim-Resal)*(1-EXP((Tnet-t)/(Tau_j))))*Salcycl</f>
        <v>4.1634123359461213E-2</v>
      </c>
      <c r="P326" s="165">
        <f>(INDEX(Models!$BJ326:$BT326,,T326)*(1-R326)+INDEX(Models!$BJ326:$BT326,,T326+1)*R326-ERP_i)*Q326*Ramure*Pc/MaxiM</f>
        <v>1.460185202906141E-3</v>
      </c>
      <c r="Q326" s="301">
        <f t="shared" si="105"/>
        <v>0.5</v>
      </c>
      <c r="R326" s="173">
        <f t="shared" si="106"/>
        <v>0.46369769034029273</v>
      </c>
      <c r="S326" s="801">
        <f t="shared" si="107"/>
        <v>1</v>
      </c>
      <c r="T326" s="172">
        <f t="shared" si="108"/>
        <v>7</v>
      </c>
      <c r="U326" s="247">
        <f t="shared" si="109"/>
        <v>1.4636976903402927</v>
      </c>
      <c r="V326" s="378">
        <f t="shared" si="110"/>
        <v>116.46546117703654</v>
      </c>
      <c r="W326" s="397">
        <f t="shared" si="111"/>
        <v>74.559986583364022</v>
      </c>
      <c r="X326" s="153">
        <f t="shared" si="112"/>
        <v>48160</v>
      </c>
      <c r="Y326" s="380">
        <f t="shared" si="113"/>
        <v>72.668442585323419</v>
      </c>
      <c r="Z326" s="380">
        <f t="shared" si="114"/>
        <v>76.481605869743987</v>
      </c>
      <c r="AA326" s="381">
        <f t="shared" si="115"/>
        <v>81.672507897861749</v>
      </c>
      <c r="AB326" s="193">
        <f t="shared" si="116"/>
        <v>48160</v>
      </c>
      <c r="AC326" s="119">
        <f>IF(OR(t&lt;Tnet,NoTnet),'2030'!Resal_s+('2030'!Salim-'2030'!Resal_s)*(1-EXP(('2030'!Tnet_s-t)/'2030'!Tau_j)),Resal_s+(Salim-Resal_s)*(1-EXP((Tnet_s-t)/Tau_j)))*Salcycl</f>
        <v>6.3557519681034028E-2</v>
      </c>
      <c r="AD326" s="227">
        <f>(INDEX(Models!$BJ326:$BT326,,AH326)*(1-AF326)+INDEX(Models!$BJ326:$BT326,,AH326+1)*AF326-ERP_i)*AE326*Ramure*Pc/MaxiM</f>
        <v>6.707633335052845E-3</v>
      </c>
      <c r="AE326" s="301">
        <f t="shared" si="117"/>
        <v>0.5</v>
      </c>
      <c r="AF326" s="173">
        <f t="shared" si="118"/>
        <v>0.98868525671427054</v>
      </c>
      <c r="AG326" s="801">
        <f t="shared" si="124"/>
        <v>4</v>
      </c>
      <c r="AH326" s="172">
        <f t="shared" si="119"/>
        <v>10</v>
      </c>
      <c r="AI326" s="221">
        <f t="shared" si="120"/>
        <v>4.9886852567142705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48161</v>
      </c>
      <c r="B327" s="406">
        <f>'2030'!Wh/'2030'!Env_an*'2031'!Env_an</f>
        <v>42.066362849855288</v>
      </c>
      <c r="C327" s="831"/>
      <c r="D327" s="388">
        <f t="shared" si="102"/>
        <v>44.274335766280181</v>
      </c>
      <c r="E327" s="380">
        <f t="shared" si="125"/>
        <v>46.198464537732441</v>
      </c>
      <c r="F327" s="380">
        <f t="shared" si="103"/>
        <v>46.205028473955366</v>
      </c>
      <c r="G327" s="110">
        <f t="shared" si="126"/>
        <v>0.36442198125933967</v>
      </c>
      <c r="H327" s="409" t="b">
        <f>Wh_hp&gt;='2030'!Maxi_hp</f>
        <v>0</v>
      </c>
      <c r="I327" s="385">
        <f>IF(H327,Wh_hp,'2030'!Maxi_hp)</f>
        <v>46.248894817272948</v>
      </c>
      <c r="J327" s="85">
        <f>IF(H327,An,'2030'!An_max)</f>
        <v>2029</v>
      </c>
      <c r="K327" s="193">
        <f t="shared" si="104"/>
        <v>48161</v>
      </c>
      <c r="L327" s="143">
        <f>IF(t&lt;Tvie,1-EXP((T0-t)*PertePVj)+'2030'!Pspv,1-EXP((T0-t)*PertePVj)+Pspv)</f>
        <v>4.9870266333990054E-2</v>
      </c>
      <c r="M327" s="835"/>
      <c r="N327" s="835"/>
      <c r="O327" s="48">
        <f>IF(t&lt;Tnet,'2030'!Resal+('2030'!Salim-'2030'!Resal)*(1-EXP(('2030'!Tnet-t)/('2030'!Tau_j))),Resal+(Salim-Resal)*(1-EXP((Tnet-t)/(Tau_j))))*Salcycl</f>
        <v>4.164919312157514E-2</v>
      </c>
      <c r="P327" s="165">
        <f>(INDEX(Models!$BJ327:$BT327,,T327)*(1-R327)+INDEX(Models!$BJ327:$BT327,,T327+1)*R327-ERP_i)*Q327*Ramure*Pc/MaxiM</f>
        <v>1.5315586206496401E-3</v>
      </c>
      <c r="Q327" s="301">
        <f t="shared" si="105"/>
        <v>0.5</v>
      </c>
      <c r="R327" s="173">
        <f t="shared" si="106"/>
        <v>0.46373823198876241</v>
      </c>
      <c r="S327" s="801">
        <f t="shared" si="107"/>
        <v>1</v>
      </c>
      <c r="T327" s="172">
        <f t="shared" si="108"/>
        <v>7</v>
      </c>
      <c r="U327" s="247">
        <f t="shared" si="109"/>
        <v>1.4637382319887624</v>
      </c>
      <c r="V327" s="378">
        <f t="shared" si="110"/>
        <v>115.27269373854783</v>
      </c>
      <c r="W327" s="397">
        <f t="shared" si="111"/>
        <v>42.066362849855288</v>
      </c>
      <c r="X327" s="153">
        <f t="shared" si="112"/>
        <v>48161</v>
      </c>
      <c r="Y327" s="380">
        <f t="shared" si="113"/>
        <v>41.085079214996078</v>
      </c>
      <c r="Z327" s="380">
        <f t="shared" si="114"/>
        <v>43.241546663814148</v>
      </c>
      <c r="AA327" s="381">
        <f t="shared" si="115"/>
        <v>46.175224086492634</v>
      </c>
      <c r="AB327" s="193">
        <f t="shared" si="116"/>
        <v>48161</v>
      </c>
      <c r="AC327" s="119">
        <f>IF(OR(t&lt;Tnet,NoTnet),'2030'!Resal_s+('2030'!Salim-'2030'!Resal_s)*(1-EXP(('2030'!Tnet_s-t)/'2030'!Tau_j)),Resal_s+(Salim-Resal_s)*(1-EXP((Tnet_s-t)/Tau_j)))*Salcycl</f>
        <v>6.3533582797200935E-2</v>
      </c>
      <c r="AD327" s="227">
        <f>(INDEX(Models!$BJ327:$BT327,,AH327)*(1-AF327)+INDEX(Models!$BJ327:$BT327,,AH327+1)*AF327-ERP_i)*AE327*Ramure*Pc/MaxiM</f>
        <v>6.9542367569487224E-3</v>
      </c>
      <c r="AE327" s="301">
        <f t="shared" si="117"/>
        <v>0.5</v>
      </c>
      <c r="AF327" s="173">
        <f t="shared" si="118"/>
        <v>0.98872579836273999</v>
      </c>
      <c r="AG327" s="801">
        <f t="shared" si="124"/>
        <v>4</v>
      </c>
      <c r="AH327" s="172">
        <f t="shared" si="119"/>
        <v>10</v>
      </c>
      <c r="AI327" s="221">
        <f t="shared" si="120"/>
        <v>4.98872579836274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48162</v>
      </c>
      <c r="B328" s="406">
        <f>'2030'!Wh/'2030'!Env_an*'2031'!Env_an</f>
        <v>87.348374356803177</v>
      </c>
      <c r="C328" s="831"/>
      <c r="D328" s="388">
        <f t="shared" si="102"/>
        <v>91.934361176165623</v>
      </c>
      <c r="E328" s="380">
        <f t="shared" si="125"/>
        <v>95.931288473001217</v>
      </c>
      <c r="F328" s="380">
        <f t="shared" si="103"/>
        <v>96.033394564900121</v>
      </c>
      <c r="G328" s="110">
        <f t="shared" si="126"/>
        <v>0.76516189309083238</v>
      </c>
      <c r="H328" s="409" t="b">
        <f>Wh_hp&gt;='2030'!Maxi_hp</f>
        <v>0</v>
      </c>
      <c r="I328" s="385">
        <f>IF(H328,Wh_hp,'2030'!Maxi_hp)</f>
        <v>96.068617451676303</v>
      </c>
      <c r="J328" s="85">
        <f>IF(H328,An,'2030'!An_max)</f>
        <v>2029</v>
      </c>
      <c r="K328" s="193">
        <f t="shared" si="104"/>
        <v>48162</v>
      </c>
      <c r="L328" s="143">
        <f>IF(t&lt;Tvie,1-EXP((T0-t)*PertePVj)+'2030'!Pspv,1-EXP((T0-t)*PertePVj)+Pspv)</f>
        <v>4.9883272812161317E-2</v>
      </c>
      <c r="M328" s="835"/>
      <c r="N328" s="835"/>
      <c r="O328" s="48">
        <f>IF(t&lt;Tnet,'2030'!Resal+('2030'!Salim-'2030'!Resal)*(1-EXP(('2030'!Tnet-t)/('2030'!Tau_j))),Resal+(Salim-Resal)*(1-EXP((Tnet-t)/(Tau_j))))*Salcycl</f>
        <v>4.1664480488662323E-2</v>
      </c>
      <c r="P328" s="165">
        <f>(INDEX(Models!$BJ328:$BT328,,T328)*(1-R328)+INDEX(Models!$BJ328:$BT328,,T328+1)*R328-ERP_i)*Q328*Ramure*Pc/MaxiM</f>
        <v>1.5986021087977639E-3</v>
      </c>
      <c r="Q328" s="301">
        <f t="shared" si="105"/>
        <v>0.5</v>
      </c>
      <c r="R328" s="173">
        <f t="shared" si="106"/>
        <v>0.46377714749779742</v>
      </c>
      <c r="S328" s="801">
        <f t="shared" si="107"/>
        <v>1</v>
      </c>
      <c r="T328" s="172">
        <f t="shared" si="108"/>
        <v>7</v>
      </c>
      <c r="U328" s="247">
        <f t="shared" si="109"/>
        <v>1.4637771474977974</v>
      </c>
      <c r="V328" s="378">
        <f t="shared" si="110"/>
        <v>114.09554232684606</v>
      </c>
      <c r="W328" s="397">
        <f t="shared" si="111"/>
        <v>87.348374356803177</v>
      </c>
      <c r="X328" s="153">
        <f t="shared" si="112"/>
        <v>48162</v>
      </c>
      <c r="Y328" s="380">
        <f t="shared" si="113"/>
        <v>85.039661953708048</v>
      </c>
      <c r="Z328" s="380">
        <f t="shared" si="114"/>
        <v>89.504436160606247</v>
      </c>
      <c r="AA328" s="381">
        <f t="shared" si="115"/>
        <v>95.574373518493758</v>
      </c>
      <c r="AB328" s="193">
        <f t="shared" si="116"/>
        <v>48162</v>
      </c>
      <c r="AC328" s="119">
        <f>IF(OR(t&lt;Tnet,NoTnet),'2030'!Resal_s+('2030'!Salim-'2030'!Resal_s)*(1-EXP(('2030'!Tnet_s-t)/'2030'!Tau_j)),Resal_s+(Salim-Resal_s)*(1-EXP((Tnet_s-t)/Tau_j)))*Salcycl</f>
        <v>6.3510093076497909E-2</v>
      </c>
      <c r="AD328" s="227">
        <f>(INDEX(Models!$BJ328:$BT328,,AH328)*(1-AF328)+INDEX(Models!$BJ328:$BT328,,AH328+1)*AF328-ERP_i)*AE328*Ramure*Pc/MaxiM</f>
        <v>7.1865644754511328E-3</v>
      </c>
      <c r="AE328" s="301">
        <f t="shared" si="117"/>
        <v>0.5</v>
      </c>
      <c r="AF328" s="173">
        <f t="shared" si="118"/>
        <v>0.98876471387177567</v>
      </c>
      <c r="AG328" s="801">
        <f t="shared" si="124"/>
        <v>4</v>
      </c>
      <c r="AH328" s="172">
        <f t="shared" si="119"/>
        <v>10</v>
      </c>
      <c r="AI328" s="221">
        <f t="shared" si="120"/>
        <v>4.9887647138717757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48163</v>
      </c>
      <c r="B329" s="406">
        <f>'2030'!Wh/'2030'!Env_an*'2031'!Env_an</f>
        <v>106.28350288986849</v>
      </c>
      <c r="C329" s="831"/>
      <c r="D329" s="388">
        <f t="shared" si="102"/>
        <v>111.86515803828669</v>
      </c>
      <c r="E329" s="380">
        <f t="shared" si="125"/>
        <v>116.73048791065784</v>
      </c>
      <c r="F329" s="380">
        <f t="shared" si="103"/>
        <v>116.90835985216215</v>
      </c>
      <c r="G329" s="110">
        <f t="shared" si="126"/>
        <v>0.94096341094685731</v>
      </c>
      <c r="H329" s="409" t="b">
        <f>Wh_hp&gt;='2030'!Maxi_hp</f>
        <v>0</v>
      </c>
      <c r="I329" s="385">
        <f>IF(H329,Wh_hp,'2030'!Maxi_hp)</f>
        <v>116.9195857607769</v>
      </c>
      <c r="J329" s="85">
        <f>IF(H329,An,'2030'!An_max)</f>
        <v>2029</v>
      </c>
      <c r="K329" s="193">
        <f t="shared" si="104"/>
        <v>48163</v>
      </c>
      <c r="L329" s="143">
        <f>IF(t&lt;Tvie,1-EXP((T0-t)*PertePVj)+'2030'!Pspv,1-EXP((T0-t)*PertePVj)+Pspv)</f>
        <v>4.9896279112284891E-2</v>
      </c>
      <c r="M329" s="835"/>
      <c r="N329" s="835"/>
      <c r="O329" s="48">
        <f>IF(t&lt;Tnet,'2030'!Resal+('2030'!Salim-'2030'!Resal)*(1-EXP(('2030'!Tnet-t)/('2030'!Tau_j))),Resal+(Salim-Resal)*(1-EXP((Tnet-t)/(Tau_j))))*Salcycl</f>
        <v>4.16800268674875E-2</v>
      </c>
      <c r="P329" s="165">
        <f>(INDEX(Models!$BJ329:$BT329,,T329)*(1-R329)+INDEX(Models!$BJ329:$BT329,,T329+1)*R329-ERP_i)*Q329*Ramure*Pc/MaxiM</f>
        <v>1.6612592492532927E-3</v>
      </c>
      <c r="Q329" s="301">
        <f t="shared" si="105"/>
        <v>0.5</v>
      </c>
      <c r="R329" s="173">
        <f t="shared" si="106"/>
        <v>0.46381450185379469</v>
      </c>
      <c r="S329" s="801">
        <f t="shared" si="107"/>
        <v>1</v>
      </c>
      <c r="T329" s="172">
        <f t="shared" si="108"/>
        <v>7</v>
      </c>
      <c r="U329" s="247">
        <f t="shared" si="109"/>
        <v>1.4638145018537947</v>
      </c>
      <c r="V329" s="378">
        <f t="shared" si="110"/>
        <v>112.93597727393519</v>
      </c>
      <c r="W329" s="397">
        <f t="shared" si="111"/>
        <v>106.28350288986849</v>
      </c>
      <c r="X329" s="153">
        <f t="shared" si="112"/>
        <v>48163</v>
      </c>
      <c r="Y329" s="380">
        <f t="shared" si="113"/>
        <v>103.3178159820463</v>
      </c>
      <c r="Z329" s="380">
        <f t="shared" si="114"/>
        <v>108.74372314373514</v>
      </c>
      <c r="AA329" s="381">
        <f t="shared" si="115"/>
        <v>116.11556506716114</v>
      </c>
      <c r="AB329" s="193">
        <f t="shared" si="116"/>
        <v>48163</v>
      </c>
      <c r="AC329" s="119">
        <f>IF(OR(t&lt;Tnet,NoTnet),'2030'!Resal_s+('2030'!Salim-'2030'!Resal_s)*(1-EXP(('2030'!Tnet_s-t)/'2030'!Tau_j)),Resal_s+(Salim-Resal_s)*(1-EXP((Tnet_s-t)/Tau_j)))*Salcycl</f>
        <v>6.3487112336422194E-2</v>
      </c>
      <c r="AD329" s="227">
        <f>(INDEX(Models!$BJ329:$BT329,,AH329)*(1-AF329)+INDEX(Models!$BJ329:$BT329,,AH329+1)*AF329-ERP_i)*AE329*Ramure*Pc/MaxiM</f>
        <v>7.4044149864458189E-3</v>
      </c>
      <c r="AE329" s="301">
        <f t="shared" si="117"/>
        <v>0.5</v>
      </c>
      <c r="AF329" s="173">
        <f t="shared" si="118"/>
        <v>0.9888020682277725</v>
      </c>
      <c r="AG329" s="801">
        <f t="shared" si="124"/>
        <v>4</v>
      </c>
      <c r="AH329" s="172">
        <f t="shared" si="119"/>
        <v>10</v>
      </c>
      <c r="AI329" s="221">
        <f t="shared" si="120"/>
        <v>4.9888020682277725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48164</v>
      </c>
      <c r="B330" s="406">
        <f>'2030'!Wh/'2030'!Env_an*'2031'!Env_an</f>
        <v>104.80801847772872</v>
      </c>
      <c r="C330" s="831"/>
      <c r="D330" s="388">
        <f t="shared" si="102"/>
        <v>110.31369620697974</v>
      </c>
      <c r="E330" s="380">
        <f t="shared" si="125"/>
        <v>115.11345203703495</v>
      </c>
      <c r="F330" s="380">
        <f t="shared" si="103"/>
        <v>115.29399443827452</v>
      </c>
      <c r="G330" s="110">
        <f t="shared" si="126"/>
        <v>0.93734954830136619</v>
      </c>
      <c r="H330" s="409" t="b">
        <f>Wh_hp&gt;='2030'!Maxi_hp</f>
        <v>0</v>
      </c>
      <c r="I330" s="385">
        <f>IF(H330,Wh_hp,'2030'!Maxi_hp)</f>
        <v>115.30618509981954</v>
      </c>
      <c r="J330" s="85">
        <f>IF(H330,An,'2030'!An_max)</f>
        <v>2029</v>
      </c>
      <c r="K330" s="193">
        <f t="shared" si="104"/>
        <v>48164</v>
      </c>
      <c r="L330" s="143">
        <f>IF(t&lt;Tvie,1-EXP((T0-t)*PertePVj)+'2030'!Pspv,1-EXP((T0-t)*PertePVj)+Pspv)</f>
        <v>4.9909285234362999E-2</v>
      </c>
      <c r="M330" s="835"/>
      <c r="N330" s="835"/>
      <c r="O330" s="48">
        <f>IF(t&lt;Tnet,'2030'!Resal+('2030'!Salim-'2030'!Resal)*(1-EXP(('2030'!Tnet-t)/('2030'!Tau_j))),Resal+(Salim-Resal)*(1-EXP((Tnet-t)/(Tau_j))))*Salcycl</f>
        <v>4.1695872594551327E-2</v>
      </c>
      <c r="P330" s="165">
        <f>(INDEX(Models!$BJ330:$BT330,,T330)*(1-R330)+INDEX(Models!$BJ330:$BT330,,T330+1)*R330-ERP_i)*Q330*Ramure*Pc/MaxiM</f>
        <v>1.719470225953774E-3</v>
      </c>
      <c r="Q330" s="301">
        <f t="shared" si="105"/>
        <v>0.5</v>
      </c>
      <c r="R330" s="173">
        <f t="shared" si="106"/>
        <v>0.46385035746485781</v>
      </c>
      <c r="S330" s="801">
        <f t="shared" si="107"/>
        <v>1</v>
      </c>
      <c r="T330" s="172">
        <f t="shared" si="108"/>
        <v>7</v>
      </c>
      <c r="U330" s="247">
        <f t="shared" si="109"/>
        <v>1.4638503574648578</v>
      </c>
      <c r="V330" s="378">
        <f t="shared" si="110"/>
        <v>111.79596901881787</v>
      </c>
      <c r="W330" s="397">
        <f t="shared" si="111"/>
        <v>104.80801847772872</v>
      </c>
      <c r="X330" s="153">
        <f t="shared" si="112"/>
        <v>48164</v>
      </c>
      <c r="Y330" s="380">
        <f t="shared" si="113"/>
        <v>101.87709088131935</v>
      </c>
      <c r="Z330" s="380">
        <f t="shared" si="114"/>
        <v>107.22880383737863</v>
      </c>
      <c r="AA330" s="381">
        <f t="shared" si="115"/>
        <v>114.49520792728495</v>
      </c>
      <c r="AB330" s="193">
        <f t="shared" si="116"/>
        <v>48164</v>
      </c>
      <c r="AC330" s="119">
        <f>IF(OR(t&lt;Tnet,NoTnet),'2030'!Resal_s+('2030'!Salim-'2030'!Resal_s)*(1-EXP(('2030'!Tnet_s-t)/'2030'!Tau_j)),Resal_s+(Salim-Resal_s)*(1-EXP((Tnet_s-t)/Tau_j)))*Salcycl</f>
        <v>6.3464700588352671E-2</v>
      </c>
      <c r="AD330" s="227">
        <f>(INDEX(Models!$BJ330:$BT330,,AH330)*(1-AF330)+INDEX(Models!$BJ330:$BT330,,AH330+1)*AF330-ERP_i)*AE330*Ramure*Pc/MaxiM</f>
        <v>7.6075736952092203E-3</v>
      </c>
      <c r="AE330" s="301">
        <f t="shared" si="117"/>
        <v>0.5</v>
      </c>
      <c r="AF330" s="173">
        <f t="shared" si="118"/>
        <v>0.98883792383883584</v>
      </c>
      <c r="AG330" s="801">
        <f t="shared" si="124"/>
        <v>4</v>
      </c>
      <c r="AH330" s="172">
        <f t="shared" si="119"/>
        <v>10</v>
      </c>
      <c r="AI330" s="221">
        <f t="shared" si="120"/>
        <v>4.9888379238388358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48165</v>
      </c>
      <c r="B331" s="406">
        <f>'2030'!Wh/'2030'!Env_an*'2031'!Env_an</f>
        <v>103.51069933518279</v>
      </c>
      <c r="C331" s="831"/>
      <c r="D331" s="388">
        <f t="shared" si="102"/>
        <v>108.94971892727486</v>
      </c>
      <c r="E331" s="380">
        <f t="shared" si="125"/>
        <v>113.69204808914783</v>
      </c>
      <c r="F331" s="380">
        <f t="shared" si="103"/>
        <v>113.87534555144479</v>
      </c>
      <c r="G331" s="110">
        <f t="shared" si="126"/>
        <v>0.93520774025699371</v>
      </c>
      <c r="H331" s="409" t="b">
        <f>Wh_hp&gt;='2030'!Maxi_hp</f>
        <v>0</v>
      </c>
      <c r="I331" s="385">
        <f>IF(H331,Wh_hp,'2030'!Maxi_hp)</f>
        <v>113.88822170257234</v>
      </c>
      <c r="J331" s="85">
        <f>IF(H331,An,'2030'!An_max)</f>
        <v>2029</v>
      </c>
      <c r="K331" s="193">
        <f t="shared" si="104"/>
        <v>48165</v>
      </c>
      <c r="L331" s="143">
        <f>IF(t&lt;Tvie,1-EXP((T0-t)*PertePVj)+'2030'!Pspv,1-EXP((T0-t)*PertePVj)+Pspv)</f>
        <v>4.9922291178398304E-2</v>
      </c>
      <c r="M331" s="835"/>
      <c r="N331" s="835"/>
      <c r="O331" s="48">
        <f>IF(t&lt;Tnet,'2030'!Resal+('2030'!Salim-'2030'!Resal)*(1-EXP(('2030'!Tnet-t)/('2030'!Tau_j))),Resal+(Salim-Resal)*(1-EXP((Tnet-t)/(Tau_j))))*Salcycl</f>
        <v>4.1712056749601614E-2</v>
      </c>
      <c r="P331" s="165">
        <f>(INDEX(Models!$BJ331:$BT331,,T331)*(1-R331)+INDEX(Models!$BJ331:$BT331,,T331+1)*R331-ERP_i)*Q331*Ramure*Pc/MaxiM</f>
        <v>1.773389458232658E-3</v>
      </c>
      <c r="Q331" s="301">
        <f t="shared" si="105"/>
        <v>0.5</v>
      </c>
      <c r="R331" s="173">
        <f t="shared" si="106"/>
        <v>0.46388477426160857</v>
      </c>
      <c r="S331" s="801">
        <f t="shared" si="107"/>
        <v>1</v>
      </c>
      <c r="T331" s="172">
        <f t="shared" si="108"/>
        <v>7</v>
      </c>
      <c r="U331" s="247">
        <f t="shared" si="109"/>
        <v>1.4638847742616086</v>
      </c>
      <c r="V331" s="378">
        <f t="shared" si="110"/>
        <v>110.66388456744524</v>
      </c>
      <c r="W331" s="397">
        <f t="shared" si="111"/>
        <v>103.51069933518279</v>
      </c>
      <c r="X331" s="153">
        <f t="shared" si="112"/>
        <v>48165</v>
      </c>
      <c r="Y331" s="380">
        <f t="shared" si="113"/>
        <v>100.6094431123537</v>
      </c>
      <c r="Z331" s="380">
        <f t="shared" si="114"/>
        <v>105.89601479771733</v>
      </c>
      <c r="AA331" s="381">
        <f t="shared" si="115"/>
        <v>113.06947177041884</v>
      </c>
      <c r="AB331" s="193">
        <f t="shared" si="116"/>
        <v>48165</v>
      </c>
      <c r="AC331" s="119">
        <f>IF(OR(t&lt;Tnet,NoTnet),'2030'!Resal_s+('2030'!Salim-'2030'!Resal_s)*(1-EXP(('2030'!Tnet_s-t)/'2030'!Tau_j)),Resal_s+(Salim-Resal_s)*(1-EXP((Tnet_s-t)/Tau_j)))*Salcycl</f>
        <v>6.3442915761265969E-2</v>
      </c>
      <c r="AD331" s="227">
        <f>(INDEX(Models!$BJ331:$BT331,,AH331)*(1-AF331)+INDEX(Models!$BJ331:$BT331,,AH331+1)*AF331-ERP_i)*AE331*Ramure*Pc/MaxiM</f>
        <v>7.7967695244036328E-3</v>
      </c>
      <c r="AE331" s="301">
        <f t="shared" si="117"/>
        <v>0.5</v>
      </c>
      <c r="AF331" s="173">
        <f t="shared" si="118"/>
        <v>0.98887234063558616</v>
      </c>
      <c r="AG331" s="801">
        <f t="shared" si="124"/>
        <v>4</v>
      </c>
      <c r="AH331" s="172">
        <f t="shared" si="119"/>
        <v>10</v>
      </c>
      <c r="AI331" s="221">
        <f t="shared" si="120"/>
        <v>4.9888723406355862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48166</v>
      </c>
      <c r="B332" s="406">
        <f>'2030'!Wh/'2030'!Env_an*'2031'!Env_an</f>
        <v>39.498562058914217</v>
      </c>
      <c r="C332" s="831"/>
      <c r="D332" s="388">
        <f t="shared" si="102"/>
        <v>41.574602163282755</v>
      </c>
      <c r="E332" s="380">
        <f t="shared" si="125"/>
        <v>43.384998132876902</v>
      </c>
      <c r="F332" s="380">
        <f t="shared" si="103"/>
        <v>43.391847284362186</v>
      </c>
      <c r="G332" s="110">
        <f t="shared" si="126"/>
        <v>0.36001992280358885</v>
      </c>
      <c r="H332" s="409" t="b">
        <f>Wh_hp&gt;='2030'!Maxi_hp</f>
        <v>0</v>
      </c>
      <c r="I332" s="385">
        <f>IF(H332,Wh_hp,'2030'!Maxi_hp)</f>
        <v>43.441828167821527</v>
      </c>
      <c r="J332" s="85">
        <f>IF(H332,An,'2030'!An_max)</f>
        <v>2029</v>
      </c>
      <c r="K332" s="193">
        <f t="shared" si="104"/>
        <v>48166</v>
      </c>
      <c r="L332" s="143">
        <f>IF(t&lt;Tvie,1-EXP((T0-t)*PertePVj)+'2030'!Pspv,1-EXP((T0-t)*PertePVj)+Pspv)</f>
        <v>4.9935296944393248E-2</v>
      </c>
      <c r="M332" s="835"/>
      <c r="N332" s="835"/>
      <c r="O332" s="48">
        <f>IF(t&lt;Tnet,'2030'!Resal+('2030'!Salim-'2030'!Resal)*(1-EXP(('2030'!Tnet-t)/('2030'!Tau_j))),Resal+(Salim-Resal)*(1-EXP((Tnet-t)/(Tau_j))))*Salcycl</f>
        <v>4.172861697606562E-2</v>
      </c>
      <c r="P332" s="165">
        <f>(INDEX(Models!$BJ332:$BT332,,T332)*(1-R332)+INDEX(Models!$BJ332:$BT332,,T332+1)*R332-ERP_i)*Q332*Ramure*Pc/MaxiM</f>
        <v>1.8226696568240056E-3</v>
      </c>
      <c r="Q332" s="301">
        <f t="shared" si="105"/>
        <v>0.5</v>
      </c>
      <c r="R332" s="173">
        <f t="shared" si="106"/>
        <v>0.4639178097941703</v>
      </c>
      <c r="S332" s="801">
        <f t="shared" si="107"/>
        <v>1</v>
      </c>
      <c r="T332" s="172">
        <f t="shared" si="108"/>
        <v>7</v>
      </c>
      <c r="U332" s="247">
        <f t="shared" si="109"/>
        <v>1.4639178097941703</v>
      </c>
      <c r="V332" s="378">
        <f t="shared" si="110"/>
        <v>109.52947592200559</v>
      </c>
      <c r="W332" s="397">
        <f t="shared" si="111"/>
        <v>39.498562058914217</v>
      </c>
      <c r="X332" s="153">
        <f t="shared" si="112"/>
        <v>48166</v>
      </c>
      <c r="Y332" s="380">
        <f t="shared" si="113"/>
        <v>38.583881972035726</v>
      </c>
      <c r="Z332" s="380">
        <f t="shared" si="114"/>
        <v>40.611846591018377</v>
      </c>
      <c r="AA332" s="381">
        <f t="shared" si="115"/>
        <v>43.361939423402099</v>
      </c>
      <c r="AB332" s="193">
        <f t="shared" si="116"/>
        <v>48166</v>
      </c>
      <c r="AC332" s="119">
        <f>IF(OR(t&lt;Tnet,NoTnet),'2030'!Resal_s+('2030'!Salim-'2030'!Resal_s)*(1-EXP(('2030'!Tnet_s-t)/'2030'!Tau_j)),Resal_s+(Salim-Resal_s)*(1-EXP((Tnet_s-t)/Tau_j)))*Salcycl</f>
        <v>6.3421813437143426E-2</v>
      </c>
      <c r="AD332" s="227">
        <f>(INDEX(Models!$BJ332:$BT332,,AH332)*(1-AF332)+INDEX(Models!$BJ332:$BT332,,AH332+1)*AF332-ERP_i)*AE332*Ramure*Pc/MaxiM</f>
        <v>7.9589640833002077E-3</v>
      </c>
      <c r="AE332" s="301">
        <f t="shared" si="117"/>
        <v>0.5</v>
      </c>
      <c r="AF332" s="173">
        <f t="shared" si="118"/>
        <v>0.98890537616814811</v>
      </c>
      <c r="AG332" s="801">
        <f t="shared" si="124"/>
        <v>4</v>
      </c>
      <c r="AH332" s="172">
        <f t="shared" si="119"/>
        <v>10</v>
      </c>
      <c r="AI332" s="221">
        <f t="shared" si="120"/>
        <v>4.9889053761681481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48167</v>
      </c>
      <c r="B333" s="406">
        <f>'2030'!Wh/'2030'!Env_an*'2031'!Env_an</f>
        <v>49.689767957100266</v>
      </c>
      <c r="C333" s="831"/>
      <c r="D333" s="388">
        <f t="shared" si="102"/>
        <v>52.302172702335753</v>
      </c>
      <c r="E333" s="380">
        <f t="shared" si="125"/>
        <v>54.580675151453867</v>
      </c>
      <c r="F333" s="380">
        <f t="shared" si="103"/>
        <v>54.603786016763657</v>
      </c>
      <c r="G333" s="110">
        <f t="shared" si="126"/>
        <v>0.45774440302623332</v>
      </c>
      <c r="H333" s="409" t="b">
        <f>Wh_hp&gt;='2030'!Maxi_hp</f>
        <v>0</v>
      </c>
      <c r="I333" s="385">
        <f>IF(H333,Wh_hp,'2030'!Maxi_hp)</f>
        <v>54.658568853194588</v>
      </c>
      <c r="J333" s="85">
        <f>IF(H333,An,'2030'!An_max)</f>
        <v>2029</v>
      </c>
      <c r="K333" s="193">
        <f t="shared" si="104"/>
        <v>48167</v>
      </c>
      <c r="L333" s="143">
        <f>IF(t&lt;Tvie,1-EXP((T0-t)*PertePVj)+'2030'!Pspv,1-EXP((T0-t)*PertePVj)+Pspv)</f>
        <v>4.9948302532350053E-2</v>
      </c>
      <c r="M333" s="835"/>
      <c r="N333" s="835"/>
      <c r="O333" s="48">
        <f>IF(t&lt;Tnet,'2030'!Resal+('2030'!Salim-'2030'!Resal)*(1-EXP(('2030'!Tnet-t)/('2030'!Tau_j))),Resal+(Salim-Resal)*(1-EXP((Tnet-t)/(Tau_j))))*Salcycl</f>
        <v>4.1745589309688511E-2</v>
      </c>
      <c r="P333" s="165">
        <f>(INDEX(Models!$BJ333:$BT333,,T333)*(1-R333)+INDEX(Models!$BJ333:$BT333,,T333+1)*R333-ERP_i)*Q333*Ramure*Pc/MaxiM</f>
        <v>1.8703130119603725E-3</v>
      </c>
      <c r="Q333" s="301">
        <f t="shared" si="105"/>
        <v>0.5</v>
      </c>
      <c r="R333" s="173">
        <f t="shared" si="106"/>
        <v>0.46394951932546524</v>
      </c>
      <c r="S333" s="801">
        <f t="shared" si="107"/>
        <v>1</v>
      </c>
      <c r="T333" s="172">
        <f t="shared" si="108"/>
        <v>7</v>
      </c>
      <c r="U333" s="247">
        <f t="shared" si="109"/>
        <v>1.4639495193254652</v>
      </c>
      <c r="V333" s="378">
        <f t="shared" si="110"/>
        <v>108.39637314476538</v>
      </c>
      <c r="W333" s="397">
        <f t="shared" si="111"/>
        <v>49.689767957100266</v>
      </c>
      <c r="X333" s="153">
        <f t="shared" si="112"/>
        <v>48167</v>
      </c>
      <c r="Y333" s="380">
        <f t="shared" si="113"/>
        <v>48.498320896780974</v>
      </c>
      <c r="Z333" s="380">
        <f t="shared" si="114"/>
        <v>51.048086147367137</v>
      </c>
      <c r="AA333" s="381">
        <f t="shared" si="115"/>
        <v>54.503699543472578</v>
      </c>
      <c r="AB333" s="193">
        <f t="shared" si="116"/>
        <v>48167</v>
      </c>
      <c r="AC333" s="119">
        <f>IF(OR(t&lt;Tnet,NoTnet),'2030'!Resal_s+('2030'!Salim-'2030'!Resal_s)*(1-EXP(('2030'!Tnet_s-t)/'2030'!Tau_j)),Resal_s+(Salim-Resal_s)*(1-EXP((Tnet_s-t)/Tau_j)))*Salcycl</f>
        <v>6.3401446599954531E-2</v>
      </c>
      <c r="AD333" s="227">
        <f>(INDEX(Models!$BJ333:$BT333,,AH333)*(1-AF333)+INDEX(Models!$BJ333:$BT333,,AH333+1)*AF333-ERP_i)*AE333*Ramure*Pc/MaxiM</f>
        <v>8.0997847033547794E-3</v>
      </c>
      <c r="AE333" s="301">
        <f t="shared" si="117"/>
        <v>0.5</v>
      </c>
      <c r="AF333" s="173">
        <f t="shared" si="118"/>
        <v>0.98893708569944305</v>
      </c>
      <c r="AG333" s="801">
        <f t="shared" si="124"/>
        <v>4</v>
      </c>
      <c r="AH333" s="172">
        <f t="shared" si="119"/>
        <v>10</v>
      </c>
      <c r="AI333" s="221">
        <f t="shared" si="120"/>
        <v>4.9889370856994431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48168</v>
      </c>
      <c r="B334" s="406">
        <f>'2030'!Wh/'2030'!Env_an*'2031'!Env_an</f>
        <v>103.5891325709465</v>
      </c>
      <c r="C334" s="831"/>
      <c r="D334" s="388">
        <f t="shared" si="102"/>
        <v>109.03675127860156</v>
      </c>
      <c r="E334" s="380">
        <f t="shared" si="125"/>
        <v>113.78891880693637</v>
      </c>
      <c r="F334" s="380">
        <f t="shared" si="103"/>
        <v>113.9966634401614</v>
      </c>
      <c r="G334" s="110">
        <f t="shared" si="126"/>
        <v>0.96560819786065222</v>
      </c>
      <c r="H334" s="409" t="b">
        <f>Wh_hp&gt;='2030'!Maxi_hp</f>
        <v>0</v>
      </c>
      <c r="I334" s="385">
        <f>IF(H334,Wh_hp,'2030'!Maxi_hp)</f>
        <v>114.00409995295183</v>
      </c>
      <c r="J334" s="85">
        <f>IF(H334,An,'2030'!An_max)</f>
        <v>2029</v>
      </c>
      <c r="K334" s="193">
        <f t="shared" si="104"/>
        <v>48168</v>
      </c>
      <c r="L334" s="143">
        <f>IF(t&lt;Tvie,1-EXP((T0-t)*PertePVj)+'2030'!Pspv,1-EXP((T0-t)*PertePVj)+Pspv)</f>
        <v>4.9961307942271271E-2</v>
      </c>
      <c r="M334" s="835"/>
      <c r="N334" s="835"/>
      <c r="O334" s="48">
        <f>IF(t&lt;Tnet,'2030'!Resal+('2030'!Salim-'2030'!Resal)*(1-EXP(('2030'!Tnet-t)/('2030'!Tau_j))),Resal+(Salim-Resal)*(1-EXP((Tnet-t)/(Tau_j))))*Salcycl</f>
        <v>4.1763008016604222E-2</v>
      </c>
      <c r="P334" s="165">
        <f>(INDEX(Models!$BJ334:$BT334,,T334)*(1-R334)+INDEX(Models!$BJ334:$BT334,,T334+1)*R334-ERP_i)*Q334*Ramure*Pc/MaxiM</f>
        <v>1.9162747658108472E-3</v>
      </c>
      <c r="Q334" s="301">
        <f t="shared" si="105"/>
        <v>0.5</v>
      </c>
      <c r="R334" s="173">
        <f t="shared" si="106"/>
        <v>0.46397995592095498</v>
      </c>
      <c r="S334" s="801">
        <f t="shared" si="107"/>
        <v>1</v>
      </c>
      <c r="T334" s="172">
        <f t="shared" si="108"/>
        <v>7</v>
      </c>
      <c r="U334" s="247">
        <f t="shared" si="109"/>
        <v>1.463979955920955</v>
      </c>
      <c r="V334" s="378">
        <f t="shared" si="110"/>
        <v>107.26854640784191</v>
      </c>
      <c r="W334" s="397">
        <f t="shared" si="111"/>
        <v>103.5891325709465</v>
      </c>
      <c r="X334" s="153">
        <f t="shared" si="112"/>
        <v>48168</v>
      </c>
      <c r="Y334" s="380">
        <f t="shared" si="113"/>
        <v>100.64406296198729</v>
      </c>
      <c r="Z334" s="380">
        <f t="shared" si="114"/>
        <v>105.93680426214861</v>
      </c>
      <c r="AA334" s="381">
        <f t="shared" si="115"/>
        <v>113.10565143754241</v>
      </c>
      <c r="AB334" s="193">
        <f t="shared" si="116"/>
        <v>48168</v>
      </c>
      <c r="AC334" s="119">
        <f>IF(OR(t&lt;Tnet,NoTnet),'2030'!Resal_s+('2030'!Salim-'2030'!Resal_s)*(1-EXP(('2030'!Tnet_s-t)/'2030'!Tau_j)),Resal_s+(Salim-Resal_s)*(1-EXP((Tnet_s-t)/Tau_j)))*Salcycl</f>
        <v>6.3381865400001458E-2</v>
      </c>
      <c r="AD334" s="227">
        <f>(INDEX(Models!$BJ334:$BT334,,AH334)*(1-AF334)+INDEX(Models!$BJ334:$BT334,,AH334+1)*AF334-ERP_i)*AE334*Ramure*Pc/MaxiM</f>
        <v>8.2188588467834618E-3</v>
      </c>
      <c r="AE334" s="301">
        <f t="shared" si="117"/>
        <v>0.5</v>
      </c>
      <c r="AF334" s="173">
        <f t="shared" si="118"/>
        <v>0.98896752229493323</v>
      </c>
      <c r="AG334" s="801">
        <f t="shared" si="124"/>
        <v>4</v>
      </c>
      <c r="AH334" s="172">
        <f t="shared" si="119"/>
        <v>10</v>
      </c>
      <c r="AI334" s="221">
        <f t="shared" si="120"/>
        <v>4.9889675222949332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48169</v>
      </c>
      <c r="B335" s="406">
        <f>'2030'!Wh/'2030'!Env_an*'2031'!Env_an</f>
        <v>61.518622957290397</v>
      </c>
      <c r="C335" s="831"/>
      <c r="D335" s="388">
        <f t="shared" ref="D335:D379" si="127">Wh/(1-Ppv)</f>
        <v>64.754694331299731</v>
      </c>
      <c r="E335" s="380">
        <f t="shared" si="125"/>
        <v>67.578171525760382</v>
      </c>
      <c r="F335" s="380">
        <f t="shared" ref="F335:F379" si="128">Wh_sa/(1-Pvg*MEDIAN((-Sdif+Wh/Env_an)/Csdif,0,1))</f>
        <v>67.631121568326662</v>
      </c>
      <c r="G335" s="110">
        <f t="shared" si="126"/>
        <v>0.5788614514127377</v>
      </c>
      <c r="H335" s="409" t="b">
        <f>Wh_hp&gt;='2030'!Maxi_hp</f>
        <v>0</v>
      </c>
      <c r="I335" s="385">
        <f>IF(H335,Wh_hp,'2030'!Maxi_hp)</f>
        <v>67.686499129807729</v>
      </c>
      <c r="J335" s="85">
        <f>IF(H335,An,'2030'!An_max)</f>
        <v>2029</v>
      </c>
      <c r="K335" s="193">
        <f t="shared" ref="K335:K379" si="129">t</f>
        <v>48169</v>
      </c>
      <c r="L335" s="143">
        <f>IF(t&lt;Tvie,1-EXP((T0-t)*PertePVj)+'2030'!Pspv,1-EXP((T0-t)*PertePVj)+Pspv)</f>
        <v>4.9974313174159457E-2</v>
      </c>
      <c r="M335" s="835"/>
      <c r="N335" s="835"/>
      <c r="O335" s="48">
        <f>IF(t&lt;Tnet,'2030'!Resal+('2030'!Salim-'2030'!Resal)*(1-EXP(('2030'!Tnet-t)/('2030'!Tau_j))),Resal+(Salim-Resal)*(1-EXP((Tnet-t)/(Tau_j))))*Salcycl</f>
        <v>4.1780905441994108E-2</v>
      </c>
      <c r="P335" s="165">
        <f>(INDEX(Models!$BJ335:$BT335,,T335)*(1-R335)+INDEX(Models!$BJ335:$BT335,,T335+1)*R335-ERP_i)*Q335*Ramure*Pc/MaxiM</f>
        <v>1.9605002375840978E-3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0.46400917053494917</v>
      </c>
      <c r="S335" s="801">
        <f t="shared" ref="S335:S379" si="132">INDEX(Echel_vg,T335)</f>
        <v>1</v>
      </c>
      <c r="T335" s="172">
        <f t="shared" ref="T335:T379" si="133">MIN(MATCH(Hp_vg,Echel_vg),10)</f>
        <v>7</v>
      </c>
      <c r="U335" s="247">
        <f t="shared" ref="U335:U379" si="134">IF(OR(t&lt;Ttai,Notai),Hdd+PousH*Croivg,Hdtf+PousH*(Croivg-Croi_tai))</f>
        <v>1.4640091705349492</v>
      </c>
      <c r="V335" s="378">
        <f t="shared" ref="V335:V379" si="135">MaxiM*(1-Ppv)*(1-Pvg)*(1-Psa)</f>
        <v>106.14996592035348</v>
      </c>
      <c r="W335" s="397">
        <f t="shared" ref="W335:W379" si="136">Wh*(A335&gt;Tmaj)</f>
        <v>61.518622957290397</v>
      </c>
      <c r="X335" s="153">
        <f t="shared" ref="X335:X379" si="137">t</f>
        <v>48169</v>
      </c>
      <c r="Y335" s="380">
        <f t="shared" ref="Y335:Y379" si="138">Wh_pvt_s*(1-Ppv)</f>
        <v>59.980288052355512</v>
      </c>
      <c r="Z335" s="380">
        <f t="shared" ref="Z335:Z379" si="139">Wh_sa_s*(1-Psa_s)</f>
        <v>63.135438214052357</v>
      </c>
      <c r="AA335" s="381">
        <f t="shared" ref="AA335:AA379" si="140">Wh_hp*(1-Pvg_s*MEDIAN((-Sdif+Wh/Env_an)/Csdif,0,1))</f>
        <v>67.406525789878302</v>
      </c>
      <c r="AB335" s="193">
        <f t="shared" ref="AB335:AB379" si="141">t</f>
        <v>48169</v>
      </c>
      <c r="AC335" s="119">
        <f>IF(OR(t&lt;Tnet,NoTnet),'2030'!Resal_s+('2030'!Salim-'2030'!Resal_s)*(1-EXP(('2030'!Tnet_s-t)/'2030'!Tau_j)),Resal_s+(Salim-Resal_s)*(1-EXP((Tnet_s-t)/Tau_j)))*Salcycl</f>
        <v>6.3363116935293604E-2</v>
      </c>
      <c r="AD335" s="227">
        <f>(INDEX(Models!$BJ335:$BT335,,AH335)*(1-AF335)+INDEX(Models!$BJ335:$BT335,,AH335+1)*AF335-ERP_i)*AE335*Ramure*Pc/MaxiM</f>
        <v>8.3157643633100936E-3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0.98899673690892698</v>
      </c>
      <c r="AG335" s="801">
        <f t="shared" si="124"/>
        <v>4</v>
      </c>
      <c r="AH335" s="172">
        <f t="shared" ref="AH335:AH379" si="144">MIN(MATCH(Hp_vg_s,Echel_vg),10)</f>
        <v>10</v>
      </c>
      <c r="AI335" s="221">
        <f t="shared" ref="AI335:AI379" si="145">IF(OR(t&lt;Ttai,Notai),Hdd_s+PousH*Croivg,Hdtai_s+PousH*(Croivg-Croi_tai))</f>
        <v>4.988996736908927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48170</v>
      </c>
      <c r="B336" s="406">
        <f>'2030'!Wh/'2030'!Env_an*'2031'!Env_an</f>
        <v>48.821585587653971</v>
      </c>
      <c r="C336" s="831"/>
      <c r="D336" s="388">
        <f t="shared" si="127"/>
        <v>51.39045670063156</v>
      </c>
      <c r="E336" s="380">
        <f t="shared" si="125"/>
        <v>53.632247750673017</v>
      </c>
      <c r="F336" s="380">
        <f t="shared" si="128"/>
        <v>53.657545136916262</v>
      </c>
      <c r="G336" s="110">
        <f t="shared" si="126"/>
        <v>0.46405794204635503</v>
      </c>
      <c r="H336" s="409" t="b">
        <f>Wh_hp&gt;='2030'!Maxi_hp</f>
        <v>0</v>
      </c>
      <c r="I336" s="385">
        <f>IF(H336,Wh_hp,'2030'!Maxi_hp)</f>
        <v>53.714728061427358</v>
      </c>
      <c r="J336" s="85">
        <f>IF(H336,An,'2030'!An_max)</f>
        <v>2029</v>
      </c>
      <c r="K336" s="193">
        <f t="shared" si="129"/>
        <v>48170</v>
      </c>
      <c r="L336" s="143">
        <f>IF(t&lt;Tvie,1-EXP((T0-t)*PertePVj)+'2030'!Pspv,1-EXP((T0-t)*PertePVj)+Pspv)</f>
        <v>4.998731822801683E-2</v>
      </c>
      <c r="M336" s="835"/>
      <c r="N336" s="835"/>
      <c r="O336" s="48">
        <f>IF(t&lt;Tnet,'2030'!Resal+('2030'!Salim-'2030'!Resal)*(1-EXP(('2030'!Tnet-t)/('2030'!Tau_j))),Resal+(Salim-Resal)*(1-EXP((Tnet-t)/(Tau_j))))*Salcycl</f>
        <v>4.1799311870409632E-2</v>
      </c>
      <c r="P336" s="165">
        <f>(INDEX(Models!$BJ336:$BT336,,T336)*(1-R336)+INDEX(Models!$BJ336:$BT336,,T336+1)*R336-ERP_i)*Q336*Ramure*Pc/MaxiM</f>
        <v>2.0029246019576492E-3</v>
      </c>
      <c r="Q336" s="301">
        <f t="shared" si="130"/>
        <v>0.5</v>
      </c>
      <c r="R336" s="173">
        <f t="shared" si="131"/>
        <v>0.46403721209361248</v>
      </c>
      <c r="S336" s="801">
        <f t="shared" si="132"/>
        <v>1</v>
      </c>
      <c r="T336" s="172">
        <f t="shared" si="133"/>
        <v>7</v>
      </c>
      <c r="U336" s="247">
        <f t="shared" si="134"/>
        <v>1.4640372120936125</v>
      </c>
      <c r="V336" s="378">
        <f t="shared" si="135"/>
        <v>105.04460192098017</v>
      </c>
      <c r="W336" s="397">
        <f t="shared" si="136"/>
        <v>48.821585587653971</v>
      </c>
      <c r="X336" s="153">
        <f t="shared" si="137"/>
        <v>48170</v>
      </c>
      <c r="Y336" s="380">
        <f t="shared" si="138"/>
        <v>47.652008506619033</v>
      </c>
      <c r="Z336" s="380">
        <f t="shared" si="139"/>
        <v>50.159339365594079</v>
      </c>
      <c r="AA336" s="381">
        <f t="shared" si="140"/>
        <v>53.551577142584918</v>
      </c>
      <c r="AB336" s="193">
        <f t="shared" si="141"/>
        <v>48170</v>
      </c>
      <c r="AC336" s="119">
        <f>IF(OR(t&lt;Tnet,NoTnet),'2030'!Resal_s+('2030'!Salim-'2030'!Resal_s)*(1-EXP(('2030'!Tnet_s-t)/'2030'!Tau_j)),Resal_s+(Salim-Resal_s)*(1-EXP((Tnet_s-t)/Tau_j)))*Salcycl</f>
        <v>6.3345245051490487E-2</v>
      </c>
      <c r="AD336" s="227">
        <f>(INDEX(Models!$BJ336:$BT336,,AH336)*(1-AF336)+INDEX(Models!$BJ336:$BT336,,AH336+1)*AF336-ERP_i)*AE336*Ramure*Pc/MaxiM</f>
        <v>8.3900329000584171E-3</v>
      </c>
      <c r="AE336" s="301">
        <f t="shared" si="142"/>
        <v>0.5</v>
      </c>
      <c r="AF336" s="173">
        <f t="shared" si="143"/>
        <v>0.98902477846759052</v>
      </c>
      <c r="AG336" s="801">
        <f t="shared" ref="AG336:AG379" si="149">INDEX(Echel_vg,AH336)</f>
        <v>4</v>
      </c>
      <c r="AH336" s="172">
        <f t="shared" si="144"/>
        <v>10</v>
      </c>
      <c r="AI336" s="221">
        <f t="shared" si="145"/>
        <v>4.9890247784675905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48171</v>
      </c>
      <c r="B337" s="406">
        <f>'2030'!Wh/'2030'!Env_an*'2031'!Env_an</f>
        <v>23.215556920932961</v>
      </c>
      <c r="C337" s="831"/>
      <c r="D337" s="388">
        <f t="shared" si="127"/>
        <v>24.437436649223923</v>
      </c>
      <c r="E337" s="380">
        <f t="shared" si="125"/>
        <v>25.503968100950932</v>
      </c>
      <c r="F337" s="380">
        <f t="shared" si="128"/>
        <v>25.503968100950932</v>
      </c>
      <c r="G337" s="110">
        <f t="shared" si="126"/>
        <v>0.22286372998612122</v>
      </c>
      <c r="H337" s="409" t="b">
        <f>Wh_hp&gt;='2030'!Maxi_hp</f>
        <v>0</v>
      </c>
      <c r="I337" s="385">
        <f>IF(H337,Wh_hp,'2030'!Maxi_hp)</f>
        <v>25.540248304423862</v>
      </c>
      <c r="J337" s="85">
        <f>IF(H337,An,'2030'!An_max)</f>
        <v>2029</v>
      </c>
      <c r="K337" s="193">
        <f t="shared" si="129"/>
        <v>48171</v>
      </c>
      <c r="L337" s="143">
        <f>IF(t&lt;Tvie,1-EXP((T0-t)*PertePVj)+'2030'!Pspv,1-EXP((T0-t)*PertePVj)+Pspv)</f>
        <v>5.0000323103845945E-2</v>
      </c>
      <c r="M337" s="835"/>
      <c r="N337" s="835"/>
      <c r="O337" s="48">
        <f>IF(t&lt;Tnet,'2030'!Resal+('2030'!Salim-'2030'!Resal)*(1-EXP(('2030'!Tnet-t)/('2030'!Tau_j))),Resal+(Salim-Resal)*(1-EXP((Tnet-t)/(Tau_j))))*Salcycl</f>
        <v>4.1818255398744938E-2</v>
      </c>
      <c r="P337" s="165">
        <f>(INDEX(Models!$BJ337:$BT337,,T337)*(1-R337)+INDEX(Models!$BJ337:$BT337,,T337+1)*R337-ERP_i)*Q337*Ramure*Pc/MaxiM</f>
        <v>2.0434727307496957E-3</v>
      </c>
      <c r="Q337" s="301">
        <f t="shared" si="130"/>
        <v>0.5</v>
      </c>
      <c r="R337" s="173">
        <f t="shared" si="131"/>
        <v>0.46406412757478299</v>
      </c>
      <c r="S337" s="801">
        <f t="shared" si="132"/>
        <v>1</v>
      </c>
      <c r="T337" s="172">
        <f t="shared" si="133"/>
        <v>7</v>
      </c>
      <c r="U337" s="247">
        <f t="shared" si="134"/>
        <v>1.464064127574783</v>
      </c>
      <c r="V337" s="378">
        <f t="shared" si="135"/>
        <v>103.95642469449226</v>
      </c>
      <c r="W337" s="397">
        <f t="shared" si="136"/>
        <v>23.215556920932961</v>
      </c>
      <c r="X337" s="153">
        <f t="shared" si="137"/>
        <v>48171</v>
      </c>
      <c r="Y337" s="380">
        <f t="shared" si="138"/>
        <v>22.694395419759783</v>
      </c>
      <c r="Z337" s="380">
        <f t="shared" si="139"/>
        <v>23.888845408776429</v>
      </c>
      <c r="AA337" s="381">
        <f t="shared" si="140"/>
        <v>25.503968100950932</v>
      </c>
      <c r="AB337" s="193">
        <f t="shared" si="141"/>
        <v>48171</v>
      </c>
      <c r="AC337" s="119">
        <f>IF(OR(t&lt;Tnet,NoTnet),'2030'!Resal_s+('2030'!Salim-'2030'!Resal_s)*(1-EXP(('2030'!Tnet_s-t)/'2030'!Tau_j)),Resal_s+(Salim-Resal_s)*(1-EXP((Tnet_s-t)/Tau_j)))*Salcycl</f>
        <v>6.3328290161807466E-2</v>
      </c>
      <c r="AD337" s="227">
        <f>(INDEX(Models!$BJ337:$BT337,,AH337)*(1-AF337)+INDEX(Models!$BJ337:$BT337,,AH337+1)*AF337-ERP_i)*AE337*Ramure*Pc/MaxiM</f>
        <v>8.4411541552357281E-3</v>
      </c>
      <c r="AE337" s="301">
        <f t="shared" si="142"/>
        <v>0.5</v>
      </c>
      <c r="AF337" s="173">
        <f t="shared" si="143"/>
        <v>0.98905169394876147</v>
      </c>
      <c r="AG337" s="801">
        <f t="shared" si="149"/>
        <v>4</v>
      </c>
      <c r="AH337" s="172">
        <f t="shared" si="144"/>
        <v>10</v>
      </c>
      <c r="AI337" s="221">
        <f t="shared" si="145"/>
        <v>4.9890516939487615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48172</v>
      </c>
      <c r="B338" s="406">
        <f>'2030'!Wh/'2030'!Env_an*'2031'!Env_an</f>
        <v>67.88660092634224</v>
      </c>
      <c r="C338" s="831"/>
      <c r="D338" s="388">
        <f t="shared" si="127"/>
        <v>71.460582461906355</v>
      </c>
      <c r="E338" s="380">
        <f t="shared" si="125"/>
        <v>74.580879536484858</v>
      </c>
      <c r="F338" s="380">
        <f t="shared" si="128"/>
        <v>74.660610161695118</v>
      </c>
      <c r="G338" s="110">
        <f t="shared" si="126"/>
        <v>0.65913181523665121</v>
      </c>
      <c r="H338" s="409" t="b">
        <f>Wh_hp&gt;='2030'!Maxi_hp</f>
        <v>0</v>
      </c>
      <c r="I338" s="385">
        <f>IF(H338,Wh_hp,'2030'!Maxi_hp)</f>
        <v>74.713119728216455</v>
      </c>
      <c r="J338" s="85">
        <f>IF(H338,An,'2030'!An_max)</f>
        <v>2029</v>
      </c>
      <c r="K338" s="193">
        <f t="shared" si="129"/>
        <v>48172</v>
      </c>
      <c r="L338" s="143">
        <f>IF(t&lt;Tvie,1-EXP((T0-t)*PertePVj)+'2030'!Pspv,1-EXP((T0-t)*PertePVj)+Pspv)</f>
        <v>5.0013327801649243E-2</v>
      </c>
      <c r="M338" s="835"/>
      <c r="N338" s="835"/>
      <c r="O338" s="48">
        <f>IF(t&lt;Tnet,'2030'!Resal+('2030'!Salim-'2030'!Resal)*(1-EXP(('2030'!Tnet-t)/('2030'!Tau_j))),Resal+(Salim-Resal)*(1-EXP((Tnet-t)/(Tau_j))))*Salcycl</f>
        <v>4.183776182274785E-2</v>
      </c>
      <c r="P338" s="165">
        <f>(INDEX(Models!$BJ338:$BT338,,T338)*(1-R338)+INDEX(Models!$BJ338:$BT338,,T338+1)*R338-ERP_i)*Q338*Ramure*Pc/MaxiM</f>
        <v>2.0776482417049868E-3</v>
      </c>
      <c r="Q338" s="301">
        <f t="shared" si="130"/>
        <v>0.5</v>
      </c>
      <c r="R338" s="173">
        <f t="shared" si="131"/>
        <v>0.46408996208472209</v>
      </c>
      <c r="S338" s="801">
        <f t="shared" si="132"/>
        <v>1</v>
      </c>
      <c r="T338" s="172">
        <f t="shared" si="133"/>
        <v>7</v>
      </c>
      <c r="U338" s="247">
        <f t="shared" si="134"/>
        <v>1.4640899620847221</v>
      </c>
      <c r="V338" s="378">
        <f t="shared" si="135"/>
        <v>102.88985937339122</v>
      </c>
      <c r="W338" s="397">
        <f t="shared" si="136"/>
        <v>67.88660092634224</v>
      </c>
      <c r="X338" s="153">
        <f t="shared" si="137"/>
        <v>48172</v>
      </c>
      <c r="Y338" s="380">
        <f t="shared" si="138"/>
        <v>66.147042386688312</v>
      </c>
      <c r="Z338" s="380">
        <f t="shared" si="139"/>
        <v>69.629442520091757</v>
      </c>
      <c r="AA338" s="381">
        <f t="shared" si="140"/>
        <v>74.335813002507166</v>
      </c>
      <c r="AB338" s="193">
        <f t="shared" si="141"/>
        <v>48172</v>
      </c>
      <c r="AC338" s="119">
        <f>IF(OR(t&lt;Tnet,NoTnet),'2030'!Resal_s+('2030'!Salim-'2030'!Resal_s)*(1-EXP(('2030'!Tnet_s-t)/'2030'!Tau_j)),Resal_s+(Salim-Resal_s)*(1-EXP((Tnet_s-t)/Tau_j)))*Salcycl</f>
        <v>6.331228908812328E-2</v>
      </c>
      <c r="AD338" s="227">
        <f>(INDEX(Models!$BJ338:$BT338,,AH338)*(1-AF338)+INDEX(Models!$BJ338:$BT338,,AH338+1)*AF338-ERP_i)*AE338*Ramure*Pc/MaxiM</f>
        <v>8.4636768483645642E-3</v>
      </c>
      <c r="AE338" s="301">
        <f t="shared" si="142"/>
        <v>0.5</v>
      </c>
      <c r="AF338" s="173">
        <f t="shared" si="143"/>
        <v>0.98907752845869989</v>
      </c>
      <c r="AG338" s="801">
        <f t="shared" si="149"/>
        <v>4</v>
      </c>
      <c r="AH338" s="172">
        <f t="shared" si="144"/>
        <v>10</v>
      </c>
      <c r="AI338" s="221">
        <f t="shared" si="145"/>
        <v>4.9890775284586999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48173</v>
      </c>
      <c r="B339" s="406">
        <f>'2030'!Wh/'2030'!Env_an*'2031'!Env_an</f>
        <v>13.448335708039238</v>
      </c>
      <c r="C339" s="831"/>
      <c r="D339" s="388">
        <f t="shared" si="127"/>
        <v>14.156535244711185</v>
      </c>
      <c r="E339" s="380">
        <f t="shared" si="125"/>
        <v>14.774984392198871</v>
      </c>
      <c r="F339" s="380">
        <f t="shared" si="128"/>
        <v>14.774984392198871</v>
      </c>
      <c r="G339" s="110">
        <f t="shared" si="126"/>
        <v>0.13176408491710431</v>
      </c>
      <c r="H339" s="409" t="b">
        <f>Wh_hp&gt;='2030'!Maxi_hp</f>
        <v>0</v>
      </c>
      <c r="I339" s="385">
        <f>IF(H339,Wh_hp,'2030'!Maxi_hp)</f>
        <v>14.796661689654837</v>
      </c>
      <c r="J339" s="85">
        <f>IF(H339,An,'2030'!An_max)</f>
        <v>2029</v>
      </c>
      <c r="K339" s="193">
        <f t="shared" si="129"/>
        <v>48173</v>
      </c>
      <c r="L339" s="143">
        <f>IF(t&lt;Tvie,1-EXP((T0-t)*PertePVj)+'2030'!Pspv,1-EXP((T0-t)*PertePVj)+Pspv)</f>
        <v>5.0026332321429168E-2</v>
      </c>
      <c r="M339" s="835"/>
      <c r="N339" s="835"/>
      <c r="O339" s="48">
        <f>IF(t&lt;Tnet,'2030'!Resal+('2030'!Salim-'2030'!Resal)*(1-EXP(('2030'!Tnet-t)/('2030'!Tau_j))),Resal+(Salim-Resal)*(1-EXP((Tnet-t)/(Tau_j))))*Salcycl</f>
        <v>4.1857854537851472E-2</v>
      </c>
      <c r="P339" s="165">
        <f>(INDEX(Models!$BJ339:$BT339,,T339)*(1-R339)+INDEX(Models!$BJ339:$BT339,,T339+1)*R339-ERP_i)*Q339*Ramure*Pc/MaxiM</f>
        <v>2.1071033883281578E-3</v>
      </c>
      <c r="Q339" s="301">
        <f t="shared" si="130"/>
        <v>0.5</v>
      </c>
      <c r="R339" s="173">
        <f t="shared" si="131"/>
        <v>0.46411475893190723</v>
      </c>
      <c r="S339" s="801">
        <f t="shared" si="132"/>
        <v>1</v>
      </c>
      <c r="T339" s="172">
        <f t="shared" si="133"/>
        <v>7</v>
      </c>
      <c r="U339" s="247">
        <f t="shared" si="134"/>
        <v>1.4641147589319072</v>
      </c>
      <c r="V339" s="378">
        <f t="shared" si="135"/>
        <v>101.84868420514032</v>
      </c>
      <c r="W339" s="397">
        <f t="shared" si="136"/>
        <v>13.448335708039238</v>
      </c>
      <c r="X339" s="153">
        <f t="shared" si="137"/>
        <v>48173</v>
      </c>
      <c r="Y339" s="380">
        <f t="shared" si="138"/>
        <v>13.147415302743324</v>
      </c>
      <c r="Z339" s="380">
        <f t="shared" si="139"/>
        <v>13.83976814312271</v>
      </c>
      <c r="AA339" s="381">
        <f t="shared" si="140"/>
        <v>14.774984392198871</v>
      </c>
      <c r="AB339" s="193">
        <f t="shared" si="141"/>
        <v>48173</v>
      </c>
      <c r="AC339" s="119">
        <f>IF(OR(t&lt;Tnet,NoTnet),'2030'!Resal_s+('2030'!Salim-'2030'!Resal_s)*(1-EXP(('2030'!Tnet_s-t)/'2030'!Tau_j)),Resal_s+(Salim-Resal_s)*(1-EXP((Tnet_s-t)/Tau_j)))*Salcycl</f>
        <v>6.3297274924361491E-2</v>
      </c>
      <c r="AD339" s="227">
        <f>(INDEX(Models!$BJ339:$BT339,,AH339)*(1-AF339)+INDEX(Models!$BJ339:$BT339,,AH339+1)*AF339-ERP_i)*AE339*Ramure*Pc/MaxiM</f>
        <v>8.4671413396921816E-3</v>
      </c>
      <c r="AE339" s="301">
        <f t="shared" si="142"/>
        <v>0.5</v>
      </c>
      <c r="AF339" s="173">
        <f t="shared" si="143"/>
        <v>0.98910232530588527</v>
      </c>
      <c r="AG339" s="801">
        <f t="shared" si="149"/>
        <v>4</v>
      </c>
      <c r="AH339" s="172">
        <f t="shared" si="144"/>
        <v>10</v>
      </c>
      <c r="AI339" s="221">
        <f t="shared" si="145"/>
        <v>4.9891023253058853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48174</v>
      </c>
      <c r="B340" s="406">
        <f>'2030'!Wh/'2030'!Env_an*'2031'!Env_an</f>
        <v>32.650731233489935</v>
      </c>
      <c r="C340" s="831"/>
      <c r="D340" s="388">
        <f t="shared" si="127"/>
        <v>34.370613956583909</v>
      </c>
      <c r="E340" s="380">
        <f t="shared" si="125"/>
        <v>35.872919989838067</v>
      </c>
      <c r="F340" s="380">
        <f t="shared" si="128"/>
        <v>35.875519904226302</v>
      </c>
      <c r="G340" s="110">
        <f t="shared" si="126"/>
        <v>0.32313074135849934</v>
      </c>
      <c r="H340" s="409" t="b">
        <f>Wh_hp&gt;='2030'!Maxi_hp</f>
        <v>0</v>
      </c>
      <c r="I340" s="385">
        <f>IF(H340,Wh_hp,'2030'!Maxi_hp)</f>
        <v>35.926947866668051</v>
      </c>
      <c r="J340" s="85">
        <f>IF(H340,An,'2030'!An_max)</f>
        <v>2029</v>
      </c>
      <c r="K340" s="193">
        <f t="shared" si="129"/>
        <v>48174</v>
      </c>
      <c r="L340" s="143">
        <f>IF(t&lt;Tvie,1-EXP((T0-t)*PertePVj)+'2030'!Pspv,1-EXP((T0-t)*PertePVj)+Pspv)</f>
        <v>5.0039336663188161E-2</v>
      </c>
      <c r="M340" s="835"/>
      <c r="N340" s="835"/>
      <c r="O340" s="48">
        <f>IF(t&lt;Tnet,'2030'!Resal+('2030'!Salim-'2030'!Resal)*(1-EXP(('2030'!Tnet-t)/('2030'!Tau_j))),Resal+(Salim-Resal)*(1-EXP((Tnet-t)/(Tau_j))))*Salcycl</f>
        <v>4.1878554454996338E-2</v>
      </c>
      <c r="P340" s="165">
        <f>(INDEX(Models!$BJ340:$BT340,,T340)*(1-R340)+INDEX(Models!$BJ340:$BT340,,T340+1)*R340-ERP_i)*Q340*Ramure*Pc/MaxiM</f>
        <v>2.1317014780352643E-3</v>
      </c>
      <c r="Q340" s="301">
        <f t="shared" si="130"/>
        <v>0.5</v>
      </c>
      <c r="R340" s="173">
        <f t="shared" si="131"/>
        <v>0.46413855969797568</v>
      </c>
      <c r="S340" s="801">
        <f t="shared" si="132"/>
        <v>1</v>
      </c>
      <c r="T340" s="172">
        <f t="shared" si="133"/>
        <v>7</v>
      </c>
      <c r="U340" s="247">
        <f t="shared" si="134"/>
        <v>1.4641385596979757</v>
      </c>
      <c r="V340" s="378">
        <f t="shared" si="135"/>
        <v>100.83686505377284</v>
      </c>
      <c r="W340" s="397">
        <f t="shared" si="136"/>
        <v>32.650731233489935</v>
      </c>
      <c r="X340" s="153">
        <f t="shared" si="137"/>
        <v>48174</v>
      </c>
      <c r="Y340" s="380">
        <f t="shared" si="138"/>
        <v>31.914445742907656</v>
      </c>
      <c r="Z340" s="380">
        <f t="shared" si="139"/>
        <v>33.595544504764696</v>
      </c>
      <c r="AA340" s="381">
        <f t="shared" si="140"/>
        <v>35.86521269141965</v>
      </c>
      <c r="AB340" s="193">
        <f t="shared" si="141"/>
        <v>48174</v>
      </c>
      <c r="AC340" s="119">
        <f>IF(OR(t&lt;Tnet,NoTnet),'2030'!Resal_s+('2030'!Salim-'2030'!Resal_s)*(1-EXP(('2030'!Tnet_s-t)/'2030'!Tau_j)),Resal_s+(Salim-Resal_s)*(1-EXP((Tnet_s-t)/Tau_j)))*Salcycl</f>
        <v>6.328327692304328E-2</v>
      </c>
      <c r="AD340" s="227">
        <f>(INDEX(Models!$BJ340:$BT340,,AH340)*(1-AF340)+INDEX(Models!$BJ340:$BT340,,AH340+1)*AF340-ERP_i)*AE340*Ramure*Pc/MaxiM</f>
        <v>8.4510093385448161E-3</v>
      </c>
      <c r="AE340" s="301">
        <f t="shared" si="142"/>
        <v>0.5</v>
      </c>
      <c r="AF340" s="173">
        <f t="shared" si="143"/>
        <v>0.98912612607195349</v>
      </c>
      <c r="AG340" s="801">
        <f t="shared" si="149"/>
        <v>4</v>
      </c>
      <c r="AH340" s="172">
        <f t="shared" si="144"/>
        <v>10</v>
      </c>
      <c r="AI340" s="221">
        <f t="shared" si="145"/>
        <v>4.9891261260719535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48175</v>
      </c>
      <c r="B341" s="406">
        <f>'2030'!Wh/'2030'!Env_an*'2031'!Env_an</f>
        <v>53.848697865910331</v>
      </c>
      <c r="C341" s="831"/>
      <c r="D341" s="388">
        <f t="shared" si="127"/>
        <v>56.685963006409828</v>
      </c>
      <c r="E341" s="380">
        <f t="shared" si="125"/>
        <v>59.164968064492349</v>
      </c>
      <c r="F341" s="380">
        <f t="shared" si="128"/>
        <v>59.208502964198949</v>
      </c>
      <c r="G341" s="110">
        <f t="shared" si="126"/>
        <v>0.53848657956563362</v>
      </c>
      <c r="H341" s="409" t="b">
        <f>Wh_hp&gt;='2030'!Maxi_hp</f>
        <v>0</v>
      </c>
      <c r="I341" s="385">
        <f>IF(H341,Wh_hp,'2030'!Maxi_hp)</f>
        <v>59.266850955124269</v>
      </c>
      <c r="J341" s="85">
        <f>IF(H341,An,'2030'!An_max)</f>
        <v>2029</v>
      </c>
      <c r="K341" s="193">
        <f t="shared" si="129"/>
        <v>48175</v>
      </c>
      <c r="L341" s="143">
        <f>IF(t&lt;Tvie,1-EXP((T0-t)*PertePVj)+'2030'!Pspv,1-EXP((T0-t)*PertePVj)+Pspv)</f>
        <v>5.0052340826928665E-2</v>
      </c>
      <c r="M341" s="835"/>
      <c r="N341" s="835"/>
      <c r="O341" s="48">
        <f>IF(t&lt;Tnet,'2030'!Resal+('2030'!Salim-'2030'!Resal)*(1-EXP(('2030'!Tnet-t)/('2030'!Tau_j))),Resal+(Salim-Resal)*(1-EXP((Tnet-t)/(Tau_j))))*Salcycl</f>
        <v>4.1899879931994524E-2</v>
      </c>
      <c r="P341" s="165">
        <f>(INDEX(Models!$BJ341:$BT341,,T341)*(1-R341)+INDEX(Models!$BJ341:$BT341,,T341+1)*R341-ERP_i)*Q341*Ramure*Pc/MaxiM</f>
        <v>2.151286482945334E-3</v>
      </c>
      <c r="Q341" s="301">
        <f t="shared" si="130"/>
        <v>0.5</v>
      </c>
      <c r="R341" s="173">
        <f t="shared" si="131"/>
        <v>0.46416140430592545</v>
      </c>
      <c r="S341" s="801">
        <f t="shared" si="132"/>
        <v>1</v>
      </c>
      <c r="T341" s="172">
        <f t="shared" si="133"/>
        <v>7</v>
      </c>
      <c r="U341" s="247">
        <f t="shared" si="134"/>
        <v>1.4641614043059255</v>
      </c>
      <c r="V341" s="378">
        <f t="shared" si="135"/>
        <v>99.858369288784573</v>
      </c>
      <c r="W341" s="397">
        <f t="shared" si="136"/>
        <v>53.848697865910331</v>
      </c>
      <c r="X341" s="153">
        <f t="shared" si="137"/>
        <v>48175</v>
      </c>
      <c r="Y341" s="380">
        <f t="shared" si="138"/>
        <v>52.534813608569827</v>
      </c>
      <c r="Z341" s="380">
        <f t="shared" si="139"/>
        <v>55.302850742641276</v>
      </c>
      <c r="AA341" s="381">
        <f t="shared" si="140"/>
        <v>59.038217692210353</v>
      </c>
      <c r="AB341" s="193">
        <f t="shared" si="141"/>
        <v>48175</v>
      </c>
      <c r="AC341" s="119">
        <f>IF(OR(t&lt;Tnet,NoTnet),'2030'!Resal_s+('2030'!Salim-'2030'!Resal_s)*(1-EXP(('2030'!Tnet_s-t)/'2030'!Tau_j)),Resal_s+(Salim-Resal_s)*(1-EXP((Tnet_s-t)/Tau_j)))*Salcycl</f>
        <v>6.3270320405724834E-2</v>
      </c>
      <c r="AD341" s="227">
        <f>(INDEX(Models!$BJ341:$BT341,,AH341)*(1-AF341)+INDEX(Models!$BJ341:$BT341,,AH341+1)*AF341-ERP_i)*AE341*Ramure*Pc/MaxiM</f>
        <v>8.4146835376352758E-3</v>
      </c>
      <c r="AE341" s="301">
        <f t="shared" si="142"/>
        <v>0.5</v>
      </c>
      <c r="AF341" s="173">
        <f t="shared" si="143"/>
        <v>0.98914897067990371</v>
      </c>
      <c r="AG341" s="801">
        <f t="shared" si="149"/>
        <v>4</v>
      </c>
      <c r="AH341" s="172">
        <f t="shared" si="144"/>
        <v>10</v>
      </c>
      <c r="AI341" s="221">
        <f t="shared" si="145"/>
        <v>4.9891489706799037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48176</v>
      </c>
      <c r="B342" s="406">
        <f>'2030'!Wh/'2030'!Env_an*'2031'!Env_an</f>
        <v>52.988983844180289</v>
      </c>
      <c r="C342" s="831"/>
      <c r="D342" s="388">
        <f t="shared" si="127"/>
        <v>55.781714620917533</v>
      </c>
      <c r="E342" s="380">
        <f t="shared" si="125"/>
        <v>58.222509750376844</v>
      </c>
      <c r="F342" s="380">
        <f t="shared" si="128"/>
        <v>58.264996223222099</v>
      </c>
      <c r="G342" s="110">
        <f t="shared" si="126"/>
        <v>0.53492040266124397</v>
      </c>
      <c r="H342" s="409" t="b">
        <f>Wh_hp&gt;='2030'!Maxi_hp</f>
        <v>0</v>
      </c>
      <c r="I342" s="385">
        <f>IF(H342,Wh_hp,'2030'!Maxi_hp)</f>
        <v>58.323204402620291</v>
      </c>
      <c r="J342" s="85">
        <f>IF(H342,An,'2030'!An_max)</f>
        <v>2029</v>
      </c>
      <c r="K342" s="193">
        <f t="shared" si="129"/>
        <v>48176</v>
      </c>
      <c r="L342" s="143">
        <f>IF(t&lt;Tvie,1-EXP((T0-t)*PertePVj)+'2030'!Pspv,1-EXP((T0-t)*PertePVj)+Pspv)</f>
        <v>5.0065344812653012E-2</v>
      </c>
      <c r="M342" s="835"/>
      <c r="N342" s="835"/>
      <c r="O342" s="48">
        <f>IF(t&lt;Tnet,'2030'!Resal+('2030'!Salim-'2030'!Resal)*(1-EXP(('2030'!Tnet-t)/('2030'!Tau_j))),Resal+(Salim-Resal)*(1-EXP((Tnet-t)/(Tau_j))))*Salcycl</f>
        <v>4.1921846720864034E-2</v>
      </c>
      <c r="P342" s="165">
        <f>(INDEX(Models!$BJ342:$BT342,,T342)*(1-R342)+INDEX(Models!$BJ342:$BT342,,T342+1)*R342-ERP_i)*Q342*Ramure*Pc/MaxiM</f>
        <v>2.1657032027096621E-3</v>
      </c>
      <c r="Q342" s="301">
        <f t="shared" si="130"/>
        <v>0.5</v>
      </c>
      <c r="R342" s="173">
        <f t="shared" si="131"/>
        <v>0.46418333108567356</v>
      </c>
      <c r="S342" s="801">
        <f t="shared" si="132"/>
        <v>1</v>
      </c>
      <c r="T342" s="172">
        <f t="shared" si="133"/>
        <v>7</v>
      </c>
      <c r="U342" s="247">
        <f t="shared" si="134"/>
        <v>1.4641833310856736</v>
      </c>
      <c r="V342" s="378">
        <f t="shared" si="135"/>
        <v>98.917163862548378</v>
      </c>
      <c r="W342" s="397">
        <f t="shared" si="136"/>
        <v>52.988983844180289</v>
      </c>
      <c r="X342" s="153">
        <f t="shared" si="137"/>
        <v>48176</v>
      </c>
      <c r="Y342" s="380">
        <f t="shared" si="138"/>
        <v>51.70081856078901</v>
      </c>
      <c r="Z342" s="380">
        <f t="shared" si="139"/>
        <v>54.425657889691927</v>
      </c>
      <c r="AA342" s="381">
        <f t="shared" si="140"/>
        <v>58.101038152746092</v>
      </c>
      <c r="AB342" s="193">
        <f t="shared" si="141"/>
        <v>48176</v>
      </c>
      <c r="AC342" s="119">
        <f>IF(OR(t&lt;Tnet,NoTnet),'2030'!Resal_s+('2030'!Salim-'2030'!Resal_s)*(1-EXP(('2030'!Tnet_s-t)/'2030'!Tau_j)),Resal_s+(Salim-Resal_s)*(1-EXP((Tnet_s-t)/Tau_j)))*Salcycl</f>
        <v>6.3258426697844622E-2</v>
      </c>
      <c r="AD342" s="227">
        <f>(INDEX(Models!$BJ342:$BT342,,AH342)*(1-AF342)+INDEX(Models!$BJ342:$BT342,,AH342+1)*AF342-ERP_i)*AE342*Ramure*Pc/MaxiM</f>
        <v>8.3575899471177995E-3</v>
      </c>
      <c r="AE342" s="301">
        <f t="shared" si="142"/>
        <v>0.5</v>
      </c>
      <c r="AF342" s="173">
        <f t="shared" si="143"/>
        <v>0.98917089745965114</v>
      </c>
      <c r="AG342" s="801">
        <f t="shared" si="149"/>
        <v>4</v>
      </c>
      <c r="AH342" s="172">
        <f t="shared" si="144"/>
        <v>10</v>
      </c>
      <c r="AI342" s="221">
        <f t="shared" si="145"/>
        <v>4.9891708974596511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48177</v>
      </c>
      <c r="B343" s="406">
        <f>'2030'!Wh/'2030'!Env_an*'2031'!Env_an</f>
        <v>17.159150315785155</v>
      </c>
      <c r="C343" s="831"/>
      <c r="D343" s="388">
        <f t="shared" si="127"/>
        <v>18.063753248348164</v>
      </c>
      <c r="E343" s="380">
        <f t="shared" si="125"/>
        <v>18.854599387726722</v>
      </c>
      <c r="F343" s="380">
        <f t="shared" si="128"/>
        <v>18.854599387726722</v>
      </c>
      <c r="G343" s="110">
        <f t="shared" si="126"/>
        <v>0.17468189189210503</v>
      </c>
      <c r="H343" s="409" t="b">
        <f>Wh_hp&gt;='2030'!Maxi_hp</f>
        <v>0</v>
      </c>
      <c r="I343" s="385">
        <f>IF(H343,Wh_hp,'2030'!Maxi_hp)</f>
        <v>18.883083082148648</v>
      </c>
      <c r="J343" s="85">
        <f>IF(H343,An,'2030'!An_max)</f>
        <v>2029</v>
      </c>
      <c r="K343" s="193">
        <f t="shared" si="129"/>
        <v>48177</v>
      </c>
      <c r="L343" s="143">
        <f>IF(t&lt;Tvie,1-EXP((T0-t)*PertePVj)+'2030'!Pspv,1-EXP((T0-t)*PertePVj)+Pspv)</f>
        <v>5.0078348620363755E-2</v>
      </c>
      <c r="M343" s="835"/>
      <c r="N343" s="835"/>
      <c r="O343" s="48">
        <f>IF(t&lt;Tnet,'2030'!Resal+('2030'!Salim-'2030'!Resal)*(1-EXP(('2030'!Tnet-t)/('2030'!Tau_j))),Resal+(Salim-Resal)*(1-EXP((Tnet-t)/(Tau_j))))*Salcycl</f>
        <v>4.1944467931435164E-2</v>
      </c>
      <c r="P343" s="165">
        <f>(INDEX(Models!$BJ343:$BT343,,T343)*(1-R343)+INDEX(Models!$BJ343:$BT343,,T343+1)*R343-ERP_i)*Q343*Ramure*Pc/MaxiM</f>
        <v>2.1748015173578125E-3</v>
      </c>
      <c r="Q343" s="301">
        <f t="shared" si="130"/>
        <v>0.5</v>
      </c>
      <c r="R343" s="173">
        <f t="shared" si="131"/>
        <v>0.46420437683707094</v>
      </c>
      <c r="S343" s="801">
        <f t="shared" si="132"/>
        <v>1</v>
      </c>
      <c r="T343" s="172">
        <f t="shared" si="133"/>
        <v>7</v>
      </c>
      <c r="U343" s="247">
        <f t="shared" si="134"/>
        <v>1.4642043768370709</v>
      </c>
      <c r="V343" s="378">
        <f t="shared" si="135"/>
        <v>98.017215088427022</v>
      </c>
      <c r="W343" s="397">
        <f t="shared" si="136"/>
        <v>17.159150315785155</v>
      </c>
      <c r="X343" s="153">
        <f t="shared" si="137"/>
        <v>48177</v>
      </c>
      <c r="Y343" s="380">
        <f t="shared" si="138"/>
        <v>16.77760263121975</v>
      </c>
      <c r="Z343" s="380">
        <f t="shared" si="139"/>
        <v>17.662090980716663</v>
      </c>
      <c r="AA343" s="381">
        <f t="shared" si="140"/>
        <v>18.854599387726722</v>
      </c>
      <c r="AB343" s="193">
        <f t="shared" si="141"/>
        <v>48177</v>
      </c>
      <c r="AC343" s="119">
        <f>IF(OR(t&lt;Tnet,NoTnet),'2030'!Resal_s+('2030'!Salim-'2030'!Resal_s)*(1-EXP(('2030'!Tnet_s-t)/'2030'!Tau_j)),Resal_s+(Salim-Resal_s)*(1-EXP((Tnet_s-t)/Tau_j)))*Salcycl</f>
        <v>6.3247613088311727E-2</v>
      </c>
      <c r="AD343" s="227">
        <f>(INDEX(Models!$BJ343:$BT343,,AH343)*(1-AF343)+INDEX(Models!$BJ343:$BT343,,AH343+1)*AF343-ERP_i)*AE343*Ramure*Pc/MaxiM</f>
        <v>8.2791938667254612E-3</v>
      </c>
      <c r="AE343" s="301">
        <f t="shared" si="142"/>
        <v>0.5</v>
      </c>
      <c r="AF343" s="173">
        <f t="shared" si="143"/>
        <v>0.98919194321104875</v>
      </c>
      <c r="AG343" s="801">
        <f t="shared" si="149"/>
        <v>4</v>
      </c>
      <c r="AH343" s="172">
        <f t="shared" si="144"/>
        <v>10</v>
      </c>
      <c r="AI343" s="221">
        <f t="shared" si="145"/>
        <v>4.9891919432110488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48178</v>
      </c>
      <c r="B344" s="406">
        <f>'2030'!Wh/'2030'!Env_an*'2031'!Env_an</f>
        <v>51.653042578668853</v>
      </c>
      <c r="C344" s="831"/>
      <c r="D344" s="388">
        <f t="shared" si="127"/>
        <v>54.376852659484896</v>
      </c>
      <c r="E344" s="380">
        <f t="shared" si="125"/>
        <v>56.758896046732872</v>
      </c>
      <c r="F344" s="380">
        <f t="shared" si="128"/>
        <v>56.7998371332787</v>
      </c>
      <c r="G344" s="110">
        <f t="shared" si="126"/>
        <v>0.53083959934686586</v>
      </c>
      <c r="H344" s="409" t="b">
        <f>Wh_hp&gt;='2030'!Maxi_hp</f>
        <v>0</v>
      </c>
      <c r="I344" s="385">
        <f>IF(H344,Wh_hp,'2030'!Maxi_hp)</f>
        <v>56.857292919262221</v>
      </c>
      <c r="J344" s="85">
        <f>IF(H344,An,'2030'!An_max)</f>
        <v>2029</v>
      </c>
      <c r="K344" s="193">
        <f t="shared" si="129"/>
        <v>48178</v>
      </c>
      <c r="L344" s="143">
        <f>IF(t&lt;Tvie,1-EXP((T0-t)*PertePVj)+'2030'!Pspv,1-EXP((T0-t)*PertePVj)+Pspv)</f>
        <v>5.0091352250063226E-2</v>
      </c>
      <c r="M344" s="835"/>
      <c r="N344" s="835"/>
      <c r="O344" s="48">
        <f>IF(t&lt;Tnet,'2030'!Resal+('2030'!Salim-'2030'!Resal)*(1-EXP(('2030'!Tnet-t)/('2030'!Tau_j))),Resal+(Salim-Resal)*(1-EXP((Tnet-t)/(Tau_j))))*Salcycl</f>
        <v>4.1967754011401182E-2</v>
      </c>
      <c r="P344" s="165">
        <f>(INDEX(Models!$BJ344:$BT344,,T344)*(1-R344)+INDEX(Models!$BJ344:$BT344,,T344+1)*R344-ERP_i)*Q344*Ramure*Pc/MaxiM</f>
        <v>2.1784295651634464E-3</v>
      </c>
      <c r="Q344" s="301">
        <f t="shared" si="130"/>
        <v>0.5</v>
      </c>
      <c r="R344" s="173">
        <f t="shared" si="131"/>
        <v>0.46422457689046914</v>
      </c>
      <c r="S344" s="801">
        <f t="shared" si="132"/>
        <v>1</v>
      </c>
      <c r="T344" s="172">
        <f t="shared" si="133"/>
        <v>7</v>
      </c>
      <c r="U344" s="247">
        <f t="shared" si="134"/>
        <v>1.4642245768904691</v>
      </c>
      <c r="V344" s="378">
        <f t="shared" si="135"/>
        <v>97.162489604626913</v>
      </c>
      <c r="W344" s="397">
        <f t="shared" si="136"/>
        <v>51.653042578668853</v>
      </c>
      <c r="X344" s="153">
        <f t="shared" si="137"/>
        <v>48178</v>
      </c>
      <c r="Y344" s="380">
        <f t="shared" si="138"/>
        <v>50.405896690074606</v>
      </c>
      <c r="Z344" s="380">
        <f t="shared" si="139"/>
        <v>53.063941263690808</v>
      </c>
      <c r="AA344" s="381">
        <f t="shared" si="140"/>
        <v>56.646122699274613</v>
      </c>
      <c r="AB344" s="193">
        <f t="shared" si="141"/>
        <v>48178</v>
      </c>
      <c r="AC344" s="119">
        <f>IF(OR(t&lt;Tnet,NoTnet),'2030'!Resal_s+('2030'!Salim-'2030'!Resal_s)*(1-EXP(('2030'!Tnet_s-t)/'2030'!Tau_j)),Resal_s+(Salim-Resal_s)*(1-EXP((Tnet_s-t)/Tau_j)))*Salcycl</f>
        <v>6.3237892813971477E-2</v>
      </c>
      <c r="AD344" s="227">
        <f>(INDEX(Models!$BJ344:$BT344,,AH344)*(1-AF344)+INDEX(Models!$BJ344:$BT344,,AH344+1)*AF344-ERP_i)*AE344*Ramure*Pc/MaxiM</f>
        <v>8.1789736394032742E-3</v>
      </c>
      <c r="AE344" s="301">
        <f t="shared" si="142"/>
        <v>0.5</v>
      </c>
      <c r="AF344" s="173">
        <f t="shared" si="143"/>
        <v>0.98921214326444762</v>
      </c>
      <c r="AG344" s="801">
        <f t="shared" si="149"/>
        <v>4</v>
      </c>
      <c r="AH344" s="172">
        <f t="shared" si="144"/>
        <v>10</v>
      </c>
      <c r="AI344" s="221">
        <f t="shared" si="145"/>
        <v>4.9892121432644476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48179</v>
      </c>
      <c r="B345" s="406">
        <f>'2030'!Wh/'2030'!Env_an*'2031'!Env_an</f>
        <v>56.260334280080563</v>
      </c>
      <c r="C345" s="831"/>
      <c r="D345" s="388">
        <f t="shared" si="127"/>
        <v>59.227910579213138</v>
      </c>
      <c r="E345" s="380">
        <f t="shared" si="125"/>
        <v>61.824006500807464</v>
      </c>
      <c r="F345" s="380">
        <f t="shared" si="128"/>
        <v>61.878646256960259</v>
      </c>
      <c r="G345" s="110">
        <f t="shared" si="126"/>
        <v>0.58320346113784394</v>
      </c>
      <c r="H345" s="409" t="b">
        <f>Wh_hp&gt;='2030'!Maxi_hp</f>
        <v>0</v>
      </c>
      <c r="I345" s="385">
        <f>IF(H345,Wh_hp,'2030'!Maxi_hp)</f>
        <v>61.934124171738382</v>
      </c>
      <c r="J345" s="85">
        <f>IF(H345,An,'2030'!An_max)</f>
        <v>2029</v>
      </c>
      <c r="K345" s="193">
        <f t="shared" si="129"/>
        <v>48179</v>
      </c>
      <c r="L345" s="143">
        <f>IF(t&lt;Tvie,1-EXP((T0-t)*PertePVj)+'2030'!Pspv,1-EXP((T0-t)*PertePVj)+Pspv)</f>
        <v>5.0104355701753978E-2</v>
      </c>
      <c r="M345" s="835"/>
      <c r="N345" s="835"/>
      <c r="O345" s="48">
        <f>IF(t&lt;Tnet,'2030'!Resal+('2030'!Salim-'2030'!Resal)*(1-EXP(('2030'!Tnet-t)/('2030'!Tau_j))),Resal+(Salim-Resal)*(1-EXP((Tnet-t)/(Tau_j))))*Salcycl</f>
        <v>4.199171274285534E-2</v>
      </c>
      <c r="P345" s="165">
        <f>(INDEX(Models!$BJ345:$BT345,,T345)*(1-R345)+INDEX(Models!$BJ345:$BT345,,T345+1)*R345-ERP_i)*Q345*Ramure*Pc/MaxiM</f>
        <v>2.1767542524555503E-3</v>
      </c>
      <c r="Q345" s="301">
        <f t="shared" si="130"/>
        <v>0.5</v>
      </c>
      <c r="R345" s="173">
        <f t="shared" si="131"/>
        <v>0.46424396516492972</v>
      </c>
      <c r="S345" s="801">
        <f t="shared" si="132"/>
        <v>1</v>
      </c>
      <c r="T345" s="172">
        <f t="shared" si="133"/>
        <v>7</v>
      </c>
      <c r="U345" s="247">
        <f t="shared" si="134"/>
        <v>1.4642439651649297</v>
      </c>
      <c r="V345" s="378">
        <f t="shared" si="135"/>
        <v>96.342850271120895</v>
      </c>
      <c r="W345" s="397">
        <f t="shared" si="136"/>
        <v>56.260334280080563</v>
      </c>
      <c r="X345" s="153">
        <f t="shared" si="137"/>
        <v>48179</v>
      </c>
      <c r="Y345" s="380">
        <f t="shared" si="138"/>
        <v>54.881773942045108</v>
      </c>
      <c r="Z345" s="380">
        <f t="shared" si="139"/>
        <v>57.776635014038931</v>
      </c>
      <c r="AA345" s="381">
        <f t="shared" si="140"/>
        <v>61.676388337485307</v>
      </c>
      <c r="AB345" s="193">
        <f t="shared" si="141"/>
        <v>48179</v>
      </c>
      <c r="AC345" s="119">
        <f>IF(OR(t&lt;Tnet,NoTnet),'2030'!Resal_s+('2030'!Salim-'2030'!Resal_s)*(1-EXP(('2030'!Tnet_s-t)/'2030'!Tau_j)),Resal_s+(Salim-Resal_s)*(1-EXP((Tnet_s-t)/Tau_j)))*Salcycl</f>
        <v>6.3229275068887369E-2</v>
      </c>
      <c r="AD345" s="227">
        <f>(INDEX(Models!$BJ345:$BT345,,AH345)*(1-AF345)+INDEX(Models!$BJ345:$BT345,,AH345+1)*AF345-ERP_i)*AE345*Ramure*Pc/MaxiM</f>
        <v>8.0576089153613986E-3</v>
      </c>
      <c r="AE345" s="301">
        <f t="shared" si="142"/>
        <v>0.5</v>
      </c>
      <c r="AF345" s="173">
        <f t="shared" si="143"/>
        <v>0.98923153153890819</v>
      </c>
      <c r="AG345" s="801">
        <f t="shared" si="149"/>
        <v>4</v>
      </c>
      <c r="AH345" s="172">
        <f t="shared" si="144"/>
        <v>10</v>
      </c>
      <c r="AI345" s="221">
        <f t="shared" si="145"/>
        <v>4.9892315315389082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48180</v>
      </c>
      <c r="B346" s="406">
        <f>'2030'!Wh/'2030'!Env_an*'2031'!Env_an</f>
        <v>36.572353446331427</v>
      </c>
      <c r="C346" s="831"/>
      <c r="D346" s="388">
        <f t="shared" si="127"/>
        <v>38.501970524362662</v>
      </c>
      <c r="E346" s="380">
        <f t="shared" si="125"/>
        <v>40.190634249790897</v>
      </c>
      <c r="F346" s="380">
        <f t="shared" si="128"/>
        <v>40.200946554386029</v>
      </c>
      <c r="G346" s="110">
        <f t="shared" si="126"/>
        <v>0.38203644958650118</v>
      </c>
      <c r="H346" s="409" t="b">
        <f>Wh_hp&gt;='2030'!Maxi_hp</f>
        <v>0</v>
      </c>
      <c r="I346" s="385">
        <f>IF(H346,Wh_hp,'2030'!Maxi_hp)</f>
        <v>40.254147848519523</v>
      </c>
      <c r="J346" s="85">
        <f>IF(H346,An,'2030'!An_max)</f>
        <v>2029</v>
      </c>
      <c r="K346" s="193">
        <f t="shared" si="129"/>
        <v>48180</v>
      </c>
      <c r="L346" s="143">
        <f>IF(t&lt;Tvie,1-EXP((T0-t)*PertePVj)+'2030'!Pspv,1-EXP((T0-t)*PertePVj)+Pspv)</f>
        <v>5.0117358975438453E-2</v>
      </c>
      <c r="M346" s="835"/>
      <c r="N346" s="835"/>
      <c r="O346" s="48">
        <f>IF(t&lt;Tnet,'2030'!Resal+('2030'!Salim-'2030'!Resal)*(1-EXP(('2030'!Tnet-t)/('2030'!Tau_j))),Resal+(Salim-Resal)*(1-EXP((Tnet-t)/(Tau_j))))*Salcycl</f>
        <v>4.2016349255225315E-2</v>
      </c>
      <c r="P346" s="165">
        <f>(INDEX(Models!$BJ346:$BT346,,T346)*(1-R346)+INDEX(Models!$BJ346:$BT346,,T346+1)*R346-ERP_i)*Q346*Ramure*Pc/MaxiM</f>
        <v>2.169454639996599E-3</v>
      </c>
      <c r="Q346" s="301">
        <f t="shared" si="130"/>
        <v>0.5</v>
      </c>
      <c r="R346" s="173">
        <f t="shared" si="131"/>
        <v>0.46426257422416439</v>
      </c>
      <c r="S346" s="801">
        <f t="shared" si="132"/>
        <v>1</v>
      </c>
      <c r="T346" s="172">
        <f t="shared" si="133"/>
        <v>7</v>
      </c>
      <c r="U346" s="247">
        <f t="shared" si="134"/>
        <v>1.4642625742241644</v>
      </c>
      <c r="V346" s="378">
        <f t="shared" si="135"/>
        <v>95.546838462265782</v>
      </c>
      <c r="W346" s="397">
        <f t="shared" si="136"/>
        <v>36.572353446331427</v>
      </c>
      <c r="X346" s="153">
        <f t="shared" si="137"/>
        <v>48180</v>
      </c>
      <c r="Y346" s="380">
        <f t="shared" si="138"/>
        <v>35.738468796166295</v>
      </c>
      <c r="Z346" s="380">
        <f t="shared" si="139"/>
        <v>37.624088758605062</v>
      </c>
      <c r="AA346" s="381">
        <f t="shared" si="140"/>
        <v>40.163282359072568</v>
      </c>
      <c r="AB346" s="193">
        <f t="shared" si="141"/>
        <v>48180</v>
      </c>
      <c r="AC346" s="119">
        <f>IF(OR(t&lt;Tnet,NoTnet),'2030'!Resal_s+('2030'!Salim-'2030'!Resal_s)*(1-EXP(('2030'!Tnet_s-t)/'2030'!Tau_j)),Resal_s+(Salim-Resal_s)*(1-EXP((Tnet_s-t)/Tau_j)))*Salcycl</f>
        <v>6.3221765038183594E-2</v>
      </c>
      <c r="AD346" s="227">
        <f>(INDEX(Models!$BJ346:$BT346,,AH346)*(1-AF346)+INDEX(Models!$BJ346:$BT346,,AH346+1)*AF346-ERP_i)*AE346*Ramure*Pc/MaxiM</f>
        <v>7.9236180943583583E-3</v>
      </c>
      <c r="AE346" s="301">
        <f t="shared" si="142"/>
        <v>0.5</v>
      </c>
      <c r="AF346" s="173">
        <f t="shared" si="143"/>
        <v>0.9892501405981422</v>
      </c>
      <c r="AG346" s="801">
        <f t="shared" si="149"/>
        <v>4</v>
      </c>
      <c r="AH346" s="172">
        <f t="shared" si="144"/>
        <v>10</v>
      </c>
      <c r="AI346" s="221">
        <f t="shared" si="145"/>
        <v>4.9892501405981422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48181</v>
      </c>
      <c r="B347" s="406">
        <f>'2030'!Wh/'2030'!Env_an*'2031'!Env_an</f>
        <v>52.10568321739968</v>
      </c>
      <c r="C347" s="831"/>
      <c r="D347" s="388">
        <f t="shared" si="127"/>
        <v>54.855615062096504</v>
      </c>
      <c r="E347" s="380">
        <f t="shared" si="125"/>
        <v>57.263049047403413</v>
      </c>
      <c r="F347" s="380">
        <f t="shared" si="128"/>
        <v>57.307155785892135</v>
      </c>
      <c r="G347" s="110">
        <f t="shared" si="126"/>
        <v>0.54901208604081719</v>
      </c>
      <c r="H347" s="409" t="b">
        <f>Wh_hp&gt;='2030'!Maxi_hp</f>
        <v>0</v>
      </c>
      <c r="I347" s="385">
        <f>IF(H347,Wh_hp,'2030'!Maxi_hp)</f>
        <v>57.362091369638662</v>
      </c>
      <c r="J347" s="85">
        <f>IF(H347,An,'2030'!An_max)</f>
        <v>2029</v>
      </c>
      <c r="K347" s="193">
        <f t="shared" si="129"/>
        <v>48181</v>
      </c>
      <c r="L347" s="143">
        <f>IF(t&lt;Tvie,1-EXP((T0-t)*PertePVj)+'2030'!Pspv,1-EXP((T0-t)*PertePVj)+Pspv)</f>
        <v>5.0130362071118983E-2</v>
      </c>
      <c r="M347" s="835"/>
      <c r="N347" s="835"/>
      <c r="O347" s="48">
        <f>IF(t&lt;Tnet,'2030'!Resal+('2030'!Salim-'2030'!Resal)*(1-EXP(('2030'!Tnet-t)/('2030'!Tau_j))),Resal+(Salim-Resal)*(1-EXP((Tnet-t)/(Tau_j))))*Salcycl</f>
        <v>4.2041666054386868E-2</v>
      </c>
      <c r="P347" s="165">
        <f>(INDEX(Models!$BJ347:$BT347,,T347)*(1-R347)+INDEX(Models!$BJ347:$BT347,,T347+1)*R347-ERP_i)*Q347*Ramure*Pc/MaxiM</f>
        <v>2.156971918165993E-3</v>
      </c>
      <c r="Q347" s="301">
        <f t="shared" si="130"/>
        <v>0.5</v>
      </c>
      <c r="R347" s="173">
        <f t="shared" si="131"/>
        <v>0.46428043533029362</v>
      </c>
      <c r="S347" s="801">
        <f t="shared" si="132"/>
        <v>1</v>
      </c>
      <c r="T347" s="172">
        <f t="shared" si="133"/>
        <v>7</v>
      </c>
      <c r="U347" s="247">
        <f t="shared" si="134"/>
        <v>1.4642804353302936</v>
      </c>
      <c r="V347" s="378">
        <f t="shared" si="135"/>
        <v>94.776311423935567</v>
      </c>
      <c r="W347" s="397">
        <f t="shared" si="136"/>
        <v>52.10568321739968</v>
      </c>
      <c r="X347" s="153">
        <f t="shared" si="137"/>
        <v>48181</v>
      </c>
      <c r="Y347" s="380">
        <f t="shared" si="138"/>
        <v>50.85147522159545</v>
      </c>
      <c r="Z347" s="380">
        <f t="shared" si="139"/>
        <v>53.535214929569968</v>
      </c>
      <c r="AA347" s="381">
        <f t="shared" si="140"/>
        <v>57.14783619386283</v>
      </c>
      <c r="AB347" s="193">
        <f t="shared" si="141"/>
        <v>48181</v>
      </c>
      <c r="AC347" s="119">
        <f>IF(OR(t&lt;Tnet,NoTnet),'2030'!Resal_s+('2030'!Salim-'2030'!Resal_s)*(1-EXP(('2030'!Tnet_s-t)/'2030'!Tau_j)),Resal_s+(Salim-Resal_s)*(1-EXP((Tnet_s-t)/Tau_j)))*Salcycl</f>
        <v>6.3215363955999151E-2</v>
      </c>
      <c r="AD347" s="227">
        <f>(INDEX(Models!$BJ347:$BT347,,AH347)*(1-AF347)+INDEX(Models!$BJ347:$BT347,,AH347+1)*AF347-ERP_i)*AE347*Ramure*Pc/MaxiM</f>
        <v>7.7912785618629984E-3</v>
      </c>
      <c r="AE347" s="301">
        <f t="shared" si="142"/>
        <v>0.5</v>
      </c>
      <c r="AF347" s="173">
        <f t="shared" si="143"/>
        <v>0.98926800170427143</v>
      </c>
      <c r="AG347" s="801">
        <f t="shared" si="149"/>
        <v>4</v>
      </c>
      <c r="AH347" s="172">
        <f t="shared" si="144"/>
        <v>10</v>
      </c>
      <c r="AI347" s="221">
        <f t="shared" si="145"/>
        <v>4.9892680017042714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48182</v>
      </c>
      <c r="B348" s="406">
        <f>'2030'!Wh/'2030'!Env_an*'2031'!Env_an</f>
        <v>20.668528673661452</v>
      </c>
      <c r="C348" s="831"/>
      <c r="D348" s="388">
        <f t="shared" si="127"/>
        <v>21.759629729193502</v>
      </c>
      <c r="E348" s="380">
        <f t="shared" si="125"/>
        <v>22.715205333682455</v>
      </c>
      <c r="F348" s="380">
        <f t="shared" si="128"/>
        <v>22.715205333682455</v>
      </c>
      <c r="G348" s="110">
        <f t="shared" si="126"/>
        <v>0.21933018270508031</v>
      </c>
      <c r="H348" s="409" t="b">
        <f>Wh_hp&gt;='2030'!Maxi_hp</f>
        <v>0</v>
      </c>
      <c r="I348" s="385">
        <f>IF(H348,Wh_hp,'2030'!Maxi_hp)</f>
        <v>22.748734729293979</v>
      </c>
      <c r="J348" s="85">
        <f>IF(H348,An,'2030'!An_max)</f>
        <v>2029</v>
      </c>
      <c r="K348" s="193">
        <f t="shared" si="129"/>
        <v>48182</v>
      </c>
      <c r="L348" s="143">
        <f>IF(t&lt;Tvie,1-EXP((T0-t)*PertePVj)+'2030'!Pspv,1-EXP((T0-t)*PertePVj)+Pspv)</f>
        <v>5.0143364988798012E-2</v>
      </c>
      <c r="M348" s="835"/>
      <c r="N348" s="835"/>
      <c r="O348" s="48">
        <f>IF(t&lt;Tnet,'2030'!Resal+('2030'!Salim-'2030'!Resal)*(1-EXP(('2030'!Tnet-t)/('2030'!Tau_j))),Resal+(Salim-Resal)*(1-EXP((Tnet-t)/(Tau_j))))*Salcycl</f>
        <v>4.2067663067610915E-2</v>
      </c>
      <c r="P348" s="165">
        <f>(INDEX(Models!$BJ348:$BT348,,T348)*(1-R348)+INDEX(Models!$BJ348:$BT348,,T348+1)*R348-ERP_i)*Q348*Ramure*Pc/MaxiM</f>
        <v>2.1392112940815966E-3</v>
      </c>
      <c r="Q348" s="301">
        <f t="shared" si="130"/>
        <v>0.5</v>
      </c>
      <c r="R348" s="173">
        <f t="shared" si="131"/>
        <v>0.46429757849550279</v>
      </c>
      <c r="S348" s="801">
        <f t="shared" si="132"/>
        <v>1</v>
      </c>
      <c r="T348" s="172">
        <f t="shared" si="133"/>
        <v>7</v>
      </c>
      <c r="U348" s="247">
        <f t="shared" si="134"/>
        <v>1.4642975784955028</v>
      </c>
      <c r="V348" s="378">
        <f t="shared" si="135"/>
        <v>94.033178969366659</v>
      </c>
      <c r="W348" s="397">
        <f t="shared" si="136"/>
        <v>20.668528673661452</v>
      </c>
      <c r="X348" s="153">
        <f t="shared" si="137"/>
        <v>48182</v>
      </c>
      <c r="Y348" s="380">
        <f t="shared" si="138"/>
        <v>20.212356133848843</v>
      </c>
      <c r="Z348" s="380">
        <f t="shared" si="139"/>
        <v>21.279375632945357</v>
      </c>
      <c r="AA348" s="381">
        <f t="shared" si="140"/>
        <v>22.715205333682455</v>
      </c>
      <c r="AB348" s="193">
        <f t="shared" si="141"/>
        <v>48182</v>
      </c>
      <c r="AC348" s="119">
        <f>IF(OR(t&lt;Tnet,NoTnet),'2030'!Resal_s+('2030'!Salim-'2030'!Resal_s)*(1-EXP(('2030'!Tnet_s-t)/'2030'!Tau_j)),Resal_s+(Salim-Resal_s)*(1-EXP((Tnet_s-t)/Tau_j)))*Salcycl</f>
        <v>6.3210069186917212E-2</v>
      </c>
      <c r="AD348" s="227">
        <f>(INDEX(Models!$BJ348:$BT348,,AH348)*(1-AF348)+INDEX(Models!$BJ348:$BT348,,AH348+1)*AF348-ERP_i)*AE348*Ramure*Pc/MaxiM</f>
        <v>7.6604519652537541E-3</v>
      </c>
      <c r="AE348" s="301">
        <f t="shared" si="142"/>
        <v>0.5</v>
      </c>
      <c r="AF348" s="173">
        <f t="shared" si="143"/>
        <v>0.9892851448694806</v>
      </c>
      <c r="AG348" s="801">
        <f t="shared" si="149"/>
        <v>4</v>
      </c>
      <c r="AH348" s="172">
        <f t="shared" si="144"/>
        <v>10</v>
      </c>
      <c r="AI348" s="221">
        <f t="shared" si="145"/>
        <v>4.9892851448694806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48183</v>
      </c>
      <c r="B349" s="406">
        <f>'2030'!Wh/'2030'!Env_an*'2031'!Env_an</f>
        <v>15.523940089739636</v>
      </c>
      <c r="C349" s="831"/>
      <c r="D349" s="388">
        <f t="shared" si="127"/>
        <v>16.343679698746424</v>
      </c>
      <c r="E349" s="380">
        <f t="shared" si="125"/>
        <v>17.061888599311729</v>
      </c>
      <c r="F349" s="380">
        <f t="shared" si="128"/>
        <v>17.061888599311729</v>
      </c>
      <c r="G349" s="110">
        <f t="shared" si="126"/>
        <v>0.16600083458162695</v>
      </c>
      <c r="H349" s="409" t="b">
        <f>Wh_hp&gt;='2030'!Maxi_hp</f>
        <v>0</v>
      </c>
      <c r="I349" s="385">
        <f>IF(H349,Wh_hp,'2030'!Maxi_hp)</f>
        <v>17.086775972873831</v>
      </c>
      <c r="J349" s="85">
        <f>IF(H349,An,'2030'!An_max)</f>
        <v>2029</v>
      </c>
      <c r="K349" s="193">
        <f t="shared" si="129"/>
        <v>48183</v>
      </c>
      <c r="L349" s="143">
        <f>IF(t&lt;Tvie,1-EXP((T0-t)*PertePVj)+'2030'!Pspv,1-EXP((T0-t)*PertePVj)+Pspv)</f>
        <v>5.0156367728478091E-2</v>
      </c>
      <c r="M349" s="835"/>
      <c r="N349" s="835"/>
      <c r="O349" s="48">
        <f>IF(t&lt;Tnet,'2030'!Resal+('2030'!Salim-'2030'!Resal)*(1-EXP(('2030'!Tnet-t)/('2030'!Tau_j))),Resal+(Salim-Resal)*(1-EXP((Tnet-t)/(Tau_j))))*Salcycl</f>
        <v>4.2094337703873899E-2</v>
      </c>
      <c r="P349" s="165">
        <f>(INDEX(Models!$BJ349:$BT349,,T349)*(1-R349)+INDEX(Models!$BJ349:$BT349,,T349+1)*R349-ERP_i)*Q349*Ramure*Pc/MaxiM</f>
        <v>2.1160770067292535E-3</v>
      </c>
      <c r="Q349" s="301">
        <f t="shared" si="130"/>
        <v>0.5</v>
      </c>
      <c r="R349" s="173">
        <f t="shared" si="131"/>
        <v>0.46431403253167813</v>
      </c>
      <c r="S349" s="801">
        <f t="shared" si="132"/>
        <v>1</v>
      </c>
      <c r="T349" s="172">
        <f t="shared" si="133"/>
        <v>7</v>
      </c>
      <c r="U349" s="247">
        <f t="shared" si="134"/>
        <v>1.4643140325316781</v>
      </c>
      <c r="V349" s="378">
        <f t="shared" si="135"/>
        <v>93.319351532805229</v>
      </c>
      <c r="W349" s="397">
        <f t="shared" si="136"/>
        <v>15.523940089739636</v>
      </c>
      <c r="X349" s="153">
        <f t="shared" si="137"/>
        <v>48183</v>
      </c>
      <c r="Y349" s="380">
        <f t="shared" si="138"/>
        <v>15.181803862043143</v>
      </c>
      <c r="Z349" s="380">
        <f t="shared" si="139"/>
        <v>15.983477012670312</v>
      </c>
      <c r="AA349" s="381">
        <f t="shared" si="140"/>
        <v>17.061888599311729</v>
      </c>
      <c r="AB349" s="193">
        <f t="shared" si="141"/>
        <v>48183</v>
      </c>
      <c r="AC349" s="119">
        <f>IF(OR(t&lt;Tnet,NoTnet),'2030'!Resal_s+('2030'!Salim-'2030'!Resal_s)*(1-EXP(('2030'!Tnet_s-t)/'2030'!Tau_j)),Resal_s+(Salim-Resal_s)*(1-EXP((Tnet_s-t)/Tau_j)))*Salcycl</f>
        <v>6.3205874330050399E-2</v>
      </c>
      <c r="AD349" s="227">
        <f>(INDEX(Models!$BJ349:$BT349,,AH349)*(1-AF349)+INDEX(Models!$BJ349:$BT349,,AH349+1)*AF349-ERP_i)*AE349*Ramure*Pc/MaxiM</f>
        <v>7.5310002224718625E-3</v>
      </c>
      <c r="AE349" s="301">
        <f t="shared" si="142"/>
        <v>0.5</v>
      </c>
      <c r="AF349" s="173">
        <f t="shared" si="143"/>
        <v>0.98930159890565594</v>
      </c>
      <c r="AG349" s="801">
        <f t="shared" si="149"/>
        <v>4</v>
      </c>
      <c r="AH349" s="172">
        <f t="shared" si="144"/>
        <v>10</v>
      </c>
      <c r="AI349" s="221">
        <f t="shared" si="145"/>
        <v>4.9893015989056559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48184</v>
      </c>
      <c r="B350" s="406">
        <f>'2030'!Wh/'2030'!Env_an*'2031'!Env_an</f>
        <v>25.033103722020101</v>
      </c>
      <c r="C350" s="831"/>
      <c r="D350" s="388">
        <f t="shared" si="127"/>
        <v>26.355334244872061</v>
      </c>
      <c r="E350" s="380">
        <f t="shared" si="125"/>
        <v>27.514282169460074</v>
      </c>
      <c r="F350" s="380">
        <f t="shared" si="128"/>
        <v>27.514282169460074</v>
      </c>
      <c r="G350" s="110">
        <f t="shared" si="126"/>
        <v>0.26966458177171371</v>
      </c>
      <c r="H350" s="409" t="b">
        <f>Wh_hp&gt;='2030'!Maxi_hp</f>
        <v>0</v>
      </c>
      <c r="I350" s="385">
        <f>IF(H350,Wh_hp,'2030'!Maxi_hp)</f>
        <v>27.553840719946681</v>
      </c>
      <c r="J350" s="85">
        <f>IF(H350,An,'2030'!An_max)</f>
        <v>2029</v>
      </c>
      <c r="K350" s="193">
        <f t="shared" si="129"/>
        <v>48184</v>
      </c>
      <c r="L350" s="143">
        <f>IF(t&lt;Tvie,1-EXP((T0-t)*PertePVj)+'2030'!Pspv,1-EXP((T0-t)*PertePVj)+Pspv)</f>
        <v>5.0169370290161441E-2</v>
      </c>
      <c r="M350" s="835"/>
      <c r="N350" s="835"/>
      <c r="O350" s="48">
        <f>IF(t&lt;Tnet,'2030'!Resal+('2030'!Salim-'2030'!Resal)*(1-EXP(('2030'!Tnet-t)/('2030'!Tau_j))),Resal+(Salim-Resal)*(1-EXP((Tnet-t)/(Tau_j))))*Salcycl</f>
        <v>4.2121684928942256E-2</v>
      </c>
      <c r="P350" s="165">
        <f>(INDEX(Models!$BJ350:$BT350,,T350)*(1-R350)+INDEX(Models!$BJ350:$BT350,,T350+1)*R350-ERP_i)*Q350*Ramure*Pc/MaxiM</f>
        <v>2.0874738118210447E-3</v>
      </c>
      <c r="Q350" s="301">
        <f t="shared" si="130"/>
        <v>0.5</v>
      </c>
      <c r="R350" s="173">
        <f t="shared" si="131"/>
        <v>0.46432982509810028</v>
      </c>
      <c r="S350" s="801">
        <f t="shared" si="132"/>
        <v>1</v>
      </c>
      <c r="T350" s="172">
        <f t="shared" si="133"/>
        <v>7</v>
      </c>
      <c r="U350" s="247">
        <f t="shared" si="134"/>
        <v>1.4643298250981003</v>
      </c>
      <c r="V350" s="378">
        <f t="shared" si="135"/>
        <v>92.636740091880071</v>
      </c>
      <c r="W350" s="397">
        <f t="shared" si="136"/>
        <v>25.033103722020101</v>
      </c>
      <c r="X350" s="153">
        <f t="shared" si="137"/>
        <v>48184</v>
      </c>
      <c r="Y350" s="380">
        <f t="shared" si="138"/>
        <v>24.482172602219759</v>
      </c>
      <c r="Z350" s="380">
        <f t="shared" si="139"/>
        <v>25.775303339816233</v>
      </c>
      <c r="AA350" s="381">
        <f t="shared" si="140"/>
        <v>27.514282169460074</v>
      </c>
      <c r="AB350" s="193">
        <f t="shared" si="141"/>
        <v>48184</v>
      </c>
      <c r="AC350" s="119">
        <f>IF(OR(t&lt;Tnet,NoTnet),'2030'!Resal_s+('2030'!Salim-'2030'!Resal_s)*(1-EXP(('2030'!Tnet_s-t)/'2030'!Tau_j)),Resal_s+(Salim-Resal_s)*(1-EXP((Tnet_s-t)/Tau_j)))*Salcycl</f>
        <v>6.3202769344789536E-2</v>
      </c>
      <c r="AD350" s="227">
        <f>(INDEX(Models!$BJ350:$BT350,,AH350)*(1-AF350)+INDEX(Models!$BJ350:$BT350,,AH350+1)*AF350-ERP_i)*AE350*Ramure*Pc/MaxiM</f>
        <v>7.4027865187373462E-3</v>
      </c>
      <c r="AE350" s="301">
        <f t="shared" si="142"/>
        <v>0.5</v>
      </c>
      <c r="AF350" s="173">
        <f t="shared" si="143"/>
        <v>0.98931739147207853</v>
      </c>
      <c r="AG350" s="801">
        <f t="shared" si="149"/>
        <v>4</v>
      </c>
      <c r="AH350" s="172">
        <f t="shared" si="144"/>
        <v>10</v>
      </c>
      <c r="AI350" s="221">
        <f t="shared" si="145"/>
        <v>4.9893173914720785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48185</v>
      </c>
      <c r="B351" s="406">
        <f>'2030'!Wh/'2030'!Env_an*'2031'!Env_an</f>
        <v>34.324648098997656</v>
      </c>
      <c r="C351" s="831"/>
      <c r="D351" s="388">
        <f t="shared" si="127"/>
        <v>36.138146009803656</v>
      </c>
      <c r="E351" s="380">
        <f t="shared" si="125"/>
        <v>37.728386064079366</v>
      </c>
      <c r="F351" s="380">
        <f t="shared" si="128"/>
        <v>37.736482732432513</v>
      </c>
      <c r="G351" s="110">
        <f t="shared" si="126"/>
        <v>0.37245942036674623</v>
      </c>
      <c r="H351" s="409" t="b">
        <f>Wh_hp&gt;='2030'!Maxi_hp</f>
        <v>0</v>
      </c>
      <c r="I351" s="385">
        <f>IF(H351,Wh_hp,'2030'!Maxi_hp)</f>
        <v>37.784245812043743</v>
      </c>
      <c r="J351" s="85">
        <f>IF(H351,An,'2030'!An_max)</f>
        <v>2029</v>
      </c>
      <c r="K351" s="193">
        <f t="shared" si="129"/>
        <v>48185</v>
      </c>
      <c r="L351" s="143">
        <f>IF(t&lt;Tvie,1-EXP((T0-t)*PertePVj)+'2030'!Pspv,1-EXP((T0-t)*PertePVj)+Pspv)</f>
        <v>5.0182372673850728E-2</v>
      </c>
      <c r="M351" s="835"/>
      <c r="N351" s="835"/>
      <c r="O351" s="48">
        <f>IF(t&lt;Tnet,'2030'!Resal+('2030'!Salim-'2030'!Resal)*(1-EXP(('2030'!Tnet-t)/('2030'!Tau_j))),Resal+(Salim-Resal)*(1-EXP((Tnet-t)/(Tau_j))))*Salcycl</f>
        <v>4.2149697354527248E-2</v>
      </c>
      <c r="P351" s="165">
        <f>(INDEX(Models!$BJ351:$BT351,,T351)*(1-R351)+INDEX(Models!$BJ351:$BT351,,T351+1)*R351-ERP_i)*Q351*Ramure*Pc/MaxiM</f>
        <v>2.0533086368749432E-3</v>
      </c>
      <c r="Q351" s="301">
        <f t="shared" si="130"/>
        <v>0.5</v>
      </c>
      <c r="R351" s="173">
        <f t="shared" si="131"/>
        <v>0.46434498274726277</v>
      </c>
      <c r="S351" s="801">
        <f t="shared" si="132"/>
        <v>1</v>
      </c>
      <c r="T351" s="172">
        <f t="shared" si="133"/>
        <v>7</v>
      </c>
      <c r="U351" s="247">
        <f t="shared" si="134"/>
        <v>1.4643449827472628</v>
      </c>
      <c r="V351" s="378">
        <f t="shared" si="135"/>
        <v>91.98725610377636</v>
      </c>
      <c r="W351" s="397">
        <f t="shared" si="136"/>
        <v>34.324648098997656</v>
      </c>
      <c r="X351" s="153">
        <f t="shared" si="137"/>
        <v>48185</v>
      </c>
      <c r="Y351" s="380">
        <f t="shared" si="138"/>
        <v>33.551958736314319</v>
      </c>
      <c r="Z351" s="380">
        <f t="shared" si="139"/>
        <v>35.324632614754805</v>
      </c>
      <c r="AA351" s="381">
        <f t="shared" si="140"/>
        <v>37.707793066616347</v>
      </c>
      <c r="AB351" s="193">
        <f t="shared" si="141"/>
        <v>48185</v>
      </c>
      <c r="AC351" s="119">
        <f>IF(OR(t&lt;Tnet,NoTnet),'2030'!Resal_s+('2030'!Salim-'2030'!Resal_s)*(1-EXP(('2030'!Tnet_s-t)/'2030'!Tau_j)),Resal_s+(Salim-Resal_s)*(1-EXP((Tnet_s-t)/Tau_j)))*Salcycl</f>
        <v>6.3200740697057986E-2</v>
      </c>
      <c r="AD351" s="227">
        <f>(INDEX(Models!$BJ351:$BT351,,AH351)*(1-AF351)+INDEX(Models!$BJ351:$BT351,,AH351+1)*AF351-ERP_i)*AE351*Ramure*Pc/MaxiM</f>
        <v>7.2756763695868672E-3</v>
      </c>
      <c r="AE351" s="301">
        <f t="shared" si="142"/>
        <v>0.5</v>
      </c>
      <c r="AF351" s="173">
        <f t="shared" si="143"/>
        <v>0.98933254912124102</v>
      </c>
      <c r="AG351" s="801">
        <f t="shared" si="149"/>
        <v>4</v>
      </c>
      <c r="AH351" s="172">
        <f t="shared" si="144"/>
        <v>10</v>
      </c>
      <c r="AI351" s="221">
        <f t="shared" si="145"/>
        <v>4.989332549121241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48186</v>
      </c>
      <c r="B352" s="406">
        <f>'2030'!Wh/'2030'!Env_an*'2031'!Env_an</f>
        <v>73.646873335568031</v>
      </c>
      <c r="C352" s="831"/>
      <c r="D352" s="388">
        <f t="shared" si="127"/>
        <v>77.53897105547189</v>
      </c>
      <c r="E352" s="380">
        <f t="shared" si="125"/>
        <v>80.953455476136384</v>
      </c>
      <c r="F352" s="380">
        <f t="shared" si="128"/>
        <v>81.071586178350969</v>
      </c>
      <c r="G352" s="110">
        <f t="shared" si="126"/>
        <v>0.80555514199088663</v>
      </c>
      <c r="H352" s="409" t="b">
        <f>Wh_hp&gt;='2030'!Maxi_hp</f>
        <v>0</v>
      </c>
      <c r="I352" s="385">
        <f>IF(H352,Wh_hp,'2030'!Maxi_hp)</f>
        <v>81.102756829153492</v>
      </c>
      <c r="J352" s="85">
        <f>IF(H352,An,'2030'!An_max)</f>
        <v>2029</v>
      </c>
      <c r="K352" s="193">
        <f t="shared" si="129"/>
        <v>48186</v>
      </c>
      <c r="L352" s="143">
        <f>IF(t&lt;Tvie,1-EXP((T0-t)*PertePVj)+'2030'!Pspv,1-EXP((T0-t)*PertePVj)+Pspv)</f>
        <v>5.0195374879548393E-2</v>
      </c>
      <c r="M352" s="835"/>
      <c r="N352" s="835"/>
      <c r="O352" s="48">
        <f>IF(t&lt;Tnet,'2030'!Resal+('2030'!Salim-'2030'!Resal)*(1-EXP(('2030'!Tnet-t)/('2030'!Tau_j))),Resal+(Salim-Resal)*(1-EXP((Tnet-t)/(Tau_j))))*Salcycl</f>
        <v>4.217836534069893E-2</v>
      </c>
      <c r="P352" s="165">
        <f>(INDEX(Models!$BJ352:$BT352,,T352)*(1-R352)+INDEX(Models!$BJ352:$BT352,,T352+1)*R352-ERP_i)*Q352*Ramure*Pc/MaxiM</f>
        <v>2.0157489252382627E-3</v>
      </c>
      <c r="Q352" s="301">
        <f t="shared" si="130"/>
        <v>0.5</v>
      </c>
      <c r="R352" s="173">
        <f t="shared" si="131"/>
        <v>0.4643595309688977</v>
      </c>
      <c r="S352" s="801">
        <f t="shared" si="132"/>
        <v>1</v>
      </c>
      <c r="T352" s="172">
        <f t="shared" si="133"/>
        <v>7</v>
      </c>
      <c r="U352" s="247">
        <f t="shared" si="134"/>
        <v>1.4643595309688977</v>
      </c>
      <c r="V352" s="378">
        <f t="shared" si="135"/>
        <v>91.372604918128957</v>
      </c>
      <c r="W352" s="397">
        <f t="shared" si="136"/>
        <v>73.646873335568031</v>
      </c>
      <c r="X352" s="153">
        <f t="shared" si="137"/>
        <v>48186</v>
      </c>
      <c r="Y352" s="380">
        <f t="shared" si="138"/>
        <v>71.7625704724543</v>
      </c>
      <c r="Z352" s="380">
        <f t="shared" si="139"/>
        <v>75.555086356158313</v>
      </c>
      <c r="AA352" s="381">
        <f t="shared" si="140"/>
        <v>80.652292836364566</v>
      </c>
      <c r="AB352" s="193">
        <f t="shared" si="141"/>
        <v>48186</v>
      </c>
      <c r="AC352" s="119">
        <f>IF(OR(t&lt;Tnet,NoTnet),'2030'!Resal_s+('2030'!Salim-'2030'!Resal_s)*(1-EXP(('2030'!Tnet_s-t)/'2030'!Tau_j)),Resal_s+(Salim-Resal_s)*(1-EXP((Tnet_s-t)/Tau_j)))*Salcycl</f>
        <v>6.3199771524759793E-2</v>
      </c>
      <c r="AD352" s="227">
        <f>(INDEX(Models!$BJ352:$BT352,,AH352)*(1-AF352)+INDEX(Models!$BJ352:$BT352,,AH352+1)*AF352-ERP_i)*AE352*Ramure*Pc/MaxiM</f>
        <v>7.1547031180207487E-3</v>
      </c>
      <c r="AE352" s="301">
        <f t="shared" si="142"/>
        <v>0.5</v>
      </c>
      <c r="AF352" s="173">
        <f t="shared" si="143"/>
        <v>0.98934709734287551</v>
      </c>
      <c r="AG352" s="801">
        <f t="shared" si="149"/>
        <v>4</v>
      </c>
      <c r="AH352" s="172">
        <f t="shared" si="144"/>
        <v>10</v>
      </c>
      <c r="AI352" s="221">
        <f t="shared" si="145"/>
        <v>4.9893470973428755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48187</v>
      </c>
      <c r="B353" s="406">
        <f>'2030'!Wh/'2030'!Env_an*'2031'!Env_an</f>
        <v>92.425980015378912</v>
      </c>
      <c r="C353" s="831"/>
      <c r="D353" s="388">
        <f t="shared" si="127"/>
        <v>97.311850060772628</v>
      </c>
      <c r="E353" s="380">
        <f t="shared" si="125"/>
        <v>101.60015666779833</v>
      </c>
      <c r="F353" s="380">
        <f t="shared" si="128"/>
        <v>101.80165922756319</v>
      </c>
      <c r="G353" s="110">
        <f t="shared" si="126"/>
        <v>1.0179714021442379</v>
      </c>
      <c r="H353" s="409" t="b">
        <f>Wh_hp&gt;='2030'!Maxi_hp</f>
        <v>1</v>
      </c>
      <c r="I353" s="385">
        <f>IF(H353,Wh_hp,'2030'!Maxi_hp)</f>
        <v>101.80165922756319</v>
      </c>
      <c r="J353" s="85">
        <f>IF(H353,An,'2030'!An_max)</f>
        <v>2031</v>
      </c>
      <c r="K353" s="193">
        <f t="shared" si="129"/>
        <v>48187</v>
      </c>
      <c r="L353" s="143">
        <f>IF(t&lt;Tvie,1-EXP((T0-t)*PertePVj)+'2030'!Pspv,1-EXP((T0-t)*PertePVj)+Pspv)</f>
        <v>5.0208376907256658E-2</v>
      </c>
      <c r="M353" s="835"/>
      <c r="N353" s="835"/>
      <c r="O353" s="48">
        <f>IF(t&lt;Tnet,'2030'!Resal+('2030'!Salim-'2030'!Resal)*(1-EXP(('2030'!Tnet-t)/('2030'!Tau_j))),Resal+(Salim-Resal)*(1-EXP((Tnet-t)/(Tau_j))))*Salcycl</f>
        <v>4.2207677110648205E-2</v>
      </c>
      <c r="P353" s="165">
        <f>(INDEX(Models!$BJ353:$BT353,,T353)*(1-R353)+INDEX(Models!$BJ353:$BT353,,T353+1)*R353-ERP_i)*Q353*Ramure*Pc/MaxiM</f>
        <v>1.9793641998942092E-3</v>
      </c>
      <c r="Q353" s="301">
        <f t="shared" si="130"/>
        <v>0.5</v>
      </c>
      <c r="R353" s="173">
        <f t="shared" si="131"/>
        <v>0.46437349423226681</v>
      </c>
      <c r="S353" s="801">
        <f t="shared" si="132"/>
        <v>1</v>
      </c>
      <c r="T353" s="172">
        <f t="shared" si="133"/>
        <v>7</v>
      </c>
      <c r="U353" s="247">
        <f t="shared" si="134"/>
        <v>1.4643734942322668</v>
      </c>
      <c r="V353" s="378">
        <f t="shared" si="135"/>
        <v>90.794279505980583</v>
      </c>
      <c r="W353" s="397">
        <f t="shared" si="136"/>
        <v>92.425980015378912</v>
      </c>
      <c r="X353" s="153">
        <f t="shared" si="137"/>
        <v>48187</v>
      </c>
      <c r="Y353" s="380">
        <f t="shared" si="138"/>
        <v>89.941420689730904</v>
      </c>
      <c r="Z353" s="380">
        <f t="shared" si="139"/>
        <v>94.69595067269664</v>
      </c>
      <c r="AA353" s="381">
        <f t="shared" si="140"/>
        <v>101.08447340227636</v>
      </c>
      <c r="AB353" s="193">
        <f t="shared" si="141"/>
        <v>48187</v>
      </c>
      <c r="AC353" s="119">
        <f>IF(OR(t&lt;Tnet,NoTnet),'2030'!Resal_s+('2030'!Salim-'2030'!Resal_s)*(1-EXP(('2030'!Tnet_s-t)/'2030'!Tau_j)),Resal_s+(Salim-Resal_s)*(1-EXP((Tnet_s-t)/Tau_j)))*Salcycl</f>
        <v>6.3199841820967995E-2</v>
      </c>
      <c r="AD353" s="227">
        <f>(INDEX(Models!$BJ353:$BT353,,AH353)*(1-AF353)+INDEX(Models!$BJ353:$BT353,,AH353+1)*AF353-ERP_i)*AE353*Ramure*Pc/MaxiM</f>
        <v>7.0449325750542111E-3</v>
      </c>
      <c r="AE353" s="301">
        <f t="shared" si="142"/>
        <v>0.5</v>
      </c>
      <c r="AF353" s="173">
        <f t="shared" si="143"/>
        <v>0.98936106060624507</v>
      </c>
      <c r="AG353" s="801">
        <f t="shared" si="149"/>
        <v>4</v>
      </c>
      <c r="AH353" s="172">
        <f t="shared" si="144"/>
        <v>10</v>
      </c>
      <c r="AI353" s="221">
        <f t="shared" si="145"/>
        <v>4.9893610606062451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48188</v>
      </c>
      <c r="B354" s="406">
        <f>'2030'!Wh/'2030'!Env_an*'2031'!Env_an</f>
        <v>48.032773043220494</v>
      </c>
      <c r="C354" s="831"/>
      <c r="D354" s="388">
        <f t="shared" si="127"/>
        <v>50.572598676055321</v>
      </c>
      <c r="E354" s="380">
        <f t="shared" si="125"/>
        <v>52.802866006020011</v>
      </c>
      <c r="F354" s="380">
        <f t="shared" si="128"/>
        <v>52.836939462381793</v>
      </c>
      <c r="G354" s="110">
        <f t="shared" si="126"/>
        <v>0.53150243098777727</v>
      </c>
      <c r="H354" s="409" t="b">
        <f>Wh_hp&gt;='2030'!Maxi_hp</f>
        <v>0</v>
      </c>
      <c r="I354" s="385">
        <f>IF(H354,Wh_hp,'2030'!Maxi_hp)</f>
        <v>52.884144870708397</v>
      </c>
      <c r="J354" s="85">
        <f>IF(H354,An,'2030'!An_max)</f>
        <v>2029</v>
      </c>
      <c r="K354" s="193">
        <f t="shared" si="129"/>
        <v>48188</v>
      </c>
      <c r="L354" s="143">
        <f>IF(t&lt;Tvie,1-EXP((T0-t)*PertePVj)+'2030'!Pspv,1-EXP((T0-t)*PertePVj)+Pspv)</f>
        <v>5.0221378756978186E-2</v>
      </c>
      <c r="M354" s="835"/>
      <c r="N354" s="835"/>
      <c r="O354" s="48">
        <f>IF(t&lt;Tnet,'2030'!Resal+('2030'!Salim-'2030'!Resal)*(1-EXP(('2030'!Tnet-t)/('2030'!Tau_j))),Resal+(Salim-Resal)*(1-EXP((Tnet-t)/(Tau_j))))*Salcycl</f>
        <v>4.2237618876793906E-2</v>
      </c>
      <c r="P354" s="165">
        <f>(INDEX(Models!$BJ354:$BT354,,T354)*(1-R354)+INDEX(Models!$BJ354:$BT354,,T354+1)*R354-ERP_i)*Q354*Ramure*Pc/MaxiM</f>
        <v>1.9441284952725591E-3</v>
      </c>
      <c r="Q354" s="301">
        <f t="shared" si="130"/>
        <v>0.5</v>
      </c>
      <c r="R354" s="173">
        <f t="shared" si="131"/>
        <v>0.46438689602678962</v>
      </c>
      <c r="S354" s="801">
        <f t="shared" si="132"/>
        <v>1</v>
      </c>
      <c r="T354" s="172">
        <f t="shared" si="133"/>
        <v>7</v>
      </c>
      <c r="U354" s="247">
        <f t="shared" si="134"/>
        <v>1.4643868960267896</v>
      </c>
      <c r="V354" s="378">
        <f t="shared" si="135"/>
        <v>90.25419911777351</v>
      </c>
      <c r="W354" s="397">
        <f t="shared" si="136"/>
        <v>48.032773043220494</v>
      </c>
      <c r="X354" s="153">
        <f t="shared" si="137"/>
        <v>48188</v>
      </c>
      <c r="Y354" s="380">
        <f t="shared" si="138"/>
        <v>46.903436825223878</v>
      </c>
      <c r="Z354" s="380">
        <f t="shared" si="139"/>
        <v>49.383546624621907</v>
      </c>
      <c r="AA354" s="381">
        <f t="shared" si="140"/>
        <v>52.715195962539248</v>
      </c>
      <c r="AB354" s="193">
        <f t="shared" si="141"/>
        <v>48188</v>
      </c>
      <c r="AC354" s="119">
        <f>IF(OR(t&lt;Tnet,NoTnet),'2030'!Resal_s+('2030'!Salim-'2030'!Resal_s)*(1-EXP(('2030'!Tnet_s-t)/'2030'!Tau_j)),Resal_s+(Salim-Resal_s)*(1-EXP((Tnet_s-t)/Tau_j)))*Salcycl</f>
        <v>6.3200928633271009E-2</v>
      </c>
      <c r="AD354" s="227">
        <f>(INDEX(Models!$BJ354:$BT354,,AH354)*(1-AF354)+INDEX(Models!$BJ354:$BT354,,AH354+1)*AF354-ERP_i)*AE354*Ramure*Pc/MaxiM</f>
        <v>6.9463163538512262E-3</v>
      </c>
      <c r="AE354" s="301">
        <f t="shared" si="142"/>
        <v>0.5</v>
      </c>
      <c r="AF354" s="173">
        <f t="shared" si="143"/>
        <v>0.9893744624007681</v>
      </c>
      <c r="AG354" s="801">
        <f t="shared" si="149"/>
        <v>4</v>
      </c>
      <c r="AH354" s="172">
        <f t="shared" si="144"/>
        <v>10</v>
      </c>
      <c r="AI354" s="221">
        <f t="shared" si="145"/>
        <v>4.9893744624007681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48189</v>
      </c>
      <c r="B355" s="406">
        <f>'2030'!Wh/'2030'!Env_an*'2031'!Env_an</f>
        <v>74.300822547175457</v>
      </c>
      <c r="C355" s="831"/>
      <c r="D355" s="388">
        <f t="shared" si="127"/>
        <v>78.230692937394537</v>
      </c>
      <c r="E355" s="380">
        <f t="shared" si="125"/>
        <v>81.683296820096828</v>
      </c>
      <c r="F355" s="380">
        <f t="shared" si="128"/>
        <v>81.801108446715389</v>
      </c>
      <c r="G355" s="110">
        <f t="shared" si="126"/>
        <v>0.82743534763125703</v>
      </c>
      <c r="H355" s="409" t="b">
        <f>Wh_hp&gt;='2030'!Maxi_hp</f>
        <v>0</v>
      </c>
      <c r="I355" s="385">
        <f>IF(H355,Wh_hp,'2030'!Maxi_hp)</f>
        <v>81.827538342656013</v>
      </c>
      <c r="J355" s="85">
        <f>IF(H355,An,'2030'!An_max)</f>
        <v>2029</v>
      </c>
      <c r="K355" s="193">
        <f t="shared" si="129"/>
        <v>48189</v>
      </c>
      <c r="L355" s="143">
        <f>IF(t&lt;Tvie,1-EXP((T0-t)*PertePVj)+'2030'!Pspv,1-EXP((T0-t)*PertePVj)+Pspv)</f>
        <v>5.0234380428715197E-2</v>
      </c>
      <c r="M355" s="835"/>
      <c r="N355" s="835"/>
      <c r="O355" s="48">
        <f>IF(t&lt;Tnet,'2030'!Resal+('2030'!Salim-'2030'!Resal)*(1-EXP(('2030'!Tnet-t)/('2030'!Tau_j))),Resal+(Salim-Resal)*(1-EXP((Tnet-t)/(Tau_j))))*Salcycl</f>
        <v>4.2268174977149478E-2</v>
      </c>
      <c r="P355" s="165">
        <f>(INDEX(Models!$BJ355:$BT355,,T355)*(1-R355)+INDEX(Models!$BJ355:$BT355,,T355+1)*R355-ERP_i)*Q355*Ramure*Pc/MaxiM</f>
        <v>1.9100168445310419E-3</v>
      </c>
      <c r="Q355" s="301">
        <f t="shared" si="130"/>
        <v>0.5</v>
      </c>
      <c r="R355" s="173">
        <f t="shared" si="131"/>
        <v>0.46439975890107466</v>
      </c>
      <c r="S355" s="801">
        <f t="shared" si="132"/>
        <v>1</v>
      </c>
      <c r="T355" s="172">
        <f t="shared" si="133"/>
        <v>7</v>
      </c>
      <c r="U355" s="247">
        <f t="shared" si="134"/>
        <v>1.4643997589010747</v>
      </c>
      <c r="V355" s="378">
        <f t="shared" si="135"/>
        <v>89.754282499120052</v>
      </c>
      <c r="W355" s="397">
        <f t="shared" si="136"/>
        <v>74.300822547175457</v>
      </c>
      <c r="X355" s="153">
        <f t="shared" si="137"/>
        <v>48189</v>
      </c>
      <c r="Y355" s="380">
        <f t="shared" si="138"/>
        <v>72.405110200015315</v>
      </c>
      <c r="Z355" s="380">
        <f t="shared" si="139"/>
        <v>76.234713815707806</v>
      </c>
      <c r="AA355" s="381">
        <f t="shared" si="140"/>
        <v>81.378051303073221</v>
      </c>
      <c r="AB355" s="193">
        <f t="shared" si="141"/>
        <v>48189</v>
      </c>
      <c r="AC355" s="119">
        <f>IF(OR(t&lt;Tnet,NoTnet),'2030'!Resal_s+('2030'!Salim-'2030'!Resal_s)*(1-EXP(('2030'!Tnet_s-t)/'2030'!Tau_j)),Resal_s+(Salim-Resal_s)*(1-EXP((Tnet_s-t)/Tau_j)))*Salcycl</f>
        <v>6.3203006277580562E-2</v>
      </c>
      <c r="AD355" s="227">
        <f>(INDEX(Models!$BJ355:$BT355,,AH355)*(1-AF355)+INDEX(Models!$BJ355:$BT355,,AH355+1)*AF355-ERP_i)*AE355*Ramure*Pc/MaxiM</f>
        <v>6.8587990315416682E-3</v>
      </c>
      <c r="AE355" s="301">
        <f t="shared" si="142"/>
        <v>0.5</v>
      </c>
      <c r="AF355" s="173">
        <f t="shared" si="143"/>
        <v>0.98938732527505291</v>
      </c>
      <c r="AG355" s="801">
        <f t="shared" si="149"/>
        <v>4</v>
      </c>
      <c r="AH355" s="172">
        <f t="shared" si="144"/>
        <v>10</v>
      </c>
      <c r="AI355" s="221">
        <f t="shared" si="145"/>
        <v>4.9893873252750529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48190</v>
      </c>
      <c r="B356" s="406">
        <f>'2030'!Wh/'2030'!Env_an*'2031'!Env_an</f>
        <v>14.060247925330579</v>
      </c>
      <c r="C356" s="831"/>
      <c r="D356" s="388">
        <f t="shared" si="127"/>
        <v>14.804115995795886</v>
      </c>
      <c r="E356" s="380">
        <f t="shared" si="125"/>
        <v>15.45797808119036</v>
      </c>
      <c r="F356" s="380">
        <f t="shared" si="128"/>
        <v>15.45797808119036</v>
      </c>
      <c r="G356" s="110">
        <f t="shared" si="126"/>
        <v>0.15716030258456284</v>
      </c>
      <c r="H356" s="409" t="b">
        <f>Wh_hp&gt;='2030'!Maxi_hp</f>
        <v>0</v>
      </c>
      <c r="I356" s="385">
        <f>IF(H356,Wh_hp,'2030'!Maxi_hp)</f>
        <v>15.477924912412107</v>
      </c>
      <c r="J356" s="85">
        <f>IF(H356,An,'2030'!An_max)</f>
        <v>2029</v>
      </c>
      <c r="K356" s="193">
        <f t="shared" si="129"/>
        <v>48190</v>
      </c>
      <c r="L356" s="143">
        <f>IF(t&lt;Tvie,1-EXP((T0-t)*PertePVj)+'2030'!Pspv,1-EXP((T0-t)*PertePVj)+Pspv)</f>
        <v>5.0247381922470247E-2</v>
      </c>
      <c r="M356" s="835"/>
      <c r="N356" s="835"/>
      <c r="O356" s="48">
        <f>IF(t&lt;Tnet,'2030'!Resal+('2030'!Salim-'2030'!Resal)*(1-EXP(('2030'!Tnet-t)/('2030'!Tau_j))),Resal+(Salim-Resal)*(1-EXP((Tnet-t)/(Tau_j))))*Salcycl</f>
        <v>4.2299328020791407E-2</v>
      </c>
      <c r="P356" s="165">
        <f>(INDEX(Models!$BJ356:$BT356,,T356)*(1-R356)+INDEX(Models!$BJ356:$BT356,,T356+1)*R356-ERP_i)*Q356*Ramure*Pc/MaxiM</f>
        <v>1.8770053256962473E-3</v>
      </c>
      <c r="Q356" s="301">
        <f t="shared" si="130"/>
        <v>0.5</v>
      </c>
      <c r="R356" s="173">
        <f t="shared" si="131"/>
        <v>0.46441210450040882</v>
      </c>
      <c r="S356" s="801">
        <f t="shared" si="132"/>
        <v>1</v>
      </c>
      <c r="T356" s="172">
        <f t="shared" si="133"/>
        <v>7</v>
      </c>
      <c r="U356" s="247">
        <f t="shared" si="134"/>
        <v>1.4644121045004088</v>
      </c>
      <c r="V356" s="378">
        <f t="shared" si="135"/>
        <v>89.296447858026767</v>
      </c>
      <c r="W356" s="397">
        <f t="shared" si="136"/>
        <v>14.060247925330579</v>
      </c>
      <c r="X356" s="153">
        <f t="shared" si="137"/>
        <v>48190</v>
      </c>
      <c r="Y356" s="380">
        <f t="shared" si="138"/>
        <v>13.753311055981145</v>
      </c>
      <c r="Z356" s="380">
        <f t="shared" si="139"/>
        <v>14.480940398795974</v>
      </c>
      <c r="AA356" s="381">
        <f t="shared" si="140"/>
        <v>15.45797808119036</v>
      </c>
      <c r="AB356" s="193">
        <f t="shared" si="141"/>
        <v>48190</v>
      </c>
      <c r="AC356" s="119">
        <f>IF(OR(t&lt;Tnet,NoTnet),'2030'!Resal_s+('2030'!Salim-'2030'!Resal_s)*(1-EXP(('2030'!Tnet_s-t)/'2030'!Tau_j)),Resal_s+(Salim-Resal_s)*(1-EXP((Tnet_s-t)/Tau_j)))*Salcycl</f>
        <v>6.3206046564606641E-2</v>
      </c>
      <c r="AD356" s="227">
        <f>(INDEX(Models!$BJ356:$BT356,,AH356)*(1-AF356)+INDEX(Models!$BJ356:$BT356,,AH356+1)*AF356-ERP_i)*AE356*Ramure*Pc/MaxiM</f>
        <v>6.7823160029693731E-3</v>
      </c>
      <c r="AE356" s="301">
        <f t="shared" si="142"/>
        <v>0.5</v>
      </c>
      <c r="AF356" s="173">
        <f t="shared" si="143"/>
        <v>0.98939967087438685</v>
      </c>
      <c r="AG356" s="801">
        <f t="shared" si="149"/>
        <v>4</v>
      </c>
      <c r="AH356" s="172">
        <f t="shared" si="144"/>
        <v>10</v>
      </c>
      <c r="AI356" s="221">
        <f t="shared" si="145"/>
        <v>4.9893996708743868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48191</v>
      </c>
      <c r="B357" s="406">
        <f>'2030'!Wh/'2030'!Env_an*'2031'!Env_an</f>
        <v>27.027653985340091</v>
      </c>
      <c r="C357" s="831"/>
      <c r="D357" s="388">
        <f t="shared" si="127"/>
        <v>28.457962064901505</v>
      </c>
      <c r="E357" s="380">
        <f t="shared" si="125"/>
        <v>29.715866149329429</v>
      </c>
      <c r="F357" s="380">
        <f t="shared" si="128"/>
        <v>29.71618592287254</v>
      </c>
      <c r="G357" s="110">
        <f t="shared" si="126"/>
        <v>0.3035247893618091</v>
      </c>
      <c r="H357" s="409" t="b">
        <f>Wh_hp&gt;='2030'!Maxi_hp</f>
        <v>0</v>
      </c>
      <c r="I357" s="385">
        <f>IF(H357,Wh_hp,'2030'!Maxi_hp)</f>
        <v>29.753667827947368</v>
      </c>
      <c r="J357" s="85">
        <f>IF(H357,An,'2030'!An_max)</f>
        <v>2029</v>
      </c>
      <c r="K357" s="193">
        <f t="shared" si="129"/>
        <v>48191</v>
      </c>
      <c r="L357" s="143">
        <f>IF(t&lt;Tvie,1-EXP((T0-t)*PertePVj)+'2030'!Pspv,1-EXP((T0-t)*PertePVj)+Pspv)</f>
        <v>5.0260383238245887E-2</v>
      </c>
      <c r="M357" s="835"/>
      <c r="N357" s="835"/>
      <c r="O357" s="48">
        <f>IF(t&lt;Tnet,'2030'!Resal+('2030'!Salim-'2030'!Resal)*(1-EXP(('2030'!Tnet-t)/('2030'!Tau_j))),Resal+(Salim-Resal)*(1-EXP((Tnet-t)/(Tau_j))))*Salcycl</f>
        <v>4.233105904120886E-2</v>
      </c>
      <c r="P357" s="165">
        <f>(INDEX(Models!$BJ357:$BT357,,T357)*(1-R357)+INDEX(Models!$BJ357:$BT357,,T357+1)*R357-ERP_i)*Q357*Ramure*Pc/MaxiM</f>
        <v>1.8450710897092402E-3</v>
      </c>
      <c r="Q357" s="301">
        <f t="shared" si="130"/>
        <v>0.5</v>
      </c>
      <c r="R357" s="173">
        <f t="shared" si="131"/>
        <v>0.46442395360276878</v>
      </c>
      <c r="S357" s="801">
        <f t="shared" si="132"/>
        <v>1</v>
      </c>
      <c r="T357" s="172">
        <f t="shared" si="133"/>
        <v>7</v>
      </c>
      <c r="U357" s="247">
        <f t="shared" si="134"/>
        <v>1.4644239536027688</v>
      </c>
      <c r="V357" s="378">
        <f t="shared" si="135"/>
        <v>88.882612876642412</v>
      </c>
      <c r="W357" s="397">
        <f t="shared" si="136"/>
        <v>27.027653985340091</v>
      </c>
      <c r="X357" s="153">
        <f t="shared" si="137"/>
        <v>48191</v>
      </c>
      <c r="Y357" s="380">
        <f t="shared" si="138"/>
        <v>26.437649769892786</v>
      </c>
      <c r="Z357" s="380">
        <f t="shared" si="139"/>
        <v>27.836734725287105</v>
      </c>
      <c r="AA357" s="381">
        <f t="shared" si="140"/>
        <v>29.715021820232472</v>
      </c>
      <c r="AB357" s="193">
        <f t="shared" si="141"/>
        <v>48191</v>
      </c>
      <c r="AC357" s="119">
        <f>IF(OR(t&lt;Tnet,NoTnet),'2030'!Resal_s+('2030'!Salim-'2030'!Resal_s)*(1-EXP(('2030'!Tnet_s-t)/'2030'!Tau_j)),Resal_s+(Salim-Resal_s)*(1-EXP((Tnet_s-t)/Tau_j)))*Salcycl</f>
        <v>6.3210019037121257E-2</v>
      </c>
      <c r="AD357" s="227">
        <f>(INDEX(Models!$BJ357:$BT357,,AH357)*(1-AF357)+INDEX(Models!$BJ357:$BT357,,AH357+1)*AF357-ERP_i)*AE357*Ramure*Pc/MaxiM</f>
        <v>6.7167912196624902E-3</v>
      </c>
      <c r="AE357" s="301">
        <f t="shared" si="142"/>
        <v>0.5</v>
      </c>
      <c r="AF357" s="173">
        <f t="shared" si="143"/>
        <v>0.98941151997674659</v>
      </c>
      <c r="AG357" s="801">
        <f t="shared" si="149"/>
        <v>4</v>
      </c>
      <c r="AH357" s="172">
        <f t="shared" si="144"/>
        <v>10</v>
      </c>
      <c r="AI357" s="221">
        <f t="shared" si="145"/>
        <v>4.9894115199767466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48192</v>
      </c>
      <c r="B358" s="406">
        <f>'2030'!Wh/'2030'!Env_an*'2031'!Env_an</f>
        <v>65.14739968453209</v>
      </c>
      <c r="C358" s="831"/>
      <c r="D358" s="388">
        <f t="shared" si="127"/>
        <v>68.595950258518613</v>
      </c>
      <c r="E358" s="380">
        <f t="shared" si="125"/>
        <v>71.630456176291602</v>
      </c>
      <c r="F358" s="380">
        <f t="shared" si="128"/>
        <v>71.711490145153419</v>
      </c>
      <c r="G358" s="110">
        <f t="shared" si="126"/>
        <v>0.73550246302721456</v>
      </c>
      <c r="H358" s="409" t="b">
        <f>Wh_hp&gt;='2030'!Maxi_hp</f>
        <v>0</v>
      </c>
      <c r="I358" s="385">
        <f>IF(H358,Wh_hp,'2030'!Maxi_hp)</f>
        <v>71.745253904201206</v>
      </c>
      <c r="J358" s="85">
        <f>IF(H358,An,'2030'!An_max)</f>
        <v>2029</v>
      </c>
      <c r="K358" s="193">
        <f t="shared" si="129"/>
        <v>48192</v>
      </c>
      <c r="L358" s="143">
        <f>IF(t&lt;Tvie,1-EXP((T0-t)*PertePVj)+'2030'!Pspv,1-EXP((T0-t)*PertePVj)+Pspv)</f>
        <v>5.0273384376044339E-2</v>
      </c>
      <c r="M358" s="835"/>
      <c r="N358" s="835"/>
      <c r="O358" s="48">
        <f>IF(t&lt;Tnet,'2030'!Resal+('2030'!Salim-'2030'!Resal)*(1-EXP(('2030'!Tnet-t)/('2030'!Tau_j))),Resal+(Salim-Resal)*(1-EXP((Tnet-t)/(Tau_j))))*Salcycl</f>
        <v>4.2363347656263498E-2</v>
      </c>
      <c r="P358" s="165">
        <f>(INDEX(Models!$BJ358:$BT358,,T358)*(1-R358)+INDEX(Models!$BJ358:$BT358,,T358+1)*R358-ERP_i)*Q358*Ramure*Pc/MaxiM</f>
        <v>1.8141923727360231E-3</v>
      </c>
      <c r="Q358" s="301">
        <f t="shared" si="130"/>
        <v>0.5</v>
      </c>
      <c r="R358" s="173">
        <f t="shared" si="131"/>
        <v>0.46443532615341332</v>
      </c>
      <c r="S358" s="801">
        <f t="shared" si="132"/>
        <v>1</v>
      </c>
      <c r="T358" s="172">
        <f t="shared" si="133"/>
        <v>7</v>
      </c>
      <c r="U358" s="247">
        <f t="shared" si="134"/>
        <v>1.4644353261534133</v>
      </c>
      <c r="V358" s="378">
        <f t="shared" si="135"/>
        <v>88.514694599534366</v>
      </c>
      <c r="W358" s="397">
        <f t="shared" si="136"/>
        <v>65.14739968453209</v>
      </c>
      <c r="X358" s="153">
        <f t="shared" si="137"/>
        <v>48192</v>
      </c>
      <c r="Y358" s="380">
        <f t="shared" si="138"/>
        <v>63.536227920705301</v>
      </c>
      <c r="Z358" s="380">
        <f t="shared" si="139"/>
        <v>66.899491785815627</v>
      </c>
      <c r="AA358" s="381">
        <f t="shared" si="140"/>
        <v>71.413914630496052</v>
      </c>
      <c r="AB358" s="193">
        <f t="shared" si="141"/>
        <v>48192</v>
      </c>
      <c r="AC358" s="119">
        <f>IF(OR(t&lt;Tnet,NoTnet),'2030'!Resal_s+('2030'!Salim-'2030'!Resal_s)*(1-EXP(('2030'!Tnet_s-t)/'2030'!Tau_j)),Resal_s+(Salim-Resal_s)*(1-EXP((Tnet_s-t)/Tau_j)))*Salcycl</f>
        <v>6.3214891216068686E-2</v>
      </c>
      <c r="AD358" s="227">
        <f>(INDEX(Models!$BJ358:$BT358,,AH358)*(1-AF358)+INDEX(Models!$BJ358:$BT358,,AH358+1)*AF358-ERP_i)*AE358*Ramure*Pc/MaxiM</f>
        <v>6.662134862540965E-3</v>
      </c>
      <c r="AE358" s="301">
        <f t="shared" si="142"/>
        <v>0.5</v>
      </c>
      <c r="AF358" s="173">
        <f t="shared" si="143"/>
        <v>0.9894228925273918</v>
      </c>
      <c r="AG358" s="801">
        <f t="shared" si="149"/>
        <v>4</v>
      </c>
      <c r="AH358" s="172">
        <f t="shared" si="144"/>
        <v>10</v>
      </c>
      <c r="AI358" s="221">
        <f t="shared" si="145"/>
        <v>4.9894228925273918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48193</v>
      </c>
      <c r="B359" s="406">
        <f>'2030'!Wh/'2030'!Env_an*'2031'!Env_an</f>
        <v>61.327682046207379</v>
      </c>
      <c r="C359" s="831"/>
      <c r="D359" s="388">
        <f t="shared" si="127"/>
        <v>64.574921428178158</v>
      </c>
      <c r="E359" s="380">
        <f t="shared" si="125"/>
        <v>67.433858925551903</v>
      </c>
      <c r="F359" s="380">
        <f t="shared" si="128"/>
        <v>67.50189969648369</v>
      </c>
      <c r="G359" s="110">
        <f t="shared" si="126"/>
        <v>0.69486807952781615</v>
      </c>
      <c r="H359" s="409" t="b">
        <f>Wh_hp&gt;='2030'!Maxi_hp</f>
        <v>0</v>
      </c>
      <c r="I359" s="385">
        <f>IF(H359,Wh_hp,'2030'!Maxi_hp)</f>
        <v>67.537987775821165</v>
      </c>
      <c r="J359" s="85">
        <f>IF(H359,An,'2030'!An_max)</f>
        <v>2029</v>
      </c>
      <c r="K359" s="193">
        <f t="shared" si="129"/>
        <v>48193</v>
      </c>
      <c r="L359" s="143">
        <f>IF(t&lt;Tvie,1-EXP((T0-t)*PertePVj)+'2030'!Pspv,1-EXP((T0-t)*PertePVj)+Pspv)</f>
        <v>5.0286385335868156E-2</v>
      </c>
      <c r="M359" s="835"/>
      <c r="N359" s="835"/>
      <c r="O359" s="48">
        <f>IF(t&lt;Tnet,'2030'!Resal+('2030'!Salim-'2030'!Resal)*(1-EXP(('2030'!Tnet-t)/('2030'!Tau_j))),Resal+(Salim-Resal)*(1-EXP((Tnet-t)/(Tau_j))))*Salcycl</f>
        <v>4.2396172233448229E-2</v>
      </c>
      <c r="P359" s="165">
        <f>(INDEX(Models!$BJ359:$BT359,,T359)*(1-R359)+INDEX(Models!$BJ359:$BT359,,T359+1)*R359-ERP_i)*Q359*Ramure*Pc/MaxiM</f>
        <v>1.784453240877615E-3</v>
      </c>
      <c r="Q359" s="301">
        <f t="shared" si="130"/>
        <v>0.5</v>
      </c>
      <c r="R359" s="173">
        <f t="shared" si="131"/>
        <v>0.46444624129810474</v>
      </c>
      <c r="S359" s="801">
        <f t="shared" si="132"/>
        <v>1</v>
      </c>
      <c r="T359" s="172">
        <f t="shared" si="133"/>
        <v>7</v>
      </c>
      <c r="U359" s="247">
        <f t="shared" si="134"/>
        <v>1.4644462412981047</v>
      </c>
      <c r="V359" s="378">
        <f t="shared" si="135"/>
        <v>88.189422837422029</v>
      </c>
      <c r="W359" s="397">
        <f t="shared" si="136"/>
        <v>61.327682046207379</v>
      </c>
      <c r="X359" s="153">
        <f t="shared" si="137"/>
        <v>48193</v>
      </c>
      <c r="Y359" s="380">
        <f t="shared" si="138"/>
        <v>59.830034733301858</v>
      </c>
      <c r="Z359" s="380">
        <f t="shared" si="139"/>
        <v>62.997975189037248</v>
      </c>
      <c r="AA359" s="381">
        <f t="shared" si="140"/>
        <v>67.249532952393793</v>
      </c>
      <c r="AB359" s="193">
        <f t="shared" si="141"/>
        <v>48193</v>
      </c>
      <c r="AC359" s="119">
        <f>IF(OR(t&lt;Tnet,NoTnet),'2030'!Resal_s+('2030'!Salim-'2030'!Resal_s)*(1-EXP(('2030'!Tnet_s-t)/'2030'!Tau_j)),Resal_s+(Salim-Resal_s)*(1-EXP((Tnet_s-t)/Tau_j)))*Salcycl</f>
        <v>6.3220628853530317E-2</v>
      </c>
      <c r="AD359" s="227">
        <f>(INDEX(Models!$BJ359:$BT359,,AH359)*(1-AF359)+INDEX(Models!$BJ359:$BT359,,AH359+1)*AF359-ERP_i)*AE359*Ramure*Pc/MaxiM</f>
        <v>6.6186295101269624E-3</v>
      </c>
      <c r="AE359" s="301">
        <f t="shared" si="142"/>
        <v>0.5</v>
      </c>
      <c r="AF359" s="173">
        <f t="shared" si="143"/>
        <v>0.989433807672083</v>
      </c>
      <c r="AG359" s="801">
        <f t="shared" si="149"/>
        <v>4</v>
      </c>
      <c r="AH359" s="172">
        <f t="shared" si="144"/>
        <v>10</v>
      </c>
      <c r="AI359" s="221">
        <f t="shared" si="145"/>
        <v>4.989433807672083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48194</v>
      </c>
      <c r="B360" s="406">
        <f>'2030'!Wh/'2030'!Env_an*'2031'!Env_an</f>
        <v>21.387831350001591</v>
      </c>
      <c r="C360" s="831"/>
      <c r="D360" s="388">
        <f t="shared" si="127"/>
        <v>22.520603901233983</v>
      </c>
      <c r="E360" s="380">
        <f t="shared" si="125"/>
        <v>23.518481550767156</v>
      </c>
      <c r="F360" s="380">
        <f t="shared" si="128"/>
        <v>23.518481550767156</v>
      </c>
      <c r="G360" s="110">
        <f t="shared" si="126"/>
        <v>0.24288622494169471</v>
      </c>
      <c r="H360" s="409" t="b">
        <f>Wh_hp&gt;='2030'!Maxi_hp</f>
        <v>0</v>
      </c>
      <c r="I360" s="385">
        <f>IF(H360,Wh_hp,'2030'!Maxi_hp)</f>
        <v>23.546929376575672</v>
      </c>
      <c r="J360" s="85">
        <f>IF(H360,An,'2030'!An_max)</f>
        <v>2029</v>
      </c>
      <c r="K360" s="193">
        <f t="shared" si="129"/>
        <v>48194</v>
      </c>
      <c r="L360" s="143">
        <f>IF(t&lt;Tvie,1-EXP((T0-t)*PertePVj)+'2030'!Pspv,1-EXP((T0-t)*PertePVj)+Pspv)</f>
        <v>5.0299386117719669E-2</v>
      </c>
      <c r="M360" s="835"/>
      <c r="N360" s="835"/>
      <c r="O360" s="48">
        <f>IF(t&lt;Tnet,'2030'!Resal+('2030'!Salim-'2030'!Resal)*(1-EXP(('2030'!Tnet-t)/('2030'!Tau_j))),Resal+(Salim-Resal)*(1-EXP((Tnet-t)/(Tau_j))))*Salcycl</f>
        <v>4.2429510059105988E-2</v>
      </c>
      <c r="P360" s="165">
        <f>(INDEX(Models!$BJ360:$BT360,,T360)*(1-R360)+INDEX(Models!$BJ360:$BT360,,T360+1)*R360-ERP_i)*Q360*Ramure*Pc/MaxiM</f>
        <v>1.7559564215582062E-3</v>
      </c>
      <c r="Q360" s="301">
        <f t="shared" si="130"/>
        <v>0.5</v>
      </c>
      <c r="R360" s="173">
        <f t="shared" si="131"/>
        <v>0.46445671741501937</v>
      </c>
      <c r="S360" s="801">
        <f t="shared" si="132"/>
        <v>1</v>
      </c>
      <c r="T360" s="172">
        <f t="shared" si="133"/>
        <v>7</v>
      </c>
      <c r="U360" s="247">
        <f t="shared" si="134"/>
        <v>1.4644567174150194</v>
      </c>
      <c r="V360" s="378">
        <f t="shared" si="135"/>
        <v>87.902371801136624</v>
      </c>
      <c r="W360" s="397">
        <f t="shared" si="136"/>
        <v>21.387831350001591</v>
      </c>
      <c r="X360" s="153">
        <f t="shared" si="137"/>
        <v>48194</v>
      </c>
      <c r="Y360" s="380">
        <f t="shared" si="138"/>
        <v>20.923304291031286</v>
      </c>
      <c r="Z360" s="380">
        <f t="shared" si="139"/>
        <v>22.031473903653623</v>
      </c>
      <c r="AA360" s="381">
        <f t="shared" si="140"/>
        <v>23.518481550767156</v>
      </c>
      <c r="AB360" s="193">
        <f t="shared" si="141"/>
        <v>48194</v>
      </c>
      <c r="AC360" s="119">
        <f>IF(OR(t&lt;Tnet,NoTnet),'2030'!Resal_s+('2030'!Salim-'2030'!Resal_s)*(1-EXP(('2030'!Tnet_s-t)/'2030'!Tau_j)),Resal_s+(Salim-Resal_s)*(1-EXP((Tnet_s-t)/Tau_j)))*Salcycl</f>
        <v>6.3227196190522195E-2</v>
      </c>
      <c r="AD360" s="227">
        <f>(INDEX(Models!$BJ360:$BT360,,AH360)*(1-AF360)+INDEX(Models!$BJ360:$BT360,,AH360+1)*AF360-ERP_i)*AE360*Ramure*Pc/MaxiM</f>
        <v>6.5866228999235206E-3</v>
      </c>
      <c r="AE360" s="301">
        <f t="shared" si="142"/>
        <v>0.5</v>
      </c>
      <c r="AF360" s="173">
        <f t="shared" si="143"/>
        <v>0.9894442837889974</v>
      </c>
      <c r="AG360" s="801">
        <f t="shared" si="149"/>
        <v>4</v>
      </c>
      <c r="AH360" s="172">
        <f t="shared" si="144"/>
        <v>10</v>
      </c>
      <c r="AI360" s="221">
        <f t="shared" si="145"/>
        <v>4.9894442837889974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48195</v>
      </c>
      <c r="B361" s="406">
        <f>'2030'!Wh/'2030'!Env_an*'2031'!Env_an</f>
        <v>22.27694223721851</v>
      </c>
      <c r="C361" s="831"/>
      <c r="D361" s="388">
        <f t="shared" si="127"/>
        <v>23.45712624419382</v>
      </c>
      <c r="E361" s="380">
        <f t="shared" ref="E361:E379" si="150">Wh_pvt/(1-Psa)</f>
        <v>24.49736617207072</v>
      </c>
      <c r="F361" s="380">
        <f t="shared" si="128"/>
        <v>24.49736617207072</v>
      </c>
      <c r="G361" s="110">
        <f t="shared" ref="G361:G379" si="151">+Wh_hp/MaxiM</f>
        <v>0.25370778065394589</v>
      </c>
      <c r="H361" s="409" t="b">
        <f>Wh_hp&gt;='2030'!Maxi_hp</f>
        <v>0</v>
      </c>
      <c r="I361" s="385">
        <f>IF(H361,Wh_hp,'2030'!Maxi_hp)</f>
        <v>24.526586565834364</v>
      </c>
      <c r="J361" s="85">
        <f>IF(H361,An,'2030'!An_max)</f>
        <v>2029</v>
      </c>
      <c r="K361" s="193">
        <f t="shared" si="129"/>
        <v>48195</v>
      </c>
      <c r="L361" s="143">
        <f>IF(t&lt;Tvie,1-EXP((T0-t)*PertePVj)+'2030'!Pspv,1-EXP((T0-t)*PertePVj)+Pspv)</f>
        <v>5.0312386721601543E-2</v>
      </c>
      <c r="M361" s="835"/>
      <c r="N361" s="835"/>
      <c r="O361" s="48">
        <f>IF(t&lt;Tnet,'2030'!Resal+('2030'!Salim-'2030'!Resal)*(1-EXP(('2030'!Tnet-t)/('2030'!Tau_j))),Resal+(Salim-Resal)*(1-EXP((Tnet-t)/(Tau_j))))*Salcycl</f>
        <v>4.2463337510253288E-2</v>
      </c>
      <c r="P361" s="165">
        <f>(INDEX(Models!$BJ361:$BT361,,T361)*(1-R361)+INDEX(Models!$BJ361:$BT361,,T361+1)*R361-ERP_i)*Q361*Ramure*Pc/MaxiM</f>
        <v>1.7303373661153904E-3</v>
      </c>
      <c r="Q361" s="301">
        <f t="shared" si="130"/>
        <v>0.5</v>
      </c>
      <c r="R361" s="173">
        <f t="shared" si="131"/>
        <v>0.46446677214539545</v>
      </c>
      <c r="S361" s="801">
        <f t="shared" si="132"/>
        <v>1</v>
      </c>
      <c r="T361" s="172">
        <f t="shared" si="133"/>
        <v>7</v>
      </c>
      <c r="U361" s="247">
        <f t="shared" si="134"/>
        <v>1.4644667721453954</v>
      </c>
      <c r="V361" s="378">
        <f t="shared" si="135"/>
        <v>87.653581432709544</v>
      </c>
      <c r="W361" s="397">
        <f t="shared" si="136"/>
        <v>22.27694223721851</v>
      </c>
      <c r="X361" s="153">
        <f t="shared" si="137"/>
        <v>48195</v>
      </c>
      <c r="Y361" s="380">
        <f t="shared" si="138"/>
        <v>21.793703049136827</v>
      </c>
      <c r="Z361" s="380">
        <f t="shared" si="139"/>
        <v>22.948286093680007</v>
      </c>
      <c r="AA361" s="381">
        <f t="shared" si="140"/>
        <v>24.49736617207072</v>
      </c>
      <c r="AB361" s="193">
        <f t="shared" si="141"/>
        <v>48195</v>
      </c>
      <c r="AC361" s="119">
        <f>IF(OR(t&lt;Tnet,NoTnet),'2030'!Resal_s+('2030'!Salim-'2030'!Resal_s)*(1-EXP(('2030'!Tnet_s-t)/'2030'!Tau_j)),Resal_s+(Salim-Resal_s)*(1-EXP((Tnet_s-t)/Tau_j)))*Salcycl</f>
        <v>6.3234556217590748E-2</v>
      </c>
      <c r="AD361" s="227">
        <f>(INDEX(Models!$BJ361:$BT361,,AH361)*(1-AF361)+INDEX(Models!$BJ361:$BT361,,AH361+1)*AF361-ERP_i)*AE361*Ramure*Pc/MaxiM</f>
        <v>6.5585053863830957E-3</v>
      </c>
      <c r="AE361" s="301">
        <f t="shared" si="142"/>
        <v>0.5</v>
      </c>
      <c r="AF361" s="173">
        <f t="shared" si="143"/>
        <v>0.9894543385193737</v>
      </c>
      <c r="AG361" s="801">
        <f t="shared" si="149"/>
        <v>4</v>
      </c>
      <c r="AH361" s="172">
        <f t="shared" si="144"/>
        <v>10</v>
      </c>
      <c r="AI361" s="221">
        <f t="shared" si="145"/>
        <v>4.9894543385193737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48196</v>
      </c>
      <c r="B362" s="406">
        <f>'2030'!Wh/'2030'!Env_an*'2031'!Env_an</f>
        <v>65.378904014128963</v>
      </c>
      <c r="C362" s="831"/>
      <c r="D362" s="388">
        <f t="shared" si="127"/>
        <v>68.843478733999262</v>
      </c>
      <c r="E362" s="380">
        <f t="shared" si="150"/>
        <v>71.899016553209208</v>
      </c>
      <c r="F362" s="380">
        <f t="shared" si="128"/>
        <v>71.977620948428822</v>
      </c>
      <c r="G362" s="110">
        <f t="shared" si="151"/>
        <v>0.74721179627982937</v>
      </c>
      <c r="H362" s="409" t="b">
        <f>Wh_hp&gt;='2030'!Maxi_hp</f>
        <v>0</v>
      </c>
      <c r="I362" s="385">
        <f>IF(H362,Wh_hp,'2030'!Maxi_hp)</f>
        <v>72.008192027910425</v>
      </c>
      <c r="J362" s="85">
        <f>IF(H362,An,'2030'!An_max)</f>
        <v>2029</v>
      </c>
      <c r="K362" s="193">
        <f t="shared" si="129"/>
        <v>48196</v>
      </c>
      <c r="L362" s="143">
        <f>IF(t&lt;Tvie,1-EXP((T0-t)*PertePVj)+'2030'!Pspv,1-EXP((T0-t)*PertePVj)+Pspv)</f>
        <v>5.0325387147515999E-2</v>
      </c>
      <c r="M362" s="835"/>
      <c r="N362" s="835"/>
      <c r="O362" s="48">
        <f>IF(t&lt;Tnet,'2030'!Resal+('2030'!Salim-'2030'!Resal)*(1-EXP(('2030'!Tnet-t)/('2030'!Tau_j))),Resal+(Salim-Resal)*(1-EXP((Tnet-t)/(Tau_j))))*Salcycl</f>
        <v>4.2497630227649644E-2</v>
      </c>
      <c r="P362" s="165">
        <f>(INDEX(Models!$BJ362:$BT362,,T362)*(1-R362)+INDEX(Models!$BJ362:$BT362,,T362+1)*R362-ERP_i)*Q362*Ramure*Pc/MaxiM</f>
        <v>1.7076031506328346E-3</v>
      </c>
      <c r="Q362" s="301">
        <f t="shared" si="130"/>
        <v>0.5</v>
      </c>
      <c r="R362" s="173">
        <f t="shared" si="131"/>
        <v>0.46447642242296472</v>
      </c>
      <c r="S362" s="801">
        <f t="shared" si="132"/>
        <v>1</v>
      </c>
      <c r="T362" s="172">
        <f t="shared" si="133"/>
        <v>7</v>
      </c>
      <c r="U362" s="247">
        <f t="shared" si="134"/>
        <v>1.4644764224229647</v>
      </c>
      <c r="V362" s="378">
        <f t="shared" si="135"/>
        <v>87.443235337035915</v>
      </c>
      <c r="W362" s="397">
        <f t="shared" si="136"/>
        <v>65.378904014128963</v>
      </c>
      <c r="X362" s="153">
        <f t="shared" si="137"/>
        <v>48196</v>
      </c>
      <c r="Y362" s="380">
        <f t="shared" si="138"/>
        <v>63.764764449250343</v>
      </c>
      <c r="Z362" s="380">
        <f t="shared" si="139"/>
        <v>67.143802294265527</v>
      </c>
      <c r="AA362" s="381">
        <f t="shared" si="140"/>
        <v>71.676836904353578</v>
      </c>
      <c r="AB362" s="193">
        <f t="shared" si="141"/>
        <v>48196</v>
      </c>
      <c r="AC362" s="119">
        <f>IF(OR(t&lt;Tnet,NoTnet),'2030'!Resal_s+('2030'!Salim-'2030'!Resal_s)*(1-EXP(('2030'!Tnet_s-t)/'2030'!Tau_j)),Resal_s+(Salim-Resal_s)*(1-EXP((Tnet_s-t)/Tau_j)))*Salcycl</f>
        <v>6.3242670936177012E-2</v>
      </c>
      <c r="AD362" s="227">
        <f>(INDEX(Models!$BJ362:$BT362,,AH362)*(1-AF362)+INDEX(Models!$BJ362:$BT362,,AH362+1)*AF362-ERP_i)*AE362*Ramure*Pc/MaxiM</f>
        <v>6.5342374289364341E-3</v>
      </c>
      <c r="AE362" s="301">
        <f t="shared" si="142"/>
        <v>0.5</v>
      </c>
      <c r="AF362" s="173">
        <f t="shared" si="143"/>
        <v>0.98946398879694275</v>
      </c>
      <c r="AG362" s="801">
        <f t="shared" si="149"/>
        <v>4</v>
      </c>
      <c r="AH362" s="172">
        <f t="shared" si="144"/>
        <v>10</v>
      </c>
      <c r="AI362" s="221">
        <f t="shared" si="145"/>
        <v>4.9894639887969428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48197</v>
      </c>
      <c r="B363" s="406">
        <f>'2030'!Wh/'2030'!Env_an*'2031'!Env_an</f>
        <v>32.541380988115513</v>
      </c>
      <c r="C363" s="831"/>
      <c r="D363" s="388">
        <f t="shared" si="127"/>
        <v>34.266290809489263</v>
      </c>
      <c r="E363" s="380">
        <f t="shared" si="150"/>
        <v>35.788458529197868</v>
      </c>
      <c r="F363" s="380">
        <f t="shared" si="128"/>
        <v>35.794747952085444</v>
      </c>
      <c r="G363" s="110">
        <f t="shared" si="151"/>
        <v>0.37231125817403338</v>
      </c>
      <c r="H363" s="409" t="b">
        <f>Wh_hp&gt;='2030'!Maxi_hp</f>
        <v>0</v>
      </c>
      <c r="I363" s="385">
        <f>IF(H363,Wh_hp,'2030'!Maxi_hp)</f>
        <v>91.83152399747874</v>
      </c>
      <c r="J363" s="85">
        <f>IF(H363,An,'2030'!An_max)</f>
        <v>2021</v>
      </c>
      <c r="K363" s="193">
        <f t="shared" si="129"/>
        <v>48197</v>
      </c>
      <c r="L363" s="143">
        <f>IF(t&lt;Tvie,1-EXP((T0-t)*PertePVj)+'2030'!Pspv,1-EXP((T0-t)*PertePVj)+Pspv)</f>
        <v>5.0338387395465478E-2</v>
      </c>
      <c r="M363" s="835"/>
      <c r="N363" s="835"/>
      <c r="O363" s="48">
        <f>IF(t&lt;Tnet,'2030'!Resal+('2030'!Salim-'2030'!Resal)*(1-EXP(('2030'!Tnet-t)/('2030'!Tau_j))),Resal+(Salim-Resal)*(1-EXP((Tnet-t)/(Tau_j))))*Salcycl</f>
        <v>4.2532363288761178E-2</v>
      </c>
      <c r="P363" s="165">
        <f>(INDEX(Models!$BJ363:$BT363,,T363)*(1-R363)+INDEX(Models!$BJ363:$BT363,,T363+1)*R363-ERP_i)*Q363*Ramure*Pc/MaxiM</f>
        <v>1.6877572786649711E-3</v>
      </c>
      <c r="Q363" s="301">
        <f t="shared" si="130"/>
        <v>0.5</v>
      </c>
      <c r="R363" s="173">
        <f t="shared" si="131"/>
        <v>0.46448568450222116</v>
      </c>
      <c r="S363" s="801">
        <f t="shared" si="132"/>
        <v>1</v>
      </c>
      <c r="T363" s="172">
        <f t="shared" si="133"/>
        <v>7</v>
      </c>
      <c r="U363" s="247">
        <f t="shared" si="134"/>
        <v>1.4644856845022212</v>
      </c>
      <c r="V363" s="378">
        <f t="shared" si="135"/>
        <v>87.271516655478393</v>
      </c>
      <c r="W363" s="397">
        <f t="shared" si="136"/>
        <v>32.541380988115513</v>
      </c>
      <c r="X363" s="153">
        <f t="shared" si="137"/>
        <v>48197</v>
      </c>
      <c r="Y363" s="380">
        <f t="shared" si="138"/>
        <v>31.821202597683019</v>
      </c>
      <c r="Z363" s="380">
        <f t="shared" si="139"/>
        <v>33.507938170113498</v>
      </c>
      <c r="AA363" s="381">
        <f t="shared" si="140"/>
        <v>35.770474388821199</v>
      </c>
      <c r="AB363" s="193">
        <f t="shared" si="141"/>
        <v>48197</v>
      </c>
      <c r="AC363" s="119">
        <f>IF(OR(t&lt;Tnet,NoTnet),'2030'!Resal_s+('2030'!Salim-'2030'!Resal_s)*(1-EXP(('2030'!Tnet_s-t)/'2030'!Tau_j)),Resal_s+(Salim-Resal_s)*(1-EXP((Tnet_s-t)/Tau_j)))*Salcycl</f>
        <v>6.3251501618742212E-2</v>
      </c>
      <c r="AD363" s="227">
        <f>(INDEX(Models!$BJ363:$BT363,,AH363)*(1-AF363)+INDEX(Models!$BJ363:$BT363,,AH363+1)*AF363-ERP_i)*AE363*Ramure*Pc/MaxiM</f>
        <v>6.5137746039092724E-3</v>
      </c>
      <c r="AE363" s="301">
        <f t="shared" si="142"/>
        <v>0.5</v>
      </c>
      <c r="AF363" s="173">
        <f t="shared" si="143"/>
        <v>0.9894732508761992</v>
      </c>
      <c r="AG363" s="801">
        <f t="shared" si="149"/>
        <v>4</v>
      </c>
      <c r="AH363" s="172">
        <f t="shared" si="144"/>
        <v>10</v>
      </c>
      <c r="AI363" s="221">
        <f t="shared" si="145"/>
        <v>4.9894732508761992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48198</v>
      </c>
      <c r="B364" s="406">
        <f>'2030'!Wh/'2030'!Env_an*'2031'!Env_an</f>
        <v>19.833575572721749</v>
      </c>
      <c r="C364" s="831"/>
      <c r="D364" s="388">
        <f t="shared" si="127"/>
        <v>20.885173011296555</v>
      </c>
      <c r="E364" s="380">
        <f t="shared" si="150"/>
        <v>21.813729176230428</v>
      </c>
      <c r="F364" s="380">
        <f t="shared" si="128"/>
        <v>21.813729176230428</v>
      </c>
      <c r="G364" s="110">
        <f t="shared" si="151"/>
        <v>0.22722921657562303</v>
      </c>
      <c r="H364" s="409" t="b">
        <f>Wh_hp&gt;='2030'!Maxi_hp</f>
        <v>0</v>
      </c>
      <c r="I364" s="385">
        <f>IF(H364,Wh_hp,'2030'!Maxi_hp)</f>
        <v>96.573538746410236</v>
      </c>
      <c r="J364" s="85">
        <f>IF(H364,An,'2030'!An_max)</f>
        <v>2021</v>
      </c>
      <c r="K364" s="193">
        <f t="shared" si="129"/>
        <v>48198</v>
      </c>
      <c r="L364" s="143">
        <f>IF(t&lt;Tvie,1-EXP((T0-t)*PertePVj)+'2030'!Pspv,1-EXP((T0-t)*PertePVj)+Pspv)</f>
        <v>5.0351387465452535E-2</v>
      </c>
      <c r="M364" s="835"/>
      <c r="N364" s="835"/>
      <c r="O364" s="48">
        <f>IF(t&lt;Tnet,'2030'!Resal+('2030'!Salim-'2030'!Resal)*(1-EXP(('2030'!Tnet-t)/('2030'!Tau_j))),Resal+(Salim-Resal)*(1-EXP((Tnet-t)/(Tau_j))))*Salcycl</f>
        <v>4.2567511379286965E-2</v>
      </c>
      <c r="P364" s="165">
        <f>(INDEX(Models!$BJ364:$BT364,,T364)*(1-R364)+INDEX(Models!$BJ364:$BT364,,T364+1)*R364-ERP_i)*Q364*Ramure*Pc/MaxiM</f>
        <v>1.6707994554120852E-3</v>
      </c>
      <c r="Q364" s="301">
        <f t="shared" si="130"/>
        <v>0.5</v>
      </c>
      <c r="R364" s="173">
        <f t="shared" si="131"/>
        <v>0.46449457398556637</v>
      </c>
      <c r="S364" s="801">
        <f t="shared" si="132"/>
        <v>1</v>
      </c>
      <c r="T364" s="172">
        <f t="shared" si="133"/>
        <v>7</v>
      </c>
      <c r="U364" s="247">
        <f t="shared" si="134"/>
        <v>1.4644945739855664</v>
      </c>
      <c r="V364" s="378">
        <f t="shared" si="135"/>
        <v>87.13860807096647</v>
      </c>
      <c r="W364" s="397">
        <f t="shared" si="136"/>
        <v>19.833575572721749</v>
      </c>
      <c r="X364" s="153">
        <f t="shared" si="137"/>
        <v>48198</v>
      </c>
      <c r="Y364" s="380">
        <f t="shared" si="138"/>
        <v>19.404901953322806</v>
      </c>
      <c r="Z364" s="380">
        <f t="shared" si="139"/>
        <v>20.433770657056449</v>
      </c>
      <c r="AA364" s="381">
        <f t="shared" si="140"/>
        <v>21.813729176230428</v>
      </c>
      <c r="AB364" s="193">
        <f t="shared" si="141"/>
        <v>48198</v>
      </c>
      <c r="AC364" s="119">
        <f>IF(OR(t&lt;Tnet,NoTnet),'2030'!Resal_s+('2030'!Salim-'2030'!Resal_s)*(1-EXP(('2030'!Tnet_s-t)/'2030'!Tau_j)),Resal_s+(Salim-Resal_s)*(1-EXP((Tnet_s-t)/Tau_j)))*Salcycl</f>
        <v>6.3261009065688073E-2</v>
      </c>
      <c r="AD364" s="227">
        <f>(INDEX(Models!$BJ364:$BT364,,AH364)*(1-AF364)+INDEX(Models!$BJ364:$BT364,,AH364+1)*AF364-ERP_i)*AE364*Ramure*Pc/MaxiM</f>
        <v>6.4970676776083822E-3</v>
      </c>
      <c r="AE364" s="301">
        <f t="shared" si="142"/>
        <v>0.5</v>
      </c>
      <c r="AF364" s="173">
        <f t="shared" si="143"/>
        <v>0.98948214035954418</v>
      </c>
      <c r="AG364" s="801">
        <f t="shared" si="149"/>
        <v>4</v>
      </c>
      <c r="AH364" s="172">
        <f t="shared" si="144"/>
        <v>10</v>
      </c>
      <c r="AI364" s="221">
        <f t="shared" si="145"/>
        <v>4.9894821403595442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48199</v>
      </c>
      <c r="B365" s="406">
        <f>'2030'!Wh/'2030'!Env_an*'2031'!Env_an</f>
        <v>12.305696675553195</v>
      </c>
      <c r="C365" s="831"/>
      <c r="D365" s="388">
        <f t="shared" si="127"/>
        <v>12.958335293798145</v>
      </c>
      <c r="E365" s="380">
        <f t="shared" si="150"/>
        <v>13.534966118022561</v>
      </c>
      <c r="F365" s="380">
        <f t="shared" si="128"/>
        <v>13.534966118022561</v>
      </c>
      <c r="G365" s="110">
        <f t="shared" si="151"/>
        <v>0.14113795174619354</v>
      </c>
      <c r="H365" s="409" t="b">
        <f>Wh_hp&gt;='2030'!Maxi_hp</f>
        <v>0</v>
      </c>
      <c r="I365" s="385">
        <f>IF(H365,Wh_hp,'2030'!Maxi_hp)</f>
        <v>97.364376896272645</v>
      </c>
      <c r="J365" s="85">
        <f>IF(H365,An,'2030'!An_max)</f>
        <v>2021</v>
      </c>
      <c r="K365" s="193">
        <f t="shared" si="129"/>
        <v>48199</v>
      </c>
      <c r="L365" s="143">
        <f>IF(t&lt;Tvie,1-EXP((T0-t)*PertePVj)+'2030'!Pspv,1-EXP((T0-t)*PertePVj)+Pspv)</f>
        <v>5.0364387357479612E-2</v>
      </c>
      <c r="M365" s="835"/>
      <c r="N365" s="835"/>
      <c r="O365" s="48">
        <f>IF(t&lt;Tnet,'2030'!Resal+('2030'!Salim-'2030'!Resal)*(1-EXP(('2030'!Tnet-t)/('2030'!Tau_j))),Resal+(Salim-Resal)*(1-EXP((Tnet-t)/(Tau_j))))*Salcycl</f>
        <v>4.2603048961947519E-2</v>
      </c>
      <c r="P365" s="165">
        <f>(INDEX(Models!$BJ365:$BT365,,T365)*(1-R365)+INDEX(Models!$BJ365:$BT365,,T365+1)*R365-ERP_i)*Q365*Ramure*Pc/MaxiM</f>
        <v>1.6567253698384606E-3</v>
      </c>
      <c r="Q365" s="301">
        <f t="shared" si="130"/>
        <v>0.5</v>
      </c>
      <c r="R365" s="173">
        <f t="shared" si="131"/>
        <v>0.46450310584937871</v>
      </c>
      <c r="S365" s="801">
        <f t="shared" si="132"/>
        <v>1</v>
      </c>
      <c r="T365" s="172">
        <f t="shared" si="133"/>
        <v>7</v>
      </c>
      <c r="U365" s="247">
        <f t="shared" si="134"/>
        <v>1.4645031058493787</v>
      </c>
      <c r="V365" s="378">
        <f t="shared" si="135"/>
        <v>87.044691832922268</v>
      </c>
      <c r="W365" s="397">
        <f t="shared" si="136"/>
        <v>12.305696675553195</v>
      </c>
      <c r="X365" s="153">
        <f t="shared" si="137"/>
        <v>48199</v>
      </c>
      <c r="Y365" s="380">
        <f t="shared" si="138"/>
        <v>12.040043615531163</v>
      </c>
      <c r="Z365" s="380">
        <f t="shared" si="139"/>
        <v>12.678593194317683</v>
      </c>
      <c r="AA365" s="381">
        <f t="shared" si="140"/>
        <v>13.534966118022561</v>
      </c>
      <c r="AB365" s="193">
        <f t="shared" si="141"/>
        <v>48199</v>
      </c>
      <c r="AC365" s="119">
        <f>IF(OR(t&lt;Tnet,NoTnet),'2030'!Resal_s+('2030'!Salim-'2030'!Resal_s)*(1-EXP(('2030'!Tnet_s-t)/'2030'!Tau_j)),Resal_s+(Salim-Resal_s)*(1-EXP((Tnet_s-t)/Tau_j)))*Salcycl</f>
        <v>6.3271153857161824E-2</v>
      </c>
      <c r="AD365" s="227">
        <f>(INDEX(Models!$BJ365:$BT365,,AH365)*(1-AF365)+INDEX(Models!$BJ365:$BT365,,AH365+1)*AF365-ERP_i)*AE365*Ramure*Pc/MaxiM</f>
        <v>6.4840626885417259E-3</v>
      </c>
      <c r="AE365" s="301">
        <f t="shared" si="142"/>
        <v>0.5</v>
      </c>
      <c r="AF365" s="173">
        <f t="shared" si="143"/>
        <v>0.98949067222335696</v>
      </c>
      <c r="AG365" s="801">
        <f t="shared" si="149"/>
        <v>4</v>
      </c>
      <c r="AH365" s="172">
        <f t="shared" si="144"/>
        <v>10</v>
      </c>
      <c r="AI365" s="221">
        <f t="shared" si="145"/>
        <v>4.989490672223357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48200</v>
      </c>
      <c r="B366" s="406">
        <f>'2030'!Wh/'2030'!Env_an*'2031'!Env_an</f>
        <v>67.027988376862282</v>
      </c>
      <c r="C366" s="831"/>
      <c r="D366" s="388">
        <f t="shared" si="127"/>
        <v>70.583816628124552</v>
      </c>
      <c r="E366" s="380">
        <f t="shared" si="150"/>
        <v>73.727478949199792</v>
      </c>
      <c r="F366" s="380">
        <f t="shared" si="128"/>
        <v>73.809172266797319</v>
      </c>
      <c r="G366" s="110">
        <f t="shared" si="151"/>
        <v>0.77011011065868606</v>
      </c>
      <c r="H366" s="409" t="b">
        <f>Wh_hp&gt;='2030'!Maxi_hp</f>
        <v>0</v>
      </c>
      <c r="I366" s="385">
        <f>IF(H366,Wh_hp,'2030'!Maxi_hp)</f>
        <v>98.158403846650032</v>
      </c>
      <c r="J366" s="85">
        <f>IF(H366,An,'2030'!An_max)</f>
        <v>2021</v>
      </c>
      <c r="K366" s="193">
        <f t="shared" si="129"/>
        <v>48200</v>
      </c>
      <c r="L366" s="143">
        <f>IF(t&lt;Tvie,1-EXP((T0-t)*PertePVj)+'2030'!Pspv,1-EXP((T0-t)*PertePVj)+Pspv)</f>
        <v>5.037738707154904E-2</v>
      </c>
      <c r="M366" s="835"/>
      <c r="N366" s="835"/>
      <c r="O366" s="48">
        <f>IF(t&lt;Tnet,'2030'!Resal+('2030'!Salim-'2030'!Resal)*(1-EXP(('2030'!Tnet-t)/('2030'!Tau_j))),Resal+(Salim-Resal)*(1-EXP((Tnet-t)/(Tau_j))))*Salcycl</f>
        <v>4.2638950441277267E-2</v>
      </c>
      <c r="P366" s="165">
        <f>(INDEX(Models!$BJ366:$BT366,,T366)*(1-R366)+INDEX(Models!$BJ366:$BT366,,T366+1)*R366-ERP_i)*Q366*Ramure*Pc/MaxiM</f>
        <v>1.6466077537725583E-3</v>
      </c>
      <c r="Q366" s="301">
        <f t="shared" si="130"/>
        <v>0.5</v>
      </c>
      <c r="R366" s="173">
        <f t="shared" si="131"/>
        <v>0.46451129446904815</v>
      </c>
      <c r="S366" s="801">
        <f t="shared" si="132"/>
        <v>1</v>
      </c>
      <c r="T366" s="172">
        <f t="shared" si="133"/>
        <v>7</v>
      </c>
      <c r="U366" s="247">
        <f t="shared" si="134"/>
        <v>1.4645112944690482</v>
      </c>
      <c r="V366" s="378">
        <f t="shared" si="135"/>
        <v>86.989855522698633</v>
      </c>
      <c r="W366" s="397">
        <f t="shared" si="136"/>
        <v>67.027988376862282</v>
      </c>
      <c r="X366" s="153">
        <f t="shared" si="137"/>
        <v>48200</v>
      </c>
      <c r="Y366" s="380">
        <f t="shared" si="138"/>
        <v>65.369615623211857</v>
      </c>
      <c r="Z366" s="380">
        <f t="shared" si="139"/>
        <v>68.837467361507649</v>
      </c>
      <c r="AA366" s="381">
        <f t="shared" si="140"/>
        <v>73.487922472614798</v>
      </c>
      <c r="AB366" s="193">
        <f t="shared" si="141"/>
        <v>48200</v>
      </c>
      <c r="AC366" s="119">
        <f>IF(OR(t&lt;Tnet,NoTnet),'2030'!Resal_s+('2030'!Salim-'2030'!Resal_s)*(1-EXP(('2030'!Tnet_s-t)/'2030'!Tau_j)),Resal_s+(Salim-Resal_s)*(1-EXP((Tnet_s-t)/Tau_j)))*Salcycl</f>
        <v>6.3281896597908713E-2</v>
      </c>
      <c r="AD366" s="227">
        <f>(INDEX(Models!$BJ366:$BT366,,AH366)*(1-AF366)+INDEX(Models!$BJ366:$BT366,,AH366+1)*AF366-ERP_i)*AE366*Ramure*Pc/MaxiM</f>
        <v>6.4751000149708415E-3</v>
      </c>
      <c r="AE366" s="301">
        <f t="shared" si="142"/>
        <v>0.5</v>
      </c>
      <c r="AF366" s="173">
        <f t="shared" si="143"/>
        <v>0.98949886084302641</v>
      </c>
      <c r="AG366" s="801">
        <f t="shared" si="149"/>
        <v>4</v>
      </c>
      <c r="AH366" s="172">
        <f t="shared" si="144"/>
        <v>10</v>
      </c>
      <c r="AI366" s="221">
        <f t="shared" si="145"/>
        <v>4.9894988608430264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48201</v>
      </c>
      <c r="B367" s="406">
        <f>'2030'!Wh/'2030'!Env_an*'2031'!Env_an</f>
        <v>64.427727954312743</v>
      </c>
      <c r="C367" s="831"/>
      <c r="D367" s="388">
        <f t="shared" si="127"/>
        <v>67.846541405740865</v>
      </c>
      <c r="E367" s="380">
        <f t="shared" si="150"/>
        <v>70.870973696636455</v>
      </c>
      <c r="F367" s="380">
        <f t="shared" si="128"/>
        <v>70.944151456480938</v>
      </c>
      <c r="G367" s="110">
        <f t="shared" si="151"/>
        <v>0.74031603124296752</v>
      </c>
      <c r="H367" s="409" t="b">
        <f>Wh_hp&gt;='2030'!Maxi_hp</f>
        <v>0</v>
      </c>
      <c r="I367" s="385">
        <f>IF(H367,Wh_hp,'2030'!Maxi_hp)</f>
        <v>96.560601713863988</v>
      </c>
      <c r="J367" s="85">
        <f>IF(H367,An,'2030'!An_max)</f>
        <v>2021</v>
      </c>
      <c r="K367" s="193">
        <f t="shared" si="129"/>
        <v>48201</v>
      </c>
      <c r="L367" s="143">
        <f>IF(t&lt;Tvie,1-EXP((T0-t)*PertePVj)+'2030'!Pspv,1-EXP((T0-t)*PertePVj)+Pspv)</f>
        <v>5.0390386607663262E-2</v>
      </c>
      <c r="M367" s="835"/>
      <c r="N367" s="835"/>
      <c r="O367" s="48">
        <f>IF(t&lt;Tnet,'2030'!Resal+('2030'!Salim-'2030'!Resal)*(1-EXP(('2030'!Tnet-t)/('2030'!Tau_j))),Resal+(Salim-Resal)*(1-EXP((Tnet-t)/(Tau_j))))*Salcycl</f>
        <v>4.2675190323215997E-2</v>
      </c>
      <c r="P367" s="165">
        <f>(INDEX(Models!$BJ367:$BT367,,T367)*(1-R367)+INDEX(Models!$BJ367:$BT367,,T367+1)*R367-ERP_i)*Q367*Ramure*Pc/MaxiM</f>
        <v>1.6381458815297207E-3</v>
      </c>
      <c r="Q367" s="301">
        <f t="shared" si="130"/>
        <v>0.5</v>
      </c>
      <c r="R367" s="173">
        <f t="shared" si="131"/>
        <v>0.46451915364301444</v>
      </c>
      <c r="S367" s="801">
        <f t="shared" si="132"/>
        <v>1</v>
      </c>
      <c r="T367" s="172">
        <f t="shared" si="133"/>
        <v>7</v>
      </c>
      <c r="U367" s="247">
        <f t="shared" si="134"/>
        <v>1.4645191536430144</v>
      </c>
      <c r="V367" s="378">
        <f t="shared" si="135"/>
        <v>86.974479863637583</v>
      </c>
      <c r="W367" s="397">
        <f t="shared" si="136"/>
        <v>64.427727954312743</v>
      </c>
      <c r="X367" s="153">
        <f t="shared" si="137"/>
        <v>48201</v>
      </c>
      <c r="Y367" s="380">
        <f t="shared" si="138"/>
        <v>62.848349476698878</v>
      </c>
      <c r="Z367" s="380">
        <f t="shared" si="139"/>
        <v>66.183354286170982</v>
      </c>
      <c r="AA367" s="381">
        <f t="shared" si="140"/>
        <v>70.655357851251267</v>
      </c>
      <c r="AB367" s="193">
        <f t="shared" si="141"/>
        <v>48201</v>
      </c>
      <c r="AC367" s="119">
        <f>IF(OR(t&lt;Tnet,NoTnet),'2030'!Resal_s+('2030'!Salim-'2030'!Resal_s)*(1-EXP(('2030'!Tnet_s-t)/'2030'!Tau_j)),Resal_s+(Salim-Resal_s)*(1-EXP((Tnet_s-t)/Tau_j)))*Salcycl</f>
        <v>6.3293198153423505E-2</v>
      </c>
      <c r="AD367" s="227">
        <f>(INDEX(Models!$BJ367:$BT367,,AH367)*(1-AF367)+INDEX(Models!$BJ367:$BT367,,AH367+1)*AF367-ERP_i)*AE367*Ramure*Pc/MaxiM</f>
        <v>6.4648884582486875E-3</v>
      </c>
      <c r="AE367" s="301">
        <f t="shared" si="142"/>
        <v>0.5</v>
      </c>
      <c r="AF367" s="173">
        <f t="shared" si="143"/>
        <v>0.98950672001699225</v>
      </c>
      <c r="AG367" s="801">
        <f t="shared" si="149"/>
        <v>4</v>
      </c>
      <c r="AH367" s="172">
        <f t="shared" si="144"/>
        <v>10</v>
      </c>
      <c r="AI367" s="221">
        <f t="shared" si="145"/>
        <v>4.9895067200169922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48202</v>
      </c>
      <c r="B368" s="406">
        <f>'2030'!Wh/'2030'!Env_an*'2031'!Env_an</f>
        <v>16.843770175668201</v>
      </c>
      <c r="C368" s="831"/>
      <c r="D368" s="388">
        <f t="shared" si="127"/>
        <v>17.737816170290184</v>
      </c>
      <c r="E368" s="380">
        <f t="shared" si="150"/>
        <v>18.529231971050447</v>
      </c>
      <c r="F368" s="380">
        <f t="shared" si="128"/>
        <v>18.529231971050447</v>
      </c>
      <c r="G368" s="110">
        <f t="shared" si="151"/>
        <v>0.19329350569715467</v>
      </c>
      <c r="H368" s="409" t="b">
        <f>Wh_hp&gt;='2030'!Maxi_hp</f>
        <v>0</v>
      </c>
      <c r="I368" s="385">
        <f>IF(H368,Wh_hp,'2030'!Maxi_hp)</f>
        <v>98.669245392496961</v>
      </c>
      <c r="J368" s="85">
        <f>IF(H368,An,'2030'!An_max)</f>
        <v>2021</v>
      </c>
      <c r="K368" s="193">
        <f t="shared" si="129"/>
        <v>48202</v>
      </c>
      <c r="L368" s="143">
        <f>IF(t&lt;Tvie,1-EXP((T0-t)*PertePVj)+'2030'!Pspv,1-EXP((T0-t)*PertePVj)+Pspv)</f>
        <v>5.0403385965824721E-2</v>
      </c>
      <c r="M368" s="835"/>
      <c r="N368" s="835"/>
      <c r="O368" s="48">
        <f>IF(t&lt;Tnet,'2030'!Resal+('2030'!Salim-'2030'!Resal)*(1-EXP(('2030'!Tnet-t)/('2030'!Tau_j))),Resal+(Salim-Resal)*(1-EXP((Tnet-t)/(Tau_j))))*Salcycl</f>
        <v>4.2711743368357057E-2</v>
      </c>
      <c r="P368" s="165">
        <f>(INDEX(Models!$BJ368:$BT368,,T368)*(1-R368)+INDEX(Models!$BJ368:$BT368,,T368+1)*R368-ERP_i)*Q368*Ramure*Pc/MaxiM</f>
        <v>1.6313267380214447E-3</v>
      </c>
      <c r="Q368" s="301">
        <f t="shared" si="130"/>
        <v>0.5</v>
      </c>
      <c r="R368" s="173">
        <f t="shared" si="131"/>
        <v>0.46452669661585277</v>
      </c>
      <c r="S368" s="801">
        <f t="shared" si="132"/>
        <v>1</v>
      </c>
      <c r="T368" s="172">
        <f t="shared" si="133"/>
        <v>7</v>
      </c>
      <c r="U368" s="247">
        <f t="shared" si="134"/>
        <v>1.4645266966158528</v>
      </c>
      <c r="V368" s="378">
        <f t="shared" si="135"/>
        <v>86.998745365810223</v>
      </c>
      <c r="W368" s="397">
        <f t="shared" si="136"/>
        <v>16.843770175668201</v>
      </c>
      <c r="X368" s="153">
        <f t="shared" si="137"/>
        <v>48202</v>
      </c>
      <c r="Y368" s="380">
        <f t="shared" si="138"/>
        <v>16.481425381138809</v>
      </c>
      <c r="Z368" s="380">
        <f t="shared" si="139"/>
        <v>17.356238572840631</v>
      </c>
      <c r="AA368" s="381">
        <f t="shared" si="140"/>
        <v>18.529231971050447</v>
      </c>
      <c r="AB368" s="193">
        <f t="shared" si="141"/>
        <v>48202</v>
      </c>
      <c r="AC368" s="119">
        <f>IF(OR(t&lt;Tnet,NoTnet),'2030'!Resal_s+('2030'!Salim-'2030'!Resal_s)*(1-EXP(('2030'!Tnet_s-t)/'2030'!Tau_j)),Resal_s+(Salim-Resal_s)*(1-EXP((Tnet_s-t)/Tau_j)))*Salcycl</f>
        <v>6.330501987575457E-2</v>
      </c>
      <c r="AD368" s="227">
        <f>(INDEX(Models!$BJ368:$BT368,,AH368)*(1-AF368)+INDEX(Models!$BJ368:$BT368,,AH368+1)*AF368-ERP_i)*AE368*Ramure*Pc/MaxiM</f>
        <v>6.4533823605166232E-3</v>
      </c>
      <c r="AE368" s="301">
        <f t="shared" si="142"/>
        <v>0.5</v>
      </c>
      <c r="AF368" s="173">
        <f t="shared" si="143"/>
        <v>0.98951426298983058</v>
      </c>
      <c r="AG368" s="801">
        <f t="shared" si="149"/>
        <v>4</v>
      </c>
      <c r="AH368" s="172">
        <f t="shared" si="144"/>
        <v>10</v>
      </c>
      <c r="AI368" s="221">
        <f t="shared" si="145"/>
        <v>4.9895142629898306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48203</v>
      </c>
      <c r="B369" s="406">
        <f>'2030'!Wh/'2030'!Env_an*'2031'!Env_an</f>
        <v>79.589788550217207</v>
      </c>
      <c r="C369" s="831"/>
      <c r="D369" s="388">
        <f t="shared" si="127"/>
        <v>83.815461119195149</v>
      </c>
      <c r="E369" s="380">
        <f t="shared" si="150"/>
        <v>87.55846142701796</v>
      </c>
      <c r="F369" s="380">
        <f t="shared" si="128"/>
        <v>87.683562708603702</v>
      </c>
      <c r="G369" s="110">
        <f t="shared" si="151"/>
        <v>0.91398239364143918</v>
      </c>
      <c r="H369" s="409" t="b">
        <f>Wh_hp&gt;='2030'!Maxi_hp</f>
        <v>0</v>
      </c>
      <c r="I369" s="385">
        <f>IF(H369,Wh_hp,'2030'!Maxi_hp)</f>
        <v>87.695651782795125</v>
      </c>
      <c r="J369" s="85">
        <f>IF(H369,An,'2030'!An_max)</f>
        <v>2029</v>
      </c>
      <c r="K369" s="193">
        <f t="shared" si="129"/>
        <v>48203</v>
      </c>
      <c r="L369" s="143">
        <f>IF(t&lt;Tvie,1-EXP((T0-t)*PertePVj)+'2030'!Pspv,1-EXP((T0-t)*PertePVj)+Pspv)</f>
        <v>5.0416385146035969E-2</v>
      </c>
      <c r="M369" s="835"/>
      <c r="N369" s="835"/>
      <c r="O369" s="48">
        <f>IF(t&lt;Tnet,'2030'!Resal+('2030'!Salim-'2030'!Resal)*(1-EXP(('2030'!Tnet-t)/('2030'!Tau_j))),Resal+(Salim-Resal)*(1-EXP((Tnet-t)/(Tau_j))))*Salcycl</f>
        <v>4.2748584737783368E-2</v>
      </c>
      <c r="P369" s="165">
        <f>(INDEX(Models!$BJ369:$BT369,,T369)*(1-R369)+INDEX(Models!$BJ369:$BT369,,T369+1)*R369-ERP_i)*Q369*Ramure*Pc/MaxiM</f>
        <v>1.6261349798381869E-3</v>
      </c>
      <c r="Q369" s="301">
        <f t="shared" si="130"/>
        <v>0.5</v>
      </c>
      <c r="R369" s="173">
        <f t="shared" si="131"/>
        <v>0.46453393610043969</v>
      </c>
      <c r="S369" s="801">
        <f t="shared" si="132"/>
        <v>1</v>
      </c>
      <c r="T369" s="172">
        <f t="shared" si="133"/>
        <v>7</v>
      </c>
      <c r="U369" s="247">
        <f t="shared" si="134"/>
        <v>1.4645339361004397</v>
      </c>
      <c r="V369" s="378">
        <f t="shared" si="135"/>
        <v>87.062832165778033</v>
      </c>
      <c r="W369" s="397">
        <f t="shared" si="136"/>
        <v>79.589788550217207</v>
      </c>
      <c r="X369" s="153">
        <f t="shared" si="137"/>
        <v>48203</v>
      </c>
      <c r="Y369" s="380">
        <f t="shared" si="138"/>
        <v>77.550181713294151</v>
      </c>
      <c r="Z369" s="380">
        <f t="shared" si="139"/>
        <v>81.667565130871125</v>
      </c>
      <c r="AA369" s="381">
        <f t="shared" si="140"/>
        <v>87.188081094555571</v>
      </c>
      <c r="AB369" s="193">
        <f t="shared" si="141"/>
        <v>48203</v>
      </c>
      <c r="AC369" s="119">
        <f>IF(OR(t&lt;Tnet,NoTnet),'2030'!Resal_s+('2030'!Salim-'2030'!Resal_s)*(1-EXP(('2030'!Tnet_s-t)/'2030'!Tau_j)),Resal_s+(Salim-Resal_s)*(1-EXP((Tnet_s-t)/Tau_j)))*Salcycl</f>
        <v>6.331732381743134E-2</v>
      </c>
      <c r="AD369" s="227">
        <f>(INDEX(Models!$BJ369:$BT369,,AH369)*(1-AF369)+INDEX(Models!$BJ369:$BT369,,AH369+1)*AF369-ERP_i)*AE369*Ramure*Pc/MaxiM</f>
        <v>6.4405414097867394E-3</v>
      </c>
      <c r="AE369" s="301">
        <f t="shared" si="142"/>
        <v>0.5</v>
      </c>
      <c r="AF369" s="173">
        <f t="shared" si="143"/>
        <v>0.9895215024744175</v>
      </c>
      <c r="AG369" s="801">
        <f t="shared" si="149"/>
        <v>4</v>
      </c>
      <c r="AH369" s="172">
        <f t="shared" si="144"/>
        <v>10</v>
      </c>
      <c r="AI369" s="221">
        <f t="shared" si="145"/>
        <v>4.9895215024744175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48204</v>
      </c>
      <c r="B370" s="406">
        <f>'2030'!Wh/'2030'!Env_an*'2031'!Env_an</f>
        <v>66.297494755034236</v>
      </c>
      <c r="C370" s="831"/>
      <c r="D370" s="388">
        <f t="shared" si="127"/>
        <v>69.818393333043346</v>
      </c>
      <c r="E370" s="380">
        <f t="shared" si="150"/>
        <v>72.939144988923232</v>
      </c>
      <c r="F370" s="380">
        <f t="shared" si="128"/>
        <v>73.017097716961771</v>
      </c>
      <c r="G370" s="110">
        <f t="shared" si="151"/>
        <v>0.76015836100382406</v>
      </c>
      <c r="H370" s="409" t="b">
        <f>Wh_hp&gt;='2030'!Maxi_hp</f>
        <v>0</v>
      </c>
      <c r="I370" s="385">
        <f>IF(H370,Wh_hp,'2030'!Maxi_hp)</f>
        <v>94.664901862942699</v>
      </c>
      <c r="J370" s="85">
        <f>IF(H370,An,'2030'!An_max)</f>
        <v>2021</v>
      </c>
      <c r="K370" s="193">
        <f t="shared" si="129"/>
        <v>48204</v>
      </c>
      <c r="L370" s="143">
        <f>IF(t&lt;Tvie,1-EXP((T0-t)*PertePVj)+'2030'!Pspv,1-EXP((T0-t)*PertePVj)+Pspv)</f>
        <v>5.0429384148299339E-2</v>
      </c>
      <c r="M370" s="835"/>
      <c r="N370" s="835"/>
      <c r="O370" s="48">
        <f>IF(t&lt;Tnet,'2030'!Resal+('2030'!Salim-'2030'!Resal)*(1-EXP(('2030'!Tnet-t)/('2030'!Tau_j))),Resal+(Salim-Resal)*(1-EXP((Tnet-t)/(Tau_j))))*Salcycl</f>
        <v>4.2785690130502763E-2</v>
      </c>
      <c r="P370" s="165">
        <f>(INDEX(Models!$BJ370:$BT370,,T370)*(1-R370)+INDEX(Models!$BJ370:$BT370,,T370+1)*R370-ERP_i)*Q370*Ramure*Pc/MaxiM</f>
        <v>1.6225529028257445E-3</v>
      </c>
      <c r="Q370" s="301">
        <f t="shared" si="130"/>
        <v>0.5</v>
      </c>
      <c r="R370" s="173">
        <f t="shared" si="131"/>
        <v>0.4645408842992369</v>
      </c>
      <c r="S370" s="801">
        <f t="shared" si="132"/>
        <v>1</v>
      </c>
      <c r="T370" s="172">
        <f t="shared" si="133"/>
        <v>7</v>
      </c>
      <c r="U370" s="247">
        <f t="shared" si="134"/>
        <v>1.4645408842992369</v>
      </c>
      <c r="V370" s="378">
        <f t="shared" si="135"/>
        <v>87.166920144879953</v>
      </c>
      <c r="W370" s="397">
        <f t="shared" si="136"/>
        <v>66.297494755034236</v>
      </c>
      <c r="X370" s="153">
        <f t="shared" si="137"/>
        <v>48204</v>
      </c>
      <c r="Y370" s="380">
        <f t="shared" si="138"/>
        <v>64.669301177122847</v>
      </c>
      <c r="Z370" s="380">
        <f t="shared" si="139"/>
        <v>68.103730357240309</v>
      </c>
      <c r="AA370" s="381">
        <f t="shared" si="140"/>
        <v>72.708355835047868</v>
      </c>
      <c r="AB370" s="193">
        <f t="shared" si="141"/>
        <v>48204</v>
      </c>
      <c r="AC370" s="119">
        <f>IF(OR(t&lt;Tnet,NoTnet),'2030'!Resal_s+('2030'!Salim-'2030'!Resal_s)*(1-EXP(('2030'!Tnet_s-t)/'2030'!Tau_j)),Resal_s+(Salim-Resal_s)*(1-EXP((Tnet_s-t)/Tau_j)))*Salcycl</f>
        <v>6.3330072932112361E-2</v>
      </c>
      <c r="AD370" s="227">
        <f>(INDEX(Models!$BJ370:$BT370,,AH370)*(1-AF370)+INDEX(Models!$BJ370:$BT370,,AH370+1)*AF370-ERP_i)*AE370*Ramure*Pc/MaxiM</f>
        <v>6.4263310512445672E-3</v>
      </c>
      <c r="AE370" s="301">
        <f t="shared" si="142"/>
        <v>0.5</v>
      </c>
      <c r="AF370" s="173">
        <f t="shared" si="143"/>
        <v>0.98952845067321515</v>
      </c>
      <c r="AG370" s="801">
        <f t="shared" si="149"/>
        <v>4</v>
      </c>
      <c r="AH370" s="172">
        <f t="shared" si="144"/>
        <v>10</v>
      </c>
      <c r="AI370" s="221">
        <f t="shared" si="145"/>
        <v>4.9895284506732152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48205</v>
      </c>
      <c r="B371" s="406">
        <f>'2030'!Wh/'2030'!Env_an*'2031'!Env_an</f>
        <v>68.002967982097758</v>
      </c>
      <c r="C371" s="831"/>
      <c r="D371" s="388">
        <f t="shared" si="127"/>
        <v>71.615420447031951</v>
      </c>
      <c r="E371" s="380">
        <f t="shared" si="150"/>
        <v>74.819414939886414</v>
      </c>
      <c r="F371" s="380">
        <f t="shared" si="128"/>
        <v>74.90245116119317</v>
      </c>
      <c r="G371" s="110">
        <f t="shared" si="151"/>
        <v>0.77845823526976854</v>
      </c>
      <c r="H371" s="409" t="b">
        <f>Wh_hp&gt;='2030'!Maxi_hp</f>
        <v>0</v>
      </c>
      <c r="I371" s="385">
        <f>IF(H371,Wh_hp,'2030'!Maxi_hp)</f>
        <v>74.928961222520769</v>
      </c>
      <c r="J371" s="85">
        <f>IF(H371,An,'2030'!An_max)</f>
        <v>2029</v>
      </c>
      <c r="K371" s="193">
        <f t="shared" si="129"/>
        <v>48205</v>
      </c>
      <c r="L371" s="143">
        <f>IF(t&lt;Tvie,1-EXP((T0-t)*PertePVj)+'2030'!Pspv,1-EXP((T0-t)*PertePVj)+Pspv)</f>
        <v>5.0442382972617272E-2</v>
      </c>
      <c r="M371" s="835"/>
      <c r="N371" s="835"/>
      <c r="O371" s="48">
        <f>IF(t&lt;Tnet,'2030'!Resal+('2030'!Salim-'2030'!Resal)*(1-EXP(('2030'!Tnet-t)/('2030'!Tau_j))),Resal+(Salim-Resal)*(1-EXP((Tnet-t)/(Tau_j))))*Salcycl</f>
        <v>4.2823035911584116E-2</v>
      </c>
      <c r="P371" s="165">
        <f>(INDEX(Models!$BJ371:$BT371,,T371)*(1-R371)+INDEX(Models!$BJ371:$BT371,,T371+1)*R371-ERP_i)*Q371*Ramure*Pc/MaxiM</f>
        <v>1.6205534638071288E-3</v>
      </c>
      <c r="Q371" s="301">
        <f t="shared" si="130"/>
        <v>0.5</v>
      </c>
      <c r="R371" s="173">
        <f t="shared" si="131"/>
        <v>0.4645408842992369</v>
      </c>
      <c r="S371" s="801">
        <f t="shared" si="132"/>
        <v>1</v>
      </c>
      <c r="T371" s="172">
        <f t="shared" si="133"/>
        <v>7</v>
      </c>
      <c r="U371" s="247">
        <f t="shared" si="134"/>
        <v>1.4645408842992369</v>
      </c>
      <c r="V371" s="378">
        <f t="shared" si="135"/>
        <v>87.311189389243978</v>
      </c>
      <c r="W371" s="397">
        <f t="shared" si="136"/>
        <v>68.002967982097758</v>
      </c>
      <c r="X371" s="153">
        <f t="shared" si="137"/>
        <v>48205</v>
      </c>
      <c r="Y371" s="380">
        <f t="shared" si="138"/>
        <v>66.326802285688458</v>
      </c>
      <c r="Z371" s="380">
        <f t="shared" si="139"/>
        <v>69.850213506081289</v>
      </c>
      <c r="AA371" s="381">
        <f t="shared" si="140"/>
        <v>74.573969715818194</v>
      </c>
      <c r="AB371" s="193">
        <f t="shared" si="141"/>
        <v>48205</v>
      </c>
      <c r="AC371" s="119">
        <f>IF(OR(t&lt;Tnet,NoTnet),'2030'!Resal_s+('2030'!Salim-'2030'!Resal_s)*(1-EXP(('2030'!Tnet_s-t)/'2030'!Tau_j)),Resal_s+(Salim-Resal_s)*(1-EXP((Tnet_s-t)/Tau_j)))*Salcycl</f>
        <v>6.3343231260691843E-2</v>
      </c>
      <c r="AD371" s="227">
        <f>(INDEX(Models!$BJ371:$BT371,,AH371)*(1-AF371)+INDEX(Models!$BJ371:$BT371,,AH371+1)*AF371-ERP_i)*AE371*Ramure*Pc/MaxiM</f>
        <v>6.4107173438482041E-3</v>
      </c>
      <c r="AE371" s="301">
        <f t="shared" si="142"/>
        <v>0.5</v>
      </c>
      <c r="AF371" s="173">
        <f t="shared" si="143"/>
        <v>0.98952845067321515</v>
      </c>
      <c r="AG371" s="801">
        <f t="shared" si="149"/>
        <v>4</v>
      </c>
      <c r="AH371" s="172">
        <f t="shared" si="144"/>
        <v>10</v>
      </c>
      <c r="AI371" s="221">
        <f t="shared" si="145"/>
        <v>4.9895284506732152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48206</v>
      </c>
      <c r="B372" s="406">
        <f>'2030'!Wh/'2030'!Env_an*'2031'!Env_an</f>
        <v>82.553476409522077</v>
      </c>
      <c r="C372" s="831"/>
      <c r="D372" s="388">
        <f t="shared" si="127"/>
        <v>86.940070862891488</v>
      </c>
      <c r="E372" s="380">
        <f t="shared" si="150"/>
        <v>90.833237867929455</v>
      </c>
      <c r="F372" s="380">
        <f t="shared" si="128"/>
        <v>90.968725198594626</v>
      </c>
      <c r="G372" s="110">
        <f t="shared" si="151"/>
        <v>0.94338985456269053</v>
      </c>
      <c r="H372" s="409" t="b">
        <f>Wh_hp&gt;='2030'!Maxi_hp</f>
        <v>0</v>
      </c>
      <c r="I372" s="385">
        <f>IF(H372,Wh_hp,'2030'!Maxi_hp)</f>
        <v>90.976946869945024</v>
      </c>
      <c r="J372" s="85">
        <f>IF(H372,An,'2030'!An_max)</f>
        <v>2029</v>
      </c>
      <c r="K372" s="193">
        <f t="shared" si="129"/>
        <v>48206</v>
      </c>
      <c r="L372" s="143">
        <f>IF(t&lt;Tvie,1-EXP((T0-t)*PertePVj)+'2030'!Pspv,1-EXP((T0-t)*PertePVj)+Pspv)</f>
        <v>5.0455381618992212E-2</v>
      </c>
      <c r="M372" s="835"/>
      <c r="N372" s="835"/>
      <c r="O372" s="48">
        <f>IF(t&lt;Tnet,'2030'!Resal+('2030'!Salim-'2030'!Resal)*(1-EXP(('2030'!Tnet-t)/('2030'!Tau_j))),Resal+(Salim-Resal)*(1-EXP((Tnet-t)/(Tau_j))))*Salcycl</f>
        <v>4.2860599230191393E-2</v>
      </c>
      <c r="P372" s="165">
        <f>(INDEX(Models!$BJ372:$BT372,,T372)*(1-R372)+INDEX(Models!$BJ372:$BT372,,T372+1)*R372-ERP_i)*Q372*Ramure*Pc/MaxiM</f>
        <v>1.620119428615008E-3</v>
      </c>
      <c r="Q372" s="301">
        <f t="shared" si="130"/>
        <v>0.5</v>
      </c>
      <c r="R372" s="173">
        <f t="shared" si="131"/>
        <v>0.4645408842992369</v>
      </c>
      <c r="S372" s="801">
        <f t="shared" si="132"/>
        <v>1</v>
      </c>
      <c r="T372" s="172">
        <f t="shared" si="133"/>
        <v>7</v>
      </c>
      <c r="U372" s="247">
        <f t="shared" si="134"/>
        <v>1.4645408842992369</v>
      </c>
      <c r="V372" s="378">
        <f t="shared" si="135"/>
        <v>87.495818634963058</v>
      </c>
      <c r="W372" s="397">
        <f t="shared" si="136"/>
        <v>82.553476409522077</v>
      </c>
      <c r="X372" s="153">
        <f t="shared" si="137"/>
        <v>48206</v>
      </c>
      <c r="Y372" s="380">
        <f t="shared" si="138"/>
        <v>80.430632917054183</v>
      </c>
      <c r="Z372" s="380">
        <f t="shared" si="139"/>
        <v>84.704427111798068</v>
      </c>
      <c r="AA372" s="381">
        <f t="shared" si="140"/>
        <v>90.434034929602291</v>
      </c>
      <c r="AB372" s="193">
        <f t="shared" si="141"/>
        <v>48206</v>
      </c>
      <c r="AC372" s="119">
        <f>IF(OR(t&lt;Tnet,NoTnet),'2030'!Resal_s+('2030'!Salim-'2030'!Resal_s)*(1-EXP(('2030'!Tnet_s-t)/'2030'!Tau_j)),Resal_s+(Salim-Resal_s)*(1-EXP((Tnet_s-t)/Tau_j)))*Salcycl</f>
        <v>6.3356764101749813E-2</v>
      </c>
      <c r="AD372" s="227">
        <f>(INDEX(Models!$BJ372:$BT372,,AH372)*(1-AF372)+INDEX(Models!$BJ372:$BT372,,AH372+1)*AF372-ERP_i)*AE372*Ramure*Pc/MaxiM</f>
        <v>6.3936759904632476E-3</v>
      </c>
      <c r="AE372" s="301">
        <f t="shared" si="142"/>
        <v>0.5</v>
      </c>
      <c r="AF372" s="173">
        <f t="shared" si="143"/>
        <v>0.98952845067321515</v>
      </c>
      <c r="AG372" s="801">
        <f t="shared" si="149"/>
        <v>4</v>
      </c>
      <c r="AH372" s="172">
        <f t="shared" si="144"/>
        <v>10</v>
      </c>
      <c r="AI372" s="221">
        <f t="shared" si="145"/>
        <v>4.9895284506732152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48207</v>
      </c>
      <c r="B373" s="406">
        <f>'2030'!Wh/'2030'!Env_an*'2031'!Env_an</f>
        <v>46.510507226004279</v>
      </c>
      <c r="C373" s="831"/>
      <c r="D373" s="388">
        <f t="shared" si="127"/>
        <v>48.98257862153833</v>
      </c>
      <c r="E373" s="380">
        <f t="shared" si="150"/>
        <v>51.178032173962649</v>
      </c>
      <c r="F373" s="380">
        <f t="shared" si="128"/>
        <v>51.205329740303618</v>
      </c>
      <c r="G373" s="110">
        <f t="shared" si="151"/>
        <v>0.52961078195107514</v>
      </c>
      <c r="H373" s="409" t="b">
        <f>Wh_hp&gt;='2030'!Maxi_hp</f>
        <v>0</v>
      </c>
      <c r="I373" s="385">
        <f>IF(H373,Wh_hp,'2030'!Maxi_hp)</f>
        <v>51.243826937514314</v>
      </c>
      <c r="J373" s="85">
        <f>IF(H373,An,'2030'!An_max)</f>
        <v>2029</v>
      </c>
      <c r="K373" s="193">
        <f t="shared" si="129"/>
        <v>48207</v>
      </c>
      <c r="L373" s="143">
        <f>IF(t&lt;Tvie,1-EXP((T0-t)*PertePVj)+'2030'!Pspv,1-EXP((T0-t)*PertePVj)+Pspv)</f>
        <v>5.0468380087426601E-2</v>
      </c>
      <c r="M373" s="835"/>
      <c r="N373" s="835"/>
      <c r="O373" s="48">
        <f>IF(t&lt;Tnet,'2030'!Resal+('2030'!Salim-'2030'!Resal)*(1-EXP(('2030'!Tnet-t)/('2030'!Tau_j))),Resal+(Salim-Resal)*(1-EXP((Tnet-t)/(Tau_j))))*Salcycl</f>
        <v>4.289835812681516E-2</v>
      </c>
      <c r="P373" s="165">
        <f>(INDEX(Models!$BJ373:$BT373,,T373)*(1-R373)+INDEX(Models!$BJ373:$BT373,,T373+1)*R373-ERP_i)*Q373*Ramure*Pc/MaxiM</f>
        <v>1.6211537082698381E-3</v>
      </c>
      <c r="Q373" s="301">
        <f t="shared" si="130"/>
        <v>0.5</v>
      </c>
      <c r="R373" s="173">
        <f t="shared" si="131"/>
        <v>0.4645408842992369</v>
      </c>
      <c r="S373" s="801">
        <f t="shared" si="132"/>
        <v>1</v>
      </c>
      <c r="T373" s="172">
        <f t="shared" si="133"/>
        <v>7</v>
      </c>
      <c r="U373" s="247">
        <f t="shared" si="134"/>
        <v>1.4645408842992369</v>
      </c>
      <c r="V373" s="378">
        <f t="shared" si="135"/>
        <v>87.724562814158901</v>
      </c>
      <c r="W373" s="397">
        <f t="shared" si="136"/>
        <v>46.510507226004279</v>
      </c>
      <c r="X373" s="153">
        <f t="shared" si="137"/>
        <v>48207</v>
      </c>
      <c r="Y373" s="380">
        <f t="shared" si="138"/>
        <v>45.444464386562409</v>
      </c>
      <c r="Z373" s="380">
        <f t="shared" si="139"/>
        <v>47.859874735658238</v>
      </c>
      <c r="AA373" s="381">
        <f t="shared" si="140"/>
        <v>51.097986765985283</v>
      </c>
      <c r="AB373" s="193">
        <f t="shared" si="141"/>
        <v>48207</v>
      </c>
      <c r="AC373" s="119">
        <f>IF(OR(t&lt;Tnet,NoTnet),'2030'!Resal_s+('2030'!Salim-'2030'!Resal_s)*(1-EXP(('2030'!Tnet_s-t)/'2030'!Tau_j)),Resal_s+(Salim-Resal_s)*(1-EXP((Tnet_s-t)/Tau_j)))*Salcycl</f>
        <v>6.3370638165388085E-2</v>
      </c>
      <c r="AD373" s="227">
        <f>(INDEX(Models!$BJ373:$BT373,,AH373)*(1-AF373)+INDEX(Models!$BJ373:$BT373,,AH373+1)*AF373-ERP_i)*AE373*Ramure*Pc/MaxiM</f>
        <v>6.3749075173664699E-3</v>
      </c>
      <c r="AE373" s="301">
        <f t="shared" si="142"/>
        <v>0.5</v>
      </c>
      <c r="AF373" s="173">
        <f t="shared" si="143"/>
        <v>0.98952845067321515</v>
      </c>
      <c r="AG373" s="801">
        <f t="shared" si="149"/>
        <v>4</v>
      </c>
      <c r="AH373" s="172">
        <f t="shared" si="144"/>
        <v>10</v>
      </c>
      <c r="AI373" s="221">
        <f t="shared" si="145"/>
        <v>4.9895284506732152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48208</v>
      </c>
      <c r="B374" s="406">
        <f>'2030'!Wh/'2030'!Env_an*'2031'!Env_an</f>
        <v>79.469218235596813</v>
      </c>
      <c r="C374" s="831"/>
      <c r="D374" s="388">
        <f t="shared" si="127"/>
        <v>83.694217707745779</v>
      </c>
      <c r="E374" s="380">
        <f t="shared" si="150"/>
        <v>87.448951387164783</v>
      </c>
      <c r="F374" s="380">
        <f t="shared" si="128"/>
        <v>87.571440951411461</v>
      </c>
      <c r="G374" s="110">
        <f t="shared" si="151"/>
        <v>0.90285696902577484</v>
      </c>
      <c r="H374" s="409" t="b">
        <f>Wh_hp&gt;='2030'!Maxi_hp</f>
        <v>0</v>
      </c>
      <c r="I374" s="385">
        <f>IF(H374,Wh_hp,'2030'!Maxi_hp)</f>
        <v>87.585046430150328</v>
      </c>
      <c r="J374" s="85">
        <f>IF(H374,An,'2030'!An_max)</f>
        <v>2029</v>
      </c>
      <c r="K374" s="193">
        <f t="shared" si="129"/>
        <v>48208</v>
      </c>
      <c r="L374" s="143">
        <f>IF(t&lt;Tvie,1-EXP((T0-t)*PertePVj)+'2030'!Pspv,1-EXP((T0-t)*PertePVj)+Pspv)</f>
        <v>5.0481378377922881E-2</v>
      </c>
      <c r="M374" s="835"/>
      <c r="N374" s="835"/>
      <c r="O374" s="48">
        <f>IF(t&lt;Tnet,'2030'!Resal+('2030'!Salim-'2030'!Resal)*(1-EXP(('2030'!Tnet-t)/('2030'!Tau_j))),Resal+(Salim-Resal)*(1-EXP((Tnet-t)/(Tau_j))))*Salcycl</f>
        <v>4.293629162910808E-2</v>
      </c>
      <c r="P374" s="165">
        <f>(INDEX(Models!$BJ374:$BT374,,T374)*(1-R374)+INDEX(Models!$BJ374:$BT374,,T374+1)*R374-ERP_i)*Q374*Ramure*Pc/MaxiM</f>
        <v>1.6235807550650419E-3</v>
      </c>
      <c r="Q374" s="301">
        <f t="shared" si="130"/>
        <v>0.5</v>
      </c>
      <c r="R374" s="173">
        <f t="shared" si="131"/>
        <v>0.4645408842992369</v>
      </c>
      <c r="S374" s="801">
        <f t="shared" si="132"/>
        <v>1</v>
      </c>
      <c r="T374" s="172">
        <f t="shared" si="133"/>
        <v>7</v>
      </c>
      <c r="U374" s="247">
        <f t="shared" si="134"/>
        <v>1.4645408842992369</v>
      </c>
      <c r="V374" s="378">
        <f t="shared" si="135"/>
        <v>87.999902434144047</v>
      </c>
      <c r="W374" s="397">
        <f t="shared" si="136"/>
        <v>79.469218235596813</v>
      </c>
      <c r="X374" s="153">
        <f t="shared" si="137"/>
        <v>48208</v>
      </c>
      <c r="Y374" s="380">
        <f t="shared" si="138"/>
        <v>77.453884753234433</v>
      </c>
      <c r="Z374" s="380">
        <f t="shared" si="139"/>
        <v>81.571738552024158</v>
      </c>
      <c r="AA374" s="381">
        <f t="shared" si="140"/>
        <v>87.092052790476473</v>
      </c>
      <c r="AB374" s="193">
        <f t="shared" si="141"/>
        <v>48208</v>
      </c>
      <c r="AC374" s="119">
        <f>IF(OR(t&lt;Tnet,NoTnet),'2030'!Resal_s+('2030'!Salim-'2030'!Resal_s)*(1-EXP(('2030'!Tnet_s-t)/'2030'!Tau_j)),Resal_s+(Salim-Resal_s)*(1-EXP((Tnet_s-t)/Tau_j)))*Salcycl</f>
        <v>6.3384821709656161E-2</v>
      </c>
      <c r="AD374" s="227">
        <f>(INDEX(Models!$BJ374:$BT374,,AH374)*(1-AF374)+INDEX(Models!$BJ374:$BT374,,AH374+1)*AF374-ERP_i)*AE374*Ramure*Pc/MaxiM</f>
        <v>6.3542179865429304E-3</v>
      </c>
      <c r="AE374" s="301">
        <f t="shared" si="142"/>
        <v>0.5</v>
      </c>
      <c r="AF374" s="173">
        <f t="shared" si="143"/>
        <v>0.98952845067321515</v>
      </c>
      <c r="AG374" s="801">
        <f t="shared" si="149"/>
        <v>4</v>
      </c>
      <c r="AH374" s="172">
        <f t="shared" si="144"/>
        <v>10</v>
      </c>
      <c r="AI374" s="221">
        <f t="shared" si="145"/>
        <v>4.9895284506732152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48209</v>
      </c>
      <c r="B375" s="406">
        <f>'2030'!Wh/'2030'!Env_an*'2031'!Env_an</f>
        <v>24.631369375106559</v>
      </c>
      <c r="C375" s="831"/>
      <c r="D375" s="388">
        <f t="shared" si="127"/>
        <v>25.941256971249192</v>
      </c>
      <c r="E375" s="380">
        <f t="shared" si="150"/>
        <v>27.106125922521819</v>
      </c>
      <c r="F375" s="380">
        <f t="shared" si="128"/>
        <v>27.106125922521819</v>
      </c>
      <c r="G375" s="110">
        <f t="shared" si="151"/>
        <v>0.27843359262997414</v>
      </c>
      <c r="H375" s="409" t="b">
        <f>Wh_hp&gt;='2030'!Maxi_hp</f>
        <v>0</v>
      </c>
      <c r="I375" s="385">
        <f>IF(H375,Wh_hp,'2030'!Maxi_hp)</f>
        <v>41.855930622746683</v>
      </c>
      <c r="J375" s="85">
        <f>IF(H375,An,'2030'!An_max)</f>
        <v>2021</v>
      </c>
      <c r="K375" s="193">
        <f t="shared" si="129"/>
        <v>48209</v>
      </c>
      <c r="L375" s="143">
        <f>IF(t&lt;Tvie,1-EXP((T0-t)*PertePVj)+'2030'!Pspv,1-EXP((T0-t)*PertePVj)+Pspv)</f>
        <v>5.0494376490483384E-2</v>
      </c>
      <c r="M375" s="835"/>
      <c r="N375" s="835"/>
      <c r="O375" s="48">
        <f>IF(t&lt;Tnet,'2030'!Resal+('2030'!Salim-'2030'!Resal)*(1-EXP(('2030'!Tnet-t)/('2030'!Tau_j))),Resal+(Salim-Resal)*(1-EXP((Tnet-t)/(Tau_j))))*Salcycl</f>
        <v>4.2974379835842375E-2</v>
      </c>
      <c r="P375" s="165">
        <f>(INDEX(Models!$BJ375:$BT375,,T375)*(1-R375)+INDEX(Models!$BJ375:$BT375,,T375+1)*R375-ERP_i)*Q375*Ramure*Pc/MaxiM</f>
        <v>1.6296337984334378E-3</v>
      </c>
      <c r="Q375" s="301">
        <f t="shared" si="130"/>
        <v>0.5</v>
      </c>
      <c r="R375" s="173">
        <f t="shared" si="131"/>
        <v>0.4645408842992369</v>
      </c>
      <c r="S375" s="801">
        <f t="shared" si="132"/>
        <v>1</v>
      </c>
      <c r="T375" s="172">
        <f t="shared" si="133"/>
        <v>7</v>
      </c>
      <c r="U375" s="247">
        <f t="shared" si="134"/>
        <v>1.4645408842992369</v>
      </c>
      <c r="V375" s="378">
        <f t="shared" si="135"/>
        <v>88.319907920564162</v>
      </c>
      <c r="W375" s="397">
        <f t="shared" si="136"/>
        <v>24.631369375106559</v>
      </c>
      <c r="X375" s="153">
        <f t="shared" si="137"/>
        <v>48209</v>
      </c>
      <c r="Y375" s="380">
        <f t="shared" si="138"/>
        <v>24.105685041741676</v>
      </c>
      <c r="Z375" s="380">
        <f t="shared" si="139"/>
        <v>25.387616929158789</v>
      </c>
      <c r="AA375" s="381">
        <f t="shared" si="140"/>
        <v>27.106125922521819</v>
      </c>
      <c r="AB375" s="193">
        <f t="shared" si="141"/>
        <v>48209</v>
      </c>
      <c r="AC375" s="119">
        <f>IF(OR(t&lt;Tnet,NoTnet),'2030'!Resal_s+('2030'!Salim-'2030'!Resal_s)*(1-EXP(('2030'!Tnet_s-t)/'2030'!Tau_j)),Resal_s+(Salim-Resal_s)*(1-EXP((Tnet_s-t)/Tau_j)))*Salcycl</f>
        <v>6.3399284658940014E-2</v>
      </c>
      <c r="AD375" s="227">
        <f>(INDEX(Models!$BJ375:$BT375,,AH375)*(1-AF375)+INDEX(Models!$BJ375:$BT375,,AH375+1)*AF375-ERP_i)*AE375*Ramure*Pc/MaxiM</f>
        <v>6.3368395176386563E-3</v>
      </c>
      <c r="AE375" s="301">
        <f t="shared" si="142"/>
        <v>0.5</v>
      </c>
      <c r="AF375" s="173">
        <f t="shared" si="143"/>
        <v>0.98952845067321515</v>
      </c>
      <c r="AG375" s="801">
        <f t="shared" si="149"/>
        <v>4</v>
      </c>
      <c r="AH375" s="172">
        <f t="shared" si="144"/>
        <v>10</v>
      </c>
      <c r="AI375" s="221">
        <f t="shared" si="145"/>
        <v>4.9895284506732152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48210</v>
      </c>
      <c r="B376" s="406">
        <f>'2030'!Wh/'2030'!Env_an*'2031'!Env_an</f>
        <v>64.641517466054495</v>
      </c>
      <c r="C376" s="831"/>
      <c r="D376" s="388">
        <f t="shared" si="127"/>
        <v>68.080062682862859</v>
      </c>
      <c r="E376" s="380">
        <f t="shared" si="150"/>
        <v>71.139978401610364</v>
      </c>
      <c r="F376" s="380">
        <f t="shared" si="128"/>
        <v>71.211459002403728</v>
      </c>
      <c r="G376" s="110">
        <f t="shared" si="151"/>
        <v>0.72844296506517725</v>
      </c>
      <c r="H376" s="409" t="b">
        <f>Wh_hp&gt;='2030'!Maxi_hp</f>
        <v>0</v>
      </c>
      <c r="I376" s="385">
        <f>IF(H376,Wh_hp,'2030'!Maxi_hp)</f>
        <v>71.242647687100458</v>
      </c>
      <c r="J376" s="85">
        <f>IF(H376,An,'2030'!An_max)</f>
        <v>2029</v>
      </c>
      <c r="K376" s="193">
        <f t="shared" si="129"/>
        <v>48210</v>
      </c>
      <c r="L376" s="143">
        <f>IF(t&lt;Tvie,1-EXP((T0-t)*PertePVj)+'2030'!Pspv,1-EXP((T0-t)*PertePVj)+Pspv)</f>
        <v>5.0507374425110774E-2</v>
      </c>
      <c r="M376" s="835"/>
      <c r="N376" s="835"/>
      <c r="O376" s="48">
        <f>IF(t&lt;Tnet,'2030'!Resal+('2030'!Salim-'2030'!Resal)*(1-EXP(('2030'!Tnet-t)/('2030'!Tau_j))),Resal+(Salim-Resal)*(1-EXP((Tnet-t)/(Tau_j))))*Salcycl</f>
        <v>4.3012603988620834E-2</v>
      </c>
      <c r="P376" s="165">
        <f>(INDEX(Models!$BJ376:$BT376,,T376)*(1-R376)+INDEX(Models!$BJ376:$BT376,,T376+1)*R376-ERP_i)*Q376*Ramure*Pc/MaxiM</f>
        <v>1.6382280098894515E-3</v>
      </c>
      <c r="Q376" s="301">
        <f t="shared" si="130"/>
        <v>0.5</v>
      </c>
      <c r="R376" s="173">
        <f t="shared" si="131"/>
        <v>0.4645408842992369</v>
      </c>
      <c r="S376" s="801">
        <f t="shared" si="132"/>
        <v>1</v>
      </c>
      <c r="T376" s="172">
        <f t="shared" si="133"/>
        <v>7</v>
      </c>
      <c r="U376" s="247">
        <f t="shared" si="134"/>
        <v>1.4645408842992369</v>
      </c>
      <c r="V376" s="378">
        <f t="shared" si="135"/>
        <v>88.682941067344956</v>
      </c>
      <c r="W376" s="397">
        <f t="shared" si="136"/>
        <v>64.641517466054495</v>
      </c>
      <c r="X376" s="153">
        <f t="shared" si="137"/>
        <v>48210</v>
      </c>
      <c r="Y376" s="380">
        <f t="shared" si="138"/>
        <v>63.081710434852809</v>
      </c>
      <c r="Z376" s="380">
        <f t="shared" si="139"/>
        <v>66.437283171797915</v>
      </c>
      <c r="AA376" s="381">
        <f t="shared" si="140"/>
        <v>70.935592759079455</v>
      </c>
      <c r="AB376" s="193">
        <f t="shared" si="141"/>
        <v>48210</v>
      </c>
      <c r="AC376" s="119">
        <f>IF(OR(t&lt;Tnet,NoTnet),'2030'!Resal_s+('2030'!Salim-'2030'!Resal_s)*(1-EXP(('2030'!Tnet_s-t)/'2030'!Tau_j)),Resal_s+(Salim-Resal_s)*(1-EXP((Tnet_s-t)/Tau_j)))*Salcycl</f>
        <v>6.3413998703856375E-2</v>
      </c>
      <c r="AD376" s="227">
        <f>(INDEX(Models!$BJ376:$BT376,,AH376)*(1-AF376)+INDEX(Models!$BJ376:$BT376,,AH376+1)*AF376-ERP_i)*AE376*Ramure*Pc/MaxiM</f>
        <v>6.3224399596646759E-3</v>
      </c>
      <c r="AE376" s="301">
        <f t="shared" si="142"/>
        <v>0.5</v>
      </c>
      <c r="AF376" s="173">
        <f t="shared" si="143"/>
        <v>0.98952845067321515</v>
      </c>
      <c r="AG376" s="801">
        <f t="shared" si="149"/>
        <v>4</v>
      </c>
      <c r="AH376" s="172">
        <f t="shared" si="144"/>
        <v>10</v>
      </c>
      <c r="AI376" s="221">
        <f t="shared" si="145"/>
        <v>4.9895284506732152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48211</v>
      </c>
      <c r="B377" s="406">
        <f>'2030'!Wh/'2030'!Env_an*'2031'!Env_an</f>
        <v>39.9762045883488</v>
      </c>
      <c r="C377" s="831"/>
      <c r="D377" s="388">
        <f t="shared" si="127"/>
        <v>42.103277855692426</v>
      </c>
      <c r="E377" s="380">
        <f t="shared" si="150"/>
        <v>43.997407911183288</v>
      </c>
      <c r="F377" s="380">
        <f t="shared" si="128"/>
        <v>44.012831732752005</v>
      </c>
      <c r="G377" s="110">
        <f t="shared" si="151"/>
        <v>0.44814776832587949</v>
      </c>
      <c r="H377" s="409" t="b">
        <f>Wh_hp&gt;='2030'!Maxi_hp</f>
        <v>0</v>
      </c>
      <c r="I377" s="385">
        <f>IF(H377,Wh_hp,'2030'!Maxi_hp)</f>
        <v>44.052265781389913</v>
      </c>
      <c r="J377" s="85">
        <f>IF(H377,An,'2030'!An_max)</f>
        <v>2029</v>
      </c>
      <c r="K377" s="193">
        <f t="shared" si="129"/>
        <v>48211</v>
      </c>
      <c r="L377" s="143">
        <f>IF(t&lt;Tvie,1-EXP((T0-t)*PertePVj)+'2030'!Pspv,1-EXP((T0-t)*PertePVj)+Pspv)</f>
        <v>5.0520372181807272E-2</v>
      </c>
      <c r="M377" s="835"/>
      <c r="N377" s="835"/>
      <c r="O377" s="48">
        <f>IF(t&lt;Tnet,'2030'!Resal+('2030'!Salim-'2030'!Resal)*(1-EXP(('2030'!Tnet-t)/('2030'!Tau_j))),Resal+(Salim-Resal)*(1-EXP((Tnet-t)/(Tau_j))))*Salcycl</f>
        <v>4.3050946531088992E-2</v>
      </c>
      <c r="P377" s="165">
        <f>(INDEX(Models!$BJ377:$BT377,,T377)*(1-R377)+INDEX(Models!$BJ377:$BT377,,T377+1)*R377-ERP_i)*Q377*Ramure*Pc/MaxiM</f>
        <v>1.649338221187722E-3</v>
      </c>
      <c r="Q377" s="301">
        <f t="shared" si="130"/>
        <v>0.5</v>
      </c>
      <c r="R377" s="173">
        <f t="shared" si="131"/>
        <v>0.4645408842992369</v>
      </c>
      <c r="S377" s="801">
        <f t="shared" si="132"/>
        <v>1</v>
      </c>
      <c r="T377" s="172">
        <f t="shared" si="133"/>
        <v>7</v>
      </c>
      <c r="U377" s="247">
        <f t="shared" si="134"/>
        <v>1.4645408842992369</v>
      </c>
      <c r="V377" s="378">
        <f t="shared" si="135"/>
        <v>89.087270213465644</v>
      </c>
      <c r="W377" s="397">
        <f t="shared" si="136"/>
        <v>39.9762045883488</v>
      </c>
      <c r="X377" s="153">
        <f t="shared" si="137"/>
        <v>48211</v>
      </c>
      <c r="Y377" s="380">
        <f t="shared" si="138"/>
        <v>39.086154834194545</v>
      </c>
      <c r="Z377" s="380">
        <f t="shared" si="139"/>
        <v>41.165869902875684</v>
      </c>
      <c r="AA377" s="381">
        <f t="shared" si="140"/>
        <v>43.953813592981156</v>
      </c>
      <c r="AB377" s="193">
        <f t="shared" si="141"/>
        <v>48211</v>
      </c>
      <c r="AC377" s="119">
        <f>IF(OR(t&lt;Tnet,NoTnet),'2030'!Resal_s+('2030'!Salim-'2030'!Resal_s)*(1-EXP(('2030'!Tnet_s-t)/'2030'!Tau_j)),Resal_s+(Salim-Resal_s)*(1-EXP((Tnet_s-t)/Tau_j)))*Salcycl</f>
        <v>6.3428937382367878E-2</v>
      </c>
      <c r="AD377" s="227">
        <f>(INDEX(Models!$BJ377:$BT377,,AH377)*(1-AF377)+INDEX(Models!$BJ377:$BT377,,AH377+1)*AF377-ERP_i)*AE377*Ramure*Pc/MaxiM</f>
        <v>6.3110736359206741E-3</v>
      </c>
      <c r="AE377" s="301">
        <f t="shared" si="142"/>
        <v>0.5</v>
      </c>
      <c r="AF377" s="173">
        <f t="shared" si="143"/>
        <v>0.98952845067321515</v>
      </c>
      <c r="AG377" s="801">
        <f t="shared" si="149"/>
        <v>4</v>
      </c>
      <c r="AH377" s="172">
        <f t="shared" si="144"/>
        <v>10</v>
      </c>
      <c r="AI377" s="221">
        <f t="shared" si="145"/>
        <v>4.9895284506732152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48212</v>
      </c>
      <c r="B378" s="406">
        <f>'2030'!Wh/'2030'!Env_an*'2031'!Env_an</f>
        <v>57.2480671849871</v>
      </c>
      <c r="C378" s="831"/>
      <c r="D378" s="388">
        <f t="shared" si="127"/>
        <v>60.294975475389798</v>
      </c>
      <c r="E378" s="380">
        <f t="shared" si="150"/>
        <v>63.010039723771783</v>
      </c>
      <c r="F378" s="380">
        <f t="shared" si="128"/>
        <v>63.060887906424398</v>
      </c>
      <c r="G378" s="110">
        <f t="shared" si="151"/>
        <v>0.63887239328249601</v>
      </c>
      <c r="H378" s="409" t="b">
        <f>Wh_hp&gt;='2030'!Maxi_hp</f>
        <v>0</v>
      </c>
      <c r="I378" s="385">
        <f>IF(H378,Wh_hp,'2030'!Maxi_hp)</f>
        <v>76.342020804358668</v>
      </c>
      <c r="J378" s="85">
        <f>IF(H378,An,'2030'!An_max)</f>
        <v>2021</v>
      </c>
      <c r="K378" s="193">
        <f t="shared" si="129"/>
        <v>48212</v>
      </c>
      <c r="L378" s="143">
        <f>IF(t&lt;Tvie,1-EXP((T0-t)*PertePVj)+'2030'!Pspv,1-EXP((T0-t)*PertePVj)+Pspv)</f>
        <v>5.0533369760575431E-2</v>
      </c>
      <c r="M378" s="835"/>
      <c r="N378" s="835"/>
      <c r="O378" s="48">
        <f>IF(t&lt;Tnet,'2030'!Resal+('2030'!Salim-'2030'!Resal)*(1-EXP(('2030'!Tnet-t)/('2030'!Tau_j))),Resal+(Salim-Resal)*(1-EXP((Tnet-t)/(Tau_j))))*Salcycl</f>
        <v>4.3089391155512573E-2</v>
      </c>
      <c r="P378" s="165">
        <f>(INDEX(Models!$BJ378:$BT378,,T378)*(1-R378)+INDEX(Models!$BJ378:$BT378,,T378+1)*R378-ERP_i)*Q378*Ramure*Pc/MaxiM</f>
        <v>1.6629348873083898E-3</v>
      </c>
      <c r="Q378" s="301">
        <f t="shared" si="130"/>
        <v>0.5</v>
      </c>
      <c r="R378" s="173">
        <f t="shared" si="131"/>
        <v>0.4645408842992369</v>
      </c>
      <c r="S378" s="801">
        <f t="shared" si="132"/>
        <v>1</v>
      </c>
      <c r="T378" s="172">
        <f t="shared" si="133"/>
        <v>7</v>
      </c>
      <c r="U378" s="247">
        <f t="shared" si="134"/>
        <v>1.4645408842992369</v>
      </c>
      <c r="V378" s="378">
        <f t="shared" si="135"/>
        <v>89.531163825973891</v>
      </c>
      <c r="W378" s="397">
        <f t="shared" si="136"/>
        <v>57.2480671849871</v>
      </c>
      <c r="X378" s="153">
        <f t="shared" si="137"/>
        <v>48212</v>
      </c>
      <c r="Y378" s="380">
        <f t="shared" si="138"/>
        <v>55.904170319488237</v>
      </c>
      <c r="Z378" s="380">
        <f t="shared" si="139"/>
        <v>58.879552518229133</v>
      </c>
      <c r="AA378" s="381">
        <f t="shared" si="140"/>
        <v>62.868165176601778</v>
      </c>
      <c r="AB378" s="193">
        <f t="shared" si="141"/>
        <v>48212</v>
      </c>
      <c r="AC378" s="119">
        <f>IF(OR(t&lt;Tnet,NoTnet),'2030'!Resal_s+('2030'!Salim-'2030'!Resal_s)*(1-EXP(('2030'!Tnet_s-t)/'2030'!Tau_j)),Resal_s+(Salim-Resal_s)*(1-EXP((Tnet_s-t)/Tau_j)))*Salcycl</f>
        <v>6.3444076142007727E-2</v>
      </c>
      <c r="AD378" s="227">
        <f>(INDEX(Models!$BJ378:$BT378,,AH378)*(1-AF378)+INDEX(Models!$BJ378:$BT378,,AH378+1)*AF378-ERP_i)*AE378*Ramure*Pc/MaxiM</f>
        <v>6.3027886992309684E-3</v>
      </c>
      <c r="AE378" s="301">
        <f t="shared" si="142"/>
        <v>0.5</v>
      </c>
      <c r="AF378" s="173">
        <f t="shared" si="143"/>
        <v>0.98952845067321515</v>
      </c>
      <c r="AG378" s="801">
        <f t="shared" si="149"/>
        <v>4</v>
      </c>
      <c r="AH378" s="172">
        <f t="shared" si="144"/>
        <v>10</v>
      </c>
      <c r="AI378" s="221">
        <f t="shared" si="145"/>
        <v>4.9895284506732152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48213</v>
      </c>
      <c r="B379" s="406">
        <f>'2030'!Wh/'2030'!Env_an*'2031'!Env_an</f>
        <v>45.823317999178073</v>
      </c>
      <c r="C379" s="831"/>
      <c r="D379" s="388">
        <f t="shared" si="127"/>
        <v>48.262828656708663</v>
      </c>
      <c r="E379" s="380">
        <f t="shared" si="150"/>
        <v>50.438120004281537</v>
      </c>
      <c r="F379" s="380">
        <f t="shared" si="128"/>
        <v>50.463426245782664</v>
      </c>
      <c r="G379" s="110">
        <f t="shared" si="151"/>
        <v>0.50847532324725842</v>
      </c>
      <c r="H379" s="409" t="b">
        <f>Wh_hp&gt;='2030'!Maxi_hp</f>
        <v>0</v>
      </c>
      <c r="I379" s="385">
        <f>IF(H379,Wh_hp,'2030'!Maxi_hp)</f>
        <v>98.426511979974805</v>
      </c>
      <c r="J379" s="85">
        <f>IF(H379,An,'2030'!An_max)</f>
        <v>2021</v>
      </c>
      <c r="K379" s="193">
        <f t="shared" si="129"/>
        <v>48213</v>
      </c>
      <c r="L379" s="143">
        <f>IF(t&lt;Tvie,1-EXP((T0-t)*PertePVj)+'2030'!Pspv,1-EXP((T0-t)*PertePVj)+Pspv)</f>
        <v>5.0546367161417693E-2</v>
      </c>
      <c r="M379" s="835"/>
      <c r="N379" s="835"/>
      <c r="O379" s="48">
        <f>IF(t&lt;Tnet,'2030'!Resal+('2030'!Salim-'2030'!Resal)*(1-EXP(('2030'!Tnet-t)/('2030'!Tau_j))),Resal+(Salim-Resal)*(1-EXP((Tnet-t)/(Tau_j))))*Salcycl</f>
        <v>4.3127922836700056E-2</v>
      </c>
      <c r="P379" s="165">
        <f>(INDEX(Models!$BJ379:$BT379,,T379)*(1-R379)+INDEX(Models!$BJ379:$BT379,,T379+1)*R379-ERP_i)*Q379*Ramure*Pc/MaxiM</f>
        <v>1.6789846140603762E-3</v>
      </c>
      <c r="Q379" s="302">
        <f t="shared" si="130"/>
        <v>0.5</v>
      </c>
      <c r="R379" s="173">
        <f t="shared" si="131"/>
        <v>0.4645408842992369</v>
      </c>
      <c r="S379" s="801">
        <f t="shared" si="132"/>
        <v>1</v>
      </c>
      <c r="T379" s="172">
        <f t="shared" si="133"/>
        <v>7</v>
      </c>
      <c r="U379" s="303">
        <f t="shared" si="134"/>
        <v>1.4645408842992369</v>
      </c>
      <c r="V379" s="378">
        <f t="shared" si="135"/>
        <v>90.012890544178504</v>
      </c>
      <c r="W379" s="397">
        <f t="shared" si="136"/>
        <v>45.823317999178073</v>
      </c>
      <c r="X379" s="153">
        <f t="shared" si="137"/>
        <v>48213</v>
      </c>
      <c r="Y379" s="380">
        <f t="shared" si="138"/>
        <v>44.787770526464072</v>
      </c>
      <c r="Z379" s="380">
        <f t="shared" si="139"/>
        <v>47.17215141150394</v>
      </c>
      <c r="AA379" s="381">
        <f t="shared" si="140"/>
        <v>50.368506210900726</v>
      </c>
      <c r="AB379" s="193">
        <f t="shared" si="141"/>
        <v>48213</v>
      </c>
      <c r="AC379" s="119">
        <f>IF(OR(t&lt;Tnet,NoTnet),'2030'!Resal_s+('2030'!Salim-'2030'!Resal_s)*(1-EXP(('2030'!Tnet_s-t)/'2030'!Tau_j)),Resal_s+(Salim-Resal_s)*(1-EXP((Tnet_s-t)/Tau_j)))*Salcycl</f>
        <v>6.345939238327121E-2</v>
      </c>
      <c r="AD379" s="227">
        <f>(INDEX(Models!$BJ379:$BT379,,AH379)*(1-AF379)+INDEX(Models!$BJ379:$BT379,,AH379+1)*AF379-ERP_i)*AE379*Ramure*Pc/MaxiM</f>
        <v>6.2976273314133101E-3</v>
      </c>
      <c r="AE379" s="302">
        <f t="shared" si="142"/>
        <v>0.5</v>
      </c>
      <c r="AF379" s="173">
        <f t="shared" si="143"/>
        <v>0.98952845067321515</v>
      </c>
      <c r="AG379" s="801">
        <f t="shared" si="149"/>
        <v>4</v>
      </c>
      <c r="AH379" s="172">
        <f t="shared" si="144"/>
        <v>10</v>
      </c>
      <c r="AI379" s="218">
        <f t="shared" si="145"/>
        <v>4.9895284506732152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599"/>
      <c r="B380" s="795"/>
      <c r="C380" s="832"/>
      <c r="D380" s="600"/>
      <c r="E380" s="382"/>
      <c r="F380" s="382"/>
      <c r="G380" s="601"/>
      <c r="H380" s="594" t="b">
        <f>Wh_hp&gt;='2030'!Maxi_hp</f>
        <v>0</v>
      </c>
      <c r="I380" s="595">
        <f>IF(H380,Wh_hp,'2030'!Maxi_hp)</f>
        <v>63.199838713856806</v>
      </c>
      <c r="J380" s="147">
        <f>IF(H380,An,'2030'!An_max)</f>
        <v>2024</v>
      </c>
      <c r="K380" s="230"/>
      <c r="L380" s="602"/>
      <c r="M380" s="836"/>
      <c r="N380" s="836"/>
      <c r="O380" s="603"/>
      <c r="P380" s="318"/>
      <c r="Q380" s="225"/>
      <c r="R380" s="225"/>
      <c r="S380" s="225"/>
      <c r="T380" s="225"/>
      <c r="U380" s="319"/>
      <c r="V380" s="392">
        <f>(V379+V15)/2</f>
        <v>91.389071193310656</v>
      </c>
      <c r="W380" s="794"/>
      <c r="X380" s="604"/>
      <c r="Y380" s="382"/>
      <c r="Z380" s="382"/>
      <c r="AA380" s="383"/>
      <c r="AB380" s="230"/>
      <c r="AC380" s="605"/>
      <c r="AD380" s="318"/>
      <c r="AE380" s="225"/>
      <c r="AF380" s="225"/>
      <c r="AG380" s="225"/>
      <c r="AH380" s="225"/>
      <c r="AI380" s="606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7.1107891346737908</v>
      </c>
      <c r="C381" s="370"/>
      <c r="D381" s="368">
        <f>MIN(D15:D380)</f>
        <v>7.4530409109512892</v>
      </c>
      <c r="E381" s="368">
        <f>MIN(E15:E380)</f>
        <v>7.6485440493364001</v>
      </c>
      <c r="F381" s="369">
        <f>MIN(F15:F380)</f>
        <v>7.6485440493364001</v>
      </c>
      <c r="G381" s="125">
        <f>+MIN(G15:G380)</f>
        <v>7.1776715019256351E-2</v>
      </c>
      <c r="H381" s="94"/>
      <c r="I381" s="369">
        <f>MIN(I15:I380)</f>
        <v>7.65787086076881</v>
      </c>
      <c r="J381" s="57">
        <f>MIN(J15:J380)</f>
        <v>2021</v>
      </c>
      <c r="K381" s="196" t="s">
        <v>7</v>
      </c>
      <c r="L381" s="142">
        <f t="shared" ref="L381:T381" si="152">MIN(L15:L380)</f>
        <v>4.5803538958552714E-2</v>
      </c>
      <c r="M381" s="837"/>
      <c r="N381" s="837"/>
      <c r="O381" s="47">
        <f t="shared" si="152"/>
        <v>2.5028399344446509E-2</v>
      </c>
      <c r="P381" s="164">
        <f t="shared" si="152"/>
        <v>4.7663972125437285E-5</v>
      </c>
      <c r="Q381" s="306">
        <f t="shared" si="152"/>
        <v>0.5</v>
      </c>
      <c r="R381" s="307">
        <f t="shared" si="152"/>
        <v>1.896249624573354E-4</v>
      </c>
      <c r="S381" s="801">
        <f t="shared" si="152"/>
        <v>0</v>
      </c>
      <c r="T381" s="172">
        <f t="shared" si="152"/>
        <v>6</v>
      </c>
      <c r="U381" s="248">
        <f>MIN(U15:U380)</f>
        <v>0.96454215733540793</v>
      </c>
      <c r="V381" s="57">
        <f>MIN(V15:V380)</f>
        <v>86.974479863637583</v>
      </c>
      <c r="W381" s="58"/>
      <c r="X381" s="112" t="s">
        <v>7</v>
      </c>
      <c r="Y381" s="368">
        <f>MIN(Y15:Y380)</f>
        <v>6.8919405646744858</v>
      </c>
      <c r="Z381" s="368">
        <f>MIN(Z15:Z380)</f>
        <v>7.2236588670436079</v>
      </c>
      <c r="AA381" s="368">
        <f>MIN(AA15:AA380)</f>
        <v>7.6485440493364001</v>
      </c>
      <c r="AB381" s="196" t="s">
        <v>7</v>
      </c>
      <c r="AC381" s="47">
        <f t="shared" ref="AC381:AH381" si="153">MIN(AC15:AC380)</f>
        <v>5.5324878990463941E-2</v>
      </c>
      <c r="AD381" s="164">
        <f t="shared" si="153"/>
        <v>3.1214148604781765E-4</v>
      </c>
      <c r="AE381" s="306">
        <f t="shared" si="153"/>
        <v>0.5</v>
      </c>
      <c r="AF381" s="307">
        <f t="shared" si="153"/>
        <v>0.48952972370938586</v>
      </c>
      <c r="AG381" s="801">
        <f t="shared" si="153"/>
        <v>4</v>
      </c>
      <c r="AH381" s="172">
        <f t="shared" si="153"/>
        <v>10</v>
      </c>
      <c r="AI381" s="222">
        <f>MIN(AI15:AI380)</f>
        <v>4.4895297237093859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120.7284791417493</v>
      </c>
      <c r="C382" s="370"/>
      <c r="D382" s="370">
        <f>AVERAGE(D15:D380)</f>
        <v>126.82985072558317</v>
      </c>
      <c r="E382" s="370">
        <f>AVERAGE(E15:E380)</f>
        <v>131.50016496562765</v>
      </c>
      <c r="F382" s="371">
        <f>AVERAGE(F15:F380)</f>
        <v>131.52568595965946</v>
      </c>
      <c r="G382" s="126">
        <f>AVERAGE(G15:G380)</f>
        <v>0.68235730466550282</v>
      </c>
      <c r="H382" s="94"/>
      <c r="I382" s="371">
        <f>AVERAGE(I15:I380)</f>
        <v>132.55763400935291</v>
      </c>
      <c r="J382" s="59">
        <f>AVERAGE(J15:J380)</f>
        <v>2027.3524590163934</v>
      </c>
      <c r="K382" s="196" t="s">
        <v>8</v>
      </c>
      <c r="L382" s="143">
        <f t="shared" ref="L382:V382" si="154">AVERAGE(L15:L380)</f>
        <v>4.817691706400664E-2</v>
      </c>
      <c r="M382" s="835"/>
      <c r="N382" s="835"/>
      <c r="O382" s="48">
        <f t="shared" si="154"/>
        <v>3.5461730050350998E-2</v>
      </c>
      <c r="P382" s="165">
        <f t="shared" si="154"/>
        <v>5.027705837253076E-4</v>
      </c>
      <c r="Q382" s="308">
        <f t="shared" si="154"/>
        <v>0.5</v>
      </c>
      <c r="R382" s="173">
        <f t="shared" si="154"/>
        <v>0.51291890501948345</v>
      </c>
      <c r="S382" s="801">
        <f t="shared" si="154"/>
        <v>0.73150684931506849</v>
      </c>
      <c r="T382" s="172">
        <f t="shared" si="154"/>
        <v>6.7315068493150685</v>
      </c>
      <c r="U382" s="247">
        <f>AVERAGE(U15:U380)</f>
        <v>1.2444257543345532</v>
      </c>
      <c r="V382" s="59">
        <f t="shared" si="154"/>
        <v>171.1847978781098</v>
      </c>
      <c r="X382" s="112" t="s">
        <v>8</v>
      </c>
      <c r="Y382" s="370">
        <f>AVERAGE(Y15:Y380)</f>
        <v>117.41995324323796</v>
      </c>
      <c r="Z382" s="370">
        <f>AVERAGE(Z15:Z380)</f>
        <v>123.35441487129268</v>
      </c>
      <c r="AA382" s="370">
        <f>AVERAGE(AA15:AA380)</f>
        <v>131.40082702221545</v>
      </c>
      <c r="AB382" s="196" t="s">
        <v>8</v>
      </c>
      <c r="AC382" s="48">
        <f t="shared" ref="AC382:AH382" si="155">AVERAGE(AC15:AC380)</f>
        <v>6.0954959315646311E-2</v>
      </c>
      <c r="AD382" s="165">
        <f t="shared" si="155"/>
        <v>2.3157313293047394E-3</v>
      </c>
      <c r="AE382" s="308">
        <f t="shared" si="155"/>
        <v>0.5</v>
      </c>
      <c r="AF382" s="173">
        <f t="shared" si="155"/>
        <v>0.7694133207085293</v>
      </c>
      <c r="AG382" s="801">
        <f t="shared" si="155"/>
        <v>4</v>
      </c>
      <c r="AH382" s="172">
        <f t="shared" si="155"/>
        <v>10</v>
      </c>
      <c r="AI382" s="221">
        <f>AVERAGE(AI15:AI380)</f>
        <v>4.7694133207085283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239.03063256405525</v>
      </c>
      <c r="C383" s="372"/>
      <c r="D383" s="372">
        <f>MAX(D15:D380)</f>
        <v>251.11577691005019</v>
      </c>
      <c r="E383" s="372">
        <f>MAX(E15:E380)</f>
        <v>260.59398383235941</v>
      </c>
      <c r="F383" s="373">
        <f>MAX(F15:F380)</f>
        <v>260.61207165828807</v>
      </c>
      <c r="G383" s="127">
        <f>+MAX(G15:G380)</f>
        <v>1.0401867145003136</v>
      </c>
      <c r="H383" s="94"/>
      <c r="I383" s="373">
        <f>MAX(I15:I380)</f>
        <v>260.61207165828807</v>
      </c>
      <c r="J383" s="60">
        <f>MAX(J15:J380)</f>
        <v>2031</v>
      </c>
      <c r="K383" s="196" t="s">
        <v>9</v>
      </c>
      <c r="L383" s="144">
        <f t="shared" ref="L383:T383" si="156">MAX(L15:L380)</f>
        <v>5.0546367161417693E-2</v>
      </c>
      <c r="M383" s="838"/>
      <c r="N383" s="838"/>
      <c r="O383" s="49">
        <f t="shared" si="156"/>
        <v>4.3127922836700056E-2</v>
      </c>
      <c r="P383" s="166">
        <f t="shared" si="156"/>
        <v>2.1784295651634464E-3</v>
      </c>
      <c r="Q383" s="309">
        <f t="shared" si="156"/>
        <v>0.5</v>
      </c>
      <c r="R383" s="310">
        <f t="shared" si="156"/>
        <v>0.99882848597489127</v>
      </c>
      <c r="S383" s="802">
        <f t="shared" si="156"/>
        <v>1</v>
      </c>
      <c r="T383" s="229">
        <f t="shared" si="156"/>
        <v>7</v>
      </c>
      <c r="U383" s="249">
        <f>MAX(U15:U380)</f>
        <v>1.4645408842992369</v>
      </c>
      <c r="V383" s="60">
        <f>MAX(V15:V380)</f>
        <v>231.46254667410886</v>
      </c>
      <c r="X383" s="112" t="s">
        <v>9</v>
      </c>
      <c r="Y383" s="372">
        <f>MAX(Y15:Y380)</f>
        <v>232.47950268934088</v>
      </c>
      <c r="Z383" s="372">
        <f>MAX(Z15:Z380)</f>
        <v>244.23342860815757</v>
      </c>
      <c r="AA383" s="372">
        <f>MAX(AA15:AA380)</f>
        <v>260.49912805849522</v>
      </c>
      <c r="AB383" s="196" t="s">
        <v>9</v>
      </c>
      <c r="AC383" s="49">
        <f t="shared" ref="AC383:AH383" si="157">MAX(AC15:AC380)</f>
        <v>6.4241010391789991E-2</v>
      </c>
      <c r="AD383" s="166">
        <f t="shared" si="157"/>
        <v>8.4671413396921816E-3</v>
      </c>
      <c r="AE383" s="309">
        <f t="shared" si="157"/>
        <v>0.5</v>
      </c>
      <c r="AF383" s="310">
        <f t="shared" si="157"/>
        <v>0.98952845067321515</v>
      </c>
      <c r="AG383" s="802">
        <f t="shared" si="157"/>
        <v>4</v>
      </c>
      <c r="AH383" s="229">
        <f t="shared" si="157"/>
        <v>10</v>
      </c>
      <c r="AI383" s="223">
        <f>MAX(AI15:AI380)</f>
        <v>4.9895284506732152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5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E5" sqref="E5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24" customWidth="1"/>
    <col min="14" max="14" width="9.140625" style="624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37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89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59" customWidth="1"/>
    <col min="50" max="51" width="6.85546875" style="15" customWidth="1"/>
    <col min="52" max="16384" width="11.42578125" style="15"/>
  </cols>
  <sheetData>
    <row r="1" spans="1:49" ht="21.75" thickBot="1" x14ac:dyDescent="0.4">
      <c r="A1" s="651" t="str">
        <f>"Calcul Masques  "&amp;Station</f>
        <v>Calcul Masques  Hangar Goussaud Espanès</v>
      </c>
      <c r="B1" s="1199" t="str">
        <f>Station</f>
        <v>Hangar Goussaud Espanès</v>
      </c>
      <c r="C1" s="1200"/>
      <c r="D1" s="1200"/>
      <c r="E1" s="1200"/>
      <c r="F1" s="1201"/>
      <c r="H1" s="22" t="s">
        <v>280</v>
      </c>
      <c r="I1" s="1218">
        <v>44630</v>
      </c>
      <c r="J1" s="1219"/>
      <c r="K1" s="875"/>
      <c r="M1" s="781" t="s">
        <v>170</v>
      </c>
      <c r="N1" s="653"/>
      <c r="O1" s="654"/>
      <c r="P1" s="654"/>
      <c r="Q1" s="653"/>
      <c r="R1" s="653"/>
      <c r="S1" s="655"/>
      <c r="T1" s="656"/>
      <c r="U1" s="655"/>
      <c r="V1" s="653"/>
      <c r="W1" s="655"/>
      <c r="X1" s="653"/>
      <c r="Y1" s="15"/>
      <c r="AA1" s="15"/>
    </row>
    <row r="2" spans="1:49" s="6" customFormat="1" ht="12.75" customHeight="1" thickBot="1" x14ac:dyDescent="0.25">
      <c r="A2" s="565"/>
      <c r="C2" s="657"/>
      <c r="D2" s="658"/>
      <c r="E2" s="1017"/>
      <c r="F2" s="1017"/>
      <c r="G2" s="26"/>
      <c r="H2" s="25"/>
      <c r="L2" s="8"/>
      <c r="P2" s="1109"/>
      <c r="Q2" s="1126" t="s">
        <v>350</v>
      </c>
      <c r="R2" s="1126" t="s">
        <v>349</v>
      </c>
      <c r="S2" s="1127" t="s">
        <v>351</v>
      </c>
      <c r="T2" s="1104"/>
      <c r="U2" s="557"/>
      <c r="V2" s="1104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M2" s="351"/>
      <c r="AN2" s="351"/>
      <c r="AO2" s="351"/>
      <c r="AP2" s="351"/>
      <c r="AQ2" s="351"/>
      <c r="AR2" s="351"/>
      <c r="AS2" s="351"/>
      <c r="AT2" s="351"/>
      <c r="AU2" s="351"/>
      <c r="AV2" s="351"/>
      <c r="AW2" s="351"/>
    </row>
    <row r="3" spans="1:49" ht="16.5" thickBot="1" x14ac:dyDescent="0.3">
      <c r="A3" s="659" t="s">
        <v>306</v>
      </c>
      <c r="B3" s="660"/>
      <c r="C3" s="660"/>
      <c r="E3" s="1018"/>
      <c r="F3" s="1019" t="s">
        <v>190</v>
      </c>
      <c r="G3" s="20"/>
      <c r="H3" s="22" t="s">
        <v>15</v>
      </c>
      <c r="I3" s="1120">
        <v>0.25</v>
      </c>
      <c r="J3" s="876">
        <f>DEGREES(ATAN(I3))</f>
        <v>14.036243467926479</v>
      </c>
      <c r="K3" s="876"/>
      <c r="L3" s="554" t="s">
        <v>346</v>
      </c>
      <c r="M3" s="877" t="s">
        <v>347</v>
      </c>
      <c r="P3" s="1110"/>
      <c r="Q3" s="1128">
        <f>3.6-2.59</f>
        <v>1.0100000000000002</v>
      </c>
      <c r="R3" s="1128">
        <v>4.4000000000000004</v>
      </c>
      <c r="S3" s="1129">
        <f>+Q3/R3</f>
        <v>0.22954545454545458</v>
      </c>
      <c r="T3" s="1111"/>
      <c r="U3" s="1112"/>
      <c r="V3" s="1111"/>
      <c r="W3" s="1112"/>
      <c r="X3" s="1112"/>
      <c r="Y3" s="1112"/>
      <c r="Z3" s="1112"/>
      <c r="AA3" s="1112"/>
      <c r="AB3" s="1112"/>
      <c r="AC3" s="1112"/>
      <c r="AD3" s="1112"/>
      <c r="AE3" s="1112"/>
      <c r="AF3" s="1112"/>
    </row>
    <row r="4" spans="1:49" s="25" customFormat="1" ht="12" thickBot="1" x14ac:dyDescent="0.25">
      <c r="A4" s="661" t="s">
        <v>139</v>
      </c>
      <c r="B4" s="878" t="s">
        <v>140</v>
      </c>
      <c r="C4" s="878" t="s">
        <v>141</v>
      </c>
      <c r="D4" s="878" t="s">
        <v>142</v>
      </c>
      <c r="E4" s="879" t="s">
        <v>168</v>
      </c>
      <c r="F4" s="662" t="s">
        <v>189</v>
      </c>
      <c r="I4" s="6"/>
      <c r="J4" s="880"/>
      <c r="K4" s="880"/>
      <c r="L4" s="6"/>
      <c r="O4" s="880" t="s">
        <v>281</v>
      </c>
      <c r="P4" s="1113"/>
      <c r="Q4" s="1114"/>
      <c r="R4" s="557"/>
      <c r="S4" s="1113"/>
      <c r="T4" s="1104"/>
      <c r="U4" s="557"/>
      <c r="V4" s="1104"/>
      <c r="W4" s="557"/>
      <c r="X4" s="1113"/>
      <c r="Y4" s="1113"/>
      <c r="Z4" s="1113"/>
      <c r="AA4" s="1113"/>
      <c r="AB4" s="1113"/>
      <c r="AC4" s="1113"/>
      <c r="AD4" s="1113"/>
      <c r="AE4" s="1113"/>
      <c r="AF4" s="1113"/>
      <c r="AM4" s="351"/>
      <c r="AN4" s="351"/>
      <c r="AO4" s="351"/>
      <c r="AP4" s="351"/>
      <c r="AQ4" s="351"/>
      <c r="AR4" s="351"/>
      <c r="AS4" s="351"/>
      <c r="AT4" s="351"/>
      <c r="AU4" s="351"/>
      <c r="AV4" s="351"/>
      <c r="AW4" s="351"/>
    </row>
    <row r="5" spans="1:49" ht="16.5" thickBot="1" x14ac:dyDescent="0.3">
      <c r="A5" s="663" t="s">
        <v>143</v>
      </c>
      <c r="B5" s="881">
        <v>2</v>
      </c>
      <c r="C5" s="882">
        <f>17+30</f>
        <v>47</v>
      </c>
      <c r="D5" s="167">
        <f>+C5*B5</f>
        <v>94</v>
      </c>
      <c r="E5" s="883">
        <v>0.38</v>
      </c>
      <c r="F5" s="664">
        <f>+D5*E5</f>
        <v>35.72</v>
      </c>
      <c r="G5" s="624"/>
      <c r="H5" s="22" t="s">
        <v>282</v>
      </c>
      <c r="I5" s="877">
        <f>212-180</f>
        <v>32</v>
      </c>
      <c r="J5" s="876"/>
      <c r="K5" s="876"/>
      <c r="L5" s="22" t="s">
        <v>283</v>
      </c>
      <c r="M5" s="877">
        <f>Azi_pvG</f>
        <v>32</v>
      </c>
      <c r="N5" s="884">
        <f>+IF($M$3="G",Azi_pvG,Azi_pvD)</f>
        <v>32</v>
      </c>
      <c r="O5" s="885">
        <f>90-$J$3</f>
        <v>75.963756532073518</v>
      </c>
      <c r="P5" s="1115"/>
      <c r="Q5" s="1111"/>
      <c r="R5" s="1116"/>
      <c r="S5" s="1111"/>
      <c r="T5" s="1111"/>
      <c r="U5" s="1112"/>
      <c r="V5" s="1111"/>
      <c r="W5" s="1112"/>
      <c r="X5" s="1112"/>
      <c r="Y5" s="1112"/>
      <c r="Z5" s="1112"/>
      <c r="AA5" s="1112"/>
      <c r="AB5" s="1112"/>
      <c r="AC5" s="1112"/>
      <c r="AD5" s="1117"/>
      <c r="AE5" s="1117"/>
      <c r="AF5" s="1112"/>
    </row>
    <row r="6" spans="1:49" s="6" customFormat="1" ht="11.25" x14ac:dyDescent="0.2">
      <c r="A6" s="554" t="s">
        <v>138</v>
      </c>
      <c r="B6" s="8">
        <f>1.776+0.002+0.01</f>
        <v>1.788</v>
      </c>
      <c r="C6" s="8">
        <f>1.052+0.002+0.01</f>
        <v>1.0640000000000001</v>
      </c>
      <c r="E6" s="623"/>
      <c r="F6" s="591"/>
      <c r="G6" s="25"/>
      <c r="N6" s="18"/>
      <c r="P6" s="557"/>
      <c r="Q6" s="557"/>
      <c r="R6" s="1104"/>
      <c r="S6" s="1105"/>
      <c r="T6" s="1104"/>
      <c r="U6" s="557"/>
      <c r="V6" s="1104"/>
      <c r="W6" s="557"/>
      <c r="X6" s="557"/>
      <c r="Y6" s="557"/>
      <c r="Z6" s="557"/>
      <c r="AA6" s="557"/>
      <c r="AB6" s="557"/>
      <c r="AC6" s="557"/>
      <c r="AD6" s="1117"/>
      <c r="AE6" s="1117"/>
      <c r="AF6" s="557"/>
      <c r="AM6" s="351"/>
      <c r="AN6" s="351"/>
      <c r="AO6" s="351"/>
      <c r="AP6" s="351"/>
      <c r="AQ6" s="351"/>
      <c r="AR6" s="351"/>
      <c r="AS6" s="351"/>
      <c r="AT6" s="351"/>
      <c r="AU6" s="351"/>
      <c r="AV6" s="351"/>
      <c r="AW6" s="351"/>
    </row>
    <row r="7" spans="1:49" s="6" customFormat="1" ht="19.5" thickBot="1" x14ac:dyDescent="0.35">
      <c r="A7" s="16" t="s">
        <v>163</v>
      </c>
      <c r="D7" s="665"/>
      <c r="F7" s="8"/>
      <c r="G7" s="26"/>
      <c r="H7" s="557"/>
      <c r="I7" s="557"/>
      <c r="M7" s="666" t="s">
        <v>144</v>
      </c>
      <c r="N7" s="26"/>
      <c r="O7" s="18"/>
      <c r="P7" s="18"/>
      <c r="S7" s="666" t="s">
        <v>144</v>
      </c>
      <c r="U7" s="26"/>
      <c r="V7" s="1104"/>
      <c r="W7" s="557"/>
      <c r="X7" s="557"/>
      <c r="Y7" s="1118"/>
      <c r="Z7" s="1105"/>
      <c r="AA7" s="557"/>
      <c r="AB7" s="557"/>
      <c r="AC7" s="557"/>
      <c r="AD7" s="557"/>
      <c r="AE7" s="557"/>
      <c r="AF7" s="557"/>
      <c r="AM7" s="351"/>
      <c r="AN7" s="351"/>
      <c r="AO7" s="351"/>
      <c r="AP7" s="351"/>
      <c r="AQ7" s="351"/>
      <c r="AR7" s="351"/>
      <c r="AS7" s="351"/>
      <c r="AT7" s="351"/>
      <c r="AU7" s="351"/>
      <c r="AV7" s="351"/>
      <c r="AW7" s="351"/>
    </row>
    <row r="8" spans="1:49" s="19" customFormat="1" ht="16.5" thickBot="1" x14ac:dyDescent="0.3">
      <c r="A8" s="659" t="s">
        <v>299</v>
      </c>
      <c r="D8" s="105"/>
      <c r="E8" s="886">
        <v>2.13</v>
      </c>
      <c r="F8" s="668" t="s">
        <v>236</v>
      </c>
      <c r="H8" s="29"/>
      <c r="I8" s="31"/>
      <c r="L8" s="667" t="s">
        <v>171</v>
      </c>
      <c r="M8" s="29"/>
      <c r="O8" s="29"/>
      <c r="P8" s="34"/>
      <c r="R8" s="667" t="s">
        <v>172</v>
      </c>
      <c r="S8" s="29"/>
      <c r="U8" s="29"/>
      <c r="V8" s="29"/>
      <c r="Y8" s="667" t="s">
        <v>173</v>
      </c>
      <c r="Z8" s="668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69" t="s">
        <v>174</v>
      </c>
      <c r="B9" s="887" t="s">
        <v>175</v>
      </c>
      <c r="C9" s="887" t="s">
        <v>176</v>
      </c>
      <c r="D9" s="887" t="s">
        <v>179</v>
      </c>
      <c r="E9" s="888" t="s">
        <v>180</v>
      </c>
      <c r="F9" s="669" t="s">
        <v>177</v>
      </c>
      <c r="G9" s="669" t="s">
        <v>178</v>
      </c>
      <c r="H9" s="670" t="s">
        <v>147</v>
      </c>
      <c r="I9" s="671" t="s">
        <v>181</v>
      </c>
      <c r="L9" s="672" t="s">
        <v>149</v>
      </c>
      <c r="M9" s="680" t="s">
        <v>150</v>
      </c>
      <c r="N9" s="680" t="s">
        <v>151</v>
      </c>
      <c r="O9" s="680" t="s">
        <v>152</v>
      </c>
      <c r="P9" s="34"/>
      <c r="R9" s="672" t="s">
        <v>149</v>
      </c>
      <c r="S9" s="680" t="s">
        <v>150</v>
      </c>
      <c r="T9" s="680" t="s">
        <v>151</v>
      </c>
      <c r="U9" s="680" t="s">
        <v>152</v>
      </c>
      <c r="V9" s="552"/>
      <c r="W9" s="786" t="s">
        <v>336</v>
      </c>
      <c r="X9" s="552"/>
      <c r="Y9" s="552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82" t="s">
        <v>338</v>
      </c>
      <c r="B10" s="889">
        <v>7.3</v>
      </c>
      <c r="C10" s="890">
        <v>-18.8</v>
      </c>
      <c r="D10" s="889">
        <f>Hrm*B10/(B10-C10)</f>
        <v>0.59574712643678152</v>
      </c>
      <c r="E10" s="890">
        <f t="shared" ref="E10" si="0">+D10*C10/B10</f>
        <v>-1.5342528735632184</v>
      </c>
      <c r="F10" s="891">
        <f>DEGREES(ATAN2(H10,D10))</f>
        <v>1.7383170067950537</v>
      </c>
      <c r="G10" s="891">
        <f>DEGREES(ATAN2(H10,E10))</f>
        <v>-4.4690504350434344</v>
      </c>
      <c r="H10" s="548">
        <f>SQRT(POWER(N10-T$10,2)+POWER(M10-S$10,2))</f>
        <v>19.63009169616894</v>
      </c>
      <c r="I10" s="674">
        <f>(F10-G10)/(B10-C10)</f>
        <v>0.23783017018538266</v>
      </c>
      <c r="J10" s="43"/>
      <c r="K10" s="43"/>
      <c r="L10" s="783" t="str">
        <f>A10</f>
        <v>Porte entrée poulailler Est</v>
      </c>
      <c r="M10" s="892">
        <v>434.24</v>
      </c>
      <c r="N10" s="893">
        <v>729.13</v>
      </c>
      <c r="O10" s="894">
        <v>253.37</v>
      </c>
      <c r="P10" s="813"/>
      <c r="Q10" s="813"/>
      <c r="R10" s="784" t="s">
        <v>337</v>
      </c>
      <c r="S10" s="892">
        <v>445.97</v>
      </c>
      <c r="T10" s="893">
        <v>744.87</v>
      </c>
      <c r="U10" s="894">
        <v>251.93</v>
      </c>
      <c r="V10" s="675" t="s">
        <v>182</v>
      </c>
      <c r="W10" s="895">
        <v>0</v>
      </c>
      <c r="X10" s="813" t="s">
        <v>85</v>
      </c>
      <c r="Y10" s="613" t="s">
        <v>339</v>
      </c>
      <c r="Z10" s="616"/>
      <c r="AA10" s="552"/>
      <c r="AB10" s="552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82"/>
      <c r="B11" s="896"/>
      <c r="C11" s="897"/>
      <c r="D11" s="896"/>
      <c r="E11" s="897"/>
      <c r="F11" s="891" t="e">
        <f>DEGREES(ATAN2(H11,D11))</f>
        <v>#DIV/0!</v>
      </c>
      <c r="G11" s="891" t="e">
        <f>DEGREES(ATAN2(H11,E11))</f>
        <v>#DIV/0!</v>
      </c>
      <c r="H11" s="548">
        <f>SQRT(POWER(N11-T$11,2)+POWER(M11-S$11,2))</f>
        <v>0</v>
      </c>
      <c r="I11" s="674" t="e">
        <f>(F11-G11)/(B11-C11)</f>
        <v>#DIV/0!</v>
      </c>
      <c r="J11" s="117"/>
      <c r="K11" s="43"/>
      <c r="L11" s="783">
        <f>A11</f>
        <v>0</v>
      </c>
      <c r="M11" s="898"/>
      <c r="N11" s="617"/>
      <c r="O11" s="899"/>
      <c r="P11" s="814"/>
      <c r="Q11" s="814"/>
      <c r="R11" s="784"/>
      <c r="S11" s="898"/>
      <c r="T11" s="617"/>
      <c r="U11" s="899"/>
      <c r="V11" s="676" t="s">
        <v>183</v>
      </c>
      <c r="W11" s="900"/>
      <c r="X11" s="814" t="s">
        <v>85</v>
      </c>
      <c r="Y11" s="614"/>
      <c r="Z11" s="616"/>
      <c r="AA11" s="552"/>
      <c r="AB11" s="552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82"/>
      <c r="B12" s="901"/>
      <c r="C12" s="902"/>
      <c r="D12" s="901"/>
      <c r="E12" s="902"/>
      <c r="F12" s="891" t="e">
        <f>DEGREES(ATAN2(H12,D12))</f>
        <v>#DIV/0!</v>
      </c>
      <c r="G12" s="891" t="e">
        <f>DEGREES(ATAN2(H12,E12))</f>
        <v>#DIV/0!</v>
      </c>
      <c r="H12" s="548">
        <f>SQRT(POWER(N12-T$12,2)+POWER(M12-S$12,2))</f>
        <v>0</v>
      </c>
      <c r="I12" s="674" t="e">
        <f>(F12-G12)/(B12-C12)</f>
        <v>#DIV/0!</v>
      </c>
      <c r="J12" s="117"/>
      <c r="K12" s="43"/>
      <c r="L12" s="783">
        <f>A12</f>
        <v>0</v>
      </c>
      <c r="M12" s="903"/>
      <c r="N12" s="904"/>
      <c r="O12" s="905"/>
      <c r="P12" s="814"/>
      <c r="Q12" s="814"/>
      <c r="R12" s="785"/>
      <c r="S12" s="903"/>
      <c r="T12" s="904"/>
      <c r="U12" s="905"/>
      <c r="V12" s="676" t="s">
        <v>237</v>
      </c>
      <c r="W12" s="906"/>
      <c r="X12" s="814" t="s">
        <v>85</v>
      </c>
      <c r="Y12" s="614"/>
      <c r="Z12" s="616"/>
      <c r="AA12" s="552"/>
      <c r="AB12" s="552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54"/>
      <c r="C13" s="1095" t="s">
        <v>327</v>
      </c>
      <c r="D13" s="10" t="e">
        <f>Hrm*B13/(B13-C13)</f>
        <v>#VALUE!</v>
      </c>
      <c r="E13" s="1096" t="e">
        <f>+D13*C13/B13</f>
        <v>#VALUE!</v>
      </c>
      <c r="F13" s="557"/>
      <c r="G13" s="1100"/>
      <c r="H13" s="1101"/>
      <c r="I13" s="1102"/>
      <c r="J13" s="557"/>
      <c r="K13" s="557"/>
      <c r="L13" s="557"/>
      <c r="O13" s="18"/>
      <c r="P13" s="1103"/>
      <c r="Q13" s="557"/>
      <c r="R13" s="557"/>
      <c r="U13" s="787"/>
      <c r="V13" s="26"/>
      <c r="Y13" s="1104"/>
      <c r="Z13" s="1105"/>
      <c r="AA13" s="1106"/>
      <c r="AB13" s="1107"/>
      <c r="AC13" s="1108"/>
      <c r="AD13" s="1107"/>
      <c r="AM13" s="351"/>
      <c r="AN13" s="351"/>
      <c r="AO13" s="351"/>
      <c r="AP13" s="351"/>
      <c r="AQ13" s="351"/>
      <c r="AR13" s="351"/>
      <c r="AS13" s="351"/>
      <c r="AT13" s="351"/>
      <c r="AU13" s="351"/>
      <c r="AV13" s="351"/>
      <c r="AW13" s="351"/>
    </row>
    <row r="14" spans="1:49" s="19" customFormat="1" ht="15.75" x14ac:dyDescent="0.25">
      <c r="A14" s="659" t="s">
        <v>161</v>
      </c>
      <c r="B14" s="679"/>
      <c r="C14" s="28"/>
      <c r="D14" s="666" t="s">
        <v>300</v>
      </c>
      <c r="E14" s="71"/>
      <c r="F14" s="82"/>
      <c r="G14" s="879" t="s">
        <v>185</v>
      </c>
      <c r="K14" s="1005" t="s">
        <v>301</v>
      </c>
      <c r="L14" s="1004">
        <f>+CHOOSE(N14,L16,L17,L18,L19)</f>
        <v>3.0948490235066588</v>
      </c>
      <c r="M14" s="136" t="s">
        <v>284</v>
      </c>
      <c r="N14" s="907">
        <f>IF(M3="E",2,IF(M3="O",1,1))</f>
        <v>1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80" t="s">
        <v>149</v>
      </c>
      <c r="B15" s="681" t="s">
        <v>184</v>
      </c>
      <c r="C15" s="680" t="s">
        <v>145</v>
      </c>
      <c r="D15" s="680" t="s">
        <v>150</v>
      </c>
      <c r="E15" s="680" t="s">
        <v>151</v>
      </c>
      <c r="F15" s="1016" t="s">
        <v>285</v>
      </c>
      <c r="G15" s="1015" t="s">
        <v>186</v>
      </c>
      <c r="H15" s="680" t="s">
        <v>153</v>
      </c>
      <c r="I15" s="680" t="s">
        <v>155</v>
      </c>
      <c r="J15" s="680" t="s">
        <v>146</v>
      </c>
      <c r="K15" s="680" t="s">
        <v>147</v>
      </c>
      <c r="L15" s="680" t="s">
        <v>148</v>
      </c>
      <c r="M15" s="680" t="s">
        <v>154</v>
      </c>
      <c r="N15" s="682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58" t="s">
        <v>344</v>
      </c>
      <c r="B16" s="908">
        <v>1</v>
      </c>
      <c r="C16" s="967"/>
      <c r="D16" s="909">
        <v>413.07749999999999</v>
      </c>
      <c r="E16" s="909">
        <v>736.87</v>
      </c>
      <c r="F16" s="980"/>
      <c r="G16" s="984"/>
      <c r="H16" s="984"/>
      <c r="I16" s="984"/>
      <c r="J16" s="991">
        <f>IF(B16="",0,C16*CHOOSE(B16,Rata1,Rata2,Rata3))</f>
        <v>0</v>
      </c>
      <c r="K16" s="986">
        <f>IF(B16="",0,SQRT(+POWER(D16-CHOOSE(B16,$S$10,$S$11,$S$12),2)+POWER(E16-CHOOSE(B16,$T$10,$T$11,$T$12),2)))</f>
        <v>33.851389280943884</v>
      </c>
      <c r="L16" s="1122">
        <f>+L17</f>
        <v>3.0948490235066588</v>
      </c>
      <c r="M16" s="992"/>
      <c r="N16" s="1000" t="str">
        <f t="shared" ref="N16:N43" si="1">A16</f>
        <v>Centre du champ PV Ouest.: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59" t="s">
        <v>345</v>
      </c>
      <c r="B17" s="910">
        <v>1</v>
      </c>
      <c r="C17" s="968"/>
      <c r="D17" s="911">
        <v>474.40080173347781</v>
      </c>
      <c r="E17" s="911">
        <v>717.21535752979412</v>
      </c>
      <c r="F17" s="981"/>
      <c r="G17" s="971"/>
      <c r="H17" s="971"/>
      <c r="I17" s="971"/>
      <c r="J17" s="993">
        <f>IF(B17="",0,C17*CHOOSE(B17,Rata1,Rata2,Rata3))</f>
        <v>0</v>
      </c>
      <c r="K17" s="988">
        <f>IF(B17="",0,SQRT(+POWER(D17-CHOOSE(B17,$S$10,$S$11,$S$12),2)+POWER(E17-CHOOSE(B17,$T$10,$T$11,$T$12),2)))</f>
        <v>39.662195316992204</v>
      </c>
      <c r="L17" s="1123">
        <f>+(L18+L19)/2</f>
        <v>3.0948490235066588</v>
      </c>
      <c r="M17" s="994"/>
      <c r="N17" s="1001" t="str">
        <f t="shared" si="1"/>
        <v>Centre du champ PV Est.: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59" t="s">
        <v>340</v>
      </c>
      <c r="B18" s="910">
        <v>1</v>
      </c>
      <c r="C18" s="968">
        <v>43.5</v>
      </c>
      <c r="D18" s="911">
        <v>459</v>
      </c>
      <c r="E18" s="911">
        <v>730.09</v>
      </c>
      <c r="F18" s="982"/>
      <c r="G18" s="972"/>
      <c r="H18" s="972"/>
      <c r="I18" s="972"/>
      <c r="J18" s="993">
        <f>IF(B18="",0,C18*CHOOSE(B18,Rata1,Rata2,Rata3))</f>
        <v>10.345612403064147</v>
      </c>
      <c r="K18" s="988">
        <f>IF(B18="",0,SQRT(+POWER(D18-CHOOSE(B18,$S$10,$S$11,$S$12),2)+POWER(E18-CHOOSE(B18,$T$10,$T$11,$T$12),2)))</f>
        <v>19.703535215793092</v>
      </c>
      <c r="L18" s="987">
        <f>IF(B18="",0,K18*TAN(RADIANS(J18))+CHOOSE(B18,Hobs1,Hobs2,Hobs3))</f>
        <v>3.596945325446351</v>
      </c>
      <c r="M18" s="994"/>
      <c r="N18" s="1001" t="str">
        <f t="shared" si="1"/>
        <v>Faitage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60" t="s">
        <v>341</v>
      </c>
      <c r="B19" s="1124">
        <v>1</v>
      </c>
      <c r="C19" s="1125">
        <v>28.47</v>
      </c>
      <c r="D19" s="961">
        <v>457.08</v>
      </c>
      <c r="E19" s="962">
        <v>726.07</v>
      </c>
      <c r="F19" s="983"/>
      <c r="G19" s="973"/>
      <c r="H19" s="973"/>
      <c r="I19" s="973"/>
      <c r="J19" s="995">
        <f>IF(B19="",0,C19*CHOOSE(B19,Rata1,Rata2,Rata3))</f>
        <v>6.7710249451778441</v>
      </c>
      <c r="K19" s="990">
        <f>IF(B19="",0,SQRT(+POWER(D19-CHOOSE(B19,$S$10,$S$11,$S$12),2)+POWER(E19-CHOOSE(B19,$T$10,$T$11,$T$12),2)))</f>
        <v>21.83740140218147</v>
      </c>
      <c r="L19" s="989">
        <f>IF(B19="",0,K19*TAN(RADIANS(J19))+CHOOSE(B19,Hobs1,Hobs2,Hobs3))</f>
        <v>2.592752721566967</v>
      </c>
      <c r="M19" s="996"/>
      <c r="N19" s="1002" t="str">
        <f t="shared" si="1"/>
        <v>Rive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12" t="s">
        <v>162</v>
      </c>
      <c r="B20" s="910"/>
      <c r="C20" s="968"/>
      <c r="D20" s="911"/>
      <c r="E20" s="911"/>
      <c r="F20" s="970"/>
      <c r="G20" s="997">
        <f t="shared" ref="G20:G42" si="2">IF(AND(H20=H21,H20&gt;=Azi_pv_sel+90),"",P57-P56)</f>
        <v>82.07540416515063</v>
      </c>
      <c r="H20" s="974">
        <f>+Azi_pv_sel-180</f>
        <v>-148</v>
      </c>
      <c r="I20" s="975">
        <f>J3</f>
        <v>14.036243467926479</v>
      </c>
      <c r="J20" s="993">
        <f t="shared" ref="J20:J42" si="3">IF(B20="",0,C20*CHOOSE(B20,Rata1,Rata2,Rata3))</f>
        <v>0</v>
      </c>
      <c r="K20" s="988">
        <f t="shared" ref="K20:K42" si="4">IF(B20="",0,SQRT(+POWER(D20-CHOOSE(B20,$S$10,$S$11,$S$12),2)+POWER(E20-CHOOSE(B20,$T$10,$T$11,$T$12),2)))</f>
        <v>0</v>
      </c>
      <c r="L20" s="987">
        <f t="shared" ref="L20:L42" si="5">IF(B20="",0,K20*TAN(RADIANS(J20))+CHOOSE(B20,Hobs1,Hobs2,Hobs3))</f>
        <v>0</v>
      </c>
      <c r="M20" s="988">
        <f t="shared" ref="M20:M42" si="6">IF(B20="",0,SQRT(POWER($E20-CHOOSE($N$14,E$16,E$17,E$18,E$19),2)+POWER($D20-CHOOSE($N$14,D$16,D$17,D$18,D$19),2)))</f>
        <v>0</v>
      </c>
      <c r="N20" s="998" t="str">
        <f t="shared" si="1"/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12" t="s">
        <v>342</v>
      </c>
      <c r="B21" s="910">
        <v>1</v>
      </c>
      <c r="C21" s="968">
        <v>19.899999999999999</v>
      </c>
      <c r="D21" s="911">
        <v>548.08000000000004</v>
      </c>
      <c r="E21" s="911">
        <v>676.55</v>
      </c>
      <c r="F21" s="970"/>
      <c r="G21" s="997">
        <f t="shared" si="2"/>
        <v>16.442468733920613</v>
      </c>
      <c r="H21" s="976">
        <f t="shared" ref="H21" si="7">DEGREES(ATAN2(CHOOSE($N$14,E$16,E$17,E$18,E$19)-$E21,CHOOSE($N$14,D$16,D$17,D$18,D$19)-$D21))</f>
        <v>-65.92459583484937</v>
      </c>
      <c r="I21" s="977">
        <f t="shared" ref="I21" si="8">DEGREES(ATAN2(M21,$L21-L$14))</f>
        <v>2.7400578901511294</v>
      </c>
      <c r="J21" s="993">
        <f t="shared" si="3"/>
        <v>4.7328203866891148</v>
      </c>
      <c r="K21" s="988">
        <f t="shared" si="4"/>
        <v>122.8579443910731</v>
      </c>
      <c r="L21" s="987">
        <f t="shared" si="5"/>
        <v>10.171616683784549</v>
      </c>
      <c r="M21" s="988">
        <f t="shared" si="6"/>
        <v>147.86540300641667</v>
      </c>
      <c r="N21" s="998" t="str">
        <f t="shared" si="1"/>
        <v>Arbre 1g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12" t="s">
        <v>343</v>
      </c>
      <c r="B22" s="910">
        <v>1</v>
      </c>
      <c r="C22" s="968">
        <v>18</v>
      </c>
      <c r="D22" s="911">
        <v>535.12</v>
      </c>
      <c r="E22" s="911">
        <v>632.57000000000005</v>
      </c>
      <c r="F22" s="970"/>
      <c r="G22" s="997">
        <f t="shared" si="2"/>
        <v>8.1379772654318785</v>
      </c>
      <c r="H22" s="976">
        <f t="shared" ref="H22:H32" si="9">DEGREES(ATAN2(CHOOSE($N$14,E$16,E$17,E$18,E$19)-$E22,CHOOSE($N$14,D$16,D$17,D$18,D$19)-$D22))</f>
        <v>-49.482127100928757</v>
      </c>
      <c r="I22" s="977">
        <f t="shared" ref="I22:I32" si="10">DEGREES(ATAN2(M22,$L22-L$14))</f>
        <v>2.724022103249554</v>
      </c>
      <c r="J22" s="993">
        <f t="shared" si="3"/>
        <v>4.2809430633368883</v>
      </c>
      <c r="K22" s="988">
        <f t="shared" si="4"/>
        <v>143.38414312607927</v>
      </c>
      <c r="L22" s="987">
        <f t="shared" si="5"/>
        <v>10.733148985032981</v>
      </c>
      <c r="M22" s="988">
        <f t="shared" si="6"/>
        <v>160.53928430838974</v>
      </c>
      <c r="N22" s="998" t="str">
        <f t="shared" si="1"/>
        <v>Arbre 1d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12" t="s">
        <v>334</v>
      </c>
      <c r="B23" s="910">
        <v>1</v>
      </c>
      <c r="C23" s="968">
        <v>9</v>
      </c>
      <c r="D23" s="911">
        <v>515.69000000000005</v>
      </c>
      <c r="E23" s="911">
        <v>620.25</v>
      </c>
      <c r="F23" s="970"/>
      <c r="G23" s="997">
        <f t="shared" si="2"/>
        <v>21.787967811505212</v>
      </c>
      <c r="H23" s="976">
        <f t="shared" si="9"/>
        <v>-41.344149835496879</v>
      </c>
      <c r="I23" s="977">
        <f t="shared" si="10"/>
        <v>0.82700750328102113</v>
      </c>
      <c r="J23" s="993">
        <f t="shared" si="3"/>
        <v>2.1404715316684442</v>
      </c>
      <c r="K23" s="988">
        <f t="shared" si="4"/>
        <v>142.79713862679463</v>
      </c>
      <c r="L23" s="987">
        <f t="shared" si="5"/>
        <v>5.3371380245752436</v>
      </c>
      <c r="M23" s="988">
        <f t="shared" si="6"/>
        <v>155.33689051944492</v>
      </c>
      <c r="N23" s="998" t="str">
        <f t="shared" si="1"/>
        <v>creux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12" t="s">
        <v>334</v>
      </c>
      <c r="B24" s="910">
        <v>1</v>
      </c>
      <c r="C24" s="968">
        <v>13</v>
      </c>
      <c r="D24" s="911">
        <v>445.25</v>
      </c>
      <c r="E24" s="911">
        <v>646.29999999999995</v>
      </c>
      <c r="F24" s="970"/>
      <c r="G24" s="997">
        <f t="shared" si="2"/>
        <v>11.399593111993832</v>
      </c>
      <c r="H24" s="976">
        <f t="shared" si="9"/>
        <v>-19.556182023991667</v>
      </c>
      <c r="I24" s="977">
        <f t="shared" si="10"/>
        <v>1.3288065276728847</v>
      </c>
      <c r="J24" s="993">
        <f t="shared" si="3"/>
        <v>3.0917922124099748</v>
      </c>
      <c r="K24" s="988">
        <f t="shared" si="4"/>
        <v>98.572629568252921</v>
      </c>
      <c r="L24" s="987">
        <f t="shared" si="5"/>
        <v>5.3243406646556375</v>
      </c>
      <c r="M24" s="988">
        <f t="shared" si="6"/>
        <v>96.114487233975353</v>
      </c>
      <c r="N24" s="998" t="str">
        <f t="shared" si="1"/>
        <v>creux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12" t="s">
        <v>157</v>
      </c>
      <c r="B25" s="910">
        <v>1</v>
      </c>
      <c r="C25" s="968">
        <v>59.23</v>
      </c>
      <c r="D25" s="911">
        <v>423.82</v>
      </c>
      <c r="E25" s="911">
        <v>661.92</v>
      </c>
      <c r="F25" s="970"/>
      <c r="G25" s="997">
        <f t="shared" si="2"/>
        <v>8.0717706983917932</v>
      </c>
      <c r="H25" s="976">
        <f t="shared" si="9"/>
        <v>-8.1565889119978348</v>
      </c>
      <c r="I25" s="977">
        <f t="shared" si="10"/>
        <v>13.694300026549888</v>
      </c>
      <c r="J25" s="993">
        <f t="shared" si="3"/>
        <v>14.086680980080214</v>
      </c>
      <c r="K25" s="988">
        <f t="shared" si="4"/>
        <v>85.85642084317287</v>
      </c>
      <c r="L25" s="987">
        <f t="shared" si="5"/>
        <v>21.544426088016323</v>
      </c>
      <c r="M25" s="988">
        <f t="shared" si="6"/>
        <v>75.71594155955539</v>
      </c>
      <c r="N25" s="998" t="str">
        <f t="shared" si="1"/>
        <v>Arbre 3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12" t="s">
        <v>158</v>
      </c>
      <c r="B26" s="910">
        <v>1</v>
      </c>
      <c r="C26" s="968">
        <v>59.09</v>
      </c>
      <c r="D26" s="911">
        <v>413.18</v>
      </c>
      <c r="E26" s="911">
        <v>667.63</v>
      </c>
      <c r="F26" s="970"/>
      <c r="G26" s="997">
        <f t="shared" si="2"/>
        <v>10.138836243618673</v>
      </c>
      <c r="H26" s="976">
        <f t="shared" si="9"/>
        <v>-8.4818213606041429E-2</v>
      </c>
      <c r="I26" s="977">
        <f t="shared" si="10"/>
        <v>14.502398227586665</v>
      </c>
      <c r="J26" s="993">
        <f t="shared" si="3"/>
        <v>14.053384756254262</v>
      </c>
      <c r="K26" s="988">
        <f t="shared" si="4"/>
        <v>83.911868648004756</v>
      </c>
      <c r="L26" s="987">
        <f t="shared" si="5"/>
        <v>21.004642237380363</v>
      </c>
      <c r="M26" s="988">
        <f t="shared" si="6"/>
        <v>69.240075868314875</v>
      </c>
      <c r="N26" s="998" t="str">
        <f t="shared" si="1"/>
        <v>Arbre 4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12" t="s">
        <v>159</v>
      </c>
      <c r="B27" s="910">
        <v>1</v>
      </c>
      <c r="C27" s="968">
        <v>48.05</v>
      </c>
      <c r="D27" s="911">
        <v>401.53</v>
      </c>
      <c r="E27" s="911">
        <v>671.74</v>
      </c>
      <c r="F27" s="970"/>
      <c r="G27" s="997">
        <f t="shared" si="2"/>
        <v>19.293443397144557</v>
      </c>
      <c r="H27" s="976">
        <f t="shared" si="9"/>
        <v>10.054018030012632</v>
      </c>
      <c r="I27" s="977">
        <f t="shared" si="10"/>
        <v>12.118709846128292</v>
      </c>
      <c r="J27" s="993">
        <f t="shared" si="3"/>
        <v>11.427739677407637</v>
      </c>
      <c r="K27" s="988">
        <f t="shared" si="4"/>
        <v>85.574005983125531</v>
      </c>
      <c r="L27" s="987">
        <f t="shared" si="5"/>
        <v>17.297865496114422</v>
      </c>
      <c r="M27" s="988">
        <f t="shared" si="6"/>
        <v>66.145760682374799</v>
      </c>
      <c r="N27" s="998" t="str">
        <f t="shared" si="1"/>
        <v>Arbre 5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12" t="s">
        <v>160</v>
      </c>
      <c r="B28" s="910">
        <v>1</v>
      </c>
      <c r="C28" s="968">
        <v>46.71</v>
      </c>
      <c r="D28" s="911">
        <v>368.49</v>
      </c>
      <c r="E28" s="911">
        <v>657.57</v>
      </c>
      <c r="F28" s="970"/>
      <c r="G28" s="997">
        <f t="shared" si="2"/>
        <v>10.732677060724921</v>
      </c>
      <c r="H28" s="976">
        <f t="shared" si="9"/>
        <v>29.347461427157189</v>
      </c>
      <c r="I28" s="977">
        <f t="shared" si="10"/>
        <v>12.293222906976482</v>
      </c>
      <c r="J28" s="993">
        <f t="shared" si="3"/>
        <v>11.109047249359225</v>
      </c>
      <c r="K28" s="988">
        <f t="shared" si="4"/>
        <v>116.72377821163944</v>
      </c>
      <c r="L28" s="987">
        <f t="shared" si="5"/>
        <v>22.919436051896536</v>
      </c>
      <c r="M28" s="988">
        <f t="shared" si="6"/>
        <v>90.975464583864536</v>
      </c>
      <c r="N28" s="998" t="str">
        <f t="shared" si="1"/>
        <v>Arbre 6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12" t="s">
        <v>329</v>
      </c>
      <c r="B29" s="910">
        <v>1</v>
      </c>
      <c r="C29" s="968">
        <v>49.78</v>
      </c>
      <c r="D29" s="911">
        <v>356.05</v>
      </c>
      <c r="E29" s="911">
        <v>669.1</v>
      </c>
      <c r="F29" s="970"/>
      <c r="G29" s="997">
        <f t="shared" si="2"/>
        <v>26.36306215199177</v>
      </c>
      <c r="H29" s="976">
        <f t="shared" si="9"/>
        <v>40.08013848788211</v>
      </c>
      <c r="I29" s="977">
        <f t="shared" si="10"/>
        <v>13.6773401187122</v>
      </c>
      <c r="J29" s="993">
        <f t="shared" si="3"/>
        <v>11.839185871828349</v>
      </c>
      <c r="K29" s="988">
        <f t="shared" si="4"/>
        <v>117.58698609965305</v>
      </c>
      <c r="L29" s="987">
        <f t="shared" si="5"/>
        <v>24.649143491400146</v>
      </c>
      <c r="M29" s="988">
        <f t="shared" si="6"/>
        <v>88.571488958072706</v>
      </c>
      <c r="N29" s="998" t="str">
        <f t="shared" si="1"/>
        <v>Arbre 7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12" t="s">
        <v>334</v>
      </c>
      <c r="B30" s="910">
        <v>1</v>
      </c>
      <c r="C30" s="968">
        <v>20</v>
      </c>
      <c r="D30" s="911">
        <v>308.97000000000003</v>
      </c>
      <c r="E30" s="911">
        <v>691.48</v>
      </c>
      <c r="F30" s="970"/>
      <c r="G30" s="997">
        <f t="shared" si="2"/>
        <v>27.151228815483634</v>
      </c>
      <c r="H30" s="976">
        <f t="shared" si="9"/>
        <v>66.443200639873879</v>
      </c>
      <c r="I30" s="977">
        <f t="shared" si="10"/>
        <v>4.6010738861280913</v>
      </c>
      <c r="J30" s="993">
        <f t="shared" si="3"/>
        <v>4.7566034037076532</v>
      </c>
      <c r="K30" s="988">
        <f t="shared" si="4"/>
        <v>147.03568308407316</v>
      </c>
      <c r="L30" s="987">
        <f t="shared" si="5"/>
        <v>12.234786293676338</v>
      </c>
      <c r="M30" s="988">
        <f t="shared" si="6"/>
        <v>113.57210773887218</v>
      </c>
      <c r="N30" s="998" t="str">
        <f t="shared" si="1"/>
        <v>creux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12" t="s">
        <v>330</v>
      </c>
      <c r="B31" s="910">
        <v>1</v>
      </c>
      <c r="C31" s="968">
        <v>38.42</v>
      </c>
      <c r="D31" s="911">
        <v>310.08</v>
      </c>
      <c r="E31" s="911">
        <v>743.34</v>
      </c>
      <c r="F31" s="970"/>
      <c r="G31" s="997">
        <f t="shared" si="2"/>
        <v>13.590315335306968</v>
      </c>
      <c r="H31" s="976">
        <f t="shared" si="9"/>
        <v>93.594429455357513</v>
      </c>
      <c r="I31" s="977">
        <f t="shared" si="10"/>
        <v>10.304809670132661</v>
      </c>
      <c r="J31" s="993">
        <f t="shared" si="3"/>
        <v>9.1374351385224024</v>
      </c>
      <c r="K31" s="988">
        <f t="shared" si="4"/>
        <v>135.89861294362063</v>
      </c>
      <c r="L31" s="987">
        <f t="shared" si="5"/>
        <v>21.858510207550115</v>
      </c>
      <c r="M31" s="988">
        <f t="shared" si="6"/>
        <v>103.20051311040076</v>
      </c>
      <c r="N31" s="998" t="str">
        <f t="shared" si="1"/>
        <v>Arbre 8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12" t="s">
        <v>331</v>
      </c>
      <c r="B32" s="910">
        <v>1</v>
      </c>
      <c r="C32" s="969">
        <v>37.15</v>
      </c>
      <c r="D32" s="911">
        <v>314.94</v>
      </c>
      <c r="E32" s="911">
        <v>767.22</v>
      </c>
      <c r="F32" s="970"/>
      <c r="G32" s="997">
        <f t="shared" si="2"/>
        <v>9.7917393272269067</v>
      </c>
      <c r="H32" s="976">
        <f t="shared" si="9"/>
        <v>107.18474479066448</v>
      </c>
      <c r="I32" s="977">
        <f t="shared" si="10"/>
        <v>9.7042753234244703</v>
      </c>
      <c r="J32" s="993">
        <f t="shared" si="3"/>
        <v>8.8353908223869659</v>
      </c>
      <c r="K32" s="988">
        <f t="shared" si="4"/>
        <v>132.92247138839997</v>
      </c>
      <c r="L32" s="987">
        <f t="shared" si="5"/>
        <v>20.661565888643459</v>
      </c>
      <c r="M32" s="988">
        <f t="shared" si="6"/>
        <v>102.72337322269942</v>
      </c>
      <c r="N32" s="998" t="str">
        <f t="shared" si="1"/>
        <v>Arbre 9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12" t="s">
        <v>332</v>
      </c>
      <c r="B33" s="910">
        <v>1</v>
      </c>
      <c r="C33" s="969">
        <v>27.41</v>
      </c>
      <c r="D33" s="911">
        <v>324.52</v>
      </c>
      <c r="E33" s="911">
        <v>783.52</v>
      </c>
      <c r="F33" s="970" t="s">
        <v>348</v>
      </c>
      <c r="G33" s="997">
        <f t="shared" si="2"/>
        <v>7.5010000000000048</v>
      </c>
      <c r="H33" s="976">
        <f t="shared" ref="H33" si="11">DEGREES(ATAN2(CHOOSE($N$14,E$16,E$17,E$18,E$19)-$E33,CHOOSE($N$14,D$16,D$17,D$18,D$19)-$D33))</f>
        <v>117.77920245121202</v>
      </c>
      <c r="I33" s="977">
        <f t="shared" ref="I33" si="12">DEGREES(ATAN2(M33,$L33-L$14))</f>
        <v>6.5366696432563485</v>
      </c>
      <c r="J33" s="993">
        <f t="shared" si="3"/>
        <v>6.5189249647813385</v>
      </c>
      <c r="K33" s="988">
        <f t="shared" si="4"/>
        <v>127.45165750197214</v>
      </c>
      <c r="L33" s="987">
        <f t="shared" si="5"/>
        <v>14.563927874257269</v>
      </c>
      <c r="M33" s="988">
        <f t="shared" si="6"/>
        <v>100.09322307853813</v>
      </c>
      <c r="N33" s="998" t="str">
        <f t="shared" si="1"/>
        <v>Arbre 10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12" t="s">
        <v>334</v>
      </c>
      <c r="B34" s="910">
        <v>1</v>
      </c>
      <c r="C34" s="969">
        <v>15.28</v>
      </c>
      <c r="D34" s="911">
        <v>327.065</v>
      </c>
      <c r="E34" s="911">
        <v>795.93499999999995</v>
      </c>
      <c r="F34" s="970" t="s">
        <v>135</v>
      </c>
      <c r="G34" s="997">
        <f t="shared" si="2"/>
        <v>7.5009999999999906</v>
      </c>
      <c r="H34" s="976">
        <f t="shared" ref="H34" si="13">DEGREES(ATAN2(CHOOSE($N$14,E$16,E$17,E$18,E$19)-$E34,CHOOSE($N$14,D$16,D$17,D$18,D$19)-$D34))</f>
        <v>124.47748411789139</v>
      </c>
      <c r="I34" s="977">
        <f t="shared" ref="I34" si="14">DEGREES(ATAN2(M34,$L34-L$14))</f>
        <v>2.8114170184331484</v>
      </c>
      <c r="J34" s="993">
        <f t="shared" si="3"/>
        <v>3.6340450004326468</v>
      </c>
      <c r="K34" s="988">
        <f t="shared" si="4"/>
        <v>129.4064652557978</v>
      </c>
      <c r="L34" s="987">
        <f t="shared" si="5"/>
        <v>8.2187649381115371</v>
      </c>
      <c r="M34" s="988">
        <f t="shared" si="6"/>
        <v>104.33994623944365</v>
      </c>
      <c r="N34" s="998" t="str">
        <f t="shared" si="1"/>
        <v>creux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12" t="s">
        <v>333</v>
      </c>
      <c r="B35" s="910">
        <v>1</v>
      </c>
      <c r="C35" s="963">
        <v>26.07</v>
      </c>
      <c r="D35" s="911">
        <v>329.61</v>
      </c>
      <c r="E35" s="911">
        <v>808.35</v>
      </c>
      <c r="F35" s="970"/>
      <c r="G35" s="997">
        <f t="shared" si="2"/>
        <v>80.021515882108616</v>
      </c>
      <c r="H35" s="976">
        <f t="shared" ref="H35" si="15">DEGREES(ATAN2(CHOOSE($N$14,E$16,E$17,E$18,E$19)-$E35,CHOOSE($N$14,D$16,D$17,D$18,D$19)-$D35))</f>
        <v>130.57612901570016</v>
      </c>
      <c r="I35" s="977">
        <f t="shared" ref="I35" si="16">DEGREES(ATAN2(M35,$L35-L$14))</f>
        <v>5.8736680779337398</v>
      </c>
      <c r="J35" s="993">
        <f t="shared" si="3"/>
        <v>6.2002325367329263</v>
      </c>
      <c r="K35" s="988">
        <f t="shared" si="4"/>
        <v>132.54946246590367</v>
      </c>
      <c r="L35" s="987">
        <f t="shared" si="5"/>
        <v>14.400023925699113</v>
      </c>
      <c r="M35" s="988">
        <f t="shared" si="6"/>
        <v>109.89182843255452</v>
      </c>
      <c r="N35" s="998" t="str">
        <f t="shared" si="1"/>
        <v>Arbre 11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12" t="s">
        <v>162</v>
      </c>
      <c r="B36" s="910"/>
      <c r="C36" s="963"/>
      <c r="D36" s="911"/>
      <c r="E36" s="911"/>
      <c r="F36" s="970"/>
      <c r="G36" s="997" t="str">
        <f t="shared" si="2"/>
        <v/>
      </c>
      <c r="H36" s="976">
        <f t="shared" ref="H36:H43" si="17">Azi_pv_sel+180</f>
        <v>212</v>
      </c>
      <c r="I36" s="977">
        <f t="shared" ref="I36:I40" si="18">$J$3</f>
        <v>14.036243467926479</v>
      </c>
      <c r="J36" s="993">
        <f t="shared" si="3"/>
        <v>0</v>
      </c>
      <c r="K36" s="988">
        <f t="shared" si="4"/>
        <v>0</v>
      </c>
      <c r="L36" s="987">
        <f t="shared" si="5"/>
        <v>0</v>
      </c>
      <c r="M36" s="988">
        <f t="shared" si="6"/>
        <v>0</v>
      </c>
      <c r="N36" s="998" t="str">
        <f t="shared" si="1"/>
        <v>Arrière PV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12"/>
      <c r="B37" s="910"/>
      <c r="C37" s="963"/>
      <c r="D37" s="911"/>
      <c r="E37" s="911"/>
      <c r="F37" s="970"/>
      <c r="G37" s="997" t="str">
        <f t="shared" si="2"/>
        <v/>
      </c>
      <c r="H37" s="976">
        <f t="shared" si="17"/>
        <v>212</v>
      </c>
      <c r="I37" s="977">
        <f t="shared" si="18"/>
        <v>14.036243467926479</v>
      </c>
      <c r="J37" s="993">
        <f t="shared" si="3"/>
        <v>0</v>
      </c>
      <c r="K37" s="988">
        <f t="shared" si="4"/>
        <v>0</v>
      </c>
      <c r="L37" s="987">
        <f t="shared" si="5"/>
        <v>0</v>
      </c>
      <c r="M37" s="988">
        <f t="shared" si="6"/>
        <v>0</v>
      </c>
      <c r="N37" s="998">
        <f t="shared" si="1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12"/>
      <c r="B38" s="910"/>
      <c r="C38" s="963"/>
      <c r="D38" s="911"/>
      <c r="E38" s="911"/>
      <c r="F38" s="970"/>
      <c r="G38" s="997" t="str">
        <f t="shared" si="2"/>
        <v/>
      </c>
      <c r="H38" s="976">
        <f t="shared" si="17"/>
        <v>212</v>
      </c>
      <c r="I38" s="977">
        <f t="shared" si="18"/>
        <v>14.036243467926479</v>
      </c>
      <c r="J38" s="993">
        <f t="shared" si="3"/>
        <v>0</v>
      </c>
      <c r="K38" s="988">
        <f t="shared" si="4"/>
        <v>0</v>
      </c>
      <c r="L38" s="987">
        <f t="shared" si="5"/>
        <v>0</v>
      </c>
      <c r="M38" s="988">
        <f t="shared" si="6"/>
        <v>0</v>
      </c>
      <c r="N38" s="998">
        <f t="shared" si="1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12"/>
      <c r="B39" s="910"/>
      <c r="C39" s="963"/>
      <c r="D39" s="911"/>
      <c r="E39" s="911"/>
      <c r="F39" s="970"/>
      <c r="G39" s="997" t="str">
        <f t="shared" si="2"/>
        <v/>
      </c>
      <c r="H39" s="976">
        <f t="shared" si="17"/>
        <v>212</v>
      </c>
      <c r="I39" s="977">
        <f t="shared" si="18"/>
        <v>14.036243467926479</v>
      </c>
      <c r="J39" s="993">
        <f t="shared" si="3"/>
        <v>0</v>
      </c>
      <c r="K39" s="988">
        <f t="shared" si="4"/>
        <v>0</v>
      </c>
      <c r="L39" s="987">
        <f t="shared" si="5"/>
        <v>0</v>
      </c>
      <c r="M39" s="988">
        <f t="shared" si="6"/>
        <v>0</v>
      </c>
      <c r="N39" s="998">
        <f t="shared" si="1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12"/>
      <c r="B40" s="910"/>
      <c r="C40" s="963"/>
      <c r="D40" s="911"/>
      <c r="E40" s="911"/>
      <c r="F40" s="970"/>
      <c r="G40" s="997" t="str">
        <f t="shared" si="2"/>
        <v/>
      </c>
      <c r="H40" s="976">
        <f t="shared" si="17"/>
        <v>212</v>
      </c>
      <c r="I40" s="977">
        <f t="shared" si="18"/>
        <v>14.036243467926479</v>
      </c>
      <c r="J40" s="993">
        <f t="shared" si="3"/>
        <v>0</v>
      </c>
      <c r="K40" s="988">
        <f t="shared" si="4"/>
        <v>0</v>
      </c>
      <c r="L40" s="987">
        <f t="shared" si="5"/>
        <v>0</v>
      </c>
      <c r="M40" s="988">
        <f t="shared" si="6"/>
        <v>0</v>
      </c>
      <c r="N40" s="998">
        <f t="shared" si="1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12"/>
      <c r="B41" s="910"/>
      <c r="C41" s="963"/>
      <c r="D41" s="911"/>
      <c r="E41" s="911"/>
      <c r="F41" s="970"/>
      <c r="G41" s="997" t="str">
        <f t="shared" si="2"/>
        <v/>
      </c>
      <c r="H41" s="976">
        <f t="shared" si="17"/>
        <v>212</v>
      </c>
      <c r="I41" s="977">
        <f>$J$3</f>
        <v>14.036243467926479</v>
      </c>
      <c r="J41" s="993">
        <f t="shared" si="3"/>
        <v>0</v>
      </c>
      <c r="K41" s="988">
        <f t="shared" si="4"/>
        <v>0</v>
      </c>
      <c r="L41" s="987">
        <f t="shared" si="5"/>
        <v>0</v>
      </c>
      <c r="M41" s="988">
        <f t="shared" si="6"/>
        <v>0</v>
      </c>
      <c r="N41" s="998">
        <f t="shared" si="1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12"/>
      <c r="B42" s="910"/>
      <c r="C42" s="963"/>
      <c r="D42" s="911"/>
      <c r="E42" s="911"/>
      <c r="F42" s="970"/>
      <c r="G42" s="997" t="str">
        <f t="shared" si="2"/>
        <v/>
      </c>
      <c r="H42" s="976">
        <f t="shared" si="17"/>
        <v>212</v>
      </c>
      <c r="I42" s="977">
        <f>$J$3</f>
        <v>14.036243467926479</v>
      </c>
      <c r="J42" s="993">
        <f t="shared" si="3"/>
        <v>0</v>
      </c>
      <c r="K42" s="988">
        <f t="shared" si="4"/>
        <v>0</v>
      </c>
      <c r="L42" s="987">
        <f t="shared" si="5"/>
        <v>0</v>
      </c>
      <c r="M42" s="988">
        <f t="shared" si="6"/>
        <v>0</v>
      </c>
      <c r="N42" s="998">
        <f t="shared" si="1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56"/>
      <c r="B43" s="957"/>
      <c r="C43" s="965"/>
      <c r="D43" s="966"/>
      <c r="E43" s="966"/>
      <c r="F43" s="985"/>
      <c r="G43" s="1097"/>
      <c r="H43" s="978">
        <f t="shared" si="17"/>
        <v>212</v>
      </c>
      <c r="I43" s="979">
        <f>$J$3</f>
        <v>14.036243467926479</v>
      </c>
      <c r="J43" s="995"/>
      <c r="K43" s="990"/>
      <c r="L43" s="989"/>
      <c r="M43" s="990"/>
      <c r="N43" s="999">
        <f t="shared" si="1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55" t="s">
        <v>187</v>
      </c>
      <c r="B44" s="913"/>
      <c r="C44" s="914"/>
      <c r="D44" s="615"/>
      <c r="E44" s="650"/>
      <c r="F44" s="964"/>
      <c r="G44" s="615"/>
      <c r="H44" s="915"/>
      <c r="I44" s="915"/>
      <c r="J44" s="914"/>
      <c r="K44" s="615"/>
      <c r="L44" s="913"/>
      <c r="M44" s="913"/>
      <c r="N44" s="1003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12" t="s">
        <v>159</v>
      </c>
      <c r="B45" s="910">
        <v>1</v>
      </c>
      <c r="C45" s="968">
        <v>48.05</v>
      </c>
      <c r="D45" s="911">
        <v>401.53</v>
      </c>
      <c r="E45" s="911">
        <v>671.74</v>
      </c>
      <c r="F45" s="970"/>
      <c r="G45" s="997"/>
      <c r="H45" s="976"/>
      <c r="I45" s="977"/>
      <c r="J45" s="993"/>
      <c r="K45" s="988"/>
      <c r="L45" s="987"/>
      <c r="M45" s="988"/>
      <c r="N45" s="998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12" t="s">
        <v>332</v>
      </c>
      <c r="B46" s="910">
        <v>1</v>
      </c>
      <c r="C46" s="968">
        <v>27.41</v>
      </c>
      <c r="D46" s="911">
        <v>324.52</v>
      </c>
      <c r="E46" s="911">
        <v>783.52</v>
      </c>
      <c r="F46" s="970"/>
      <c r="G46" s="997"/>
      <c r="H46" s="976"/>
      <c r="I46" s="977"/>
      <c r="J46" s="993"/>
      <c r="K46" s="988"/>
      <c r="L46" s="987"/>
      <c r="M46" s="988"/>
      <c r="N46" s="998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4" customFormat="1" ht="12.75" x14ac:dyDescent="0.2">
      <c r="A47" s="912" t="s">
        <v>156</v>
      </c>
      <c r="B47" s="910">
        <v>1</v>
      </c>
      <c r="C47" s="968">
        <v>43.6</v>
      </c>
      <c r="D47" s="911">
        <v>429.81</v>
      </c>
      <c r="E47" s="911">
        <v>650.78</v>
      </c>
      <c r="F47" s="970"/>
      <c r="G47" s="997"/>
      <c r="H47" s="976"/>
      <c r="I47" s="977"/>
      <c r="J47" s="993"/>
      <c r="K47" s="988"/>
      <c r="L47" s="987"/>
      <c r="M47" s="988"/>
      <c r="N47" s="998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12"/>
      <c r="B48" s="910"/>
      <c r="C48" s="968"/>
      <c r="D48" s="911"/>
      <c r="E48" s="911"/>
      <c r="F48" s="970"/>
      <c r="G48" s="997"/>
      <c r="H48" s="976"/>
      <c r="I48" s="977"/>
      <c r="J48" s="993"/>
      <c r="K48" s="988"/>
      <c r="L48" s="987"/>
      <c r="M48" s="988"/>
      <c r="N48" s="998"/>
      <c r="O48" s="688"/>
      <c r="P48" s="684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12"/>
      <c r="B49" s="910"/>
      <c r="C49" s="968"/>
      <c r="D49" s="911"/>
      <c r="E49" s="911"/>
      <c r="F49" s="970"/>
      <c r="G49" s="997"/>
      <c r="H49" s="976"/>
      <c r="I49" s="977"/>
      <c r="J49" s="993"/>
      <c r="K49" s="988"/>
      <c r="L49" s="987"/>
      <c r="M49" s="988"/>
      <c r="N49" s="998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12"/>
      <c r="B50" s="910"/>
      <c r="C50" s="968"/>
      <c r="D50" s="911"/>
      <c r="E50" s="911"/>
      <c r="F50" s="970"/>
      <c r="G50" s="997"/>
      <c r="H50" s="976"/>
      <c r="I50" s="977"/>
      <c r="J50" s="993"/>
      <c r="K50" s="988"/>
      <c r="L50" s="987"/>
      <c r="M50" s="988"/>
      <c r="N50" s="998"/>
      <c r="O50" s="688"/>
      <c r="P50" s="684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12"/>
      <c r="B51" s="910"/>
      <c r="C51" s="968"/>
      <c r="D51" s="911"/>
      <c r="E51" s="911"/>
      <c r="F51" s="970"/>
      <c r="G51" s="997"/>
      <c r="H51" s="976"/>
      <c r="I51" s="977"/>
      <c r="J51" s="993"/>
      <c r="K51" s="988"/>
      <c r="L51" s="987"/>
      <c r="M51" s="988"/>
      <c r="N51" s="998"/>
      <c r="O51" s="688"/>
      <c r="P51" s="684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1" t="s">
        <v>169</v>
      </c>
      <c r="C52" s="624"/>
      <c r="F52" s="15"/>
      <c r="K52" s="15"/>
      <c r="L52" s="624"/>
      <c r="M52" s="916"/>
      <c r="N52" s="41"/>
      <c r="O52" s="917"/>
      <c r="P52" s="21"/>
      <c r="R52" s="21"/>
      <c r="S52" s="337"/>
    </row>
    <row r="53" spans="1:51" s="36" customFormat="1" ht="15.75" x14ac:dyDescent="0.25">
      <c r="A53" s="686"/>
      <c r="B53" s="686" t="s">
        <v>198</v>
      </c>
      <c r="C53" s="1094">
        <v>1</v>
      </c>
      <c r="E53" s="684"/>
      <c r="G53" s="686" t="s">
        <v>328</v>
      </c>
      <c r="H53" s="1119">
        <f>I1</f>
        <v>44630</v>
      </c>
      <c r="L53" s="1020"/>
      <c r="P53" s="683" t="s">
        <v>286</v>
      </c>
      <c r="R53" s="684"/>
      <c r="V53" s="684"/>
      <c r="X53" s="684"/>
      <c r="Y53" s="690"/>
      <c r="Z53" s="684"/>
      <c r="AA53" s="683" t="s">
        <v>287</v>
      </c>
      <c r="AM53" s="82"/>
      <c r="AN53" s="1208" t="s">
        <v>318</v>
      </c>
      <c r="AO53" s="1209"/>
      <c r="AP53" s="1204" t="s">
        <v>319</v>
      </c>
      <c r="AQ53" s="1205"/>
      <c r="AR53" s="1204" t="s">
        <v>320</v>
      </c>
      <c r="AS53" s="1205"/>
      <c r="AT53" s="1204" t="s">
        <v>321</v>
      </c>
      <c r="AU53" s="1205"/>
      <c r="AV53" s="1204" t="s">
        <v>322</v>
      </c>
      <c r="AW53" s="1205"/>
    </row>
    <row r="54" spans="1:51" s="4" customFormat="1" x14ac:dyDescent="0.25">
      <c r="A54" s="708" t="str">
        <f>Station</f>
        <v>Hangar Goussaud Espanès</v>
      </c>
      <c r="B54" s="1217" t="s">
        <v>308</v>
      </c>
      <c r="C54" s="1214" t="str">
        <f>"Hauteur fonction de la croissance vue du champ PV "&amp;ZonePV</f>
        <v>Hauteur fonction de la croissance vue du champ PV 1</v>
      </c>
      <c r="D54" s="1215"/>
      <c r="E54" s="1215"/>
      <c r="F54" s="1215"/>
      <c r="G54" s="1215"/>
      <c r="H54" s="1215"/>
      <c r="I54" s="1215"/>
      <c r="J54" s="1215"/>
      <c r="K54" s="1215"/>
      <c r="L54" s="1215"/>
      <c r="M54" s="1216"/>
      <c r="O54" s="918" t="str">
        <f>Station</f>
        <v>Hangar Goussaud Espanès</v>
      </c>
      <c r="P54" s="919">
        <f>Azi_pv_sel</f>
        <v>32</v>
      </c>
      <c r="Q54" s="1214" t="str">
        <f>"Elevation vue du champ PV zone: "&amp;ZonePV</f>
        <v>Elevation vue du champ PV zone: 1</v>
      </c>
      <c r="R54" s="1215"/>
      <c r="S54" s="1215"/>
      <c r="T54" s="1215"/>
      <c r="U54" s="1215"/>
      <c r="V54" s="1215"/>
      <c r="W54" s="1215"/>
      <c r="X54" s="1215"/>
      <c r="Y54" s="1215"/>
      <c r="Z54" s="1216"/>
      <c r="AA54" s="920">
        <f>Ram_pv</f>
        <v>0.25</v>
      </c>
      <c r="AB54" s="2"/>
      <c r="AC54" s="2"/>
      <c r="AD54" s="28"/>
      <c r="AG54" s="921"/>
      <c r="AH54" s="922" t="s">
        <v>288</v>
      </c>
      <c r="AJ54" s="1212" t="s">
        <v>315</v>
      </c>
      <c r="AK54" s="1061"/>
      <c r="AL54" s="1061"/>
      <c r="AM54" s="1061"/>
      <c r="AN54" s="1210" t="s">
        <v>309</v>
      </c>
      <c r="AO54" s="1211"/>
      <c r="AP54" s="1206" t="s">
        <v>309</v>
      </c>
      <c r="AQ54" s="1207"/>
      <c r="AR54" s="1206" t="s">
        <v>309</v>
      </c>
      <c r="AS54" s="1207"/>
      <c r="AT54" s="1206" t="s">
        <v>309</v>
      </c>
      <c r="AU54" s="1207"/>
      <c r="AV54" s="1206" t="s">
        <v>309</v>
      </c>
      <c r="AW54" s="1207"/>
    </row>
    <row r="55" spans="1:51" s="19" customFormat="1" ht="13.5" thickBot="1" x14ac:dyDescent="0.25">
      <c r="A55" s="709" t="s">
        <v>307</v>
      </c>
      <c r="B55" s="1217"/>
      <c r="C55" s="691">
        <f>+D$55-$C$53</f>
        <v>-5</v>
      </c>
      <c r="D55" s="691">
        <f>+E$55-$C$53</f>
        <v>-4</v>
      </c>
      <c r="E55" s="691">
        <f>+F$55-$C$53</f>
        <v>-3</v>
      </c>
      <c r="F55" s="691">
        <f>+G$55-$C$53</f>
        <v>-2</v>
      </c>
      <c r="G55" s="691">
        <f>+H$55-$C$53</f>
        <v>-1</v>
      </c>
      <c r="H55" s="692">
        <v>0</v>
      </c>
      <c r="I55" s="691">
        <f>$C$53+H$55</f>
        <v>1</v>
      </c>
      <c r="J55" s="691">
        <f>$C$53+I$55</f>
        <v>2</v>
      </c>
      <c r="K55" s="691">
        <f>$C$53+J$55</f>
        <v>3</v>
      </c>
      <c r="L55" s="691">
        <f>$C$53+K$55</f>
        <v>4</v>
      </c>
      <c r="M55" s="691">
        <f>$C$53+L$55</f>
        <v>5</v>
      </c>
      <c r="N55" s="673" t="s">
        <v>154</v>
      </c>
      <c r="O55" s="673" t="str">
        <f>"zone "&amp;ZonePV</f>
        <v>zone 1</v>
      </c>
      <c r="P55" s="693" t="s">
        <v>153</v>
      </c>
      <c r="Q55" s="691">
        <f t="shared" ref="Q55:AA55" si="19">C55</f>
        <v>-5</v>
      </c>
      <c r="R55" s="691">
        <f t="shared" si="19"/>
        <v>-4</v>
      </c>
      <c r="S55" s="691">
        <f t="shared" si="19"/>
        <v>-3</v>
      </c>
      <c r="T55" s="691">
        <f t="shared" si="19"/>
        <v>-2</v>
      </c>
      <c r="U55" s="691">
        <f t="shared" si="19"/>
        <v>-1</v>
      </c>
      <c r="V55" s="692">
        <f t="shared" si="19"/>
        <v>0</v>
      </c>
      <c r="W55" s="691">
        <f t="shared" si="19"/>
        <v>1</v>
      </c>
      <c r="X55" s="691">
        <f t="shared" si="19"/>
        <v>2</v>
      </c>
      <c r="Y55" s="691">
        <f t="shared" si="19"/>
        <v>3</v>
      </c>
      <c r="Z55" s="691">
        <f t="shared" si="19"/>
        <v>4</v>
      </c>
      <c r="AA55" s="691">
        <f t="shared" si="19"/>
        <v>5</v>
      </c>
      <c r="AB55" s="124" t="s">
        <v>295</v>
      </c>
      <c r="AC55" s="924" t="s">
        <v>290</v>
      </c>
      <c r="AD55" s="923" t="s">
        <v>289</v>
      </c>
      <c r="AE55" s="924" t="s">
        <v>291</v>
      </c>
      <c r="AF55" s="925" t="s">
        <v>292</v>
      </c>
      <c r="AG55" s="926" t="s">
        <v>293</v>
      </c>
      <c r="AH55" s="927" t="s">
        <v>294</v>
      </c>
      <c r="AJ55" s="1213"/>
      <c r="AK55" s="82" t="s">
        <v>311</v>
      </c>
      <c r="AL55" s="82" t="s">
        <v>313</v>
      </c>
      <c r="AM55" s="82" t="s">
        <v>314</v>
      </c>
      <c r="AN55" s="1070" t="s">
        <v>312</v>
      </c>
      <c r="AO55" s="1071" t="s">
        <v>310</v>
      </c>
      <c r="AP55" s="1072" t="s">
        <v>312</v>
      </c>
      <c r="AQ55" s="1073" t="s">
        <v>310</v>
      </c>
      <c r="AR55" s="1072" t="s">
        <v>312</v>
      </c>
      <c r="AS55" s="1073" t="s">
        <v>310</v>
      </c>
      <c r="AT55" s="1072" t="s">
        <v>312</v>
      </c>
      <c r="AU55" s="1073" t="s">
        <v>310</v>
      </c>
      <c r="AV55" s="1072" t="s">
        <v>312</v>
      </c>
      <c r="AW55" s="1073" t="s">
        <v>310</v>
      </c>
    </row>
    <row r="56" spans="1:51" s="28" customFormat="1" ht="12.75" x14ac:dyDescent="0.2">
      <c r="A56" s="1021" t="str">
        <f t="shared" ref="A56:A79" si="20">A20</f>
        <v>Arrière PV</v>
      </c>
      <c r="B56" s="1024">
        <v>1</v>
      </c>
      <c r="C56" s="1080">
        <f t="shared" ref="C56:M56" si="21">$L20+C$55*Rapous</f>
        <v>-5</v>
      </c>
      <c r="D56" s="1080">
        <f t="shared" si="21"/>
        <v>-4</v>
      </c>
      <c r="E56" s="1080">
        <f t="shared" si="21"/>
        <v>-3</v>
      </c>
      <c r="F56" s="1080">
        <f t="shared" si="21"/>
        <v>-2</v>
      </c>
      <c r="G56" s="1081">
        <f t="shared" si="21"/>
        <v>-1</v>
      </c>
      <c r="H56" s="1082">
        <f t="shared" si="21"/>
        <v>0</v>
      </c>
      <c r="I56" s="1083">
        <f t="shared" si="21"/>
        <v>1</v>
      </c>
      <c r="J56" s="1080">
        <f t="shared" si="21"/>
        <v>2</v>
      </c>
      <c r="K56" s="1080">
        <f t="shared" si="21"/>
        <v>3</v>
      </c>
      <c r="L56" s="1080">
        <f t="shared" si="21"/>
        <v>4</v>
      </c>
      <c r="M56" s="1081">
        <f t="shared" si="21"/>
        <v>5</v>
      </c>
      <c r="N56" s="688">
        <f t="shared" ref="N56:N79" si="22">$M20</f>
        <v>0</v>
      </c>
      <c r="O56" s="928" t="str">
        <f t="shared" ref="O56:O79" si="23">N20</f>
        <v>Arrière PV</v>
      </c>
      <c r="P56" s="678">
        <f t="shared" ref="P56:P79" si="24">$H20+Azi_decal</f>
        <v>-148</v>
      </c>
      <c r="Q56" s="1084">
        <f t="shared" ref="Q56:Q79" si="25">MAX(IF($N56=0,$I20,DEGREES(ATAN2($N56,C56-H_pv))),Elev_F+0)</f>
        <v>14.036243467926479</v>
      </c>
      <c r="R56" s="688">
        <f t="shared" ref="R56:R79" si="26">MAX(IF($N56=0,$I20,DEGREES(ATAN2($N56,D56-H_pv))),Elev_F+0)</f>
        <v>14.036243467926479</v>
      </c>
      <c r="S56" s="688">
        <f t="shared" ref="S56:S79" si="27">MAX(IF($N56=0,$I20,DEGREES(ATAN2($N56,E56-H_pv))),Elev_F+0)</f>
        <v>14.036243467926479</v>
      </c>
      <c r="T56" s="688">
        <f t="shared" ref="T56:T79" si="28">MAX(IF($N56=0,$I20,DEGREES(ATAN2($N56,F56-H_pv))),Elev_F+0)</f>
        <v>14.036243467926479</v>
      </c>
      <c r="U56" s="944">
        <f t="shared" ref="U56:U79" si="29">MAX(IF($N56=0,$I20,DEGREES(ATAN2($N56,G56-H_pv))),Elev_F+0)</f>
        <v>14.036243467926479</v>
      </c>
      <c r="V56" s="1085">
        <f t="shared" ref="V56:V79" si="30">MAX(IF($N56=0,$I20,DEGREES(ATAN2($N56,H56-H_pv))),Elev_F+0)</f>
        <v>14.036243467926479</v>
      </c>
      <c r="W56" s="685">
        <f t="shared" ref="W56:W79" si="31">MAX(IF($N56=0,$I20,DEGREES(ATAN2($N56,I56-H_pv))),Elev_F+0)</f>
        <v>14.036243467926479</v>
      </c>
      <c r="X56" s="688">
        <f t="shared" ref="X56:X79" si="32">MAX(IF($N56=0,$I20,DEGREES(ATAN2($N56,J56-H_pv))),Elev_F+0)</f>
        <v>14.036243467926479</v>
      </c>
      <c r="Y56" s="688">
        <f t="shared" ref="Y56:Y79" si="33">MAX(IF($N56=0,$I20,DEGREES(ATAN2($N56,K56-H_pv))),Elev_F+0)</f>
        <v>14.036243467926479</v>
      </c>
      <c r="Z56" s="688">
        <f t="shared" ref="Z56:Z79" si="34">MAX(IF($N56=0,$I20,DEGREES(ATAN2($N56,L56-H_pv))),Elev_F+0)</f>
        <v>14.036243467926479</v>
      </c>
      <c r="AA56" s="944">
        <f t="shared" ref="AA56:AA79" si="35">MAX(IF($N56=0,$I20,DEGREES(ATAN2($N56,M56-H_pv))),Elev_F+0)</f>
        <v>14.036243467926479</v>
      </c>
      <c r="AB56" s="1048">
        <f t="shared" ref="AB56:AB78" si="36">(AA56+AA57)/2</f>
        <v>9.35272925829487</v>
      </c>
      <c r="AC56" s="1049">
        <f>INDEX($AH$56:$AH$82,MATCH(AB56,$AG$56:$AG$82)+1)</f>
        <v>7.5010000000000003</v>
      </c>
      <c r="AD56" s="1050" t="b">
        <f t="shared" ref="AD56:AD79" si="37">G20&lt;AC56</f>
        <v>0</v>
      </c>
      <c r="AE56" s="1049">
        <f t="shared" ref="AE56:AE79" si="38">H21-H20</f>
        <v>82.07540416515063</v>
      </c>
      <c r="AF56" s="1051">
        <f>+IF(F15="D",AC55-AE55,IF(F20="G",AE56-AC56,0))</f>
        <v>0</v>
      </c>
      <c r="AG56" s="929">
        <v>-10</v>
      </c>
      <c r="AH56" s="930">
        <v>7.5</v>
      </c>
      <c r="AJ56" s="1062">
        <f>AM56+(INDEX($AO$56:$AO$79,$AK56+1)-AM56)/(INDEX($AN$56:$AN$79,AK56+1)-AL56)*($H20-AL56)</f>
        <v>1</v>
      </c>
      <c r="AK56" s="82">
        <f>MATCH($H20,$AN$56:$AN$79)</f>
        <v>1</v>
      </c>
      <c r="AL56" s="1063">
        <f>INDEX($AN$56:$AN$79,$AK56)</f>
        <v>-148</v>
      </c>
      <c r="AM56" s="1063">
        <f>INDEX($AO$56:$AO$79,$AK56)</f>
        <v>1</v>
      </c>
      <c r="AN56" s="1074">
        <f t="shared" ref="AN56:AN67" si="39">IF(AND(AX56=0,AX57=0),MAX(AN55,$H$43+1),AX56)</f>
        <v>-148</v>
      </c>
      <c r="AO56" s="1075">
        <f>IF(AND(AY56=0,AY57=0),$I$43,AY56)</f>
        <v>1</v>
      </c>
      <c r="AP56" s="1067">
        <f>$H$20</f>
        <v>-148</v>
      </c>
      <c r="AQ56" s="1068">
        <v>1</v>
      </c>
      <c r="AR56" s="1067">
        <f>$H$20</f>
        <v>-148</v>
      </c>
      <c r="AS56" s="1068">
        <f>AS57</f>
        <v>1</v>
      </c>
      <c r="AT56" s="1067">
        <f>$H$20</f>
        <v>-148</v>
      </c>
      <c r="AU56" s="1068">
        <f>AU57</f>
        <v>1</v>
      </c>
      <c r="AV56" s="1067">
        <f>$H$20</f>
        <v>-148</v>
      </c>
      <c r="AW56" s="1068">
        <f>AW57</f>
        <v>1</v>
      </c>
      <c r="AX56" s="28">
        <f t="shared" ref="AX56:AX79" si="40">CHOOSE(ZonePV,AP56,AR56,AT56,AV56)</f>
        <v>-148</v>
      </c>
      <c r="AY56" s="28">
        <f t="shared" ref="AY56:AY79" si="41">CHOOSE(ZonePV,AQ56,AS56,AU56,AW56)</f>
        <v>1</v>
      </c>
    </row>
    <row r="57" spans="1:51" s="28" customFormat="1" ht="12.75" x14ac:dyDescent="0.2">
      <c r="A57" s="1021" t="str">
        <f t="shared" si="20"/>
        <v>Arbre 1g</v>
      </c>
      <c r="B57" s="1025">
        <v>1</v>
      </c>
      <c r="C57" s="1080">
        <f t="shared" ref="C57:M57" si="42">$L21+C$55*Rapous</f>
        <v>5.1716166837845492</v>
      </c>
      <c r="D57" s="1080">
        <f t="shared" si="42"/>
        <v>6.1716166837845492</v>
      </c>
      <c r="E57" s="1080">
        <f t="shared" si="42"/>
        <v>7.1716166837845492</v>
      </c>
      <c r="F57" s="1080">
        <f t="shared" si="42"/>
        <v>8.1716166837845492</v>
      </c>
      <c r="G57" s="1081">
        <f t="shared" si="42"/>
        <v>9.1716166837845492</v>
      </c>
      <c r="H57" s="1082">
        <f t="shared" si="42"/>
        <v>10.171616683784549</v>
      </c>
      <c r="I57" s="1083">
        <f t="shared" si="42"/>
        <v>11.171616683784549</v>
      </c>
      <c r="J57" s="1080">
        <f t="shared" si="42"/>
        <v>12.171616683784549</v>
      </c>
      <c r="K57" s="1080">
        <f t="shared" si="42"/>
        <v>13.171616683784549</v>
      </c>
      <c r="L57" s="1080">
        <f t="shared" si="42"/>
        <v>14.171616683784549</v>
      </c>
      <c r="M57" s="1081">
        <f t="shared" si="42"/>
        <v>15.171616683784549</v>
      </c>
      <c r="N57" s="688">
        <f t="shared" si="22"/>
        <v>147.86540300641667</v>
      </c>
      <c r="O57" s="928" t="str">
        <f t="shared" si="23"/>
        <v>Arbre 1g</v>
      </c>
      <c r="P57" s="678">
        <f t="shared" si="24"/>
        <v>-65.92459583484937</v>
      </c>
      <c r="Q57" s="685">
        <f t="shared" si="25"/>
        <v>1</v>
      </c>
      <c r="R57" s="688">
        <f t="shared" si="26"/>
        <v>1.1920325000697056</v>
      </c>
      <c r="S57" s="688">
        <f t="shared" si="27"/>
        <v>1.5792904737138835</v>
      </c>
      <c r="T57" s="688">
        <f t="shared" si="28"/>
        <v>1.9664041730329158</v>
      </c>
      <c r="U57" s="944">
        <f t="shared" si="29"/>
        <v>2.3533383588509182</v>
      </c>
      <c r="V57" s="1085">
        <f t="shared" si="30"/>
        <v>2.7400578901511294</v>
      </c>
      <c r="W57" s="685">
        <f t="shared" si="31"/>
        <v>3.1265277431118879</v>
      </c>
      <c r="X57" s="688">
        <f t="shared" si="32"/>
        <v>3.5127130299830411</v>
      </c>
      <c r="Y57" s="688">
        <f t="shared" si="33"/>
        <v>3.8985790177775774</v>
      </c>
      <c r="Z57" s="688">
        <f t="shared" si="34"/>
        <v>4.2840911467537177</v>
      </c>
      <c r="AA57" s="944">
        <f t="shared" si="35"/>
        <v>4.6692150486632604</v>
      </c>
      <c r="AB57" s="1052">
        <f t="shared" si="36"/>
        <v>4.5852431919062964</v>
      </c>
      <c r="AC57" s="1053">
        <f t="shared" ref="AC57:AC79" si="43">INDEX($AH$56:$AH$82,MATCH(AB57,$AG$56:$AG$82)+1)</f>
        <v>7.5010000000000003</v>
      </c>
      <c r="AD57" s="39" t="b">
        <f t="shared" si="37"/>
        <v>0</v>
      </c>
      <c r="AE57" s="1053">
        <f t="shared" si="38"/>
        <v>16.442468733920613</v>
      </c>
      <c r="AF57" s="1054">
        <f t="shared" ref="AF57:AF79" si="44">+IF(F20="D",AC56-AE56,IF(F21="G",AE57-AC57,0))</f>
        <v>0</v>
      </c>
      <c r="AG57" s="929">
        <v>22.98</v>
      </c>
      <c r="AH57" s="930">
        <v>7.5010000000000003</v>
      </c>
      <c r="AJ57" s="1062">
        <f t="shared" ref="AJ57:AJ79" si="45">AM57+(INDEX($AO$56:$AO$79,$AK57+1)-AM57)/(INDEX($AN$56:$AN$79,AK57+1)-AL57)*($H21-AL57)</f>
        <v>1</v>
      </c>
      <c r="AK57" s="82">
        <f t="shared" ref="AK57:AK79" si="46">MATCH($H21,$AN$56:$AN$79)</f>
        <v>1</v>
      </c>
      <c r="AL57" s="1063">
        <f t="shared" ref="AL57:AL79" si="47">INDEX($AN$56:$AN$79,$AK57)</f>
        <v>-148</v>
      </c>
      <c r="AM57" s="1063">
        <f t="shared" ref="AM57:AM79" si="48">INDEX($AO$56:$AO$79,$AK57)</f>
        <v>1</v>
      </c>
      <c r="AN57" s="1074">
        <f t="shared" si="39"/>
        <v>212</v>
      </c>
      <c r="AO57" s="1075">
        <f t="shared" ref="AO57:AO79" si="49">IF(AND(AY57=0,AY58=0),$I$43,AY57)</f>
        <v>1</v>
      </c>
      <c r="AP57" s="1067">
        <f>$H$43</f>
        <v>212</v>
      </c>
      <c r="AQ57" s="1068">
        <v>1</v>
      </c>
      <c r="AR57" s="1067">
        <f>$H$43</f>
        <v>212</v>
      </c>
      <c r="AS57" s="1068">
        <v>1</v>
      </c>
      <c r="AT57" s="1067">
        <f>$H$43</f>
        <v>212</v>
      </c>
      <c r="AU57" s="1068">
        <v>1</v>
      </c>
      <c r="AV57" s="1067">
        <f>$H$43</f>
        <v>212</v>
      </c>
      <c r="AW57" s="1068">
        <v>1</v>
      </c>
      <c r="AX57" s="28">
        <f t="shared" si="40"/>
        <v>212</v>
      </c>
      <c r="AY57" s="28">
        <f t="shared" si="41"/>
        <v>1</v>
      </c>
    </row>
    <row r="58" spans="1:51" s="19" customFormat="1" ht="12.75" x14ac:dyDescent="0.2">
      <c r="A58" s="1021" t="str">
        <f t="shared" si="20"/>
        <v>Arbre 1d</v>
      </c>
      <c r="B58" s="1025">
        <v>1</v>
      </c>
      <c r="C58" s="1080">
        <f t="shared" ref="C58:M58" si="50">$L22+C$55*Rapous</f>
        <v>5.7331489850329813</v>
      </c>
      <c r="D58" s="1080">
        <f t="shared" si="50"/>
        <v>6.7331489850329813</v>
      </c>
      <c r="E58" s="1080">
        <f t="shared" si="50"/>
        <v>7.7331489850329813</v>
      </c>
      <c r="F58" s="1080">
        <f t="shared" si="50"/>
        <v>8.7331489850329813</v>
      </c>
      <c r="G58" s="1081">
        <f t="shared" si="50"/>
        <v>9.7331489850329813</v>
      </c>
      <c r="H58" s="1082">
        <f t="shared" si="50"/>
        <v>10.733148985032981</v>
      </c>
      <c r="I58" s="1083">
        <f t="shared" si="50"/>
        <v>11.733148985032981</v>
      </c>
      <c r="J58" s="1080">
        <f t="shared" si="50"/>
        <v>12.733148985032981</v>
      </c>
      <c r="K58" s="1080">
        <f t="shared" si="50"/>
        <v>13.733148985032981</v>
      </c>
      <c r="L58" s="1080">
        <f t="shared" si="50"/>
        <v>14.733148985032981</v>
      </c>
      <c r="M58" s="1081">
        <f t="shared" si="50"/>
        <v>15.733148985032981</v>
      </c>
      <c r="N58" s="688">
        <f t="shared" si="22"/>
        <v>160.53928430838974</v>
      </c>
      <c r="O58" s="928" t="str">
        <f t="shared" si="23"/>
        <v>Arbre 1d</v>
      </c>
      <c r="P58" s="678">
        <f t="shared" si="24"/>
        <v>-49.482127100928757</v>
      </c>
      <c r="Q58" s="685">
        <f t="shared" si="25"/>
        <v>1</v>
      </c>
      <c r="R58" s="688">
        <f t="shared" si="26"/>
        <v>1.2982713564576216</v>
      </c>
      <c r="S58" s="688">
        <f t="shared" si="27"/>
        <v>1.6549289102507294</v>
      </c>
      <c r="T58" s="688">
        <f t="shared" si="28"/>
        <v>2.0114582233280163</v>
      </c>
      <c r="U58" s="944">
        <f t="shared" si="29"/>
        <v>2.3678317716065744</v>
      </c>
      <c r="V58" s="1085">
        <f t="shared" si="30"/>
        <v>2.724022103249554</v>
      </c>
      <c r="W58" s="685">
        <f t="shared" si="31"/>
        <v>3.0800018512774776</v>
      </c>
      <c r="X58" s="688">
        <f t="shared" si="32"/>
        <v>3.4357437460815436</v>
      </c>
      <c r="Y58" s="688">
        <f t="shared" si="33"/>
        <v>3.7912206278247305</v>
      </c>
      <c r="Z58" s="688">
        <f t="shared" si="34"/>
        <v>4.1464054587167745</v>
      </c>
      <c r="AA58" s="944">
        <f t="shared" si="35"/>
        <v>4.5012713351493323</v>
      </c>
      <c r="AB58" s="1052">
        <f t="shared" si="36"/>
        <v>3.5853228790308731</v>
      </c>
      <c r="AC58" s="1053">
        <f t="shared" si="43"/>
        <v>7.5010000000000003</v>
      </c>
      <c r="AD58" s="39" t="b">
        <f t="shared" si="37"/>
        <v>0</v>
      </c>
      <c r="AE58" s="1053">
        <f t="shared" si="38"/>
        <v>8.1379772654318785</v>
      </c>
      <c r="AF58" s="1054">
        <f t="shared" si="44"/>
        <v>0</v>
      </c>
      <c r="AG58" s="929">
        <v>23.38</v>
      </c>
      <c r="AH58" s="930">
        <v>7.5199999999999818</v>
      </c>
      <c r="AJ58" s="1062">
        <f t="shared" si="45"/>
        <v>1</v>
      </c>
      <c r="AK58" s="82">
        <f t="shared" si="46"/>
        <v>1</v>
      </c>
      <c r="AL58" s="1063">
        <f t="shared" si="47"/>
        <v>-148</v>
      </c>
      <c r="AM58" s="1063">
        <f t="shared" si="48"/>
        <v>1</v>
      </c>
      <c r="AN58" s="1074">
        <f t="shared" si="39"/>
        <v>213</v>
      </c>
      <c r="AO58" s="1075">
        <f t="shared" si="49"/>
        <v>14.036243467926479</v>
      </c>
      <c r="AP58" s="1067"/>
      <c r="AQ58" s="1068"/>
      <c r="AR58" s="1067"/>
      <c r="AS58" s="1068"/>
      <c r="AT58" s="1067"/>
      <c r="AU58" s="1068"/>
      <c r="AV58" s="1067"/>
      <c r="AW58" s="1068"/>
      <c r="AX58" s="28">
        <f t="shared" si="40"/>
        <v>0</v>
      </c>
      <c r="AY58" s="28">
        <f t="shared" si="41"/>
        <v>0</v>
      </c>
    </row>
    <row r="59" spans="1:51" s="19" customFormat="1" ht="12.75" x14ac:dyDescent="0.2">
      <c r="A59" s="1021" t="str">
        <f t="shared" si="20"/>
        <v>creux</v>
      </c>
      <c r="B59" s="1025">
        <v>1</v>
      </c>
      <c r="C59" s="1080">
        <f t="shared" ref="C59:M59" si="51">$L23+C$55*Rapous</f>
        <v>0.33713802457524356</v>
      </c>
      <c r="D59" s="1080">
        <f t="shared" si="51"/>
        <v>1.3371380245752436</v>
      </c>
      <c r="E59" s="1080">
        <f t="shared" si="51"/>
        <v>2.3371380245752436</v>
      </c>
      <c r="F59" s="1080">
        <f t="shared" si="51"/>
        <v>3.3371380245752436</v>
      </c>
      <c r="G59" s="1081">
        <f t="shared" si="51"/>
        <v>4.3371380245752436</v>
      </c>
      <c r="H59" s="1082">
        <f t="shared" si="51"/>
        <v>5.3371380245752436</v>
      </c>
      <c r="I59" s="1083">
        <f t="shared" si="51"/>
        <v>6.3371380245752436</v>
      </c>
      <c r="J59" s="1080">
        <f t="shared" si="51"/>
        <v>7.3371380245752436</v>
      </c>
      <c r="K59" s="1080">
        <f t="shared" si="51"/>
        <v>8.3371380245752427</v>
      </c>
      <c r="L59" s="1080">
        <f t="shared" si="51"/>
        <v>9.3371380245752427</v>
      </c>
      <c r="M59" s="1081">
        <f t="shared" si="51"/>
        <v>10.337138024575243</v>
      </c>
      <c r="N59" s="688">
        <f t="shared" si="22"/>
        <v>155.33689051944492</v>
      </c>
      <c r="O59" s="928" t="str">
        <f t="shared" si="23"/>
        <v>creux</v>
      </c>
      <c r="P59" s="678">
        <f t="shared" si="24"/>
        <v>-41.344149835496879</v>
      </c>
      <c r="Q59" s="685">
        <f t="shared" si="25"/>
        <v>1</v>
      </c>
      <c r="R59" s="688">
        <f t="shared" si="26"/>
        <v>1</v>
      </c>
      <c r="S59" s="688">
        <f t="shared" si="27"/>
        <v>1</v>
      </c>
      <c r="T59" s="688">
        <f t="shared" si="28"/>
        <v>1</v>
      </c>
      <c r="U59" s="944">
        <f t="shared" si="29"/>
        <v>1</v>
      </c>
      <c r="V59" s="1085">
        <f t="shared" si="30"/>
        <v>1</v>
      </c>
      <c r="W59" s="685">
        <f t="shared" si="31"/>
        <v>1.1957398162267225</v>
      </c>
      <c r="X59" s="688">
        <f t="shared" si="32"/>
        <v>1.5643730951949784</v>
      </c>
      <c r="Y59" s="688">
        <f t="shared" si="33"/>
        <v>1.9328768760312105</v>
      </c>
      <c r="Z59" s="688">
        <f t="shared" si="34"/>
        <v>2.3012207588277387</v>
      </c>
      <c r="AA59" s="944">
        <f t="shared" si="35"/>
        <v>2.6693744229124139</v>
      </c>
      <c r="AB59" s="1052">
        <f t="shared" si="36"/>
        <v>3.4854598970030044</v>
      </c>
      <c r="AC59" s="1053">
        <f t="shared" si="43"/>
        <v>7.5010000000000003</v>
      </c>
      <c r="AD59" s="39" t="b">
        <f t="shared" si="37"/>
        <v>0</v>
      </c>
      <c r="AE59" s="1053">
        <f t="shared" si="38"/>
        <v>21.787967811505212</v>
      </c>
      <c r="AF59" s="1054">
        <f t="shared" si="44"/>
        <v>0</v>
      </c>
      <c r="AG59" s="929">
        <v>24.23</v>
      </c>
      <c r="AH59" s="930">
        <v>7.6000000000000227</v>
      </c>
      <c r="AJ59" s="1062">
        <f t="shared" si="45"/>
        <v>1</v>
      </c>
      <c r="AK59" s="82">
        <f t="shared" si="46"/>
        <v>1</v>
      </c>
      <c r="AL59" s="1063">
        <f t="shared" si="47"/>
        <v>-148</v>
      </c>
      <c r="AM59" s="1063">
        <f t="shared" si="48"/>
        <v>1</v>
      </c>
      <c r="AN59" s="1074">
        <f t="shared" si="39"/>
        <v>213</v>
      </c>
      <c r="AO59" s="1075">
        <f t="shared" si="49"/>
        <v>14.036243467926479</v>
      </c>
      <c r="AP59" s="1067"/>
      <c r="AQ59" s="1068"/>
      <c r="AR59" s="1067"/>
      <c r="AS59" s="1068"/>
      <c r="AT59" s="1067"/>
      <c r="AU59" s="1068"/>
      <c r="AV59" s="1067"/>
      <c r="AW59" s="1068"/>
      <c r="AX59" s="28">
        <f t="shared" si="40"/>
        <v>0</v>
      </c>
      <c r="AY59" s="28">
        <f t="shared" si="41"/>
        <v>0</v>
      </c>
    </row>
    <row r="60" spans="1:51" s="19" customFormat="1" ht="12.75" x14ac:dyDescent="0.2">
      <c r="A60" s="1021" t="str">
        <f t="shared" si="20"/>
        <v>creux</v>
      </c>
      <c r="B60" s="1025">
        <v>1</v>
      </c>
      <c r="C60" s="1080">
        <f t="shared" ref="C60:M60" si="52">$L24+C$55*Rapous</f>
        <v>0.32434066465563749</v>
      </c>
      <c r="D60" s="1080">
        <f t="shared" si="52"/>
        <v>1.3243406646556375</v>
      </c>
      <c r="E60" s="1080">
        <f t="shared" si="52"/>
        <v>2.3243406646556375</v>
      </c>
      <c r="F60" s="1080">
        <f t="shared" si="52"/>
        <v>3.3243406646556375</v>
      </c>
      <c r="G60" s="1081">
        <f t="shared" si="52"/>
        <v>4.3243406646556375</v>
      </c>
      <c r="H60" s="1082">
        <f t="shared" si="52"/>
        <v>5.3243406646556375</v>
      </c>
      <c r="I60" s="1083">
        <f t="shared" si="52"/>
        <v>6.3243406646556375</v>
      </c>
      <c r="J60" s="1080">
        <f t="shared" si="52"/>
        <v>7.3243406646556375</v>
      </c>
      <c r="K60" s="1080">
        <f t="shared" si="52"/>
        <v>8.3243406646556366</v>
      </c>
      <c r="L60" s="1080">
        <f t="shared" si="52"/>
        <v>9.3243406646556366</v>
      </c>
      <c r="M60" s="1081">
        <f t="shared" si="52"/>
        <v>10.324340664655637</v>
      </c>
      <c r="N60" s="688">
        <f t="shared" si="22"/>
        <v>96.114487233975353</v>
      </c>
      <c r="O60" s="928" t="str">
        <f t="shared" si="23"/>
        <v>creux</v>
      </c>
      <c r="P60" s="678">
        <f t="shared" si="24"/>
        <v>-19.556182023991667</v>
      </c>
      <c r="Q60" s="685">
        <f t="shared" si="25"/>
        <v>1</v>
      </c>
      <c r="R60" s="688">
        <f t="shared" si="26"/>
        <v>1</v>
      </c>
      <c r="S60" s="688">
        <f t="shared" si="27"/>
        <v>1</v>
      </c>
      <c r="T60" s="688">
        <f t="shared" si="28"/>
        <v>1</v>
      </c>
      <c r="U60" s="944">
        <f t="shared" si="29"/>
        <v>1</v>
      </c>
      <c r="V60" s="1085">
        <f t="shared" si="30"/>
        <v>1.3288065276728847</v>
      </c>
      <c r="W60" s="685">
        <f t="shared" si="31"/>
        <v>1.924440931775218</v>
      </c>
      <c r="X60" s="688">
        <f t="shared" si="32"/>
        <v>2.5196595274318998</v>
      </c>
      <c r="Y60" s="688">
        <f t="shared" si="33"/>
        <v>3.1143344383042804</v>
      </c>
      <c r="Z60" s="688">
        <f t="shared" si="34"/>
        <v>3.7083384899004614</v>
      </c>
      <c r="AA60" s="944">
        <f t="shared" si="35"/>
        <v>4.3015453710935949</v>
      </c>
      <c r="AB60" s="1052">
        <f t="shared" si="36"/>
        <v>10.754770079113662</v>
      </c>
      <c r="AC60" s="1053">
        <f t="shared" si="43"/>
        <v>7.5010000000000003</v>
      </c>
      <c r="AD60" s="39" t="b">
        <f t="shared" si="37"/>
        <v>0</v>
      </c>
      <c r="AE60" s="1053">
        <f t="shared" si="38"/>
        <v>11.399593111993832</v>
      </c>
      <c r="AF60" s="1054">
        <f t="shared" si="44"/>
        <v>0</v>
      </c>
      <c r="AG60" s="929">
        <v>25.31</v>
      </c>
      <c r="AH60" s="930">
        <v>7.7300000000000182</v>
      </c>
      <c r="AJ60" s="1062">
        <f t="shared" si="45"/>
        <v>1</v>
      </c>
      <c r="AK60" s="82">
        <f t="shared" si="46"/>
        <v>1</v>
      </c>
      <c r="AL60" s="1063">
        <f t="shared" si="47"/>
        <v>-148</v>
      </c>
      <c r="AM60" s="1063">
        <f t="shared" si="48"/>
        <v>1</v>
      </c>
      <c r="AN60" s="1074">
        <f t="shared" si="39"/>
        <v>213</v>
      </c>
      <c r="AO60" s="1075">
        <f t="shared" si="49"/>
        <v>14.036243467926479</v>
      </c>
      <c r="AP60" s="1067"/>
      <c r="AQ60" s="1068"/>
      <c r="AR60" s="1067"/>
      <c r="AS60" s="1068"/>
      <c r="AT60" s="1067"/>
      <c r="AU60" s="1068"/>
      <c r="AV60" s="1067"/>
      <c r="AW60" s="1068"/>
      <c r="AX60" s="28">
        <f t="shared" si="40"/>
        <v>0</v>
      </c>
      <c r="AY60" s="28">
        <f t="shared" si="41"/>
        <v>0</v>
      </c>
    </row>
    <row r="61" spans="1:51" s="19" customFormat="1" ht="12.75" x14ac:dyDescent="0.2">
      <c r="A61" s="1021" t="str">
        <f t="shared" si="20"/>
        <v>Arbre 3</v>
      </c>
      <c r="B61" s="1025">
        <v>1</v>
      </c>
      <c r="C61" s="1080">
        <f t="shared" ref="C61:M61" si="53">$L25+C$55*Rapous</f>
        <v>16.544426088016323</v>
      </c>
      <c r="D61" s="1080">
        <f t="shared" si="53"/>
        <v>17.544426088016323</v>
      </c>
      <c r="E61" s="1080">
        <f t="shared" si="53"/>
        <v>18.544426088016323</v>
      </c>
      <c r="F61" s="1080">
        <f t="shared" si="53"/>
        <v>19.544426088016323</v>
      </c>
      <c r="G61" s="1081">
        <f t="shared" si="53"/>
        <v>20.544426088016323</v>
      </c>
      <c r="H61" s="1082">
        <f t="shared" si="53"/>
        <v>21.544426088016323</v>
      </c>
      <c r="I61" s="1083">
        <f t="shared" si="53"/>
        <v>22.544426088016323</v>
      </c>
      <c r="J61" s="1080">
        <f t="shared" si="53"/>
        <v>23.544426088016323</v>
      </c>
      <c r="K61" s="1080">
        <f t="shared" si="53"/>
        <v>24.544426088016323</v>
      </c>
      <c r="L61" s="1080">
        <f t="shared" si="53"/>
        <v>25.544426088016323</v>
      </c>
      <c r="M61" s="1081">
        <f t="shared" si="53"/>
        <v>26.544426088016323</v>
      </c>
      <c r="N61" s="688">
        <f t="shared" si="22"/>
        <v>75.71594155955539</v>
      </c>
      <c r="O61" s="928" t="str">
        <f t="shared" si="23"/>
        <v>Arbre 3</v>
      </c>
      <c r="P61" s="678">
        <f t="shared" si="24"/>
        <v>-8.1565889119978348</v>
      </c>
      <c r="Q61" s="685">
        <f t="shared" si="25"/>
        <v>10.072503375925281</v>
      </c>
      <c r="R61" s="688">
        <f t="shared" si="26"/>
        <v>10.80437261821238</v>
      </c>
      <c r="S61" s="688">
        <f t="shared" si="27"/>
        <v>11.532691221128255</v>
      </c>
      <c r="T61" s="688">
        <f t="shared" si="28"/>
        <v>12.257251370323257</v>
      </c>
      <c r="U61" s="944">
        <f t="shared" si="29"/>
        <v>12.97785219638374</v>
      </c>
      <c r="V61" s="1085">
        <f t="shared" si="30"/>
        <v>13.694300026549888</v>
      </c>
      <c r="W61" s="685">
        <f t="shared" si="31"/>
        <v>14.406408606014732</v>
      </c>
      <c r="X61" s="688">
        <f t="shared" si="32"/>
        <v>15.113999288730515</v>
      </c>
      <c r="Y61" s="688">
        <f t="shared" si="33"/>
        <v>15.816901197859012</v>
      </c>
      <c r="Z61" s="688">
        <f t="shared" si="34"/>
        <v>16.514951356201873</v>
      </c>
      <c r="AA61" s="944">
        <f t="shared" si="35"/>
        <v>17.207994787133728</v>
      </c>
      <c r="AB61" s="1052">
        <f t="shared" si="36"/>
        <v>17.758035374519451</v>
      </c>
      <c r="AC61" s="1053">
        <f t="shared" si="43"/>
        <v>7.5010000000000003</v>
      </c>
      <c r="AD61" s="39" t="b">
        <f t="shared" si="37"/>
        <v>0</v>
      </c>
      <c r="AE61" s="1053">
        <f t="shared" si="38"/>
        <v>8.0717706983917932</v>
      </c>
      <c r="AF61" s="1054">
        <f t="shared" si="44"/>
        <v>0</v>
      </c>
      <c r="AG61" s="929">
        <v>26.83</v>
      </c>
      <c r="AH61" s="930">
        <v>7.9000000000000057</v>
      </c>
      <c r="AJ61" s="1062">
        <f t="shared" si="45"/>
        <v>1</v>
      </c>
      <c r="AK61" s="82">
        <f t="shared" si="46"/>
        <v>1</v>
      </c>
      <c r="AL61" s="1063">
        <f t="shared" si="47"/>
        <v>-148</v>
      </c>
      <c r="AM61" s="1063">
        <f t="shared" si="48"/>
        <v>1</v>
      </c>
      <c r="AN61" s="1074">
        <f t="shared" si="39"/>
        <v>213</v>
      </c>
      <c r="AO61" s="1075">
        <f t="shared" si="49"/>
        <v>14.036243467926479</v>
      </c>
      <c r="AP61" s="1067"/>
      <c r="AQ61" s="1068"/>
      <c r="AR61" s="1067"/>
      <c r="AS61" s="1068"/>
      <c r="AT61" s="1067"/>
      <c r="AU61" s="1068"/>
      <c r="AV61" s="1067"/>
      <c r="AW61" s="1068"/>
      <c r="AX61" s="28">
        <f t="shared" si="40"/>
        <v>0</v>
      </c>
      <c r="AY61" s="28">
        <f t="shared" si="41"/>
        <v>0</v>
      </c>
    </row>
    <row r="62" spans="1:51" s="19" customFormat="1" ht="12.75" x14ac:dyDescent="0.2">
      <c r="A62" s="1021" t="str">
        <f t="shared" si="20"/>
        <v>Arbre 4</v>
      </c>
      <c r="B62" s="1025">
        <v>1</v>
      </c>
      <c r="C62" s="1080">
        <f t="shared" ref="C62:M62" si="54">$L26+C$55*Rapous</f>
        <v>16.004642237380363</v>
      </c>
      <c r="D62" s="1080">
        <f t="shared" si="54"/>
        <v>17.004642237380363</v>
      </c>
      <c r="E62" s="1080">
        <f t="shared" si="54"/>
        <v>18.004642237380363</v>
      </c>
      <c r="F62" s="1080">
        <f t="shared" si="54"/>
        <v>19.004642237380363</v>
      </c>
      <c r="G62" s="1081">
        <f t="shared" si="54"/>
        <v>20.004642237380363</v>
      </c>
      <c r="H62" s="1082">
        <f t="shared" si="54"/>
        <v>21.004642237380363</v>
      </c>
      <c r="I62" s="1083">
        <f t="shared" si="54"/>
        <v>22.004642237380363</v>
      </c>
      <c r="J62" s="1080">
        <f t="shared" si="54"/>
        <v>23.004642237380363</v>
      </c>
      <c r="K62" s="1080">
        <f t="shared" si="54"/>
        <v>24.004642237380363</v>
      </c>
      <c r="L62" s="1080">
        <f t="shared" si="54"/>
        <v>25.004642237380363</v>
      </c>
      <c r="M62" s="1081">
        <f t="shared" si="54"/>
        <v>26.004642237380363</v>
      </c>
      <c r="N62" s="688">
        <f t="shared" si="22"/>
        <v>69.240075868314875</v>
      </c>
      <c r="O62" s="928" t="str">
        <f t="shared" si="23"/>
        <v>Arbre 4</v>
      </c>
      <c r="P62" s="678">
        <f t="shared" si="24"/>
        <v>-8.4818213606041429E-2</v>
      </c>
      <c r="Q62" s="685">
        <f t="shared" si="25"/>
        <v>10.561511721727511</v>
      </c>
      <c r="R62" s="688">
        <f t="shared" si="26"/>
        <v>11.359078823836438</v>
      </c>
      <c r="S62" s="688">
        <f t="shared" si="27"/>
        <v>12.152210298893703</v>
      </c>
      <c r="T62" s="688">
        <f t="shared" si="28"/>
        <v>12.940641718514401</v>
      </c>
      <c r="U62" s="944">
        <f t="shared" si="29"/>
        <v>13.724118894102979</v>
      </c>
      <c r="V62" s="1085">
        <f t="shared" si="30"/>
        <v>14.502398227586665</v>
      </c>
      <c r="W62" s="685">
        <f t="shared" si="31"/>
        <v>15.275247010023811</v>
      </c>
      <c r="X62" s="688">
        <f t="shared" si="32"/>
        <v>16.042443668339423</v>
      </c>
      <c r="Y62" s="688">
        <f t="shared" si="33"/>
        <v>16.80377796084683</v>
      </c>
      <c r="Z62" s="688">
        <f t="shared" si="34"/>
        <v>17.559051122592248</v>
      </c>
      <c r="AA62" s="944">
        <f t="shared" si="35"/>
        <v>18.308075961905178</v>
      </c>
      <c r="AB62" s="1052">
        <f t="shared" si="36"/>
        <v>17.248404856010538</v>
      </c>
      <c r="AC62" s="1053">
        <f t="shared" si="43"/>
        <v>7.5010000000000003</v>
      </c>
      <c r="AD62" s="39" t="b">
        <f t="shared" si="37"/>
        <v>0</v>
      </c>
      <c r="AE62" s="1053">
        <f t="shared" si="38"/>
        <v>10.138836243618673</v>
      </c>
      <c r="AF62" s="1054">
        <f t="shared" si="44"/>
        <v>0</v>
      </c>
      <c r="AG62" s="929">
        <v>28.54</v>
      </c>
      <c r="AH62" s="930">
        <v>8.1200000000000045</v>
      </c>
      <c r="AJ62" s="1062">
        <f t="shared" si="45"/>
        <v>1</v>
      </c>
      <c r="AK62" s="82">
        <f t="shared" si="46"/>
        <v>1</v>
      </c>
      <c r="AL62" s="1063">
        <f t="shared" si="47"/>
        <v>-148</v>
      </c>
      <c r="AM62" s="1063">
        <f t="shared" si="48"/>
        <v>1</v>
      </c>
      <c r="AN62" s="1074">
        <f t="shared" si="39"/>
        <v>213</v>
      </c>
      <c r="AO62" s="1075">
        <f t="shared" si="49"/>
        <v>14.036243467926479</v>
      </c>
      <c r="AP62" s="1067"/>
      <c r="AQ62" s="1068"/>
      <c r="AR62" s="1067"/>
      <c r="AS62" s="1068"/>
      <c r="AT62" s="1067"/>
      <c r="AU62" s="1068"/>
      <c r="AV62" s="1067"/>
      <c r="AW62" s="1068"/>
      <c r="AX62" s="28">
        <f t="shared" si="40"/>
        <v>0</v>
      </c>
      <c r="AY62" s="28">
        <f t="shared" si="41"/>
        <v>0</v>
      </c>
    </row>
    <row r="63" spans="1:51" s="19" customFormat="1" ht="12.75" x14ac:dyDescent="0.2">
      <c r="A63" s="1021" t="str">
        <f t="shared" si="20"/>
        <v>Arbre 5</v>
      </c>
      <c r="B63" s="1025">
        <v>1</v>
      </c>
      <c r="C63" s="1080">
        <f t="shared" ref="C63:M63" si="55">$L27+C$55*Rapous</f>
        <v>12.297865496114422</v>
      </c>
      <c r="D63" s="1080">
        <f t="shared" si="55"/>
        <v>13.297865496114422</v>
      </c>
      <c r="E63" s="1080">
        <f t="shared" si="55"/>
        <v>14.297865496114422</v>
      </c>
      <c r="F63" s="1080">
        <f t="shared" si="55"/>
        <v>15.297865496114422</v>
      </c>
      <c r="G63" s="1081">
        <f t="shared" si="55"/>
        <v>16.297865496114422</v>
      </c>
      <c r="H63" s="1082">
        <f t="shared" si="55"/>
        <v>17.297865496114422</v>
      </c>
      <c r="I63" s="1083">
        <f t="shared" si="55"/>
        <v>18.297865496114422</v>
      </c>
      <c r="J63" s="1080">
        <f t="shared" si="55"/>
        <v>19.297865496114422</v>
      </c>
      <c r="K63" s="1080">
        <f t="shared" si="55"/>
        <v>20.297865496114422</v>
      </c>
      <c r="L63" s="1080">
        <f t="shared" si="55"/>
        <v>21.297865496114422</v>
      </c>
      <c r="M63" s="1081">
        <f t="shared" si="55"/>
        <v>22.297865496114422</v>
      </c>
      <c r="N63" s="688">
        <f t="shared" si="22"/>
        <v>66.145760682374799</v>
      </c>
      <c r="O63" s="928" t="str">
        <f t="shared" si="23"/>
        <v>Arbre 5</v>
      </c>
      <c r="P63" s="678">
        <f t="shared" si="24"/>
        <v>10.054018030012632</v>
      </c>
      <c r="Q63" s="685">
        <f t="shared" si="25"/>
        <v>7.9208486957265656</v>
      </c>
      <c r="R63" s="688">
        <f t="shared" si="26"/>
        <v>8.7687923965047769</v>
      </c>
      <c r="S63" s="688">
        <f t="shared" si="27"/>
        <v>9.6128825717889317</v>
      </c>
      <c r="T63" s="688">
        <f t="shared" si="28"/>
        <v>10.452781676030888</v>
      </c>
      <c r="U63" s="944">
        <f t="shared" si="29"/>
        <v>11.288162706355138</v>
      </c>
      <c r="V63" s="1085">
        <f t="shared" si="30"/>
        <v>12.118709846128292</v>
      </c>
      <c r="W63" s="685">
        <f t="shared" si="31"/>
        <v>12.944119042711465</v>
      </c>
      <c r="X63" s="688">
        <f t="shared" si="32"/>
        <v>13.764098517816151</v>
      </c>
      <c r="Y63" s="688">
        <f t="shared" si="33"/>
        <v>14.578369209555044</v>
      </c>
      <c r="Z63" s="688">
        <f t="shared" si="34"/>
        <v>15.386665145929452</v>
      </c>
      <c r="AA63" s="944">
        <f t="shared" si="35"/>
        <v>16.188733750115894</v>
      </c>
      <c r="AB63" s="1052">
        <f t="shared" si="36"/>
        <v>15.725764677218754</v>
      </c>
      <c r="AC63" s="1053">
        <f t="shared" si="43"/>
        <v>7.5010000000000003</v>
      </c>
      <c r="AD63" s="39" t="b">
        <f t="shared" si="37"/>
        <v>0</v>
      </c>
      <c r="AE63" s="1053">
        <f t="shared" si="38"/>
        <v>19.293443397144557</v>
      </c>
      <c r="AF63" s="1054">
        <f t="shared" si="44"/>
        <v>0</v>
      </c>
      <c r="AG63" s="929">
        <v>30.6</v>
      </c>
      <c r="AH63" s="930">
        <v>8.3700000000000045</v>
      </c>
      <c r="AJ63" s="1062">
        <f t="shared" si="45"/>
        <v>1</v>
      </c>
      <c r="AK63" s="82">
        <f t="shared" si="46"/>
        <v>1</v>
      </c>
      <c r="AL63" s="1063">
        <f t="shared" si="47"/>
        <v>-148</v>
      </c>
      <c r="AM63" s="1063">
        <f t="shared" si="48"/>
        <v>1</v>
      </c>
      <c r="AN63" s="1074">
        <f t="shared" si="39"/>
        <v>213</v>
      </c>
      <c r="AO63" s="1075">
        <f t="shared" si="49"/>
        <v>14.036243467926479</v>
      </c>
      <c r="AP63" s="1067"/>
      <c r="AQ63" s="1068"/>
      <c r="AR63" s="1067"/>
      <c r="AS63" s="1068"/>
      <c r="AT63" s="1067"/>
      <c r="AU63" s="1068"/>
      <c r="AV63" s="1067"/>
      <c r="AW63" s="1068"/>
      <c r="AX63" s="28">
        <f t="shared" si="40"/>
        <v>0</v>
      </c>
      <c r="AY63" s="28">
        <f t="shared" si="41"/>
        <v>0</v>
      </c>
    </row>
    <row r="64" spans="1:51" s="19" customFormat="1" ht="12.75" x14ac:dyDescent="0.2">
      <c r="A64" s="1021" t="str">
        <f t="shared" si="20"/>
        <v>Arbre 6</v>
      </c>
      <c r="B64" s="1025">
        <v>1</v>
      </c>
      <c r="C64" s="1080">
        <f t="shared" ref="C64:M64" si="56">$L28+C$55*Rapous</f>
        <v>17.919436051896536</v>
      </c>
      <c r="D64" s="1080">
        <f t="shared" si="56"/>
        <v>18.919436051896536</v>
      </c>
      <c r="E64" s="1080">
        <f t="shared" si="56"/>
        <v>19.919436051896536</v>
      </c>
      <c r="F64" s="1080">
        <f t="shared" si="56"/>
        <v>20.919436051896536</v>
      </c>
      <c r="G64" s="1081">
        <f t="shared" si="56"/>
        <v>21.919436051896536</v>
      </c>
      <c r="H64" s="1082">
        <f t="shared" si="56"/>
        <v>22.919436051896536</v>
      </c>
      <c r="I64" s="1083">
        <f t="shared" si="56"/>
        <v>23.919436051896536</v>
      </c>
      <c r="J64" s="1080">
        <f t="shared" si="56"/>
        <v>24.919436051896536</v>
      </c>
      <c r="K64" s="1080">
        <f t="shared" si="56"/>
        <v>25.919436051896536</v>
      </c>
      <c r="L64" s="1080">
        <f t="shared" si="56"/>
        <v>26.919436051896536</v>
      </c>
      <c r="M64" s="1081">
        <f t="shared" si="56"/>
        <v>27.919436051896536</v>
      </c>
      <c r="N64" s="688">
        <f t="shared" si="22"/>
        <v>90.975464583864536</v>
      </c>
      <c r="O64" s="928" t="str">
        <f t="shared" si="23"/>
        <v>Arbre 6</v>
      </c>
      <c r="P64" s="678">
        <f t="shared" si="24"/>
        <v>29.347461427157189</v>
      </c>
      <c r="Q64" s="685">
        <f t="shared" si="25"/>
        <v>9.2550871028070212</v>
      </c>
      <c r="R64" s="688">
        <f t="shared" si="26"/>
        <v>9.8674984752630497</v>
      </c>
      <c r="S64" s="688">
        <f t="shared" si="27"/>
        <v>10.477641165598921</v>
      </c>
      <c r="T64" s="688">
        <f t="shared" si="28"/>
        <v>11.085390171960917</v>
      </c>
      <c r="U64" s="944">
        <f t="shared" si="29"/>
        <v>11.690623625047232</v>
      </c>
      <c r="V64" s="1085">
        <f t="shared" si="30"/>
        <v>12.293222906976482</v>
      </c>
      <c r="W64" s="685">
        <f t="shared" si="31"/>
        <v>12.893072760235553</v>
      </c>
      <c r="X64" s="688">
        <f t="shared" si="32"/>
        <v>13.490061386582317</v>
      </c>
      <c r="Y64" s="688">
        <f t="shared" si="33"/>
        <v>14.084080535830546</v>
      </c>
      <c r="Z64" s="688">
        <f t="shared" si="34"/>
        <v>14.675025584494763</v>
      </c>
      <c r="AA64" s="944">
        <f t="shared" si="35"/>
        <v>15.262795604321614</v>
      </c>
      <c r="AB64" s="1052">
        <f t="shared" si="36"/>
        <v>15.975929943992375</v>
      </c>
      <c r="AC64" s="1053">
        <f t="shared" si="43"/>
        <v>7.5010000000000003</v>
      </c>
      <c r="AD64" s="39" t="b">
        <f t="shared" si="37"/>
        <v>0</v>
      </c>
      <c r="AE64" s="1053">
        <f t="shared" si="38"/>
        <v>10.732677060724921</v>
      </c>
      <c r="AF64" s="1054">
        <f t="shared" si="44"/>
        <v>0</v>
      </c>
      <c r="AG64" s="929">
        <v>32.76</v>
      </c>
      <c r="AH64" s="930">
        <v>8.660000000000025</v>
      </c>
      <c r="AJ64" s="1062">
        <f t="shared" si="45"/>
        <v>1</v>
      </c>
      <c r="AK64" s="82">
        <f t="shared" si="46"/>
        <v>1</v>
      </c>
      <c r="AL64" s="1063">
        <f t="shared" si="47"/>
        <v>-148</v>
      </c>
      <c r="AM64" s="1063">
        <f t="shared" si="48"/>
        <v>1</v>
      </c>
      <c r="AN64" s="1074">
        <f t="shared" si="39"/>
        <v>213</v>
      </c>
      <c r="AO64" s="1075">
        <f t="shared" si="49"/>
        <v>14.036243467926479</v>
      </c>
      <c r="AP64" s="1067"/>
      <c r="AQ64" s="1068"/>
      <c r="AR64" s="1067"/>
      <c r="AS64" s="1068"/>
      <c r="AT64" s="1067"/>
      <c r="AU64" s="1068"/>
      <c r="AV64" s="1067"/>
      <c r="AW64" s="1068"/>
      <c r="AX64" s="28">
        <f t="shared" si="40"/>
        <v>0</v>
      </c>
      <c r="AY64" s="28">
        <f t="shared" si="41"/>
        <v>0</v>
      </c>
    </row>
    <row r="65" spans="1:51" s="19" customFormat="1" ht="12.75" x14ac:dyDescent="0.2">
      <c r="A65" s="1021" t="str">
        <f t="shared" si="20"/>
        <v>Arbre 7</v>
      </c>
      <c r="B65" s="1025">
        <v>1</v>
      </c>
      <c r="C65" s="1080">
        <f t="shared" ref="C65:M65" si="57">$L29+C$55*Rapous</f>
        <v>19.649143491400146</v>
      </c>
      <c r="D65" s="1080">
        <f t="shared" si="57"/>
        <v>20.649143491400146</v>
      </c>
      <c r="E65" s="1080">
        <f t="shared" si="57"/>
        <v>21.649143491400146</v>
      </c>
      <c r="F65" s="1080">
        <f t="shared" si="57"/>
        <v>22.649143491400146</v>
      </c>
      <c r="G65" s="1081">
        <f t="shared" si="57"/>
        <v>23.649143491400146</v>
      </c>
      <c r="H65" s="1082">
        <f t="shared" si="57"/>
        <v>24.649143491400146</v>
      </c>
      <c r="I65" s="1083">
        <f t="shared" si="57"/>
        <v>25.649143491400146</v>
      </c>
      <c r="J65" s="1080">
        <f t="shared" si="57"/>
        <v>26.649143491400146</v>
      </c>
      <c r="K65" s="1080">
        <f t="shared" si="57"/>
        <v>27.649143491400146</v>
      </c>
      <c r="L65" s="1080">
        <f t="shared" si="57"/>
        <v>28.649143491400146</v>
      </c>
      <c r="M65" s="1081">
        <f t="shared" si="57"/>
        <v>29.649143491400146</v>
      </c>
      <c r="N65" s="688">
        <f t="shared" si="22"/>
        <v>88.571488958072706</v>
      </c>
      <c r="O65" s="928" t="str">
        <f t="shared" si="23"/>
        <v>Arbre 7</v>
      </c>
      <c r="P65" s="678">
        <f t="shared" si="24"/>
        <v>40.08013848788211</v>
      </c>
      <c r="Q65" s="685">
        <f t="shared" si="25"/>
        <v>10.58661874268704</v>
      </c>
      <c r="R65" s="688">
        <f t="shared" si="26"/>
        <v>11.210374783054332</v>
      </c>
      <c r="S65" s="688">
        <f t="shared" si="27"/>
        <v>11.831450796022789</v>
      </c>
      <c r="T65" s="688">
        <f t="shared" si="28"/>
        <v>12.449719031938134</v>
      </c>
      <c r="U65" s="944">
        <f t="shared" si="29"/>
        <v>13.065055508045601</v>
      </c>
      <c r="V65" s="1085">
        <f t="shared" si="30"/>
        <v>13.6773401187122</v>
      </c>
      <c r="W65" s="685">
        <f t="shared" si="31"/>
        <v>14.286456733755912</v>
      </c>
      <c r="X65" s="688">
        <f t="shared" si="32"/>
        <v>14.892293284871336</v>
      </c>
      <c r="Y65" s="688">
        <f t="shared" si="33"/>
        <v>15.494741840200962</v>
      </c>
      <c r="Z65" s="688">
        <f t="shared" si="34"/>
        <v>16.093698667158328</v>
      </c>
      <c r="AA65" s="944">
        <f t="shared" si="35"/>
        <v>16.689064283663136</v>
      </c>
      <c r="AB65" s="1052">
        <f t="shared" si="36"/>
        <v>11.89298800006695</v>
      </c>
      <c r="AC65" s="1053">
        <f t="shared" si="43"/>
        <v>7.5010000000000003</v>
      </c>
      <c r="AD65" s="39" t="b">
        <f t="shared" si="37"/>
        <v>0</v>
      </c>
      <c r="AE65" s="1053">
        <f t="shared" si="38"/>
        <v>26.36306215199177</v>
      </c>
      <c r="AF65" s="1054">
        <f t="shared" si="44"/>
        <v>0</v>
      </c>
      <c r="AG65" s="929">
        <v>35.270000000000003</v>
      </c>
      <c r="AH65" s="930">
        <v>9</v>
      </c>
      <c r="AJ65" s="1062">
        <f t="shared" si="45"/>
        <v>1</v>
      </c>
      <c r="AK65" s="82">
        <f t="shared" si="46"/>
        <v>1</v>
      </c>
      <c r="AL65" s="1063">
        <f t="shared" si="47"/>
        <v>-148</v>
      </c>
      <c r="AM65" s="1063">
        <f t="shared" si="48"/>
        <v>1</v>
      </c>
      <c r="AN65" s="1074">
        <f t="shared" si="39"/>
        <v>213</v>
      </c>
      <c r="AO65" s="1075">
        <f t="shared" si="49"/>
        <v>14.036243467926479</v>
      </c>
      <c r="AP65" s="1067"/>
      <c r="AQ65" s="1068"/>
      <c r="AR65" s="1067"/>
      <c r="AS65" s="1068"/>
      <c r="AT65" s="1067"/>
      <c r="AU65" s="1068"/>
      <c r="AV65" s="1067"/>
      <c r="AW65" s="1068"/>
      <c r="AX65" s="28">
        <f t="shared" si="40"/>
        <v>0</v>
      </c>
      <c r="AY65" s="28">
        <f t="shared" si="41"/>
        <v>0</v>
      </c>
    </row>
    <row r="66" spans="1:51" s="19" customFormat="1" ht="12.75" x14ac:dyDescent="0.2">
      <c r="A66" s="1021" t="str">
        <f t="shared" si="20"/>
        <v>creux</v>
      </c>
      <c r="B66" s="1025">
        <v>1</v>
      </c>
      <c r="C66" s="1080">
        <f t="shared" ref="C66:M66" si="58">$L30+C$55*Rapous</f>
        <v>7.2347862936763381</v>
      </c>
      <c r="D66" s="1080">
        <f t="shared" si="58"/>
        <v>8.2347862936763381</v>
      </c>
      <c r="E66" s="1080">
        <f t="shared" si="58"/>
        <v>9.2347862936763381</v>
      </c>
      <c r="F66" s="1080">
        <f t="shared" si="58"/>
        <v>10.234786293676338</v>
      </c>
      <c r="G66" s="1081">
        <f t="shared" si="58"/>
        <v>11.234786293676338</v>
      </c>
      <c r="H66" s="1082">
        <f t="shared" si="58"/>
        <v>12.234786293676338</v>
      </c>
      <c r="I66" s="1083">
        <f t="shared" si="58"/>
        <v>13.234786293676338</v>
      </c>
      <c r="J66" s="1080">
        <f t="shared" si="58"/>
        <v>14.234786293676338</v>
      </c>
      <c r="K66" s="1080">
        <f t="shared" si="58"/>
        <v>15.234786293676338</v>
      </c>
      <c r="L66" s="1080">
        <f t="shared" si="58"/>
        <v>16.234786293676336</v>
      </c>
      <c r="M66" s="1081">
        <f t="shared" si="58"/>
        <v>17.234786293676336</v>
      </c>
      <c r="N66" s="688">
        <f t="shared" si="22"/>
        <v>113.57210773887218</v>
      </c>
      <c r="O66" s="928" t="str">
        <f t="shared" si="23"/>
        <v>creux</v>
      </c>
      <c r="P66" s="678">
        <f t="shared" si="24"/>
        <v>66.443200639873879</v>
      </c>
      <c r="Q66" s="685">
        <f t="shared" si="25"/>
        <v>2.0876248664628982</v>
      </c>
      <c r="R66" s="688">
        <f t="shared" si="26"/>
        <v>2.5912691280724771</v>
      </c>
      <c r="S66" s="688">
        <f t="shared" si="27"/>
        <v>3.0945129983167421</v>
      </c>
      <c r="T66" s="688">
        <f t="shared" si="28"/>
        <v>3.5972794127248409</v>
      </c>
      <c r="U66" s="944">
        <f t="shared" si="29"/>
        <v>4.0994917470077938</v>
      </c>
      <c r="V66" s="1085">
        <f t="shared" si="30"/>
        <v>4.6010738861280913</v>
      </c>
      <c r="W66" s="685">
        <f t="shared" si="31"/>
        <v>5.1019502922058111</v>
      </c>
      <c r="X66" s="688">
        <f t="shared" si="32"/>
        <v>5.6020460711129143</v>
      </c>
      <c r="Y66" s="688">
        <f t="shared" si="33"/>
        <v>6.1012870376128872</v>
      </c>
      <c r="Z66" s="688">
        <f t="shared" si="34"/>
        <v>6.5995997789089591</v>
      </c>
      <c r="AA66" s="944">
        <f t="shared" si="35"/>
        <v>7.096911716470764</v>
      </c>
      <c r="AB66" s="1052">
        <f t="shared" si="36"/>
        <v>10.032099378937161</v>
      </c>
      <c r="AC66" s="1053">
        <f t="shared" si="43"/>
        <v>7.5010000000000003</v>
      </c>
      <c r="AD66" s="39" t="b">
        <f t="shared" si="37"/>
        <v>0</v>
      </c>
      <c r="AE66" s="1053">
        <f t="shared" si="38"/>
        <v>27.151228815483634</v>
      </c>
      <c r="AF66" s="1054">
        <f t="shared" si="44"/>
        <v>0</v>
      </c>
      <c r="AG66" s="929">
        <v>37.65</v>
      </c>
      <c r="AH66" s="930">
        <v>9.3500000000000227</v>
      </c>
      <c r="AJ66" s="1062">
        <f t="shared" si="45"/>
        <v>1</v>
      </c>
      <c r="AK66" s="82">
        <f t="shared" si="46"/>
        <v>1</v>
      </c>
      <c r="AL66" s="1063">
        <f t="shared" si="47"/>
        <v>-148</v>
      </c>
      <c r="AM66" s="1063">
        <f t="shared" si="48"/>
        <v>1</v>
      </c>
      <c r="AN66" s="1074">
        <f t="shared" si="39"/>
        <v>213</v>
      </c>
      <c r="AO66" s="1075">
        <f t="shared" si="49"/>
        <v>14.036243467926479</v>
      </c>
      <c r="AP66" s="1067"/>
      <c r="AQ66" s="1068"/>
      <c r="AR66" s="1067"/>
      <c r="AS66" s="1068"/>
      <c r="AT66" s="1067"/>
      <c r="AU66" s="1068"/>
      <c r="AV66" s="1067"/>
      <c r="AW66" s="1068"/>
      <c r="AX66" s="28">
        <f t="shared" si="40"/>
        <v>0</v>
      </c>
      <c r="AY66" s="28">
        <f t="shared" si="41"/>
        <v>0</v>
      </c>
    </row>
    <row r="67" spans="1:51" s="19" customFormat="1" ht="12.75" x14ac:dyDescent="0.2">
      <c r="A67" s="1021" t="str">
        <f t="shared" si="20"/>
        <v>Arbre 8</v>
      </c>
      <c r="B67" s="1025">
        <v>1</v>
      </c>
      <c r="C67" s="1080">
        <f t="shared" ref="C67:M67" si="59">$L31+C$55*Rapous</f>
        <v>16.858510207550115</v>
      </c>
      <c r="D67" s="1080">
        <f t="shared" si="59"/>
        <v>17.858510207550115</v>
      </c>
      <c r="E67" s="1080">
        <f t="shared" si="59"/>
        <v>18.858510207550115</v>
      </c>
      <c r="F67" s="1080">
        <f t="shared" si="59"/>
        <v>19.858510207550115</v>
      </c>
      <c r="G67" s="1081">
        <f t="shared" si="59"/>
        <v>20.858510207550115</v>
      </c>
      <c r="H67" s="1082">
        <f t="shared" si="59"/>
        <v>21.858510207550115</v>
      </c>
      <c r="I67" s="1083">
        <f t="shared" si="59"/>
        <v>22.858510207550115</v>
      </c>
      <c r="J67" s="1080">
        <f t="shared" si="59"/>
        <v>23.858510207550115</v>
      </c>
      <c r="K67" s="1080">
        <f t="shared" si="59"/>
        <v>24.858510207550115</v>
      </c>
      <c r="L67" s="1080">
        <f t="shared" si="59"/>
        <v>25.858510207550115</v>
      </c>
      <c r="M67" s="1081">
        <f t="shared" si="59"/>
        <v>26.858510207550115</v>
      </c>
      <c r="N67" s="688">
        <f t="shared" si="22"/>
        <v>103.20051311040076</v>
      </c>
      <c r="O67" s="928" t="str">
        <f t="shared" si="23"/>
        <v>Arbre 8</v>
      </c>
      <c r="P67" s="678">
        <f t="shared" si="24"/>
        <v>93.594429455357513</v>
      </c>
      <c r="Q67" s="685">
        <f t="shared" si="25"/>
        <v>7.5966031839851995</v>
      </c>
      <c r="R67" s="688">
        <f t="shared" si="26"/>
        <v>8.1413813238828716</v>
      </c>
      <c r="S67" s="688">
        <f t="shared" si="27"/>
        <v>8.6846814923583988</v>
      </c>
      <c r="T67" s="688">
        <f t="shared" si="28"/>
        <v>9.2264124074299332</v>
      </c>
      <c r="U67" s="944">
        <f t="shared" si="29"/>
        <v>9.7664844355765901</v>
      </c>
      <c r="V67" s="1085">
        <f t="shared" si="30"/>
        <v>10.304809670132661</v>
      </c>
      <c r="W67" s="685">
        <f t="shared" si="31"/>
        <v>10.841302005356241</v>
      </c>
      <c r="X67" s="688">
        <f t="shared" si="32"/>
        <v>11.375877206052342</v>
      </c>
      <c r="Y67" s="688">
        <f t="shared" si="33"/>
        <v>11.908452972650165</v>
      </c>
      <c r="Z67" s="688">
        <f t="shared" si="34"/>
        <v>12.438949001653604</v>
      </c>
      <c r="AA67" s="944">
        <f t="shared" si="35"/>
        <v>12.967287041403557</v>
      </c>
      <c r="AB67" s="1052">
        <f t="shared" si="36"/>
        <v>12.67872680616942</v>
      </c>
      <c r="AC67" s="1053">
        <f t="shared" si="43"/>
        <v>7.5010000000000003</v>
      </c>
      <c r="AD67" s="39" t="b">
        <f t="shared" si="37"/>
        <v>0</v>
      </c>
      <c r="AE67" s="1053">
        <f t="shared" si="38"/>
        <v>13.590315335306968</v>
      </c>
      <c r="AF67" s="1054">
        <f t="shared" si="44"/>
        <v>0</v>
      </c>
      <c r="AG67" s="929">
        <v>40.520000000000003</v>
      </c>
      <c r="AH67" s="930">
        <v>9.789999999999992</v>
      </c>
      <c r="AJ67" s="1062">
        <f t="shared" si="45"/>
        <v>1</v>
      </c>
      <c r="AK67" s="82">
        <f t="shared" si="46"/>
        <v>1</v>
      </c>
      <c r="AL67" s="1063">
        <f t="shared" si="47"/>
        <v>-148</v>
      </c>
      <c r="AM67" s="1063">
        <f t="shared" si="48"/>
        <v>1</v>
      </c>
      <c r="AN67" s="1074">
        <f t="shared" si="39"/>
        <v>213</v>
      </c>
      <c r="AO67" s="1075">
        <f t="shared" si="49"/>
        <v>14.036243467926479</v>
      </c>
      <c r="AP67" s="1067"/>
      <c r="AQ67" s="1068"/>
      <c r="AR67" s="1067"/>
      <c r="AS67" s="1068"/>
      <c r="AT67" s="1067"/>
      <c r="AU67" s="1068"/>
      <c r="AV67" s="1067"/>
      <c r="AW67" s="1068"/>
      <c r="AX67" s="28">
        <f t="shared" si="40"/>
        <v>0</v>
      </c>
      <c r="AY67" s="28">
        <f t="shared" si="41"/>
        <v>0</v>
      </c>
    </row>
    <row r="68" spans="1:51" s="19" customFormat="1" ht="12.75" x14ac:dyDescent="0.2">
      <c r="A68" s="1021" t="str">
        <f t="shared" si="20"/>
        <v>Arbre 9</v>
      </c>
      <c r="B68" s="1025">
        <v>1</v>
      </c>
      <c r="C68" s="1080">
        <f t="shared" ref="C68:M68" si="60">$L32+C$55*Rapous</f>
        <v>15.661565888643459</v>
      </c>
      <c r="D68" s="1080">
        <f t="shared" si="60"/>
        <v>16.661565888643459</v>
      </c>
      <c r="E68" s="1080">
        <f t="shared" si="60"/>
        <v>17.661565888643459</v>
      </c>
      <c r="F68" s="1080">
        <f t="shared" si="60"/>
        <v>18.661565888643459</v>
      </c>
      <c r="G68" s="1081">
        <f t="shared" si="60"/>
        <v>19.661565888643459</v>
      </c>
      <c r="H68" s="1082">
        <f t="shared" si="60"/>
        <v>20.661565888643459</v>
      </c>
      <c r="I68" s="1083">
        <f t="shared" si="60"/>
        <v>21.661565888643459</v>
      </c>
      <c r="J68" s="1080">
        <f t="shared" si="60"/>
        <v>22.661565888643459</v>
      </c>
      <c r="K68" s="1080">
        <f t="shared" si="60"/>
        <v>23.661565888643459</v>
      </c>
      <c r="L68" s="1080">
        <f t="shared" si="60"/>
        <v>24.661565888643459</v>
      </c>
      <c r="M68" s="1081">
        <f t="shared" si="60"/>
        <v>25.661565888643459</v>
      </c>
      <c r="N68" s="688">
        <f t="shared" si="22"/>
        <v>102.72337322269942</v>
      </c>
      <c r="O68" s="928" t="str">
        <f t="shared" si="23"/>
        <v>Arbre 9</v>
      </c>
      <c r="P68" s="678">
        <f t="shared" si="24"/>
        <v>107.18474479066448</v>
      </c>
      <c r="Q68" s="685">
        <f t="shared" si="25"/>
        <v>6.9746523666621609</v>
      </c>
      <c r="R68" s="688">
        <f t="shared" si="26"/>
        <v>7.523534764696107</v>
      </c>
      <c r="S68" s="688">
        <f t="shared" si="27"/>
        <v>8.0710318089848716</v>
      </c>
      <c r="T68" s="688">
        <f t="shared" si="28"/>
        <v>8.617049149432221</v>
      </c>
      <c r="U68" s="944">
        <f t="shared" si="29"/>
        <v>9.1614940199335013</v>
      </c>
      <c r="V68" s="1085">
        <f t="shared" si="30"/>
        <v>9.7042753234244703</v>
      </c>
      <c r="W68" s="685">
        <f t="shared" si="31"/>
        <v>10.24530371264502</v>
      </c>
      <c r="X68" s="688">
        <f t="shared" si="32"/>
        <v>10.784491666471492</v>
      </c>
      <c r="Y68" s="688">
        <f t="shared" si="33"/>
        <v>11.321753561691404</v>
      </c>
      <c r="Z68" s="688">
        <f t="shared" si="34"/>
        <v>11.857005740114619</v>
      </c>
      <c r="AA68" s="944">
        <f t="shared" si="35"/>
        <v>12.390166570935284</v>
      </c>
      <c r="AB68" s="1052">
        <f t="shared" si="36"/>
        <v>10.866873646079725</v>
      </c>
      <c r="AC68" s="1053">
        <f t="shared" si="43"/>
        <v>7.5010000000000003</v>
      </c>
      <c r="AD68" s="39" t="b">
        <f t="shared" si="37"/>
        <v>0</v>
      </c>
      <c r="AE68" s="1053">
        <f t="shared" si="38"/>
        <v>10.594457660547533</v>
      </c>
      <c r="AF68" s="1054">
        <f t="shared" si="44"/>
        <v>0</v>
      </c>
      <c r="AG68" s="929">
        <v>42.91</v>
      </c>
      <c r="AH68" s="930">
        <v>10.22999999999999</v>
      </c>
      <c r="AJ68" s="1062">
        <f t="shared" si="45"/>
        <v>1</v>
      </c>
      <c r="AK68" s="82">
        <f t="shared" si="46"/>
        <v>1</v>
      </c>
      <c r="AL68" s="1063">
        <f t="shared" si="47"/>
        <v>-148</v>
      </c>
      <c r="AM68" s="1063">
        <f t="shared" si="48"/>
        <v>1</v>
      </c>
      <c r="AN68" s="1074">
        <f>IF(AND(AX68=0,AX69=0),MAX(AN67,$H$43+1),AX68)</f>
        <v>213</v>
      </c>
      <c r="AO68" s="1075">
        <f t="shared" si="49"/>
        <v>14.036243467926479</v>
      </c>
      <c r="AP68" s="1067"/>
      <c r="AQ68" s="1068"/>
      <c r="AR68" s="1067"/>
      <c r="AS68" s="1068"/>
      <c r="AT68" s="1067"/>
      <c r="AU68" s="1068"/>
      <c r="AV68" s="1067"/>
      <c r="AW68" s="1068"/>
      <c r="AX68" s="28">
        <f t="shared" si="40"/>
        <v>0</v>
      </c>
      <c r="AY68" s="28">
        <f t="shared" si="41"/>
        <v>0</v>
      </c>
    </row>
    <row r="69" spans="1:51" s="19" customFormat="1" ht="12.75" x14ac:dyDescent="0.2">
      <c r="A69" s="1021" t="str">
        <f t="shared" si="20"/>
        <v>Arbre 10</v>
      </c>
      <c r="B69" s="1025">
        <v>1</v>
      </c>
      <c r="C69" s="1080">
        <f t="shared" ref="C69:M69" si="61">$L33+C$55*Rapous</f>
        <v>9.5639278742572689</v>
      </c>
      <c r="D69" s="1080">
        <f t="shared" si="61"/>
        <v>10.563927874257269</v>
      </c>
      <c r="E69" s="1080">
        <f t="shared" si="61"/>
        <v>11.563927874257269</v>
      </c>
      <c r="F69" s="1080">
        <f t="shared" si="61"/>
        <v>12.563927874257269</v>
      </c>
      <c r="G69" s="1081">
        <f t="shared" si="61"/>
        <v>13.563927874257269</v>
      </c>
      <c r="H69" s="1082">
        <f t="shared" si="61"/>
        <v>14.563927874257269</v>
      </c>
      <c r="I69" s="1083">
        <f t="shared" si="61"/>
        <v>15.563927874257269</v>
      </c>
      <c r="J69" s="1080">
        <f t="shared" si="61"/>
        <v>16.563927874257267</v>
      </c>
      <c r="K69" s="1080">
        <f t="shared" si="61"/>
        <v>17.563927874257267</v>
      </c>
      <c r="L69" s="1080">
        <f t="shared" si="61"/>
        <v>18.563927874257267</v>
      </c>
      <c r="M69" s="1081">
        <f t="shared" si="61"/>
        <v>19.563927874257267</v>
      </c>
      <c r="N69" s="688">
        <f t="shared" si="22"/>
        <v>100.09322307853813</v>
      </c>
      <c r="O69" s="928" t="str">
        <f t="shared" si="23"/>
        <v>Arbre 10</v>
      </c>
      <c r="P69" s="678">
        <f t="shared" si="24"/>
        <v>116.97648411789139</v>
      </c>
      <c r="Q69" s="685">
        <f t="shared" si="25"/>
        <v>3.697913913845559</v>
      </c>
      <c r="R69" s="688">
        <f t="shared" si="26"/>
        <v>4.2675718637885209</v>
      </c>
      <c r="S69" s="688">
        <f t="shared" si="27"/>
        <v>4.8363858187784352</v>
      </c>
      <c r="T69" s="688">
        <f t="shared" si="28"/>
        <v>5.4042458006689653</v>
      </c>
      <c r="U69" s="944">
        <f t="shared" si="29"/>
        <v>5.9710429492674271</v>
      </c>
      <c r="V69" s="1085">
        <f t="shared" si="30"/>
        <v>6.5366696432563485</v>
      </c>
      <c r="W69" s="685">
        <f t="shared" si="31"/>
        <v>7.1010196175503628</v>
      </c>
      <c r="X69" s="688">
        <f t="shared" si="32"/>
        <v>7.6639880767847108</v>
      </c>
      <c r="Y69" s="688">
        <f t="shared" si="33"/>
        <v>8.2254718046518693</v>
      </c>
      <c r="Z69" s="688">
        <f t="shared" si="34"/>
        <v>8.7853692688243559</v>
      </c>
      <c r="AA69" s="944">
        <f t="shared" si="35"/>
        <v>9.3435807212241659</v>
      </c>
      <c r="AB69" s="1052">
        <f t="shared" si="36"/>
        <v>7.4427691513860612</v>
      </c>
      <c r="AC69" s="1053">
        <f t="shared" si="43"/>
        <v>7.5010000000000003</v>
      </c>
      <c r="AD69" s="39" t="b">
        <f t="shared" si="37"/>
        <v>0</v>
      </c>
      <c r="AE69" s="1053">
        <f t="shared" si="38"/>
        <v>6.6982816666793781</v>
      </c>
      <c r="AF69" s="1054">
        <f t="shared" si="44"/>
        <v>-0.80271833332062226</v>
      </c>
      <c r="AG69" s="929">
        <v>46.04</v>
      </c>
      <c r="AH69" s="930">
        <v>10.759999999999991</v>
      </c>
      <c r="AJ69" s="1062">
        <f t="shared" si="45"/>
        <v>1</v>
      </c>
      <c r="AK69" s="82">
        <f t="shared" si="46"/>
        <v>1</v>
      </c>
      <c r="AL69" s="1063">
        <f t="shared" si="47"/>
        <v>-148</v>
      </c>
      <c r="AM69" s="1063">
        <f t="shared" si="48"/>
        <v>1</v>
      </c>
      <c r="AN69" s="1074">
        <f>IF(AND(AX69=0,AX70=0),MAX(AN68,$H$43+1),AX69)</f>
        <v>213</v>
      </c>
      <c r="AO69" s="1075">
        <f t="shared" si="49"/>
        <v>14.036243467926479</v>
      </c>
      <c r="AP69" s="1067"/>
      <c r="AQ69" s="1068"/>
      <c r="AR69" s="1067"/>
      <c r="AS69" s="1068"/>
      <c r="AT69" s="1067"/>
      <c r="AU69" s="1068"/>
      <c r="AV69" s="1067"/>
      <c r="AW69" s="1068"/>
      <c r="AX69" s="28">
        <f t="shared" si="40"/>
        <v>0</v>
      </c>
      <c r="AY69" s="28">
        <f t="shared" si="41"/>
        <v>0</v>
      </c>
    </row>
    <row r="70" spans="1:51" s="28" customFormat="1" ht="12.75" x14ac:dyDescent="0.2">
      <c r="A70" s="1022" t="str">
        <f t="shared" si="20"/>
        <v>creux</v>
      </c>
      <c r="B70" s="1025">
        <v>1</v>
      </c>
      <c r="C70" s="1080">
        <f t="shared" ref="C70:M70" si="62">$L34+C$55*Rapous</f>
        <v>3.2187649381115371</v>
      </c>
      <c r="D70" s="1080">
        <f t="shared" si="62"/>
        <v>4.2187649381115371</v>
      </c>
      <c r="E70" s="1080">
        <f t="shared" si="62"/>
        <v>5.2187649381115371</v>
      </c>
      <c r="F70" s="1080">
        <f t="shared" si="62"/>
        <v>6.2187649381115371</v>
      </c>
      <c r="G70" s="1081">
        <f t="shared" si="62"/>
        <v>7.2187649381115371</v>
      </c>
      <c r="H70" s="1082">
        <f t="shared" si="62"/>
        <v>8.2187649381115371</v>
      </c>
      <c r="I70" s="1083">
        <f t="shared" si="62"/>
        <v>9.2187649381115371</v>
      </c>
      <c r="J70" s="1080">
        <f t="shared" si="62"/>
        <v>10.218764938111537</v>
      </c>
      <c r="K70" s="1080">
        <f t="shared" si="62"/>
        <v>11.218764938111537</v>
      </c>
      <c r="L70" s="1080">
        <f t="shared" si="62"/>
        <v>12.218764938111537</v>
      </c>
      <c r="M70" s="1081">
        <f t="shared" si="62"/>
        <v>13.218764938111537</v>
      </c>
      <c r="N70" s="688">
        <f t="shared" si="22"/>
        <v>104.33994623944365</v>
      </c>
      <c r="O70" s="928" t="str">
        <f t="shared" si="23"/>
        <v>creux</v>
      </c>
      <c r="P70" s="678">
        <f t="shared" si="24"/>
        <v>124.47748411789139</v>
      </c>
      <c r="Q70" s="685">
        <f t="shared" si="25"/>
        <v>1</v>
      </c>
      <c r="R70" s="688">
        <f t="shared" si="26"/>
        <v>1</v>
      </c>
      <c r="S70" s="688">
        <f t="shared" si="27"/>
        <v>1.1661364478518792</v>
      </c>
      <c r="T70" s="688">
        <f t="shared" si="28"/>
        <v>1.714911228360283</v>
      </c>
      <c r="U70" s="944">
        <f t="shared" si="29"/>
        <v>2.2633714643594147</v>
      </c>
      <c r="V70" s="1085">
        <f t="shared" si="30"/>
        <v>2.8114170184331484</v>
      </c>
      <c r="W70" s="685">
        <f t="shared" si="31"/>
        <v>3.3589482079460371</v>
      </c>
      <c r="X70" s="688">
        <f t="shared" si="32"/>
        <v>3.9058659129310791</v>
      </c>
      <c r="Y70" s="688">
        <f t="shared" si="33"/>
        <v>4.4520716824443722</v>
      </c>
      <c r="Z70" s="688">
        <f t="shared" si="34"/>
        <v>4.9974678391050409</v>
      </c>
      <c r="AA70" s="944">
        <f t="shared" si="35"/>
        <v>5.5419575815479565</v>
      </c>
      <c r="AB70" s="1052">
        <f t="shared" si="36"/>
        <v>6.9908159340147673</v>
      </c>
      <c r="AC70" s="1053">
        <f t="shared" si="43"/>
        <v>7.5010000000000003</v>
      </c>
      <c r="AD70" s="39" t="b">
        <f t="shared" si="37"/>
        <v>1</v>
      </c>
      <c r="AE70" s="1053">
        <f t="shared" si="38"/>
        <v>6.098644897808768</v>
      </c>
      <c r="AF70" s="1054">
        <f t="shared" si="44"/>
        <v>0</v>
      </c>
      <c r="AG70" s="929">
        <v>48.37</v>
      </c>
      <c r="AH70" s="930">
        <v>11.280000000000001</v>
      </c>
      <c r="AJ70" s="1062">
        <f t="shared" si="45"/>
        <v>1</v>
      </c>
      <c r="AK70" s="82">
        <f t="shared" si="46"/>
        <v>1</v>
      </c>
      <c r="AL70" s="1063">
        <f t="shared" si="47"/>
        <v>-148</v>
      </c>
      <c r="AM70" s="1063">
        <f t="shared" si="48"/>
        <v>1</v>
      </c>
      <c r="AN70" s="1074">
        <f t="shared" ref="AN70:AN79" si="63">IF(AND(AX70=0,AX71=0),MAX(AN69,$H$43+1),AX70)</f>
        <v>213</v>
      </c>
      <c r="AO70" s="1075">
        <f t="shared" si="49"/>
        <v>14.036243467926479</v>
      </c>
      <c r="AP70" s="1067"/>
      <c r="AQ70" s="1068"/>
      <c r="AR70" s="1067"/>
      <c r="AS70" s="1068"/>
      <c r="AT70" s="1067"/>
      <c r="AU70" s="1068"/>
      <c r="AV70" s="1067"/>
      <c r="AW70" s="1068"/>
      <c r="AX70" s="28">
        <f t="shared" si="40"/>
        <v>0</v>
      </c>
      <c r="AY70" s="28">
        <f t="shared" si="41"/>
        <v>0</v>
      </c>
    </row>
    <row r="71" spans="1:51" s="28" customFormat="1" ht="12.75" x14ac:dyDescent="0.2">
      <c r="A71" s="1022" t="str">
        <f t="shared" si="20"/>
        <v>Arbre 11</v>
      </c>
      <c r="B71" s="1025">
        <v>1</v>
      </c>
      <c r="C71" s="1080">
        <f t="shared" ref="C71:M71" si="64">$L35+C$55*Rapous</f>
        <v>9.4000239256991129</v>
      </c>
      <c r="D71" s="1080">
        <f t="shared" si="64"/>
        <v>10.400023925699113</v>
      </c>
      <c r="E71" s="1080">
        <f t="shared" si="64"/>
        <v>11.400023925699113</v>
      </c>
      <c r="F71" s="1080">
        <f t="shared" si="64"/>
        <v>12.400023925699113</v>
      </c>
      <c r="G71" s="1081">
        <f t="shared" si="64"/>
        <v>13.400023925699113</v>
      </c>
      <c r="H71" s="1082">
        <f t="shared" si="64"/>
        <v>14.400023925699113</v>
      </c>
      <c r="I71" s="1083">
        <f t="shared" si="64"/>
        <v>15.400023925699113</v>
      </c>
      <c r="J71" s="1080">
        <f t="shared" si="64"/>
        <v>16.400023925699113</v>
      </c>
      <c r="K71" s="1080">
        <f t="shared" si="64"/>
        <v>17.400023925699113</v>
      </c>
      <c r="L71" s="1080">
        <f t="shared" si="64"/>
        <v>18.400023925699113</v>
      </c>
      <c r="M71" s="1081">
        <f t="shared" si="64"/>
        <v>19.400023925699113</v>
      </c>
      <c r="N71" s="688">
        <f t="shared" si="22"/>
        <v>109.89182843255452</v>
      </c>
      <c r="O71" s="928" t="str">
        <f t="shared" si="23"/>
        <v>Arbre 11</v>
      </c>
      <c r="P71" s="678">
        <f t="shared" si="24"/>
        <v>131.97848411789138</v>
      </c>
      <c r="Q71" s="685">
        <f t="shared" si="25"/>
        <v>3.2838134686643761</v>
      </c>
      <c r="R71" s="688">
        <f t="shared" si="26"/>
        <v>3.803201606280314</v>
      </c>
      <c r="S71" s="688">
        <f t="shared" si="27"/>
        <v>4.3219645400162596</v>
      </c>
      <c r="T71" s="688">
        <f t="shared" si="28"/>
        <v>4.8400185119431134</v>
      </c>
      <c r="U71" s="944">
        <f t="shared" si="29"/>
        <v>5.3572804564385255</v>
      </c>
      <c r="V71" s="1085">
        <f t="shared" si="30"/>
        <v>5.8736680779337398</v>
      </c>
      <c r="W71" s="685">
        <f t="shared" si="31"/>
        <v>6.3890999268076039</v>
      </c>
      <c r="X71" s="688">
        <f t="shared" si="32"/>
        <v>6.9034954732595359</v>
      </c>
      <c r="Y71" s="688">
        <f t="shared" si="33"/>
        <v>7.4167751790021796</v>
      </c>
      <c r="Z71" s="688">
        <f t="shared" si="34"/>
        <v>7.9288605666239276</v>
      </c>
      <c r="AA71" s="944">
        <f t="shared" si="35"/>
        <v>8.4396742864815781</v>
      </c>
      <c r="AB71" s="1052">
        <f t="shared" si="36"/>
        <v>11.237958877204029</v>
      </c>
      <c r="AC71" s="1053">
        <f t="shared" si="43"/>
        <v>7.5010000000000003</v>
      </c>
      <c r="AD71" s="39" t="b">
        <f t="shared" si="37"/>
        <v>0</v>
      </c>
      <c r="AE71" s="1053">
        <f t="shared" si="38"/>
        <v>81.423870984299839</v>
      </c>
      <c r="AF71" s="1054">
        <f t="shared" si="44"/>
        <v>1.4023551021912324</v>
      </c>
      <c r="AG71" s="929">
        <v>51.52</v>
      </c>
      <c r="AH71" s="930">
        <v>11.930000000000007</v>
      </c>
      <c r="AJ71" s="1062">
        <f t="shared" si="45"/>
        <v>1</v>
      </c>
      <c r="AK71" s="82">
        <f t="shared" si="46"/>
        <v>1</v>
      </c>
      <c r="AL71" s="1063">
        <f t="shared" si="47"/>
        <v>-148</v>
      </c>
      <c r="AM71" s="1063">
        <f t="shared" si="48"/>
        <v>1</v>
      </c>
      <c r="AN71" s="1074">
        <f t="shared" si="63"/>
        <v>213</v>
      </c>
      <c r="AO71" s="1075">
        <f t="shared" si="49"/>
        <v>14.036243467926479</v>
      </c>
      <c r="AP71" s="1067"/>
      <c r="AQ71" s="1068"/>
      <c r="AR71" s="1067"/>
      <c r="AS71" s="1068"/>
      <c r="AT71" s="1067"/>
      <c r="AU71" s="1068"/>
      <c r="AV71" s="1067"/>
      <c r="AW71" s="1068"/>
      <c r="AX71" s="28">
        <f t="shared" si="40"/>
        <v>0</v>
      </c>
      <c r="AY71" s="28">
        <f t="shared" si="41"/>
        <v>0</v>
      </c>
    </row>
    <row r="72" spans="1:51" s="28" customFormat="1" ht="12.75" x14ac:dyDescent="0.2">
      <c r="A72" s="1022" t="str">
        <f t="shared" si="20"/>
        <v>Arrière PV</v>
      </c>
      <c r="B72" s="1025">
        <v>1</v>
      </c>
      <c r="C72" s="1080">
        <f t="shared" ref="C72:M72" si="65">$L36+C$55*Rapous</f>
        <v>-5</v>
      </c>
      <c r="D72" s="1080">
        <f t="shared" si="65"/>
        <v>-4</v>
      </c>
      <c r="E72" s="1080">
        <f t="shared" si="65"/>
        <v>-3</v>
      </c>
      <c r="F72" s="1080">
        <f t="shared" si="65"/>
        <v>-2</v>
      </c>
      <c r="G72" s="1081">
        <f t="shared" si="65"/>
        <v>-1</v>
      </c>
      <c r="H72" s="1082">
        <f t="shared" si="65"/>
        <v>0</v>
      </c>
      <c r="I72" s="1083">
        <f t="shared" si="65"/>
        <v>1</v>
      </c>
      <c r="J72" s="1080">
        <f t="shared" si="65"/>
        <v>2</v>
      </c>
      <c r="K72" s="1080">
        <f t="shared" si="65"/>
        <v>3</v>
      </c>
      <c r="L72" s="1080">
        <f t="shared" si="65"/>
        <v>4</v>
      </c>
      <c r="M72" s="1081">
        <f t="shared" si="65"/>
        <v>5</v>
      </c>
      <c r="N72" s="688">
        <f t="shared" si="22"/>
        <v>0</v>
      </c>
      <c r="O72" s="928" t="str">
        <f t="shared" si="23"/>
        <v>Arrière PV</v>
      </c>
      <c r="P72" s="678">
        <f t="shared" si="24"/>
        <v>212</v>
      </c>
      <c r="Q72" s="685">
        <f t="shared" si="25"/>
        <v>14.036243467926479</v>
      </c>
      <c r="R72" s="688">
        <f t="shared" si="26"/>
        <v>14.036243467926479</v>
      </c>
      <c r="S72" s="688">
        <f t="shared" si="27"/>
        <v>14.036243467926479</v>
      </c>
      <c r="T72" s="688">
        <f t="shared" si="28"/>
        <v>14.036243467926479</v>
      </c>
      <c r="U72" s="944">
        <f t="shared" si="29"/>
        <v>14.036243467926479</v>
      </c>
      <c r="V72" s="1085">
        <f t="shared" si="30"/>
        <v>14.036243467926479</v>
      </c>
      <c r="W72" s="685">
        <f t="shared" si="31"/>
        <v>14.036243467926479</v>
      </c>
      <c r="X72" s="688">
        <f t="shared" si="32"/>
        <v>14.036243467926479</v>
      </c>
      <c r="Y72" s="688">
        <f t="shared" si="33"/>
        <v>14.036243467926479</v>
      </c>
      <c r="Z72" s="688">
        <f t="shared" si="34"/>
        <v>14.036243467926479</v>
      </c>
      <c r="AA72" s="944">
        <f t="shared" si="35"/>
        <v>14.036243467926479</v>
      </c>
      <c r="AB72" s="1052">
        <f t="shared" si="36"/>
        <v>14.036243467926479</v>
      </c>
      <c r="AC72" s="1053">
        <f t="shared" si="43"/>
        <v>7.5010000000000003</v>
      </c>
      <c r="AD72" s="39" t="b">
        <f t="shared" si="37"/>
        <v>0</v>
      </c>
      <c r="AE72" s="1053">
        <f t="shared" si="38"/>
        <v>0</v>
      </c>
      <c r="AF72" s="1054">
        <f t="shared" si="44"/>
        <v>0</v>
      </c>
      <c r="AG72" s="929">
        <v>53.73</v>
      </c>
      <c r="AH72" s="932">
        <v>12.530000000000001</v>
      </c>
      <c r="AJ72" s="1062">
        <f t="shared" si="45"/>
        <v>1</v>
      </c>
      <c r="AK72" s="82">
        <f t="shared" si="46"/>
        <v>2</v>
      </c>
      <c r="AL72" s="1063">
        <f t="shared" si="47"/>
        <v>212</v>
      </c>
      <c r="AM72" s="1063">
        <f t="shared" si="48"/>
        <v>1</v>
      </c>
      <c r="AN72" s="1074">
        <f t="shared" si="63"/>
        <v>213</v>
      </c>
      <c r="AO72" s="1075">
        <f t="shared" si="49"/>
        <v>14.036243467926479</v>
      </c>
      <c r="AP72" s="1067"/>
      <c r="AQ72" s="1068"/>
      <c r="AR72" s="1067"/>
      <c r="AS72" s="1068"/>
      <c r="AT72" s="1067"/>
      <c r="AU72" s="1068"/>
      <c r="AV72" s="1067"/>
      <c r="AW72" s="1068"/>
      <c r="AX72" s="28">
        <f t="shared" si="40"/>
        <v>0</v>
      </c>
      <c r="AY72" s="28">
        <f t="shared" si="41"/>
        <v>0</v>
      </c>
    </row>
    <row r="73" spans="1:51" s="28" customFormat="1" ht="12.75" x14ac:dyDescent="0.2">
      <c r="A73" s="1022">
        <f t="shared" si="20"/>
        <v>0</v>
      </c>
      <c r="B73" s="1025">
        <v>1</v>
      </c>
      <c r="C73" s="1080">
        <f t="shared" ref="C73:M73" si="66">$L37+C$55*Rapous</f>
        <v>-5</v>
      </c>
      <c r="D73" s="1080">
        <f t="shared" si="66"/>
        <v>-4</v>
      </c>
      <c r="E73" s="1080">
        <f t="shared" si="66"/>
        <v>-3</v>
      </c>
      <c r="F73" s="1080">
        <f t="shared" si="66"/>
        <v>-2</v>
      </c>
      <c r="G73" s="1081">
        <f t="shared" si="66"/>
        <v>-1</v>
      </c>
      <c r="H73" s="1082">
        <f t="shared" si="66"/>
        <v>0</v>
      </c>
      <c r="I73" s="1083">
        <f t="shared" si="66"/>
        <v>1</v>
      </c>
      <c r="J73" s="1080">
        <f t="shared" si="66"/>
        <v>2</v>
      </c>
      <c r="K73" s="1080">
        <f t="shared" si="66"/>
        <v>3</v>
      </c>
      <c r="L73" s="1080">
        <f t="shared" si="66"/>
        <v>4</v>
      </c>
      <c r="M73" s="1081">
        <f t="shared" si="66"/>
        <v>5</v>
      </c>
      <c r="N73" s="688">
        <f t="shared" si="22"/>
        <v>0</v>
      </c>
      <c r="O73" s="928">
        <f t="shared" si="23"/>
        <v>0</v>
      </c>
      <c r="P73" s="678">
        <f t="shared" si="24"/>
        <v>212</v>
      </c>
      <c r="Q73" s="685">
        <f t="shared" si="25"/>
        <v>14.036243467926479</v>
      </c>
      <c r="R73" s="688">
        <f t="shared" si="26"/>
        <v>14.036243467926479</v>
      </c>
      <c r="S73" s="688">
        <f t="shared" si="27"/>
        <v>14.036243467926479</v>
      </c>
      <c r="T73" s="688">
        <f t="shared" si="28"/>
        <v>14.036243467926479</v>
      </c>
      <c r="U73" s="944">
        <f t="shared" si="29"/>
        <v>14.036243467926479</v>
      </c>
      <c r="V73" s="1085">
        <f t="shared" si="30"/>
        <v>14.036243467926479</v>
      </c>
      <c r="W73" s="685">
        <f t="shared" si="31"/>
        <v>14.036243467926479</v>
      </c>
      <c r="X73" s="688">
        <f t="shared" si="32"/>
        <v>14.036243467926479</v>
      </c>
      <c r="Y73" s="688">
        <f t="shared" si="33"/>
        <v>14.036243467926479</v>
      </c>
      <c r="Z73" s="688">
        <f t="shared" si="34"/>
        <v>14.036243467926479</v>
      </c>
      <c r="AA73" s="944">
        <f t="shared" si="35"/>
        <v>14.036243467926479</v>
      </c>
      <c r="AB73" s="1052">
        <f t="shared" si="36"/>
        <v>14.036243467926479</v>
      </c>
      <c r="AC73" s="1053">
        <f t="shared" si="43"/>
        <v>7.5010000000000003</v>
      </c>
      <c r="AD73" s="39" t="b">
        <f t="shared" si="37"/>
        <v>0</v>
      </c>
      <c r="AE73" s="1053">
        <f t="shared" si="38"/>
        <v>0</v>
      </c>
      <c r="AF73" s="1054">
        <f t="shared" si="44"/>
        <v>0</v>
      </c>
      <c r="AG73" s="929">
        <v>56.67</v>
      </c>
      <c r="AH73" s="932">
        <v>13.370000000000005</v>
      </c>
      <c r="AJ73" s="1062">
        <f t="shared" si="45"/>
        <v>1</v>
      </c>
      <c r="AK73" s="82">
        <f t="shared" si="46"/>
        <v>2</v>
      </c>
      <c r="AL73" s="1063">
        <f t="shared" si="47"/>
        <v>212</v>
      </c>
      <c r="AM73" s="1063">
        <f t="shared" si="48"/>
        <v>1</v>
      </c>
      <c r="AN73" s="1074">
        <f t="shared" si="63"/>
        <v>213</v>
      </c>
      <c r="AO73" s="1075">
        <f t="shared" si="49"/>
        <v>14.036243467926479</v>
      </c>
      <c r="AP73" s="1067"/>
      <c r="AQ73" s="1068"/>
      <c r="AR73" s="1067"/>
      <c r="AS73" s="1068"/>
      <c r="AT73" s="1067"/>
      <c r="AU73" s="1068"/>
      <c r="AV73" s="1067"/>
      <c r="AW73" s="1068"/>
      <c r="AX73" s="28">
        <f t="shared" si="40"/>
        <v>0</v>
      </c>
      <c r="AY73" s="28">
        <f t="shared" si="41"/>
        <v>0</v>
      </c>
    </row>
    <row r="74" spans="1:51" s="28" customFormat="1" ht="12.75" x14ac:dyDescent="0.2">
      <c r="A74" s="1022">
        <f t="shared" si="20"/>
        <v>0</v>
      </c>
      <c r="B74" s="1025">
        <v>1</v>
      </c>
      <c r="C74" s="1080">
        <f t="shared" ref="C74:M74" si="67">$L38+C$55*Rapous</f>
        <v>-5</v>
      </c>
      <c r="D74" s="1080">
        <f t="shared" si="67"/>
        <v>-4</v>
      </c>
      <c r="E74" s="1080">
        <f t="shared" si="67"/>
        <v>-3</v>
      </c>
      <c r="F74" s="1080">
        <f t="shared" si="67"/>
        <v>-2</v>
      </c>
      <c r="G74" s="1081">
        <f t="shared" si="67"/>
        <v>-1</v>
      </c>
      <c r="H74" s="1082">
        <f t="shared" si="67"/>
        <v>0</v>
      </c>
      <c r="I74" s="1083">
        <f t="shared" si="67"/>
        <v>1</v>
      </c>
      <c r="J74" s="1080">
        <f t="shared" si="67"/>
        <v>2</v>
      </c>
      <c r="K74" s="1080">
        <f t="shared" si="67"/>
        <v>3</v>
      </c>
      <c r="L74" s="1080">
        <f t="shared" si="67"/>
        <v>4</v>
      </c>
      <c r="M74" s="1081">
        <f t="shared" si="67"/>
        <v>5</v>
      </c>
      <c r="N74" s="688">
        <f t="shared" si="22"/>
        <v>0</v>
      </c>
      <c r="O74" s="928">
        <f t="shared" si="23"/>
        <v>0</v>
      </c>
      <c r="P74" s="678">
        <f t="shared" si="24"/>
        <v>212</v>
      </c>
      <c r="Q74" s="685">
        <f t="shared" si="25"/>
        <v>14.036243467926479</v>
      </c>
      <c r="R74" s="688">
        <f t="shared" si="26"/>
        <v>14.036243467926479</v>
      </c>
      <c r="S74" s="688">
        <f t="shared" si="27"/>
        <v>14.036243467926479</v>
      </c>
      <c r="T74" s="688">
        <f t="shared" si="28"/>
        <v>14.036243467926479</v>
      </c>
      <c r="U74" s="944">
        <f t="shared" si="29"/>
        <v>14.036243467926479</v>
      </c>
      <c r="V74" s="1085">
        <f t="shared" si="30"/>
        <v>14.036243467926479</v>
      </c>
      <c r="W74" s="685">
        <f t="shared" si="31"/>
        <v>14.036243467926479</v>
      </c>
      <c r="X74" s="688">
        <f t="shared" si="32"/>
        <v>14.036243467926479</v>
      </c>
      <c r="Y74" s="688">
        <f t="shared" si="33"/>
        <v>14.036243467926479</v>
      </c>
      <c r="Z74" s="688">
        <f t="shared" si="34"/>
        <v>14.036243467926479</v>
      </c>
      <c r="AA74" s="944">
        <f t="shared" si="35"/>
        <v>14.036243467926479</v>
      </c>
      <c r="AB74" s="1052">
        <f t="shared" si="36"/>
        <v>14.036243467926479</v>
      </c>
      <c r="AC74" s="1053">
        <f t="shared" si="43"/>
        <v>7.5010000000000003</v>
      </c>
      <c r="AD74" s="39" t="b">
        <f t="shared" si="37"/>
        <v>0</v>
      </c>
      <c r="AE74" s="1053">
        <f t="shared" si="38"/>
        <v>0</v>
      </c>
      <c r="AF74" s="1054">
        <f t="shared" si="44"/>
        <v>0</v>
      </c>
      <c r="AG74" s="929">
        <v>58.66</v>
      </c>
      <c r="AH74" s="932">
        <v>13.969999999999999</v>
      </c>
      <c r="AJ74" s="1062">
        <f t="shared" si="45"/>
        <v>1</v>
      </c>
      <c r="AK74" s="82">
        <f t="shared" si="46"/>
        <v>2</v>
      </c>
      <c r="AL74" s="1063">
        <f t="shared" si="47"/>
        <v>212</v>
      </c>
      <c r="AM74" s="1063">
        <f t="shared" si="48"/>
        <v>1</v>
      </c>
      <c r="AN74" s="1074">
        <f t="shared" si="63"/>
        <v>213</v>
      </c>
      <c r="AO74" s="1075">
        <f t="shared" si="49"/>
        <v>14.036243467926479</v>
      </c>
      <c r="AP74" s="1067"/>
      <c r="AQ74" s="1068"/>
      <c r="AR74" s="1067"/>
      <c r="AS74" s="1068"/>
      <c r="AT74" s="1067"/>
      <c r="AU74" s="1068"/>
      <c r="AV74" s="1067"/>
      <c r="AW74" s="1068"/>
      <c r="AX74" s="28">
        <f t="shared" si="40"/>
        <v>0</v>
      </c>
      <c r="AY74" s="28">
        <f t="shared" si="41"/>
        <v>0</v>
      </c>
    </row>
    <row r="75" spans="1:51" s="28" customFormat="1" ht="12.75" x14ac:dyDescent="0.2">
      <c r="A75" s="1022">
        <f t="shared" si="20"/>
        <v>0</v>
      </c>
      <c r="B75" s="1025">
        <v>1</v>
      </c>
      <c r="C75" s="688">
        <f t="shared" ref="C75:M75" si="68">$L39+C$55*Rapous</f>
        <v>-5</v>
      </c>
      <c r="D75" s="688">
        <f t="shared" si="68"/>
        <v>-4</v>
      </c>
      <c r="E75" s="688">
        <f t="shared" si="68"/>
        <v>-3</v>
      </c>
      <c r="F75" s="688">
        <f t="shared" si="68"/>
        <v>-2</v>
      </c>
      <c r="G75" s="944">
        <f t="shared" si="68"/>
        <v>-1</v>
      </c>
      <c r="H75" s="1082">
        <f t="shared" si="68"/>
        <v>0</v>
      </c>
      <c r="I75" s="1083">
        <f t="shared" si="68"/>
        <v>1</v>
      </c>
      <c r="J75" s="1086">
        <f t="shared" si="68"/>
        <v>2</v>
      </c>
      <c r="K75" s="1080">
        <f t="shared" si="68"/>
        <v>3</v>
      </c>
      <c r="L75" s="1086">
        <f t="shared" si="68"/>
        <v>4</v>
      </c>
      <c r="M75" s="1081">
        <f t="shared" si="68"/>
        <v>5</v>
      </c>
      <c r="N75" s="688">
        <f t="shared" si="22"/>
        <v>0</v>
      </c>
      <c r="O75" s="928">
        <f t="shared" si="23"/>
        <v>0</v>
      </c>
      <c r="P75" s="688">
        <f t="shared" si="24"/>
        <v>212</v>
      </c>
      <c r="Q75" s="685">
        <f t="shared" si="25"/>
        <v>14.036243467926479</v>
      </c>
      <c r="R75" s="688">
        <f t="shared" si="26"/>
        <v>14.036243467926479</v>
      </c>
      <c r="S75" s="688">
        <f t="shared" si="27"/>
        <v>14.036243467926479</v>
      </c>
      <c r="T75" s="688">
        <f t="shared" si="28"/>
        <v>14.036243467926479</v>
      </c>
      <c r="U75" s="944">
        <f t="shared" si="29"/>
        <v>14.036243467926479</v>
      </c>
      <c r="V75" s="1085">
        <f t="shared" si="30"/>
        <v>14.036243467926479</v>
      </c>
      <c r="W75" s="685">
        <f t="shared" si="31"/>
        <v>14.036243467926479</v>
      </c>
      <c r="X75" s="688">
        <f t="shared" si="32"/>
        <v>14.036243467926479</v>
      </c>
      <c r="Y75" s="688">
        <f t="shared" si="33"/>
        <v>14.036243467926479</v>
      </c>
      <c r="Z75" s="688">
        <f t="shared" si="34"/>
        <v>14.036243467926479</v>
      </c>
      <c r="AA75" s="944">
        <f t="shared" si="35"/>
        <v>14.036243467926479</v>
      </c>
      <c r="AB75" s="1052">
        <f t="shared" si="36"/>
        <v>14.036243467926479</v>
      </c>
      <c r="AC75" s="1053">
        <f t="shared" si="43"/>
        <v>7.5010000000000003</v>
      </c>
      <c r="AD75" s="39" t="b">
        <f t="shared" si="37"/>
        <v>0</v>
      </c>
      <c r="AE75" s="1053">
        <f t="shared" si="38"/>
        <v>0</v>
      </c>
      <c r="AF75" s="1054">
        <f t="shared" si="44"/>
        <v>0</v>
      </c>
      <c r="AG75" s="929">
        <v>61.27</v>
      </c>
      <c r="AH75" s="932">
        <v>15.02000000000001</v>
      </c>
      <c r="AJ75" s="1062">
        <f t="shared" si="45"/>
        <v>1</v>
      </c>
      <c r="AK75" s="82">
        <f t="shared" si="46"/>
        <v>2</v>
      </c>
      <c r="AL75" s="1063">
        <f t="shared" si="47"/>
        <v>212</v>
      </c>
      <c r="AM75" s="1063">
        <f t="shared" si="48"/>
        <v>1</v>
      </c>
      <c r="AN75" s="1074">
        <f t="shared" si="63"/>
        <v>213</v>
      </c>
      <c r="AO75" s="1075">
        <f t="shared" si="49"/>
        <v>14.036243467926479</v>
      </c>
      <c r="AP75" s="1067"/>
      <c r="AQ75" s="1068"/>
      <c r="AR75" s="1067"/>
      <c r="AS75" s="1068"/>
      <c r="AT75" s="1067"/>
      <c r="AU75" s="1068"/>
      <c r="AV75" s="1067"/>
      <c r="AW75" s="1068"/>
      <c r="AX75" s="28">
        <f t="shared" si="40"/>
        <v>0</v>
      </c>
      <c r="AY75" s="28">
        <f t="shared" si="41"/>
        <v>0</v>
      </c>
    </row>
    <row r="76" spans="1:51" s="28" customFormat="1" ht="12.75" x14ac:dyDescent="0.2">
      <c r="A76" s="1022">
        <f t="shared" si="20"/>
        <v>0</v>
      </c>
      <c r="B76" s="1025">
        <v>1</v>
      </c>
      <c r="C76" s="688">
        <f t="shared" ref="C76:M76" si="69">$L40+C$55*Rapous</f>
        <v>-5</v>
      </c>
      <c r="D76" s="688">
        <f t="shared" si="69"/>
        <v>-4</v>
      </c>
      <c r="E76" s="688">
        <f t="shared" si="69"/>
        <v>-3</v>
      </c>
      <c r="F76" s="688">
        <f t="shared" si="69"/>
        <v>-2</v>
      </c>
      <c r="G76" s="944">
        <f t="shared" si="69"/>
        <v>-1</v>
      </c>
      <c r="H76" s="1082">
        <f t="shared" si="69"/>
        <v>0</v>
      </c>
      <c r="I76" s="1083">
        <f t="shared" si="69"/>
        <v>1</v>
      </c>
      <c r="J76" s="1086">
        <f t="shared" si="69"/>
        <v>2</v>
      </c>
      <c r="K76" s="1080">
        <f t="shared" si="69"/>
        <v>3</v>
      </c>
      <c r="L76" s="1086">
        <f t="shared" si="69"/>
        <v>4</v>
      </c>
      <c r="M76" s="1081">
        <f t="shared" si="69"/>
        <v>5</v>
      </c>
      <c r="N76" s="688">
        <f t="shared" si="22"/>
        <v>0</v>
      </c>
      <c r="O76" s="928">
        <f t="shared" si="23"/>
        <v>0</v>
      </c>
      <c r="P76" s="688">
        <f t="shared" si="24"/>
        <v>212</v>
      </c>
      <c r="Q76" s="685">
        <f t="shared" si="25"/>
        <v>14.036243467926479</v>
      </c>
      <c r="R76" s="688">
        <f t="shared" si="26"/>
        <v>14.036243467926479</v>
      </c>
      <c r="S76" s="688">
        <f t="shared" si="27"/>
        <v>14.036243467926479</v>
      </c>
      <c r="T76" s="688">
        <f t="shared" si="28"/>
        <v>14.036243467926479</v>
      </c>
      <c r="U76" s="944">
        <f t="shared" si="29"/>
        <v>14.036243467926479</v>
      </c>
      <c r="V76" s="1085">
        <f t="shared" si="30"/>
        <v>14.036243467926479</v>
      </c>
      <c r="W76" s="685">
        <f t="shared" si="31"/>
        <v>14.036243467926479</v>
      </c>
      <c r="X76" s="688">
        <f t="shared" si="32"/>
        <v>14.036243467926479</v>
      </c>
      <c r="Y76" s="688">
        <f t="shared" si="33"/>
        <v>14.036243467926479</v>
      </c>
      <c r="Z76" s="688">
        <f t="shared" si="34"/>
        <v>14.036243467926479</v>
      </c>
      <c r="AA76" s="944">
        <f t="shared" si="35"/>
        <v>14.036243467926479</v>
      </c>
      <c r="AB76" s="1052">
        <f t="shared" si="36"/>
        <v>14.036243467926479</v>
      </c>
      <c r="AC76" s="1053">
        <f t="shared" si="43"/>
        <v>7.5010000000000003</v>
      </c>
      <c r="AD76" s="39" t="b">
        <f t="shared" si="37"/>
        <v>0</v>
      </c>
      <c r="AE76" s="1053">
        <f t="shared" si="38"/>
        <v>0</v>
      </c>
      <c r="AF76" s="1054">
        <f t="shared" si="44"/>
        <v>0</v>
      </c>
      <c r="AG76" s="929">
        <v>62.95</v>
      </c>
      <c r="AH76" s="932">
        <v>15.569999999999993</v>
      </c>
      <c r="AJ76" s="1062">
        <f t="shared" si="45"/>
        <v>1</v>
      </c>
      <c r="AK76" s="82">
        <f t="shared" si="46"/>
        <v>2</v>
      </c>
      <c r="AL76" s="1063">
        <f t="shared" si="47"/>
        <v>212</v>
      </c>
      <c r="AM76" s="1063">
        <f t="shared" si="48"/>
        <v>1</v>
      </c>
      <c r="AN76" s="1074">
        <f t="shared" si="63"/>
        <v>213</v>
      </c>
      <c r="AO76" s="1075">
        <f t="shared" si="49"/>
        <v>14.036243467926479</v>
      </c>
      <c r="AP76" s="1067"/>
      <c r="AQ76" s="1068"/>
      <c r="AR76" s="1067"/>
      <c r="AS76" s="1068"/>
      <c r="AT76" s="1067"/>
      <c r="AU76" s="1068"/>
      <c r="AV76" s="1067"/>
      <c r="AW76" s="1068"/>
      <c r="AX76" s="28">
        <f t="shared" si="40"/>
        <v>0</v>
      </c>
      <c r="AY76" s="28">
        <f t="shared" si="41"/>
        <v>0</v>
      </c>
    </row>
    <row r="77" spans="1:51" s="28" customFormat="1" ht="12.75" x14ac:dyDescent="0.2">
      <c r="A77" s="1022">
        <f t="shared" si="20"/>
        <v>0</v>
      </c>
      <c r="B77" s="1025">
        <v>1</v>
      </c>
      <c r="C77" s="688">
        <f t="shared" ref="C77:M77" si="70">$L41+C$55*Rapous</f>
        <v>-5</v>
      </c>
      <c r="D77" s="688">
        <f t="shared" si="70"/>
        <v>-4</v>
      </c>
      <c r="E77" s="688">
        <f t="shared" si="70"/>
        <v>-3</v>
      </c>
      <c r="F77" s="688">
        <f t="shared" si="70"/>
        <v>-2</v>
      </c>
      <c r="G77" s="944">
        <f t="shared" si="70"/>
        <v>-1</v>
      </c>
      <c r="H77" s="1082">
        <f t="shared" si="70"/>
        <v>0</v>
      </c>
      <c r="I77" s="1083">
        <f t="shared" si="70"/>
        <v>1</v>
      </c>
      <c r="J77" s="1086">
        <f t="shared" si="70"/>
        <v>2</v>
      </c>
      <c r="K77" s="1080">
        <f t="shared" si="70"/>
        <v>3</v>
      </c>
      <c r="L77" s="1086">
        <f t="shared" si="70"/>
        <v>4</v>
      </c>
      <c r="M77" s="1081">
        <f t="shared" si="70"/>
        <v>5</v>
      </c>
      <c r="N77" s="688">
        <f t="shared" si="22"/>
        <v>0</v>
      </c>
      <c r="O77" s="928">
        <f t="shared" si="23"/>
        <v>0</v>
      </c>
      <c r="P77" s="688">
        <f t="shared" si="24"/>
        <v>212</v>
      </c>
      <c r="Q77" s="685">
        <f t="shared" si="25"/>
        <v>14.036243467926479</v>
      </c>
      <c r="R77" s="688">
        <f t="shared" si="26"/>
        <v>14.036243467926479</v>
      </c>
      <c r="S77" s="688">
        <f t="shared" si="27"/>
        <v>14.036243467926479</v>
      </c>
      <c r="T77" s="688">
        <f t="shared" si="28"/>
        <v>14.036243467926479</v>
      </c>
      <c r="U77" s="944">
        <f t="shared" si="29"/>
        <v>14.036243467926479</v>
      </c>
      <c r="V77" s="1085">
        <f t="shared" si="30"/>
        <v>14.036243467926479</v>
      </c>
      <c r="W77" s="685">
        <f t="shared" si="31"/>
        <v>14.036243467926479</v>
      </c>
      <c r="X77" s="688">
        <f t="shared" si="32"/>
        <v>14.036243467926479</v>
      </c>
      <c r="Y77" s="688">
        <f t="shared" si="33"/>
        <v>14.036243467926479</v>
      </c>
      <c r="Z77" s="688">
        <f t="shared" si="34"/>
        <v>14.036243467926479</v>
      </c>
      <c r="AA77" s="944">
        <f t="shared" si="35"/>
        <v>14.036243467926479</v>
      </c>
      <c r="AB77" s="1052">
        <f t="shared" si="36"/>
        <v>14.036243467926479</v>
      </c>
      <c r="AC77" s="1053">
        <f t="shared" si="43"/>
        <v>7.5010000000000003</v>
      </c>
      <c r="AD77" s="39" t="b">
        <f t="shared" si="37"/>
        <v>0</v>
      </c>
      <c r="AE77" s="1053">
        <f t="shared" si="38"/>
        <v>0</v>
      </c>
      <c r="AF77" s="1054">
        <f t="shared" si="44"/>
        <v>0</v>
      </c>
      <c r="AG77" s="929">
        <v>65.069999999999993</v>
      </c>
      <c r="AH77" s="932">
        <v>16.789999999999992</v>
      </c>
      <c r="AJ77" s="1062">
        <f t="shared" si="45"/>
        <v>1</v>
      </c>
      <c r="AK77" s="82">
        <f t="shared" si="46"/>
        <v>2</v>
      </c>
      <c r="AL77" s="1063">
        <f t="shared" si="47"/>
        <v>212</v>
      </c>
      <c r="AM77" s="1063">
        <f t="shared" si="48"/>
        <v>1</v>
      </c>
      <c r="AN77" s="1074">
        <f t="shared" si="63"/>
        <v>213</v>
      </c>
      <c r="AO77" s="1075">
        <f t="shared" si="49"/>
        <v>14.036243467926479</v>
      </c>
      <c r="AP77" s="1067"/>
      <c r="AQ77" s="1068"/>
      <c r="AR77" s="1067"/>
      <c r="AS77" s="1068"/>
      <c r="AT77" s="1067"/>
      <c r="AU77" s="1068"/>
      <c r="AV77" s="1067"/>
      <c r="AW77" s="1068"/>
      <c r="AX77" s="28">
        <f t="shared" si="40"/>
        <v>0</v>
      </c>
      <c r="AY77" s="28">
        <f t="shared" si="41"/>
        <v>0</v>
      </c>
    </row>
    <row r="78" spans="1:51" s="28" customFormat="1" ht="12.75" x14ac:dyDescent="0.2">
      <c r="A78" s="1022">
        <f t="shared" si="20"/>
        <v>0</v>
      </c>
      <c r="B78" s="1025">
        <v>1</v>
      </c>
      <c r="C78" s="688">
        <f t="shared" ref="C78:M78" si="71">$L42+C$55*Rapous</f>
        <v>-5</v>
      </c>
      <c r="D78" s="688">
        <f t="shared" si="71"/>
        <v>-4</v>
      </c>
      <c r="E78" s="688">
        <f t="shared" si="71"/>
        <v>-3</v>
      </c>
      <c r="F78" s="688">
        <f t="shared" si="71"/>
        <v>-2</v>
      </c>
      <c r="G78" s="944">
        <f t="shared" si="71"/>
        <v>-1</v>
      </c>
      <c r="H78" s="1082">
        <f t="shared" si="71"/>
        <v>0</v>
      </c>
      <c r="I78" s="1083">
        <f t="shared" si="71"/>
        <v>1</v>
      </c>
      <c r="J78" s="1086">
        <f t="shared" si="71"/>
        <v>2</v>
      </c>
      <c r="K78" s="1080">
        <f t="shared" si="71"/>
        <v>3</v>
      </c>
      <c r="L78" s="1086">
        <f t="shared" si="71"/>
        <v>4</v>
      </c>
      <c r="M78" s="1081">
        <f t="shared" si="71"/>
        <v>5</v>
      </c>
      <c r="N78" s="688">
        <f t="shared" si="22"/>
        <v>0</v>
      </c>
      <c r="O78" s="928">
        <f t="shared" si="23"/>
        <v>0</v>
      </c>
      <c r="P78" s="688">
        <f t="shared" si="24"/>
        <v>212</v>
      </c>
      <c r="Q78" s="685">
        <f t="shared" si="25"/>
        <v>14.036243467926479</v>
      </c>
      <c r="R78" s="688">
        <f t="shared" si="26"/>
        <v>14.036243467926479</v>
      </c>
      <c r="S78" s="688">
        <f t="shared" si="27"/>
        <v>14.036243467926479</v>
      </c>
      <c r="T78" s="688">
        <f t="shared" si="28"/>
        <v>14.036243467926479</v>
      </c>
      <c r="U78" s="944">
        <f t="shared" si="29"/>
        <v>14.036243467926479</v>
      </c>
      <c r="V78" s="1085">
        <f t="shared" si="30"/>
        <v>14.036243467926479</v>
      </c>
      <c r="W78" s="685">
        <f t="shared" si="31"/>
        <v>14.036243467926479</v>
      </c>
      <c r="X78" s="688">
        <f t="shared" si="32"/>
        <v>14.036243467926479</v>
      </c>
      <c r="Y78" s="688">
        <f t="shared" si="33"/>
        <v>14.036243467926479</v>
      </c>
      <c r="Z78" s="688">
        <f t="shared" si="34"/>
        <v>14.036243467926479</v>
      </c>
      <c r="AA78" s="944">
        <f t="shared" si="35"/>
        <v>14.036243467926479</v>
      </c>
      <c r="AB78" s="1052">
        <f t="shared" si="36"/>
        <v>14.036243467926479</v>
      </c>
      <c r="AC78" s="1053">
        <f t="shared" si="43"/>
        <v>7.5010000000000003</v>
      </c>
      <c r="AD78" s="39" t="b">
        <f t="shared" si="37"/>
        <v>0</v>
      </c>
      <c r="AE78" s="1053">
        <f t="shared" si="38"/>
        <v>0</v>
      </c>
      <c r="AF78" s="1054">
        <f t="shared" si="44"/>
        <v>0</v>
      </c>
      <c r="AG78" s="929">
        <v>66.36</v>
      </c>
      <c r="AH78" s="932">
        <v>17.259999999999991</v>
      </c>
      <c r="AJ78" s="1062">
        <f t="shared" si="45"/>
        <v>1</v>
      </c>
      <c r="AK78" s="82">
        <f t="shared" si="46"/>
        <v>2</v>
      </c>
      <c r="AL78" s="1063">
        <f t="shared" si="47"/>
        <v>212</v>
      </c>
      <c r="AM78" s="1063">
        <f t="shared" si="48"/>
        <v>1</v>
      </c>
      <c r="AN78" s="1074">
        <f t="shared" si="63"/>
        <v>213</v>
      </c>
      <c r="AO78" s="1075">
        <f t="shared" si="49"/>
        <v>14.036243467926479</v>
      </c>
      <c r="AP78" s="1067"/>
      <c r="AQ78" s="1068"/>
      <c r="AR78" s="1067"/>
      <c r="AS78" s="1068"/>
      <c r="AT78" s="1067"/>
      <c r="AU78" s="1068"/>
      <c r="AV78" s="1067"/>
      <c r="AW78" s="1068"/>
      <c r="AX78" s="28">
        <f t="shared" si="40"/>
        <v>0</v>
      </c>
      <c r="AY78" s="28">
        <f t="shared" si="41"/>
        <v>0</v>
      </c>
    </row>
    <row r="79" spans="1:51" s="28" customFormat="1" ht="13.5" thickBot="1" x14ac:dyDescent="0.25">
      <c r="A79" s="1023">
        <f t="shared" si="20"/>
        <v>0</v>
      </c>
      <c r="B79" s="1026">
        <v>1</v>
      </c>
      <c r="C79" s="697">
        <f t="shared" ref="C79:M79" si="72">$L43+C$55*Rapous</f>
        <v>-5</v>
      </c>
      <c r="D79" s="697">
        <f t="shared" si="72"/>
        <v>-4</v>
      </c>
      <c r="E79" s="697">
        <f t="shared" si="72"/>
        <v>-3</v>
      </c>
      <c r="F79" s="697">
        <f t="shared" si="72"/>
        <v>-2</v>
      </c>
      <c r="G79" s="950">
        <f t="shared" si="72"/>
        <v>-1</v>
      </c>
      <c r="H79" s="1087">
        <f t="shared" si="72"/>
        <v>0</v>
      </c>
      <c r="I79" s="1088">
        <f t="shared" si="72"/>
        <v>1</v>
      </c>
      <c r="J79" s="1089">
        <f t="shared" si="72"/>
        <v>2</v>
      </c>
      <c r="K79" s="1090">
        <f t="shared" si="72"/>
        <v>3</v>
      </c>
      <c r="L79" s="1089">
        <f t="shared" si="72"/>
        <v>4</v>
      </c>
      <c r="M79" s="1091">
        <f t="shared" si="72"/>
        <v>5</v>
      </c>
      <c r="N79" s="697">
        <f t="shared" si="22"/>
        <v>0</v>
      </c>
      <c r="O79" s="933">
        <f t="shared" si="23"/>
        <v>0</v>
      </c>
      <c r="P79" s="697">
        <f t="shared" si="24"/>
        <v>212</v>
      </c>
      <c r="Q79" s="949">
        <f t="shared" si="25"/>
        <v>14.036243467926479</v>
      </c>
      <c r="R79" s="697">
        <f t="shared" si="26"/>
        <v>14.036243467926479</v>
      </c>
      <c r="S79" s="697">
        <f t="shared" si="27"/>
        <v>14.036243467926479</v>
      </c>
      <c r="T79" s="697">
        <f t="shared" si="28"/>
        <v>14.036243467926479</v>
      </c>
      <c r="U79" s="950">
        <f t="shared" si="29"/>
        <v>14.036243467926479</v>
      </c>
      <c r="V79" s="1092">
        <f t="shared" si="30"/>
        <v>14.036243467926479</v>
      </c>
      <c r="W79" s="949">
        <f t="shared" si="31"/>
        <v>14.036243467926479</v>
      </c>
      <c r="X79" s="697">
        <f t="shared" si="32"/>
        <v>14.036243467926479</v>
      </c>
      <c r="Y79" s="697">
        <f t="shared" si="33"/>
        <v>14.036243467926479</v>
      </c>
      <c r="Z79" s="697">
        <f t="shared" si="34"/>
        <v>14.036243467926479</v>
      </c>
      <c r="AA79" s="950">
        <f t="shared" si="35"/>
        <v>14.036243467926479</v>
      </c>
      <c r="AB79" s="1055">
        <f>(AA79+Z80)/2</f>
        <v>7.0181217339632394</v>
      </c>
      <c r="AC79" s="1056">
        <f t="shared" si="43"/>
        <v>7.5010000000000003</v>
      </c>
      <c r="AD79" s="1057" t="b">
        <f t="shared" si="37"/>
        <v>1</v>
      </c>
      <c r="AE79" s="1056">
        <f t="shared" si="38"/>
        <v>-212</v>
      </c>
      <c r="AF79" s="1058">
        <f t="shared" si="44"/>
        <v>0</v>
      </c>
      <c r="AG79" s="929">
        <v>67.87</v>
      </c>
      <c r="AH79" s="932">
        <v>18.400000000000006</v>
      </c>
      <c r="AJ79" s="1064">
        <f t="shared" si="45"/>
        <v>1</v>
      </c>
      <c r="AK79" s="1065">
        <f t="shared" si="46"/>
        <v>2</v>
      </c>
      <c r="AL79" s="1066">
        <f t="shared" si="47"/>
        <v>212</v>
      </c>
      <c r="AM79" s="1066">
        <f t="shared" si="48"/>
        <v>1</v>
      </c>
      <c r="AN79" s="1076">
        <f t="shared" si="63"/>
        <v>213</v>
      </c>
      <c r="AO79" s="1077">
        <f t="shared" si="49"/>
        <v>14.036243467926479</v>
      </c>
      <c r="AP79" s="1078"/>
      <c r="AQ79" s="1079"/>
      <c r="AR79" s="1078"/>
      <c r="AS79" s="1079"/>
      <c r="AT79" s="1078"/>
      <c r="AU79" s="1079"/>
      <c r="AV79" s="1078"/>
      <c r="AW79" s="1079"/>
      <c r="AX79" s="28">
        <f t="shared" si="40"/>
        <v>0</v>
      </c>
      <c r="AY79" s="28">
        <f t="shared" si="41"/>
        <v>0</v>
      </c>
    </row>
    <row r="80" spans="1:51" s="19" customFormat="1" ht="12.75" x14ac:dyDescent="0.2">
      <c r="G80" s="31"/>
      <c r="H80" s="31"/>
      <c r="U80" s="29"/>
      <c r="W80" s="29"/>
      <c r="X80" s="694"/>
      <c r="Y80" s="29"/>
      <c r="AB80" s="1027"/>
      <c r="AC80" s="29"/>
      <c r="AG80" s="929">
        <v>68.69</v>
      </c>
      <c r="AH80" s="932">
        <v>18.659999999999997</v>
      </c>
      <c r="AJ80" s="931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</row>
    <row r="81" spans="1:49" s="19" customFormat="1" ht="15.75" x14ac:dyDescent="0.25">
      <c r="A81" s="652" t="s">
        <v>196</v>
      </c>
      <c r="F81" s="30"/>
      <c r="G81" s="29"/>
      <c r="H81" s="31"/>
      <c r="K81" s="30"/>
      <c r="Q81" s="29"/>
      <c r="R81" s="668"/>
      <c r="S81" s="29"/>
      <c r="U81" s="29"/>
      <c r="W81" s="29"/>
      <c r="X81" s="694"/>
      <c r="Y81" s="29"/>
      <c r="AB81" s="1027"/>
      <c r="AC81" s="29"/>
      <c r="AG81" s="929">
        <v>69.48</v>
      </c>
      <c r="AH81" s="932">
        <v>19.439999999999998</v>
      </c>
      <c r="AJ81" s="931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2.75" x14ac:dyDescent="0.2">
      <c r="A82" s="681" t="str">
        <f t="array" ref="A82:Z94">TRANSPOSE(O54:AA79)</f>
        <v>Hangar Goussaud Espanès</v>
      </c>
      <c r="B82" s="934" t="str">
        <v>zone 1</v>
      </c>
      <c r="C82" s="935" t="str">
        <v>Arrière PV</v>
      </c>
      <c r="D82" s="935" t="str">
        <v>Arbre 1g</v>
      </c>
      <c r="E82" s="935" t="str">
        <v>Arbre 1d</v>
      </c>
      <c r="F82" s="935" t="str">
        <v>creux</v>
      </c>
      <c r="G82" s="935" t="str">
        <v>creux</v>
      </c>
      <c r="H82" s="935" t="str">
        <v>Arbre 3</v>
      </c>
      <c r="I82" s="935" t="str">
        <v>Arbre 4</v>
      </c>
      <c r="J82" s="935" t="str">
        <v>Arbre 5</v>
      </c>
      <c r="K82" s="935" t="str">
        <v>Arbre 6</v>
      </c>
      <c r="L82" s="935" t="str">
        <v>Arbre 7</v>
      </c>
      <c r="M82" s="935" t="str">
        <v>creux</v>
      </c>
      <c r="N82" s="935" t="str">
        <v>Arbre 8</v>
      </c>
      <c r="O82" s="935" t="str">
        <v>Arbre 9</v>
      </c>
      <c r="P82" s="935" t="str">
        <v>Arbre 10</v>
      </c>
      <c r="Q82" s="935" t="str">
        <v>creux</v>
      </c>
      <c r="R82" s="935" t="str">
        <v>Arbre 11</v>
      </c>
      <c r="S82" s="935" t="str">
        <v>Arrière PV</v>
      </c>
      <c r="T82" s="935">
        <v>0</v>
      </c>
      <c r="U82" s="935">
        <v>0</v>
      </c>
      <c r="V82" s="935">
        <v>0</v>
      </c>
      <c r="W82" s="935">
        <v>0</v>
      </c>
      <c r="X82" s="935">
        <v>0</v>
      </c>
      <c r="Y82" s="935">
        <v>0</v>
      </c>
      <c r="Z82" s="935">
        <v>0</v>
      </c>
      <c r="AB82" s="1028"/>
      <c r="AG82" s="951">
        <v>69.760000000000005</v>
      </c>
      <c r="AH82" s="952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936">
        <v>32</v>
      </c>
      <c r="B83" s="937" t="str">
        <v>Azi.S / PV</v>
      </c>
      <c r="C83" s="938">
        <v>-148</v>
      </c>
      <c r="D83" s="695">
        <v>-65.92459583484937</v>
      </c>
      <c r="E83" s="695">
        <v>-49.482127100928757</v>
      </c>
      <c r="F83" s="695">
        <v>-41.344149835496879</v>
      </c>
      <c r="G83" s="695">
        <v>-19.556182023991667</v>
      </c>
      <c r="H83" s="695">
        <v>-8.1565889119978348</v>
      </c>
      <c r="I83" s="695">
        <v>-8.4818213606041429E-2</v>
      </c>
      <c r="J83" s="695">
        <v>10.054018030012632</v>
      </c>
      <c r="K83" s="695">
        <v>29.347461427157189</v>
      </c>
      <c r="L83" s="695">
        <v>40.08013848788211</v>
      </c>
      <c r="M83" s="695">
        <v>66.443200639873879</v>
      </c>
      <c r="N83" s="695">
        <v>93.594429455357513</v>
      </c>
      <c r="O83" s="695">
        <v>107.18474479066448</v>
      </c>
      <c r="P83" s="695">
        <v>116.97648411789139</v>
      </c>
      <c r="Q83" s="695">
        <v>124.47748411789139</v>
      </c>
      <c r="R83" s="695">
        <v>131.97848411789138</v>
      </c>
      <c r="S83" s="695">
        <v>212</v>
      </c>
      <c r="T83" s="695">
        <v>212</v>
      </c>
      <c r="U83" s="695">
        <v>212</v>
      </c>
      <c r="V83" s="695">
        <v>212</v>
      </c>
      <c r="W83" s="695">
        <v>212</v>
      </c>
      <c r="X83" s="695">
        <v>212</v>
      </c>
      <c r="Y83" s="695">
        <v>212</v>
      </c>
      <c r="Z83" s="939">
        <v>212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40" t="str">
        <v>Elevation vue du champ PV zone: 1</v>
      </c>
      <c r="B84" s="941">
        <v>-5</v>
      </c>
      <c r="C84" s="815">
        <v>14.036243467926479</v>
      </c>
      <c r="D84" s="696">
        <v>1</v>
      </c>
      <c r="E84" s="696">
        <v>1</v>
      </c>
      <c r="F84" s="696">
        <v>1</v>
      </c>
      <c r="G84" s="696">
        <v>1</v>
      </c>
      <c r="H84" s="696">
        <v>10.072503375925281</v>
      </c>
      <c r="I84" s="696">
        <v>10.561511721727511</v>
      </c>
      <c r="J84" s="696">
        <v>7.9208486957265656</v>
      </c>
      <c r="K84" s="696">
        <v>9.2550871028070212</v>
      </c>
      <c r="L84" s="696">
        <v>10.58661874268704</v>
      </c>
      <c r="M84" s="696">
        <v>2.0876248664628982</v>
      </c>
      <c r="N84" s="696">
        <v>7.5966031839851995</v>
      </c>
      <c r="O84" s="696">
        <v>6.9746523666621609</v>
      </c>
      <c r="P84" s="696">
        <v>3.697913913845559</v>
      </c>
      <c r="Q84" s="696">
        <v>1</v>
      </c>
      <c r="R84" s="696">
        <v>3.2838134686643761</v>
      </c>
      <c r="S84" s="696">
        <v>14.036243467926479</v>
      </c>
      <c r="T84" s="696">
        <v>14.036243467926479</v>
      </c>
      <c r="U84" s="696">
        <v>14.036243467926479</v>
      </c>
      <c r="V84" s="696">
        <v>14.036243467926479</v>
      </c>
      <c r="W84" s="696">
        <v>14.036243467926479</v>
      </c>
      <c r="X84" s="696">
        <v>14.036243467926479</v>
      </c>
      <c r="Y84" s="696">
        <v>14.036243467926479</v>
      </c>
      <c r="Z84" s="942">
        <v>14.036243467926479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43">
        <v>0</v>
      </c>
      <c r="B85" s="941">
        <v>-4</v>
      </c>
      <c r="C85" s="685">
        <v>14.036243467926479</v>
      </c>
      <c r="D85" s="688">
        <v>1.1920325000697056</v>
      </c>
      <c r="E85" s="688">
        <v>1.2982713564576216</v>
      </c>
      <c r="F85" s="688">
        <v>1</v>
      </c>
      <c r="G85" s="688">
        <v>1</v>
      </c>
      <c r="H85" s="688">
        <v>10.80437261821238</v>
      </c>
      <c r="I85" s="688">
        <v>11.359078823836438</v>
      </c>
      <c r="J85" s="688">
        <v>8.7687923965047769</v>
      </c>
      <c r="K85" s="688">
        <v>9.8674984752630497</v>
      </c>
      <c r="L85" s="688">
        <v>11.210374783054332</v>
      </c>
      <c r="M85" s="688">
        <v>2.5912691280724771</v>
      </c>
      <c r="N85" s="688">
        <v>8.1413813238828716</v>
      </c>
      <c r="O85" s="688">
        <v>7.523534764696107</v>
      </c>
      <c r="P85" s="688">
        <v>4.2675718637885209</v>
      </c>
      <c r="Q85" s="688">
        <v>1</v>
      </c>
      <c r="R85" s="688">
        <v>3.803201606280314</v>
      </c>
      <c r="S85" s="688">
        <v>14.036243467926479</v>
      </c>
      <c r="T85" s="688">
        <v>14.036243467926479</v>
      </c>
      <c r="U85" s="688">
        <v>14.036243467926479</v>
      </c>
      <c r="V85" s="688">
        <v>14.036243467926479</v>
      </c>
      <c r="W85" s="688">
        <v>14.036243467926479</v>
      </c>
      <c r="X85" s="688">
        <v>14.036243467926479</v>
      </c>
      <c r="Y85" s="688">
        <v>14.036243467926479</v>
      </c>
      <c r="Z85" s="944">
        <v>14.036243467926479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43">
        <v>0</v>
      </c>
      <c r="B86" s="941">
        <v>-3</v>
      </c>
      <c r="C86" s="685">
        <v>14.036243467926479</v>
      </c>
      <c r="D86" s="688">
        <v>1.5792904737138835</v>
      </c>
      <c r="E86" s="688">
        <v>1.6549289102507294</v>
      </c>
      <c r="F86" s="688">
        <v>1</v>
      </c>
      <c r="G86" s="688">
        <v>1</v>
      </c>
      <c r="H86" s="688">
        <v>11.532691221128255</v>
      </c>
      <c r="I86" s="688">
        <v>12.152210298893703</v>
      </c>
      <c r="J86" s="688">
        <v>9.6128825717889317</v>
      </c>
      <c r="K86" s="688">
        <v>10.477641165598921</v>
      </c>
      <c r="L86" s="688">
        <v>11.831450796022789</v>
      </c>
      <c r="M86" s="688">
        <v>3.0945129983167421</v>
      </c>
      <c r="N86" s="688">
        <v>8.6846814923583988</v>
      </c>
      <c r="O86" s="688">
        <v>8.0710318089848716</v>
      </c>
      <c r="P86" s="688">
        <v>4.8363858187784352</v>
      </c>
      <c r="Q86" s="688">
        <v>1.1661364478518792</v>
      </c>
      <c r="R86" s="688">
        <v>4.3219645400162596</v>
      </c>
      <c r="S86" s="688">
        <v>14.036243467926479</v>
      </c>
      <c r="T86" s="688">
        <v>14.036243467926479</v>
      </c>
      <c r="U86" s="688">
        <v>14.036243467926479</v>
      </c>
      <c r="V86" s="688">
        <v>14.036243467926479</v>
      </c>
      <c r="W86" s="688">
        <v>14.036243467926479</v>
      </c>
      <c r="X86" s="688">
        <v>14.036243467926479</v>
      </c>
      <c r="Y86" s="688">
        <v>14.036243467926479</v>
      </c>
      <c r="Z86" s="944">
        <v>14.036243467926479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43">
        <v>0</v>
      </c>
      <c r="B87" s="941">
        <v>-2</v>
      </c>
      <c r="C87" s="685">
        <v>14.036243467926479</v>
      </c>
      <c r="D87" s="688">
        <v>1.9664041730329158</v>
      </c>
      <c r="E87" s="688">
        <v>2.0114582233280163</v>
      </c>
      <c r="F87" s="688">
        <v>1</v>
      </c>
      <c r="G87" s="688">
        <v>1</v>
      </c>
      <c r="H87" s="688">
        <v>12.257251370323257</v>
      </c>
      <c r="I87" s="688">
        <v>12.940641718514401</v>
      </c>
      <c r="J87" s="688">
        <v>10.452781676030888</v>
      </c>
      <c r="K87" s="688">
        <v>11.085390171960917</v>
      </c>
      <c r="L87" s="688">
        <v>12.449719031938134</v>
      </c>
      <c r="M87" s="688">
        <v>3.5972794127248409</v>
      </c>
      <c r="N87" s="688">
        <v>9.2264124074299332</v>
      </c>
      <c r="O87" s="688">
        <v>8.617049149432221</v>
      </c>
      <c r="P87" s="688">
        <v>5.4042458006689653</v>
      </c>
      <c r="Q87" s="688">
        <v>1.714911228360283</v>
      </c>
      <c r="R87" s="688">
        <v>4.8400185119431134</v>
      </c>
      <c r="S87" s="688">
        <v>14.036243467926479</v>
      </c>
      <c r="T87" s="688">
        <v>14.036243467926479</v>
      </c>
      <c r="U87" s="688">
        <v>14.036243467926479</v>
      </c>
      <c r="V87" s="688">
        <v>14.036243467926479</v>
      </c>
      <c r="W87" s="688">
        <v>14.036243467926479</v>
      </c>
      <c r="X87" s="688">
        <v>14.036243467926479</v>
      </c>
      <c r="Y87" s="688">
        <v>14.036243467926479</v>
      </c>
      <c r="Z87" s="944">
        <v>14.036243467926479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43">
        <v>0</v>
      </c>
      <c r="B88" s="945">
        <v>-1</v>
      </c>
      <c r="C88" s="685">
        <v>14.036243467926479</v>
      </c>
      <c r="D88" s="688">
        <v>2.3533383588509182</v>
      </c>
      <c r="E88" s="688">
        <v>2.3678317716065744</v>
      </c>
      <c r="F88" s="688">
        <v>1</v>
      </c>
      <c r="G88" s="688">
        <v>1</v>
      </c>
      <c r="H88" s="688">
        <v>12.97785219638374</v>
      </c>
      <c r="I88" s="688">
        <v>13.724118894102979</v>
      </c>
      <c r="J88" s="688">
        <v>11.288162706355138</v>
      </c>
      <c r="K88" s="688">
        <v>11.690623625047232</v>
      </c>
      <c r="L88" s="688">
        <v>13.065055508045601</v>
      </c>
      <c r="M88" s="688">
        <v>4.0994917470077938</v>
      </c>
      <c r="N88" s="688">
        <v>9.7664844355765901</v>
      </c>
      <c r="O88" s="688">
        <v>9.1614940199335013</v>
      </c>
      <c r="P88" s="688">
        <v>5.9710429492674271</v>
      </c>
      <c r="Q88" s="688">
        <v>2.2633714643594147</v>
      </c>
      <c r="R88" s="688">
        <v>5.3572804564385255</v>
      </c>
      <c r="S88" s="688">
        <v>14.036243467926479</v>
      </c>
      <c r="T88" s="688">
        <v>14.036243467926479</v>
      </c>
      <c r="U88" s="688">
        <v>14.036243467926479</v>
      </c>
      <c r="V88" s="688">
        <v>14.036243467926479</v>
      </c>
      <c r="W88" s="688">
        <v>14.036243467926479</v>
      </c>
      <c r="X88" s="688">
        <v>14.036243467926479</v>
      </c>
      <c r="Y88" s="688">
        <v>14.036243467926479</v>
      </c>
      <c r="Z88" s="944">
        <v>14.036243467926479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43">
        <v>0</v>
      </c>
      <c r="B89" s="941">
        <v>0</v>
      </c>
      <c r="C89" s="946">
        <v>14.036243467926479</v>
      </c>
      <c r="D89" s="677">
        <v>2.7400578901511294</v>
      </c>
      <c r="E89" s="677">
        <v>2.724022103249554</v>
      </c>
      <c r="F89" s="677">
        <v>1</v>
      </c>
      <c r="G89" s="677">
        <v>1.3288065276728847</v>
      </c>
      <c r="H89" s="677">
        <v>13.694300026549888</v>
      </c>
      <c r="I89" s="677">
        <v>14.502398227586665</v>
      </c>
      <c r="J89" s="677">
        <v>12.118709846128292</v>
      </c>
      <c r="K89" s="677">
        <v>12.293222906976482</v>
      </c>
      <c r="L89" s="677">
        <v>13.6773401187122</v>
      </c>
      <c r="M89" s="677">
        <v>4.6010738861280913</v>
      </c>
      <c r="N89" s="677">
        <v>10.304809670132661</v>
      </c>
      <c r="O89" s="677">
        <v>9.7042753234244703</v>
      </c>
      <c r="P89" s="677">
        <v>6.5366696432563485</v>
      </c>
      <c r="Q89" s="677">
        <v>2.8114170184331484</v>
      </c>
      <c r="R89" s="677">
        <v>5.8736680779337398</v>
      </c>
      <c r="S89" s="677">
        <v>14.036243467926479</v>
      </c>
      <c r="T89" s="677">
        <v>14.036243467926479</v>
      </c>
      <c r="U89" s="677">
        <v>14.036243467926479</v>
      </c>
      <c r="V89" s="677">
        <v>14.036243467926479</v>
      </c>
      <c r="W89" s="677">
        <v>14.036243467926479</v>
      </c>
      <c r="X89" s="677">
        <v>14.036243467926479</v>
      </c>
      <c r="Y89" s="677">
        <v>14.036243467926479</v>
      </c>
      <c r="Z89" s="687">
        <v>14.036243467926479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43">
        <v>0</v>
      </c>
      <c r="B90" s="947">
        <v>1</v>
      </c>
      <c r="C90" s="685">
        <v>14.036243467926479</v>
      </c>
      <c r="D90" s="688">
        <v>3.1265277431118879</v>
      </c>
      <c r="E90" s="688">
        <v>3.0800018512774776</v>
      </c>
      <c r="F90" s="688">
        <v>1.1957398162267225</v>
      </c>
      <c r="G90" s="688">
        <v>1.924440931775218</v>
      </c>
      <c r="H90" s="688">
        <v>14.406408606014732</v>
      </c>
      <c r="I90" s="688">
        <v>15.275247010023811</v>
      </c>
      <c r="J90" s="688">
        <v>12.944119042711465</v>
      </c>
      <c r="K90" s="688">
        <v>12.893072760235553</v>
      </c>
      <c r="L90" s="688">
        <v>14.286456733755912</v>
      </c>
      <c r="M90" s="688">
        <v>5.1019502922058111</v>
      </c>
      <c r="N90" s="688">
        <v>10.841302005356241</v>
      </c>
      <c r="O90" s="688">
        <v>10.24530371264502</v>
      </c>
      <c r="P90" s="688">
        <v>7.1010196175503628</v>
      </c>
      <c r="Q90" s="688">
        <v>3.3589482079460371</v>
      </c>
      <c r="R90" s="688">
        <v>6.3890999268076039</v>
      </c>
      <c r="S90" s="688">
        <v>14.036243467926479</v>
      </c>
      <c r="T90" s="688">
        <v>14.036243467926479</v>
      </c>
      <c r="U90" s="688">
        <v>14.036243467926479</v>
      </c>
      <c r="V90" s="688">
        <v>14.036243467926479</v>
      </c>
      <c r="W90" s="688">
        <v>14.036243467926479</v>
      </c>
      <c r="X90" s="688">
        <v>14.036243467926479</v>
      </c>
      <c r="Y90" s="688">
        <v>14.036243467926479</v>
      </c>
      <c r="Z90" s="944">
        <v>14.036243467926479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43">
        <v>0</v>
      </c>
      <c r="B91" s="941">
        <v>2</v>
      </c>
      <c r="C91" s="685">
        <v>14.036243467926479</v>
      </c>
      <c r="D91" s="688">
        <v>3.5127130299830411</v>
      </c>
      <c r="E91" s="688">
        <v>3.4357437460815436</v>
      </c>
      <c r="F91" s="688">
        <v>1.5643730951949784</v>
      </c>
      <c r="G91" s="688">
        <v>2.5196595274318998</v>
      </c>
      <c r="H91" s="688">
        <v>15.113999288730515</v>
      </c>
      <c r="I91" s="688">
        <v>16.042443668339423</v>
      </c>
      <c r="J91" s="688">
        <v>13.764098517816151</v>
      </c>
      <c r="K91" s="688">
        <v>13.490061386582317</v>
      </c>
      <c r="L91" s="688">
        <v>14.892293284871336</v>
      </c>
      <c r="M91" s="688">
        <v>5.6020460711129143</v>
      </c>
      <c r="N91" s="688">
        <v>11.375877206052342</v>
      </c>
      <c r="O91" s="688">
        <v>10.784491666471492</v>
      </c>
      <c r="P91" s="688">
        <v>7.6639880767847108</v>
      </c>
      <c r="Q91" s="688">
        <v>3.9058659129310791</v>
      </c>
      <c r="R91" s="688">
        <v>6.9034954732595359</v>
      </c>
      <c r="S91" s="688">
        <v>14.036243467926479</v>
      </c>
      <c r="T91" s="688">
        <v>14.036243467926479</v>
      </c>
      <c r="U91" s="688">
        <v>14.036243467926479</v>
      </c>
      <c r="V91" s="688">
        <v>14.036243467926479</v>
      </c>
      <c r="W91" s="688">
        <v>14.036243467926479</v>
      </c>
      <c r="X91" s="688">
        <v>14.036243467926479</v>
      </c>
      <c r="Y91" s="688">
        <v>14.036243467926479</v>
      </c>
      <c r="Z91" s="944">
        <v>14.036243467926479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43">
        <v>0</v>
      </c>
      <c r="B92" s="941">
        <v>3</v>
      </c>
      <c r="C92" s="685">
        <v>14.036243467926479</v>
      </c>
      <c r="D92" s="688">
        <v>3.8985790177775774</v>
      </c>
      <c r="E92" s="688">
        <v>3.7912206278247305</v>
      </c>
      <c r="F92" s="688">
        <v>1.9328768760312105</v>
      </c>
      <c r="G92" s="688">
        <v>3.1143344383042804</v>
      </c>
      <c r="H92" s="688">
        <v>15.816901197859012</v>
      </c>
      <c r="I92" s="688">
        <v>16.80377796084683</v>
      </c>
      <c r="J92" s="688">
        <v>14.578369209555044</v>
      </c>
      <c r="K92" s="688">
        <v>14.084080535830546</v>
      </c>
      <c r="L92" s="688">
        <v>15.494741840200962</v>
      </c>
      <c r="M92" s="688">
        <v>6.1012870376128872</v>
      </c>
      <c r="N92" s="688">
        <v>11.908452972650165</v>
      </c>
      <c r="O92" s="688">
        <v>11.321753561691404</v>
      </c>
      <c r="P92" s="688">
        <v>8.2254718046518693</v>
      </c>
      <c r="Q92" s="688">
        <v>4.4520716824443722</v>
      </c>
      <c r="R92" s="688">
        <v>7.4167751790021796</v>
      </c>
      <c r="S92" s="688">
        <v>14.036243467926479</v>
      </c>
      <c r="T92" s="688">
        <v>14.036243467926479</v>
      </c>
      <c r="U92" s="688">
        <v>14.036243467926479</v>
      </c>
      <c r="V92" s="688">
        <v>14.036243467926479</v>
      </c>
      <c r="W92" s="688">
        <v>14.036243467926479</v>
      </c>
      <c r="X92" s="688">
        <v>14.036243467926479</v>
      </c>
      <c r="Y92" s="688">
        <v>14.036243467926479</v>
      </c>
      <c r="Z92" s="944">
        <v>14.036243467926479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43">
        <v>0</v>
      </c>
      <c r="B93" s="941">
        <v>4</v>
      </c>
      <c r="C93" s="685">
        <v>14.036243467926479</v>
      </c>
      <c r="D93" s="688">
        <v>4.2840911467537177</v>
      </c>
      <c r="E93" s="688">
        <v>4.1464054587167745</v>
      </c>
      <c r="F93" s="688">
        <v>2.3012207588277387</v>
      </c>
      <c r="G93" s="688">
        <v>3.7083384899004614</v>
      </c>
      <c r="H93" s="688">
        <v>16.514951356201873</v>
      </c>
      <c r="I93" s="688">
        <v>17.559051122592248</v>
      </c>
      <c r="J93" s="688">
        <v>15.386665145929452</v>
      </c>
      <c r="K93" s="688">
        <v>14.675025584494763</v>
      </c>
      <c r="L93" s="688">
        <v>16.093698667158328</v>
      </c>
      <c r="M93" s="688">
        <v>6.5995997789089591</v>
      </c>
      <c r="N93" s="688">
        <v>12.438949001653604</v>
      </c>
      <c r="O93" s="688">
        <v>11.857005740114619</v>
      </c>
      <c r="P93" s="688">
        <v>8.7853692688243559</v>
      </c>
      <c r="Q93" s="688">
        <v>4.9974678391050409</v>
      </c>
      <c r="R93" s="688">
        <v>7.9288605666239276</v>
      </c>
      <c r="S93" s="688">
        <v>14.036243467926479</v>
      </c>
      <c r="T93" s="688">
        <v>14.036243467926479</v>
      </c>
      <c r="U93" s="688">
        <v>14.036243467926479</v>
      </c>
      <c r="V93" s="688">
        <v>14.036243467926479</v>
      </c>
      <c r="W93" s="688">
        <v>14.036243467926479</v>
      </c>
      <c r="X93" s="688">
        <v>14.036243467926479</v>
      </c>
      <c r="Y93" s="688">
        <v>14.036243467926479</v>
      </c>
      <c r="Z93" s="944">
        <v>14.036243467926479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48">
        <v>0.25</v>
      </c>
      <c r="B94" s="941">
        <v>5</v>
      </c>
      <c r="C94" s="949">
        <v>14.036243467926479</v>
      </c>
      <c r="D94" s="697">
        <v>4.6692150486632604</v>
      </c>
      <c r="E94" s="697">
        <v>4.5012713351493323</v>
      </c>
      <c r="F94" s="697">
        <v>2.6693744229124139</v>
      </c>
      <c r="G94" s="697">
        <v>4.3015453710935949</v>
      </c>
      <c r="H94" s="697">
        <v>17.207994787133728</v>
      </c>
      <c r="I94" s="697">
        <v>18.308075961905178</v>
      </c>
      <c r="J94" s="697">
        <v>16.188733750115894</v>
      </c>
      <c r="K94" s="697">
        <v>15.262795604321614</v>
      </c>
      <c r="L94" s="697">
        <v>16.689064283663136</v>
      </c>
      <c r="M94" s="697">
        <v>7.096911716470764</v>
      </c>
      <c r="N94" s="697">
        <v>12.967287041403557</v>
      </c>
      <c r="O94" s="697">
        <v>12.390166570935284</v>
      </c>
      <c r="P94" s="697">
        <v>9.3435807212241659</v>
      </c>
      <c r="Q94" s="697">
        <v>5.5419575815479565</v>
      </c>
      <c r="R94" s="697">
        <v>8.4396742864815781</v>
      </c>
      <c r="S94" s="697">
        <v>14.036243467926479</v>
      </c>
      <c r="T94" s="697">
        <v>14.036243467926479</v>
      </c>
      <c r="U94" s="697">
        <v>14.036243467926479</v>
      </c>
      <c r="V94" s="697">
        <v>14.036243467926479</v>
      </c>
      <c r="W94" s="697">
        <v>14.036243467926479</v>
      </c>
      <c r="X94" s="697">
        <v>14.036243467926479</v>
      </c>
      <c r="Y94" s="697">
        <v>14.036243467926479</v>
      </c>
      <c r="Z94" s="950">
        <v>14.036243467926479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6" spans="1:49" s="667" customFormat="1" x14ac:dyDescent="0.25">
      <c r="A96" s="1093" t="s">
        <v>305</v>
      </c>
      <c r="F96" s="1011"/>
      <c r="G96" s="1012"/>
      <c r="H96" s="689"/>
      <c r="I96" s="1093" t="s">
        <v>304</v>
      </c>
      <c r="N96" s="1011"/>
      <c r="Q96" s="1093" t="s">
        <v>302</v>
      </c>
      <c r="V96" s="1011"/>
      <c r="W96" s="1012"/>
      <c r="X96" s="689"/>
      <c r="Y96" s="1093" t="s">
        <v>303</v>
      </c>
      <c r="AD96" s="1011"/>
      <c r="AH96" s="1013"/>
      <c r="AM96" s="1060"/>
      <c r="AN96" s="1060"/>
      <c r="AO96" s="1060"/>
      <c r="AP96" s="1060"/>
      <c r="AQ96" s="1060"/>
      <c r="AR96" s="1060"/>
      <c r="AS96" s="1060"/>
      <c r="AT96" s="1060"/>
      <c r="AU96" s="1060"/>
      <c r="AV96" s="1060"/>
      <c r="AW96" s="1060"/>
    </row>
    <row r="97" spans="1:49" s="19" customFormat="1" ht="12.75" x14ac:dyDescent="0.2">
      <c r="A97" s="1006" t="s">
        <v>162</v>
      </c>
      <c r="B97" s="1007"/>
      <c r="C97" s="1008"/>
      <c r="D97" s="1009"/>
      <c r="E97" s="1009"/>
      <c r="F97" s="1010"/>
      <c r="G97" s="29"/>
      <c r="H97" s="31"/>
      <c r="I97" s="1006" t="s">
        <v>162</v>
      </c>
      <c r="J97" s="1007"/>
      <c r="K97" s="1008"/>
      <c r="L97" s="1009"/>
      <c r="M97" s="1009"/>
      <c r="N97" s="1010"/>
      <c r="Q97" s="1006"/>
      <c r="R97" s="1007"/>
      <c r="S97" s="1008"/>
      <c r="T97" s="1009"/>
      <c r="U97" s="1009"/>
      <c r="V97" s="1010"/>
      <c r="W97" s="29"/>
      <c r="X97" s="694"/>
      <c r="Y97" s="1006"/>
      <c r="Z97" s="1007"/>
      <c r="AA97" s="1008"/>
      <c r="AB97" s="1009"/>
      <c r="AC97" s="1009"/>
      <c r="AD97" s="1010"/>
      <c r="AH97" s="1014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</row>
    <row r="98" spans="1:49" s="19" customFormat="1" ht="12.75" x14ac:dyDescent="0.2">
      <c r="A98" s="912" t="s">
        <v>342</v>
      </c>
      <c r="B98" s="910">
        <v>1</v>
      </c>
      <c r="C98" s="968">
        <v>19.899999999999999</v>
      </c>
      <c r="D98" s="911">
        <v>548.08000000000004</v>
      </c>
      <c r="E98" s="911">
        <v>676.55</v>
      </c>
      <c r="F98" s="970"/>
      <c r="G98" s="29"/>
      <c r="H98" s="31"/>
      <c r="I98" s="912" t="s">
        <v>342</v>
      </c>
      <c r="J98" s="910">
        <v>1</v>
      </c>
      <c r="K98" s="968">
        <v>19.899999999999999</v>
      </c>
      <c r="L98" s="911">
        <v>548.08000000000004</v>
      </c>
      <c r="M98" s="911">
        <v>676.55</v>
      </c>
      <c r="N98" s="970"/>
      <c r="Q98" s="912"/>
      <c r="R98" s="910"/>
      <c r="S98" s="968"/>
      <c r="T98" s="911"/>
      <c r="U98" s="911"/>
      <c r="V98" s="970"/>
      <c r="W98" s="29"/>
      <c r="X98" s="694"/>
      <c r="Y98" s="912"/>
      <c r="Z98" s="910"/>
      <c r="AA98" s="968"/>
      <c r="AB98" s="911"/>
      <c r="AC98" s="911"/>
      <c r="AD98" s="970"/>
      <c r="AH98" s="1014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12" t="s">
        <v>343</v>
      </c>
      <c r="B99" s="910">
        <v>1</v>
      </c>
      <c r="C99" s="968">
        <v>18</v>
      </c>
      <c r="D99" s="911">
        <v>535.12</v>
      </c>
      <c r="E99" s="911">
        <v>632.57000000000005</v>
      </c>
      <c r="F99" s="970"/>
      <c r="G99" s="29"/>
      <c r="H99" s="31"/>
      <c r="I99" s="912" t="s">
        <v>343</v>
      </c>
      <c r="J99" s="910">
        <v>1</v>
      </c>
      <c r="K99" s="968">
        <v>18</v>
      </c>
      <c r="L99" s="911">
        <v>535.12</v>
      </c>
      <c r="M99" s="911">
        <v>632.57000000000005</v>
      </c>
      <c r="N99" s="970"/>
      <c r="Q99" s="912"/>
      <c r="R99" s="910"/>
      <c r="S99" s="968"/>
      <c r="T99" s="911"/>
      <c r="U99" s="911"/>
      <c r="V99" s="970"/>
      <c r="W99" s="29"/>
      <c r="X99" s="694"/>
      <c r="Y99" s="912"/>
      <c r="Z99" s="910"/>
      <c r="AA99" s="968"/>
      <c r="AB99" s="911"/>
      <c r="AC99" s="911"/>
      <c r="AD99" s="970"/>
      <c r="AH99" s="1014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12" t="s">
        <v>334</v>
      </c>
      <c r="B100" s="910">
        <v>1</v>
      </c>
      <c r="C100" s="968">
        <v>9</v>
      </c>
      <c r="D100" s="911">
        <v>515.69000000000005</v>
      </c>
      <c r="E100" s="911">
        <v>620.25</v>
      </c>
      <c r="F100" s="970"/>
      <c r="G100" s="29"/>
      <c r="H100" s="31"/>
      <c r="I100" s="912" t="s">
        <v>334</v>
      </c>
      <c r="J100" s="910">
        <v>1</v>
      </c>
      <c r="K100" s="968">
        <v>9</v>
      </c>
      <c r="L100" s="911">
        <v>515.69000000000005</v>
      </c>
      <c r="M100" s="911">
        <v>620.25</v>
      </c>
      <c r="N100" s="970"/>
      <c r="Q100" s="912"/>
      <c r="R100" s="910"/>
      <c r="S100" s="968"/>
      <c r="T100" s="911"/>
      <c r="U100" s="911"/>
      <c r="V100" s="970"/>
      <c r="W100" s="29"/>
      <c r="X100" s="694"/>
      <c r="Y100" s="912"/>
      <c r="Z100" s="910"/>
      <c r="AA100" s="968"/>
      <c r="AB100" s="911"/>
      <c r="AC100" s="911"/>
      <c r="AD100" s="970"/>
      <c r="AH100" s="1014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12" t="s">
        <v>334</v>
      </c>
      <c r="B101" s="910">
        <v>1</v>
      </c>
      <c r="C101" s="968">
        <v>13</v>
      </c>
      <c r="D101" s="911">
        <v>445.25</v>
      </c>
      <c r="E101" s="911">
        <v>646.29999999999995</v>
      </c>
      <c r="F101" s="970"/>
      <c r="G101" s="29"/>
      <c r="H101" s="31"/>
      <c r="I101" s="912" t="s">
        <v>334</v>
      </c>
      <c r="J101" s="910">
        <v>1</v>
      </c>
      <c r="K101" s="968">
        <v>13</v>
      </c>
      <c r="L101" s="911">
        <v>445.25</v>
      </c>
      <c r="M101" s="911">
        <v>646.29999999999995</v>
      </c>
      <c r="N101" s="970"/>
      <c r="Q101" s="912"/>
      <c r="R101" s="910"/>
      <c r="S101" s="968"/>
      <c r="T101" s="911"/>
      <c r="U101" s="911"/>
      <c r="V101" s="970"/>
      <c r="W101" s="29"/>
      <c r="X101" s="694"/>
      <c r="Y101" s="912"/>
      <c r="Z101" s="910"/>
      <c r="AA101" s="968"/>
      <c r="AB101" s="911"/>
      <c r="AC101" s="911"/>
      <c r="AD101" s="970"/>
      <c r="AH101" s="1014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12" t="s">
        <v>157</v>
      </c>
      <c r="B102" s="910">
        <v>1</v>
      </c>
      <c r="C102" s="968">
        <v>59.23</v>
      </c>
      <c r="D102" s="911">
        <v>423.82</v>
      </c>
      <c r="E102" s="911">
        <v>661.92</v>
      </c>
      <c r="F102" s="970"/>
      <c r="G102" s="29"/>
      <c r="H102" s="31"/>
      <c r="I102" s="912" t="s">
        <v>156</v>
      </c>
      <c r="J102" s="910">
        <v>1</v>
      </c>
      <c r="K102" s="968">
        <v>43.6</v>
      </c>
      <c r="L102" s="911">
        <v>429.81</v>
      </c>
      <c r="M102" s="911">
        <v>650.78</v>
      </c>
      <c r="N102" s="970"/>
      <c r="Q102" s="912"/>
      <c r="R102" s="910"/>
      <c r="S102" s="968"/>
      <c r="T102" s="911"/>
      <c r="U102" s="911"/>
      <c r="V102" s="970"/>
      <c r="W102" s="29"/>
      <c r="X102" s="694"/>
      <c r="Y102" s="912"/>
      <c r="Z102" s="910"/>
      <c r="AA102" s="968"/>
      <c r="AB102" s="911"/>
      <c r="AC102" s="911"/>
      <c r="AD102" s="970"/>
      <c r="AH102" s="1014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12" t="s">
        <v>158</v>
      </c>
      <c r="B103" s="910">
        <v>1</v>
      </c>
      <c r="C103" s="968">
        <v>59.09</v>
      </c>
      <c r="D103" s="911">
        <v>413.18</v>
      </c>
      <c r="E103" s="911">
        <v>667.63</v>
      </c>
      <c r="F103" s="970"/>
      <c r="G103" s="29"/>
      <c r="H103" s="31"/>
      <c r="I103" s="912" t="s">
        <v>157</v>
      </c>
      <c r="J103" s="910">
        <v>1</v>
      </c>
      <c r="K103" s="968">
        <v>59.23</v>
      </c>
      <c r="L103" s="911">
        <v>423.82</v>
      </c>
      <c r="M103" s="911">
        <v>661.92</v>
      </c>
      <c r="N103" s="970"/>
      <c r="Q103" s="912"/>
      <c r="R103" s="910"/>
      <c r="S103" s="968"/>
      <c r="T103" s="911"/>
      <c r="U103" s="911"/>
      <c r="V103" s="970"/>
      <c r="W103" s="29"/>
      <c r="X103" s="694"/>
      <c r="Y103" s="912"/>
      <c r="Z103" s="910"/>
      <c r="AA103" s="968"/>
      <c r="AB103" s="911"/>
      <c r="AC103" s="911"/>
      <c r="AD103" s="970"/>
      <c r="AH103" s="1014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12" t="s">
        <v>159</v>
      </c>
      <c r="B104" s="910">
        <v>1</v>
      </c>
      <c r="C104" s="968">
        <v>48.05</v>
      </c>
      <c r="D104" s="911">
        <v>401.53</v>
      </c>
      <c r="E104" s="911">
        <v>671.74</v>
      </c>
      <c r="F104" s="970"/>
      <c r="G104" s="29"/>
      <c r="H104" s="31"/>
      <c r="I104" s="912" t="s">
        <v>158</v>
      </c>
      <c r="J104" s="910">
        <v>1</v>
      </c>
      <c r="K104" s="968">
        <v>59.09</v>
      </c>
      <c r="L104" s="911">
        <v>413.18</v>
      </c>
      <c r="M104" s="911">
        <v>667.63</v>
      </c>
      <c r="N104" s="970"/>
      <c r="Q104" s="912"/>
      <c r="R104" s="910"/>
      <c r="S104" s="968"/>
      <c r="T104" s="911"/>
      <c r="U104" s="911"/>
      <c r="V104" s="970"/>
      <c r="W104" s="29"/>
      <c r="X104" s="694"/>
      <c r="Y104" s="912"/>
      <c r="Z104" s="910"/>
      <c r="AA104" s="968"/>
      <c r="AB104" s="911"/>
      <c r="AC104" s="911"/>
      <c r="AD104" s="970"/>
      <c r="AH104" s="1014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12" t="s">
        <v>160</v>
      </c>
      <c r="B105" s="910">
        <v>1</v>
      </c>
      <c r="C105" s="968">
        <v>46.71</v>
      </c>
      <c r="D105" s="911">
        <v>368.49</v>
      </c>
      <c r="E105" s="911">
        <v>657.57</v>
      </c>
      <c r="F105" s="970"/>
      <c r="G105" s="29"/>
      <c r="H105" s="31"/>
      <c r="I105" s="912" t="s">
        <v>160</v>
      </c>
      <c r="J105" s="910">
        <v>1</v>
      </c>
      <c r="K105" s="968">
        <v>46.71</v>
      </c>
      <c r="L105" s="911">
        <v>368.49</v>
      </c>
      <c r="M105" s="911">
        <v>657.57</v>
      </c>
      <c r="N105" s="970" t="s">
        <v>348</v>
      </c>
      <c r="Q105" s="912"/>
      <c r="R105" s="910"/>
      <c r="S105" s="968"/>
      <c r="T105" s="911"/>
      <c r="U105" s="911"/>
      <c r="V105" s="970"/>
      <c r="W105" s="29"/>
      <c r="X105" s="694"/>
      <c r="Y105" s="912"/>
      <c r="Z105" s="910"/>
      <c r="AA105" s="968"/>
      <c r="AB105" s="911"/>
      <c r="AC105" s="911"/>
      <c r="AD105" s="970"/>
      <c r="AH105" s="1014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12" t="s">
        <v>329</v>
      </c>
      <c r="B106" s="910">
        <v>1</v>
      </c>
      <c r="C106" s="968">
        <v>49.78</v>
      </c>
      <c r="D106" s="911">
        <v>356.05</v>
      </c>
      <c r="E106" s="911">
        <v>669.1</v>
      </c>
      <c r="F106" s="970"/>
      <c r="G106" s="29"/>
      <c r="H106" s="31"/>
      <c r="I106" s="912" t="s">
        <v>329</v>
      </c>
      <c r="J106" s="910">
        <v>1</v>
      </c>
      <c r="K106" s="968">
        <v>49.78</v>
      </c>
      <c r="L106" s="911">
        <v>356.05</v>
      </c>
      <c r="M106" s="911">
        <v>669.1</v>
      </c>
      <c r="N106" s="970"/>
      <c r="Q106" s="912"/>
      <c r="R106" s="910"/>
      <c r="S106" s="968"/>
      <c r="T106" s="911"/>
      <c r="U106" s="911"/>
      <c r="V106" s="970"/>
      <c r="W106" s="29"/>
      <c r="X106" s="694"/>
      <c r="Y106" s="912"/>
      <c r="Z106" s="910"/>
      <c r="AA106" s="968"/>
      <c r="AB106" s="911"/>
      <c r="AC106" s="911"/>
      <c r="AD106" s="970"/>
      <c r="AH106" s="1014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12" t="s">
        <v>334</v>
      </c>
      <c r="B107" s="910">
        <v>1</v>
      </c>
      <c r="C107" s="968">
        <v>20</v>
      </c>
      <c r="D107" s="911">
        <v>308.97000000000003</v>
      </c>
      <c r="E107" s="911">
        <v>691.48</v>
      </c>
      <c r="F107" s="970"/>
      <c r="G107" s="29"/>
      <c r="H107" s="31"/>
      <c r="I107" s="912" t="s">
        <v>334</v>
      </c>
      <c r="J107" s="910">
        <v>1</v>
      </c>
      <c r="K107" s="968">
        <v>20</v>
      </c>
      <c r="L107" s="911">
        <v>308.97000000000003</v>
      </c>
      <c r="M107" s="911">
        <v>691.48</v>
      </c>
      <c r="N107" s="970"/>
      <c r="Q107" s="912"/>
      <c r="R107" s="910"/>
      <c r="S107" s="968"/>
      <c r="T107" s="911"/>
      <c r="U107" s="911"/>
      <c r="V107" s="970"/>
      <c r="W107" s="29"/>
      <c r="X107" s="694"/>
      <c r="Y107" s="912"/>
      <c r="Z107" s="910"/>
      <c r="AA107" s="968"/>
      <c r="AB107" s="911"/>
      <c r="AC107" s="911"/>
      <c r="AD107" s="970"/>
      <c r="AH107" s="1014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12" t="s">
        <v>330</v>
      </c>
      <c r="B108" s="910">
        <v>1</v>
      </c>
      <c r="C108" s="968">
        <v>38.42</v>
      </c>
      <c r="D108" s="911">
        <v>310.08</v>
      </c>
      <c r="E108" s="911">
        <v>743.34</v>
      </c>
      <c r="F108" s="970"/>
      <c r="G108" s="29"/>
      <c r="H108" s="31"/>
      <c r="I108" s="912" t="s">
        <v>330</v>
      </c>
      <c r="J108" s="910">
        <v>1</v>
      </c>
      <c r="K108" s="968">
        <v>38.42</v>
      </c>
      <c r="L108" s="911">
        <v>310.08</v>
      </c>
      <c r="M108" s="911">
        <v>743.34</v>
      </c>
      <c r="N108" s="970"/>
      <c r="Q108" s="912"/>
      <c r="R108" s="910"/>
      <c r="S108" s="968"/>
      <c r="T108" s="911"/>
      <c r="U108" s="911"/>
      <c r="V108" s="970"/>
      <c r="W108" s="29"/>
      <c r="X108" s="694"/>
      <c r="Y108" s="912"/>
      <c r="Z108" s="910"/>
      <c r="AA108" s="968"/>
      <c r="AB108" s="911"/>
      <c r="AC108" s="911"/>
      <c r="AD108" s="970"/>
      <c r="AH108" s="1014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12" t="s">
        <v>331</v>
      </c>
      <c r="B109" s="910">
        <v>1</v>
      </c>
      <c r="C109" s="969">
        <v>37.15</v>
      </c>
      <c r="D109" s="911">
        <v>314.94</v>
      </c>
      <c r="E109" s="911">
        <v>767.22</v>
      </c>
      <c r="F109" s="970"/>
      <c r="G109" s="29"/>
      <c r="H109" s="31"/>
      <c r="I109" s="912" t="s">
        <v>331</v>
      </c>
      <c r="J109" s="910">
        <v>1</v>
      </c>
      <c r="K109" s="969">
        <v>37.15</v>
      </c>
      <c r="L109" s="911">
        <v>314.94</v>
      </c>
      <c r="M109" s="911">
        <v>767.22</v>
      </c>
      <c r="N109" s="970"/>
      <c r="Q109" s="912"/>
      <c r="R109" s="910"/>
      <c r="S109" s="969"/>
      <c r="T109" s="911"/>
      <c r="U109" s="911"/>
      <c r="V109" s="970"/>
      <c r="W109" s="29"/>
      <c r="X109" s="694"/>
      <c r="Y109" s="912"/>
      <c r="Z109" s="910"/>
      <c r="AA109" s="969"/>
      <c r="AB109" s="911"/>
      <c r="AC109" s="911"/>
      <c r="AD109" s="970"/>
      <c r="AH109" s="1014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12" t="s">
        <v>332</v>
      </c>
      <c r="B110" s="910">
        <v>1</v>
      </c>
      <c r="C110" s="969">
        <v>27.41</v>
      </c>
      <c r="D110" s="911">
        <v>324.52</v>
      </c>
      <c r="E110" s="911">
        <v>783.52</v>
      </c>
      <c r="F110" s="970" t="s">
        <v>348</v>
      </c>
      <c r="G110" s="29"/>
      <c r="H110" s="31"/>
      <c r="I110" s="912" t="s">
        <v>334</v>
      </c>
      <c r="J110" s="910">
        <v>1</v>
      </c>
      <c r="K110" s="969">
        <v>15.28</v>
      </c>
      <c r="L110" s="911">
        <v>327.065</v>
      </c>
      <c r="M110" s="911">
        <v>795.93499999999995</v>
      </c>
      <c r="N110" s="970" t="s">
        <v>135</v>
      </c>
      <c r="Q110" s="912"/>
      <c r="R110" s="910"/>
      <c r="S110" s="969"/>
      <c r="T110" s="911"/>
      <c r="U110" s="911"/>
      <c r="V110" s="970"/>
      <c r="W110" s="29"/>
      <c r="X110" s="694"/>
      <c r="Y110" s="912"/>
      <c r="Z110" s="910"/>
      <c r="AA110" s="969"/>
      <c r="AB110" s="911"/>
      <c r="AC110" s="911"/>
      <c r="AD110" s="970"/>
      <c r="AH110" s="1014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12" t="s">
        <v>334</v>
      </c>
      <c r="B111" s="910">
        <v>1</v>
      </c>
      <c r="C111" s="969">
        <v>15.28</v>
      </c>
      <c r="D111" s="911">
        <v>327.065</v>
      </c>
      <c r="E111" s="911">
        <v>795.93499999999995</v>
      </c>
      <c r="F111" s="970" t="s">
        <v>135</v>
      </c>
      <c r="G111" s="29"/>
      <c r="H111" s="31"/>
      <c r="I111" s="912" t="s">
        <v>333</v>
      </c>
      <c r="J111" s="910">
        <v>1</v>
      </c>
      <c r="K111" s="969">
        <v>26.07</v>
      </c>
      <c r="L111" s="911">
        <v>329.61</v>
      </c>
      <c r="M111" s="911">
        <v>808.35</v>
      </c>
      <c r="N111" s="970"/>
      <c r="Q111" s="912"/>
      <c r="R111" s="910"/>
      <c r="S111" s="969"/>
      <c r="T111" s="911"/>
      <c r="U111" s="911"/>
      <c r="V111" s="970"/>
      <c r="W111" s="29"/>
      <c r="X111" s="694"/>
      <c r="Y111" s="912"/>
      <c r="Z111" s="910"/>
      <c r="AA111" s="969"/>
      <c r="AB111" s="911"/>
      <c r="AC111" s="911"/>
      <c r="AD111" s="970"/>
      <c r="AH111" s="1014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12" t="s">
        <v>333</v>
      </c>
      <c r="B112" s="910">
        <v>1</v>
      </c>
      <c r="C112" s="963">
        <v>26.07</v>
      </c>
      <c r="D112" s="911">
        <v>329.61</v>
      </c>
      <c r="E112" s="911">
        <v>808.35</v>
      </c>
      <c r="F112" s="970"/>
      <c r="G112" s="29"/>
      <c r="H112" s="31"/>
      <c r="I112" s="912" t="s">
        <v>162</v>
      </c>
      <c r="J112" s="910"/>
      <c r="K112" s="963"/>
      <c r="L112" s="911"/>
      <c r="M112" s="911"/>
      <c r="N112" s="970"/>
      <c r="Q112" s="912"/>
      <c r="R112" s="910"/>
      <c r="S112" s="963"/>
      <c r="T112" s="911"/>
      <c r="U112" s="911"/>
      <c r="V112" s="970"/>
      <c r="W112" s="29"/>
      <c r="X112" s="694"/>
      <c r="Y112" s="912"/>
      <c r="Z112" s="910"/>
      <c r="AA112" s="963"/>
      <c r="AB112" s="911"/>
      <c r="AC112" s="911"/>
      <c r="AD112" s="970"/>
      <c r="AH112" s="1014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12" t="s">
        <v>162</v>
      </c>
      <c r="B113" s="910"/>
      <c r="C113" s="963"/>
      <c r="D113" s="911"/>
      <c r="E113" s="911"/>
      <c r="F113" s="970"/>
      <c r="G113" s="29"/>
      <c r="H113" s="31"/>
      <c r="I113" s="912"/>
      <c r="J113" s="910"/>
      <c r="K113" s="963"/>
      <c r="L113" s="911"/>
      <c r="M113" s="911"/>
      <c r="N113" s="970"/>
      <c r="Q113" s="912"/>
      <c r="R113" s="910"/>
      <c r="S113" s="963"/>
      <c r="T113" s="911"/>
      <c r="U113" s="911"/>
      <c r="V113" s="970"/>
      <c r="W113" s="29"/>
      <c r="X113" s="694"/>
      <c r="Y113" s="912"/>
      <c r="Z113" s="910"/>
      <c r="AA113" s="963"/>
      <c r="AB113" s="911"/>
      <c r="AC113" s="911"/>
      <c r="AD113" s="970"/>
      <c r="AH113" s="1014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12"/>
      <c r="B114" s="910"/>
      <c r="C114" s="963"/>
      <c r="D114" s="911"/>
      <c r="E114" s="911"/>
      <c r="F114" s="970"/>
      <c r="G114" s="29"/>
      <c r="H114" s="31"/>
      <c r="I114" s="912"/>
      <c r="J114" s="910"/>
      <c r="K114" s="963"/>
      <c r="L114" s="911"/>
      <c r="M114" s="911"/>
      <c r="N114" s="970"/>
      <c r="Q114" s="912"/>
      <c r="R114" s="910"/>
      <c r="S114" s="963"/>
      <c r="T114" s="911"/>
      <c r="U114" s="911"/>
      <c r="V114" s="970"/>
      <c r="W114" s="29"/>
      <c r="X114" s="694"/>
      <c r="Y114" s="912"/>
      <c r="Z114" s="910"/>
      <c r="AA114" s="963"/>
      <c r="AB114" s="911"/>
      <c r="AC114" s="911"/>
      <c r="AD114" s="970"/>
      <c r="AH114" s="1014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12"/>
      <c r="B115" s="910"/>
      <c r="C115" s="963"/>
      <c r="D115" s="911"/>
      <c r="E115" s="911"/>
      <c r="F115" s="970"/>
      <c r="G115" s="29"/>
      <c r="H115" s="31"/>
      <c r="I115" s="912"/>
      <c r="J115" s="910"/>
      <c r="K115" s="963"/>
      <c r="L115" s="911"/>
      <c r="M115" s="911"/>
      <c r="N115" s="970"/>
      <c r="Q115" s="912"/>
      <c r="R115" s="910"/>
      <c r="S115" s="963"/>
      <c r="T115" s="911"/>
      <c r="U115" s="911"/>
      <c r="V115" s="970"/>
      <c r="W115" s="29"/>
      <c r="X115" s="694"/>
      <c r="Y115" s="912"/>
      <c r="Z115" s="910"/>
      <c r="AA115" s="963"/>
      <c r="AB115" s="911"/>
      <c r="AC115" s="911"/>
      <c r="AD115" s="970"/>
      <c r="AH115" s="1014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12"/>
      <c r="B116" s="910"/>
      <c r="C116" s="963"/>
      <c r="D116" s="911"/>
      <c r="E116" s="911"/>
      <c r="F116" s="970"/>
      <c r="G116" s="29"/>
      <c r="H116" s="31"/>
      <c r="I116" s="912"/>
      <c r="J116" s="910"/>
      <c r="K116" s="963"/>
      <c r="L116" s="911"/>
      <c r="M116" s="911"/>
      <c r="N116" s="970"/>
      <c r="Q116" s="912"/>
      <c r="R116" s="910"/>
      <c r="S116" s="963"/>
      <c r="T116" s="911"/>
      <c r="U116" s="911"/>
      <c r="V116" s="970"/>
      <c r="W116" s="29"/>
      <c r="X116" s="694"/>
      <c r="Y116" s="912"/>
      <c r="Z116" s="910"/>
      <c r="AA116" s="963"/>
      <c r="AB116" s="911"/>
      <c r="AC116" s="911"/>
      <c r="AD116" s="970"/>
      <c r="AH116" s="1014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12"/>
      <c r="B117" s="910"/>
      <c r="C117" s="963"/>
      <c r="D117" s="911"/>
      <c r="E117" s="911"/>
      <c r="F117" s="970"/>
      <c r="G117" s="29"/>
      <c r="H117" s="31"/>
      <c r="I117" s="912"/>
      <c r="J117" s="910"/>
      <c r="K117" s="963"/>
      <c r="L117" s="911"/>
      <c r="M117" s="911"/>
      <c r="N117" s="970"/>
      <c r="Q117" s="912"/>
      <c r="R117" s="910"/>
      <c r="S117" s="963"/>
      <c r="T117" s="911"/>
      <c r="U117" s="911"/>
      <c r="V117" s="970"/>
      <c r="W117" s="29"/>
      <c r="X117" s="694"/>
      <c r="Y117" s="912"/>
      <c r="Z117" s="910"/>
      <c r="AA117" s="963"/>
      <c r="AB117" s="911"/>
      <c r="AC117" s="911"/>
      <c r="AD117" s="970"/>
      <c r="AH117" s="1014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12"/>
      <c r="B118" s="910"/>
      <c r="C118" s="963"/>
      <c r="D118" s="911"/>
      <c r="E118" s="911"/>
      <c r="F118" s="970"/>
      <c r="G118" s="29"/>
      <c r="H118" s="31"/>
      <c r="I118" s="912"/>
      <c r="J118" s="910"/>
      <c r="K118" s="963"/>
      <c r="L118" s="911"/>
      <c r="M118" s="911"/>
      <c r="N118" s="970"/>
      <c r="Q118" s="912"/>
      <c r="R118" s="910"/>
      <c r="S118" s="963"/>
      <c r="T118" s="911"/>
      <c r="U118" s="911"/>
      <c r="V118" s="970"/>
      <c r="W118" s="29"/>
      <c r="X118" s="694"/>
      <c r="Y118" s="912"/>
      <c r="Z118" s="910"/>
      <c r="AA118" s="963"/>
      <c r="AB118" s="911"/>
      <c r="AC118" s="911"/>
      <c r="AD118" s="970"/>
      <c r="AH118" s="1014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12"/>
      <c r="B119" s="910"/>
      <c r="C119" s="963"/>
      <c r="D119" s="911"/>
      <c r="E119" s="911"/>
      <c r="F119" s="970"/>
      <c r="G119" s="29"/>
      <c r="H119" s="31"/>
      <c r="I119" s="912"/>
      <c r="J119" s="910"/>
      <c r="K119" s="963"/>
      <c r="L119" s="911"/>
      <c r="M119" s="911"/>
      <c r="N119" s="970"/>
      <c r="Q119" s="912"/>
      <c r="R119" s="910"/>
      <c r="S119" s="963"/>
      <c r="T119" s="911"/>
      <c r="U119" s="911"/>
      <c r="V119" s="970"/>
      <c r="W119" s="29"/>
      <c r="X119" s="694"/>
      <c r="Y119" s="912"/>
      <c r="Z119" s="910"/>
      <c r="AA119" s="963"/>
      <c r="AB119" s="911"/>
      <c r="AC119" s="911"/>
      <c r="AD119" s="970"/>
      <c r="AH119" s="1014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3.5" thickBot="1" x14ac:dyDescent="0.25">
      <c r="A120" s="956"/>
      <c r="B120" s="957"/>
      <c r="C120" s="965"/>
      <c r="D120" s="966"/>
      <c r="E120" s="966"/>
      <c r="F120" s="985"/>
      <c r="G120" s="29"/>
      <c r="H120" s="31"/>
      <c r="I120" s="956"/>
      <c r="J120" s="957"/>
      <c r="K120" s="965"/>
      <c r="L120" s="966"/>
      <c r="M120" s="966"/>
      <c r="N120" s="985"/>
      <c r="Q120" s="956"/>
      <c r="R120" s="957"/>
      <c r="S120" s="965"/>
      <c r="T120" s="966"/>
      <c r="U120" s="966"/>
      <c r="V120" s="985"/>
      <c r="W120" s="29"/>
      <c r="X120" s="694"/>
      <c r="Y120" s="956"/>
      <c r="Z120" s="957"/>
      <c r="AA120" s="965"/>
      <c r="AB120" s="966"/>
      <c r="AC120" s="966"/>
      <c r="AD120" s="985"/>
      <c r="AH120" s="1014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667" customFormat="1" x14ac:dyDescent="0.25">
      <c r="A121" s="1093" t="s">
        <v>323</v>
      </c>
      <c r="F121" s="1011"/>
      <c r="G121" s="1012"/>
      <c r="H121" s="689"/>
      <c r="I121" s="1093" t="s">
        <v>324</v>
      </c>
      <c r="N121" s="1011"/>
      <c r="Q121" s="1093" t="s">
        <v>325</v>
      </c>
      <c r="V121" s="1011"/>
      <c r="W121" s="1012"/>
      <c r="X121" s="689"/>
      <c r="Y121" s="1093" t="s">
        <v>326</v>
      </c>
      <c r="AD121" s="1011"/>
      <c r="AH121" s="1013"/>
      <c r="AM121" s="1060"/>
      <c r="AN121" s="1060"/>
      <c r="AO121" s="1060"/>
      <c r="AP121" s="1060"/>
      <c r="AQ121" s="1060"/>
      <c r="AR121" s="1060"/>
      <c r="AS121" s="1060"/>
      <c r="AT121" s="1060"/>
      <c r="AU121" s="1060"/>
      <c r="AV121" s="1060"/>
      <c r="AW121" s="1060"/>
    </row>
    <row r="122" spans="1:49" s="19" customFormat="1" ht="12.75" x14ac:dyDescent="0.2">
      <c r="A122" s="1006"/>
      <c r="B122" s="1007"/>
      <c r="C122" s="1008"/>
      <c r="D122" s="1009"/>
      <c r="E122" s="1009"/>
      <c r="F122" s="1010"/>
      <c r="G122" s="29"/>
      <c r="H122" s="31"/>
      <c r="I122" s="1006"/>
      <c r="J122" s="1007"/>
      <c r="K122" s="1008"/>
      <c r="L122" s="1009"/>
      <c r="M122" s="1009"/>
      <c r="N122" s="1010"/>
      <c r="Q122" s="1006"/>
      <c r="R122" s="1007"/>
      <c r="S122" s="1008"/>
      <c r="T122" s="1009"/>
      <c r="U122" s="1009"/>
      <c r="V122" s="1010"/>
      <c r="W122" s="29"/>
      <c r="X122" s="694"/>
      <c r="Y122" s="1006"/>
      <c r="Z122" s="1007"/>
      <c r="AA122" s="1008"/>
      <c r="AB122" s="1009"/>
      <c r="AC122" s="1009"/>
      <c r="AD122" s="1010"/>
      <c r="AH122" s="1014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</row>
    <row r="123" spans="1:49" s="19" customFormat="1" ht="12.75" x14ac:dyDescent="0.2">
      <c r="A123" s="912"/>
      <c r="B123" s="910"/>
      <c r="C123" s="968"/>
      <c r="D123" s="911"/>
      <c r="E123" s="911"/>
      <c r="F123" s="970"/>
      <c r="G123" s="29"/>
      <c r="H123" s="31"/>
      <c r="I123" s="912"/>
      <c r="J123" s="910"/>
      <c r="K123" s="968"/>
      <c r="L123" s="911"/>
      <c r="M123" s="911"/>
      <c r="N123" s="970"/>
      <c r="Q123" s="912"/>
      <c r="R123" s="910"/>
      <c r="S123" s="968"/>
      <c r="T123" s="911"/>
      <c r="U123" s="911"/>
      <c r="V123" s="970"/>
      <c r="W123" s="29"/>
      <c r="X123" s="694"/>
      <c r="Y123" s="912"/>
      <c r="Z123" s="910"/>
      <c r="AA123" s="968"/>
      <c r="AB123" s="911"/>
      <c r="AC123" s="911"/>
      <c r="AD123" s="970"/>
      <c r="AH123" s="1014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12"/>
      <c r="B124" s="910"/>
      <c r="C124" s="968"/>
      <c r="D124" s="911"/>
      <c r="E124" s="911"/>
      <c r="F124" s="970"/>
      <c r="G124" s="29"/>
      <c r="H124" s="31"/>
      <c r="I124" s="912"/>
      <c r="J124" s="910"/>
      <c r="K124" s="968"/>
      <c r="L124" s="911"/>
      <c r="M124" s="911"/>
      <c r="N124" s="970"/>
      <c r="Q124" s="912"/>
      <c r="R124" s="910"/>
      <c r="S124" s="968"/>
      <c r="T124" s="911"/>
      <c r="U124" s="911"/>
      <c r="V124" s="970"/>
      <c r="W124" s="29"/>
      <c r="X124" s="694"/>
      <c r="Y124" s="912"/>
      <c r="Z124" s="910"/>
      <c r="AA124" s="968"/>
      <c r="AB124" s="911"/>
      <c r="AC124" s="911"/>
      <c r="AD124" s="970"/>
      <c r="AH124" s="1014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12"/>
      <c r="B125" s="910"/>
      <c r="C125" s="968"/>
      <c r="D125" s="911"/>
      <c r="E125" s="911"/>
      <c r="F125" s="970"/>
      <c r="G125" s="29"/>
      <c r="H125" s="31"/>
      <c r="I125" s="912"/>
      <c r="J125" s="910"/>
      <c r="K125" s="968"/>
      <c r="L125" s="911"/>
      <c r="M125" s="911"/>
      <c r="N125" s="970"/>
      <c r="Q125" s="912"/>
      <c r="R125" s="910"/>
      <c r="S125" s="968"/>
      <c r="T125" s="911"/>
      <c r="U125" s="911"/>
      <c r="V125" s="970"/>
      <c r="W125" s="29"/>
      <c r="X125" s="694"/>
      <c r="Y125" s="912"/>
      <c r="Z125" s="910"/>
      <c r="AA125" s="968"/>
      <c r="AB125" s="911"/>
      <c r="AC125" s="911"/>
      <c r="AD125" s="970"/>
      <c r="AH125" s="1014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12"/>
      <c r="B126" s="910"/>
      <c r="C126" s="968"/>
      <c r="D126" s="911"/>
      <c r="E126" s="911"/>
      <c r="F126" s="970"/>
      <c r="G126" s="29"/>
      <c r="H126" s="31"/>
      <c r="I126" s="912"/>
      <c r="J126" s="910"/>
      <c r="K126" s="968"/>
      <c r="L126" s="911"/>
      <c r="M126" s="911"/>
      <c r="N126" s="970"/>
      <c r="Q126" s="912"/>
      <c r="R126" s="910"/>
      <c r="S126" s="968"/>
      <c r="T126" s="911"/>
      <c r="U126" s="911"/>
      <c r="V126" s="970"/>
      <c r="W126" s="29"/>
      <c r="X126" s="694"/>
      <c r="Y126" s="912"/>
      <c r="Z126" s="910"/>
      <c r="AA126" s="968"/>
      <c r="AB126" s="911"/>
      <c r="AC126" s="911"/>
      <c r="AD126" s="970"/>
      <c r="AH126" s="1014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12"/>
      <c r="B127" s="910"/>
      <c r="C127" s="968"/>
      <c r="D127" s="911"/>
      <c r="E127" s="911"/>
      <c r="F127" s="970"/>
      <c r="G127" s="29"/>
      <c r="H127" s="31"/>
      <c r="I127" s="912"/>
      <c r="J127" s="910"/>
      <c r="K127" s="968"/>
      <c r="L127" s="911"/>
      <c r="M127" s="911"/>
      <c r="N127" s="970"/>
      <c r="Q127" s="912"/>
      <c r="R127" s="910"/>
      <c r="S127" s="968"/>
      <c r="T127" s="911"/>
      <c r="U127" s="911"/>
      <c r="V127" s="970"/>
      <c r="W127" s="29"/>
      <c r="X127" s="694"/>
      <c r="Y127" s="912"/>
      <c r="Z127" s="910"/>
      <c r="AA127" s="968"/>
      <c r="AB127" s="911"/>
      <c r="AC127" s="911"/>
      <c r="AD127" s="970"/>
      <c r="AH127" s="1014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12"/>
      <c r="B128" s="910"/>
      <c r="C128" s="968"/>
      <c r="D128" s="911"/>
      <c r="E128" s="911"/>
      <c r="F128" s="970"/>
      <c r="G128" s="29"/>
      <c r="H128" s="31"/>
      <c r="I128" s="912"/>
      <c r="J128" s="910"/>
      <c r="K128" s="968"/>
      <c r="L128" s="911"/>
      <c r="M128" s="911"/>
      <c r="N128" s="970"/>
      <c r="Q128" s="912"/>
      <c r="R128" s="910"/>
      <c r="S128" s="968"/>
      <c r="T128" s="911"/>
      <c r="U128" s="911"/>
      <c r="V128" s="970"/>
      <c r="W128" s="29"/>
      <c r="X128" s="694"/>
      <c r="Y128" s="912"/>
      <c r="Z128" s="910"/>
      <c r="AA128" s="968"/>
      <c r="AB128" s="911"/>
      <c r="AC128" s="911"/>
      <c r="AD128" s="970"/>
      <c r="AH128" s="1014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12"/>
      <c r="B129" s="910"/>
      <c r="C129" s="968"/>
      <c r="D129" s="911"/>
      <c r="E129" s="911"/>
      <c r="F129" s="970"/>
      <c r="G129" s="29"/>
      <c r="H129" s="31"/>
      <c r="I129" s="912"/>
      <c r="J129" s="910"/>
      <c r="K129" s="968"/>
      <c r="L129" s="911"/>
      <c r="M129" s="911"/>
      <c r="N129" s="970"/>
      <c r="Q129" s="912"/>
      <c r="R129" s="910"/>
      <c r="S129" s="968"/>
      <c r="T129" s="911"/>
      <c r="U129" s="911"/>
      <c r="V129" s="970"/>
      <c r="W129" s="29"/>
      <c r="X129" s="694"/>
      <c r="Y129" s="912"/>
      <c r="Z129" s="910"/>
      <c r="AA129" s="968"/>
      <c r="AB129" s="911"/>
      <c r="AC129" s="911"/>
      <c r="AD129" s="970"/>
      <c r="AH129" s="1014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12"/>
      <c r="B130" s="910"/>
      <c r="C130" s="968"/>
      <c r="D130" s="911"/>
      <c r="E130" s="911"/>
      <c r="F130" s="970"/>
      <c r="G130" s="29"/>
      <c r="H130" s="31"/>
      <c r="I130" s="912"/>
      <c r="J130" s="910"/>
      <c r="K130" s="968"/>
      <c r="L130" s="911"/>
      <c r="M130" s="911"/>
      <c r="N130" s="970"/>
      <c r="Q130" s="912"/>
      <c r="R130" s="910"/>
      <c r="S130" s="968"/>
      <c r="T130" s="911"/>
      <c r="U130" s="911"/>
      <c r="V130" s="970"/>
      <c r="W130" s="29"/>
      <c r="X130" s="694"/>
      <c r="Y130" s="912"/>
      <c r="Z130" s="910"/>
      <c r="AA130" s="968"/>
      <c r="AB130" s="911"/>
      <c r="AC130" s="911"/>
      <c r="AD130" s="970"/>
      <c r="AH130" s="1014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12"/>
      <c r="B131" s="910"/>
      <c r="C131" s="968"/>
      <c r="D131" s="911"/>
      <c r="E131" s="911"/>
      <c r="F131" s="970"/>
      <c r="G131" s="29"/>
      <c r="H131" s="31"/>
      <c r="I131" s="912"/>
      <c r="J131" s="910"/>
      <c r="K131" s="968"/>
      <c r="L131" s="911"/>
      <c r="M131" s="911"/>
      <c r="N131" s="970"/>
      <c r="Q131" s="912"/>
      <c r="R131" s="910"/>
      <c r="S131" s="968"/>
      <c r="T131" s="911"/>
      <c r="U131" s="911"/>
      <c r="V131" s="970"/>
      <c r="W131" s="29"/>
      <c r="X131" s="694"/>
      <c r="Y131" s="912"/>
      <c r="Z131" s="910"/>
      <c r="AA131" s="968"/>
      <c r="AB131" s="911"/>
      <c r="AC131" s="911"/>
      <c r="AD131" s="970"/>
      <c r="AH131" s="1014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12"/>
      <c r="B132" s="910"/>
      <c r="C132" s="968"/>
      <c r="D132" s="911"/>
      <c r="E132" s="911"/>
      <c r="F132" s="970"/>
      <c r="G132" s="29"/>
      <c r="H132" s="31"/>
      <c r="I132" s="912"/>
      <c r="J132" s="910"/>
      <c r="K132" s="968"/>
      <c r="L132" s="911"/>
      <c r="M132" s="911"/>
      <c r="N132" s="970"/>
      <c r="Q132" s="912"/>
      <c r="R132" s="910"/>
      <c r="S132" s="968"/>
      <c r="T132" s="911"/>
      <c r="U132" s="911"/>
      <c r="V132" s="970"/>
      <c r="W132" s="29"/>
      <c r="X132" s="694"/>
      <c r="Y132" s="912"/>
      <c r="Z132" s="910"/>
      <c r="AA132" s="968"/>
      <c r="AB132" s="911"/>
      <c r="AC132" s="911"/>
      <c r="AD132" s="970"/>
      <c r="AH132" s="1014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12"/>
      <c r="B133" s="910"/>
      <c r="C133" s="968"/>
      <c r="D133" s="911"/>
      <c r="E133" s="911"/>
      <c r="F133" s="970"/>
      <c r="G133" s="29"/>
      <c r="H133" s="31"/>
      <c r="I133" s="912"/>
      <c r="J133" s="910"/>
      <c r="K133" s="968"/>
      <c r="L133" s="911"/>
      <c r="M133" s="911"/>
      <c r="N133" s="970"/>
      <c r="Q133" s="912"/>
      <c r="R133" s="910"/>
      <c r="S133" s="968"/>
      <c r="T133" s="911"/>
      <c r="U133" s="911"/>
      <c r="V133" s="970"/>
      <c r="W133" s="29"/>
      <c r="X133" s="694"/>
      <c r="Y133" s="912"/>
      <c r="Z133" s="910"/>
      <c r="AA133" s="968"/>
      <c r="AB133" s="911"/>
      <c r="AC133" s="911"/>
      <c r="AD133" s="970"/>
      <c r="AH133" s="1014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12"/>
      <c r="B134" s="910"/>
      <c r="C134" s="969"/>
      <c r="D134" s="911"/>
      <c r="E134" s="911"/>
      <c r="F134" s="970"/>
      <c r="G134" s="29"/>
      <c r="H134" s="31"/>
      <c r="I134" s="912"/>
      <c r="J134" s="910"/>
      <c r="K134" s="969"/>
      <c r="L134" s="911"/>
      <c r="M134" s="911"/>
      <c r="N134" s="970"/>
      <c r="Q134" s="912"/>
      <c r="R134" s="910"/>
      <c r="S134" s="969"/>
      <c r="T134" s="911"/>
      <c r="U134" s="911"/>
      <c r="V134" s="970"/>
      <c r="W134" s="29"/>
      <c r="X134" s="694"/>
      <c r="Y134" s="912"/>
      <c r="Z134" s="910"/>
      <c r="AA134" s="969"/>
      <c r="AB134" s="911"/>
      <c r="AC134" s="911"/>
      <c r="AD134" s="970"/>
      <c r="AH134" s="1014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12"/>
      <c r="B135" s="910"/>
      <c r="C135" s="969"/>
      <c r="D135" s="911"/>
      <c r="E135" s="911"/>
      <c r="F135" s="970"/>
      <c r="G135" s="29"/>
      <c r="H135" s="31"/>
      <c r="I135" s="912"/>
      <c r="J135" s="910"/>
      <c r="K135" s="969"/>
      <c r="L135" s="911"/>
      <c r="M135" s="911"/>
      <c r="N135" s="970"/>
      <c r="Q135" s="912"/>
      <c r="R135" s="910"/>
      <c r="S135" s="969"/>
      <c r="T135" s="911"/>
      <c r="U135" s="911"/>
      <c r="V135" s="970"/>
      <c r="W135" s="29"/>
      <c r="X135" s="694"/>
      <c r="Y135" s="912"/>
      <c r="Z135" s="910"/>
      <c r="AA135" s="969"/>
      <c r="AB135" s="911"/>
      <c r="AC135" s="911"/>
      <c r="AD135" s="970"/>
      <c r="AH135" s="1014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12"/>
      <c r="B136" s="910"/>
      <c r="C136" s="969"/>
      <c r="D136" s="911"/>
      <c r="E136" s="911"/>
      <c r="F136" s="970"/>
      <c r="G136" s="29"/>
      <c r="H136" s="31"/>
      <c r="I136" s="912"/>
      <c r="J136" s="910"/>
      <c r="K136" s="969"/>
      <c r="L136" s="911"/>
      <c r="M136" s="911"/>
      <c r="N136" s="970"/>
      <c r="Q136" s="912"/>
      <c r="R136" s="910"/>
      <c r="S136" s="969"/>
      <c r="T136" s="911"/>
      <c r="U136" s="911"/>
      <c r="V136" s="970"/>
      <c r="W136" s="29"/>
      <c r="X136" s="694"/>
      <c r="Y136" s="912"/>
      <c r="Z136" s="910"/>
      <c r="AA136" s="969"/>
      <c r="AB136" s="911"/>
      <c r="AC136" s="911"/>
      <c r="AD136" s="970"/>
      <c r="AH136" s="1014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12"/>
      <c r="B137" s="910"/>
      <c r="C137" s="963"/>
      <c r="D137" s="911"/>
      <c r="E137" s="911"/>
      <c r="F137" s="970"/>
      <c r="G137" s="29"/>
      <c r="H137" s="31"/>
      <c r="I137" s="912"/>
      <c r="J137" s="910"/>
      <c r="K137" s="963"/>
      <c r="L137" s="911"/>
      <c r="M137" s="911"/>
      <c r="N137" s="970"/>
      <c r="Q137" s="912"/>
      <c r="R137" s="910"/>
      <c r="S137" s="963"/>
      <c r="T137" s="911"/>
      <c r="U137" s="911"/>
      <c r="V137" s="970"/>
      <c r="W137" s="29"/>
      <c r="X137" s="694"/>
      <c r="Y137" s="912"/>
      <c r="Z137" s="910"/>
      <c r="AA137" s="963"/>
      <c r="AB137" s="911"/>
      <c r="AC137" s="911"/>
      <c r="AD137" s="970"/>
      <c r="AH137" s="1014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12"/>
      <c r="B138" s="910"/>
      <c r="C138" s="963"/>
      <c r="D138" s="911"/>
      <c r="E138" s="911"/>
      <c r="F138" s="970"/>
      <c r="G138" s="29"/>
      <c r="H138" s="31"/>
      <c r="I138" s="912"/>
      <c r="J138" s="910"/>
      <c r="K138" s="963"/>
      <c r="L138" s="911"/>
      <c r="M138" s="911"/>
      <c r="N138" s="970"/>
      <c r="Q138" s="912"/>
      <c r="R138" s="910"/>
      <c r="S138" s="963"/>
      <c r="T138" s="911"/>
      <c r="U138" s="911"/>
      <c r="V138" s="970"/>
      <c r="W138" s="29"/>
      <c r="X138" s="694"/>
      <c r="Y138" s="912"/>
      <c r="Z138" s="910"/>
      <c r="AA138" s="963"/>
      <c r="AB138" s="911"/>
      <c r="AC138" s="911"/>
      <c r="AD138" s="970"/>
      <c r="AH138" s="1014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12"/>
      <c r="B139" s="910"/>
      <c r="C139" s="963"/>
      <c r="D139" s="911"/>
      <c r="E139" s="911"/>
      <c r="F139" s="970"/>
      <c r="G139" s="29"/>
      <c r="H139" s="31"/>
      <c r="I139" s="912"/>
      <c r="J139" s="910"/>
      <c r="K139" s="963"/>
      <c r="L139" s="911"/>
      <c r="M139" s="911"/>
      <c r="N139" s="970"/>
      <c r="Q139" s="912"/>
      <c r="R139" s="910"/>
      <c r="S139" s="963"/>
      <c r="T139" s="911"/>
      <c r="U139" s="911"/>
      <c r="V139" s="970"/>
      <c r="W139" s="29"/>
      <c r="X139" s="694"/>
      <c r="Y139" s="912"/>
      <c r="Z139" s="910"/>
      <c r="AA139" s="963"/>
      <c r="AB139" s="911"/>
      <c r="AC139" s="911"/>
      <c r="AD139" s="970"/>
      <c r="AH139" s="1014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12"/>
      <c r="B140" s="910"/>
      <c r="C140" s="963"/>
      <c r="D140" s="911"/>
      <c r="E140" s="911"/>
      <c r="F140" s="970"/>
      <c r="G140" s="29"/>
      <c r="H140" s="31"/>
      <c r="I140" s="912"/>
      <c r="J140" s="910"/>
      <c r="K140" s="963"/>
      <c r="L140" s="911"/>
      <c r="M140" s="911"/>
      <c r="N140" s="970"/>
      <c r="Q140" s="912"/>
      <c r="R140" s="910"/>
      <c r="S140" s="963"/>
      <c r="T140" s="911"/>
      <c r="U140" s="911"/>
      <c r="V140" s="970"/>
      <c r="W140" s="29"/>
      <c r="X140" s="694"/>
      <c r="Y140" s="912"/>
      <c r="Z140" s="910"/>
      <c r="AA140" s="963"/>
      <c r="AB140" s="911"/>
      <c r="AC140" s="911"/>
      <c r="AD140" s="970"/>
      <c r="AH140" s="1014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12"/>
      <c r="B141" s="910"/>
      <c r="C141" s="963"/>
      <c r="D141" s="911"/>
      <c r="E141" s="911"/>
      <c r="F141" s="970"/>
      <c r="G141" s="29"/>
      <c r="H141" s="31"/>
      <c r="I141" s="912"/>
      <c r="J141" s="910"/>
      <c r="K141" s="963"/>
      <c r="L141" s="911"/>
      <c r="M141" s="911"/>
      <c r="N141" s="970"/>
      <c r="Q141" s="912"/>
      <c r="R141" s="910"/>
      <c r="S141" s="963"/>
      <c r="T141" s="911"/>
      <c r="U141" s="911"/>
      <c r="V141" s="970"/>
      <c r="W141" s="29"/>
      <c r="X141" s="694"/>
      <c r="Y141" s="912"/>
      <c r="Z141" s="910"/>
      <c r="AA141" s="963"/>
      <c r="AB141" s="911"/>
      <c r="AC141" s="911"/>
      <c r="AD141" s="970"/>
      <c r="AH141" s="1014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12"/>
      <c r="B142" s="910"/>
      <c r="C142" s="963"/>
      <c r="D142" s="911"/>
      <c r="E142" s="911"/>
      <c r="F142" s="970"/>
      <c r="G142" s="29"/>
      <c r="H142" s="31"/>
      <c r="I142" s="912"/>
      <c r="J142" s="910"/>
      <c r="K142" s="963"/>
      <c r="L142" s="911"/>
      <c r="M142" s="911"/>
      <c r="N142" s="970"/>
      <c r="Q142" s="912"/>
      <c r="R142" s="910"/>
      <c r="S142" s="963"/>
      <c r="T142" s="911"/>
      <c r="U142" s="911"/>
      <c r="V142" s="970"/>
      <c r="W142" s="29"/>
      <c r="X142" s="694"/>
      <c r="Y142" s="912"/>
      <c r="Z142" s="910"/>
      <c r="AA142" s="963"/>
      <c r="AB142" s="911"/>
      <c r="AC142" s="911"/>
      <c r="AD142" s="970"/>
      <c r="AH142" s="1014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12"/>
      <c r="B143" s="910"/>
      <c r="C143" s="963"/>
      <c r="D143" s="911"/>
      <c r="E143" s="911"/>
      <c r="F143" s="970"/>
      <c r="G143" s="29"/>
      <c r="H143" s="31"/>
      <c r="I143" s="912"/>
      <c r="J143" s="910"/>
      <c r="K143" s="963"/>
      <c r="L143" s="911"/>
      <c r="M143" s="911"/>
      <c r="N143" s="970"/>
      <c r="Q143" s="912"/>
      <c r="R143" s="910"/>
      <c r="S143" s="963"/>
      <c r="T143" s="911"/>
      <c r="U143" s="911"/>
      <c r="V143" s="970"/>
      <c r="W143" s="29"/>
      <c r="X143" s="694"/>
      <c r="Y143" s="912"/>
      <c r="Z143" s="910"/>
      <c r="AA143" s="963"/>
      <c r="AB143" s="911"/>
      <c r="AC143" s="911"/>
      <c r="AD143" s="970"/>
      <c r="AH143" s="1014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12"/>
      <c r="B144" s="910"/>
      <c r="C144" s="963"/>
      <c r="D144" s="911"/>
      <c r="E144" s="911"/>
      <c r="F144" s="970"/>
      <c r="G144" s="29"/>
      <c r="H144" s="31"/>
      <c r="I144" s="912"/>
      <c r="J144" s="910"/>
      <c r="K144" s="963"/>
      <c r="L144" s="911"/>
      <c r="M144" s="911"/>
      <c r="N144" s="970"/>
      <c r="Q144" s="912"/>
      <c r="R144" s="910"/>
      <c r="S144" s="963"/>
      <c r="T144" s="911"/>
      <c r="U144" s="911"/>
      <c r="V144" s="970"/>
      <c r="W144" s="29"/>
      <c r="X144" s="694"/>
      <c r="Y144" s="912"/>
      <c r="Z144" s="910"/>
      <c r="AA144" s="963"/>
      <c r="AB144" s="911"/>
      <c r="AC144" s="911"/>
      <c r="AD144" s="970"/>
      <c r="AH144" s="1014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3.5" thickBot="1" x14ac:dyDescent="0.25">
      <c r="A145" s="956"/>
      <c r="B145" s="957"/>
      <c r="C145" s="965"/>
      <c r="D145" s="966"/>
      <c r="E145" s="966"/>
      <c r="F145" s="985"/>
      <c r="G145" s="29"/>
      <c r="H145" s="31"/>
      <c r="I145" s="956"/>
      <c r="J145" s="957"/>
      <c r="K145" s="965"/>
      <c r="L145" s="966"/>
      <c r="M145" s="966"/>
      <c r="N145" s="985"/>
      <c r="Q145" s="956"/>
      <c r="R145" s="957"/>
      <c r="S145" s="965"/>
      <c r="T145" s="966"/>
      <c r="U145" s="966"/>
      <c r="V145" s="985"/>
      <c r="W145" s="29"/>
      <c r="X145" s="694"/>
      <c r="Y145" s="956"/>
      <c r="Z145" s="957"/>
      <c r="AA145" s="965"/>
      <c r="AB145" s="966"/>
      <c r="AC145" s="966"/>
      <c r="AD145" s="985"/>
      <c r="AH145" s="1014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</sheetData>
  <sheetProtection sheet="1" objects="1" scenarios="1" formatCells="0" formatColumns="0" formatRows="0" sort="0"/>
  <mergeCells count="16">
    <mergeCell ref="Q54:Z54"/>
    <mergeCell ref="B54:B55"/>
    <mergeCell ref="B1:F1"/>
    <mergeCell ref="I1:J1"/>
    <mergeCell ref="C54:M54"/>
    <mergeCell ref="AN53:AO53"/>
    <mergeCell ref="AP54:AQ54"/>
    <mergeCell ref="AR54:AS54"/>
    <mergeCell ref="AN54:AO54"/>
    <mergeCell ref="AJ54:AJ55"/>
    <mergeCell ref="AV53:AW53"/>
    <mergeCell ref="AV54:AW54"/>
    <mergeCell ref="AT53:AU53"/>
    <mergeCell ref="AT54:AU54"/>
    <mergeCell ref="AP53:AQ53"/>
    <mergeCell ref="AR53:AS53"/>
  </mergeCells>
  <conditionalFormatting sqref="C82:Z94">
    <cfRule type="expression" dxfId="42" priority="2086" stopIfTrue="1">
      <formula>C$82=0</formula>
    </cfRule>
  </conditionalFormatting>
  <conditionalFormatting sqref="A16:N43">
    <cfRule type="expression" dxfId="41" priority="13" stopIfTrue="1">
      <formula>$B16=""</formula>
    </cfRule>
  </conditionalFormatting>
  <conditionalFormatting sqref="A56:A79 C56:AA79">
    <cfRule type="expression" dxfId="40" priority="2094" stopIfTrue="1">
      <formula>$N56=0</formula>
    </cfRule>
  </conditionalFormatting>
  <conditionalFormatting sqref="F20:G43">
    <cfRule type="expression" dxfId="39" priority="2095" stopIfTrue="1">
      <formula>$AD56=TRUE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xSplit="10" ySplit="42" topLeftCell="K375" activePane="bottomRight" state="frozen"/>
      <selection pane="topRight" activeCell="K1" sqref="K1"/>
      <selection pane="bottomLeft" activeCell="A43" sqref="A43"/>
      <selection pane="bottomRight" activeCell="F24" sqref="F24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34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46" customWidth="1"/>
    <col min="61" max="61" width="7.85546875" style="6" customWidth="1"/>
    <col min="62" max="64" width="10.140625" style="6" customWidth="1"/>
    <col min="65" max="65" width="10.140625" style="565" customWidth="1"/>
    <col min="66" max="69" width="10.140625" style="6" customWidth="1"/>
    <col min="70" max="70" width="10.140625" style="565" customWidth="1"/>
    <col min="71" max="71" width="10.140625" style="561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47" t="s">
        <v>195</v>
      </c>
      <c r="B1" s="90"/>
      <c r="K1" s="4"/>
      <c r="L1" s="4"/>
      <c r="M1" s="4"/>
      <c r="N1" s="269" t="s">
        <v>241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47">
        <v>1</v>
      </c>
      <c r="Z1" s="668" t="s">
        <v>226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41" t="s">
        <v>75</v>
      </c>
      <c r="AN1" s="4"/>
      <c r="AO1" s="4"/>
      <c r="AT1" s="755"/>
      <c r="AY1" s="755"/>
      <c r="BC1" s="1223" t="s">
        <v>208</v>
      </c>
      <c r="BD1" s="1223"/>
      <c r="BE1" s="1223"/>
      <c r="BF1" s="799"/>
      <c r="BH1" s="725" t="s">
        <v>200</v>
      </c>
      <c r="BJ1" s="710"/>
      <c r="BK1" s="710"/>
      <c r="BL1" s="710"/>
      <c r="BM1" s="710"/>
      <c r="BN1" s="710"/>
      <c r="BO1" s="710"/>
      <c r="BP1" s="710"/>
      <c r="BQ1" s="710"/>
      <c r="BR1" s="566"/>
      <c r="BS1" s="567"/>
      <c r="BT1" s="454"/>
    </row>
    <row r="2" spans="1:84" s="4" customFormat="1" ht="12.75" customHeight="1" thickBot="1" x14ac:dyDescent="0.3">
      <c r="A2" s="1230" t="str">
        <f>'Réglage perte'!B2</f>
        <v>Hangar Goussaud Espanès</v>
      </c>
      <c r="B2" s="1231"/>
      <c r="C2" s="1231"/>
      <c r="D2" s="1231"/>
      <c r="E2" s="1232"/>
      <c r="I2" s="1174" t="s">
        <v>364</v>
      </c>
      <c r="J2" s="1175">
        <f>AVERAGEIF($BW$15:$BZ$380,"&gt;0,97")</f>
        <v>1.0002058725296172</v>
      </c>
      <c r="L2" s="171">
        <v>43079</v>
      </c>
      <c r="M2" s="171">
        <v>43093</v>
      </c>
      <c r="N2" s="752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1">
        <v>43473</v>
      </c>
      <c r="AO2" s="171">
        <v>43487</v>
      </c>
      <c r="BB2" s="723"/>
      <c r="BC2" s="1223"/>
      <c r="BD2" s="1223"/>
      <c r="BE2" s="1223"/>
      <c r="BF2" s="799"/>
      <c r="BH2" s="28"/>
      <c r="BI2" s="558"/>
      <c r="BJ2" s="559"/>
      <c r="BK2" s="278"/>
      <c r="BL2" s="559"/>
      <c r="BM2" s="560"/>
      <c r="BN2" s="278"/>
      <c r="BP2" s="6"/>
      <c r="BQ2" s="278"/>
      <c r="BR2" s="560"/>
      <c r="BS2" s="561"/>
      <c r="BT2" s="6"/>
    </row>
    <row r="3" spans="1:84" s="4" customFormat="1" ht="12.75" customHeight="1" thickBot="1" x14ac:dyDescent="0.3">
      <c r="A3" s="1233"/>
      <c r="B3" s="1234"/>
      <c r="C3" s="1234"/>
      <c r="D3" s="1234"/>
      <c r="E3" s="1235"/>
      <c r="L3" s="747">
        <f>AL3</f>
        <v>975</v>
      </c>
      <c r="M3" s="751">
        <f>+AM3</f>
        <v>964.27499999999998</v>
      </c>
      <c r="N3" s="167">
        <v>1048.3399999999999</v>
      </c>
      <c r="O3" s="167">
        <v>1196.69</v>
      </c>
      <c r="P3" s="167">
        <v>1389.5450000000001</v>
      </c>
      <c r="Q3" s="167">
        <v>1607.125</v>
      </c>
      <c r="R3" s="167">
        <v>1819.76</v>
      </c>
      <c r="S3" s="167">
        <v>2012.615</v>
      </c>
      <c r="T3" s="167">
        <v>2190</v>
      </c>
      <c r="U3" s="167">
        <v>2320</v>
      </c>
      <c r="V3" s="167">
        <v>2410</v>
      </c>
      <c r="W3" s="167">
        <v>2470</v>
      </c>
      <c r="X3" s="167">
        <v>2505</v>
      </c>
      <c r="Y3" s="167">
        <v>2520</v>
      </c>
      <c r="Z3" s="167">
        <v>2510</v>
      </c>
      <c r="AA3" s="167">
        <v>2480</v>
      </c>
      <c r="AB3" s="167">
        <v>2420</v>
      </c>
      <c r="AC3" s="167">
        <v>2340</v>
      </c>
      <c r="AD3" s="167">
        <v>2240</v>
      </c>
      <c r="AE3" s="167">
        <v>2115</v>
      </c>
      <c r="AF3" s="167">
        <v>1965</v>
      </c>
      <c r="AG3" s="167">
        <v>1790</v>
      </c>
      <c r="AH3" s="167">
        <v>1605</v>
      </c>
      <c r="AI3" s="167">
        <v>1415</v>
      </c>
      <c r="AJ3" s="167">
        <v>1230</v>
      </c>
      <c r="AK3" s="167">
        <v>1070</v>
      </c>
      <c r="AL3" s="167">
        <v>975</v>
      </c>
      <c r="AM3" s="167">
        <v>964.27499999999998</v>
      </c>
      <c r="AN3" s="747">
        <f>+N3</f>
        <v>1048.3399999999999</v>
      </c>
      <c r="AO3" s="748">
        <f>+O3</f>
        <v>1196.69</v>
      </c>
      <c r="BC3" s="1223"/>
      <c r="BD3" s="1223"/>
      <c r="BE3" s="1223"/>
      <c r="BF3" s="799"/>
      <c r="BH3" s="28"/>
      <c r="BI3" s="6"/>
      <c r="BJ3" s="6"/>
      <c r="BK3" s="6"/>
      <c r="BL3" s="6"/>
      <c r="BM3" s="6"/>
      <c r="BN3" s="6"/>
      <c r="BO3" s="788" t="s">
        <v>238</v>
      </c>
      <c r="BP3" s="789">
        <v>0.3</v>
      </c>
      <c r="BQ3" s="790" t="s">
        <v>239</v>
      </c>
      <c r="BR3" s="791" t="s">
        <v>244</v>
      </c>
      <c r="BS3" s="559"/>
    </row>
    <row r="4" spans="1:84" s="4" customFormat="1" ht="12.75" customHeight="1" x14ac:dyDescent="0.25">
      <c r="A4" s="2"/>
      <c r="B4" s="413"/>
      <c r="E4" s="33"/>
      <c r="F4" s="562"/>
      <c r="K4" s="2"/>
      <c r="M4" s="626" t="s">
        <v>192</v>
      </c>
      <c r="N4" s="753">
        <f>MAX($BA15:$BA28)-1</f>
        <v>1.9961645088378832E-2</v>
      </c>
      <c r="O4" s="642">
        <f>MAX($BA29:$BA42)-1</f>
        <v>2.5682695128748989E-2</v>
      </c>
      <c r="P4" s="642">
        <f>MAX($BA43:$BA56)-1</f>
        <v>1.3925059481957325E-2</v>
      </c>
      <c r="Q4" s="642">
        <f>MAX(BA57:BA70)-1</f>
        <v>-8.4009128297477198E-2</v>
      </c>
      <c r="R4" s="642">
        <f>MAX(BA71:BA84)-1</f>
        <v>1.2792005051785793E-2</v>
      </c>
      <c r="S4" s="642">
        <f>MAX(BA85:BA98)-1</f>
        <v>-9.7265739513250349E-3</v>
      </c>
      <c r="T4" s="642">
        <f>MAX(BA99:BA112)-1</f>
        <v>1.9048601781774366E-2</v>
      </c>
      <c r="U4" s="642">
        <f>MAX(BA113:BA126)-1</f>
        <v>2.1296201426787675E-2</v>
      </c>
      <c r="V4" s="642">
        <f>MAX(BA127:BA140)-1</f>
        <v>-4.6386630888006763E-3</v>
      </c>
      <c r="W4" s="642">
        <f>MAX(BA141:BA154)-1</f>
        <v>-1.0290572610739734E-2</v>
      </c>
      <c r="X4" s="642">
        <f>MAX(BA155:BA168)-1</f>
        <v>2.4695533351327015E-2</v>
      </c>
      <c r="Y4" s="642">
        <f>MAX(BA169:BA182)-1</f>
        <v>4.4007926630025285E-3</v>
      </c>
      <c r="Z4" s="642">
        <f>MAX(BA183:BA196)-1</f>
        <v>4.0186714500313636E-2</v>
      </c>
      <c r="AA4" s="642">
        <f>MAX(BA197:BA210)-1</f>
        <v>3.4359116923776689E-3</v>
      </c>
      <c r="AB4" s="642">
        <f>MAX(BA211:BA224)-1</f>
        <v>3.4973585030091403E-3</v>
      </c>
      <c r="AC4" s="642">
        <f>MAX(BA225:BA238)-1</f>
        <v>-1.4642155974093352E-2</v>
      </c>
      <c r="AD4" s="642">
        <f>MAX(BA239:BA252)-1</f>
        <v>-3.4409546876421615E-2</v>
      </c>
      <c r="AE4" s="642">
        <f>MAX(BA253:BA266)-1</f>
        <v>-4.5094486468447492E-2</v>
      </c>
      <c r="AF4" s="642">
        <f>MAX(BA267:BA280)-1</f>
        <v>2.6572521034158747E-2</v>
      </c>
      <c r="AG4" s="642">
        <f>MAX(BA281:BA294)-1</f>
        <v>2.2484189466114968E-2</v>
      </c>
      <c r="AH4" s="642">
        <f>MAX(BA295:BA308)-1</f>
        <v>-1.9254829622371683E-2</v>
      </c>
      <c r="AI4" s="642">
        <f>MAX(BA309:BA322)-1</f>
        <v>-8.2251188658628571E-2</v>
      </c>
      <c r="AJ4" s="642">
        <f>MAX(BA323:BA336)-1</f>
        <v>-2.9634439239347943E-2</v>
      </c>
      <c r="AK4" s="642">
        <f>MAX(BA337:BA350)-1</f>
        <v>-0.34041536590656274</v>
      </c>
      <c r="AL4" s="642">
        <f>MAX(BA351:BA364)-1</f>
        <v>1.7971402144238091E-2</v>
      </c>
      <c r="AM4" s="642">
        <f>MAX(BA365:BA380)-1</f>
        <v>2.929923788564559E-2</v>
      </c>
      <c r="AN4" s="630"/>
      <c r="AP4" s="562"/>
      <c r="AU4" s="562"/>
      <c r="BC4" s="19"/>
      <c r="BD4" s="279"/>
      <c r="BE4" s="279"/>
      <c r="BF4" s="279"/>
      <c r="BI4" s="6"/>
      <c r="BJ4" s="6"/>
      <c r="BK4" s="6"/>
      <c r="BL4" s="6"/>
      <c r="BM4" s="6"/>
      <c r="BN4" s="6"/>
      <c r="BO4" s="351" t="s">
        <v>240</v>
      </c>
      <c r="BP4" s="792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20" t="s">
        <v>191</v>
      </c>
      <c r="B5" s="1221"/>
      <c r="C5" s="1221"/>
      <c r="D5" s="1221"/>
      <c r="E5" s="1221"/>
      <c r="F5" s="1221"/>
      <c r="G5" s="1221"/>
      <c r="H5" s="1221"/>
      <c r="I5" s="1221"/>
      <c r="J5" s="1222"/>
      <c r="K5" s="89"/>
      <c r="N5" s="88"/>
      <c r="O5" s="88"/>
      <c r="P5" s="19"/>
      <c r="Q5" s="70"/>
      <c r="R5" s="70"/>
      <c r="S5" s="70"/>
      <c r="T5" s="70"/>
      <c r="U5" s="70"/>
      <c r="V5" s="627"/>
      <c r="W5" s="70"/>
      <c r="X5" s="70"/>
      <c r="Y5" s="70"/>
      <c r="Z5" s="70"/>
      <c r="AA5" s="70"/>
      <c r="AB5" s="70"/>
      <c r="AC5" s="70"/>
      <c r="AD5" s="70"/>
      <c r="AE5" s="628"/>
      <c r="AF5" s="19"/>
      <c r="AG5" s="19"/>
      <c r="AH5" s="71"/>
      <c r="AI5" s="641"/>
      <c r="AJ5" s="641"/>
      <c r="AK5" s="641"/>
      <c r="AL5" s="641"/>
      <c r="AM5" s="88"/>
      <c r="AN5" s="640"/>
      <c r="AP5" s="749"/>
      <c r="AQ5" s="749"/>
      <c r="AR5" s="749"/>
      <c r="AS5" s="749"/>
      <c r="AT5" s="756"/>
      <c r="AU5" s="749"/>
      <c r="AV5" s="749"/>
      <c r="AW5" s="749"/>
      <c r="AX5" s="749"/>
      <c r="AY5" s="756"/>
      <c r="AZ5" s="749"/>
      <c r="BC5" s="19"/>
      <c r="BD5" s="279"/>
      <c r="BE5" s="279"/>
      <c r="BF5" s="279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4">
        <f>'2022'!An</f>
        <v>2022</v>
      </c>
      <c r="B6" s="264">
        <f>'2023'!An</f>
        <v>2023</v>
      </c>
      <c r="C6" s="264">
        <f>'2024'!An</f>
        <v>2024</v>
      </c>
      <c r="D6" s="264">
        <f>'2025'!An</f>
        <v>2025</v>
      </c>
      <c r="E6" s="264">
        <f>'2026'!An</f>
        <v>2026</v>
      </c>
      <c r="F6" s="266">
        <f>'2027'!An</f>
        <v>2027</v>
      </c>
      <c r="G6" s="266">
        <f>'2028'!An</f>
        <v>2028</v>
      </c>
      <c r="H6" s="266">
        <f>'2029'!An</f>
        <v>2029</v>
      </c>
      <c r="I6" s="266">
        <f>'2030'!An</f>
        <v>2030</v>
      </c>
      <c r="J6" s="266">
        <f>'2031'!An</f>
        <v>2031</v>
      </c>
      <c r="K6" s="2"/>
      <c r="BC6" s="37"/>
      <c r="BD6" s="280"/>
      <c r="BE6" s="280"/>
      <c r="BF6" s="280"/>
      <c r="BH6" s="160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5">
        <f>'2022'!Dépas_env</f>
        <v>4.0186714500313636E-2</v>
      </c>
      <c r="B7" s="265">
        <f>'2023'!Dépas_env</f>
        <v>4.0186714500313636E-2</v>
      </c>
      <c r="C7" s="265">
        <f>'2024'!Dépas_env</f>
        <v>4.0186714500313636E-2</v>
      </c>
      <c r="D7" s="265">
        <f>'2025'!Dépas_env</f>
        <v>4.0186714500313636E-2</v>
      </c>
      <c r="E7" s="265">
        <f>'2026'!Dépas_env</f>
        <v>4.0186714500313636E-2</v>
      </c>
      <c r="F7" s="592">
        <f>'2027'!Dépas_env</f>
        <v>4.0186714500313636E-2</v>
      </c>
      <c r="G7" s="592">
        <f>'2028'!Dépas_env</f>
        <v>4.0186714500313636E-2</v>
      </c>
      <c r="H7" s="592">
        <f>'2029'!Dépas_env</f>
        <v>4.0186714500313636E-2</v>
      </c>
      <c r="I7" s="592">
        <f>'2030'!Dépas_env</f>
        <v>4.0186714500313636E-2</v>
      </c>
      <c r="J7" s="592">
        <f>'2031'!Dépas_env</f>
        <v>4.0186714500313636E-2</v>
      </c>
      <c r="K7" s="2"/>
      <c r="BA7" s="631"/>
      <c r="BC7" s="19"/>
      <c r="BD7" s="279"/>
      <c r="BE7" s="279"/>
      <c r="BF7" s="279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66"/>
      <c r="B8" s="266"/>
      <c r="C8" s="266"/>
      <c r="D8" s="266"/>
      <c r="E8" s="266"/>
      <c r="F8" s="264"/>
      <c r="G8" s="264"/>
      <c r="H8" s="264"/>
      <c r="I8" s="264"/>
      <c r="J8" s="264"/>
      <c r="K8" s="2"/>
      <c r="BA8" s="631"/>
      <c r="BC8" s="6"/>
      <c r="BD8" s="278"/>
      <c r="BE8" s="278"/>
      <c r="BF8" s="278"/>
      <c r="BJ8" s="6"/>
      <c r="BK8" s="6"/>
      <c r="BL8" s="6"/>
      <c r="BM8" s="6"/>
      <c r="BN8" s="6"/>
      <c r="BO8" s="563"/>
      <c r="BP8" s="563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67"/>
      <c r="B9" s="267"/>
      <c r="C9" s="267"/>
      <c r="D9" s="267"/>
      <c r="E9" s="267"/>
      <c r="F9" s="267"/>
      <c r="G9" s="267"/>
      <c r="H9" s="267"/>
      <c r="I9" s="267"/>
      <c r="J9" s="267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31"/>
      <c r="BB9" s="19"/>
      <c r="BC9" s="19"/>
      <c r="BD9" s="279"/>
      <c r="BE9" s="279"/>
      <c r="BF9" s="279"/>
      <c r="BH9" s="692">
        <f>PousHi*($A$6-BP13-INDEX(Croivg,MIN(MAX(BO13-DATE(BP13,1,1)+1,0),366)))</f>
        <v>-1.0470773947367618E-2</v>
      </c>
      <c r="BI9" s="953" t="s">
        <v>296</v>
      </c>
      <c r="BJ9" s="6"/>
      <c r="BK9" s="6"/>
      <c r="BL9" s="6"/>
      <c r="BM9" s="6"/>
      <c r="BN9" s="6"/>
      <c r="BO9" s="563"/>
      <c r="BP9" s="563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0"/>
      <c r="BD10" s="278"/>
      <c r="BE10" s="278"/>
      <c r="BF10" s="278"/>
      <c r="BH10" s="1030">
        <f>MIN(MATCH(H_i,Echel_vg),10)</f>
        <v>5</v>
      </c>
      <c r="BI10" s="554"/>
      <c r="BO10" s="724"/>
      <c r="BP10" s="724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54" t="s">
        <v>316</v>
      </c>
      <c r="D11" s="1069">
        <v>0.97</v>
      </c>
      <c r="E11" s="8"/>
      <c r="J11" s="9"/>
      <c r="K11" s="7"/>
      <c r="L11" s="750" t="s">
        <v>227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79" t="s">
        <v>230</v>
      </c>
      <c r="AT11" s="27"/>
      <c r="AU11" s="679" t="s">
        <v>231</v>
      </c>
      <c r="AY11" s="27"/>
      <c r="AZ11" s="761" t="s">
        <v>234</v>
      </c>
      <c r="BA11" s="631"/>
      <c r="BB11" s="19"/>
      <c r="BC11" s="15"/>
      <c r="BD11" s="1224" t="s">
        <v>250</v>
      </c>
      <c r="BE11" s="1225"/>
      <c r="BF11" s="1228" t="s">
        <v>245</v>
      </c>
      <c r="BH11" s="1031">
        <f>INDEX(Echel_vg,$BH$10)</f>
        <v>-1</v>
      </c>
      <c r="BI11" s="554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86">
        <f>+MIN(B15:B379)</f>
        <v>7.65787086076881</v>
      </c>
      <c r="C12" s="12">
        <f>+MIN(C15:C379)</f>
        <v>2021</v>
      </c>
      <c r="D12" s="1042">
        <f>+MIN(D15:D379)</f>
        <v>0.97036556076065206</v>
      </c>
      <c r="E12" s="12">
        <f t="shared" ref="E12:J12" si="1">+MIN(E15:E379)</f>
        <v>96.427499999999995</v>
      </c>
      <c r="F12" s="412">
        <f t="shared" si="1"/>
        <v>1</v>
      </c>
      <c r="G12" s="12">
        <f t="shared" si="1"/>
        <v>2</v>
      </c>
      <c r="H12" s="169">
        <f t="shared" si="1"/>
        <v>43093</v>
      </c>
      <c r="I12" s="386">
        <f t="shared" si="1"/>
        <v>0</v>
      </c>
      <c r="J12" s="386">
        <f t="shared" si="1"/>
        <v>95.829549087796892</v>
      </c>
      <c r="K12" s="6"/>
      <c r="L12" s="171">
        <f>L2</f>
        <v>43079</v>
      </c>
      <c r="M12" s="171">
        <f t="shared" ref="M12:AO12" si="2">M2</f>
        <v>43093</v>
      </c>
      <c r="N12" s="171">
        <f t="shared" si="2"/>
        <v>43108</v>
      </c>
      <c r="O12" s="171">
        <f t="shared" si="2"/>
        <v>43122</v>
      </c>
      <c r="P12" s="171">
        <f t="shared" si="2"/>
        <v>43136</v>
      </c>
      <c r="Q12" s="171">
        <f t="shared" si="2"/>
        <v>43150</v>
      </c>
      <c r="R12" s="171">
        <f t="shared" si="2"/>
        <v>43164</v>
      </c>
      <c r="S12" s="171">
        <f t="shared" si="2"/>
        <v>43178</v>
      </c>
      <c r="T12" s="171">
        <f t="shared" si="2"/>
        <v>43192</v>
      </c>
      <c r="U12" s="171">
        <f t="shared" si="2"/>
        <v>43206</v>
      </c>
      <c r="V12" s="171">
        <f t="shared" si="2"/>
        <v>43220</v>
      </c>
      <c r="W12" s="171">
        <f t="shared" si="2"/>
        <v>43234</v>
      </c>
      <c r="X12" s="171">
        <f t="shared" si="2"/>
        <v>43248</v>
      </c>
      <c r="Y12" s="171">
        <f t="shared" si="2"/>
        <v>43262</v>
      </c>
      <c r="Z12" s="171">
        <f t="shared" si="2"/>
        <v>43276</v>
      </c>
      <c r="AA12" s="171">
        <f t="shared" si="2"/>
        <v>43290</v>
      </c>
      <c r="AB12" s="171">
        <f t="shared" si="2"/>
        <v>43304</v>
      </c>
      <c r="AC12" s="171">
        <f t="shared" si="2"/>
        <v>43318</v>
      </c>
      <c r="AD12" s="171">
        <f t="shared" si="2"/>
        <v>43332</v>
      </c>
      <c r="AE12" s="171">
        <f t="shared" si="2"/>
        <v>43346</v>
      </c>
      <c r="AF12" s="171">
        <f t="shared" si="2"/>
        <v>43360</v>
      </c>
      <c r="AG12" s="171">
        <f t="shared" si="2"/>
        <v>43374</v>
      </c>
      <c r="AH12" s="171">
        <f t="shared" si="2"/>
        <v>43388</v>
      </c>
      <c r="AI12" s="171">
        <f t="shared" si="2"/>
        <v>43402</v>
      </c>
      <c r="AJ12" s="171">
        <f t="shared" si="2"/>
        <v>43416</v>
      </c>
      <c r="AK12" s="171">
        <f t="shared" si="2"/>
        <v>43430</v>
      </c>
      <c r="AL12" s="171">
        <f t="shared" si="2"/>
        <v>43444</v>
      </c>
      <c r="AM12" s="171">
        <f t="shared" si="2"/>
        <v>43458</v>
      </c>
      <c r="AN12" s="171">
        <f t="shared" si="2"/>
        <v>43473</v>
      </c>
      <c r="AO12" s="171">
        <f t="shared" si="2"/>
        <v>43487</v>
      </c>
      <c r="AP12" s="412">
        <f t="shared" ref="AP12:AZ12" si="3">+MIN(AP15:AP379)</f>
        <v>1</v>
      </c>
      <c r="AQ12" s="12">
        <f t="shared" si="3"/>
        <v>2</v>
      </c>
      <c r="AR12" s="169">
        <f t="shared" si="3"/>
        <v>43079</v>
      </c>
      <c r="AS12" s="386">
        <f t="shared" si="3"/>
        <v>0</v>
      </c>
      <c r="AT12" s="386">
        <f t="shared" si="3"/>
        <v>96.254503280952051</v>
      </c>
      <c r="AU12" s="412">
        <f t="shared" si="3"/>
        <v>1</v>
      </c>
      <c r="AV12" s="12">
        <f t="shared" si="3"/>
        <v>2</v>
      </c>
      <c r="AW12" s="169">
        <f t="shared" si="3"/>
        <v>43093</v>
      </c>
      <c r="AX12" s="386">
        <f t="shared" si="3"/>
        <v>0</v>
      </c>
      <c r="AY12" s="386">
        <f t="shared" si="3"/>
        <v>96.026534340211327</v>
      </c>
      <c r="AZ12" s="386">
        <f t="shared" si="3"/>
        <v>96.171798140313385</v>
      </c>
      <c r="BA12" s="629"/>
      <c r="BC12" s="15"/>
      <c r="BD12" s="1226"/>
      <c r="BE12" s="1227"/>
      <c r="BF12" s="1229"/>
      <c r="BH12" s="1032">
        <f>(H_i-BH11)/(INDEX(Echel_vg,$BH$10+1)-BH$11)</f>
        <v>0.98952922605263238</v>
      </c>
      <c r="BJ12" s="6"/>
      <c r="BK12" s="6"/>
      <c r="BL12" s="6"/>
      <c r="BN12" s="351" t="str">
        <f>Masques!B53</f>
        <v>Pas de calcul pousse en hauteur:</v>
      </c>
      <c r="BO12" s="1098">
        <f>+Masques!C53</f>
        <v>1</v>
      </c>
      <c r="BP12" s="563"/>
      <c r="BQ12" s="563"/>
      <c r="BR12" s="564"/>
      <c r="BS12" s="561"/>
      <c r="BT12" s="6"/>
    </row>
    <row r="13" spans="1:84" s="4" customFormat="1" ht="12.75" customHeight="1" thickBot="1" x14ac:dyDescent="0.3">
      <c r="A13" s="27" t="s">
        <v>5</v>
      </c>
      <c r="B13" s="386">
        <f>+MAX(B15:B379)</f>
        <v>260.61207165828807</v>
      </c>
      <c r="C13" s="12">
        <f>+MAX(C15:C379)</f>
        <v>2022</v>
      </c>
      <c r="D13" s="1042">
        <f>+MAX(D15:D379)</f>
        <v>1.0401867145003136</v>
      </c>
      <c r="E13" s="12">
        <f t="shared" ref="E13:J13" si="4">+MAX(E15:E379)</f>
        <v>252</v>
      </c>
      <c r="F13" s="412">
        <f t="shared" si="4"/>
        <v>27</v>
      </c>
      <c r="G13" s="12">
        <f t="shared" si="4"/>
        <v>28</v>
      </c>
      <c r="H13" s="169">
        <f t="shared" si="4"/>
        <v>43458</v>
      </c>
      <c r="I13" s="386">
        <f t="shared" si="4"/>
        <v>1</v>
      </c>
      <c r="J13" s="386">
        <f t="shared" si="4"/>
        <v>252.01029519002356</v>
      </c>
      <c r="K13" s="6"/>
      <c r="L13" s="764">
        <f>AL13</f>
        <v>975</v>
      </c>
      <c r="M13" s="764">
        <f>+AM13</f>
        <v>964.27499999999998</v>
      </c>
      <c r="N13" s="763">
        <f>Ajust_M*N3</f>
        <v>1048.3399999999999</v>
      </c>
      <c r="O13" s="754">
        <f t="shared" ref="O13:AM13" si="5">Ajust_M*O3</f>
        <v>1196.69</v>
      </c>
      <c r="P13" s="754">
        <f t="shared" si="5"/>
        <v>1389.5450000000001</v>
      </c>
      <c r="Q13" s="754">
        <f t="shared" si="5"/>
        <v>1607.125</v>
      </c>
      <c r="R13" s="754">
        <f t="shared" si="5"/>
        <v>1819.76</v>
      </c>
      <c r="S13" s="754">
        <f t="shared" si="5"/>
        <v>2012.615</v>
      </c>
      <c r="T13" s="754">
        <f t="shared" si="5"/>
        <v>2190</v>
      </c>
      <c r="U13" s="754">
        <f t="shared" si="5"/>
        <v>2320</v>
      </c>
      <c r="V13" s="754">
        <f t="shared" si="5"/>
        <v>2410</v>
      </c>
      <c r="W13" s="754">
        <f t="shared" si="5"/>
        <v>2470</v>
      </c>
      <c r="X13" s="754">
        <f t="shared" si="5"/>
        <v>2505</v>
      </c>
      <c r="Y13" s="754">
        <f t="shared" si="5"/>
        <v>2520</v>
      </c>
      <c r="Z13" s="754">
        <f t="shared" si="5"/>
        <v>2510</v>
      </c>
      <c r="AA13" s="754">
        <f t="shared" si="5"/>
        <v>2480</v>
      </c>
      <c r="AB13" s="754">
        <f t="shared" si="5"/>
        <v>2420</v>
      </c>
      <c r="AC13" s="754">
        <f t="shared" si="5"/>
        <v>2340</v>
      </c>
      <c r="AD13" s="754">
        <f t="shared" si="5"/>
        <v>2240</v>
      </c>
      <c r="AE13" s="754">
        <f t="shared" si="5"/>
        <v>2115</v>
      </c>
      <c r="AF13" s="754">
        <f t="shared" si="5"/>
        <v>1965</v>
      </c>
      <c r="AG13" s="754">
        <f t="shared" si="5"/>
        <v>1790</v>
      </c>
      <c r="AH13" s="754">
        <f t="shared" si="5"/>
        <v>1605</v>
      </c>
      <c r="AI13" s="754">
        <f t="shared" si="5"/>
        <v>1415</v>
      </c>
      <c r="AJ13" s="754">
        <f t="shared" si="5"/>
        <v>1230</v>
      </c>
      <c r="AK13" s="754">
        <f t="shared" si="5"/>
        <v>1070</v>
      </c>
      <c r="AL13" s="754">
        <f t="shared" si="5"/>
        <v>975</v>
      </c>
      <c r="AM13" s="754">
        <f t="shared" si="5"/>
        <v>964.27499999999998</v>
      </c>
      <c r="AN13" s="764">
        <f>+N13</f>
        <v>1048.3399999999999</v>
      </c>
      <c r="AO13" s="764">
        <f>+O13</f>
        <v>1196.69</v>
      </c>
      <c r="AP13" s="412">
        <f t="shared" ref="AP13:AZ13" si="6">+MAX(AP15:AP379)</f>
        <v>15</v>
      </c>
      <c r="AQ13" s="12">
        <f t="shared" si="6"/>
        <v>14</v>
      </c>
      <c r="AR13" s="169">
        <f t="shared" si="6"/>
        <v>43473</v>
      </c>
      <c r="AS13" s="386">
        <f t="shared" si="6"/>
        <v>1</v>
      </c>
      <c r="AT13" s="386">
        <f t="shared" si="6"/>
        <v>251.92274052564591</v>
      </c>
      <c r="AU13" s="412">
        <f t="shared" si="6"/>
        <v>15</v>
      </c>
      <c r="AV13" s="12">
        <f t="shared" si="6"/>
        <v>14</v>
      </c>
      <c r="AW13" s="169">
        <f t="shared" si="6"/>
        <v>43487</v>
      </c>
      <c r="AX13" s="386">
        <f t="shared" si="6"/>
        <v>1</v>
      </c>
      <c r="AY13" s="386">
        <f t="shared" si="6"/>
        <v>252.01512390385784</v>
      </c>
      <c r="AZ13" s="386">
        <f t="shared" si="6"/>
        <v>251.96893221475187</v>
      </c>
      <c r="BA13" s="629"/>
      <c r="BC13" s="37"/>
      <c r="BD13" s="281" t="s">
        <v>49</v>
      </c>
      <c r="BE13" s="281" t="s">
        <v>48</v>
      </c>
      <c r="BF13" s="281" t="s">
        <v>248</v>
      </c>
      <c r="BH13" s="1033" t="s">
        <v>89</v>
      </c>
      <c r="BJ13" s="6"/>
      <c r="BN13" s="33" t="str">
        <f>Masques!G53</f>
        <v>Date de relevés hauteurs (ref. 0m):</v>
      </c>
      <c r="BO13" s="1099">
        <f>+Masques!I1</f>
        <v>44630</v>
      </c>
      <c r="BP13" s="791">
        <f>YEAR(BO13)</f>
        <v>2022</v>
      </c>
      <c r="BW13" s="667" t="s">
        <v>363</v>
      </c>
      <c r="CD13" s="6"/>
    </row>
    <row r="14" spans="1:84" ht="37.5" customHeight="1" thickBot="1" x14ac:dyDescent="0.3">
      <c r="A14" s="351" t="s">
        <v>114</v>
      </c>
      <c r="B14" s="1041" t="s">
        <v>3</v>
      </c>
      <c r="C14" s="1041" t="s">
        <v>13</v>
      </c>
      <c r="D14" s="1043" t="s">
        <v>317</v>
      </c>
      <c r="E14" s="170" t="s">
        <v>224</v>
      </c>
      <c r="F14" s="170" t="s">
        <v>220</v>
      </c>
      <c r="G14" s="170" t="s">
        <v>221</v>
      </c>
      <c r="H14" s="170" t="s">
        <v>222</v>
      </c>
      <c r="I14" s="734" t="s">
        <v>223</v>
      </c>
      <c r="J14" s="78" t="s">
        <v>0</v>
      </c>
      <c r="L14" s="2"/>
      <c r="M14" s="4" t="s">
        <v>225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0" t="s">
        <v>220</v>
      </c>
      <c r="AQ14" s="170" t="s">
        <v>221</v>
      </c>
      <c r="AR14" s="170" t="s">
        <v>222</v>
      </c>
      <c r="AS14" s="734" t="s">
        <v>223</v>
      </c>
      <c r="AT14" s="757" t="s">
        <v>232</v>
      </c>
      <c r="AU14" s="170" t="s">
        <v>220</v>
      </c>
      <c r="AV14" s="170" t="s">
        <v>221</v>
      </c>
      <c r="AW14" s="170" t="s">
        <v>222</v>
      </c>
      <c r="AX14" s="734" t="s">
        <v>223</v>
      </c>
      <c r="AY14" s="757" t="s">
        <v>233</v>
      </c>
      <c r="AZ14" s="78" t="s">
        <v>235</v>
      </c>
      <c r="BA14" s="632" t="s">
        <v>193</v>
      </c>
      <c r="BB14" s="72"/>
      <c r="BC14" s="351" t="s">
        <v>114</v>
      </c>
      <c r="BD14" s="282" t="s">
        <v>19</v>
      </c>
      <c r="BE14" s="283" t="s">
        <v>21</v>
      </c>
      <c r="BF14" s="804" t="s">
        <v>249</v>
      </c>
      <c r="BH14" s="1034" t="s">
        <v>90</v>
      </c>
      <c r="BI14" s="1029" t="s">
        <v>297</v>
      </c>
      <c r="BJ14" s="711">
        <f>+Masques!C55</f>
        <v>-5</v>
      </c>
      <c r="BK14" s="711">
        <f>+Masques!D55</f>
        <v>-4</v>
      </c>
      <c r="BL14" s="711">
        <f>+Masques!E55</f>
        <v>-3</v>
      </c>
      <c r="BM14" s="712">
        <f>+Masques!F55</f>
        <v>-2</v>
      </c>
      <c r="BN14" s="712">
        <f>+Masques!G55</f>
        <v>-1</v>
      </c>
      <c r="BO14" s="713">
        <f>+Masques!H55</f>
        <v>0</v>
      </c>
      <c r="BP14" s="711">
        <f>+Masques!I55</f>
        <v>1</v>
      </c>
      <c r="BQ14" s="711">
        <f>+Masques!J55</f>
        <v>2</v>
      </c>
      <c r="BR14" s="711">
        <f>+Masques!K55</f>
        <v>3</v>
      </c>
      <c r="BS14" s="711">
        <f>+Masques!L55</f>
        <v>4</v>
      </c>
      <c r="BT14" s="711">
        <f>+Masques!M55</f>
        <v>5</v>
      </c>
      <c r="BU14" s="954" t="s">
        <v>199</v>
      </c>
      <c r="BW14" s="1162">
        <v>2022</v>
      </c>
      <c r="BX14" s="1162">
        <v>2023</v>
      </c>
      <c r="BY14" s="1162">
        <v>2024</v>
      </c>
      <c r="BZ14" s="1162">
        <v>2025</v>
      </c>
      <c r="CA14" s="1162">
        <v>2026</v>
      </c>
      <c r="CB14" s="1162">
        <v>2027</v>
      </c>
      <c r="CC14" s="1162">
        <v>2028</v>
      </c>
      <c r="CD14" s="1162">
        <v>2029</v>
      </c>
      <c r="CE14" s="1162">
        <v>2030</v>
      </c>
      <c r="CF14" s="1162">
        <v>2031</v>
      </c>
    </row>
    <row r="15" spans="1:84" s="6" customFormat="1" ht="11.25" x14ac:dyDescent="0.2">
      <c r="A15" s="11">
        <v>43101</v>
      </c>
      <c r="B15" s="374">
        <f>'2022'!Maxi_hp</f>
        <v>99.941221484103295</v>
      </c>
      <c r="C15" s="740">
        <f>'2022'!An_max</f>
        <v>2022</v>
      </c>
      <c r="D15" s="1044">
        <f t="shared" ref="D15:D78" si="7">IF($BA15&gt;$D$11,BA15,"")</f>
        <v>1.0011866221014729</v>
      </c>
      <c r="E15" s="1039"/>
      <c r="F15" s="740">
        <f>INT(MATCH($A15,x.2m)/2)*2+1</f>
        <v>1</v>
      </c>
      <c r="G15" s="740">
        <f>INT((MATCH($A15,x.2m)+1)/2)*2</f>
        <v>2</v>
      </c>
      <c r="H15" s="741">
        <f t="shared" ref="H15:H78" si="8">INDEX(x.2m,F15)</f>
        <v>43093</v>
      </c>
      <c r="I15" s="742">
        <f t="shared" ref="I15:I78" si="9">($A15-H15)/(INDEX(x.2m,G15)-H15)</f>
        <v>0.53333333333333333</v>
      </c>
      <c r="J15" s="735">
        <f>((1-I15)*(INDEX(a.m,F15)*$A15*$A15+INDEX(b.m,F15)*$A15+INDEX(c.m,F15))+I15*(INDEX(a.m,G15)*$A15*$A15+INDEX(b.m,G15)*$A15+INDEX(c.m,G15)))/10</f>
        <v>99.822769579490028</v>
      </c>
      <c r="L15" s="744" t="s">
        <v>209</v>
      </c>
      <c r="M15" s="774">
        <f t="shared" ref="M15:AN15" si="10">L12</f>
        <v>43079</v>
      </c>
      <c r="N15" s="775">
        <f t="shared" si="10"/>
        <v>43093</v>
      </c>
      <c r="O15" s="765">
        <f t="shared" si="10"/>
        <v>43108</v>
      </c>
      <c r="P15" s="765">
        <f t="shared" si="10"/>
        <v>43122</v>
      </c>
      <c r="Q15" s="765">
        <f t="shared" si="10"/>
        <v>43136</v>
      </c>
      <c r="R15" s="765">
        <f t="shared" si="10"/>
        <v>43150</v>
      </c>
      <c r="S15" s="765">
        <f t="shared" si="10"/>
        <v>43164</v>
      </c>
      <c r="T15" s="765">
        <f t="shared" si="10"/>
        <v>43178</v>
      </c>
      <c r="U15" s="765">
        <f t="shared" si="10"/>
        <v>43192</v>
      </c>
      <c r="V15" s="765">
        <f t="shared" si="10"/>
        <v>43206</v>
      </c>
      <c r="W15" s="765">
        <f t="shared" si="10"/>
        <v>43220</v>
      </c>
      <c r="X15" s="765">
        <f t="shared" si="10"/>
        <v>43234</v>
      </c>
      <c r="Y15" s="765">
        <f t="shared" si="10"/>
        <v>43248</v>
      </c>
      <c r="Z15" s="765">
        <f t="shared" si="10"/>
        <v>43262</v>
      </c>
      <c r="AA15" s="765">
        <f t="shared" si="10"/>
        <v>43276</v>
      </c>
      <c r="AB15" s="765">
        <f t="shared" si="10"/>
        <v>43290</v>
      </c>
      <c r="AC15" s="765">
        <f t="shared" si="10"/>
        <v>43304</v>
      </c>
      <c r="AD15" s="765">
        <f t="shared" si="10"/>
        <v>43318</v>
      </c>
      <c r="AE15" s="765">
        <f t="shared" si="10"/>
        <v>43332</v>
      </c>
      <c r="AF15" s="765">
        <f t="shared" si="10"/>
        <v>43346</v>
      </c>
      <c r="AG15" s="765">
        <f t="shared" si="10"/>
        <v>43360</v>
      </c>
      <c r="AH15" s="765">
        <f t="shared" si="10"/>
        <v>43374</v>
      </c>
      <c r="AI15" s="765">
        <f t="shared" si="10"/>
        <v>43388</v>
      </c>
      <c r="AJ15" s="765">
        <f t="shared" si="10"/>
        <v>43402</v>
      </c>
      <c r="AK15" s="765">
        <f t="shared" si="10"/>
        <v>43416</v>
      </c>
      <c r="AL15" s="765">
        <f t="shared" si="10"/>
        <v>43430</v>
      </c>
      <c r="AM15" s="765">
        <f t="shared" si="10"/>
        <v>43444</v>
      </c>
      <c r="AN15" s="767">
        <f t="shared" si="10"/>
        <v>43458</v>
      </c>
      <c r="AO15" s="1038">
        <v>43101</v>
      </c>
      <c r="AP15" s="740">
        <f t="shared" ref="AP15:AP78" si="11">INT(MATCH($A15,x.2lg)/2)*2+1</f>
        <v>1</v>
      </c>
      <c r="AQ15" s="740">
        <f t="shared" ref="AQ15:AQ78" si="12">INT((MATCH($A15,x.2lg)+1)/2)*2</f>
        <v>2</v>
      </c>
      <c r="AR15" s="741">
        <f t="shared" ref="AR15:AR78" si="13">INDEX(x.2lg,AP15)</f>
        <v>43079</v>
      </c>
      <c r="AS15" s="742">
        <f t="shared" ref="AS15:AS78" si="14">($A15-AR15)/(INDEX(x.2lg,AQ15)-AR15)</f>
        <v>0.75862068965517238</v>
      </c>
      <c r="AT15" s="758">
        <f t="shared" ref="AT15:AT78" si="15">((1-AS15)*(INDEX(a.lg,AP15)*$A15*$A15+INDEX(b.lg,AP15)*$A15+INDEX(c.lg,AP15))+AS15*(INDEX(a.lg,AQ15)*$A15*$A15+INDEX(b.lg,AQ15)*$A15+INDEX(c.lg,AQ15)))/10</f>
        <v>100.32558774886461</v>
      </c>
      <c r="AU15" s="740">
        <f t="shared" ref="AU15:AU78" si="16">INT(MATCH($A15,x.2ld)/2)*2+1</f>
        <v>1</v>
      </c>
      <c r="AV15" s="740">
        <f t="shared" ref="AV15:AV78" si="17">INT((MATCH($A15,x.2ld)+1)/2)*2</f>
        <v>2</v>
      </c>
      <c r="AW15" s="741">
        <f t="shared" ref="AW15:AW78" si="18">INDEX(x.2ld,AU15)</f>
        <v>43093</v>
      </c>
      <c r="AX15" s="742">
        <f t="shared" ref="AX15:AX78" si="19">($A15-AW15)/(INDEX(x.2ld,AV15)-AW15)</f>
        <v>0.27586206896551724</v>
      </c>
      <c r="AY15" s="758">
        <f t="shared" ref="AY15:AY78" si="20">((1-AX15)*(INDEX(a.ld,AU15)*$A15*$A15+INDEX(b.ld,AU15)*$A15+INDEX(c.ld,AU15))+AX15*(INDEX(a.ld,AV15)*$A15*$A15+INDEX(b.ld,AV15)*$A15+INDEX(c.ld,AV15)))/10</f>
        <v>99.782355183979547</v>
      </c>
      <c r="AZ15" s="735">
        <f>(AY15+AT15)/2</f>
        <v>100.05397146642207</v>
      </c>
      <c r="BA15" s="633">
        <f t="shared" ref="BA15:BA78" si="21">+B15/J15</f>
        <v>1.0011866221014729</v>
      </c>
      <c r="BC15" s="11">
        <v>43101</v>
      </c>
      <c r="BD15" s="284">
        <f>[2]!FeuilCaduc*(1-Persistant)+Persistant</f>
        <v>0.60457829942861385</v>
      </c>
      <c r="BE15" s="285">
        <f>[2]!CroissVégét</f>
        <v>2.3909964587625958E-6</v>
      </c>
      <c r="BF15" s="805">
        <f>1+[2]!Salcycl*Ksac</f>
        <v>1.0005722874285767</v>
      </c>
      <c r="BH15" s="1035">
        <f t="shared" ref="BH15:BH78" si="22">INDEX($BJ15:$BT15,,$BH$10)*(1-Ratini)+INDEX($BJ15:$BT15,,$BH$10+1)*Ratini</f>
        <v>6.9208271234396088E-2</v>
      </c>
      <c r="BI15" s="11">
        <v>44197</v>
      </c>
      <c r="BJ15" s="811">
        <v>2.004729162751032E-2</v>
      </c>
      <c r="BK15" s="714">
        <v>3.007584603182285E-2</v>
      </c>
      <c r="BL15" s="714">
        <v>3.9959899687169752E-2</v>
      </c>
      <c r="BM15" s="714">
        <v>5.0120999752314564E-2</v>
      </c>
      <c r="BN15" s="714">
        <v>5.9425853977433905E-2</v>
      </c>
      <c r="BO15" s="715">
        <v>6.9311784578984278E-2</v>
      </c>
      <c r="BP15" s="714">
        <v>7.966084169367256E-2</v>
      </c>
      <c r="BQ15" s="714">
        <v>9.0940694098893729E-2</v>
      </c>
      <c r="BR15" s="714">
        <v>0.10312654892372131</v>
      </c>
      <c r="BS15" s="714">
        <v>0.1156425921083203</v>
      </c>
      <c r="BT15" s="714">
        <v>0.12753434311565015</v>
      </c>
      <c r="BW15" s="1163">
        <f>'2022'!R\Max</f>
        <v>1.0011866221014729</v>
      </c>
      <c r="BX15" s="1164">
        <f>'2023'!R\Max</f>
        <v>1.0011866221014729</v>
      </c>
      <c r="BY15" s="1164">
        <f>'2024'!R\Max</f>
        <v>1.0011866221014727</v>
      </c>
      <c r="BZ15" s="1164">
        <f>'2025'!R\Max</f>
        <v>1.0011866221014729</v>
      </c>
      <c r="CA15" s="1164">
        <f>'2026'!R\Max</f>
        <v>1.0011866221014729</v>
      </c>
      <c r="CB15" s="1164">
        <f>'2027'!R\Max</f>
        <v>1.0011866221014729</v>
      </c>
      <c r="CC15" s="1164">
        <f>'2028'!R\Max</f>
        <v>1.0011866221014729</v>
      </c>
      <c r="CD15" s="1164">
        <f>'2029'!R\Max</f>
        <v>1.0011866221014729</v>
      </c>
      <c r="CE15" s="1164">
        <f>'2030'!R\Max</f>
        <v>1.0011866221014729</v>
      </c>
      <c r="CF15" s="1165">
        <f>'2031'!R\Max</f>
        <v>1.0011866221014731</v>
      </c>
    </row>
    <row r="16" spans="1:84" s="6" customFormat="1" ht="11.25" x14ac:dyDescent="0.2">
      <c r="A16" s="11">
        <v>43102</v>
      </c>
      <c r="B16" s="375">
        <f>'2022'!Maxi_hp</f>
        <v>73.086107014148709</v>
      </c>
      <c r="C16" s="13">
        <f>'2022'!An_max</f>
        <v>2022</v>
      </c>
      <c r="D16" s="1045" t="str">
        <f t="shared" si="7"/>
        <v/>
      </c>
      <c r="E16" s="1040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69">
        <f t="shared" si="8"/>
        <v>43093</v>
      </c>
      <c r="I16" s="743">
        <f t="shared" si="9"/>
        <v>0.6</v>
      </c>
      <c r="J16" s="736">
        <f>((1-I16)*(INDEX(a.m,F16)*$A16*$A16+INDEX(b.m,F16)*$A16+INDEX(c.m,F16))+I16*(INDEX(a.m,G16)*$A16*$A16+INDEX(b.m,G16)*$A16+INDEX(c.m,G16)))/10</f>
        <v>100.43917714118957</v>
      </c>
      <c r="L16" s="745" t="s">
        <v>210</v>
      </c>
      <c r="M16" s="731">
        <f t="shared" ref="M16:AN16" si="25">L13</f>
        <v>975</v>
      </c>
      <c r="N16" s="770">
        <f t="shared" si="25"/>
        <v>964.27499999999998</v>
      </c>
      <c r="O16" s="732">
        <f t="shared" si="25"/>
        <v>1048.3399999999999</v>
      </c>
      <c r="P16" s="732">
        <f t="shared" si="25"/>
        <v>1196.69</v>
      </c>
      <c r="Q16" s="732">
        <f t="shared" si="25"/>
        <v>1389.5450000000001</v>
      </c>
      <c r="R16" s="732">
        <f t="shared" si="25"/>
        <v>1607.125</v>
      </c>
      <c r="S16" s="732">
        <f t="shared" si="25"/>
        <v>1819.76</v>
      </c>
      <c r="T16" s="732">
        <f t="shared" si="25"/>
        <v>2012.615</v>
      </c>
      <c r="U16" s="732">
        <f t="shared" si="25"/>
        <v>2190</v>
      </c>
      <c r="V16" s="732">
        <f t="shared" si="25"/>
        <v>2320</v>
      </c>
      <c r="W16" s="732">
        <f t="shared" si="25"/>
        <v>2410</v>
      </c>
      <c r="X16" s="732">
        <f t="shared" si="25"/>
        <v>2470</v>
      </c>
      <c r="Y16" s="732">
        <f t="shared" si="25"/>
        <v>2505</v>
      </c>
      <c r="Z16" s="732">
        <f t="shared" si="25"/>
        <v>2520</v>
      </c>
      <c r="AA16" s="732">
        <f t="shared" si="25"/>
        <v>2510</v>
      </c>
      <c r="AB16" s="732">
        <f t="shared" si="25"/>
        <v>2480</v>
      </c>
      <c r="AC16" s="732">
        <f t="shared" si="25"/>
        <v>2420</v>
      </c>
      <c r="AD16" s="732">
        <f t="shared" si="25"/>
        <v>2340</v>
      </c>
      <c r="AE16" s="732">
        <f t="shared" si="25"/>
        <v>2240</v>
      </c>
      <c r="AF16" s="732">
        <f t="shared" si="25"/>
        <v>2115</v>
      </c>
      <c r="AG16" s="732">
        <f t="shared" si="25"/>
        <v>1965</v>
      </c>
      <c r="AH16" s="732">
        <f t="shared" si="25"/>
        <v>1790</v>
      </c>
      <c r="AI16" s="732">
        <f t="shared" si="25"/>
        <v>1605</v>
      </c>
      <c r="AJ16" s="732">
        <f t="shared" si="25"/>
        <v>1415</v>
      </c>
      <c r="AK16" s="732">
        <f t="shared" si="25"/>
        <v>1230</v>
      </c>
      <c r="AL16" s="732">
        <f t="shared" si="25"/>
        <v>1070</v>
      </c>
      <c r="AM16" s="732">
        <f t="shared" si="25"/>
        <v>975</v>
      </c>
      <c r="AN16" s="768">
        <f t="shared" si="25"/>
        <v>964.27499999999998</v>
      </c>
      <c r="AO16" s="1038">
        <v>43102</v>
      </c>
      <c r="AP16" s="13">
        <f t="shared" si="11"/>
        <v>1</v>
      </c>
      <c r="AQ16" s="13">
        <f t="shared" si="12"/>
        <v>2</v>
      </c>
      <c r="AR16" s="169">
        <f t="shared" si="13"/>
        <v>43079</v>
      </c>
      <c r="AS16" s="743">
        <f t="shared" si="14"/>
        <v>0.7931034482758621</v>
      </c>
      <c r="AT16" s="759">
        <f t="shared" si="15"/>
        <v>100.87948910881734</v>
      </c>
      <c r="AU16" s="13">
        <f t="shared" si="16"/>
        <v>1</v>
      </c>
      <c r="AV16" s="13">
        <f t="shared" si="17"/>
        <v>2</v>
      </c>
      <c r="AW16" s="169">
        <f t="shared" si="18"/>
        <v>43093</v>
      </c>
      <c r="AX16" s="743">
        <f t="shared" si="19"/>
        <v>0.31034482758620691</v>
      </c>
      <c r="AY16" s="759">
        <f t="shared" si="20"/>
        <v>100.42149575681523</v>
      </c>
      <c r="AZ16" s="736">
        <f t="shared" ref="AZ16:AZ79" si="26">(AY16+AT16)/2</f>
        <v>100.65049243281629</v>
      </c>
      <c r="BA16" s="633">
        <f>+B16/J16</f>
        <v>0.72766533034624481</v>
      </c>
      <c r="BC16" s="11">
        <v>43102</v>
      </c>
      <c r="BD16" s="286">
        <f>[2]!FeuilCaduc*(1-Persistant)+Persistant</f>
        <v>0.60425825265103927</v>
      </c>
      <c r="BE16" s="287">
        <f>[2]!CroissVégét</f>
        <v>6.0820224447240291E-5</v>
      </c>
      <c r="BF16" s="806">
        <f>1+[2]!Salcycl*Ksac</f>
        <v>1.00053228158138</v>
      </c>
      <c r="BH16" s="1036">
        <f t="shared" si="22"/>
        <v>6.9245115316258057E-2</v>
      </c>
      <c r="BI16" s="11">
        <v>44198</v>
      </c>
      <c r="BJ16" s="716">
        <v>1.9874190488348709E-2</v>
      </c>
      <c r="BK16" s="716">
        <v>2.9739299433951292E-2</v>
      </c>
      <c r="BL16" s="716">
        <v>3.955583227163359E-2</v>
      </c>
      <c r="BM16" s="716">
        <v>4.9761297681683352E-2</v>
      </c>
      <c r="BN16" s="716">
        <v>5.9261263755958658E-2</v>
      </c>
      <c r="BO16" s="717">
        <v>6.9350760152266572E-2</v>
      </c>
      <c r="BP16" s="716">
        <v>7.9901989148916622E-2</v>
      </c>
      <c r="BQ16" s="716">
        <v>9.1355414844534466E-2</v>
      </c>
      <c r="BR16" s="716">
        <v>0.10360706111400329</v>
      </c>
      <c r="BS16" s="716">
        <v>0.11615816235197939</v>
      </c>
      <c r="BT16" s="716">
        <v>0.12803927341572222</v>
      </c>
      <c r="BW16" s="1166">
        <f>'2022'!R\Max</f>
        <v>0.72766533034624481</v>
      </c>
      <c r="BX16" s="1167">
        <f>'2023'!R\Max</f>
        <v>0.7275049453493192</v>
      </c>
      <c r="BY16" s="1167">
        <f>'2024'!R\Max</f>
        <v>0.72734430244714754</v>
      </c>
      <c r="BZ16" s="1167">
        <f>'2025'!R\Max</f>
        <v>0.72717008461842847</v>
      </c>
      <c r="CA16" s="1167">
        <f>'2026'!R\Max</f>
        <v>0.72699544847445929</v>
      </c>
      <c r="CB16" s="1167">
        <f>'2027'!R\Max</f>
        <v>0.72680875028694292</v>
      </c>
      <c r="CC16" s="1168">
        <f>'2028'!R\Max</f>
        <v>0.72662164716096256</v>
      </c>
      <c r="CD16" s="1167">
        <f>'2029'!R\Max</f>
        <v>0.72642991001047486</v>
      </c>
      <c r="CE16" s="1167">
        <f>'2030'!R\Max</f>
        <v>0.72751297075501031</v>
      </c>
      <c r="CF16" s="1169">
        <f>'2031'!R\Max</f>
        <v>0.7273523334163523</v>
      </c>
    </row>
    <row r="17" spans="1:84" s="6" customFormat="1" ht="11.25" x14ac:dyDescent="0.2">
      <c r="A17" s="11">
        <v>43103</v>
      </c>
      <c r="B17" s="375">
        <f>'2022'!Maxi_hp</f>
        <v>76.118546681586153</v>
      </c>
      <c r="C17" s="13">
        <f>'2022'!An_max</f>
        <v>2022</v>
      </c>
      <c r="D17" s="1045" t="str">
        <f t="shared" si="7"/>
        <v/>
      </c>
      <c r="E17" s="1040"/>
      <c r="F17" s="13">
        <f t="shared" si="23"/>
        <v>1</v>
      </c>
      <c r="G17" s="13">
        <f t="shared" si="24"/>
        <v>2</v>
      </c>
      <c r="H17" s="169">
        <f t="shared" si="8"/>
        <v>43093</v>
      </c>
      <c r="I17" s="743">
        <f t="shared" si="9"/>
        <v>0.66666666666666663</v>
      </c>
      <c r="J17" s="736">
        <f t="shared" ref="J17:J78" si="27">((1-I17)*(INDEX(a.m,F17)*$A17*$A17+INDEX(b.m,F17)*$A17+INDEX(c.m,F17))+I17*(INDEX(a.m,G17)*$A17*$A17+INDEX(b.m,G17)*$A17+INDEX(c.m,G17)))/10</f>
        <v>101.09191406567891</v>
      </c>
      <c r="L17" s="745" t="s">
        <v>211</v>
      </c>
      <c r="M17" s="771">
        <f t="shared" ref="M17:AN17" si="28">M12</f>
        <v>43093</v>
      </c>
      <c r="N17" s="727">
        <f t="shared" si="28"/>
        <v>43108</v>
      </c>
      <c r="O17" s="727">
        <f t="shared" si="28"/>
        <v>43122</v>
      </c>
      <c r="P17" s="727">
        <f t="shared" si="28"/>
        <v>43136</v>
      </c>
      <c r="Q17" s="727">
        <f t="shared" si="28"/>
        <v>43150</v>
      </c>
      <c r="R17" s="727">
        <f t="shared" si="28"/>
        <v>43164</v>
      </c>
      <c r="S17" s="727">
        <f t="shared" si="28"/>
        <v>43178</v>
      </c>
      <c r="T17" s="727">
        <f t="shared" si="28"/>
        <v>43192</v>
      </c>
      <c r="U17" s="727">
        <f t="shared" si="28"/>
        <v>43206</v>
      </c>
      <c r="V17" s="727">
        <f t="shared" si="28"/>
        <v>43220</v>
      </c>
      <c r="W17" s="727">
        <f t="shared" si="28"/>
        <v>43234</v>
      </c>
      <c r="X17" s="727">
        <f t="shared" si="28"/>
        <v>43248</v>
      </c>
      <c r="Y17" s="727">
        <f t="shared" si="28"/>
        <v>43262</v>
      </c>
      <c r="Z17" s="727">
        <f t="shared" si="28"/>
        <v>43276</v>
      </c>
      <c r="AA17" s="727">
        <f t="shared" si="28"/>
        <v>43290</v>
      </c>
      <c r="AB17" s="727">
        <f t="shared" si="28"/>
        <v>43304</v>
      </c>
      <c r="AC17" s="727">
        <f t="shared" si="28"/>
        <v>43318</v>
      </c>
      <c r="AD17" s="727">
        <f t="shared" si="28"/>
        <v>43332</v>
      </c>
      <c r="AE17" s="727">
        <f t="shared" si="28"/>
        <v>43346</v>
      </c>
      <c r="AF17" s="727">
        <f t="shared" si="28"/>
        <v>43360</v>
      </c>
      <c r="AG17" s="727">
        <f t="shared" si="28"/>
        <v>43374</v>
      </c>
      <c r="AH17" s="727">
        <f t="shared" si="28"/>
        <v>43388</v>
      </c>
      <c r="AI17" s="727">
        <f t="shared" si="28"/>
        <v>43402</v>
      </c>
      <c r="AJ17" s="727">
        <f t="shared" si="28"/>
        <v>43416</v>
      </c>
      <c r="AK17" s="727">
        <f t="shared" si="28"/>
        <v>43430</v>
      </c>
      <c r="AL17" s="727">
        <f t="shared" si="28"/>
        <v>43444</v>
      </c>
      <c r="AM17" s="769">
        <f t="shared" si="28"/>
        <v>43458</v>
      </c>
      <c r="AN17" s="776">
        <f t="shared" si="28"/>
        <v>43473</v>
      </c>
      <c r="AO17" s="1038">
        <v>43103</v>
      </c>
      <c r="AP17" s="13">
        <f t="shared" si="11"/>
        <v>1</v>
      </c>
      <c r="AQ17" s="13">
        <f t="shared" si="12"/>
        <v>2</v>
      </c>
      <c r="AR17" s="169">
        <f t="shared" si="13"/>
        <v>43079</v>
      </c>
      <c r="AS17" s="743">
        <f t="shared" si="14"/>
        <v>0.82758620689655171</v>
      </c>
      <c r="AT17" s="759">
        <f t="shared" si="15"/>
        <v>101.46464030537112</v>
      </c>
      <c r="AU17" s="13">
        <f t="shared" si="16"/>
        <v>1</v>
      </c>
      <c r="AV17" s="13">
        <f t="shared" si="17"/>
        <v>2</v>
      </c>
      <c r="AW17" s="169">
        <f t="shared" si="18"/>
        <v>43093</v>
      </c>
      <c r="AX17" s="743">
        <f t="shared" si="19"/>
        <v>0.34482758620689657</v>
      </c>
      <c r="AY17" s="759">
        <f t="shared" si="20"/>
        <v>101.10325073620369</v>
      </c>
      <c r="AZ17" s="736">
        <f t="shared" si="26"/>
        <v>101.2839455207874</v>
      </c>
      <c r="BA17" s="633">
        <f t="shared" si="21"/>
        <v>0.75296374972317093</v>
      </c>
      <c r="BC17" s="11">
        <v>43103</v>
      </c>
      <c r="BD17" s="286">
        <f>[2]!FeuilCaduc*(1-Persistant)+Persistant</f>
        <v>0.60395621458428694</v>
      </c>
      <c r="BE17" s="287">
        <f>[2]!CroissVégét</f>
        <v>1.216934154264056E-4</v>
      </c>
      <c r="BF17" s="806">
        <f>1+[2]!Salcycl*Ksac</f>
        <v>1.0004945268230359</v>
      </c>
      <c r="BH17" s="1036">
        <f t="shared" si="22"/>
        <v>6.9222678005418536E-2</v>
      </c>
      <c r="BI17" s="11">
        <v>44199</v>
      </c>
      <c r="BJ17" s="716">
        <v>1.9662346941515703E-2</v>
      </c>
      <c r="BK17" s="716">
        <v>2.9357489409548552E-2</v>
      </c>
      <c r="BL17" s="716">
        <v>3.9109758506310786E-2</v>
      </c>
      <c r="BM17" s="716">
        <v>4.9358950200960629E-2</v>
      </c>
      <c r="BN17" s="716">
        <v>5.9046502837472148E-2</v>
      </c>
      <c r="BO17" s="717">
        <v>6.9330357927372369E-2</v>
      </c>
      <c r="BP17" s="716">
        <v>8.0090615948989599E-2</v>
      </c>
      <c r="BQ17" s="716">
        <v>9.1736705462698354E-2</v>
      </c>
      <c r="BR17" s="716">
        <v>0.10408177604062774</v>
      </c>
      <c r="BS17" s="716">
        <v>0.11669680191372452</v>
      </c>
      <c r="BT17" s="716">
        <v>0.12860224564061579</v>
      </c>
      <c r="BW17" s="1166">
        <f>'2022'!R\Max</f>
        <v>0.75296374972317093</v>
      </c>
      <c r="BX17" s="1167">
        <f>'2023'!R\Max</f>
        <v>0.75281128809861619</v>
      </c>
      <c r="BY17" s="1167">
        <f>'2024'!R\Max</f>
        <v>0.75265857240003897</v>
      </c>
      <c r="BZ17" s="1167">
        <f>'2025'!R\Max</f>
        <v>0.75249341853955021</v>
      </c>
      <c r="CA17" s="1167">
        <f>'2026'!R\Max</f>
        <v>0.75232786960754738</v>
      </c>
      <c r="CB17" s="1167">
        <f>'2027'!R\Max</f>
        <v>0.75215244617467403</v>
      </c>
      <c r="CC17" s="1168">
        <f>'2028'!R\Max</f>
        <v>0.75197666572393129</v>
      </c>
      <c r="CD17" s="1167">
        <f>'2029'!R\Max</f>
        <v>0.75179696631769266</v>
      </c>
      <c r="CE17" s="1167">
        <f>'2030'!R\Max</f>
        <v>0.75281891727499872</v>
      </c>
      <c r="CF17" s="1169">
        <f>'2031'!R\Max</f>
        <v>0.75266620724971867</v>
      </c>
    </row>
    <row r="18" spans="1:84" s="6" customFormat="1" ht="11.25" x14ac:dyDescent="0.2">
      <c r="A18" s="11">
        <v>43104</v>
      </c>
      <c r="B18" s="375">
        <f>'2022'!Maxi_hp</f>
        <v>81.754015578877613</v>
      </c>
      <c r="C18" s="13">
        <f>'2022'!An_max</f>
        <v>2022</v>
      </c>
      <c r="D18" s="1045" t="str">
        <f t="shared" si="7"/>
        <v/>
      </c>
      <c r="E18" s="1040"/>
      <c r="F18" s="13">
        <f t="shared" si="23"/>
        <v>1</v>
      </c>
      <c r="G18" s="13">
        <f t="shared" si="24"/>
        <v>2</v>
      </c>
      <c r="H18" s="169">
        <f t="shared" si="8"/>
        <v>43093</v>
      </c>
      <c r="I18" s="743">
        <f t="shared" si="9"/>
        <v>0.73333333333333328</v>
      </c>
      <c r="J18" s="736">
        <f t="shared" si="27"/>
        <v>101.77907923022906</v>
      </c>
      <c r="L18" s="745" t="s">
        <v>212</v>
      </c>
      <c r="M18" s="770">
        <f t="shared" ref="M18:AN18" si="29">M13</f>
        <v>964.27499999999998</v>
      </c>
      <c r="N18" s="733">
        <f t="shared" si="29"/>
        <v>1048.3399999999999</v>
      </c>
      <c r="O18" s="733">
        <f t="shared" si="29"/>
        <v>1196.69</v>
      </c>
      <c r="P18" s="733">
        <f t="shared" si="29"/>
        <v>1389.5450000000001</v>
      </c>
      <c r="Q18" s="733">
        <f t="shared" si="29"/>
        <v>1607.125</v>
      </c>
      <c r="R18" s="733">
        <f t="shared" si="29"/>
        <v>1819.76</v>
      </c>
      <c r="S18" s="733">
        <f t="shared" si="29"/>
        <v>2012.615</v>
      </c>
      <c r="T18" s="733">
        <f t="shared" si="29"/>
        <v>2190</v>
      </c>
      <c r="U18" s="733">
        <f t="shared" si="29"/>
        <v>2320</v>
      </c>
      <c r="V18" s="733">
        <f t="shared" si="29"/>
        <v>2410</v>
      </c>
      <c r="W18" s="733">
        <f t="shared" si="29"/>
        <v>2470</v>
      </c>
      <c r="X18" s="733">
        <f t="shared" si="29"/>
        <v>2505</v>
      </c>
      <c r="Y18" s="733">
        <f t="shared" si="29"/>
        <v>2520</v>
      </c>
      <c r="Z18" s="733">
        <f t="shared" si="29"/>
        <v>2510</v>
      </c>
      <c r="AA18" s="733">
        <f t="shared" si="29"/>
        <v>2480</v>
      </c>
      <c r="AB18" s="733">
        <f t="shared" si="29"/>
        <v>2420</v>
      </c>
      <c r="AC18" s="733">
        <f t="shared" si="29"/>
        <v>2340</v>
      </c>
      <c r="AD18" s="733">
        <f t="shared" si="29"/>
        <v>2240</v>
      </c>
      <c r="AE18" s="733">
        <f t="shared" si="29"/>
        <v>2115</v>
      </c>
      <c r="AF18" s="733">
        <f t="shared" si="29"/>
        <v>1965</v>
      </c>
      <c r="AG18" s="733">
        <f t="shared" si="29"/>
        <v>1790</v>
      </c>
      <c r="AH18" s="733">
        <f t="shared" si="29"/>
        <v>1605</v>
      </c>
      <c r="AI18" s="733">
        <f t="shared" si="29"/>
        <v>1415</v>
      </c>
      <c r="AJ18" s="733">
        <f t="shared" si="29"/>
        <v>1230</v>
      </c>
      <c r="AK18" s="733">
        <f t="shared" si="29"/>
        <v>1070</v>
      </c>
      <c r="AL18" s="733">
        <f t="shared" si="29"/>
        <v>975</v>
      </c>
      <c r="AM18" s="768">
        <f t="shared" si="29"/>
        <v>964.27499999999998</v>
      </c>
      <c r="AN18" s="766">
        <f t="shared" si="29"/>
        <v>1048.3399999999999</v>
      </c>
      <c r="AO18" s="1038">
        <v>43104</v>
      </c>
      <c r="AP18" s="13">
        <f t="shared" si="11"/>
        <v>1</v>
      </c>
      <c r="AQ18" s="13">
        <f t="shared" si="12"/>
        <v>2</v>
      </c>
      <c r="AR18" s="169">
        <f t="shared" si="13"/>
        <v>43079</v>
      </c>
      <c r="AS18" s="743">
        <f t="shared" si="14"/>
        <v>0.86206896551724133</v>
      </c>
      <c r="AT18" s="759">
        <f t="shared" si="15"/>
        <v>102.08032295436695</v>
      </c>
      <c r="AU18" s="13">
        <f t="shared" si="16"/>
        <v>1</v>
      </c>
      <c r="AV18" s="13">
        <f t="shared" si="17"/>
        <v>2</v>
      </c>
      <c r="AW18" s="169">
        <f t="shared" si="18"/>
        <v>43093</v>
      </c>
      <c r="AX18" s="743">
        <f t="shared" si="19"/>
        <v>0.37931034482758619</v>
      </c>
      <c r="AY18" s="759">
        <f t="shared" si="20"/>
        <v>101.82575221565261</v>
      </c>
      <c r="AZ18" s="736">
        <f t="shared" si="26"/>
        <v>101.95303758500978</v>
      </c>
      <c r="BA18" s="633">
        <f t="shared" si="21"/>
        <v>0.80324970708318344</v>
      </c>
      <c r="BC18" s="11">
        <v>43104</v>
      </c>
      <c r="BD18" s="286">
        <f>[2]!FeuilCaduc*(1-Persistant)+Persistant</f>
        <v>0.60367031220166523</v>
      </c>
      <c r="BE18" s="287">
        <f>[2]!CroissVégét</f>
        <v>1.8511247801664469E-4</v>
      </c>
      <c r="BF18" s="806">
        <f>1+[2]!Salcycl*Ksac</f>
        <v>1.0004587890252081</v>
      </c>
      <c r="BH18" s="1036">
        <f t="shared" si="22"/>
        <v>6.9140738756571271E-2</v>
      </c>
      <c r="BI18" s="11">
        <v>44200</v>
      </c>
      <c r="BJ18" s="716">
        <v>1.9411669548453896E-2</v>
      </c>
      <c r="BK18" s="716">
        <v>2.8930293764352865E-2</v>
      </c>
      <c r="BL18" s="716">
        <v>3.862153834032369E-2</v>
      </c>
      <c r="BM18" s="716">
        <v>4.8913794950648508E-2</v>
      </c>
      <c r="BN18" s="716">
        <v>5.8781381219636684E-2</v>
      </c>
      <c r="BO18" s="717">
        <v>6.9250357035802804E-2</v>
      </c>
      <c r="BP18" s="716">
        <v>8.0226488813771923E-2</v>
      </c>
      <c r="BQ18" s="716">
        <v>9.2084332857767251E-2</v>
      </c>
      <c r="BR18" s="716">
        <v>0.10455046835809838</v>
      </c>
      <c r="BS18" s="716">
        <v>0.11725829374441855</v>
      </c>
      <c r="BT18" s="716">
        <v>0.12922305942614787</v>
      </c>
      <c r="BW18" s="1166">
        <f>'2022'!R\Max</f>
        <v>0.80324970708318344</v>
      </c>
      <c r="BX18" s="1167">
        <f>'2023'!R\Max</f>
        <v>0.80311852497123737</v>
      </c>
      <c r="BY18" s="1167">
        <f>'2024'!R\Max</f>
        <v>0.80298710712689358</v>
      </c>
      <c r="BZ18" s="1167">
        <f>'2025'!R\Max</f>
        <v>0.80284522830308525</v>
      </c>
      <c r="CA18" s="1167">
        <f>'2026'!R\Max</f>
        <v>0.80270300171744779</v>
      </c>
      <c r="CB18" s="1167">
        <f>'2027'!R\Max</f>
        <v>0.80255349195847125</v>
      </c>
      <c r="CC18" s="1168">
        <f>'2028'!R\Max</f>
        <v>0.80240368821869379</v>
      </c>
      <c r="CD18" s="1167">
        <f>'2029'!R\Max</f>
        <v>0.80225089365161484</v>
      </c>
      <c r="CE18" s="1167">
        <f>'2030'!R\Max</f>
        <v>0.80312508985578235</v>
      </c>
      <c r="CF18" s="1169">
        <f>'2031'!R\Max</f>
        <v>0.80299367750474593</v>
      </c>
    </row>
    <row r="19" spans="1:84" s="6" customFormat="1" ht="11.25" x14ac:dyDescent="0.2">
      <c r="A19" s="11">
        <v>43105</v>
      </c>
      <c r="B19" s="375">
        <f>'2022'!Maxi_hp</f>
        <v>61.477299806338095</v>
      </c>
      <c r="C19" s="13">
        <f>'2022'!An_max</f>
        <v>2022</v>
      </c>
      <c r="D19" s="1045" t="str">
        <f t="shared" si="7"/>
        <v/>
      </c>
      <c r="E19" s="1040"/>
      <c r="F19" s="13">
        <f t="shared" si="23"/>
        <v>1</v>
      </c>
      <c r="G19" s="13">
        <f t="shared" si="24"/>
        <v>2</v>
      </c>
      <c r="H19" s="169">
        <f t="shared" si="8"/>
        <v>43093</v>
      </c>
      <c r="I19" s="743">
        <f t="shared" si="9"/>
        <v>0.8</v>
      </c>
      <c r="J19" s="736">
        <f t="shared" si="27"/>
        <v>102.49877152562142</v>
      </c>
      <c r="L19" s="745" t="s">
        <v>213</v>
      </c>
      <c r="M19" s="772">
        <f t="shared" ref="M19:AN19" si="30">N12</f>
        <v>43108</v>
      </c>
      <c r="N19" s="728">
        <f t="shared" si="30"/>
        <v>43122</v>
      </c>
      <c r="O19" s="728">
        <f t="shared" si="30"/>
        <v>43136</v>
      </c>
      <c r="P19" s="728">
        <f t="shared" si="30"/>
        <v>43150</v>
      </c>
      <c r="Q19" s="728">
        <f t="shared" si="30"/>
        <v>43164</v>
      </c>
      <c r="R19" s="728">
        <f t="shared" si="30"/>
        <v>43178</v>
      </c>
      <c r="S19" s="728">
        <f t="shared" si="30"/>
        <v>43192</v>
      </c>
      <c r="T19" s="728">
        <f t="shared" si="30"/>
        <v>43206</v>
      </c>
      <c r="U19" s="728">
        <f t="shared" si="30"/>
        <v>43220</v>
      </c>
      <c r="V19" s="728">
        <f t="shared" si="30"/>
        <v>43234</v>
      </c>
      <c r="W19" s="728">
        <f t="shared" si="30"/>
        <v>43248</v>
      </c>
      <c r="X19" s="728">
        <f t="shared" si="30"/>
        <v>43262</v>
      </c>
      <c r="Y19" s="728">
        <f t="shared" si="30"/>
        <v>43276</v>
      </c>
      <c r="Z19" s="728">
        <f t="shared" si="30"/>
        <v>43290</v>
      </c>
      <c r="AA19" s="728">
        <f t="shared" si="30"/>
        <v>43304</v>
      </c>
      <c r="AB19" s="728">
        <f t="shared" si="30"/>
        <v>43318</v>
      </c>
      <c r="AC19" s="728">
        <f t="shared" si="30"/>
        <v>43332</v>
      </c>
      <c r="AD19" s="728">
        <f t="shared" si="30"/>
        <v>43346</v>
      </c>
      <c r="AE19" s="728">
        <f t="shared" si="30"/>
        <v>43360</v>
      </c>
      <c r="AF19" s="728">
        <f t="shared" si="30"/>
        <v>43374</v>
      </c>
      <c r="AG19" s="728">
        <f t="shared" si="30"/>
        <v>43388</v>
      </c>
      <c r="AH19" s="728">
        <f t="shared" si="30"/>
        <v>43402</v>
      </c>
      <c r="AI19" s="728">
        <f t="shared" si="30"/>
        <v>43416</v>
      </c>
      <c r="AJ19" s="728">
        <f t="shared" si="30"/>
        <v>43430</v>
      </c>
      <c r="AK19" s="728">
        <f t="shared" si="30"/>
        <v>43444</v>
      </c>
      <c r="AL19" s="769">
        <f t="shared" si="30"/>
        <v>43458</v>
      </c>
      <c r="AM19" s="729">
        <f t="shared" si="30"/>
        <v>43473</v>
      </c>
      <c r="AN19" s="729">
        <f t="shared" si="30"/>
        <v>43487</v>
      </c>
      <c r="AO19" s="1038">
        <v>43105</v>
      </c>
      <c r="AP19" s="13">
        <f t="shared" si="11"/>
        <v>1</v>
      </c>
      <c r="AQ19" s="13">
        <f t="shared" si="12"/>
        <v>2</v>
      </c>
      <c r="AR19" s="169">
        <f t="shared" si="13"/>
        <v>43079</v>
      </c>
      <c r="AS19" s="743">
        <f t="shared" si="14"/>
        <v>0.89655172413793105</v>
      </c>
      <c r="AT19" s="759">
        <f t="shared" si="15"/>
        <v>102.72581863280001</v>
      </c>
      <c r="AU19" s="13">
        <f t="shared" si="16"/>
        <v>1</v>
      </c>
      <c r="AV19" s="13">
        <f t="shared" si="17"/>
        <v>2</v>
      </c>
      <c r="AW19" s="169">
        <f t="shared" si="18"/>
        <v>43093</v>
      </c>
      <c r="AX19" s="743">
        <f t="shared" si="19"/>
        <v>0.41379310344827586</v>
      </c>
      <c r="AY19" s="759">
        <f t="shared" si="20"/>
        <v>102.58713226277253</v>
      </c>
      <c r="AZ19" s="736">
        <f t="shared" si="26"/>
        <v>102.65647544778628</v>
      </c>
      <c r="BA19" s="633">
        <f t="shared" si="21"/>
        <v>0.59978572319738221</v>
      </c>
      <c r="BC19" s="11">
        <v>43105</v>
      </c>
      <c r="BD19" s="286">
        <f>[2]!FeuilCaduc*(1-Persistant)+Persistant</f>
        <v>0.60339891408843827</v>
      </c>
      <c r="BE19" s="287">
        <f>[2]!CroissVégét</f>
        <v>2.5118354313997834E-4</v>
      </c>
      <c r="BF19" s="806">
        <f>1+[2]!Salcycl*Ksac</f>
        <v>1.0004248642610547</v>
      </c>
      <c r="BH19" s="1036">
        <f t="shared" si="22"/>
        <v>6.8999076672682944E-2</v>
      </c>
      <c r="BI19" s="11">
        <v>44201</v>
      </c>
      <c r="BJ19" s="716">
        <v>1.9122068246727672E-2</v>
      </c>
      <c r="BK19" s="716">
        <v>2.8457593086104131E-2</v>
      </c>
      <c r="BL19" s="716">
        <v>3.8091035131983378E-2</v>
      </c>
      <c r="BM19" s="716">
        <v>4.8425672631356408E-2</v>
      </c>
      <c r="BN19" s="716">
        <v>5.8465710284209743E-2</v>
      </c>
      <c r="BO19" s="717">
        <v>6.9110536238964251E-2</v>
      </c>
      <c r="BP19" s="716">
        <v>8.0309372425349287E-2</v>
      </c>
      <c r="BQ19" s="716">
        <v>9.2398060532593793E-2</v>
      </c>
      <c r="BR19" s="716">
        <v>0.10501290892182392</v>
      </c>
      <c r="BS19" s="716">
        <v>0.11784241686854323</v>
      </c>
      <c r="BT19" s="716">
        <v>0.12990151077199213</v>
      </c>
      <c r="BW19" s="1166">
        <f>'2022'!R\Max</f>
        <v>0.59978572319738221</v>
      </c>
      <c r="BX19" s="1167">
        <f>'2023'!R\Max</f>
        <v>0.59958399551940833</v>
      </c>
      <c r="BY19" s="1167">
        <f>'2024'!R\Max</f>
        <v>0.5993819593232782</v>
      </c>
      <c r="BZ19" s="1167">
        <f>'2025'!R\Max</f>
        <v>0.59916408746223448</v>
      </c>
      <c r="CA19" s="1167">
        <f>'2026'!R\Max</f>
        <v>0.59894576445759617</v>
      </c>
      <c r="CB19" s="1167">
        <f>'2027'!R\Max</f>
        <v>0.59871800884429027</v>
      </c>
      <c r="CC19" s="1168">
        <f>'2028'!R\Max</f>
        <v>0.59848992687052582</v>
      </c>
      <c r="CD19" s="1167">
        <f>'2029'!R\Max</f>
        <v>0.5982579109993772</v>
      </c>
      <c r="CE19" s="1167">
        <f>'2030'!R\Max</f>
        <v>0.59959408985239526</v>
      </c>
      <c r="CF19" s="1169">
        <f>'2031'!R\Max</f>
        <v>0.59939205874959434</v>
      </c>
    </row>
    <row r="20" spans="1:84" s="6" customFormat="1" ht="11.25" x14ac:dyDescent="0.2">
      <c r="A20" s="11">
        <v>43106</v>
      </c>
      <c r="B20" s="375">
        <f>'2022'!Maxi_hp</f>
        <v>105.31011151518356</v>
      </c>
      <c r="C20" s="13">
        <f>'2022'!An_max</f>
        <v>2022</v>
      </c>
      <c r="D20" s="1045">
        <f t="shared" si="7"/>
        <v>1.0199616450883788</v>
      </c>
      <c r="E20" s="1040"/>
      <c r="F20" s="13">
        <f t="shared" si="23"/>
        <v>1</v>
      </c>
      <c r="G20" s="13">
        <f t="shared" si="24"/>
        <v>2</v>
      </c>
      <c r="H20" s="169">
        <f t="shared" si="8"/>
        <v>43093</v>
      </c>
      <c r="I20" s="743">
        <f t="shared" si="9"/>
        <v>0.8666666666666667</v>
      </c>
      <c r="J20" s="736">
        <f t="shared" si="27"/>
        <v>103.24908982833226</v>
      </c>
      <c r="L20" s="745" t="s">
        <v>214</v>
      </c>
      <c r="M20" s="773">
        <f>N13</f>
        <v>1048.3399999999999</v>
      </c>
      <c r="N20" s="733">
        <f t="shared" ref="N20:AN20" si="31">O13</f>
        <v>1196.69</v>
      </c>
      <c r="O20" s="733">
        <f t="shared" si="31"/>
        <v>1389.5450000000001</v>
      </c>
      <c r="P20" s="733">
        <f t="shared" si="31"/>
        <v>1607.125</v>
      </c>
      <c r="Q20" s="733">
        <f t="shared" si="31"/>
        <v>1819.76</v>
      </c>
      <c r="R20" s="733">
        <f t="shared" si="31"/>
        <v>2012.615</v>
      </c>
      <c r="S20" s="733">
        <f t="shared" si="31"/>
        <v>2190</v>
      </c>
      <c r="T20" s="733">
        <f t="shared" si="31"/>
        <v>2320</v>
      </c>
      <c r="U20" s="733">
        <f t="shared" si="31"/>
        <v>2410</v>
      </c>
      <c r="V20" s="733">
        <f t="shared" si="31"/>
        <v>2470</v>
      </c>
      <c r="W20" s="733">
        <f t="shared" si="31"/>
        <v>2505</v>
      </c>
      <c r="X20" s="733">
        <f t="shared" si="31"/>
        <v>2520</v>
      </c>
      <c r="Y20" s="733">
        <f t="shared" si="31"/>
        <v>2510</v>
      </c>
      <c r="Z20" s="733">
        <f t="shared" si="31"/>
        <v>2480</v>
      </c>
      <c r="AA20" s="733">
        <f t="shared" si="31"/>
        <v>2420</v>
      </c>
      <c r="AB20" s="733">
        <f t="shared" si="31"/>
        <v>2340</v>
      </c>
      <c r="AC20" s="733">
        <f t="shared" si="31"/>
        <v>2240</v>
      </c>
      <c r="AD20" s="733">
        <f t="shared" si="31"/>
        <v>2115</v>
      </c>
      <c r="AE20" s="733">
        <f t="shared" si="31"/>
        <v>1965</v>
      </c>
      <c r="AF20" s="733">
        <f t="shared" si="31"/>
        <v>1790</v>
      </c>
      <c r="AG20" s="733">
        <f t="shared" si="31"/>
        <v>1605</v>
      </c>
      <c r="AH20" s="733">
        <f t="shared" si="31"/>
        <v>1415</v>
      </c>
      <c r="AI20" s="733">
        <f t="shared" si="31"/>
        <v>1230</v>
      </c>
      <c r="AJ20" s="733">
        <f t="shared" si="31"/>
        <v>1070</v>
      </c>
      <c r="AK20" s="733">
        <f t="shared" si="31"/>
        <v>975</v>
      </c>
      <c r="AL20" s="768">
        <f t="shared" si="31"/>
        <v>964.27499999999998</v>
      </c>
      <c r="AM20" s="766">
        <f t="shared" si="31"/>
        <v>1048.3399999999999</v>
      </c>
      <c r="AN20" s="766">
        <f t="shared" si="31"/>
        <v>1196.69</v>
      </c>
      <c r="AO20" s="1038">
        <v>43106</v>
      </c>
      <c r="AP20" s="13">
        <f t="shared" si="11"/>
        <v>1</v>
      </c>
      <c r="AQ20" s="13">
        <f t="shared" si="12"/>
        <v>2</v>
      </c>
      <c r="AR20" s="169">
        <f t="shared" si="13"/>
        <v>43079</v>
      </c>
      <c r="AS20" s="743">
        <f t="shared" si="14"/>
        <v>0.93103448275862066</v>
      </c>
      <c r="AT20" s="759">
        <f>((1-AS20)*(INDEX(a.lg,AP20)*$A20*$A20+INDEX(b.lg,AP20)*$A20+INDEX(c.lg,AP20))+AS20*(INDEX(a.lg,AQ20)*$A20*$A20+INDEX(b.lg,AQ20)*$A20+INDEX(c.lg,AQ20)))/10</f>
        <v>103.40040897500926</v>
      </c>
      <c r="AU20" s="13">
        <f t="shared" si="16"/>
        <v>1</v>
      </c>
      <c r="AV20" s="13">
        <f t="shared" si="17"/>
        <v>2</v>
      </c>
      <c r="AW20" s="169">
        <f t="shared" si="18"/>
        <v>43093</v>
      </c>
      <c r="AX20" s="743">
        <f t="shared" si="19"/>
        <v>0.44827586206896552</v>
      </c>
      <c r="AY20" s="759">
        <f t="shared" si="20"/>
        <v>103.38552296737143</v>
      </c>
      <c r="AZ20" s="736">
        <f t="shared" si="26"/>
        <v>103.39296597119034</v>
      </c>
      <c r="BA20" s="633">
        <f t="shared" si="21"/>
        <v>1.0199616450883788</v>
      </c>
      <c r="BC20" s="11">
        <v>43106</v>
      </c>
      <c r="BD20" s="286">
        <f>[2]!FeuilCaduc*(1-Persistant)+Persistant</f>
        <v>0.6031406226112801</v>
      </c>
      <c r="BE20" s="287">
        <f>[2]!CroissVégét</f>
        <v>3.2001713664140156E-4</v>
      </c>
      <c r="BF20" s="806">
        <f>1+[2]!Salcycl*Ksac</f>
        <v>1.00039257782641</v>
      </c>
      <c r="BH20" s="1036">
        <f t="shared" si="22"/>
        <v>6.8797471782407277E-2</v>
      </c>
      <c r="BI20" s="11">
        <v>44202</v>
      </c>
      <c r="BJ20" s="716">
        <v>1.8793455178968421E-2</v>
      </c>
      <c r="BK20" s="716">
        <v>2.7939271711369926E-2</v>
      </c>
      <c r="BL20" s="716">
        <v>3.7518116545666551E-2</v>
      </c>
      <c r="BM20" s="716">
        <v>4.7894427916139272E-2</v>
      </c>
      <c r="BN20" s="716">
        <v>5.8099303874861098E-2</v>
      </c>
      <c r="BO20" s="717">
        <v>6.8910675207694436E-2</v>
      </c>
      <c r="BP20" s="716">
        <v>8.0339030565147435E-2</v>
      </c>
      <c r="BQ20" s="716">
        <v>9.2677649320787536E-2</v>
      </c>
      <c r="BR20" s="716">
        <v>0.1054688649308041</v>
      </c>
      <c r="BS20" s="716">
        <v>0.11844894591036144</v>
      </c>
      <c r="BT20" s="716">
        <v>0.13063739081966996</v>
      </c>
      <c r="BW20" s="1166">
        <f>'2022'!R\Max</f>
        <v>1.0199616450883788</v>
      </c>
      <c r="BX20" s="1167">
        <f>'2023'!R\Max</f>
        <v>1.0199616450883788</v>
      </c>
      <c r="BY20" s="1167">
        <f>'2024'!R\Max</f>
        <v>1.0199616450883788</v>
      </c>
      <c r="BZ20" s="1167">
        <f>'2025'!R\Max</f>
        <v>1.0199616450883788</v>
      </c>
      <c r="CA20" s="1167">
        <f>'2026'!R\Max</f>
        <v>1.0199616450883786</v>
      </c>
      <c r="CB20" s="1167">
        <f>'2027'!R\Max</f>
        <v>1.0199616450883791</v>
      </c>
      <c r="CC20" s="1168">
        <f>'2028'!R\Max</f>
        <v>1.0199616450883791</v>
      </c>
      <c r="CD20" s="1167">
        <f>'2029'!R\Max</f>
        <v>1.0199616450883788</v>
      </c>
      <c r="CE20" s="1167">
        <f>'2030'!R\Max</f>
        <v>1.0199616450883788</v>
      </c>
      <c r="CF20" s="1169">
        <f>'2031'!R\Max</f>
        <v>1.0199616450883788</v>
      </c>
    </row>
    <row r="21" spans="1:84" s="6" customFormat="1" ht="11.25" x14ac:dyDescent="0.2">
      <c r="A21" s="11">
        <v>43107</v>
      </c>
      <c r="B21" s="375">
        <f>'2022'!Maxi_hp</f>
        <v>39.840230222025987</v>
      </c>
      <c r="C21" s="13">
        <f>'2022'!An_max</f>
        <v>2022</v>
      </c>
      <c r="D21" s="1045" t="str">
        <f t="shared" si="7"/>
        <v/>
      </c>
      <c r="E21" s="1040"/>
      <c r="F21" s="13">
        <f t="shared" si="23"/>
        <v>1</v>
      </c>
      <c r="G21" s="13">
        <f t="shared" si="24"/>
        <v>2</v>
      </c>
      <c r="H21" s="169">
        <f t="shared" si="8"/>
        <v>43093</v>
      </c>
      <c r="I21" s="743">
        <f t="shared" si="9"/>
        <v>0.93333333333333335</v>
      </c>
      <c r="J21" s="736">
        <f t="shared" si="27"/>
        <v>104.02813302318255</v>
      </c>
      <c r="L21" s="746" t="s">
        <v>215</v>
      </c>
      <c r="M21" s="730">
        <f>x.1m*x.1m-x.2m*x.2m</f>
        <v>-1206408</v>
      </c>
      <c r="N21" s="730">
        <f t="shared" ref="N21:AM21" si="32">x.1m*x.1m-x.2m*x.2m</f>
        <v>-1293015</v>
      </c>
      <c r="O21" s="730">
        <f t="shared" si="32"/>
        <v>-1207220</v>
      </c>
      <c r="P21" s="730">
        <f t="shared" si="32"/>
        <v>-1207612</v>
      </c>
      <c r="Q21" s="730">
        <f t="shared" si="32"/>
        <v>-1208004</v>
      </c>
      <c r="R21" s="730">
        <f t="shared" si="32"/>
        <v>-1208396</v>
      </c>
      <c r="S21" s="730">
        <f t="shared" si="32"/>
        <v>-1208788</v>
      </c>
      <c r="T21" s="730">
        <f t="shared" si="32"/>
        <v>-1209180</v>
      </c>
      <c r="U21" s="730">
        <f t="shared" si="32"/>
        <v>-1209572</v>
      </c>
      <c r="V21" s="730">
        <f t="shared" si="32"/>
        <v>-1209964</v>
      </c>
      <c r="W21" s="730">
        <f t="shared" si="32"/>
        <v>-1210356</v>
      </c>
      <c r="X21" s="730">
        <f t="shared" si="32"/>
        <v>-1210748</v>
      </c>
      <c r="Y21" s="730">
        <f t="shared" si="32"/>
        <v>-1211140</v>
      </c>
      <c r="Z21" s="730">
        <f t="shared" si="32"/>
        <v>-1211532</v>
      </c>
      <c r="AA21" s="730">
        <f t="shared" si="32"/>
        <v>-1211924</v>
      </c>
      <c r="AB21" s="730">
        <f t="shared" si="32"/>
        <v>-1212316</v>
      </c>
      <c r="AC21" s="730">
        <f t="shared" si="32"/>
        <v>-1212708</v>
      </c>
      <c r="AD21" s="730">
        <f t="shared" si="32"/>
        <v>-1213100</v>
      </c>
      <c r="AE21" s="730">
        <f t="shared" si="32"/>
        <v>-1213492</v>
      </c>
      <c r="AF21" s="730">
        <f t="shared" si="32"/>
        <v>-1213884</v>
      </c>
      <c r="AG21" s="730">
        <f t="shared" si="32"/>
        <v>-1214276</v>
      </c>
      <c r="AH21" s="730">
        <f t="shared" si="32"/>
        <v>-1214668</v>
      </c>
      <c r="AI21" s="730">
        <f t="shared" si="32"/>
        <v>-1215060</v>
      </c>
      <c r="AJ21" s="730">
        <f t="shared" si="32"/>
        <v>-1215452</v>
      </c>
      <c r="AK21" s="730">
        <f t="shared" si="32"/>
        <v>-1215844</v>
      </c>
      <c r="AL21" s="730">
        <f t="shared" si="32"/>
        <v>-1216236</v>
      </c>
      <c r="AM21" s="730">
        <f t="shared" si="32"/>
        <v>-1216628</v>
      </c>
      <c r="AN21" s="730">
        <f>x.1m*x.1m-x.2m*x.2m</f>
        <v>-1303965</v>
      </c>
      <c r="AO21" s="1038">
        <v>43107</v>
      </c>
      <c r="AP21" s="13">
        <f t="shared" si="11"/>
        <v>1</v>
      </c>
      <c r="AQ21" s="13">
        <f t="shared" si="12"/>
        <v>2</v>
      </c>
      <c r="AR21" s="169">
        <f t="shared" si="13"/>
        <v>43079</v>
      </c>
      <c r="AS21" s="743">
        <f t="shared" si="14"/>
        <v>0.96551724137931039</v>
      </c>
      <c r="AT21" s="759">
        <f t="shared" si="15"/>
        <v>104.10337555634564</v>
      </c>
      <c r="AU21" s="13">
        <f t="shared" si="16"/>
        <v>1</v>
      </c>
      <c r="AV21" s="13">
        <f t="shared" si="17"/>
        <v>2</v>
      </c>
      <c r="AW21" s="169">
        <f t="shared" si="18"/>
        <v>43093</v>
      </c>
      <c r="AX21" s="743">
        <f t="shared" si="19"/>
        <v>0.48275862068965519</v>
      </c>
      <c r="AY21" s="759">
        <f t="shared" si="20"/>
        <v>104.219056400965</v>
      </c>
      <c r="AZ21" s="736">
        <f t="shared" si="26"/>
        <v>104.16121597865532</v>
      </c>
      <c r="BA21" s="633">
        <f t="shared" si="21"/>
        <v>0.38297553809936818</v>
      </c>
      <c r="BC21" s="11">
        <v>43107</v>
      </c>
      <c r="BD21" s="286">
        <f>[2]!FeuilCaduc*(1-Persistant)+Persistant</f>
        <v>0.60289426432719972</v>
      </c>
      <c r="BE21" s="287">
        <f>[2]!CroissVégét</f>
        <v>3.9172835876776901E-4</v>
      </c>
      <c r="BF21" s="806">
        <f>1+[2]!Salcycl*Ksac</f>
        <v>1.0003617830409</v>
      </c>
      <c r="BH21" s="1036">
        <f t="shared" si="22"/>
        <v>6.8535706318238743E-2</v>
      </c>
      <c r="BI21" s="11">
        <v>44203</v>
      </c>
      <c r="BJ21" s="716">
        <v>1.8425745522022172E-2</v>
      </c>
      <c r="BK21" s="716">
        <v>2.7375218692672256E-2</v>
      </c>
      <c r="BL21" s="716">
        <v>3.6902655449095927E-2</v>
      </c>
      <c r="BM21" s="716">
        <v>4.7319910363350627E-2</v>
      </c>
      <c r="BN21" s="716">
        <v>5.7681979375614478E-2</v>
      </c>
      <c r="BO21" s="717">
        <v>6.8650555802529392E-2</v>
      </c>
      <c r="BP21" s="716">
        <v>8.0315227251930632E-2</v>
      </c>
      <c r="BQ21" s="716">
        <v>9.2922858119996718E-2</v>
      </c>
      <c r="BR21" s="716">
        <v>0.10591810007144788</v>
      </c>
      <c r="BS21" s="716">
        <v>0.11907765062135123</v>
      </c>
      <c r="BT21" s="716">
        <v>0.13143048463194354</v>
      </c>
      <c r="BW21" s="1166">
        <f>'2022'!R\Max</f>
        <v>0.38297553809936818</v>
      </c>
      <c r="BX21" s="1167">
        <f>'2023'!R\Max</f>
        <v>0.38277198026956732</v>
      </c>
      <c r="BY21" s="1167">
        <f>'2024'!R\Max</f>
        <v>0.38256814335105771</v>
      </c>
      <c r="BZ21" s="1167">
        <f>'2025'!R\Max</f>
        <v>0.3823481343644814</v>
      </c>
      <c r="CA21" s="1167">
        <f>'2026'!R\Max</f>
        <v>0.38212775263416288</v>
      </c>
      <c r="CB21" s="1167">
        <f>'2027'!R\Max</f>
        <v>0.38190069903089807</v>
      </c>
      <c r="CC21" s="1168">
        <f>'2028'!R\Max</f>
        <v>0.38167346993719187</v>
      </c>
      <c r="CD21" s="1167">
        <f>'2029'!R\Max</f>
        <v>0.38144338993239135</v>
      </c>
      <c r="CE21" s="1167">
        <f>'2030'!R\Max</f>
        <v>0.3827821665040208</v>
      </c>
      <c r="CF21" s="1169">
        <f>'2031'!R\Max</f>
        <v>0.38257833104361105</v>
      </c>
    </row>
    <row r="22" spans="1:84" s="6" customFormat="1" ht="11.25" x14ac:dyDescent="0.2">
      <c r="A22" s="11">
        <v>43108</v>
      </c>
      <c r="B22" s="375">
        <f>'2022'!Maxi_hp</f>
        <v>26.676117567913273</v>
      </c>
      <c r="C22" s="13">
        <f>'2022'!An_max</f>
        <v>2022</v>
      </c>
      <c r="D22" s="1045" t="str">
        <f t="shared" si="7"/>
        <v/>
      </c>
      <c r="E22" s="1040">
        <f>N$13/10</f>
        <v>104.83399999999999</v>
      </c>
      <c r="F22" s="13">
        <f t="shared" si="23"/>
        <v>3</v>
      </c>
      <c r="G22" s="13">
        <f t="shared" si="24"/>
        <v>2</v>
      </c>
      <c r="H22" s="169">
        <f t="shared" si="8"/>
        <v>43122</v>
      </c>
      <c r="I22" s="743">
        <f t="shared" si="9"/>
        <v>1</v>
      </c>
      <c r="J22" s="736">
        <f t="shared" si="27"/>
        <v>104.83399999737739</v>
      </c>
      <c r="L22" s="746" t="s">
        <v>216</v>
      </c>
      <c r="M22" s="730">
        <f t="shared" ref="M22:AM22" si="33">x.2m*x.2m-x.3m*x.3m</f>
        <v>-1293015</v>
      </c>
      <c r="N22" s="730">
        <f>x.2m*x.2m-x.3m*x.3m</f>
        <v>-1207220</v>
      </c>
      <c r="O22" s="730">
        <f t="shared" si="33"/>
        <v>-1207612</v>
      </c>
      <c r="P22" s="730">
        <f t="shared" si="33"/>
        <v>-1208004</v>
      </c>
      <c r="Q22" s="730">
        <f t="shared" si="33"/>
        <v>-1208396</v>
      </c>
      <c r="R22" s="730">
        <f t="shared" si="33"/>
        <v>-1208788</v>
      </c>
      <c r="S22" s="730">
        <f t="shared" si="33"/>
        <v>-1209180</v>
      </c>
      <c r="T22" s="730">
        <f t="shared" si="33"/>
        <v>-1209572</v>
      </c>
      <c r="U22" s="730">
        <f t="shared" si="33"/>
        <v>-1209964</v>
      </c>
      <c r="V22" s="730">
        <f t="shared" si="33"/>
        <v>-1210356</v>
      </c>
      <c r="W22" s="730">
        <f t="shared" si="33"/>
        <v>-1210748</v>
      </c>
      <c r="X22" s="730">
        <f t="shared" si="33"/>
        <v>-1211140</v>
      </c>
      <c r="Y22" s="730">
        <f t="shared" si="33"/>
        <v>-1211532</v>
      </c>
      <c r="Z22" s="730">
        <f t="shared" si="33"/>
        <v>-1211924</v>
      </c>
      <c r="AA22" s="730">
        <f t="shared" si="33"/>
        <v>-1212316</v>
      </c>
      <c r="AB22" s="730">
        <f t="shared" si="33"/>
        <v>-1212708</v>
      </c>
      <c r="AC22" s="730">
        <f t="shared" si="33"/>
        <v>-1213100</v>
      </c>
      <c r="AD22" s="730">
        <f t="shared" si="33"/>
        <v>-1213492</v>
      </c>
      <c r="AE22" s="730">
        <f t="shared" si="33"/>
        <v>-1213884</v>
      </c>
      <c r="AF22" s="730">
        <f t="shared" si="33"/>
        <v>-1214276</v>
      </c>
      <c r="AG22" s="730">
        <f t="shared" si="33"/>
        <v>-1214668</v>
      </c>
      <c r="AH22" s="730">
        <f t="shared" si="33"/>
        <v>-1215060</v>
      </c>
      <c r="AI22" s="730">
        <f t="shared" si="33"/>
        <v>-1215452</v>
      </c>
      <c r="AJ22" s="730">
        <f t="shared" si="33"/>
        <v>-1215844</v>
      </c>
      <c r="AK22" s="730">
        <f t="shared" si="33"/>
        <v>-1216236</v>
      </c>
      <c r="AL22" s="730">
        <f t="shared" si="33"/>
        <v>-1216628</v>
      </c>
      <c r="AM22" s="730">
        <f t="shared" si="33"/>
        <v>-1303965</v>
      </c>
      <c r="AN22" s="730">
        <f>x.2m*x.2m-x.3m*x.3m</f>
        <v>-1217440</v>
      </c>
      <c r="AO22" s="1038">
        <v>43108</v>
      </c>
      <c r="AP22" s="13">
        <f t="shared" si="11"/>
        <v>3</v>
      </c>
      <c r="AQ22" s="13">
        <f t="shared" si="12"/>
        <v>2</v>
      </c>
      <c r="AR22" s="169">
        <f t="shared" si="13"/>
        <v>43136</v>
      </c>
      <c r="AS22" s="743">
        <f t="shared" si="14"/>
        <v>1</v>
      </c>
      <c r="AT22" s="759">
        <f t="shared" si="15"/>
        <v>104.83399999737739</v>
      </c>
      <c r="AU22" s="13">
        <f t="shared" si="16"/>
        <v>1</v>
      </c>
      <c r="AV22" s="13">
        <f t="shared" si="17"/>
        <v>2</v>
      </c>
      <c r="AW22" s="169">
        <f t="shared" si="18"/>
        <v>43093</v>
      </c>
      <c r="AX22" s="743">
        <f t="shared" si="19"/>
        <v>0.51724137931034486</v>
      </c>
      <c r="AY22" s="759">
        <f t="shared" si="20"/>
        <v>105.08586465377232</v>
      </c>
      <c r="AZ22" s="736">
        <f t="shared" si="26"/>
        <v>104.95993232557485</v>
      </c>
      <c r="BA22" s="633">
        <f t="shared" si="21"/>
        <v>0.25446055257436162</v>
      </c>
      <c r="BC22" s="11">
        <v>43108</v>
      </c>
      <c r="BD22" s="286">
        <f>[2]!FeuilCaduc*(1-Persistant)+Persistant</f>
        <v>0.60265887878487523</v>
      </c>
      <c r="BE22" s="287">
        <f>[2]!CroissVégét</f>
        <v>4.664370707620742E-4</v>
      </c>
      <c r="BF22" s="806">
        <f>1+[2]!Salcycl*Ksac</f>
        <v>1.0003323598481093</v>
      </c>
      <c r="BH22" s="1036">
        <f t="shared" si="22"/>
        <v>6.8213565993361661E-2</v>
      </c>
      <c r="BI22" s="11">
        <v>44204</v>
      </c>
      <c r="BJ22" s="716">
        <v>1.8018858315736505E-2</v>
      </c>
      <c r="BK22" s="716">
        <v>2.6765328765077756E-2</v>
      </c>
      <c r="BL22" s="716">
        <v>3.6244530809902309E-2</v>
      </c>
      <c r="BM22" s="716">
        <v>4.67019753285818E-2</v>
      </c>
      <c r="BN22" s="716">
        <v>5.7213558788184661E-2</v>
      </c>
      <c r="BO22" s="717">
        <v>6.8329963352663795E-2</v>
      </c>
      <c r="BP22" s="716">
        <v>8.0237727878280832E-2</v>
      </c>
      <c r="BQ22" s="716">
        <v>9.313344462344153E-2</v>
      </c>
      <c r="BR22" s="716">
        <v>0.10636037465940455</v>
      </c>
      <c r="BS22" s="716">
        <v>0.11972829540540925</v>
      </c>
      <c r="BT22" s="716">
        <v>0.13228056996975046</v>
      </c>
      <c r="BW22" s="1166">
        <f>'2022'!R\Max</f>
        <v>0.25446055257436162</v>
      </c>
      <c r="BX22" s="1167">
        <f>'2023'!R\Max</f>
        <v>0.25430521366346492</v>
      </c>
      <c r="BY22" s="1167">
        <f>'2024'!R\Max</f>
        <v>0.2541496630911132</v>
      </c>
      <c r="BZ22" s="1167">
        <f>'2025'!R\Max</f>
        <v>0.25398147119211417</v>
      </c>
      <c r="CA22" s="1167">
        <f>'2026'!R\Max</f>
        <v>0.25381301504601894</v>
      </c>
      <c r="CB22" s="1167">
        <f>'2027'!R\Max</f>
        <v>0.2536403208669597</v>
      </c>
      <c r="CC22" s="1168">
        <f>'2028'!R\Max</f>
        <v>0.25346753809710193</v>
      </c>
      <c r="CD22" s="1167">
        <f>'2029'!R\Max</f>
        <v>0.25329295128403634</v>
      </c>
      <c r="CE22" s="1167">
        <f>'2030'!R\Max</f>
        <v>0.25431298749402775</v>
      </c>
      <c r="CF22" s="1169">
        <f>'2031'!R\Max</f>
        <v>0.25415743692167603</v>
      </c>
    </row>
    <row r="23" spans="1:84" s="6" customFormat="1" ht="11.25" x14ac:dyDescent="0.2">
      <c r="A23" s="11">
        <v>43109</v>
      </c>
      <c r="B23" s="375">
        <f>'2022'!Maxi_hp</f>
        <v>8.3293938096908722</v>
      </c>
      <c r="C23" s="13">
        <f>'2022'!An_max</f>
        <v>2022</v>
      </c>
      <c r="D23" s="1045" t="str">
        <f t="shared" si="7"/>
        <v/>
      </c>
      <c r="E23" s="1040"/>
      <c r="F23" s="13">
        <f t="shared" si="23"/>
        <v>3</v>
      </c>
      <c r="G23" s="13">
        <f t="shared" si="24"/>
        <v>2</v>
      </c>
      <c r="H23" s="169">
        <f t="shared" si="8"/>
        <v>43122</v>
      </c>
      <c r="I23" s="743">
        <f t="shared" si="9"/>
        <v>0.9285714285714286</v>
      </c>
      <c r="J23" s="736">
        <f t="shared" si="27"/>
        <v>105.67530145410981</v>
      </c>
      <c r="L23" s="746" t="s">
        <v>217</v>
      </c>
      <c r="M23" s="730">
        <f t="shared" ref="M23:AM23" si="34">(y.1m-y.2m-b.m*(x.1m-x.2m))/D2x12</f>
        <v>0.21966912972078306</v>
      </c>
      <c r="N23" s="730">
        <f>(y.1m-y.2m-b.m*(x.1m-x.2m))/D2x12</f>
        <v>0.17214121510668184</v>
      </c>
      <c r="O23" s="730">
        <f t="shared" si="34"/>
        <v>0.11353316326531485</v>
      </c>
      <c r="P23" s="730">
        <f t="shared" si="34"/>
        <v>6.3073979591852111E-2</v>
      </c>
      <c r="Q23" s="730">
        <f t="shared" si="34"/>
        <v>-1.2614795918369028E-2</v>
      </c>
      <c r="R23" s="730">
        <f t="shared" si="34"/>
        <v>-5.0459183673463234E-2</v>
      </c>
      <c r="S23" s="730">
        <f t="shared" si="34"/>
        <v>-3.9464285714279949E-2</v>
      </c>
      <c r="T23" s="730">
        <f t="shared" si="34"/>
        <v>-0.1208801020408197</v>
      </c>
      <c r="U23" s="730">
        <f t="shared" si="34"/>
        <v>-0.10204081632652626</v>
      </c>
      <c r="V23" s="730">
        <f t="shared" si="34"/>
        <v>-7.6530612244908591E-2</v>
      </c>
      <c r="W23" s="730">
        <f t="shared" si="34"/>
        <v>-6.377551020407958E-2</v>
      </c>
      <c r="X23" s="730">
        <f t="shared" si="34"/>
        <v>-5.1020408163254469E-2</v>
      </c>
      <c r="Y23" s="730">
        <f t="shared" si="34"/>
        <v>-6.377551020409486E-2</v>
      </c>
      <c r="Z23" s="730">
        <f t="shared" si="34"/>
        <v>-5.1020408163267375E-2</v>
      </c>
      <c r="AA23" s="730">
        <f t="shared" si="34"/>
        <v>-7.653061224487788E-2</v>
      </c>
      <c r="AB23" s="730">
        <f t="shared" si="34"/>
        <v>-5.1020408163265855E-2</v>
      </c>
      <c r="AC23" s="730">
        <f t="shared" si="34"/>
        <v>-5.1020408163253941E-2</v>
      </c>
      <c r="AD23" s="730">
        <f t="shared" si="34"/>
        <v>-6.3775510204099134E-2</v>
      </c>
      <c r="AE23" s="730">
        <f t="shared" si="34"/>
        <v>-6.377551020409801E-2</v>
      </c>
      <c r="AF23" s="730">
        <f t="shared" si="34"/>
        <v>-6.3775510204088795E-2</v>
      </c>
      <c r="AG23" s="730">
        <f t="shared" si="34"/>
        <v>-2.5510204081627675E-2</v>
      </c>
      <c r="AH23" s="730">
        <f t="shared" si="34"/>
        <v>-1.2755102040819415E-2</v>
      </c>
      <c r="AI23" s="730">
        <f t="shared" si="34"/>
        <v>1.2755102040814375E-2</v>
      </c>
      <c r="AJ23" s="730">
        <f t="shared" si="34"/>
        <v>6.3775510204085409E-2</v>
      </c>
      <c r="AK23" s="730">
        <f t="shared" si="34"/>
        <v>0.1658163265305807</v>
      </c>
      <c r="AL23" s="730">
        <f t="shared" si="34"/>
        <v>0.21498724489789031</v>
      </c>
      <c r="AM23" s="730">
        <f t="shared" si="34"/>
        <v>0.21966912972086569</v>
      </c>
      <c r="AN23" s="730">
        <f>(y.1m-y.2m-b.m*(x.1m-x.2m))/D2x12</f>
        <v>0.17214121510674024</v>
      </c>
      <c r="AO23" s="1038">
        <v>43109</v>
      </c>
      <c r="AP23" s="13">
        <f t="shared" si="11"/>
        <v>3</v>
      </c>
      <c r="AQ23" s="13">
        <f t="shared" si="12"/>
        <v>2</v>
      </c>
      <c r="AR23" s="169">
        <f t="shared" si="13"/>
        <v>43136</v>
      </c>
      <c r="AS23" s="743">
        <f t="shared" si="14"/>
        <v>0.9642857142857143</v>
      </c>
      <c r="AT23" s="759">
        <f t="shared" si="15"/>
        <v>105.6060188812869</v>
      </c>
      <c r="AU23" s="13">
        <f t="shared" si="16"/>
        <v>1</v>
      </c>
      <c r="AV23" s="13">
        <f t="shared" si="17"/>
        <v>2</v>
      </c>
      <c r="AW23" s="169">
        <f t="shared" si="18"/>
        <v>43093</v>
      </c>
      <c r="AX23" s="743">
        <f t="shared" si="19"/>
        <v>0.55172413793103448</v>
      </c>
      <c r="AY23" s="759">
        <f t="shared" si="20"/>
        <v>105.98407979196516</v>
      </c>
      <c r="AZ23" s="736">
        <f t="shared" si="26"/>
        <v>105.79504933662602</v>
      </c>
      <c r="BA23" s="633">
        <f t="shared" si="21"/>
        <v>7.8820629750537927E-2</v>
      </c>
      <c r="BC23" s="11">
        <v>43109</v>
      </c>
      <c r="BD23" s="286">
        <f>[2]!FeuilCaduc*(1-Persistant)+Persistant</f>
        <v>0.60243370588267942</v>
      </c>
      <c r="BE23" s="287">
        <f>[2]!CroissVégét</f>
        <v>5.4426808883230738E-4</v>
      </c>
      <c r="BF23" s="806">
        <f>1+[2]!Salcycl*Ksac</f>
        <v>1.000304213235335</v>
      </c>
      <c r="BH23" s="1036">
        <f t="shared" si="22"/>
        <v>6.7830841279314019E-2</v>
      </c>
      <c r="BI23" s="11">
        <v>44205</v>
      </c>
      <c r="BJ23" s="716">
        <v>1.757271729197725E-2</v>
      </c>
      <c r="BK23" s="716">
        <v>2.610950331313E-2</v>
      </c>
      <c r="BL23" s="716">
        <v>3.5543628592642547E-2</v>
      </c>
      <c r="BM23" s="716">
        <v>4.6040484877177802E-2</v>
      </c>
      <c r="BN23" s="716">
        <v>5.6693869810007576E-2</v>
      </c>
      <c r="BO23" s="717">
        <v>6.7948687935727156E-2</v>
      </c>
      <c r="BP23" s="716">
        <v>8.0106300348021076E-2</v>
      </c>
      <c r="BQ23" s="716">
        <v>9.330916605253009E-2</v>
      </c>
      <c r="BR23" s="716">
        <v>0.106795445782623</v>
      </c>
      <c r="BS23" s="716">
        <v>0.12040063884543122</v>
      </c>
      <c r="BT23" s="716">
        <v>0.13318741607065449</v>
      </c>
      <c r="BW23" s="1166">
        <f>'2022'!R\Max</f>
        <v>7.8820629750537927E-2</v>
      </c>
      <c r="BX23" s="1167">
        <f>'2023'!R\Max</f>
        <v>7.8771919856518102E-2</v>
      </c>
      <c r="BY23" s="1167">
        <f>'2024'!R\Max</f>
        <v>7.8723136072047298E-2</v>
      </c>
      <c r="BZ23" s="1167">
        <f>'2025'!R\Max</f>
        <v>7.8670243642920801E-2</v>
      </c>
      <c r="CA23" s="1167">
        <f>'2026'!R\Max</f>
        <v>7.8617265662287508E-2</v>
      </c>
      <c r="CB23" s="1167">
        <f>'2027'!R\Max</f>
        <v>7.8563173648183493E-2</v>
      </c>
      <c r="CC23" s="1168">
        <f>'2028'!R\Max</f>
        <v>7.8509058436959892E-2</v>
      </c>
      <c r="CD23" s="1167">
        <f>'2029'!R\Max</f>
        <v>7.8454475805711701E-2</v>
      </c>
      <c r="CE23" s="1167">
        <f>'2030'!R\Max</f>
        <v>7.877435788595738E-2</v>
      </c>
      <c r="CF23" s="1169">
        <f>'2031'!R\Max</f>
        <v>7.8725574101486562E-2</v>
      </c>
    </row>
    <row r="24" spans="1:84" s="6" customFormat="1" ht="11.25" x14ac:dyDescent="0.2">
      <c r="A24" s="11">
        <v>43110</v>
      </c>
      <c r="B24" s="375">
        <f>'2022'!Maxi_hp</f>
        <v>7.65787086076881</v>
      </c>
      <c r="C24" s="13">
        <f>'2022'!An_max</f>
        <v>2022</v>
      </c>
      <c r="D24" s="1045" t="str">
        <f t="shared" si="7"/>
        <v/>
      </c>
      <c r="E24" s="1040"/>
      <c r="F24" s="13">
        <f t="shared" si="23"/>
        <v>3</v>
      </c>
      <c r="G24" s="13">
        <f t="shared" si="24"/>
        <v>2</v>
      </c>
      <c r="H24" s="169">
        <f t="shared" si="8"/>
        <v>43122</v>
      </c>
      <c r="I24" s="743">
        <f t="shared" si="9"/>
        <v>0.8571428571428571</v>
      </c>
      <c r="J24" s="736">
        <f t="shared" si="27"/>
        <v>106.56024098183427</v>
      </c>
      <c r="L24" s="746" t="s">
        <v>218</v>
      </c>
      <c r="M24" s="730">
        <f t="shared" ref="M24:AM24" si="35">(y.2m-y.3m-(y.1m-y.2m)*D2x23/D2x12)/(x.2m-x.3m)/(1-(x.2m+x.3m)/(x.1m+x.2m))</f>
        <v>-18930.09431772789</v>
      </c>
      <c r="N24" s="730">
        <f>(y.2m-y.3m-(y.1m-y.2m)*D2x23/D2x12)/(x.2m-x.3m)/(1-(x.2m+x.3m)/(x.1m+x.2m))</f>
        <v>-14833.140550077749</v>
      </c>
      <c r="O24" s="730">
        <f t="shared" si="35"/>
        <v>-9779.3682397966695</v>
      </c>
      <c r="P24" s="730">
        <f t="shared" si="35"/>
        <v>-5426.8599744911226</v>
      </c>
      <c r="Q24" s="730">
        <f t="shared" si="35"/>
        <v>1104.0217091838185</v>
      </c>
      <c r="R24" s="730">
        <f t="shared" si="35"/>
        <v>4370.5221938770201</v>
      </c>
      <c r="S24" s="730">
        <f t="shared" si="35"/>
        <v>3421.2007142852167</v>
      </c>
      <c r="T24" s="730">
        <f t="shared" si="35"/>
        <v>10453.084770408455</v>
      </c>
      <c r="U24" s="730">
        <f t="shared" si="35"/>
        <v>8825.4081632649304</v>
      </c>
      <c r="V24" s="730">
        <f t="shared" si="35"/>
        <v>6620.663265307041</v>
      </c>
      <c r="W24" s="730">
        <f t="shared" si="35"/>
        <v>5517.9336734692106</v>
      </c>
      <c r="X24" s="730">
        <f t="shared" si="35"/>
        <v>4414.8469387745727</v>
      </c>
      <c r="Y24" s="730">
        <f t="shared" si="35"/>
        <v>5518.2908163276743</v>
      </c>
      <c r="Z24" s="730">
        <f t="shared" si="35"/>
        <v>4414.4897959185464</v>
      </c>
      <c r="AA24" s="730">
        <f t="shared" si="35"/>
        <v>6622.8061224472413</v>
      </c>
      <c r="AB24" s="730">
        <f t="shared" si="35"/>
        <v>4413.7755102041292</v>
      </c>
      <c r="AC24" s="730">
        <f t="shared" si="35"/>
        <v>4413.7755102030969</v>
      </c>
      <c r="AD24" s="730">
        <f t="shared" si="35"/>
        <v>5519.0051020423325</v>
      </c>
      <c r="AE24" s="730">
        <f t="shared" si="35"/>
        <v>5519.0051020422361</v>
      </c>
      <c r="AF24" s="730">
        <f t="shared" si="35"/>
        <v>5519.0051020414376</v>
      </c>
      <c r="AG24" s="730">
        <f t="shared" si="35"/>
        <v>2200.1020408158947</v>
      </c>
      <c r="AH24" s="730">
        <f t="shared" si="35"/>
        <v>1093.4438775512883</v>
      </c>
      <c r="AI24" s="730">
        <f t="shared" si="35"/>
        <v>-1120.5867346937082</v>
      </c>
      <c r="AJ24" s="730">
        <f t="shared" si="35"/>
        <v>-5550.0765306125732</v>
      </c>
      <c r="AK24" s="730">
        <f t="shared" si="35"/>
        <v>-14411.913265303383</v>
      </c>
      <c r="AL24" s="730">
        <f t="shared" si="35"/>
        <v>-18683.587627545036</v>
      </c>
      <c r="AM24" s="730">
        <f t="shared" si="35"/>
        <v>-19090.452782431239</v>
      </c>
      <c r="AN24" s="730">
        <f>(y.2m-y.3m-(y.1m-y.2m)*D2x23/D2x12)/(x.2m-x.3m)/(1-(x.2m+x.3m)/(x.1m+x.2m))</f>
        <v>-14958.803637110701</v>
      </c>
      <c r="AO24" s="1038">
        <v>43110</v>
      </c>
      <c r="AP24" s="13">
        <f t="shared" si="11"/>
        <v>3</v>
      </c>
      <c r="AQ24" s="13">
        <f t="shared" si="12"/>
        <v>2</v>
      </c>
      <c r="AR24" s="169">
        <f t="shared" si="13"/>
        <v>43136</v>
      </c>
      <c r="AS24" s="743">
        <f t="shared" si="14"/>
        <v>0.9285714285714286</v>
      </c>
      <c r="AT24" s="759">
        <f t="shared" si="15"/>
        <v>106.43203834305916</v>
      </c>
      <c r="AU24" s="13">
        <f t="shared" si="16"/>
        <v>1</v>
      </c>
      <c r="AV24" s="13">
        <f t="shared" si="17"/>
        <v>2</v>
      </c>
      <c r="AW24" s="169">
        <f t="shared" si="18"/>
        <v>43093</v>
      </c>
      <c r="AX24" s="743">
        <f t="shared" si="19"/>
        <v>0.58620689655172409</v>
      </c>
      <c r="AY24" s="759">
        <f t="shared" si="20"/>
        <v>106.91183390535157</v>
      </c>
      <c r="AZ24" s="736">
        <f t="shared" si="26"/>
        <v>106.67193612420536</v>
      </c>
      <c r="BA24" s="633">
        <f t="shared" si="21"/>
        <v>7.1864241204881246E-2</v>
      </c>
      <c r="BC24" s="11">
        <v>43110</v>
      </c>
      <c r="BD24" s="286">
        <f>[2]!FeuilCaduc*(1-Persistant)+Persistant</f>
        <v>0.60221817195725846</v>
      </c>
      <c r="BE24" s="287">
        <f>[2]!CroissVégét</f>
        <v>6.2535138577142317E-4</v>
      </c>
      <c r="BF24" s="806">
        <f>1+[2]!Salcycl*Ksac</f>
        <v>1.0002772714946573</v>
      </c>
      <c r="BH24" s="1036">
        <f t="shared" si="22"/>
        <v>6.733313824749515E-2</v>
      </c>
      <c r="BI24" s="1038">
        <v>44206</v>
      </c>
      <c r="BJ24" s="716">
        <v>1.7086026311264494E-2</v>
      </c>
      <c r="BK24" s="716">
        <v>2.5405465498600125E-2</v>
      </c>
      <c r="BL24" s="716">
        <v>3.4791348468499919E-2</v>
      </c>
      <c r="BM24" s="716">
        <v>4.5313707965854579E-2</v>
      </c>
      <c r="BN24" s="716">
        <v>5.6088488934501746E-2</v>
      </c>
      <c r="BO24" s="717">
        <v>6.745212430467655E-2</v>
      </c>
      <c r="BP24" s="716">
        <v>7.9838631182271844E-2</v>
      </c>
      <c r="BQ24" s="716">
        <v>9.3338741286532412E-2</v>
      </c>
      <c r="BR24" s="716">
        <v>0.10709818311861048</v>
      </c>
      <c r="BS24" s="716">
        <v>0.12097415205765118</v>
      </c>
      <c r="BT24" s="716">
        <v>0.13405085948273468</v>
      </c>
      <c r="BW24" s="1166">
        <f>'2022'!R\Max</f>
        <v>7.1864241204881246E-2</v>
      </c>
      <c r="BX24" s="1167">
        <f>'2023'!R\Max</f>
        <v>7.1819393246890351E-2</v>
      </c>
      <c r="BY24" s="1167">
        <f>'2024'!R\Max</f>
        <v>7.1774469920965978E-2</v>
      </c>
      <c r="BZ24" s="1167">
        <f>'2025'!R\Max</f>
        <v>7.1725589838547502E-2</v>
      </c>
      <c r="CA24" s="1167">
        <f>'2026'!R\Max</f>
        <v>7.1676627701584936E-2</v>
      </c>
      <c r="CB24" s="1167">
        <f>'2027'!R\Max</f>
        <v>7.1626744130354997E-2</v>
      </c>
      <c r="CC24" s="1168">
        <f>'2028'!R\Max</f>
        <v>7.1576841450279982E-2</v>
      </c>
      <c r="CD24" s="1167">
        <f>'2029'!R\Max</f>
        <v>7.1526524736656688E-2</v>
      </c>
      <c r="CE24" s="1167">
        <f>'2030'!R\Max</f>
        <v>7.1821638345180738E-2</v>
      </c>
      <c r="CF24" s="1169">
        <f>'2031'!R\Max</f>
        <v>7.1776715019256351E-2</v>
      </c>
    </row>
    <row r="25" spans="1:84" s="6" customFormat="1" ht="11.25" x14ac:dyDescent="0.2">
      <c r="A25" s="11">
        <v>43111</v>
      </c>
      <c r="B25" s="375">
        <f>'2022'!Maxi_hp</f>
        <v>102.67775078920764</v>
      </c>
      <c r="C25" s="13">
        <f>'2022'!An_max</f>
        <v>2022</v>
      </c>
      <c r="D25" s="1045" t="str">
        <f t="shared" si="7"/>
        <v/>
      </c>
      <c r="E25" s="1040"/>
      <c r="F25" s="13">
        <f t="shared" si="23"/>
        <v>3</v>
      </c>
      <c r="G25" s="13">
        <f t="shared" si="24"/>
        <v>2</v>
      </c>
      <c r="H25" s="169">
        <f t="shared" si="8"/>
        <v>43122</v>
      </c>
      <c r="I25" s="743">
        <f t="shared" si="9"/>
        <v>0.7857142857142857</v>
      </c>
      <c r="J25" s="736">
        <f t="shared" si="27"/>
        <v>107.48630682272569</v>
      </c>
      <c r="L25" s="746" t="s">
        <v>219</v>
      </c>
      <c r="M25" s="730">
        <f t="shared" ref="M25:AM25" si="36">(y.1m+y.2m+y.3m-a.m*(x.3m*x.3m+x.2m*x.2m+x.1m*x.1m)-b.m*(x.3m+x.2m+x.1m))/3</f>
        <v>407828484.23731035</v>
      </c>
      <c r="N25" s="730">
        <f>(y.1m+y.2m+y.3m-a.m*(x.3m*x.3m+x.2m*x.2m+x.1m*x.1m)-b.m*(x.3m+x.2m+x.1m))/3</f>
        <v>319538108.97945297</v>
      </c>
      <c r="O25" s="730">
        <f t="shared" si="36"/>
        <v>210591415.2723631</v>
      </c>
      <c r="P25" s="730">
        <f t="shared" si="36"/>
        <v>116731753.25768168</v>
      </c>
      <c r="Q25" s="730">
        <f t="shared" si="36"/>
        <v>-24149157.272962306</v>
      </c>
      <c r="R25" s="730">
        <f t="shared" si="36"/>
        <v>-94635336.127539575</v>
      </c>
      <c r="S25" s="730">
        <f t="shared" si="36"/>
        <v>-74143757.868560687</v>
      </c>
      <c r="T25" s="730">
        <f t="shared" si="36"/>
        <v>-225979710.36102676</v>
      </c>
      <c r="U25" s="730">
        <f t="shared" si="36"/>
        <v>-190822710.40815511</v>
      </c>
      <c r="V25" s="730">
        <f t="shared" si="36"/>
        <v>-143185891.020428</v>
      </c>
      <c r="W25" s="730">
        <f t="shared" si="36"/>
        <v>-119352045.61224109</v>
      </c>
      <c r="X25" s="730">
        <f t="shared" si="36"/>
        <v>-95502759.489775658</v>
      </c>
      <c r="Y25" s="730">
        <f t="shared" si="36"/>
        <v>-119367491.32655536</v>
      </c>
      <c r="Z25" s="730">
        <f t="shared" si="36"/>
        <v>-95487308.775514081</v>
      </c>
      <c r="AA25" s="730">
        <f t="shared" si="36"/>
        <v>-143278585.30608484</v>
      </c>
      <c r="AB25" s="730">
        <f t="shared" si="36"/>
        <v>-95456387.346939802</v>
      </c>
      <c r="AC25" s="730">
        <f t="shared" si="36"/>
        <v>-95456387.346917436</v>
      </c>
      <c r="AD25" s="730">
        <f t="shared" si="36"/>
        <v>-119398422.75513487</v>
      </c>
      <c r="AE25" s="730">
        <f t="shared" si="36"/>
        <v>-119398422.75513284</v>
      </c>
      <c r="AF25" s="730">
        <f t="shared" si="36"/>
        <v>-119398422.75511552</v>
      </c>
      <c r="AG25" s="730">
        <f t="shared" si="36"/>
        <v>-47432990.102031447</v>
      </c>
      <c r="AH25" s="730">
        <f t="shared" si="36"/>
        <v>-23429021.836740505</v>
      </c>
      <c r="AI25" s="730">
        <f t="shared" si="36"/>
        <v>24609906.122445304</v>
      </c>
      <c r="AJ25" s="730">
        <f t="shared" si="36"/>
        <v>120749764.89796631</v>
      </c>
      <c r="AK25" s="730">
        <f t="shared" si="36"/>
        <v>313153528.16320586</v>
      </c>
      <c r="AL25" s="730">
        <f t="shared" si="36"/>
        <v>405927885.39017612</v>
      </c>
      <c r="AM25" s="730">
        <f t="shared" si="36"/>
        <v>414767234.08324391</v>
      </c>
      <c r="AN25" s="730">
        <f>(y.1m+y.2m+y.3m-a.m*(x.3m*x.3m+x.2m*x.2m+x.1m*x.1m)-b.m*(x.3m+x.2m+x.1m))/3</f>
        <v>324975138.79372412</v>
      </c>
      <c r="AO25" s="1038">
        <v>43111</v>
      </c>
      <c r="AP25" s="13">
        <f t="shared" si="11"/>
        <v>3</v>
      </c>
      <c r="AQ25" s="13">
        <f t="shared" si="12"/>
        <v>2</v>
      </c>
      <c r="AR25" s="169">
        <f t="shared" si="13"/>
        <v>43136</v>
      </c>
      <c r="AS25" s="743">
        <f t="shared" si="14"/>
        <v>0.8928571428571429</v>
      </c>
      <c r="AT25" s="759">
        <f>((1-AS25)*(INDEX(a.lg,AP25)*$A25*$A25+INDEX(b.lg,AP25)*$A25+INDEX(c.lg,AP25))+AS25*(INDEX(a.lg,AQ25)*$A25*$A25+INDEX(b.lg,AQ25)*$A25+INDEX(c.lg,AQ25)))/10</f>
        <v>107.30964441996601</v>
      </c>
      <c r="AU25" s="13">
        <f t="shared" si="16"/>
        <v>1</v>
      </c>
      <c r="AV25" s="13">
        <f t="shared" si="17"/>
        <v>2</v>
      </c>
      <c r="AW25" s="169">
        <f t="shared" si="18"/>
        <v>43093</v>
      </c>
      <c r="AX25" s="743">
        <f t="shared" si="19"/>
        <v>0.62068965517241381</v>
      </c>
      <c r="AY25" s="759">
        <f t="shared" si="20"/>
        <v>107.86725906668039</v>
      </c>
      <c r="AZ25" s="736">
        <f t="shared" si="26"/>
        <v>107.58845174332319</v>
      </c>
      <c r="BA25" s="633">
        <f t="shared" si="21"/>
        <v>0.95526354774242372</v>
      </c>
      <c r="BC25" s="11">
        <v>43111</v>
      </c>
      <c r="BD25" s="286">
        <f>[2]!FeuilCaduc*(1-Persistant)+Persistant</f>
        <v>0.60201187478427232</v>
      </c>
      <c r="BE25" s="287">
        <f>[2]!CroissVégét</f>
        <v>7.0982230050345072E-4</v>
      </c>
      <c r="BF25" s="806">
        <f>1+[2]!Salcycl*Ksac</f>
        <v>1.0002514843480341</v>
      </c>
      <c r="BH25" s="1036">
        <f t="shared" si="22"/>
        <v>6.6737731311114962E-2</v>
      </c>
      <c r="BI25" s="11">
        <v>44207</v>
      </c>
      <c r="BJ25" s="716">
        <v>1.6568517353893347E-2</v>
      </c>
      <c r="BK25" s="716">
        <v>2.4674736064575913E-2</v>
      </c>
      <c r="BL25" s="716">
        <v>3.401689700540312E-2</v>
      </c>
      <c r="BM25" s="716">
        <v>4.4553330963241961E-2</v>
      </c>
      <c r="BN25" s="716">
        <v>5.5424278690824204E-2</v>
      </c>
      <c r="BO25" s="717">
        <v>6.685744541539046E-2</v>
      </c>
      <c r="BP25" s="716">
        <v>7.9436868291118221E-2</v>
      </c>
      <c r="BQ25" s="716">
        <v>9.3213247154827997E-2</v>
      </c>
      <c r="BR25" s="716">
        <v>0.10724933334670333</v>
      </c>
      <c r="BS25" s="716">
        <v>0.121425215221537</v>
      </c>
      <c r="BT25" s="716">
        <v>0.13484181098372189</v>
      </c>
      <c r="BW25" s="1166">
        <f>'2022'!R\Max</f>
        <v>0.95526354774242372</v>
      </c>
      <c r="BX25" s="1167">
        <f>'2023'!R\Max</f>
        <v>0.9552251854249979</v>
      </c>
      <c r="BY25" s="1167">
        <f>'2024'!R\Max</f>
        <v>0.95518670697187491</v>
      </c>
      <c r="BZ25" s="1167">
        <f>'2025'!R\Max</f>
        <v>0.95514458934249602</v>
      </c>
      <c r="CA25" s="1167">
        <f>'2026'!R\Max</f>
        <v>0.95510234303251218</v>
      </c>
      <c r="CB25" s="1167">
        <f>'2027'!R\Max</f>
        <v>0.95505926023164256</v>
      </c>
      <c r="CC25" s="1168">
        <f>'2028'!R\Max</f>
        <v>0.95501610444684726</v>
      </c>
      <c r="CD25" s="1167">
        <f>'2029'!R\Max</f>
        <v>0.95497246972849092</v>
      </c>
      <c r="CE25" s="1167">
        <f>'2030'!R\Max</f>
        <v>0.95522710724303728</v>
      </c>
      <c r="CF25" s="1169">
        <f>'2031'!R\Max</f>
        <v>0.9551886310569454</v>
      </c>
    </row>
    <row r="26" spans="1:84" s="6" customFormat="1" ht="11.25" x14ac:dyDescent="0.2">
      <c r="A26" s="11">
        <v>43112</v>
      </c>
      <c r="B26" s="375">
        <f>'2022'!Maxi_hp</f>
        <v>88.039900443053</v>
      </c>
      <c r="C26" s="13">
        <f>'2022'!An_max</f>
        <v>2022</v>
      </c>
      <c r="D26" s="1045" t="str">
        <f t="shared" si="7"/>
        <v/>
      </c>
      <c r="E26" s="1040"/>
      <c r="F26" s="13">
        <f t="shared" si="23"/>
        <v>3</v>
      </c>
      <c r="G26" s="13">
        <f t="shared" si="24"/>
        <v>2</v>
      </c>
      <c r="H26" s="169">
        <f t="shared" si="8"/>
        <v>43122</v>
      </c>
      <c r="I26" s="743">
        <f t="shared" si="9"/>
        <v>0.7142857142857143</v>
      </c>
      <c r="J26" s="736">
        <f t="shared" si="27"/>
        <v>108.45098719596862</v>
      </c>
      <c r="L26" s="10"/>
      <c r="AO26" s="1038">
        <v>43112</v>
      </c>
      <c r="AP26" s="13">
        <f t="shared" si="11"/>
        <v>3</v>
      </c>
      <c r="AQ26" s="13">
        <f t="shared" si="12"/>
        <v>2</v>
      </c>
      <c r="AR26" s="169">
        <f t="shared" si="13"/>
        <v>43136</v>
      </c>
      <c r="AS26" s="743">
        <f t="shared" si="14"/>
        <v>0.8571428571428571</v>
      </c>
      <c r="AT26" s="759">
        <f>((1-AS26)*(INDEX(a.lg,AP26)*$A26*$A26+INDEX(b.lg,AP26)*$A26+INDEX(c.lg,AP26))+AS26*(INDEX(a.lg,AQ26)*$A26*$A26+INDEX(b.lg,AQ26)*$A26+INDEX(c.lg,AQ26)))/10</f>
        <v>108.23642308775868</v>
      </c>
      <c r="AU26" s="13">
        <f t="shared" si="16"/>
        <v>1</v>
      </c>
      <c r="AV26" s="13">
        <f t="shared" si="17"/>
        <v>2</v>
      </c>
      <c r="AW26" s="169">
        <f t="shared" si="18"/>
        <v>43093</v>
      </c>
      <c r="AX26" s="743">
        <f t="shared" si="19"/>
        <v>0.65517241379310343</v>
      </c>
      <c r="AY26" s="759">
        <f t="shared" si="20"/>
        <v>108.84848736021027</v>
      </c>
      <c r="AZ26" s="736">
        <f t="shared" si="26"/>
        <v>108.54245522398448</v>
      </c>
      <c r="BA26" s="633">
        <f t="shared" si="21"/>
        <v>0.81179436646313585</v>
      </c>
      <c r="BC26" s="11">
        <v>43112</v>
      </c>
      <c r="BD26" s="286">
        <f>[2]!FeuilCaduc*(1-Persistant)+Persistant</f>
        <v>0.6018145676787835</v>
      </c>
      <c r="BE26" s="287">
        <f>[2]!CroissVégét</f>
        <v>7.9782175584567966E-4</v>
      </c>
      <c r="BF26" s="806">
        <f>1+[2]!Salcycl*Ksac</f>
        <v>1.0002268209598479</v>
      </c>
      <c r="BH26" s="1036">
        <f t="shared" si="22"/>
        <v>6.6044396805190461E-2</v>
      </c>
      <c r="BI26" s="11">
        <v>44208</v>
      </c>
      <c r="BJ26" s="716">
        <v>1.6020142224392457E-2</v>
      </c>
      <c r="BK26" s="716">
        <v>2.3917262560316305E-2</v>
      </c>
      <c r="BL26" s="716">
        <v>3.3220208686116796E-2</v>
      </c>
      <c r="BM26" s="716">
        <v>4.3759253157391764E-2</v>
      </c>
      <c r="BN26" s="716">
        <v>5.4701084242671068E-2</v>
      </c>
      <c r="BO26" s="717">
        <v>6.6164426874570303E-2</v>
      </c>
      <c r="BP26" s="716">
        <v>7.8900714076129128E-2</v>
      </c>
      <c r="BQ26" s="716">
        <v>9.2932323387209539E-2</v>
      </c>
      <c r="BR26" s="716">
        <v>0.10724849956649167</v>
      </c>
      <c r="BS26" s="716">
        <v>0.12175342150672848</v>
      </c>
      <c r="BT26" s="716">
        <v>0.13555987649722667</v>
      </c>
      <c r="BW26" s="1166">
        <f>'2022'!R\Max</f>
        <v>0.81179436646313585</v>
      </c>
      <c r="BX26" s="1167">
        <f>'2023'!R\Max</f>
        <v>0.81165682648525939</v>
      </c>
      <c r="BY26" s="1167">
        <f>'2024'!R\Max</f>
        <v>0.81151888186087751</v>
      </c>
      <c r="BZ26" s="1167">
        <f>'2025'!R\Max</f>
        <v>0.81136704324489828</v>
      </c>
      <c r="CA26" s="1167">
        <f>'2026'!R\Max</f>
        <v>0.81121476691922612</v>
      </c>
      <c r="CB26" s="1167">
        <f>'2027'!R\Max</f>
        <v>0.81105930471088905</v>
      </c>
      <c r="CC26" s="1168">
        <f>'2028'!R\Max</f>
        <v>0.81090361844215209</v>
      </c>
      <c r="CD26" s="1167">
        <f>'2029'!R\Max</f>
        <v>0.81074575571384844</v>
      </c>
      <c r="CE26" s="1167">
        <f>'2030'!R\Max</f>
        <v>0.81166371709535334</v>
      </c>
      <c r="CF26" s="1169">
        <f>'2031'!R\Max</f>
        <v>0.81152577883752852</v>
      </c>
    </row>
    <row r="27" spans="1:84" s="6" customFormat="1" ht="11.25" x14ac:dyDescent="0.2">
      <c r="A27" s="11">
        <v>43113</v>
      </c>
      <c r="B27" s="375">
        <f>'2022'!Maxi_hp</f>
        <v>28.252238664990184</v>
      </c>
      <c r="C27" s="13">
        <f>'2022'!An_max</f>
        <v>2022</v>
      </c>
      <c r="D27" s="1045" t="str">
        <f t="shared" si="7"/>
        <v/>
      </c>
      <c r="E27" s="1040"/>
      <c r="F27" s="13">
        <f t="shared" si="23"/>
        <v>3</v>
      </c>
      <c r="G27" s="13">
        <f t="shared" si="24"/>
        <v>2</v>
      </c>
      <c r="H27" s="169">
        <f t="shared" si="8"/>
        <v>43122</v>
      </c>
      <c r="I27" s="743">
        <f t="shared" si="9"/>
        <v>0.6428571428571429</v>
      </c>
      <c r="J27" s="736">
        <f t="shared" si="27"/>
        <v>109.45177033181702</v>
      </c>
      <c r="L27" s="10"/>
      <c r="M27" s="6" t="s">
        <v>228</v>
      </c>
      <c r="AC27" s="69"/>
      <c r="AE27" s="69"/>
      <c r="AG27" s="69"/>
      <c r="AI27" s="69"/>
      <c r="AK27" s="69"/>
      <c r="AM27" s="69"/>
      <c r="AO27" s="1038">
        <v>43113</v>
      </c>
      <c r="AP27" s="13">
        <f t="shared" si="11"/>
        <v>3</v>
      </c>
      <c r="AQ27" s="13">
        <f t="shared" si="12"/>
        <v>2</v>
      </c>
      <c r="AR27" s="169">
        <f t="shared" si="13"/>
        <v>43136</v>
      </c>
      <c r="AS27" s="743">
        <f t="shared" si="14"/>
        <v>0.8214285714285714</v>
      </c>
      <c r="AT27" s="759">
        <f>((1-AS27)*(INDEX(a.lg,AP27)*$A27*$A27+INDEX(b.lg,AP27)*$A27+INDEX(c.lg,AP27))+AS27*(INDEX(a.lg,AQ27)*$A27*$A27+INDEX(b.lg,AQ27)*$A27+INDEX(c.lg,AQ27)))/10</f>
        <v>109.20996036540184</v>
      </c>
      <c r="AU27" s="13">
        <f t="shared" si="16"/>
        <v>1</v>
      </c>
      <c r="AV27" s="13">
        <f t="shared" si="17"/>
        <v>2</v>
      </c>
      <c r="AW27" s="169">
        <f t="shared" si="18"/>
        <v>43093</v>
      </c>
      <c r="AX27" s="743">
        <f t="shared" si="19"/>
        <v>0.68965517241379315</v>
      </c>
      <c r="AY27" s="759">
        <f t="shared" si="20"/>
        <v>109.85365086259512</v>
      </c>
      <c r="AZ27" s="736">
        <f t="shared" si="26"/>
        <v>109.53180561399847</v>
      </c>
      <c r="BA27" s="633">
        <f t="shared" si="21"/>
        <v>0.25812500409394856</v>
      </c>
      <c r="BC27" s="11">
        <v>43113</v>
      </c>
      <c r="BD27" s="286">
        <f>[2]!FeuilCaduc*(1-Persistant)+Persistant</f>
        <v>0.60162614288674821</v>
      </c>
      <c r="BE27" s="287">
        <f>[2]!CroissVégét</f>
        <v>8.8949648478391823E-4</v>
      </c>
      <c r="BF27" s="806">
        <f>1+[2]!Salcycl*Ksac</f>
        <v>1.0002032678608435</v>
      </c>
      <c r="BH27" s="1036">
        <f t="shared" si="22"/>
        <v>6.5252924990265596E-2</v>
      </c>
      <c r="BI27" s="11">
        <v>44209</v>
      </c>
      <c r="BJ27" s="716">
        <v>1.5440859905926224E-2</v>
      </c>
      <c r="BK27" s="716">
        <v>2.3133001168266023E-2</v>
      </c>
      <c r="BL27" s="716">
        <v>3.2401226611378516E-2</v>
      </c>
      <c r="BM27" s="716">
        <v>4.2931383378928149E-2</v>
      </c>
      <c r="BN27" s="716">
        <v>5.3918761760739849E-2</v>
      </c>
      <c r="BO27" s="717">
        <v>6.5372858245327042E-2</v>
      </c>
      <c r="BP27" s="716">
        <v>7.8229886504940047E-2</v>
      </c>
      <c r="BQ27" s="716">
        <v>9.2495624842206955E-2</v>
      </c>
      <c r="BR27" s="716">
        <v>0.10709529737736519</v>
      </c>
      <c r="BS27" s="716">
        <v>0.12195837146067545</v>
      </c>
      <c r="BT27" s="716">
        <v>0.13620466199880407</v>
      </c>
      <c r="BW27" s="1166">
        <f>'2022'!R\Max</f>
        <v>0.25812500409394856</v>
      </c>
      <c r="BX27" s="1167">
        <f>'2023'!R\Max</f>
        <v>0.25796245861352274</v>
      </c>
      <c r="BY27" s="1167">
        <f>'2024'!R\Max</f>
        <v>0.25779955669753929</v>
      </c>
      <c r="BZ27" s="1167">
        <f>'2025'!R\Max</f>
        <v>0.25761916396501305</v>
      </c>
      <c r="CA27" s="1167">
        <f>'2026'!R\Max</f>
        <v>0.25743841332333023</v>
      </c>
      <c r="CB27" s="1167">
        <f>'2027'!R\Max</f>
        <v>0.2572535164914293</v>
      </c>
      <c r="CC27" s="1168">
        <f>'2028'!R\Max</f>
        <v>0.25706853481598413</v>
      </c>
      <c r="CD27" s="1167">
        <f>'2029'!R\Max</f>
        <v>0.25688028269808783</v>
      </c>
      <c r="CE27" s="1167">
        <f>'2030'!R\Max</f>
        <v>0.25797059983649651</v>
      </c>
      <c r="CF27" s="1169">
        <f>'2031'!R\Max</f>
        <v>0.25780769792051306</v>
      </c>
    </row>
    <row r="28" spans="1:84" s="6" customFormat="1" ht="11.25" x14ac:dyDescent="0.2">
      <c r="A28" s="11">
        <v>43114</v>
      </c>
      <c r="B28" s="375">
        <f>'2022'!Maxi_hp</f>
        <v>112.68214599647807</v>
      </c>
      <c r="C28" s="13">
        <f>'2022'!An_max</f>
        <v>2022</v>
      </c>
      <c r="D28" s="1045">
        <f t="shared" si="7"/>
        <v>1.0198758094816887</v>
      </c>
      <c r="E28" s="1040"/>
      <c r="F28" s="13">
        <f t="shared" si="23"/>
        <v>3</v>
      </c>
      <c r="G28" s="13">
        <f t="shared" si="24"/>
        <v>2</v>
      </c>
      <c r="H28" s="169">
        <f t="shared" si="8"/>
        <v>43122</v>
      </c>
      <c r="I28" s="743">
        <f t="shared" si="9"/>
        <v>0.5714285714285714</v>
      </c>
      <c r="J28" s="736">
        <f t="shared" si="27"/>
        <v>110.48614443923745</v>
      </c>
      <c r="L28" s="171">
        <f>M28-28</f>
        <v>43051</v>
      </c>
      <c r="M28" s="171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1">
        <f>AN12</f>
        <v>43473</v>
      </c>
      <c r="AB28" s="171">
        <f>AA28+28</f>
        <v>43501</v>
      </c>
      <c r="AO28" s="1038">
        <v>43114</v>
      </c>
      <c r="AP28" s="13">
        <f t="shared" si="11"/>
        <v>3</v>
      </c>
      <c r="AQ28" s="13">
        <f t="shared" si="12"/>
        <v>2</v>
      </c>
      <c r="AR28" s="169">
        <f t="shared" si="13"/>
        <v>43136</v>
      </c>
      <c r="AS28" s="743">
        <f t="shared" si="14"/>
        <v>0.7857142857142857</v>
      </c>
      <c r="AT28" s="759">
        <f t="shared" si="15"/>
        <v>110.22784226504821</v>
      </c>
      <c r="AU28" s="13">
        <f t="shared" si="16"/>
        <v>1</v>
      </c>
      <c r="AV28" s="13">
        <f t="shared" si="17"/>
        <v>2</v>
      </c>
      <c r="AW28" s="169">
        <f t="shared" si="18"/>
        <v>43093</v>
      </c>
      <c r="AX28" s="743">
        <f t="shared" si="19"/>
        <v>0.72413793103448276</v>
      </c>
      <c r="AY28" s="759">
        <f t="shared" si="20"/>
        <v>110.88088166220435</v>
      </c>
      <c r="AZ28" s="736">
        <f t="shared" si="26"/>
        <v>110.55436196362628</v>
      </c>
      <c r="BA28" s="633">
        <f t="shared" si="21"/>
        <v>1.0198758094816887</v>
      </c>
      <c r="BC28" s="11">
        <v>43114</v>
      </c>
      <c r="BD28" s="286">
        <f>[2]!FeuilCaduc*(1-Persistant)+Persistant</f>
        <v>0.60144661446112435</v>
      </c>
      <c r="BE28" s="287">
        <f>[2]!CroissVégét</f>
        <v>9.849992655628797E-4</v>
      </c>
      <c r="BF28" s="806">
        <f>1+[2]!Salcycl*Ksac</f>
        <v>1.0001808268076406</v>
      </c>
      <c r="BH28" s="1036">
        <f t="shared" si="22"/>
        <v>6.436312211334716E-2</v>
      </c>
      <c r="BI28" s="11">
        <v>44210</v>
      </c>
      <c r="BJ28" s="716">
        <v>1.4830637206244005E-2</v>
      </c>
      <c r="BK28" s="716">
        <v>2.2321917256277034E-2</v>
      </c>
      <c r="BL28" s="716">
        <v>3.1559902952369885E-2</v>
      </c>
      <c r="BM28" s="716">
        <v>4.2069640695221233E-2</v>
      </c>
      <c r="BN28" s="716">
        <v>5.3077179654758978E-2</v>
      </c>
      <c r="BO28" s="717">
        <v>6.4482545116888237E-2</v>
      </c>
      <c r="BP28" s="716">
        <v>7.7424121949635924E-2</v>
      </c>
      <c r="BQ28" s="716">
        <v>9.190282479455214E-2</v>
      </c>
      <c r="BR28" s="716">
        <v>0.10678935809232087</v>
      </c>
      <c r="BS28" s="716">
        <v>0.12203967560087031</v>
      </c>
      <c r="BT28" s="716">
        <v>0.13677577504249508</v>
      </c>
      <c r="BW28" s="1166">
        <f>'2022'!R\Max</f>
        <v>1.0198758094816887</v>
      </c>
      <c r="BX28" s="1167">
        <f>'2023'!R\Max</f>
        <v>1.0198758094816887</v>
      </c>
      <c r="BY28" s="1167">
        <f>'2024'!R\Max</f>
        <v>1.0198758094816887</v>
      </c>
      <c r="BZ28" s="1167">
        <f>'2025'!R\Max</f>
        <v>1.0198758094816887</v>
      </c>
      <c r="CA28" s="1167">
        <f>'2026'!R\Max</f>
        <v>1.0198758094816889</v>
      </c>
      <c r="CB28" s="1167">
        <f>'2027'!R\Max</f>
        <v>1.0198758094816887</v>
      </c>
      <c r="CC28" s="1168">
        <f>'2028'!R\Max</f>
        <v>1.0198758094816887</v>
      </c>
      <c r="CD28" s="1167">
        <f>'2029'!R\Max</f>
        <v>1.0198758094816889</v>
      </c>
      <c r="CE28" s="1167">
        <f>'2030'!R\Max</f>
        <v>1.0198758094816887</v>
      </c>
      <c r="CF28" s="1169">
        <f>'2031'!R\Max</f>
        <v>1.0198758094816887</v>
      </c>
    </row>
    <row r="29" spans="1:84" s="6" customFormat="1" ht="11.25" x14ac:dyDescent="0.2">
      <c r="A29" s="11">
        <v>43115</v>
      </c>
      <c r="B29" s="375">
        <f>'2022'!Maxi_hp</f>
        <v>114.41654344925561</v>
      </c>
      <c r="C29" s="13">
        <f>'2022'!An_max</f>
        <v>2022</v>
      </c>
      <c r="D29" s="1045">
        <f t="shared" si="7"/>
        <v>1.025682695128749</v>
      </c>
      <c r="E29" s="1040"/>
      <c r="F29" s="13">
        <f t="shared" si="23"/>
        <v>3</v>
      </c>
      <c r="G29" s="13">
        <f t="shared" si="24"/>
        <v>2</v>
      </c>
      <c r="H29" s="169">
        <f t="shared" si="8"/>
        <v>43122</v>
      </c>
      <c r="I29" s="743">
        <f t="shared" si="9"/>
        <v>0.5</v>
      </c>
      <c r="J29" s="736">
        <f t="shared" si="27"/>
        <v>111.55159777253866</v>
      </c>
      <c r="L29" s="764">
        <f>AJ13</f>
        <v>1230</v>
      </c>
      <c r="M29" s="764">
        <f>L13</f>
        <v>975</v>
      </c>
      <c r="N29" s="754">
        <f>N13</f>
        <v>1048.3399999999999</v>
      </c>
      <c r="O29" s="754">
        <f>P13</f>
        <v>1389.5450000000001</v>
      </c>
      <c r="P29" s="754">
        <f>R13</f>
        <v>1819.76</v>
      </c>
      <c r="Q29" s="754">
        <f>T13</f>
        <v>2190</v>
      </c>
      <c r="R29" s="754">
        <f>V13</f>
        <v>2410</v>
      </c>
      <c r="S29" s="754">
        <f>X13</f>
        <v>2505</v>
      </c>
      <c r="T29" s="754">
        <f>Z13</f>
        <v>2510</v>
      </c>
      <c r="U29" s="754">
        <f>AB13</f>
        <v>2420</v>
      </c>
      <c r="V29" s="754">
        <f>AD13</f>
        <v>2240</v>
      </c>
      <c r="W29" s="754">
        <f>AF13</f>
        <v>1965</v>
      </c>
      <c r="X29" s="754">
        <f>AH13</f>
        <v>1605</v>
      </c>
      <c r="Y29" s="754">
        <f>AJ13</f>
        <v>1230</v>
      </c>
      <c r="Z29" s="754">
        <f>AL13</f>
        <v>975</v>
      </c>
      <c r="AA29" s="762">
        <f>AN13</f>
        <v>1048.3399999999999</v>
      </c>
      <c r="AB29" s="762">
        <f>P13</f>
        <v>1389.5450000000001</v>
      </c>
      <c r="AO29" s="1038">
        <v>43115</v>
      </c>
      <c r="AP29" s="13">
        <f t="shared" si="11"/>
        <v>3</v>
      </c>
      <c r="AQ29" s="13">
        <f t="shared" si="12"/>
        <v>2</v>
      </c>
      <c r="AR29" s="169">
        <f t="shared" si="13"/>
        <v>43136</v>
      </c>
      <c r="AS29" s="743">
        <f t="shared" si="14"/>
        <v>0.75</v>
      </c>
      <c r="AT29" s="759">
        <f t="shared" si="15"/>
        <v>111.28765476085246</v>
      </c>
      <c r="AU29" s="13">
        <f t="shared" si="16"/>
        <v>1</v>
      </c>
      <c r="AV29" s="13">
        <f t="shared" si="17"/>
        <v>2</v>
      </c>
      <c r="AW29" s="169">
        <f t="shared" si="18"/>
        <v>43093</v>
      </c>
      <c r="AX29" s="743">
        <f t="shared" si="19"/>
        <v>0.75862068965517238</v>
      </c>
      <c r="AY29" s="759">
        <f t="shared" si="20"/>
        <v>111.92831182233219</v>
      </c>
      <c r="AZ29" s="736">
        <f t="shared" si="26"/>
        <v>111.60798329159232</v>
      </c>
      <c r="BA29" s="633">
        <f t="shared" si="21"/>
        <v>1.025682695128749</v>
      </c>
      <c r="BC29" s="11">
        <v>43115</v>
      </c>
      <c r="BD29" s="286">
        <f>[2]!FeuilCaduc*(1-Persistant)+Persistant</f>
        <v>0.60127610081626426</v>
      </c>
      <c r="BE29" s="287">
        <f>[2]!CroissVégét</f>
        <v>1.0844891659074879E-3</v>
      </c>
      <c r="BF29" s="806">
        <f>1+[2]!Salcycl*Ksac</f>
        <v>1.0001595126020331</v>
      </c>
      <c r="BH29" s="1036">
        <f t="shared" si="22"/>
        <v>6.3374812467919331E-2</v>
      </c>
      <c r="BI29" s="11">
        <v>44211</v>
      </c>
      <c r="BJ29" s="716">
        <v>1.4189449403419209E-2</v>
      </c>
      <c r="BK29" s="716">
        <v>2.1483985929513321E-2</v>
      </c>
      <c r="BL29" s="716">
        <v>3.0696199402738395E-2</v>
      </c>
      <c r="BM29" s="716">
        <v>4.117395510396029E-2</v>
      </c>
      <c r="BN29" s="716">
        <v>5.2176219804758089E-2</v>
      </c>
      <c r="BO29" s="717">
        <v>6.3493311173381903E-2</v>
      </c>
      <c r="BP29" s="716">
        <v>7.6483178024023893E-2</v>
      </c>
      <c r="BQ29" s="716">
        <v>9.1153618221324159E-2</v>
      </c>
      <c r="BR29" s="716">
        <v>0.10633033195023561</v>
      </c>
      <c r="BS29" s="716">
        <v>0.12199695700532354</v>
      </c>
      <c r="BT29" s="716">
        <v>0.13727282628539594</v>
      </c>
      <c r="BW29" s="1166">
        <f>'2022'!R\Max</f>
        <v>1.025682695128749</v>
      </c>
      <c r="BX29" s="1167">
        <f>'2023'!R\Max</f>
        <v>1.025682695128749</v>
      </c>
      <c r="BY29" s="1167">
        <f>'2024'!R\Max</f>
        <v>1.025682695128749</v>
      </c>
      <c r="BZ29" s="1167">
        <f>'2025'!R\Max</f>
        <v>1.025682695128749</v>
      </c>
      <c r="CA29" s="1167">
        <f>'2026'!R\Max</f>
        <v>1.025682695128749</v>
      </c>
      <c r="CB29" s="1167">
        <f>'2027'!R\Max</f>
        <v>1.025682695128749</v>
      </c>
      <c r="CC29" s="1168">
        <f>'2028'!R\Max</f>
        <v>1.025682695128749</v>
      </c>
      <c r="CD29" s="1167">
        <f>'2029'!R\Max</f>
        <v>1.025682695128749</v>
      </c>
      <c r="CE29" s="1167">
        <f>'2030'!R\Max</f>
        <v>1.0256826951287488</v>
      </c>
      <c r="CF29" s="1169">
        <f>'2031'!R\Max</f>
        <v>1.025682695128749</v>
      </c>
    </row>
    <row r="30" spans="1:84" s="6" customFormat="1" ht="11.25" x14ac:dyDescent="0.2">
      <c r="A30" s="11">
        <v>43116</v>
      </c>
      <c r="B30" s="375">
        <f>'2022'!Maxi_hp</f>
        <v>113.79391184138983</v>
      </c>
      <c r="C30" s="13">
        <f>'2022'!An_max</f>
        <v>2022</v>
      </c>
      <c r="D30" s="1045">
        <f t="shared" si="7"/>
        <v>1.0101938567944702</v>
      </c>
      <c r="E30" s="1040"/>
      <c r="F30" s="13">
        <f t="shared" si="23"/>
        <v>3</v>
      </c>
      <c r="G30" s="13">
        <f t="shared" si="24"/>
        <v>2</v>
      </c>
      <c r="H30" s="169">
        <f t="shared" si="8"/>
        <v>43122</v>
      </c>
      <c r="I30" s="743">
        <f t="shared" si="9"/>
        <v>0.42857142857142855</v>
      </c>
      <c r="J30" s="736">
        <f t="shared" si="27"/>
        <v>112.6456185374941</v>
      </c>
      <c r="L30" s="744" t="s">
        <v>209</v>
      </c>
      <c r="M30" s="774">
        <f t="shared" ref="M30:AA30" si="37">L28</f>
        <v>43051</v>
      </c>
      <c r="N30" s="775">
        <f t="shared" si="37"/>
        <v>43079</v>
      </c>
      <c r="O30" s="726">
        <f t="shared" si="37"/>
        <v>43108</v>
      </c>
      <c r="P30" s="726">
        <f t="shared" si="37"/>
        <v>43136</v>
      </c>
      <c r="Q30" s="726">
        <f t="shared" si="37"/>
        <v>43164</v>
      </c>
      <c r="R30" s="726">
        <f t="shared" si="37"/>
        <v>43192</v>
      </c>
      <c r="S30" s="726">
        <f t="shared" si="37"/>
        <v>43220</v>
      </c>
      <c r="T30" s="726">
        <f t="shared" si="37"/>
        <v>43248</v>
      </c>
      <c r="U30" s="726">
        <f t="shared" si="37"/>
        <v>43276</v>
      </c>
      <c r="V30" s="726">
        <f t="shared" si="37"/>
        <v>43304</v>
      </c>
      <c r="W30" s="726">
        <f t="shared" si="37"/>
        <v>43332</v>
      </c>
      <c r="X30" s="726">
        <f t="shared" si="37"/>
        <v>43360</v>
      </c>
      <c r="Y30" s="726">
        <f t="shared" si="37"/>
        <v>43388</v>
      </c>
      <c r="Z30" s="726">
        <f t="shared" si="37"/>
        <v>43416</v>
      </c>
      <c r="AA30" s="767">
        <f t="shared" si="37"/>
        <v>43444</v>
      </c>
      <c r="AO30" s="1038">
        <v>43116</v>
      </c>
      <c r="AP30" s="13">
        <f t="shared" si="11"/>
        <v>3</v>
      </c>
      <c r="AQ30" s="13">
        <f t="shared" si="12"/>
        <v>2</v>
      </c>
      <c r="AR30" s="169">
        <f t="shared" si="13"/>
        <v>43136</v>
      </c>
      <c r="AS30" s="743">
        <f t="shared" si="14"/>
        <v>0.7142857142857143</v>
      </c>
      <c r="AT30" s="759">
        <f t="shared" si="15"/>
        <v>112.38698388338089</v>
      </c>
      <c r="AU30" s="13">
        <f t="shared" si="16"/>
        <v>1</v>
      </c>
      <c r="AV30" s="13">
        <f t="shared" si="17"/>
        <v>2</v>
      </c>
      <c r="AW30" s="169">
        <f t="shared" si="18"/>
        <v>43093</v>
      </c>
      <c r="AX30" s="743">
        <f t="shared" si="19"/>
        <v>0.7931034482758621</v>
      </c>
      <c r="AY30" s="759">
        <f t="shared" si="20"/>
        <v>112.9940734340199</v>
      </c>
      <c r="AZ30" s="736">
        <f t="shared" si="26"/>
        <v>112.6905286587004</v>
      </c>
      <c r="BA30" s="633">
        <f t="shared" si="21"/>
        <v>1.0101938567944702</v>
      </c>
      <c r="BC30" s="11">
        <v>43116</v>
      </c>
      <c r="BD30" s="286">
        <f>[2]!FeuilCaduc*(1-Persistant)+Persistant</f>
        <v>0.60111480715254595</v>
      </c>
      <c r="BE30" s="287">
        <f>[2]!CroissVégét</f>
        <v>1.1881317966940647E-3</v>
      </c>
      <c r="BF30" s="806">
        <f>1+[2]!Salcycl*Ksac</f>
        <v>1.0001393508940681</v>
      </c>
      <c r="BH30" s="1036">
        <f t="shared" si="22"/>
        <v>6.2239696529074046E-2</v>
      </c>
      <c r="BI30" s="11">
        <v>44212</v>
      </c>
      <c r="BJ30" s="716">
        <v>1.3530420617991692E-2</v>
      </c>
      <c r="BK30" s="716">
        <v>2.0626998251821595E-2</v>
      </c>
      <c r="BL30" s="716">
        <v>2.9789109586041595E-2</v>
      </c>
      <c r="BM30" s="716">
        <v>4.0195635641074395E-2</v>
      </c>
      <c r="BN30" s="716">
        <v>5.1156689494895442E-2</v>
      </c>
      <c r="BO30" s="717">
        <v>6.2356972156975304E-2</v>
      </c>
      <c r="BP30" s="716">
        <v>7.5363208040463786E-2</v>
      </c>
      <c r="BQ30" s="716">
        <v>9.0183812662303686E-2</v>
      </c>
      <c r="BR30" s="716">
        <v>0.1056253018840267</v>
      </c>
      <c r="BS30" s="716">
        <v>0.12169723720473535</v>
      </c>
      <c r="BT30" s="716">
        <v>0.13751439702256008</v>
      </c>
      <c r="BW30" s="1166">
        <f>'2022'!R\Max</f>
        <v>1.0101938567944702</v>
      </c>
      <c r="BX30" s="1167">
        <f>'2023'!R\Max</f>
        <v>1.0101938567944704</v>
      </c>
      <c r="BY30" s="1167">
        <f>'2024'!R\Max</f>
        <v>1.0101938567944699</v>
      </c>
      <c r="BZ30" s="1167">
        <f>'2025'!R\Max</f>
        <v>1.0101938567944699</v>
      </c>
      <c r="CA30" s="1167">
        <f>'2026'!R\Max</f>
        <v>1.0101938567944702</v>
      </c>
      <c r="CB30" s="1167">
        <f>'2027'!R\Max</f>
        <v>1.0101938567944699</v>
      </c>
      <c r="CC30" s="1168">
        <f>'2028'!R\Max</f>
        <v>1.0101938567944702</v>
      </c>
      <c r="CD30" s="1167">
        <f>'2029'!R\Max</f>
        <v>1.0101938567944702</v>
      </c>
      <c r="CE30" s="1167">
        <f>'2030'!R\Max</f>
        <v>1.0101938567944704</v>
      </c>
      <c r="CF30" s="1169">
        <f>'2031'!R\Max</f>
        <v>1.0101938567944702</v>
      </c>
    </row>
    <row r="31" spans="1:84" s="6" customFormat="1" ht="11.25" x14ac:dyDescent="0.2">
      <c r="A31" s="11">
        <v>43117</v>
      </c>
      <c r="B31" s="375">
        <f>'2022'!Maxi_hp</f>
        <v>89.36504341458523</v>
      </c>
      <c r="C31" s="13">
        <f>'2022'!An_max</f>
        <v>2022</v>
      </c>
      <c r="D31" s="1045" t="str">
        <f t="shared" si="7"/>
        <v/>
      </c>
      <c r="E31" s="1040"/>
      <c r="F31" s="13">
        <f t="shared" si="23"/>
        <v>3</v>
      </c>
      <c r="G31" s="13">
        <f t="shared" si="24"/>
        <v>2</v>
      </c>
      <c r="H31" s="169">
        <f t="shared" si="8"/>
        <v>43122</v>
      </c>
      <c r="I31" s="743">
        <f t="shared" si="9"/>
        <v>0.35714285714285715</v>
      </c>
      <c r="J31" s="736">
        <f t="shared" si="27"/>
        <v>113.76569496457064</v>
      </c>
      <c r="L31" s="745" t="s">
        <v>210</v>
      </c>
      <c r="M31" s="766">
        <f t="shared" ref="M31:AA31" si="38">L29</f>
        <v>1230</v>
      </c>
      <c r="N31" s="770">
        <f t="shared" si="38"/>
        <v>975</v>
      </c>
      <c r="O31" s="732">
        <f t="shared" si="38"/>
        <v>1048.3399999999999</v>
      </c>
      <c r="P31" s="732">
        <f t="shared" si="38"/>
        <v>1389.5450000000001</v>
      </c>
      <c r="Q31" s="732">
        <f t="shared" si="38"/>
        <v>1819.76</v>
      </c>
      <c r="R31" s="732">
        <f t="shared" si="38"/>
        <v>2190</v>
      </c>
      <c r="S31" s="732">
        <f t="shared" si="38"/>
        <v>2410</v>
      </c>
      <c r="T31" s="732">
        <f t="shared" si="38"/>
        <v>2505</v>
      </c>
      <c r="U31" s="732">
        <f t="shared" si="38"/>
        <v>2510</v>
      </c>
      <c r="V31" s="732">
        <f t="shared" si="38"/>
        <v>2420</v>
      </c>
      <c r="W31" s="732">
        <f t="shared" si="38"/>
        <v>2240</v>
      </c>
      <c r="X31" s="732">
        <f t="shared" si="38"/>
        <v>1965</v>
      </c>
      <c r="Y31" s="732">
        <f t="shared" si="38"/>
        <v>1605</v>
      </c>
      <c r="Z31" s="732">
        <f t="shared" si="38"/>
        <v>1230</v>
      </c>
      <c r="AA31" s="768">
        <f t="shared" si="38"/>
        <v>975</v>
      </c>
      <c r="AO31" s="1038">
        <v>43117</v>
      </c>
      <c r="AP31" s="13">
        <f t="shared" si="11"/>
        <v>3</v>
      </c>
      <c r="AQ31" s="13">
        <f t="shared" si="12"/>
        <v>2</v>
      </c>
      <c r="AR31" s="169">
        <f t="shared" si="13"/>
        <v>43136</v>
      </c>
      <c r="AS31" s="743">
        <f t="shared" si="14"/>
        <v>0.6785714285714286</v>
      </c>
      <c r="AT31" s="759">
        <f t="shared" si="15"/>
        <v>113.5234156190817</v>
      </c>
      <c r="AU31" s="13">
        <f t="shared" si="16"/>
        <v>1</v>
      </c>
      <c r="AV31" s="13">
        <f t="shared" si="17"/>
        <v>2</v>
      </c>
      <c r="AW31" s="169">
        <f t="shared" si="18"/>
        <v>43093</v>
      </c>
      <c r="AX31" s="743">
        <f t="shared" si="19"/>
        <v>0.82758620689655171</v>
      </c>
      <c r="AY31" s="759">
        <f t="shared" si="20"/>
        <v>114.07629857679895</v>
      </c>
      <c r="AZ31" s="736">
        <f t="shared" si="26"/>
        <v>113.79985709794033</v>
      </c>
      <c r="BA31" s="633">
        <f t="shared" si="21"/>
        <v>0.78551837126662516</v>
      </c>
      <c r="BC31" s="11">
        <v>43117</v>
      </c>
      <c r="BD31" s="286">
        <f>[2]!FeuilCaduc*(1-Persistant)+Persistant</f>
        <v>0.60096300793964963</v>
      </c>
      <c r="BE31" s="287">
        <f>[2]!CroissVégét</f>
        <v>1.2960995754023115E-3</v>
      </c>
      <c r="BF31" s="806">
        <f>1+[2]!Salcycl*Ksac</f>
        <v>1.0001203759924562</v>
      </c>
      <c r="BH31" s="1036">
        <f t="shared" si="22"/>
        <v>6.0999977068260672E-2</v>
      </c>
      <c r="BI31" s="11">
        <v>44213</v>
      </c>
      <c r="BJ31" s="716">
        <v>1.2882628885819055E-2</v>
      </c>
      <c r="BK31" s="716">
        <v>1.9774670397371286E-2</v>
      </c>
      <c r="BL31" s="716">
        <v>2.885131214254447E-2</v>
      </c>
      <c r="BM31" s="716">
        <v>3.9145515635668225E-2</v>
      </c>
      <c r="BN31" s="716">
        <v>5.0041919686725472E-2</v>
      </c>
      <c r="BO31" s="717">
        <v>6.1115930532517661E-2</v>
      </c>
      <c r="BP31" s="716">
        <v>7.4114876182288222E-2</v>
      </c>
      <c r="BQ31" s="716">
        <v>8.9036047197986232E-2</v>
      </c>
      <c r="BR31" s="716">
        <v>0.10469950308808877</v>
      </c>
      <c r="BS31" s="716">
        <v>0.12114113247675122</v>
      </c>
      <c r="BT31" s="716">
        <v>0.13747144029710673</v>
      </c>
      <c r="BW31" s="1166">
        <f>'2022'!R\Max</f>
        <v>0.78551837126662516</v>
      </c>
      <c r="BX31" s="1167">
        <f>'2023'!R\Max</f>
        <v>0.78537115241036948</v>
      </c>
      <c r="BY31" s="1167">
        <f>'2024'!R\Max</f>
        <v>0.78522337850292967</v>
      </c>
      <c r="BZ31" s="1167">
        <f>'2025'!R\Max</f>
        <v>0.78505402719914541</v>
      </c>
      <c r="CA31" s="1167">
        <f>'2026'!R\Max</f>
        <v>0.78488408033393342</v>
      </c>
      <c r="CB31" s="1167">
        <f>'2027'!R\Max</f>
        <v>0.78470566651096041</v>
      </c>
      <c r="CC31" s="1168">
        <f>'2028'!R\Max</f>
        <v>0.78452690294876659</v>
      </c>
      <c r="CD31" s="1167">
        <f>'2029'!R\Max</f>
        <v>0.78433923524572646</v>
      </c>
      <c r="CE31" s="1167">
        <f>'2030'!R\Max</f>
        <v>0.78537853429328575</v>
      </c>
      <c r="CF31" s="1169">
        <f>'2031'!R\Max</f>
        <v>0.78523076667160796</v>
      </c>
    </row>
    <row r="32" spans="1:84" s="6" customFormat="1" ht="11.25" x14ac:dyDescent="0.2">
      <c r="A32" s="11">
        <v>43118</v>
      </c>
      <c r="B32" s="375">
        <f>'2022'!Maxi_hp</f>
        <v>23.40767107813555</v>
      </c>
      <c r="C32" s="13">
        <f>'2022'!An_max</f>
        <v>2022</v>
      </c>
      <c r="D32" s="1045" t="str">
        <f t="shared" si="7"/>
        <v/>
      </c>
      <c r="E32" s="1040"/>
      <c r="F32" s="13">
        <f t="shared" si="23"/>
        <v>3</v>
      </c>
      <c r="G32" s="13">
        <f t="shared" si="24"/>
        <v>2</v>
      </c>
      <c r="H32" s="169">
        <f t="shared" si="8"/>
        <v>43122</v>
      </c>
      <c r="I32" s="743">
        <f t="shared" si="9"/>
        <v>0.2857142857142857</v>
      </c>
      <c r="J32" s="736">
        <f t="shared" si="27"/>
        <v>114.90931528764111</v>
      </c>
      <c r="L32" s="745" t="s">
        <v>211</v>
      </c>
      <c r="M32" s="777">
        <f t="shared" ref="M32:AA32" si="39">M28</f>
        <v>43079</v>
      </c>
      <c r="N32" s="727">
        <f t="shared" si="39"/>
        <v>43108</v>
      </c>
      <c r="O32" s="727">
        <f t="shared" si="39"/>
        <v>43136</v>
      </c>
      <c r="P32" s="727">
        <f t="shared" si="39"/>
        <v>43164</v>
      </c>
      <c r="Q32" s="727">
        <f t="shared" si="39"/>
        <v>43192</v>
      </c>
      <c r="R32" s="727">
        <f t="shared" si="39"/>
        <v>43220</v>
      </c>
      <c r="S32" s="727">
        <f t="shared" si="39"/>
        <v>43248</v>
      </c>
      <c r="T32" s="727">
        <f t="shared" si="39"/>
        <v>43276</v>
      </c>
      <c r="U32" s="727">
        <f t="shared" si="39"/>
        <v>43304</v>
      </c>
      <c r="V32" s="727">
        <f t="shared" si="39"/>
        <v>43332</v>
      </c>
      <c r="W32" s="727">
        <f t="shared" si="39"/>
        <v>43360</v>
      </c>
      <c r="X32" s="727">
        <f t="shared" si="39"/>
        <v>43388</v>
      </c>
      <c r="Y32" s="727">
        <f t="shared" si="39"/>
        <v>43416</v>
      </c>
      <c r="Z32" s="769">
        <f t="shared" si="39"/>
        <v>43444</v>
      </c>
      <c r="AA32" s="776">
        <f t="shared" si="39"/>
        <v>43473</v>
      </c>
      <c r="AO32" s="1038">
        <v>43118</v>
      </c>
      <c r="AP32" s="13">
        <f t="shared" si="11"/>
        <v>3</v>
      </c>
      <c r="AQ32" s="13">
        <f t="shared" si="12"/>
        <v>2</v>
      </c>
      <c r="AR32" s="169">
        <f t="shared" si="13"/>
        <v>43136</v>
      </c>
      <c r="AS32" s="743">
        <f t="shared" si="14"/>
        <v>0.6428571428571429</v>
      </c>
      <c r="AT32" s="759">
        <f t="shared" si="15"/>
        <v>114.69453597334878</v>
      </c>
      <c r="AU32" s="13">
        <f t="shared" si="16"/>
        <v>1</v>
      </c>
      <c r="AV32" s="13">
        <f t="shared" si="17"/>
        <v>2</v>
      </c>
      <c r="AW32" s="169">
        <f t="shared" si="18"/>
        <v>43093</v>
      </c>
      <c r="AX32" s="743">
        <f t="shared" si="19"/>
        <v>0.86206896551724133</v>
      </c>
      <c r="AY32" s="759">
        <f t="shared" si="20"/>
        <v>115.17311932526786</v>
      </c>
      <c r="AZ32" s="736">
        <f t="shared" si="26"/>
        <v>114.93382764930831</v>
      </c>
      <c r="BA32" s="633">
        <f t="shared" si="21"/>
        <v>0.20370560053848938</v>
      </c>
      <c r="BC32" s="11">
        <v>43118</v>
      </c>
      <c r="BD32" s="286">
        <f>[2]!FeuilCaduc*(1-Persistant)+Persistant</f>
        <v>0.60082102964158302</v>
      </c>
      <c r="BE32" s="287">
        <f>[2]!CroissVégét</f>
        <v>1.4085719996856784E-3</v>
      </c>
      <c r="BF32" s="806">
        <f>1+[2]!Salcycl*Ksac</f>
        <v>1.0001026287051979</v>
      </c>
      <c r="BH32" s="1036">
        <f t="shared" si="22"/>
        <v>5.9655544990652398E-2</v>
      </c>
      <c r="BI32" s="11">
        <v>44214</v>
      </c>
      <c r="BJ32" s="716">
        <v>1.2246105373655902E-2</v>
      </c>
      <c r="BK32" s="716">
        <v>1.892703002182174E-2</v>
      </c>
      <c r="BL32" s="716">
        <v>2.788279632625015E-2</v>
      </c>
      <c r="BM32" s="716">
        <v>3.8023541253468331E-2</v>
      </c>
      <c r="BN32" s="716">
        <v>4.8831821489573796E-2</v>
      </c>
      <c r="BO32" s="717">
        <v>5.9770076991390475E-2</v>
      </c>
      <c r="BP32" s="716">
        <v>7.2738029100775495E-2</v>
      </c>
      <c r="BQ32" s="716">
        <v>8.7710093056108718E-2</v>
      </c>
      <c r="BR32" s="716">
        <v>0.1035526254470122</v>
      </c>
      <c r="BS32" s="716">
        <v>0.12032824363645055</v>
      </c>
      <c r="BT32" s="716">
        <v>0.13714346252683507</v>
      </c>
      <c r="BW32" s="1166">
        <f>'2022'!R\Max</f>
        <v>0.20370560053848938</v>
      </c>
      <c r="BX32" s="1167">
        <f>'2023'!R\Max</f>
        <v>0.20358263421525746</v>
      </c>
      <c r="BY32" s="1167">
        <f>'2024'!R\Max</f>
        <v>0.20345929080276054</v>
      </c>
      <c r="BZ32" s="1167">
        <f>'2025'!R\Max</f>
        <v>0.2033172578176683</v>
      </c>
      <c r="CA32" s="1167">
        <f>'2026'!R\Max</f>
        <v>0.20317485249069023</v>
      </c>
      <c r="CB32" s="1167">
        <f>'2027'!R\Max</f>
        <v>0.20302432951403859</v>
      </c>
      <c r="CC32" s="1168">
        <f>'2028'!R\Max</f>
        <v>0.20287364481138043</v>
      </c>
      <c r="CD32" s="1167">
        <f>'2029'!R\Max</f>
        <v>0.20271425851665728</v>
      </c>
      <c r="CE32" s="1167">
        <f>'2030'!R\Max</f>
        <v>0.20358879845351954</v>
      </c>
      <c r="CF32" s="1169">
        <f>'2031'!R\Max</f>
        <v>0.20346545504102265</v>
      </c>
    </row>
    <row r="33" spans="1:84" s="6" customFormat="1" ht="11.25" x14ac:dyDescent="0.2">
      <c r="A33" s="11">
        <v>43119</v>
      </c>
      <c r="B33" s="375">
        <f>'2022'!Maxi_hp</f>
        <v>47.804919366126292</v>
      </c>
      <c r="C33" s="13">
        <f>'2022'!An_max</f>
        <v>2022</v>
      </c>
      <c r="D33" s="1045" t="str">
        <f t="shared" si="7"/>
        <v/>
      </c>
      <c r="E33" s="1040"/>
      <c r="F33" s="13">
        <f t="shared" si="23"/>
        <v>3</v>
      </c>
      <c r="G33" s="13">
        <f t="shared" si="24"/>
        <v>2</v>
      </c>
      <c r="H33" s="169">
        <f t="shared" si="8"/>
        <v>43122</v>
      </c>
      <c r="I33" s="743">
        <f t="shared" si="9"/>
        <v>0.21428571428571427</v>
      </c>
      <c r="J33" s="736">
        <f t="shared" si="27"/>
        <v>116.07396772354841</v>
      </c>
      <c r="L33" s="745" t="s">
        <v>212</v>
      </c>
      <c r="M33" s="770">
        <f t="shared" ref="M33:AA33" si="40">M29</f>
        <v>975</v>
      </c>
      <c r="N33" s="733">
        <f t="shared" si="40"/>
        <v>1048.3399999999999</v>
      </c>
      <c r="O33" s="733">
        <f t="shared" si="40"/>
        <v>1389.5450000000001</v>
      </c>
      <c r="P33" s="733">
        <f t="shared" si="40"/>
        <v>1819.76</v>
      </c>
      <c r="Q33" s="733">
        <f t="shared" si="40"/>
        <v>2190</v>
      </c>
      <c r="R33" s="733">
        <f t="shared" si="40"/>
        <v>2410</v>
      </c>
      <c r="S33" s="733">
        <f t="shared" si="40"/>
        <v>2505</v>
      </c>
      <c r="T33" s="733">
        <f t="shared" si="40"/>
        <v>2510</v>
      </c>
      <c r="U33" s="733">
        <f t="shared" si="40"/>
        <v>2420</v>
      </c>
      <c r="V33" s="733">
        <f t="shared" si="40"/>
        <v>2240</v>
      </c>
      <c r="W33" s="733">
        <f t="shared" si="40"/>
        <v>1965</v>
      </c>
      <c r="X33" s="733">
        <f t="shared" si="40"/>
        <v>1605</v>
      </c>
      <c r="Y33" s="733">
        <f t="shared" si="40"/>
        <v>1230</v>
      </c>
      <c r="Z33" s="768">
        <f t="shared" si="40"/>
        <v>975</v>
      </c>
      <c r="AA33" s="766">
        <f t="shared" si="40"/>
        <v>1048.3399999999999</v>
      </c>
      <c r="AO33" s="1038">
        <v>43119</v>
      </c>
      <c r="AP33" s="13">
        <f t="shared" si="11"/>
        <v>3</v>
      </c>
      <c r="AQ33" s="13">
        <f t="shared" si="12"/>
        <v>2</v>
      </c>
      <c r="AR33" s="169">
        <f t="shared" si="13"/>
        <v>43136</v>
      </c>
      <c r="AS33" s="743">
        <f t="shared" si="14"/>
        <v>0.6071428571428571</v>
      </c>
      <c r="AT33" s="759">
        <f t="shared" si="15"/>
        <v>115.89793095796236</v>
      </c>
      <c r="AU33" s="13">
        <f t="shared" si="16"/>
        <v>1</v>
      </c>
      <c r="AV33" s="13">
        <f t="shared" si="17"/>
        <v>2</v>
      </c>
      <c r="AW33" s="169">
        <f t="shared" si="18"/>
        <v>43093</v>
      </c>
      <c r="AX33" s="743">
        <f t="shared" si="19"/>
        <v>0.89655172413793105</v>
      </c>
      <c r="AY33" s="759">
        <f t="shared" si="20"/>
        <v>116.28266775936916</v>
      </c>
      <c r="AZ33" s="736">
        <f t="shared" si="26"/>
        <v>116.09029935866576</v>
      </c>
      <c r="BA33" s="633">
        <f t="shared" si="21"/>
        <v>0.41184875733706749</v>
      </c>
      <c r="BC33" s="11">
        <v>43119</v>
      </c>
      <c r="BD33" s="286">
        <f>[2]!FeuilCaduc*(1-Persistant)+Persistant</f>
        <v>0.60068923385957229</v>
      </c>
      <c r="BE33" s="287">
        <f>[2]!CroissVégét</f>
        <v>1.5257359314074395E-3</v>
      </c>
      <c r="BF33" s="806">
        <f>1+[2]!Salcycl*Ksac</f>
        <v>1.0000861542324466</v>
      </c>
      <c r="BH33" s="1036">
        <f t="shared" si="22"/>
        <v>5.820631891132292E-2</v>
      </c>
      <c r="BI33" s="11">
        <v>44215</v>
      </c>
      <c r="BJ33" s="716">
        <v>1.1620884821813383E-2</v>
      </c>
      <c r="BK33" s="716">
        <v>1.8084111158640007E-2</v>
      </c>
      <c r="BL33" s="716">
        <v>2.6883564345848487E-2</v>
      </c>
      <c r="BM33" s="716">
        <v>3.6829679366831916E-2</v>
      </c>
      <c r="BN33" s="716">
        <v>4.7526331135555953E-2</v>
      </c>
      <c r="BO33" s="717">
        <v>5.8319329962251448E-2</v>
      </c>
      <c r="BP33" s="716">
        <v>7.1232545148842405E-2</v>
      </c>
      <c r="BQ33" s="716">
        <v>8.6205760524563635E-2</v>
      </c>
      <c r="BR33" s="716">
        <v>0.1021844031103981</v>
      </c>
      <c r="BS33" s="716">
        <v>0.11925821852586656</v>
      </c>
      <c r="BT33" s="716">
        <v>0.13653001746675086</v>
      </c>
      <c r="BW33" s="1166">
        <f>'2022'!R\Max</f>
        <v>0.41184875733706749</v>
      </c>
      <c r="BX33" s="1167">
        <f>'2023'!R\Max</f>
        <v>0.4116428914829604</v>
      </c>
      <c r="BY33" s="1167">
        <f>'2024'!R\Max</f>
        <v>0.41143632792505036</v>
      </c>
      <c r="BZ33" s="1167">
        <f>'2025'!R\Max</f>
        <v>0.41119740267725169</v>
      </c>
      <c r="CA33" s="1167">
        <f>'2026'!R\Max</f>
        <v>0.41095778456481313</v>
      </c>
      <c r="CB33" s="1167">
        <f>'2027'!R\Max</f>
        <v>0.41070233052771227</v>
      </c>
      <c r="CC33" s="1168">
        <f>'2028'!R\Max</f>
        <v>0.41044650365206148</v>
      </c>
      <c r="CD33" s="1167">
        <f>'2029'!R\Max</f>
        <v>0.41017341627188475</v>
      </c>
      <c r="CE33" s="1167">
        <f>'2030'!R\Max</f>
        <v>0.4116532137163762</v>
      </c>
      <c r="CF33" s="1169">
        <f>'2031'!R\Max</f>
        <v>0.41144665212744508</v>
      </c>
    </row>
    <row r="34" spans="1:84" s="6" customFormat="1" ht="11.25" x14ac:dyDescent="0.2">
      <c r="A34" s="11">
        <v>43120</v>
      </c>
      <c r="B34" s="375">
        <f>'2022'!Maxi_hp</f>
        <v>24.638956934020555</v>
      </c>
      <c r="C34" s="13">
        <f>'2022'!An_max</f>
        <v>2022</v>
      </c>
      <c r="D34" s="1045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69">
        <f t="shared" si="8"/>
        <v>43122</v>
      </c>
      <c r="I34" s="743">
        <f t="shared" si="9"/>
        <v>0.14285714285714285</v>
      </c>
      <c r="J34" s="736">
        <f t="shared" si="27"/>
        <v>117.25714050446238</v>
      </c>
      <c r="L34" s="745" t="s">
        <v>213</v>
      </c>
      <c r="M34" s="772">
        <f t="shared" ref="M34:AA34" si="41">N28</f>
        <v>43108</v>
      </c>
      <c r="N34" s="728">
        <f t="shared" si="41"/>
        <v>43136</v>
      </c>
      <c r="O34" s="728">
        <f t="shared" si="41"/>
        <v>43164</v>
      </c>
      <c r="P34" s="728">
        <f t="shared" si="41"/>
        <v>43192</v>
      </c>
      <c r="Q34" s="728">
        <f t="shared" si="41"/>
        <v>43220</v>
      </c>
      <c r="R34" s="728">
        <f t="shared" si="41"/>
        <v>43248</v>
      </c>
      <c r="S34" s="728">
        <f t="shared" si="41"/>
        <v>43276</v>
      </c>
      <c r="T34" s="728">
        <f t="shared" si="41"/>
        <v>43304</v>
      </c>
      <c r="U34" s="728">
        <f t="shared" si="41"/>
        <v>43332</v>
      </c>
      <c r="V34" s="728">
        <f t="shared" si="41"/>
        <v>43360</v>
      </c>
      <c r="W34" s="728">
        <f t="shared" si="41"/>
        <v>43388</v>
      </c>
      <c r="X34" s="728">
        <f t="shared" si="41"/>
        <v>43416</v>
      </c>
      <c r="Y34" s="728">
        <f t="shared" si="41"/>
        <v>43444</v>
      </c>
      <c r="Z34" s="778">
        <f t="shared" si="41"/>
        <v>43473</v>
      </c>
      <c r="AA34" s="776">
        <f t="shared" si="41"/>
        <v>43501</v>
      </c>
      <c r="AO34" s="1038">
        <v>43120</v>
      </c>
      <c r="AP34" s="13">
        <f t="shared" si="11"/>
        <v>3</v>
      </c>
      <c r="AQ34" s="13">
        <f t="shared" si="12"/>
        <v>2</v>
      </c>
      <c r="AR34" s="169">
        <f t="shared" si="13"/>
        <v>43136</v>
      </c>
      <c r="AS34" s="743">
        <f t="shared" si="14"/>
        <v>0.5714285714285714</v>
      </c>
      <c r="AT34" s="759">
        <f t="shared" si="15"/>
        <v>117.13118656596967</v>
      </c>
      <c r="AU34" s="13">
        <f t="shared" si="16"/>
        <v>1</v>
      </c>
      <c r="AV34" s="13">
        <f t="shared" si="17"/>
        <v>2</v>
      </c>
      <c r="AW34" s="169">
        <f t="shared" si="18"/>
        <v>43093</v>
      </c>
      <c r="AX34" s="743">
        <f t="shared" si="19"/>
        <v>0.93103448275862066</v>
      </c>
      <c r="AY34" s="759">
        <f t="shared" si="20"/>
        <v>117.40307596551961</v>
      </c>
      <c r="AZ34" s="736">
        <f t="shared" si="26"/>
        <v>117.26713126574464</v>
      </c>
      <c r="BA34" s="633">
        <f t="shared" si="21"/>
        <v>0.21012756091457718</v>
      </c>
      <c r="BC34" s="11">
        <v>43120</v>
      </c>
      <c r="BD34" s="286">
        <f>[2]!FeuilCaduc*(1-Persistant)+Persistant</f>
        <v>0.60056800106036667</v>
      </c>
      <c r="BE34" s="287">
        <f>[2]!CroissVégét</f>
        <v>1.6477858914927391E-3</v>
      </c>
      <c r="BF34" s="806">
        <f>1+[2]!Salcycl*Ksac</f>
        <v>1.0000710001325459</v>
      </c>
      <c r="BH34" s="1036">
        <f t="shared" si="22"/>
        <v>5.6652512961375349E-2</v>
      </c>
      <c r="BI34" s="11">
        <v>44216</v>
      </c>
      <c r="BJ34" s="716">
        <v>1.1007056898084594E-2</v>
      </c>
      <c r="BK34" s="716">
        <v>1.7246034959461823E-2</v>
      </c>
      <c r="BL34" s="716">
        <v>2.585375321184823E-2</v>
      </c>
      <c r="BM34" s="716">
        <v>3.5564085799538805E-2</v>
      </c>
      <c r="BN34" s="716">
        <v>4.6125628236738735E-2</v>
      </c>
      <c r="BO34" s="717">
        <v>5.6763903941469351E-2</v>
      </c>
      <c r="BP34" s="716">
        <v>6.9598663386328072E-2</v>
      </c>
      <c r="BQ34" s="716">
        <v>8.4523298983577688E-2</v>
      </c>
      <c r="BR34" s="716">
        <v>0.10059509078670785</v>
      </c>
      <c r="BS34" s="716">
        <v>0.11793131034580308</v>
      </c>
      <c r="BT34" s="716">
        <v>0.13563134812696495</v>
      </c>
      <c r="BW34" s="1166">
        <f>'2022'!R\Max</f>
        <v>0.21012756091457718</v>
      </c>
      <c r="BX34" s="1167">
        <f>'2023'!R\Max</f>
        <v>0.21000461643449869</v>
      </c>
      <c r="BY34" s="1167">
        <f>'2024'!R\Max</f>
        <v>0.20988126466547177</v>
      </c>
      <c r="BZ34" s="1167">
        <f>'2025'!R\Max</f>
        <v>0.20973821512934346</v>
      </c>
      <c r="CA34" s="1167">
        <f>'2026'!R\Max</f>
        <v>0.20959477806603796</v>
      </c>
      <c r="CB34" s="1167">
        <f>'2027'!R\Max</f>
        <v>0.20944052868325591</v>
      </c>
      <c r="CC34" s="1168">
        <f>'2028'!R\Max</f>
        <v>0.20928606657908749</v>
      </c>
      <c r="CD34" s="1167">
        <f>'2029'!R\Max</f>
        <v>0.20911968683679896</v>
      </c>
      <c r="CE34" s="1167">
        <f>'2030'!R\Max</f>
        <v>0.2100107810903887</v>
      </c>
      <c r="CF34" s="1169">
        <f>'2031'!R\Max</f>
        <v>0.20988742932136176</v>
      </c>
    </row>
    <row r="35" spans="1:84" s="6" customFormat="1" ht="11.25" x14ac:dyDescent="0.2">
      <c r="A35" s="11">
        <v>43121</v>
      </c>
      <c r="B35" s="375">
        <f>'2022'!Maxi_hp</f>
        <v>61.859209054823204</v>
      </c>
      <c r="C35" s="13">
        <f>'2022'!An_max</f>
        <v>2022</v>
      </c>
      <c r="D35" s="1045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69">
        <f t="shared" si="8"/>
        <v>43122</v>
      </c>
      <c r="I35" s="743">
        <f t="shared" si="9"/>
        <v>7.1428571428571425E-2</v>
      </c>
      <c r="J35" s="736">
        <f t="shared" si="27"/>
        <v>118.45632185510229</v>
      </c>
      <c r="L35" s="745" t="s">
        <v>214</v>
      </c>
      <c r="M35" s="773">
        <f t="shared" ref="M35:AA35" si="42">N29</f>
        <v>1048.3399999999999</v>
      </c>
      <c r="N35" s="733">
        <f t="shared" si="42"/>
        <v>1389.5450000000001</v>
      </c>
      <c r="O35" s="733">
        <f t="shared" si="42"/>
        <v>1819.76</v>
      </c>
      <c r="P35" s="733">
        <f t="shared" si="42"/>
        <v>2190</v>
      </c>
      <c r="Q35" s="733">
        <f t="shared" si="42"/>
        <v>2410</v>
      </c>
      <c r="R35" s="733">
        <f t="shared" si="42"/>
        <v>2505</v>
      </c>
      <c r="S35" s="733">
        <f t="shared" si="42"/>
        <v>2510</v>
      </c>
      <c r="T35" s="733">
        <f t="shared" si="42"/>
        <v>2420</v>
      </c>
      <c r="U35" s="733">
        <f t="shared" si="42"/>
        <v>2240</v>
      </c>
      <c r="V35" s="733">
        <f t="shared" si="42"/>
        <v>1965</v>
      </c>
      <c r="W35" s="733">
        <f t="shared" si="42"/>
        <v>1605</v>
      </c>
      <c r="X35" s="733">
        <f t="shared" si="42"/>
        <v>1230</v>
      </c>
      <c r="Y35" s="733">
        <f t="shared" si="42"/>
        <v>975</v>
      </c>
      <c r="Z35" s="779">
        <f t="shared" si="42"/>
        <v>1048.3399999999999</v>
      </c>
      <c r="AA35" s="766">
        <f t="shared" si="42"/>
        <v>1389.5450000000001</v>
      </c>
      <c r="AO35" s="1038">
        <v>43121</v>
      </c>
      <c r="AP35" s="13">
        <f t="shared" si="11"/>
        <v>3</v>
      </c>
      <c r="AQ35" s="13">
        <f t="shared" si="12"/>
        <v>2</v>
      </c>
      <c r="AR35" s="169">
        <f t="shared" si="13"/>
        <v>43136</v>
      </c>
      <c r="AS35" s="743">
        <f t="shared" si="14"/>
        <v>0.5357142857142857</v>
      </c>
      <c r="AT35" s="759">
        <f t="shared" si="15"/>
        <v>118.39188880771398</v>
      </c>
      <c r="AU35" s="13">
        <f t="shared" si="16"/>
        <v>1</v>
      </c>
      <c r="AV35" s="13">
        <f t="shared" si="17"/>
        <v>2</v>
      </c>
      <c r="AW35" s="169">
        <f t="shared" si="18"/>
        <v>43093</v>
      </c>
      <c r="AX35" s="743">
        <f t="shared" si="19"/>
        <v>0.96551724137931039</v>
      </c>
      <c r="AY35" s="759">
        <f t="shared" si="20"/>
        <v>118.53247602561426</v>
      </c>
      <c r="AZ35" s="736">
        <f t="shared" si="26"/>
        <v>118.46218241666412</v>
      </c>
      <c r="BA35" s="633">
        <f t="shared" si="21"/>
        <v>0.52221112462440289</v>
      </c>
      <c r="BC35" s="11">
        <v>43121</v>
      </c>
      <c r="BD35" s="286">
        <f>[2]!FeuilCaduc*(1-Persistant)+Persistant</f>
        <v>0.60045771504746426</v>
      </c>
      <c r="BE35" s="287">
        <f>[2]!CroissVégét</f>
        <v>1.7749243659651206E-3</v>
      </c>
      <c r="BF35" s="806">
        <f>1+[2]!Salcycl*Ksac</f>
        <v>1.000057214380933</v>
      </c>
      <c r="BH35" s="1036">
        <f t="shared" si="22"/>
        <v>5.4994458754521178E-2</v>
      </c>
      <c r="BI35" s="11">
        <v>44217</v>
      </c>
      <c r="BJ35" s="716">
        <v>1.0404725080870782E-2</v>
      </c>
      <c r="BK35" s="716">
        <v>1.6412947859420195E-2</v>
      </c>
      <c r="BL35" s="716">
        <v>2.4793546786048292E-2</v>
      </c>
      <c r="BM35" s="716">
        <v>3.422698750870453E-2</v>
      </c>
      <c r="BN35" s="716">
        <v>4.4629988005711697E-2</v>
      </c>
      <c r="BO35" s="717">
        <v>5.5104131139568156E-2</v>
      </c>
      <c r="BP35" s="716">
        <v>6.78367706043565E-2</v>
      </c>
      <c r="BQ35" s="716">
        <v>8.2663144570513644E-2</v>
      </c>
      <c r="BR35" s="716">
        <v>9.8785172055825057E-2</v>
      </c>
      <c r="BS35" s="716">
        <v>0.11634804689656131</v>
      </c>
      <c r="BT35" s="716">
        <v>0.13444801946564022</v>
      </c>
      <c r="BW35" s="1166">
        <f>'2022'!R\Max</f>
        <v>0.52221112462440289</v>
      </c>
      <c r="BX35" s="1167">
        <f>'2023'!R\Max</f>
        <v>0.52200634887178432</v>
      </c>
      <c r="BY35" s="1167">
        <f>'2024'!R\Max</f>
        <v>0.52180079947056479</v>
      </c>
      <c r="BZ35" s="1167">
        <f>'2025'!R\Max</f>
        <v>0.52156200326141922</v>
      </c>
      <c r="CA35" s="1167">
        <f>'2026'!R\Max</f>
        <v>0.52132245698029844</v>
      </c>
      <c r="CB35" s="1167">
        <f>'2027'!R\Max</f>
        <v>0.52106226267868649</v>
      </c>
      <c r="CC35" s="1168">
        <f>'2028'!R\Max</f>
        <v>0.52080154615844831</v>
      </c>
      <c r="CD35" s="1167">
        <f>'2029'!R\Max</f>
        <v>0.52051783831311438</v>
      </c>
      <c r="CE35" s="1167">
        <f>'2030'!R\Max</f>
        <v>0.5220166194813487</v>
      </c>
      <c r="CF35" s="1169">
        <f>'2031'!R\Max</f>
        <v>0.5218110738401055</v>
      </c>
    </row>
    <row r="36" spans="1:84" s="6" customFormat="1" ht="11.25" x14ac:dyDescent="0.2">
      <c r="A36" s="11">
        <v>43122</v>
      </c>
      <c r="B36" s="375">
        <f>'2022'!Maxi_hp</f>
        <v>118.80444939274724</v>
      </c>
      <c r="C36" s="13">
        <f>'2022'!An_max</f>
        <v>2022</v>
      </c>
      <c r="D36" s="1045">
        <f t="shared" si="7"/>
        <v>0.99277548400958171</v>
      </c>
      <c r="E36" s="1040">
        <f>O$13/10</f>
        <v>119.66900000000001</v>
      </c>
      <c r="F36" s="13">
        <f t="shared" si="23"/>
        <v>3</v>
      </c>
      <c r="G36" s="13">
        <f t="shared" si="24"/>
        <v>4</v>
      </c>
      <c r="H36" s="169">
        <f t="shared" si="8"/>
        <v>43122</v>
      </c>
      <c r="I36" s="743">
        <f t="shared" si="9"/>
        <v>0</v>
      </c>
      <c r="J36" s="736">
        <f t="shared" si="27"/>
        <v>119.66899999678135</v>
      </c>
      <c r="L36" s="746" t="s">
        <v>215</v>
      </c>
      <c r="M36" s="730">
        <f t="shared" ref="M36:AA36" si="43">x.1lg*x.1lg-x.2lg*x.2lg</f>
        <v>-2411640</v>
      </c>
      <c r="N36" s="730">
        <f t="shared" si="43"/>
        <v>-2499423</v>
      </c>
      <c r="O36" s="730">
        <f t="shared" si="43"/>
        <v>-2414832</v>
      </c>
      <c r="P36" s="730">
        <f t="shared" si="43"/>
        <v>-2416400</v>
      </c>
      <c r="Q36" s="730">
        <f t="shared" si="43"/>
        <v>-2417968</v>
      </c>
      <c r="R36" s="730">
        <f t="shared" si="43"/>
        <v>-2419536</v>
      </c>
      <c r="S36" s="730">
        <f t="shared" si="43"/>
        <v>-2421104</v>
      </c>
      <c r="T36" s="730">
        <f t="shared" si="43"/>
        <v>-2422672</v>
      </c>
      <c r="U36" s="730">
        <f t="shared" si="43"/>
        <v>-2424240</v>
      </c>
      <c r="V36" s="730">
        <f t="shared" si="43"/>
        <v>-2425808</v>
      </c>
      <c r="W36" s="730">
        <f t="shared" si="43"/>
        <v>-2427376</v>
      </c>
      <c r="X36" s="730">
        <f t="shared" si="43"/>
        <v>-2428944</v>
      </c>
      <c r="Y36" s="730">
        <f t="shared" si="43"/>
        <v>-2430512</v>
      </c>
      <c r="Z36" s="730">
        <f t="shared" si="43"/>
        <v>-2432080</v>
      </c>
      <c r="AA36" s="730">
        <f t="shared" si="43"/>
        <v>-2520593</v>
      </c>
      <c r="AO36" s="1038">
        <v>43122</v>
      </c>
      <c r="AP36" s="13">
        <f t="shared" si="11"/>
        <v>3</v>
      </c>
      <c r="AQ36" s="13">
        <f t="shared" si="12"/>
        <v>2</v>
      </c>
      <c r="AR36" s="169">
        <f t="shared" si="13"/>
        <v>43136</v>
      </c>
      <c r="AS36" s="743">
        <f t="shared" si="14"/>
        <v>0.5</v>
      </c>
      <c r="AT36" s="759">
        <f t="shared" si="15"/>
        <v>119.67762367874384</v>
      </c>
      <c r="AU36" s="13">
        <f t="shared" si="16"/>
        <v>3</v>
      </c>
      <c r="AV36" s="13">
        <f t="shared" si="17"/>
        <v>2</v>
      </c>
      <c r="AW36" s="169">
        <f t="shared" si="18"/>
        <v>43150</v>
      </c>
      <c r="AX36" s="743">
        <f t="shared" si="19"/>
        <v>1</v>
      </c>
      <c r="AY36" s="759">
        <f t="shared" si="20"/>
        <v>119.66900000274181</v>
      </c>
      <c r="AZ36" s="736">
        <f t="shared" si="26"/>
        <v>119.67331184074283</v>
      </c>
      <c r="BA36" s="633">
        <f t="shared" si="21"/>
        <v>0.99277548400958171</v>
      </c>
      <c r="BC36" s="11">
        <v>43122</v>
      </c>
      <c r="BD36" s="286">
        <f>[2]!FeuilCaduc*(1-Persistant)+Persistant</f>
        <v>0.60035874832137592</v>
      </c>
      <c r="BE36" s="287">
        <f>[2]!CroissVégét</f>
        <v>1.9073621235293117E-3</v>
      </c>
      <c r="BF36" s="806">
        <f>1+[2]!Salcycl*Ksac</f>
        <v>1.0000448435401721</v>
      </c>
      <c r="BH36" s="1036">
        <f t="shared" si="22"/>
        <v>5.3232278041023123E-2</v>
      </c>
      <c r="BI36" s="11">
        <v>44218</v>
      </c>
      <c r="BJ36" s="716">
        <v>9.8139442779663685E-3</v>
      </c>
      <c r="BK36" s="716">
        <v>1.5584923341061041E-2</v>
      </c>
      <c r="BL36" s="716">
        <v>2.3703027191484954E-2</v>
      </c>
      <c r="BM36" s="716">
        <v>3.2818477172947141E-2</v>
      </c>
      <c r="BN36" s="716">
        <v>4.30395145603212E-2</v>
      </c>
      <c r="BO36" s="717">
        <v>5.3340133493389251E-2</v>
      </c>
      <c r="BP36" s="716">
        <v>6.59469989286149E-2</v>
      </c>
      <c r="BQ36" s="716">
        <v>8.0625430565074874E-2</v>
      </c>
      <c r="BR36" s="716">
        <v>9.6754776014025767E-2</v>
      </c>
      <c r="BS36" s="716">
        <v>0.11450854627328723</v>
      </c>
      <c r="BT36" s="716">
        <v>0.13298013111383056</v>
      </c>
      <c r="BW36" s="1166">
        <f>'2022'!R\Max</f>
        <v>0.99277548400958171</v>
      </c>
      <c r="BX36" s="1167">
        <f>'2023'!R\Max</f>
        <v>0.9927697139967524</v>
      </c>
      <c r="BY36" s="1167">
        <f>'2024'!R\Max</f>
        <v>0.99276391735341218</v>
      </c>
      <c r="BZ36" s="1167">
        <f>'2025'!R\Max</f>
        <v>0.99275717818772291</v>
      </c>
      <c r="CA36" s="1167">
        <f>'2026'!R\Max</f>
        <v>0.99275041206465964</v>
      </c>
      <c r="CB36" s="1167">
        <f>'2027'!R\Max</f>
        <v>0.99274297970254222</v>
      </c>
      <c r="CC36" s="1168">
        <f>'2028'!R\Max</f>
        <v>0.99273552391178399</v>
      </c>
      <c r="CD36" s="1167">
        <f>'2029'!R\Max</f>
        <v>0.99272731917040558</v>
      </c>
      <c r="CE36" s="1167">
        <f>'2030'!R\Max</f>
        <v>0.99277000352099964</v>
      </c>
      <c r="CF36" s="1169">
        <f>'2031'!R\Max</f>
        <v>0.99276420720177305</v>
      </c>
    </row>
    <row r="37" spans="1:84" s="6" customFormat="1" ht="11.25" x14ac:dyDescent="0.2">
      <c r="A37" s="11">
        <v>43123</v>
      </c>
      <c r="B37" s="375">
        <f>'2022'!Maxi_hp</f>
        <v>120.76259406342568</v>
      </c>
      <c r="C37" s="13">
        <f>'2022'!An_max</f>
        <v>2022</v>
      </c>
      <c r="D37" s="1045">
        <f t="shared" si="7"/>
        <v>0.99883350037519691</v>
      </c>
      <c r="E37" s="13"/>
      <c r="F37" s="13">
        <f t="shared" si="23"/>
        <v>3</v>
      </c>
      <c r="G37" s="13">
        <f t="shared" si="24"/>
        <v>4</v>
      </c>
      <c r="H37" s="169">
        <f t="shared" si="8"/>
        <v>43122</v>
      </c>
      <c r="I37" s="743">
        <f t="shared" si="9"/>
        <v>7.1428571428571425E-2</v>
      </c>
      <c r="J37" s="736">
        <f>((1-I37)*(INDEX(a.m,F37)*$A37*$A37+INDEX(b.m,F37)*$A37+INDEX(c.m,F37))+I37*(INDEX(a.m,G37)*$A37*$A37+INDEX(b.m,G37)*$A37+INDEX(c.m,G37)))/10</f>
        <v>120.90362810024195</v>
      </c>
      <c r="L37" s="746" t="s">
        <v>216</v>
      </c>
      <c r="M37" s="730">
        <f t="shared" ref="M37:AA37" si="44">x.2lg*x.2lg-x.3lg*x.3lg</f>
        <v>-2499423</v>
      </c>
      <c r="N37" s="730">
        <f t="shared" si="44"/>
        <v>-2414832</v>
      </c>
      <c r="O37" s="730">
        <f t="shared" si="44"/>
        <v>-2416400</v>
      </c>
      <c r="P37" s="730">
        <f t="shared" si="44"/>
        <v>-2417968</v>
      </c>
      <c r="Q37" s="730">
        <f t="shared" si="44"/>
        <v>-2419536</v>
      </c>
      <c r="R37" s="730">
        <f t="shared" si="44"/>
        <v>-2421104</v>
      </c>
      <c r="S37" s="730">
        <f t="shared" si="44"/>
        <v>-2422672</v>
      </c>
      <c r="T37" s="730">
        <f t="shared" si="44"/>
        <v>-2424240</v>
      </c>
      <c r="U37" s="730">
        <f t="shared" si="44"/>
        <v>-2425808</v>
      </c>
      <c r="V37" s="730">
        <f t="shared" si="44"/>
        <v>-2427376</v>
      </c>
      <c r="W37" s="730">
        <f t="shared" si="44"/>
        <v>-2428944</v>
      </c>
      <c r="X37" s="730">
        <f t="shared" si="44"/>
        <v>-2430512</v>
      </c>
      <c r="Y37" s="730">
        <f t="shared" si="44"/>
        <v>-2432080</v>
      </c>
      <c r="Z37" s="730">
        <f t="shared" si="44"/>
        <v>-2520593</v>
      </c>
      <c r="AA37" s="730">
        <f t="shared" si="44"/>
        <v>-2435272</v>
      </c>
      <c r="AO37" s="1038">
        <v>43123</v>
      </c>
      <c r="AP37" s="13">
        <f t="shared" si="11"/>
        <v>3</v>
      </c>
      <c r="AQ37" s="13">
        <f t="shared" si="12"/>
        <v>2</v>
      </c>
      <c r="AR37" s="169">
        <f t="shared" si="13"/>
        <v>43136</v>
      </c>
      <c r="AS37" s="743">
        <f t="shared" si="14"/>
        <v>0.4642857142857143</v>
      </c>
      <c r="AT37" s="759">
        <f t="shared" si="15"/>
        <v>120.98597718982823</v>
      </c>
      <c r="AU37" s="13">
        <f t="shared" si="16"/>
        <v>3</v>
      </c>
      <c r="AV37" s="13">
        <f t="shared" si="17"/>
        <v>2</v>
      </c>
      <c r="AW37" s="169">
        <f t="shared" si="18"/>
        <v>43150</v>
      </c>
      <c r="AX37" s="743">
        <f t="shared" si="19"/>
        <v>0.9642857142857143</v>
      </c>
      <c r="AY37" s="759">
        <f t="shared" si="20"/>
        <v>120.8316636825313</v>
      </c>
      <c r="AZ37" s="736">
        <f t="shared" si="26"/>
        <v>120.90882043617977</v>
      </c>
      <c r="BA37" s="633">
        <f t="shared" si="21"/>
        <v>0.99883350037519691</v>
      </c>
      <c r="BC37" s="11">
        <v>43123</v>
      </c>
      <c r="BD37" s="286">
        <f>[2]!FeuilCaduc*(1-Persistant)+Persistant</f>
        <v>0.60027144846244596</v>
      </c>
      <c r="BE37" s="287">
        <f>[2]!CroissVégét</f>
        <v>2.045318545083899E-3</v>
      </c>
      <c r="BF37" s="806">
        <f>1+[2]!Salcycl*Ksac</f>
        <v>1.0000339310578057</v>
      </c>
      <c r="BH37" s="1036">
        <f t="shared" si="22"/>
        <v>5.1366098134395632E-2</v>
      </c>
      <c r="BI37" s="11">
        <v>44219</v>
      </c>
      <c r="BJ37" s="716">
        <v>9.2347653960537426E-3</v>
      </c>
      <c r="BK37" s="716">
        <v>1.4762030684303788E-2</v>
      </c>
      <c r="BL37" s="716">
        <v>2.2582275695651122E-2</v>
      </c>
      <c r="BM37" s="716">
        <v>3.1338650449645636E-2</v>
      </c>
      <c r="BN37" s="716">
        <v>4.135431716336313E-2</v>
      </c>
      <c r="BO37" s="717">
        <v>5.147203850745205E-2</v>
      </c>
      <c r="BP37" s="716">
        <v>6.3929488479051957E-2</v>
      </c>
      <c r="BQ37" s="716">
        <v>7.8410303867599951E-2</v>
      </c>
      <c r="BR37" s="716">
        <v>9.4504050801006101E-2</v>
      </c>
      <c r="BS37" s="716">
        <v>0.11241295090323349</v>
      </c>
      <c r="BT37" s="716">
        <v>0.13122781214454279</v>
      </c>
      <c r="BW37" s="1166">
        <f>'2022'!R\Max</f>
        <v>0.99883350037519691</v>
      </c>
      <c r="BX37" s="1167">
        <f>'2023'!R\Max</f>
        <v>0.9988325838099209</v>
      </c>
      <c r="BY37" s="1167">
        <f>'2024'!R\Max</f>
        <v>0.99883166296642711</v>
      </c>
      <c r="BZ37" s="1167">
        <f>'2025'!R\Max</f>
        <v>0.99883059411050423</v>
      </c>
      <c r="CA37" s="1167">
        <f>'2026'!R\Max</f>
        <v>0.99882952104967282</v>
      </c>
      <c r="CB37" s="1167">
        <f>'2027'!R\Max</f>
        <v>0.99882832911133179</v>
      </c>
      <c r="CC37" s="1168">
        <f>'2028'!R\Max</f>
        <v>0.9988271332050862</v>
      </c>
      <c r="CD37" s="1167">
        <f>'2029'!R\Max</f>
        <v>0.99882580295969858</v>
      </c>
      <c r="CE37" s="1167">
        <f>'2030'!R\Max</f>
        <v>0.9988326298035457</v>
      </c>
      <c r="CF37" s="1169">
        <f>'2031'!R\Max</f>
        <v>0.99883170901084273</v>
      </c>
    </row>
    <row r="38" spans="1:84" s="6" customFormat="1" ht="11.25" x14ac:dyDescent="0.2">
      <c r="A38" s="11">
        <v>43124</v>
      </c>
      <c r="B38" s="375">
        <f>'2022'!Maxi_hp</f>
        <v>122.2570683053769</v>
      </c>
      <c r="C38" s="13">
        <f>'2022'!An_max</f>
        <v>2022</v>
      </c>
      <c r="D38" s="1045">
        <f t="shared" si="7"/>
        <v>1.000721756393286</v>
      </c>
      <c r="E38" s="13"/>
      <c r="F38" s="13">
        <f t="shared" si="23"/>
        <v>3</v>
      </c>
      <c r="G38" s="13">
        <f t="shared" si="24"/>
        <v>4</v>
      </c>
      <c r="H38" s="169">
        <f t="shared" si="8"/>
        <v>43122</v>
      </c>
      <c r="I38" s="743">
        <f t="shared" si="9"/>
        <v>0.14285714285714285</v>
      </c>
      <c r="J38" s="736">
        <f t="shared" si="27"/>
        <v>122.168892126424</v>
      </c>
      <c r="L38" s="746" t="s">
        <v>217</v>
      </c>
      <c r="M38" s="730">
        <f t="shared" ref="M38:AA38" si="45">(y.1lg-y.2lg-b.lg*(x.1lg-x.2lg))/D2x12Lg</f>
        <v>0.20414225218216284</v>
      </c>
      <c r="N38" s="730">
        <f t="shared" si="45"/>
        <v>0.16941977789302423</v>
      </c>
      <c r="O38" s="730">
        <f t="shared" si="45"/>
        <v>5.6766581632644593E-2</v>
      </c>
      <c r="P38" s="730">
        <f t="shared" si="45"/>
        <v>-3.824936224489834E-2</v>
      </c>
      <c r="Q38" s="730">
        <f t="shared" si="45"/>
        <v>-9.5816326530623774E-2</v>
      </c>
      <c r="R38" s="730">
        <f t="shared" si="45"/>
        <v>-7.9719387755096613E-2</v>
      </c>
      <c r="S38" s="730">
        <f t="shared" si="45"/>
        <v>-5.7397959183674532E-2</v>
      </c>
      <c r="T38" s="730">
        <f t="shared" si="45"/>
        <v>-6.0586734693880387E-2</v>
      </c>
      <c r="U38" s="730">
        <f t="shared" si="45"/>
        <v>-5.7397959183681117E-2</v>
      </c>
      <c r="V38" s="730">
        <f t="shared" si="45"/>
        <v>-6.0586734693886451E-2</v>
      </c>
      <c r="W38" s="730">
        <f t="shared" si="45"/>
        <v>-5.4209183673471398E-2</v>
      </c>
      <c r="X38" s="730">
        <f t="shared" si="45"/>
        <v>-9.5663265306137925E-3</v>
      </c>
      <c r="Y38" s="730">
        <f t="shared" si="45"/>
        <v>7.6530612244890897E-2</v>
      </c>
      <c r="Z38" s="730">
        <f t="shared" si="45"/>
        <v>0.20414225218220025</v>
      </c>
      <c r="AA38" s="730">
        <f t="shared" si="45"/>
        <v>0.1694197778929937</v>
      </c>
      <c r="AO38" s="1038">
        <v>43124</v>
      </c>
      <c r="AP38" s="13">
        <f t="shared" si="11"/>
        <v>3</v>
      </c>
      <c r="AQ38" s="13">
        <f t="shared" si="12"/>
        <v>2</v>
      </c>
      <c r="AR38" s="169">
        <f t="shared" si="13"/>
        <v>43136</v>
      </c>
      <c r="AS38" s="743">
        <f t="shared" si="14"/>
        <v>0.42857142857142855</v>
      </c>
      <c r="AT38" s="759">
        <f t="shared" si="15"/>
        <v>122.31453533257756</v>
      </c>
      <c r="AU38" s="13">
        <f t="shared" si="16"/>
        <v>3</v>
      </c>
      <c r="AV38" s="13">
        <f t="shared" si="17"/>
        <v>2</v>
      </c>
      <c r="AW38" s="169">
        <f t="shared" si="18"/>
        <v>43150</v>
      </c>
      <c r="AX38" s="743">
        <f t="shared" si="19"/>
        <v>0.9285714285714286</v>
      </c>
      <c r="AY38" s="759">
        <f t="shared" si="20"/>
        <v>122.03901789228965</v>
      </c>
      <c r="AZ38" s="736">
        <f t="shared" si="26"/>
        <v>122.1767766124336</v>
      </c>
      <c r="BA38" s="633">
        <f t="shared" si="21"/>
        <v>1.000721756393286</v>
      </c>
      <c r="BC38" s="11">
        <v>43124</v>
      </c>
      <c r="BD38" s="286">
        <f>[2]!FeuilCaduc*(1-Persistant)+Persistant</f>
        <v>0.60019612565608527</v>
      </c>
      <c r="BE38" s="287">
        <f>[2]!CroissVégét</f>
        <v>2.1890219655428525E-3</v>
      </c>
      <c r="BF38" s="806">
        <f>1+[2]!Salcycl*Ksac</f>
        <v>1.0000245157070107</v>
      </c>
      <c r="BH38" s="1036">
        <f t="shared" si="22"/>
        <v>4.9397595051059812E-2</v>
      </c>
      <c r="BI38" s="11">
        <v>44220</v>
      </c>
      <c r="BJ38" s="716">
        <v>8.6780797817540209E-3</v>
      </c>
      <c r="BK38" s="716">
        <v>1.3954717952966933E-2</v>
      </c>
      <c r="BL38" s="716">
        <v>2.1443239370980093E-2</v>
      </c>
      <c r="BM38" s="716">
        <v>2.9802237845820451E-2</v>
      </c>
      <c r="BN38" s="716">
        <v>3.9583420124287311E-2</v>
      </c>
      <c r="BO38" s="717">
        <v>4.9501444441691848E-2</v>
      </c>
      <c r="BP38" s="716">
        <v>6.1775814544479668E-2</v>
      </c>
      <c r="BQ38" s="716">
        <v>7.5994822177901725E-2</v>
      </c>
      <c r="BR38" s="716">
        <v>9.1992805502959865E-2</v>
      </c>
      <c r="BS38" s="716">
        <v>0.1099968154492796</v>
      </c>
      <c r="BT38" s="716">
        <v>0.12909716396206711</v>
      </c>
      <c r="BW38" s="1166">
        <f>'2022'!R\Max</f>
        <v>1.000721756393286</v>
      </c>
      <c r="BX38" s="1167">
        <f>'2023'!R\Max</f>
        <v>1.000721756393286</v>
      </c>
      <c r="BY38" s="1167">
        <f>'2024'!R\Max</f>
        <v>1.000721756393286</v>
      </c>
      <c r="BZ38" s="1167">
        <f>'2025'!R\Max</f>
        <v>1.000721756393286</v>
      </c>
      <c r="CA38" s="1167">
        <f>'2026'!R\Max</f>
        <v>1.000721756393286</v>
      </c>
      <c r="CB38" s="1167">
        <f>'2027'!R\Max</f>
        <v>1.0007217563932862</v>
      </c>
      <c r="CC38" s="1168">
        <f>'2028'!R\Max</f>
        <v>1.000721756393286</v>
      </c>
      <c r="CD38" s="1167">
        <f>'2029'!R\Max</f>
        <v>1.000721756393286</v>
      </c>
      <c r="CE38" s="1167">
        <f>'2030'!R\Max</f>
        <v>1.000721756393286</v>
      </c>
      <c r="CF38" s="1169">
        <f>'2031'!R\Max</f>
        <v>1.000721756393286</v>
      </c>
    </row>
    <row r="39" spans="1:84" s="6" customFormat="1" ht="11.25" x14ac:dyDescent="0.2">
      <c r="A39" s="11">
        <v>43125</v>
      </c>
      <c r="B39" s="375">
        <f>'2022'!Maxi_hp</f>
        <v>121.12958041502201</v>
      </c>
      <c r="C39" s="13">
        <f>'2022'!An_max</f>
        <v>2022</v>
      </c>
      <c r="D39" s="1045">
        <f t="shared" si="7"/>
        <v>0.98110319576974048</v>
      </c>
      <c r="E39" s="13"/>
      <c r="F39" s="13">
        <f t="shared" si="23"/>
        <v>3</v>
      </c>
      <c r="G39" s="13">
        <f t="shared" si="24"/>
        <v>4</v>
      </c>
      <c r="H39" s="169">
        <f t="shared" si="8"/>
        <v>43122</v>
      </c>
      <c r="I39" s="743">
        <f t="shared" si="9"/>
        <v>0.21428571428571427</v>
      </c>
      <c r="J39" s="736">
        <f t="shared" si="27"/>
        <v>123.46262955548507</v>
      </c>
      <c r="L39" s="746" t="s">
        <v>218</v>
      </c>
      <c r="M39" s="730">
        <f t="shared" ref="M39:AA39" si="46">(y.2lg-y.3lg-(y.1lg-y.2lg)*D2x23Lg/D2x12Lg)/(x.2lg-x.3lg)/(1-(x.2lg+x.3lg)/(x.1lg+x.2lg))</f>
        <v>-17591.879323306828</v>
      </c>
      <c r="N39" s="730">
        <f t="shared" si="46"/>
        <v>-14599.253431748837</v>
      </c>
      <c r="O39" s="730">
        <f t="shared" si="46"/>
        <v>-4883.5911734686579</v>
      </c>
      <c r="P39" s="730">
        <f t="shared" si="46"/>
        <v>3316.284783163298</v>
      </c>
      <c r="Q39" s="730">
        <f t="shared" si="46"/>
        <v>8287.5375510214035</v>
      </c>
      <c r="R39" s="730">
        <f t="shared" si="46"/>
        <v>6896.5688775505505</v>
      </c>
      <c r="S39" s="730">
        <f t="shared" si="46"/>
        <v>4966.4795918368263</v>
      </c>
      <c r="T39" s="730">
        <f t="shared" si="46"/>
        <v>5242.3852040818774</v>
      </c>
      <c r="U39" s="730">
        <f t="shared" si="46"/>
        <v>4966.3010204088259</v>
      </c>
      <c r="V39" s="730">
        <f t="shared" si="46"/>
        <v>5242.5637755109756</v>
      </c>
      <c r="W39" s="730">
        <f t="shared" si="46"/>
        <v>4689.6811224491539</v>
      </c>
      <c r="X39" s="730">
        <f t="shared" si="46"/>
        <v>817.00255102054246</v>
      </c>
      <c r="Y39" s="730">
        <f t="shared" si="46"/>
        <v>-6656.5561224483672</v>
      </c>
      <c r="Z39" s="730">
        <f t="shared" si="46"/>
        <v>-17740.903167403056</v>
      </c>
      <c r="AA39" s="730">
        <f t="shared" si="46"/>
        <v>-14722.929869608091</v>
      </c>
      <c r="AO39" s="1038">
        <v>43125</v>
      </c>
      <c r="AP39" s="13">
        <f t="shared" si="11"/>
        <v>3</v>
      </c>
      <c r="AQ39" s="13">
        <f t="shared" si="12"/>
        <v>2</v>
      </c>
      <c r="AR39" s="169">
        <f t="shared" si="13"/>
        <v>43136</v>
      </c>
      <c r="AS39" s="743">
        <f t="shared" si="14"/>
        <v>0.39285714285714285</v>
      </c>
      <c r="AT39" s="759">
        <f t="shared" si="15"/>
        <v>123.6608841211136</v>
      </c>
      <c r="AU39" s="13">
        <f t="shared" si="16"/>
        <v>3</v>
      </c>
      <c r="AV39" s="13">
        <f t="shared" si="17"/>
        <v>2</v>
      </c>
      <c r="AW39" s="169">
        <f t="shared" si="18"/>
        <v>43150</v>
      </c>
      <c r="AX39" s="743">
        <f t="shared" si="19"/>
        <v>0.8928571428571429</v>
      </c>
      <c r="AY39" s="759">
        <f t="shared" si="20"/>
        <v>123.28849727420933</v>
      </c>
      <c r="AZ39" s="736">
        <f t="shared" si="26"/>
        <v>123.47469069766146</v>
      </c>
      <c r="BA39" s="633">
        <f t="shared" si="21"/>
        <v>0.98110319576974048</v>
      </c>
      <c r="BC39" s="11">
        <v>43125</v>
      </c>
      <c r="BD39" s="286">
        <f>[2]!FeuilCaduc*(1-Persistant)+Persistant</f>
        <v>0.60013304146569446</v>
      </c>
      <c r="BE39" s="287">
        <f>[2]!CroissVégét</f>
        <v>2.3387100283593187E-3</v>
      </c>
      <c r="BF39" s="806">
        <f>1+[2]!Salcycl*Ksac</f>
        <v>1.0000166301832119</v>
      </c>
      <c r="BH39" s="1036">
        <f t="shared" si="22"/>
        <v>4.7381270815968025E-2</v>
      </c>
      <c r="BI39" s="11">
        <v>44221</v>
      </c>
      <c r="BJ39" s="716">
        <v>8.1451621724813808E-3</v>
      </c>
      <c r="BK39" s="716">
        <v>1.316524113472047E-2</v>
      </c>
      <c r="BL39" s="716">
        <v>2.0294520910006088E-2</v>
      </c>
      <c r="BM39" s="716">
        <v>2.8231012488154419E-2</v>
      </c>
      <c r="BN39" s="716">
        <v>3.7761311053387037E-2</v>
      </c>
      <c r="BO39" s="717">
        <v>4.7483065105014523E-2</v>
      </c>
      <c r="BP39" s="716">
        <v>5.9568479371926587E-2</v>
      </c>
      <c r="BQ39" s="716">
        <v>7.3490549082804141E-2</v>
      </c>
      <c r="BR39" s="716">
        <v>8.9346501846845769E-2</v>
      </c>
      <c r="BS39" s="716">
        <v>0.10738098261432495</v>
      </c>
      <c r="BT39" s="716">
        <v>0.12668859521274672</v>
      </c>
      <c r="BW39" s="1166">
        <f>'2022'!R\Max</f>
        <v>0.98110319576974048</v>
      </c>
      <c r="BX39" s="1167">
        <f>'2023'!R\Max</f>
        <v>0.98108934518379953</v>
      </c>
      <c r="BY39" s="1167">
        <f>'2024'!R\Max</f>
        <v>0.98107542984085316</v>
      </c>
      <c r="BZ39" s="1167">
        <f>'2025'!R\Max</f>
        <v>0.98105942151395253</v>
      </c>
      <c r="CA39" s="1167">
        <f>'2026'!R\Max</f>
        <v>0.98104335491210459</v>
      </c>
      <c r="CB39" s="1167">
        <f>'2027'!R\Max</f>
        <v>0.98102507505426473</v>
      </c>
      <c r="CC39" s="1168">
        <f>'2028'!R\Max</f>
        <v>0.98100672902715136</v>
      </c>
      <c r="CD39" s="1167">
        <f>'2029'!R\Max</f>
        <v>0.98098587934826065</v>
      </c>
      <c r="CE39" s="1167">
        <f>'2030'!R\Max</f>
        <v>0.98109004024722868</v>
      </c>
      <c r="CF39" s="1169">
        <f>'2031'!R\Max</f>
        <v>0.98107612561474733</v>
      </c>
    </row>
    <row r="40" spans="1:84" s="6" customFormat="1" ht="11.25" x14ac:dyDescent="0.2">
      <c r="A40" s="11">
        <v>43126</v>
      </c>
      <c r="B40" s="375">
        <f>'2022'!Maxi_hp</f>
        <v>123.264536354387</v>
      </c>
      <c r="C40" s="13">
        <f>'2022'!An_max</f>
        <v>2022</v>
      </c>
      <c r="D40" s="1045">
        <f t="shared" si="7"/>
        <v>0.98783371606743398</v>
      </c>
      <c r="E40" s="13"/>
      <c r="F40" s="13">
        <f t="shared" si="23"/>
        <v>3</v>
      </c>
      <c r="G40" s="13">
        <f t="shared" si="24"/>
        <v>4</v>
      </c>
      <c r="H40" s="169">
        <f t="shared" si="8"/>
        <v>43122</v>
      </c>
      <c r="I40" s="743">
        <f t="shared" si="9"/>
        <v>0.2857142857142857</v>
      </c>
      <c r="J40" s="736">
        <f t="shared" si="27"/>
        <v>124.78267784288951</v>
      </c>
      <c r="L40" s="746" t="s">
        <v>219</v>
      </c>
      <c r="M40" s="730">
        <f t="shared" ref="M40:AA40" si="47">(y.1lg+y.2lg+y.3lg-a.lg*(x.3lg*x.3lg+x.2lg*x.2lg+x.1lg*x.1lg)-b.lg*(x.3lg+x.2lg+x.1lg))/3</f>
        <v>378994303.57079428</v>
      </c>
      <c r="N40" s="730">
        <f t="shared" si="47"/>
        <v>314512948.94226736</v>
      </c>
      <c r="O40" s="730">
        <f t="shared" si="47"/>
        <v>105033577.07151489</v>
      </c>
      <c r="P40" s="730">
        <f t="shared" si="47"/>
        <v>-71878728.069694579</v>
      </c>
      <c r="Q40" s="730">
        <f t="shared" si="47"/>
        <v>-179203092.79185823</v>
      </c>
      <c r="R40" s="730">
        <f t="shared" si="47"/>
        <v>-149153999.69386742</v>
      </c>
      <c r="S40" s="730">
        <f t="shared" si="47"/>
        <v>-107431263.9795938</v>
      </c>
      <c r="T40" s="730">
        <f t="shared" si="47"/>
        <v>-113399377.65306652</v>
      </c>
      <c r="U40" s="730">
        <f t="shared" si="47"/>
        <v>-107423536.12246335</v>
      </c>
      <c r="V40" s="730">
        <f t="shared" si="47"/>
        <v>-113407110.51022083</v>
      </c>
      <c r="W40" s="730">
        <f t="shared" si="47"/>
        <v>-101424486.02041195</v>
      </c>
      <c r="X40" s="730">
        <f t="shared" si="47"/>
        <v>-17437714.591839649</v>
      </c>
      <c r="Y40" s="730">
        <f t="shared" si="47"/>
        <v>144745965.30610916</v>
      </c>
      <c r="Z40" s="730">
        <f t="shared" si="47"/>
        <v>385442536.37541866</v>
      </c>
      <c r="AA40" s="730">
        <f t="shared" si="47"/>
        <v>319864247.3947078</v>
      </c>
      <c r="AB40" s="7"/>
      <c r="AC40" s="7"/>
      <c r="AD40" s="7"/>
      <c r="AE40" s="7"/>
      <c r="AF40" s="7"/>
      <c r="AH40" s="7"/>
      <c r="AI40" s="74"/>
      <c r="AO40" s="1038">
        <v>43126</v>
      </c>
      <c r="AP40" s="13">
        <f t="shared" si="11"/>
        <v>3</v>
      </c>
      <c r="AQ40" s="13">
        <f t="shared" si="12"/>
        <v>2</v>
      </c>
      <c r="AR40" s="169">
        <f t="shared" si="13"/>
        <v>43136</v>
      </c>
      <c r="AS40" s="743">
        <f t="shared" si="14"/>
        <v>0.35714285714285715</v>
      </c>
      <c r="AT40" s="759">
        <f t="shared" si="15"/>
        <v>125.02260955763714</v>
      </c>
      <c r="AU40" s="13">
        <f t="shared" si="16"/>
        <v>3</v>
      </c>
      <c r="AV40" s="13">
        <f t="shared" si="17"/>
        <v>2</v>
      </c>
      <c r="AW40" s="169">
        <f t="shared" si="18"/>
        <v>43150</v>
      </c>
      <c r="AX40" s="743">
        <f t="shared" si="19"/>
        <v>0.8571428571428571</v>
      </c>
      <c r="AY40" s="759">
        <f t="shared" si="20"/>
        <v>124.5775364709619</v>
      </c>
      <c r="AZ40" s="736">
        <f t="shared" si="26"/>
        <v>124.80007301429953</v>
      </c>
      <c r="BA40" s="633">
        <f t="shared" si="21"/>
        <v>0.98783371606743398</v>
      </c>
      <c r="BC40" s="11">
        <v>43126</v>
      </c>
      <c r="BD40" s="286">
        <f>[2]!FeuilCaduc*(1-Persistant)+Persistant</f>
        <v>0.60008239894324023</v>
      </c>
      <c r="BE40" s="287">
        <f>[2]!CroissVégét</f>
        <v>2.4946300531446561E-3</v>
      </c>
      <c r="BF40" s="806">
        <f>1+[2]!Salcycl*Ksac</f>
        <v>1.000010299867905</v>
      </c>
      <c r="BH40" s="1036">
        <f t="shared" si="22"/>
        <v>4.5317270843330343E-2</v>
      </c>
      <c r="BI40" s="11">
        <v>44222</v>
      </c>
      <c r="BJ40" s="716">
        <v>7.6360534030151823E-3</v>
      </c>
      <c r="BK40" s="716">
        <v>1.2393658529469958E-2</v>
      </c>
      <c r="BL40" s="716">
        <v>1.9136199462768396E-2</v>
      </c>
      <c r="BM40" s="716">
        <v>2.662507897168544E-2</v>
      </c>
      <c r="BN40" s="716">
        <v>3.5888114465531903E-2</v>
      </c>
      <c r="BO40" s="717">
        <v>4.5417046132777993E-2</v>
      </c>
      <c r="BP40" s="716">
        <v>5.7307650041353526E-2</v>
      </c>
      <c r="BQ40" s="716">
        <v>7.0897674997187063E-2</v>
      </c>
      <c r="BR40" s="716">
        <v>8.6565345446000988E-2</v>
      </c>
      <c r="BS40" s="716">
        <v>0.10456566302281589</v>
      </c>
      <c r="BT40" s="716">
        <v>0.12400231108939783</v>
      </c>
      <c r="BW40" s="1166">
        <f>'2022'!R\Max</f>
        <v>0.98783371606743398</v>
      </c>
      <c r="BX40" s="1167">
        <f>'2023'!R\Max</f>
        <v>0.98782497672117464</v>
      </c>
      <c r="BY40" s="1167">
        <f>'2024'!R\Max</f>
        <v>0.98781619644229413</v>
      </c>
      <c r="BZ40" s="1167">
        <f>'2025'!R\Max</f>
        <v>0.98780617365442758</v>
      </c>
      <c r="CA40" s="1167">
        <f>'2026'!R\Max</f>
        <v>0.98779611615874852</v>
      </c>
      <c r="CB40" s="1167">
        <f>'2027'!R\Max</f>
        <v>0.98778453513411857</v>
      </c>
      <c r="CC40" s="1168">
        <f>'2028'!R\Max</f>
        <v>0.9877729103239673</v>
      </c>
      <c r="CD40" s="1167">
        <f>'2029'!R\Max</f>
        <v>0.98775956772223805</v>
      </c>
      <c r="CE40" s="1167">
        <f>'2030'!R\Max</f>
        <v>0.98782541529508738</v>
      </c>
      <c r="CF40" s="1169">
        <f>'2031'!R\Max</f>
        <v>0.98781663545687304</v>
      </c>
    </row>
    <row r="41" spans="1:84" s="6" customFormat="1" ht="11.25" x14ac:dyDescent="0.2">
      <c r="A41" s="11">
        <v>43127</v>
      </c>
      <c r="B41" s="375">
        <f>'2022'!Maxi_hp</f>
        <v>125.27585917077172</v>
      </c>
      <c r="C41" s="13">
        <f>'2022'!An_max</f>
        <v>2022</v>
      </c>
      <c r="D41" s="1045">
        <f t="shared" si="7"/>
        <v>0.99325270459979709</v>
      </c>
      <c r="E41" s="13"/>
      <c r="F41" s="13">
        <f t="shared" si="23"/>
        <v>3</v>
      </c>
      <c r="G41" s="13">
        <f t="shared" si="24"/>
        <v>4</v>
      </c>
      <c r="H41" s="169">
        <f t="shared" si="8"/>
        <v>43122</v>
      </c>
      <c r="I41" s="743">
        <f t="shared" si="9"/>
        <v>0.35714285714285715</v>
      </c>
      <c r="J41" s="736">
        <f t="shared" si="27"/>
        <v>126.12687445059419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38">
        <v>43127</v>
      </c>
      <c r="AP41" s="13">
        <f t="shared" si="11"/>
        <v>3</v>
      </c>
      <c r="AQ41" s="13">
        <f t="shared" si="12"/>
        <v>2</v>
      </c>
      <c r="AR41" s="169">
        <f t="shared" si="13"/>
        <v>43136</v>
      </c>
      <c r="AS41" s="743">
        <f t="shared" si="14"/>
        <v>0.32142857142857145</v>
      </c>
      <c r="AT41" s="759">
        <f t="shared" si="15"/>
        <v>126.39729763721782</v>
      </c>
      <c r="AU41" s="13">
        <f t="shared" si="16"/>
        <v>3</v>
      </c>
      <c r="AV41" s="13">
        <f t="shared" si="17"/>
        <v>2</v>
      </c>
      <c r="AW41" s="169">
        <f t="shared" si="18"/>
        <v>43150</v>
      </c>
      <c r="AX41" s="743">
        <f t="shared" si="19"/>
        <v>0.8214285714285714</v>
      </c>
      <c r="AY41" s="759">
        <f t="shared" si="20"/>
        <v>125.90357012563121</v>
      </c>
      <c r="AZ41" s="736">
        <f t="shared" si="26"/>
        <v>126.1504338814245</v>
      </c>
      <c r="BA41" s="633">
        <f t="shared" si="21"/>
        <v>0.99325270459979709</v>
      </c>
      <c r="BC41" s="11">
        <v>43127</v>
      </c>
      <c r="BD41" s="286">
        <f>[2]!FeuilCaduc*(1-Persistant)+Persistant</f>
        <v>0.60004433415154113</v>
      </c>
      <c r="BE41" s="287">
        <f>[2]!CroissVégét</f>
        <v>2.6570394167881404E-3</v>
      </c>
      <c r="BF41" s="806">
        <f>1+[2]!Salcycl*Ksac</f>
        <v>1.0000055417689426</v>
      </c>
      <c r="BH41" s="1036">
        <f t="shared" si="22"/>
        <v>4.3205736598144993E-2</v>
      </c>
      <c r="BI41" s="11">
        <v>44223</v>
      </c>
      <c r="BJ41" s="716">
        <v>7.1507897296935246E-3</v>
      </c>
      <c r="BK41" s="716">
        <v>1.1640023343312983E-2</v>
      </c>
      <c r="BL41" s="716">
        <v>1.7968350233453913E-2</v>
      </c>
      <c r="BM41" s="716">
        <v>2.4984538592598953E-2</v>
      </c>
      <c r="BN41" s="716">
        <v>3.3963952095107455E-2</v>
      </c>
      <c r="BO41" s="717">
        <v>4.3303529198761369E-2</v>
      </c>
      <c r="BP41" s="716">
        <v>5.4993489421622112E-2</v>
      </c>
      <c r="BQ41" s="716">
        <v>6.8216388263118863E-2</v>
      </c>
      <c r="BR41" s="716">
        <v>8.3649543713053123E-2</v>
      </c>
      <c r="BS41" s="716">
        <v>0.1015510754823471</v>
      </c>
      <c r="BT41" s="716">
        <v>0.12103853341752305</v>
      </c>
      <c r="BW41" s="1166">
        <f>'2022'!R\Max</f>
        <v>0.99325270459979709</v>
      </c>
      <c r="BX41" s="1167">
        <f>'2023'!R\Max</f>
        <v>0.99324796496175582</v>
      </c>
      <c r="BY41" s="1167">
        <f>'2024'!R\Max</f>
        <v>0.99324320315957892</v>
      </c>
      <c r="BZ41" s="1167">
        <f>'2025'!R\Max</f>
        <v>0.99323782270974037</v>
      </c>
      <c r="CA41" s="1167">
        <f>'2026'!R\Max</f>
        <v>0.99323242482460283</v>
      </c>
      <c r="CB41" s="1167">
        <f>'2027'!R\Max</f>
        <v>0.99322613357488732</v>
      </c>
      <c r="CC41" s="1168">
        <f>'2028'!R\Max</f>
        <v>0.99321981759806166</v>
      </c>
      <c r="CD41" s="1167">
        <f>'2029'!R\Max</f>
        <v>0.99321249963841218</v>
      </c>
      <c r="CE41" s="1167">
        <f>'2030'!R\Max</f>
        <v>0.99324820281570181</v>
      </c>
      <c r="CF41" s="1169">
        <f>'2031'!R\Max</f>
        <v>0.99324344124778707</v>
      </c>
    </row>
    <row r="42" spans="1:84" s="6" customFormat="1" ht="11.25" x14ac:dyDescent="0.2">
      <c r="A42" s="11">
        <v>43128</v>
      </c>
      <c r="B42" s="375">
        <f>'2022'!Maxi_hp</f>
        <v>19.409681636189191</v>
      </c>
      <c r="C42" s="13">
        <f>'2022'!An_max</f>
        <v>2022</v>
      </c>
      <c r="D42" s="1045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69">
        <f t="shared" si="8"/>
        <v>43122</v>
      </c>
      <c r="I42" s="743">
        <f t="shared" si="9"/>
        <v>0.42857142857142855</v>
      </c>
      <c r="J42" s="736">
        <f t="shared" si="27"/>
        <v>127.49305685290267</v>
      </c>
      <c r="M42" s="6" t="s">
        <v>229</v>
      </c>
      <c r="AC42" s="7"/>
      <c r="AD42" s="7"/>
      <c r="AE42" s="7"/>
      <c r="AF42" s="7"/>
      <c r="AH42" s="7"/>
      <c r="AI42" s="74"/>
      <c r="AO42" s="1038">
        <v>43128</v>
      </c>
      <c r="AP42" s="13">
        <f t="shared" si="11"/>
        <v>3</v>
      </c>
      <c r="AQ42" s="13">
        <f t="shared" si="12"/>
        <v>2</v>
      </c>
      <c r="AR42" s="169">
        <f t="shared" si="13"/>
        <v>43136</v>
      </c>
      <c r="AS42" s="743">
        <f t="shared" si="14"/>
        <v>0.2857142857142857</v>
      </c>
      <c r="AT42" s="759">
        <f t="shared" si="15"/>
        <v>127.78253437174219</v>
      </c>
      <c r="AU42" s="13">
        <f t="shared" si="16"/>
        <v>3</v>
      </c>
      <c r="AV42" s="13">
        <f t="shared" si="17"/>
        <v>2</v>
      </c>
      <c r="AW42" s="169">
        <f t="shared" si="18"/>
        <v>43150</v>
      </c>
      <c r="AX42" s="743">
        <f t="shared" si="19"/>
        <v>0.7857142857142857</v>
      </c>
      <c r="AY42" s="759">
        <f t="shared" si="20"/>
        <v>127.26403289577657</v>
      </c>
      <c r="AZ42" s="736">
        <f t="shared" si="26"/>
        <v>127.52328363375938</v>
      </c>
      <c r="BA42" s="633">
        <f t="shared" si="21"/>
        <v>0.15224108759572255</v>
      </c>
      <c r="BC42" s="11">
        <v>43128</v>
      </c>
      <c r="BD42" s="286">
        <f>[2]!FeuilCaduc*(1-Persistant)+Persistant</f>
        <v>0.60001890915601352</v>
      </c>
      <c r="BE42" s="287">
        <f>[2]!CroissVégét</f>
        <v>2.826205948480045E-3</v>
      </c>
      <c r="BF42" s="806">
        <f>1+[2]!Salcycl*Ksac</f>
        <v>1.0000023636445017</v>
      </c>
      <c r="BH42" s="1036">
        <f t="shared" si="22"/>
        <v>4.1046805105358554E-2</v>
      </c>
      <c r="BI42" s="11">
        <v>44224</v>
      </c>
      <c r="BJ42" s="716">
        <v>6.689403082618642E-3</v>
      </c>
      <c r="BK42" s="716">
        <v>1.0904383879716602E-2</v>
      </c>
      <c r="BL42" s="716">
        <v>1.6791044384187031E-2</v>
      </c>
      <c r="BM42" s="716">
        <v>2.3309488989978481E-2</v>
      </c>
      <c r="BN42" s="716">
        <v>3.1988942367495193E-2</v>
      </c>
      <c r="BO42" s="717">
        <v>4.1142651524723843E-2</v>
      </c>
      <c r="BP42" s="716">
        <v>5.2626155620747933E-2</v>
      </c>
      <c r="BQ42" s="716">
        <v>6.5446874233797261E-2</v>
      </c>
      <c r="BR42" s="716">
        <v>8.0599304460554938E-2</v>
      </c>
      <c r="BS42" s="716">
        <v>9.8337444907952778E-2</v>
      </c>
      <c r="BT42" s="716">
        <v>0.11779749776038365</v>
      </c>
      <c r="BW42" s="1166">
        <f>'2022'!R\Max</f>
        <v>0.15224108759572255</v>
      </c>
      <c r="BX42" s="1167">
        <f>'2023'!R\Max</f>
        <v>0.15216788314572738</v>
      </c>
      <c r="BY42" s="1167">
        <f>'2024'!R\Max</f>
        <v>0.15209440865676049</v>
      </c>
      <c r="BZ42" s="1167">
        <f>'2025'!R\Max</f>
        <v>0.15201253331135786</v>
      </c>
      <c r="CA42" s="1167">
        <f>'2026'!R\Max</f>
        <v>0.15193050297110586</v>
      </c>
      <c r="CB42" s="1167">
        <f>'2027'!R\Max</f>
        <v>0.1518338239951417</v>
      </c>
      <c r="CC42" s="1168">
        <f>'2028'!R\Max</f>
        <v>0.15173687474879599</v>
      </c>
      <c r="CD42" s="1167">
        <f>'2029'!R\Max</f>
        <v>0.15162368116293062</v>
      </c>
      <c r="CE42" s="1167">
        <f>'2030'!R\Max</f>
        <v>0.15217155512339536</v>
      </c>
      <c r="CF42" s="1169">
        <f>'2031'!R\Max</f>
        <v>0.15209808063442851</v>
      </c>
    </row>
    <row r="43" spans="1:84" s="6" customFormat="1" ht="11.25" x14ac:dyDescent="0.2">
      <c r="A43" s="11">
        <v>43129</v>
      </c>
      <c r="B43" s="375">
        <f>'2022'!Maxi_hp</f>
        <v>30.422636176591364</v>
      </c>
      <c r="C43" s="13">
        <f>'2022'!An_max</f>
        <v>2022</v>
      </c>
      <c r="D43" s="1045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69">
        <f t="shared" si="8"/>
        <v>43122</v>
      </c>
      <c r="I43" s="743">
        <f t="shared" si="9"/>
        <v>0.5</v>
      </c>
      <c r="J43" s="736">
        <f t="shared" si="27"/>
        <v>128.87906249985099</v>
      </c>
      <c r="L43" s="171">
        <f>M43-28</f>
        <v>43065</v>
      </c>
      <c r="M43" s="171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1">
        <f>AO12</f>
        <v>43487</v>
      </c>
      <c r="AB43" s="171">
        <f>AA43+28</f>
        <v>43515</v>
      </c>
      <c r="AC43" s="7"/>
      <c r="AD43" s="7"/>
      <c r="AE43" s="7"/>
      <c r="AF43" s="7"/>
      <c r="AH43" s="7"/>
      <c r="AI43" s="74"/>
      <c r="AO43" s="1038">
        <v>43129</v>
      </c>
      <c r="AP43" s="13">
        <f t="shared" si="11"/>
        <v>3</v>
      </c>
      <c r="AQ43" s="13">
        <f t="shared" si="12"/>
        <v>2</v>
      </c>
      <c r="AR43" s="169">
        <f t="shared" si="13"/>
        <v>43136</v>
      </c>
      <c r="AS43" s="743">
        <f t="shared" si="14"/>
        <v>0.25</v>
      </c>
      <c r="AT43" s="759">
        <f t="shared" si="15"/>
        <v>129.17590575665236</v>
      </c>
      <c r="AU43" s="13">
        <f t="shared" si="16"/>
        <v>3</v>
      </c>
      <c r="AV43" s="13">
        <f t="shared" si="17"/>
        <v>2</v>
      </c>
      <c r="AW43" s="169">
        <f t="shared" si="18"/>
        <v>43150</v>
      </c>
      <c r="AX43" s="743">
        <f t="shared" si="19"/>
        <v>0.75</v>
      </c>
      <c r="AY43" s="759">
        <f t="shared" si="20"/>
        <v>128.65635941214859</v>
      </c>
      <c r="AZ43" s="736">
        <f t="shared" si="26"/>
        <v>128.91613258440049</v>
      </c>
      <c r="BA43" s="633">
        <f t="shared" si="21"/>
        <v>0.23605569117657524</v>
      </c>
      <c r="BC43" s="11">
        <v>43129</v>
      </c>
      <c r="BD43" s="286">
        <f>[2]!FeuilCaduc*(1-Persistant)+Persistant</f>
        <v>0.60000610652707764</v>
      </c>
      <c r="BE43" s="287">
        <f>[2]!CroissVégét</f>
        <v>3.0024083390505912E-3</v>
      </c>
      <c r="BF43" s="806">
        <f>1+[2]!Salcycl*Ksac</f>
        <v>1.0000007633158847</v>
      </c>
      <c r="BH43" s="1036">
        <f t="shared" si="22"/>
        <v>3.8840608459840616E-2</v>
      </c>
      <c r="BI43" s="11">
        <v>44225</v>
      </c>
      <c r="BJ43" s="716">
        <v>6.2519213179994659E-3</v>
      </c>
      <c r="BK43" s="716">
        <v>1.0186783730917385E-2</v>
      </c>
      <c r="BL43" s="716">
        <v>1.5604348939162927E-2</v>
      </c>
      <c r="BM43" s="716">
        <v>2.1600023788033707E-2</v>
      </c>
      <c r="BN43" s="716">
        <v>2.9963199871197176E-2</v>
      </c>
      <c r="BO43" s="717">
        <v>3.8934545390779896E-2</v>
      </c>
      <c r="BP43" s="716">
        <v>5.0205801437185303E-2</v>
      </c>
      <c r="BQ43" s="716">
        <v>6.2589314358767342E-2</v>
      </c>
      <c r="BR43" s="716">
        <v>7.7414834503179264E-2</v>
      </c>
      <c r="BS43" s="716">
        <v>9.4925000248283389E-2</v>
      </c>
      <c r="BT43" s="716">
        <v>0.1142794505263095</v>
      </c>
      <c r="BW43" s="1166">
        <f>'2022'!R\Max</f>
        <v>0.23605569117657524</v>
      </c>
      <c r="BX43" s="1167">
        <f>'2023'!R\Max</f>
        <v>0.23594548160353165</v>
      </c>
      <c r="BY43" s="1167">
        <f>'2024'!R\Max</f>
        <v>0.23583486712629675</v>
      </c>
      <c r="BZ43" s="1167">
        <f>'2025'!R\Max</f>
        <v>0.23571353293949845</v>
      </c>
      <c r="CA43" s="1167">
        <f>'2026'!R\Max</f>
        <v>0.23559200293410132</v>
      </c>
      <c r="CB43" s="1167">
        <f>'2027'!R\Max</f>
        <v>0.23544693735837199</v>
      </c>
      <c r="CC43" s="1168">
        <f>'2028'!R\Max</f>
        <v>0.23530144184715679</v>
      </c>
      <c r="CD43" s="1167">
        <f>'2029'!R\Max</f>
        <v>0.23513007227430638</v>
      </c>
      <c r="CE43" s="1167">
        <f>'2030'!R\Max</f>
        <v>0.2359510096976481</v>
      </c>
      <c r="CF43" s="1169">
        <f>'2031'!R\Max</f>
        <v>0.23584039522041314</v>
      </c>
    </row>
    <row r="44" spans="1:84" s="6" customFormat="1" ht="11.25" x14ac:dyDescent="0.2">
      <c r="A44" s="11">
        <v>43130</v>
      </c>
      <c r="B44" s="375">
        <f>'2022'!Maxi_hp</f>
        <v>27.410360787722297</v>
      </c>
      <c r="C44" s="13">
        <f>'2022'!An_max</f>
        <v>2022</v>
      </c>
      <c r="D44" s="1045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69">
        <f t="shared" si="8"/>
        <v>43122</v>
      </c>
      <c r="I44" s="743">
        <f t="shared" si="9"/>
        <v>0.5714285714285714</v>
      </c>
      <c r="J44" s="736">
        <f t="shared" si="27"/>
        <v>130.28272886276244</v>
      </c>
      <c r="L44" s="764">
        <f>AK13</f>
        <v>1070</v>
      </c>
      <c r="M44" s="764">
        <f>M13</f>
        <v>964.27499999999998</v>
      </c>
      <c r="N44" s="754">
        <f>O13</f>
        <v>1196.69</v>
      </c>
      <c r="O44" s="754">
        <f>Q13</f>
        <v>1607.125</v>
      </c>
      <c r="P44" s="754">
        <f>S13</f>
        <v>2012.615</v>
      </c>
      <c r="Q44" s="754">
        <f>U13</f>
        <v>2320</v>
      </c>
      <c r="R44" s="754">
        <f>W13</f>
        <v>2470</v>
      </c>
      <c r="S44" s="754">
        <f>Y13</f>
        <v>2520</v>
      </c>
      <c r="T44" s="754">
        <f>AA13</f>
        <v>2480</v>
      </c>
      <c r="U44" s="754">
        <f>AC13</f>
        <v>2340</v>
      </c>
      <c r="V44" s="754">
        <f>AE13</f>
        <v>2115</v>
      </c>
      <c r="W44" s="754">
        <f>AG13</f>
        <v>1790</v>
      </c>
      <c r="X44" s="754">
        <f>AI13</f>
        <v>1415</v>
      </c>
      <c r="Y44" s="754">
        <f>AK13</f>
        <v>1070</v>
      </c>
      <c r="Z44" s="754">
        <f>AM13</f>
        <v>964.27499999999998</v>
      </c>
      <c r="AA44" s="762">
        <f>AO13</f>
        <v>1196.69</v>
      </c>
      <c r="AB44" s="762">
        <f>Q13</f>
        <v>1607.125</v>
      </c>
      <c r="AD44" s="7"/>
      <c r="AE44" s="7"/>
      <c r="AF44" s="7"/>
      <c r="AH44" s="7"/>
      <c r="AI44" s="74"/>
      <c r="AO44" s="1038">
        <v>43130</v>
      </c>
      <c r="AP44" s="13">
        <f t="shared" si="11"/>
        <v>3</v>
      </c>
      <c r="AQ44" s="13">
        <f t="shared" si="12"/>
        <v>2</v>
      </c>
      <c r="AR44" s="169">
        <f t="shared" si="13"/>
        <v>43136</v>
      </c>
      <c r="AS44" s="743">
        <f t="shared" si="14"/>
        <v>0.21428571428571427</v>
      </c>
      <c r="AT44" s="759">
        <f t="shared" si="15"/>
        <v>130.57499779686333</v>
      </c>
      <c r="AU44" s="13">
        <f t="shared" si="16"/>
        <v>3</v>
      </c>
      <c r="AV44" s="13">
        <f t="shared" si="17"/>
        <v>2</v>
      </c>
      <c r="AW44" s="169">
        <f t="shared" si="18"/>
        <v>43150</v>
      </c>
      <c r="AX44" s="743">
        <f t="shared" si="19"/>
        <v>0.7142857142857143</v>
      </c>
      <c r="AY44" s="759">
        <f t="shared" si="20"/>
        <v>130.07798432526843</v>
      </c>
      <c r="AZ44" s="736">
        <f t="shared" si="26"/>
        <v>130.32649106106589</v>
      </c>
      <c r="BA44" s="633">
        <f t="shared" si="21"/>
        <v>0.21039136213208962</v>
      </c>
      <c r="BC44" s="11">
        <v>43130</v>
      </c>
      <c r="BD44" s="286">
        <f>[2]!FeuilCaduc*(1-Persistant)+Persistant</f>
        <v>0.60000582537781422</v>
      </c>
      <c r="BE44" s="287">
        <f>[2]!CroissVégét</f>
        <v>3.1859365650375344E-3</v>
      </c>
      <c r="BF44" s="806">
        <f>1+[2]!Salcycl*Ksac</f>
        <v>1.0000007281722267</v>
      </c>
      <c r="BH44" s="1036">
        <f t="shared" si="22"/>
        <v>3.6639619372323899E-2</v>
      </c>
      <c r="BI44" s="11">
        <v>44226</v>
      </c>
      <c r="BJ44" s="716">
        <v>5.8548049369541964E-3</v>
      </c>
      <c r="BK44" s="716">
        <v>9.5137998460814981E-3</v>
      </c>
      <c r="BL44" s="716">
        <v>1.4458249302824711E-2</v>
      </c>
      <c r="BM44" s="716">
        <v>1.9931463809123983E-2</v>
      </c>
      <c r="BN44" s="716">
        <v>2.7959537819300429E-2</v>
      </c>
      <c r="BO44" s="717">
        <v>3.6731468273188593E-2</v>
      </c>
      <c r="BP44" s="716">
        <v>4.775782566419768E-2</v>
      </c>
      <c r="BQ44" s="716">
        <v>5.9664177303398992E-2</v>
      </c>
      <c r="BR44" s="716">
        <v>7.4109502274901554E-2</v>
      </c>
      <c r="BS44" s="716">
        <v>9.1318480501130228E-2</v>
      </c>
      <c r="BT44" s="716">
        <v>0.11047932207849911</v>
      </c>
      <c r="BW44" s="1166">
        <f>'2022'!R\Max</f>
        <v>0.21039136213208962</v>
      </c>
      <c r="BX44" s="1167">
        <f>'2023'!R\Max</f>
        <v>0.21029630143313807</v>
      </c>
      <c r="BY44" s="1167">
        <f>'2024'!R\Max</f>
        <v>0.21020089438013004</v>
      </c>
      <c r="BZ44" s="1167">
        <f>'2025'!R\Max</f>
        <v>0.2100980082559159</v>
      </c>
      <c r="CA44" s="1167">
        <f>'2026'!R\Max</f>
        <v>0.20999498693330759</v>
      </c>
      <c r="CB44" s="1167">
        <f>'2027'!R\Max</f>
        <v>0.20987038688289994</v>
      </c>
      <c r="CC44" s="1168">
        <f>'2028'!R\Max</f>
        <v>0.20974539674913209</v>
      </c>
      <c r="CD44" s="1167">
        <f>'2029'!R\Max</f>
        <v>0.20959691834090055</v>
      </c>
      <c r="CE44" s="1167">
        <f>'2030'!R\Max</f>
        <v>0.21030106951758396</v>
      </c>
      <c r="CF44" s="1169">
        <f>'2031'!R\Max</f>
        <v>0.21020566246457592</v>
      </c>
    </row>
    <row r="45" spans="1:84" s="6" customFormat="1" ht="11.25" x14ac:dyDescent="0.2">
      <c r="A45" s="11">
        <v>43131</v>
      </c>
      <c r="B45" s="375">
        <f>'2022'!Maxi_hp</f>
        <v>27.242367789857944</v>
      </c>
      <c r="C45" s="13">
        <f>'2022'!An_max</f>
        <v>2022</v>
      </c>
      <c r="D45" s="1045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69">
        <f t="shared" si="8"/>
        <v>43122</v>
      </c>
      <c r="I45" s="743">
        <f t="shared" si="9"/>
        <v>0.6428571428571429</v>
      </c>
      <c r="J45" s="736">
        <f t="shared" si="27"/>
        <v>131.70189340497765</v>
      </c>
      <c r="L45" s="744" t="s">
        <v>209</v>
      </c>
      <c r="M45" s="774">
        <f t="shared" ref="M45:AA45" si="48">L43</f>
        <v>43065</v>
      </c>
      <c r="N45" s="775">
        <f t="shared" si="48"/>
        <v>43093</v>
      </c>
      <c r="O45" s="726">
        <f t="shared" si="48"/>
        <v>43122</v>
      </c>
      <c r="P45" s="726">
        <f t="shared" si="48"/>
        <v>43150</v>
      </c>
      <c r="Q45" s="726">
        <f t="shared" si="48"/>
        <v>43178</v>
      </c>
      <c r="R45" s="726">
        <f t="shared" si="48"/>
        <v>43206</v>
      </c>
      <c r="S45" s="726">
        <f t="shared" si="48"/>
        <v>43234</v>
      </c>
      <c r="T45" s="726">
        <f t="shared" si="48"/>
        <v>43262</v>
      </c>
      <c r="U45" s="726">
        <f t="shared" si="48"/>
        <v>43290</v>
      </c>
      <c r="V45" s="726">
        <f t="shared" si="48"/>
        <v>43318</v>
      </c>
      <c r="W45" s="726">
        <f t="shared" si="48"/>
        <v>43346</v>
      </c>
      <c r="X45" s="726">
        <f t="shared" si="48"/>
        <v>43374</v>
      </c>
      <c r="Y45" s="726">
        <f t="shared" si="48"/>
        <v>43402</v>
      </c>
      <c r="Z45" s="726">
        <f t="shared" si="48"/>
        <v>43430</v>
      </c>
      <c r="AA45" s="767">
        <f t="shared" si="48"/>
        <v>43458</v>
      </c>
      <c r="AD45" s="7"/>
      <c r="AE45" s="7"/>
      <c r="AF45" s="7"/>
      <c r="AH45" s="7"/>
      <c r="AI45" s="74"/>
      <c r="AO45" s="1038">
        <v>43131</v>
      </c>
      <c r="AP45" s="13">
        <f t="shared" si="11"/>
        <v>3</v>
      </c>
      <c r="AQ45" s="13">
        <f t="shared" si="12"/>
        <v>2</v>
      </c>
      <c r="AR45" s="169">
        <f t="shared" si="13"/>
        <v>43136</v>
      </c>
      <c r="AS45" s="743">
        <f t="shared" si="14"/>
        <v>0.17857142857142858</v>
      </c>
      <c r="AT45" s="759">
        <f t="shared" si="15"/>
        <v>131.97739650037673</v>
      </c>
      <c r="AU45" s="13">
        <f t="shared" si="16"/>
        <v>3</v>
      </c>
      <c r="AV45" s="13">
        <f t="shared" si="17"/>
        <v>2</v>
      </c>
      <c r="AW45" s="169">
        <f t="shared" si="18"/>
        <v>43150</v>
      </c>
      <c r="AX45" s="743">
        <f t="shared" si="19"/>
        <v>0.6785714285714286</v>
      </c>
      <c r="AY45" s="759">
        <f t="shared" si="20"/>
        <v>131.52634228267044</v>
      </c>
      <c r="AZ45" s="736">
        <f t="shared" si="26"/>
        <v>131.7518693915236</v>
      </c>
      <c r="BA45" s="633">
        <f t="shared" si="21"/>
        <v>0.20684871785471479</v>
      </c>
      <c r="BC45" s="11">
        <v>43131</v>
      </c>
      <c r="BD45" s="286">
        <f>[2]!FeuilCaduc*(1-Persistant)+Persistant</f>
        <v>0.60001787894495195</v>
      </c>
      <c r="BE45" s="287">
        <f>[2]!CroissVégét</f>
        <v>3.3770923278976551E-3</v>
      </c>
      <c r="BF45" s="806">
        <f>1+[2]!Salcycl*Ksac</f>
        <v>1.000002234868119</v>
      </c>
      <c r="BH45" s="1036">
        <f t="shared" si="22"/>
        <v>3.4492166697330857E-2</v>
      </c>
      <c r="BI45" s="11">
        <v>44227</v>
      </c>
      <c r="BJ45" s="716">
        <v>5.4849153582738645E-3</v>
      </c>
      <c r="BK45" s="716">
        <v>8.8776488353756369E-3</v>
      </c>
      <c r="BL45" s="716">
        <v>1.3373808343719063E-2</v>
      </c>
      <c r="BM45" s="716">
        <v>1.8352589660429634E-2</v>
      </c>
      <c r="BN45" s="716">
        <v>2.603722909514387E-2</v>
      </c>
      <c r="BO45" s="717">
        <v>3.4581633221452392E-2</v>
      </c>
      <c r="BP45" s="716">
        <v>4.5326056668081684E-2</v>
      </c>
      <c r="BQ45" s="716">
        <v>5.6735634467930555E-2</v>
      </c>
      <c r="BR45" s="716">
        <v>7.0776226396291109E-2</v>
      </c>
      <c r="BS45" s="716">
        <v>8.7650918127981078E-2</v>
      </c>
      <c r="BT45" s="716">
        <v>0.10657865900161539</v>
      </c>
      <c r="BW45" s="1166">
        <f>'2022'!R\Max</f>
        <v>0.20684871785471479</v>
      </c>
      <c r="BX45" s="1167">
        <f>'2023'!R\Max</f>
        <v>0.20675862397804384</v>
      </c>
      <c r="BY45" s="1167">
        <f>'2024'!R\Max</f>
        <v>0.20666820491063892</v>
      </c>
      <c r="BZ45" s="1167">
        <f>'2025'!R\Max</f>
        <v>0.20657228659563709</v>
      </c>
      <c r="CA45" s="1167">
        <f>'2026'!R\Max</f>
        <v>0.20647626996065707</v>
      </c>
      <c r="CB45" s="1167">
        <f>'2027'!R\Max</f>
        <v>0.20635850109104786</v>
      </c>
      <c r="CC45" s="1168">
        <f>'2028'!R\Max</f>
        <v>0.20624034331047619</v>
      </c>
      <c r="CD45" s="1167">
        <f>'2029'!R\Max</f>
        <v>0.20609875426674479</v>
      </c>
      <c r="CE45" s="1167">
        <f>'2030'!R\Max</f>
        <v>0.20676314278179389</v>
      </c>
      <c r="CF45" s="1169">
        <f>'2031'!R\Max</f>
        <v>0.20667272371438891</v>
      </c>
    </row>
    <row r="46" spans="1:84" s="6" customFormat="1" ht="11.25" x14ac:dyDescent="0.2">
      <c r="A46" s="11">
        <v>43132</v>
      </c>
      <c r="B46" s="375">
        <f>'2022'!Maxi_hp</f>
        <v>59.384641801308028</v>
      </c>
      <c r="C46" s="13">
        <f>'2022'!An_max</f>
        <v>2022</v>
      </c>
      <c r="D46" s="1045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69">
        <f t="shared" si="8"/>
        <v>43122</v>
      </c>
      <c r="I46" s="743">
        <f t="shared" si="9"/>
        <v>0.7142857142857143</v>
      </c>
      <c r="J46" s="736">
        <f t="shared" si="27"/>
        <v>133.13439358408962</v>
      </c>
      <c r="L46" s="745" t="s">
        <v>210</v>
      </c>
      <c r="M46" s="766">
        <f t="shared" ref="M46:AA46" si="49">L44</f>
        <v>1070</v>
      </c>
      <c r="N46" s="770">
        <f t="shared" si="49"/>
        <v>964.27499999999998</v>
      </c>
      <c r="O46" s="732">
        <f t="shared" si="49"/>
        <v>1196.69</v>
      </c>
      <c r="P46" s="732">
        <f t="shared" si="49"/>
        <v>1607.125</v>
      </c>
      <c r="Q46" s="732">
        <f t="shared" si="49"/>
        <v>2012.615</v>
      </c>
      <c r="R46" s="732">
        <f t="shared" si="49"/>
        <v>2320</v>
      </c>
      <c r="S46" s="732">
        <f t="shared" si="49"/>
        <v>2470</v>
      </c>
      <c r="T46" s="732">
        <f t="shared" si="49"/>
        <v>2520</v>
      </c>
      <c r="U46" s="732">
        <f t="shared" si="49"/>
        <v>2480</v>
      </c>
      <c r="V46" s="732">
        <f t="shared" si="49"/>
        <v>2340</v>
      </c>
      <c r="W46" s="732">
        <f t="shared" si="49"/>
        <v>2115</v>
      </c>
      <c r="X46" s="732">
        <f t="shared" si="49"/>
        <v>1790</v>
      </c>
      <c r="Y46" s="732">
        <f t="shared" si="49"/>
        <v>1415</v>
      </c>
      <c r="Z46" s="732">
        <f t="shared" si="49"/>
        <v>1070</v>
      </c>
      <c r="AA46" s="768">
        <f t="shared" si="49"/>
        <v>964.27499999999998</v>
      </c>
      <c r="AD46" s="7"/>
      <c r="AE46" s="7"/>
      <c r="AF46" s="7"/>
      <c r="AH46" s="7"/>
      <c r="AI46" s="74"/>
      <c r="AO46" s="1038">
        <v>43132</v>
      </c>
      <c r="AP46" s="13">
        <f t="shared" si="11"/>
        <v>3</v>
      </c>
      <c r="AQ46" s="13">
        <f t="shared" si="12"/>
        <v>2</v>
      </c>
      <c r="AR46" s="169">
        <f t="shared" si="13"/>
        <v>43136</v>
      </c>
      <c r="AS46" s="743">
        <f t="shared" si="14"/>
        <v>0.14285714285714285</v>
      </c>
      <c r="AT46" s="759">
        <f t="shared" si="15"/>
        <v>133.38068786263469</v>
      </c>
      <c r="AU46" s="13">
        <f t="shared" si="16"/>
        <v>3</v>
      </c>
      <c r="AV46" s="13">
        <f t="shared" si="17"/>
        <v>2</v>
      </c>
      <c r="AW46" s="169">
        <f t="shared" si="18"/>
        <v>43150</v>
      </c>
      <c r="AX46" s="743">
        <f t="shared" si="19"/>
        <v>0.6428571428571429</v>
      </c>
      <c r="AY46" s="759">
        <f t="shared" si="20"/>
        <v>132.99886792950065</v>
      </c>
      <c r="AZ46" s="736">
        <f t="shared" si="26"/>
        <v>133.18977789606765</v>
      </c>
      <c r="BA46" s="633">
        <f t="shared" si="21"/>
        <v>0.44605034208384192</v>
      </c>
      <c r="BC46" s="11">
        <v>43132</v>
      </c>
      <c r="BD46" s="286">
        <f>[2]!FeuilCaduc*(1-Persistant)+Persistant</f>
        <v>0.60004199370502986</v>
      </c>
      <c r="BE46" s="287">
        <f>[2]!CroissVégét</f>
        <v>3.5761895087786043E-3</v>
      </c>
      <c r="BF46" s="806">
        <f>1+[2]!Salcycl*Ksac</f>
        <v>1.0000052492131288</v>
      </c>
      <c r="BH46" s="1036">
        <f t="shared" si="22"/>
        <v>3.2398354170014944E-2</v>
      </c>
      <c r="BI46" s="11">
        <v>44228</v>
      </c>
      <c r="BJ46" s="716">
        <v>5.1422689301384309E-3</v>
      </c>
      <c r="BK46" s="716">
        <v>8.2783588096263638E-3</v>
      </c>
      <c r="BL46" s="716">
        <v>1.2351072200206849E-2</v>
      </c>
      <c r="BM46" s="716">
        <v>1.6863467346914938E-2</v>
      </c>
      <c r="BN46" s="716">
        <v>2.4196359546471868E-2</v>
      </c>
      <c r="BO46" s="717">
        <v>3.2485144160001637E-2</v>
      </c>
      <c r="BP46" s="716">
        <v>4.2910621064474214E-2</v>
      </c>
      <c r="BQ46" s="716">
        <v>5.3803841915793606E-2</v>
      </c>
      <c r="BR46" s="716">
        <v>6.7415192397967394E-2</v>
      </c>
      <c r="BS46" s="716">
        <v>8.3922529279578884E-2</v>
      </c>
      <c r="BT46" s="716">
        <v>0.1025777072633393</v>
      </c>
      <c r="BW46" s="1166">
        <f>'2022'!R\Max</f>
        <v>0.44605034208384192</v>
      </c>
      <c r="BX46" s="1167">
        <f>'2023'!R\Max</f>
        <v>0.44590274267967128</v>
      </c>
      <c r="BY46" s="1167">
        <f>'2024'!R\Max</f>
        <v>0.44575459019603703</v>
      </c>
      <c r="BZ46" s="1167">
        <f>'2025'!R\Max</f>
        <v>0.44559987852080762</v>
      </c>
      <c r="CA46" s="1167">
        <f>'2026'!R\Max</f>
        <v>0.44544502307113498</v>
      </c>
      <c r="CB46" s="1167">
        <f>'2027'!R\Max</f>
        <v>0.44525215873936158</v>
      </c>
      <c r="CC46" s="1168">
        <f>'2028'!R\Max</f>
        <v>0.4450585790514302</v>
      </c>
      <c r="CD46" s="1167">
        <f>'2029'!R\Max</f>
        <v>0.44482446896137345</v>
      </c>
      <c r="CE46" s="1167">
        <f>'2030'!R\Max</f>
        <v>0.4459101461010167</v>
      </c>
      <c r="CF46" s="1169">
        <f>'2031'!R\Max</f>
        <v>0.44576199491396756</v>
      </c>
    </row>
    <row r="47" spans="1:84" s="6" customFormat="1" ht="11.25" x14ac:dyDescent="0.2">
      <c r="A47" s="11">
        <v>43133</v>
      </c>
      <c r="B47" s="375">
        <f>'2022'!Maxi_hp</f>
        <v>26.487106634612363</v>
      </c>
      <c r="C47" s="13">
        <f>'2022'!An_max</f>
        <v>2022</v>
      </c>
      <c r="D47" s="1045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69">
        <f t="shared" si="8"/>
        <v>43122</v>
      </c>
      <c r="I47" s="743">
        <f t="shared" si="9"/>
        <v>0.7857142857142857</v>
      </c>
      <c r="J47" s="736">
        <f t="shared" si="27"/>
        <v>134.57806687504052</v>
      </c>
      <c r="L47" s="745" t="s">
        <v>211</v>
      </c>
      <c r="M47" s="777">
        <f t="shared" ref="M47:AA47" si="50">M43</f>
        <v>43093</v>
      </c>
      <c r="N47" s="727">
        <f t="shared" si="50"/>
        <v>43122</v>
      </c>
      <c r="O47" s="727">
        <f t="shared" si="50"/>
        <v>43150</v>
      </c>
      <c r="P47" s="727">
        <f t="shared" si="50"/>
        <v>43178</v>
      </c>
      <c r="Q47" s="727">
        <f t="shared" si="50"/>
        <v>43206</v>
      </c>
      <c r="R47" s="727">
        <f t="shared" si="50"/>
        <v>43234</v>
      </c>
      <c r="S47" s="727">
        <f t="shared" si="50"/>
        <v>43262</v>
      </c>
      <c r="T47" s="727">
        <f t="shared" si="50"/>
        <v>43290</v>
      </c>
      <c r="U47" s="727">
        <f t="shared" si="50"/>
        <v>43318</v>
      </c>
      <c r="V47" s="727">
        <f t="shared" si="50"/>
        <v>43346</v>
      </c>
      <c r="W47" s="727">
        <f t="shared" si="50"/>
        <v>43374</v>
      </c>
      <c r="X47" s="727">
        <f t="shared" si="50"/>
        <v>43402</v>
      </c>
      <c r="Y47" s="727">
        <f t="shared" si="50"/>
        <v>43430</v>
      </c>
      <c r="Z47" s="769">
        <f t="shared" si="50"/>
        <v>43458</v>
      </c>
      <c r="AA47" s="776">
        <f t="shared" si="50"/>
        <v>43487</v>
      </c>
      <c r="AD47" s="7"/>
      <c r="AE47" s="7"/>
      <c r="AF47" s="7"/>
      <c r="AH47" s="7"/>
      <c r="AI47" s="74"/>
      <c r="AO47" s="1038">
        <v>43133</v>
      </c>
      <c r="AP47" s="13">
        <f t="shared" si="11"/>
        <v>3</v>
      </c>
      <c r="AQ47" s="13">
        <f t="shared" si="12"/>
        <v>2</v>
      </c>
      <c r="AR47" s="169">
        <f t="shared" si="13"/>
        <v>43136</v>
      </c>
      <c r="AS47" s="743">
        <f t="shared" si="14"/>
        <v>0.10714285714285714</v>
      </c>
      <c r="AT47" s="759">
        <f t="shared" si="15"/>
        <v>134.78245789323535</v>
      </c>
      <c r="AU47" s="13">
        <f t="shared" si="16"/>
        <v>3</v>
      </c>
      <c r="AV47" s="13">
        <f t="shared" si="17"/>
        <v>2</v>
      </c>
      <c r="AW47" s="169">
        <f t="shared" si="18"/>
        <v>43150</v>
      </c>
      <c r="AX47" s="743">
        <f t="shared" si="19"/>
        <v>0.6071428571428571</v>
      </c>
      <c r="AY47" s="759">
        <f t="shared" si="20"/>
        <v>134.49299591102505</v>
      </c>
      <c r="AZ47" s="736">
        <f t="shared" si="26"/>
        <v>134.6377269021302</v>
      </c>
      <c r="BA47" s="633">
        <f t="shared" si="21"/>
        <v>0.19681592438986642</v>
      </c>
      <c r="BC47" s="11">
        <v>43133</v>
      </c>
      <c r="BD47" s="286">
        <f>[2]!FeuilCaduc*(1-Persistant)+Persistant</f>
        <v>0.60007781000177363</v>
      </c>
      <c r="BE47" s="287">
        <f>[2]!CroissVégét</f>
        <v>3.7835546392683654E-3</v>
      </c>
      <c r="BF47" s="806">
        <f>1+[2]!Salcycl*Ksac</f>
        <v>1.0000097262502217</v>
      </c>
      <c r="BH47" s="1036">
        <f t="shared" si="22"/>
        <v>3.0358273296220668E-2</v>
      </c>
      <c r="BI47" s="11">
        <v>44229</v>
      </c>
      <c r="BJ47" s="716">
        <v>4.8268788238161209E-3</v>
      </c>
      <c r="BK47" s="716">
        <v>7.715953010458622E-3</v>
      </c>
      <c r="BL47" s="716">
        <v>1.1390078778401369E-2</v>
      </c>
      <c r="BM47" s="716">
        <v>1.5464150893659753E-2</v>
      </c>
      <c r="BN47" s="716">
        <v>2.2437002088740433E-2</v>
      </c>
      <c r="BO47" s="717">
        <v>3.0442092791396352E-2</v>
      </c>
      <c r="BP47" s="716">
        <v>4.0511634258287153E-2</v>
      </c>
      <c r="BQ47" s="716">
        <v>5.0868943571436946E-2</v>
      </c>
      <c r="BR47" s="716">
        <v>6.4026573421478647E-2</v>
      </c>
      <c r="BS47" s="716">
        <v>8.0133518271012408E-2</v>
      </c>
      <c r="BT47" s="716">
        <v>9.8476702353340828E-2</v>
      </c>
      <c r="BW47" s="1166">
        <f>'2022'!R\Max</f>
        <v>0.19681592438986642</v>
      </c>
      <c r="BX47" s="1167">
        <f>'2023'!R\Max</f>
        <v>0.19673728779380784</v>
      </c>
      <c r="BY47" s="1167">
        <f>'2024'!R\Max</f>
        <v>0.1966583735996289</v>
      </c>
      <c r="BZ47" s="1167">
        <f>'2025'!R\Max</f>
        <v>0.19657724288741346</v>
      </c>
      <c r="CA47" s="1167">
        <f>'2026'!R\Max</f>
        <v>0.19649607347955142</v>
      </c>
      <c r="CB47" s="1167">
        <f>'2027'!R\Max</f>
        <v>0.19639333474384493</v>
      </c>
      <c r="CC47" s="1168">
        <f>'2028'!R\Max</f>
        <v>0.19629021944705252</v>
      </c>
      <c r="CD47" s="1167">
        <f>'2029'!R\Max</f>
        <v>0.19616438720724311</v>
      </c>
      <c r="CE47" s="1167">
        <f>'2030'!R\Max</f>
        <v>0.19674123162741311</v>
      </c>
      <c r="CF47" s="1169">
        <f>'2031'!R\Max</f>
        <v>0.19666231743323412</v>
      </c>
    </row>
    <row r="48" spans="1:84" s="6" customFormat="1" ht="11.25" x14ac:dyDescent="0.2">
      <c r="A48" s="11">
        <v>43134</v>
      </c>
      <c r="B48" s="375">
        <f>'2022'!Maxi_hp</f>
        <v>59.454283525557202</v>
      </c>
      <c r="C48" s="13">
        <f>'2022'!An_max</f>
        <v>2022</v>
      </c>
      <c r="D48" s="1045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69">
        <f t="shared" si="8"/>
        <v>43122</v>
      </c>
      <c r="I48" s="743">
        <f t="shared" si="9"/>
        <v>0.8571428571428571</v>
      </c>
      <c r="J48" s="736">
        <f t="shared" si="27"/>
        <v>136.03075072850498</v>
      </c>
      <c r="L48" s="745" t="s">
        <v>212</v>
      </c>
      <c r="M48" s="770">
        <f t="shared" ref="M48:AA48" si="51">M44</f>
        <v>964.27499999999998</v>
      </c>
      <c r="N48" s="733">
        <f t="shared" si="51"/>
        <v>1196.69</v>
      </c>
      <c r="O48" s="733">
        <f t="shared" si="51"/>
        <v>1607.125</v>
      </c>
      <c r="P48" s="733">
        <f t="shared" si="51"/>
        <v>2012.615</v>
      </c>
      <c r="Q48" s="733">
        <f t="shared" si="51"/>
        <v>2320</v>
      </c>
      <c r="R48" s="733">
        <f t="shared" si="51"/>
        <v>2470</v>
      </c>
      <c r="S48" s="733">
        <f t="shared" si="51"/>
        <v>2520</v>
      </c>
      <c r="T48" s="733">
        <f t="shared" si="51"/>
        <v>2480</v>
      </c>
      <c r="U48" s="733">
        <f t="shared" si="51"/>
        <v>2340</v>
      </c>
      <c r="V48" s="733">
        <f t="shared" si="51"/>
        <v>2115</v>
      </c>
      <c r="W48" s="733">
        <f t="shared" si="51"/>
        <v>1790</v>
      </c>
      <c r="X48" s="733">
        <f t="shared" si="51"/>
        <v>1415</v>
      </c>
      <c r="Y48" s="733">
        <f t="shared" si="51"/>
        <v>1070</v>
      </c>
      <c r="Z48" s="768">
        <f t="shared" si="51"/>
        <v>964.27499999999998</v>
      </c>
      <c r="AA48" s="766">
        <f t="shared" si="51"/>
        <v>1196.69</v>
      </c>
      <c r="AD48" s="7"/>
      <c r="AE48" s="7"/>
      <c r="AF48" s="7"/>
      <c r="AH48" s="7"/>
      <c r="AI48" s="74"/>
      <c r="AO48" s="1038">
        <v>43134</v>
      </c>
      <c r="AP48" s="13">
        <f t="shared" si="11"/>
        <v>3</v>
      </c>
      <c r="AQ48" s="13">
        <f t="shared" si="12"/>
        <v>2</v>
      </c>
      <c r="AR48" s="169">
        <f t="shared" si="13"/>
        <v>43136</v>
      </c>
      <c r="AS48" s="743">
        <f t="shared" si="14"/>
        <v>7.1428571428571425E-2</v>
      </c>
      <c r="AT48" s="759">
        <f t="shared" si="15"/>
        <v>136.18029258889811</v>
      </c>
      <c r="AU48" s="13">
        <f t="shared" si="16"/>
        <v>3</v>
      </c>
      <c r="AV48" s="13">
        <f t="shared" si="17"/>
        <v>2</v>
      </c>
      <c r="AW48" s="169">
        <f t="shared" si="18"/>
        <v>43150</v>
      </c>
      <c r="AX48" s="743">
        <f t="shared" si="19"/>
        <v>0.5714285714285714</v>
      </c>
      <c r="AY48" s="759">
        <f t="shared" si="20"/>
        <v>136.00616087229656</v>
      </c>
      <c r="AZ48" s="736">
        <f t="shared" si="26"/>
        <v>136.09322673059734</v>
      </c>
      <c r="BA48" s="633">
        <f t="shared" si="21"/>
        <v>0.43706502542368658</v>
      </c>
      <c r="BC48" s="11">
        <v>43134</v>
      </c>
      <c r="BD48" s="286">
        <f>[2]!FeuilCaduc*(1-Persistant)+Persistant</f>
        <v>0.60012488414550325</v>
      </c>
      <c r="BE48" s="287">
        <f>[2]!CroissVégét</f>
        <v>3.9995273885343324E-3</v>
      </c>
      <c r="BF48" s="806">
        <f>1+[2]!Salcycl*Ksac</f>
        <v>1.0000156105181879</v>
      </c>
      <c r="BH48" s="1036">
        <f t="shared" si="22"/>
        <v>2.8372003918794367E-2</v>
      </c>
      <c r="BI48" s="11">
        <v>44230</v>
      </c>
      <c r="BJ48" s="716">
        <v>4.53875532037884E-3</v>
      </c>
      <c r="BK48" s="716">
        <v>7.1904501983170747E-3</v>
      </c>
      <c r="BL48" s="716">
        <v>1.0490858401543226E-2</v>
      </c>
      <c r="BM48" s="716">
        <v>1.4154683290280565E-2</v>
      </c>
      <c r="BN48" s="716">
        <v>2.0759217562812019E-2</v>
      </c>
      <c r="BO48" s="717">
        <v>2.845255915955373E-2</v>
      </c>
      <c r="BP48" s="716">
        <v>3.8129200618930728E-2</v>
      </c>
      <c r="BQ48" s="716">
        <v>4.7931071190688464E-2</v>
      </c>
      <c r="BR48" s="716">
        <v>6.0610529933364687E-2</v>
      </c>
      <c r="BS48" s="716">
        <v>7.6284076949852023E-2</v>
      </c>
      <c r="BT48" s="716">
        <v>9.427586823855949E-2</v>
      </c>
      <c r="BW48" s="1166">
        <f>'2022'!R\Max</f>
        <v>0.43706502542368658</v>
      </c>
      <c r="BX48" s="1167">
        <f>'2023'!R\Max</f>
        <v>0.43693148622355343</v>
      </c>
      <c r="BY48" s="1167">
        <f>'2024'!R\Max</f>
        <v>0.43679746173270106</v>
      </c>
      <c r="BZ48" s="1167">
        <f>'2025'!R\Max</f>
        <v>0.43666171176855817</v>
      </c>
      <c r="CA48" s="1167">
        <f>'2026'!R\Max</f>
        <v>0.43652591187692275</v>
      </c>
      <c r="CB48" s="1167">
        <f>'2027'!R\Max</f>
        <v>0.4363508896434718</v>
      </c>
      <c r="CC48" s="1168">
        <f>'2028'!R\Max</f>
        <v>0.43617515751089464</v>
      </c>
      <c r="CD48" s="1167">
        <f>'2029'!R\Max</f>
        <v>0.43595858431114642</v>
      </c>
      <c r="CE48" s="1167">
        <f>'2030'!R\Max</f>
        <v>0.43693818373679066</v>
      </c>
      <c r="CF48" s="1169">
        <f>'2031'!R\Max</f>
        <v>0.43680416024601754</v>
      </c>
    </row>
    <row r="49" spans="1:84" s="6" customFormat="1" ht="11.25" x14ac:dyDescent="0.2">
      <c r="A49" s="11">
        <v>43135</v>
      </c>
      <c r="B49" s="375">
        <f>'2022'!Maxi_hp</f>
        <v>54.093584600989601</v>
      </c>
      <c r="C49" s="13">
        <f>'2022'!An_max</f>
        <v>2022</v>
      </c>
      <c r="D49" s="1045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69">
        <f t="shared" si="8"/>
        <v>43122</v>
      </c>
      <c r="I49" s="743">
        <f t="shared" si="9"/>
        <v>0.9285714285714286</v>
      </c>
      <c r="J49" s="736">
        <f t="shared" si="27"/>
        <v>137.49028261708361</v>
      </c>
      <c r="L49" s="745" t="s">
        <v>213</v>
      </c>
      <c r="M49" s="772">
        <f t="shared" ref="M49:AA49" si="52">N43</f>
        <v>43122</v>
      </c>
      <c r="N49" s="728">
        <f t="shared" si="52"/>
        <v>43150</v>
      </c>
      <c r="O49" s="728">
        <f t="shared" si="52"/>
        <v>43178</v>
      </c>
      <c r="P49" s="728">
        <f t="shared" si="52"/>
        <v>43206</v>
      </c>
      <c r="Q49" s="728">
        <f t="shared" si="52"/>
        <v>43234</v>
      </c>
      <c r="R49" s="728">
        <f t="shared" si="52"/>
        <v>43262</v>
      </c>
      <c r="S49" s="728">
        <f t="shared" si="52"/>
        <v>43290</v>
      </c>
      <c r="T49" s="728">
        <f t="shared" si="52"/>
        <v>43318</v>
      </c>
      <c r="U49" s="728">
        <f t="shared" si="52"/>
        <v>43346</v>
      </c>
      <c r="V49" s="728">
        <f t="shared" si="52"/>
        <v>43374</v>
      </c>
      <c r="W49" s="728">
        <f t="shared" si="52"/>
        <v>43402</v>
      </c>
      <c r="X49" s="728">
        <f t="shared" si="52"/>
        <v>43430</v>
      </c>
      <c r="Y49" s="728">
        <f t="shared" si="52"/>
        <v>43458</v>
      </c>
      <c r="Z49" s="778">
        <f t="shared" si="52"/>
        <v>43487</v>
      </c>
      <c r="AA49" s="776">
        <f t="shared" si="52"/>
        <v>43515</v>
      </c>
      <c r="AD49" s="7"/>
      <c r="AE49" s="7"/>
      <c r="AF49" s="7"/>
      <c r="AH49" s="7"/>
      <c r="AI49" s="74"/>
      <c r="AO49" s="1038">
        <v>43135</v>
      </c>
      <c r="AP49" s="13">
        <f t="shared" si="11"/>
        <v>3</v>
      </c>
      <c r="AQ49" s="13">
        <f t="shared" si="12"/>
        <v>2</v>
      </c>
      <c r="AR49" s="169">
        <f t="shared" si="13"/>
        <v>43136</v>
      </c>
      <c r="AS49" s="743">
        <f t="shared" si="14"/>
        <v>3.5714285714285712E-2</v>
      </c>
      <c r="AT49" s="759">
        <f t="shared" si="15"/>
        <v>137.57177795608129</v>
      </c>
      <c r="AU49" s="13">
        <f t="shared" si="16"/>
        <v>3</v>
      </c>
      <c r="AV49" s="13">
        <f t="shared" si="17"/>
        <v>2</v>
      </c>
      <c r="AW49" s="169">
        <f t="shared" si="18"/>
        <v>43150</v>
      </c>
      <c r="AX49" s="743">
        <f t="shared" si="19"/>
        <v>0.5357142857142857</v>
      </c>
      <c r="AY49" s="759">
        <f t="shared" si="20"/>
        <v>137.53579745546782</v>
      </c>
      <c r="AZ49" s="736">
        <f t="shared" si="26"/>
        <v>137.55378770577454</v>
      </c>
      <c r="BA49" s="633">
        <f t="shared" si="21"/>
        <v>0.3934356928455997</v>
      </c>
      <c r="BC49" s="11">
        <v>43135</v>
      </c>
      <c r="BD49" s="286">
        <f>[2]!FeuilCaduc*(1-Persistant)+Persistant</f>
        <v>0.60018269193090101</v>
      </c>
      <c r="BE49" s="287">
        <f>[2]!CroissVégét</f>
        <v>4.2244610672662677E-3</v>
      </c>
      <c r="BF49" s="806">
        <f>1+[2]!Salcycl*Ksac</f>
        <v>1.0000228364913626</v>
      </c>
      <c r="BH49" s="1036">
        <f t="shared" si="22"/>
        <v>2.6439614784015682E-2</v>
      </c>
      <c r="BI49" s="11">
        <v>44231</v>
      </c>
      <c r="BJ49" s="716">
        <v>4.2779060974365559E-3</v>
      </c>
      <c r="BK49" s="716">
        <v>6.7018650405179609E-3</v>
      </c>
      <c r="BL49" s="716">
        <v>9.6534344594204347E-3</v>
      </c>
      <c r="BM49" s="716">
        <v>1.293509743541329E-2</v>
      </c>
      <c r="BN49" s="716">
        <v>1.9163055592739574E-2</v>
      </c>
      <c r="BO49" s="717">
        <v>2.6516612213096608E-2</v>
      </c>
      <c r="BP49" s="716">
        <v>3.5763413655697664E-2</v>
      </c>
      <c r="BQ49" s="716">
        <v>4.4990344331319175E-2</v>
      </c>
      <c r="BR49" s="716">
        <v>5.7167209439473364E-2</v>
      </c>
      <c r="BS49" s="716">
        <v>7.2374384064602698E-2</v>
      </c>
      <c r="BT49" s="716">
        <v>8.9975416318873291E-2</v>
      </c>
      <c r="BW49" s="1166">
        <f>'2022'!R\Max</f>
        <v>0.3934356928455997</v>
      </c>
      <c r="BX49" s="1167">
        <f>'2023'!R\Max</f>
        <v>0.39331322021522541</v>
      </c>
      <c r="BY49" s="1167">
        <f>'2024'!R\Max</f>
        <v>0.39319031514456265</v>
      </c>
      <c r="BZ49" s="1167">
        <f>'2025'!R\Max</f>
        <v>0.39306765798234328</v>
      </c>
      <c r="CA49" s="1167">
        <f>'2026'!R\Max</f>
        <v>0.39294499345613126</v>
      </c>
      <c r="CB49" s="1167">
        <f>'2027'!R\Max</f>
        <v>0.39278374965391688</v>
      </c>
      <c r="CC49" s="1168">
        <f>'2028'!R\Max</f>
        <v>0.39262182967995091</v>
      </c>
      <c r="CD49" s="1167">
        <f>'2029'!R\Max</f>
        <v>0.39242025961384497</v>
      </c>
      <c r="CE49" s="1167">
        <f>'2030'!R\Max</f>
        <v>0.39331936223650138</v>
      </c>
      <c r="CF49" s="1169">
        <f>'2031'!R\Max</f>
        <v>0.39319645775694284</v>
      </c>
    </row>
    <row r="50" spans="1:84" s="6" customFormat="1" ht="11.25" x14ac:dyDescent="0.2">
      <c r="A50" s="11">
        <v>43136</v>
      </c>
      <c r="B50" s="375">
        <f>'2022'!Maxi_hp</f>
        <v>45.345948475362562</v>
      </c>
      <c r="C50" s="13">
        <f>'2022'!An_max</f>
        <v>2022</v>
      </c>
      <c r="D50" s="1045" t="str">
        <f t="shared" si="7"/>
        <v/>
      </c>
      <c r="E50" s="1040">
        <f>P$13/10</f>
        <v>138.9545</v>
      </c>
      <c r="F50" s="13">
        <f t="shared" si="23"/>
        <v>5</v>
      </c>
      <c r="G50" s="13">
        <f t="shared" si="24"/>
        <v>4</v>
      </c>
      <c r="H50" s="169">
        <f t="shared" si="8"/>
        <v>43150</v>
      </c>
      <c r="I50" s="743">
        <f t="shared" si="9"/>
        <v>1</v>
      </c>
      <c r="J50" s="736">
        <f t="shared" si="27"/>
        <v>138.95450000017883</v>
      </c>
      <c r="L50" s="745" t="s">
        <v>214</v>
      </c>
      <c r="M50" s="773">
        <f t="shared" ref="M50:AA50" si="53">N44</f>
        <v>1196.69</v>
      </c>
      <c r="N50" s="733">
        <f t="shared" si="53"/>
        <v>1607.125</v>
      </c>
      <c r="O50" s="733">
        <f t="shared" si="53"/>
        <v>2012.615</v>
      </c>
      <c r="P50" s="733">
        <f t="shared" si="53"/>
        <v>2320</v>
      </c>
      <c r="Q50" s="733">
        <f t="shared" si="53"/>
        <v>2470</v>
      </c>
      <c r="R50" s="733">
        <f t="shared" si="53"/>
        <v>2520</v>
      </c>
      <c r="S50" s="733">
        <f t="shared" si="53"/>
        <v>2480</v>
      </c>
      <c r="T50" s="733">
        <f t="shared" si="53"/>
        <v>2340</v>
      </c>
      <c r="U50" s="733">
        <f t="shared" si="53"/>
        <v>2115</v>
      </c>
      <c r="V50" s="733">
        <f t="shared" si="53"/>
        <v>1790</v>
      </c>
      <c r="W50" s="733">
        <f t="shared" si="53"/>
        <v>1415</v>
      </c>
      <c r="X50" s="733">
        <f t="shared" si="53"/>
        <v>1070</v>
      </c>
      <c r="Y50" s="733">
        <f t="shared" si="53"/>
        <v>964.27499999999998</v>
      </c>
      <c r="Z50" s="779">
        <f t="shared" si="53"/>
        <v>1196.69</v>
      </c>
      <c r="AA50" s="766">
        <f t="shared" si="53"/>
        <v>1607.125</v>
      </c>
      <c r="AD50" s="7"/>
      <c r="AE50" s="7"/>
      <c r="AF50" s="7"/>
      <c r="AH50" s="7"/>
      <c r="AI50" s="74"/>
      <c r="AO50" s="1038">
        <v>43136</v>
      </c>
      <c r="AP50" s="13">
        <f t="shared" si="11"/>
        <v>3</v>
      </c>
      <c r="AQ50" s="13">
        <f t="shared" si="12"/>
        <v>4</v>
      </c>
      <c r="AR50" s="169">
        <f t="shared" si="13"/>
        <v>43136</v>
      </c>
      <c r="AS50" s="743">
        <f t="shared" si="14"/>
        <v>0</v>
      </c>
      <c r="AT50" s="759">
        <f t="shared" si="15"/>
        <v>138.95450000017883</v>
      </c>
      <c r="AU50" s="13">
        <f t="shared" si="16"/>
        <v>3</v>
      </c>
      <c r="AV50" s="13">
        <f t="shared" si="17"/>
        <v>2</v>
      </c>
      <c r="AW50" s="169">
        <f t="shared" si="18"/>
        <v>43150</v>
      </c>
      <c r="AX50" s="743">
        <f t="shared" si="19"/>
        <v>0.5</v>
      </c>
      <c r="AY50" s="759">
        <f t="shared" si="20"/>
        <v>139.07934031090699</v>
      </c>
      <c r="AZ50" s="736">
        <f t="shared" si="26"/>
        <v>139.01692015554289</v>
      </c>
      <c r="BA50" s="633">
        <f t="shared" si="21"/>
        <v>0.32633666758042529</v>
      </c>
      <c r="BC50" s="11">
        <v>43136</v>
      </c>
      <c r="BD50" s="286">
        <f>[2]!FeuilCaduc*(1-Persistant)+Persistant</f>
        <v>0.60025063350584451</v>
      </c>
      <c r="BE50" s="287">
        <f>[2]!CroissVégét</f>
        <v>4.4587231488279668E-3</v>
      </c>
      <c r="BF50" s="806">
        <f>1+[2]!Salcycl*Ksac</f>
        <v>1.0000313291882306</v>
      </c>
      <c r="BH50" s="1036">
        <f t="shared" si="22"/>
        <v>2.4561164107986908E-2</v>
      </c>
      <c r="BI50" s="11">
        <v>44232</v>
      </c>
      <c r="BJ50" s="716">
        <v>4.0443365158651821E-3</v>
      </c>
      <c r="BK50" s="716">
        <v>6.2502084992899351E-3</v>
      </c>
      <c r="BL50" s="716">
        <v>8.8778240577709767E-3</v>
      </c>
      <c r="BM50" s="716">
        <v>1.1805417081171193E-2</v>
      </c>
      <c r="BN50" s="716">
        <v>1.7648555443517202E-2</v>
      </c>
      <c r="BO50" s="717">
        <v>2.4634310368659786E-2</v>
      </c>
      <c r="BP50" s="716">
        <v>3.3414356193094442E-2</v>
      </c>
      <c r="BQ50" s="716">
        <v>4.2046870323541395E-2</v>
      </c>
      <c r="BR50" s="716">
        <v>5.3696746199197287E-2</v>
      </c>
      <c r="BS50" s="716">
        <v>6.8404604633061569E-2</v>
      </c>
      <c r="BT50" s="716">
        <v>8.5575544382656202E-2</v>
      </c>
      <c r="BW50" s="1166">
        <f>'2022'!R\Max</f>
        <v>0.32633666758042529</v>
      </c>
      <c r="BX50" s="1167">
        <f>'2023'!R\Max</f>
        <v>0.32623065451755623</v>
      </c>
      <c r="BY50" s="1167">
        <f>'2024'!R\Max</f>
        <v>0.32612428044345432</v>
      </c>
      <c r="BZ50" s="1167">
        <f>'2025'!R\Max</f>
        <v>0.32601966167351026</v>
      </c>
      <c r="CA50" s="1167">
        <f>'2026'!R\Max</f>
        <v>0.3259150697451379</v>
      </c>
      <c r="CB50" s="1167">
        <f>'2027'!R\Max</f>
        <v>0.32577451780899491</v>
      </c>
      <c r="CC50" s="1168">
        <f>'2028'!R\Max</f>
        <v>0.32563335848159775</v>
      </c>
      <c r="CD50" s="1167">
        <f>'2029'!R\Max</f>
        <v>0.3254557501525765</v>
      </c>
      <c r="CE50" s="1167">
        <f>'2030'!R\Max</f>
        <v>0.3262359706211958</v>
      </c>
      <c r="CF50" s="1169">
        <f>'2031'!R\Max</f>
        <v>0.32612959668258612</v>
      </c>
    </row>
    <row r="51" spans="1:84" s="6" customFormat="1" ht="11.25" x14ac:dyDescent="0.2">
      <c r="A51" s="11">
        <v>43137</v>
      </c>
      <c r="B51" s="375">
        <f>'2022'!Maxi_hp</f>
        <v>96.204482022680693</v>
      </c>
      <c r="C51" s="13">
        <f>'2022'!An_max</f>
        <v>2022</v>
      </c>
      <c r="D51" s="1045" t="str">
        <f t="shared" si="7"/>
        <v/>
      </c>
      <c r="E51" s="13"/>
      <c r="F51" s="13">
        <f t="shared" si="23"/>
        <v>5</v>
      </c>
      <c r="G51" s="13">
        <f t="shared" si="24"/>
        <v>4</v>
      </c>
      <c r="H51" s="169">
        <f t="shared" si="8"/>
        <v>43150</v>
      </c>
      <c r="I51" s="743">
        <f t="shared" si="9"/>
        <v>0.9285714285714286</v>
      </c>
      <c r="J51" s="736">
        <f t="shared" si="27"/>
        <v>140.43367492756141</v>
      </c>
      <c r="L51" s="746" t="s">
        <v>215</v>
      </c>
      <c r="M51" s="730">
        <f t="shared" ref="M51:AA51" si="54">x.1ld*x.1ld-x.2ld*x.2ld</f>
        <v>-2412424</v>
      </c>
      <c r="N51" s="730">
        <f t="shared" si="54"/>
        <v>-2500235</v>
      </c>
      <c r="O51" s="730">
        <f t="shared" si="54"/>
        <v>-2415616</v>
      </c>
      <c r="P51" s="730">
        <f t="shared" si="54"/>
        <v>-2417184</v>
      </c>
      <c r="Q51" s="730">
        <f t="shared" si="54"/>
        <v>-2418752</v>
      </c>
      <c r="R51" s="730">
        <f t="shared" si="54"/>
        <v>-2420320</v>
      </c>
      <c r="S51" s="730">
        <f t="shared" si="54"/>
        <v>-2421888</v>
      </c>
      <c r="T51" s="730">
        <f t="shared" si="54"/>
        <v>-2423456</v>
      </c>
      <c r="U51" s="730">
        <f t="shared" si="54"/>
        <v>-2425024</v>
      </c>
      <c r="V51" s="730">
        <f t="shared" si="54"/>
        <v>-2426592</v>
      </c>
      <c r="W51" s="730">
        <f t="shared" si="54"/>
        <v>-2428160</v>
      </c>
      <c r="X51" s="730">
        <f t="shared" si="54"/>
        <v>-2429728</v>
      </c>
      <c r="Y51" s="730">
        <f t="shared" si="54"/>
        <v>-2431296</v>
      </c>
      <c r="Z51" s="730">
        <f t="shared" si="54"/>
        <v>-2432864</v>
      </c>
      <c r="AA51" s="730">
        <f t="shared" si="54"/>
        <v>-2521405</v>
      </c>
      <c r="AC51" s="7"/>
      <c r="AD51" s="7"/>
      <c r="AE51" s="7"/>
      <c r="AF51" s="7"/>
      <c r="AH51" s="7"/>
      <c r="AI51" s="74"/>
      <c r="AO51" s="1038">
        <v>43137</v>
      </c>
      <c r="AP51" s="13">
        <f t="shared" si="11"/>
        <v>3</v>
      </c>
      <c r="AQ51" s="13">
        <f t="shared" si="12"/>
        <v>4</v>
      </c>
      <c r="AR51" s="169">
        <f t="shared" si="13"/>
        <v>43136</v>
      </c>
      <c r="AS51" s="743">
        <f t="shared" si="14"/>
        <v>3.5714285714285712E-2</v>
      </c>
      <c r="AT51" s="759">
        <f t="shared" si="15"/>
        <v>140.34687462454397</v>
      </c>
      <c r="AU51" s="13">
        <f t="shared" si="16"/>
        <v>3</v>
      </c>
      <c r="AV51" s="13">
        <f t="shared" si="17"/>
        <v>2</v>
      </c>
      <c r="AW51" s="169">
        <f t="shared" si="18"/>
        <v>43150</v>
      </c>
      <c r="AX51" s="743">
        <f t="shared" si="19"/>
        <v>0.4642857142857143</v>
      </c>
      <c r="AY51" s="759">
        <f t="shared" si="20"/>
        <v>140.63422407921672</v>
      </c>
      <c r="AZ51" s="736">
        <f t="shared" si="26"/>
        <v>140.49054935188036</v>
      </c>
      <c r="BA51" s="633">
        <f t="shared" si="21"/>
        <v>0.68505279857060597</v>
      </c>
      <c r="BC51" s="11">
        <v>43137</v>
      </c>
      <c r="BD51" s="286">
        <f>[2]!FeuilCaduc*(1-Persistant)+Persistant</f>
        <v>0.60032803951137059</v>
      </c>
      <c r="BE51" s="287">
        <f>[2]!CroissVégét</f>
        <v>4.7026958080162657E-3</v>
      </c>
      <c r="BF51" s="806">
        <f>1+[2]!Salcycl*Ksac</f>
        <v>1.0000410049389212</v>
      </c>
      <c r="BH51" s="1036">
        <f t="shared" si="22"/>
        <v>2.2736700142967834E-2</v>
      </c>
      <c r="BI51" s="11">
        <v>44233</v>
      </c>
      <c r="BJ51" s="716">
        <v>3.8380499065261741E-3</v>
      </c>
      <c r="BK51" s="716">
        <v>5.8354882198014104E-3</v>
      </c>
      <c r="BL51" s="716">
        <v>8.1640386676653364E-3</v>
      </c>
      <c r="BM51" s="716">
        <v>1.0765657777575641E-2</v>
      </c>
      <c r="BN51" s="716">
        <v>1.6215746878790873E-2</v>
      </c>
      <c r="BO51" s="717">
        <v>2.2805702074141631E-2</v>
      </c>
      <c r="BP51" s="716">
        <v>3.1082100546099056E-2</v>
      </c>
      <c r="BQ51" s="716">
        <v>3.9100744240414341E-2</v>
      </c>
      <c r="BR51" s="716">
        <v>5.0199260939594148E-2</v>
      </c>
      <c r="BS51" s="716">
        <v>6.4374889310529995E-2</v>
      </c>
      <c r="BT51" s="716">
        <v>8.1076435562157059E-2</v>
      </c>
      <c r="BW51" s="1166">
        <f>'2022'!R\Max</f>
        <v>0.68505279857060597</v>
      </c>
      <c r="BX51" s="1167">
        <f>'2023'!R\Max</f>
        <v>0.68495572298690499</v>
      </c>
      <c r="BY51" s="1167">
        <f>'2024'!R\Max</f>
        <v>0.68485829131193243</v>
      </c>
      <c r="BZ51" s="1167">
        <f>'2025'!R\Max</f>
        <v>0.6847638123683053</v>
      </c>
      <c r="CA51" s="1167">
        <f>'2026'!R\Max</f>
        <v>0.68466935088649084</v>
      </c>
      <c r="CB51" s="1167">
        <f>'2027'!R\Max</f>
        <v>0.6845391448216569</v>
      </c>
      <c r="CC51" s="1168">
        <f>'2028'!R\Max</f>
        <v>0.68440828842884172</v>
      </c>
      <c r="CD51" s="1167">
        <f>'2029'!R\Max</f>
        <v>0.68424165237998613</v>
      </c>
      <c r="CE51" s="1167">
        <f>'2030'!R\Max</f>
        <v>0.68496059136563126</v>
      </c>
      <c r="CF51" s="1169">
        <f>'2031'!R\Max</f>
        <v>0.68486316138356929</v>
      </c>
    </row>
    <row r="52" spans="1:84" s="6" customFormat="1" ht="11.25" x14ac:dyDescent="0.2">
      <c r="A52" s="11">
        <v>43138</v>
      </c>
      <c r="B52" s="375">
        <f>'2022'!Maxi_hp</f>
        <v>43.470447620371786</v>
      </c>
      <c r="C52" s="13">
        <f>'2022'!An_max</f>
        <v>2022</v>
      </c>
      <c r="D52" s="1045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69">
        <f t="shared" si="8"/>
        <v>43150</v>
      </c>
      <c r="I52" s="743">
        <f t="shared" si="9"/>
        <v>0.8571428571428571</v>
      </c>
      <c r="J52" s="736">
        <f t="shared" si="27"/>
        <v>141.9373586022428</v>
      </c>
      <c r="L52" s="746" t="s">
        <v>216</v>
      </c>
      <c r="M52" s="730">
        <f t="shared" ref="M52:AA52" si="55">x.2ld*x.2ld-x.3ld*x.3ld</f>
        <v>-2500235</v>
      </c>
      <c r="N52" s="730">
        <f t="shared" si="55"/>
        <v>-2415616</v>
      </c>
      <c r="O52" s="730">
        <f t="shared" si="55"/>
        <v>-2417184</v>
      </c>
      <c r="P52" s="730">
        <f t="shared" si="55"/>
        <v>-2418752</v>
      </c>
      <c r="Q52" s="730">
        <f t="shared" si="55"/>
        <v>-2420320</v>
      </c>
      <c r="R52" s="730">
        <f t="shared" si="55"/>
        <v>-2421888</v>
      </c>
      <c r="S52" s="730">
        <f t="shared" si="55"/>
        <v>-2423456</v>
      </c>
      <c r="T52" s="730">
        <f t="shared" si="55"/>
        <v>-2425024</v>
      </c>
      <c r="U52" s="730">
        <f t="shared" si="55"/>
        <v>-2426592</v>
      </c>
      <c r="V52" s="730">
        <f t="shared" si="55"/>
        <v>-2428160</v>
      </c>
      <c r="W52" s="730">
        <f t="shared" si="55"/>
        <v>-2429728</v>
      </c>
      <c r="X52" s="730">
        <f t="shared" si="55"/>
        <v>-2431296</v>
      </c>
      <c r="Y52" s="730">
        <f t="shared" si="55"/>
        <v>-2432864</v>
      </c>
      <c r="Z52" s="730">
        <f t="shared" si="55"/>
        <v>-2521405</v>
      </c>
      <c r="AA52" s="730">
        <f t="shared" si="55"/>
        <v>-2436056</v>
      </c>
      <c r="AC52" s="7"/>
      <c r="AD52" s="7"/>
      <c r="AE52" s="7"/>
      <c r="AF52" s="7"/>
      <c r="AH52" s="7"/>
      <c r="AI52" s="74"/>
      <c r="AO52" s="1038">
        <v>43138</v>
      </c>
      <c r="AP52" s="13">
        <f t="shared" si="11"/>
        <v>3</v>
      </c>
      <c r="AQ52" s="13">
        <f t="shared" si="12"/>
        <v>4</v>
      </c>
      <c r="AR52" s="169">
        <f t="shared" si="13"/>
        <v>43136</v>
      </c>
      <c r="AS52" s="743">
        <f t="shared" si="14"/>
        <v>7.1428571428571425E-2</v>
      </c>
      <c r="AT52" s="759">
        <f t="shared" si="15"/>
        <v>141.76756969871266</v>
      </c>
      <c r="AU52" s="13">
        <f t="shared" si="16"/>
        <v>3</v>
      </c>
      <c r="AV52" s="13">
        <f t="shared" si="17"/>
        <v>2</v>
      </c>
      <c r="AW52" s="169">
        <f t="shared" si="18"/>
        <v>43150</v>
      </c>
      <c r="AX52" s="743">
        <f t="shared" si="19"/>
        <v>0.42857142857142855</v>
      </c>
      <c r="AY52" s="759">
        <f t="shared" si="20"/>
        <v>142.19788340750549</v>
      </c>
      <c r="AZ52" s="736">
        <f t="shared" si="26"/>
        <v>141.98272655310907</v>
      </c>
      <c r="BA52" s="633">
        <f t="shared" si="21"/>
        <v>0.30626501752925317</v>
      </c>
      <c r="BC52" s="11">
        <v>43138</v>
      </c>
      <c r="BD52" s="286">
        <f>[2]!FeuilCaduc*(1-Persistant)+Persistant</f>
        <v>0.60041417840130806</v>
      </c>
      <c r="BE52" s="287">
        <f>[2]!CroissVégét</f>
        <v>4.9567764778191995E-3</v>
      </c>
      <c r="BF52" s="806">
        <f>1+[2]!Salcycl*Ksac</f>
        <v>1.0000517723001634</v>
      </c>
      <c r="BH52" s="1036">
        <f t="shared" si="22"/>
        <v>2.1034735998468525E-2</v>
      </c>
      <c r="BI52" s="11">
        <v>44234</v>
      </c>
      <c r="BJ52" s="716">
        <v>3.6601917201374134E-3</v>
      </c>
      <c r="BK52" s="716">
        <v>5.4704164608356982E-3</v>
      </c>
      <c r="BL52" s="716">
        <v>7.5362641144163149E-3</v>
      </c>
      <c r="BM52" s="716">
        <v>9.8524435179473506E-3</v>
      </c>
      <c r="BN52" s="716">
        <v>1.4915194911424736E-2</v>
      </c>
      <c r="BO52" s="717">
        <v>2.109949035811455E-2</v>
      </c>
      <c r="BP52" s="716">
        <v>2.8858153261882874E-2</v>
      </c>
      <c r="BQ52" s="716">
        <v>3.6271436094021135E-2</v>
      </c>
      <c r="BR52" s="716">
        <v>4.6801701797445867E-2</v>
      </c>
      <c r="BS52" s="716">
        <v>6.0403260985122283E-2</v>
      </c>
      <c r="BT52" s="716">
        <v>7.6568972840982366E-2</v>
      </c>
      <c r="BW52" s="1166">
        <f>'2022'!R\Max</f>
        <v>0.30626501752925317</v>
      </c>
      <c r="BX52" s="1167">
        <f>'2023'!R\Max</f>
        <v>0.30617634769346508</v>
      </c>
      <c r="BY52" s="1167">
        <f>'2024'!R\Max</f>
        <v>0.30608738884735326</v>
      </c>
      <c r="BZ52" s="1167">
        <f>'2025'!R\Max</f>
        <v>0.30600232630280488</v>
      </c>
      <c r="CA52" s="1167">
        <f>'2026'!R\Max</f>
        <v>0.30591732663388638</v>
      </c>
      <c r="CB52" s="1167">
        <f>'2027'!R\Max</f>
        <v>0.30579715864654455</v>
      </c>
      <c r="CC52" s="1168">
        <f>'2028'!R\Max</f>
        <v>0.30567641849774407</v>
      </c>
      <c r="CD52" s="1167">
        <f>'2029'!R\Max</f>
        <v>0.30552102454123925</v>
      </c>
      <c r="CE52" s="1167">
        <f>'2030'!R\Max</f>
        <v>0.30618079350862026</v>
      </c>
      <c r="CF52" s="1169">
        <f>'2031'!R\Max</f>
        <v>0.30609183468583351</v>
      </c>
    </row>
    <row r="53" spans="1:84" s="6" customFormat="1" ht="11.25" x14ac:dyDescent="0.2">
      <c r="A53" s="11">
        <v>43139</v>
      </c>
      <c r="B53" s="375">
        <f>'2022'!Maxi_hp</f>
        <v>145.46002837728111</v>
      </c>
      <c r="C53" s="13">
        <f>'2022'!An_max</f>
        <v>2022</v>
      </c>
      <c r="D53" s="1045">
        <f t="shared" si="7"/>
        <v>1.0139250594819573</v>
      </c>
      <c r="E53" s="13"/>
      <c r="F53" s="13">
        <f t="shared" si="23"/>
        <v>5</v>
      </c>
      <c r="G53" s="13">
        <f t="shared" si="24"/>
        <v>4</v>
      </c>
      <c r="H53" s="169">
        <f t="shared" si="8"/>
        <v>43150</v>
      </c>
      <c r="I53" s="743">
        <f t="shared" si="9"/>
        <v>0.7857142857142857</v>
      </c>
      <c r="J53" s="736">
        <f t="shared" si="27"/>
        <v>143.46230721588114</v>
      </c>
      <c r="L53" s="746" t="s">
        <v>217</v>
      </c>
      <c r="M53" s="730">
        <f t="shared" ref="M53:AA53" si="56">(y.1ld-y.2ld-b.ld*(x.1ld-x.2ld))/D2x12Ld</f>
        <v>0.20684567020999609</v>
      </c>
      <c r="N53" s="730">
        <f t="shared" si="56"/>
        <v>0.11656285109323632</v>
      </c>
      <c r="O53" s="730">
        <f t="shared" si="56"/>
        <v>-3.1536989795914157E-3</v>
      </c>
      <c r="P53" s="730">
        <f t="shared" si="56"/>
        <v>-6.256696428572335E-2</v>
      </c>
      <c r="Q53" s="730">
        <f t="shared" si="56"/>
        <v>-0.10037308673469798</v>
      </c>
      <c r="R53" s="730">
        <f t="shared" si="56"/>
        <v>-6.377551020408688E-2</v>
      </c>
      <c r="S53" s="730">
        <f t="shared" si="56"/>
        <v>-5.739795918366624E-2</v>
      </c>
      <c r="T53" s="730">
        <f t="shared" si="56"/>
        <v>-6.3775510204092348E-2</v>
      </c>
      <c r="U53" s="730">
        <f t="shared" si="56"/>
        <v>-5.4209183673474846E-2</v>
      </c>
      <c r="V53" s="730">
        <f t="shared" si="56"/>
        <v>-6.3775510204076902E-2</v>
      </c>
      <c r="W53" s="730">
        <f t="shared" si="56"/>
        <v>-3.1887755102039887E-2</v>
      </c>
      <c r="X53" s="730">
        <f t="shared" si="56"/>
        <v>1.9132653061223297E-2</v>
      </c>
      <c r="Y53" s="730">
        <f t="shared" si="56"/>
        <v>0.15259885204080384</v>
      </c>
      <c r="Z53" s="730">
        <f t="shared" si="56"/>
        <v>0.20684567020998113</v>
      </c>
      <c r="AA53" s="730">
        <f t="shared" si="56"/>
        <v>0.1165628510932636</v>
      </c>
      <c r="AC53" s="7"/>
      <c r="AD53" s="7"/>
      <c r="AE53" s="7"/>
      <c r="AF53" s="7"/>
      <c r="AH53" s="7"/>
      <c r="AI53" s="74"/>
      <c r="AO53" s="1038">
        <v>43139</v>
      </c>
      <c r="AP53" s="13">
        <f t="shared" si="11"/>
        <v>3</v>
      </c>
      <c r="AQ53" s="13">
        <f t="shared" si="12"/>
        <v>4</v>
      </c>
      <c r="AR53" s="169">
        <f t="shared" si="13"/>
        <v>43136</v>
      </c>
      <c r="AS53" s="743">
        <f t="shared" si="14"/>
        <v>0.10714285714285714</v>
      </c>
      <c r="AT53" s="759">
        <f t="shared" si="15"/>
        <v>143.21454916362251</v>
      </c>
      <c r="AU53" s="13">
        <f t="shared" si="16"/>
        <v>3</v>
      </c>
      <c r="AV53" s="13">
        <f t="shared" si="17"/>
        <v>2</v>
      </c>
      <c r="AW53" s="169">
        <f t="shared" si="18"/>
        <v>43150</v>
      </c>
      <c r="AX53" s="743">
        <f t="shared" si="19"/>
        <v>0.39285714285714285</v>
      </c>
      <c r="AY53" s="759">
        <f t="shared" si="20"/>
        <v>143.76775294374011</v>
      </c>
      <c r="AZ53" s="736">
        <f t="shared" si="26"/>
        <v>143.49115105368131</v>
      </c>
      <c r="BA53" s="633">
        <f t="shared" si="21"/>
        <v>1.0139250594819573</v>
      </c>
      <c r="BC53" s="11">
        <v>43139</v>
      </c>
      <c r="BD53" s="286">
        <f>[2]!FeuilCaduc*(1-Persistant)+Persistant</f>
        <v>0.60050826483977415</v>
      </c>
      <c r="BE53" s="287">
        <f>[2]!CroissVégét</f>
        <v>5.2213784245517241E-3</v>
      </c>
      <c r="BF53" s="806">
        <f>1+[2]!Salcycl*Ksac</f>
        <v>1.0000635331049719</v>
      </c>
      <c r="BH53" s="1036">
        <f t="shared" si="22"/>
        <v>1.9453743088709795E-2</v>
      </c>
      <c r="BI53" s="11">
        <v>44235</v>
      </c>
      <c r="BJ53" s="716">
        <v>3.4999207892873821E-3</v>
      </c>
      <c r="BK53" s="716">
        <v>5.1446128395882936E-3</v>
      </c>
      <c r="BL53" s="716">
        <v>6.9826339045075516E-3</v>
      </c>
      <c r="BM53" s="716">
        <v>9.0511401329748404E-3</v>
      </c>
      <c r="BN53" s="716">
        <v>1.3737993707710616E-2</v>
      </c>
      <c r="BO53" s="717">
        <v>1.9514224697673475E-2</v>
      </c>
      <c r="BP53" s="716">
        <v>2.6751115241265295E-2</v>
      </c>
      <c r="BQ53" s="716">
        <v>3.358208447252204E-2</v>
      </c>
      <c r="BR53" s="716">
        <v>4.3544477709878737E-2</v>
      </c>
      <c r="BS53" s="716">
        <v>5.6554404089160605E-2</v>
      </c>
      <c r="BT53" s="716">
        <v>7.2147313049049214E-2</v>
      </c>
      <c r="BW53" s="1166">
        <f>'2022'!R\Max</f>
        <v>1.0139250594819573</v>
      </c>
      <c r="BX53" s="1167">
        <f>'2023'!R\Max</f>
        <v>1.0139250594819573</v>
      </c>
      <c r="BY53" s="1167">
        <f>'2024'!R\Max</f>
        <v>1.0139250594819575</v>
      </c>
      <c r="BZ53" s="1167">
        <f>'2025'!R\Max</f>
        <v>1.0139250594819578</v>
      </c>
      <c r="CA53" s="1167">
        <f>'2026'!R\Max</f>
        <v>1.0139250594819575</v>
      </c>
      <c r="CB53" s="1167">
        <f>'2027'!R\Max</f>
        <v>1.013925059481958</v>
      </c>
      <c r="CC53" s="1168">
        <f>'2028'!R\Max</f>
        <v>1.0139250594819573</v>
      </c>
      <c r="CD53" s="1167">
        <f>'2029'!R\Max</f>
        <v>1.0139250594819578</v>
      </c>
      <c r="CE53" s="1167">
        <f>'2030'!R\Max</f>
        <v>1.0139250594819575</v>
      </c>
      <c r="CF53" s="1169">
        <f>'2031'!R\Max</f>
        <v>1.0139250594819573</v>
      </c>
    </row>
    <row r="54" spans="1:84" s="6" customFormat="1" ht="11.25" x14ac:dyDescent="0.2">
      <c r="A54" s="11">
        <v>43140</v>
      </c>
      <c r="B54" s="375">
        <f>'2022'!Maxi_hp</f>
        <v>144.76568409319361</v>
      </c>
      <c r="C54" s="13">
        <f>'2022'!An_max</f>
        <v>2022</v>
      </c>
      <c r="D54" s="1045">
        <f t="shared" si="7"/>
        <v>0.9983476954672208</v>
      </c>
      <c r="E54" s="13"/>
      <c r="F54" s="13">
        <f t="shared" si="23"/>
        <v>5</v>
      </c>
      <c r="G54" s="13">
        <f t="shared" si="24"/>
        <v>4</v>
      </c>
      <c r="H54" s="169">
        <f t="shared" si="8"/>
        <v>43150</v>
      </c>
      <c r="I54" s="743">
        <f t="shared" si="9"/>
        <v>0.7142857142857143</v>
      </c>
      <c r="J54" s="736">
        <f t="shared" si="27"/>
        <v>145.00527696960739</v>
      </c>
      <c r="L54" s="746" t="s">
        <v>218</v>
      </c>
      <c r="M54" s="730">
        <f t="shared" ref="M54:AA54" si="57">(y.2ld-y.3ld-(y.1ld-y.2ld)*D2x23Ld/D2x12Ld)/(x.2ld-x.3ld)/(1-(x.2ld+x.3ld)/(x.1ld+x.2ld))</f>
        <v>-17825.185146809985</v>
      </c>
      <c r="N54" s="730">
        <f t="shared" si="57"/>
        <v>-10041.451896658542</v>
      </c>
      <c r="O54" s="730">
        <f t="shared" si="57"/>
        <v>286.73431122445345</v>
      </c>
      <c r="P54" s="730">
        <f t="shared" si="57"/>
        <v>5415.7626785722105</v>
      </c>
      <c r="Q54" s="730">
        <f t="shared" si="57"/>
        <v>8681.6067602044368</v>
      </c>
      <c r="R54" s="730">
        <f t="shared" si="57"/>
        <v>5518.1122448984124</v>
      </c>
      <c r="S54" s="730">
        <f t="shared" si="57"/>
        <v>4966.4795918361087</v>
      </c>
      <c r="T54" s="730">
        <f t="shared" si="57"/>
        <v>5518.4693877560294</v>
      </c>
      <c r="U54" s="730">
        <f t="shared" si="57"/>
        <v>4689.9489795923091</v>
      </c>
      <c r="V54" s="730">
        <f t="shared" si="57"/>
        <v>5519.0051020404062</v>
      </c>
      <c r="W54" s="730">
        <f t="shared" si="57"/>
        <v>2753.6989795917561</v>
      </c>
      <c r="X54" s="730">
        <f t="shared" si="57"/>
        <v>-1673.64795918357</v>
      </c>
      <c r="Y54" s="730">
        <f t="shared" si="57"/>
        <v>-13262.784948978509</v>
      </c>
      <c r="Z54" s="730">
        <f t="shared" si="57"/>
        <v>-17976.182486061982</v>
      </c>
      <c r="AA54" s="730">
        <f t="shared" si="57"/>
        <v>-10126.542777958975</v>
      </c>
      <c r="AC54" s="7"/>
      <c r="AD54" s="7"/>
      <c r="AE54" s="7"/>
      <c r="AF54" s="7"/>
      <c r="AH54" s="7"/>
      <c r="AI54" s="74"/>
      <c r="AO54" s="1038">
        <v>43140</v>
      </c>
      <c r="AP54" s="13">
        <f t="shared" si="11"/>
        <v>3</v>
      </c>
      <c r="AQ54" s="13">
        <f t="shared" si="12"/>
        <v>4</v>
      </c>
      <c r="AR54" s="169">
        <f t="shared" si="13"/>
        <v>43136</v>
      </c>
      <c r="AS54" s="743">
        <f t="shared" si="14"/>
        <v>0.14285714285714285</v>
      </c>
      <c r="AT54" s="759">
        <f t="shared" si="15"/>
        <v>144.6857769678746</v>
      </c>
      <c r="AU54" s="13">
        <f t="shared" si="16"/>
        <v>3</v>
      </c>
      <c r="AV54" s="13">
        <f t="shared" si="17"/>
        <v>2</v>
      </c>
      <c r="AW54" s="169">
        <f t="shared" si="18"/>
        <v>43150</v>
      </c>
      <c r="AX54" s="743">
        <f t="shared" si="19"/>
        <v>0.35714285714285715</v>
      </c>
      <c r="AY54" s="759">
        <f t="shared" si="20"/>
        <v>145.34126733068507</v>
      </c>
      <c r="AZ54" s="736">
        <f t="shared" si="26"/>
        <v>145.01352214927982</v>
      </c>
      <c r="BA54" s="633">
        <f t="shared" si="21"/>
        <v>0.9983476954672208</v>
      </c>
      <c r="BC54" s="11">
        <v>43140</v>
      </c>
      <c r="BD54" s="286">
        <f>[2]!FeuilCaduc*(1-Persistant)+Persistant</f>
        <v>0.6006094690656828</v>
      </c>
      <c r="BE54" s="287">
        <f>[2]!CroissVégét</f>
        <v>5.4969313417339892E-3</v>
      </c>
      <c r="BF54" s="806">
        <f>1+[2]!Salcycl*Ksac</f>
        <v>1.0000761836332104</v>
      </c>
      <c r="BH54" s="1036">
        <f t="shared" si="22"/>
        <v>1.7993727898776818E-2</v>
      </c>
      <c r="BI54" s="11">
        <v>44236</v>
      </c>
      <c r="BJ54" s="716">
        <v>3.3572382266413786E-3</v>
      </c>
      <c r="BK54" s="716">
        <v>4.8580767897291191E-3</v>
      </c>
      <c r="BL54" s="716">
        <v>6.5031436265486188E-3</v>
      </c>
      <c r="BM54" s="716">
        <v>8.3617391370736337E-3</v>
      </c>
      <c r="BN54" s="716">
        <v>1.2684140128093171E-2</v>
      </c>
      <c r="BO54" s="717">
        <v>1.8049911679747403E-2</v>
      </c>
      <c r="BP54" s="716">
        <v>2.4761005559261241E-2</v>
      </c>
      <c r="BQ54" s="716">
        <v>3.103271513182208E-2</v>
      </c>
      <c r="BR54" s="716">
        <v>4.0427629184977491E-2</v>
      </c>
      <c r="BS54" s="716">
        <v>5.2828381139767872E-2</v>
      </c>
      <c r="BT54" s="716">
        <v>6.7811547469434699E-2</v>
      </c>
      <c r="BW54" s="1166">
        <f>'2022'!R\Max</f>
        <v>0.9983476954672208</v>
      </c>
      <c r="BX54" s="1167">
        <f>'2023'!R\Max</f>
        <v>0.99834711217288585</v>
      </c>
      <c r="BY54" s="1167">
        <f>'2024'!R\Max</f>
        <v>0.99834652677753477</v>
      </c>
      <c r="BZ54" s="1167">
        <f>'2025'!R\Max</f>
        <v>0.99834597885415166</v>
      </c>
      <c r="CA54" s="1167">
        <f>'2026'!R\Max</f>
        <v>0.99834543126928632</v>
      </c>
      <c r="CB54" s="1167">
        <f>'2027'!R\Max</f>
        <v>0.99834461473728853</v>
      </c>
      <c r="CC54" s="1168">
        <f>'2028'!R\Max</f>
        <v>0.99834379342258339</v>
      </c>
      <c r="CD54" s="1167">
        <f>'2029'!R\Max</f>
        <v>0.99834271252397733</v>
      </c>
      <c r="CE54" s="1167">
        <f>'2030'!R\Max</f>
        <v>0.99834714142112724</v>
      </c>
      <c r="CF54" s="1169">
        <f>'2031'!R\Max</f>
        <v>0.99834655604027089</v>
      </c>
    </row>
    <row r="55" spans="1:84" s="6" customFormat="1" ht="11.25" x14ac:dyDescent="0.2">
      <c r="A55" s="11">
        <v>43141</v>
      </c>
      <c r="B55" s="375">
        <f>'2022'!Maxi_hp</f>
        <v>135.97033911419149</v>
      </c>
      <c r="C55" s="13">
        <f>'2022'!An_max</f>
        <v>2022</v>
      </c>
      <c r="D55" s="1045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69">
        <f t="shared" si="8"/>
        <v>43150</v>
      </c>
      <c r="I55" s="743">
        <f t="shared" si="9"/>
        <v>0.6428571428571429</v>
      </c>
      <c r="J55" s="736">
        <f t="shared" si="27"/>
        <v>146.56302405332349</v>
      </c>
      <c r="L55" s="746" t="s">
        <v>219</v>
      </c>
      <c r="M55" s="730">
        <f t="shared" ref="M55:AA55" si="58">(y.1ld+y.2ld+y.3ld-a.ld*(x.3ld*x.3ld+x.2ld*x.2ld+x.1ld*x.1ld)-b.ld*(x.3ld+x.2ld+x.1ld))/3</f>
        <v>384027882.90965873</v>
      </c>
      <c r="N55" s="730">
        <f t="shared" si="58"/>
        <v>216259261.35116979</v>
      </c>
      <c r="O55" s="730">
        <f t="shared" si="58"/>
        <v>-6499035.3160068681</v>
      </c>
      <c r="P55" s="730">
        <f t="shared" si="58"/>
        <v>-117193713.89510615</v>
      </c>
      <c r="Q55" s="730">
        <f t="shared" si="58"/>
        <v>-187722875.27203575</v>
      </c>
      <c r="R55" s="730">
        <f t="shared" si="58"/>
        <v>-119359765.96939756</v>
      </c>
      <c r="S55" s="730">
        <f t="shared" si="58"/>
        <v>-107431262.7295783</v>
      </c>
      <c r="T55" s="730">
        <f t="shared" si="58"/>
        <v>-119375216.68369354</v>
      </c>
      <c r="U55" s="730">
        <f t="shared" si="58"/>
        <v>-101436094.68113267</v>
      </c>
      <c r="V55" s="730">
        <f t="shared" si="58"/>
        <v>-119398422.75509314</v>
      </c>
      <c r="W55" s="730">
        <f t="shared" si="58"/>
        <v>-59446592.270406418</v>
      </c>
      <c r="X55" s="730">
        <f t="shared" si="58"/>
        <v>36600262.219385512</v>
      </c>
      <c r="Y55" s="730">
        <f t="shared" si="58"/>
        <v>288177221.83447903</v>
      </c>
      <c r="Z55" s="730">
        <f t="shared" si="58"/>
        <v>390561632.50262976</v>
      </c>
      <c r="AA55" s="730">
        <f t="shared" si="58"/>
        <v>219939920.37933853</v>
      </c>
      <c r="AB55" s="7"/>
      <c r="AC55" s="7"/>
      <c r="AD55" s="7"/>
      <c r="AE55" s="7"/>
      <c r="AF55" s="7"/>
      <c r="AH55" s="7"/>
      <c r="AI55" s="74"/>
      <c r="AO55" s="1038">
        <v>43141</v>
      </c>
      <c r="AP55" s="13">
        <f t="shared" si="11"/>
        <v>3</v>
      </c>
      <c r="AQ55" s="13">
        <f t="shared" si="12"/>
        <v>4</v>
      </c>
      <c r="AR55" s="169">
        <f t="shared" si="13"/>
        <v>43136</v>
      </c>
      <c r="AS55" s="743">
        <f t="shared" si="14"/>
        <v>0.17857142857142858</v>
      </c>
      <c r="AT55" s="759">
        <f t="shared" si="15"/>
        <v>146.17921705432235</v>
      </c>
      <c r="AU55" s="13">
        <f t="shared" si="16"/>
        <v>3</v>
      </c>
      <c r="AV55" s="13">
        <f t="shared" si="17"/>
        <v>2</v>
      </c>
      <c r="AW55" s="169">
        <f t="shared" si="18"/>
        <v>43150</v>
      </c>
      <c r="AX55" s="743">
        <f t="shared" si="19"/>
        <v>0.32142857142857145</v>
      </c>
      <c r="AY55" s="759">
        <f t="shared" si="20"/>
        <v>146.91586121661987</v>
      </c>
      <c r="AZ55" s="736">
        <f t="shared" si="26"/>
        <v>146.54753913547111</v>
      </c>
      <c r="BA55" s="633">
        <f t="shared" si="21"/>
        <v>0.92772607547127228</v>
      </c>
      <c r="BC55" s="11">
        <v>43141</v>
      </c>
      <c r="BD55" s="286">
        <f>[2]!FeuilCaduc*(1-Persistant)+Persistant</f>
        <v>0.60071692710570546</v>
      </c>
      <c r="BE55" s="287">
        <f>[2]!CroissVégét</f>
        <v>5.7838819630590035E-3</v>
      </c>
      <c r="BF55" s="806">
        <f>1+[2]!Salcycl*Ksac</f>
        <v>1.0000896158882131</v>
      </c>
      <c r="BH55" s="1036">
        <f t="shared" si="22"/>
        <v>1.6654689180554821E-2</v>
      </c>
      <c r="BI55" s="11">
        <v>44237</v>
      </c>
      <c r="BJ55" s="716">
        <v>3.2321443132898421E-3</v>
      </c>
      <c r="BK55" s="716">
        <v>4.6108060221997449E-3</v>
      </c>
      <c r="BL55" s="716">
        <v>6.0977858743320431E-3</v>
      </c>
      <c r="BM55" s="716">
        <v>7.7842276682921043E-3</v>
      </c>
      <c r="BN55" s="716">
        <v>1.17536249743621E-2</v>
      </c>
      <c r="BO55" s="717">
        <v>1.6706550140346065E-2</v>
      </c>
      <c r="BP55" s="716">
        <v>2.2887833384791379E-2</v>
      </c>
      <c r="BQ55" s="716">
        <v>2.8623341267470376E-2</v>
      </c>
      <c r="BR55" s="716">
        <v>3.7451181782382804E-2</v>
      </c>
      <c r="BS55" s="716">
        <v>4.9225237380420735E-2</v>
      </c>
      <c r="BT55" s="716">
        <v>6.3561748041382746E-2</v>
      </c>
      <c r="BW55" s="1166">
        <f>'2022'!R\Max</f>
        <v>0.92772607547127228</v>
      </c>
      <c r="BX55" s="1167">
        <f>'2023'!R\Max</f>
        <v>0.92770446536889328</v>
      </c>
      <c r="BY55" s="1167">
        <f>'2024'!R\Max</f>
        <v>0.9276827811911591</v>
      </c>
      <c r="BZ55" s="1167">
        <f>'2025'!R\Max</f>
        <v>0.92766262921817555</v>
      </c>
      <c r="CA55" s="1167">
        <f>'2026'!R\Max</f>
        <v>0.92764249336967708</v>
      </c>
      <c r="CB55" s="1167">
        <f>'2027'!R\Max</f>
        <v>0.92761165102048115</v>
      </c>
      <c r="CC55" s="1168">
        <f>'2028'!R\Max</f>
        <v>0.9275806260836772</v>
      </c>
      <c r="CD55" s="1167">
        <f>'2029'!R\Max</f>
        <v>0.92753937593766722</v>
      </c>
      <c r="CE55" s="1167">
        <f>'2030'!R\Max</f>
        <v>0.9277055488313648</v>
      </c>
      <c r="CF55" s="1169">
        <f>'2031'!R\Max</f>
        <v>0.92768386509348588</v>
      </c>
    </row>
    <row r="56" spans="1:84" s="6" customFormat="1" ht="11.25" x14ac:dyDescent="0.2">
      <c r="A56" s="11">
        <v>43142</v>
      </c>
      <c r="B56" s="375">
        <f>'2022'!Maxi_hp</f>
        <v>67.819064186061496</v>
      </c>
      <c r="C56" s="13">
        <f>'2022'!An_max</f>
        <v>2022</v>
      </c>
      <c r="D56" s="1045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69">
        <f t="shared" si="8"/>
        <v>43150</v>
      </c>
      <c r="I56" s="743">
        <f t="shared" si="9"/>
        <v>0.5714285714285714</v>
      </c>
      <c r="J56" s="736">
        <f t="shared" si="27"/>
        <v>148.13230466400938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38">
        <v>43142</v>
      </c>
      <c r="AP56" s="13">
        <f t="shared" si="11"/>
        <v>3</v>
      </c>
      <c r="AQ56" s="13">
        <f t="shared" si="12"/>
        <v>4</v>
      </c>
      <c r="AR56" s="169">
        <f t="shared" si="13"/>
        <v>43136</v>
      </c>
      <c r="AS56" s="743">
        <f t="shared" si="14"/>
        <v>0.21428571428571427</v>
      </c>
      <c r="AT56" s="759">
        <f t="shared" si="15"/>
        <v>147.6928333635841</v>
      </c>
      <c r="AU56" s="13">
        <f t="shared" si="16"/>
        <v>3</v>
      </c>
      <c r="AV56" s="13">
        <f t="shared" si="17"/>
        <v>2</v>
      </c>
      <c r="AW56" s="169">
        <f t="shared" si="18"/>
        <v>43150</v>
      </c>
      <c r="AX56" s="743">
        <f t="shared" si="19"/>
        <v>0.2857142857142857</v>
      </c>
      <c r="AY56" s="759">
        <f t="shared" si="20"/>
        <v>148.48896924098955</v>
      </c>
      <c r="AZ56" s="736">
        <f t="shared" si="26"/>
        <v>148.09090130228682</v>
      </c>
      <c r="BA56" s="633">
        <f t="shared" si="21"/>
        <v>0.45782764495487521</v>
      </c>
      <c r="BC56" s="11">
        <v>43142</v>
      </c>
      <c r="BD56" s="286">
        <f>[2]!FeuilCaduc*(1-Persistant)+Persistant</f>
        <v>0.60082975171083119</v>
      </c>
      <c r="BE56" s="287">
        <f>[2]!CroissVégét</f>
        <v>6.0826946947814143E-3</v>
      </c>
      <c r="BF56" s="806">
        <f>1+[2]!Salcycl*Ksac</f>
        <v>1.000103718963854</v>
      </c>
      <c r="BH56" s="1036">
        <f t="shared" si="22"/>
        <v>1.5436619222853812E-2</v>
      </c>
      <c r="BI56" s="11">
        <v>44238</v>
      </c>
      <c r="BJ56" s="716">
        <v>3.1246386835294205E-3</v>
      </c>
      <c r="BK56" s="716">
        <v>4.4027969377367533E-3</v>
      </c>
      <c r="BL56" s="716">
        <v>5.7665510257337944E-3</v>
      </c>
      <c r="BM56" s="716">
        <v>7.3185896639535288E-3</v>
      </c>
      <c r="BN56" s="716">
        <v>1.0946434285177378E-2</v>
      </c>
      <c r="BO56" s="717">
        <v>1.5484132434415876E-2</v>
      </c>
      <c r="BP56" s="716">
        <v>2.1131599207597353E-2</v>
      </c>
      <c r="BQ56" s="716">
        <v>2.6353964983259079E-2</v>
      </c>
      <c r="BR56" s="716">
        <v>3.461514758539664E-2</v>
      </c>
      <c r="BS56" s="716">
        <v>4.5745002068014518E-2</v>
      </c>
      <c r="BT56" s="716">
        <v>5.9397968258450243E-2</v>
      </c>
      <c r="BW56" s="1166">
        <f>'2022'!R\Max</f>
        <v>0.45782764495487521</v>
      </c>
      <c r="BX56" s="1167">
        <f>'2023'!R\Max</f>
        <v>0.4577553183051562</v>
      </c>
      <c r="BY56" s="1167">
        <f>'2024'!R\Max</f>
        <v>0.4576827731704432</v>
      </c>
      <c r="BZ56" s="1167">
        <f>'2025'!R\Max</f>
        <v>0.45761560160812809</v>
      </c>
      <c r="CA56" s="1167">
        <f>'2026'!R\Max</f>
        <v>0.45754850546704678</v>
      </c>
      <c r="CB56" s="1167">
        <f>'2027'!R\Max</f>
        <v>0.45744293564118998</v>
      </c>
      <c r="CC56" s="1168">
        <f>'2028'!R\Max</f>
        <v>0.45733677131612616</v>
      </c>
      <c r="CD56" s="1167">
        <f>'2029'!R\Max</f>
        <v>0.45719426702197069</v>
      </c>
      <c r="CE56" s="1167">
        <f>'2030'!R\Max</f>
        <v>0.45775894366163078</v>
      </c>
      <c r="CF56" s="1169">
        <f>'2031'!R\Max</f>
        <v>0.45768639886136153</v>
      </c>
    </row>
    <row r="57" spans="1:84" s="6" customFormat="1" ht="11.25" x14ac:dyDescent="0.2">
      <c r="A57" s="11">
        <v>43143</v>
      </c>
      <c r="B57" s="375">
        <f>'2022'!Maxi_hp</f>
        <v>113.58344330581436</v>
      </c>
      <c r="C57" s="13">
        <f>'2022'!An_max</f>
        <v>2022</v>
      </c>
      <c r="D57" s="1045" t="str">
        <f t="shared" si="7"/>
        <v/>
      </c>
      <c r="E57" s="13"/>
      <c r="F57" s="13">
        <f t="shared" si="23"/>
        <v>5</v>
      </c>
      <c r="G57" s="13">
        <f t="shared" si="24"/>
        <v>4</v>
      </c>
      <c r="H57" s="169">
        <f t="shared" si="8"/>
        <v>43150</v>
      </c>
      <c r="I57" s="743">
        <f t="shared" si="9"/>
        <v>0.5</v>
      </c>
      <c r="J57" s="736">
        <f t="shared" si="27"/>
        <v>149.70987500064075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38">
        <v>43143</v>
      </c>
      <c r="AP57" s="13">
        <f t="shared" si="11"/>
        <v>3</v>
      </c>
      <c r="AQ57" s="13">
        <f t="shared" si="12"/>
        <v>4</v>
      </c>
      <c r="AR57" s="169">
        <f t="shared" si="13"/>
        <v>43136</v>
      </c>
      <c r="AS57" s="743">
        <f t="shared" si="14"/>
        <v>0.25</v>
      </c>
      <c r="AT57" s="759">
        <f t="shared" si="15"/>
        <v>149.22458984293044</v>
      </c>
      <c r="AU57" s="13">
        <f t="shared" si="16"/>
        <v>3</v>
      </c>
      <c r="AV57" s="13">
        <f t="shared" si="17"/>
        <v>2</v>
      </c>
      <c r="AW57" s="169">
        <f t="shared" si="18"/>
        <v>43150</v>
      </c>
      <c r="AX57" s="743">
        <f t="shared" si="19"/>
        <v>0.25</v>
      </c>
      <c r="AY57" s="759">
        <f t="shared" si="20"/>
        <v>150.05802605412902</v>
      </c>
      <c r="AZ57" s="736">
        <f t="shared" si="26"/>
        <v>149.64130794852974</v>
      </c>
      <c r="BA57" s="633">
        <f t="shared" si="21"/>
        <v>0.75869038902963637</v>
      </c>
      <c r="BC57" s="11">
        <v>43143</v>
      </c>
      <c r="BD57" s="286">
        <f>[2]!FeuilCaduc*(1-Persistant)+Persistant</f>
        <v>0.60094704388681452</v>
      </c>
      <c r="BE57" s="287">
        <f>[2]!CroissVégét</f>
        <v>6.3938522678270975E-3</v>
      </c>
      <c r="BF57" s="806">
        <f>1+[2]!Salcycl*Ksac</f>
        <v>1.0001183804858518</v>
      </c>
      <c r="BH57" s="1036">
        <f t="shared" si="22"/>
        <v>1.4339505121411255E-2</v>
      </c>
      <c r="BI57" s="11">
        <v>44239</v>
      </c>
      <c r="BJ57" s="716">
        <v>3.034720509622852E-3</v>
      </c>
      <c r="BK57" s="716">
        <v>4.234045039363604E-3</v>
      </c>
      <c r="BL57" s="716">
        <v>5.5094280215705754E-3</v>
      </c>
      <c r="BM57" s="716">
        <v>6.9648070362418645E-3</v>
      </c>
      <c r="BN57" s="716">
        <v>1.0262550631508561E-2</v>
      </c>
      <c r="BO57" s="717">
        <v>1.4382645705573452E-2</v>
      </c>
      <c r="BP57" s="716">
        <v>1.9492296064988771E-2</v>
      </c>
      <c r="BQ57" s="716">
        <v>2.422457875961052E-2</v>
      </c>
      <c r="BR57" s="716">
        <v>3.191952667281385E-2</v>
      </c>
      <c r="BS57" s="716">
        <v>4.2387689759574326E-2</v>
      </c>
      <c r="BT57" s="716">
        <v>5.5320244066203894E-2</v>
      </c>
      <c r="BW57" s="1166">
        <f>'2022'!R\Max</f>
        <v>0.75869038902963637</v>
      </c>
      <c r="BX57" s="1167">
        <f>'2023'!R\Max</f>
        <v>0.75864261450068804</v>
      </c>
      <c r="BY57" s="1167">
        <f>'2024'!R\Max</f>
        <v>0.75859469350649111</v>
      </c>
      <c r="BZ57" s="1167">
        <f>'2025'!R\Max</f>
        <v>0.7585502498963439</v>
      </c>
      <c r="CA57" s="1167">
        <f>'2026'!R\Max</f>
        <v>0.75850584790661335</v>
      </c>
      <c r="CB57" s="1167">
        <f>'2027'!R\Max</f>
        <v>0.75843403138398469</v>
      </c>
      <c r="CC57" s="1168">
        <f>'2028'!R\Max</f>
        <v>0.75836178427334155</v>
      </c>
      <c r="CD57" s="1167">
        <f>'2029'!R\Max</f>
        <v>0.75826383680565501</v>
      </c>
      <c r="CE57" s="1167">
        <f>'2030'!R\Max</f>
        <v>0.75864500910929122</v>
      </c>
      <c r="CF57" s="1169">
        <f>'2031'!R\Max</f>
        <v>0.75859708869006259</v>
      </c>
    </row>
    <row r="58" spans="1:84" s="6" customFormat="1" ht="11.25" x14ac:dyDescent="0.2">
      <c r="A58" s="11">
        <v>43144</v>
      </c>
      <c r="B58" s="375">
        <f>'2022'!Maxi_hp</f>
        <v>138.58254094560056</v>
      </c>
      <c r="C58" s="13">
        <f>'2022'!An_max</f>
        <v>2022</v>
      </c>
      <c r="D58" s="1045" t="str">
        <f t="shared" si="7"/>
        <v/>
      </c>
      <c r="E58" s="13"/>
      <c r="F58" s="13">
        <f t="shared" si="23"/>
        <v>5</v>
      </c>
      <c r="G58" s="13">
        <f t="shared" si="24"/>
        <v>4</v>
      </c>
      <c r="H58" s="169">
        <f t="shared" si="8"/>
        <v>43150</v>
      </c>
      <c r="I58" s="743">
        <f t="shared" si="9"/>
        <v>0.42857142857142855</v>
      </c>
      <c r="J58" s="736">
        <f t="shared" si="27"/>
        <v>151.2924912537847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38">
        <v>43144</v>
      </c>
      <c r="AP58" s="13">
        <f t="shared" si="11"/>
        <v>3</v>
      </c>
      <c r="AQ58" s="13">
        <f t="shared" si="12"/>
        <v>4</v>
      </c>
      <c r="AR58" s="169">
        <f t="shared" si="13"/>
        <v>43136</v>
      </c>
      <c r="AS58" s="743">
        <f t="shared" si="14"/>
        <v>0.2857142857142857</v>
      </c>
      <c r="AT58" s="759">
        <f t="shared" si="15"/>
        <v>150.77245043707745</v>
      </c>
      <c r="AU58" s="13">
        <f t="shared" si="16"/>
        <v>3</v>
      </c>
      <c r="AV58" s="13">
        <f t="shared" si="17"/>
        <v>2</v>
      </c>
      <c r="AW58" s="169">
        <f t="shared" si="18"/>
        <v>43150</v>
      </c>
      <c r="AX58" s="743">
        <f t="shared" si="19"/>
        <v>0.21428571428571427</v>
      </c>
      <c r="AY58" s="759">
        <f t="shared" si="20"/>
        <v>151.62046629950802</v>
      </c>
      <c r="AZ58" s="736">
        <f t="shared" si="26"/>
        <v>151.19645836829272</v>
      </c>
      <c r="BA58" s="633">
        <f t="shared" si="21"/>
        <v>0.9159908717025228</v>
      </c>
      <c r="BC58" s="11">
        <v>43144</v>
      </c>
      <c r="BD58" s="286">
        <f>[2]!FeuilCaduc*(1-Persistant)+Persistant</f>
        <v>0.60106790488540773</v>
      </c>
      <c r="BE58" s="287">
        <f>[2]!CroissVégét</f>
        <v>6.7178564099054624E-3</v>
      </c>
      <c r="BF58" s="806">
        <f>1+[2]!Salcycl*Ksac</f>
        <v>1.000133488110676</v>
      </c>
      <c r="BH58" s="1036">
        <f t="shared" si="22"/>
        <v>1.3378268053667973E-2</v>
      </c>
      <c r="BI58" s="11">
        <v>44240</v>
      </c>
      <c r="BJ58" s="716">
        <v>2.9554043634699091E-3</v>
      </c>
      <c r="BK58" s="716">
        <v>4.0953539870169408E-3</v>
      </c>
      <c r="BL58" s="716">
        <v>5.3147853443889408E-3</v>
      </c>
      <c r="BM58" s="716">
        <v>6.7086708635806193E-3</v>
      </c>
      <c r="BN58" s="716">
        <v>9.699958729251815E-3</v>
      </c>
      <c r="BO58" s="717">
        <v>1.341719034563311E-2</v>
      </c>
      <c r="BP58" s="716">
        <v>1.8008179901641611E-2</v>
      </c>
      <c r="BQ58" s="716">
        <v>2.2289460424410972E-2</v>
      </c>
      <c r="BR58" s="716">
        <v>2.9439396966191439E-2</v>
      </c>
      <c r="BS58" s="716">
        <v>3.9254445464939176E-2</v>
      </c>
      <c r="BT58" s="716">
        <v>5.1459415132589677E-2</v>
      </c>
      <c r="BW58" s="1166">
        <f>'2022'!R\Max</f>
        <v>0.9159908717025228</v>
      </c>
      <c r="BX58" s="1167">
        <f>'2023'!R\Max</f>
        <v>0.91597301223546779</v>
      </c>
      <c r="BY58" s="1167">
        <f>'2024'!R\Max</f>
        <v>0.91595509916255446</v>
      </c>
      <c r="BZ58" s="1167">
        <f>'2025'!R\Max</f>
        <v>0.91593837268432132</v>
      </c>
      <c r="CA58" s="1167">
        <f>'2026'!R\Max</f>
        <v>0.91592165892784849</v>
      </c>
      <c r="CB58" s="1167">
        <f>'2027'!R\Max</f>
        <v>0.91589389560218804</v>
      </c>
      <c r="CC58" s="1168">
        <f>'2028'!R\Max</f>
        <v>0.91586596047913182</v>
      </c>
      <c r="CD58" s="1167">
        <f>'2029'!R\Max</f>
        <v>0.91582774054735716</v>
      </c>
      <c r="CE58" s="1167">
        <f>'2030'!R\Max</f>
        <v>0.91597390732850414</v>
      </c>
      <c r="CF58" s="1169">
        <f>'2031'!R\Max</f>
        <v>0.91595599451227072</v>
      </c>
    </row>
    <row r="59" spans="1:84" s="6" customFormat="1" ht="11.25" x14ac:dyDescent="0.2">
      <c r="A59" s="11">
        <v>43145</v>
      </c>
      <c r="B59" s="375">
        <f>'2022'!Maxi_hp</f>
        <v>79.019753092234637</v>
      </c>
      <c r="C59" s="13">
        <f>'2022'!An_max</f>
        <v>2022</v>
      </c>
      <c r="D59" s="1045" t="str">
        <f t="shared" si="7"/>
        <v/>
      </c>
      <c r="E59" s="13"/>
      <c r="F59" s="13">
        <f t="shared" si="23"/>
        <v>5</v>
      </c>
      <c r="G59" s="13">
        <f t="shared" si="24"/>
        <v>4</v>
      </c>
      <c r="H59" s="169">
        <f t="shared" si="8"/>
        <v>43150</v>
      </c>
      <c r="I59" s="743">
        <f t="shared" si="9"/>
        <v>0.35714285714285715</v>
      </c>
      <c r="J59" s="736">
        <f t="shared" si="27"/>
        <v>152.87690962180494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38">
        <v>43145</v>
      </c>
      <c r="AP59" s="13">
        <f t="shared" si="11"/>
        <v>3</v>
      </c>
      <c r="AQ59" s="13">
        <f t="shared" si="12"/>
        <v>4</v>
      </c>
      <c r="AR59" s="169">
        <f t="shared" si="13"/>
        <v>43136</v>
      </c>
      <c r="AS59" s="743">
        <f t="shared" si="14"/>
        <v>0.32142857142857145</v>
      </c>
      <c r="AT59" s="759">
        <f t="shared" si="15"/>
        <v>152.33437908818681</v>
      </c>
      <c r="AU59" s="13">
        <f t="shared" si="16"/>
        <v>3</v>
      </c>
      <c r="AV59" s="13">
        <f t="shared" si="17"/>
        <v>2</v>
      </c>
      <c r="AW59" s="169">
        <f t="shared" si="18"/>
        <v>43150</v>
      </c>
      <c r="AX59" s="743">
        <f t="shared" si="19"/>
        <v>0.17857142857142858</v>
      </c>
      <c r="AY59" s="759">
        <f t="shared" si="20"/>
        <v>153.17372462340032</v>
      </c>
      <c r="AZ59" s="736">
        <f t="shared" si="26"/>
        <v>152.75405185579356</v>
      </c>
      <c r="BA59" s="633">
        <f t="shared" si="21"/>
        <v>0.5168848146375925</v>
      </c>
      <c r="BC59" s="11">
        <v>43145</v>
      </c>
      <c r="BD59" s="286">
        <f>[2]!FeuilCaduc*(1-Persistant)+Persistant</f>
        <v>0.60119144852134865</v>
      </c>
      <c r="BE59" s="287">
        <f>[2]!CroissVégét</f>
        <v>7.0552285378688686E-3</v>
      </c>
      <c r="BF59" s="806">
        <f>1+[2]!Salcycl*Ksac</f>
        <v>1.0001489310651686</v>
      </c>
      <c r="BH59" s="1036">
        <f t="shared" si="22"/>
        <v>1.2500586244881932E-2</v>
      </c>
      <c r="BI59" s="11">
        <v>44241</v>
      </c>
      <c r="BJ59" s="716">
        <v>2.8702686871877911E-3</v>
      </c>
      <c r="BK59" s="716">
        <v>3.9602064299342271E-3</v>
      </c>
      <c r="BL59" s="716">
        <v>5.1327357540906417E-3</v>
      </c>
      <c r="BM59" s="716">
        <v>6.475001072524353E-3</v>
      </c>
      <c r="BN59" s="716">
        <v>9.1860004831649886E-3</v>
      </c>
      <c r="BO59" s="717">
        <v>1.2535659770075876E-2</v>
      </c>
      <c r="BP59" s="716">
        <v>1.6653995468382893E-2</v>
      </c>
      <c r="BQ59" s="716">
        <v>2.0528302686417591E-2</v>
      </c>
      <c r="BR59" s="716">
        <v>2.7161571446446289E-2</v>
      </c>
      <c r="BS59" s="716">
        <v>3.6340733595390279E-2</v>
      </c>
      <c r="BT59" s="716">
        <v>4.7820777667070102E-2</v>
      </c>
      <c r="BW59" s="1166">
        <f>'2022'!R\Max</f>
        <v>0.5168848146375925</v>
      </c>
      <c r="BX59" s="1167">
        <f>'2023'!R\Max</f>
        <v>0.51683335307266032</v>
      </c>
      <c r="BY59" s="1167">
        <f>'2024'!R\Max</f>
        <v>0.51678175316232799</v>
      </c>
      <c r="BZ59" s="1167">
        <f>'2025'!R\Max</f>
        <v>0.51673316407478154</v>
      </c>
      <c r="CA59" s="1167">
        <f>'2026'!R\Max</f>
        <v>0.51668461335396898</v>
      </c>
      <c r="CB59" s="1167">
        <f>'2027'!R\Max</f>
        <v>0.516601959528601</v>
      </c>
      <c r="CC59" s="1168">
        <f>'2028'!R\Max</f>
        <v>0.51651881355460472</v>
      </c>
      <c r="CD59" s="1167">
        <f>'2029'!R\Max</f>
        <v>0.51640417908004088</v>
      </c>
      <c r="CE59" s="1167">
        <f>'2030'!R\Max</f>
        <v>0.51683593172010722</v>
      </c>
      <c r="CF59" s="1169">
        <f>'2031'!R\Max</f>
        <v>0.51678433204089935</v>
      </c>
    </row>
    <row r="60" spans="1:84" s="6" customFormat="1" ht="11.25" x14ac:dyDescent="0.2">
      <c r="A60" s="11">
        <v>43146</v>
      </c>
      <c r="B60" s="375">
        <f>'2022'!Maxi_hp</f>
        <v>83.436368101478877</v>
      </c>
      <c r="C60" s="13">
        <f>'2022'!An_max</f>
        <v>2022</v>
      </c>
      <c r="D60" s="1045" t="str">
        <f t="shared" si="7"/>
        <v/>
      </c>
      <c r="E60" s="13"/>
      <c r="F60" s="13">
        <f t="shared" si="23"/>
        <v>5</v>
      </c>
      <c r="G60" s="13">
        <f t="shared" si="24"/>
        <v>4</v>
      </c>
      <c r="H60" s="169">
        <f t="shared" si="8"/>
        <v>43150</v>
      </c>
      <c r="I60" s="743">
        <f t="shared" si="9"/>
        <v>0.2857142857142857</v>
      </c>
      <c r="J60" s="736">
        <f t="shared" si="27"/>
        <v>154.45988629800931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38">
        <v>43146</v>
      </c>
      <c r="AP60" s="13">
        <f t="shared" si="11"/>
        <v>3</v>
      </c>
      <c r="AQ60" s="13">
        <f t="shared" si="12"/>
        <v>4</v>
      </c>
      <c r="AR60" s="169">
        <f t="shared" si="13"/>
        <v>43136</v>
      </c>
      <c r="AS60" s="743">
        <f t="shared" si="14"/>
        <v>0.35714285714285715</v>
      </c>
      <c r="AT60" s="759">
        <f t="shared" si="15"/>
        <v>153.9083397411874</v>
      </c>
      <c r="AU60" s="13">
        <f t="shared" si="16"/>
        <v>3</v>
      </c>
      <c r="AV60" s="13">
        <f t="shared" si="17"/>
        <v>2</v>
      </c>
      <c r="AW60" s="169">
        <f t="shared" si="18"/>
        <v>43150</v>
      </c>
      <c r="AX60" s="743">
        <f t="shared" si="19"/>
        <v>0.14285714285714285</v>
      </c>
      <c r="AY60" s="759">
        <f t="shared" si="20"/>
        <v>154.71523566985769</v>
      </c>
      <c r="AZ60" s="736">
        <f t="shared" si="26"/>
        <v>154.31178770552253</v>
      </c>
      <c r="BA60" s="633">
        <f t="shared" si="21"/>
        <v>0.54018146783107024</v>
      </c>
      <c r="BC60" s="11">
        <v>43146</v>
      </c>
      <c r="BD60" s="286">
        <f>[2]!FeuilCaduc*(1-Persistant)+Persistant</f>
        <v>0.60131681367960876</v>
      </c>
      <c r="BE60" s="287">
        <f>[2]!CroissVégét</f>
        <v>7.4065104705297478E-3</v>
      </c>
      <c r="BF60" s="806">
        <f>1+[2]!Salcycl*Ksac</f>
        <v>1.000164601709951</v>
      </c>
      <c r="BH60" s="1036">
        <f t="shared" si="22"/>
        <v>1.1706446121139902E-2</v>
      </c>
      <c r="BI60" s="11">
        <v>44242</v>
      </c>
      <c r="BJ60" s="716">
        <v>2.7793167235724706E-3</v>
      </c>
      <c r="BK60" s="716">
        <v>3.8286043054262184E-3</v>
      </c>
      <c r="BL60" s="716">
        <v>4.9632800677588962E-3</v>
      </c>
      <c r="BM60" s="716">
        <v>6.2637973192912364E-3</v>
      </c>
      <c r="BN60" s="716">
        <v>8.7206699695213056E-3</v>
      </c>
      <c r="BO60" s="717">
        <v>1.1738040324037529E-2</v>
      </c>
      <c r="BP60" s="716">
        <v>1.5429718843394656E-2</v>
      </c>
      <c r="BQ60" s="716">
        <v>1.8941072237284137E-2</v>
      </c>
      <c r="BR60" s="716">
        <v>2.5086012261706384E-2</v>
      </c>
      <c r="BS60" s="716">
        <v>3.3646515343783767E-2</v>
      </c>
      <c r="BT60" s="716">
        <v>4.4404296274249695E-2</v>
      </c>
      <c r="BW60" s="1166">
        <f>'2022'!R\Max</f>
        <v>0.54018146783107024</v>
      </c>
      <c r="BX60" s="1167">
        <f>'2023'!R\Max</f>
        <v>0.54013603861251025</v>
      </c>
      <c r="BY60" s="1167">
        <f>'2024'!R\Max</f>
        <v>0.54009049279644816</v>
      </c>
      <c r="BZ60" s="1167">
        <f>'2025'!R\Max</f>
        <v>0.54004713788930425</v>
      </c>
      <c r="CA60" s="1167">
        <f>'2026'!R\Max</f>
        <v>0.54000380946631432</v>
      </c>
      <c r="CB60" s="1167">
        <f>'2027'!R\Max</f>
        <v>0.53992841506052591</v>
      </c>
      <c r="CC60" s="1168">
        <f>'2028'!R\Max</f>
        <v>0.53985256964473594</v>
      </c>
      <c r="CD60" s="1167">
        <f>'2029'!R\Max</f>
        <v>0.53974729469539939</v>
      </c>
      <c r="CE60" s="1167">
        <f>'2030'!R\Max</f>
        <v>0.54013831471526019</v>
      </c>
      <c r="CF60" s="1169">
        <f>'2031'!R\Max</f>
        <v>0.54009276909967963</v>
      </c>
    </row>
    <row r="61" spans="1:84" s="6" customFormat="1" ht="11.25" x14ac:dyDescent="0.2">
      <c r="A61" s="11">
        <v>43147</v>
      </c>
      <c r="B61" s="375">
        <f>'2022'!Maxi_hp</f>
        <v>32.227533516382081</v>
      </c>
      <c r="C61" s="13">
        <f>'2022'!An_max</f>
        <v>2022</v>
      </c>
      <c r="D61" s="1045" t="str">
        <f t="shared" si="7"/>
        <v/>
      </c>
      <c r="E61" s="13"/>
      <c r="F61" s="13">
        <f t="shared" si="23"/>
        <v>5</v>
      </c>
      <c r="G61" s="13">
        <f t="shared" si="24"/>
        <v>4</v>
      </c>
      <c r="H61" s="169">
        <f t="shared" si="8"/>
        <v>43150</v>
      </c>
      <c r="I61" s="743">
        <f t="shared" si="9"/>
        <v>0.21428571428571427</v>
      </c>
      <c r="J61" s="736">
        <f t="shared" si="27"/>
        <v>156.03817747937779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38">
        <v>43147</v>
      </c>
      <c r="AP61" s="13">
        <f t="shared" si="11"/>
        <v>3</v>
      </c>
      <c r="AQ61" s="13">
        <f t="shared" si="12"/>
        <v>4</v>
      </c>
      <c r="AR61" s="169">
        <f t="shared" si="13"/>
        <v>43136</v>
      </c>
      <c r="AS61" s="743">
        <f t="shared" si="14"/>
        <v>0.39285714285714285</v>
      </c>
      <c r="AT61" s="759">
        <f t="shared" si="15"/>
        <v>155.49229633856035</v>
      </c>
      <c r="AU61" s="13">
        <f t="shared" si="16"/>
        <v>3</v>
      </c>
      <c r="AV61" s="13">
        <f t="shared" si="17"/>
        <v>2</v>
      </c>
      <c r="AW61" s="169">
        <f t="shared" si="18"/>
        <v>43150</v>
      </c>
      <c r="AX61" s="743">
        <f t="shared" si="19"/>
        <v>0.10714285714285714</v>
      </c>
      <c r="AY61" s="759">
        <f t="shared" si="20"/>
        <v>156.24243408590888</v>
      </c>
      <c r="AZ61" s="736">
        <f t="shared" si="26"/>
        <v>155.86736521223463</v>
      </c>
      <c r="BA61" s="633">
        <f t="shared" si="21"/>
        <v>0.20653620823430416</v>
      </c>
      <c r="BC61" s="11">
        <v>43147</v>
      </c>
      <c r="BD61" s="286">
        <f>[2]!FeuilCaduc*(1-Persistant)+Persistant</f>
        <v>0.60144317687837145</v>
      </c>
      <c r="BE61" s="287">
        <f>[2]!CroissVégét</f>
        <v>7.7722651621059055E-3</v>
      </c>
      <c r="BF61" s="806">
        <f>1+[2]!Salcycl*Ksac</f>
        <v>1.0001803971097964</v>
      </c>
      <c r="BH61" s="1036">
        <f t="shared" si="22"/>
        <v>1.0995832823745952E-2</v>
      </c>
      <c r="BI61" s="11">
        <v>44243</v>
      </c>
      <c r="BJ61" s="716">
        <v>2.6825511896193832E-3</v>
      </c>
      <c r="BK61" s="716">
        <v>3.7005490845489395E-3</v>
      </c>
      <c r="BL61" s="716">
        <v>4.806418699842622E-3</v>
      </c>
      <c r="BM61" s="716">
        <v>6.0750589249966604E-3</v>
      </c>
      <c r="BN61" s="716">
        <v>8.3039605040765123E-3</v>
      </c>
      <c r="BO61" s="717">
        <v>1.1024317062323596E-2</v>
      </c>
      <c r="BP61" s="716">
        <v>1.4335324151290589E-2</v>
      </c>
      <c r="BQ61" s="716">
        <v>1.7527733371382411E-2</v>
      </c>
      <c r="BR61" s="716">
        <v>2.3212677805400636E-2</v>
      </c>
      <c r="BS61" s="716">
        <v>3.1171745968771539E-2</v>
      </c>
      <c r="BT61" s="716">
        <v>4.1209926650401789E-2</v>
      </c>
      <c r="BW61" s="1166">
        <f>'2022'!R\Max</f>
        <v>0.20653620823430416</v>
      </c>
      <c r="BX61" s="1167">
        <f>'2023'!R\Max</f>
        <v>0.20651272541283647</v>
      </c>
      <c r="BY61" s="1167">
        <f>'2024'!R\Max</f>
        <v>0.20648918729400495</v>
      </c>
      <c r="BZ61" s="1167">
        <f>'2025'!R\Max</f>
        <v>0.20646648118996555</v>
      </c>
      <c r="CA61" s="1167">
        <f>'2026'!R\Max</f>
        <v>0.206443786189453</v>
      </c>
      <c r="CB61" s="1167">
        <f>'2027'!R\Max</f>
        <v>0.20640360499348098</v>
      </c>
      <c r="CC61" s="1168">
        <f>'2028'!R\Max</f>
        <v>0.20636319043258058</v>
      </c>
      <c r="CD61" s="1167">
        <f>'2029'!R\Max</f>
        <v>0.20630682193076494</v>
      </c>
      <c r="CE61" s="1167">
        <f>'2030'!R\Max</f>
        <v>0.20651390175918358</v>
      </c>
      <c r="CF61" s="1169">
        <f>'2031'!R\Max</f>
        <v>0.206490363640352</v>
      </c>
    </row>
    <row r="62" spans="1:84" s="6" customFormat="1" ht="11.25" x14ac:dyDescent="0.2">
      <c r="A62" s="11">
        <v>43148</v>
      </c>
      <c r="B62" s="375">
        <f>'2022'!Maxi_hp</f>
        <v>47.480172549184005</v>
      </c>
      <c r="C62" s="13">
        <f>'2022'!An_max</f>
        <v>2022</v>
      </c>
      <c r="D62" s="1045" t="str">
        <f t="shared" si="7"/>
        <v/>
      </c>
      <c r="E62" s="13"/>
      <c r="F62" s="13">
        <f t="shared" si="23"/>
        <v>5</v>
      </c>
      <c r="G62" s="13">
        <f t="shared" si="24"/>
        <v>4</v>
      </c>
      <c r="H62" s="169">
        <f t="shared" si="8"/>
        <v>43150</v>
      </c>
      <c r="I62" s="743">
        <f t="shared" si="9"/>
        <v>0.14285714285714285</v>
      </c>
      <c r="J62" s="736">
        <f t="shared" si="27"/>
        <v>157.60853935948441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38">
        <v>43148</v>
      </c>
      <c r="AP62" s="13">
        <f t="shared" si="11"/>
        <v>3</v>
      </c>
      <c r="AQ62" s="13">
        <f t="shared" si="12"/>
        <v>4</v>
      </c>
      <c r="AR62" s="169">
        <f t="shared" si="13"/>
        <v>43136</v>
      </c>
      <c r="AS62" s="743">
        <f t="shared" si="14"/>
        <v>0.42857142857142855</v>
      </c>
      <c r="AT62" s="759">
        <f t="shared" si="15"/>
        <v>157.08421282874684</v>
      </c>
      <c r="AU62" s="13">
        <f t="shared" si="16"/>
        <v>3</v>
      </c>
      <c r="AV62" s="13">
        <f t="shared" si="17"/>
        <v>2</v>
      </c>
      <c r="AW62" s="169">
        <f t="shared" si="18"/>
        <v>43150</v>
      </c>
      <c r="AX62" s="743">
        <f t="shared" si="19"/>
        <v>7.1428571428571425E-2</v>
      </c>
      <c r="AY62" s="759">
        <f t="shared" si="20"/>
        <v>157.75275451644723</v>
      </c>
      <c r="AZ62" s="736">
        <f t="shared" si="26"/>
        <v>157.41848367259703</v>
      </c>
      <c r="BA62" s="633">
        <f t="shared" si="21"/>
        <v>0.30125380732631468</v>
      </c>
      <c r="BC62" s="11">
        <v>43148</v>
      </c>
      <c r="BD62" s="286">
        <f>[2]!FeuilCaduc*(1-Persistant)+Persistant</f>
        <v>0.6015697647555619</v>
      </c>
      <c r="BE62" s="287">
        <f>[2]!CroissVégét</f>
        <v>8.1530774564185747E-3</v>
      </c>
      <c r="BF62" s="806">
        <f>1+[2]!Salcycl*Ksac</f>
        <v>1.0001962205944452</v>
      </c>
      <c r="BH62" s="1036">
        <f t="shared" si="22"/>
        <v>1.0368731086316951E-2</v>
      </c>
      <c r="BI62" s="11">
        <v>44244</v>
      </c>
      <c r="BJ62" s="716">
        <v>2.5799742151050944E-3</v>
      </c>
      <c r="BK62" s="716">
        <v>3.5760418090524403E-3</v>
      </c>
      <c r="BL62" s="716">
        <v>4.6621517941780252E-3</v>
      </c>
      <c r="BM62" s="716">
        <v>5.9087851113987372E-3</v>
      </c>
      <c r="BN62" s="716">
        <v>7.9358651525246477E-3</v>
      </c>
      <c r="BO62" s="717">
        <v>1.0394474630384476E-2</v>
      </c>
      <c r="BP62" s="716">
        <v>1.3370784927132354E-2</v>
      </c>
      <c r="BQ62" s="716">
        <v>1.6288249812161287E-2</v>
      </c>
      <c r="BR62" s="716">
        <v>2.154152483974725E-2</v>
      </c>
      <c r="BS62" s="716">
        <v>2.8916377098261076E-2</v>
      </c>
      <c r="BT62" s="716">
        <v>3.823761791346908E-2</v>
      </c>
      <c r="BW62" s="1166">
        <f>'2022'!R\Max</f>
        <v>0.30125380732631468</v>
      </c>
      <c r="BX62" s="1167">
        <f>'2023'!R\Max</f>
        <v>0.301223368848756</v>
      </c>
      <c r="BY62" s="1167">
        <f>'2024'!R\Max</f>
        <v>0.30119286250082106</v>
      </c>
      <c r="BZ62" s="1167">
        <f>'2025'!R\Max</f>
        <v>0.30116295157758749</v>
      </c>
      <c r="CA62" s="1167">
        <f>'2026'!R\Max</f>
        <v>0.30113304835724264</v>
      </c>
      <c r="CB62" s="1167">
        <f>'2027'!R\Max</f>
        <v>0.30107950988161625</v>
      </c>
      <c r="CC62" s="1168">
        <f>'2028'!R\Max</f>
        <v>0.30102566518238172</v>
      </c>
      <c r="CD62" s="1167">
        <f>'2029'!R\Max</f>
        <v>0.30095035292519767</v>
      </c>
      <c r="CE62" s="1167">
        <f>'2030'!R\Max</f>
        <v>0.30122489344060482</v>
      </c>
      <c r="CF62" s="1169">
        <f>'2031'!R\Max</f>
        <v>0.30119438709322405</v>
      </c>
    </row>
    <row r="63" spans="1:84" s="6" customFormat="1" ht="11.25" x14ac:dyDescent="0.2">
      <c r="A63" s="11">
        <v>43149</v>
      </c>
      <c r="B63" s="375">
        <f>'2022'!Maxi_hp</f>
        <v>134.99858380946762</v>
      </c>
      <c r="C63" s="13">
        <f>'2022'!An_max</f>
        <v>2022</v>
      </c>
      <c r="D63" s="1045" t="str">
        <f t="shared" si="7"/>
        <v/>
      </c>
      <c r="E63" s="13"/>
      <c r="F63" s="13">
        <f t="shared" si="23"/>
        <v>5</v>
      </c>
      <c r="G63" s="13">
        <f t="shared" si="24"/>
        <v>4</v>
      </c>
      <c r="H63" s="169">
        <f t="shared" si="8"/>
        <v>43150</v>
      </c>
      <c r="I63" s="743">
        <f t="shared" si="9"/>
        <v>7.1428571428571425E-2</v>
      </c>
      <c r="J63" s="736">
        <f t="shared" si="27"/>
        <v>159.16772813514939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38">
        <v>43149</v>
      </c>
      <c r="AP63" s="13">
        <f t="shared" si="11"/>
        <v>3</v>
      </c>
      <c r="AQ63" s="13">
        <f t="shared" si="12"/>
        <v>4</v>
      </c>
      <c r="AR63" s="169">
        <f t="shared" si="13"/>
        <v>43136</v>
      </c>
      <c r="AS63" s="743">
        <f t="shared" si="14"/>
        <v>0.4642857142857143</v>
      </c>
      <c r="AT63" s="759">
        <f t="shared" si="15"/>
        <v>158.68205315119454</v>
      </c>
      <c r="AU63" s="13">
        <f t="shared" si="16"/>
        <v>3</v>
      </c>
      <c r="AV63" s="13">
        <f t="shared" si="17"/>
        <v>2</v>
      </c>
      <c r="AW63" s="169">
        <f t="shared" si="18"/>
        <v>43150</v>
      </c>
      <c r="AX63" s="743">
        <f t="shared" si="19"/>
        <v>3.5714285714285712E-2</v>
      </c>
      <c r="AY63" s="759">
        <f t="shared" si="20"/>
        <v>159.24363160576075</v>
      </c>
      <c r="AZ63" s="736">
        <f t="shared" si="26"/>
        <v>158.96284237847766</v>
      </c>
      <c r="BA63" s="633">
        <f t="shared" si="21"/>
        <v>0.848152985477309</v>
      </c>
      <c r="BC63" s="11">
        <v>43149</v>
      </c>
      <c r="BD63" s="286">
        <f>[2]!FeuilCaduc*(1-Persistant)+Persistant</f>
        <v>0.60169586635044547</v>
      </c>
      <c r="BE63" s="287">
        <f>[2]!CroissVégét</f>
        <v>8.5495548619151183E-3</v>
      </c>
      <c r="BF63" s="806">
        <f>1+[2]!Salcycl*Ksac</f>
        <v>1.0002119832938057</v>
      </c>
      <c r="BH63" s="1036">
        <f t="shared" si="22"/>
        <v>9.8251261117460985E-3</v>
      </c>
      <c r="BI63" s="11">
        <v>44245</v>
      </c>
      <c r="BJ63" s="716">
        <v>2.4715872811380828E-3</v>
      </c>
      <c r="BK63" s="716">
        <v>3.4550831282869564E-3</v>
      </c>
      <c r="BL63" s="716">
        <v>4.5304793559549248E-3</v>
      </c>
      <c r="BM63" s="716">
        <v>5.7649752365740671E-3</v>
      </c>
      <c r="BN63" s="716">
        <v>7.6163772408560232E-3</v>
      </c>
      <c r="BO63" s="717">
        <v>9.8484981451582403E-3</v>
      </c>
      <c r="BP63" s="716">
        <v>1.253607548027119E-2</v>
      </c>
      <c r="BQ63" s="716">
        <v>1.5222586538290847E-2</v>
      </c>
      <c r="BR63" s="716">
        <v>2.0072510618957651E-2</v>
      </c>
      <c r="BS63" s="716">
        <v>2.6880359032494278E-2</v>
      </c>
      <c r="BT63" s="716">
        <v>3.5487314932562151E-2</v>
      </c>
      <c r="BW63" s="1166">
        <f>'2022'!R\Max</f>
        <v>0.848152985477309</v>
      </c>
      <c r="BX63" s="1167">
        <f>'2023'!R\Max</f>
        <v>0.84813632702147068</v>
      </c>
      <c r="BY63" s="1167">
        <f>'2024'!R\Max</f>
        <v>0.84811963113877176</v>
      </c>
      <c r="BZ63" s="1167">
        <f>'2025'!R\Max</f>
        <v>0.8481029394265035</v>
      </c>
      <c r="CA63" s="1167">
        <f>'2026'!R\Max</f>
        <v>0.84808624542485389</v>
      </c>
      <c r="CB63" s="1167">
        <f>'2027'!R\Max</f>
        <v>0.84805626860457362</v>
      </c>
      <c r="CC63" s="1168">
        <f>'2028'!R\Max</f>
        <v>0.84802611743948864</v>
      </c>
      <c r="CD63" s="1167">
        <f>'2029'!R\Max</f>
        <v>0.84798393205614575</v>
      </c>
      <c r="CE63" s="1167">
        <f>'2030'!R\Max</f>
        <v>0.84813716135643114</v>
      </c>
      <c r="CF63" s="1169">
        <f>'2031'!R\Max</f>
        <v>0.84812046559230514</v>
      </c>
    </row>
    <row r="64" spans="1:84" s="6" customFormat="1" ht="11.25" x14ac:dyDescent="0.2">
      <c r="A64" s="11">
        <v>43150</v>
      </c>
      <c r="B64" s="375">
        <f>'2022'!Maxi_hp</f>
        <v>76.949920298124354</v>
      </c>
      <c r="C64" s="13">
        <f>'2022'!An_max</f>
        <v>2022</v>
      </c>
      <c r="D64" s="1045" t="str">
        <f t="shared" si="7"/>
        <v/>
      </c>
      <c r="E64" s="1040">
        <f>Q$13/10</f>
        <v>160.71250000000001</v>
      </c>
      <c r="F64" s="13">
        <f t="shared" si="23"/>
        <v>5</v>
      </c>
      <c r="G64" s="13">
        <f t="shared" si="24"/>
        <v>6</v>
      </c>
      <c r="H64" s="169">
        <f t="shared" si="8"/>
        <v>43150</v>
      </c>
      <c r="I64" s="743">
        <f t="shared" si="9"/>
        <v>0</v>
      </c>
      <c r="J64" s="736">
        <f t="shared" si="27"/>
        <v>160.71250000037253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38">
        <v>43150</v>
      </c>
      <c r="AP64" s="13">
        <f t="shared" si="11"/>
        <v>3</v>
      </c>
      <c r="AQ64" s="13">
        <f t="shared" si="12"/>
        <v>4</v>
      </c>
      <c r="AR64" s="169">
        <f t="shared" si="13"/>
        <v>43136</v>
      </c>
      <c r="AS64" s="743">
        <f t="shared" si="14"/>
        <v>0.5</v>
      </c>
      <c r="AT64" s="759">
        <f t="shared" si="15"/>
        <v>160.28378125056625</v>
      </c>
      <c r="AU64" s="13">
        <f t="shared" si="16"/>
        <v>3</v>
      </c>
      <c r="AV64" s="13">
        <f t="shared" si="17"/>
        <v>4</v>
      </c>
      <c r="AW64" s="169">
        <f t="shared" si="18"/>
        <v>43150</v>
      </c>
      <c r="AX64" s="743">
        <f t="shared" si="19"/>
        <v>0</v>
      </c>
      <c r="AY64" s="759">
        <f t="shared" si="20"/>
        <v>160.71250000018625</v>
      </c>
      <c r="AZ64" s="736">
        <f t="shared" si="26"/>
        <v>160.49814062537627</v>
      </c>
      <c r="BA64" s="633">
        <f t="shared" si="21"/>
        <v>0.47880482412970982</v>
      </c>
      <c r="BC64" s="11">
        <v>43150</v>
      </c>
      <c r="BD64" s="286">
        <f>[2]!FeuilCaduc*(1-Persistant)+Persistant</f>
        <v>0.60182084505675992</v>
      </c>
      <c r="BE64" s="287">
        <f>[2]!CroissVégét</f>
        <v>8.9623283475330478E-3</v>
      </c>
      <c r="BF64" s="806">
        <f>1+[2]!Salcycl*Ksac</f>
        <v>1.0002276056320949</v>
      </c>
      <c r="BH64" s="1036">
        <f t="shared" si="22"/>
        <v>9.3650044492547269E-3</v>
      </c>
      <c r="BI64" s="11">
        <v>44246</v>
      </c>
      <c r="BJ64" s="716">
        <v>2.3573911587304618E-3</v>
      </c>
      <c r="BK64" s="716">
        <v>3.3376733361379814E-3</v>
      </c>
      <c r="BL64" s="716">
        <v>4.4114013837206513E-3</v>
      </c>
      <c r="BM64" s="716">
        <v>5.6436290306409584E-3</v>
      </c>
      <c r="BN64" s="716">
        <v>7.3454908657810914E-3</v>
      </c>
      <c r="BO64" s="717">
        <v>9.3863740760019264E-3</v>
      </c>
      <c r="BP64" s="716">
        <v>1.1831172258305718E-2</v>
      </c>
      <c r="BQ64" s="716">
        <v>1.4330711609949179E-2</v>
      </c>
      <c r="BR64" s="716">
        <v>1.8805595012629173E-2</v>
      </c>
      <c r="BS64" s="716">
        <v>2.5063643047379233E-2</v>
      </c>
      <c r="BT64" s="716">
        <v>3.2958960657791664E-2</v>
      </c>
      <c r="BW64" s="1166">
        <f>'2022'!R\Max</f>
        <v>0.47880482412970982</v>
      </c>
      <c r="BX64" s="1167">
        <f>'2023'!R\Max</f>
        <v>0.4787757356071487</v>
      </c>
      <c r="BY64" s="1167">
        <f>'2024'!R\Max</f>
        <v>0.47874658818412569</v>
      </c>
      <c r="BZ64" s="1167">
        <f>'2025'!R\Max</f>
        <v>0.47871679468494011</v>
      </c>
      <c r="CA64" s="1167">
        <f>'2026'!R\Max</f>
        <v>0.47868699209465265</v>
      </c>
      <c r="CB64" s="1167">
        <f>'2027'!R\Max</f>
        <v>0.47863391602045952</v>
      </c>
      <c r="CC64" s="1168">
        <f>'2028'!R\Max</f>
        <v>0.47858055370547459</v>
      </c>
      <c r="CD64" s="1167">
        <f>'2029'!R\Max</f>
        <v>0.47850617535849815</v>
      </c>
      <c r="CE64" s="1167">
        <f>'2030'!R\Max</f>
        <v>0.47877719225340915</v>
      </c>
      <c r="CF64" s="1169">
        <f>'2031'!R\Max</f>
        <v>0.47874804489122769</v>
      </c>
    </row>
    <row r="65" spans="1:84" s="6" customFormat="1" ht="11.25" x14ac:dyDescent="0.2">
      <c r="A65" s="11">
        <v>43151</v>
      </c>
      <c r="B65" s="375">
        <f>'2022'!Maxi_hp</f>
        <v>96.817942431119334</v>
      </c>
      <c r="C65" s="13">
        <f>'2022'!An_max</f>
        <v>2022</v>
      </c>
      <c r="D65" s="1045" t="str">
        <f t="shared" si="7"/>
        <v/>
      </c>
      <c r="E65" s="13"/>
      <c r="F65" s="13">
        <f t="shared" si="23"/>
        <v>5</v>
      </c>
      <c r="G65" s="13">
        <f t="shared" si="24"/>
        <v>6</v>
      </c>
      <c r="H65" s="169">
        <f t="shared" si="8"/>
        <v>43150</v>
      </c>
      <c r="I65" s="743">
        <f t="shared" si="9"/>
        <v>7.1428571428571425E-2</v>
      </c>
      <c r="J65" s="736">
        <f t="shared" si="27"/>
        <v>162.25123478597297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38">
        <v>43151</v>
      </c>
      <c r="AP65" s="13">
        <f t="shared" si="11"/>
        <v>3</v>
      </c>
      <c r="AQ65" s="13">
        <f t="shared" si="12"/>
        <v>4</v>
      </c>
      <c r="AR65" s="169">
        <f t="shared" si="13"/>
        <v>43136</v>
      </c>
      <c r="AS65" s="743">
        <f t="shared" si="14"/>
        <v>0.5357142857142857</v>
      </c>
      <c r="AT65" s="759">
        <f t="shared" si="15"/>
        <v>161.88736107104592</v>
      </c>
      <c r="AU65" s="13">
        <f t="shared" si="16"/>
        <v>3</v>
      </c>
      <c r="AV65" s="13">
        <f t="shared" si="17"/>
        <v>4</v>
      </c>
      <c r="AW65" s="169">
        <f t="shared" si="18"/>
        <v>43150</v>
      </c>
      <c r="AX65" s="743">
        <f t="shared" si="19"/>
        <v>3.5714285714285712E-2</v>
      </c>
      <c r="AY65" s="759">
        <f t="shared" si="20"/>
        <v>162.17492269501423</v>
      </c>
      <c r="AZ65" s="736">
        <f t="shared" si="26"/>
        <v>162.03114188303007</v>
      </c>
      <c r="BA65" s="633">
        <f t="shared" si="21"/>
        <v>0.59671621333934832</v>
      </c>
      <c r="BC65" s="11">
        <v>43151</v>
      </c>
      <c r="BD65" s="286">
        <f>[2]!FeuilCaduc*(1-Persistant)+Persistant</f>
        <v>0.60194415012999103</v>
      </c>
      <c r="BE65" s="287">
        <f>[2]!CroissVégét</f>
        <v>9.3920531593536197E-3</v>
      </c>
      <c r="BF65" s="806">
        <f>1+[2]!Salcycl*Ksac</f>
        <v>1.0002430187662488</v>
      </c>
      <c r="BH65" s="1036">
        <f t="shared" si="22"/>
        <v>8.9883548713893899E-3</v>
      </c>
      <c r="BI65" s="11">
        <v>44247</v>
      </c>
      <c r="BJ65" s="716">
        <v>2.2373858473563229E-3</v>
      </c>
      <c r="BK65" s="716">
        <v>3.2238124079427568E-3</v>
      </c>
      <c r="BL65" s="716">
        <v>4.3049180013596733E-3</v>
      </c>
      <c r="BM65" s="716">
        <v>5.5447468314518715E-3</v>
      </c>
      <c r="BN65" s="716">
        <v>7.1232014051126682E-3</v>
      </c>
      <c r="BO65" s="717">
        <v>9.0080911255679946E-3</v>
      </c>
      <c r="BP65" s="716">
        <v>1.1256055210968832E-2</v>
      </c>
      <c r="BQ65" s="716">
        <v>1.3612597995022535E-2</v>
      </c>
      <c r="BR65" s="716">
        <v>1.7740742629023296E-2</v>
      </c>
      <c r="BS65" s="716">
        <v>2.3466183697668699E-2</v>
      </c>
      <c r="BT65" s="716">
        <v>3.0652498449898129E-2</v>
      </c>
      <c r="BW65" s="1166">
        <f>'2022'!R\Max</f>
        <v>0.59671621333934832</v>
      </c>
      <c r="BX65" s="1167">
        <f>'2023'!R\Max</f>
        <v>0.59669065736439619</v>
      </c>
      <c r="BY65" s="1167">
        <f>'2024'!R\Max</f>
        <v>0.59666505201340081</v>
      </c>
      <c r="BZ65" s="1167">
        <f>'2025'!R\Max</f>
        <v>0.59663822245072473</v>
      </c>
      <c r="CA65" s="1167">
        <f>'2026'!R\Max</f>
        <v>0.59661137682631393</v>
      </c>
      <c r="CB65" s="1167">
        <f>'2027'!R\Max</f>
        <v>0.59656457805288021</v>
      </c>
      <c r="CC65" s="1168">
        <f>'2028'!R\Max</f>
        <v>0.59651754071288599</v>
      </c>
      <c r="CD65" s="1167">
        <f>'2029'!R\Max</f>
        <v>0.59645250452429377</v>
      </c>
      <c r="CE65" s="1167">
        <f>'2030'!R\Max</f>
        <v>0.59669193698078848</v>
      </c>
      <c r="CF65" s="1169">
        <f>'2031'!R\Max</f>
        <v>0.59666633171058991</v>
      </c>
    </row>
    <row r="66" spans="1:84" s="6" customFormat="1" ht="11.25" x14ac:dyDescent="0.2">
      <c r="A66" s="11">
        <v>43152</v>
      </c>
      <c r="B66" s="375">
        <f>'2022'!Maxi_hp</f>
        <v>105.36240150019904</v>
      </c>
      <c r="C66" s="13">
        <f>'2022'!An_max</f>
        <v>2022</v>
      </c>
      <c r="D66" s="1045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69">
        <f t="shared" si="8"/>
        <v>43150</v>
      </c>
      <c r="I66" s="743">
        <f t="shared" si="9"/>
        <v>0.14285714285714285</v>
      </c>
      <c r="J66" s="736">
        <f t="shared" si="27"/>
        <v>163.79339358646956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38">
        <v>43152</v>
      </c>
      <c r="AP66" s="13">
        <f t="shared" si="11"/>
        <v>3</v>
      </c>
      <c r="AQ66" s="13">
        <f t="shared" si="12"/>
        <v>4</v>
      </c>
      <c r="AR66" s="169">
        <f t="shared" si="13"/>
        <v>43136</v>
      </c>
      <c r="AS66" s="743">
        <f t="shared" si="14"/>
        <v>0.5714285714285714</v>
      </c>
      <c r="AT66" s="759">
        <f t="shared" si="15"/>
        <v>163.49075656128781</v>
      </c>
      <c r="AU66" s="13">
        <f t="shared" si="16"/>
        <v>3</v>
      </c>
      <c r="AV66" s="13">
        <f t="shared" si="17"/>
        <v>4</v>
      </c>
      <c r="AW66" s="169">
        <f t="shared" si="18"/>
        <v>43150</v>
      </c>
      <c r="AX66" s="743">
        <f t="shared" si="19"/>
        <v>7.1428571428571425E-2</v>
      </c>
      <c r="AY66" s="759">
        <f t="shared" si="20"/>
        <v>163.64732416174374</v>
      </c>
      <c r="AZ66" s="736">
        <f t="shared" si="26"/>
        <v>163.56904036151576</v>
      </c>
      <c r="BA66" s="633">
        <f t="shared" si="21"/>
        <v>0.6432640486478246</v>
      </c>
      <c r="BC66" s="11">
        <v>43152</v>
      </c>
      <c r="BD66" s="286">
        <f>[2]!FeuilCaduc*(1-Persistant)+Persistant</f>
        <v>0.60206532763862897</v>
      </c>
      <c r="BE66" s="287">
        <f>[2]!CroissVégét</f>
        <v>9.8394096579268626E-3</v>
      </c>
      <c r="BF66" s="806">
        <f>1+[2]!Salcycl*Ksac</f>
        <v>1.0002581659548286</v>
      </c>
      <c r="BH66" s="1036">
        <f t="shared" si="22"/>
        <v>8.6769558649248697E-3</v>
      </c>
      <c r="BI66" s="11">
        <v>44248</v>
      </c>
      <c r="BJ66" s="716">
        <v>2.1156974124013194E-3</v>
      </c>
      <c r="BK66" s="716">
        <v>3.1126748171237052E-3</v>
      </c>
      <c r="BL66" s="716">
        <v>4.2048902040673006E-3</v>
      </c>
      <c r="BM66" s="716">
        <v>5.4563680078025881E-3</v>
      </c>
      <c r="BN66" s="716">
        <v>6.9346959220833249E-3</v>
      </c>
      <c r="BO66" s="717">
        <v>8.6953917125367885E-3</v>
      </c>
      <c r="BP66" s="716">
        <v>1.078869334141023E-2</v>
      </c>
      <c r="BQ66" s="716">
        <v>1.304233384361963E-2</v>
      </c>
      <c r="BR66" s="716">
        <v>1.6860919975689361E-2</v>
      </c>
      <c r="BS66" s="716">
        <v>2.2090973136373843E-2</v>
      </c>
      <c r="BT66" s="716">
        <v>2.8602105771075595E-2</v>
      </c>
      <c r="BW66" s="1166">
        <f>'2022'!R\Max</f>
        <v>0.6432640486478246</v>
      </c>
      <c r="BX66" s="1167">
        <f>'2023'!R\Max</f>
        <v>0.64324156242425834</v>
      </c>
      <c r="BY66" s="1167">
        <f>'2024'!R\Max</f>
        <v>0.64321903494756194</v>
      </c>
      <c r="BZ66" s="1167">
        <f>'2025'!R\Max</f>
        <v>0.64319479941493507</v>
      </c>
      <c r="CA66" s="1167">
        <f>'2026'!R\Max</f>
        <v>0.64317054296423237</v>
      </c>
      <c r="CB66" s="1167">
        <f>'2027'!R\Max</f>
        <v>0.64312962566920195</v>
      </c>
      <c r="CC66" s="1168">
        <f>'2028'!R\Max</f>
        <v>0.64308851629966757</v>
      </c>
      <c r="CD66" s="1167">
        <f>'2029'!R\Max</f>
        <v>0.64303237219063736</v>
      </c>
      <c r="CE66" s="1167">
        <f>'2030'!R\Max</f>
        <v>0.64324268822269393</v>
      </c>
      <c r="CF66" s="1169">
        <f>'2031'!R\Max</f>
        <v>0.64322016082187039</v>
      </c>
    </row>
    <row r="67" spans="1:84" s="6" customFormat="1" ht="11.25" x14ac:dyDescent="0.2">
      <c r="A67" s="11">
        <v>43153</v>
      </c>
      <c r="B67" s="375">
        <f>'2022'!Maxi_hp</f>
        <v>141.0568740138535</v>
      </c>
      <c r="C67" s="13">
        <f>'2022'!An_max</f>
        <v>2022</v>
      </c>
      <c r="D67" s="1045" t="str">
        <f t="shared" si="7"/>
        <v/>
      </c>
      <c r="E67" s="13"/>
      <c r="F67" s="13">
        <f t="shared" si="23"/>
        <v>5</v>
      </c>
      <c r="G67" s="13">
        <f t="shared" si="24"/>
        <v>6</v>
      </c>
      <c r="H67" s="169">
        <f t="shared" si="8"/>
        <v>43150</v>
      </c>
      <c r="I67" s="743">
        <f t="shared" si="9"/>
        <v>0.21428571428571427</v>
      </c>
      <c r="J67" s="736">
        <f t="shared" si="27"/>
        <v>165.33735450125698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38">
        <v>43153</v>
      </c>
      <c r="AP67" s="13">
        <f t="shared" si="11"/>
        <v>3</v>
      </c>
      <c r="AQ67" s="13">
        <f t="shared" si="12"/>
        <v>4</v>
      </c>
      <c r="AR67" s="169">
        <f t="shared" si="13"/>
        <v>43136</v>
      </c>
      <c r="AS67" s="743">
        <f t="shared" si="14"/>
        <v>0.6071428571428571</v>
      </c>
      <c r="AT67" s="759">
        <f t="shared" si="15"/>
        <v>165.09193165850425</v>
      </c>
      <c r="AU67" s="13">
        <f t="shared" si="16"/>
        <v>3</v>
      </c>
      <c r="AV67" s="13">
        <f t="shared" si="17"/>
        <v>4</v>
      </c>
      <c r="AW67" s="169">
        <f t="shared" si="18"/>
        <v>43150</v>
      </c>
      <c r="AX67" s="743">
        <f t="shared" si="19"/>
        <v>0.10714285714285714</v>
      </c>
      <c r="AY67" s="759">
        <f t="shared" si="20"/>
        <v>165.12843125891607</v>
      </c>
      <c r="AZ67" s="736">
        <f t="shared" si="26"/>
        <v>165.11018145871014</v>
      </c>
      <c r="BA67" s="633">
        <f t="shared" si="21"/>
        <v>0.85314582684205897</v>
      </c>
      <c r="BC67" s="11">
        <v>43153</v>
      </c>
      <c r="BD67" s="286">
        <f>[2]!FeuilCaduc*(1-Persistant)+Persistant</f>
        <v>0.60218403075745885</v>
      </c>
      <c r="BE67" s="287">
        <f>[2]!CroissVégét</f>
        <v>1.0305104176065441E-2</v>
      </c>
      <c r="BF67" s="806">
        <f>1+[2]!Salcycl*Ksac</f>
        <v>1.0002730038446823</v>
      </c>
      <c r="BH67" s="1036">
        <f t="shared" si="22"/>
        <v>8.3623453885701346E-3</v>
      </c>
      <c r="BI67" s="11">
        <v>44249</v>
      </c>
      <c r="BJ67" s="716">
        <v>1.9911719472288794E-3</v>
      </c>
      <c r="BK67" s="716">
        <v>2.9915488352552054E-3</v>
      </c>
      <c r="BL67" s="716">
        <v>4.0871399581563694E-3</v>
      </c>
      <c r="BM67" s="716">
        <v>5.3418838659845327E-3</v>
      </c>
      <c r="BN67" s="716">
        <v>6.7294395115654352E-3</v>
      </c>
      <c r="BO67" s="717">
        <v>8.3796240983497836E-3</v>
      </c>
      <c r="BP67" s="716">
        <v>1.0337658797567022E-2</v>
      </c>
      <c r="BQ67" s="716">
        <v>1.2500558283421269E-2</v>
      </c>
      <c r="BR67" s="716">
        <v>1.603929392392715E-2</v>
      </c>
      <c r="BS67" s="716">
        <v>2.0820090383707857E-2</v>
      </c>
      <c r="BT67" s="716">
        <v>2.671696720840909E-2</v>
      </c>
      <c r="BW67" s="1166">
        <f>'2022'!R\Max</f>
        <v>0.85314582684205897</v>
      </c>
      <c r="BX67" s="1167">
        <f>'2023'!R\Max</f>
        <v>0.85313444698978624</v>
      </c>
      <c r="BY67" s="1167">
        <f>'2024'!R\Max</f>
        <v>0.85312304692862773</v>
      </c>
      <c r="BZ67" s="1167">
        <f>'2025'!R\Max</f>
        <v>0.85311046545982427</v>
      </c>
      <c r="CA67" s="1167">
        <f>'2026'!R\Max</f>
        <v>0.85309786990276992</v>
      </c>
      <c r="CB67" s="1167">
        <f>'2027'!R\Max</f>
        <v>0.85307734444490657</v>
      </c>
      <c r="CC67" s="1168">
        <f>'2028'!R\Max</f>
        <v>0.85305673000629623</v>
      </c>
      <c r="CD67" s="1167">
        <f>'2029'!R\Max</f>
        <v>0.85302895114015709</v>
      </c>
      <c r="CE67" s="1167">
        <f>'2030'!R\Max</f>
        <v>0.8531350166917141</v>
      </c>
      <c r="CF67" s="1169">
        <f>'2031'!R\Max</f>
        <v>0.8531236166879016</v>
      </c>
    </row>
    <row r="68" spans="1:84" s="6" customFormat="1" ht="11.25" x14ac:dyDescent="0.2">
      <c r="A68" s="11">
        <v>43154</v>
      </c>
      <c r="B68" s="375">
        <f>'2022'!Maxi_hp</f>
        <v>145.76894661808049</v>
      </c>
      <c r="C68" s="13">
        <f>'2022'!An_max</f>
        <v>2022</v>
      </c>
      <c r="D68" s="1045" t="str">
        <f t="shared" si="7"/>
        <v/>
      </c>
      <c r="E68" s="13"/>
      <c r="F68" s="13">
        <f t="shared" si="23"/>
        <v>5</v>
      </c>
      <c r="G68" s="13">
        <f t="shared" si="24"/>
        <v>6</v>
      </c>
      <c r="H68" s="169">
        <f t="shared" si="8"/>
        <v>43150</v>
      </c>
      <c r="I68" s="743">
        <f t="shared" si="9"/>
        <v>0.2857142857142857</v>
      </c>
      <c r="J68" s="736">
        <f t="shared" si="27"/>
        <v>166.8814956278141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38">
        <v>43154</v>
      </c>
      <c r="AP68" s="13">
        <f t="shared" si="11"/>
        <v>3</v>
      </c>
      <c r="AQ68" s="13">
        <f t="shared" si="12"/>
        <v>4</v>
      </c>
      <c r="AR68" s="169">
        <f t="shared" si="13"/>
        <v>43136</v>
      </c>
      <c r="AS68" s="743">
        <f t="shared" si="14"/>
        <v>0.6428571428571429</v>
      </c>
      <c r="AT68" s="759">
        <f t="shared" si="15"/>
        <v>166.68885030916758</v>
      </c>
      <c r="AU68" s="13">
        <f t="shared" si="16"/>
        <v>3</v>
      </c>
      <c r="AV68" s="13">
        <f t="shared" si="17"/>
        <v>4</v>
      </c>
      <c r="AW68" s="169">
        <f t="shared" si="18"/>
        <v>43150</v>
      </c>
      <c r="AX68" s="743">
        <f t="shared" si="19"/>
        <v>0.14285714285714285</v>
      </c>
      <c r="AY68" s="759">
        <f t="shared" si="20"/>
        <v>166.61697084576423</v>
      </c>
      <c r="AZ68" s="736">
        <f t="shared" si="26"/>
        <v>166.65291057746589</v>
      </c>
      <c r="BA68" s="633">
        <f t="shared" si="21"/>
        <v>0.8734877768783923</v>
      </c>
      <c r="BC68" s="11">
        <v>43154</v>
      </c>
      <c r="BD68" s="286">
        <f>[2]!FeuilCaduc*(1-Persistant)+Persistant</f>
        <v>0.60230002931003135</v>
      </c>
      <c r="BE68" s="287">
        <f>[2]!CroissVégét</f>
        <v>1.0789869896821172E-2</v>
      </c>
      <c r="BF68" s="806">
        <f>1+[2]!Salcycl*Ksac</f>
        <v>1.000287503663754</v>
      </c>
      <c r="BH68" s="1036">
        <f t="shared" si="22"/>
        <v>8.0444807040800734E-3</v>
      </c>
      <c r="BI68" s="11">
        <v>44250</v>
      </c>
      <c r="BJ68" s="716">
        <v>1.8637984798150716E-3</v>
      </c>
      <c r="BK68" s="716">
        <v>2.8604192575929308E-3</v>
      </c>
      <c r="BL68" s="716">
        <v>3.951647414786051E-3</v>
      </c>
      <c r="BM68" s="716">
        <v>5.2012692157266229E-3</v>
      </c>
      <c r="BN68" s="716">
        <v>6.5073989723564022E-3</v>
      </c>
      <c r="BO68" s="717">
        <v>8.0607454438449723E-3</v>
      </c>
      <c r="BP68" s="716">
        <v>9.90289715069371E-3</v>
      </c>
      <c r="BQ68" s="716">
        <v>1.1987205331038808E-2</v>
      </c>
      <c r="BR68" s="716">
        <v>1.5275777078452813E-2</v>
      </c>
      <c r="BS68" s="716">
        <v>1.9653417740969372E-2</v>
      </c>
      <c r="BT68" s="716">
        <v>2.4996926550301446E-2</v>
      </c>
      <c r="BW68" s="1166">
        <f>'2022'!R\Max</f>
        <v>0.8734877768783923</v>
      </c>
      <c r="BX68" s="1167">
        <f>'2023'!R\Max</f>
        <v>0.87347841846462704</v>
      </c>
      <c r="BY68" s="1167">
        <f>'2024'!R\Max</f>
        <v>0.8734690442215981</v>
      </c>
      <c r="BZ68" s="1167">
        <f>'2025'!R\Max</f>
        <v>0.87345844911784964</v>
      </c>
      <c r="CA68" s="1167">
        <f>'2026'!R\Max</f>
        <v>0.87344784033563461</v>
      </c>
      <c r="CB68" s="1167">
        <f>'2027'!R\Max</f>
        <v>0.87343116191941839</v>
      </c>
      <c r="CC68" s="1168">
        <f>'2028'!R\Max</f>
        <v>0.87341441836283862</v>
      </c>
      <c r="CD68" s="1167">
        <f>'2029'!R\Max</f>
        <v>0.87339218167964527</v>
      </c>
      <c r="CE68" s="1167">
        <f>'2030'!R\Max</f>
        <v>0.87347888692998743</v>
      </c>
      <c r="CF68" s="1169">
        <f>'2031'!R\Max</f>
        <v>0.87346951273253759</v>
      </c>
    </row>
    <row r="69" spans="1:84" s="6" customFormat="1" ht="11.25" x14ac:dyDescent="0.2">
      <c r="A69" s="11">
        <v>43155</v>
      </c>
      <c r="B69" s="375">
        <f>'2022'!Maxi_hp</f>
        <v>92.402693718208255</v>
      </c>
      <c r="C69" s="13">
        <f>'2022'!An_max</f>
        <v>2022</v>
      </c>
      <c r="D69" s="1045" t="str">
        <f t="shared" si="7"/>
        <v/>
      </c>
      <c r="E69" s="13"/>
      <c r="F69" s="13">
        <f t="shared" si="23"/>
        <v>5</v>
      </c>
      <c r="G69" s="13">
        <f t="shared" si="24"/>
        <v>6</v>
      </c>
      <c r="H69" s="169">
        <f t="shared" si="8"/>
        <v>43150</v>
      </c>
      <c r="I69" s="743">
        <f t="shared" si="9"/>
        <v>0.35714285714285715</v>
      </c>
      <c r="J69" s="736">
        <f t="shared" si="27"/>
        <v>168.42419506271503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38">
        <v>43155</v>
      </c>
      <c r="AP69" s="13">
        <f t="shared" si="11"/>
        <v>3</v>
      </c>
      <c r="AQ69" s="13">
        <f t="shared" si="12"/>
        <v>4</v>
      </c>
      <c r="AR69" s="169">
        <f t="shared" si="13"/>
        <v>43136</v>
      </c>
      <c r="AS69" s="743">
        <f t="shared" si="14"/>
        <v>0.6785714285714286</v>
      </c>
      <c r="AT69" s="759">
        <f t="shared" si="15"/>
        <v>168.27947646097414</v>
      </c>
      <c r="AU69" s="13">
        <f t="shared" si="16"/>
        <v>3</v>
      </c>
      <c r="AV69" s="13">
        <f t="shared" si="17"/>
        <v>4</v>
      </c>
      <c r="AW69" s="169">
        <f t="shared" si="18"/>
        <v>43150</v>
      </c>
      <c r="AX69" s="743">
        <f t="shared" si="19"/>
        <v>0.17857142857142858</v>
      </c>
      <c r="AY69" s="759">
        <f t="shared" si="20"/>
        <v>168.11166977949907</v>
      </c>
      <c r="AZ69" s="736">
        <f t="shared" si="26"/>
        <v>168.19557312023659</v>
      </c>
      <c r="BA69" s="633">
        <f t="shared" si="21"/>
        <v>0.54863075749776247</v>
      </c>
      <c r="BC69" s="11">
        <v>43155</v>
      </c>
      <c r="BD69" s="286">
        <f>[2]!FeuilCaduc*(1-Persistant)+Persistant</f>
        <v>0.60241321847730278</v>
      </c>
      <c r="BE69" s="287">
        <f>[2]!CroissVégét</f>
        <v>1.1294467751257744E-2</v>
      </c>
      <c r="BF69" s="806">
        <f>1+[2]!Salcycl*Ksac</f>
        <v>1.0003016523096628</v>
      </c>
      <c r="BH69" s="1036">
        <f t="shared" si="22"/>
        <v>7.7233568557807438E-3</v>
      </c>
      <c r="BI69" s="11">
        <v>44251</v>
      </c>
      <c r="BJ69" s="716">
        <v>1.7335754684099872E-3</v>
      </c>
      <c r="BK69" s="716">
        <v>2.7192843020064461E-3</v>
      </c>
      <c r="BL69" s="716">
        <v>3.7984105253278783E-3</v>
      </c>
      <c r="BM69" s="716">
        <v>5.034521695676304E-3</v>
      </c>
      <c r="BN69" s="716">
        <v>6.2685707673946532E-3</v>
      </c>
      <c r="BO69" s="717">
        <v>7.7387507783372627E-3</v>
      </c>
      <c r="BP69" s="716">
        <v>9.4844016779225635E-3</v>
      </c>
      <c r="BQ69" s="716">
        <v>1.1502266829496025E-2</v>
      </c>
      <c r="BR69" s="716">
        <v>1.4570357881874314E-2</v>
      </c>
      <c r="BS69" s="716">
        <v>1.8590938481512231E-2</v>
      </c>
      <c r="BT69" s="716">
        <v>2.3441960214686652E-2</v>
      </c>
      <c r="BW69" s="1166">
        <f>'2022'!R\Max</f>
        <v>0.54863075749776247</v>
      </c>
      <c r="BX69" s="1167">
        <f>'2023'!R\Max</f>
        <v>0.54861106231833934</v>
      </c>
      <c r="BY69" s="1167">
        <f>'2024'!R\Max</f>
        <v>0.54859133632954471</v>
      </c>
      <c r="BZ69" s="1167">
        <f>'2025'!R\Max</f>
        <v>0.54856856300296364</v>
      </c>
      <c r="CA69" s="1167">
        <f>'2026'!R\Max</f>
        <v>0.54854575895589586</v>
      </c>
      <c r="CB69" s="1167">
        <f>'2027'!R\Max</f>
        <v>0.54851119874155374</v>
      </c>
      <c r="CC69" s="1168">
        <f>'2028'!R\Max</f>
        <v>0.54847652160487048</v>
      </c>
      <c r="CD69" s="1167">
        <f>'2029'!R\Max</f>
        <v>0.54843117916718653</v>
      </c>
      <c r="CE69" s="1167">
        <f>'2030'!R\Max</f>
        <v>0.54861204812831443</v>
      </c>
      <c r="CF69" s="1169">
        <f>'2031'!R\Max</f>
        <v>0.54859232217856813</v>
      </c>
    </row>
    <row r="70" spans="1:84" s="6" customFormat="1" ht="11.25" x14ac:dyDescent="0.2">
      <c r="A70" s="11">
        <v>43156</v>
      </c>
      <c r="B70" s="375">
        <f>'2022'!Maxi_hp</f>
        <v>130.88551017631676</v>
      </c>
      <c r="C70" s="13">
        <f>'2022'!An_max</f>
        <v>2022</v>
      </c>
      <c r="D70" s="1045" t="str">
        <f t="shared" si="7"/>
        <v/>
      </c>
      <c r="E70" s="13"/>
      <c r="F70" s="13">
        <f t="shared" si="23"/>
        <v>5</v>
      </c>
      <c r="G70" s="13">
        <f t="shared" si="24"/>
        <v>6</v>
      </c>
      <c r="H70" s="169">
        <f t="shared" si="8"/>
        <v>43150</v>
      </c>
      <c r="I70" s="743">
        <f t="shared" si="9"/>
        <v>0.42857142857142855</v>
      </c>
      <c r="J70" s="736">
        <f t="shared" si="27"/>
        <v>169.96383090487546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38">
        <v>43156</v>
      </c>
      <c r="AP70" s="13">
        <f t="shared" si="11"/>
        <v>3</v>
      </c>
      <c r="AQ70" s="13">
        <f t="shared" si="12"/>
        <v>4</v>
      </c>
      <c r="AR70" s="169">
        <f t="shared" si="13"/>
        <v>43136</v>
      </c>
      <c r="AS70" s="743">
        <f t="shared" si="14"/>
        <v>0.7142857142857143</v>
      </c>
      <c r="AT70" s="759">
        <f t="shared" si="15"/>
        <v>169.86177405331813</v>
      </c>
      <c r="AU70" s="13">
        <f t="shared" si="16"/>
        <v>3</v>
      </c>
      <c r="AV70" s="13">
        <f t="shared" si="17"/>
        <v>4</v>
      </c>
      <c r="AW70" s="169">
        <f t="shared" si="18"/>
        <v>43150</v>
      </c>
      <c r="AX70" s="743">
        <f t="shared" si="19"/>
        <v>0.21428571428571427</v>
      </c>
      <c r="AY70" s="759">
        <f t="shared" si="20"/>
        <v>169.61125491972615</v>
      </c>
      <c r="AZ70" s="736">
        <f t="shared" si="26"/>
        <v>169.73651448652214</v>
      </c>
      <c r="BA70" s="633">
        <f t="shared" si="21"/>
        <v>0.77007860719243337</v>
      </c>
      <c r="BC70" s="11">
        <v>43156</v>
      </c>
      <c r="BD70" s="286">
        <f>[2]!FeuilCaduc*(1-Persistant)+Persistant</f>
        <v>0.60252362659990943</v>
      </c>
      <c r="BE70" s="287">
        <f>[2]!CroissVégét</f>
        <v>1.1819687335529849E-2</v>
      </c>
      <c r="BF70" s="806">
        <f>1+[2]!Salcycl*Ksac</f>
        <v>1.0003154533249887</v>
      </c>
      <c r="BH70" s="1036">
        <f t="shared" si="22"/>
        <v>7.3989692378231466E-3</v>
      </c>
      <c r="BI70" s="11">
        <v>44252</v>
      </c>
      <c r="BJ70" s="716">
        <v>1.6005014900974523E-3</v>
      </c>
      <c r="BK70" s="716">
        <v>2.5681422106228918E-3</v>
      </c>
      <c r="BL70" s="716">
        <v>3.6274271635012637E-3</v>
      </c>
      <c r="BM70" s="716">
        <v>4.8416387568516886E-3</v>
      </c>
      <c r="BN70" s="716">
        <v>6.0129514027687792E-3</v>
      </c>
      <c r="BO70" s="717">
        <v>7.4136354842116109E-3</v>
      </c>
      <c r="BP70" s="716">
        <v>9.0821664222213196E-3</v>
      </c>
      <c r="BQ70" s="716">
        <v>1.104573565373787E-2</v>
      </c>
      <c r="BR70" s="716">
        <v>1.3923026531246626E-2</v>
      </c>
      <c r="BS70" s="716">
        <v>1.7632638773438482E-2</v>
      </c>
      <c r="BT70" s="716">
        <v>2.2052049046309842E-2</v>
      </c>
      <c r="BW70" s="1166">
        <f>'2022'!R\Max</f>
        <v>0.77007860719243337</v>
      </c>
      <c r="BX70" s="1167">
        <f>'2023'!R\Max</f>
        <v>0.77006526587471646</v>
      </c>
      <c r="BY70" s="1167">
        <f>'2024'!R\Max</f>
        <v>0.77005190404517543</v>
      </c>
      <c r="BZ70" s="1167">
        <f>'2025'!R\Max</f>
        <v>0.77003619984893057</v>
      </c>
      <c r="CA70" s="1167">
        <f>'2026'!R\Max</f>
        <v>0.77002047278579877</v>
      </c>
      <c r="CB70" s="1167">
        <f>'2027'!R\Max</f>
        <v>0.7699974917370831</v>
      </c>
      <c r="CC70" s="1168">
        <f>'2028'!R\Max</f>
        <v>0.76997444110337832</v>
      </c>
      <c r="CD70" s="1167">
        <f>'2029'!R\Max</f>
        <v>0.76994477923366023</v>
      </c>
      <c r="CE70" s="1167">
        <f>'2030'!R\Max</f>
        <v>0.77006593362365827</v>
      </c>
      <c r="CF70" s="1169">
        <f>'2031'!R\Max</f>
        <v>0.77005257184149312</v>
      </c>
    </row>
    <row r="71" spans="1:84" s="6" customFormat="1" ht="11.25" x14ac:dyDescent="0.2">
      <c r="A71" s="11">
        <v>43157</v>
      </c>
      <c r="B71" s="375">
        <f>'2022'!Maxi_hp</f>
        <v>173.69259452617041</v>
      </c>
      <c r="C71" s="13">
        <f>'2022'!An_max</f>
        <v>2022</v>
      </c>
      <c r="D71" s="1045">
        <f t="shared" si="7"/>
        <v>1.0127920050517858</v>
      </c>
      <c r="E71" s="13"/>
      <c r="F71" s="13">
        <f t="shared" si="23"/>
        <v>5</v>
      </c>
      <c r="G71" s="13">
        <f t="shared" si="24"/>
        <v>6</v>
      </c>
      <c r="H71" s="169">
        <f t="shared" si="8"/>
        <v>43150</v>
      </c>
      <c r="I71" s="743">
        <f t="shared" si="9"/>
        <v>0.5</v>
      </c>
      <c r="J71" s="736">
        <f t="shared" si="27"/>
        <v>171.49878125004471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38">
        <v>43157</v>
      </c>
      <c r="AP71" s="13">
        <f t="shared" si="11"/>
        <v>3</v>
      </c>
      <c r="AQ71" s="13">
        <f t="shared" si="12"/>
        <v>4</v>
      </c>
      <c r="AR71" s="169">
        <f t="shared" si="13"/>
        <v>43136</v>
      </c>
      <c r="AS71" s="743">
        <f t="shared" si="14"/>
        <v>0.75</v>
      </c>
      <c r="AT71" s="759">
        <f t="shared" si="15"/>
        <v>171.43370703160764</v>
      </c>
      <c r="AU71" s="13">
        <f t="shared" si="16"/>
        <v>3</v>
      </c>
      <c r="AV71" s="13">
        <f t="shared" si="17"/>
        <v>4</v>
      </c>
      <c r="AW71" s="169">
        <f t="shared" si="18"/>
        <v>43150</v>
      </c>
      <c r="AX71" s="743">
        <f t="shared" si="19"/>
        <v>0.25</v>
      </c>
      <c r="AY71" s="759">
        <f t="shared" si="20"/>
        <v>171.11445312479046</v>
      </c>
      <c r="AZ71" s="736">
        <f t="shared" si="26"/>
        <v>171.27408007819906</v>
      </c>
      <c r="BA71" s="633">
        <f t="shared" si="21"/>
        <v>1.0127920050517858</v>
      </c>
      <c r="BC71" s="11">
        <v>43157</v>
      </c>
      <c r="BD71" s="286">
        <f>[2]!FeuilCaduc*(1-Persistant)+Persistant</f>
        <v>0.60263142201250741</v>
      </c>
      <c r="BE71" s="287">
        <f>[2]!CroissVégét</f>
        <v>1.236634784666045E-2</v>
      </c>
      <c r="BF71" s="806">
        <f>1+[2]!Salcycl*Ksac</f>
        <v>1.0003289277515635</v>
      </c>
      <c r="BH71" s="1036">
        <f t="shared" si="22"/>
        <v>7.0713136043821113E-3</v>
      </c>
      <c r="BI71" s="11">
        <v>44253</v>
      </c>
      <c r="BJ71" s="716">
        <v>1.464575249671694E-3</v>
      </c>
      <c r="BK71" s="716">
        <v>2.4069912809617272E-3</v>
      </c>
      <c r="BL71" s="716">
        <v>3.4386951805802321E-3</v>
      </c>
      <c r="BM71" s="716">
        <v>4.6226177439412331E-3</v>
      </c>
      <c r="BN71" s="716">
        <v>5.7405374799697449E-3</v>
      </c>
      <c r="BO71" s="717">
        <v>7.08539530667691E-3</v>
      </c>
      <c r="BP71" s="716">
        <v>8.6961861418945741E-3</v>
      </c>
      <c r="BQ71" s="716">
        <v>1.0617605622373877E-2</v>
      </c>
      <c r="BR71" s="716">
        <v>1.3333774797545271E-2</v>
      </c>
      <c r="BS71" s="716">
        <v>1.6778507355778838E-2</v>
      </c>
      <c r="BT71" s="716">
        <v>2.0827177803650669E-2</v>
      </c>
      <c r="BW71" s="1166">
        <f>'2022'!R\Max</f>
        <v>1.0127920050517858</v>
      </c>
      <c r="BX71" s="1167">
        <f>'2023'!R\Max</f>
        <v>1.0127920050517858</v>
      </c>
      <c r="BY71" s="1167">
        <f>'2024'!R\Max</f>
        <v>1.0127920050517856</v>
      </c>
      <c r="BZ71" s="1167">
        <f>'2025'!R\Max</f>
        <v>1.0127920050517858</v>
      </c>
      <c r="CA71" s="1167">
        <f>'2026'!R\Max</f>
        <v>1.0127920050517858</v>
      </c>
      <c r="CB71" s="1167">
        <f>'2027'!R\Max</f>
        <v>1.0127920050517858</v>
      </c>
      <c r="CC71" s="1168">
        <f>'2028'!R\Max</f>
        <v>1.0127920050517858</v>
      </c>
      <c r="CD71" s="1167">
        <f>'2029'!R\Max</f>
        <v>1.0127920050517858</v>
      </c>
      <c r="CE71" s="1167">
        <f>'2030'!R\Max</f>
        <v>1.0127920050517858</v>
      </c>
      <c r="CF71" s="1169">
        <f>'2031'!R\Max</f>
        <v>1.0127920050517858</v>
      </c>
    </row>
    <row r="72" spans="1:84" s="6" customFormat="1" ht="11.25" x14ac:dyDescent="0.2">
      <c r="A72" s="11">
        <v>43158</v>
      </c>
      <c r="B72" s="375">
        <f>'2022'!Maxi_hp</f>
        <v>115.57286305662481</v>
      </c>
      <c r="C72" s="13">
        <f>'2022'!An_max</f>
        <v>2022</v>
      </c>
      <c r="D72" s="1045" t="str">
        <f t="shared" si="7"/>
        <v/>
      </c>
      <c r="E72" s="13"/>
      <c r="F72" s="13">
        <f t="shared" si="23"/>
        <v>5</v>
      </c>
      <c r="G72" s="13">
        <f t="shared" si="24"/>
        <v>6</v>
      </c>
      <c r="H72" s="169">
        <f t="shared" si="8"/>
        <v>43150</v>
      </c>
      <c r="I72" s="743">
        <f t="shared" si="9"/>
        <v>0.5714285714285714</v>
      </c>
      <c r="J72" s="736">
        <f t="shared" si="27"/>
        <v>173.02742419695215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38">
        <v>43158</v>
      </c>
      <c r="AP72" s="13">
        <f t="shared" si="11"/>
        <v>3</v>
      </c>
      <c r="AQ72" s="13">
        <f t="shared" si="12"/>
        <v>4</v>
      </c>
      <c r="AR72" s="169">
        <f t="shared" si="13"/>
        <v>43136</v>
      </c>
      <c r="AS72" s="743">
        <f t="shared" si="14"/>
        <v>0.7857142857142857</v>
      </c>
      <c r="AT72" s="759">
        <f t="shared" si="15"/>
        <v>172.99323933976038</v>
      </c>
      <c r="AU72" s="13">
        <f t="shared" si="16"/>
        <v>3</v>
      </c>
      <c r="AV72" s="13">
        <f t="shared" si="17"/>
        <v>4</v>
      </c>
      <c r="AW72" s="169">
        <f t="shared" si="18"/>
        <v>43150</v>
      </c>
      <c r="AX72" s="743">
        <f t="shared" si="19"/>
        <v>0.2857142857142857</v>
      </c>
      <c r="AY72" s="759">
        <f t="shared" si="20"/>
        <v>172.61999125360913</v>
      </c>
      <c r="AZ72" s="736">
        <f t="shared" si="26"/>
        <v>172.80661529668475</v>
      </c>
      <c r="BA72" s="633">
        <f t="shared" si="21"/>
        <v>0.66794534792976823</v>
      </c>
      <c r="BC72" s="11">
        <v>43158</v>
      </c>
      <c r="BD72" s="286">
        <f>[2]!FeuilCaduc*(1-Persistant)+Persistant</f>
        <v>0.6027369188599403</v>
      </c>
      <c r="BE72" s="287">
        <f>[2]!CroissVégét</f>
        <v>1.2935299036280712E-2</v>
      </c>
      <c r="BF72" s="806">
        <f>1+[2]!Salcycl*Ksac</f>
        <v>1.0003421148574925</v>
      </c>
      <c r="BH72" s="1036">
        <f t="shared" si="22"/>
        <v>6.758517565921481E-3</v>
      </c>
      <c r="BI72" s="11">
        <v>44254</v>
      </c>
      <c r="BJ72" s="716">
        <v>1.3343210981251238E-3</v>
      </c>
      <c r="BK72" s="716">
        <v>2.2462359102297011E-3</v>
      </c>
      <c r="BL72" s="716">
        <v>3.2446148737271543E-3</v>
      </c>
      <c r="BM72" s="716">
        <v>4.3919263388875916E-3</v>
      </c>
      <c r="BN72" s="716">
        <v>5.467877628900328E-3</v>
      </c>
      <c r="BO72" s="717">
        <v>6.7721745642922134E-3</v>
      </c>
      <c r="BP72" s="716">
        <v>8.3453472141547715E-3</v>
      </c>
      <c r="BQ72" s="716">
        <v>1.0236070980766435E-2</v>
      </c>
      <c r="BR72" s="716">
        <v>1.2819430794345429E-2</v>
      </c>
      <c r="BS72" s="716">
        <v>1.6043468407094807E-2</v>
      </c>
      <c r="BT72" s="716">
        <v>1.978045444679797E-2</v>
      </c>
      <c r="BW72" s="1166">
        <f>'2022'!R\Max</f>
        <v>0.66794534792976823</v>
      </c>
      <c r="BX72" s="1167">
        <f>'2023'!R\Max</f>
        <v>0.667929862983899</v>
      </c>
      <c r="BY72" s="1167">
        <f>'2024'!R\Max</f>
        <v>0.66791435602258709</v>
      </c>
      <c r="BZ72" s="1167">
        <f>'2025'!R\Max</f>
        <v>0.66789574292803688</v>
      </c>
      <c r="CA72" s="1167">
        <f>'2026'!R\Max</f>
        <v>0.66787710361862629</v>
      </c>
      <c r="CB72" s="1167">
        <f>'2027'!R\Max</f>
        <v>0.66785168891540903</v>
      </c>
      <c r="CC72" s="1168">
        <f>'2028'!R\Max</f>
        <v>0.66782621738578751</v>
      </c>
      <c r="CD72" s="1167">
        <f>'2029'!R\Max</f>
        <v>0.66779447644117929</v>
      </c>
      <c r="CE72" s="1167">
        <f>'2030'!R\Max</f>
        <v>0.66793063794237084</v>
      </c>
      <c r="CF72" s="1169">
        <f>'2031'!R\Max</f>
        <v>0.66791513102093036</v>
      </c>
    </row>
    <row r="73" spans="1:84" s="6" customFormat="1" ht="11.25" x14ac:dyDescent="0.2">
      <c r="A73" s="11">
        <v>43159</v>
      </c>
      <c r="B73" s="375">
        <f>'2022'!Maxi_hp</f>
        <v>156.80231017233547</v>
      </c>
      <c r="C73" s="13">
        <f>'2022'!An_max</f>
        <v>2022</v>
      </c>
      <c r="D73" s="1045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69">
        <f t="shared" si="8"/>
        <v>43150</v>
      </c>
      <c r="I73" s="743">
        <f t="shared" si="9"/>
        <v>0.6428571428571429</v>
      </c>
      <c r="J73" s="736">
        <f t="shared" si="27"/>
        <v>174.54813784504577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38">
        <v>43159</v>
      </c>
      <c r="AP73" s="13">
        <f t="shared" si="11"/>
        <v>3</v>
      </c>
      <c r="AQ73" s="13">
        <f t="shared" si="12"/>
        <v>4</v>
      </c>
      <c r="AR73" s="169">
        <f t="shared" si="13"/>
        <v>43136</v>
      </c>
      <c r="AS73" s="743">
        <f t="shared" si="14"/>
        <v>0.8214285714285714</v>
      </c>
      <c r="AT73" s="759">
        <f t="shared" si="15"/>
        <v>174.53833492536631</v>
      </c>
      <c r="AU73" s="13">
        <f t="shared" si="16"/>
        <v>3</v>
      </c>
      <c r="AV73" s="13">
        <f t="shared" si="17"/>
        <v>4</v>
      </c>
      <c r="AW73" s="169">
        <f t="shared" si="18"/>
        <v>43150</v>
      </c>
      <c r="AX73" s="743">
        <f t="shared" si="19"/>
        <v>0.32142857142857145</v>
      </c>
      <c r="AY73" s="759">
        <f t="shared" si="20"/>
        <v>174.12659616424105</v>
      </c>
      <c r="AZ73" s="736">
        <f t="shared" si="26"/>
        <v>174.33246554480368</v>
      </c>
      <c r="BA73" s="633">
        <f t="shared" si="21"/>
        <v>0.89833275856277495</v>
      </c>
      <c r="BC73" s="11">
        <v>43159</v>
      </c>
      <c r="BD73" s="286">
        <f>[2]!FeuilCaduc*(1-Persistant)+Persistant</f>
        <v>0.60284058185655764</v>
      </c>
      <c r="BE73" s="287">
        <f>[2]!CroissVégét</f>
        <v>1.352742218145603E-2</v>
      </c>
      <c r="BF73" s="806">
        <f>1+[2]!Salcycl*Ksac</f>
        <v>1.0003550727320698</v>
      </c>
      <c r="BH73" s="1036">
        <f t="shared" si="22"/>
        <v>6.4456452762491892E-3</v>
      </c>
      <c r="BI73" s="11">
        <v>44255</v>
      </c>
      <c r="BJ73" s="716">
        <v>1.2167199291674262E-3</v>
      </c>
      <c r="BK73" s="716">
        <v>2.0950627673815515E-3</v>
      </c>
      <c r="BL73" s="716">
        <v>3.0567999713413882E-3</v>
      </c>
      <c r="BM73" s="716">
        <v>4.1637469547085451E-3</v>
      </c>
      <c r="BN73" s="716">
        <v>5.1969639796623744E-3</v>
      </c>
      <c r="BO73" s="717">
        <v>6.4588582862792438E-3</v>
      </c>
      <c r="BP73" s="716">
        <v>7.9913906593170585E-3</v>
      </c>
      <c r="BQ73" s="716">
        <v>9.8468535792950434E-3</v>
      </c>
      <c r="BR73" s="716">
        <v>1.230492795004356E-2</v>
      </c>
      <c r="BS73" s="716">
        <v>1.53264078109158E-2</v>
      </c>
      <c r="BT73" s="716">
        <v>1.8781097216278318E-2</v>
      </c>
      <c r="BW73" s="1166">
        <f>'2022'!R\Max</f>
        <v>0.89833275856277495</v>
      </c>
      <c r="BX73" s="1167">
        <f>'2023'!R\Max</f>
        <v>0.89832659946348126</v>
      </c>
      <c r="BY73" s="1167">
        <f>'2024'!R\Max</f>
        <v>0.89832043179146981</v>
      </c>
      <c r="BZ73" s="1167">
        <f>'2025'!R\Max</f>
        <v>0.89831297345677263</v>
      </c>
      <c r="CA73" s="1167">
        <f>'2026'!R\Max</f>
        <v>0.89830550475492732</v>
      </c>
      <c r="CB73" s="1167">
        <f>'2027'!R\Max</f>
        <v>0.89829562725489631</v>
      </c>
      <c r="CC73" s="1168">
        <f>'2028'!R\Max</f>
        <v>0.89828573048545846</v>
      </c>
      <c r="CD73" s="1167">
        <f>'2029'!R\Max</f>
        <v>0.89827358038279348</v>
      </c>
      <c r="CE73" s="1167">
        <f>'2030'!R\Max</f>
        <v>0.89832690768737533</v>
      </c>
      <c r="CF73" s="1169">
        <f>'2031'!R\Max</f>
        <v>0.89832074004027163</v>
      </c>
    </row>
    <row r="74" spans="1:84" s="6" customFormat="1" ht="11.25" x14ac:dyDescent="0.2">
      <c r="A74" s="11">
        <v>43160</v>
      </c>
      <c r="B74" s="375">
        <f>'2022'!Maxi_hp</f>
        <v>176.17782993937286</v>
      </c>
      <c r="C74" s="13">
        <f>'2022'!An_max</f>
        <v>2022</v>
      </c>
      <c r="D74" s="1045">
        <f t="shared" si="7"/>
        <v>1.0006732370823297</v>
      </c>
      <c r="E74" s="13"/>
      <c r="F74" s="13">
        <f t="shared" si="23"/>
        <v>5</v>
      </c>
      <c r="G74" s="13">
        <f t="shared" si="24"/>
        <v>6</v>
      </c>
      <c r="H74" s="169">
        <f t="shared" si="8"/>
        <v>43150</v>
      </c>
      <c r="I74" s="743">
        <f t="shared" si="9"/>
        <v>0.7142857142857143</v>
      </c>
      <c r="J74" s="736">
        <f t="shared" si="27"/>
        <v>176.05930028972881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38">
        <v>43160</v>
      </c>
      <c r="AP74" s="13">
        <f t="shared" si="11"/>
        <v>3</v>
      </c>
      <c r="AQ74" s="13">
        <f t="shared" si="12"/>
        <v>4</v>
      </c>
      <c r="AR74" s="169">
        <f t="shared" si="13"/>
        <v>43136</v>
      </c>
      <c r="AS74" s="743">
        <f t="shared" si="14"/>
        <v>0.8571428571428571</v>
      </c>
      <c r="AT74" s="759">
        <f t="shared" si="15"/>
        <v>176.06695772601023</v>
      </c>
      <c r="AU74" s="13">
        <f t="shared" si="16"/>
        <v>3</v>
      </c>
      <c r="AV74" s="13">
        <f t="shared" si="17"/>
        <v>4</v>
      </c>
      <c r="AW74" s="169">
        <f t="shared" si="18"/>
        <v>43150</v>
      </c>
      <c r="AX74" s="743">
        <f t="shared" si="19"/>
        <v>0.35714285714285715</v>
      </c>
      <c r="AY74" s="759">
        <f t="shared" si="20"/>
        <v>175.63299471511104</v>
      </c>
      <c r="AZ74" s="736">
        <f t="shared" si="26"/>
        <v>175.84997622056062</v>
      </c>
      <c r="BA74" s="633">
        <f t="shared" si="21"/>
        <v>1.0006732370823297</v>
      </c>
      <c r="BC74" s="11">
        <v>43160</v>
      </c>
      <c r="BD74" s="286">
        <f>[2]!FeuilCaduc*(1-Persistant)+Persistant</f>
        <v>0.60294302996164917</v>
      </c>
      <c r="BE74" s="287">
        <f>[2]!CroissVégét</f>
        <v>1.4143631071573595E-2</v>
      </c>
      <c r="BF74" s="806">
        <f>1+[2]!Salcycl*Ksac</f>
        <v>1.0003678787452062</v>
      </c>
      <c r="BH74" s="1036">
        <f t="shared" si="22"/>
        <v>6.1326937285826472E-3</v>
      </c>
      <c r="BI74" s="11">
        <v>44256</v>
      </c>
      <c r="BJ74" s="716">
        <v>1.1117711532067291E-3</v>
      </c>
      <c r="BK74" s="716">
        <v>1.9534708421517035E-3</v>
      </c>
      <c r="BL74" s="716">
        <v>2.8752490035132035E-3</v>
      </c>
      <c r="BM74" s="716">
        <v>3.9380775990805047E-3</v>
      </c>
      <c r="BN74" s="716">
        <v>4.9277940718597006E-3</v>
      </c>
      <c r="BO74" s="717">
        <v>6.1454434600737877E-3</v>
      </c>
      <c r="BP74" s="716">
        <v>7.6343128187209329E-3</v>
      </c>
      <c r="BQ74" s="716">
        <v>9.4499490098554646E-3</v>
      </c>
      <c r="BR74" s="716">
        <v>1.1790260789370149E-2</v>
      </c>
      <c r="BS74" s="716">
        <v>1.462731874082801E-2</v>
      </c>
      <c r="BT74" s="716">
        <v>1.7829097691466612E-2</v>
      </c>
      <c r="BW74" s="1166">
        <f>'2022'!R\Max</f>
        <v>1.0006732370823297</v>
      </c>
      <c r="BX74" s="1167">
        <f>'2023'!R\Max</f>
        <v>1.0006732370823299</v>
      </c>
      <c r="BY74" s="1167">
        <f>'2024'!R\Max</f>
        <v>1.0006732370823297</v>
      </c>
      <c r="BZ74" s="1167">
        <f>'2025'!R\Max</f>
        <v>1.0006732370823301</v>
      </c>
      <c r="CA74" s="1167">
        <f>'2026'!R\Max</f>
        <v>1.0006732370823299</v>
      </c>
      <c r="CB74" s="1167">
        <f>'2027'!R\Max</f>
        <v>1.0006732370823297</v>
      </c>
      <c r="CC74" s="1168">
        <f>'2028'!R\Max</f>
        <v>1.0006732370823299</v>
      </c>
      <c r="CD74" s="1167">
        <f>'2029'!R\Max</f>
        <v>1.0006732370823299</v>
      </c>
      <c r="CE74" s="1167">
        <f>'2030'!R\Max</f>
        <v>1.0006732370823301</v>
      </c>
      <c r="CF74" s="1169">
        <f>'2031'!R\Max</f>
        <v>1.0006732370823301</v>
      </c>
    </row>
    <row r="75" spans="1:84" s="6" customFormat="1" ht="11.25" x14ac:dyDescent="0.2">
      <c r="A75" s="11">
        <v>43161</v>
      </c>
      <c r="B75" s="375">
        <f>'2022'!Maxi_hp</f>
        <v>53.920842364129726</v>
      </c>
      <c r="C75" s="13">
        <f>'2022'!An_max</f>
        <v>2022</v>
      </c>
      <c r="D75" s="1045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69">
        <f t="shared" si="8"/>
        <v>43150</v>
      </c>
      <c r="I75" s="743">
        <f t="shared" si="9"/>
        <v>0.7857142857142857</v>
      </c>
      <c r="J75" s="736">
        <f t="shared" si="27"/>
        <v>177.55928963068874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38">
        <v>43161</v>
      </c>
      <c r="AP75" s="13">
        <f t="shared" si="11"/>
        <v>3</v>
      </c>
      <c r="AQ75" s="13">
        <f t="shared" si="12"/>
        <v>4</v>
      </c>
      <c r="AR75" s="169">
        <f t="shared" si="13"/>
        <v>43136</v>
      </c>
      <c r="AS75" s="743">
        <f t="shared" si="14"/>
        <v>0.8928571428571429</v>
      </c>
      <c r="AT75" s="759">
        <f t="shared" si="15"/>
        <v>177.57707168992076</v>
      </c>
      <c r="AU75" s="13">
        <f t="shared" si="16"/>
        <v>3</v>
      </c>
      <c r="AV75" s="13">
        <f t="shared" si="17"/>
        <v>4</v>
      </c>
      <c r="AW75" s="169">
        <f t="shared" si="18"/>
        <v>43150</v>
      </c>
      <c r="AX75" s="743">
        <f t="shared" si="19"/>
        <v>0.39285714285714285</v>
      </c>
      <c r="AY75" s="759">
        <f t="shared" si="20"/>
        <v>177.13791376729827</v>
      </c>
      <c r="AZ75" s="736">
        <f t="shared" si="26"/>
        <v>177.35749272860951</v>
      </c>
      <c r="BA75" s="633">
        <f t="shared" si="21"/>
        <v>0.30367795724054436</v>
      </c>
      <c r="BC75" s="11">
        <v>43161</v>
      </c>
      <c r="BD75" s="286">
        <f>[2]!FeuilCaduc*(1-Persistant)+Persistant</f>
        <v>0.60304503895556516</v>
      </c>
      <c r="BE75" s="287">
        <f>[2]!CroissVégét</f>
        <v>1.47848730100967E-2</v>
      </c>
      <c r="BF75" s="806">
        <f>1+[2]!Salcycl*Ksac</f>
        <v>1.0003806298694458</v>
      </c>
      <c r="BH75" s="1036">
        <f t="shared" si="22"/>
        <v>5.8196603049483911E-3</v>
      </c>
      <c r="BI75" s="11">
        <v>44257</v>
      </c>
      <c r="BJ75" s="716">
        <v>1.019474384314117E-3</v>
      </c>
      <c r="BK75" s="716">
        <v>1.8214593557670678E-3</v>
      </c>
      <c r="BL75" s="716">
        <v>2.6999607623570537E-3</v>
      </c>
      <c r="BM75" s="716">
        <v>3.7149165748860866E-3</v>
      </c>
      <c r="BN75" s="716">
        <v>4.6603657899823752E-3</v>
      </c>
      <c r="BO75" s="717">
        <v>5.8319274623855237E-3</v>
      </c>
      <c r="BP75" s="716">
        <v>7.2741104598218103E-3</v>
      </c>
      <c r="BQ75" s="716">
        <v>9.0453533136118161E-3</v>
      </c>
      <c r="BR75" s="716">
        <v>1.1275424476281522E-2</v>
      </c>
      <c r="BS75" s="716">
        <v>1.3946195343850975E-2</v>
      </c>
      <c r="BT75" s="716">
        <v>1.6924448909587129E-2</v>
      </c>
      <c r="BW75" s="1166">
        <f>'2022'!R\Max</f>
        <v>0.30367795724054436</v>
      </c>
      <c r="BX75" s="1167">
        <f>'2023'!R\Max</f>
        <v>0.30366475943597415</v>
      </c>
      <c r="BY75" s="1167">
        <f>'2024'!R\Max</f>
        <v>0.30365154636051528</v>
      </c>
      <c r="BZ75" s="1167">
        <f>'2025'!R\Max</f>
        <v>0.30363533703924761</v>
      </c>
      <c r="CA75" s="1167">
        <f>'2026'!R\Max</f>
        <v>0.30361910914673557</v>
      </c>
      <c r="CB75" s="1167">
        <f>'2027'!R\Max</f>
        <v>0.30359870340057904</v>
      </c>
      <c r="CC75" s="1168">
        <f>'2028'!R\Max</f>
        <v>0.30357827175631802</v>
      </c>
      <c r="CD75" s="1167">
        <f>'2029'!R\Max</f>
        <v>0.30355382731737202</v>
      </c>
      <c r="CE75" s="1167">
        <f>'2030'!R\Max</f>
        <v>0.30366541977546047</v>
      </c>
      <c r="CF75" s="1169">
        <f>'2031'!R\Max</f>
        <v>0.30365220670030513</v>
      </c>
    </row>
    <row r="76" spans="1:84" s="6" customFormat="1" ht="11.25" x14ac:dyDescent="0.2">
      <c r="A76" s="11">
        <v>43162</v>
      </c>
      <c r="B76" s="375">
        <f>'2022'!Maxi_hp</f>
        <v>162.57970315575704</v>
      </c>
      <c r="C76" s="13">
        <f>'2022'!An_max</f>
        <v>2022</v>
      </c>
      <c r="D76" s="1045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69">
        <f t="shared" si="8"/>
        <v>43150</v>
      </c>
      <c r="I76" s="743">
        <f t="shared" si="9"/>
        <v>0.8571428571428571</v>
      </c>
      <c r="J76" s="736">
        <f t="shared" si="27"/>
        <v>179.04648396420691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38">
        <v>43162</v>
      </c>
      <c r="AP76" s="13">
        <f t="shared" si="11"/>
        <v>3</v>
      </c>
      <c r="AQ76" s="13">
        <f t="shared" si="12"/>
        <v>4</v>
      </c>
      <c r="AR76" s="169">
        <f t="shared" si="13"/>
        <v>43136</v>
      </c>
      <c r="AS76" s="743">
        <f t="shared" si="14"/>
        <v>0.9285714285714286</v>
      </c>
      <c r="AT76" s="759">
        <f t="shared" si="15"/>
        <v>179.06664076266543</v>
      </c>
      <c r="AU76" s="13">
        <f t="shared" si="16"/>
        <v>3</v>
      </c>
      <c r="AV76" s="13">
        <f t="shared" si="17"/>
        <v>4</v>
      </c>
      <c r="AW76" s="169">
        <f t="shared" si="18"/>
        <v>43150</v>
      </c>
      <c r="AX76" s="743">
        <f t="shared" si="19"/>
        <v>0.42857142857142855</v>
      </c>
      <c r="AY76" s="759">
        <f t="shared" si="20"/>
        <v>178.6400801749634</v>
      </c>
      <c r="AZ76" s="736">
        <f t="shared" si="26"/>
        <v>178.8533604688144</v>
      </c>
      <c r="BA76" s="633">
        <f t="shared" si="21"/>
        <v>0.90803069435453565</v>
      </c>
      <c r="BC76" s="11">
        <v>43162</v>
      </c>
      <c r="BD76" s="286">
        <f>[2]!FeuilCaduc*(1-Persistant)+Persistant</f>
        <v>0.60314754291252048</v>
      </c>
      <c r="BE76" s="287">
        <f>[2]!CroissVégét</f>
        <v>1.5452129829812465E-2</v>
      </c>
      <c r="BF76" s="806">
        <f>1+[2]!Salcycl*Ksac</f>
        <v>1.0003934428640651</v>
      </c>
      <c r="BH76" s="1036">
        <f t="shared" si="22"/>
        <v>5.5065427764378321E-3</v>
      </c>
      <c r="BI76" s="11">
        <v>44258</v>
      </c>
      <c r="BJ76" s="716">
        <v>9.3982940088199805E-4</v>
      </c>
      <c r="BK76" s="716">
        <v>1.6990277311565289E-3</v>
      </c>
      <c r="BL76" s="716">
        <v>2.5309342825375909E-3</v>
      </c>
      <c r="BM76" s="716">
        <v>3.4942624724145933E-3</v>
      </c>
      <c r="BN76" s="716">
        <v>4.394677357991629E-3</v>
      </c>
      <c r="BO76" s="717">
        <v>5.5183080595137927E-3</v>
      </c>
      <c r="BP76" s="716">
        <v>6.9107807859090029E-3</v>
      </c>
      <c r="BQ76" s="716">
        <v>8.6330630049161975E-3</v>
      </c>
      <c r="BR76" s="716">
        <v>1.0760414814491149E-2</v>
      </c>
      <c r="BS76" s="716">
        <v>1.3283032684579628E-2</v>
      </c>
      <c r="BT76" s="716">
        <v>1.6067145218483132E-2</v>
      </c>
      <c r="BW76" s="1166">
        <f>'2022'!R\Max</f>
        <v>0.90803069435453565</v>
      </c>
      <c r="BX76" s="1167">
        <f>'2023'!R\Max</f>
        <v>0.90802570210087563</v>
      </c>
      <c r="BY76" s="1167">
        <f>'2024'!R\Max</f>
        <v>0.90802070418714798</v>
      </c>
      <c r="BZ76" s="1167">
        <f>'2025'!R\Max</f>
        <v>0.9080145285053921</v>
      </c>
      <c r="CA76" s="1167">
        <f>'2026'!R\Max</f>
        <v>0.90800834576833178</v>
      </c>
      <c r="CB76" s="1167">
        <f>'2027'!R\Max</f>
        <v>0.90800071610784194</v>
      </c>
      <c r="CC76" s="1168">
        <f>'2028'!R\Max</f>
        <v>0.90799307761436454</v>
      </c>
      <c r="CD76" s="1167">
        <f>'2029'!R\Max</f>
        <v>0.90798402656680222</v>
      </c>
      <c r="CE76" s="1167">
        <f>'2030'!R\Max</f>
        <v>0.90802595186819901</v>
      </c>
      <c r="CF76" s="1169">
        <f>'2031'!R\Max</f>
        <v>0.90802095397264859</v>
      </c>
    </row>
    <row r="77" spans="1:84" s="6" customFormat="1" ht="11.25" x14ac:dyDescent="0.2">
      <c r="A77" s="11">
        <v>43163</v>
      </c>
      <c r="B77" s="375">
        <f>'2022'!Maxi_hp</f>
        <v>20.760372655450283</v>
      </c>
      <c r="C77" s="13">
        <f>'2022'!An_max</f>
        <v>2022</v>
      </c>
      <c r="D77" s="1045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69">
        <f t="shared" si="8"/>
        <v>43150</v>
      </c>
      <c r="I77" s="743">
        <f t="shared" si="9"/>
        <v>0.9285714285714286</v>
      </c>
      <c r="J77" s="736">
        <f t="shared" si="27"/>
        <v>180.51926138829441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38">
        <v>43163</v>
      </c>
      <c r="AP77" s="13">
        <f t="shared" si="11"/>
        <v>3</v>
      </c>
      <c r="AQ77" s="13">
        <f t="shared" si="12"/>
        <v>4</v>
      </c>
      <c r="AR77" s="169">
        <f t="shared" si="13"/>
        <v>43136</v>
      </c>
      <c r="AS77" s="743">
        <f t="shared" si="14"/>
        <v>0.9642857142857143</v>
      </c>
      <c r="AT77" s="759">
        <f t="shared" si="15"/>
        <v>180.53362888385143</v>
      </c>
      <c r="AU77" s="13">
        <f t="shared" si="16"/>
        <v>3</v>
      </c>
      <c r="AV77" s="13">
        <f t="shared" si="17"/>
        <v>4</v>
      </c>
      <c r="AW77" s="169">
        <f t="shared" si="18"/>
        <v>43150</v>
      </c>
      <c r="AX77" s="743">
        <f t="shared" si="19"/>
        <v>0.4642857142857143</v>
      </c>
      <c r="AY77" s="759">
        <f t="shared" si="20"/>
        <v>180.13822079944492</v>
      </c>
      <c r="AZ77" s="736">
        <f t="shared" si="26"/>
        <v>180.33592484164819</v>
      </c>
      <c r="BA77" s="633">
        <f t="shared" si="21"/>
        <v>0.11500364280127987</v>
      </c>
      <c r="BC77" s="11">
        <v>43163</v>
      </c>
      <c r="BD77" s="286">
        <f>[2]!FeuilCaduc*(1-Persistant)+Persistant</f>
        <v>0.60325163457719966</v>
      </c>
      <c r="BE77" s="287">
        <f>[2]!CroissVégét</f>
        <v>1.6146418920009037E-2</v>
      </c>
      <c r="BF77" s="806">
        <f>1+[2]!Salcycl*Ksac</f>
        <v>1.00040645432215</v>
      </c>
      <c r="BH77" s="1036">
        <f t="shared" si="22"/>
        <v>5.1933393034559417E-3</v>
      </c>
      <c r="BI77" s="11">
        <v>44259</v>
      </c>
      <c r="BJ77" s="716">
        <v>8.728361062812544E-4</v>
      </c>
      <c r="BK77" s="716">
        <v>1.5861755631582306E-3</v>
      </c>
      <c r="BL77" s="716">
        <v>2.3681688217923949E-3</v>
      </c>
      <c r="BM77" s="716">
        <v>3.2761141615579889E-3</v>
      </c>
      <c r="BN77" s="716">
        <v>4.1307273338991061E-3</v>
      </c>
      <c r="BO77" s="717">
        <v>5.2045834076562608E-3</v>
      </c>
      <c r="BP77" s="716">
        <v>6.5443214458148352E-3</v>
      </c>
      <c r="BQ77" s="716">
        <v>8.2130750952172146E-3</v>
      </c>
      <c r="BR77" s="716">
        <v>1.0245228247987131E-2</v>
      </c>
      <c r="BS77" s="716">
        <v>1.2637826689309272E-2</v>
      </c>
      <c r="BT77" s="716">
        <v>1.5257182129365783E-2</v>
      </c>
      <c r="BW77" s="1166">
        <f>'2022'!R\Max</f>
        <v>0.11500364280127987</v>
      </c>
      <c r="BX77" s="1167">
        <f>'2023'!R\Max</f>
        <v>0.11499904929224061</v>
      </c>
      <c r="BY77" s="1167">
        <f>'2024'!R\Max</f>
        <v>0.11499445140770417</v>
      </c>
      <c r="BZ77" s="1167">
        <f>'2025'!R\Max</f>
        <v>0.1149887297800754</v>
      </c>
      <c r="CA77" s="1167">
        <f>'2026'!R\Max</f>
        <v>0.11498300273763787</v>
      </c>
      <c r="CB77" s="1167">
        <f>'2027'!R\Max</f>
        <v>0.11497603451532785</v>
      </c>
      <c r="CC77" s="1168">
        <f>'2028'!R\Max</f>
        <v>0.11496906031194577</v>
      </c>
      <c r="CD77" s="1167">
        <f>'2029'!R\Max</f>
        <v>0.11496085501910518</v>
      </c>
      <c r="CE77" s="1167">
        <f>'2030'!R\Max</f>
        <v>0.1149992790771575</v>
      </c>
      <c r="CF77" s="1169">
        <f>'2031'!R\Max</f>
        <v>0.11499468119262102</v>
      </c>
    </row>
    <row r="78" spans="1:84" s="6" customFormat="1" ht="11.25" x14ac:dyDescent="0.2">
      <c r="A78" s="11">
        <v>43164</v>
      </c>
      <c r="B78" s="375">
        <f>'2022'!Maxi_hp</f>
        <v>68.562079160993505</v>
      </c>
      <c r="C78" s="13">
        <f>'2022'!An_max</f>
        <v>2022</v>
      </c>
      <c r="D78" s="1045" t="str">
        <f t="shared" si="7"/>
        <v/>
      </c>
      <c r="E78" s="1040">
        <f>R$13/10</f>
        <v>181.976</v>
      </c>
      <c r="F78" s="13">
        <f t="shared" si="23"/>
        <v>7</v>
      </c>
      <c r="G78" s="13">
        <f t="shared" si="24"/>
        <v>6</v>
      </c>
      <c r="H78" s="169">
        <f t="shared" si="8"/>
        <v>43178</v>
      </c>
      <c r="I78" s="743">
        <f t="shared" si="9"/>
        <v>1</v>
      </c>
      <c r="J78" s="736">
        <f t="shared" si="27"/>
        <v>181.97599999904634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38">
        <v>43164</v>
      </c>
      <c r="AP78" s="13">
        <f t="shared" si="11"/>
        <v>5</v>
      </c>
      <c r="AQ78" s="13">
        <f t="shared" si="12"/>
        <v>4</v>
      </c>
      <c r="AR78" s="169">
        <f t="shared" si="13"/>
        <v>43192</v>
      </c>
      <c r="AS78" s="743">
        <f t="shared" si="14"/>
        <v>1</v>
      </c>
      <c r="AT78" s="759">
        <f t="shared" si="15"/>
        <v>181.97599999904634</v>
      </c>
      <c r="AU78" s="13">
        <f t="shared" si="16"/>
        <v>3</v>
      </c>
      <c r="AV78" s="13">
        <f t="shared" si="17"/>
        <v>4</v>
      </c>
      <c r="AW78" s="169">
        <f t="shared" si="18"/>
        <v>43150</v>
      </c>
      <c r="AX78" s="743">
        <f t="shared" si="19"/>
        <v>0.5</v>
      </c>
      <c r="AY78" s="759">
        <f t="shared" si="20"/>
        <v>181.63106249962001</v>
      </c>
      <c r="AZ78" s="736">
        <f t="shared" si="26"/>
        <v>181.80353124933316</v>
      </c>
      <c r="BA78" s="633">
        <f t="shared" si="21"/>
        <v>0.37676440388486837</v>
      </c>
      <c r="BC78" s="11">
        <v>43164</v>
      </c>
      <c r="BD78" s="286">
        <f>[2]!FeuilCaduc*(1-Persistant)+Persistant</f>
        <v>0.60335856466298265</v>
      </c>
      <c r="BE78" s="287">
        <f>[2]!CroissVégét</f>
        <v>1.6868794263800321E-2</v>
      </c>
      <c r="BF78" s="806">
        <f>1+[2]!Salcycl*Ksac</f>
        <v>1.0004198205828729</v>
      </c>
      <c r="BH78" s="1036">
        <f t="shared" si="22"/>
        <v>4.8800484359840472E-3</v>
      </c>
      <c r="BI78" s="11">
        <v>44260</v>
      </c>
      <c r="BJ78" s="716">
        <v>8.1849448952082894E-4</v>
      </c>
      <c r="BK78" s="716">
        <v>1.4829025887312499E-3</v>
      </c>
      <c r="BL78" s="716">
        <v>2.2116638414612275E-3</v>
      </c>
      <c r="BM78" s="716">
        <v>3.0604707840158466E-3</v>
      </c>
      <c r="BN78" s="716">
        <v>3.8685146043573905E-3</v>
      </c>
      <c r="BO78" s="717">
        <v>4.8907520532317436E-3</v>
      </c>
      <c r="BP78" s="716">
        <v>6.1747305436414606E-3</v>
      </c>
      <c r="BQ78" s="716">
        <v>7.785387116990612E-3</v>
      </c>
      <c r="BR78" s="716">
        <v>9.7298618615772516E-3</v>
      </c>
      <c r="BS78" s="716">
        <v>1.2010574090194572E-2</v>
      </c>
      <c r="BT78" s="716">
        <v>1.4494556169604258E-2</v>
      </c>
      <c r="BW78" s="1166">
        <f>'2022'!R\Max</f>
        <v>0.37676440388486837</v>
      </c>
      <c r="BX78" s="1167">
        <f>'2023'!R\Max</f>
        <v>0.37675166193768916</v>
      </c>
      <c r="BY78" s="1167">
        <f>'2024'!R\Max</f>
        <v>0.3767389092965911</v>
      </c>
      <c r="BZ78" s="1167">
        <f>'2025'!R\Max</f>
        <v>0.37672292511169181</v>
      </c>
      <c r="CA78" s="1167">
        <f>'2026'!R\Max</f>
        <v>0.37670692754390839</v>
      </c>
      <c r="CB78" s="1167">
        <f>'2027'!R\Max</f>
        <v>0.37668762766782948</v>
      </c>
      <c r="CC78" s="1168">
        <f>'2028'!R\Max</f>
        <v>0.3766683140421529</v>
      </c>
      <c r="CD78" s="1167">
        <f>'2029'!R\Max</f>
        <v>0.3766456740095242</v>
      </c>
      <c r="CE78" s="1167">
        <f>'2030'!R\Max</f>
        <v>0.37675229926377318</v>
      </c>
      <c r="CF78" s="1169">
        <f>'2031'!R\Max</f>
        <v>0.37673954662798925</v>
      </c>
    </row>
    <row r="79" spans="1:84" s="6" customFormat="1" ht="11.25" x14ac:dyDescent="0.2">
      <c r="A79" s="11">
        <v>43165</v>
      </c>
      <c r="B79" s="375">
        <f>'2022'!Maxi_hp</f>
        <v>96.802876321766419</v>
      </c>
      <c r="C79" s="13">
        <f>'2022'!An_max</f>
        <v>2022</v>
      </c>
      <c r="D79" s="1045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69">
        <f t="shared" ref="H79:H142" si="61">INDEX(x.2m,F79)</f>
        <v>43178</v>
      </c>
      <c r="I79" s="743">
        <f t="shared" ref="I79:I142" si="62">($A79-H79)/(INDEX(x.2m,G79)-H79)</f>
        <v>0.9285714285714286</v>
      </c>
      <c r="J79" s="736">
        <f t="shared" ref="J79:J142" si="63">((1-I79)*(INDEX(a.m,F79)*$A79*$A79+INDEX(b.m,F79)*$A79+INDEX(c.m,F79))+I79*(INDEX(a.m,G79)*$A79*$A79+INDEX(b.m,G79)*$A79+INDEX(c.m,G79)))/10</f>
        <v>183.41811169811658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38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69">
        <f t="shared" ref="AR79:AR142" si="66">INDEX(x.2lg,AP79)</f>
        <v>43192</v>
      </c>
      <c r="AS79" s="743">
        <f t="shared" ref="AS79:AS142" si="67">($A79-AR79)/(INDEX(x.2lg,AQ79)-AR79)</f>
        <v>0.9642857142857143</v>
      </c>
      <c r="AT79" s="759">
        <f t="shared" ref="AT79:AT142" si="68">((1-AS79)*(INDEX(a.lg,AP79)*$A79*$A79+INDEX(b.lg,AP79)*$A79+INDEX(c.lg,AP79))+AS79*(INDEX(a.lg,AQ79)*$A79*$A79+INDEX(b.lg,AQ79)*$A79+INDEX(c.lg,AQ79)))/10</f>
        <v>183.4071100909263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69">
        <f t="shared" ref="AW79:AW142" si="71">INDEX(x.2ld,AU79)</f>
        <v>43150</v>
      </c>
      <c r="AX79" s="743">
        <f t="shared" ref="AX79:AX142" si="72">($A79-AW79)/(INDEX(x.2ld,AV79)-AW79)</f>
        <v>0.5357142857142857</v>
      </c>
      <c r="AY79" s="759">
        <f t="shared" ref="AY79:AY142" si="73">((1-AX79)*(INDEX(a.ld,AU79)*$A79*$A79+INDEX(b.ld,AU79)*$A79+INDEX(c.ld,AU79))+AX79*(INDEX(a.ld,AV79)*$A79*$A79+INDEX(b.ld,AV79)*$A79+INDEX(c.ld,AV79)))/10</f>
        <v>183.1173321341098</v>
      </c>
      <c r="AZ79" s="736">
        <f t="shared" si="26"/>
        <v>183.26222111251803</v>
      </c>
      <c r="BA79" s="633">
        <f t="shared" ref="BA79:BA142" si="74">+B79/J79</f>
        <v>0.52777163294043683</v>
      </c>
      <c r="BC79" s="11">
        <v>43165</v>
      </c>
      <c r="BD79" s="286">
        <f>[2]!FeuilCaduc*(1-Persistant)+Persistant</f>
        <v>0.60346974009977061</v>
      </c>
      <c r="BE79" s="287">
        <f>[2]!CroissVégét</f>
        <v>1.7620347483596571E-2</v>
      </c>
      <c r="BF79" s="806">
        <f>1+[2]!Salcycl*Ksac</f>
        <v>1.0004337175124713</v>
      </c>
      <c r="BH79" s="1036">
        <f t="shared" ref="BH79:BH142" si="75">INDEX($BJ79:$BT79,,$BH$10)*(1-Ratini)+INDEX($BJ79:$BT79,,$BH$10+1)*Ratini</f>
        <v>4.5666691138244158E-3</v>
      </c>
      <c r="BI79" s="11">
        <v>44261</v>
      </c>
      <c r="BJ79" s="716">
        <v>7.768045859041921E-4</v>
      </c>
      <c r="BK79" s="716">
        <v>1.3892086571616431E-3</v>
      </c>
      <c r="BL79" s="716">
        <v>2.0614189870069122E-3</v>
      </c>
      <c r="BM79" s="716">
        <v>2.8473317454887591E-3</v>
      </c>
      <c r="BN79" s="716">
        <v>3.6080383792360155E-3</v>
      </c>
      <c r="BO79" s="717">
        <v>4.5768129331847755E-3</v>
      </c>
      <c r="BP79" s="716">
        <v>5.8020066484647829E-3</v>
      </c>
      <c r="BQ79" s="716">
        <v>7.3499971476412886E-3</v>
      </c>
      <c r="BR79" s="716">
        <v>9.2143133813983088E-3</v>
      </c>
      <c r="BS79" s="716">
        <v>1.1401272369364515E-2</v>
      </c>
      <c r="BT79" s="716">
        <v>1.3779264735462579E-2</v>
      </c>
      <c r="BW79" s="1166">
        <f>'2022'!R\Max</f>
        <v>0.52777163294043683</v>
      </c>
      <c r="BX79" s="1167">
        <f>'2023'!R\Max</f>
        <v>0.52775882519353234</v>
      </c>
      <c r="BY79" s="1167">
        <f>'2024'!R\Max</f>
        <v>0.52774600823775442</v>
      </c>
      <c r="BZ79" s="1167">
        <f>'2025'!R\Max</f>
        <v>0.52772982523828382</v>
      </c>
      <c r="CA79" s="1167">
        <f>'2026'!R\Max</f>
        <v>0.52771363054315601</v>
      </c>
      <c r="CB79" s="1167">
        <f>'2027'!R\Max</f>
        <v>0.52769413688336453</v>
      </c>
      <c r="CC79" s="1168">
        <f>'2028'!R\Max</f>
        <v>0.52767463153510197</v>
      </c>
      <c r="CD79" s="1167">
        <f>'2029'!R\Max</f>
        <v>0.52765176087615062</v>
      </c>
      <c r="CE79" s="1167">
        <f>'2030'!R\Max</f>
        <v>0.52775946572873367</v>
      </c>
      <c r="CF79" s="1169">
        <f>'2031'!R\Max</f>
        <v>0.52774664878796118</v>
      </c>
    </row>
    <row r="80" spans="1:84" s="6" customFormat="1" ht="11.25" x14ac:dyDescent="0.2">
      <c r="A80" s="11">
        <v>43166</v>
      </c>
      <c r="B80" s="375">
        <f>'2022'!Maxi_hp</f>
        <v>143.82262435298446</v>
      </c>
      <c r="C80" s="13">
        <f>'2022'!An_max</f>
        <v>2022</v>
      </c>
      <c r="D80" s="1045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69">
        <f t="shared" si="61"/>
        <v>43178</v>
      </c>
      <c r="I80" s="743">
        <f t="shared" si="62"/>
        <v>0.8571428571428571</v>
      </c>
      <c r="J80" s="736">
        <f t="shared" si="63"/>
        <v>184.84840379059315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38">
        <v>43166</v>
      </c>
      <c r="AP80" s="13">
        <f t="shared" si="64"/>
        <v>5</v>
      </c>
      <c r="AQ80" s="13">
        <f t="shared" si="65"/>
        <v>4</v>
      </c>
      <c r="AR80" s="169">
        <f t="shared" si="66"/>
        <v>43192</v>
      </c>
      <c r="AS80" s="743">
        <f t="shared" si="67"/>
        <v>0.9285714285714286</v>
      </c>
      <c r="AT80" s="759">
        <f t="shared" si="68"/>
        <v>184.84085012887206</v>
      </c>
      <c r="AU80" s="13">
        <f t="shared" si="69"/>
        <v>3</v>
      </c>
      <c r="AV80" s="13">
        <f t="shared" si="70"/>
        <v>4</v>
      </c>
      <c r="AW80" s="169">
        <f t="shared" si="71"/>
        <v>43150</v>
      </c>
      <c r="AX80" s="743">
        <f t="shared" si="72"/>
        <v>0.5714285714285714</v>
      </c>
      <c r="AY80" s="759">
        <f t="shared" si="73"/>
        <v>184.5957565598988</v>
      </c>
      <c r="AZ80" s="736">
        <f t="shared" ref="AZ80:AZ143" si="77">(AY80+AT80)/2</f>
        <v>184.71830334438545</v>
      </c>
      <c r="BA80" s="633">
        <f t="shared" si="74"/>
        <v>0.77805716145601644</v>
      </c>
      <c r="BC80" s="11">
        <v>43166</v>
      </c>
      <c r="BD80" s="286">
        <f>[2]!FeuilCaduc*(1-Persistant)+Persistant</f>
        <v>0.60358672126890556</v>
      </c>
      <c r="BE80" s="287">
        <f>[2]!CroissVégét</f>
        <v>1.8402208892467707E-2</v>
      </c>
      <c r="BF80" s="806">
        <f>1+[2]!Salcycl*Ksac</f>
        <v>1.0004483401586133</v>
      </c>
      <c r="BH80" s="1036">
        <f t="shared" si="75"/>
        <v>4.2738076548912178E-3</v>
      </c>
      <c r="BI80" s="11">
        <v>44262</v>
      </c>
      <c r="BJ80" s="716">
        <v>7.4979977096379497E-4</v>
      </c>
      <c r="BK80" s="716">
        <v>1.3104619113875424E-3</v>
      </c>
      <c r="BL80" s="716">
        <v>1.9265543512352141E-3</v>
      </c>
      <c r="BM80" s="716">
        <v>2.6501706224712203E-3</v>
      </c>
      <c r="BN80" s="716">
        <v>3.3660255304566837E-3</v>
      </c>
      <c r="BO80" s="717">
        <v>4.2834134160634595E-3</v>
      </c>
      <c r="BP80" s="716">
        <v>5.4511964473754025E-3</v>
      </c>
      <c r="BQ80" s="716">
        <v>6.9366535123089081E-3</v>
      </c>
      <c r="BR80" s="716">
        <v>8.7331680738012025E-3</v>
      </c>
      <c r="BS80" s="716">
        <v>1.084900111222647E-2</v>
      </c>
      <c r="BT80" s="716">
        <v>1.3154441869271406E-2</v>
      </c>
      <c r="BW80" s="1166">
        <f>'2022'!R\Max</f>
        <v>0.77805716145601644</v>
      </c>
      <c r="BX80" s="1167">
        <f>'2023'!R\Max</f>
        <v>0.77804876558398395</v>
      </c>
      <c r="BY80" s="1167">
        <f>'2024'!R\Max</f>
        <v>0.77804036474743032</v>
      </c>
      <c r="BZ80" s="1167">
        <f>'2025'!R\Max</f>
        <v>0.77802968385647253</v>
      </c>
      <c r="CA80" s="1167">
        <f>'2026'!R\Max</f>
        <v>0.77801899652921414</v>
      </c>
      <c r="CB80" s="1167">
        <f>'2027'!R\Max</f>
        <v>0.7780060760955666</v>
      </c>
      <c r="CC80" s="1168">
        <f>'2028'!R\Max</f>
        <v>0.77799314905241179</v>
      </c>
      <c r="CD80" s="1167">
        <f>'2029'!R\Max</f>
        <v>0.77797792896462925</v>
      </c>
      <c r="CE80" s="1167">
        <f>'2030'!R\Max</f>
        <v>0.77804918541583901</v>
      </c>
      <c r="CF80" s="1169">
        <f>'2031'!R\Max</f>
        <v>0.77804078459881265</v>
      </c>
    </row>
    <row r="81" spans="1:84" s="6" customFormat="1" ht="11.25" x14ac:dyDescent="0.2">
      <c r="A81" s="11">
        <v>43167</v>
      </c>
      <c r="B81" s="375">
        <f>'2022'!Maxi_hp</f>
        <v>132.61599951897398</v>
      </c>
      <c r="C81" s="13">
        <f>'2022'!An_max</f>
        <v>2022</v>
      </c>
      <c r="D81" s="1045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69">
        <f t="shared" si="61"/>
        <v>43178</v>
      </c>
      <c r="I81" s="743">
        <f t="shared" si="62"/>
        <v>0.7857142857142857</v>
      </c>
      <c r="J81" s="736">
        <f t="shared" si="63"/>
        <v>186.26734748429487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38">
        <v>43167</v>
      </c>
      <c r="AP81" s="13">
        <f t="shared" si="64"/>
        <v>5</v>
      </c>
      <c r="AQ81" s="13">
        <f t="shared" si="65"/>
        <v>4</v>
      </c>
      <c r="AR81" s="169">
        <f t="shared" si="66"/>
        <v>43192</v>
      </c>
      <c r="AS81" s="743">
        <f t="shared" si="67"/>
        <v>0.8928571428571429</v>
      </c>
      <c r="AT81" s="759">
        <f t="shared" si="68"/>
        <v>186.27598652797087</v>
      </c>
      <c r="AU81" s="13">
        <f t="shared" si="69"/>
        <v>3</v>
      </c>
      <c r="AV81" s="13">
        <f t="shared" si="70"/>
        <v>4</v>
      </c>
      <c r="AW81" s="169">
        <f t="shared" si="71"/>
        <v>43150</v>
      </c>
      <c r="AX81" s="743">
        <f t="shared" si="72"/>
        <v>0.6071428571428571</v>
      </c>
      <c r="AY81" s="759">
        <f t="shared" si="73"/>
        <v>186.06506263547843</v>
      </c>
      <c r="AZ81" s="736">
        <f t="shared" si="77"/>
        <v>186.17052458172464</v>
      </c>
      <c r="BA81" s="633">
        <f t="shared" si="74"/>
        <v>0.71196589906964503</v>
      </c>
      <c r="BC81" s="11">
        <v>43167</v>
      </c>
      <c r="BD81" s="286">
        <f>[2]!FeuilCaduc*(1-Persistant)+Persistant</f>
        <v>0.6037112182714589</v>
      </c>
      <c r="BE81" s="287">
        <f>[2]!CroissVégét</f>
        <v>1.9215548548887868E-2</v>
      </c>
      <c r="BF81" s="806">
        <f>1+[2]!Salcycl*Ksac</f>
        <v>1.0004639022839323</v>
      </c>
      <c r="BH81" s="1036">
        <f t="shared" si="75"/>
        <v>4.019677986826487E-3</v>
      </c>
      <c r="BI81" s="11">
        <v>44263</v>
      </c>
      <c r="BJ81" s="716">
        <v>7.3335302237885285E-4</v>
      </c>
      <c r="BK81" s="716">
        <v>1.2474876284108872E-3</v>
      </c>
      <c r="BL81" s="716">
        <v>1.8132095694226233E-3</v>
      </c>
      <c r="BM81" s="716">
        <v>2.4809496766956354E-3</v>
      </c>
      <c r="BN81" s="716">
        <v>3.1572866717761001E-3</v>
      </c>
      <c r="BO81" s="717">
        <v>4.0288034419179823E-3</v>
      </c>
      <c r="BP81" s="716">
        <v>5.1443162750572351E-3</v>
      </c>
      <c r="BQ81" s="716">
        <v>6.5712481728806629E-3</v>
      </c>
      <c r="BR81" s="716">
        <v>8.3034307995861253E-3</v>
      </c>
      <c r="BS81" s="716">
        <v>1.0350727315243868E-2</v>
      </c>
      <c r="BT81" s="716">
        <v>1.258585400349254E-2</v>
      </c>
      <c r="BW81" s="1166">
        <f>'2022'!R\Max</f>
        <v>0.71196589906964503</v>
      </c>
      <c r="BX81" s="1167">
        <f>'2023'!R\Max</f>
        <v>0.71195644393061541</v>
      </c>
      <c r="BY81" s="1167">
        <f>'2024'!R\Max</f>
        <v>0.71194698486125985</v>
      </c>
      <c r="BZ81" s="1167">
        <f>'2025'!R\Max</f>
        <v>0.71193488912702529</v>
      </c>
      <c r="CA81" s="1167">
        <f>'2026'!R\Max</f>
        <v>0.7119227882457716</v>
      </c>
      <c r="CB81" s="1167">
        <f>'2027'!R\Max</f>
        <v>0.71190810241104696</v>
      </c>
      <c r="CC81" s="1168">
        <f>'2028'!R\Max</f>
        <v>0.71189341123961658</v>
      </c>
      <c r="CD81" s="1167">
        <f>'2029'!R\Max</f>
        <v>0.71187605098853624</v>
      </c>
      <c r="CE81" s="1167">
        <f>'2030'!R\Max</f>
        <v>0.71195691664977223</v>
      </c>
      <c r="CF81" s="1169">
        <f>'2031'!R\Max</f>
        <v>0.71194745759838196</v>
      </c>
    </row>
    <row r="82" spans="1:84" s="6" customFormat="1" ht="11.25" x14ac:dyDescent="0.2">
      <c r="A82" s="11">
        <v>43168</v>
      </c>
      <c r="B82" s="375">
        <f>'2022'!Maxi_hp</f>
        <v>142.86523052784904</v>
      </c>
      <c r="C82" s="13">
        <f>'2022'!An_max</f>
        <v>2022</v>
      </c>
      <c r="D82" s="1045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69">
        <f t="shared" si="61"/>
        <v>43178</v>
      </c>
      <c r="I82" s="743">
        <f t="shared" si="62"/>
        <v>0.7142857142857143</v>
      </c>
      <c r="J82" s="736">
        <f t="shared" si="63"/>
        <v>187.67541399385249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38">
        <v>43168</v>
      </c>
      <c r="AP82" s="13">
        <f t="shared" si="64"/>
        <v>5</v>
      </c>
      <c r="AQ82" s="13">
        <f t="shared" si="65"/>
        <v>4</v>
      </c>
      <c r="AR82" s="169">
        <f t="shared" si="66"/>
        <v>43192</v>
      </c>
      <c r="AS82" s="743">
        <f t="shared" si="67"/>
        <v>0.8571428571428571</v>
      </c>
      <c r="AT82" s="759">
        <f t="shared" si="68"/>
        <v>187.71128571374078</v>
      </c>
      <c r="AU82" s="13">
        <f t="shared" si="69"/>
        <v>3</v>
      </c>
      <c r="AV82" s="13">
        <f t="shared" si="70"/>
        <v>4</v>
      </c>
      <c r="AW82" s="169">
        <f t="shared" si="71"/>
        <v>43150</v>
      </c>
      <c r="AX82" s="743">
        <f t="shared" si="72"/>
        <v>0.6428571428571429</v>
      </c>
      <c r="AY82" s="759">
        <f t="shared" si="73"/>
        <v>187.5239772229788</v>
      </c>
      <c r="AZ82" s="736">
        <f t="shared" si="77"/>
        <v>187.61763146835978</v>
      </c>
      <c r="BA82" s="633">
        <f t="shared" si="74"/>
        <v>0.76123572868489175</v>
      </c>
      <c r="BC82" s="11">
        <v>43168</v>
      </c>
      <c r="BD82" s="286">
        <f>[2]!FeuilCaduc*(1-Persistant)+Persistant</f>
        <v>0.60384508628411104</v>
      </c>
      <c r="BE82" s="287">
        <f>[2]!CroissVégét</f>
        <v>2.0061577312061717E-2</v>
      </c>
      <c r="BF82" s="806">
        <f>1+[2]!Salcycl*Ksac</f>
        <v>1.0004806357855138</v>
      </c>
      <c r="BH82" s="1036">
        <f t="shared" si="75"/>
        <v>3.8042802359046549E-3</v>
      </c>
      <c r="BI82" s="11">
        <v>44264</v>
      </c>
      <c r="BJ82" s="716">
        <v>7.2746426209494908E-4</v>
      </c>
      <c r="BK82" s="716">
        <v>1.2002858080639065E-3</v>
      </c>
      <c r="BL82" s="716">
        <v>1.7213847236587671E-3</v>
      </c>
      <c r="BM82" s="716">
        <v>2.3396690693450388E-3</v>
      </c>
      <c r="BN82" s="716">
        <v>2.981821962862331E-3</v>
      </c>
      <c r="BO82" s="717">
        <v>3.8129831366694174E-3</v>
      </c>
      <c r="BP82" s="716">
        <v>4.8813661722588381E-3</v>
      </c>
      <c r="BQ82" s="716">
        <v>6.2537810062034726E-3</v>
      </c>
      <c r="BR82" s="716">
        <v>7.9251011974673328E-3</v>
      </c>
      <c r="BS82" s="716">
        <v>9.9064502922872315E-3</v>
      </c>
      <c r="BT82" s="716">
        <v>1.2073500073668567E-2</v>
      </c>
      <c r="BW82" s="1166">
        <f>'2022'!R\Max</f>
        <v>0.76123572868489175</v>
      </c>
      <c r="BX82" s="1167">
        <f>'2023'!R\Max</f>
        <v>0.76122775955271771</v>
      </c>
      <c r="BY82" s="1167">
        <f>'2024'!R\Max</f>
        <v>0.76121978854075323</v>
      </c>
      <c r="BZ82" s="1167">
        <f>'2025'!R\Max</f>
        <v>0.76120955072643648</v>
      </c>
      <c r="CA82" s="1167">
        <f>'2026'!R\Max</f>
        <v>0.76119931038315525</v>
      </c>
      <c r="CB82" s="1167">
        <f>'2027'!R\Max</f>
        <v>0.76118684098776668</v>
      </c>
      <c r="CC82" s="1168">
        <f>'2028'!R\Max</f>
        <v>0.76117436883900402</v>
      </c>
      <c r="CD82" s="1167">
        <f>'2029'!R\Max</f>
        <v>0.76115958412963636</v>
      </c>
      <c r="CE82" s="1167">
        <f>'2030'!R\Max</f>
        <v>0.76122815790535314</v>
      </c>
      <c r="CF82" s="1169">
        <f>'2031'!R\Max</f>
        <v>0.76122018690950399</v>
      </c>
    </row>
    <row r="83" spans="1:84" s="6" customFormat="1" ht="11.25" x14ac:dyDescent="0.2">
      <c r="A83" s="11">
        <v>43169</v>
      </c>
      <c r="B83" s="375">
        <f>'2022'!Maxi_hp</f>
        <v>102.6999251260078</v>
      </c>
      <c r="C83" s="13">
        <f>'2022'!An_max</f>
        <v>2022</v>
      </c>
      <c r="D83" s="1045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69">
        <f t="shared" si="61"/>
        <v>43178</v>
      </c>
      <c r="I83" s="743">
        <f t="shared" si="62"/>
        <v>0.6428571428571429</v>
      </c>
      <c r="J83" s="736">
        <f t="shared" si="63"/>
        <v>189.07307452655263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38">
        <v>43169</v>
      </c>
      <c r="AP83" s="13">
        <f t="shared" si="64"/>
        <v>5</v>
      </c>
      <c r="AQ83" s="13">
        <f t="shared" si="65"/>
        <v>4</v>
      </c>
      <c r="AR83" s="169">
        <f t="shared" si="66"/>
        <v>43192</v>
      </c>
      <c r="AS83" s="743">
        <f t="shared" si="67"/>
        <v>0.8214285714285714</v>
      </c>
      <c r="AT83" s="759">
        <f t="shared" si="68"/>
        <v>189.14551411239165</v>
      </c>
      <c r="AU83" s="13">
        <f t="shared" si="69"/>
        <v>3</v>
      </c>
      <c r="AV83" s="13">
        <f t="shared" si="70"/>
        <v>4</v>
      </c>
      <c r="AW83" s="169">
        <f t="shared" si="71"/>
        <v>43150</v>
      </c>
      <c r="AX83" s="743">
        <f t="shared" si="72"/>
        <v>0.6785714285714286</v>
      </c>
      <c r="AY83" s="759">
        <f t="shared" si="73"/>
        <v>188.97122717754183</v>
      </c>
      <c r="AZ83" s="736">
        <f t="shared" si="77"/>
        <v>189.05837064496674</v>
      </c>
      <c r="BA83" s="633">
        <f t="shared" si="74"/>
        <v>0.5431758349684267</v>
      </c>
      <c r="BC83" s="11">
        <v>43169</v>
      </c>
      <c r="BD83" s="286">
        <f>[2]!FeuilCaduc*(1-Persistant)+Persistant</f>
        <v>0.60399032006389874</v>
      </c>
      <c r="BE83" s="287">
        <f>[2]!CroissVégét</f>
        <v>2.0941547894735235E-2</v>
      </c>
      <c r="BF83" s="806">
        <f>1+[2]!Salcycl*Ksac</f>
        <v>1.0004987900079874</v>
      </c>
      <c r="BH83" s="1036">
        <f t="shared" si="75"/>
        <v>3.6276144420143673E-3</v>
      </c>
      <c r="BI83" s="11">
        <v>44265</v>
      </c>
      <c r="BJ83" s="716">
        <v>7.3213332281383625E-4</v>
      </c>
      <c r="BK83" s="716">
        <v>1.1688563646201024E-3</v>
      </c>
      <c r="BL83" s="716">
        <v>1.6510798134010201E-3</v>
      </c>
      <c r="BM83" s="716">
        <v>2.2263288817515655E-3</v>
      </c>
      <c r="BN83" s="716">
        <v>2.8396314772580942E-3</v>
      </c>
      <c r="BO83" s="717">
        <v>3.6359525398502982E-3</v>
      </c>
      <c r="BP83" s="716">
        <v>4.6623461049297979E-3</v>
      </c>
      <c r="BQ83" s="716">
        <v>5.9842518454540994E-3</v>
      </c>
      <c r="BR83" s="716">
        <v>7.598178906431597E-3</v>
      </c>
      <c r="BS83" s="716">
        <v>9.5161694158143791E-3</v>
      </c>
      <c r="BT83" s="716">
        <v>1.1617379138108995E-2</v>
      </c>
      <c r="BW83" s="1166">
        <f>'2022'!R\Max</f>
        <v>0.5431758349684267</v>
      </c>
      <c r="BX83" s="1167">
        <f>'2023'!R\Max</f>
        <v>0.5431654558227047</v>
      </c>
      <c r="BY83" s="1167">
        <f>'2024'!R\Max</f>
        <v>0.54315507646583372</v>
      </c>
      <c r="BZ83" s="1167">
        <f>'2025'!R\Max</f>
        <v>0.54314170844575194</v>
      </c>
      <c r="CA83" s="1167">
        <f>'2026'!R\Max</f>
        <v>0.54312834007448174</v>
      </c>
      <c r="CB83" s="1167">
        <f>'2027'!R\Max</f>
        <v>0.54311201803212017</v>
      </c>
      <c r="CC83" s="1168">
        <f>'2028'!R\Max</f>
        <v>0.54309569546577463</v>
      </c>
      <c r="CD83" s="1167">
        <f>'2029'!R\Max</f>
        <v>0.54307629705592309</v>
      </c>
      <c r="CE83" s="1167">
        <f>'2030'!R\Max</f>
        <v>0.54316597453824977</v>
      </c>
      <c r="CF83" s="1169">
        <f>'2031'!R\Max</f>
        <v>0.54315559519193146</v>
      </c>
    </row>
    <row r="84" spans="1:84" s="6" customFormat="1" ht="11.25" x14ac:dyDescent="0.2">
      <c r="A84" s="11">
        <v>43170</v>
      </c>
      <c r="B84" s="375">
        <f>'2022'!Maxi_hp</f>
        <v>70.297364846187307</v>
      </c>
      <c r="C84" s="13">
        <f>'2022'!An_max</f>
        <v>2022</v>
      </c>
      <c r="D84" s="1045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69">
        <f t="shared" si="61"/>
        <v>43178</v>
      </c>
      <c r="I84" s="743">
        <f t="shared" si="62"/>
        <v>0.5714285714285714</v>
      </c>
      <c r="J84" s="736">
        <f t="shared" si="63"/>
        <v>190.46080029159785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38">
        <v>43170</v>
      </c>
      <c r="AP84" s="13">
        <f t="shared" si="64"/>
        <v>5</v>
      </c>
      <c r="AQ84" s="13">
        <f t="shared" si="65"/>
        <v>4</v>
      </c>
      <c r="AR84" s="169">
        <f t="shared" si="66"/>
        <v>43192</v>
      </c>
      <c r="AS84" s="743">
        <f t="shared" si="67"/>
        <v>0.7857142857142857</v>
      </c>
      <c r="AT84" s="759">
        <f t="shared" si="68"/>
        <v>190.57743813821247</v>
      </c>
      <c r="AU84" s="13">
        <f t="shared" si="69"/>
        <v>3</v>
      </c>
      <c r="AV84" s="13">
        <f t="shared" si="70"/>
        <v>4</v>
      </c>
      <c r="AW84" s="169">
        <f t="shared" si="71"/>
        <v>43150</v>
      </c>
      <c r="AX84" s="743">
        <f t="shared" si="72"/>
        <v>0.7142857142857143</v>
      </c>
      <c r="AY84" s="759">
        <f t="shared" si="73"/>
        <v>190.40553935744933</v>
      </c>
      <c r="AZ84" s="736">
        <f t="shared" si="77"/>
        <v>190.49148874783089</v>
      </c>
      <c r="BA84" s="633">
        <f t="shared" si="74"/>
        <v>0.36909098742923041</v>
      </c>
      <c r="BC84" s="11">
        <v>43170</v>
      </c>
      <c r="BD84" s="286">
        <f>[2]!FeuilCaduc*(1-Persistant)+Persistant</f>
        <v>0.60414904766919597</v>
      </c>
      <c r="BE84" s="287">
        <f>[2]!CroissVégét</f>
        <v>2.1856755910064932E-2</v>
      </c>
      <c r="BF84" s="806">
        <f>1+[2]!Salcycl*Ksac</f>
        <v>1.0005186309586496</v>
      </c>
      <c r="BH84" s="1036">
        <f t="shared" si="75"/>
        <v>3.4896804381950417E-3</v>
      </c>
      <c r="BI84" s="11">
        <v>44266</v>
      </c>
      <c r="BJ84" s="716">
        <v>7.4735991515955411E-4</v>
      </c>
      <c r="BK84" s="716">
        <v>1.153199077742452E-3</v>
      </c>
      <c r="BL84" s="716">
        <v>1.6022946885470865E-3</v>
      </c>
      <c r="BM84" s="716">
        <v>2.1409290285002197E-3</v>
      </c>
      <c r="BN84" s="716">
        <v>2.7307150988943769E-3</v>
      </c>
      <c r="BO84" s="717">
        <v>3.4977114839615277E-3</v>
      </c>
      <c r="BP84" s="716">
        <v>4.4872558275853083E-3</v>
      </c>
      <c r="BQ84" s="716">
        <v>5.7626603310295642E-3</v>
      </c>
      <c r="BR84" s="716">
        <v>7.3226634058267057E-3</v>
      </c>
      <c r="BS84" s="716">
        <v>9.1798839488919474E-3</v>
      </c>
      <c r="BT84" s="716">
        <v>1.1217490202937642E-2</v>
      </c>
      <c r="BW84" s="1166">
        <f>'2022'!R\Max</f>
        <v>0.36909098742923041</v>
      </c>
      <c r="BX84" s="1167">
        <f>'2023'!R\Max</f>
        <v>0.36908166286391592</v>
      </c>
      <c r="BY84" s="1167">
        <f>'2024'!R\Max</f>
        <v>0.36907233578253767</v>
      </c>
      <c r="BZ84" s="1167">
        <f>'2025'!R\Max</f>
        <v>0.36906031738861289</v>
      </c>
      <c r="CA84" s="1167">
        <f>'2026'!R\Max</f>
        <v>0.36904829645618048</v>
      </c>
      <c r="CB84" s="1167">
        <f>'2027'!R\Max</f>
        <v>0.3690335960111083</v>
      </c>
      <c r="CC84" s="1168">
        <f>'2028'!R\Max</f>
        <v>0.36901889287707401</v>
      </c>
      <c r="CD84" s="1167">
        <f>'2029'!R\Max</f>
        <v>0.36900139132975102</v>
      </c>
      <c r="CE84" s="1167">
        <f>'2030'!R\Max</f>
        <v>0.36908212887172442</v>
      </c>
      <c r="CF84" s="1169">
        <f>'2031'!R\Max</f>
        <v>0.36907280425739325</v>
      </c>
    </row>
    <row r="85" spans="1:84" s="6" customFormat="1" ht="11.25" x14ac:dyDescent="0.2">
      <c r="A85" s="11">
        <v>43171</v>
      </c>
      <c r="B85" s="375">
        <f>'2022'!Maxi_hp</f>
        <v>65.795608679472551</v>
      </c>
      <c r="C85" s="13">
        <f>'2022'!An_max</f>
        <v>2022</v>
      </c>
      <c r="D85" s="1045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69">
        <f t="shared" si="61"/>
        <v>43178</v>
      </c>
      <c r="I85" s="743">
        <f t="shared" si="62"/>
        <v>0.5</v>
      </c>
      <c r="J85" s="736">
        <f t="shared" si="63"/>
        <v>191.83906250074506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38">
        <v>43171</v>
      </c>
      <c r="AP85" s="13">
        <f t="shared" si="64"/>
        <v>5</v>
      </c>
      <c r="AQ85" s="13">
        <f t="shared" si="65"/>
        <v>4</v>
      </c>
      <c r="AR85" s="169">
        <f t="shared" si="66"/>
        <v>43192</v>
      </c>
      <c r="AS85" s="743">
        <f t="shared" si="67"/>
        <v>0.75</v>
      </c>
      <c r="AT85" s="759">
        <f t="shared" si="68"/>
        <v>192.00582421869041</v>
      </c>
      <c r="AU85" s="13">
        <f t="shared" si="69"/>
        <v>3</v>
      </c>
      <c r="AV85" s="13">
        <f t="shared" si="70"/>
        <v>4</v>
      </c>
      <c r="AW85" s="169">
        <f t="shared" si="71"/>
        <v>43150</v>
      </c>
      <c r="AX85" s="743">
        <f t="shared" si="72"/>
        <v>0.75</v>
      </c>
      <c r="AY85" s="759">
        <f t="shared" si="73"/>
        <v>191.82564062457533</v>
      </c>
      <c r="AZ85" s="736">
        <f t="shared" si="77"/>
        <v>191.91573242163287</v>
      </c>
      <c r="BA85" s="633">
        <f t="shared" si="74"/>
        <v>0.34297294733296046</v>
      </c>
      <c r="BC85" s="11">
        <v>43171</v>
      </c>
      <c r="BD85" s="286">
        <f>[2]!FeuilCaduc*(1-Persistant)+Persistant</f>
        <v>0.60432352346937124</v>
      </c>
      <c r="BE85" s="287">
        <f>[2]!CroissVégét</f>
        <v>2.2808540908775418E-2</v>
      </c>
      <c r="BF85" s="806">
        <f>1+[2]!Salcycl*Ksac</f>
        <v>1.0005404404336715</v>
      </c>
      <c r="BH85" s="1036">
        <f t="shared" si="75"/>
        <v>3.3904777301892808E-3</v>
      </c>
      <c r="BI85" s="11">
        <v>44267</v>
      </c>
      <c r="BJ85" s="716">
        <v>7.7314359484742903E-4</v>
      </c>
      <c r="BK85" s="716">
        <v>1.1533135434365273E-3</v>
      </c>
      <c r="BL85" s="716">
        <v>1.5750289825147477E-3</v>
      </c>
      <c r="BM85" s="716">
        <v>2.0834691705424557E-3</v>
      </c>
      <c r="BN85" s="716">
        <v>2.6550724186165417E-3</v>
      </c>
      <c r="BO85" s="717">
        <v>3.3982594738451899E-3</v>
      </c>
      <c r="BP85" s="716">
        <v>4.3560947466910619E-3</v>
      </c>
      <c r="BQ85" s="716">
        <v>5.5890057614635122E-3</v>
      </c>
      <c r="BR85" s="716">
        <v>7.0985538554827589E-3</v>
      </c>
      <c r="BS85" s="716">
        <v>8.8975928772577831E-3</v>
      </c>
      <c r="BT85" s="716">
        <v>1.0873832047189655E-2</v>
      </c>
      <c r="BW85" s="1166">
        <f>'2022'!R\Max</f>
        <v>0.34297294733296046</v>
      </c>
      <c r="BX85" s="1167">
        <f>'2023'!R\Max</f>
        <v>0.34296427330953499</v>
      </c>
      <c r="BY85" s="1167">
        <f>'2024'!R\Max</f>
        <v>0.342955594607393</v>
      </c>
      <c r="BZ85" s="1167">
        <f>'2025'!R\Max</f>
        <v>0.34294442945698944</v>
      </c>
      <c r="CA85" s="1167">
        <f>'2026'!R\Max</f>
        <v>0.34293325958336374</v>
      </c>
      <c r="CB85" s="1167">
        <f>'2027'!R\Max</f>
        <v>0.34291958910517251</v>
      </c>
      <c r="CC85" s="1168">
        <f>'2028'!R\Max</f>
        <v>0.34290591366353618</v>
      </c>
      <c r="CD85" s="1167">
        <f>'2029'!R\Max</f>
        <v>0.34288962137539231</v>
      </c>
      <c r="CE85" s="1167">
        <f>'2030'!R\Max</f>
        <v>0.34296470680517144</v>
      </c>
      <c r="CF85" s="1169">
        <f>'2031'!R\Max</f>
        <v>0.34295603275448378</v>
      </c>
    </row>
    <row r="86" spans="1:84" s="6" customFormat="1" ht="11.25" x14ac:dyDescent="0.2">
      <c r="A86" s="11">
        <v>43172</v>
      </c>
      <c r="B86" s="375">
        <f>'2022'!Maxi_hp</f>
        <v>58.110947281906434</v>
      </c>
      <c r="C86" s="13">
        <f>'2022'!An_max</f>
        <v>2022</v>
      </c>
      <c r="D86" s="1045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69">
        <f t="shared" si="61"/>
        <v>43178</v>
      </c>
      <c r="I86" s="743">
        <f t="shared" si="62"/>
        <v>0.42857142857142855</v>
      </c>
      <c r="J86" s="736">
        <f t="shared" si="63"/>
        <v>193.20833236213238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38">
        <v>43172</v>
      </c>
      <c r="AP86" s="13">
        <f t="shared" si="64"/>
        <v>5</v>
      </c>
      <c r="AQ86" s="13">
        <f t="shared" si="65"/>
        <v>4</v>
      </c>
      <c r="AR86" s="169">
        <f t="shared" si="66"/>
        <v>43192</v>
      </c>
      <c r="AS86" s="743">
        <f t="shared" si="67"/>
        <v>0.7142857142857143</v>
      </c>
      <c r="AT86" s="759">
        <f t="shared" si="68"/>
        <v>193.4294387734362</v>
      </c>
      <c r="AU86" s="13">
        <f t="shared" si="69"/>
        <v>3</v>
      </c>
      <c r="AV86" s="13">
        <f t="shared" si="70"/>
        <v>4</v>
      </c>
      <c r="AW86" s="169">
        <f t="shared" si="71"/>
        <v>43150</v>
      </c>
      <c r="AX86" s="743">
        <f t="shared" si="72"/>
        <v>0.7857142857142857</v>
      </c>
      <c r="AY86" s="759">
        <f t="shared" si="73"/>
        <v>193.23025783536553</v>
      </c>
      <c r="AZ86" s="736">
        <f t="shared" si="77"/>
        <v>193.32984830440085</v>
      </c>
      <c r="BA86" s="633">
        <f t="shared" si="74"/>
        <v>0.30076832904384521</v>
      </c>
      <c r="BC86" s="11">
        <v>43172</v>
      </c>
      <c r="BD86" s="286">
        <f>[2]!FeuilCaduc*(1-Persistant)+Persistant</f>
        <v>0.60451612051959969</v>
      </c>
      <c r="BE86" s="287">
        <f>[2]!CroissVégét</f>
        <v>2.3798287402466985E-2</v>
      </c>
      <c r="BF86" s="806">
        <f>1+[2]!Salcycl*Ksac</f>
        <v>1.00056451506495</v>
      </c>
      <c r="BH86" s="1036">
        <f t="shared" si="75"/>
        <v>3.3340307107973099E-3</v>
      </c>
      <c r="BI86" s="11">
        <v>44268</v>
      </c>
      <c r="BJ86" s="716">
        <v>8.0892071930837792E-4</v>
      </c>
      <c r="BK86" s="716">
        <v>1.1693738712756727E-3</v>
      </c>
      <c r="BL86" s="716">
        <v>1.5703652694851625E-3</v>
      </c>
      <c r="BM86" s="716">
        <v>2.0560558341932589E-3</v>
      </c>
      <c r="BN86" s="716">
        <v>2.6157614304226184E-3</v>
      </c>
      <c r="BO86" s="717">
        <v>3.3416311283192292E-3</v>
      </c>
      <c r="BP86" s="716">
        <v>4.2742032119349226E-3</v>
      </c>
      <c r="BQ86" s="716">
        <v>5.4706560911501681E-3</v>
      </c>
      <c r="BR86" s="716">
        <v>6.935574963777817E-3</v>
      </c>
      <c r="BS86" s="716">
        <v>8.6815325188557297E-3</v>
      </c>
      <c r="BT86" s="716">
        <v>1.0600996521742231E-2</v>
      </c>
      <c r="BW86" s="1166">
        <f>'2022'!R\Max</f>
        <v>0.30076832904384521</v>
      </c>
      <c r="BX86" s="1167">
        <f>'2023'!R\Max</f>
        <v>0.30076050067775184</v>
      </c>
      <c r="BY86" s="1167">
        <f>'2024'!R\Max</f>
        <v>0.30075266598388639</v>
      </c>
      <c r="BZ86" s="1167">
        <f>'2025'!R\Max</f>
        <v>0.30074262250042327</v>
      </c>
      <c r="CA86" s="1167">
        <f>'2026'!R\Max</f>
        <v>0.30073257257965319</v>
      </c>
      <c r="CB86" s="1167">
        <f>'2027'!R\Max</f>
        <v>0.3007202754879672</v>
      </c>
      <c r="CC86" s="1168">
        <f>'2028'!R\Max</f>
        <v>0.30070797165790192</v>
      </c>
      <c r="CD86" s="1167">
        <f>'2029'!R\Max</f>
        <v>0.30069331541680838</v>
      </c>
      <c r="CE86" s="1167">
        <f>'2030'!R\Max</f>
        <v>0.30076089190995581</v>
      </c>
      <c r="CF86" s="1169">
        <f>'2031'!R\Max</f>
        <v>0.30075306354343695</v>
      </c>
    </row>
    <row r="87" spans="1:84" s="6" customFormat="1" ht="11.25" x14ac:dyDescent="0.2">
      <c r="A87" s="11">
        <v>43173</v>
      </c>
      <c r="B87" s="375">
        <f>'2022'!Maxi_hp</f>
        <v>57.031108128817166</v>
      </c>
      <c r="C87" s="13">
        <f>'2022'!An_max</f>
        <v>2022</v>
      </c>
      <c r="D87" s="1045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69">
        <f t="shared" si="61"/>
        <v>43178</v>
      </c>
      <c r="I87" s="743">
        <f t="shared" si="62"/>
        <v>0.35714285714285715</v>
      </c>
      <c r="J87" s="736">
        <f t="shared" si="63"/>
        <v>194.56908108592035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38">
        <v>43173</v>
      </c>
      <c r="AP87" s="13">
        <f t="shared" si="64"/>
        <v>5</v>
      </c>
      <c r="AQ87" s="13">
        <f t="shared" si="65"/>
        <v>4</v>
      </c>
      <c r="AR87" s="169">
        <f t="shared" si="66"/>
        <v>43192</v>
      </c>
      <c r="AS87" s="743">
        <f t="shared" si="67"/>
        <v>0.6785714285714286</v>
      </c>
      <c r="AT87" s="759">
        <f t="shared" si="68"/>
        <v>194.84704823025635</v>
      </c>
      <c r="AU87" s="13">
        <f t="shared" si="69"/>
        <v>3</v>
      </c>
      <c r="AV87" s="13">
        <f t="shared" si="70"/>
        <v>4</v>
      </c>
      <c r="AW87" s="169">
        <f t="shared" si="71"/>
        <v>43150</v>
      </c>
      <c r="AX87" s="743">
        <f t="shared" si="72"/>
        <v>0.8214285714285714</v>
      </c>
      <c r="AY87" s="759">
        <f t="shared" si="73"/>
        <v>194.61811784725037</v>
      </c>
      <c r="AZ87" s="736">
        <f t="shared" si="77"/>
        <v>194.73258303875338</v>
      </c>
      <c r="BA87" s="633">
        <f t="shared" si="74"/>
        <v>0.29311495850480285</v>
      </c>
      <c r="BC87" s="11">
        <v>43173</v>
      </c>
      <c r="BD87" s="286">
        <f>[2]!FeuilCaduc*(1-Persistant)+Persistant</f>
        <v>0.60472932238026522</v>
      </c>
      <c r="BE87" s="287">
        <f>[2]!CroissVégét</f>
        <v>2.4827425868542252E-2</v>
      </c>
      <c r="BF87" s="806">
        <f>1+[2]!Salcycl*Ksac</f>
        <v>1.0005911652975332</v>
      </c>
      <c r="BH87" s="1036">
        <f t="shared" si="75"/>
        <v>3.3022059583589602E-3</v>
      </c>
      <c r="BI87" s="11">
        <v>44269</v>
      </c>
      <c r="BJ87" s="716">
        <v>8.4616481329654724E-4</v>
      </c>
      <c r="BK87" s="716">
        <v>1.1909729611456622E-3</v>
      </c>
      <c r="BL87" s="716">
        <v>1.5758999042050916E-3</v>
      </c>
      <c r="BM87" s="716">
        <v>2.0442172498433475E-3</v>
      </c>
      <c r="BN87" s="716">
        <v>2.5962285812831023E-3</v>
      </c>
      <c r="BO87" s="717">
        <v>3.3096763082310957E-3</v>
      </c>
      <c r="BP87" s="716">
        <v>4.2226880859032659E-3</v>
      </c>
      <c r="BQ87" s="716">
        <v>5.3894093713934459E-3</v>
      </c>
      <c r="BR87" s="716">
        <v>6.8168892155575983E-3</v>
      </c>
      <c r="BS87" s="716">
        <v>8.5167669421165795E-3</v>
      </c>
      <c r="BT87" s="716">
        <v>1.038586090421946E-2</v>
      </c>
      <c r="BW87" s="1166">
        <f>'2022'!R\Max</f>
        <v>0.29311495850480285</v>
      </c>
      <c r="BX87" s="1167">
        <f>'2023'!R\Max</f>
        <v>0.29310753082495683</v>
      </c>
      <c r="BY87" s="1167">
        <f>'2024'!R\Max</f>
        <v>0.29310009512522645</v>
      </c>
      <c r="BZ87" s="1167">
        <f>'2025'!R\Max</f>
        <v>0.29309060342710147</v>
      </c>
      <c r="CA87" s="1167">
        <f>'2026'!R\Max</f>
        <v>0.29308110348692612</v>
      </c>
      <c r="CB87" s="1167">
        <f>'2027'!R\Max</f>
        <v>0.29306949042395308</v>
      </c>
      <c r="CC87" s="1168">
        <f>'2028'!R\Max</f>
        <v>0.29305786875172157</v>
      </c>
      <c r="CD87" s="1167">
        <f>'2029'!R\Max</f>
        <v>0.29304403963380748</v>
      </c>
      <c r="CE87" s="1167">
        <f>'2030'!R\Max</f>
        <v>0.29310790203236364</v>
      </c>
      <c r="CF87" s="1169">
        <f>'2031'!R\Max</f>
        <v>0.29310047435251751</v>
      </c>
    </row>
    <row r="88" spans="1:84" s="6" customFormat="1" ht="11.25" x14ac:dyDescent="0.2">
      <c r="A88" s="11">
        <v>43174</v>
      </c>
      <c r="B88" s="375">
        <f>'2022'!Maxi_hp</f>
        <v>60.850782095593019</v>
      </c>
      <c r="C88" s="13">
        <f>'2022'!An_max</f>
        <v>2022</v>
      </c>
      <c r="D88" s="1045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69">
        <f t="shared" si="61"/>
        <v>43178</v>
      </c>
      <c r="I88" s="743">
        <f t="shared" si="62"/>
        <v>0.2857142857142857</v>
      </c>
      <c r="J88" s="736">
        <f t="shared" si="63"/>
        <v>195.92177988354649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38">
        <v>43174</v>
      </c>
      <c r="AP88" s="13">
        <f t="shared" si="64"/>
        <v>5</v>
      </c>
      <c r="AQ88" s="13">
        <f t="shared" si="65"/>
        <v>4</v>
      </c>
      <c r="AR88" s="169">
        <f t="shared" si="66"/>
        <v>43192</v>
      </c>
      <c r="AS88" s="743">
        <f t="shared" si="67"/>
        <v>0.6428571428571429</v>
      </c>
      <c r="AT88" s="759">
        <f t="shared" si="68"/>
        <v>196.25741900354623</v>
      </c>
      <c r="AU88" s="13">
        <f t="shared" si="69"/>
        <v>3</v>
      </c>
      <c r="AV88" s="13">
        <f t="shared" si="70"/>
        <v>4</v>
      </c>
      <c r="AW88" s="169">
        <f t="shared" si="71"/>
        <v>43150</v>
      </c>
      <c r="AX88" s="743">
        <f t="shared" si="72"/>
        <v>0.8571428571428571</v>
      </c>
      <c r="AY88" s="759">
        <f t="shared" si="73"/>
        <v>195.98794752114583</v>
      </c>
      <c r="AZ88" s="736">
        <f t="shared" si="77"/>
        <v>196.12268326234602</v>
      </c>
      <c r="BA88" s="633">
        <f t="shared" si="74"/>
        <v>0.31058712375807312</v>
      </c>
      <c r="BC88" s="11">
        <v>43174</v>
      </c>
      <c r="BD88" s="286">
        <f>[2]!FeuilCaduc*(1-Persistant)+Persistant</f>
        <v>0.60496571446227188</v>
      </c>
      <c r="BE88" s="287">
        <f>[2]!CroissVégét</f>
        <v>2.5897433731805454E-2</v>
      </c>
      <c r="BF88" s="806">
        <f>1+[2]!Salcycl*Ksac</f>
        <v>1.0006207143077839</v>
      </c>
      <c r="BH88" s="1036">
        <f t="shared" si="75"/>
        <v>3.2950018793272192E-3</v>
      </c>
      <c r="BI88" s="11">
        <v>44270</v>
      </c>
      <c r="BJ88" s="716">
        <v>8.8487519389101601E-4</v>
      </c>
      <c r="BK88" s="716">
        <v>1.2181100315935458E-3</v>
      </c>
      <c r="BL88" s="716">
        <v>1.5916319773390201E-3</v>
      </c>
      <c r="BM88" s="716">
        <v>2.0479523416171938E-3</v>
      </c>
      <c r="BN88" s="716">
        <v>2.5964725492236512E-3</v>
      </c>
      <c r="BO88" s="717">
        <v>3.3023934171601114E-3</v>
      </c>
      <c r="BP88" s="716">
        <v>4.2015474771578852E-3</v>
      </c>
      <c r="BQ88" s="716">
        <v>5.3452634004974298E-3</v>
      </c>
      <c r="BR88" s="716">
        <v>6.7424940771522489E-3</v>
      </c>
      <c r="BS88" s="716">
        <v>8.4032932885647442E-3</v>
      </c>
      <c r="BT88" s="716">
        <v>1.0228422022297734E-2</v>
      </c>
      <c r="BW88" s="1166">
        <f>'2022'!R\Max</f>
        <v>0.31058712375807312</v>
      </c>
      <c r="BX88" s="1167">
        <f>'2023'!R\Max</f>
        <v>0.31057953975259817</v>
      </c>
      <c r="BY88" s="1167">
        <f>'2024'!R\Max</f>
        <v>0.3105719455191514</v>
      </c>
      <c r="BZ88" s="1167">
        <f>'2025'!R\Max</f>
        <v>0.31056229871654595</v>
      </c>
      <c r="CA88" s="1167">
        <f>'2026'!R\Max</f>
        <v>0.31055264130888099</v>
      </c>
      <c r="CB88" s="1167">
        <f>'2027'!R\Max</f>
        <v>0.31054085618338551</v>
      </c>
      <c r="CC88" s="1168">
        <f>'2028'!R\Max</f>
        <v>0.31052906002875608</v>
      </c>
      <c r="CD88" s="1167">
        <f>'2029'!R\Max</f>
        <v>0.3105150517656608</v>
      </c>
      <c r="CE88" s="1167">
        <f>'2030'!R\Max</f>
        <v>0.31057991877270491</v>
      </c>
      <c r="CF88" s="1169">
        <f>'2031'!R\Max</f>
        <v>0.31057233476182633</v>
      </c>
    </row>
    <row r="89" spans="1:84" s="6" customFormat="1" ht="11.25" x14ac:dyDescent="0.2">
      <c r="A89" s="11">
        <v>43175</v>
      </c>
      <c r="B89" s="375">
        <f>'2022'!Maxi_hp</f>
        <v>40.446477610903443</v>
      </c>
      <c r="C89" s="13">
        <f>'2022'!An_max</f>
        <v>2022</v>
      </c>
      <c r="D89" s="1045" t="str">
        <f t="shared" si="59"/>
        <v/>
      </c>
      <c r="E89" s="13"/>
      <c r="F89" s="13">
        <f t="shared" si="76"/>
        <v>7</v>
      </c>
      <c r="G89" s="13">
        <f t="shared" si="60"/>
        <v>6</v>
      </c>
      <c r="H89" s="169">
        <f t="shared" si="61"/>
        <v>43178</v>
      </c>
      <c r="I89" s="743">
        <f t="shared" si="62"/>
        <v>0.21428571428571427</v>
      </c>
      <c r="J89" s="736">
        <f t="shared" si="63"/>
        <v>197.26689996474556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38">
        <v>43175</v>
      </c>
      <c r="AP89" s="13">
        <f t="shared" si="64"/>
        <v>5</v>
      </c>
      <c r="AQ89" s="13">
        <f t="shared" si="65"/>
        <v>4</v>
      </c>
      <c r="AR89" s="169">
        <f t="shared" si="66"/>
        <v>43192</v>
      </c>
      <c r="AS89" s="743">
        <f t="shared" si="67"/>
        <v>0.6071428571428571</v>
      </c>
      <c r="AT89" s="759">
        <f t="shared" si="68"/>
        <v>197.65931752175092</v>
      </c>
      <c r="AU89" s="13">
        <f t="shared" si="69"/>
        <v>3</v>
      </c>
      <c r="AV89" s="13">
        <f t="shared" si="70"/>
        <v>4</v>
      </c>
      <c r="AW89" s="169">
        <f t="shared" si="71"/>
        <v>43150</v>
      </c>
      <c r="AX89" s="743">
        <f t="shared" si="72"/>
        <v>0.8928571428571429</v>
      </c>
      <c r="AY89" s="759">
        <f t="shared" si="73"/>
        <v>197.33847371576954</v>
      </c>
      <c r="AZ89" s="736">
        <f t="shared" si="77"/>
        <v>197.49889561876023</v>
      </c>
      <c r="BA89" s="633">
        <f t="shared" si="74"/>
        <v>0.205034284100028</v>
      </c>
      <c r="BC89" s="11">
        <v>43175</v>
      </c>
      <c r="BD89" s="286">
        <f>[2]!FeuilCaduc*(1-Persistant)+Persistant</f>
        <v>0.60522797498038727</v>
      </c>
      <c r="BE89" s="287">
        <f>[2]!CroissVégét</f>
        <v>2.7009836317349309E-2</v>
      </c>
      <c r="BF89" s="806">
        <f>1+[2]!Salcycl*Ksac</f>
        <v>1.0006534968725485</v>
      </c>
      <c r="BH89" s="1036">
        <f t="shared" si="75"/>
        <v>3.3124163880496934E-3</v>
      </c>
      <c r="BI89" s="11">
        <v>44271</v>
      </c>
      <c r="BJ89" s="716">
        <v>9.2505110010219604E-4</v>
      </c>
      <c r="BK89" s="716">
        <v>1.2507841546515758E-3</v>
      </c>
      <c r="BL89" s="716">
        <v>1.6175603524226556E-3</v>
      </c>
      <c r="BM89" s="716">
        <v>2.0672597120466878E-3</v>
      </c>
      <c r="BN89" s="716">
        <v>2.6164916094819518E-3</v>
      </c>
      <c r="BO89" s="717">
        <v>3.3197803656350986E-3</v>
      </c>
      <c r="BP89" s="716">
        <v>4.2107789023835334E-3</v>
      </c>
      <c r="BQ89" s="716">
        <v>5.3382152766019873E-3</v>
      </c>
      <c r="BR89" s="716">
        <v>6.7123862060006175E-3</v>
      </c>
      <c r="BS89" s="716">
        <v>8.3411077969031203E-3</v>
      </c>
      <c r="BT89" s="716">
        <v>1.0128675725099519E-2</v>
      </c>
      <c r="BW89" s="1166">
        <f>'2022'!R\Max</f>
        <v>0.205034284100028</v>
      </c>
      <c r="BX89" s="1167">
        <f>'2023'!R\Max</f>
        <v>0.20502927891793352</v>
      </c>
      <c r="BY89" s="1167">
        <f>'2024'!R\Max</f>
        <v>0.20502426567641591</v>
      </c>
      <c r="BZ89" s="1167">
        <f>'2025'!R\Max</f>
        <v>0.20501793230534934</v>
      </c>
      <c r="CA89" s="1167">
        <f>'2026'!R\Max</f>
        <v>0.20501159052430687</v>
      </c>
      <c r="CB89" s="1167">
        <f>'2027'!R\Max</f>
        <v>0.20500387112248186</v>
      </c>
      <c r="CC89" s="1168">
        <f>'2028'!R\Max</f>
        <v>0.20499614304471159</v>
      </c>
      <c r="CD89" s="1167">
        <f>'2029'!R\Max</f>
        <v>0.20498699370516996</v>
      </c>
      <c r="CE89" s="1167">
        <f>'2030'!R\Max</f>
        <v>0.20502952905804525</v>
      </c>
      <c r="CF89" s="1169">
        <f>'2031'!R\Max</f>
        <v>0.20502452387595066</v>
      </c>
    </row>
    <row r="90" spans="1:84" s="6" customFormat="1" ht="11.25" x14ac:dyDescent="0.2">
      <c r="A90" s="11">
        <v>43176</v>
      </c>
      <c r="B90" s="375">
        <f>'2022'!Maxi_hp</f>
        <v>51.95333809562544</v>
      </c>
      <c r="C90" s="13">
        <f>'2022'!An_max</f>
        <v>2022</v>
      </c>
      <c r="D90" s="1045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69">
        <f t="shared" si="61"/>
        <v>43178</v>
      </c>
      <c r="I90" s="743">
        <f t="shared" si="62"/>
        <v>0.14285714285714285</v>
      </c>
      <c r="J90" s="736">
        <f t="shared" si="63"/>
        <v>198.60491253563336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38">
        <v>43176</v>
      </c>
      <c r="AP90" s="13">
        <f t="shared" si="64"/>
        <v>5</v>
      </c>
      <c r="AQ90" s="13">
        <f t="shared" si="65"/>
        <v>4</v>
      </c>
      <c r="AR90" s="169">
        <f t="shared" si="66"/>
        <v>43192</v>
      </c>
      <c r="AS90" s="743">
        <f t="shared" si="67"/>
        <v>0.5714285714285714</v>
      </c>
      <c r="AT90" s="759">
        <f t="shared" si="68"/>
        <v>199.05151020543914</v>
      </c>
      <c r="AU90" s="13">
        <f t="shared" si="69"/>
        <v>3</v>
      </c>
      <c r="AV90" s="13">
        <f t="shared" si="70"/>
        <v>4</v>
      </c>
      <c r="AW90" s="169">
        <f t="shared" si="71"/>
        <v>43150</v>
      </c>
      <c r="AX90" s="743">
        <f t="shared" si="72"/>
        <v>0.9285714285714286</v>
      </c>
      <c r="AY90" s="759">
        <f t="shared" si="73"/>
        <v>198.66842328709151</v>
      </c>
      <c r="AZ90" s="736">
        <f t="shared" si="77"/>
        <v>198.85996674626534</v>
      </c>
      <c r="BA90" s="633">
        <f t="shared" si="74"/>
        <v>0.26159140492712668</v>
      </c>
      <c r="BC90" s="11">
        <v>43176</v>
      </c>
      <c r="BD90" s="286">
        <f>[2]!FeuilCaduc*(1-Persistant)+Persistant</f>
        <v>0.60551886559649126</v>
      </c>
      <c r="BE90" s="287">
        <f>[2]!CroissVégét</f>
        <v>2.8166207768877807E-2</v>
      </c>
      <c r="BF90" s="806">
        <f>1+[2]!Salcycl*Ksac</f>
        <v>1.0006898581995614</v>
      </c>
      <c r="BH90" s="1036">
        <f t="shared" si="75"/>
        <v>3.354446830182896E-3</v>
      </c>
      <c r="BI90" s="11">
        <v>44272</v>
      </c>
      <c r="BJ90" s="716">
        <v>9.6669168830125865E-4</v>
      </c>
      <c r="BK90" s="716">
        <v>1.2889942386039154E-3</v>
      </c>
      <c r="BL90" s="716">
        <v>1.6536836341389481E-3</v>
      </c>
      <c r="BM90" s="716">
        <v>2.1021375936269887E-3</v>
      </c>
      <c r="BN90" s="716">
        <v>2.6562835729894694E-3</v>
      </c>
      <c r="BO90" s="717">
        <v>3.3618344943892298E-3</v>
      </c>
      <c r="BP90" s="716">
        <v>4.2503791919037406E-3</v>
      </c>
      <c r="BQ90" s="716">
        <v>5.3682612822750185E-3</v>
      </c>
      <c r="BR90" s="716">
        <v>6.7265613128754285E-3</v>
      </c>
      <c r="BS90" s="716">
        <v>8.3302056434555755E-3</v>
      </c>
      <c r="BT90" s="716">
        <v>1.0086616703706709E-2</v>
      </c>
      <c r="BW90" s="1166">
        <f>'2022'!R\Max</f>
        <v>0.26159140492712668</v>
      </c>
      <c r="BX90" s="1167">
        <f>'2023'!R\Max</f>
        <v>0.26158507655390811</v>
      </c>
      <c r="BY90" s="1167">
        <f>'2024'!R\Max</f>
        <v>0.26157873638056744</v>
      </c>
      <c r="BZ90" s="1167">
        <f>'2025'!R\Max</f>
        <v>0.26157077462568668</v>
      </c>
      <c r="CA90" s="1167">
        <f>'2026'!R\Max</f>
        <v>0.26156280050108621</v>
      </c>
      <c r="CB90" s="1167">
        <f>'2027'!R\Max</f>
        <v>0.26155312644691608</v>
      </c>
      <c r="CC90" s="1168">
        <f>'2028'!R\Max</f>
        <v>0.26154343977010241</v>
      </c>
      <c r="CD90" s="1167">
        <f>'2029'!R\Max</f>
        <v>0.26153201833023326</v>
      </c>
      <c r="CE90" s="1167">
        <f>'2030'!R\Max</f>
        <v>0.26158539282211857</v>
      </c>
      <c r="CF90" s="1169">
        <f>'2031'!R\Max</f>
        <v>0.26157906444889995</v>
      </c>
    </row>
    <row r="91" spans="1:84" s="6" customFormat="1" ht="11.25" x14ac:dyDescent="0.2">
      <c r="A91" s="11">
        <v>43177</v>
      </c>
      <c r="B91" s="375">
        <f>'2022'!Maxi_hp</f>
        <v>54.853768261754404</v>
      </c>
      <c r="C91" s="13">
        <f>'2022'!An_max</f>
        <v>2022</v>
      </c>
      <c r="D91" s="1045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69">
        <f t="shared" si="61"/>
        <v>43178</v>
      </c>
      <c r="I91" s="743">
        <f t="shared" si="62"/>
        <v>7.1428571428571425E-2</v>
      </c>
      <c r="J91" s="736">
        <f t="shared" si="63"/>
        <v>199.93628881137286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38">
        <v>43177</v>
      </c>
      <c r="AP91" s="13">
        <f t="shared" si="64"/>
        <v>5</v>
      </c>
      <c r="AQ91" s="13">
        <f t="shared" si="65"/>
        <v>4</v>
      </c>
      <c r="AR91" s="169">
        <f t="shared" si="66"/>
        <v>43192</v>
      </c>
      <c r="AS91" s="743">
        <f t="shared" si="67"/>
        <v>0.5357142857142857</v>
      </c>
      <c r="AT91" s="759">
        <f t="shared" si="68"/>
        <v>200.43276347203977</v>
      </c>
      <c r="AU91" s="13">
        <f t="shared" si="69"/>
        <v>3</v>
      </c>
      <c r="AV91" s="13">
        <f t="shared" si="70"/>
        <v>4</v>
      </c>
      <c r="AW91" s="169">
        <f t="shared" si="71"/>
        <v>43150</v>
      </c>
      <c r="AX91" s="743">
        <f t="shared" si="72"/>
        <v>0.9642857142857143</v>
      </c>
      <c r="AY91" s="759">
        <f t="shared" si="73"/>
        <v>199.97652309497684</v>
      </c>
      <c r="AZ91" s="736">
        <f t="shared" si="77"/>
        <v>200.20464328350829</v>
      </c>
      <c r="BA91" s="633">
        <f t="shared" si="74"/>
        <v>0.27435623911927981</v>
      </c>
      <c r="BC91" s="11">
        <v>43177</v>
      </c>
      <c r="BD91" s="286">
        <f>[2]!FeuilCaduc*(1-Persistant)+Persistant</f>
        <v>0.60584122183331646</v>
      </c>
      <c r="BE91" s="287">
        <f>[2]!CroissVégét</f>
        <v>2.9368171926128662E-2</v>
      </c>
      <c r="BF91" s="806">
        <f>1+[2]!Salcycl*Ksac</f>
        <v>1.0007301527291645</v>
      </c>
      <c r="BH91" s="1036">
        <f t="shared" si="75"/>
        <v>3.4210899060978816E-3</v>
      </c>
      <c r="BI91" s="11">
        <v>44273</v>
      </c>
      <c r="BJ91" s="716">
        <v>1.0097960276472351E-3</v>
      </c>
      <c r="BK91" s="716">
        <v>1.332739010750145E-3</v>
      </c>
      <c r="BL91" s="716">
        <v>1.7000001365899253E-3</v>
      </c>
      <c r="BM91" s="716">
        <v>2.1525838003669953E-3</v>
      </c>
      <c r="BN91" s="716">
        <v>2.715845724846384E-3</v>
      </c>
      <c r="BO91" s="717">
        <v>3.4285524976062076E-3</v>
      </c>
      <c r="BP91" s="716">
        <v>4.3203443951856145E-3</v>
      </c>
      <c r="BQ91" s="716">
        <v>5.4353967690906821E-3</v>
      </c>
      <c r="BR91" s="716">
        <v>6.7850140240907977E-3</v>
      </c>
      <c r="BS91" s="716">
        <v>8.3705807825874574E-3</v>
      </c>
      <c r="BT91" s="716">
        <v>1.0102238311647182E-2</v>
      </c>
      <c r="BW91" s="1166">
        <f>'2022'!R\Max</f>
        <v>0.27435623911927981</v>
      </c>
      <c r="BX91" s="1167">
        <f>'2023'!R\Max</f>
        <v>0.27434961852138601</v>
      </c>
      <c r="BY91" s="1167">
        <f>'2024'!R\Max</f>
        <v>0.27434298395713208</v>
      </c>
      <c r="BZ91" s="1167">
        <f>'2025'!R\Max</f>
        <v>0.27433470588977321</v>
      </c>
      <c r="CA91" s="1167">
        <f>'2026'!R\Max</f>
        <v>0.27432641314943218</v>
      </c>
      <c r="CB91" s="1167">
        <f>'2027'!R\Max</f>
        <v>0.27431639368953331</v>
      </c>
      <c r="CC91" s="1168">
        <f>'2028'!R\Max</f>
        <v>0.27430635947058174</v>
      </c>
      <c r="CD91" s="1167">
        <f>'2029'!R\Max</f>
        <v>0.27429458833880727</v>
      </c>
      <c r="CE91" s="1167">
        <f>'2030'!R\Max</f>
        <v>0.2743499493938828</v>
      </c>
      <c r="CF91" s="1169">
        <f>'2031'!R\Max</f>
        <v>0.27434332879598899</v>
      </c>
    </row>
    <row r="92" spans="1:84" s="6" customFormat="1" ht="11.25" x14ac:dyDescent="0.2">
      <c r="A92" s="11">
        <v>43178</v>
      </c>
      <c r="B92" s="375">
        <f>'2022'!Maxi_hp</f>
        <v>124.66653595524753</v>
      </c>
      <c r="C92" s="13">
        <f>'2022'!An_max</f>
        <v>2022</v>
      </c>
      <c r="D92" s="1045" t="str">
        <f t="shared" si="59"/>
        <v/>
      </c>
      <c r="E92" s="1040">
        <f>S$13/10</f>
        <v>201.26150000000001</v>
      </c>
      <c r="F92" s="13">
        <f t="shared" si="76"/>
        <v>7</v>
      </c>
      <c r="G92" s="13">
        <f t="shared" si="60"/>
        <v>8</v>
      </c>
      <c r="H92" s="169">
        <f t="shared" si="61"/>
        <v>43178</v>
      </c>
      <c r="I92" s="743">
        <f t="shared" si="62"/>
        <v>0</v>
      </c>
      <c r="J92" s="736">
        <f t="shared" si="63"/>
        <v>201.26149999946355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38">
        <v>43178</v>
      </c>
      <c r="AP92" s="13">
        <f t="shared" si="64"/>
        <v>5</v>
      </c>
      <c r="AQ92" s="13">
        <f t="shared" si="65"/>
        <v>4</v>
      </c>
      <c r="AR92" s="169">
        <f t="shared" si="66"/>
        <v>43192</v>
      </c>
      <c r="AS92" s="743">
        <f t="shared" si="67"/>
        <v>0.5</v>
      </c>
      <c r="AT92" s="759">
        <f t="shared" si="68"/>
        <v>201.80184374973177</v>
      </c>
      <c r="AU92" s="13">
        <f t="shared" si="69"/>
        <v>5</v>
      </c>
      <c r="AV92" s="13">
        <f t="shared" si="70"/>
        <v>4</v>
      </c>
      <c r="AW92" s="169">
        <f t="shared" si="71"/>
        <v>43206</v>
      </c>
      <c r="AX92" s="743">
        <f t="shared" si="72"/>
        <v>1</v>
      </c>
      <c r="AY92" s="759">
        <f t="shared" si="73"/>
        <v>201.26149999797343</v>
      </c>
      <c r="AZ92" s="736">
        <f t="shared" si="77"/>
        <v>201.53167187385259</v>
      </c>
      <c r="BA92" s="633">
        <f t="shared" si="74"/>
        <v>0.61942565247491355</v>
      </c>
      <c r="BC92" s="11">
        <v>43178</v>
      </c>
      <c r="BD92" s="286">
        <f>[2]!FeuilCaduc*(1-Persistant)+Persistant</f>
        <v>0.60619794333700627</v>
      </c>
      <c r="BE92" s="287">
        <f>[2]!CroissVégét</f>
        <v>3.0617403154541836E-2</v>
      </c>
      <c r="BF92" s="806">
        <f>1+[2]!Salcycl*Ksac</f>
        <v>1.0007747429171259</v>
      </c>
      <c r="BH92" s="1036">
        <f t="shared" si="75"/>
        <v>3.5123415942949817E-3</v>
      </c>
      <c r="BI92" s="11">
        <v>44274</v>
      </c>
      <c r="BJ92" s="716">
        <v>1.0543630955166514E-3</v>
      </c>
      <c r="BK92" s="716">
        <v>1.3820170001722025E-3</v>
      </c>
      <c r="BL92" s="716">
        <v>1.7565078515729747E-3</v>
      </c>
      <c r="BM92" s="716">
        <v>2.2185956793454938E-3</v>
      </c>
      <c r="BN92" s="716">
        <v>2.7951747628037061E-3</v>
      </c>
      <c r="BO92" s="717">
        <v>3.519930346175561E-3</v>
      </c>
      <c r="BP92" s="716">
        <v>4.4206696863562005E-3</v>
      </c>
      <c r="BQ92" s="716">
        <v>5.539616042222275E-3</v>
      </c>
      <c r="BR92" s="716">
        <v>6.8877377437281404E-3</v>
      </c>
      <c r="BS92" s="716">
        <v>8.4622257871489245E-3</v>
      </c>
      <c r="BT92" s="716">
        <v>1.0175532385409112E-2</v>
      </c>
      <c r="BW92" s="1166">
        <f>'2022'!R\Max</f>
        <v>0.61942565247491355</v>
      </c>
      <c r="BX92" s="1167">
        <f>'2023'!R\Max</f>
        <v>0.61941749341926178</v>
      </c>
      <c r="BY92" s="1167">
        <f>'2024'!R\Max</f>
        <v>0.619409315058292</v>
      </c>
      <c r="BZ92" s="1167">
        <f>'2025'!R\Max</f>
        <v>0.61939917896913921</v>
      </c>
      <c r="CA92" s="1167">
        <f>'2026'!R\Max</f>
        <v>0.61938902251486361</v>
      </c>
      <c r="CB92" s="1167">
        <f>'2027'!R\Max</f>
        <v>0.61937680971164366</v>
      </c>
      <c r="CC92" s="1168">
        <f>'2028'!R\Max</f>
        <v>0.61936457666305844</v>
      </c>
      <c r="CD92" s="1167">
        <f>'2029'!R\Max</f>
        <v>0.61935031219426795</v>
      </c>
      <c r="CE92" s="1167">
        <f>'2030'!R\Max</f>
        <v>0.61941790118235396</v>
      </c>
      <c r="CF92" s="1169">
        <f>'2031'!R\Max</f>
        <v>0.6194097419553104</v>
      </c>
    </row>
    <row r="93" spans="1:84" s="6" customFormat="1" ht="11.25" x14ac:dyDescent="0.2">
      <c r="A93" s="11">
        <v>43179</v>
      </c>
      <c r="B93" s="375">
        <f>'2022'!Maxi_hp</f>
        <v>133.16227442268254</v>
      </c>
      <c r="C93" s="13">
        <f>'2022'!An_max</f>
        <v>2022</v>
      </c>
      <c r="D93" s="1045" t="str">
        <f t="shared" si="59"/>
        <v/>
      </c>
      <c r="E93" s="13"/>
      <c r="F93" s="13">
        <f t="shared" si="76"/>
        <v>7</v>
      </c>
      <c r="G93" s="13">
        <f t="shared" si="60"/>
        <v>8</v>
      </c>
      <c r="H93" s="169">
        <f t="shared" si="61"/>
        <v>43178</v>
      </c>
      <c r="I93" s="743">
        <f t="shared" si="62"/>
        <v>7.1428571428571425E-2</v>
      </c>
      <c r="J93" s="736">
        <f t="shared" si="63"/>
        <v>202.58739932605198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38">
        <v>43179</v>
      </c>
      <c r="AP93" s="13">
        <f t="shared" si="64"/>
        <v>5</v>
      </c>
      <c r="AQ93" s="13">
        <f t="shared" si="65"/>
        <v>4</v>
      </c>
      <c r="AR93" s="169">
        <f t="shared" si="66"/>
        <v>43192</v>
      </c>
      <c r="AS93" s="743">
        <f t="shared" si="67"/>
        <v>0.4642857142857143</v>
      </c>
      <c r="AT93" s="759">
        <f t="shared" si="68"/>
        <v>203.15751745727445</v>
      </c>
      <c r="AU93" s="13">
        <f t="shared" si="69"/>
        <v>5</v>
      </c>
      <c r="AV93" s="13">
        <f t="shared" si="70"/>
        <v>4</v>
      </c>
      <c r="AW93" s="169">
        <f t="shared" si="71"/>
        <v>43206</v>
      </c>
      <c r="AX93" s="743">
        <f t="shared" si="72"/>
        <v>0.9642857142857143</v>
      </c>
      <c r="AY93" s="759">
        <f t="shared" si="73"/>
        <v>202.53187996643993</v>
      </c>
      <c r="AZ93" s="736">
        <f t="shared" si="77"/>
        <v>202.84469871185718</v>
      </c>
      <c r="BA93" s="633">
        <f t="shared" si="74"/>
        <v>0.65730778353280517</v>
      </c>
      <c r="BC93" s="11">
        <v>43179</v>
      </c>
      <c r="BD93" s="286">
        <f>[2]!FeuilCaduc*(1-Persistant)+Persistant</f>
        <v>0.60659198406361292</v>
      </c>
      <c r="BE93" s="287">
        <f>[2]!CroissVégét</f>
        <v>3.1915627119784788E-2</v>
      </c>
      <c r="BF93" s="806">
        <f>1+[2]!Salcycl*Ksac</f>
        <v>1.0008239980079516</v>
      </c>
      <c r="BH93" s="1036">
        <f t="shared" si="75"/>
        <v>3.6281971760503185E-3</v>
      </c>
      <c r="BI93" s="11">
        <v>44275</v>
      </c>
      <c r="BJ93" s="716">
        <v>1.1003918036357884E-3</v>
      </c>
      <c r="BK93" s="716">
        <v>1.4368265605909092E-3</v>
      </c>
      <c r="BL93" s="716">
        <v>1.8232044677271673E-3</v>
      </c>
      <c r="BM93" s="716">
        <v>2.300170126445341E-3</v>
      </c>
      <c r="BN93" s="716">
        <v>2.8942668164995424E-3</v>
      </c>
      <c r="BO93" s="717">
        <v>3.6359633123964094E-3</v>
      </c>
      <c r="BP93" s="716">
        <v>4.5513493967077418E-3</v>
      </c>
      <c r="BQ93" s="716">
        <v>5.6809124035402088E-3</v>
      </c>
      <c r="BR93" s="716">
        <v>7.0347247121401758E-3</v>
      </c>
      <c r="BS93" s="716">
        <v>8.6051319290125303E-3</v>
      </c>
      <c r="BT93" s="716">
        <v>1.0306489352519255E-2</v>
      </c>
      <c r="BW93" s="1166">
        <f>'2022'!R\Max</f>
        <v>0.65730778353280517</v>
      </c>
      <c r="BX93" s="1167">
        <f>'2023'!R\Max</f>
        <v>0.65729990726442222</v>
      </c>
      <c r="BY93" s="1167">
        <f>'2024'!R\Max</f>
        <v>0.65729201057550912</v>
      </c>
      <c r="BZ93" s="1167">
        <f>'2025'!R\Max</f>
        <v>0.65728229094708635</v>
      </c>
      <c r="CA93" s="1167">
        <f>'2026'!R\Max</f>
        <v>0.65727254984344119</v>
      </c>
      <c r="CB93" s="1167">
        <f>'2027'!R\Max</f>
        <v>0.65726089984677283</v>
      </c>
      <c r="CC93" s="1168">
        <f>'2028'!R\Max</f>
        <v>0.65724922896588422</v>
      </c>
      <c r="CD93" s="1167">
        <f>'2029'!R\Max</f>
        <v>0.65723571405960068</v>
      </c>
      <c r="CE93" s="1167">
        <f>'2030'!R\Max</f>
        <v>0.65730030089526315</v>
      </c>
      <c r="CF93" s="1169">
        <f>'2031'!R\Max</f>
        <v>0.65729242443990665</v>
      </c>
    </row>
    <row r="94" spans="1:84" s="6" customFormat="1" ht="11.25" x14ac:dyDescent="0.2">
      <c r="A94" s="11">
        <v>43180</v>
      </c>
      <c r="B94" s="375">
        <f>'2022'!Maxi_hp</f>
        <v>191.92079017384989</v>
      </c>
      <c r="C94" s="13">
        <f>'2022'!An_max</f>
        <v>2022</v>
      </c>
      <c r="D94" s="1045" t="str">
        <f t="shared" si="59"/>
        <v/>
      </c>
      <c r="E94" s="13"/>
      <c r="F94" s="13">
        <f t="shared" si="76"/>
        <v>7</v>
      </c>
      <c r="G94" s="13">
        <f t="shared" si="60"/>
        <v>8</v>
      </c>
      <c r="H94" s="169">
        <f t="shared" si="61"/>
        <v>43178</v>
      </c>
      <c r="I94" s="743">
        <f t="shared" si="62"/>
        <v>0.14285714285714285</v>
      </c>
      <c r="J94" s="736">
        <f t="shared" si="63"/>
        <v>203.9181997090578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38">
        <v>43180</v>
      </c>
      <c r="AP94" s="13">
        <f t="shared" si="64"/>
        <v>5</v>
      </c>
      <c r="AQ94" s="13">
        <f t="shared" si="65"/>
        <v>4</v>
      </c>
      <c r="AR94" s="169">
        <f t="shared" si="66"/>
        <v>43192</v>
      </c>
      <c r="AS94" s="743">
        <f t="shared" si="67"/>
        <v>0.42857142857142855</v>
      </c>
      <c r="AT94" s="759">
        <f t="shared" si="68"/>
        <v>204.49855102045194</v>
      </c>
      <c r="AU94" s="13">
        <f t="shared" si="69"/>
        <v>5</v>
      </c>
      <c r="AV94" s="13">
        <f t="shared" si="70"/>
        <v>4</v>
      </c>
      <c r="AW94" s="169">
        <f t="shared" si="71"/>
        <v>43206</v>
      </c>
      <c r="AX94" s="743">
        <f t="shared" si="72"/>
        <v>0.9285714285714286</v>
      </c>
      <c r="AY94" s="759">
        <f t="shared" si="73"/>
        <v>203.79649763075366</v>
      </c>
      <c r="AZ94" s="736">
        <f t="shared" si="77"/>
        <v>204.1475243256028</v>
      </c>
      <c r="BA94" s="633">
        <f t="shared" si="74"/>
        <v>0.94116557741130846</v>
      </c>
      <c r="BC94" s="11">
        <v>43180</v>
      </c>
      <c r="BD94" s="286">
        <f>[2]!FeuilCaduc*(1-Persistant)+Persistant</f>
        <v>0.60702634246059539</v>
      </c>
      <c r="BE94" s="287">
        <f>[2]!CroissVégét</f>
        <v>3.3264621499185201E-2</v>
      </c>
      <c r="BF94" s="806">
        <f>1+[2]!Salcycl*Ksac</f>
        <v>1.0008782928075743</v>
      </c>
      <c r="BH94" s="1036">
        <f t="shared" si="75"/>
        <v>3.7705011133017698E-3</v>
      </c>
      <c r="BI94" s="11">
        <v>44276</v>
      </c>
      <c r="BJ94" s="716">
        <v>1.1490848179901878E-3</v>
      </c>
      <c r="BK94" s="716">
        <v>1.4989905838271843E-3</v>
      </c>
      <c r="BL94" s="716">
        <v>1.9024183139875258E-3</v>
      </c>
      <c r="BM94" s="716">
        <v>2.3999720991861101E-3</v>
      </c>
      <c r="BN94" s="716">
        <v>3.0156333264604041E-3</v>
      </c>
      <c r="BO94" s="717">
        <v>3.7784888005252142E-3</v>
      </c>
      <c r="BP94" s="716">
        <v>4.7131302848192023E-3</v>
      </c>
      <c r="BQ94" s="716">
        <v>5.8588920746891751E-3</v>
      </c>
      <c r="BR94" s="716">
        <v>7.2246186908960543E-3</v>
      </c>
      <c r="BS94" s="716">
        <v>8.7977593882790309E-3</v>
      </c>
      <c r="BT94" s="716">
        <v>1.0494212470006755E-2</v>
      </c>
      <c r="BW94" s="1166">
        <f>'2022'!R\Max</f>
        <v>0.94116557741130846</v>
      </c>
      <c r="BX94" s="1167">
        <f>'2023'!R\Max</f>
        <v>0.94116361198144849</v>
      </c>
      <c r="BY94" s="1167">
        <f>'2024'!R\Max</f>
        <v>0.94116164099095667</v>
      </c>
      <c r="BZ94" s="1167">
        <f>'2025'!R\Max</f>
        <v>0.94115923137043223</v>
      </c>
      <c r="CA94" s="1167">
        <f>'2026'!R\Max</f>
        <v>0.94115681591457723</v>
      </c>
      <c r="CB94" s="1167">
        <f>'2027'!R\Max</f>
        <v>0.9411539433556696</v>
      </c>
      <c r="CC94" s="1168">
        <f>'2028'!R\Max</f>
        <v>0.94115106522951231</v>
      </c>
      <c r="CD94" s="1167">
        <f>'2029'!R\Max</f>
        <v>0.94114775595525679</v>
      </c>
      <c r="CE94" s="1167">
        <f>'2030'!R\Max</f>
        <v>0.941163710208339</v>
      </c>
      <c r="CF94" s="1169">
        <f>'2031'!R\Max</f>
        <v>0.94116174469349023</v>
      </c>
    </row>
    <row r="95" spans="1:84" s="6" customFormat="1" ht="11.25" x14ac:dyDescent="0.2">
      <c r="A95" s="11">
        <v>43181</v>
      </c>
      <c r="B95" s="375">
        <f>'2022'!Maxi_hp</f>
        <v>170.88818318875792</v>
      </c>
      <c r="C95" s="13">
        <f>'2022'!An_max</f>
        <v>2022</v>
      </c>
      <c r="D95" s="1045" t="str">
        <f t="shared" si="59"/>
        <v/>
      </c>
      <c r="E95" s="13"/>
      <c r="F95" s="13">
        <f t="shared" si="76"/>
        <v>7</v>
      </c>
      <c r="G95" s="13">
        <f t="shared" si="60"/>
        <v>8</v>
      </c>
      <c r="H95" s="169">
        <f t="shared" si="61"/>
        <v>43178</v>
      </c>
      <c r="I95" s="743">
        <f t="shared" si="62"/>
        <v>0.21428571428571427</v>
      </c>
      <c r="J95" s="736">
        <f t="shared" si="63"/>
        <v>205.25041189949428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38">
        <v>43181</v>
      </c>
      <c r="AP95" s="13">
        <f t="shared" si="64"/>
        <v>5</v>
      </c>
      <c r="AQ95" s="13">
        <f t="shared" si="65"/>
        <v>4</v>
      </c>
      <c r="AR95" s="169">
        <f t="shared" si="66"/>
        <v>43192</v>
      </c>
      <c r="AS95" s="743">
        <f t="shared" si="67"/>
        <v>0.39285714285714285</v>
      </c>
      <c r="AT95" s="759">
        <f t="shared" si="68"/>
        <v>205.82371085791721</v>
      </c>
      <c r="AU95" s="13">
        <f t="shared" si="69"/>
        <v>5</v>
      </c>
      <c r="AV95" s="13">
        <f t="shared" si="70"/>
        <v>4</v>
      </c>
      <c r="AW95" s="169">
        <f t="shared" si="71"/>
        <v>43206</v>
      </c>
      <c r="AX95" s="743">
        <f t="shared" si="72"/>
        <v>0.8928571428571429</v>
      </c>
      <c r="AY95" s="759">
        <f t="shared" si="73"/>
        <v>205.05454286517843</v>
      </c>
      <c r="AZ95" s="736">
        <f t="shared" si="77"/>
        <v>205.43912686154783</v>
      </c>
      <c r="BA95" s="633">
        <f t="shared" si="74"/>
        <v>0.83258387453291627</v>
      </c>
      <c r="BC95" s="11">
        <v>43181</v>
      </c>
      <c r="BD95" s="286">
        <f>[2]!FeuilCaduc*(1-Persistant)+Persistant</f>
        <v>0.60750405170952115</v>
      </c>
      <c r="BE95" s="287">
        <f>[2]!CroissVégét</f>
        <v>3.4666216621534622E-2</v>
      </c>
      <c r="BF95" s="806">
        <f>1+[2]!Salcycl*Ksac</f>
        <v>1.0009380064636901</v>
      </c>
      <c r="BH95" s="1036">
        <f t="shared" si="75"/>
        <v>3.9186556115294747E-3</v>
      </c>
      <c r="BI95" s="11">
        <v>44277</v>
      </c>
      <c r="BJ95" s="716">
        <v>1.198411105916393E-3</v>
      </c>
      <c r="BK95" s="716">
        <v>1.5631441221666904E-3</v>
      </c>
      <c r="BL95" s="716">
        <v>1.9850334791288201E-3</v>
      </c>
      <c r="BM95" s="716">
        <v>2.5045334279006188E-3</v>
      </c>
      <c r="BN95" s="716">
        <v>3.1425542039685995E-3</v>
      </c>
      <c r="BO95" s="717">
        <v>3.9268679838221267E-3</v>
      </c>
      <c r="BP95" s="716">
        <v>4.8809763081146601E-3</v>
      </c>
      <c r="BQ95" s="716">
        <v>6.0438197615067793E-3</v>
      </c>
      <c r="BR95" s="716">
        <v>7.4228503652215214E-3</v>
      </c>
      <c r="BS95" s="716">
        <v>9.0010478297014845E-3</v>
      </c>
      <c r="BT95" s="716">
        <v>1.0695590512432369E-2</v>
      </c>
      <c r="BW95" s="1166">
        <f>'2022'!R\Max</f>
        <v>0.83258387453291627</v>
      </c>
      <c r="BX95" s="1167">
        <f>'2023'!R\Max</f>
        <v>0.83257885284190847</v>
      </c>
      <c r="BY95" s="1167">
        <f>'2024'!R\Max</f>
        <v>0.83257381587945423</v>
      </c>
      <c r="BZ95" s="1167">
        <f>'2025'!R\Max</f>
        <v>0.83256769507142314</v>
      </c>
      <c r="CA95" s="1167">
        <f>'2026'!R\Max</f>
        <v>0.83256155835893175</v>
      </c>
      <c r="CB95" s="1167">
        <f>'2027'!R\Max</f>
        <v>0.83255429890460897</v>
      </c>
      <c r="CC95" s="1168">
        <f>'2028'!R\Max</f>
        <v>0.83254702465775687</v>
      </c>
      <c r="CD95" s="1167">
        <f>'2029'!R\Max</f>
        <v>0.83253871579887362</v>
      </c>
      <c r="CE95" s="1167">
        <f>'2030'!R\Max</f>
        <v>0.83257910381164779</v>
      </c>
      <c r="CF95" s="1169">
        <f>'2031'!R\Max</f>
        <v>0.83257408193756288</v>
      </c>
    </row>
    <row r="96" spans="1:84" s="6" customFormat="1" ht="11.25" x14ac:dyDescent="0.2">
      <c r="A96" s="11">
        <v>43182</v>
      </c>
      <c r="B96" s="375">
        <f>'2022'!Maxi_hp</f>
        <v>204.57122568175365</v>
      </c>
      <c r="C96" s="13">
        <f>'2022'!An_max</f>
        <v>2022</v>
      </c>
      <c r="D96" s="1045">
        <f t="shared" si="59"/>
        <v>0.99027342604867497</v>
      </c>
      <c r="E96" s="13"/>
      <c r="F96" s="13">
        <f t="shared" si="76"/>
        <v>7</v>
      </c>
      <c r="G96" s="13">
        <f t="shared" si="60"/>
        <v>8</v>
      </c>
      <c r="H96" s="169">
        <f t="shared" si="61"/>
        <v>43178</v>
      </c>
      <c r="I96" s="743">
        <f t="shared" si="62"/>
        <v>0.2857142857142857</v>
      </c>
      <c r="J96" s="736">
        <f t="shared" si="63"/>
        <v>206.58054664560728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38">
        <v>43182</v>
      </c>
      <c r="AP96" s="13">
        <f t="shared" si="64"/>
        <v>5</v>
      </c>
      <c r="AQ96" s="13">
        <f t="shared" si="65"/>
        <v>4</v>
      </c>
      <c r="AR96" s="169">
        <f t="shared" si="66"/>
        <v>43192</v>
      </c>
      <c r="AS96" s="743">
        <f t="shared" si="67"/>
        <v>0.35714285714285715</v>
      </c>
      <c r="AT96" s="759">
        <f t="shared" si="68"/>
        <v>207.13176339066453</v>
      </c>
      <c r="AU96" s="13">
        <f t="shared" si="69"/>
        <v>5</v>
      </c>
      <c r="AV96" s="13">
        <f t="shared" si="70"/>
        <v>4</v>
      </c>
      <c r="AW96" s="169">
        <f t="shared" si="71"/>
        <v>43206</v>
      </c>
      <c r="AX96" s="743">
        <f t="shared" si="72"/>
        <v>0.8571428571428571</v>
      </c>
      <c r="AY96" s="759">
        <f t="shared" si="73"/>
        <v>206.30520554057188</v>
      </c>
      <c r="AZ96" s="736">
        <f t="shared" si="77"/>
        <v>206.71848446561819</v>
      </c>
      <c r="BA96" s="633">
        <f t="shared" si="74"/>
        <v>0.99027342604867497</v>
      </c>
      <c r="BC96" s="11">
        <v>43182</v>
      </c>
      <c r="BD96" s="286">
        <f>[2]!FeuilCaduc*(1-Persistant)+Persistant</f>
        <v>0.60802817009061338</v>
      </c>
      <c r="BE96" s="287">
        <f>[2]!CroissVégét</f>
        <v>3.6122296026123907E-2</v>
      </c>
      <c r="BF96" s="806">
        <f>1+[2]!Salcycl*Ksac</f>
        <v>1.0010035212613266</v>
      </c>
      <c r="BH96" s="1036">
        <f t="shared" si="75"/>
        <v>4.0726588593705719E-3</v>
      </c>
      <c r="BI96" s="11">
        <v>44278</v>
      </c>
      <c r="BJ96" s="716">
        <v>1.2483702490373367E-3</v>
      </c>
      <c r="BK96" s="716">
        <v>1.629286491833517E-3</v>
      </c>
      <c r="BL96" s="716">
        <v>2.0710489904786997E-3</v>
      </c>
      <c r="BM96" s="716">
        <v>2.6138528296727535E-3</v>
      </c>
      <c r="BN96" s="716">
        <v>3.2750278906279067E-3</v>
      </c>
      <c r="BO96" s="717">
        <v>4.0810990482474992E-3</v>
      </c>
      <c r="BP96" s="716">
        <v>5.0548853624549596E-3</v>
      </c>
      <c r="BQ96" s="716">
        <v>6.2356929348212665E-3</v>
      </c>
      <c r="BR96" s="716">
        <v>7.629416664099377E-3</v>
      </c>
      <c r="BS96" s="716">
        <v>9.2149934793700813E-3</v>
      </c>
      <c r="BT96" s="716">
        <v>1.0910618894935265E-2</v>
      </c>
      <c r="BW96" s="1166">
        <f>'2022'!R\Max</f>
        <v>0.99027342604867497</v>
      </c>
      <c r="BX96" s="1167">
        <f>'2023'!R\Max</f>
        <v>0.99027307385830043</v>
      </c>
      <c r="BY96" s="1167">
        <f>'2024'!R\Max</f>
        <v>0.99027272051344695</v>
      </c>
      <c r="BZ96" s="1167">
        <f>'2025'!R\Max</f>
        <v>0.99027229340398426</v>
      </c>
      <c r="CA96" s="1167">
        <f>'2026'!R\Max</f>
        <v>0.99027186509918896</v>
      </c>
      <c r="CB96" s="1167">
        <f>'2027'!R\Max</f>
        <v>0.99027136091131251</v>
      </c>
      <c r="CC96" s="1168">
        <f>'2028'!R\Max</f>
        <v>0.99027085563334938</v>
      </c>
      <c r="CD96" s="1167">
        <f>'2029'!R\Max</f>
        <v>0.99027028195563471</v>
      </c>
      <c r="CE96" s="1167">
        <f>'2030'!R\Max</f>
        <v>0.99027309145986842</v>
      </c>
      <c r="CF96" s="1169">
        <f>'2031'!R\Max</f>
        <v>0.99027273925260351</v>
      </c>
    </row>
    <row r="97" spans="1:84" s="6" customFormat="1" ht="11.25" x14ac:dyDescent="0.2">
      <c r="A97" s="11">
        <v>43183</v>
      </c>
      <c r="B97" s="375">
        <f>'2022'!Maxi_hp</f>
        <v>202.880750987478</v>
      </c>
      <c r="C97" s="13">
        <f>'2022'!An_max</f>
        <v>2022</v>
      </c>
      <c r="D97" s="1045">
        <f t="shared" si="59"/>
        <v>0.97583338089421956</v>
      </c>
      <c r="E97" s="13"/>
      <c r="F97" s="13">
        <f t="shared" si="76"/>
        <v>7</v>
      </c>
      <c r="G97" s="13">
        <f t="shared" si="60"/>
        <v>8</v>
      </c>
      <c r="H97" s="169">
        <f t="shared" si="61"/>
        <v>43178</v>
      </c>
      <c r="I97" s="743">
        <f t="shared" si="62"/>
        <v>0.35714285714285715</v>
      </c>
      <c r="J97" s="736">
        <f t="shared" si="63"/>
        <v>207.90511470468982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38">
        <v>43183</v>
      </c>
      <c r="AP97" s="13">
        <f t="shared" si="64"/>
        <v>5</v>
      </c>
      <c r="AQ97" s="13">
        <f t="shared" si="65"/>
        <v>4</v>
      </c>
      <c r="AR97" s="169">
        <f t="shared" si="66"/>
        <v>43192</v>
      </c>
      <c r="AS97" s="743">
        <f t="shared" si="67"/>
        <v>0.32142857142857145</v>
      </c>
      <c r="AT97" s="759">
        <f t="shared" si="68"/>
        <v>208.42147504809714</v>
      </c>
      <c r="AU97" s="13">
        <f t="shared" si="69"/>
        <v>5</v>
      </c>
      <c r="AV97" s="13">
        <f t="shared" si="70"/>
        <v>4</v>
      </c>
      <c r="AW97" s="169">
        <f t="shared" si="71"/>
        <v>43206</v>
      </c>
      <c r="AX97" s="743">
        <f t="shared" si="72"/>
        <v>0.8214285714285714</v>
      </c>
      <c r="AY97" s="759">
        <f t="shared" si="73"/>
        <v>207.54767551831901</v>
      </c>
      <c r="AZ97" s="736">
        <f t="shared" si="77"/>
        <v>207.98457528320807</v>
      </c>
      <c r="BA97" s="633">
        <f t="shared" si="74"/>
        <v>0.97583338089421956</v>
      </c>
      <c r="BC97" s="11">
        <v>43183</v>
      </c>
      <c r="BD97" s="286">
        <f>[2]!FeuilCaduc*(1-Persistant)+Persistant</f>
        <v>0.6086017715236085</v>
      </c>
      <c r="BE97" s="287">
        <f>[2]!CroissVégét</f>
        <v>3.7634796931243539E-2</v>
      </c>
      <c r="BF97" s="806">
        <f>1+[2]!Salcycl*Ksac</f>
        <v>1.001075221440451</v>
      </c>
      <c r="BH97" s="1036">
        <f t="shared" si="75"/>
        <v>4.2325088715143306E-3</v>
      </c>
      <c r="BI97" s="11">
        <v>44279</v>
      </c>
      <c r="BJ97" s="716">
        <v>1.2989617742582918E-3</v>
      </c>
      <c r="BK97" s="716">
        <v>1.6974169350553832E-3</v>
      </c>
      <c r="BL97" s="716">
        <v>2.1604637780378235E-3</v>
      </c>
      <c r="BM97" s="716">
        <v>2.7279288973020028E-3</v>
      </c>
      <c r="BN97" s="716">
        <v>3.4130526777169895E-3</v>
      </c>
      <c r="BO97" s="717">
        <v>4.241180005563853E-3</v>
      </c>
      <c r="BP97" s="716">
        <v>5.2348551479815889E-3</v>
      </c>
      <c r="BQ97" s="716">
        <v>6.4345088491500509E-3</v>
      </c>
      <c r="BR97" s="716">
        <v>7.8443142824394397E-3</v>
      </c>
      <c r="BS97" s="716">
        <v>9.4395923181478346E-3</v>
      </c>
      <c r="BT97" s="716">
        <v>1.1139292782144334E-2</v>
      </c>
      <c r="BW97" s="1166">
        <f>'2022'!R\Max</f>
        <v>0.97583338089421956</v>
      </c>
      <c r="BX97" s="1167">
        <f>'2023'!R\Max</f>
        <v>0.97583250577243497</v>
      </c>
      <c r="BY97" s="1167">
        <f>'2024'!R\Max</f>
        <v>0.97583162757836517</v>
      </c>
      <c r="BZ97" s="1167">
        <f>'2025'!R\Max</f>
        <v>0.97583057094123282</v>
      </c>
      <c r="CA97" s="1167">
        <f>'2026'!R\Max</f>
        <v>0.97582951115004657</v>
      </c>
      <c r="CB97" s="1167">
        <f>'2027'!R\Max</f>
        <v>0.97582826925717792</v>
      </c>
      <c r="CC97" s="1168">
        <f>'2028'!R\Max</f>
        <v>0.97582702454839831</v>
      </c>
      <c r="CD97" s="1167">
        <f>'2029'!R\Max</f>
        <v>0.97582561906648468</v>
      </c>
      <c r="CE97" s="1167">
        <f>'2030'!R\Max</f>
        <v>0.97583254950876086</v>
      </c>
      <c r="CF97" s="1169">
        <f>'2031'!R\Max</f>
        <v>0.97583167434527396</v>
      </c>
    </row>
    <row r="98" spans="1:84" s="6" customFormat="1" ht="11.25" x14ac:dyDescent="0.2">
      <c r="A98" s="11">
        <v>43184</v>
      </c>
      <c r="B98" s="375">
        <f>'2022'!Maxi_hp</f>
        <v>172.86097391722259</v>
      </c>
      <c r="C98" s="13">
        <f>'2022'!An_max</f>
        <v>2022</v>
      </c>
      <c r="D98" s="1045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69">
        <f t="shared" si="61"/>
        <v>43178</v>
      </c>
      <c r="I98" s="743">
        <f t="shared" si="62"/>
        <v>0.42857142857142855</v>
      </c>
      <c r="J98" s="736">
        <f t="shared" si="63"/>
        <v>209.22062682041096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38">
        <v>43184</v>
      </c>
      <c r="AP98" s="13">
        <f t="shared" si="64"/>
        <v>5</v>
      </c>
      <c r="AQ98" s="13">
        <f t="shared" si="65"/>
        <v>4</v>
      </c>
      <c r="AR98" s="169">
        <f t="shared" si="66"/>
        <v>43192</v>
      </c>
      <c r="AS98" s="743">
        <f t="shared" si="67"/>
        <v>0.2857142857142857</v>
      </c>
      <c r="AT98" s="759">
        <f t="shared" si="68"/>
        <v>209.6916122423751</v>
      </c>
      <c r="AU98" s="13">
        <f t="shared" si="69"/>
        <v>5</v>
      </c>
      <c r="AV98" s="13">
        <f t="shared" si="70"/>
        <v>4</v>
      </c>
      <c r="AW98" s="169">
        <f t="shared" si="71"/>
        <v>43206</v>
      </c>
      <c r="AX98" s="743">
        <f t="shared" si="72"/>
        <v>0.7857142857142857</v>
      </c>
      <c r="AY98" s="759">
        <f t="shared" si="73"/>
        <v>208.78114267566374</v>
      </c>
      <c r="AZ98" s="736">
        <f t="shared" si="77"/>
        <v>209.23637745901942</v>
      </c>
      <c r="BA98" s="633">
        <f t="shared" si="74"/>
        <v>0.82621382291145484</v>
      </c>
      <c r="BC98" s="11">
        <v>43184</v>
      </c>
      <c r="BD98" s="286">
        <f>[2]!FeuilCaduc*(1-Persistant)+Persistant</f>
        <v>0.60922793633269923</v>
      </c>
      <c r="BE98" s="287">
        <f>[2]!CroissVégét</f>
        <v>3.9205710601738018E-2</v>
      </c>
      <c r="BF98" s="806">
        <f>1+[2]!Salcycl*Ksac</f>
        <v>1.0011534920415874</v>
      </c>
      <c r="BH98" s="1036">
        <f t="shared" si="75"/>
        <v>4.3982034729165972E-3</v>
      </c>
      <c r="BI98" s="11">
        <v>44280</v>
      </c>
      <c r="BJ98" s="716">
        <v>1.3501851520504675E-3</v>
      </c>
      <c r="BK98" s="716">
        <v>1.7675346146925402E-3</v>
      </c>
      <c r="BL98" s="716">
        <v>2.2532766653036635E-3</v>
      </c>
      <c r="BM98" s="716">
        <v>2.8467600864660798E-3</v>
      </c>
      <c r="BN98" s="716">
        <v>3.5566266912064113E-3</v>
      </c>
      <c r="BO98" s="717">
        <v>4.4071086775418237E-3</v>
      </c>
      <c r="BP98" s="716">
        <v>5.4208831527484585E-3</v>
      </c>
      <c r="BQ98" s="716">
        <v>6.6402645239500091E-3</v>
      </c>
      <c r="BR98" s="716">
        <v>8.0675396585835907E-3</v>
      </c>
      <c r="BS98" s="716">
        <v>9.6748400529185121E-3</v>
      </c>
      <c r="BT98" s="716">
        <v>1.1381607051364935E-2</v>
      </c>
      <c r="BW98" s="1166">
        <f>'2022'!R\Max</f>
        <v>0.82621382291145484</v>
      </c>
      <c r="BX98" s="1167">
        <f>'2023'!R\Max</f>
        <v>0.82620841553579161</v>
      </c>
      <c r="BY98" s="1167">
        <f>'2024'!R\Max</f>
        <v>0.82620298791487379</v>
      </c>
      <c r="BZ98" s="1167">
        <f>'2025'!R\Max</f>
        <v>0.82619648330908602</v>
      </c>
      <c r="CA98" s="1167">
        <f>'2026'!R\Max</f>
        <v>0.82618995813786789</v>
      </c>
      <c r="CB98" s="1167">
        <f>'2027'!R\Max</f>
        <v>0.82618234379612088</v>
      </c>
      <c r="CC98" s="1168">
        <f>'2028'!R\Max</f>
        <v>0.82617471148771682</v>
      </c>
      <c r="CD98" s="1167">
        <f>'2029'!R\Max</f>
        <v>0.82616613574439568</v>
      </c>
      <c r="CE98" s="1167">
        <f>'2030'!R\Max</f>
        <v>0.82620868578110784</v>
      </c>
      <c r="CF98" s="1169">
        <f>'2031'!R\Max</f>
        <v>0.82620327820183392</v>
      </c>
    </row>
    <row r="99" spans="1:84" s="6" customFormat="1" ht="11.25" x14ac:dyDescent="0.2">
      <c r="A99" s="11">
        <v>43185</v>
      </c>
      <c r="B99" s="375">
        <f>'2022'!Maxi_hp</f>
        <v>190.60471742459274</v>
      </c>
      <c r="C99" s="13">
        <f>'2022'!An_max</f>
        <v>2022</v>
      </c>
      <c r="D99" s="1045" t="str">
        <f t="shared" si="59"/>
        <v/>
      </c>
      <c r="E99" s="13"/>
      <c r="F99" s="13">
        <f t="shared" si="76"/>
        <v>7</v>
      </c>
      <c r="G99" s="13">
        <f t="shared" si="60"/>
        <v>8</v>
      </c>
      <c r="H99" s="169">
        <f t="shared" si="61"/>
        <v>43178</v>
      </c>
      <c r="I99" s="743">
        <f t="shared" si="62"/>
        <v>0.5</v>
      </c>
      <c r="J99" s="736">
        <f t="shared" si="63"/>
        <v>210.52359375059604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38">
        <v>43185</v>
      </c>
      <c r="AP99" s="13">
        <f t="shared" si="64"/>
        <v>5</v>
      </c>
      <c r="AQ99" s="13">
        <f t="shared" si="65"/>
        <v>4</v>
      </c>
      <c r="AR99" s="169">
        <f t="shared" si="66"/>
        <v>43192</v>
      </c>
      <c r="AS99" s="743">
        <f t="shared" si="67"/>
        <v>0.25</v>
      </c>
      <c r="AT99" s="759">
        <f t="shared" si="68"/>
        <v>210.94094140641391</v>
      </c>
      <c r="AU99" s="13">
        <f t="shared" si="69"/>
        <v>5</v>
      </c>
      <c r="AV99" s="13">
        <f t="shared" si="70"/>
        <v>4</v>
      </c>
      <c r="AW99" s="169">
        <f t="shared" si="71"/>
        <v>43206</v>
      </c>
      <c r="AX99" s="743">
        <f t="shared" si="72"/>
        <v>0.75</v>
      </c>
      <c r="AY99" s="759">
        <f t="shared" si="73"/>
        <v>210.00479687415063</v>
      </c>
      <c r="AZ99" s="736">
        <f t="shared" si="77"/>
        <v>210.47286914028228</v>
      </c>
      <c r="BA99" s="633">
        <f t="shared" si="74"/>
        <v>0.90538411409791497</v>
      </c>
      <c r="BC99" s="11">
        <v>43185</v>
      </c>
      <c r="BD99" s="286">
        <f>[2]!FeuilCaduc*(1-Persistant)+Persistant</f>
        <v>0.60990974227623396</v>
      </c>
      <c r="BE99" s="287">
        <f>[2]!CroissVégét</f>
        <v>4.0837082604545251E-2</v>
      </c>
      <c r="BF99" s="806">
        <f>1+[2]!Salcycl*Ksac</f>
        <v>1.0012387177845292</v>
      </c>
      <c r="BH99" s="1036">
        <f t="shared" si="75"/>
        <v>4.5697402830263576E-3</v>
      </c>
      <c r="BI99" s="11">
        <v>44281</v>
      </c>
      <c r="BJ99" s="716">
        <v>1.4020397947383341E-3</v>
      </c>
      <c r="BK99" s="716">
        <v>1.8396386088715478E-3</v>
      </c>
      <c r="BL99" s="716">
        <v>2.3494863601005141E-3</v>
      </c>
      <c r="BM99" s="716">
        <v>2.9703447028913903E-3</v>
      </c>
      <c r="BN99" s="716">
        <v>3.7057478767854573E-3</v>
      </c>
      <c r="BO99" s="717">
        <v>4.5788826801782629E-3</v>
      </c>
      <c r="BP99" s="716">
        <v>5.6129666363686241E-3</v>
      </c>
      <c r="BQ99" s="716">
        <v>6.8529567248861237E-3</v>
      </c>
      <c r="BR99" s="716">
        <v>8.2990889518331501E-3</v>
      </c>
      <c r="BS99" s="716">
        <v>9.920732087861461E-3</v>
      </c>
      <c r="BT99" s="716">
        <v>1.1637556255797269E-2</v>
      </c>
      <c r="BW99" s="1166">
        <f>'2022'!R\Max</f>
        <v>0.90538411409791497</v>
      </c>
      <c r="BX99" s="1167">
        <f>'2023'!R\Max</f>
        <v>0.90538084007906794</v>
      </c>
      <c r="BY99" s="1167">
        <f>'2024'!R\Max</f>
        <v>0.90537755293770372</v>
      </c>
      <c r="BZ99" s="1167">
        <f>'2025'!R\Max</f>
        <v>0.90537362661615406</v>
      </c>
      <c r="CA99" s="1167">
        <f>'2026'!R\Max</f>
        <v>0.90536968708960175</v>
      </c>
      <c r="CB99" s="1167">
        <f>'2027'!R\Max</f>
        <v>0.90536510750656785</v>
      </c>
      <c r="CC99" s="1168">
        <f>'2028'!R\Max</f>
        <v>0.90536051656854177</v>
      </c>
      <c r="CD99" s="1167">
        <f>'2029'!R\Max</f>
        <v>0.90535538049525432</v>
      </c>
      <c r="CE99" s="1167">
        <f>'2030'!R\Max</f>
        <v>0.90538100370577057</v>
      </c>
      <c r="CF99" s="1169">
        <f>'2031'!R\Max</f>
        <v>0.90537772954298734</v>
      </c>
    </row>
    <row r="100" spans="1:84" s="6" customFormat="1" ht="11.25" x14ac:dyDescent="0.2">
      <c r="A100" s="11">
        <v>43186</v>
      </c>
      <c r="B100" s="375">
        <f>'2022'!Maxi_hp</f>
        <v>192.69197360418002</v>
      </c>
      <c r="C100" s="13">
        <f>'2022'!An_max</f>
        <v>2022</v>
      </c>
      <c r="D100" s="1045" t="str">
        <f t="shared" si="59"/>
        <v/>
      </c>
      <c r="E100" s="13"/>
      <c r="F100" s="13">
        <f t="shared" si="76"/>
        <v>7</v>
      </c>
      <c r="G100" s="13">
        <f t="shared" si="60"/>
        <v>8</v>
      </c>
      <c r="H100" s="169">
        <f t="shared" si="61"/>
        <v>43178</v>
      </c>
      <c r="I100" s="743">
        <f t="shared" si="62"/>
        <v>0.5714285714285714</v>
      </c>
      <c r="J100" s="736">
        <f t="shared" si="63"/>
        <v>211.81052623795614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38">
        <v>43186</v>
      </c>
      <c r="AP100" s="13">
        <f t="shared" si="64"/>
        <v>5</v>
      </c>
      <c r="AQ100" s="13">
        <f t="shared" si="65"/>
        <v>4</v>
      </c>
      <c r="AR100" s="169">
        <f t="shared" si="66"/>
        <v>43192</v>
      </c>
      <c r="AS100" s="743">
        <f t="shared" si="67"/>
        <v>0.21428571428571427</v>
      </c>
      <c r="AT100" s="759">
        <f t="shared" si="68"/>
        <v>212.16822895343813</v>
      </c>
      <c r="AU100" s="13">
        <f t="shared" si="69"/>
        <v>5</v>
      </c>
      <c r="AV100" s="13">
        <f t="shared" si="70"/>
        <v>4</v>
      </c>
      <c r="AW100" s="169">
        <f t="shared" si="71"/>
        <v>43206</v>
      </c>
      <c r="AX100" s="743">
        <f t="shared" si="72"/>
        <v>0.7142857142857143</v>
      </c>
      <c r="AY100" s="759">
        <f t="shared" si="73"/>
        <v>211.21782798873528</v>
      </c>
      <c r="AZ100" s="736">
        <f t="shared" si="77"/>
        <v>211.69302847108671</v>
      </c>
      <c r="BA100" s="633">
        <f t="shared" si="74"/>
        <v>0.90973747635045488</v>
      </c>
      <c r="BC100" s="11">
        <v>43186</v>
      </c>
      <c r="BD100" s="286">
        <f>[2]!FeuilCaduc*(1-Persistant)+Persistant</f>
        <v>0.61065025587443977</v>
      </c>
      <c r="BE100" s="287">
        <f>[2]!CroissVégét</f>
        <v>4.2531012940474407E-2</v>
      </c>
      <c r="BF100" s="806">
        <f>1+[2]!Salcycl*Ksac</f>
        <v>1.001331281984305</v>
      </c>
      <c r="BH100" s="1036">
        <f t="shared" si="75"/>
        <v>4.7479786738120798E-3</v>
      </c>
      <c r="BI100" s="11">
        <v>44282</v>
      </c>
      <c r="BJ100" s="716">
        <v>1.4563841227670025E-3</v>
      </c>
      <c r="BK100" s="716">
        <v>1.9151406428695812E-3</v>
      </c>
      <c r="BL100" s="716">
        <v>2.4499731320263276E-3</v>
      </c>
      <c r="BM100" s="716">
        <v>3.0991592729162835E-3</v>
      </c>
      <c r="BN100" s="716">
        <v>3.860882763831619E-3</v>
      </c>
      <c r="BO100" s="717">
        <v>4.7573655423334806E-3</v>
      </c>
      <c r="BP100" s="716">
        <v>5.8125691811955578E-3</v>
      </c>
      <c r="BQ100" s="716">
        <v>7.0744122932319868E-3</v>
      </c>
      <c r="BR100" s="716">
        <v>8.5410418151764724E-3</v>
      </c>
      <c r="BS100" s="716">
        <v>1.0179663039103596E-2</v>
      </c>
      <c r="BT100" s="716">
        <v>1.1910127802135063E-2</v>
      </c>
      <c r="BW100" s="1166">
        <f>'2022'!R\Max</f>
        <v>0.90973747635045488</v>
      </c>
      <c r="BX100" s="1167">
        <f>'2023'!R\Max</f>
        <v>0.9097342894482553</v>
      </c>
      <c r="BY100" s="1167">
        <f>'2024'!R\Max</f>
        <v>0.90973108892073262</v>
      </c>
      <c r="BZ100" s="1167">
        <f>'2025'!R\Max</f>
        <v>0.90972727755148275</v>
      </c>
      <c r="CA100" s="1167">
        <f>'2026'!R\Max</f>
        <v>0.90972345261152809</v>
      </c>
      <c r="CB100" s="1167">
        <f>'2027'!R\Max</f>
        <v>0.90971902216672695</v>
      </c>
      <c r="CC100" s="1168">
        <f>'2028'!R\Max</f>
        <v>0.90971458021282781</v>
      </c>
      <c r="CD100" s="1167">
        <f>'2029'!R\Max</f>
        <v>0.90970962953830381</v>
      </c>
      <c r="CE100" s="1167">
        <f>'2030'!R\Max</f>
        <v>0.90973444872118059</v>
      </c>
      <c r="CF100" s="1169">
        <f>'2031'!R\Max</f>
        <v>0.90973126167568596</v>
      </c>
    </row>
    <row r="101" spans="1:84" s="6" customFormat="1" ht="11.25" x14ac:dyDescent="0.2">
      <c r="A101" s="11">
        <v>43187</v>
      </c>
      <c r="B101" s="375">
        <f>'2022'!Maxi_hp</f>
        <v>151.9433815966527</v>
      </c>
      <c r="C101" s="13">
        <f>'2022'!An_max</f>
        <v>2022</v>
      </c>
      <c r="D101" s="1045" t="str">
        <f t="shared" si="59"/>
        <v/>
      </c>
      <c r="E101" s="13"/>
      <c r="F101" s="13">
        <f t="shared" si="76"/>
        <v>7</v>
      </c>
      <c r="G101" s="13">
        <f t="shared" si="60"/>
        <v>8</v>
      </c>
      <c r="H101" s="169">
        <f t="shared" si="61"/>
        <v>43178</v>
      </c>
      <c r="I101" s="743">
        <f t="shared" si="62"/>
        <v>0.6428571428571429</v>
      </c>
      <c r="J101" s="736">
        <f t="shared" si="63"/>
        <v>213.07793503595249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38">
        <v>43187</v>
      </c>
      <c r="AP101" s="13">
        <f t="shared" si="64"/>
        <v>5</v>
      </c>
      <c r="AQ101" s="13">
        <f t="shared" si="65"/>
        <v>4</v>
      </c>
      <c r="AR101" s="169">
        <f t="shared" si="66"/>
        <v>43192</v>
      </c>
      <c r="AS101" s="743">
        <f t="shared" si="67"/>
        <v>0.17857142857142858</v>
      </c>
      <c r="AT101" s="759">
        <f t="shared" si="68"/>
        <v>213.3722413076886</v>
      </c>
      <c r="AU101" s="13">
        <f t="shared" si="69"/>
        <v>5</v>
      </c>
      <c r="AV101" s="13">
        <f t="shared" si="70"/>
        <v>4</v>
      </c>
      <c r="AW101" s="169">
        <f t="shared" si="71"/>
        <v>43206</v>
      </c>
      <c r="AX101" s="743">
        <f t="shared" si="72"/>
        <v>0.6785714285714286</v>
      </c>
      <c r="AY101" s="759">
        <f t="shared" si="73"/>
        <v>212.41942588458105</v>
      </c>
      <c r="AZ101" s="736">
        <f t="shared" si="77"/>
        <v>212.89583359613482</v>
      </c>
      <c r="BA101" s="633">
        <f t="shared" si="74"/>
        <v>0.71308829593742495</v>
      </c>
      <c r="BC101" s="11">
        <v>43187</v>
      </c>
      <c r="BD101" s="286">
        <f>[2]!FeuilCaduc*(1-Persistant)+Persistant</f>
        <v>0.6114525240608456</v>
      </c>
      <c r="BE101" s="287">
        <f>[2]!CroissVégét</f>
        <v>4.4289656039802887E-2</v>
      </c>
      <c r="BF101" s="806">
        <f>1+[2]!Salcycl*Ksac</f>
        <v>1.0014315655076058</v>
      </c>
      <c r="BH101" s="1036">
        <f t="shared" si="75"/>
        <v>4.928892361482631E-3</v>
      </c>
      <c r="BI101" s="11">
        <v>44283</v>
      </c>
      <c r="BJ101" s="716">
        <v>1.5137799034240999E-3</v>
      </c>
      <c r="BK101" s="716">
        <v>1.9938647575648738E-3</v>
      </c>
      <c r="BL101" s="716">
        <v>2.553652625898455E-3</v>
      </c>
      <c r="BM101" s="716">
        <v>3.2310955436187648E-3</v>
      </c>
      <c r="BN101" s="716">
        <v>4.0189715543238018E-3</v>
      </c>
      <c r="BO101" s="717">
        <v>4.9385207532783677E-3</v>
      </c>
      <c r="BP101" s="716">
        <v>6.0143485768330502E-3</v>
      </c>
      <c r="BQ101" s="716">
        <v>7.2972617095119026E-3</v>
      </c>
      <c r="BR101" s="716">
        <v>8.7836723207283408E-3</v>
      </c>
      <c r="BS101" s="716">
        <v>1.0439395617575509E-2</v>
      </c>
      <c r="BT101" s="716">
        <v>1.2184728880847822E-2</v>
      </c>
      <c r="BW101" s="1166">
        <f>'2022'!R\Max</f>
        <v>0.71308829593742495</v>
      </c>
      <c r="BX101" s="1167">
        <f>'2023'!R\Max</f>
        <v>0.71308023808503485</v>
      </c>
      <c r="BY101" s="1167">
        <f>'2024'!R\Max</f>
        <v>0.71307214375506789</v>
      </c>
      <c r="BZ101" s="1167">
        <f>'2025'!R\Max</f>
        <v>0.71306253419572863</v>
      </c>
      <c r="CA101" s="1167">
        <f>'2026'!R\Max</f>
        <v>0.71305288867326821</v>
      </c>
      <c r="CB101" s="1167">
        <f>'2027'!R\Max</f>
        <v>0.71304175393218794</v>
      </c>
      <c r="CC101" s="1168">
        <f>'2028'!R\Max</f>
        <v>0.71303058907664219</v>
      </c>
      <c r="CD101" s="1167">
        <f>'2029'!R\Max</f>
        <v>0.71301818486116453</v>
      </c>
      <c r="CE101" s="1167">
        <f>'2030'!R\Max</f>
        <v>0.71308064079231182</v>
      </c>
      <c r="CF101" s="1169">
        <f>'2031'!R\Max</f>
        <v>0.71307258269082863</v>
      </c>
    </row>
    <row r="102" spans="1:84" s="6" customFormat="1" ht="11.25" x14ac:dyDescent="0.2">
      <c r="A102" s="11">
        <v>43188</v>
      </c>
      <c r="B102" s="375">
        <f>'2022'!Maxi_hp</f>
        <v>119.48424336256193</v>
      </c>
      <c r="C102" s="13">
        <f>'2022'!An_max</f>
        <v>2022</v>
      </c>
      <c r="D102" s="1045" t="str">
        <f t="shared" si="59"/>
        <v/>
      </c>
      <c r="E102" s="13"/>
      <c r="F102" s="13">
        <f t="shared" si="76"/>
        <v>7</v>
      </c>
      <c r="G102" s="13">
        <f t="shared" si="60"/>
        <v>8</v>
      </c>
      <c r="H102" s="169">
        <f t="shared" si="61"/>
        <v>43178</v>
      </c>
      <c r="I102" s="743">
        <f t="shared" si="62"/>
        <v>0.7142857142857143</v>
      </c>
      <c r="J102" s="736">
        <f t="shared" si="63"/>
        <v>214.32233090358122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38">
        <v>43188</v>
      </c>
      <c r="AP102" s="13">
        <f t="shared" si="64"/>
        <v>5</v>
      </c>
      <c r="AQ102" s="13">
        <f t="shared" si="65"/>
        <v>4</v>
      </c>
      <c r="AR102" s="169">
        <f t="shared" si="66"/>
        <v>43192</v>
      </c>
      <c r="AS102" s="743">
        <f t="shared" si="67"/>
        <v>0.14285714285714285</v>
      </c>
      <c r="AT102" s="759">
        <f t="shared" si="68"/>
        <v>214.55174489723785</v>
      </c>
      <c r="AU102" s="13">
        <f t="shared" si="69"/>
        <v>5</v>
      </c>
      <c r="AV102" s="13">
        <f t="shared" si="70"/>
        <v>4</v>
      </c>
      <c r="AW102" s="169">
        <f t="shared" si="71"/>
        <v>43206</v>
      </c>
      <c r="AX102" s="743">
        <f t="shared" si="72"/>
        <v>0.6428571428571429</v>
      </c>
      <c r="AY102" s="759">
        <f t="shared" si="73"/>
        <v>213.60878042908652</v>
      </c>
      <c r="AZ102" s="736">
        <f t="shared" si="77"/>
        <v>214.08026266316219</v>
      </c>
      <c r="BA102" s="633">
        <f t="shared" si="74"/>
        <v>0.55749787182146315</v>
      </c>
      <c r="BC102" s="11">
        <v>43188</v>
      </c>
      <c r="BD102" s="286">
        <f>[2]!FeuilCaduc*(1-Persistant)+Persistant</f>
        <v>0.61231956617540229</v>
      </c>
      <c r="BE102" s="287">
        <f>[2]!CroissVégét</f>
        <v>4.6115220608575654E-2</v>
      </c>
      <c r="BF102" s="806">
        <f>1+[2]!Salcycl*Ksac</f>
        <v>1.0015399457719254</v>
      </c>
      <c r="BH102" s="1036">
        <f t="shared" si="75"/>
        <v>5.1124786984301741E-3</v>
      </c>
      <c r="BI102" s="11">
        <v>44284</v>
      </c>
      <c r="BJ102" s="716">
        <v>1.5742260094418854E-3</v>
      </c>
      <c r="BK102" s="716">
        <v>2.0758095605700375E-3</v>
      </c>
      <c r="BL102" s="716">
        <v>2.6605231709170723E-3</v>
      </c>
      <c r="BM102" s="716">
        <v>3.3661515223514515E-3</v>
      </c>
      <c r="BN102" s="716">
        <v>4.1800119282701083E-3</v>
      </c>
      <c r="BO102" s="717">
        <v>5.1223456619383934E-3</v>
      </c>
      <c r="BP102" s="716">
        <v>6.2183018410376821E-3</v>
      </c>
      <c r="BQ102" s="716">
        <v>7.5215016413581271E-3</v>
      </c>
      <c r="BR102" s="716">
        <v>9.0269767287649745E-3</v>
      </c>
      <c r="BS102" s="716">
        <v>1.0699925529902919E-2</v>
      </c>
      <c r="BT102" s="716">
        <v>1.2461354481760853E-2</v>
      </c>
      <c r="BW102" s="1166">
        <f>'2022'!R\Max</f>
        <v>0.55749787182146315</v>
      </c>
      <c r="BX102" s="1167">
        <f>'2023'!R\Max</f>
        <v>0.55748801763901967</v>
      </c>
      <c r="BY102" s="1167">
        <f>'2024'!R\Max</f>
        <v>0.55747811634408895</v>
      </c>
      <c r="BZ102" s="1167">
        <f>'2025'!R\Max</f>
        <v>0.55746639824491162</v>
      </c>
      <c r="CA102" s="1167">
        <f>'2026'!R\Max</f>
        <v>0.55745463407221774</v>
      </c>
      <c r="CB102" s="1167">
        <f>'2027'!R\Max</f>
        <v>0.55744109646680051</v>
      </c>
      <c r="CC102" s="1168">
        <f>'2028'!R\Max</f>
        <v>0.55742752056792133</v>
      </c>
      <c r="CD102" s="1167">
        <f>'2029'!R\Max</f>
        <v>0.55741247612220535</v>
      </c>
      <c r="CE102" s="1167">
        <f>'2030'!R\Max</f>
        <v>0.55748851011868128</v>
      </c>
      <c r="CF102" s="1169">
        <f>'2031'!R\Max</f>
        <v>0.55747865574365152</v>
      </c>
    </row>
    <row r="103" spans="1:84" s="6" customFormat="1" ht="11.25" x14ac:dyDescent="0.2">
      <c r="A103" s="11">
        <v>43189</v>
      </c>
      <c r="B103" s="375">
        <f>'2022'!Maxi_hp</f>
        <v>31.39060598359443</v>
      </c>
      <c r="C103" s="13">
        <f>'2022'!An_max</f>
        <v>2022</v>
      </c>
      <c r="D103" s="1045" t="str">
        <f t="shared" si="59"/>
        <v/>
      </c>
      <c r="E103" s="13"/>
      <c r="F103" s="13">
        <f t="shared" si="76"/>
        <v>7</v>
      </c>
      <c r="G103" s="13">
        <f t="shared" si="60"/>
        <v>8</v>
      </c>
      <c r="H103" s="169">
        <f t="shared" si="61"/>
        <v>43178</v>
      </c>
      <c r="I103" s="743">
        <f t="shared" si="62"/>
        <v>0.7857142857142857</v>
      </c>
      <c r="J103" s="736">
        <f t="shared" si="63"/>
        <v>215.54022457620925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38">
        <v>43189</v>
      </c>
      <c r="AP103" s="13">
        <f t="shared" si="64"/>
        <v>5</v>
      </c>
      <c r="AQ103" s="13">
        <f t="shared" si="65"/>
        <v>4</v>
      </c>
      <c r="AR103" s="169">
        <f t="shared" si="66"/>
        <v>43192</v>
      </c>
      <c r="AS103" s="743">
        <f t="shared" si="67"/>
        <v>0.10714285714285714</v>
      </c>
      <c r="AT103" s="759">
        <f t="shared" si="68"/>
        <v>215.70550613445894</v>
      </c>
      <c r="AU103" s="13">
        <f t="shared" si="69"/>
        <v>5</v>
      </c>
      <c r="AV103" s="13">
        <f t="shared" si="70"/>
        <v>4</v>
      </c>
      <c r="AW103" s="169">
        <f t="shared" si="71"/>
        <v>43206</v>
      </c>
      <c r="AX103" s="743">
        <f t="shared" si="72"/>
        <v>0.6071428571428571</v>
      </c>
      <c r="AY103" s="759">
        <f t="shared" si="73"/>
        <v>214.78508149779267</v>
      </c>
      <c r="AZ103" s="736">
        <f t="shared" si="77"/>
        <v>215.24529381612581</v>
      </c>
      <c r="BA103" s="633">
        <f t="shared" si="74"/>
        <v>0.14563688075074613</v>
      </c>
      <c r="BC103" s="11">
        <v>43189</v>
      </c>
      <c r="BD103" s="286">
        <f>[2]!FeuilCaduc*(1-Persistant)+Persistant</f>
        <v>0.61325436630966779</v>
      </c>
      <c r="BE103" s="287">
        <f>[2]!CroissVégét</f>
        <v>4.8009969311812332E-2</v>
      </c>
      <c r="BF103" s="806">
        <f>1+[2]!Salcycl*Ksac</f>
        <v>1.0016567957887086</v>
      </c>
      <c r="BH103" s="1036">
        <f t="shared" si="75"/>
        <v>5.2987348092060002E-3</v>
      </c>
      <c r="BI103" s="11">
        <v>44285</v>
      </c>
      <c r="BJ103" s="716">
        <v>1.6377212145698753E-3</v>
      </c>
      <c r="BK103" s="716">
        <v>2.1609735354162366E-3</v>
      </c>
      <c r="BL103" s="716">
        <v>2.770582945610237E-3</v>
      </c>
      <c r="BM103" s="716">
        <v>3.5043250361413928E-3</v>
      </c>
      <c r="BN103" s="716">
        <v>4.3440013591340291E-3</v>
      </c>
      <c r="BO103" s="717">
        <v>5.3088373891728114E-3</v>
      </c>
      <c r="BP103" s="716">
        <v>6.4244257471942475E-3</v>
      </c>
      <c r="BQ103" s="716">
        <v>7.7471284987157977E-3</v>
      </c>
      <c r="BR103" s="716">
        <v>9.2709510291260379E-3</v>
      </c>
      <c r="BS103" s="716">
        <v>1.0961248192217105E-2</v>
      </c>
      <c r="BT103" s="716">
        <v>1.2739999273166793E-2</v>
      </c>
      <c r="BW103" s="1166">
        <f>'2022'!R\Max</f>
        <v>0.14563688075074613</v>
      </c>
      <c r="BX103" s="1167">
        <f>'2023'!R\Max</f>
        <v>0.14563275275151449</v>
      </c>
      <c r="BY103" s="1167">
        <f>'2024'!R\Max</f>
        <v>0.14562860400773675</v>
      </c>
      <c r="BZ103" s="1167">
        <f>'2025'!R\Max</f>
        <v>0.14562370962541127</v>
      </c>
      <c r="CA103" s="1167">
        <f>'2026'!R\Max</f>
        <v>0.14561879509919029</v>
      </c>
      <c r="CB103" s="1167">
        <f>'2027'!R\Max</f>
        <v>0.14561315651557699</v>
      </c>
      <c r="CC103" s="1168">
        <f>'2028'!R\Max</f>
        <v>0.14560750125827196</v>
      </c>
      <c r="CD103" s="1167">
        <f>'2029'!R\Max</f>
        <v>0.14560124667042124</v>
      </c>
      <c r="CE103" s="1167">
        <f>'2030'!R\Max</f>
        <v>0.14563295905333712</v>
      </c>
      <c r="CF103" s="1169">
        <f>'2031'!R\Max</f>
        <v>0.14562883105410546</v>
      </c>
    </row>
    <row r="104" spans="1:84" s="6" customFormat="1" ht="11.25" x14ac:dyDescent="0.2">
      <c r="A104" s="11">
        <v>43190</v>
      </c>
      <c r="B104" s="375">
        <f>'2022'!Maxi_hp</f>
        <v>90.829501711386541</v>
      </c>
      <c r="C104" s="13">
        <f>'2022'!An_max</f>
        <v>2022</v>
      </c>
      <c r="D104" s="1045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69">
        <f t="shared" si="61"/>
        <v>43178</v>
      </c>
      <c r="I104" s="743">
        <f t="shared" si="62"/>
        <v>0.8571428571428571</v>
      </c>
      <c r="J104" s="736">
        <f t="shared" si="63"/>
        <v>216.72812681794167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38">
        <v>43190</v>
      </c>
      <c r="AP104" s="13">
        <f t="shared" si="64"/>
        <v>5</v>
      </c>
      <c r="AQ104" s="13">
        <f t="shared" si="65"/>
        <v>4</v>
      </c>
      <c r="AR104" s="169">
        <f t="shared" si="66"/>
        <v>43192</v>
      </c>
      <c r="AS104" s="743">
        <f t="shared" si="67"/>
        <v>7.1428571428571425E-2</v>
      </c>
      <c r="AT104" s="759">
        <f t="shared" si="68"/>
        <v>216.83229145471537</v>
      </c>
      <c r="AU104" s="13">
        <f t="shared" si="69"/>
        <v>5</v>
      </c>
      <c r="AV104" s="13">
        <f t="shared" si="70"/>
        <v>4</v>
      </c>
      <c r="AW104" s="169">
        <f t="shared" si="71"/>
        <v>43206</v>
      </c>
      <c r="AX104" s="743">
        <f t="shared" si="72"/>
        <v>0.5714285714285714</v>
      </c>
      <c r="AY104" s="759">
        <f t="shared" si="73"/>
        <v>215.94751895070075</v>
      </c>
      <c r="AZ104" s="736">
        <f t="shared" si="77"/>
        <v>216.38990520270806</v>
      </c>
      <c r="BA104" s="633">
        <f t="shared" si="74"/>
        <v>0.41909420362261579</v>
      </c>
      <c r="BC104" s="11">
        <v>43190</v>
      </c>
      <c r="BD104" s="286">
        <f>[2]!FeuilCaduc*(1-Persistant)+Persistant</f>
        <v>0.6142598660069285</v>
      </c>
      <c r="BE104" s="287">
        <f>[2]!CroissVégét</f>
        <v>4.9976218279140845E-2</v>
      </c>
      <c r="BF104" s="806">
        <f>1+[2]!Salcycl*Ksac</f>
        <v>1.0017824832508662</v>
      </c>
      <c r="BH104" s="1036">
        <f t="shared" si="75"/>
        <v>5.4876575832538054E-3</v>
      </c>
      <c r="BI104" s="11">
        <v>44286</v>
      </c>
      <c r="BJ104" s="716">
        <v>1.7042641853381652E-3</v>
      </c>
      <c r="BK104" s="716">
        <v>2.2493550328500653E-3</v>
      </c>
      <c r="BL104" s="716">
        <v>2.8838299692016726E-3</v>
      </c>
      <c r="BM104" s="716">
        <v>3.6456137232396889E-3</v>
      </c>
      <c r="BN104" s="716">
        <v>4.5109371058265416E-3</v>
      </c>
      <c r="BO104" s="717">
        <v>5.4979928205157735E-3</v>
      </c>
      <c r="BP104" s="716">
        <v>6.6327168183819042E-3</v>
      </c>
      <c r="BQ104" s="716">
        <v>7.9741384300073808E-3</v>
      </c>
      <c r="BR104" s="716">
        <v>9.51559093929699E-3</v>
      </c>
      <c r="BS104" s="716">
        <v>1.122335872789261E-2</v>
      </c>
      <c r="BT104" s="716">
        <v>1.3020657596246222E-2</v>
      </c>
      <c r="BW104" s="1166">
        <f>'2022'!R\Max</f>
        <v>0.41909420362261579</v>
      </c>
      <c r="BX104" s="1167">
        <f>'2023'!R\Max</f>
        <v>0.41908421512253247</v>
      </c>
      <c r="BY104" s="1167">
        <f>'2024'!R\Max</f>
        <v>0.4190741736968317</v>
      </c>
      <c r="BZ104" s="1167">
        <f>'2025'!R\Max</f>
        <v>0.41906236548231846</v>
      </c>
      <c r="CA104" s="1167">
        <f>'2026'!R\Max</f>
        <v>0.41905050600663157</v>
      </c>
      <c r="CB104" s="1167">
        <f>'2027'!R\Max</f>
        <v>0.41903693664194364</v>
      </c>
      <c r="CC104" s="1168">
        <f>'2028'!R\Max</f>
        <v>0.41902332458886316</v>
      </c>
      <c r="CD104" s="1167">
        <f>'2029'!R\Max</f>
        <v>0.4190946755866109</v>
      </c>
      <c r="CE104" s="1167">
        <f>'2030'!R\Max</f>
        <v>0.41908471431238759</v>
      </c>
      <c r="CF104" s="1169">
        <f>'2031'!R\Max</f>
        <v>0.41907472571956972</v>
      </c>
    </row>
    <row r="105" spans="1:84" s="6" customFormat="1" ht="11.25" x14ac:dyDescent="0.2">
      <c r="A105" s="11">
        <v>43191</v>
      </c>
      <c r="B105" s="375">
        <f>'2022'!Maxi_hp</f>
        <v>154.18744589130031</v>
      </c>
      <c r="C105" s="13">
        <f>'2022'!An_max</f>
        <v>2022</v>
      </c>
      <c r="D105" s="1045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69">
        <f t="shared" si="61"/>
        <v>43178</v>
      </c>
      <c r="I105" s="743">
        <f t="shared" si="62"/>
        <v>0.9285714285714286</v>
      </c>
      <c r="J105" s="736">
        <f t="shared" si="63"/>
        <v>217.8825483756406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38">
        <v>43191</v>
      </c>
      <c r="AP105" s="13">
        <f t="shared" si="64"/>
        <v>5</v>
      </c>
      <c r="AQ105" s="13">
        <f t="shared" si="65"/>
        <v>4</v>
      </c>
      <c r="AR105" s="169">
        <f t="shared" si="66"/>
        <v>43192</v>
      </c>
      <c r="AS105" s="743">
        <f t="shared" si="67"/>
        <v>3.5714285714285712E-2</v>
      </c>
      <c r="AT105" s="759">
        <f t="shared" si="68"/>
        <v>217.93086726633564</v>
      </c>
      <c r="AU105" s="13">
        <f t="shared" si="69"/>
        <v>5</v>
      </c>
      <c r="AV105" s="13">
        <f t="shared" si="70"/>
        <v>4</v>
      </c>
      <c r="AW105" s="169">
        <f t="shared" si="71"/>
        <v>43206</v>
      </c>
      <c r="AX105" s="743">
        <f t="shared" si="72"/>
        <v>0.5357142857142857</v>
      </c>
      <c r="AY105" s="759">
        <f t="shared" si="73"/>
        <v>217.0952826635114</v>
      </c>
      <c r="AZ105" s="736">
        <f t="shared" si="77"/>
        <v>217.51307496492353</v>
      </c>
      <c r="BA105" s="633">
        <f t="shared" si="74"/>
        <v>0.70766312878566717</v>
      </c>
      <c r="BC105" s="11">
        <v>43191</v>
      </c>
      <c r="BD105" s="286">
        <f>[2]!FeuilCaduc*(1-Persistant)+Persistant</f>
        <v>0.61533895731289323</v>
      </c>
      <c r="BE105" s="287">
        <f>[2]!CroissVégét</f>
        <v>5.201633641771132E-2</v>
      </c>
      <c r="BF105" s="806">
        <f>1+[2]!Salcycl*Ksac</f>
        <v>1.0019173696641117</v>
      </c>
      <c r="BH105" s="1036">
        <f t="shared" si="75"/>
        <v>5.6792436676334846E-3</v>
      </c>
      <c r="BI105" s="11">
        <v>44287</v>
      </c>
      <c r="BJ105" s="716">
        <v>1.7738534728178215E-3</v>
      </c>
      <c r="BK105" s="716">
        <v>2.340952262126556E-3</v>
      </c>
      <c r="BL105" s="716">
        <v>3.0002620929735872E-3</v>
      </c>
      <c r="BM105" s="716">
        <v>3.7900150246648421E-3</v>
      </c>
      <c r="BN105" s="716">
        <v>4.6808162046904486E-3</v>
      </c>
      <c r="BO105" s="717">
        <v>5.6898085989079486E-3</v>
      </c>
      <c r="BP105" s="716">
        <v>6.8431713214288951E-3</v>
      </c>
      <c r="BQ105" s="716">
        <v>8.2025273182833643E-3</v>
      </c>
      <c r="BR105" s="716">
        <v>9.7608919024750104E-3</v>
      </c>
      <c r="BS105" s="716">
        <v>1.148625196526557E-2</v>
      </c>
      <c r="BT105" s="716">
        <v>1.3303323459465714E-2</v>
      </c>
      <c r="BW105" s="1166">
        <f>'2022'!R\Max</f>
        <v>0.70766312878566717</v>
      </c>
      <c r="BX105" s="1167">
        <f>'2023'!R\Max</f>
        <v>0.70765453213847462</v>
      </c>
      <c r="BY105" s="1167">
        <f>'2024'!R\Max</f>
        <v>0.70764588748640977</v>
      </c>
      <c r="BZ105" s="1167">
        <f>'2025'!R\Max</f>
        <v>0.70763575473881224</v>
      </c>
      <c r="CA105" s="1167">
        <f>'2026'!R\Max</f>
        <v>0.70762557548757754</v>
      </c>
      <c r="CB105" s="1167">
        <f>'2027'!R\Max</f>
        <v>0.70761395835030105</v>
      </c>
      <c r="CC105" s="1168">
        <f>'2028'!R\Max</f>
        <v>0.70760230199462615</v>
      </c>
      <c r="CD105" s="1167">
        <f>'2029'!R\Max</f>
        <v>0.70766353806709348</v>
      </c>
      <c r="CE105" s="1167">
        <f>'2030'!R\Max</f>
        <v>0.70765496177337228</v>
      </c>
      <c r="CF105" s="1169">
        <f>'2031'!R\Max</f>
        <v>0.7076463648494723</v>
      </c>
    </row>
    <row r="106" spans="1:84" s="6" customFormat="1" ht="11.25" x14ac:dyDescent="0.2">
      <c r="A106" s="11">
        <v>43192</v>
      </c>
      <c r="B106" s="375">
        <f>'2022'!Maxi_hp</f>
        <v>75.430650895015674</v>
      </c>
      <c r="C106" s="13">
        <f>'2022'!An_max</f>
        <v>2022</v>
      </c>
      <c r="D106" s="1045" t="str">
        <f t="shared" si="59"/>
        <v/>
      </c>
      <c r="E106" s="1040">
        <f>T$13/10</f>
        <v>219</v>
      </c>
      <c r="F106" s="13">
        <f t="shared" si="76"/>
        <v>9</v>
      </c>
      <c r="G106" s="13">
        <f t="shared" si="60"/>
        <v>8</v>
      </c>
      <c r="H106" s="169">
        <f t="shared" si="61"/>
        <v>43206</v>
      </c>
      <c r="I106" s="743">
        <f t="shared" si="62"/>
        <v>1</v>
      </c>
      <c r="J106" s="736">
        <f t="shared" si="63"/>
        <v>218.99999999701976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38">
        <v>43192</v>
      </c>
      <c r="AP106" s="13">
        <f t="shared" si="64"/>
        <v>5</v>
      </c>
      <c r="AQ106" s="13">
        <f t="shared" si="65"/>
        <v>6</v>
      </c>
      <c r="AR106" s="169">
        <f t="shared" si="66"/>
        <v>43192</v>
      </c>
      <c r="AS106" s="743">
        <f t="shared" si="67"/>
        <v>0</v>
      </c>
      <c r="AT106" s="759">
        <f t="shared" si="68"/>
        <v>218.99999999701976</v>
      </c>
      <c r="AU106" s="13">
        <f t="shared" si="69"/>
        <v>5</v>
      </c>
      <c r="AV106" s="13">
        <f t="shared" si="70"/>
        <v>4</v>
      </c>
      <c r="AW106" s="169">
        <f t="shared" si="71"/>
        <v>43206</v>
      </c>
      <c r="AX106" s="743">
        <f t="shared" si="72"/>
        <v>0.5</v>
      </c>
      <c r="AY106" s="759">
        <f t="shared" si="73"/>
        <v>218.22756250053644</v>
      </c>
      <c r="AZ106" s="736">
        <f t="shared" si="77"/>
        <v>218.61378124877808</v>
      </c>
      <c r="BA106" s="633">
        <f t="shared" si="74"/>
        <v>0.34443219587233864</v>
      </c>
      <c r="BC106" s="11">
        <v>43192</v>
      </c>
      <c r="BD106" s="286">
        <f>[2]!FeuilCaduc*(1-Persistant)+Persistant</f>
        <v>0.61649447616572062</v>
      </c>
      <c r="BE106" s="287">
        <f>[2]!CroissVégét</f>
        <v>5.4132744516590045E-2</v>
      </c>
      <c r="BF106" s="806">
        <f>1+[2]!Salcycl*Ksac</f>
        <v>1.002061809520715</v>
      </c>
      <c r="BH106" s="1036">
        <f t="shared" si="75"/>
        <v>5.8734894597621632E-3</v>
      </c>
      <c r="BI106" s="11">
        <v>44288</v>
      </c>
      <c r="BJ106" s="716">
        <v>1.8464875043865982E-3</v>
      </c>
      <c r="BK106" s="716">
        <v>2.4357632823092199E-3</v>
      </c>
      <c r="BL106" s="716">
        <v>3.1198769916385132E-3</v>
      </c>
      <c r="BM106" s="716">
        <v>3.9375261757575025E-3</v>
      </c>
      <c r="BN106" s="716">
        <v>4.8536354614988472E-3</v>
      </c>
      <c r="BO106" s="717">
        <v>5.8842811174454161E-3</v>
      </c>
      <c r="BP106" s="716">
        <v>7.0557852609881124E-3</v>
      </c>
      <c r="BQ106" s="716">
        <v>8.4322907773980629E-3</v>
      </c>
      <c r="BR106" s="716">
        <v>1.000684908566493E-2</v>
      </c>
      <c r="BS106" s="716">
        <v>1.1749922435387465E-2</v>
      </c>
      <c r="BT106" s="716">
        <v>1.3587990533017062E-2</v>
      </c>
      <c r="BW106" s="1166">
        <f>'2022'!R\Max</f>
        <v>0.34443219587233864</v>
      </c>
      <c r="BX106" s="1167">
        <f>'2023'!R\Max</f>
        <v>0.34442269628365535</v>
      </c>
      <c r="BY106" s="1167">
        <f>'2024'!R\Max</f>
        <v>0.34441314148486801</v>
      </c>
      <c r="BZ106" s="1167">
        <f>'2025'!R\Max</f>
        <v>0.34440197947691842</v>
      </c>
      <c r="CA106" s="1167">
        <f>'2026'!R\Max</f>
        <v>0.3443907641155341</v>
      </c>
      <c r="CB106" s="1167">
        <f>'2027'!R\Max</f>
        <v>0.34437799599184649</v>
      </c>
      <c r="CC106" s="1168">
        <f>'2028'!R\Max</f>
        <v>0.34436518244942577</v>
      </c>
      <c r="CD106" s="1167">
        <f>'2029'!R\Max</f>
        <v>0.34443265145310159</v>
      </c>
      <c r="CE106" s="1167">
        <f>'2030'!R\Max</f>
        <v>0.34442317103808961</v>
      </c>
      <c r="CF106" s="1169">
        <f>'2031'!R\Max</f>
        <v>0.34441367141566565</v>
      </c>
    </row>
    <row r="107" spans="1:84" s="6" customFormat="1" ht="11.25" x14ac:dyDescent="0.2">
      <c r="A107" s="11">
        <v>43193</v>
      </c>
      <c r="B107" s="375">
        <f>'2022'!Maxi_hp</f>
        <v>121.09741152575187</v>
      </c>
      <c r="C107" s="13">
        <f>'2022'!An_max</f>
        <v>2022</v>
      </c>
      <c r="D107" s="1045" t="str">
        <f t="shared" si="59"/>
        <v/>
      </c>
      <c r="E107" s="13"/>
      <c r="F107" s="13">
        <f t="shared" si="76"/>
        <v>9</v>
      </c>
      <c r="G107" s="13">
        <f t="shared" si="60"/>
        <v>8</v>
      </c>
      <c r="H107" s="169">
        <f t="shared" si="61"/>
        <v>43206</v>
      </c>
      <c r="I107" s="743">
        <f t="shared" si="62"/>
        <v>0.9285714285714286</v>
      </c>
      <c r="J107" s="736">
        <f t="shared" si="63"/>
        <v>220.08396619728632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38">
        <v>43193</v>
      </c>
      <c r="AP107" s="13">
        <f t="shared" si="64"/>
        <v>5</v>
      </c>
      <c r="AQ107" s="13">
        <f t="shared" si="65"/>
        <v>6</v>
      </c>
      <c r="AR107" s="169">
        <f t="shared" si="66"/>
        <v>43192</v>
      </c>
      <c r="AS107" s="743">
        <f t="shared" si="67"/>
        <v>3.5714285714285712E-2</v>
      </c>
      <c r="AT107" s="759">
        <f t="shared" si="68"/>
        <v>220.04286616284929</v>
      </c>
      <c r="AU107" s="13">
        <f t="shared" si="69"/>
        <v>5</v>
      </c>
      <c r="AV107" s="13">
        <f t="shared" si="70"/>
        <v>4</v>
      </c>
      <c r="AW107" s="169">
        <f t="shared" si="71"/>
        <v>43206</v>
      </c>
      <c r="AX107" s="743">
        <f t="shared" si="72"/>
        <v>0.4642857142857143</v>
      </c>
      <c r="AY107" s="759">
        <f t="shared" si="73"/>
        <v>219.34354833274014</v>
      </c>
      <c r="AZ107" s="736">
        <f t="shared" si="77"/>
        <v>219.6932072477947</v>
      </c>
      <c r="BA107" s="633">
        <f t="shared" si="74"/>
        <v>0.55023277532720616</v>
      </c>
      <c r="BC107" s="11">
        <v>43193</v>
      </c>
      <c r="BD107" s="286">
        <f>[2]!FeuilCaduc*(1-Persistant)+Persistant</f>
        <v>0.61772919610771782</v>
      </c>
      <c r="BE107" s="287">
        <f>[2]!CroissVégét</f>
        <v>5.6327914126217182E-2</v>
      </c>
      <c r="BF107" s="806">
        <f>1+[2]!Salcycl*Ksac</f>
        <v>1.0022161495134647</v>
      </c>
      <c r="BH107" s="1036">
        <f t="shared" si="75"/>
        <v>6.0703911001437679E-3</v>
      </c>
      <c r="BI107" s="11">
        <v>44289</v>
      </c>
      <c r="BJ107" s="716">
        <v>1.9221645754911375E-3</v>
      </c>
      <c r="BK107" s="716">
        <v>2.5337859935654471E-3</v>
      </c>
      <c r="BL107" s="716">
        <v>3.2426721547052007E-3</v>
      </c>
      <c r="BM107" s="716">
        <v>4.0881441977276998E-3</v>
      </c>
      <c r="BN107" s="716">
        <v>5.0293914434442416E-3</v>
      </c>
      <c r="BO107" s="717">
        <v>6.0814065121170659E-3</v>
      </c>
      <c r="BP107" s="716">
        <v>7.2705543735987139E-3</v>
      </c>
      <c r="BQ107" s="716">
        <v>8.6634241481685272E-3</v>
      </c>
      <c r="BR107" s="716">
        <v>1.0253457377754892E-2</v>
      </c>
      <c r="BS107" s="716">
        <v>1.2014364369754872E-2</v>
      </c>
      <c r="BT107" s="716">
        <v>1.3874652143228514E-2</v>
      </c>
      <c r="BW107" s="1166">
        <f>'2022'!R\Max</f>
        <v>0.55023277532720616</v>
      </c>
      <c r="BX107" s="1167">
        <f>'2023'!R\Max</f>
        <v>0.55022223781182455</v>
      </c>
      <c r="BY107" s="1167">
        <f>'2024'!R\Max</f>
        <v>0.55021163618874969</v>
      </c>
      <c r="BZ107" s="1167">
        <f>'2025'!R\Max</f>
        <v>0.55019929286173441</v>
      </c>
      <c r="CA107" s="1167">
        <f>'2026'!R\Max</f>
        <v>0.55018688739752253</v>
      </c>
      <c r="CB107" s="1167">
        <f>'2027'!R\Max</f>
        <v>0.5501727961181907</v>
      </c>
      <c r="CC107" s="1168">
        <f>'2028'!R\Max</f>
        <v>0.55015865084990501</v>
      </c>
      <c r="CD107" s="1167">
        <f>'2029'!R\Max</f>
        <v>0.55023328421734807</v>
      </c>
      <c r="CE107" s="1167">
        <f>'2030'!R\Max</f>
        <v>0.55022276444240592</v>
      </c>
      <c r="CF107" s="1169">
        <f>'2031'!R\Max</f>
        <v>0.55021222671369241</v>
      </c>
    </row>
    <row r="108" spans="1:84" s="6" customFormat="1" ht="11.25" x14ac:dyDescent="0.2">
      <c r="A108" s="11">
        <v>43194</v>
      </c>
      <c r="B108" s="375">
        <f>'2022'!Maxi_hp</f>
        <v>184.76770122417531</v>
      </c>
      <c r="C108" s="13">
        <f>'2022'!An_max</f>
        <v>2022</v>
      </c>
      <c r="D108" s="1045" t="str">
        <f t="shared" si="59"/>
        <v/>
      </c>
      <c r="E108" s="13"/>
      <c r="F108" s="13">
        <f t="shared" si="76"/>
        <v>9</v>
      </c>
      <c r="G108" s="13">
        <f t="shared" si="60"/>
        <v>8</v>
      </c>
      <c r="H108" s="169">
        <f t="shared" si="61"/>
        <v>43206</v>
      </c>
      <c r="I108" s="743">
        <f t="shared" si="62"/>
        <v>0.8571428571428571</v>
      </c>
      <c r="J108" s="736">
        <f t="shared" si="63"/>
        <v>221.14079591844765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38">
        <v>43194</v>
      </c>
      <c r="AP108" s="13">
        <f t="shared" si="64"/>
        <v>5</v>
      </c>
      <c r="AQ108" s="13">
        <f t="shared" si="65"/>
        <v>6</v>
      </c>
      <c r="AR108" s="169">
        <f t="shared" si="66"/>
        <v>43192</v>
      </c>
      <c r="AS108" s="743">
        <f t="shared" si="67"/>
        <v>7.1428571428571425E-2</v>
      </c>
      <c r="AT108" s="759">
        <f t="shared" si="68"/>
        <v>221.06369460352829</v>
      </c>
      <c r="AU108" s="13">
        <f t="shared" si="69"/>
        <v>5</v>
      </c>
      <c r="AV108" s="13">
        <f t="shared" si="70"/>
        <v>4</v>
      </c>
      <c r="AW108" s="169">
        <f t="shared" si="71"/>
        <v>43206</v>
      </c>
      <c r="AX108" s="743">
        <f t="shared" si="72"/>
        <v>0.42857142857142855</v>
      </c>
      <c r="AY108" s="759">
        <f t="shared" si="73"/>
        <v>220.44243003066094</v>
      </c>
      <c r="AZ108" s="736">
        <f t="shared" si="77"/>
        <v>220.75306231709462</v>
      </c>
      <c r="BA108" s="633">
        <f t="shared" si="74"/>
        <v>0.83552064853883401</v>
      </c>
      <c r="BC108" s="11">
        <v>43194</v>
      </c>
      <c r="BD108" s="286">
        <f>[2]!FeuilCaduc*(1-Persistant)+Persistant</f>
        <v>0.6190458222951799</v>
      </c>
      <c r="BE108" s="287">
        <f>[2]!CroissVégét</f>
        <v>5.8604366195922526E-2</v>
      </c>
      <c r="BF108" s="806">
        <f>1+[2]!Salcycl*Ksac</f>
        <v>1.0023807277868975</v>
      </c>
      <c r="BH108" s="1036">
        <f t="shared" si="75"/>
        <v>6.2643083851460987E-3</v>
      </c>
      <c r="BI108" s="11">
        <v>44290</v>
      </c>
      <c r="BJ108" s="716">
        <v>1.9978190463106902E-3</v>
      </c>
      <c r="BK108" s="716">
        <v>2.631440448357412E-3</v>
      </c>
      <c r="BL108" s="716">
        <v>3.3642273124040206E-3</v>
      </c>
      <c r="BM108" s="716">
        <v>4.2363328774249181E-3</v>
      </c>
      <c r="BN108" s="716">
        <v>5.2021018524375188E-3</v>
      </c>
      <c r="BO108" s="717">
        <v>6.2755481991875464E-3</v>
      </c>
      <c r="BP108" s="716">
        <v>7.4829933555188612E-3</v>
      </c>
      <c r="BQ108" s="716">
        <v>8.8928647791557975E-3</v>
      </c>
      <c r="BR108" s="716">
        <v>1.0499296150797604E-2</v>
      </c>
      <c r="BS108" s="716">
        <v>1.2279634329196465E-2</v>
      </c>
      <c r="BT108" s="716">
        <v>1.4164545070257509E-2</v>
      </c>
      <c r="BW108" s="1166">
        <f>'2022'!R\Max</f>
        <v>0.83552064853883401</v>
      </c>
      <c r="BX108" s="1167">
        <f>'2023'!R\Max</f>
        <v>0.83551472264705062</v>
      </c>
      <c r="BY108" s="1167">
        <f>'2024'!R\Max</f>
        <v>0.83550875906254152</v>
      </c>
      <c r="BZ108" s="1167">
        <f>'2025'!R\Max</f>
        <v>0.83550183903641706</v>
      </c>
      <c r="CA108" s="1167">
        <f>'2026'!R\Max</f>
        <v>0.83549488229882507</v>
      </c>
      <c r="CB108" s="1167">
        <f>'2027'!R\Max</f>
        <v>0.83548699662150938</v>
      </c>
      <c r="CC108" s="1168">
        <f>'2028'!R\Max</f>
        <v>0.83547907830554347</v>
      </c>
      <c r="CD108" s="1167">
        <f>'2029'!R\Max</f>
        <v>0.83552093658779858</v>
      </c>
      <c r="CE108" s="1167">
        <f>'2030'!R\Max</f>
        <v>0.83551501880725509</v>
      </c>
      <c r="CF108" s="1169">
        <f>'2031'!R\Max</f>
        <v>0.83550909265546269</v>
      </c>
    </row>
    <row r="109" spans="1:84" s="6" customFormat="1" ht="11.25" x14ac:dyDescent="0.2">
      <c r="A109" s="11">
        <v>43195</v>
      </c>
      <c r="B109" s="375">
        <f>'2022'!Maxi_hp</f>
        <v>226.40334911043371</v>
      </c>
      <c r="C109" s="13">
        <f>'2022'!An_max</f>
        <v>2022</v>
      </c>
      <c r="D109" s="1045">
        <f t="shared" si="59"/>
        <v>1.0190486017817744</v>
      </c>
      <c r="E109" s="13"/>
      <c r="F109" s="13">
        <f t="shared" si="76"/>
        <v>9</v>
      </c>
      <c r="G109" s="13">
        <f t="shared" si="60"/>
        <v>8</v>
      </c>
      <c r="H109" s="169">
        <f t="shared" si="61"/>
        <v>43206</v>
      </c>
      <c r="I109" s="743">
        <f t="shared" si="62"/>
        <v>0.7857142857142857</v>
      </c>
      <c r="J109" s="736">
        <f t="shared" si="63"/>
        <v>222.17129655501671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38">
        <v>43195</v>
      </c>
      <c r="AP109" s="13">
        <f t="shared" si="64"/>
        <v>5</v>
      </c>
      <c r="AQ109" s="13">
        <f t="shared" si="65"/>
        <v>6</v>
      </c>
      <c r="AR109" s="169">
        <f t="shared" si="66"/>
        <v>43192</v>
      </c>
      <c r="AS109" s="743">
        <f t="shared" si="67"/>
        <v>0.10714285714285714</v>
      </c>
      <c r="AT109" s="759">
        <f t="shared" si="68"/>
        <v>222.06283026561141</v>
      </c>
      <c r="AU109" s="13">
        <f t="shared" si="69"/>
        <v>5</v>
      </c>
      <c r="AV109" s="13">
        <f t="shared" si="70"/>
        <v>4</v>
      </c>
      <c r="AW109" s="169">
        <f t="shared" si="71"/>
        <v>43206</v>
      </c>
      <c r="AX109" s="743">
        <f t="shared" si="72"/>
        <v>0.39285714285714285</v>
      </c>
      <c r="AY109" s="759">
        <f t="shared" si="73"/>
        <v>221.5233974566417</v>
      </c>
      <c r="AZ109" s="736">
        <f t="shared" si="77"/>
        <v>221.79311386112656</v>
      </c>
      <c r="BA109" s="633">
        <f t="shared" si="74"/>
        <v>1.0190486017817744</v>
      </c>
      <c r="BC109" s="11">
        <v>43195</v>
      </c>
      <c r="BD109" s="286">
        <f>[2]!FeuilCaduc*(1-Persistant)+Persistant</f>
        <v>0.62044698577760438</v>
      </c>
      <c r="BE109" s="287">
        <f>[2]!CroissVégét</f>
        <v>6.0964669451959982E-2</v>
      </c>
      <c r="BF109" s="806">
        <f>1+[2]!Salcycl*Ksac</f>
        <v>1.0025558732222006</v>
      </c>
      <c r="BH109" s="1036">
        <f t="shared" si="75"/>
        <v>6.4534017473171432E-3</v>
      </c>
      <c r="BI109" s="11">
        <v>44291</v>
      </c>
      <c r="BJ109" s="716">
        <v>2.0722503578632177E-3</v>
      </c>
      <c r="BK109" s="716">
        <v>2.7269064352908982E-3</v>
      </c>
      <c r="BL109" s="716">
        <v>3.4822174058479678E-3</v>
      </c>
      <c r="BM109" s="716">
        <v>4.3794311410656579E-3</v>
      </c>
      <c r="BN109" s="716">
        <v>5.3692597113252291E-3</v>
      </c>
      <c r="BO109" s="717">
        <v>6.4648736734481118E-3</v>
      </c>
      <c r="BP109" s="716">
        <v>7.6923608128071676E-3</v>
      </c>
      <c r="BQ109" s="716">
        <v>9.1210127807861419E-3</v>
      </c>
      <c r="BR109" s="716">
        <v>1.0745729652470004E-2</v>
      </c>
      <c r="BS109" s="716">
        <v>1.2547282976825972E-2</v>
      </c>
      <c r="BT109" s="716">
        <v>1.4458580662176708E-2</v>
      </c>
      <c r="BW109" s="1166">
        <f>'2022'!R\Max</f>
        <v>1.0190486017817744</v>
      </c>
      <c r="BX109" s="1167">
        <f>'2023'!R\Max</f>
        <v>1.0190486017817741</v>
      </c>
      <c r="BY109" s="1167">
        <f>'2024'!R\Max</f>
        <v>1.0190486017817741</v>
      </c>
      <c r="BZ109" s="1167">
        <f>'2025'!R\Max</f>
        <v>1.0190486017817741</v>
      </c>
      <c r="CA109" s="1167">
        <f>'2026'!R\Max</f>
        <v>1.0190486017817741</v>
      </c>
      <c r="CB109" s="1167">
        <f>'2027'!R\Max</f>
        <v>1.0190486017817744</v>
      </c>
      <c r="CC109" s="1168">
        <f>'2028'!R\Max</f>
        <v>1.0190486017817741</v>
      </c>
      <c r="CD109" s="1167">
        <f>'2029'!R\Max</f>
        <v>1.0190486017817744</v>
      </c>
      <c r="CE109" s="1167">
        <f>'2030'!R\Max</f>
        <v>1.0190486017817741</v>
      </c>
      <c r="CF109" s="1169">
        <f>'2031'!R\Max</f>
        <v>1.0190486017817739</v>
      </c>
    </row>
    <row r="110" spans="1:84" s="6" customFormat="1" ht="11.25" x14ac:dyDescent="0.2">
      <c r="A110" s="11">
        <v>43196</v>
      </c>
      <c r="B110" s="375">
        <f>'2022'!Maxi_hp</f>
        <v>56.214601212449267</v>
      </c>
      <c r="C110" s="13">
        <f>'2022'!An_max</f>
        <v>2022</v>
      </c>
      <c r="D110" s="1045" t="str">
        <f t="shared" si="59"/>
        <v/>
      </c>
      <c r="E110" s="13"/>
      <c r="F110" s="13">
        <f t="shared" si="76"/>
        <v>9</v>
      </c>
      <c r="G110" s="13">
        <f t="shared" si="60"/>
        <v>8</v>
      </c>
      <c r="H110" s="169">
        <f t="shared" si="61"/>
        <v>43206</v>
      </c>
      <c r="I110" s="743">
        <f t="shared" si="62"/>
        <v>0.7142857142857143</v>
      </c>
      <c r="J110" s="736">
        <f t="shared" si="63"/>
        <v>223.1762755125761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38">
        <v>43196</v>
      </c>
      <c r="AP110" s="13">
        <f t="shared" si="64"/>
        <v>5</v>
      </c>
      <c r="AQ110" s="13">
        <f t="shared" si="65"/>
        <v>6</v>
      </c>
      <c r="AR110" s="169">
        <f t="shared" si="66"/>
        <v>43192</v>
      </c>
      <c r="AS110" s="743">
        <f t="shared" si="67"/>
        <v>0.14285714285714285</v>
      </c>
      <c r="AT110" s="759">
        <f t="shared" si="68"/>
        <v>223.04061807351454</v>
      </c>
      <c r="AU110" s="13">
        <f t="shared" si="69"/>
        <v>5</v>
      </c>
      <c r="AV110" s="13">
        <f t="shared" si="70"/>
        <v>4</v>
      </c>
      <c r="AW110" s="169">
        <f t="shared" si="71"/>
        <v>43206</v>
      </c>
      <c r="AX110" s="743">
        <f t="shared" si="72"/>
        <v>0.35714285714285715</v>
      </c>
      <c r="AY110" s="759">
        <f t="shared" si="73"/>
        <v>222.58564049122589</v>
      </c>
      <c r="AZ110" s="736">
        <f t="shared" si="77"/>
        <v>222.8131292823702</v>
      </c>
      <c r="BA110" s="633">
        <f t="shared" si="74"/>
        <v>0.25188430572801429</v>
      </c>
      <c r="BC110" s="11">
        <v>43196</v>
      </c>
      <c r="BD110" s="286">
        <f>[2]!FeuilCaduc*(1-Persistant)+Persistant</f>
        <v>0.621935238012983</v>
      </c>
      <c r="BE110" s="287">
        <f>[2]!CroissVégét</f>
        <v>6.3411438498040387E-2</v>
      </c>
      <c r="BF110" s="806">
        <f>1+[2]!Salcycl*Ksac</f>
        <v>1.0027419047516228</v>
      </c>
      <c r="BH110" s="1036">
        <f t="shared" si="75"/>
        <v>6.6376682078771922E-3</v>
      </c>
      <c r="BI110" s="11">
        <v>44292</v>
      </c>
      <c r="BJ110" s="716">
        <v>2.1454573255537414E-3</v>
      </c>
      <c r="BK110" s="716">
        <v>2.8201825436804575E-3</v>
      </c>
      <c r="BL110" s="716">
        <v>3.5966408380392685E-3</v>
      </c>
      <c r="BM110" s="716">
        <v>4.5174371671055672E-3</v>
      </c>
      <c r="BN110" s="716">
        <v>5.5308627426510866E-3</v>
      </c>
      <c r="BO110" s="717">
        <v>6.6493799486979505E-3</v>
      </c>
      <c r="BP110" s="716">
        <v>7.8986528324469351E-3</v>
      </c>
      <c r="BQ110" s="716">
        <v>9.3478632664954191E-3</v>
      </c>
      <c r="BR110" s="716">
        <v>1.0992751953041184E-2</v>
      </c>
      <c r="BS110" s="716">
        <v>1.2817303278659029E-2</v>
      </c>
      <c r="BT110" s="716">
        <v>1.47567506943537E-2</v>
      </c>
      <c r="BW110" s="1166">
        <f>'2022'!R\Max</f>
        <v>0.25188430572801429</v>
      </c>
      <c r="BX110" s="1167">
        <f>'2023'!R\Max</f>
        <v>0.25187647489832704</v>
      </c>
      <c r="BY110" s="1167">
        <f>'2024'!R\Max</f>
        <v>0.25186859084275742</v>
      </c>
      <c r="BZ110" s="1167">
        <f>'2025'!R\Max</f>
        <v>0.25185950674252788</v>
      </c>
      <c r="CA110" s="1167">
        <f>'2026'!R\Max</f>
        <v>0.25185037055067488</v>
      </c>
      <c r="CB110" s="1167">
        <f>'2027'!R\Max</f>
        <v>0.25184005987850194</v>
      </c>
      <c r="CC110" s="1168">
        <f>'2028'!R\Max</f>
        <v>0.25182970137858074</v>
      </c>
      <c r="CD110" s="1167">
        <f>'2029'!R\Max</f>
        <v>0.25188469093101312</v>
      </c>
      <c r="CE110" s="1167">
        <f>'2030'!R\Max</f>
        <v>0.25187686625364153</v>
      </c>
      <c r="CF110" s="1169">
        <f>'2031'!R\Max</f>
        <v>0.25186903542395422</v>
      </c>
    </row>
    <row r="111" spans="1:84" s="6" customFormat="1" ht="11.25" x14ac:dyDescent="0.2">
      <c r="A111" s="11">
        <v>43197</v>
      </c>
      <c r="B111" s="375">
        <f>'2022'!Maxi_hp</f>
        <v>172.77249888027328</v>
      </c>
      <c r="C111" s="13">
        <f>'2022'!An_max</f>
        <v>2022</v>
      </c>
      <c r="D111" s="1045" t="str">
        <f t="shared" si="59"/>
        <v/>
      </c>
      <c r="E111" s="13"/>
      <c r="F111" s="13">
        <f t="shared" si="76"/>
        <v>9</v>
      </c>
      <c r="G111" s="13">
        <f t="shared" si="60"/>
        <v>8</v>
      </c>
      <c r="H111" s="169">
        <f t="shared" si="61"/>
        <v>43206</v>
      </c>
      <c r="I111" s="743">
        <f t="shared" si="62"/>
        <v>0.6428571428571429</v>
      </c>
      <c r="J111" s="736">
        <f t="shared" si="63"/>
        <v>224.15654017797539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38">
        <v>43197</v>
      </c>
      <c r="AP111" s="13">
        <f t="shared" si="64"/>
        <v>5</v>
      </c>
      <c r="AQ111" s="13">
        <f t="shared" si="65"/>
        <v>6</v>
      </c>
      <c r="AR111" s="169">
        <f t="shared" si="66"/>
        <v>43192</v>
      </c>
      <c r="AS111" s="743">
        <f t="shared" si="67"/>
        <v>0.17857142857142858</v>
      </c>
      <c r="AT111" s="759">
        <f t="shared" si="68"/>
        <v>223.99740296708683</v>
      </c>
      <c r="AU111" s="13">
        <f t="shared" si="69"/>
        <v>5</v>
      </c>
      <c r="AV111" s="13">
        <f t="shared" si="70"/>
        <v>4</v>
      </c>
      <c r="AW111" s="169">
        <f t="shared" si="71"/>
        <v>43206</v>
      </c>
      <c r="AX111" s="743">
        <f t="shared" si="72"/>
        <v>0.32142857142857145</v>
      </c>
      <c r="AY111" s="759">
        <f t="shared" si="73"/>
        <v>223.62834898957186</v>
      </c>
      <c r="AZ111" s="736">
        <f t="shared" si="77"/>
        <v>223.81287597832934</v>
      </c>
      <c r="BA111" s="633">
        <f t="shared" si="74"/>
        <v>0.77076715559178288</v>
      </c>
      <c r="BC111" s="11">
        <v>43197</v>
      </c>
      <c r="BD111" s="286">
        <f>[2]!FeuilCaduc*(1-Persistant)+Persistant</f>
        <v>0.62351304558212872</v>
      </c>
      <c r="BE111" s="287">
        <f>[2]!CroissVégét</f>
        <v>6.5947331619938404E-2</v>
      </c>
      <c r="BF111" s="806">
        <f>1+[2]!Salcycl*Ksac</f>
        <v>1.0029391306977662</v>
      </c>
      <c r="BH111" s="1036">
        <f t="shared" si="75"/>
        <v>6.8171047034275671E-3</v>
      </c>
      <c r="BI111" s="11">
        <v>44293</v>
      </c>
      <c r="BJ111" s="716">
        <v>2.2174387146294602E-3</v>
      </c>
      <c r="BK111" s="716">
        <v>2.9112673140232318E-3</v>
      </c>
      <c r="BL111" s="716">
        <v>3.7074959731821632E-3</v>
      </c>
      <c r="BM111" s="716">
        <v>4.6503491061318002E-3</v>
      </c>
      <c r="BN111" s="716">
        <v>5.6869086264945924E-3</v>
      </c>
      <c r="BO111" s="717">
        <v>6.8290639536712147E-3</v>
      </c>
      <c r="BP111" s="716">
        <v>8.1018653507626947E-3</v>
      </c>
      <c r="BQ111" s="716">
        <v>9.573411133938595E-3</v>
      </c>
      <c r="BR111" s="716">
        <v>1.1240356839660603E-2</v>
      </c>
      <c r="BS111" s="716">
        <v>1.30896878496468E-2</v>
      </c>
      <c r="BT111" s="716">
        <v>1.5059046518038542E-2</v>
      </c>
      <c r="BW111" s="1166">
        <f>'2022'!R\Max</f>
        <v>0.77076715559178288</v>
      </c>
      <c r="BX111" s="1167">
        <f>'2023'!R\Max</f>
        <v>0.77075917531594784</v>
      </c>
      <c r="BY111" s="1167">
        <f>'2024'!R\Max</f>
        <v>0.77075113861592026</v>
      </c>
      <c r="BZ111" s="1167">
        <f>'2025'!R\Max</f>
        <v>0.77074191142412685</v>
      </c>
      <c r="CA111" s="1167">
        <f>'2026'!R\Max</f>
        <v>0.77073262863255221</v>
      </c>
      <c r="CB111" s="1167">
        <f>'2027'!R\Max</f>
        <v>0.77072217513848473</v>
      </c>
      <c r="CC111" s="1168">
        <f>'2028'!R\Max</f>
        <v>0.7707116695836681</v>
      </c>
      <c r="CD111" s="1167">
        <f>'2029'!R\Max</f>
        <v>0.77076755033560307</v>
      </c>
      <c r="CE111" s="1167">
        <f>'2030'!R\Max</f>
        <v>0.77075957414807295</v>
      </c>
      <c r="CF111" s="1169">
        <f>'2031'!R\Max</f>
        <v>0.77075159354982292</v>
      </c>
    </row>
    <row r="112" spans="1:84" s="6" customFormat="1" ht="11.25" x14ac:dyDescent="0.2">
      <c r="A112" s="11">
        <v>43198</v>
      </c>
      <c r="B112" s="375">
        <f>'2022'!Maxi_hp</f>
        <v>137.5246543062388</v>
      </c>
      <c r="C112" s="13">
        <f>'2022'!An_max</f>
        <v>2022</v>
      </c>
      <c r="D112" s="1045" t="str">
        <f t="shared" si="59"/>
        <v/>
      </c>
      <c r="E112" s="13"/>
      <c r="F112" s="13">
        <f t="shared" si="76"/>
        <v>9</v>
      </c>
      <c r="G112" s="13">
        <f t="shared" si="60"/>
        <v>8</v>
      </c>
      <c r="H112" s="169">
        <f t="shared" si="61"/>
        <v>43206</v>
      </c>
      <c r="I112" s="743">
        <f t="shared" si="62"/>
        <v>0.5714285714285714</v>
      </c>
      <c r="J112" s="736">
        <f t="shared" si="63"/>
        <v>225.1128979555198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38">
        <v>43198</v>
      </c>
      <c r="AP112" s="13">
        <f t="shared" si="64"/>
        <v>5</v>
      </c>
      <c r="AQ112" s="13">
        <f t="shared" si="65"/>
        <v>6</v>
      </c>
      <c r="AR112" s="169">
        <f t="shared" si="66"/>
        <v>43192</v>
      </c>
      <c r="AS112" s="743">
        <f t="shared" si="67"/>
        <v>0.21428571428571427</v>
      </c>
      <c r="AT112" s="759">
        <f t="shared" si="68"/>
        <v>224.933529882133</v>
      </c>
      <c r="AU112" s="13">
        <f t="shared" si="69"/>
        <v>5</v>
      </c>
      <c r="AV112" s="13">
        <f t="shared" si="70"/>
        <v>4</v>
      </c>
      <c r="AW112" s="169">
        <f t="shared" si="71"/>
        <v>43206</v>
      </c>
      <c r="AX112" s="743">
        <f t="shared" si="72"/>
        <v>0.2857142857142857</v>
      </c>
      <c r="AY112" s="759">
        <f t="shared" si="73"/>
        <v>224.65071282897679</v>
      </c>
      <c r="AZ112" s="736">
        <f t="shared" si="77"/>
        <v>224.79212135555491</v>
      </c>
      <c r="BA112" s="633">
        <f t="shared" si="74"/>
        <v>0.610914148212922</v>
      </c>
      <c r="BC112" s="11">
        <v>43198</v>
      </c>
      <c r="BD112" s="286">
        <f>[2]!FeuilCaduc*(1-Persistant)+Persistant</f>
        <v>0.6251827850620636</v>
      </c>
      <c r="BE112" s="287">
        <f>[2]!CroissVégét</f>
        <v>6.8575048275425571E-2</v>
      </c>
      <c r="BF112" s="806">
        <f>1+[2]!Salcycl*Ksac</f>
        <v>1.003147848132758</v>
      </c>
      <c r="BH112" s="1036">
        <f t="shared" si="75"/>
        <v>6.9917080988444666E-3</v>
      </c>
      <c r="BI112" s="11">
        <v>44294</v>
      </c>
      <c r="BJ112" s="716">
        <v>2.2881932434375115E-3</v>
      </c>
      <c r="BK112" s="716">
        <v>3.0001592438462545E-3</v>
      </c>
      <c r="BL112" s="716">
        <v>3.8147811462266382E-3</v>
      </c>
      <c r="BM112" s="716">
        <v>4.7781650945022359E-3</v>
      </c>
      <c r="BN112" s="716">
        <v>5.8373950153413753E-3</v>
      </c>
      <c r="BO112" s="717">
        <v>7.0039225449099601E-3</v>
      </c>
      <c r="BP112" s="716">
        <v>8.3019941615793159E-3</v>
      </c>
      <c r="BQ112" s="716">
        <v>9.7976510683422061E-3</v>
      </c>
      <c r="BR112" s="716">
        <v>1.1488537814610783E-2</v>
      </c>
      <c r="BS112" s="716">
        <v>1.3364428947105529E-2</v>
      </c>
      <c r="BT112" s="716">
        <v>1.536545904902154E-2</v>
      </c>
      <c r="BW112" s="1166">
        <f>'2022'!R\Max</f>
        <v>0.610914148212922</v>
      </c>
      <c r="BX112" s="1167">
        <f>'2023'!R\Max</f>
        <v>0.61090321642996936</v>
      </c>
      <c r="BY112" s="1167">
        <f>'2024'!R\Max</f>
        <v>0.61089220507049724</v>
      </c>
      <c r="BZ112" s="1167">
        <f>'2025'!R\Max</f>
        <v>0.61087960856145407</v>
      </c>
      <c r="CA112" s="1167">
        <f>'2026'!R\Max</f>
        <v>0.61086693331368636</v>
      </c>
      <c r="CB112" s="1167">
        <f>'2027'!R\Max</f>
        <v>0.61085269159552202</v>
      </c>
      <c r="CC112" s="1168">
        <f>'2028'!R\Max</f>
        <v>0.61083837512039585</v>
      </c>
      <c r="CD112" s="1167">
        <f>'2029'!R\Max</f>
        <v>0.61091469193873915</v>
      </c>
      <c r="CE112" s="1167">
        <f>'2030'!R\Max</f>
        <v>0.61090376276664682</v>
      </c>
      <c r="CF112" s="1169">
        <f>'2031'!R\Max</f>
        <v>0.61089283068668632</v>
      </c>
    </row>
    <row r="113" spans="1:84" s="6" customFormat="1" ht="11.25" x14ac:dyDescent="0.2">
      <c r="A113" s="11">
        <v>43199</v>
      </c>
      <c r="B113" s="375">
        <f>'2022'!Maxi_hp</f>
        <v>148.46002089262618</v>
      </c>
      <c r="C113" s="13">
        <f>'2022'!An_max</f>
        <v>2022</v>
      </c>
      <c r="D113" s="1045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69">
        <f t="shared" si="61"/>
        <v>43206</v>
      </c>
      <c r="I113" s="743">
        <f t="shared" si="62"/>
        <v>0.5</v>
      </c>
      <c r="J113" s="736">
        <f t="shared" si="63"/>
        <v>226.04615625441073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38">
        <v>43199</v>
      </c>
      <c r="AP113" s="13">
        <f t="shared" si="64"/>
        <v>5</v>
      </c>
      <c r="AQ113" s="13">
        <f t="shared" si="65"/>
        <v>6</v>
      </c>
      <c r="AR113" s="169">
        <f t="shared" si="66"/>
        <v>43192</v>
      </c>
      <c r="AS113" s="743">
        <f t="shared" si="67"/>
        <v>0.25</v>
      </c>
      <c r="AT113" s="759">
        <f t="shared" si="68"/>
        <v>225.84934374764561</v>
      </c>
      <c r="AU113" s="13">
        <f t="shared" si="69"/>
        <v>5</v>
      </c>
      <c r="AV113" s="13">
        <f t="shared" si="70"/>
        <v>4</v>
      </c>
      <c r="AW113" s="169">
        <f t="shared" si="71"/>
        <v>43206</v>
      </c>
      <c r="AX113" s="743">
        <f t="shared" si="72"/>
        <v>0.25</v>
      </c>
      <c r="AY113" s="759">
        <f t="shared" si="73"/>
        <v>225.65192187689246</v>
      </c>
      <c r="AZ113" s="736">
        <f t="shared" si="77"/>
        <v>225.75063281226903</v>
      </c>
      <c r="BA113" s="633">
        <f t="shared" si="74"/>
        <v>0.6567686146608801</v>
      </c>
      <c r="BC113" s="11">
        <v>43199</v>
      </c>
      <c r="BD113" s="286">
        <f>[2]!FeuilCaduc*(1-Persistant)+Persistant</f>
        <v>0.62694673801645262</v>
      </c>
      <c r="BE113" s="287">
        <f>[2]!CroissVégét</f>
        <v>7.1297326250557638E-2</v>
      </c>
      <c r="BF113" s="806">
        <f>1+[2]!Salcycl*Ksac</f>
        <v>1.0033683422520565</v>
      </c>
      <c r="BH113" s="1036">
        <f t="shared" si="75"/>
        <v>7.1614752001243802E-3</v>
      </c>
      <c r="BI113" s="11">
        <v>44295</v>
      </c>
      <c r="BJ113" s="716">
        <v>2.3577195866671631E-3</v>
      </c>
      <c r="BK113" s="716">
        <v>3.086856793533248E-3</v>
      </c>
      <c r="BL113" s="716">
        <v>3.9184946723859956E-3</v>
      </c>
      <c r="BM113" s="716">
        <v>4.9008832679518048E-3</v>
      </c>
      <c r="BN113" s="716">
        <v>5.982319548913209E-3</v>
      </c>
      <c r="BO113" s="717">
        <v>7.1739525195885527E-3</v>
      </c>
      <c r="BP113" s="716">
        <v>8.4990349243234155E-3</v>
      </c>
      <c r="BQ113" s="716">
        <v>1.0020577545788414E-2</v>
      </c>
      <c r="BR113" s="716">
        <v>1.1737288093479487E-2</v>
      </c>
      <c r="BS113" s="716">
        <v>1.3641518464052009E-2</v>
      </c>
      <c r="BT113" s="716">
        <v>1.5675978756182606E-2</v>
      </c>
      <c r="BW113" s="1166">
        <f>'2022'!R\Max</f>
        <v>0.6567686146608801</v>
      </c>
      <c r="BX113" s="1167">
        <f>'2023'!R\Max</f>
        <v>0.65675804558608775</v>
      </c>
      <c r="BY113" s="1167">
        <f>'2024'!R\Max</f>
        <v>0.65674739724675846</v>
      </c>
      <c r="BZ113" s="1167">
        <f>'2025'!R\Max</f>
        <v>0.65673526032784546</v>
      </c>
      <c r="CA113" s="1167">
        <f>'2026'!R\Max</f>
        <v>0.65672304454523112</v>
      </c>
      <c r="CB113" s="1167">
        <f>'2027'!R\Max</f>
        <v>0.65670934973718109</v>
      </c>
      <c r="CC113" s="1168">
        <f>'2028'!R\Max</f>
        <v>0.65669557900416997</v>
      </c>
      <c r="CD113" s="1167">
        <f>'2029'!R\Max</f>
        <v>0.65676914285407406</v>
      </c>
      <c r="CE113" s="1167">
        <f>'2030'!R\Max</f>
        <v>0.65675857379695202</v>
      </c>
      <c r="CF113" s="1169">
        <f>'2031'!R\Max</f>
        <v>0.65674800379192844</v>
      </c>
    </row>
    <row r="114" spans="1:84" s="6" customFormat="1" ht="11.25" x14ac:dyDescent="0.2">
      <c r="A114" s="11">
        <v>43200</v>
      </c>
      <c r="B114" s="375">
        <f>'2022'!Maxi_hp</f>
        <v>231.79044704559419</v>
      </c>
      <c r="C114" s="13">
        <f>'2022'!An_max</f>
        <v>2022</v>
      </c>
      <c r="D114" s="1045">
        <f t="shared" si="59"/>
        <v>1.0212962014267877</v>
      </c>
      <c r="E114" s="13"/>
      <c r="F114" s="13">
        <f t="shared" si="76"/>
        <v>9</v>
      </c>
      <c r="G114" s="13">
        <f t="shared" si="60"/>
        <v>8</v>
      </c>
      <c r="H114" s="169">
        <f t="shared" si="61"/>
        <v>43206</v>
      </c>
      <c r="I114" s="743">
        <f t="shared" si="62"/>
        <v>0.42857142857142855</v>
      </c>
      <c r="J114" s="736">
        <f t="shared" si="63"/>
        <v>226.95712245064124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38">
        <v>43200</v>
      </c>
      <c r="AP114" s="13">
        <f t="shared" si="64"/>
        <v>5</v>
      </c>
      <c r="AQ114" s="13">
        <f t="shared" si="65"/>
        <v>6</v>
      </c>
      <c r="AR114" s="169">
        <f t="shared" si="66"/>
        <v>43192</v>
      </c>
      <c r="AS114" s="743">
        <f t="shared" si="67"/>
        <v>0.2857142857142857</v>
      </c>
      <c r="AT114" s="759">
        <f t="shared" si="68"/>
        <v>226.74518950496403</v>
      </c>
      <c r="AU114" s="13">
        <f t="shared" si="69"/>
        <v>5</v>
      </c>
      <c r="AV114" s="13">
        <f t="shared" si="70"/>
        <v>4</v>
      </c>
      <c r="AW114" s="169">
        <f t="shared" si="71"/>
        <v>43206</v>
      </c>
      <c r="AX114" s="743">
        <f t="shared" si="72"/>
        <v>0.21428571428571427</v>
      </c>
      <c r="AY114" s="759">
        <f t="shared" si="73"/>
        <v>226.63116599768401</v>
      </c>
      <c r="AZ114" s="736">
        <f t="shared" si="77"/>
        <v>226.68817775132402</v>
      </c>
      <c r="BA114" s="633">
        <f t="shared" si="74"/>
        <v>1.0212962014267877</v>
      </c>
      <c r="BC114" s="11">
        <v>43200</v>
      </c>
      <c r="BD114" s="286">
        <f>[2]!FeuilCaduc*(1-Persistant)+Persistant</f>
        <v>0.62880708605991731</v>
      </c>
      <c r="BE114" s="287">
        <f>[2]!CroissVégét</f>
        <v>7.4116938463242688E-2</v>
      </c>
      <c r="BF114" s="806">
        <f>1+[2]!Salcycl*Ksac</f>
        <v>1.0036008857574896</v>
      </c>
      <c r="BH114" s="1036">
        <f t="shared" si="75"/>
        <v>7.3136162609635574E-3</v>
      </c>
      <c r="BI114" s="11">
        <v>44296</v>
      </c>
      <c r="BJ114" s="716">
        <v>2.4186014363673969E-3</v>
      </c>
      <c r="BK114" s="716">
        <v>3.1632762534333299E-3</v>
      </c>
      <c r="BL114" s="716">
        <v>4.0099206702144405E-3</v>
      </c>
      <c r="BM114" s="716">
        <v>5.0087841625190569E-3</v>
      </c>
      <c r="BN114" s="716">
        <v>6.1105772805177469E-3</v>
      </c>
      <c r="BO114" s="717">
        <v>7.3263463035762146E-3</v>
      </c>
      <c r="BP114" s="716">
        <v>8.678611015418794E-3</v>
      </c>
      <c r="BQ114" s="716">
        <v>1.0226914054546827E-2</v>
      </c>
      <c r="BR114" s="716">
        <v>1.197118413472934E-2</v>
      </c>
      <c r="BS114" s="716">
        <v>1.3906147262821369E-2</v>
      </c>
      <c r="BT114" s="716">
        <v>1.597661531169331E-2</v>
      </c>
      <c r="BW114" s="1166">
        <f>'2022'!R\Max</f>
        <v>1.0212962014267877</v>
      </c>
      <c r="BX114" s="1167">
        <f>'2023'!R\Max</f>
        <v>1.0212962014267875</v>
      </c>
      <c r="BY114" s="1167">
        <f>'2024'!R\Max</f>
        <v>1.0212962014267877</v>
      </c>
      <c r="BZ114" s="1167">
        <f>'2025'!R\Max</f>
        <v>1.0212962014267877</v>
      </c>
      <c r="CA114" s="1167">
        <f>'2026'!R\Max</f>
        <v>1.0212962014267877</v>
      </c>
      <c r="CB114" s="1167">
        <f>'2027'!R\Max</f>
        <v>1.0212962014267877</v>
      </c>
      <c r="CC114" s="1168">
        <f>'2028'!R\Max</f>
        <v>1.0212962014267877</v>
      </c>
      <c r="CD114" s="1167">
        <f>'2029'!R\Max</f>
        <v>1.0212962014267877</v>
      </c>
      <c r="CE114" s="1167">
        <f>'2030'!R\Max</f>
        <v>1.0212962014267877</v>
      </c>
      <c r="CF114" s="1169">
        <f>'2031'!R\Max</f>
        <v>1.0212962014267877</v>
      </c>
    </row>
    <row r="115" spans="1:84" s="6" customFormat="1" ht="11.25" x14ac:dyDescent="0.2">
      <c r="A115" s="11">
        <v>43201</v>
      </c>
      <c r="B115" s="375">
        <f>'2022'!Maxi_hp</f>
        <v>186.43511486158815</v>
      </c>
      <c r="C115" s="13">
        <f>'2022'!An_max</f>
        <v>2022</v>
      </c>
      <c r="D115" s="1045" t="str">
        <f t="shared" si="59"/>
        <v/>
      </c>
      <c r="E115" s="13"/>
      <c r="F115" s="13">
        <f t="shared" si="76"/>
        <v>9</v>
      </c>
      <c r="G115" s="13">
        <f t="shared" si="60"/>
        <v>8</v>
      </c>
      <c r="H115" s="169">
        <f t="shared" si="61"/>
        <v>43206</v>
      </c>
      <c r="I115" s="743">
        <f t="shared" si="62"/>
        <v>0.35714285714285715</v>
      </c>
      <c r="J115" s="736">
        <f t="shared" si="63"/>
        <v>227.84660395511554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38">
        <v>43201</v>
      </c>
      <c r="AP115" s="13">
        <f t="shared" si="64"/>
        <v>5</v>
      </c>
      <c r="AQ115" s="13">
        <f t="shared" si="65"/>
        <v>6</v>
      </c>
      <c r="AR115" s="169">
        <f t="shared" si="66"/>
        <v>43192</v>
      </c>
      <c r="AS115" s="743">
        <f t="shared" si="67"/>
        <v>0.32142857142857145</v>
      </c>
      <c r="AT115" s="759">
        <f t="shared" si="68"/>
        <v>227.62141207978129</v>
      </c>
      <c r="AU115" s="13">
        <f t="shared" si="69"/>
        <v>5</v>
      </c>
      <c r="AV115" s="13">
        <f t="shared" si="70"/>
        <v>4</v>
      </c>
      <c r="AW115" s="169">
        <f t="shared" si="71"/>
        <v>43206</v>
      </c>
      <c r="AX115" s="743">
        <f t="shared" si="72"/>
        <v>0.17857142857142858</v>
      </c>
      <c r="AY115" s="759">
        <f t="shared" si="73"/>
        <v>227.58763506801</v>
      </c>
      <c r="AZ115" s="736">
        <f t="shared" si="77"/>
        <v>227.60452357389565</v>
      </c>
      <c r="BA115" s="633">
        <f t="shared" si="74"/>
        <v>0.81824838125879984</v>
      </c>
      <c r="BC115" s="11">
        <v>43201</v>
      </c>
      <c r="BD115" s="286">
        <f>[2]!FeuilCaduc*(1-Persistant)+Persistant</f>
        <v>0.63076590595284798</v>
      </c>
      <c r="BE115" s="287">
        <f>[2]!CroissVégét</f>
        <v>7.7036689395036897E-2</v>
      </c>
      <c r="BF115" s="806">
        <f>1+[2]!Salcycl*Ksac</f>
        <v>1.0038457382441059</v>
      </c>
      <c r="BH115" s="1036">
        <f t="shared" si="75"/>
        <v>7.4472706250028782E-3</v>
      </c>
      <c r="BI115" s="11">
        <v>44297</v>
      </c>
      <c r="BJ115" s="716">
        <v>2.4689823520724877E-3</v>
      </c>
      <c r="BK115" s="716">
        <v>3.228007065241411E-3</v>
      </c>
      <c r="BL115" s="716">
        <v>4.0881791821907416E-3</v>
      </c>
      <c r="BM115" s="716">
        <v>5.1013908810882717E-3</v>
      </c>
      <c r="BN115" s="716">
        <v>6.2217007944505012E-3</v>
      </c>
      <c r="BO115" s="717">
        <v>7.4602390794098481E-3</v>
      </c>
      <c r="BP115" s="716">
        <v>8.8392569432457005E-3</v>
      </c>
      <c r="BQ115" s="716">
        <v>1.0414830602972153E-2</v>
      </c>
      <c r="BR115" s="716">
        <v>1.2188141366283172E-2</v>
      </c>
      <c r="BS115" s="716">
        <v>1.4155913669439234E-2</v>
      </c>
      <c r="BT115" s="716">
        <v>1.6264372125663173E-2</v>
      </c>
      <c r="BW115" s="1166">
        <f>'2022'!R\Max</f>
        <v>0.81824838125879984</v>
      </c>
      <c r="BX115" s="1167">
        <f>'2023'!R\Max</f>
        <v>0.81824113816795263</v>
      </c>
      <c r="BY115" s="1167">
        <f>'2024'!R\Max</f>
        <v>0.81823383679582717</v>
      </c>
      <c r="BZ115" s="1167">
        <f>'2025'!R\Max</f>
        <v>0.81822556045555705</v>
      </c>
      <c r="CA115" s="1167">
        <f>'2026'!R\Max</f>
        <v>0.81821722536777064</v>
      </c>
      <c r="CB115" s="1167">
        <f>'2027'!R\Max</f>
        <v>0.81820790922093556</v>
      </c>
      <c r="CC115" s="1168">
        <f>'2028'!R\Max</f>
        <v>0.81819853515723884</v>
      </c>
      <c r="CD115" s="1167">
        <f>'2029'!R\Max</f>
        <v>0.81824874323155194</v>
      </c>
      <c r="CE115" s="1167">
        <f>'2030'!R\Max</f>
        <v>0.8182415001589779</v>
      </c>
      <c r="CF115" s="1169">
        <f>'2031'!R\Max</f>
        <v>0.81823425040355491</v>
      </c>
    </row>
    <row r="116" spans="1:84" s="6" customFormat="1" ht="11.25" x14ac:dyDescent="0.2">
      <c r="A116" s="11">
        <v>43202</v>
      </c>
      <c r="B116" s="375">
        <f>'2022'!Maxi_hp</f>
        <v>156.10903736270134</v>
      </c>
      <c r="C116" s="13">
        <f>'2022'!An_max</f>
        <v>2022</v>
      </c>
      <c r="D116" s="1045" t="str">
        <f t="shared" si="59"/>
        <v/>
      </c>
      <c r="E116" s="13"/>
      <c r="F116" s="13">
        <f t="shared" si="76"/>
        <v>9</v>
      </c>
      <c r="G116" s="13">
        <f t="shared" si="60"/>
        <v>8</v>
      </c>
      <c r="H116" s="169">
        <f t="shared" si="61"/>
        <v>43206</v>
      </c>
      <c r="I116" s="743">
        <f t="shared" si="62"/>
        <v>0.2857142857142857</v>
      </c>
      <c r="J116" s="736">
        <f t="shared" si="63"/>
        <v>228.71540816213405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38">
        <v>43202</v>
      </c>
      <c r="AP116" s="13">
        <f t="shared" si="64"/>
        <v>5</v>
      </c>
      <c r="AQ116" s="13">
        <f t="shared" si="65"/>
        <v>6</v>
      </c>
      <c r="AR116" s="169">
        <f t="shared" si="66"/>
        <v>43192</v>
      </c>
      <c r="AS116" s="743">
        <f t="shared" si="67"/>
        <v>0.35714285714285715</v>
      </c>
      <c r="AT116" s="759">
        <f t="shared" si="68"/>
        <v>228.47835641226598</v>
      </c>
      <c r="AU116" s="13">
        <f t="shared" si="69"/>
        <v>5</v>
      </c>
      <c r="AV116" s="13">
        <f t="shared" si="70"/>
        <v>4</v>
      </c>
      <c r="AW116" s="169">
        <f t="shared" si="71"/>
        <v>43206</v>
      </c>
      <c r="AX116" s="743">
        <f t="shared" si="72"/>
        <v>0.14285714285714285</v>
      </c>
      <c r="AY116" s="759">
        <f t="shared" si="73"/>
        <v>228.52051894962787</v>
      </c>
      <c r="AZ116" s="736">
        <f t="shared" si="77"/>
        <v>228.49943768094693</v>
      </c>
      <c r="BA116" s="633">
        <f t="shared" si="74"/>
        <v>0.68254709473721686</v>
      </c>
      <c r="BC116" s="11">
        <v>43202</v>
      </c>
      <c r="BD116" s="286">
        <f>[2]!FeuilCaduc*(1-Persistant)+Persistant</f>
        <v>0.63282516468404204</v>
      </c>
      <c r="BE116" s="287">
        <f>[2]!CroissVégét</f>
        <v>8.0059411132293548E-2</v>
      </c>
      <c r="BF116" s="806">
        <f>1+[2]!Salcycl*Ksac</f>
        <v>1.0041031455855052</v>
      </c>
      <c r="BH116" s="1036">
        <f t="shared" si="75"/>
        <v>7.5624394249194198E-3</v>
      </c>
      <c r="BI116" s="11">
        <v>44298</v>
      </c>
      <c r="BJ116" s="716">
        <v>2.5088638823492436E-3</v>
      </c>
      <c r="BK116" s="716">
        <v>3.2810506779152615E-3</v>
      </c>
      <c r="BL116" s="716">
        <v>4.1532716285830147E-3</v>
      </c>
      <c r="BM116" s="716">
        <v>5.178704948631649E-3</v>
      </c>
      <c r="BN116" s="716">
        <v>6.3156915383115768E-3</v>
      </c>
      <c r="BO116" s="717">
        <v>7.5756319764341482E-3</v>
      </c>
      <c r="BP116" s="716">
        <v>8.9809731410860402E-3</v>
      </c>
      <c r="BQ116" s="716">
        <v>1.0584326592333862E-2</v>
      </c>
      <c r="BR116" s="716">
        <v>1.2388157791087146E-2</v>
      </c>
      <c r="BS116" s="716">
        <v>1.4390813999345718E-2</v>
      </c>
      <c r="BT116" s="716">
        <v>1.6539243728798947E-2</v>
      </c>
      <c r="BW116" s="1166">
        <f>'2022'!R\Max</f>
        <v>0.68254709473721686</v>
      </c>
      <c r="BX116" s="1167">
        <f>'2023'!R\Max</f>
        <v>0.68253634632589577</v>
      </c>
      <c r="BY116" s="1167">
        <f>'2024'!R\Max</f>
        <v>0.6825255079709871</v>
      </c>
      <c r="BZ116" s="1167">
        <f>'2025'!R\Max</f>
        <v>0.68251324414313652</v>
      </c>
      <c r="CA116" s="1167">
        <f>'2026'!R\Max</f>
        <v>0.68250088912635876</v>
      </c>
      <c r="CB116" s="1167">
        <f>'2027'!R\Max</f>
        <v>0.68248709063531221</v>
      </c>
      <c r="CC116" s="1168">
        <f>'2028'!R\Max</f>
        <v>0.68247320155320246</v>
      </c>
      <c r="CD116" s="1167">
        <f>'2029'!R\Max</f>
        <v>0.68254763189154766</v>
      </c>
      <c r="CE116" s="1167">
        <f>'2030'!R\Max</f>
        <v>0.68253688350061348</v>
      </c>
      <c r="CF116" s="1169">
        <f>'2031'!R\Max</f>
        <v>0.6825261208568868</v>
      </c>
    </row>
    <row r="117" spans="1:84" s="6" customFormat="1" ht="11.25" x14ac:dyDescent="0.2">
      <c r="A117" s="11">
        <v>43203</v>
      </c>
      <c r="B117" s="375">
        <f>'2022'!Maxi_hp</f>
        <v>25.900210588432266</v>
      </c>
      <c r="C117" s="13">
        <f>'2022'!An_max</f>
        <v>2022</v>
      </c>
      <c r="D117" s="1045" t="str">
        <f t="shared" si="59"/>
        <v/>
      </c>
      <c r="E117" s="13"/>
      <c r="F117" s="13">
        <f t="shared" si="76"/>
        <v>9</v>
      </c>
      <c r="G117" s="13">
        <f t="shared" si="60"/>
        <v>8</v>
      </c>
      <c r="H117" s="169">
        <f t="shared" si="61"/>
        <v>43206</v>
      </c>
      <c r="I117" s="743">
        <f t="shared" si="62"/>
        <v>0.21428571428571427</v>
      </c>
      <c r="J117" s="736">
        <f t="shared" si="63"/>
        <v>229.56434248068504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38">
        <v>43203</v>
      </c>
      <c r="AP117" s="13">
        <f t="shared" si="64"/>
        <v>5</v>
      </c>
      <c r="AQ117" s="13">
        <f t="shared" si="65"/>
        <v>6</v>
      </c>
      <c r="AR117" s="169">
        <f t="shared" si="66"/>
        <v>43192</v>
      </c>
      <c r="AS117" s="743">
        <f t="shared" si="67"/>
        <v>0.39285714285714285</v>
      </c>
      <c r="AT117" s="759">
        <f t="shared" si="68"/>
        <v>229.31636743566824</v>
      </c>
      <c r="AU117" s="13">
        <f t="shared" si="69"/>
        <v>5</v>
      </c>
      <c r="AV117" s="13">
        <f t="shared" si="70"/>
        <v>4</v>
      </c>
      <c r="AW117" s="169">
        <f t="shared" si="71"/>
        <v>43206</v>
      </c>
      <c r="AX117" s="743">
        <f t="shared" si="72"/>
        <v>0.10714285714285714</v>
      </c>
      <c r="AY117" s="759">
        <f t="shared" si="73"/>
        <v>229.42900751946226</v>
      </c>
      <c r="AZ117" s="736">
        <f t="shared" si="77"/>
        <v>229.37268747756525</v>
      </c>
      <c r="BA117" s="633">
        <f t="shared" si="74"/>
        <v>0.11282331702107196</v>
      </c>
      <c r="BC117" s="11">
        <v>43203</v>
      </c>
      <c r="BD117" s="286">
        <f>[2]!FeuilCaduc*(1-Persistant)+Persistant</f>
        <v>0.63498671450013544</v>
      </c>
      <c r="BE117" s="287">
        <f>[2]!CroissVégét</f>
        <v>8.3187958998136649E-2</v>
      </c>
      <c r="BF117" s="806">
        <f>1+[2]!Salcycl*Ksac</f>
        <v>1.0043733393125169</v>
      </c>
      <c r="BH117" s="1036">
        <f t="shared" si="75"/>
        <v>7.6591242890911276E-3</v>
      </c>
      <c r="BI117" s="11">
        <v>44299</v>
      </c>
      <c r="BJ117" s="716">
        <v>2.5382478855463658E-3</v>
      </c>
      <c r="BK117" s="716">
        <v>3.3224088757098629E-3</v>
      </c>
      <c r="BL117" s="716">
        <v>4.2051998014571244E-3</v>
      </c>
      <c r="BM117" s="716">
        <v>5.2407283200124784E-3</v>
      </c>
      <c r="BN117" s="716">
        <v>6.3925514331659153E-3</v>
      </c>
      <c r="BO117" s="717">
        <v>7.6725266199299735E-3</v>
      </c>
      <c r="BP117" s="716">
        <v>9.1037605236639289E-3</v>
      </c>
      <c r="BQ117" s="716">
        <v>1.0735401857567528E-2</v>
      </c>
      <c r="BR117" s="716">
        <v>1.2571231762237976E-2</v>
      </c>
      <c r="BS117" s="716">
        <v>1.4610844809773413E-2</v>
      </c>
      <c r="BT117" s="716">
        <v>1.6801224782842086E-2</v>
      </c>
      <c r="BW117" s="1166">
        <f>'2022'!R\Max</f>
        <v>0.11282331702107196</v>
      </c>
      <c r="BX117" s="1167">
        <f>'2023'!R\Max</f>
        <v>0.11281932840420317</v>
      </c>
      <c r="BY117" s="1167">
        <f>'2024'!R\Max</f>
        <v>0.11281530502269366</v>
      </c>
      <c r="BZ117" s="1167">
        <f>'2025'!R\Max</f>
        <v>0.11281075790280555</v>
      </c>
      <c r="CA117" s="1167">
        <f>'2026'!R\Max</f>
        <v>0.11280617536253947</v>
      </c>
      <c r="CB117" s="1167">
        <f>'2027'!R\Max</f>
        <v>0.11280105920220614</v>
      </c>
      <c r="CC117" s="1168">
        <f>'2028'!R\Max</f>
        <v>0.11279590769200011</v>
      </c>
      <c r="CD117" s="1167">
        <f>'2029'!R\Max</f>
        <v>0.11282351635709009</v>
      </c>
      <c r="CE117" s="1167">
        <f>'2030'!R\Max</f>
        <v>0.11281952774022136</v>
      </c>
      <c r="CF117" s="1169">
        <f>'2031'!R\Max</f>
        <v>0.11281553227058501</v>
      </c>
    </row>
    <row r="118" spans="1:84" s="6" customFormat="1" ht="11.25" x14ac:dyDescent="0.2">
      <c r="A118" s="11">
        <v>43204</v>
      </c>
      <c r="B118" s="375">
        <f>'2022'!Maxi_hp</f>
        <v>185.95269093155864</v>
      </c>
      <c r="C118" s="13">
        <f>'2022'!An_max</f>
        <v>2022</v>
      </c>
      <c r="D118" s="1045" t="str">
        <f t="shared" si="59"/>
        <v/>
      </c>
      <c r="E118" s="13"/>
      <c r="F118" s="13">
        <f t="shared" si="76"/>
        <v>9</v>
      </c>
      <c r="G118" s="13">
        <f t="shared" si="60"/>
        <v>8</v>
      </c>
      <c r="H118" s="169">
        <f t="shared" si="61"/>
        <v>43206</v>
      </c>
      <c r="I118" s="743">
        <f t="shared" si="62"/>
        <v>0.14285714285714285</v>
      </c>
      <c r="J118" s="736">
        <f t="shared" si="63"/>
        <v>230.39421429038049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38">
        <v>43204</v>
      </c>
      <c r="AP118" s="13">
        <f t="shared" si="64"/>
        <v>5</v>
      </c>
      <c r="AQ118" s="13">
        <f t="shared" si="65"/>
        <v>6</v>
      </c>
      <c r="AR118" s="169">
        <f t="shared" si="66"/>
        <v>43192</v>
      </c>
      <c r="AS118" s="743">
        <f t="shared" si="67"/>
        <v>0.42857142857142855</v>
      </c>
      <c r="AT118" s="759">
        <f t="shared" si="68"/>
        <v>230.13579008536681</v>
      </c>
      <c r="AU118" s="13">
        <f t="shared" si="69"/>
        <v>5</v>
      </c>
      <c r="AV118" s="13">
        <f t="shared" si="70"/>
        <v>4</v>
      </c>
      <c r="AW118" s="169">
        <f t="shared" si="71"/>
        <v>43206</v>
      </c>
      <c r="AX118" s="743">
        <f t="shared" si="72"/>
        <v>7.1428571428571425E-2</v>
      </c>
      <c r="AY118" s="759">
        <f t="shared" si="73"/>
        <v>230.31229063474706</v>
      </c>
      <c r="AZ118" s="736">
        <f t="shared" si="77"/>
        <v>230.22404036005693</v>
      </c>
      <c r="BA118" s="633">
        <f t="shared" si="74"/>
        <v>0.80710659989573619</v>
      </c>
      <c r="BC118" s="11">
        <v>43204</v>
      </c>
      <c r="BD118" s="286">
        <f>[2]!FeuilCaduc*(1-Persistant)+Persistant</f>
        <v>0.63725228784333743</v>
      </c>
      <c r="BE118" s="287">
        <f>[2]!CroissVégét</f>
        <v>8.6425206757263798E-2</v>
      </c>
      <c r="BF118" s="806">
        <f>1+[2]!Salcycl*Ksac</f>
        <v>1.0046565359804172</v>
      </c>
      <c r="BH118" s="1036">
        <f t="shared" si="75"/>
        <v>7.7373273911813005E-3</v>
      </c>
      <c r="BI118" s="11">
        <v>44300</v>
      </c>
      <c r="BJ118" s="716">
        <v>2.5571365580134421E-3</v>
      </c>
      <c r="BK118" s="716">
        <v>3.3520838095726399E-3</v>
      </c>
      <c r="BL118" s="716">
        <v>4.2439659000308534E-3</v>
      </c>
      <c r="BM118" s="716">
        <v>5.2874634210403441E-3</v>
      </c>
      <c r="BN118" s="716">
        <v>6.4522829195223889E-3</v>
      </c>
      <c r="BO118" s="717">
        <v>7.7509251807369771E-3</v>
      </c>
      <c r="BP118" s="716">
        <v>9.2076205378794681E-3</v>
      </c>
      <c r="BQ118" s="716">
        <v>1.0868056716583202E-2</v>
      </c>
      <c r="BR118" s="716">
        <v>1.2737362028243618E-2</v>
      </c>
      <c r="BS118" s="716">
        <v>1.4816002939349648E-2</v>
      </c>
      <c r="BT118" s="716">
        <v>1.7050310114759378E-2</v>
      </c>
      <c r="BW118" s="1166">
        <f>'2022'!R\Max</f>
        <v>0.80710659989573619</v>
      </c>
      <c r="BX118" s="1167">
        <f>'2023'!R\Max</f>
        <v>0.80709859745879287</v>
      </c>
      <c r="BY118" s="1167">
        <f>'2024'!R\Max</f>
        <v>0.80709052130590231</v>
      </c>
      <c r="BZ118" s="1167">
        <f>'2025'!R\Max</f>
        <v>0.80708139861868466</v>
      </c>
      <c r="CA118" s="1167">
        <f>'2026'!R\Max</f>
        <v>0.80707220023696824</v>
      </c>
      <c r="CB118" s="1167">
        <f>'2027'!R\Max</f>
        <v>0.80706192872701177</v>
      </c>
      <c r="CC118" s="1168">
        <f>'2028'!R\Max</f>
        <v>0.80705158119985487</v>
      </c>
      <c r="CD118" s="1167">
        <f>'2029'!R\Max</f>
        <v>0.80710699981638812</v>
      </c>
      <c r="CE118" s="1167">
        <f>'2030'!R\Max</f>
        <v>0.80709899740029367</v>
      </c>
      <c r="CF118" s="1169">
        <f>'2031'!R\Max</f>
        <v>0.80709097720915746</v>
      </c>
    </row>
    <row r="119" spans="1:84" s="6" customFormat="1" ht="11.25" x14ac:dyDescent="0.2">
      <c r="A119" s="11">
        <v>43205</v>
      </c>
      <c r="B119" s="375">
        <f>'2022'!Maxi_hp</f>
        <v>196.34249793514525</v>
      </c>
      <c r="C119" s="13">
        <f>'2022'!An_max</f>
        <v>2022</v>
      </c>
      <c r="D119" s="1045" t="str">
        <f t="shared" si="59"/>
        <v/>
      </c>
      <c r="E119" s="13"/>
      <c r="F119" s="13">
        <f t="shared" si="76"/>
        <v>9</v>
      </c>
      <c r="G119" s="13">
        <f t="shared" si="60"/>
        <v>8</v>
      </c>
      <c r="H119" s="169">
        <f t="shared" si="61"/>
        <v>43206</v>
      </c>
      <c r="I119" s="743">
        <f t="shared" si="62"/>
        <v>7.1428571428571425E-2</v>
      </c>
      <c r="J119" s="736">
        <f t="shared" si="63"/>
        <v>231.20583099850586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38">
        <v>43205</v>
      </c>
      <c r="AP119" s="13">
        <f t="shared" si="64"/>
        <v>5</v>
      </c>
      <c r="AQ119" s="13">
        <f t="shared" si="65"/>
        <v>6</v>
      </c>
      <c r="AR119" s="169">
        <f t="shared" si="66"/>
        <v>43192</v>
      </c>
      <c r="AS119" s="743">
        <f t="shared" si="67"/>
        <v>0.4642857142857143</v>
      </c>
      <c r="AT119" s="759">
        <f t="shared" si="68"/>
        <v>230.93696929482476</v>
      </c>
      <c r="AU119" s="13">
        <f t="shared" si="69"/>
        <v>5</v>
      </c>
      <c r="AV119" s="13">
        <f t="shared" si="70"/>
        <v>4</v>
      </c>
      <c r="AW119" s="169">
        <f t="shared" si="71"/>
        <v>43206</v>
      </c>
      <c r="AX119" s="743">
        <f t="shared" si="72"/>
        <v>3.5714285714285712E-2</v>
      </c>
      <c r="AY119" s="759">
        <f t="shared" si="73"/>
        <v>231.16955817575962</v>
      </c>
      <c r="AZ119" s="736">
        <f t="shared" si="77"/>
        <v>231.05326373529221</v>
      </c>
      <c r="BA119" s="633">
        <f t="shared" si="74"/>
        <v>0.8492108399135232</v>
      </c>
      <c r="BC119" s="11">
        <v>43205</v>
      </c>
      <c r="BD119" s="286">
        <f>[2]!FeuilCaduc*(1-Persistant)+Persistant</f>
        <v>0.63962349216240544</v>
      </c>
      <c r="BE119" s="287">
        <f>[2]!CroissVégét</f>
        <v>8.9774041376326802E-2</v>
      </c>
      <c r="BF119" s="806">
        <f>1+[2]!Salcycl*Ksac</f>
        <v>1.0049529365203007</v>
      </c>
      <c r="BH119" s="1036">
        <f t="shared" si="75"/>
        <v>7.7970514998723459E-3</v>
      </c>
      <c r="BI119" s="11">
        <v>44301</v>
      </c>
      <c r="BJ119" s="716">
        <v>2.5655324623694714E-3</v>
      </c>
      <c r="BK119" s="716">
        <v>3.3700780286034806E-3</v>
      </c>
      <c r="BL119" s="716">
        <v>4.2695725661100704E-3</v>
      </c>
      <c r="BM119" s="716">
        <v>5.3189131896285565E-3</v>
      </c>
      <c r="BN119" s="716">
        <v>6.4948890034375699E-3</v>
      </c>
      <c r="BO119" s="717">
        <v>7.8108304250257736E-3</v>
      </c>
      <c r="BP119" s="716">
        <v>9.2925552137198709E-3</v>
      </c>
      <c r="BQ119" s="716">
        <v>1.0982292019782888E-2</v>
      </c>
      <c r="BR119" s="716">
        <v>1.2886547778528719E-2</v>
      </c>
      <c r="BS119" s="716">
        <v>1.5006285547983092E-2</v>
      </c>
      <c r="BT119" s="716">
        <v>1.728649475126047E-2</v>
      </c>
      <c r="BW119" s="1166">
        <f>'2022'!R\Max</f>
        <v>0.8492108399135232</v>
      </c>
      <c r="BX119" s="1167">
        <f>'2023'!R\Max</f>
        <v>0.84920414345103734</v>
      </c>
      <c r="BY119" s="1167">
        <f>'2024'!R\Max</f>
        <v>0.84919738189029514</v>
      </c>
      <c r="BZ119" s="1167">
        <f>'2025'!R\Max</f>
        <v>0.84918974443213324</v>
      </c>
      <c r="CA119" s="1167">
        <f>'2026'!R\Max</f>
        <v>0.84918203972721562</v>
      </c>
      <c r="CB119" s="1167">
        <f>'2027'!R\Max</f>
        <v>0.849173431494192</v>
      </c>
      <c r="CC119" s="1168">
        <f>'2028'!R\Max</f>
        <v>0.8491647555698858</v>
      </c>
      <c r="CD119" s="1167">
        <f>'2029'!R\Max</f>
        <v>0.84921117456735395</v>
      </c>
      <c r="CE119" s="1167">
        <f>'2030'!R\Max</f>
        <v>0.84920447812409172</v>
      </c>
      <c r="CF119" s="1169">
        <f>'2031'!R\Max</f>
        <v>0.84919776356850418</v>
      </c>
    </row>
    <row r="120" spans="1:84" s="6" customFormat="1" ht="11.25" x14ac:dyDescent="0.2">
      <c r="A120" s="11">
        <v>43206</v>
      </c>
      <c r="B120" s="375">
        <f>'2022'!Maxi_hp</f>
        <v>197.54175886779768</v>
      </c>
      <c r="C120" s="13">
        <f>'2022'!An_max</f>
        <v>2022</v>
      </c>
      <c r="D120" s="1045" t="str">
        <f t="shared" si="59"/>
        <v/>
      </c>
      <c r="E120" s="1040">
        <f>U$13/10</f>
        <v>232</v>
      </c>
      <c r="F120" s="13">
        <f t="shared" si="76"/>
        <v>9</v>
      </c>
      <c r="G120" s="13">
        <f t="shared" si="60"/>
        <v>10</v>
      </c>
      <c r="H120" s="169">
        <f t="shared" si="61"/>
        <v>43206</v>
      </c>
      <c r="I120" s="743">
        <f t="shared" si="62"/>
        <v>0</v>
      </c>
      <c r="J120" s="736">
        <f t="shared" si="63"/>
        <v>232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38">
        <v>43206</v>
      </c>
      <c r="AP120" s="13">
        <f t="shared" si="64"/>
        <v>5</v>
      </c>
      <c r="AQ120" s="13">
        <f t="shared" si="65"/>
        <v>6</v>
      </c>
      <c r="AR120" s="169">
        <f t="shared" si="66"/>
        <v>43192</v>
      </c>
      <c r="AS120" s="743">
        <f t="shared" si="67"/>
        <v>0.5</v>
      </c>
      <c r="AT120" s="759">
        <f t="shared" si="68"/>
        <v>231.7202499985695</v>
      </c>
      <c r="AU120" s="13">
        <f t="shared" si="69"/>
        <v>5</v>
      </c>
      <c r="AV120" s="13">
        <f t="shared" si="70"/>
        <v>6</v>
      </c>
      <c r="AW120" s="169">
        <f t="shared" si="71"/>
        <v>43206</v>
      </c>
      <c r="AX120" s="743">
        <f t="shared" si="72"/>
        <v>0</v>
      </c>
      <c r="AY120" s="759">
        <f t="shared" si="73"/>
        <v>232</v>
      </c>
      <c r="AZ120" s="736">
        <f t="shared" si="77"/>
        <v>231.86012499928475</v>
      </c>
      <c r="BA120" s="633">
        <f t="shared" si="74"/>
        <v>0.8514730985680935</v>
      </c>
      <c r="BC120" s="11">
        <v>43206</v>
      </c>
      <c r="BD120" s="286">
        <f>[2]!FeuilCaduc*(1-Persistant)+Persistant</f>
        <v>0.64210180456604782</v>
      </c>
      <c r="BE120" s="287">
        <f>[2]!CroissVégét</f>
        <v>9.3237357323611589E-2</v>
      </c>
      <c r="BF120" s="806">
        <f>1+[2]!Salcycl*Ksac</f>
        <v>1.005262725570756</v>
      </c>
      <c r="BH120" s="1036">
        <f t="shared" si="75"/>
        <v>7.8383000284615312E-3</v>
      </c>
      <c r="BI120" s="11">
        <v>44302</v>
      </c>
      <c r="BJ120" s="716">
        <v>2.5634385557256E-3</v>
      </c>
      <c r="BK120" s="716">
        <v>3.3763945114548776E-3</v>
      </c>
      <c r="BL120" s="716">
        <v>4.282022919449101E-3</v>
      </c>
      <c r="BM120" s="716">
        <v>5.335081116857091E-3</v>
      </c>
      <c r="BN120" s="716">
        <v>6.5203733025042459E-3</v>
      </c>
      <c r="BO120" s="717">
        <v>7.8522457639318647E-3</v>
      </c>
      <c r="BP120" s="716">
        <v>9.3585672150067085E-3</v>
      </c>
      <c r="BQ120" s="716">
        <v>1.1078109199384871E-2</v>
      </c>
      <c r="BR120" s="716">
        <v>1.3018788688713962E-2</v>
      </c>
      <c r="BS120" s="716">
        <v>1.5181690156487687E-2</v>
      </c>
      <c r="BT120" s="716">
        <v>1.7509773953013438E-2</v>
      </c>
      <c r="BW120" s="1166">
        <f>'2022'!R\Max</f>
        <v>0.8514730985680935</v>
      </c>
      <c r="BX120" s="1167">
        <f>'2023'!R\Max</f>
        <v>0.85146637226323163</v>
      </c>
      <c r="BY120" s="1167">
        <f>'2024'!R\Max</f>
        <v>0.85145957672430039</v>
      </c>
      <c r="BZ120" s="1167">
        <f>'2025'!R\Max</f>
        <v>0.85145189737029592</v>
      </c>
      <c r="CA120" s="1167">
        <f>'2026'!R\Max</f>
        <v>0.85144414609716901</v>
      </c>
      <c r="CB120" s="1167">
        <f>'2027'!R\Max</f>
        <v>0.85143547795489549</v>
      </c>
      <c r="CC120" s="1168">
        <f>'2028'!R\Max</f>
        <v>0.85142673739181274</v>
      </c>
      <c r="CD120" s="1167">
        <f>'2029'!R\Max</f>
        <v>0.85147343471307324</v>
      </c>
      <c r="CE120" s="1167">
        <f>'2030'!R\Max</f>
        <v>0.85146670842793071</v>
      </c>
      <c r="CF120" s="1169">
        <f>'2031'!R\Max</f>
        <v>0.85145996049593908</v>
      </c>
    </row>
    <row r="121" spans="1:84" s="6" customFormat="1" ht="11.25" x14ac:dyDescent="0.2">
      <c r="A121" s="11">
        <v>43207</v>
      </c>
      <c r="B121" s="375">
        <f>'2022'!Maxi_hp</f>
        <v>236.99168583798047</v>
      </c>
      <c r="C121" s="13">
        <f>'2022'!An_max</f>
        <v>2022</v>
      </c>
      <c r="D121" s="1045">
        <f t="shared" si="59"/>
        <v>1.0181229862172456</v>
      </c>
      <c r="E121" s="13"/>
      <c r="F121" s="13">
        <f t="shared" si="76"/>
        <v>9</v>
      </c>
      <c r="G121" s="13">
        <f t="shared" si="60"/>
        <v>10</v>
      </c>
      <c r="H121" s="169">
        <f t="shared" si="61"/>
        <v>43206</v>
      </c>
      <c r="I121" s="743">
        <f t="shared" si="62"/>
        <v>7.1428571428571425E-2</v>
      </c>
      <c r="J121" s="736">
        <f t="shared" si="63"/>
        <v>232.77314140456065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38">
        <v>43207</v>
      </c>
      <c r="AP121" s="13">
        <f t="shared" si="64"/>
        <v>5</v>
      </c>
      <c r="AQ121" s="13">
        <f t="shared" si="65"/>
        <v>6</v>
      </c>
      <c r="AR121" s="169">
        <f t="shared" si="66"/>
        <v>43192</v>
      </c>
      <c r="AS121" s="743">
        <f t="shared" si="67"/>
        <v>0.5357142857142857</v>
      </c>
      <c r="AT121" s="759">
        <f t="shared" si="68"/>
        <v>232.48597712708369</v>
      </c>
      <c r="AU121" s="13">
        <f t="shared" si="69"/>
        <v>5</v>
      </c>
      <c r="AV121" s="13">
        <f t="shared" si="70"/>
        <v>6</v>
      </c>
      <c r="AW121" s="169">
        <f t="shared" si="71"/>
        <v>43206</v>
      </c>
      <c r="AX121" s="743">
        <f t="shared" si="72"/>
        <v>3.5714285714285712E-2</v>
      </c>
      <c r="AY121" s="759">
        <f t="shared" si="73"/>
        <v>232.80319256670774</v>
      </c>
      <c r="AZ121" s="736">
        <f t="shared" si="77"/>
        <v>232.64458484689573</v>
      </c>
      <c r="BA121" s="633">
        <f t="shared" si="74"/>
        <v>1.0181229862172456</v>
      </c>
      <c r="BC121" s="11">
        <v>43207</v>
      </c>
      <c r="BD121" s="286">
        <f>[2]!FeuilCaduc*(1-Persistant)+Persistant</f>
        <v>0.64468856629298599</v>
      </c>
      <c r="BE121" s="287">
        <f>[2]!CroissVégét</f>
        <v>9.6818050392965163E-2</v>
      </c>
      <c r="BF121" s="806">
        <f>1+[2]!Salcycl*Ksac</f>
        <v>1.0055860707866233</v>
      </c>
      <c r="BH121" s="1036">
        <f t="shared" si="75"/>
        <v>7.8610770845335982E-3</v>
      </c>
      <c r="BI121" s="11">
        <v>44303</v>
      </c>
      <c r="BJ121" s="716">
        <v>2.5508582179332639E-3</v>
      </c>
      <c r="BK121" s="716">
        <v>3.3710366977653273E-3</v>
      </c>
      <c r="BL121" s="716">
        <v>4.2813205931532452E-3</v>
      </c>
      <c r="BM121" s="716">
        <v>5.3359712880880587E-3</v>
      </c>
      <c r="BN121" s="716">
        <v>6.528740091904065E-3</v>
      </c>
      <c r="BO121" s="717">
        <v>7.8751753032665506E-3</v>
      </c>
      <c r="BP121" s="716">
        <v>9.4056598902344732E-3</v>
      </c>
      <c r="BQ121" s="716">
        <v>1.1155510318855718E-2</v>
      </c>
      <c r="BR121" s="716">
        <v>1.3134084966021581E-2</v>
      </c>
      <c r="BS121" s="716">
        <v>1.5342214686353285E-2</v>
      </c>
      <c r="BT121" s="716">
        <v>1.7720143249029128E-2</v>
      </c>
      <c r="BW121" s="1166">
        <f>'2022'!R\Max</f>
        <v>1.0181229862172456</v>
      </c>
      <c r="BX121" s="1167">
        <f>'2023'!R\Max</f>
        <v>1.0181229862172456</v>
      </c>
      <c r="BY121" s="1167">
        <f>'2024'!R\Max</f>
        <v>1.0181229862172456</v>
      </c>
      <c r="BZ121" s="1167">
        <f>'2025'!R\Max</f>
        <v>1.0181229862172456</v>
      </c>
      <c r="CA121" s="1167">
        <f>'2026'!R\Max</f>
        <v>1.0181229862172456</v>
      </c>
      <c r="CB121" s="1167">
        <f>'2027'!R\Max</f>
        <v>1.0181229862172458</v>
      </c>
      <c r="CC121" s="1168">
        <f>'2028'!R\Max</f>
        <v>1.0181229862172456</v>
      </c>
      <c r="CD121" s="1167">
        <f>'2029'!R\Max</f>
        <v>1.0181229862172456</v>
      </c>
      <c r="CE121" s="1167">
        <f>'2030'!R\Max</f>
        <v>1.0181229862172456</v>
      </c>
      <c r="CF121" s="1169">
        <f>'2031'!R\Max</f>
        <v>1.0181229862172456</v>
      </c>
    </row>
    <row r="122" spans="1:84" s="6" customFormat="1" ht="11.25" x14ac:dyDescent="0.2">
      <c r="A122" s="11">
        <v>43208</v>
      </c>
      <c r="B122" s="375">
        <f>'2022'!Maxi_hp</f>
        <v>174.91663566375686</v>
      </c>
      <c r="C122" s="13">
        <f>'2022'!An_max</f>
        <v>2022</v>
      </c>
      <c r="D122" s="1045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69">
        <f t="shared" si="61"/>
        <v>43206</v>
      </c>
      <c r="I122" s="743">
        <f t="shared" si="62"/>
        <v>0.14285714285714285</v>
      </c>
      <c r="J122" s="736">
        <f t="shared" si="63"/>
        <v>233.52186589453905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38">
        <v>43208</v>
      </c>
      <c r="AP122" s="13">
        <f t="shared" si="64"/>
        <v>5</v>
      </c>
      <c r="AQ122" s="13">
        <f t="shared" si="65"/>
        <v>6</v>
      </c>
      <c r="AR122" s="169">
        <f t="shared" si="66"/>
        <v>43192</v>
      </c>
      <c r="AS122" s="743">
        <f t="shared" si="67"/>
        <v>0.5714285714285714</v>
      </c>
      <c r="AT122" s="759">
        <f t="shared" si="68"/>
        <v>233.23449562489986</v>
      </c>
      <c r="AU122" s="13">
        <f t="shared" si="69"/>
        <v>5</v>
      </c>
      <c r="AV122" s="13">
        <f t="shared" si="70"/>
        <v>6</v>
      </c>
      <c r="AW122" s="169">
        <f t="shared" si="71"/>
        <v>43206</v>
      </c>
      <c r="AX122" s="743">
        <f t="shared" si="72"/>
        <v>7.1428571428571425E-2</v>
      </c>
      <c r="AY122" s="759">
        <f t="shared" si="73"/>
        <v>233.57977523686631</v>
      </c>
      <c r="AZ122" s="736">
        <f t="shared" si="77"/>
        <v>233.4071354308831</v>
      </c>
      <c r="BA122" s="633">
        <f t="shared" si="74"/>
        <v>0.74903750444830319</v>
      </c>
      <c r="BC122" s="11">
        <v>43208</v>
      </c>
      <c r="BD122" s="286">
        <f>[2]!FeuilCaduc*(1-Persistant)+Persistant</f>
        <v>0.64738497697865482</v>
      </c>
      <c r="BE122" s="287">
        <f>[2]!CroissVégét</f>
        <v>0.10051901103841099</v>
      </c>
      <c r="BF122" s="806">
        <f>1+[2]!Salcycl*Ksac</f>
        <v>1.0059231221223319</v>
      </c>
      <c r="BH122" s="1036">
        <f t="shared" si="75"/>
        <v>7.861572188545345E-3</v>
      </c>
      <c r="BI122" s="11">
        <v>44304</v>
      </c>
      <c r="BJ122" s="716">
        <v>2.5269720071568534E-3</v>
      </c>
      <c r="BK122" s="716">
        <v>3.3521110183965083E-3</v>
      </c>
      <c r="BL122" s="716">
        <v>4.2650342532012109E-3</v>
      </c>
      <c r="BM122" s="716">
        <v>5.3191080314583111E-3</v>
      </c>
      <c r="BN122" s="716">
        <v>6.5171269886340885E-3</v>
      </c>
      <c r="BO122" s="717">
        <v>7.8757985311355989E-3</v>
      </c>
      <c r="BP122" s="716">
        <v>9.4283896368238546E-3</v>
      </c>
      <c r="BQ122" s="716">
        <v>1.1206881227892547E-2</v>
      </c>
      <c r="BR122" s="716">
        <v>1.3221982755275778E-2</v>
      </c>
      <c r="BS122" s="716">
        <v>1.5474074538934861E-2</v>
      </c>
      <c r="BT122" s="716">
        <v>1.7900223450040716E-2</v>
      </c>
      <c r="BW122" s="1166">
        <f>'2022'!R\Max</f>
        <v>0.74903750444830319</v>
      </c>
      <c r="BX122" s="1167">
        <f>'2023'!R\Max</f>
        <v>0.74902718231317189</v>
      </c>
      <c r="BY122" s="1167">
        <f>'2024'!R\Max</f>
        <v>0.74901674014632091</v>
      </c>
      <c r="BZ122" s="1167">
        <f>'2025'!R\Max</f>
        <v>0.74900491493520804</v>
      </c>
      <c r="CA122" s="1167">
        <f>'2026'!R\Max</f>
        <v>0.74899296385332215</v>
      </c>
      <c r="CB122" s="1167">
        <f>'2027'!R\Max</f>
        <v>0.74897956384771802</v>
      </c>
      <c r="CC122" s="1168">
        <f>'2028'!R\Max</f>
        <v>0.74896603756471747</v>
      </c>
      <c r="CD122" s="1167">
        <f>'2029'!R\Max</f>
        <v>0.74903802029630662</v>
      </c>
      <c r="CE122" s="1167">
        <f>'2030'!R\Max</f>
        <v>0.74902769818661397</v>
      </c>
      <c r="CF122" s="1169">
        <f>'2031'!R\Max</f>
        <v>0.74901733110821778</v>
      </c>
    </row>
    <row r="123" spans="1:84" s="6" customFormat="1" ht="11.25" x14ac:dyDescent="0.2">
      <c r="A123" s="11">
        <v>43209</v>
      </c>
      <c r="B123" s="375">
        <f>'2022'!Maxi_hp</f>
        <v>39.510665427940808</v>
      </c>
      <c r="C123" s="13">
        <f>'2022'!An_max</f>
        <v>2022</v>
      </c>
      <c r="D123" s="1045" t="str">
        <f t="shared" si="59"/>
        <v/>
      </c>
      <c r="E123" s="13"/>
      <c r="F123" s="13">
        <f t="shared" si="76"/>
        <v>9</v>
      </c>
      <c r="G123" s="13">
        <f t="shared" si="60"/>
        <v>10</v>
      </c>
      <c r="H123" s="169">
        <f t="shared" si="61"/>
        <v>43206</v>
      </c>
      <c r="I123" s="743">
        <f t="shared" si="62"/>
        <v>0.21428571428571427</v>
      </c>
      <c r="J123" s="736">
        <f t="shared" si="63"/>
        <v>234.24726676749333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38">
        <v>43209</v>
      </c>
      <c r="AP123" s="13">
        <f t="shared" si="64"/>
        <v>5</v>
      </c>
      <c r="AQ123" s="13">
        <f t="shared" si="65"/>
        <v>6</v>
      </c>
      <c r="AR123" s="169">
        <f t="shared" si="66"/>
        <v>43192</v>
      </c>
      <c r="AS123" s="743">
        <f t="shared" si="67"/>
        <v>0.6071428571428571</v>
      </c>
      <c r="AT123" s="759">
        <f t="shared" si="68"/>
        <v>233.96615041473083</v>
      </c>
      <c r="AU123" s="13">
        <f t="shared" si="69"/>
        <v>5</v>
      </c>
      <c r="AV123" s="13">
        <f t="shared" si="70"/>
        <v>6</v>
      </c>
      <c r="AW123" s="169">
        <f t="shared" si="71"/>
        <v>43206</v>
      </c>
      <c r="AX123" s="743">
        <f t="shared" si="72"/>
        <v>0.10714285714285714</v>
      </c>
      <c r="AY123" s="759">
        <f t="shared" si="73"/>
        <v>234.33053223900501</v>
      </c>
      <c r="AZ123" s="736">
        <f t="shared" si="77"/>
        <v>234.14834132686792</v>
      </c>
      <c r="BA123" s="633">
        <f t="shared" si="74"/>
        <v>0.16867076390333247</v>
      </c>
      <c r="BC123" s="11">
        <v>43209</v>
      </c>
      <c r="BD123" s="286">
        <f>[2]!FeuilCaduc*(1-Persistant)+Persistant</f>
        <v>0.65019208870491529</v>
      </c>
      <c r="BE123" s="287">
        <f>[2]!CroissVégét</f>
        <v>0.1043431172076847</v>
      </c>
      <c r="BF123" s="806">
        <f>1+[2]!Salcycl*Ksac</f>
        <v>1.0062740110881143</v>
      </c>
      <c r="BH123" s="1036">
        <f t="shared" si="75"/>
        <v>7.8454198911463331E-3</v>
      </c>
      <c r="BI123" s="11">
        <v>44305</v>
      </c>
      <c r="BJ123" s="716">
        <v>2.4948435642063232E-3</v>
      </c>
      <c r="BK123" s="716">
        <v>3.3231948185571312E-3</v>
      </c>
      <c r="BL123" s="716">
        <v>4.2375803573272697E-3</v>
      </c>
      <c r="BM123" s="716">
        <v>5.2900221419550581E-3</v>
      </c>
      <c r="BN123" s="716">
        <v>6.491510197087374E-3</v>
      </c>
      <c r="BO123" s="717">
        <v>7.8597463829551632E-3</v>
      </c>
      <c r="BP123" s="716">
        <v>9.4312374768407061E-3</v>
      </c>
      <c r="BQ123" s="716">
        <v>1.1235281726371905E-2</v>
      </c>
      <c r="BR123" s="716">
        <v>1.3283901182871328E-2</v>
      </c>
      <c r="BS123" s="716">
        <v>1.5577212242423595E-2</v>
      </c>
      <c r="BT123" s="716">
        <v>1.8048776723744588E-2</v>
      </c>
      <c r="BW123" s="1166">
        <f>'2022'!R\Max</f>
        <v>0.16867076390333247</v>
      </c>
      <c r="BX123" s="1167">
        <f>'2023'!R\Max</f>
        <v>0.16866419380309511</v>
      </c>
      <c r="BY123" s="1167">
        <f>'2024'!R\Max</f>
        <v>0.16865754261515756</v>
      </c>
      <c r="BZ123" s="1167">
        <f>'2025'!R\Max</f>
        <v>0.16865000025516699</v>
      </c>
      <c r="CA123" s="1167">
        <f>'2026'!R\Max</f>
        <v>0.16864237261588941</v>
      </c>
      <c r="CB123" s="1167">
        <f>'2027'!R\Max</f>
        <v>0.16863380773427492</v>
      </c>
      <c r="CC123" s="1168">
        <f>'2028'!R\Max</f>
        <v>0.16862515753310528</v>
      </c>
      <c r="CD123" s="1167">
        <f>'2029'!R\Max</f>
        <v>0.16867109225214702</v>
      </c>
      <c r="CE123" s="1167">
        <f>'2030'!R\Max</f>
        <v>0.16866452215190966</v>
      </c>
      <c r="CF123" s="1169">
        <f>'2031'!R\Max</f>
        <v>0.16865791955384529</v>
      </c>
    </row>
    <row r="124" spans="1:84" s="6" customFormat="1" ht="11.25" x14ac:dyDescent="0.2">
      <c r="A124" s="11">
        <v>43210</v>
      </c>
      <c r="B124" s="375">
        <f>'2022'!Maxi_hp</f>
        <v>44.813586575905077</v>
      </c>
      <c r="C124" s="13">
        <f>'2022'!An_max</f>
        <v>2022</v>
      </c>
      <c r="D124" s="1045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69">
        <f t="shared" si="61"/>
        <v>43206</v>
      </c>
      <c r="I124" s="743">
        <f t="shared" si="62"/>
        <v>0.2857142857142857</v>
      </c>
      <c r="J124" s="736">
        <f t="shared" si="63"/>
        <v>234.95043732225895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38">
        <v>43210</v>
      </c>
      <c r="AP124" s="13">
        <f t="shared" si="64"/>
        <v>5</v>
      </c>
      <c r="AQ124" s="13">
        <f t="shared" si="65"/>
        <v>6</v>
      </c>
      <c r="AR124" s="169">
        <f t="shared" si="66"/>
        <v>43192</v>
      </c>
      <c r="AS124" s="743">
        <f t="shared" si="67"/>
        <v>0.6428571428571429</v>
      </c>
      <c r="AT124" s="759">
        <f t="shared" si="68"/>
        <v>234.68128644121543</v>
      </c>
      <c r="AU124" s="13">
        <f t="shared" si="69"/>
        <v>5</v>
      </c>
      <c r="AV124" s="13">
        <f t="shared" si="70"/>
        <v>6</v>
      </c>
      <c r="AW124" s="169">
        <f t="shared" si="71"/>
        <v>43206</v>
      </c>
      <c r="AX124" s="743">
        <f t="shared" si="72"/>
        <v>0.14285714285714285</v>
      </c>
      <c r="AY124" s="759">
        <f t="shared" si="73"/>
        <v>235.05624781442538</v>
      </c>
      <c r="AZ124" s="736">
        <f t="shared" si="77"/>
        <v>234.8687671278204</v>
      </c>
      <c r="BA124" s="633">
        <f t="shared" si="74"/>
        <v>0.19073634033904174</v>
      </c>
      <c r="BC124" s="11">
        <v>43210</v>
      </c>
      <c r="BD124" s="286">
        <f>[2]!FeuilCaduc*(1-Persistant)+Persistant</f>
        <v>0.65311079982610099</v>
      </c>
      <c r="BE124" s="287">
        <f>[2]!CroissVégét</f>
        <v>0.10829322666502313</v>
      </c>
      <c r="BF124" s="806">
        <f>1+[2]!Salcycl*Ksac</f>
        <v>1.0066388499782626</v>
      </c>
      <c r="BH124" s="1036">
        <f t="shared" si="75"/>
        <v>7.8126259100695407E-3</v>
      </c>
      <c r="BI124" s="11">
        <v>44306</v>
      </c>
      <c r="BJ124" s="716">
        <v>2.4544766643330705E-3</v>
      </c>
      <c r="BK124" s="716">
        <v>3.2842923588672179E-3</v>
      </c>
      <c r="BL124" s="716">
        <v>4.1989634104546113E-3</v>
      </c>
      <c r="BM124" s="716">
        <v>5.2487183473314755E-3</v>
      </c>
      <c r="BN124" s="716">
        <v>6.4518948359493242E-3</v>
      </c>
      <c r="BO124" s="717">
        <v>7.827024582797085E-3</v>
      </c>
      <c r="BP124" s="716">
        <v>9.4142097083382715E-3</v>
      </c>
      <c r="BQ124" s="716">
        <v>1.1240718414358501E-2</v>
      </c>
      <c r="BR124" s="716">
        <v>1.3319846862502619E-2</v>
      </c>
      <c r="BS124" s="716">
        <v>1.5651634057620049E-2</v>
      </c>
      <c r="BT124" s="716">
        <v>1.8165808859346613E-2</v>
      </c>
      <c r="BW124" s="1166">
        <f>'2022'!R\Max</f>
        <v>0.19073634033904174</v>
      </c>
      <c r="BX124" s="1167">
        <f>'2023'!R\Max</f>
        <v>0.19072882541085823</v>
      </c>
      <c r="BY124" s="1167">
        <f>'2024'!R\Max</f>
        <v>0.19072121150151841</v>
      </c>
      <c r="BZ124" s="1167">
        <f>'2025'!R\Max</f>
        <v>0.190712563435498</v>
      </c>
      <c r="CA124" s="1167">
        <f>'2026'!R\Max</f>
        <v>0.19070381088957075</v>
      </c>
      <c r="CB124" s="1167">
        <f>'2027'!R\Max</f>
        <v>0.19069396673168348</v>
      </c>
      <c r="CC124" s="1168">
        <f>'2028'!R\Max</f>
        <v>0.19068401807812863</v>
      </c>
      <c r="CD124" s="1167">
        <f>'2029'!R\Max</f>
        <v>0.1907367159067912</v>
      </c>
      <c r="CE124" s="1167">
        <f>'2030'!R\Max</f>
        <v>0.19072920097860768</v>
      </c>
      <c r="CF124" s="1169">
        <f>'2031'!R\Max</f>
        <v>0.19072164369922059</v>
      </c>
    </row>
    <row r="125" spans="1:84" s="6" customFormat="1" ht="11.25" x14ac:dyDescent="0.2">
      <c r="A125" s="11">
        <v>43211</v>
      </c>
      <c r="B125" s="375">
        <f>'2022'!Maxi_hp</f>
        <v>39.937207740527782</v>
      </c>
      <c r="C125" s="13">
        <f>'2022'!An_max</f>
        <v>2022</v>
      </c>
      <c r="D125" s="1045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69">
        <f t="shared" si="61"/>
        <v>43206</v>
      </c>
      <c r="I125" s="743">
        <f t="shared" si="62"/>
        <v>0.35714285714285715</v>
      </c>
      <c r="J125" s="736">
        <f t="shared" si="63"/>
        <v>235.63247084851773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38">
        <v>43211</v>
      </c>
      <c r="AP125" s="13">
        <f t="shared" si="64"/>
        <v>5</v>
      </c>
      <c r="AQ125" s="13">
        <f t="shared" si="65"/>
        <v>6</v>
      </c>
      <c r="AR125" s="169">
        <f t="shared" si="66"/>
        <v>43192</v>
      </c>
      <c r="AS125" s="743">
        <f t="shared" si="67"/>
        <v>0.6785714285714286</v>
      </c>
      <c r="AT125" s="759">
        <f t="shared" si="68"/>
        <v>235.38024862876961</v>
      </c>
      <c r="AU125" s="13">
        <f t="shared" si="69"/>
        <v>5</v>
      </c>
      <c r="AV125" s="13">
        <f t="shared" si="70"/>
        <v>6</v>
      </c>
      <c r="AW125" s="169">
        <f t="shared" si="71"/>
        <v>43206</v>
      </c>
      <c r="AX125" s="743">
        <f t="shared" si="72"/>
        <v>0.17857142857142858</v>
      </c>
      <c r="AY125" s="759">
        <f t="shared" si="73"/>
        <v>235.7577061894749</v>
      </c>
      <c r="AZ125" s="736">
        <f t="shared" si="77"/>
        <v>235.56897740912225</v>
      </c>
      <c r="BA125" s="633">
        <f t="shared" si="74"/>
        <v>0.16948940694257042</v>
      </c>
      <c r="BC125" s="11">
        <v>43211</v>
      </c>
      <c r="BD125" s="286">
        <f>[2]!FeuilCaduc*(1-Persistant)+Persistant</f>
        <v>0.65614184857212821</v>
      </c>
      <c r="BE125" s="287">
        <f>[2]!CroissVégét</f>
        <v>0.11237216879596926</v>
      </c>
      <c r="BF125" s="806">
        <f>1+[2]!Salcycl*Ksac</f>
        <v>1.007017731071516</v>
      </c>
      <c r="BH125" s="1036">
        <f t="shared" si="75"/>
        <v>7.7632153446730925E-3</v>
      </c>
      <c r="BI125" s="11">
        <v>44307</v>
      </c>
      <c r="BJ125" s="716">
        <v>2.405881266135417E-3</v>
      </c>
      <c r="BK125" s="716">
        <v>3.2354161474578425E-3</v>
      </c>
      <c r="BL125" s="716">
        <v>4.1491984053284659E-3</v>
      </c>
      <c r="BM125" s="716">
        <v>5.1952144173223981E-3</v>
      </c>
      <c r="BN125" s="716">
        <v>6.3983020248474876E-3</v>
      </c>
      <c r="BO125" s="717">
        <v>7.7776582721312904E-3</v>
      </c>
      <c r="BP125" s="716">
        <v>9.3773360055644447E-3</v>
      </c>
      <c r="BQ125" s="716">
        <v>1.1223225802931414E-2</v>
      </c>
      <c r="BR125" s="716">
        <v>1.3329859464884415E-2</v>
      </c>
      <c r="BS125" s="716">
        <v>1.569738505126907E-2</v>
      </c>
      <c r="BT125" s="716">
        <v>1.8251370645298956E-2</v>
      </c>
      <c r="BW125" s="1166">
        <f>'2022'!R\Max</f>
        <v>0.16948940694257042</v>
      </c>
      <c r="BX125" s="1167">
        <f>'2023'!R\Max</f>
        <v>0.16948266490849279</v>
      </c>
      <c r="BY125" s="1167">
        <f>'2024'!R\Max</f>
        <v>0.16947582799805055</v>
      </c>
      <c r="BZ125" s="1167">
        <f>'2025'!R\Max</f>
        <v>0.16946804827363654</v>
      </c>
      <c r="CA125" s="1167">
        <f>'2026'!R\Max</f>
        <v>0.16946016807345515</v>
      </c>
      <c r="CB125" s="1167">
        <f>'2027'!R\Max</f>
        <v>0.16945128941268428</v>
      </c>
      <c r="CC125" s="1168">
        <f>'2028'!R\Max</f>
        <v>0.16944231021943323</v>
      </c>
      <c r="CD125" s="1167">
        <f>'2029'!R\Max</f>
        <v>0.16948974388398938</v>
      </c>
      <c r="CE125" s="1167">
        <f>'2030'!R\Max</f>
        <v>0.16948300184991175</v>
      </c>
      <c r="CF125" s="1169">
        <f>'2031'!R\Max</f>
        <v>0.16947621679931632</v>
      </c>
    </row>
    <row r="126" spans="1:84" s="6" customFormat="1" ht="11.25" x14ac:dyDescent="0.2">
      <c r="A126" s="11">
        <v>43212</v>
      </c>
      <c r="B126" s="375">
        <f>'2022'!Maxi_hp</f>
        <v>121.53620399370809</v>
      </c>
      <c r="C126" s="13">
        <f>'2022'!An_max</f>
        <v>2022</v>
      </c>
      <c r="D126" s="1045" t="str">
        <f t="shared" si="59"/>
        <v/>
      </c>
      <c r="E126" s="13"/>
      <c r="F126" s="13">
        <f t="shared" si="76"/>
        <v>9</v>
      </c>
      <c r="G126" s="13">
        <f t="shared" si="60"/>
        <v>10</v>
      </c>
      <c r="H126" s="169">
        <f t="shared" si="61"/>
        <v>43206</v>
      </c>
      <c r="I126" s="743">
        <f t="shared" si="62"/>
        <v>0.42857142857142855</v>
      </c>
      <c r="J126" s="736">
        <f t="shared" si="63"/>
        <v>236.29446064574375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38">
        <v>43212</v>
      </c>
      <c r="AP126" s="13">
        <f t="shared" si="64"/>
        <v>5</v>
      </c>
      <c r="AQ126" s="13">
        <f t="shared" si="65"/>
        <v>6</v>
      </c>
      <c r="AR126" s="169">
        <f t="shared" si="66"/>
        <v>43192</v>
      </c>
      <c r="AS126" s="743">
        <f t="shared" si="67"/>
        <v>0.7142857142857143</v>
      </c>
      <c r="AT126" s="759">
        <f t="shared" si="68"/>
        <v>236.06338192096777</v>
      </c>
      <c r="AU126" s="13">
        <f t="shared" si="69"/>
        <v>5</v>
      </c>
      <c r="AV126" s="13">
        <f t="shared" si="70"/>
        <v>6</v>
      </c>
      <c r="AW126" s="169">
        <f t="shared" si="71"/>
        <v>43206</v>
      </c>
      <c r="AX126" s="743">
        <f t="shared" si="72"/>
        <v>0.21428571428571427</v>
      </c>
      <c r="AY126" s="759">
        <f t="shared" si="73"/>
        <v>236.43569160188946</v>
      </c>
      <c r="AZ126" s="736">
        <f t="shared" si="77"/>
        <v>236.2495367614286</v>
      </c>
      <c r="BA126" s="633">
        <f t="shared" si="74"/>
        <v>0.51434216300109126</v>
      </c>
      <c r="BC126" s="11">
        <v>43212</v>
      </c>
      <c r="BD126" s="286">
        <f>[2]!FeuilCaduc*(1-Persistant)+Persistant</f>
        <v>0.65928580643717583</v>
      </c>
      <c r="BE126" s="287">
        <f>[2]!CroissVégét</f>
        <v>0.11658273588973417</v>
      </c>
      <c r="BF126" s="806">
        <f>1+[2]!Salcycl*Ksac</f>
        <v>1.007410725804647</v>
      </c>
      <c r="BH126" s="1036">
        <f t="shared" si="75"/>
        <v>7.697213971540798E-3</v>
      </c>
      <c r="BI126" s="11">
        <v>44308</v>
      </c>
      <c r="BJ126" s="716">
        <v>2.3490673731480136E-3</v>
      </c>
      <c r="BK126" s="716">
        <v>3.1765788512500702E-3</v>
      </c>
      <c r="BL126" s="716">
        <v>4.0883005850143568E-3</v>
      </c>
      <c r="BM126" s="716">
        <v>5.1295284422317846E-3</v>
      </c>
      <c r="BN126" s="716">
        <v>6.3307533426593642E-3</v>
      </c>
      <c r="BO126" s="717">
        <v>7.7116732719599195E-3</v>
      </c>
      <c r="BP126" s="716">
        <v>9.3206470467405208E-3</v>
      </c>
      <c r="BQ126" s="716">
        <v>1.1182839800271299E-2</v>
      </c>
      <c r="BR126" s="716">
        <v>1.3313980532535177E-2</v>
      </c>
      <c r="BS126" s="716">
        <v>1.5714512711922684E-2</v>
      </c>
      <c r="BT126" s="716">
        <v>1.8305515889964371E-2</v>
      </c>
      <c r="BW126" s="1166">
        <f>'2022'!R\Max</f>
        <v>0.51434216300109126</v>
      </c>
      <c r="BX126" s="1167">
        <f>'2023'!R\Max</f>
        <v>0.51432785722274132</v>
      </c>
      <c r="BY126" s="1167">
        <f>'2024'!R\Max</f>
        <v>0.51431333575625693</v>
      </c>
      <c r="BZ126" s="1167">
        <f>'2025'!R\Max</f>
        <v>0.51429677769506721</v>
      </c>
      <c r="CA126" s="1167">
        <f>'2026'!R\Max</f>
        <v>0.51427999043820083</v>
      </c>
      <c r="CB126" s="1167">
        <f>'2027'!R\Max</f>
        <v>0.51426103984871241</v>
      </c>
      <c r="CC126" s="1168">
        <f>'2028'!R\Max</f>
        <v>0.51424185952637502</v>
      </c>
      <c r="CD126" s="1167">
        <f>'2029'!R\Max</f>
        <v>0.51434287794068889</v>
      </c>
      <c r="CE126" s="1167">
        <f>'2030'!R\Max</f>
        <v>0.51432857217989147</v>
      </c>
      <c r="CF126" s="1169">
        <f>'2031'!R\Max</f>
        <v>0.51431416325332124</v>
      </c>
    </row>
    <row r="127" spans="1:84" s="6" customFormat="1" ht="11.25" x14ac:dyDescent="0.2">
      <c r="A127" s="11">
        <v>43213</v>
      </c>
      <c r="B127" s="375">
        <f>'2022'!Maxi_hp</f>
        <v>44.280539977910685</v>
      </c>
      <c r="C127" s="13">
        <f>'2022'!An_max</f>
        <v>2022</v>
      </c>
      <c r="D127" s="1045" t="str">
        <f t="shared" si="59"/>
        <v/>
      </c>
      <c r="E127" s="13"/>
      <c r="F127" s="13">
        <f t="shared" si="76"/>
        <v>9</v>
      </c>
      <c r="G127" s="13">
        <f t="shared" si="60"/>
        <v>10</v>
      </c>
      <c r="H127" s="169">
        <f t="shared" si="61"/>
        <v>43206</v>
      </c>
      <c r="I127" s="743">
        <f t="shared" si="62"/>
        <v>0.5</v>
      </c>
      <c r="J127" s="736">
        <f t="shared" si="63"/>
        <v>236.9375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38">
        <v>43213</v>
      </c>
      <c r="AP127" s="13">
        <f t="shared" si="64"/>
        <v>5</v>
      </c>
      <c r="AQ127" s="13">
        <f t="shared" si="65"/>
        <v>6</v>
      </c>
      <c r="AR127" s="169">
        <f t="shared" si="66"/>
        <v>43192</v>
      </c>
      <c r="AS127" s="743">
        <f t="shared" si="67"/>
        <v>0.75</v>
      </c>
      <c r="AT127" s="759">
        <f t="shared" si="68"/>
        <v>236.73103125020862</v>
      </c>
      <c r="AU127" s="13">
        <f t="shared" si="69"/>
        <v>5</v>
      </c>
      <c r="AV127" s="13">
        <f t="shared" si="70"/>
        <v>6</v>
      </c>
      <c r="AW127" s="169">
        <f t="shared" si="71"/>
        <v>43206</v>
      </c>
      <c r="AX127" s="743">
        <f t="shared" si="72"/>
        <v>0.25</v>
      </c>
      <c r="AY127" s="759">
        <f t="shared" si="73"/>
        <v>237.09098828025162</v>
      </c>
      <c r="AZ127" s="736">
        <f t="shared" si="77"/>
        <v>236.91100976523012</v>
      </c>
      <c r="BA127" s="633">
        <f t="shared" si="74"/>
        <v>0.18688700597377234</v>
      </c>
      <c r="BC127" s="11">
        <v>43213</v>
      </c>
      <c r="BD127" s="286">
        <f>[2]!FeuilCaduc*(1-Persistant)+Persistant</f>
        <v>0.66254307137046731</v>
      </c>
      <c r="BE127" s="287">
        <f>[2]!CroissVégét</f>
        <v>0.12092767389780094</v>
      </c>
      <c r="BF127" s="806">
        <f>1+[2]!Salcycl*Ksac</f>
        <v>1.0078178839213083</v>
      </c>
      <c r="BH127" s="1036">
        <f t="shared" si="75"/>
        <v>7.614629425929012E-3</v>
      </c>
      <c r="BI127" s="11">
        <v>44309</v>
      </c>
      <c r="BJ127" s="716">
        <v>2.2840393084916765E-3</v>
      </c>
      <c r="BK127" s="716">
        <v>3.1077855374557393E-3</v>
      </c>
      <c r="BL127" s="716">
        <v>4.0162754582730867E-3</v>
      </c>
      <c r="BM127" s="716">
        <v>5.0516663166652364E-3</v>
      </c>
      <c r="BN127" s="716">
        <v>6.2492553720437105E-3</v>
      </c>
      <c r="BO127" s="717">
        <v>7.6290772286774612E-3</v>
      </c>
      <c r="BP127" s="716">
        <v>9.244151682279822E-3</v>
      </c>
      <c r="BQ127" s="716">
        <v>1.1119570276310865E-2</v>
      </c>
      <c r="BR127" s="716">
        <v>1.3272220773557754E-2</v>
      </c>
      <c r="BS127" s="716">
        <v>1.5703028307404134E-2</v>
      </c>
      <c r="BT127" s="716">
        <v>1.8328256371749022E-2</v>
      </c>
      <c r="BW127" s="1166">
        <f>'2022'!R\Max</f>
        <v>0.18688700597377234</v>
      </c>
      <c r="BX127" s="1167">
        <f>'2023'!R\Max</f>
        <v>0.1868794688538517</v>
      </c>
      <c r="BY127" s="1167">
        <f>'2024'!R\Max</f>
        <v>0.18687181025550767</v>
      </c>
      <c r="BZ127" s="1167">
        <f>'2025'!R\Max</f>
        <v>0.18686305817920984</v>
      </c>
      <c r="CA127" s="1167">
        <f>'2026'!R\Max</f>
        <v>0.18685417674493984</v>
      </c>
      <c r="CB127" s="1167">
        <f>'2027'!R\Max</f>
        <v>0.18684413090159882</v>
      </c>
      <c r="CC127" s="1168">
        <f>'2028'!R\Max</f>
        <v>0.18683395526901581</v>
      </c>
      <c r="CD127" s="1167">
        <f>'2029'!R\Max</f>
        <v>0.18688738265058114</v>
      </c>
      <c r="CE127" s="1167">
        <f>'2030'!R\Max</f>
        <v>0.18687984553066048</v>
      </c>
      <c r="CF127" s="1169">
        <f>'2031'!R\Max</f>
        <v>0.18687224765125093</v>
      </c>
    </row>
    <row r="128" spans="1:84" s="6" customFormat="1" ht="11.25" x14ac:dyDescent="0.2">
      <c r="A128" s="11">
        <v>43214</v>
      </c>
      <c r="B128" s="375">
        <f>'2022'!Maxi_hp</f>
        <v>119.61303848340329</v>
      </c>
      <c r="C128" s="13">
        <f>'2022'!An_max</f>
        <v>2022</v>
      </c>
      <c r="D128" s="1045" t="str">
        <f t="shared" si="59"/>
        <v/>
      </c>
      <c r="E128" s="13"/>
      <c r="F128" s="13">
        <f t="shared" si="76"/>
        <v>9</v>
      </c>
      <c r="G128" s="13">
        <f t="shared" si="60"/>
        <v>10</v>
      </c>
      <c r="H128" s="169">
        <f t="shared" si="61"/>
        <v>43206</v>
      </c>
      <c r="I128" s="743">
        <f t="shared" si="62"/>
        <v>0.5714285714285714</v>
      </c>
      <c r="J128" s="736">
        <f t="shared" si="63"/>
        <v>237.56268221991405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38">
        <v>43214</v>
      </c>
      <c r="AP128" s="13">
        <f t="shared" si="64"/>
        <v>5</v>
      </c>
      <c r="AQ128" s="13">
        <f t="shared" si="65"/>
        <v>6</v>
      </c>
      <c r="AR128" s="169">
        <f t="shared" si="66"/>
        <v>43192</v>
      </c>
      <c r="AS128" s="743">
        <f t="shared" si="67"/>
        <v>0.7857142857142857</v>
      </c>
      <c r="AT128" s="759">
        <f t="shared" si="68"/>
        <v>237.3835415425045</v>
      </c>
      <c r="AU128" s="13">
        <f t="shared" si="69"/>
        <v>5</v>
      </c>
      <c r="AV128" s="13">
        <f t="shared" si="70"/>
        <v>6</v>
      </c>
      <c r="AW128" s="169">
        <f t="shared" si="71"/>
        <v>43206</v>
      </c>
      <c r="AX128" s="743">
        <f t="shared" si="72"/>
        <v>0.2857142857142857</v>
      </c>
      <c r="AY128" s="759">
        <f t="shared" si="73"/>
        <v>237.72438046378747</v>
      </c>
      <c r="AZ128" s="736">
        <f t="shared" si="77"/>
        <v>237.55396100314599</v>
      </c>
      <c r="BA128" s="633">
        <f t="shared" si="74"/>
        <v>0.5035009596864054</v>
      </c>
      <c r="BC128" s="11">
        <v>43214</v>
      </c>
      <c r="BD128" s="286">
        <f>[2]!FeuilCaduc*(1-Persistant)+Persistant</f>
        <v>0.66591386079386361</v>
      </c>
      <c r="BE128" s="287">
        <f>[2]!CroissVégét</f>
        <v>0.12540967267096395</v>
      </c>
      <c r="BF128" s="806">
        <f>1+[2]!Salcycl*Ksac</f>
        <v>1.0082392325992329</v>
      </c>
      <c r="BH128" s="1036">
        <f t="shared" si="75"/>
        <v>7.5169317115729066E-3</v>
      </c>
      <c r="BI128" s="11">
        <v>44310</v>
      </c>
      <c r="BJ128" s="716">
        <v>2.2127200711117619E-3</v>
      </c>
      <c r="BK128" s="716">
        <v>3.0310518608683942E-3</v>
      </c>
      <c r="BL128" s="716">
        <v>3.9346796492336425E-3</v>
      </c>
      <c r="BM128" s="716">
        <v>4.9627328702121854E-3</v>
      </c>
      <c r="BN128" s="716">
        <v>6.1548787967838263E-3</v>
      </c>
      <c r="BO128" s="717">
        <v>7.5313443714515862E-3</v>
      </c>
      <c r="BP128" s="716">
        <v>9.1495746127577739E-3</v>
      </c>
      <c r="BQ128" s="716">
        <v>1.1034853549319941E-2</v>
      </c>
      <c r="BR128" s="716">
        <v>1.3205204163923998E-2</v>
      </c>
      <c r="BS128" s="716">
        <v>1.566162064136949E-2</v>
      </c>
      <c r="BT128" s="716">
        <v>1.8315700028049785E-2</v>
      </c>
      <c r="BW128" s="1166">
        <f>'2022'!R\Max</f>
        <v>0.5035009596864054</v>
      </c>
      <c r="BX128" s="1167">
        <f>'2023'!R\Max</f>
        <v>0.50348649335004503</v>
      </c>
      <c r="BY128" s="1167">
        <f>'2024'!R\Max</f>
        <v>0.50347177726706527</v>
      </c>
      <c r="BZ128" s="1167">
        <f>'2025'!R\Max</f>
        <v>0.5034549227877968</v>
      </c>
      <c r="CA128" s="1167">
        <f>'2026'!R\Max</f>
        <v>0.50343780159392604</v>
      </c>
      <c r="CB128" s="1167">
        <f>'2027'!R\Max</f>
        <v>0.50341839744736872</v>
      </c>
      <c r="CC128" s="1168">
        <f>'2028'!R\Max</f>
        <v>0.50339872549095688</v>
      </c>
      <c r="CD128" s="1167">
        <f>'2029'!R\Max</f>
        <v>0.50350168265036188</v>
      </c>
      <c r="CE128" s="1167">
        <f>'2030'!R\Max</f>
        <v>0.50348721633102922</v>
      </c>
      <c r="CF128" s="1169">
        <f>'2031'!R\Max</f>
        <v>0.50347261957819667</v>
      </c>
    </row>
    <row r="129" spans="1:84" s="6" customFormat="1" ht="11.25" x14ac:dyDescent="0.2">
      <c r="A129" s="11">
        <v>43215</v>
      </c>
      <c r="B129" s="375">
        <f>'2022'!Maxi_hp</f>
        <v>202.22633446721255</v>
      </c>
      <c r="C129" s="13">
        <f>'2022'!An_max</f>
        <v>2022</v>
      </c>
      <c r="D129" s="1045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69">
        <f t="shared" si="61"/>
        <v>43206</v>
      </c>
      <c r="I129" s="743">
        <f t="shared" si="62"/>
        <v>0.6428571428571429</v>
      </c>
      <c r="J129" s="736">
        <f t="shared" si="63"/>
        <v>238.17110058537551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38">
        <v>43215</v>
      </c>
      <c r="AP129" s="13">
        <f t="shared" si="64"/>
        <v>5</v>
      </c>
      <c r="AQ129" s="13">
        <f t="shared" si="65"/>
        <v>6</v>
      </c>
      <c r="AR129" s="169">
        <f t="shared" si="66"/>
        <v>43192</v>
      </c>
      <c r="AS129" s="743">
        <f t="shared" si="67"/>
        <v>0.8214285714285714</v>
      </c>
      <c r="AT129" s="759">
        <f t="shared" si="68"/>
        <v>238.02125774270721</v>
      </c>
      <c r="AU129" s="13">
        <f t="shared" si="69"/>
        <v>5</v>
      </c>
      <c r="AV129" s="13">
        <f t="shared" si="70"/>
        <v>6</v>
      </c>
      <c r="AW129" s="169">
        <f t="shared" si="71"/>
        <v>43206</v>
      </c>
      <c r="AX129" s="743">
        <f t="shared" si="72"/>
        <v>0.32142857142857145</v>
      </c>
      <c r="AY129" s="759">
        <f t="shared" si="73"/>
        <v>238.33665238964772</v>
      </c>
      <c r="AZ129" s="736">
        <f t="shared" si="77"/>
        <v>238.17895506617748</v>
      </c>
      <c r="BA129" s="633">
        <f t="shared" si="74"/>
        <v>0.84908006878324815</v>
      </c>
      <c r="BC129" s="11">
        <v>43215</v>
      </c>
      <c r="BD129" s="286">
        <f>[2]!FeuilCaduc*(1-Persistant)+Persistant</f>
        <v>0.66939820447918286</v>
      </c>
      <c r="BE129" s="287">
        <f>[2]!CroissVégét</f>
        <v>0.13003135568089563</v>
      </c>
      <c r="BF129" s="806">
        <f>1+[2]!Salcycl*Ksac</f>
        <v>1.0086747755598979</v>
      </c>
      <c r="BH129" s="1036">
        <f t="shared" si="75"/>
        <v>7.4168880057813779E-3</v>
      </c>
      <c r="BI129" s="11">
        <v>44311</v>
      </c>
      <c r="BJ129" s="716">
        <v>2.1425126745642873E-3</v>
      </c>
      <c r="BK129" s="716">
        <v>2.9544473997135516E-3</v>
      </c>
      <c r="BL129" s="716">
        <v>3.8522141937239428E-3</v>
      </c>
      <c r="BM129" s="716">
        <v>4.872431127362774E-3</v>
      </c>
      <c r="BN129" s="716">
        <v>6.0587094795685921E-3</v>
      </c>
      <c r="BO129" s="717">
        <v>7.4312596685415302E-3</v>
      </c>
      <c r="BP129" s="716">
        <v>9.0512665277278515E-3</v>
      </c>
      <c r="BQ129" s="716">
        <v>1.0943938329288418E-2</v>
      </c>
      <c r="BR129" s="716">
        <v>1.312832617369019E-2</v>
      </c>
      <c r="BS129" s="716">
        <v>1.5605072360882322E-2</v>
      </c>
      <c r="BT129" s="716">
        <v>1.8281812898840486E-2</v>
      </c>
      <c r="BW129" s="1166">
        <f>'2022'!R\Max</f>
        <v>0.84908006878324815</v>
      </c>
      <c r="BX129" s="1167">
        <f>'2023'!R\Max</f>
        <v>0.84907262530264938</v>
      </c>
      <c r="BY129" s="1167">
        <f>'2024'!R\Max</f>
        <v>0.84906504466459065</v>
      </c>
      <c r="BZ129" s="1167">
        <f>'2025'!R\Max</f>
        <v>0.84905634719804612</v>
      </c>
      <c r="CA129" s="1167">
        <f>'2026'!R\Max</f>
        <v>0.84904750282903996</v>
      </c>
      <c r="CB129" s="1167">
        <f>'2027'!R\Max</f>
        <v>0.84903746326202256</v>
      </c>
      <c r="CC129" s="1168">
        <f>'2028'!R\Max</f>
        <v>0.84902727623009422</v>
      </c>
      <c r="CD129" s="1167">
        <f>'2029'!R\Max</f>
        <v>0.84908044076786016</v>
      </c>
      <c r="CE129" s="1167">
        <f>'2030'!R\Max</f>
        <v>0.84907299731099029</v>
      </c>
      <c r="CF129" s="1169">
        <f>'2031'!R\Max</f>
        <v>0.84906547931413778</v>
      </c>
    </row>
    <row r="130" spans="1:84" s="6" customFormat="1" ht="11.25" x14ac:dyDescent="0.2">
      <c r="A130" s="11">
        <v>43216</v>
      </c>
      <c r="B130" s="375">
        <f>'2022'!Maxi_hp</f>
        <v>237.65630334663595</v>
      </c>
      <c r="C130" s="13">
        <f>'2022'!An_max</f>
        <v>2022</v>
      </c>
      <c r="D130" s="1045">
        <f t="shared" si="59"/>
        <v>0.99536133691119932</v>
      </c>
      <c r="E130" s="13"/>
      <c r="F130" s="13">
        <f t="shared" si="76"/>
        <v>9</v>
      </c>
      <c r="G130" s="13">
        <f t="shared" si="60"/>
        <v>10</v>
      </c>
      <c r="H130" s="169">
        <f t="shared" si="61"/>
        <v>43206</v>
      </c>
      <c r="I130" s="743">
        <f t="shared" si="62"/>
        <v>0.7142857142857143</v>
      </c>
      <c r="J130" s="736">
        <f t="shared" si="63"/>
        <v>238.76384839713575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38">
        <v>43216</v>
      </c>
      <c r="AP130" s="13">
        <f t="shared" si="64"/>
        <v>5</v>
      </c>
      <c r="AQ130" s="13">
        <f t="shared" si="65"/>
        <v>6</v>
      </c>
      <c r="AR130" s="169">
        <f t="shared" si="66"/>
        <v>43192</v>
      </c>
      <c r="AS130" s="743">
        <f t="shared" si="67"/>
        <v>0.8571428571428571</v>
      </c>
      <c r="AT130" s="759">
        <f t="shared" si="68"/>
        <v>238.64452477736131</v>
      </c>
      <c r="AU130" s="13">
        <f t="shared" si="69"/>
        <v>5</v>
      </c>
      <c r="AV130" s="13">
        <f t="shared" si="70"/>
        <v>6</v>
      </c>
      <c r="AW130" s="169">
        <f t="shared" si="71"/>
        <v>43206</v>
      </c>
      <c r="AX130" s="743">
        <f t="shared" si="72"/>
        <v>0.35714285714285715</v>
      </c>
      <c r="AY130" s="759">
        <f t="shared" si="73"/>
        <v>238.92858828210402</v>
      </c>
      <c r="AZ130" s="736">
        <f t="shared" si="77"/>
        <v>238.78655652973265</v>
      </c>
      <c r="BA130" s="633">
        <f t="shared" si="74"/>
        <v>0.99536133691119932</v>
      </c>
      <c r="BC130" s="11">
        <v>43216</v>
      </c>
      <c r="BD130" s="286">
        <f>[2]!FeuilCaduc*(1-Persistant)+Persistant</f>
        <v>0.67299593732628415</v>
      </c>
      <c r="BE130" s="287">
        <f>[2]!CroissVégét</f>
        <v>0.13479526923661356</v>
      </c>
      <c r="BF130" s="806">
        <f>1+[2]!Salcycl*Ksac</f>
        <v>1.0091244921657856</v>
      </c>
      <c r="BH130" s="1036">
        <f t="shared" si="75"/>
        <v>7.3144994516837541E-3</v>
      </c>
      <c r="BI130" s="11">
        <v>44312</v>
      </c>
      <c r="BJ130" s="716">
        <v>2.0734170113206885E-3</v>
      </c>
      <c r="BK130" s="716">
        <v>2.8779725046082717E-3</v>
      </c>
      <c r="BL130" s="716">
        <v>3.7688798862701624E-3</v>
      </c>
      <c r="BM130" s="716">
        <v>4.7807620591757034E-3</v>
      </c>
      <c r="BN130" s="716">
        <v>5.9607484716688863E-3</v>
      </c>
      <c r="BO130" s="717">
        <v>7.3288242640486279E-3</v>
      </c>
      <c r="BP130" s="716">
        <v>8.9492289868517098E-3</v>
      </c>
      <c r="BQ130" s="716">
        <v>1.0846827054913461E-2</v>
      </c>
      <c r="BR130" s="716">
        <v>1.3041590625081581E-2</v>
      </c>
      <c r="BS130" s="716">
        <v>1.5533389407345131E-2</v>
      </c>
      <c r="BT130" s="716">
        <v>1.8226603468149041E-2</v>
      </c>
      <c r="BW130" s="1166">
        <f>'2022'!R\Max</f>
        <v>0.99536133691119932</v>
      </c>
      <c r="BX130" s="1167">
        <f>'2023'!R\Max</f>
        <v>0.99536106787343248</v>
      </c>
      <c r="BY130" s="1167">
        <f>'2024'!R\Max</f>
        <v>0.99536079357337359</v>
      </c>
      <c r="BZ130" s="1167">
        <f>'2025'!R\Max</f>
        <v>0.99536047845910902</v>
      </c>
      <c r="CA130" s="1167">
        <f>'2026'!R\Max</f>
        <v>0.99536015769580233</v>
      </c>
      <c r="CB130" s="1167">
        <f>'2027'!R\Max</f>
        <v>0.99535979316185563</v>
      </c>
      <c r="CC130" s="1168">
        <f>'2028'!R\Max</f>
        <v>0.99535942296999047</v>
      </c>
      <c r="CD130" s="1167">
        <f>'2029'!R\Max</f>
        <v>0.99536135035611972</v>
      </c>
      <c r="CE130" s="1167">
        <f>'2030'!R\Max</f>
        <v>0.99536108131944212</v>
      </c>
      <c r="CF130" s="1169">
        <f>'2031'!R\Max</f>
        <v>0.99536080932081106</v>
      </c>
    </row>
    <row r="131" spans="1:84" s="6" customFormat="1" ht="11.25" x14ac:dyDescent="0.2">
      <c r="A131" s="11">
        <v>43217</v>
      </c>
      <c r="B131" s="375">
        <f>'2022'!Maxi_hp</f>
        <v>169.3124393699353</v>
      </c>
      <c r="C131" s="13">
        <f>'2022'!An_max</f>
        <v>2022</v>
      </c>
      <c r="D131" s="1045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69">
        <f t="shared" si="61"/>
        <v>43206</v>
      </c>
      <c r="I131" s="743">
        <f t="shared" si="62"/>
        <v>0.7857142857142857</v>
      </c>
      <c r="J131" s="736">
        <f t="shared" si="63"/>
        <v>239.34201895424297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38">
        <v>43217</v>
      </c>
      <c r="AP131" s="13">
        <f t="shared" si="64"/>
        <v>5</v>
      </c>
      <c r="AQ131" s="13">
        <f t="shared" si="65"/>
        <v>6</v>
      </c>
      <c r="AR131" s="169">
        <f t="shared" si="66"/>
        <v>43192</v>
      </c>
      <c r="AS131" s="743">
        <f t="shared" si="67"/>
        <v>0.8928571428571429</v>
      </c>
      <c r="AT131" s="759">
        <f t="shared" si="68"/>
        <v>239.25368759078637</v>
      </c>
      <c r="AU131" s="13">
        <f t="shared" si="69"/>
        <v>5</v>
      </c>
      <c r="AV131" s="13">
        <f t="shared" si="70"/>
        <v>6</v>
      </c>
      <c r="AW131" s="169">
        <f t="shared" si="71"/>
        <v>43206</v>
      </c>
      <c r="AX131" s="743">
        <f t="shared" si="72"/>
        <v>0.39285714285714285</v>
      </c>
      <c r="AY131" s="759">
        <f t="shared" si="73"/>
        <v>239.50097238272429</v>
      </c>
      <c r="AZ131" s="736">
        <f t="shared" si="77"/>
        <v>239.37732998675534</v>
      </c>
      <c r="BA131" s="633">
        <f t="shared" si="74"/>
        <v>0.70740791821558169</v>
      </c>
      <c r="BC131" s="11">
        <v>43217</v>
      </c>
      <c r="BD131" s="286">
        <f>[2]!FeuilCaduc*(1-Persistant)+Persistant</f>
        <v>0.67670669209087531</v>
      </c>
      <c r="BE131" s="287">
        <f>[2]!CroissVégét</f>
        <v>0.13970387121088346</v>
      </c>
      <c r="BF131" s="806">
        <f>1+[2]!Salcycl*Ksac</f>
        <v>1.0095883365113594</v>
      </c>
      <c r="BH131" s="1036">
        <f t="shared" si="75"/>
        <v>7.2097673264803902E-3</v>
      </c>
      <c r="BI131" s="11">
        <v>44313</v>
      </c>
      <c r="BJ131" s="716">
        <v>2.0054329964078878E-3</v>
      </c>
      <c r="BK131" s="716">
        <v>2.8016275790353484E-3</v>
      </c>
      <c r="BL131" s="716">
        <v>3.6846776045801454E-3</v>
      </c>
      <c r="BM131" s="716">
        <v>4.6877267385373716E-3</v>
      </c>
      <c r="BN131" s="716">
        <v>5.8609969413795406E-3</v>
      </c>
      <c r="BO131" s="717">
        <v>7.2240394363256265E-3</v>
      </c>
      <c r="BP131" s="716">
        <v>8.8434637184668322E-3</v>
      </c>
      <c r="BQ131" s="716">
        <v>1.0743522392269387E-2</v>
      </c>
      <c r="BR131" s="716">
        <v>1.2945001652716255E-2</v>
      </c>
      <c r="BS131" s="716">
        <v>1.5446578157176283E-2</v>
      </c>
      <c r="BT131" s="716">
        <v>1.8150080799731922E-2</v>
      </c>
      <c r="BW131" s="1166">
        <f>'2022'!R\Max</f>
        <v>0.70740791821558169</v>
      </c>
      <c r="BX131" s="1167">
        <f>'2023'!R\Max</f>
        <v>0.7073958278418887</v>
      </c>
      <c r="BY131" s="1167">
        <f>'2024'!R\Max</f>
        <v>0.70738348804779583</v>
      </c>
      <c r="BZ131" s="1167">
        <f>'2025'!R\Max</f>
        <v>0.70736930107787943</v>
      </c>
      <c r="CA131" s="1167">
        <f>'2026'!R\Max</f>
        <v>0.70735484600968668</v>
      </c>
      <c r="CB131" s="1167">
        <f>'2027'!R\Max</f>
        <v>0.70733840652789703</v>
      </c>
      <c r="CC131" s="1168">
        <f>'2028'!R\Max</f>
        <v>0.70732169981585324</v>
      </c>
      <c r="CD131" s="1167">
        <f>'2029'!R\Max</f>
        <v>0.70740852243173236</v>
      </c>
      <c r="CE131" s="1167">
        <f>'2030'!R\Max</f>
        <v>0.70739643208679837</v>
      </c>
      <c r="CF131" s="1169">
        <f>'2031'!R\Max</f>
        <v>0.70738419703822453</v>
      </c>
    </row>
    <row r="132" spans="1:84" s="6" customFormat="1" ht="11.25" x14ac:dyDescent="0.2">
      <c r="A132" s="11">
        <v>43218</v>
      </c>
      <c r="B132" s="375">
        <f>'2022'!Maxi_hp</f>
        <v>98.617481089900508</v>
      </c>
      <c r="C132" s="13">
        <f>'2022'!An_max</f>
        <v>2022</v>
      </c>
      <c r="D132" s="1045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69">
        <f t="shared" si="61"/>
        <v>43206</v>
      </c>
      <c r="I132" s="743">
        <f t="shared" si="62"/>
        <v>0.8571428571428571</v>
      </c>
      <c r="J132" s="736">
        <f t="shared" si="63"/>
        <v>239.9067055412701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38">
        <v>43218</v>
      </c>
      <c r="AP132" s="13">
        <f t="shared" si="64"/>
        <v>5</v>
      </c>
      <c r="AQ132" s="13">
        <f t="shared" si="65"/>
        <v>6</v>
      </c>
      <c r="AR132" s="169">
        <f t="shared" si="66"/>
        <v>43192</v>
      </c>
      <c r="AS132" s="743">
        <f t="shared" si="67"/>
        <v>0.9285714285714286</v>
      </c>
      <c r="AT132" s="759">
        <f t="shared" si="68"/>
        <v>239.84909110260861</v>
      </c>
      <c r="AU132" s="13">
        <f t="shared" si="69"/>
        <v>5</v>
      </c>
      <c r="AV132" s="13">
        <f t="shared" si="70"/>
        <v>6</v>
      </c>
      <c r="AW132" s="169">
        <f t="shared" si="71"/>
        <v>43206</v>
      </c>
      <c r="AX132" s="743">
        <f t="shared" si="72"/>
        <v>0.42857142857142855</v>
      </c>
      <c r="AY132" s="759">
        <f t="shared" si="73"/>
        <v>240.05458892009088</v>
      </c>
      <c r="AZ132" s="736">
        <f t="shared" si="77"/>
        <v>239.95184001134976</v>
      </c>
      <c r="BA132" s="633">
        <f t="shared" si="74"/>
        <v>0.41106596361032427</v>
      </c>
      <c r="BC132" s="11">
        <v>43218</v>
      </c>
      <c r="BD132" s="286">
        <f>[2]!FeuilCaduc*(1-Persistant)+Persistant</f>
        <v>0.68052989211860793</v>
      </c>
      <c r="BE132" s="287">
        <f>[2]!CroissVégét</f>
        <v>0.14475951929663808</v>
      </c>
      <c r="BF132" s="806">
        <f>1+[2]!Salcycl*Ksac</f>
        <v>1.0100662365148261</v>
      </c>
      <c r="BH132" s="1036">
        <f t="shared" si="75"/>
        <v>7.1026930458034385E-3</v>
      </c>
      <c r="BI132" s="11">
        <v>44314</v>
      </c>
      <c r="BJ132" s="716">
        <v>1.938560565408784E-3</v>
      </c>
      <c r="BK132" s="716">
        <v>2.7254130791509279E-3</v>
      </c>
      <c r="BL132" s="716">
        <v>3.5996083111875066E-3</v>
      </c>
      <c r="BM132" s="716">
        <v>4.5933263427250758E-3</v>
      </c>
      <c r="BN132" s="716">
        <v>5.7594561773638558E-3</v>
      </c>
      <c r="BO132" s="717">
        <v>7.1169066023482079E-3</v>
      </c>
      <c r="BP132" s="716">
        <v>8.733972626486796E-3</v>
      </c>
      <c r="BQ132" s="716">
        <v>1.0634027246230944E-2</v>
      </c>
      <c r="BR132" s="716">
        <v>1.2838563721741655E-2</v>
      </c>
      <c r="BS132" s="716">
        <v>1.5344645449623169E-2</v>
      </c>
      <c r="BT132" s="716">
        <v>1.8052254576234748E-2</v>
      </c>
      <c r="BW132" s="1166">
        <f>'2022'!R\Max</f>
        <v>0.41106596361032427</v>
      </c>
      <c r="BX132" s="1167">
        <f>'2023'!R\Max</f>
        <v>0.41105179692145111</v>
      </c>
      <c r="BY132" s="1167">
        <f>'2024'!R\Max</f>
        <v>0.41103732307503427</v>
      </c>
      <c r="BZ132" s="1167">
        <f>'2025'!R\Max</f>
        <v>0.41102067674133697</v>
      </c>
      <c r="CA132" s="1167">
        <f>'2026'!R\Max</f>
        <v>0.41100369985570351</v>
      </c>
      <c r="CB132" s="1167">
        <f>'2027'!R\Max</f>
        <v>0.41098438534414811</v>
      </c>
      <c r="CC132" s="1168">
        <f>'2028'!R\Max</f>
        <v>0.41096474336733396</v>
      </c>
      <c r="CD132" s="1167">
        <f>'2029'!R\Max</f>
        <v>0.41106667160313781</v>
      </c>
      <c r="CE132" s="1167">
        <f>'2030'!R\Max</f>
        <v>0.41105250492346779</v>
      </c>
      <c r="CF132" s="1169">
        <f>'2031'!R\Max</f>
        <v>0.41103815498929891</v>
      </c>
    </row>
    <row r="133" spans="1:84" s="6" customFormat="1" ht="11.25" x14ac:dyDescent="0.2">
      <c r="A133" s="11">
        <v>43219</v>
      </c>
      <c r="B133" s="375">
        <f>'2022'!Maxi_hp</f>
        <v>182.25932645810221</v>
      </c>
      <c r="C133" s="13">
        <f>'2022'!An_max</f>
        <v>2022</v>
      </c>
      <c r="D133" s="1045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69">
        <f t="shared" si="61"/>
        <v>43206</v>
      </c>
      <c r="I133" s="743">
        <f t="shared" si="62"/>
        <v>0.9285714285714286</v>
      </c>
      <c r="J133" s="736">
        <f t="shared" si="63"/>
        <v>240.45900145513673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38">
        <v>43219</v>
      </c>
      <c r="AP133" s="13">
        <f t="shared" si="64"/>
        <v>5</v>
      </c>
      <c r="AQ133" s="13">
        <f t="shared" si="65"/>
        <v>6</v>
      </c>
      <c r="AR133" s="169">
        <f t="shared" si="66"/>
        <v>43192</v>
      </c>
      <c r="AS133" s="743">
        <f t="shared" si="67"/>
        <v>0.9642857142857143</v>
      </c>
      <c r="AT133" s="759">
        <f t="shared" si="68"/>
        <v>240.43108026246938</v>
      </c>
      <c r="AU133" s="13">
        <f t="shared" si="69"/>
        <v>5</v>
      </c>
      <c r="AV133" s="13">
        <f t="shared" si="70"/>
        <v>6</v>
      </c>
      <c r="AW133" s="169">
        <f t="shared" si="71"/>
        <v>43206</v>
      </c>
      <c r="AX133" s="743">
        <f t="shared" si="72"/>
        <v>0.4642857142857143</v>
      </c>
      <c r="AY133" s="759">
        <f t="shared" si="73"/>
        <v>240.59022213225916</v>
      </c>
      <c r="AZ133" s="736">
        <f t="shared" si="77"/>
        <v>240.51065119736427</v>
      </c>
      <c r="BA133" s="633">
        <f t="shared" si="74"/>
        <v>0.75796424902025128</v>
      </c>
      <c r="BC133" s="11">
        <v>43219</v>
      </c>
      <c r="BD133" s="286">
        <f>[2]!FeuilCaduc*(1-Persistant)+Persistant</f>
        <v>0.68446474414919523</v>
      </c>
      <c r="BE133" s="287">
        <f>[2]!CroissVégét</f>
        <v>0.14996445881890225</v>
      </c>
      <c r="BF133" s="806">
        <f>1+[2]!Salcycl*Ksac</f>
        <v>1.0105580930186495</v>
      </c>
      <c r="BH133" s="1036">
        <f t="shared" si="75"/>
        <v>6.9932781680141836E-3</v>
      </c>
      <c r="BI133" s="11">
        <v>44315</v>
      </c>
      <c r="BJ133" s="716">
        <v>1.8727996724443024E-3</v>
      </c>
      <c r="BK133" s="716">
        <v>2.6493295135667804E-3</v>
      </c>
      <c r="BL133" s="716">
        <v>3.5136730550627132E-3</v>
      </c>
      <c r="BM133" s="716">
        <v>4.4975621559284742E-3</v>
      </c>
      <c r="BN133" s="716">
        <v>5.6561275919462493E-3</v>
      </c>
      <c r="BO133" s="717">
        <v>7.0074273220229561E-3</v>
      </c>
      <c r="BP133" s="716">
        <v>8.620757797224184E-3</v>
      </c>
      <c r="BQ133" s="716">
        <v>1.0518344771803141E-2</v>
      </c>
      <c r="BR133" s="716">
        <v>1.272228164585907E-2</v>
      </c>
      <c r="BS133" s="716">
        <v>1.5227598614442285E-2</v>
      </c>
      <c r="BT133" s="716">
        <v>1.7933135138197099E-2</v>
      </c>
      <c r="BW133" s="1166">
        <f>'2022'!R\Max</f>
        <v>0.75796424902025128</v>
      </c>
      <c r="BX133" s="1167">
        <f>'2023'!R\Max</f>
        <v>0.75795350100884495</v>
      </c>
      <c r="BY133" s="1167">
        <f>'2024'!R\Max</f>
        <v>0.7579425080684612</v>
      </c>
      <c r="BZ133" s="1167">
        <f>'2025'!R\Max</f>
        <v>0.75792986490755354</v>
      </c>
      <c r="CA133" s="1167">
        <f>'2026'!R\Max</f>
        <v>0.75791695757152944</v>
      </c>
      <c r="CB133" s="1167">
        <f>'2027'!R\Max</f>
        <v>0.7579022713276482</v>
      </c>
      <c r="CC133" s="1168">
        <f>'2028'!R\Max</f>
        <v>0.75788732486490795</v>
      </c>
      <c r="CD133" s="1167">
        <f>'2029'!R\Max</f>
        <v>0.75796478615016682</v>
      </c>
      <c r="CE133" s="1167">
        <f>'2030'!R\Max</f>
        <v>0.75795403816758389</v>
      </c>
      <c r="CF133" s="1169">
        <f>'2031'!R\Max</f>
        <v>0.75794313990499085</v>
      </c>
    </row>
    <row r="134" spans="1:84" s="6" customFormat="1" ht="11.25" x14ac:dyDescent="0.2">
      <c r="A134" s="11">
        <v>43220</v>
      </c>
      <c r="B134" s="375">
        <f>'2022'!Maxi_hp</f>
        <v>170.67072459569192</v>
      </c>
      <c r="C134" s="13">
        <f>'2022'!An_max</f>
        <v>2022</v>
      </c>
      <c r="D134" s="1045" t="str">
        <f t="shared" si="59"/>
        <v/>
      </c>
      <c r="E134" s="1040">
        <f>V$13/10</f>
        <v>241</v>
      </c>
      <c r="F134" s="13">
        <f t="shared" si="76"/>
        <v>11</v>
      </c>
      <c r="G134" s="13">
        <f t="shared" si="60"/>
        <v>10</v>
      </c>
      <c r="H134" s="169">
        <f t="shared" si="61"/>
        <v>43234</v>
      </c>
      <c r="I134" s="743">
        <f t="shared" si="62"/>
        <v>1</v>
      </c>
      <c r="J134" s="736">
        <f t="shared" si="63"/>
        <v>241.00000000298024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38">
        <v>43220</v>
      </c>
      <c r="AP134" s="13">
        <f t="shared" si="64"/>
        <v>7</v>
      </c>
      <c r="AQ134" s="13">
        <f t="shared" si="65"/>
        <v>6</v>
      </c>
      <c r="AR134" s="169">
        <f t="shared" si="66"/>
        <v>43248</v>
      </c>
      <c r="AS134" s="743">
        <f t="shared" si="67"/>
        <v>1</v>
      </c>
      <c r="AT134" s="759">
        <f t="shared" si="68"/>
        <v>240.99999999403954</v>
      </c>
      <c r="AU134" s="13">
        <f t="shared" si="69"/>
        <v>5</v>
      </c>
      <c r="AV134" s="13">
        <f t="shared" si="70"/>
        <v>6</v>
      </c>
      <c r="AW134" s="169">
        <f t="shared" si="71"/>
        <v>43206</v>
      </c>
      <c r="AX134" s="743">
        <f t="shared" si="72"/>
        <v>0.5</v>
      </c>
      <c r="AY134" s="759">
        <f t="shared" si="73"/>
        <v>241.10865624919535</v>
      </c>
      <c r="AZ134" s="736">
        <f t="shared" si="77"/>
        <v>241.05432812161746</v>
      </c>
      <c r="BA134" s="633">
        <f t="shared" si="74"/>
        <v>0.70817728047129203</v>
      </c>
      <c r="BC134" s="11">
        <v>43220</v>
      </c>
      <c r="BD134" s="286">
        <f>[2]!FeuilCaduc*(1-Persistant)+Persistant</f>
        <v>0.68851023126092314</v>
      </c>
      <c r="BE134" s="287">
        <f>[2]!CroissVégét</f>
        <v>0.1553208101334605</v>
      </c>
      <c r="BF134" s="806">
        <f>1+[2]!Salcycl*Ksac</f>
        <v>1.0110637789076153</v>
      </c>
      <c r="BH134" s="1036">
        <f t="shared" si="75"/>
        <v>6.8815243985184188E-3</v>
      </c>
      <c r="BI134" s="11">
        <v>44316</v>
      </c>
      <c r="BJ134" s="716">
        <v>1.8081502881607467E-3</v>
      </c>
      <c r="BK134" s="716">
        <v>2.573377443139829E-3</v>
      </c>
      <c r="BL134" s="716">
        <v>3.4268729732336053E-3</v>
      </c>
      <c r="BM134" s="716">
        <v>4.4004355717829511E-3</v>
      </c>
      <c r="BN134" s="716">
        <v>5.5510127244196754E-3</v>
      </c>
      <c r="BO134" s="717">
        <v>6.895603302513399E-3</v>
      </c>
      <c r="BP134" s="716">
        <v>8.5038215062354667E-3</v>
      </c>
      <c r="BQ134" s="716">
        <v>1.0396478385477565E-2</v>
      </c>
      <c r="BR134" s="716">
        <v>1.2596160605379896E-2</v>
      </c>
      <c r="BS134" s="716">
        <v>1.5095445499616993E-2</v>
      </c>
      <c r="BT134" s="716">
        <v>1.7792733523101349E-2</v>
      </c>
      <c r="BW134" s="1166">
        <f>'2022'!R\Max</f>
        <v>0.70817728047129203</v>
      </c>
      <c r="BX134" s="1167">
        <f>'2023'!R\Max</f>
        <v>0.70816516710895905</v>
      </c>
      <c r="BY134" s="1167">
        <f>'2024'!R\Max</f>
        <v>0.70815276524745874</v>
      </c>
      <c r="BZ134" s="1167">
        <f>'2025'!R\Max</f>
        <v>0.70813850800562017</v>
      </c>
      <c r="CA134" s="1167">
        <f>'2026'!R\Max</f>
        <v>0.70812393914358962</v>
      </c>
      <c r="CB134" s="1167">
        <f>'2027'!R\Max</f>
        <v>0.70810736714045985</v>
      </c>
      <c r="CC134" s="1168">
        <f>'2028'!R\Max</f>
        <v>0.70809049071026819</v>
      </c>
      <c r="CD134" s="1167">
        <f>'2029'!R\Max</f>
        <v>0.70817788583621899</v>
      </c>
      <c r="CE134" s="1167">
        <f>'2030'!R\Max</f>
        <v>0.70816577250285295</v>
      </c>
      <c r="CF134" s="1169">
        <f>'2031'!R\Max</f>
        <v>0.70815347774953419</v>
      </c>
    </row>
    <row r="135" spans="1:84" s="6" customFormat="1" ht="11.25" x14ac:dyDescent="0.2">
      <c r="A135" s="11">
        <v>43221</v>
      </c>
      <c r="B135" s="375">
        <f>'2022'!Maxi_hp</f>
        <v>203.17769484479672</v>
      </c>
      <c r="C135" s="13">
        <f>'2022'!An_max</f>
        <v>2022</v>
      </c>
      <c r="D135" s="1045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69">
        <f t="shared" si="61"/>
        <v>43234</v>
      </c>
      <c r="I135" s="743">
        <f t="shared" si="62"/>
        <v>0.9285714285714286</v>
      </c>
      <c r="J135" s="736">
        <f t="shared" si="63"/>
        <v>241.52687682349764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38">
        <v>43221</v>
      </c>
      <c r="AP135" s="13">
        <f t="shared" si="64"/>
        <v>7</v>
      </c>
      <c r="AQ135" s="13">
        <f t="shared" si="65"/>
        <v>6</v>
      </c>
      <c r="AR135" s="169">
        <f t="shared" si="66"/>
        <v>43248</v>
      </c>
      <c r="AS135" s="743">
        <f t="shared" si="67"/>
        <v>0.9642857142857143</v>
      </c>
      <c r="AT135" s="759">
        <f t="shared" si="68"/>
        <v>241.55237563433394</v>
      </c>
      <c r="AU135" s="13">
        <f t="shared" si="69"/>
        <v>5</v>
      </c>
      <c r="AV135" s="13">
        <f t="shared" si="70"/>
        <v>6</v>
      </c>
      <c r="AW135" s="169">
        <f t="shared" si="71"/>
        <v>43206</v>
      </c>
      <c r="AX135" s="743">
        <f t="shared" si="72"/>
        <v>0.5357142857142857</v>
      </c>
      <c r="AY135" s="759">
        <f t="shared" si="73"/>
        <v>241.61067550645345</v>
      </c>
      <c r="AZ135" s="736">
        <f t="shared" si="77"/>
        <v>241.58152557039369</v>
      </c>
      <c r="BA135" s="633">
        <f t="shared" si="74"/>
        <v>0.84122188601508874</v>
      </c>
      <c r="BC135" s="11">
        <v>43221</v>
      </c>
      <c r="BD135" s="286">
        <f>[2]!FeuilCaduc*(1-Persistant)+Persistant</f>
        <v>0.69266510603190956</v>
      </c>
      <c r="BE135" s="287">
        <f>[2]!CroissVégét</f>
        <v>0.16083055564958049</v>
      </c>
      <c r="BF135" s="806">
        <f>1+[2]!Salcycl*Ksac</f>
        <v>1.0115831382539886</v>
      </c>
      <c r="BH135" s="1036">
        <f t="shared" si="75"/>
        <v>6.7674335940726589E-3</v>
      </c>
      <c r="BI135" s="11">
        <v>44317</v>
      </c>
      <c r="BJ135" s="716">
        <v>1.7446123977147784E-3</v>
      </c>
      <c r="BK135" s="716">
        <v>2.4975574807582879E-3</v>
      </c>
      <c r="BL135" s="716">
        <v>3.3392092924013871E-3</v>
      </c>
      <c r="BM135" s="716">
        <v>4.3019480958971521E-3</v>
      </c>
      <c r="BN135" s="716">
        <v>5.4441132443456717E-3</v>
      </c>
      <c r="BO135" s="717">
        <v>6.7814364025568681E-3</v>
      </c>
      <c r="BP135" s="716">
        <v>8.3831662251545314E-3</v>
      </c>
      <c r="BQ135" s="716">
        <v>1.026843177657483E-2</v>
      </c>
      <c r="BR135" s="716">
        <v>1.2460206165265024E-2</v>
      </c>
      <c r="BS135" s="716">
        <v>1.494819449905505E-2</v>
      </c>
      <c r="BT135" s="716">
        <v>1.7631061504397718E-2</v>
      </c>
      <c r="BW135" s="1166">
        <f>'2022'!R\Max</f>
        <v>0.84122188601508874</v>
      </c>
      <c r="BX135" s="1167">
        <f>'2023'!R\Max</f>
        <v>0.84121405862395038</v>
      </c>
      <c r="BY135" s="1167">
        <f>'2024'!R\Max</f>
        <v>0.84120603688889661</v>
      </c>
      <c r="BZ135" s="1167">
        <f>'2025'!R\Max</f>
        <v>0.8411968226699813</v>
      </c>
      <c r="CA135" s="1167">
        <f>'2026'!R\Max</f>
        <v>0.84118739817825183</v>
      </c>
      <c r="CB135" s="1167">
        <f>'2027'!R\Max</f>
        <v>0.8411766842169548</v>
      </c>
      <c r="CC135" s="1168">
        <f>'2028'!R\Max</f>
        <v>0.84116576674509258</v>
      </c>
      <c r="CD135" s="1167">
        <f>'2029'!R\Max</f>
        <v>0.84122227718553078</v>
      </c>
      <c r="CE135" s="1167">
        <f>'2030'!R\Max</f>
        <v>0.84121444981920612</v>
      </c>
      <c r="CF135" s="1169">
        <f>'2031'!R\Max</f>
        <v>0.84120649736273323</v>
      </c>
    </row>
    <row r="136" spans="1:84" s="6" customFormat="1" ht="11.25" x14ac:dyDescent="0.2">
      <c r="A136" s="11">
        <v>43222</v>
      </c>
      <c r="B136" s="375">
        <f>'2022'!Maxi_hp</f>
        <v>120.56695071205655</v>
      </c>
      <c r="C136" s="13">
        <f>'2022'!An_max</f>
        <v>2022</v>
      </c>
      <c r="D136" s="1045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69">
        <f t="shared" si="61"/>
        <v>43234</v>
      </c>
      <c r="I136" s="743">
        <f t="shared" si="62"/>
        <v>0.8571428571428571</v>
      </c>
      <c r="J136" s="736">
        <f t="shared" si="63"/>
        <v>242.03644314706327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38">
        <v>43222</v>
      </c>
      <c r="AP136" s="13">
        <f t="shared" si="64"/>
        <v>7</v>
      </c>
      <c r="AQ136" s="13">
        <f t="shared" si="65"/>
        <v>6</v>
      </c>
      <c r="AR136" s="169">
        <f t="shared" si="66"/>
        <v>43248</v>
      </c>
      <c r="AS136" s="743">
        <f t="shared" si="67"/>
        <v>0.9285714285714286</v>
      </c>
      <c r="AT136" s="759">
        <f t="shared" si="68"/>
        <v>242.08482142346247</v>
      </c>
      <c r="AU136" s="13">
        <f t="shared" si="69"/>
        <v>5</v>
      </c>
      <c r="AV136" s="13">
        <f t="shared" si="70"/>
        <v>6</v>
      </c>
      <c r="AW136" s="169">
        <f t="shared" si="71"/>
        <v>43206</v>
      </c>
      <c r="AX136" s="743">
        <f t="shared" si="72"/>
        <v>0.5714285714285714</v>
      </c>
      <c r="AY136" s="759">
        <f t="shared" si="73"/>
        <v>242.09706413958756</v>
      </c>
      <c r="AZ136" s="736">
        <f t="shared" si="77"/>
        <v>242.09094278152503</v>
      </c>
      <c r="BA136" s="633">
        <f t="shared" si="74"/>
        <v>0.49813552514816589</v>
      </c>
      <c r="BC136" s="11">
        <v>43222</v>
      </c>
      <c r="BD136" s="286">
        <f>[2]!FeuilCaduc*(1-Persistant)+Persistant</f>
        <v>0.69692788399970962</v>
      </c>
      <c r="BE136" s="287">
        <f>[2]!CroissVégét</f>
        <v>0.16649552652045066</v>
      </c>
      <c r="BF136" s="806">
        <f>1+[2]!Salcycl*Ksac</f>
        <v>1.0121159854999637</v>
      </c>
      <c r="BH136" s="1036">
        <f t="shared" si="75"/>
        <v>6.6494346911231917E-3</v>
      </c>
      <c r="BI136" s="11">
        <v>44318</v>
      </c>
      <c r="BJ136" s="716">
        <v>1.6803331286509573E-3</v>
      </c>
      <c r="BK136" s="716">
        <v>2.4201543351319963E-3</v>
      </c>
      <c r="BL136" s="716">
        <v>3.2489085500467976E-3</v>
      </c>
      <c r="BM136" s="716">
        <v>4.2001821965281898E-3</v>
      </c>
      <c r="BN136" s="716">
        <v>5.3337907620741457E-3</v>
      </c>
      <c r="BO136" s="717">
        <v>6.6633562710155343E-3</v>
      </c>
      <c r="BP136" s="716">
        <v>8.2570426797089341E-3</v>
      </c>
      <c r="BQ136" s="716">
        <v>1.0131837566897285E-2</v>
      </c>
      <c r="BR136" s="716">
        <v>1.2311966118964082E-2</v>
      </c>
      <c r="BS136" s="716">
        <v>1.4783746072308644E-2</v>
      </c>
      <c r="BT136" s="716">
        <v>1.7446720767548451E-2</v>
      </c>
      <c r="BW136" s="1166">
        <f>'2022'!R\Max</f>
        <v>0.49813552514816589</v>
      </c>
      <c r="BX136" s="1167">
        <f>'2023'!R\Max</f>
        <v>0.49812088976947017</v>
      </c>
      <c r="BY136" s="1167">
        <f>'2024'!R\Max</f>
        <v>0.4981058782886873</v>
      </c>
      <c r="BZ136" s="1167">
        <f>'2025'!R\Max</f>
        <v>0.49808866054835832</v>
      </c>
      <c r="CA136" s="1167">
        <f>'2026'!R\Max</f>
        <v>0.49807103417167681</v>
      </c>
      <c r="CB136" s="1167">
        <f>'2027'!R\Max</f>
        <v>0.49805101115784378</v>
      </c>
      <c r="CC136" s="1168">
        <f>'2028'!R\Max</f>
        <v>0.49803059760820256</v>
      </c>
      <c r="CD136" s="1167">
        <f>'2029'!R\Max</f>
        <v>0.49813625656025173</v>
      </c>
      <c r="CE136" s="1167">
        <f>'2030'!R\Max</f>
        <v>0.49812162119852404</v>
      </c>
      <c r="CF136" s="1169">
        <f>'2031'!R\Max</f>
        <v>0.49810673875404099</v>
      </c>
    </row>
    <row r="137" spans="1:84" s="6" customFormat="1" ht="11.25" x14ac:dyDescent="0.2">
      <c r="A137" s="11">
        <v>43223</v>
      </c>
      <c r="B137" s="375">
        <f>'2022'!Maxi_hp</f>
        <v>137.29771718168283</v>
      </c>
      <c r="C137" s="13">
        <f>'2022'!An_max</f>
        <v>2022</v>
      </c>
      <c r="D137" s="1045" t="str">
        <f t="shared" si="59"/>
        <v/>
      </c>
      <c r="E137" s="13"/>
      <c r="F137" s="13">
        <f t="shared" si="76"/>
        <v>11</v>
      </c>
      <c r="G137" s="13">
        <f t="shared" si="60"/>
        <v>10</v>
      </c>
      <c r="H137" s="169">
        <f t="shared" si="61"/>
        <v>43234</v>
      </c>
      <c r="I137" s="743">
        <f t="shared" si="62"/>
        <v>0.7857142857142857</v>
      </c>
      <c r="J137" s="736">
        <f t="shared" si="63"/>
        <v>242.52924562894873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38">
        <v>43223</v>
      </c>
      <c r="AP137" s="13">
        <f t="shared" si="64"/>
        <v>7</v>
      </c>
      <c r="AQ137" s="13">
        <f t="shared" si="65"/>
        <v>6</v>
      </c>
      <c r="AR137" s="169">
        <f t="shared" si="66"/>
        <v>43248</v>
      </c>
      <c r="AS137" s="743">
        <f t="shared" si="67"/>
        <v>0.8928571428571429</v>
      </c>
      <c r="AT137" s="759">
        <f t="shared" si="68"/>
        <v>242.59781568598532</v>
      </c>
      <c r="AU137" s="13">
        <f t="shared" si="69"/>
        <v>5</v>
      </c>
      <c r="AV137" s="13">
        <f t="shared" si="70"/>
        <v>6</v>
      </c>
      <c r="AW137" s="169">
        <f t="shared" si="71"/>
        <v>43206</v>
      </c>
      <c r="AX137" s="743">
        <f t="shared" si="72"/>
        <v>0.6071428571428571</v>
      </c>
      <c r="AY137" s="759">
        <f t="shared" si="73"/>
        <v>242.56860637696727</v>
      </c>
      <c r="AZ137" s="736">
        <f t="shared" si="77"/>
        <v>242.58321103147631</v>
      </c>
      <c r="BA137" s="633">
        <f t="shared" si="74"/>
        <v>0.56610788041512272</v>
      </c>
      <c r="BC137" s="11">
        <v>43223</v>
      </c>
      <c r="BD137" s="286">
        <f>[2]!FeuilCaduc*(1-Persistant)+Persistant</f>
        <v>0.70129683750527161</v>
      </c>
      <c r="BE137" s="287">
        <f>[2]!CroissVégét</f>
        <v>0.1723173890515782</v>
      </c>
      <c r="BF137" s="806">
        <f>1+[2]!Salcycl*Ksac</f>
        <v>1.012662104688159</v>
      </c>
      <c r="BH137" s="1036">
        <f t="shared" si="75"/>
        <v>6.5313356542851071E-3</v>
      </c>
      <c r="BI137" s="11">
        <v>44319</v>
      </c>
      <c r="BJ137" s="716">
        <v>1.6161347001163152E-3</v>
      </c>
      <c r="BK137" s="716">
        <v>2.3430620945595324E-3</v>
      </c>
      <c r="BL137" s="716">
        <v>3.1584020912884953E-3</v>
      </c>
      <c r="BM137" s="716">
        <v>4.097614392468721E-3</v>
      </c>
      <c r="BN137" s="716">
        <v>5.2229077122163551E-3</v>
      </c>
      <c r="BO137" s="717">
        <v>6.5451808776975304E-3</v>
      </c>
      <c r="BP137" s="716">
        <v>8.1308874954021341E-3</v>
      </c>
      <c r="BQ137" s="716">
        <v>9.9942973701443137E-3</v>
      </c>
      <c r="BR137" s="716">
        <v>1.2161874136450106E-2</v>
      </c>
      <c r="BS137" s="716">
        <v>1.4615855935799846E-2</v>
      </c>
      <c r="BT137" s="716">
        <v>1.7257052467666088E-2</v>
      </c>
      <c r="BW137" s="1166">
        <f>'2022'!R\Max</f>
        <v>0.56610788041512272</v>
      </c>
      <c r="BX137" s="1167">
        <f>'2023'!R\Max</f>
        <v>0.56609351218107906</v>
      </c>
      <c r="BY137" s="1167">
        <f>'2024'!R\Max</f>
        <v>0.56607876257623679</v>
      </c>
      <c r="BZ137" s="1167">
        <f>'2025'!R\Max</f>
        <v>0.56606187693602095</v>
      </c>
      <c r="CA137" s="1167">
        <f>'2026'!R\Max</f>
        <v>0.56604457342453884</v>
      </c>
      <c r="CB137" s="1167">
        <f>'2027'!R\Max</f>
        <v>0.5660249300049216</v>
      </c>
      <c r="CC137" s="1168">
        <f>'2028'!R\Max</f>
        <v>0.56600489282837074</v>
      </c>
      <c r="CD137" s="1167">
        <f>'2029'!R\Max</f>
        <v>0.56610859847349893</v>
      </c>
      <c r="CE137" s="1167">
        <f>'2030'!R\Max</f>
        <v>0.56609423026181049</v>
      </c>
      <c r="CF137" s="1169">
        <f>'2031'!R\Max</f>
        <v>0.56607960644060074</v>
      </c>
    </row>
    <row r="138" spans="1:84" s="6" customFormat="1" ht="11.25" x14ac:dyDescent="0.2">
      <c r="A138" s="11">
        <v>43224</v>
      </c>
      <c r="B138" s="375">
        <f>'2022'!Maxi_hp</f>
        <v>80.592958342597413</v>
      </c>
      <c r="C138" s="13">
        <f>'2022'!An_max</f>
        <v>2022</v>
      </c>
      <c r="D138" s="1045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69">
        <f t="shared" si="61"/>
        <v>43234</v>
      </c>
      <c r="I138" s="743">
        <f t="shared" si="62"/>
        <v>0.7142857142857143</v>
      </c>
      <c r="J138" s="736">
        <f t="shared" si="63"/>
        <v>243.00583090313845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38">
        <v>43224</v>
      </c>
      <c r="AP138" s="13">
        <f t="shared" si="64"/>
        <v>7</v>
      </c>
      <c r="AQ138" s="13">
        <f t="shared" si="65"/>
        <v>6</v>
      </c>
      <c r="AR138" s="169">
        <f t="shared" si="66"/>
        <v>43248</v>
      </c>
      <c r="AS138" s="743">
        <f t="shared" si="67"/>
        <v>0.8571428571428571</v>
      </c>
      <c r="AT138" s="759">
        <f t="shared" si="68"/>
        <v>243.09183673326456</v>
      </c>
      <c r="AU138" s="13">
        <f t="shared" si="69"/>
        <v>5</v>
      </c>
      <c r="AV138" s="13">
        <f t="shared" si="70"/>
        <v>6</v>
      </c>
      <c r="AW138" s="169">
        <f t="shared" si="71"/>
        <v>43206</v>
      </c>
      <c r="AX138" s="743">
        <f t="shared" si="72"/>
        <v>0.6428571428571429</v>
      </c>
      <c r="AY138" s="759">
        <f t="shared" si="73"/>
        <v>243.02608645909601</v>
      </c>
      <c r="AZ138" s="736">
        <f t="shared" si="77"/>
        <v>243.05896159618027</v>
      </c>
      <c r="BA138" s="633">
        <f t="shared" si="74"/>
        <v>0.33165030667400558</v>
      </c>
      <c r="BC138" s="11">
        <v>43224</v>
      </c>
      <c r="BD138" s="286">
        <f>[2]!FeuilCaduc*(1-Persistant)+Persistant</f>
        <v>0.70576999001073237</v>
      </c>
      <c r="BE138" s="287">
        <f>[2]!CroissVégét</f>
        <v>0.17829763088415901</v>
      </c>
      <c r="BF138" s="806">
        <f>1+[2]!Salcycl*Ksac</f>
        <v>1.0132212487513415</v>
      </c>
      <c r="BH138" s="1036">
        <f t="shared" si="75"/>
        <v>6.41313733868567E-3</v>
      </c>
      <c r="BI138" s="11">
        <v>44320</v>
      </c>
      <c r="BJ138" s="716">
        <v>1.5520178582058804E-3</v>
      </c>
      <c r="BK138" s="716">
        <v>2.2662814371315117E-3</v>
      </c>
      <c r="BL138" s="716">
        <v>3.0676910100196856E-3</v>
      </c>
      <c r="BM138" s="716">
        <v>3.9942461987334038E-3</v>
      </c>
      <c r="BN138" s="716">
        <v>5.1114653790126112E-3</v>
      </c>
      <c r="BO138" s="717">
        <v>6.4269110731894332E-3</v>
      </c>
      <c r="BP138" s="716">
        <v>8.0047013151402172E-3</v>
      </c>
      <c r="BQ138" s="716">
        <v>9.8558122712481232E-3</v>
      </c>
      <c r="BR138" s="716">
        <v>1.2009931701065702E-2</v>
      </c>
      <c r="BS138" s="716">
        <v>1.4444526457403491E-2</v>
      </c>
      <c r="BT138" s="716">
        <v>1.7062060085041516E-2</v>
      </c>
      <c r="BW138" s="1166">
        <f>'2022'!R\Max</f>
        <v>0.33165030667400558</v>
      </c>
      <c r="BX138" s="1167">
        <f>'2023'!R\Max</f>
        <v>0.33163734873755224</v>
      </c>
      <c r="BY138" s="1167">
        <f>'2024'!R\Max</f>
        <v>0.33162403753394104</v>
      </c>
      <c r="BZ138" s="1167">
        <f>'2025'!R\Max</f>
        <v>0.33160883477431857</v>
      </c>
      <c r="CA138" s="1167">
        <f>'2026'!R\Max</f>
        <v>0.33159324036057897</v>
      </c>
      <c r="CB138" s="1167">
        <f>'2027'!R\Max</f>
        <v>0.33157554889834567</v>
      </c>
      <c r="CC138" s="1168">
        <f>'2028'!R\Max</f>
        <v>0.33155749487597719</v>
      </c>
      <c r="CD138" s="1167">
        <f>'2029'!R\Max</f>
        <v>0.33165095426150848</v>
      </c>
      <c r="CE138" s="1167">
        <f>'2030'!R\Max</f>
        <v>0.33163799632745172</v>
      </c>
      <c r="CF138" s="1169">
        <f>'2031'!R\Max</f>
        <v>0.33162479730876043</v>
      </c>
    </row>
    <row r="139" spans="1:84" s="6" customFormat="1" ht="11.25" x14ac:dyDescent="0.2">
      <c r="A139" s="11">
        <v>43225</v>
      </c>
      <c r="B139" s="375">
        <f>'2022'!Maxi_hp</f>
        <v>169.80268251285483</v>
      </c>
      <c r="C139" s="13">
        <f>'2022'!An_max</f>
        <v>2022</v>
      </c>
      <c r="D139" s="1045" t="str">
        <f t="shared" si="59"/>
        <v/>
      </c>
      <c r="E139" s="13"/>
      <c r="F139" s="13">
        <f t="shared" si="76"/>
        <v>11</v>
      </c>
      <c r="G139" s="13">
        <f t="shared" si="60"/>
        <v>10</v>
      </c>
      <c r="H139" s="169">
        <f t="shared" si="61"/>
        <v>43234</v>
      </c>
      <c r="I139" s="743">
        <f t="shared" si="62"/>
        <v>0.6428571428571429</v>
      </c>
      <c r="J139" s="736">
        <f t="shared" si="63"/>
        <v>243.46674562522344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38">
        <v>43225</v>
      </c>
      <c r="AP139" s="13">
        <f t="shared" si="64"/>
        <v>7</v>
      </c>
      <c r="AQ139" s="13">
        <f t="shared" si="65"/>
        <v>6</v>
      </c>
      <c r="AR139" s="169">
        <f t="shared" si="66"/>
        <v>43248</v>
      </c>
      <c r="AS139" s="743">
        <f t="shared" si="67"/>
        <v>0.8214285714285714</v>
      </c>
      <c r="AT139" s="759">
        <f t="shared" si="68"/>
        <v>243.56736287921666</v>
      </c>
      <c r="AU139" s="13">
        <f t="shared" si="69"/>
        <v>5</v>
      </c>
      <c r="AV139" s="13">
        <f t="shared" si="70"/>
        <v>6</v>
      </c>
      <c r="AW139" s="169">
        <f t="shared" si="71"/>
        <v>43206</v>
      </c>
      <c r="AX139" s="743">
        <f t="shared" si="72"/>
        <v>0.6785714285714286</v>
      </c>
      <c r="AY139" s="759">
        <f t="shared" si="73"/>
        <v>243.47028861647203</v>
      </c>
      <c r="AZ139" s="736">
        <f t="shared" si="77"/>
        <v>243.51882574784435</v>
      </c>
      <c r="BA139" s="633">
        <f t="shared" si="74"/>
        <v>0.69743685971076241</v>
      </c>
      <c r="BC139" s="11">
        <v>43225</v>
      </c>
      <c r="BD139" s="286">
        <f>[2]!FeuilCaduc*(1-Persistant)+Persistant</f>
        <v>0.71034511098304465</v>
      </c>
      <c r="BE139" s="287">
        <f>[2]!CroissVégét</f>
        <v>0.1844375470173118</v>
      </c>
      <c r="BF139" s="806">
        <f>1+[2]!Salcycl*Ksac</f>
        <v>1.0137931388728807</v>
      </c>
      <c r="BH139" s="1036">
        <f t="shared" si="75"/>
        <v>6.2948406892440406E-3</v>
      </c>
      <c r="BI139" s="11">
        <v>44321</v>
      </c>
      <c r="BJ139" s="716">
        <v>1.487983393786869E-3</v>
      </c>
      <c r="BK139" s="716">
        <v>2.1898130870562E-3</v>
      </c>
      <c r="BL139" s="716">
        <v>2.9767764741445361E-3</v>
      </c>
      <c r="BM139" s="716">
        <v>3.8900792339710169E-3</v>
      </c>
      <c r="BN139" s="716">
        <v>4.9994651477046218E-3</v>
      </c>
      <c r="BO139" s="717">
        <v>6.3085477977510981E-3</v>
      </c>
      <c r="BP139" s="716">
        <v>7.8784848746830879E-3</v>
      </c>
      <c r="BQ139" s="716">
        <v>9.7163834879319955E-3</v>
      </c>
      <c r="BR139" s="716">
        <v>1.1856140469352128E-2</v>
      </c>
      <c r="BS139" s="716">
        <v>1.4269760246419455E-2</v>
      </c>
      <c r="BT139" s="716">
        <v>1.6861747422921517E-2</v>
      </c>
      <c r="BW139" s="1166">
        <f>'2022'!R\Max</f>
        <v>0.69743685971076241</v>
      </c>
      <c r="BX139" s="1167">
        <f>'2023'!R\Max</f>
        <v>0.69742452871407101</v>
      </c>
      <c r="BY139" s="1167">
        <f>'2024'!R\Max</f>
        <v>0.69741185301240438</v>
      </c>
      <c r="BZ139" s="1167">
        <f>'2025'!R\Max</f>
        <v>0.69739741590739546</v>
      </c>
      <c r="CA139" s="1167">
        <f>'2026'!R\Max</f>
        <v>0.69738259031077943</v>
      </c>
      <c r="CB139" s="1167">
        <f>'2027'!R\Max</f>
        <v>0.6973657801129054</v>
      </c>
      <c r="CC139" s="1168">
        <f>'2028'!R\Max</f>
        <v>0.69734861705727025</v>
      </c>
      <c r="CD139" s="1167">
        <f>'2029'!R\Max</f>
        <v>0.69743747595241301</v>
      </c>
      <c r="CE139" s="1167">
        <f>'2030'!R\Max</f>
        <v>0.69742514498434582</v>
      </c>
      <c r="CF139" s="1169">
        <f>'2031'!R\Max</f>
        <v>0.69741257450382987</v>
      </c>
    </row>
    <row r="140" spans="1:84" s="6" customFormat="1" ht="11.25" x14ac:dyDescent="0.2">
      <c r="A140" s="11">
        <v>43226</v>
      </c>
      <c r="B140" s="375">
        <f>'2022'!Maxi_hp</f>
        <v>157.97979101946427</v>
      </c>
      <c r="C140" s="13">
        <f>'2022'!An_max</f>
        <v>2022</v>
      </c>
      <c r="D140" s="1045" t="str">
        <f t="shared" si="59"/>
        <v/>
      </c>
      <c r="E140" s="13"/>
      <c r="F140" s="13">
        <f t="shared" si="76"/>
        <v>11</v>
      </c>
      <c r="G140" s="13">
        <f t="shared" si="60"/>
        <v>10</v>
      </c>
      <c r="H140" s="169">
        <f t="shared" si="61"/>
        <v>43234</v>
      </c>
      <c r="I140" s="743">
        <f t="shared" si="62"/>
        <v>0.5714285714285714</v>
      </c>
      <c r="J140" s="736">
        <f t="shared" si="63"/>
        <v>243.91253644398279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38">
        <v>43226</v>
      </c>
      <c r="AP140" s="13">
        <f t="shared" si="64"/>
        <v>7</v>
      </c>
      <c r="AQ140" s="13">
        <f t="shared" si="65"/>
        <v>6</v>
      </c>
      <c r="AR140" s="169">
        <f t="shared" si="66"/>
        <v>43248</v>
      </c>
      <c r="AS140" s="743">
        <f t="shared" si="67"/>
        <v>0.7857142857142857</v>
      </c>
      <c r="AT140" s="759">
        <f t="shared" si="68"/>
        <v>244.02487244882755</v>
      </c>
      <c r="AU140" s="13">
        <f t="shared" si="69"/>
        <v>5</v>
      </c>
      <c r="AV140" s="13">
        <f t="shared" si="70"/>
        <v>6</v>
      </c>
      <c r="AW140" s="169">
        <f t="shared" si="71"/>
        <v>43206</v>
      </c>
      <c r="AX140" s="743">
        <f t="shared" si="72"/>
        <v>0.7142857142857143</v>
      </c>
      <c r="AY140" s="759">
        <f t="shared" si="73"/>
        <v>243.90199708385126</v>
      </c>
      <c r="AZ140" s="736">
        <f t="shared" si="77"/>
        <v>243.96343476633939</v>
      </c>
      <c r="BA140" s="633">
        <f t="shared" si="74"/>
        <v>0.64769032917562264</v>
      </c>
      <c r="BC140" s="11">
        <v>43226</v>
      </c>
      <c r="BD140" s="286">
        <f>[2]!FeuilCaduc*(1-Persistant)+Persistant</f>
        <v>0.71501971143686638</v>
      </c>
      <c r="BE140" s="287">
        <f>[2]!CroissVégét</f>
        <v>0.19073822573999455</v>
      </c>
      <c r="BF140" s="806">
        <f>1+[2]!Salcycl*Ksac</f>
        <v>1.0143774639296084</v>
      </c>
      <c r="BH140" s="1036">
        <f t="shared" si="75"/>
        <v>6.1764467409247585E-3</v>
      </c>
      <c r="BI140" s="11">
        <v>44322</v>
      </c>
      <c r="BJ140" s="716">
        <v>1.4240321423946124E-3</v>
      </c>
      <c r="BK140" s="716">
        <v>2.1136578141398793E-3</v>
      </c>
      <c r="BL140" s="716">
        <v>2.8856597260162125E-3</v>
      </c>
      <c r="BM140" s="716">
        <v>3.7851152220049872E-3</v>
      </c>
      <c r="BN140" s="716">
        <v>4.8869085056347074E-3</v>
      </c>
      <c r="BO140" s="717">
        <v>6.1900920815601964E-3</v>
      </c>
      <c r="BP140" s="716">
        <v>7.7522390027726243E-3</v>
      </c>
      <c r="BQ140" s="716">
        <v>9.5760123725221764E-3</v>
      </c>
      <c r="BR140" s="716">
        <v>1.1700502274529347E-2</v>
      </c>
      <c r="BS140" s="716">
        <v>1.4091560159981515E-2</v>
      </c>
      <c r="BT140" s="716">
        <v>1.6656118617393356E-2</v>
      </c>
      <c r="BW140" s="1166">
        <f>'2022'!R\Max</f>
        <v>0.64769032917562264</v>
      </c>
      <c r="BX140" s="1167">
        <f>'2023'!R\Max</f>
        <v>0.64767699820350766</v>
      </c>
      <c r="BY140" s="1167">
        <f>'2024'!R\Max</f>
        <v>0.64766328756974589</v>
      </c>
      <c r="BZ140" s="1167">
        <f>'2025'!R\Max</f>
        <v>0.64764772260723757</v>
      </c>
      <c r="CA140" s="1167">
        <f>'2026'!R\Max</f>
        <v>0.647631721100282</v>
      </c>
      <c r="CB140" s="1167">
        <f>'2027'!R\Max</f>
        <v>0.64761358786261014</v>
      </c>
      <c r="CC140" s="1168">
        <f>'2028'!R\Max</f>
        <v>0.64759506726328286</v>
      </c>
      <c r="CD140" s="1167">
        <f>'2029'!R\Max</f>
        <v>0.64769099539308927</v>
      </c>
      <c r="CE140" s="1167">
        <f>'2030'!R\Max</f>
        <v>0.64767766444803987</v>
      </c>
      <c r="CF140" s="1169">
        <f>'2031'!R\Max</f>
        <v>0.64766406542846122</v>
      </c>
    </row>
    <row r="141" spans="1:84" s="6" customFormat="1" ht="11.25" x14ac:dyDescent="0.2">
      <c r="A141" s="11">
        <v>43227</v>
      </c>
      <c r="B141" s="375">
        <f>'2022'!Maxi_hp</f>
        <v>200.37194692994947</v>
      </c>
      <c r="C141" s="13">
        <f>'2022'!An_max</f>
        <v>2022</v>
      </c>
      <c r="D141" s="1045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69">
        <f t="shared" si="61"/>
        <v>43234</v>
      </c>
      <c r="I141" s="743">
        <f t="shared" si="62"/>
        <v>0.5</v>
      </c>
      <c r="J141" s="736">
        <f t="shared" si="63"/>
        <v>244.34374999850988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38">
        <v>43227</v>
      </c>
      <c r="AP141" s="13">
        <f t="shared" si="64"/>
        <v>7</v>
      </c>
      <c r="AQ141" s="13">
        <f t="shared" si="65"/>
        <v>6</v>
      </c>
      <c r="AR141" s="169">
        <f t="shared" si="66"/>
        <v>43248</v>
      </c>
      <c r="AS141" s="743">
        <f t="shared" si="67"/>
        <v>0.75</v>
      </c>
      <c r="AT141" s="759">
        <f t="shared" si="68"/>
        <v>244.46484374590219</v>
      </c>
      <c r="AU141" s="13">
        <f t="shared" si="69"/>
        <v>5</v>
      </c>
      <c r="AV141" s="13">
        <f t="shared" si="70"/>
        <v>6</v>
      </c>
      <c r="AW141" s="169">
        <f t="shared" si="71"/>
        <v>43206</v>
      </c>
      <c r="AX141" s="743">
        <f t="shared" si="72"/>
        <v>0.75</v>
      </c>
      <c r="AY141" s="759">
        <f t="shared" si="73"/>
        <v>244.32199609354137</v>
      </c>
      <c r="AZ141" s="736">
        <f t="shared" si="77"/>
        <v>244.39341991972179</v>
      </c>
      <c r="BA141" s="633">
        <f t="shared" si="74"/>
        <v>0.82004122033475968</v>
      </c>
      <c r="BC141" s="11">
        <v>43227</v>
      </c>
      <c r="BD141" s="286">
        <f>[2]!FeuilCaduc*(1-Persistant)+Persistant</f>
        <v>0.71979104023048723</v>
      </c>
      <c r="BE141" s="287">
        <f>[2]!CroissVégét</f>
        <v>0.19720053455029921</v>
      </c>
      <c r="BF141" s="806">
        <f>1+[2]!Salcycl*Ksac</f>
        <v>1.0149738800288108</v>
      </c>
      <c r="BH141" s="1036">
        <f t="shared" si="75"/>
        <v>6.0579566189152218E-3</v>
      </c>
      <c r="BI141" s="11">
        <v>44323</v>
      </c>
      <c r="BJ141" s="716">
        <v>1.3601649841098701E-3</v>
      </c>
      <c r="BK141" s="716">
        <v>2.037816433240127E-3</v>
      </c>
      <c r="BL141" s="716">
        <v>2.7943420828383456E-3</v>
      </c>
      <c r="BM141" s="716">
        <v>3.679355993326396E-3</v>
      </c>
      <c r="BN141" s="716">
        <v>4.7737970432843385E-3</v>
      </c>
      <c r="BO141" s="717">
        <v>6.0715450448805839E-3</v>
      </c>
      <c r="BP141" s="716">
        <v>7.6259646211660689E-3</v>
      </c>
      <c r="BQ141" s="716">
        <v>9.4347004136432402E-3</v>
      </c>
      <c r="BR141" s="716">
        <v>1.1543019129834161E-2</v>
      </c>
      <c r="BS141" s="716">
        <v>1.390992930929554E-2</v>
      </c>
      <c r="BT141" s="716">
        <v>1.6445178147067828E-2</v>
      </c>
      <c r="BW141" s="1166">
        <f>'2022'!R\Max</f>
        <v>0.82004122033475968</v>
      </c>
      <c r="BX141" s="1167">
        <f>'2023'!R\Max</f>
        <v>0.82003259947277196</v>
      </c>
      <c r="BY141" s="1167">
        <f>'2024'!R\Max</f>
        <v>0.8200237294606979</v>
      </c>
      <c r="BZ141" s="1167">
        <f>'2025'!R\Max</f>
        <v>0.82001369686610026</v>
      </c>
      <c r="CA141" s="1167">
        <f>'2026'!R\Max</f>
        <v>0.82000337064045703</v>
      </c>
      <c r="CB141" s="1167">
        <f>'2027'!R\Max</f>
        <v>0.81999167458958133</v>
      </c>
      <c r="CC141" s="1168">
        <f>'2028'!R\Max</f>
        <v>0.81997972469127323</v>
      </c>
      <c r="CD141" s="1167">
        <f>'2029'!R\Max</f>
        <v>0.82004165115916461</v>
      </c>
      <c r="CE141" s="1167">
        <f>'2030'!R\Max</f>
        <v>0.82003303032335373</v>
      </c>
      <c r="CF141" s="1169">
        <f>'2031'!R\Max</f>
        <v>0.82002423083330245</v>
      </c>
    </row>
    <row r="142" spans="1:84" s="6" customFormat="1" ht="11.25" x14ac:dyDescent="0.2">
      <c r="A142" s="11">
        <v>43228</v>
      </c>
      <c r="B142" s="375">
        <f>'2022'!Maxi_hp</f>
        <v>218.92571868618484</v>
      </c>
      <c r="C142" s="13">
        <f>'2022'!An_max</f>
        <v>2022</v>
      </c>
      <c r="D142" s="1045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69">
        <f t="shared" si="61"/>
        <v>43234</v>
      </c>
      <c r="I142" s="743">
        <f t="shared" si="62"/>
        <v>0.42857142857142855</v>
      </c>
      <c r="J142" s="736">
        <f t="shared" si="63"/>
        <v>244.76093294237339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38">
        <v>43228</v>
      </c>
      <c r="AP142" s="13">
        <f t="shared" si="64"/>
        <v>7</v>
      </c>
      <c r="AQ142" s="13">
        <f t="shared" si="65"/>
        <v>6</v>
      </c>
      <c r="AR142" s="169">
        <f t="shared" si="66"/>
        <v>43248</v>
      </c>
      <c r="AS142" s="743">
        <f t="shared" si="67"/>
        <v>0.7142857142857143</v>
      </c>
      <c r="AT142" s="759">
        <f t="shared" si="68"/>
        <v>244.88775510191917</v>
      </c>
      <c r="AU142" s="13">
        <f t="shared" si="69"/>
        <v>5</v>
      </c>
      <c r="AV142" s="13">
        <f t="shared" si="70"/>
        <v>6</v>
      </c>
      <c r="AW142" s="169">
        <f t="shared" si="71"/>
        <v>43206</v>
      </c>
      <c r="AX142" s="743">
        <f t="shared" si="72"/>
        <v>0.7857142857142857</v>
      </c>
      <c r="AY142" s="759">
        <f t="shared" si="73"/>
        <v>244.7310698779566</v>
      </c>
      <c r="AZ142" s="736">
        <f t="shared" si="77"/>
        <v>244.80941248993787</v>
      </c>
      <c r="BA142" s="633">
        <f t="shared" si="74"/>
        <v>0.89444714911970369</v>
      </c>
      <c r="BC142" s="11">
        <v>43228</v>
      </c>
      <c r="BD142" s="286">
        <f>[2]!FeuilCaduc*(1-Persistant)+Persistant</f>
        <v>0.72465608120776859</v>
      </c>
      <c r="BE142" s="287">
        <f>[2]!CroissVégét</f>
        <v>0.2038251061465651</v>
      </c>
      <c r="BF142" s="806">
        <f>1+[2]!Salcycl*Ksac</f>
        <v>1.0155820101509712</v>
      </c>
      <c r="BH142" s="1036">
        <f t="shared" si="75"/>
        <v>5.9372775700507665E-3</v>
      </c>
      <c r="BI142" s="11">
        <v>44324</v>
      </c>
      <c r="BJ142" s="716">
        <v>1.2968257464706378E-3</v>
      </c>
      <c r="BK142" s="716">
        <v>1.9613369755571643E-3</v>
      </c>
      <c r="BL142" s="716">
        <v>2.7013198929769534E-3</v>
      </c>
      <c r="BM142" s="716">
        <v>3.5713526902906561E-3</v>
      </c>
      <c r="BN142" s="716">
        <v>4.6586224323533765E-3</v>
      </c>
      <c r="BO142" s="717">
        <v>5.9508077504142895E-3</v>
      </c>
      <c r="BP142" s="716">
        <v>7.4966094491408586E-3</v>
      </c>
      <c r="BQ142" s="716">
        <v>9.2882509348319025E-3</v>
      </c>
      <c r="BR142" s="716">
        <v>1.1378362804378791E-2</v>
      </c>
      <c r="BS142" s="716">
        <v>1.3719567274389719E-2</v>
      </c>
      <c r="BT142" s="716">
        <v>1.6224557339812908E-2</v>
      </c>
      <c r="BW142" s="1166">
        <f>'2022'!R\Max</f>
        <v>0.89444714911970369</v>
      </c>
      <c r="BX142" s="1167">
        <f>'2023'!R\Max</f>
        <v>0.8944416367450081</v>
      </c>
      <c r="BY142" s="1167">
        <f>'2024'!R\Max</f>
        <v>0.89443596364215316</v>
      </c>
      <c r="BZ142" s="1167">
        <f>'2025'!R\Max</f>
        <v>0.89442957366023101</v>
      </c>
      <c r="CA142" s="1167">
        <f>'2026'!R\Max</f>
        <v>0.89442298845964741</v>
      </c>
      <c r="CB142" s="1167">
        <f>'2027'!R\Max</f>
        <v>0.89441553269970653</v>
      </c>
      <c r="CC142" s="1168">
        <f>'2028'!R\Max</f>
        <v>0.89440791241096429</v>
      </c>
      <c r="CD142" s="1167">
        <f>'2029'!R\Max</f>
        <v>0.89444742459734827</v>
      </c>
      <c r="CE142" s="1167">
        <f>'2030'!R\Max</f>
        <v>0.89444191224177538</v>
      </c>
      <c r="CF142" s="1169">
        <f>'2031'!R\Max</f>
        <v>0.89443628297584465</v>
      </c>
    </row>
    <row r="143" spans="1:84" s="6" customFormat="1" ht="11.25" x14ac:dyDescent="0.2">
      <c r="A143" s="11">
        <v>43229</v>
      </c>
      <c r="B143" s="375">
        <f>'2022'!Maxi_hp</f>
        <v>236.08517663735407</v>
      </c>
      <c r="C143" s="13">
        <f>'2022'!An_max</f>
        <v>2022</v>
      </c>
      <c r="D143" s="1045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69">
        <f t="shared" ref="H143:H206" si="80">INDEX(x.2m,F143)</f>
        <v>43234</v>
      </c>
      <c r="I143" s="743">
        <f t="shared" ref="I143:I206" si="81">($A143-H143)/(INDEX(x.2m,G143)-H143)</f>
        <v>0.35714285714285715</v>
      </c>
      <c r="J143" s="736">
        <f t="shared" ref="J143:J206" si="82">((1-I143)*(INDEX(a.m,F143)*$A143*$A143+INDEX(b.m,F143)*$A143+INDEX(c.m,F143))+I143*(INDEX(a.m,G143)*$A143*$A143+INDEX(b.m,G143)*$A143+INDEX(c.m,G143)))/10</f>
        <v>245.16463192392672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38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69">
        <f t="shared" ref="AR143:AR206" si="85">INDEX(x.2lg,AP143)</f>
        <v>43248</v>
      </c>
      <c r="AS143" s="743">
        <f t="shared" ref="AS143:AS206" si="86">($A143-AR143)/(INDEX(x.2lg,AQ143)-AR143)</f>
        <v>0.6785714285714286</v>
      </c>
      <c r="AT143" s="759">
        <f t="shared" ref="AT143:AT206" si="87">((1-AS143)*(INDEX(a.lg,AP143)*$A143*$A143+INDEX(b.lg,AP143)*$A143+INDEX(c.lg,AP143))+AS143*(INDEX(a.lg,AQ143)*$A143*$A143+INDEX(b.lg,AQ143)*$A143+INDEX(c.lg,AQ143)))/10</f>
        <v>245.29408481940627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69">
        <f t="shared" ref="AW143:AW206" si="90">INDEX(x.2ld,AU143)</f>
        <v>43206</v>
      </c>
      <c r="AX143" s="743">
        <f t="shared" ref="AX143:AX206" si="91">($A143-AW143)/(INDEX(x.2ld,AV143)-AW143)</f>
        <v>0.8214285714285714</v>
      </c>
      <c r="AY143" s="759">
        <f t="shared" ref="AY143:AY206" si="92">((1-AX143)*(INDEX(a.ld,AU143)*$A143*$A143+INDEX(b.ld,AU143)*$A143+INDEX(c.ld,AU143))+AX143*(INDEX(a.ld,AV143)*$A143*$A143+INDEX(b.ld,AV143)*$A143+INDEX(c.ld,AV143)))/10</f>
        <v>245.13000267414108</v>
      </c>
      <c r="AZ143" s="736">
        <f t="shared" si="77"/>
        <v>245.21204374677367</v>
      </c>
      <c r="BA143" s="633">
        <f t="shared" ref="BA143:BA206" si="93">+B143/J143</f>
        <v>0.96296588453513166</v>
      </c>
      <c r="BC143" s="11">
        <v>43229</v>
      </c>
      <c r="BD143" s="286">
        <f>[2]!FeuilCaduc*(1-Persistant)+Persistant</f>
        <v>0.72961155127710708</v>
      </c>
      <c r="BE143" s="287">
        <f>[2]!CroissVégét</f>
        <v>0.21061232458125589</v>
      </c>
      <c r="BF143" s="806">
        <f>1+[2]!Salcycl*Ksac</f>
        <v>1.0162014439096383</v>
      </c>
      <c r="BH143" s="1036">
        <f t="shared" ref="BH143:BH206" si="94">INDEX($BJ143:$BT143,,$BH$10)*(1-Ratini)+INDEX($BJ143:$BT143,,$BH$10+1)*Ratini</f>
        <v>5.812955296999012E-3</v>
      </c>
      <c r="BI143" s="11">
        <v>44325</v>
      </c>
      <c r="BJ143" s="716">
        <v>1.2321028055861758E-3</v>
      </c>
      <c r="BK143" s="716">
        <v>1.8822172554280921E-3</v>
      </c>
      <c r="BL143" s="716">
        <v>2.605049978419767E-3</v>
      </c>
      <c r="BM143" s="716">
        <v>3.4600134206495361E-3</v>
      </c>
      <c r="BN143" s="716">
        <v>4.5403273408918315E-3</v>
      </c>
      <c r="BO143" s="717">
        <v>5.8264217003114798E-3</v>
      </c>
      <c r="BP143" s="716">
        <v>7.3624671350003452E-3</v>
      </c>
      <c r="BQ143" s="716">
        <v>9.1352476519005171E-3</v>
      </c>
      <c r="BR143" s="716">
        <v>1.1205929109362708E-2</v>
      </c>
      <c r="BS143" s="716">
        <v>1.3521800619151791E-2</v>
      </c>
      <c r="BT143" s="716">
        <v>1.59981566726419E-2</v>
      </c>
      <c r="BW143" s="1166">
        <f>'2022'!R\Max</f>
        <v>0.96296588453513166</v>
      </c>
      <c r="BX143" s="1167">
        <f>'2023'!R\Max</f>
        <v>0.9629638047279927</v>
      </c>
      <c r="BY143" s="1167">
        <f>'2024'!R\Max</f>
        <v>0.96296166395600502</v>
      </c>
      <c r="BZ143" s="1167">
        <f>'2025'!R\Max</f>
        <v>0.9629592632183207</v>
      </c>
      <c r="CA143" s="1167">
        <f>'2026'!R\Max</f>
        <v>0.96295678573851684</v>
      </c>
      <c r="CB143" s="1167">
        <f>'2027'!R\Max</f>
        <v>0.96295398104731533</v>
      </c>
      <c r="CC143" s="1168">
        <f>'2028'!R\Max</f>
        <v>0.96295111306355607</v>
      </c>
      <c r="CD143" s="1167">
        <f>'2029'!R\Max</f>
        <v>0.96296598847182391</v>
      </c>
      <c r="CE143" s="1167">
        <f>'2030'!R\Max</f>
        <v>0.96296390867272219</v>
      </c>
      <c r="CF143" s="1169">
        <f>'2031'!R\Max</f>
        <v>0.96296178393019249</v>
      </c>
    </row>
    <row r="144" spans="1:84" s="6" customFormat="1" ht="11.25" x14ac:dyDescent="0.2">
      <c r="A144" s="11">
        <v>43230</v>
      </c>
      <c r="B144" s="375">
        <f>'2022'!Maxi_hp</f>
        <v>225.95994154835185</v>
      </c>
      <c r="C144" s="13">
        <f>'2022'!An_max</f>
        <v>2022</v>
      </c>
      <c r="D144" s="1045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69">
        <f t="shared" si="80"/>
        <v>43234</v>
      </c>
      <c r="I144" s="743">
        <f t="shared" si="81"/>
        <v>0.2857142857142857</v>
      </c>
      <c r="J144" s="736">
        <f t="shared" si="82"/>
        <v>245.55539358407259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38">
        <v>43230</v>
      </c>
      <c r="AP144" s="13">
        <f t="shared" si="83"/>
        <v>7</v>
      </c>
      <c r="AQ144" s="13">
        <f t="shared" si="84"/>
        <v>6</v>
      </c>
      <c r="AR144" s="169">
        <f t="shared" si="85"/>
        <v>43248</v>
      </c>
      <c r="AS144" s="743">
        <f t="shared" si="86"/>
        <v>0.6428571428571429</v>
      </c>
      <c r="AT144" s="759">
        <f t="shared" si="87"/>
        <v>245.68431122398806</v>
      </c>
      <c r="AU144" s="13">
        <f t="shared" si="88"/>
        <v>5</v>
      </c>
      <c r="AV144" s="13">
        <f t="shared" si="89"/>
        <v>6</v>
      </c>
      <c r="AW144" s="169">
        <f t="shared" si="90"/>
        <v>43206</v>
      </c>
      <c r="AX144" s="743">
        <f t="shared" si="91"/>
        <v>0.8571428571428571</v>
      </c>
      <c r="AY144" s="759">
        <f t="shared" si="92"/>
        <v>245.51957871658459</v>
      </c>
      <c r="AZ144" s="736">
        <f t="shared" ref="AZ144:AZ207" si="96">(AY144+AT144)/2</f>
        <v>245.60194497028633</v>
      </c>
      <c r="BA144" s="633">
        <f t="shared" si="93"/>
        <v>0.92019946395919139</v>
      </c>
      <c r="BC144" s="11">
        <v>43230</v>
      </c>
      <c r="BD144" s="286">
        <f>[2]!FeuilCaduc*(1-Persistant)+Persistant</f>
        <v>0.7346538995152907</v>
      </c>
      <c r="BE144" s="287">
        <f>[2]!CroissVégét</f>
        <v>0.21756231167469237</v>
      </c>
      <c r="BF144" s="806">
        <f>1+[2]!Salcycl*Ksac</f>
        <v>1.0168317374394114</v>
      </c>
      <c r="BH144" s="1036">
        <f t="shared" si="94"/>
        <v>5.6849940556515637E-3</v>
      </c>
      <c r="BI144" s="11">
        <v>44326</v>
      </c>
      <c r="BJ144" s="716">
        <v>1.165998330507269E-3</v>
      </c>
      <c r="BK144" s="716">
        <v>1.8004605836151515E-3</v>
      </c>
      <c r="BL144" s="716">
        <v>2.5055363333966784E-3</v>
      </c>
      <c r="BM144" s="716">
        <v>3.3453423924090929E-3</v>
      </c>
      <c r="BN144" s="716">
        <v>4.4189157442294106E-3</v>
      </c>
      <c r="BO144" s="717">
        <v>5.6983911534325459E-3</v>
      </c>
      <c r="BP144" s="716">
        <v>7.223542719403485E-3</v>
      </c>
      <c r="BQ144" s="716">
        <v>8.97569701485172E-3</v>
      </c>
      <c r="BR144" s="716">
        <v>1.102572543862318E-2</v>
      </c>
      <c r="BS144" s="716">
        <v>1.3316636523378167E-2</v>
      </c>
      <c r="BT144" s="716">
        <v>1.5765982181852222E-2</v>
      </c>
      <c r="BW144" s="1166">
        <f>'2022'!R\Max</f>
        <v>0.92019946395919139</v>
      </c>
      <c r="BX144" s="1167">
        <f>'2023'!R\Max</f>
        <v>0.9201951892625817</v>
      </c>
      <c r="BY144" s="1167">
        <f>'2024'!R\Max</f>
        <v>0.92019078914510621</v>
      </c>
      <c r="BZ144" s="1167">
        <f>'2025'!R\Max</f>
        <v>0.92018587745892877</v>
      </c>
      <c r="CA144" s="1167">
        <f>'2026'!R\Max</f>
        <v>0.92018080116502199</v>
      </c>
      <c r="CB144" s="1167">
        <f>'2027'!R\Max</f>
        <v>0.92017505345997652</v>
      </c>
      <c r="CC144" s="1168">
        <f>'2028'!R\Max</f>
        <v>0.92016917238680906</v>
      </c>
      <c r="CD144" s="1167">
        <f>'2029'!R\Max</f>
        <v>0.9201996775842971</v>
      </c>
      <c r="CE144" s="1167">
        <f>'2030'!R\Max</f>
        <v>0.92019540290311319</v>
      </c>
      <c r="CF144" s="1169">
        <f>'2031'!R\Max</f>
        <v>0.92019103460195417</v>
      </c>
    </row>
    <row r="145" spans="1:84" s="6" customFormat="1" ht="11.25" x14ac:dyDescent="0.2">
      <c r="A145" s="11">
        <v>43231</v>
      </c>
      <c r="B145" s="375">
        <f>'2022'!Maxi_hp</f>
        <v>243.40296531394188</v>
      </c>
      <c r="C145" s="13">
        <f>'2022'!An_max</f>
        <v>2022</v>
      </c>
      <c r="D145" s="1045">
        <f t="shared" si="78"/>
        <v>0.98970942738926027</v>
      </c>
      <c r="E145" s="13"/>
      <c r="F145" s="13">
        <f t="shared" si="95"/>
        <v>11</v>
      </c>
      <c r="G145" s="13">
        <f t="shared" si="79"/>
        <v>10</v>
      </c>
      <c r="H145" s="169">
        <f t="shared" si="80"/>
        <v>43234</v>
      </c>
      <c r="I145" s="743">
        <f t="shared" si="81"/>
        <v>0.21428571428571427</v>
      </c>
      <c r="J145" s="736">
        <f t="shared" si="82"/>
        <v>245.93376457574112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38">
        <v>43231</v>
      </c>
      <c r="AP145" s="13">
        <f t="shared" si="83"/>
        <v>7</v>
      </c>
      <c r="AQ145" s="13">
        <f t="shared" si="84"/>
        <v>6</v>
      </c>
      <c r="AR145" s="169">
        <f t="shared" si="85"/>
        <v>43248</v>
      </c>
      <c r="AS145" s="743">
        <f t="shared" si="86"/>
        <v>0.6071428571428571</v>
      </c>
      <c r="AT145" s="759">
        <f t="shared" si="87"/>
        <v>246.05891262436552</v>
      </c>
      <c r="AU145" s="13">
        <f t="shared" si="88"/>
        <v>5</v>
      </c>
      <c r="AV145" s="13">
        <f t="shared" si="89"/>
        <v>6</v>
      </c>
      <c r="AW145" s="169">
        <f t="shared" si="90"/>
        <v>43206</v>
      </c>
      <c r="AX145" s="743">
        <f t="shared" si="91"/>
        <v>0.8928571428571429</v>
      </c>
      <c r="AY145" s="759">
        <f t="shared" si="92"/>
        <v>245.90058223509359</v>
      </c>
      <c r="AZ145" s="736">
        <f t="shared" si="96"/>
        <v>245.97974742972957</v>
      </c>
      <c r="BA145" s="633">
        <f t="shared" si="93"/>
        <v>0.98970942738926027</v>
      </c>
      <c r="BC145" s="11">
        <v>43231</v>
      </c>
      <c r="BD145" s="286">
        <f>[2]!FeuilCaduc*(1-Persistant)+Persistant</f>
        <v>0.73977930737980246</v>
      </c>
      <c r="BE145" s="287">
        <f>[2]!CroissVégét</f>
        <v>0.22467491379142088</v>
      </c>
      <c r="BF145" s="806">
        <f>1+[2]!Salcycl*Ksac</f>
        <v>1.0174724134224753</v>
      </c>
      <c r="BH145" s="1036">
        <f t="shared" si="94"/>
        <v>5.5533983454887081E-3</v>
      </c>
      <c r="BI145" s="11">
        <v>44327</v>
      </c>
      <c r="BJ145" s="716">
        <v>1.0985145965213537E-3</v>
      </c>
      <c r="BK145" s="716">
        <v>1.7160704401849331E-3</v>
      </c>
      <c r="BL145" s="716">
        <v>2.402783159460901E-3</v>
      </c>
      <c r="BM145" s="716">
        <v>3.227344035600667E-3</v>
      </c>
      <c r="BN145" s="716">
        <v>4.2943918354884786E-3</v>
      </c>
      <c r="BO145" s="717">
        <v>5.5667206124995214E-3</v>
      </c>
      <c r="BP145" s="716">
        <v>7.0798415410732694E-3</v>
      </c>
      <c r="BQ145" s="716">
        <v>8.8096058589740966E-3</v>
      </c>
      <c r="BR145" s="716">
        <v>1.0837759636121942E-2</v>
      </c>
      <c r="BS145" s="716">
        <v>1.3104082619536791E-2</v>
      </c>
      <c r="BT145" s="716">
        <v>1.5528040309112288E-2</v>
      </c>
      <c r="BW145" s="1166">
        <f>'2022'!R\Max</f>
        <v>0.98970942738926027</v>
      </c>
      <c r="BX145" s="1167">
        <f>'2023'!R\Max</f>
        <v>0.98970883599393722</v>
      </c>
      <c r="BY145" s="1167">
        <f>'2024'!R\Max</f>
        <v>0.98970822729826902</v>
      </c>
      <c r="BZ145" s="1167">
        <f>'2025'!R\Max</f>
        <v>0.989707551115248</v>
      </c>
      <c r="CA145" s="1167">
        <f>'2026'!R\Max</f>
        <v>0.98970685110288081</v>
      </c>
      <c r="CB145" s="1167">
        <f>'2027'!R\Max</f>
        <v>0.98970605812224932</v>
      </c>
      <c r="CC145" s="1168">
        <f>'2028'!R\Max</f>
        <v>0.98970524608162269</v>
      </c>
      <c r="CD145" s="1167">
        <f>'2029'!R\Max</f>
        <v>0.98970945694372359</v>
      </c>
      <c r="CE145" s="1167">
        <f>'2030'!R\Max</f>
        <v>0.9897088655507682</v>
      </c>
      <c r="CF145" s="1169">
        <f>'2031'!R\Max</f>
        <v>0.98970826108971988</v>
      </c>
    </row>
    <row r="146" spans="1:84" s="6" customFormat="1" ht="11.25" x14ac:dyDescent="0.2">
      <c r="A146" s="11">
        <v>43232</v>
      </c>
      <c r="B146" s="375">
        <f>'2022'!Maxi_hp</f>
        <v>182.83583092034419</v>
      </c>
      <c r="C146" s="13">
        <f>'2022'!An_max</f>
        <v>2022</v>
      </c>
      <c r="D146" s="1045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69">
        <f t="shared" si="80"/>
        <v>43234</v>
      </c>
      <c r="I146" s="743">
        <f t="shared" si="81"/>
        <v>0.14285714285714285</v>
      </c>
      <c r="J146" s="736">
        <f t="shared" si="82"/>
        <v>246.30029154462471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38">
        <v>43232</v>
      </c>
      <c r="AP146" s="13">
        <f t="shared" si="83"/>
        <v>7</v>
      </c>
      <c r="AQ146" s="13">
        <f t="shared" si="84"/>
        <v>6</v>
      </c>
      <c r="AR146" s="169">
        <f t="shared" si="85"/>
        <v>43248</v>
      </c>
      <c r="AS146" s="743">
        <f t="shared" si="86"/>
        <v>0.5714285714285714</v>
      </c>
      <c r="AT146" s="759">
        <f t="shared" si="87"/>
        <v>246.41836734435387</v>
      </c>
      <c r="AU146" s="13">
        <f t="shared" si="88"/>
        <v>5</v>
      </c>
      <c r="AV146" s="13">
        <f t="shared" si="89"/>
        <v>6</v>
      </c>
      <c r="AW146" s="169">
        <f t="shared" si="90"/>
        <v>43206</v>
      </c>
      <c r="AX146" s="743">
        <f t="shared" si="91"/>
        <v>0.9285714285714286</v>
      </c>
      <c r="AY146" s="759">
        <f t="shared" si="92"/>
        <v>246.27379746681876</v>
      </c>
      <c r="AZ146" s="736">
        <f t="shared" si="96"/>
        <v>246.34608240558632</v>
      </c>
      <c r="BA146" s="633">
        <f t="shared" si="93"/>
        <v>0.74232892609961842</v>
      </c>
      <c r="BC146" s="11">
        <v>43232</v>
      </c>
      <c r="BD146" s="286">
        <f>[2]!FeuilCaduc*(1-Persistant)+Persistant</f>
        <v>0.74498369010764909</v>
      </c>
      <c r="BE146" s="287">
        <f>[2]!CroissVégét</f>
        <v>0.23194968908707836</v>
      </c>
      <c r="BF146" s="806">
        <f>1+[2]!Salcycl*Ksac</f>
        <v>1.0181229612634561</v>
      </c>
      <c r="BH146" s="1036">
        <f t="shared" si="94"/>
        <v>5.4181729162777808E-3</v>
      </c>
      <c r="BI146" s="11">
        <v>44328</v>
      </c>
      <c r="BJ146" s="716">
        <v>1.0296539877334729E-3</v>
      </c>
      <c r="BK146" s="716">
        <v>1.6290504794025497E-3</v>
      </c>
      <c r="BL146" s="716">
        <v>2.2967948715020064E-3</v>
      </c>
      <c r="BM146" s="716">
        <v>3.1060230084519126E-3</v>
      </c>
      <c r="BN146" s="716">
        <v>4.1667600313415086E-3</v>
      </c>
      <c r="BO146" s="717">
        <v>5.4314148308044104E-3</v>
      </c>
      <c r="BP146" s="716">
        <v>6.9313692455774184E-3</v>
      </c>
      <c r="BQ146" s="716">
        <v>8.6369814168554913E-3</v>
      </c>
      <c r="BR146" s="716">
        <v>1.064204001018515E-2</v>
      </c>
      <c r="BS146" s="716">
        <v>1.2884147006294313E-2</v>
      </c>
      <c r="BT146" s="716">
        <v>1.5284337911969804E-2</v>
      </c>
      <c r="BW146" s="1166">
        <f>'2022'!R\Max</f>
        <v>0.74232892609961842</v>
      </c>
      <c r="BX146" s="1167">
        <f>'2023'!R\Max</f>
        <v>0.74231785505196191</v>
      </c>
      <c r="BY146" s="1167">
        <f>'2024'!R\Max</f>
        <v>0.74230646311444526</v>
      </c>
      <c r="BZ146" s="1167">
        <f>'2025'!R\Max</f>
        <v>0.74229387277062753</v>
      </c>
      <c r="CA146" s="1167">
        <f>'2026'!R\Max</f>
        <v>0.74228081523536904</v>
      </c>
      <c r="CB146" s="1167">
        <f>'2027'!R\Max</f>
        <v>0.7422660126318944</v>
      </c>
      <c r="CC146" s="1168">
        <f>'2028'!R\Max</f>
        <v>0.7422508397056391</v>
      </c>
      <c r="CD146" s="1167">
        <f>'2029'!R\Max</f>
        <v>0.74232947937392568</v>
      </c>
      <c r="CE146" s="1167">
        <f>'2030'!R\Max</f>
        <v>0.74231840835459928</v>
      </c>
      <c r="CF146" s="1169">
        <f>'2031'!R\Max</f>
        <v>0.74230709231307956</v>
      </c>
    </row>
    <row r="147" spans="1:84" s="6" customFormat="1" ht="11.25" x14ac:dyDescent="0.2">
      <c r="A147" s="11">
        <v>43233</v>
      </c>
      <c r="B147" s="375">
        <f>'2022'!Maxi_hp</f>
        <v>173.74909777889465</v>
      </c>
      <c r="C147" s="13">
        <f>'2022'!An_max</f>
        <v>2022</v>
      </c>
      <c r="D147" s="1045" t="str">
        <f t="shared" si="78"/>
        <v/>
      </c>
      <c r="E147" s="13"/>
      <c r="F147" s="13">
        <f t="shared" si="95"/>
        <v>11</v>
      </c>
      <c r="G147" s="13">
        <f t="shared" si="79"/>
        <v>10</v>
      </c>
      <c r="H147" s="169">
        <f t="shared" si="80"/>
        <v>43234</v>
      </c>
      <c r="I147" s="743">
        <f t="shared" si="81"/>
        <v>7.1428571428571425E-2</v>
      </c>
      <c r="J147" s="736">
        <f t="shared" si="82"/>
        <v>246.6555211352451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38">
        <v>43233</v>
      </c>
      <c r="AP147" s="13">
        <f t="shared" si="83"/>
        <v>7</v>
      </c>
      <c r="AQ147" s="13">
        <f t="shared" si="84"/>
        <v>6</v>
      </c>
      <c r="AR147" s="169">
        <f t="shared" si="85"/>
        <v>43248</v>
      </c>
      <c r="AS147" s="743">
        <f t="shared" si="86"/>
        <v>0.5357142857142857</v>
      </c>
      <c r="AT147" s="759">
        <f t="shared" si="87"/>
        <v>246.76315369616663</v>
      </c>
      <c r="AU147" s="13">
        <f t="shared" si="88"/>
        <v>5</v>
      </c>
      <c r="AV147" s="13">
        <f t="shared" si="89"/>
        <v>6</v>
      </c>
      <c r="AW147" s="169">
        <f t="shared" si="90"/>
        <v>43206</v>
      </c>
      <c r="AX147" s="743">
        <f t="shared" si="91"/>
        <v>0.9642857142857143</v>
      </c>
      <c r="AY147" s="759">
        <f t="shared" si="92"/>
        <v>246.64000864146016</v>
      </c>
      <c r="AZ147" s="736">
        <f t="shared" si="96"/>
        <v>246.70158116881339</v>
      </c>
      <c r="BA147" s="633">
        <f t="shared" si="93"/>
        <v>0.7044200631682811</v>
      </c>
      <c r="BC147" s="11">
        <v>43233</v>
      </c>
      <c r="BD147" s="286">
        <f>[2]!FeuilCaduc*(1-Persistant)+Persistant</f>
        <v>0.75026269937219203</v>
      </c>
      <c r="BE147" s="287">
        <f>[2]!CroissVégét</f>
        <v>0.23938589533798257</v>
      </c>
      <c r="BF147" s="806">
        <f>1+[2]!Salcycl*Ksac</f>
        <v>1.018782837421524</v>
      </c>
      <c r="BH147" s="1036">
        <f t="shared" si="94"/>
        <v>5.279322774821146E-3</v>
      </c>
      <c r="BI147" s="11">
        <v>44329</v>
      </c>
      <c r="BJ147" s="716">
        <v>9.5941899965856173E-4</v>
      </c>
      <c r="BK147" s="716">
        <v>1.5394045346427243E-3</v>
      </c>
      <c r="BL147" s="716">
        <v>2.1875761037820928E-3</v>
      </c>
      <c r="BM147" s="716">
        <v>2.9813842035881764E-3</v>
      </c>
      <c r="BN147" s="716">
        <v>4.0360249778077532E-3</v>
      </c>
      <c r="BO147" s="717">
        <v>5.292478818967228E-3</v>
      </c>
      <c r="BP147" s="716">
        <v>6.7781317941714853E-3</v>
      </c>
      <c r="BQ147" s="716">
        <v>8.4578313304735104E-3</v>
      </c>
      <c r="BR147" s="716">
        <v>1.0438575347837738E-2</v>
      </c>
      <c r="BS147" s="716">
        <v>1.2656838262156836E-2</v>
      </c>
      <c r="BT147" s="716">
        <v>1.5034882274494302E-2</v>
      </c>
      <c r="BW147" s="1166">
        <f>'2022'!R\Max</f>
        <v>0.7044200631682811</v>
      </c>
      <c r="BX147" s="1167">
        <f>'2023'!R\Max</f>
        <v>0.70440805954375352</v>
      </c>
      <c r="BY147" s="1167">
        <f>'2024'!R\Max</f>
        <v>0.70439571285054225</v>
      </c>
      <c r="BZ147" s="1167">
        <f>'2025'!R\Max</f>
        <v>0.70438214006361499</v>
      </c>
      <c r="CA147" s="1167">
        <f>'2026'!R\Max</f>
        <v>0.70436803513537571</v>
      </c>
      <c r="CB147" s="1167">
        <f>'2027'!R\Max</f>
        <v>0.70435202796651231</v>
      </c>
      <c r="CC147" s="1168">
        <f>'2028'!R\Max</f>
        <v>0.70433560046433141</v>
      </c>
      <c r="CD147" s="1167">
        <f>'2029'!R\Max</f>
        <v>0.70442066304944839</v>
      </c>
      <c r="CE147" s="1167">
        <f>'2030'!R\Max</f>
        <v>0.70440865945289377</v>
      </c>
      <c r="CF147" s="1169">
        <f>'2031'!R\Max</f>
        <v>0.70439639114843478</v>
      </c>
    </row>
    <row r="148" spans="1:84" s="6" customFormat="1" ht="11.25" x14ac:dyDescent="0.2">
      <c r="A148" s="11">
        <v>43234</v>
      </c>
      <c r="B148" s="375">
        <f>'2022'!Maxi_hp</f>
        <v>214.39074224471946</v>
      </c>
      <c r="C148" s="13">
        <f>'2022'!An_max</f>
        <v>2022</v>
      </c>
      <c r="D148" s="1045" t="str">
        <f t="shared" si="78"/>
        <v/>
      </c>
      <c r="E148" s="1040">
        <f>W$13/10</f>
        <v>247</v>
      </c>
      <c r="F148" s="13">
        <f t="shared" si="95"/>
        <v>11</v>
      </c>
      <c r="G148" s="13">
        <f t="shared" si="79"/>
        <v>12</v>
      </c>
      <c r="H148" s="169">
        <f t="shared" si="80"/>
        <v>43234</v>
      </c>
      <c r="I148" s="743">
        <f t="shared" si="81"/>
        <v>0</v>
      </c>
      <c r="J148" s="736">
        <f t="shared" si="82"/>
        <v>247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38">
        <v>43234</v>
      </c>
      <c r="AP148" s="13">
        <f t="shared" si="83"/>
        <v>7</v>
      </c>
      <c r="AQ148" s="13">
        <f t="shared" si="84"/>
        <v>6</v>
      </c>
      <c r="AR148" s="169">
        <f t="shared" si="85"/>
        <v>43248</v>
      </c>
      <c r="AS148" s="743">
        <f t="shared" si="86"/>
        <v>0.5</v>
      </c>
      <c r="AT148" s="759">
        <f t="shared" si="87"/>
        <v>247.09374999925495</v>
      </c>
      <c r="AU148" s="13">
        <f t="shared" si="88"/>
        <v>7</v>
      </c>
      <c r="AV148" s="13">
        <f t="shared" si="89"/>
        <v>6</v>
      </c>
      <c r="AW148" s="169">
        <f t="shared" si="90"/>
        <v>43262</v>
      </c>
      <c r="AX148" s="743">
        <f t="shared" si="91"/>
        <v>1</v>
      </c>
      <c r="AY148" s="759">
        <f t="shared" si="92"/>
        <v>246.99999999850988</v>
      </c>
      <c r="AZ148" s="736">
        <f t="shared" si="96"/>
        <v>247.0468749988824</v>
      </c>
      <c r="BA148" s="633">
        <f t="shared" si="93"/>
        <v>0.86797871354137435</v>
      </c>
      <c r="BC148" s="11">
        <v>43234</v>
      </c>
      <c r="BD148" s="286">
        <f>[2]!FeuilCaduc*(1-Persistant)+Persistant</f>
        <v>0.75561172726176895</v>
      </c>
      <c r="BE148" s="287">
        <f>[2]!CroissVégét</f>
        <v>0.24698247846918731</v>
      </c>
      <c r="BF148" s="806">
        <f>1+[2]!Salcycl*Ksac</f>
        <v>1.0194514659077212</v>
      </c>
      <c r="BH148" s="1036">
        <f t="shared" si="94"/>
        <v>5.136853191731957E-3</v>
      </c>
      <c r="BI148" s="11">
        <v>44330</v>
      </c>
      <c r="BJ148" s="716">
        <v>8.8781224181874654E-4</v>
      </c>
      <c r="BK148" s="716">
        <v>1.447136623308964E-3</v>
      </c>
      <c r="BL148" s="716">
        <v>2.0751317159834453E-3</v>
      </c>
      <c r="BM148" s="716">
        <v>2.8534327542495308E-3</v>
      </c>
      <c r="BN148" s="716">
        <v>3.9021915560710969E-3</v>
      </c>
      <c r="BO148" s="717">
        <v>5.1499178517219026E-3</v>
      </c>
      <c r="BP148" s="716">
        <v>6.620135472677615E-3</v>
      </c>
      <c r="BQ148" s="716">
        <v>8.2721636633305371E-3</v>
      </c>
      <c r="BR148" s="716">
        <v>1.0227374929192668E-2</v>
      </c>
      <c r="BS148" s="716">
        <v>1.2422165459177252E-2</v>
      </c>
      <c r="BT148" s="716">
        <v>1.4779681117998654E-2</v>
      </c>
      <c r="BW148" s="1166">
        <f>'2022'!R\Max</f>
        <v>0.86797871354137435</v>
      </c>
      <c r="BX148" s="1167">
        <f>'2023'!R\Max</f>
        <v>0.86797213838130238</v>
      </c>
      <c r="BY148" s="1167">
        <f>'2024'!R\Max</f>
        <v>0.86796537898090276</v>
      </c>
      <c r="BZ148" s="1167">
        <f>'2025'!R\Max</f>
        <v>0.86795798971460336</v>
      </c>
      <c r="CA148" s="1167">
        <f>'2026'!R\Max</f>
        <v>0.86795029334163676</v>
      </c>
      <c r="CB148" s="1167">
        <f>'2027'!R\Max</f>
        <v>0.86794154661777412</v>
      </c>
      <c r="CC148" s="1168">
        <f>'2028'!R\Max</f>
        <v>0.86793255684121184</v>
      </c>
      <c r="CD148" s="1167">
        <f>'2029'!R\Max</f>
        <v>0.8679790421318162</v>
      </c>
      <c r="CE148" s="1167">
        <f>'2030'!R\Max</f>
        <v>0.86797246699316222</v>
      </c>
      <c r="CF148" s="1169">
        <f>'2031'!R\Max</f>
        <v>0.8679657482543458</v>
      </c>
    </row>
    <row r="149" spans="1:84" s="6" customFormat="1" ht="11.25" x14ac:dyDescent="0.2">
      <c r="A149" s="11">
        <v>43235</v>
      </c>
      <c r="B149" s="375">
        <f>'2022'!Maxi_hp</f>
        <v>225.59588021543425</v>
      </c>
      <c r="C149" s="13">
        <f>'2022'!An_max</f>
        <v>2022</v>
      </c>
      <c r="D149" s="1045" t="str">
        <f t="shared" si="78"/>
        <v/>
      </c>
      <c r="E149" s="13"/>
      <c r="F149" s="13">
        <f t="shared" si="95"/>
        <v>11</v>
      </c>
      <c r="G149" s="13">
        <f t="shared" si="79"/>
        <v>12</v>
      </c>
      <c r="H149" s="169">
        <f t="shared" si="80"/>
        <v>43234</v>
      </c>
      <c r="I149" s="743">
        <f t="shared" si="81"/>
        <v>7.1428571428571425E-2</v>
      </c>
      <c r="J149" s="736">
        <f t="shared" si="82"/>
        <v>247.33172375857833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38">
        <v>43235</v>
      </c>
      <c r="AP149" s="13">
        <f t="shared" si="83"/>
        <v>7</v>
      </c>
      <c r="AQ149" s="13">
        <f t="shared" si="84"/>
        <v>6</v>
      </c>
      <c r="AR149" s="169">
        <f t="shared" si="85"/>
        <v>43248</v>
      </c>
      <c r="AS149" s="743">
        <f t="shared" si="86"/>
        <v>0.4642857142857143</v>
      </c>
      <c r="AT149" s="759">
        <f t="shared" si="87"/>
        <v>247.41063456583234</v>
      </c>
      <c r="AU149" s="13">
        <f t="shared" si="88"/>
        <v>7</v>
      </c>
      <c r="AV149" s="13">
        <f t="shared" si="89"/>
        <v>6</v>
      </c>
      <c r="AW149" s="169">
        <f t="shared" si="90"/>
        <v>43262</v>
      </c>
      <c r="AX149" s="743">
        <f t="shared" si="91"/>
        <v>0.9642857142857143</v>
      </c>
      <c r="AY149" s="759">
        <f t="shared" si="92"/>
        <v>247.35015032610721</v>
      </c>
      <c r="AZ149" s="736">
        <f t="shared" si="96"/>
        <v>247.38039244596979</v>
      </c>
      <c r="BA149" s="633">
        <f t="shared" si="93"/>
        <v>0.91211865905094913</v>
      </c>
      <c r="BC149" s="11">
        <v>43235</v>
      </c>
      <c r="BD149" s="286">
        <f>[2]!FeuilCaduc*(1-Persistant)+Persistant</f>
        <v>0.76102591163517674</v>
      </c>
      <c r="BE149" s="287">
        <f>[2]!CroissVégét</f>
        <v>0.25473806189926657</v>
      </c>
      <c r="BF149" s="806">
        <f>1+[2]!Salcycl*Ksac</f>
        <v>1.0201282389543971</v>
      </c>
      <c r="BH149" s="1036">
        <f t="shared" si="94"/>
        <v>4.9907697081843626E-3</v>
      </c>
      <c r="BI149" s="11">
        <v>44331</v>
      </c>
      <c r="BJ149" s="716">
        <v>8.1483644033517218E-4</v>
      </c>
      <c r="BK149" s="716">
        <v>1.3522509517443753E-3</v>
      </c>
      <c r="BL149" s="716">
        <v>1.9594667992446579E-3</v>
      </c>
      <c r="BM149" s="716">
        <v>2.7221740404925325E-3</v>
      </c>
      <c r="BN149" s="716">
        <v>3.7652648882779572E-3</v>
      </c>
      <c r="BO149" s="717">
        <v>5.0037374746765536E-3</v>
      </c>
      <c r="BP149" s="716">
        <v>6.4573869003309815E-3</v>
      </c>
      <c r="BQ149" s="716">
        <v>8.079986912548633E-3</v>
      </c>
      <c r="BR149" s="716">
        <v>1.0008448541791053E-2</v>
      </c>
      <c r="BS149" s="716">
        <v>1.218013817660331E-2</v>
      </c>
      <c r="BT149" s="716">
        <v>1.4518742611690614E-2</v>
      </c>
      <c r="BW149" s="1166">
        <f>'2022'!R\Max</f>
        <v>0.91211865905094913</v>
      </c>
      <c r="BX149" s="1167">
        <f>'2023'!R\Max</f>
        <v>0.91211408502808644</v>
      </c>
      <c r="BY149" s="1167">
        <f>'2024'!R\Max</f>
        <v>0.91210938638262551</v>
      </c>
      <c r="BZ149" s="1167">
        <f>'2025'!R\Max</f>
        <v>0.91210427999955235</v>
      </c>
      <c r="CA149" s="1167">
        <f>'2026'!R\Max</f>
        <v>0.91209894814940029</v>
      </c>
      <c r="CB149" s="1167">
        <f>'2027'!R\Max</f>
        <v>0.91209287819622542</v>
      </c>
      <c r="CC149" s="1168">
        <f>'2028'!R\Max</f>
        <v>0.91208662866710521</v>
      </c>
      <c r="CD149" s="1167">
        <f>'2029'!R\Max</f>
        <v>0.91211888763496685</v>
      </c>
      <c r="CE149" s="1167">
        <f>'2030'!R\Max</f>
        <v>0.9121143136280726</v>
      </c>
      <c r="CF149" s="1169">
        <f>'2031'!R\Max</f>
        <v>0.91210964156993291</v>
      </c>
    </row>
    <row r="150" spans="1:84" s="6" customFormat="1" ht="11.25" x14ac:dyDescent="0.2">
      <c r="A150" s="11">
        <v>43236</v>
      </c>
      <c r="B150" s="375">
        <f>'2022'!Maxi_hp</f>
        <v>218.18384203188552</v>
      </c>
      <c r="C150" s="13">
        <f>'2022'!An_max</f>
        <v>2022</v>
      </c>
      <c r="D150" s="1045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69">
        <f t="shared" si="80"/>
        <v>43234</v>
      </c>
      <c r="I150" s="743">
        <f t="shared" si="81"/>
        <v>0.14285714285714285</v>
      </c>
      <c r="J150" s="736">
        <f t="shared" si="82"/>
        <v>247.64868804642134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38">
        <v>43236</v>
      </c>
      <c r="AP150" s="13">
        <f t="shared" si="83"/>
        <v>7</v>
      </c>
      <c r="AQ150" s="13">
        <f t="shared" si="84"/>
        <v>6</v>
      </c>
      <c r="AR150" s="169">
        <f t="shared" si="85"/>
        <v>43248</v>
      </c>
      <c r="AS150" s="743">
        <f t="shared" si="86"/>
        <v>0.42857142857142855</v>
      </c>
      <c r="AT150" s="759">
        <f t="shared" si="87"/>
        <v>247.71428571343421</v>
      </c>
      <c r="AU150" s="13">
        <f t="shared" si="88"/>
        <v>7</v>
      </c>
      <c r="AV150" s="13">
        <f t="shared" si="89"/>
        <v>6</v>
      </c>
      <c r="AW150" s="169">
        <f t="shared" si="90"/>
        <v>43262</v>
      </c>
      <c r="AX150" s="743">
        <f t="shared" si="91"/>
        <v>0.9285714285714286</v>
      </c>
      <c r="AY150" s="759">
        <f t="shared" si="92"/>
        <v>247.68640670488986</v>
      </c>
      <c r="AZ150" s="736">
        <f t="shared" si="96"/>
        <v>247.70034620916203</v>
      </c>
      <c r="BA150" s="633">
        <f t="shared" si="93"/>
        <v>0.88102159455408591</v>
      </c>
      <c r="BC150" s="11">
        <v>43236</v>
      </c>
      <c r="BD150" s="286">
        <f>[2]!FeuilCaduc*(1-Persistant)+Persistant</f>
        <v>0.76650014289941526</v>
      </c>
      <c r="BE150" s="287">
        <f>[2]!CroissVégét</f>
        <v>0.2626509368215188</v>
      </c>
      <c r="BF150" s="806">
        <f>1+[2]!Salcycl*Ksac</f>
        <v>1.020812517862427</v>
      </c>
      <c r="BH150" s="1036">
        <f t="shared" si="94"/>
        <v>4.8388839582416202E-3</v>
      </c>
      <c r="BI150" s="11">
        <v>44332</v>
      </c>
      <c r="BJ150" s="716">
        <v>7.4317133023524252E-4</v>
      </c>
      <c r="BK150" s="716">
        <v>1.2576419543102288E-3</v>
      </c>
      <c r="BL150" s="716">
        <v>1.843251379198368E-3</v>
      </c>
      <c r="BM150" s="716">
        <v>2.5892989625564745E-3</v>
      </c>
      <c r="BN150" s="716">
        <v>3.6246820845761939E-3</v>
      </c>
      <c r="BO150" s="717">
        <v>4.851732121803537E-3</v>
      </c>
      <c r="BP150" s="716">
        <v>6.286975046765726E-3</v>
      </c>
      <c r="BQ150" s="716">
        <v>7.8814685421895389E-3</v>
      </c>
      <c r="BR150" s="716">
        <v>9.7847177001064503E-3</v>
      </c>
      <c r="BS150" s="716">
        <v>1.1936004301344979E-2</v>
      </c>
      <c r="BT150" s="716">
        <v>1.4256987382694444E-2</v>
      </c>
      <c r="BW150" s="1166">
        <f>'2022'!R\Max</f>
        <v>0.88102159455408591</v>
      </c>
      <c r="BX150" s="1167">
        <f>'2023'!R\Max</f>
        <v>0.88101565400582416</v>
      </c>
      <c r="BY150" s="1167">
        <f>'2024'!R\Max</f>
        <v>0.88100955372867074</v>
      </c>
      <c r="BZ150" s="1167">
        <f>'2025'!R\Max</f>
        <v>0.88100295312855703</v>
      </c>
      <c r="CA150" s="1167">
        <f>'2026'!R\Max</f>
        <v>0.8809960430753474</v>
      </c>
      <c r="CB150" s="1167">
        <f>'2027'!R\Max</f>
        <v>0.88098816310767691</v>
      </c>
      <c r="CC150" s="1168">
        <f>'2028'!R\Max</f>
        <v>0.88098003419816961</v>
      </c>
      <c r="CD150" s="1167">
        <f>'2029'!R\Max</f>
        <v>0.88102189143000442</v>
      </c>
      <c r="CE150" s="1167">
        <f>'2030'!R\Max</f>
        <v>0.88101595090129403</v>
      </c>
      <c r="CF150" s="1169">
        <f>'2031'!R\Max</f>
        <v>0.88100988358908339</v>
      </c>
    </row>
    <row r="151" spans="1:84" s="6" customFormat="1" ht="11.25" x14ac:dyDescent="0.2">
      <c r="A151" s="11">
        <v>43237</v>
      </c>
      <c r="B151" s="375">
        <f>'2022'!Maxi_hp</f>
        <v>237.87720454038168</v>
      </c>
      <c r="C151" s="13">
        <f>'2022'!An_max</f>
        <v>2022</v>
      </c>
      <c r="D151" s="1045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69">
        <f t="shared" si="80"/>
        <v>43234</v>
      </c>
      <c r="I151" s="743">
        <f t="shared" si="81"/>
        <v>0.21428571428571427</v>
      </c>
      <c r="J151" s="736">
        <f t="shared" si="82"/>
        <v>247.95143950251594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38">
        <v>43237</v>
      </c>
      <c r="AP151" s="13">
        <f t="shared" si="83"/>
        <v>7</v>
      </c>
      <c r="AQ151" s="13">
        <f t="shared" si="84"/>
        <v>6</v>
      </c>
      <c r="AR151" s="169">
        <f t="shared" si="85"/>
        <v>43248</v>
      </c>
      <c r="AS151" s="743">
        <f t="shared" si="86"/>
        <v>0.39285714285714285</v>
      </c>
      <c r="AT151" s="759">
        <f t="shared" si="87"/>
        <v>248.00518176081991</v>
      </c>
      <c r="AU151" s="13">
        <f t="shared" si="88"/>
        <v>7</v>
      </c>
      <c r="AV151" s="13">
        <f t="shared" si="89"/>
        <v>6</v>
      </c>
      <c r="AW151" s="169">
        <f t="shared" si="90"/>
        <v>43262</v>
      </c>
      <c r="AX151" s="743">
        <f t="shared" si="91"/>
        <v>0.8928571428571429</v>
      </c>
      <c r="AY151" s="759">
        <f t="shared" si="92"/>
        <v>248.00890579377966</v>
      </c>
      <c r="AZ151" s="736">
        <f t="shared" si="96"/>
        <v>248.00704377729977</v>
      </c>
      <c r="BA151" s="633">
        <f t="shared" si="93"/>
        <v>0.95937012915776188</v>
      </c>
      <c r="BC151" s="11">
        <v>43237</v>
      </c>
      <c r="BD151" s="286">
        <f>[2]!FeuilCaduc*(1-Persistant)+Persistant</f>
        <v>0.77202907224453754</v>
      </c>
      <c r="BE151" s="287">
        <f>[2]!CroissVégét</f>
        <v>0.27071905354146641</v>
      </c>
      <c r="BF151" s="806">
        <f>1+[2]!Salcycl*Ksac</f>
        <v>1.0215036340305672</v>
      </c>
      <c r="BH151" s="1036">
        <f t="shared" si="94"/>
        <v>4.6827709495312368E-3</v>
      </c>
      <c r="BI151" s="11">
        <v>44333</v>
      </c>
      <c r="BJ151" s="716">
        <v>6.7466281012555055E-4</v>
      </c>
      <c r="BK151" s="716">
        <v>1.1650205891992594E-3</v>
      </c>
      <c r="BL151" s="716">
        <v>1.7282561926612195E-3</v>
      </c>
      <c r="BM151" s="716">
        <v>2.4567233091783458E-3</v>
      </c>
      <c r="BN151" s="716">
        <v>3.4820829677903241E-3</v>
      </c>
      <c r="BO151" s="717">
        <v>4.6954761148837367E-3</v>
      </c>
      <c r="BP151" s="716">
        <v>6.1106549813240993E-3</v>
      </c>
      <c r="BQ151" s="716">
        <v>7.6789797060970539E-3</v>
      </c>
      <c r="BR151" s="716">
        <v>9.5586388498921891E-3</v>
      </c>
      <c r="BS151" s="716">
        <v>1.1691869572652148E-2</v>
      </c>
      <c r="BT151" s="716">
        <v>1.3995825078134955E-2</v>
      </c>
      <c r="BW151" s="1166">
        <f>'2022'!R\Max</f>
        <v>0.95937012915776188</v>
      </c>
      <c r="BX151" s="1167">
        <f>'2023'!R\Max</f>
        <v>0.9593679379575929</v>
      </c>
      <c r="BY151" s="1167">
        <f>'2024'!R\Max</f>
        <v>0.95936568736009176</v>
      </c>
      <c r="BZ151" s="1167">
        <f>'2025'!R\Max</f>
        <v>0.95936325866098937</v>
      </c>
      <c r="CA151" s="1167">
        <f>'2026'!R\Max</f>
        <v>0.95936070932210105</v>
      </c>
      <c r="CB151" s="1167">
        <f>'2027'!R\Max</f>
        <v>0.95935779797824394</v>
      </c>
      <c r="CC151" s="1168">
        <f>'2028'!R\Max</f>
        <v>0.95935478823351439</v>
      </c>
      <c r="CD151" s="1167">
        <f>'2029'!R\Max</f>
        <v>0.95937023866141491</v>
      </c>
      <c r="CE151" s="1167">
        <f>'2030'!R\Max</f>
        <v>0.9593680474693641</v>
      </c>
      <c r="CF151" s="1169">
        <f>'2031'!R\Max</f>
        <v>0.95936580873207189</v>
      </c>
    </row>
    <row r="152" spans="1:84" s="6" customFormat="1" ht="11.25" x14ac:dyDescent="0.2">
      <c r="A152" s="11">
        <v>43238</v>
      </c>
      <c r="B152" s="375">
        <f>'2022'!Maxi_hp</f>
        <v>228.48672372776667</v>
      </c>
      <c r="C152" s="13">
        <f>'2022'!An_max</f>
        <v>2022</v>
      </c>
      <c r="D152" s="1045" t="str">
        <f t="shared" si="78"/>
        <v/>
      </c>
      <c r="E152" s="13"/>
      <c r="F152" s="13">
        <f t="shared" si="95"/>
        <v>11</v>
      </c>
      <c r="G152" s="13">
        <f t="shared" si="79"/>
        <v>12</v>
      </c>
      <c r="H152" s="169">
        <f t="shared" si="80"/>
        <v>43234</v>
      </c>
      <c r="I152" s="743">
        <f t="shared" si="81"/>
        <v>0.2857142857142857</v>
      </c>
      <c r="J152" s="736">
        <f t="shared" si="82"/>
        <v>248.24052478053741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38">
        <v>43238</v>
      </c>
      <c r="AP152" s="13">
        <f t="shared" si="83"/>
        <v>7</v>
      </c>
      <c r="AQ152" s="13">
        <f t="shared" si="84"/>
        <v>6</v>
      </c>
      <c r="AR152" s="169">
        <f t="shared" si="85"/>
        <v>43248</v>
      </c>
      <c r="AS152" s="743">
        <f t="shared" si="86"/>
        <v>0.35714285714285715</v>
      </c>
      <c r="AT152" s="759">
        <f t="shared" si="87"/>
        <v>248.28380101770162</v>
      </c>
      <c r="AU152" s="13">
        <f t="shared" si="88"/>
        <v>7</v>
      </c>
      <c r="AV152" s="13">
        <f t="shared" si="89"/>
        <v>6</v>
      </c>
      <c r="AW152" s="169">
        <f t="shared" si="90"/>
        <v>43262</v>
      </c>
      <c r="AX152" s="743">
        <f t="shared" si="91"/>
        <v>0.8571428571428571</v>
      </c>
      <c r="AY152" s="759">
        <f t="shared" si="92"/>
        <v>248.3177842542529</v>
      </c>
      <c r="AZ152" s="736">
        <f t="shared" si="96"/>
        <v>248.30079263597725</v>
      </c>
      <c r="BA152" s="633">
        <f t="shared" si="93"/>
        <v>0.92042475308882576</v>
      </c>
      <c r="BC152" s="11">
        <v>43238</v>
      </c>
      <c r="BD152" s="286">
        <f>[2]!FeuilCaduc*(1-Persistant)+Persistant</f>
        <v>0.77760712135912158</v>
      </c>
      <c r="BE152" s="287">
        <f>[2]!CroissVégét</f>
        <v>0.27894001398938062</v>
      </c>
      <c r="BF152" s="806">
        <f>1+[2]!Salcycl*Ksac</f>
        <v>1.0222008901698902</v>
      </c>
      <c r="BH152" s="1036">
        <f t="shared" si="94"/>
        <v>4.5224377452157414E-3</v>
      </c>
      <c r="BI152" s="11">
        <v>44334</v>
      </c>
      <c r="BJ152" s="716">
        <v>6.0930946968433487E-4</v>
      </c>
      <c r="BK152" s="716">
        <v>1.0743870766481999E-3</v>
      </c>
      <c r="BL152" s="716">
        <v>1.6144826480995768E-3</v>
      </c>
      <c r="BM152" s="716">
        <v>2.3244496686935174E-3</v>
      </c>
      <c r="BN152" s="716">
        <v>3.3374723869752068E-3</v>
      </c>
      <c r="BO152" s="717">
        <v>4.5349765405084215E-3</v>
      </c>
      <c r="BP152" s="716">
        <v>5.9284355994800126E-3</v>
      </c>
      <c r="BQ152" s="716">
        <v>7.4725277989642373E-3</v>
      </c>
      <c r="BR152" s="716">
        <v>9.3302180582529853E-3</v>
      </c>
      <c r="BS152" s="716">
        <v>1.144773784643599E-2</v>
      </c>
      <c r="BT152" s="716">
        <v>1.3735258957071301E-2</v>
      </c>
      <c r="BW152" s="1166">
        <f>'2022'!R\Max</f>
        <v>0.92042475308882576</v>
      </c>
      <c r="BX152" s="1167">
        <f>'2023'!R\Max</f>
        <v>0.92042067441409536</v>
      </c>
      <c r="BY152" s="1167">
        <f>'2024'!R\Max</f>
        <v>0.92041648169282997</v>
      </c>
      <c r="BZ152" s="1167">
        <f>'2025'!R\Max</f>
        <v>0.92041196146247883</v>
      </c>
      <c r="CA152" s="1167">
        <f>'2026'!R\Max</f>
        <v>0.9204072040064083</v>
      </c>
      <c r="CB152" s="1167">
        <f>'2027'!R\Max</f>
        <v>0.92040176484088732</v>
      </c>
      <c r="CC152" s="1168">
        <f>'2028'!R\Max</f>
        <v>0.92039612887260547</v>
      </c>
      <c r="CD152" s="1167">
        <f>'2029'!R\Max</f>
        <v>0.92042495691820181</v>
      </c>
      <c r="CE152" s="1167">
        <f>'2030'!R\Max</f>
        <v>0.92042087825755603</v>
      </c>
      <c r="CF152" s="1169">
        <f>'2031'!R\Max</f>
        <v>0.9204167075878027</v>
      </c>
    </row>
    <row r="153" spans="1:84" s="6" customFormat="1" ht="11.25" x14ac:dyDescent="0.2">
      <c r="A153" s="11">
        <v>43239</v>
      </c>
      <c r="B153" s="375">
        <f>'2022'!Maxi_hp</f>
        <v>233.25662834485334</v>
      </c>
      <c r="C153" s="13">
        <f>'2022'!An_max</f>
        <v>2022</v>
      </c>
      <c r="D153" s="1045" t="str">
        <f t="shared" si="78"/>
        <v/>
      </c>
      <c r="E153" s="13"/>
      <c r="F153" s="13">
        <f t="shared" si="95"/>
        <v>11</v>
      </c>
      <c r="G153" s="13">
        <f t="shared" si="79"/>
        <v>12</v>
      </c>
      <c r="H153" s="169">
        <f t="shared" si="80"/>
        <v>43234</v>
      </c>
      <c r="I153" s="743">
        <f t="shared" si="81"/>
        <v>0.35714285714285715</v>
      </c>
      <c r="J153" s="736">
        <f t="shared" si="82"/>
        <v>248.5164905231978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38">
        <v>43239</v>
      </c>
      <c r="AP153" s="13">
        <f t="shared" si="83"/>
        <v>7</v>
      </c>
      <c r="AQ153" s="13">
        <f t="shared" si="84"/>
        <v>6</v>
      </c>
      <c r="AR153" s="169">
        <f t="shared" si="85"/>
        <v>43248</v>
      </c>
      <c r="AS153" s="743">
        <f t="shared" si="86"/>
        <v>0.32142857142857145</v>
      </c>
      <c r="AT153" s="759">
        <f t="shared" si="87"/>
        <v>248.55062181124731</v>
      </c>
      <c r="AU153" s="13">
        <f t="shared" si="88"/>
        <v>7</v>
      </c>
      <c r="AV153" s="13">
        <f t="shared" si="89"/>
        <v>6</v>
      </c>
      <c r="AW153" s="169">
        <f t="shared" si="90"/>
        <v>43262</v>
      </c>
      <c r="AX153" s="743">
        <f t="shared" si="91"/>
        <v>0.8214285714285714</v>
      </c>
      <c r="AY153" s="759">
        <f t="shared" si="92"/>
        <v>248.61317875044688</v>
      </c>
      <c r="AZ153" s="736">
        <f t="shared" si="96"/>
        <v>248.58190028084709</v>
      </c>
      <c r="BA153" s="633">
        <f t="shared" si="93"/>
        <v>0.93859617868328127</v>
      </c>
      <c r="BC153" s="11">
        <v>43239</v>
      </c>
      <c r="BD153" s="286">
        <f>[2]!FeuilCaduc*(1-Persistant)+Persistant</f>
        <v>0.78322849363786029</v>
      </c>
      <c r="BE153" s="287">
        <f>[2]!CroissVégét</f>
        <v>0.28731106552397356</v>
      </c>
      <c r="BF153" s="806">
        <f>1+[2]!Salcycl*Ksac</f>
        <v>1.0229035617047326</v>
      </c>
      <c r="BH153" s="1036">
        <f t="shared" si="94"/>
        <v>4.357891739858369E-3</v>
      </c>
      <c r="BI153" s="11">
        <v>44335</v>
      </c>
      <c r="BJ153" s="716">
        <v>5.4710979083774701E-4</v>
      </c>
      <c r="BK153" s="716">
        <v>9.8574160664858666E-4</v>
      </c>
      <c r="BL153" s="716">
        <v>1.5019321794937509E-3</v>
      </c>
      <c r="BM153" s="716">
        <v>2.1924807146878546E-3</v>
      </c>
      <c r="BN153" s="716">
        <v>3.1908554008828025E-3</v>
      </c>
      <c r="BO153" s="717">
        <v>4.3702408179573781E-3</v>
      </c>
      <c r="BP153" s="716">
        <v>5.7403262279410424E-3</v>
      </c>
      <c r="BQ153" s="716">
        <v>7.2621205675690026E-3</v>
      </c>
      <c r="BR153" s="716">
        <v>9.0994616790221593E-3</v>
      </c>
      <c r="BS153" s="716">
        <v>1.1203613158805558E-2</v>
      </c>
      <c r="BT153" s="716">
        <v>1.3475292440225125E-2</v>
      </c>
      <c r="BW153" s="1166">
        <f>'2022'!R\Max</f>
        <v>0.93859617868328127</v>
      </c>
      <c r="BX153" s="1167">
        <f>'2023'!R\Max</f>
        <v>0.93859300380967936</v>
      </c>
      <c r="BY153" s="1167">
        <f>'2024'!R\Max</f>
        <v>0.93858973505999099</v>
      </c>
      <c r="BZ153" s="1167">
        <f>'2025'!R\Max</f>
        <v>0.93858620811676596</v>
      </c>
      <c r="CA153" s="1167">
        <f>'2026'!R\Max</f>
        <v>0.93858248607423478</v>
      </c>
      <c r="CB153" s="1167">
        <f>'2027'!R\Max</f>
        <v>0.93857822709447492</v>
      </c>
      <c r="CC153" s="1168">
        <f>'2028'!R\Max</f>
        <v>0.93857380294821535</v>
      </c>
      <c r="CD153" s="1167">
        <f>'2029'!R\Max</f>
        <v>0.93859633734562165</v>
      </c>
      <c r="CE153" s="1167">
        <f>'2030'!R\Max</f>
        <v>0.93859316248318292</v>
      </c>
      <c r="CF153" s="1169">
        <f>'2031'!R\Max</f>
        <v>0.93858991131607106</v>
      </c>
    </row>
    <row r="154" spans="1:84" s="6" customFormat="1" ht="11.25" x14ac:dyDescent="0.2">
      <c r="A154" s="11">
        <v>43240</v>
      </c>
      <c r="B154" s="375">
        <f>'2022'!Maxi_hp</f>
        <v>209.23269880862148</v>
      </c>
      <c r="C154" s="13">
        <f>'2022'!An_max</f>
        <v>2022</v>
      </c>
      <c r="D154" s="1045" t="str">
        <f t="shared" si="78"/>
        <v/>
      </c>
      <c r="E154" s="13"/>
      <c r="F154" s="13">
        <f t="shared" si="95"/>
        <v>11</v>
      </c>
      <c r="G154" s="13">
        <f t="shared" si="79"/>
        <v>12</v>
      </c>
      <c r="H154" s="169">
        <f t="shared" si="80"/>
        <v>43234</v>
      </c>
      <c r="I154" s="743">
        <f t="shared" si="81"/>
        <v>0.42857142857142855</v>
      </c>
      <c r="J154" s="736">
        <f t="shared" si="82"/>
        <v>248.77988338108571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38">
        <v>43240</v>
      </c>
      <c r="AP154" s="13">
        <f t="shared" si="83"/>
        <v>7</v>
      </c>
      <c r="AQ154" s="13">
        <f t="shared" si="84"/>
        <v>6</v>
      </c>
      <c r="AR154" s="169">
        <f t="shared" si="85"/>
        <v>43248</v>
      </c>
      <c r="AS154" s="743">
        <f t="shared" si="86"/>
        <v>0.2857142857142857</v>
      </c>
      <c r="AT154" s="759">
        <f t="shared" si="87"/>
        <v>248.80612244818894</v>
      </c>
      <c r="AU154" s="13">
        <f t="shared" si="88"/>
        <v>7</v>
      </c>
      <c r="AV154" s="13">
        <f t="shared" si="89"/>
        <v>6</v>
      </c>
      <c r="AW154" s="169">
        <f t="shared" si="90"/>
        <v>43262</v>
      </c>
      <c r="AX154" s="743">
        <f t="shared" si="91"/>
        <v>0.7857142857142857</v>
      </c>
      <c r="AY154" s="759">
        <f t="shared" si="92"/>
        <v>248.89522594596662</v>
      </c>
      <c r="AZ154" s="736">
        <f t="shared" si="96"/>
        <v>248.85067419707778</v>
      </c>
      <c r="BA154" s="633">
        <f t="shared" si="93"/>
        <v>0.84103544050671852</v>
      </c>
      <c r="BC154" s="11">
        <v>43240</v>
      </c>
      <c r="BD154" s="286">
        <f>[2]!FeuilCaduc*(1-Persistant)+Persistant</f>
        <v>0.78888718688019166</v>
      </c>
      <c r="BE154" s="287">
        <f>[2]!CroissVégét</f>
        <v>0.29582909613929492</v>
      </c>
      <c r="BF154" s="806">
        <f>1+[2]!Salcycl*Ksac</f>
        <v>1.0236108983600241</v>
      </c>
      <c r="BH154" s="1036">
        <f t="shared" si="94"/>
        <v>4.1891406674227751E-3</v>
      </c>
      <c r="BI154" s="11">
        <v>44336</v>
      </c>
      <c r="BJ154" s="716">
        <v>4.8806214201413682E-4</v>
      </c>
      <c r="BK154" s="716">
        <v>8.990843353878222E-4</v>
      </c>
      <c r="BL154" s="716">
        <v>1.3906062442231703E-3</v>
      </c>
      <c r="BM154" s="716">
        <v>2.0608192056056139E-3</v>
      </c>
      <c r="BN154" s="716">
        <v>3.0422372818602827E-3</v>
      </c>
      <c r="BO154" s="717">
        <v>4.2012767072420344E-3</v>
      </c>
      <c r="BP154" s="716">
        <v>5.5463366357802876E-3</v>
      </c>
      <c r="BQ154" s="716">
        <v>7.047766118366959E-3</v>
      </c>
      <c r="BR154" s="716">
        <v>8.8663763573960733E-3</v>
      </c>
      <c r="BS154" s="716">
        <v>1.0959499726401492E-2</v>
      </c>
      <c r="BT154" s="716">
        <v>1.3215929109249147E-2</v>
      </c>
      <c r="BW154" s="1166">
        <f>'2022'!R\Max</f>
        <v>0.84103544050671852</v>
      </c>
      <c r="BX154" s="1167">
        <f>'2023'!R\Max</f>
        <v>0.84102816564419336</v>
      </c>
      <c r="BY154" s="1167">
        <f>'2024'!R\Max</f>
        <v>0.84102065785020153</v>
      </c>
      <c r="BZ154" s="1167">
        <f>'2025'!R\Max</f>
        <v>0.84101253625119721</v>
      </c>
      <c r="CA154" s="1167">
        <f>'2026'!R\Max</f>
        <v>0.84100394244510901</v>
      </c>
      <c r="CB154" s="1167">
        <f>'2027'!R\Max</f>
        <v>0.84099410373870387</v>
      </c>
      <c r="CC154" s="1168">
        <f>'2028'!R\Max</f>
        <v>0.84098385595984326</v>
      </c>
      <c r="CD154" s="1167">
        <f>'2029'!R\Max</f>
        <v>0.84103580406565415</v>
      </c>
      <c r="CE154" s="1167">
        <f>'2030'!R\Max</f>
        <v>0.84102852922453586</v>
      </c>
      <c r="CF154" s="1169">
        <f>'2031'!R\Max</f>
        <v>0.84102106372306384</v>
      </c>
    </row>
    <row r="155" spans="1:84" s="6" customFormat="1" ht="11.25" x14ac:dyDescent="0.2">
      <c r="A155" s="11">
        <v>43241</v>
      </c>
      <c r="B155" s="375">
        <f>'2022'!Maxi_hp</f>
        <v>216.80992389695143</v>
      </c>
      <c r="C155" s="13">
        <f>'2022'!An_max</f>
        <v>2022</v>
      </c>
      <c r="D155" s="1045" t="str">
        <f t="shared" si="78"/>
        <v/>
      </c>
      <c r="E155" s="13"/>
      <c r="F155" s="13">
        <f t="shared" si="95"/>
        <v>11</v>
      </c>
      <c r="G155" s="13">
        <f t="shared" si="79"/>
        <v>12</v>
      </c>
      <c r="H155" s="169">
        <f t="shared" si="80"/>
        <v>43234</v>
      </c>
      <c r="I155" s="743">
        <f t="shared" si="81"/>
        <v>0.5</v>
      </c>
      <c r="J155" s="736">
        <f t="shared" si="82"/>
        <v>249.03124999850988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38">
        <v>43241</v>
      </c>
      <c r="AP155" s="13">
        <f t="shared" si="83"/>
        <v>7</v>
      </c>
      <c r="AQ155" s="13">
        <f t="shared" si="84"/>
        <v>6</v>
      </c>
      <c r="AR155" s="169">
        <f t="shared" si="85"/>
        <v>43248</v>
      </c>
      <c r="AS155" s="743">
        <f t="shared" si="86"/>
        <v>0.25</v>
      </c>
      <c r="AT155" s="759">
        <f t="shared" si="87"/>
        <v>249.05078124925495</v>
      </c>
      <c r="AU155" s="13">
        <f t="shared" si="88"/>
        <v>7</v>
      </c>
      <c r="AV155" s="13">
        <f t="shared" si="89"/>
        <v>6</v>
      </c>
      <c r="AW155" s="169">
        <f t="shared" si="90"/>
        <v>43262</v>
      </c>
      <c r="AX155" s="743">
        <f t="shared" si="91"/>
        <v>0.75</v>
      </c>
      <c r="AY155" s="759">
        <f t="shared" si="92"/>
        <v>249.16406249850988</v>
      </c>
      <c r="AZ155" s="736">
        <f t="shared" si="96"/>
        <v>249.1074218738824</v>
      </c>
      <c r="BA155" s="633">
        <f t="shared" si="93"/>
        <v>0.87061332221658427</v>
      </c>
      <c r="BC155" s="11">
        <v>43241</v>
      </c>
      <c r="BD155" s="286">
        <f>[2]!FeuilCaduc*(1-Persistant)+Persistant</f>
        <v>0.79457700746586535</v>
      </c>
      <c r="BE155" s="287">
        <f>[2]!CroissVégét</f>
        <v>0.30449063118118064</v>
      </c>
      <c r="BF155" s="806">
        <f>1+[2]!Salcycl*Ksac</f>
        <v>1.0243221259332331</v>
      </c>
      <c r="BH155" s="1036">
        <f t="shared" si="94"/>
        <v>4.0161926090620725E-3</v>
      </c>
      <c r="BI155" s="11">
        <v>44337</v>
      </c>
      <c r="BJ155" s="716">
        <v>4.3216477237070008E-4</v>
      </c>
      <c r="BK155" s="716">
        <v>8.1441538164109565E-4</v>
      </c>
      <c r="BL155" s="716">
        <v>1.2805063208773319E-3</v>
      </c>
      <c r="BM155" s="716">
        <v>1.9294679842499342E-3</v>
      </c>
      <c r="BN155" s="716">
        <v>2.8916235195931288E-3</v>
      </c>
      <c r="BO155" s="717">
        <v>4.0280923169372998E-3</v>
      </c>
      <c r="BP155" s="716">
        <v>5.3464770452914716E-3</v>
      </c>
      <c r="BQ155" s="716">
        <v>6.8294729247350338E-3</v>
      </c>
      <c r="BR155" s="716">
        <v>8.6309690341320015E-3</v>
      </c>
      <c r="BS155" s="716">
        <v>1.0715401946193387E-2</v>
      </c>
      <c r="BT155" s="716">
        <v>1.2957172705351695E-2</v>
      </c>
      <c r="BW155" s="1166">
        <f>'2022'!R\Max</f>
        <v>0.87061332221658427</v>
      </c>
      <c r="BX155" s="1167">
        <f>'2023'!R\Max</f>
        <v>0.8706072770448734</v>
      </c>
      <c r="BY155" s="1167">
        <f>'2024'!R\Max</f>
        <v>0.87060101746341212</v>
      </c>
      <c r="BZ155" s="1167">
        <f>'2025'!R\Max</f>
        <v>0.87059421662867364</v>
      </c>
      <c r="CA155" s="1167">
        <f>'2026'!R\Max</f>
        <v>0.87058700113004972</v>
      </c>
      <c r="CB155" s="1167">
        <f>'2027'!R\Max</f>
        <v>0.87057873845858957</v>
      </c>
      <c r="CC155" s="1168">
        <f>'2028'!R\Max</f>
        <v>0.87057010708619598</v>
      </c>
      <c r="CD155" s="1167">
        <f>'2029'!R\Max</f>
        <v>0.87061362432173828</v>
      </c>
      <c r="CE155" s="1167">
        <f>'2030'!R\Max</f>
        <v>0.87060757916853038</v>
      </c>
      <c r="CF155" s="1169">
        <f>'2031'!R\Max</f>
        <v>0.87060135733117339</v>
      </c>
    </row>
    <row r="156" spans="1:84" s="6" customFormat="1" ht="11.25" x14ac:dyDescent="0.2">
      <c r="A156" s="11">
        <v>43242</v>
      </c>
      <c r="B156" s="375">
        <f>'2022'!Maxi_hp</f>
        <v>161.47746440788973</v>
      </c>
      <c r="C156" s="13">
        <f>'2022'!An_max</f>
        <v>2022</v>
      </c>
      <c r="D156" s="1045" t="str">
        <f t="shared" si="78"/>
        <v/>
      </c>
      <c r="E156" s="13"/>
      <c r="F156" s="13">
        <f t="shared" si="95"/>
        <v>11</v>
      </c>
      <c r="G156" s="13">
        <f t="shared" si="79"/>
        <v>12</v>
      </c>
      <c r="H156" s="169">
        <f t="shared" si="80"/>
        <v>43234</v>
      </c>
      <c r="I156" s="743">
        <f t="shared" si="81"/>
        <v>0.5714285714285714</v>
      </c>
      <c r="J156" s="736">
        <f t="shared" si="82"/>
        <v>249.27113702467508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38">
        <v>43242</v>
      </c>
      <c r="AP156" s="13">
        <f t="shared" si="83"/>
        <v>7</v>
      </c>
      <c r="AQ156" s="13">
        <f t="shared" si="84"/>
        <v>6</v>
      </c>
      <c r="AR156" s="169">
        <f t="shared" si="85"/>
        <v>43248</v>
      </c>
      <c r="AS156" s="743">
        <f t="shared" si="86"/>
        <v>0.21428571428571427</v>
      </c>
      <c r="AT156" s="759">
        <f t="shared" si="87"/>
        <v>249.28507653070346</v>
      </c>
      <c r="AU156" s="13">
        <f t="shared" si="88"/>
        <v>7</v>
      </c>
      <c r="AV156" s="13">
        <f t="shared" si="89"/>
        <v>6</v>
      </c>
      <c r="AW156" s="169">
        <f t="shared" si="90"/>
        <v>43262</v>
      </c>
      <c r="AX156" s="743">
        <f t="shared" si="91"/>
        <v>0.7142857142857143</v>
      </c>
      <c r="AY156" s="759">
        <f t="shared" si="92"/>
        <v>249.41982507173503</v>
      </c>
      <c r="AZ156" s="736">
        <f t="shared" si="96"/>
        <v>249.35245080121925</v>
      </c>
      <c r="BA156" s="633">
        <f t="shared" si="93"/>
        <v>0.64779848295033549</v>
      </c>
      <c r="BC156" s="11">
        <v>43242</v>
      </c>
      <c r="BD156" s="286">
        <f>[2]!FeuilCaduc*(1-Persistant)+Persistant</f>
        <v>0.80029158597999939</v>
      </c>
      <c r="BE156" s="287">
        <f>[2]!CroissVégét</f>
        <v>0.3132918316722918</v>
      </c>
      <c r="BF156" s="806">
        <f>1+[2]!Salcycl*Ksac</f>
        <v>1.0250364482474998</v>
      </c>
      <c r="BH156" s="1036">
        <f t="shared" si="94"/>
        <v>3.8423716046261012E-3</v>
      </c>
      <c r="BI156" s="11">
        <v>44338</v>
      </c>
      <c r="BJ156" s="716">
        <v>3.808511590021414E-4</v>
      </c>
      <c r="BK156" s="716">
        <v>7.3449207293824507E-4</v>
      </c>
      <c r="BL156" s="716">
        <v>1.1752965858462057E-3</v>
      </c>
      <c r="BM156" s="716">
        <v>1.802309342888977E-3</v>
      </c>
      <c r="BN156" s="716">
        <v>2.7425407145834409E-3</v>
      </c>
      <c r="BO156" s="717">
        <v>3.8540095434830544E-3</v>
      </c>
      <c r="BP156" s="716">
        <v>5.1443929090820607E-3</v>
      </c>
      <c r="BQ156" s="716">
        <v>6.6119210377281459E-3</v>
      </c>
      <c r="BR156" s="716">
        <v>8.3986002444719036E-3</v>
      </c>
      <c r="BS156" s="716">
        <v>1.0476308943851468E-2</v>
      </c>
      <c r="BT156" s="716">
        <v>1.2702662585132037E-2</v>
      </c>
      <c r="BW156" s="1166">
        <f>'2022'!R\Max</f>
        <v>0.64779848295033549</v>
      </c>
      <c r="BX156" s="1167">
        <f>'2023'!R\Max</f>
        <v>0.64778642453203195</v>
      </c>
      <c r="BY156" s="1167">
        <f>'2024'!R\Max</f>
        <v>0.64777388169053052</v>
      </c>
      <c r="BZ156" s="1167">
        <f>'2025'!R\Max</f>
        <v>0.64776016682059001</v>
      </c>
      <c r="CA156" s="1167">
        <f>'2026'!R\Max</f>
        <v>0.64774557934591825</v>
      </c>
      <c r="CB156" s="1167">
        <f>'2027'!R\Max</f>
        <v>0.64772888031419096</v>
      </c>
      <c r="CC156" s="1168">
        <f>'2028'!R\Max</f>
        <v>0.64771138515682447</v>
      </c>
      <c r="CD156" s="1167">
        <f>'2029'!R\Max</f>
        <v>0.64779908557294308</v>
      </c>
      <c r="CE156" s="1167">
        <f>'2030'!R\Max</f>
        <v>0.64778702717679448</v>
      </c>
      <c r="CF156" s="1169">
        <f>'2031'!R\Max</f>
        <v>0.64777456709292547</v>
      </c>
    </row>
    <row r="157" spans="1:84" s="6" customFormat="1" ht="11.25" x14ac:dyDescent="0.2">
      <c r="A157" s="11">
        <v>43243</v>
      </c>
      <c r="B157" s="375">
        <f>'2022'!Maxi_hp</f>
        <v>76.340118544005392</v>
      </c>
      <c r="C157" s="13">
        <f>'2022'!An_max</f>
        <v>2022</v>
      </c>
      <c r="D157" s="1045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69">
        <f t="shared" si="80"/>
        <v>43234</v>
      </c>
      <c r="I157" s="743">
        <f t="shared" si="81"/>
        <v>0.6428571428571429</v>
      </c>
      <c r="J157" s="736">
        <f t="shared" si="82"/>
        <v>249.50009110399657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38">
        <v>43243</v>
      </c>
      <c r="AP157" s="13">
        <f t="shared" si="83"/>
        <v>7</v>
      </c>
      <c r="AQ157" s="13">
        <f t="shared" si="84"/>
        <v>6</v>
      </c>
      <c r="AR157" s="169">
        <f t="shared" si="85"/>
        <v>43248</v>
      </c>
      <c r="AS157" s="743">
        <f t="shared" si="86"/>
        <v>0.17857142857142858</v>
      </c>
      <c r="AT157" s="759">
        <f t="shared" si="87"/>
        <v>249.50948660873937</v>
      </c>
      <c r="AU157" s="13">
        <f t="shared" si="88"/>
        <v>7</v>
      </c>
      <c r="AV157" s="13">
        <f t="shared" si="89"/>
        <v>6</v>
      </c>
      <c r="AW157" s="169">
        <f t="shared" si="90"/>
        <v>43262</v>
      </c>
      <c r="AX157" s="743">
        <f t="shared" si="91"/>
        <v>0.6785714285714286</v>
      </c>
      <c r="AY157" s="759">
        <f t="shared" si="92"/>
        <v>249.66265032754413</v>
      </c>
      <c r="AZ157" s="736">
        <f t="shared" si="96"/>
        <v>249.58606846814175</v>
      </c>
      <c r="BA157" s="633">
        <f t="shared" si="93"/>
        <v>0.30597230728940022</v>
      </c>
      <c r="BC157" s="11">
        <v>43243</v>
      </c>
      <c r="BD157" s="286">
        <f>[2]!FeuilCaduc*(1-Persistant)+Persistant</f>
        <v>0.80602439424666517</v>
      </c>
      <c r="BE157" s="287">
        <f>[2]!CroissVégét</f>
        <v>0.3222284943358365</v>
      </c>
      <c r="BF157" s="806">
        <f>1+[2]!Salcycl*Ksac</f>
        <v>1.0257530492808331</v>
      </c>
      <c r="BH157" s="1036">
        <f t="shared" si="94"/>
        <v>3.6697499996114703E-3</v>
      </c>
      <c r="BI157" s="11">
        <v>44339</v>
      </c>
      <c r="BJ157" s="716">
        <v>3.3367531610688488E-4</v>
      </c>
      <c r="BK157" s="716">
        <v>6.6025669446163893E-4</v>
      </c>
      <c r="BL157" s="716">
        <v>1.0764675106681319E-3</v>
      </c>
      <c r="BM157" s="716">
        <v>1.6807782219170246E-3</v>
      </c>
      <c r="BN157" s="716">
        <v>2.5964818554291063E-3</v>
      </c>
      <c r="BO157" s="717">
        <v>3.6811068628821732E-3</v>
      </c>
      <c r="BP157" s="716">
        <v>4.9431075476244583E-3</v>
      </c>
      <c r="BQ157" s="716">
        <v>6.3992636268759215E-3</v>
      </c>
      <c r="BR157" s="716">
        <v>8.1745393542073212E-3</v>
      </c>
      <c r="BS157" s="716">
        <v>1.0247451627018374E-2</v>
      </c>
      <c r="BT157" s="716">
        <v>1.245669431622643E-2</v>
      </c>
      <c r="BW157" s="1166">
        <f>'2022'!R\Max</f>
        <v>0.30597230728940022</v>
      </c>
      <c r="BX157" s="1167">
        <f>'2023'!R\Max</f>
        <v>0.30596126262916074</v>
      </c>
      <c r="BY157" s="1167">
        <f>'2024'!R\Max</f>
        <v>0.3059497060179126</v>
      </c>
      <c r="BZ157" s="1167">
        <f>'2025'!R\Max</f>
        <v>0.30593696214972593</v>
      </c>
      <c r="CA157" s="1167">
        <f>'2026'!R\Max</f>
        <v>0.30592337682522891</v>
      </c>
      <c r="CB157" s="1167">
        <f>'2027'!R\Max</f>
        <v>0.30590784008745064</v>
      </c>
      <c r="CC157" s="1168">
        <f>'2028'!R\Max</f>
        <v>0.30589151853445512</v>
      </c>
      <c r="CD157" s="1167">
        <f>'2029'!R\Max</f>
        <v>0.30597285925965656</v>
      </c>
      <c r="CE157" s="1167">
        <f>'2030'!R\Max</f>
        <v>0.30596181459976035</v>
      </c>
      <c r="CF157" s="1169">
        <f>'2031'!R\Max</f>
        <v>0.30595034290810974</v>
      </c>
    </row>
    <row r="158" spans="1:84" s="6" customFormat="1" ht="11.25" x14ac:dyDescent="0.2">
      <c r="A158" s="11">
        <v>43244</v>
      </c>
      <c r="B158" s="375">
        <f>'2022'!Maxi_hp</f>
        <v>71.303952619231396</v>
      </c>
      <c r="C158" s="13">
        <f>'2022'!An_max</f>
        <v>2022</v>
      </c>
      <c r="D158" s="1045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69">
        <f t="shared" si="80"/>
        <v>43234</v>
      </c>
      <c r="I158" s="743">
        <f t="shared" si="81"/>
        <v>0.7142857142857143</v>
      </c>
      <c r="J158" s="736">
        <f t="shared" si="82"/>
        <v>249.71865889004297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38">
        <v>43244</v>
      </c>
      <c r="AP158" s="13">
        <f t="shared" si="83"/>
        <v>7</v>
      </c>
      <c r="AQ158" s="13">
        <f t="shared" si="84"/>
        <v>6</v>
      </c>
      <c r="AR158" s="169">
        <f t="shared" si="85"/>
        <v>43248</v>
      </c>
      <c r="AS158" s="743">
        <f t="shared" si="86"/>
        <v>0.14285714285714285</v>
      </c>
      <c r="AT158" s="759">
        <f t="shared" si="87"/>
        <v>249.72448979488439</v>
      </c>
      <c r="AU158" s="13">
        <f t="shared" si="88"/>
        <v>7</v>
      </c>
      <c r="AV158" s="13">
        <f t="shared" si="89"/>
        <v>6</v>
      </c>
      <c r="AW158" s="169">
        <f t="shared" si="90"/>
        <v>43262</v>
      </c>
      <c r="AX158" s="743">
        <f t="shared" si="91"/>
        <v>0.6428571428571429</v>
      </c>
      <c r="AY158" s="759">
        <f t="shared" si="92"/>
        <v>249.89267492432683</v>
      </c>
      <c r="AZ158" s="736">
        <f t="shared" si="96"/>
        <v>249.80858235960562</v>
      </c>
      <c r="BA158" s="633">
        <f t="shared" si="93"/>
        <v>0.28553714382483614</v>
      </c>
      <c r="BC158" s="11">
        <v>43244</v>
      </c>
      <c r="BD158" s="286">
        <f>[2]!FeuilCaduc*(1-Persistant)+Persistant</f>
        <v>0.81176876371646534</v>
      </c>
      <c r="BE158" s="287">
        <f>[2]!CroissVégét</f>
        <v>0.33129605339749552</v>
      </c>
      <c r="BF158" s="806">
        <f>1+[2]!Salcycl*Ksac</f>
        <v>1.0264710954645582</v>
      </c>
      <c r="BH158" s="1036">
        <f t="shared" si="94"/>
        <v>3.4983199414242269E-3</v>
      </c>
      <c r="BI158" s="11">
        <v>44340</v>
      </c>
      <c r="BJ158" s="716">
        <v>2.9063342703436034E-4</v>
      </c>
      <c r="BK158" s="716">
        <v>5.9170363861765828E-4</v>
      </c>
      <c r="BL158" s="716">
        <v>9.8401219941495637E-4</v>
      </c>
      <c r="BM158" s="716">
        <v>1.5648672438251729E-3</v>
      </c>
      <c r="BN158" s="716">
        <v>2.4534400335233493E-3</v>
      </c>
      <c r="BO158" s="717">
        <v>3.5093764125518363E-3</v>
      </c>
      <c r="BP158" s="716">
        <v>4.7426098546201082E-3</v>
      </c>
      <c r="BQ158" s="716">
        <v>6.1914797024662412E-3</v>
      </c>
      <c r="BR158" s="716">
        <v>7.9587550015144688E-3</v>
      </c>
      <c r="BS158" s="716">
        <v>1.0028788460022251E-2</v>
      </c>
      <c r="BT158" s="716">
        <v>1.2219220330712047E-2</v>
      </c>
      <c r="BW158" s="1166">
        <f>'2022'!R\Max</f>
        <v>0.28553714382483614</v>
      </c>
      <c r="BX158" s="1167">
        <f>'2023'!R\Max</f>
        <v>0.28552692159263515</v>
      </c>
      <c r="BY158" s="1167">
        <f>'2024'!R\Max</f>
        <v>0.2855161446322636</v>
      </c>
      <c r="BZ158" s="1167">
        <f>'2025'!R\Max</f>
        <v>0.2855041349968544</v>
      </c>
      <c r="CA158" s="1167">
        <f>'2026'!R\Max</f>
        <v>0.28549130625904801</v>
      </c>
      <c r="CB158" s="1167">
        <f>'2027'!R\Max</f>
        <v>0.28547665737112971</v>
      </c>
      <c r="CC158" s="1168">
        <f>'2028'!R\Max</f>
        <v>0.28546122963446552</v>
      </c>
      <c r="CD158" s="1167">
        <f>'2029'!R\Max</f>
        <v>0.28553765469342318</v>
      </c>
      <c r="CE158" s="1167">
        <f>'2030'!R\Max</f>
        <v>0.28552743246122214</v>
      </c>
      <c r="CF158" s="1169">
        <f>'2031'!R\Max</f>
        <v>0.28551674482851747</v>
      </c>
    </row>
    <row r="159" spans="1:84" s="6" customFormat="1" ht="11.25" x14ac:dyDescent="0.2">
      <c r="A159" s="11">
        <v>43245</v>
      </c>
      <c r="B159" s="375">
        <f>'2022'!Maxi_hp</f>
        <v>176.95070353905541</v>
      </c>
      <c r="C159" s="13">
        <f>'2022'!An_max</f>
        <v>2022</v>
      </c>
      <c r="D159" s="1045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69">
        <f t="shared" si="80"/>
        <v>43234</v>
      </c>
      <c r="I159" s="743">
        <f t="shared" si="81"/>
        <v>0.7857142857142857</v>
      </c>
      <c r="J159" s="736">
        <f t="shared" si="82"/>
        <v>249.92738702361075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38">
        <v>43245</v>
      </c>
      <c r="AP159" s="13">
        <f t="shared" si="83"/>
        <v>7</v>
      </c>
      <c r="AQ159" s="13">
        <f t="shared" si="84"/>
        <v>6</v>
      </c>
      <c r="AR159" s="169">
        <f t="shared" si="85"/>
        <v>43248</v>
      </c>
      <c r="AS159" s="743">
        <f t="shared" si="86"/>
        <v>0.10714285714285714</v>
      </c>
      <c r="AT159" s="759">
        <f t="shared" si="87"/>
        <v>249.93056441444369</v>
      </c>
      <c r="AU159" s="13">
        <f t="shared" si="88"/>
        <v>7</v>
      </c>
      <c r="AV159" s="13">
        <f t="shared" si="89"/>
        <v>6</v>
      </c>
      <c r="AW159" s="169">
        <f t="shared" si="90"/>
        <v>43262</v>
      </c>
      <c r="AX159" s="743">
        <f t="shared" si="91"/>
        <v>0.6071428571428571</v>
      </c>
      <c r="AY159" s="759">
        <f t="shared" si="92"/>
        <v>250.11003552946664</v>
      </c>
      <c r="AZ159" s="736">
        <f t="shared" si="96"/>
        <v>250.02029997195518</v>
      </c>
      <c r="BA159" s="633">
        <f t="shared" si="93"/>
        <v>0.7080084565615804</v>
      </c>
      <c r="BC159" s="11">
        <v>43245</v>
      </c>
      <c r="BD159" s="286">
        <f>[2]!FeuilCaduc*(1-Persistant)+Persistant</f>
        <v>0.81751790514011213</v>
      </c>
      <c r="BE159" s="287">
        <f>[2]!CroissVégét</f>
        <v>0.34048958423292969</v>
      </c>
      <c r="BF159" s="806">
        <f>1+[2]!Salcycl*Ksac</f>
        <v>1.0271897381425139</v>
      </c>
      <c r="BH159" s="1036">
        <f t="shared" si="94"/>
        <v>3.3280929728493314E-3</v>
      </c>
      <c r="BI159" s="11">
        <v>44341</v>
      </c>
      <c r="BJ159" s="716">
        <v>2.5172321471067814E-4</v>
      </c>
      <c r="BK159" s="716">
        <v>5.288304855700116E-4</v>
      </c>
      <c r="BL159" s="716">
        <v>8.9792911650159949E-4</v>
      </c>
      <c r="BM159" s="716">
        <v>1.4545776478671118E-3</v>
      </c>
      <c r="BN159" s="716">
        <v>2.3134219815405142E-3</v>
      </c>
      <c r="BO159" s="717">
        <v>3.3388297861755311E-3</v>
      </c>
      <c r="BP159" s="716">
        <v>4.5429147535661213E-3</v>
      </c>
      <c r="BQ159" s="716">
        <v>5.9885813150315831E-3</v>
      </c>
      <c r="BR159" s="716">
        <v>7.7512575555041393E-3</v>
      </c>
      <c r="BS159" s="716">
        <v>9.8203299431567446E-3</v>
      </c>
      <c r="BT159" s="716">
        <v>1.1990256521954188E-2</v>
      </c>
      <c r="BW159" s="1166">
        <f>'2022'!R\Max</f>
        <v>0.7080084565615804</v>
      </c>
      <c r="BX159" s="1167">
        <f>'2023'!R\Max</f>
        <v>0.70799806897928297</v>
      </c>
      <c r="BY159" s="1167">
        <f>'2024'!R\Max</f>
        <v>0.70798701495566907</v>
      </c>
      <c r="BZ159" s="1167">
        <f>'2025'!R\Max</f>
        <v>0.70797454215385536</v>
      </c>
      <c r="CA159" s="1167">
        <f>'2026'!R\Max</f>
        <v>0.70796119468731411</v>
      </c>
      <c r="CB159" s="1167">
        <f>'2027'!R\Max</f>
        <v>0.70794598518367269</v>
      </c>
      <c r="CC159" s="1168">
        <f>'2028'!R\Max</f>
        <v>0.70792992987618497</v>
      </c>
      <c r="CD159" s="1167">
        <f>'2029'!R\Max</f>
        <v>0.70800897568256671</v>
      </c>
      <c r="CE159" s="1167">
        <f>'2030'!R\Max</f>
        <v>0.70799858812155458</v>
      </c>
      <c r="CF159" s="1169">
        <f>'2031'!R\Max</f>
        <v>0.70798763828312128</v>
      </c>
    </row>
    <row r="160" spans="1:84" s="6" customFormat="1" ht="11.25" x14ac:dyDescent="0.2">
      <c r="A160" s="11">
        <v>43246</v>
      </c>
      <c r="B160" s="375">
        <f>'2022'!Maxi_hp</f>
        <v>113.80549834136734</v>
      </c>
      <c r="C160" s="13">
        <f>'2022'!An_max</f>
        <v>2022</v>
      </c>
      <c r="D160" s="1045" t="str">
        <f t="shared" si="78"/>
        <v/>
      </c>
      <c r="E160" s="13"/>
      <c r="F160" s="13">
        <f t="shared" si="95"/>
        <v>11</v>
      </c>
      <c r="G160" s="13">
        <f t="shared" si="79"/>
        <v>12</v>
      </c>
      <c r="H160" s="169">
        <f t="shared" si="80"/>
        <v>43234</v>
      </c>
      <c r="I160" s="743">
        <f t="shared" si="81"/>
        <v>0.8571428571428571</v>
      </c>
      <c r="J160" s="736">
        <f t="shared" si="82"/>
        <v>250.12682215571402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38">
        <v>43246</v>
      </c>
      <c r="AP160" s="13">
        <f t="shared" si="83"/>
        <v>7</v>
      </c>
      <c r="AQ160" s="13">
        <f t="shared" si="84"/>
        <v>6</v>
      </c>
      <c r="AR160" s="169">
        <f t="shared" si="85"/>
        <v>43248</v>
      </c>
      <c r="AS160" s="743">
        <f t="shared" si="86"/>
        <v>7.1428571428571425E-2</v>
      </c>
      <c r="AT160" s="759">
        <f t="shared" si="87"/>
        <v>250.128188776012</v>
      </c>
      <c r="AU160" s="13">
        <f t="shared" si="88"/>
        <v>7</v>
      </c>
      <c r="AV160" s="13">
        <f t="shared" si="89"/>
        <v>6</v>
      </c>
      <c r="AW160" s="169">
        <f t="shared" si="90"/>
        <v>43262</v>
      </c>
      <c r="AX160" s="743">
        <f t="shared" si="91"/>
        <v>0.5714285714285714</v>
      </c>
      <c r="AY160" s="759">
        <f t="shared" si="92"/>
        <v>250.31486880396096</v>
      </c>
      <c r="AZ160" s="736">
        <f t="shared" si="96"/>
        <v>250.22152878998648</v>
      </c>
      <c r="BA160" s="633">
        <f t="shared" si="93"/>
        <v>0.45499118151558665</v>
      </c>
      <c r="BC160" s="11">
        <v>43246</v>
      </c>
      <c r="BD160" s="286">
        <f>[2]!FeuilCaduc*(1-Persistant)+Persistant</f>
        <v>0.82326492944677909</v>
      </c>
      <c r="BE160" s="287">
        <f>[2]!CroissVégét</f>
        <v>0.34980380891459434</v>
      </c>
      <c r="BF160" s="806">
        <f>1+[2]!Salcycl*Ksac</f>
        <v>1.0279081161808474</v>
      </c>
      <c r="BH160" s="1036">
        <f t="shared" si="94"/>
        <v>3.1590797594957054E-3</v>
      </c>
      <c r="BI160" s="11">
        <v>44342</v>
      </c>
      <c r="BJ160" s="716">
        <v>2.1694180509947264E-4</v>
      </c>
      <c r="BK160" s="716">
        <v>4.7163395329355407E-4</v>
      </c>
      <c r="BL160" s="716">
        <v>8.1821569024525642E-4</v>
      </c>
      <c r="BM160" s="716">
        <v>1.3499096072314145E-3</v>
      </c>
      <c r="BN160" s="716">
        <v>2.1764335015180269E-3</v>
      </c>
      <c r="BO160" s="717">
        <v>3.1694777008264082E-3</v>
      </c>
      <c r="BP160" s="716">
        <v>4.3440362015744272E-3</v>
      </c>
      <c r="BQ160" s="716">
        <v>5.7905791150259763E-3</v>
      </c>
      <c r="BR160" s="716">
        <v>7.5520556154229012E-3</v>
      </c>
      <c r="BS160" s="716">
        <v>9.6220846057025588E-3</v>
      </c>
      <c r="BT160" s="716">
        <v>1.1769816895891162E-2</v>
      </c>
      <c r="BW160" s="1166">
        <f>'2022'!R\Max</f>
        <v>0.45499118151558665</v>
      </c>
      <c r="BX160" s="1167">
        <f>'2023'!R\Max</f>
        <v>0.454978951693155</v>
      </c>
      <c r="BY160" s="1167">
        <f>'2024'!R\Max</f>
        <v>0.45496579033266699</v>
      </c>
      <c r="BZ160" s="1167">
        <f>'2025'!R\Max</f>
        <v>0.45495072802983944</v>
      </c>
      <c r="CA160" s="1167">
        <f>'2026'!R\Max</f>
        <v>0.45493458698132688</v>
      </c>
      <c r="CB160" s="1167">
        <f>'2027'!R\Max</f>
        <v>0.45491624464143715</v>
      </c>
      <c r="CC160" s="1168">
        <f>'2028'!R\Max</f>
        <v>0.45489684522153212</v>
      </c>
      <c r="CD160" s="1167">
        <f>'2029'!R\Max</f>
        <v>0.45499179271105111</v>
      </c>
      <c r="CE160" s="1167">
        <f>'2030'!R\Max</f>
        <v>0.45497956289796376</v>
      </c>
      <c r="CF160" s="1169">
        <f>'2031'!R\Max</f>
        <v>0.45496654308227674</v>
      </c>
    </row>
    <row r="161" spans="1:84" s="6" customFormat="1" ht="11.25" x14ac:dyDescent="0.2">
      <c r="A161" s="11">
        <v>43247</v>
      </c>
      <c r="B161" s="375">
        <f>'2022'!Maxi_hp</f>
        <v>191.62350448293552</v>
      </c>
      <c r="C161" s="13">
        <f>'2022'!An_max</f>
        <v>2022</v>
      </c>
      <c r="D161" s="1045" t="str">
        <f t="shared" si="78"/>
        <v/>
      </c>
      <c r="E161" s="13"/>
      <c r="F161" s="13">
        <f t="shared" si="95"/>
        <v>11</v>
      </c>
      <c r="G161" s="13">
        <f t="shared" si="79"/>
        <v>12</v>
      </c>
      <c r="H161" s="169">
        <f t="shared" si="80"/>
        <v>43234</v>
      </c>
      <c r="I161" s="743">
        <f t="shared" si="81"/>
        <v>0.9285714285714286</v>
      </c>
      <c r="J161" s="736">
        <f t="shared" si="82"/>
        <v>250.31751092981017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38">
        <v>43247</v>
      </c>
      <c r="AP161" s="13">
        <f t="shared" si="83"/>
        <v>7</v>
      </c>
      <c r="AQ161" s="13">
        <f t="shared" si="84"/>
        <v>6</v>
      </c>
      <c r="AR161" s="169">
        <f t="shared" si="85"/>
        <v>43248</v>
      </c>
      <c r="AS161" s="743">
        <f t="shared" si="86"/>
        <v>3.5714285714285712E-2</v>
      </c>
      <c r="AT161" s="759">
        <f t="shared" si="87"/>
        <v>250.31784120021126</v>
      </c>
      <c r="AU161" s="13">
        <f t="shared" si="88"/>
        <v>7</v>
      </c>
      <c r="AV161" s="13">
        <f t="shared" si="89"/>
        <v>6</v>
      </c>
      <c r="AW161" s="169">
        <f t="shared" si="90"/>
        <v>43262</v>
      </c>
      <c r="AX161" s="743">
        <f t="shared" si="91"/>
        <v>0.5357142857142857</v>
      </c>
      <c r="AY161" s="759">
        <f t="shared" si="92"/>
        <v>250.50731140534791</v>
      </c>
      <c r="AZ161" s="736">
        <f t="shared" si="96"/>
        <v>250.4125763027796</v>
      </c>
      <c r="BA161" s="633">
        <f t="shared" si="93"/>
        <v>0.76552177181350833</v>
      </c>
      <c r="BC161" s="11">
        <v>43247</v>
      </c>
      <c r="BD161" s="286">
        <f>[2]!FeuilCaduc*(1-Persistant)+Persistant</f>
        <v>0.82900286973316695</v>
      </c>
      <c r="BE161" s="287">
        <f>[2]!CroissVégét</f>
        <v>0.35923310369654604</v>
      </c>
      <c r="BF161" s="806">
        <f>1+[2]!Salcycl*Ksac</f>
        <v>1.0286253587166458</v>
      </c>
      <c r="BH161" s="1036">
        <f t="shared" si="94"/>
        <v>2.9912901024335145E-3</v>
      </c>
      <c r="BI161" s="11">
        <v>44343</v>
      </c>
      <c r="BJ161" s="716">
        <v>1.8628577346506279E-4</v>
      </c>
      <c r="BK161" s="716">
        <v>4.201099611223036E-4</v>
      </c>
      <c r="BL161" s="716">
        <v>7.4486838407524902E-4</v>
      </c>
      <c r="BM161" s="716">
        <v>1.2508622916730346E-3</v>
      </c>
      <c r="BN161" s="716">
        <v>2.042479498100934E-3</v>
      </c>
      <c r="BO161" s="717">
        <v>3.0013300093865037E-3</v>
      </c>
      <c r="BP161" s="716">
        <v>4.1459871974498337E-3</v>
      </c>
      <c r="BQ161" s="716">
        <v>5.5974824071481138E-3</v>
      </c>
      <c r="BR161" s="716">
        <v>7.3611561035839962E-3</v>
      </c>
      <c r="BS161" s="716">
        <v>9.4340591208325018E-3</v>
      </c>
      <c r="BT161" s="716">
        <v>1.1557913667047099E-2</v>
      </c>
      <c r="BW161" s="1166">
        <f>'2022'!R\Max</f>
        <v>0.76552177181350833</v>
      </c>
      <c r="BX161" s="1167">
        <f>'2023'!R\Max</f>
        <v>0.76551309087997343</v>
      </c>
      <c r="BY161" s="1167">
        <f>'2024'!R\Max</f>
        <v>0.76550362229006264</v>
      </c>
      <c r="BZ161" s="1167">
        <f>'2025'!R\Max</f>
        <v>0.76549261323348494</v>
      </c>
      <c r="CA161" s="1167">
        <f>'2026'!R\Max</f>
        <v>0.76548080248650952</v>
      </c>
      <c r="CB161" s="1167">
        <f>'2027'!R\Max</f>
        <v>0.76546742400558221</v>
      </c>
      <c r="CC161" s="1168">
        <f>'2028'!R\Max</f>
        <v>0.76545325098958028</v>
      </c>
      <c r="CD161" s="1167">
        <f>'2029'!R\Max</f>
        <v>0.76552220564354945</v>
      </c>
      <c r="CE161" s="1167">
        <f>'2030'!R\Max</f>
        <v>0.76551352472954926</v>
      </c>
      <c r="CF161" s="1169">
        <f>'2031'!R\Max</f>
        <v>0.76550417246466984</v>
      </c>
    </row>
    <row r="162" spans="1:84" s="6" customFormat="1" ht="11.25" x14ac:dyDescent="0.2">
      <c r="A162" s="11">
        <v>43248</v>
      </c>
      <c r="B162" s="375">
        <f>'2022'!Maxi_hp</f>
        <v>235.7806603297476</v>
      </c>
      <c r="C162" s="13">
        <f>'2022'!An_max</f>
        <v>2022</v>
      </c>
      <c r="D162" s="1045" t="str">
        <f t="shared" si="78"/>
        <v/>
      </c>
      <c r="E162" s="1040">
        <f>X$13/10</f>
        <v>250.5</v>
      </c>
      <c r="F162" s="13">
        <f t="shared" si="95"/>
        <v>13</v>
      </c>
      <c r="G162" s="13">
        <f t="shared" si="79"/>
        <v>12</v>
      </c>
      <c r="H162" s="169">
        <f t="shared" si="80"/>
        <v>43262</v>
      </c>
      <c r="I162" s="743">
        <f t="shared" si="81"/>
        <v>1</v>
      </c>
      <c r="J162" s="736">
        <f t="shared" si="82"/>
        <v>250.49999999701976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38">
        <v>43248</v>
      </c>
      <c r="AP162" s="13">
        <f t="shared" si="83"/>
        <v>7</v>
      </c>
      <c r="AQ162" s="13">
        <f t="shared" si="84"/>
        <v>8</v>
      </c>
      <c r="AR162" s="169">
        <f t="shared" si="85"/>
        <v>43248</v>
      </c>
      <c r="AS162" s="743">
        <f t="shared" si="86"/>
        <v>0</v>
      </c>
      <c r="AT162" s="759">
        <f t="shared" si="87"/>
        <v>250.5</v>
      </c>
      <c r="AU162" s="13">
        <f t="shared" si="88"/>
        <v>7</v>
      </c>
      <c r="AV162" s="13">
        <f t="shared" si="89"/>
        <v>6</v>
      </c>
      <c r="AW162" s="169">
        <f t="shared" si="90"/>
        <v>43262</v>
      </c>
      <c r="AX162" s="743">
        <f t="shared" si="91"/>
        <v>0.5</v>
      </c>
      <c r="AY162" s="759">
        <f t="shared" si="92"/>
        <v>250.6875</v>
      </c>
      <c r="AZ162" s="736">
        <f t="shared" si="96"/>
        <v>250.59375</v>
      </c>
      <c r="BA162" s="633">
        <f t="shared" si="93"/>
        <v>0.94124016100819452</v>
      </c>
      <c r="BC162" s="11">
        <v>43248</v>
      </c>
      <c r="BD162" s="286">
        <f>[2]!FeuilCaduc*(1-Persistant)+Persistant</f>
        <v>0.83472470425689438</v>
      </c>
      <c r="BE162" s="287">
        <f>[2]!CroissVégét</f>
        <v>0.3687715084596308</v>
      </c>
      <c r="BF162" s="806">
        <f>1+[2]!Salcycl*Ksac</f>
        <v>1.0293405880321118</v>
      </c>
      <c r="BH162" s="1036">
        <f t="shared" si="94"/>
        <v>2.8247329509257712E-3</v>
      </c>
      <c r="BI162" s="11">
        <v>44344</v>
      </c>
      <c r="BJ162" s="716">
        <v>1.5975119064273684E-4</v>
      </c>
      <c r="BK162" s="716">
        <v>3.7425369331243324E-4</v>
      </c>
      <c r="BL162" s="716">
        <v>6.7788276776831234E-4</v>
      </c>
      <c r="BM162" s="716">
        <v>1.1574339301860146E-3</v>
      </c>
      <c r="BN162" s="716">
        <v>1.9115640118520004E-3</v>
      </c>
      <c r="BO162" s="717">
        <v>2.834395713060591E-3</v>
      </c>
      <c r="BP162" s="716">
        <v>3.9487797898968549E-3</v>
      </c>
      <c r="BQ162" s="716">
        <v>5.409299204834254E-3</v>
      </c>
      <c r="BR162" s="716">
        <v>7.1785643585179663E-3</v>
      </c>
      <c r="BS162" s="716">
        <v>9.2562584207949179E-3</v>
      </c>
      <c r="BT162" s="716">
        <v>1.1354557354884696E-2</v>
      </c>
      <c r="BW162" s="1166">
        <f>'2022'!R\Max</f>
        <v>0.94124016100819452</v>
      </c>
      <c r="BX162" s="1167">
        <f>'2023'!R\Max</f>
        <v>0.94123754088910749</v>
      </c>
      <c r="BY162" s="1167">
        <f>'2024'!R\Max</f>
        <v>0.94123463751090719</v>
      </c>
      <c r="BZ162" s="1167">
        <f>'2025'!R\Max</f>
        <v>0.94123120309260611</v>
      </c>
      <c r="CA162" s="1167">
        <f>'2026'!R\Max</f>
        <v>0.94122751583981679</v>
      </c>
      <c r="CB162" s="1167">
        <f>'2027'!R\Max</f>
        <v>0.94122335468237017</v>
      </c>
      <c r="CC162" s="1168">
        <f>'2028'!R\Max</f>
        <v>0.94121894077170287</v>
      </c>
      <c r="CD162" s="1167">
        <f>'2029'!R\Max</f>
        <v>0.94124029194768144</v>
      </c>
      <c r="CE162" s="1167">
        <f>'2030'!R\Max</f>
        <v>0.94123767183655038</v>
      </c>
      <c r="CF162" s="1169">
        <f>'2031'!R\Max</f>
        <v>0.94123480914299695</v>
      </c>
    </row>
    <row r="163" spans="1:84" s="6" customFormat="1" ht="11.25" x14ac:dyDescent="0.2">
      <c r="A163" s="11">
        <v>43249</v>
      </c>
      <c r="B163" s="375">
        <f>'2022'!Maxi_hp</f>
        <v>256.86519806358928</v>
      </c>
      <c r="C163" s="13">
        <f>'2022'!An_max</f>
        <v>2022</v>
      </c>
      <c r="D163" s="1045">
        <f t="shared" si="78"/>
        <v>1.024695533351327</v>
      </c>
      <c r="E163" s="13"/>
      <c r="F163" s="13">
        <f t="shared" si="95"/>
        <v>13</v>
      </c>
      <c r="G163" s="13">
        <f t="shared" si="79"/>
        <v>12</v>
      </c>
      <c r="H163" s="169">
        <f t="shared" si="80"/>
        <v>43262</v>
      </c>
      <c r="I163" s="743">
        <f t="shared" si="81"/>
        <v>0.9285714285714286</v>
      </c>
      <c r="J163" s="736">
        <f t="shared" si="82"/>
        <v>250.67465379057185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38">
        <v>43249</v>
      </c>
      <c r="AP163" s="13">
        <f t="shared" si="83"/>
        <v>7</v>
      </c>
      <c r="AQ163" s="13">
        <f t="shared" si="84"/>
        <v>8</v>
      </c>
      <c r="AR163" s="169">
        <f t="shared" si="85"/>
        <v>43248</v>
      </c>
      <c r="AS163" s="743">
        <f t="shared" si="86"/>
        <v>3.5714285714285712E-2</v>
      </c>
      <c r="AT163" s="759">
        <f t="shared" si="87"/>
        <v>250.67313912266067</v>
      </c>
      <c r="AU163" s="13">
        <f t="shared" si="88"/>
        <v>7</v>
      </c>
      <c r="AV163" s="13">
        <f t="shared" si="89"/>
        <v>6</v>
      </c>
      <c r="AW163" s="169">
        <f t="shared" si="90"/>
        <v>43262</v>
      </c>
      <c r="AX163" s="743">
        <f t="shared" si="91"/>
        <v>0.4642857142857143</v>
      </c>
      <c r="AY163" s="759">
        <f t="shared" si="92"/>
        <v>250.85557124385878</v>
      </c>
      <c r="AZ163" s="736">
        <f t="shared" si="96"/>
        <v>250.76435518325974</v>
      </c>
      <c r="BA163" s="633">
        <f t="shared" si="93"/>
        <v>1.024695533351327</v>
      </c>
      <c r="BC163" s="11">
        <v>43249</v>
      </c>
      <c r="BD163" s="286">
        <f>[2]!FeuilCaduc*(1-Persistant)+Persistant</f>
        <v>0.84042338031617936</v>
      </c>
      <c r="BE163" s="287">
        <f>[2]!CroissVégét</f>
        <v>0.37841273812207477</v>
      </c>
      <c r="BF163" s="806">
        <f>1+[2]!Salcycl*Ksac</f>
        <v>1.0300529225395225</v>
      </c>
      <c r="BH163" s="1036">
        <f t="shared" si="94"/>
        <v>2.6594164150921269E-3</v>
      </c>
      <c r="BI163" s="11">
        <v>44345</v>
      </c>
      <c r="BJ163" s="716">
        <v>1.373336693038316E-4</v>
      </c>
      <c r="BK163" s="716">
        <v>3.3405966259438024E-4</v>
      </c>
      <c r="BL163" s="716">
        <v>6.1725358866546523E-4</v>
      </c>
      <c r="BM163" s="716">
        <v>1.069621873646444E-3</v>
      </c>
      <c r="BN163" s="716">
        <v>1.7836902525145872E-3</v>
      </c>
      <c r="BO163" s="717">
        <v>2.6686829738220021E-3</v>
      </c>
      <c r="BP163" s="716">
        <v>3.7524250856341046E-3</v>
      </c>
      <c r="BQ163" s="716">
        <v>5.2260362846296114E-3</v>
      </c>
      <c r="BR163" s="716">
        <v>7.0042842279663259E-3</v>
      </c>
      <c r="BS163" s="716">
        <v>9.0886858118985111E-3</v>
      </c>
      <c r="BT163" s="716">
        <v>1.115975687991552E-2</v>
      </c>
      <c r="BW163" s="1166">
        <f>'2022'!R\Max</f>
        <v>1.024695533351327</v>
      </c>
      <c r="BX163" s="1167">
        <f>'2023'!R\Max</f>
        <v>1.024695533351327</v>
      </c>
      <c r="BY163" s="1167">
        <f>'2024'!R\Max</f>
        <v>1.0246955333513268</v>
      </c>
      <c r="BZ163" s="1167">
        <f>'2025'!R\Max</f>
        <v>1.024695533351327</v>
      </c>
      <c r="CA163" s="1167">
        <f>'2026'!R\Max</f>
        <v>1.024695533351327</v>
      </c>
      <c r="CB163" s="1167">
        <f>'2027'!R\Max</f>
        <v>1.024695533351327</v>
      </c>
      <c r="CC163" s="1168">
        <f>'2028'!R\Max</f>
        <v>1.024695533351327</v>
      </c>
      <c r="CD163" s="1167">
        <f>'2029'!R\Max</f>
        <v>1.024695533351327</v>
      </c>
      <c r="CE163" s="1167">
        <f>'2030'!R\Max</f>
        <v>1.0246955333513272</v>
      </c>
      <c r="CF163" s="1169">
        <f>'2031'!R\Max</f>
        <v>1.024695533351327</v>
      </c>
    </row>
    <row r="164" spans="1:84" s="6" customFormat="1" ht="11.25" x14ac:dyDescent="0.2">
      <c r="A164" s="11">
        <v>43250</v>
      </c>
      <c r="B164" s="375">
        <f>'2022'!Maxi_hp</f>
        <v>216.54308989818958</v>
      </c>
      <c r="C164" s="13">
        <f>'2022'!An_max</f>
        <v>2022</v>
      </c>
      <c r="D164" s="1045" t="str">
        <f t="shared" si="78"/>
        <v/>
      </c>
      <c r="E164" s="13"/>
      <c r="F164" s="13">
        <f t="shared" si="95"/>
        <v>13</v>
      </c>
      <c r="G164" s="13">
        <f t="shared" si="79"/>
        <v>12</v>
      </c>
      <c r="H164" s="169">
        <f t="shared" si="80"/>
        <v>43262</v>
      </c>
      <c r="I164" s="743">
        <f t="shared" si="81"/>
        <v>0.8571428571428571</v>
      </c>
      <c r="J164" s="736">
        <f t="shared" si="82"/>
        <v>250.84110787063838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38">
        <v>43250</v>
      </c>
      <c r="AP164" s="13">
        <f t="shared" si="83"/>
        <v>7</v>
      </c>
      <c r="AQ164" s="13">
        <f t="shared" si="84"/>
        <v>8</v>
      </c>
      <c r="AR164" s="169">
        <f t="shared" si="85"/>
        <v>43248</v>
      </c>
      <c r="AS164" s="743">
        <f t="shared" si="86"/>
        <v>7.1428571428571425E-2</v>
      </c>
      <c r="AT164" s="759">
        <f t="shared" si="87"/>
        <v>250.83536807852133</v>
      </c>
      <c r="AU164" s="13">
        <f t="shared" si="88"/>
        <v>7</v>
      </c>
      <c r="AV164" s="13">
        <f t="shared" si="89"/>
        <v>6</v>
      </c>
      <c r="AW164" s="169">
        <f t="shared" si="90"/>
        <v>43262</v>
      </c>
      <c r="AX164" s="743">
        <f t="shared" si="91"/>
        <v>0.42857142857142855</v>
      </c>
      <c r="AY164" s="759">
        <f t="shared" si="92"/>
        <v>251.01166180606396</v>
      </c>
      <c r="AZ164" s="736">
        <f t="shared" si="96"/>
        <v>250.92351494229263</v>
      </c>
      <c r="BA164" s="633">
        <f t="shared" si="93"/>
        <v>0.86326795371141207</v>
      </c>
      <c r="BC164" s="11">
        <v>43250</v>
      </c>
      <c r="BD164" s="286">
        <f>[2]!FeuilCaduc*(1-Persistant)+Persistant</f>
        <v>0.84609183888690254</v>
      </c>
      <c r="BE164" s="287">
        <f>[2]!CroissVégét</f>
        <v>0.38815019600224987</v>
      </c>
      <c r="BF164" s="806">
        <f>1+[2]!Salcycl*Ksac</f>
        <v>1.0307614798608629</v>
      </c>
      <c r="BH164" s="1036">
        <f t="shared" si="94"/>
        <v>2.5006413245479164E-3</v>
      </c>
      <c r="BI164" s="11">
        <v>44346</v>
      </c>
      <c r="BJ164" s="716">
        <v>1.1942142311667095E-4</v>
      </c>
      <c r="BK164" s="716">
        <v>3.0000273641070401E-4</v>
      </c>
      <c r="BL164" s="716">
        <v>5.640038460528288E-4</v>
      </c>
      <c r="BM164" s="716">
        <v>9.895890443272176E-4</v>
      </c>
      <c r="BN164" s="716">
        <v>1.6629033634698084E-3</v>
      </c>
      <c r="BO164" s="717">
        <v>2.5095059084193493E-3</v>
      </c>
      <c r="BP164" s="716">
        <v>3.5626428349805092E-3</v>
      </c>
      <c r="BQ164" s="716">
        <v>5.048595010121215E-3</v>
      </c>
      <c r="BR164" s="716">
        <v>6.8349362061933339E-3</v>
      </c>
      <c r="BS164" s="716">
        <v>8.9241654665410015E-3</v>
      </c>
      <c r="BT164" s="716">
        <v>1.0967220264326677E-2</v>
      </c>
      <c r="BW164" s="1166">
        <f>'2022'!R\Max</f>
        <v>0.86326795371141207</v>
      </c>
      <c r="BX164" s="1167">
        <f>'2023'!R\Max</f>
        <v>0.86326260453365555</v>
      </c>
      <c r="BY164" s="1167">
        <f>'2024'!R\Max</f>
        <v>0.86325644775060162</v>
      </c>
      <c r="BZ164" s="1167">
        <f>'2025'!R\Max</f>
        <v>0.86324889927478321</v>
      </c>
      <c r="CA164" s="1167">
        <f>'2026'!R\Max</f>
        <v>0.863240789854271</v>
      </c>
      <c r="CB164" s="1167">
        <f>'2027'!R\Max</f>
        <v>0.86323171401265231</v>
      </c>
      <c r="CC164" s="1168">
        <f>'2028'!R\Max</f>
        <v>0.86322207222144098</v>
      </c>
      <c r="CD164" s="1167">
        <f>'2029'!R\Max</f>
        <v>0.86326822103596379</v>
      </c>
      <c r="CE164" s="1167">
        <f>'2030'!R\Max</f>
        <v>0.86326287187185513</v>
      </c>
      <c r="CF164" s="1169">
        <f>'2031'!R\Max</f>
        <v>0.86325682498066869</v>
      </c>
    </row>
    <row r="165" spans="1:84" s="6" customFormat="1" ht="11.25" x14ac:dyDescent="0.2">
      <c r="A165" s="11">
        <v>43251</v>
      </c>
      <c r="B165" s="375">
        <f>'2022'!Maxi_hp</f>
        <v>237.33076111913962</v>
      </c>
      <c r="C165" s="13">
        <f>'2022'!An_max</f>
        <v>2022</v>
      </c>
      <c r="D165" s="1045" t="str">
        <f t="shared" si="78"/>
        <v/>
      </c>
      <c r="E165" s="13"/>
      <c r="F165" s="13">
        <f t="shared" si="95"/>
        <v>13</v>
      </c>
      <c r="G165" s="13">
        <f t="shared" si="79"/>
        <v>12</v>
      </c>
      <c r="H165" s="169">
        <f t="shared" si="80"/>
        <v>43262</v>
      </c>
      <c r="I165" s="743">
        <f t="shared" si="81"/>
        <v>0.7857142857142857</v>
      </c>
      <c r="J165" s="736">
        <f t="shared" si="82"/>
        <v>250.99881559578435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38">
        <v>43251</v>
      </c>
      <c r="AP165" s="13">
        <f t="shared" si="83"/>
        <v>7</v>
      </c>
      <c r="AQ165" s="13">
        <f t="shared" si="84"/>
        <v>8</v>
      </c>
      <c r="AR165" s="169">
        <f t="shared" si="85"/>
        <v>43248</v>
      </c>
      <c r="AS165" s="743">
        <f t="shared" si="86"/>
        <v>0.10714285714285714</v>
      </c>
      <c r="AT165" s="759">
        <f t="shared" si="87"/>
        <v>250.98661853287899</v>
      </c>
      <c r="AU165" s="13">
        <f t="shared" si="88"/>
        <v>7</v>
      </c>
      <c r="AV165" s="13">
        <f t="shared" si="89"/>
        <v>6</v>
      </c>
      <c r="AW165" s="169">
        <f t="shared" si="90"/>
        <v>43262</v>
      </c>
      <c r="AX165" s="743">
        <f t="shared" si="91"/>
        <v>0.39285714285714285</v>
      </c>
      <c r="AY165" s="759">
        <f t="shared" si="92"/>
        <v>251.15590834436676</v>
      </c>
      <c r="AZ165" s="736">
        <f t="shared" si="96"/>
        <v>251.07126343862288</v>
      </c>
      <c r="BA165" s="633">
        <f t="shared" si="93"/>
        <v>0.94554534273716995</v>
      </c>
      <c r="BC165" s="11">
        <v>43251</v>
      </c>
      <c r="BD165" s="286">
        <f>[2]!FeuilCaduc*(1-Persistant)+Persistant</f>
        <v>0.85172303987820552</v>
      </c>
      <c r="BE165" s="287">
        <f>[2]!CroissVégét</f>
        <v>0.3979769891015032</v>
      </c>
      <c r="BF165" s="806">
        <f>1+[2]!Salcycl*Ksac</f>
        <v>1.0314653799847757</v>
      </c>
      <c r="BH165" s="1036">
        <f t="shared" si="94"/>
        <v>2.3505874451542723E-3</v>
      </c>
      <c r="BI165" s="11">
        <v>44347</v>
      </c>
      <c r="BJ165" s="716">
        <v>1.0334780893223046E-4</v>
      </c>
      <c r="BK165" s="716">
        <v>2.6920279618256553E-4</v>
      </c>
      <c r="BL165" s="716">
        <v>5.1547656263992614E-4</v>
      </c>
      <c r="BM165" s="716">
        <v>9.1565283888652479E-4</v>
      </c>
      <c r="BN165" s="716">
        <v>1.54976391363787E-3</v>
      </c>
      <c r="BO165" s="717">
        <v>2.3590614163614605E-3</v>
      </c>
      <c r="BP165" s="716">
        <v>3.3823344535321757E-3</v>
      </c>
      <c r="BQ165" s="716">
        <v>4.8768209559500722E-3</v>
      </c>
      <c r="BR165" s="716">
        <v>6.6676325941301901E-3</v>
      </c>
      <c r="BS165" s="716">
        <v>8.7575018353611752E-3</v>
      </c>
      <c r="BT165" s="716">
        <v>1.077208012069473E-2</v>
      </c>
      <c r="BW165" s="1166">
        <f>'2022'!R\Max</f>
        <v>0.94554534273716995</v>
      </c>
      <c r="BX165" s="1167">
        <f>'2023'!R\Max</f>
        <v>0.94554306184663783</v>
      </c>
      <c r="BY165" s="1167">
        <f>'2024'!R\Max</f>
        <v>0.94554038477392932</v>
      </c>
      <c r="BZ165" s="1167">
        <f>'2025'!R\Max</f>
        <v>0.94553705308366875</v>
      </c>
      <c r="CA165" s="1167">
        <f>'2026'!R\Max</f>
        <v>0.94553347201238569</v>
      </c>
      <c r="CB165" s="1167">
        <f>'2027'!R\Max</f>
        <v>0.94552947899316453</v>
      </c>
      <c r="CC165" s="1168">
        <f>'2028'!R\Max</f>
        <v>0.94552523412275813</v>
      </c>
      <c r="CD165" s="1167">
        <f>'2029'!R\Max</f>
        <v>0.94554545672404833</v>
      </c>
      <c r="CE165" s="1167">
        <f>'2030'!R\Max</f>
        <v>0.94554317584003555</v>
      </c>
      <c r="CF165" s="1169">
        <f>'2031'!R\Max</f>
        <v>0.94554055127193315</v>
      </c>
    </row>
    <row r="166" spans="1:84" s="6" customFormat="1" ht="11.25" x14ac:dyDescent="0.2">
      <c r="A166" s="11">
        <v>43252</v>
      </c>
      <c r="B166" s="375">
        <f>'2022'!Maxi_hp</f>
        <v>247.7887989555031</v>
      </c>
      <c r="C166" s="13">
        <f>'2022'!An_max</f>
        <v>2022</v>
      </c>
      <c r="D166" s="1045">
        <f t="shared" si="78"/>
        <v>0.98662763925908858</v>
      </c>
      <c r="E166" s="13"/>
      <c r="F166" s="13">
        <f t="shared" si="95"/>
        <v>13</v>
      </c>
      <c r="G166" s="13">
        <f t="shared" si="79"/>
        <v>12</v>
      </c>
      <c r="H166" s="169">
        <f t="shared" si="80"/>
        <v>43262</v>
      </c>
      <c r="I166" s="743">
        <f t="shared" si="81"/>
        <v>0.7142857142857143</v>
      </c>
      <c r="J166" s="736">
        <f t="shared" si="82"/>
        <v>251.14723031840154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38">
        <v>43252</v>
      </c>
      <c r="AP166" s="13">
        <f t="shared" si="83"/>
        <v>7</v>
      </c>
      <c r="AQ166" s="13">
        <f t="shared" si="84"/>
        <v>8</v>
      </c>
      <c r="AR166" s="169">
        <f t="shared" si="85"/>
        <v>43248</v>
      </c>
      <c r="AS166" s="743">
        <f t="shared" si="86"/>
        <v>0.14285714285714285</v>
      </c>
      <c r="AT166" s="759">
        <f t="shared" si="87"/>
        <v>251.12682215954578</v>
      </c>
      <c r="AU166" s="13">
        <f t="shared" si="88"/>
        <v>7</v>
      </c>
      <c r="AV166" s="13">
        <f t="shared" si="89"/>
        <v>6</v>
      </c>
      <c r="AW166" s="169">
        <f t="shared" si="90"/>
        <v>43262</v>
      </c>
      <c r="AX166" s="743">
        <f t="shared" si="91"/>
        <v>0.35714285714285715</v>
      </c>
      <c r="AY166" s="759">
        <f t="shared" si="92"/>
        <v>251.28844751928531</v>
      </c>
      <c r="AZ166" s="736">
        <f t="shared" si="96"/>
        <v>251.20763483941556</v>
      </c>
      <c r="BA166" s="633">
        <f t="shared" si="93"/>
        <v>0.98662763925908858</v>
      </c>
      <c r="BC166" s="11">
        <v>43252</v>
      </c>
      <c r="BD166" s="286">
        <f>[2]!FeuilCaduc*(1-Persistant)+Persistant</f>
        <v>0.85730998785886836</v>
      </c>
      <c r="BE166" s="287">
        <f>[2]!CroissVégét</f>
        <v>0.4078859452556679</v>
      </c>
      <c r="BF166" s="806">
        <f>1+[2]!Salcycl*Ksac</f>
        <v>1.0321637484823585</v>
      </c>
      <c r="BH166" s="1036">
        <f t="shared" si="94"/>
        <v>2.2092491144658131E-3</v>
      </c>
      <c r="BI166" s="11">
        <v>44348</v>
      </c>
      <c r="BJ166" s="716">
        <v>8.9110728690898887E-5</v>
      </c>
      <c r="BK166" s="716">
        <v>2.4165629085808225E-4</v>
      </c>
      <c r="BL166" s="716">
        <v>4.7166684485440099E-4</v>
      </c>
      <c r="BM166" s="716">
        <v>8.478075579572169E-4</v>
      </c>
      <c r="BN166" s="716">
        <v>1.4442658148032413E-3</v>
      </c>
      <c r="BO166" s="717">
        <v>2.2173438397082709E-3</v>
      </c>
      <c r="BP166" s="716">
        <v>3.2114952283350796E-3</v>
      </c>
      <c r="BQ166" s="716">
        <v>4.7107163856789968E-3</v>
      </c>
      <c r="BR166" s="716">
        <v>6.502382811645919E-3</v>
      </c>
      <c r="BS166" s="716">
        <v>8.5887127696269491E-3</v>
      </c>
      <c r="BT166" s="716">
        <v>1.0574358059296133E-2</v>
      </c>
      <c r="BW166" s="1166">
        <f>'2022'!R\Max</f>
        <v>0.98662763925908858</v>
      </c>
      <c r="BX166" s="1167">
        <f>'2023'!R\Max</f>
        <v>0.98662706805320832</v>
      </c>
      <c r="BY166" s="1167">
        <f>'2024'!R\Max</f>
        <v>0.98662638451302609</v>
      </c>
      <c r="BZ166" s="1167">
        <f>'2025'!R\Max</f>
        <v>0.98662552298556216</v>
      </c>
      <c r="CA166" s="1167">
        <f>'2026'!R\Max</f>
        <v>0.98662459634454214</v>
      </c>
      <c r="CB166" s="1167">
        <f>'2027'!R\Max</f>
        <v>0.98662356656276295</v>
      </c>
      <c r="CC166" s="1168">
        <f>'2028'!R\Max</f>
        <v>0.98662247112656043</v>
      </c>
      <c r="CD166" s="1167">
        <f>'2029'!R\Max</f>
        <v>0.98662766780491173</v>
      </c>
      <c r="CE166" s="1167">
        <f>'2030'!R\Max</f>
        <v>0.98662709660072845</v>
      </c>
      <c r="CF166" s="1169">
        <f>'2031'!R\Max</f>
        <v>0.98662642756689056</v>
      </c>
    </row>
    <row r="167" spans="1:84" s="6" customFormat="1" ht="11.25" x14ac:dyDescent="0.2">
      <c r="A167" s="11">
        <v>43253</v>
      </c>
      <c r="B167" s="375">
        <f>'2022'!Maxi_hp</f>
        <v>174.30249761857024</v>
      </c>
      <c r="C167" s="13">
        <f>'2022'!An_max</f>
        <v>2022</v>
      </c>
      <c r="D167" s="1045" t="str">
        <f t="shared" si="78"/>
        <v/>
      </c>
      <c r="E167" s="13"/>
      <c r="F167" s="13">
        <f t="shared" si="95"/>
        <v>13</v>
      </c>
      <c r="G167" s="13">
        <f t="shared" si="79"/>
        <v>12</v>
      </c>
      <c r="H167" s="169">
        <f t="shared" si="80"/>
        <v>43262</v>
      </c>
      <c r="I167" s="743">
        <f t="shared" si="81"/>
        <v>0.6428571428571429</v>
      </c>
      <c r="J167" s="736">
        <f t="shared" si="82"/>
        <v>251.28580539301038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38">
        <v>43253</v>
      </c>
      <c r="AP167" s="13">
        <f t="shared" si="83"/>
        <v>7</v>
      </c>
      <c r="AQ167" s="13">
        <f t="shared" si="84"/>
        <v>8</v>
      </c>
      <c r="AR167" s="169">
        <f t="shared" si="85"/>
        <v>43248</v>
      </c>
      <c r="AS167" s="743">
        <f t="shared" si="86"/>
        <v>0.17857142857142858</v>
      </c>
      <c r="AT167" s="759">
        <f t="shared" si="87"/>
        <v>251.2559106254684</v>
      </c>
      <c r="AU167" s="13">
        <f t="shared" si="88"/>
        <v>7</v>
      </c>
      <c r="AV167" s="13">
        <f t="shared" si="89"/>
        <v>6</v>
      </c>
      <c r="AW167" s="169">
        <f t="shared" si="90"/>
        <v>43262</v>
      </c>
      <c r="AX167" s="743">
        <f t="shared" si="91"/>
        <v>0.32142857142857145</v>
      </c>
      <c r="AY167" s="759">
        <f t="shared" si="92"/>
        <v>251.40941599639399</v>
      </c>
      <c r="AZ167" s="736">
        <f t="shared" si="96"/>
        <v>251.3326633109312</v>
      </c>
      <c r="BA167" s="633">
        <f t="shared" si="93"/>
        <v>0.6936424337457564</v>
      </c>
      <c r="BC167" s="11">
        <v>43253</v>
      </c>
      <c r="BD167" s="286">
        <f>[2]!FeuilCaduc*(1-Persistant)+Persistant</f>
        <v>0.86284575809894726</v>
      </c>
      <c r="BE167" s="287">
        <f>[2]!CroissVégét</f>
        <v>0.41786963208449301</v>
      </c>
      <c r="BF167" s="806">
        <f>1+[2]!Salcycl*Ksac</f>
        <v>1.0328557197623685</v>
      </c>
      <c r="BH167" s="1036">
        <f t="shared" si="94"/>
        <v>2.0766195573820637E-3</v>
      </c>
      <c r="BI167" s="11">
        <v>44349</v>
      </c>
      <c r="BJ167" s="716">
        <v>7.6707918704359192E-5</v>
      </c>
      <c r="BK167" s="716">
        <v>2.1735936572471579E-4</v>
      </c>
      <c r="BL167" s="716">
        <v>4.3256934173662321E-4</v>
      </c>
      <c r="BM167" s="716">
        <v>7.860468616213488E-4</v>
      </c>
      <c r="BN167" s="716">
        <v>1.3464020847060937E-3</v>
      </c>
      <c r="BO167" s="717">
        <v>2.0843464055513784E-3</v>
      </c>
      <c r="BP167" s="716">
        <v>3.0501191617478825E-3</v>
      </c>
      <c r="BQ167" s="716">
        <v>4.5502825132918692E-3</v>
      </c>
      <c r="BR167" s="716">
        <v>6.3391954370706728E-3</v>
      </c>
      <c r="BS167" s="716">
        <v>8.4178154993279717E-3</v>
      </c>
      <c r="BT167" s="716">
        <v>1.0374074968650801E-2</v>
      </c>
      <c r="BW167" s="1166">
        <f>'2022'!R\Max</f>
        <v>0.6936424337457564</v>
      </c>
      <c r="BX167" s="1167">
        <f>'2023'!R\Max</f>
        <v>0.69363344357285139</v>
      </c>
      <c r="BY167" s="1167">
        <f>'2024'!R\Max</f>
        <v>0.69362247846589953</v>
      </c>
      <c r="BZ167" s="1167">
        <f>'2025'!R\Max</f>
        <v>0.6936085126035938</v>
      </c>
      <c r="CA167" s="1167">
        <f>'2026'!R\Max</f>
        <v>0.69359347894026768</v>
      </c>
      <c r="CB167" s="1167">
        <f>'2027'!R\Max</f>
        <v>0.69357682307395419</v>
      </c>
      <c r="CC167" s="1168">
        <f>'2028'!R\Max</f>
        <v>0.69355909542726468</v>
      </c>
      <c r="CD167" s="1167">
        <f>'2029'!R\Max</f>
        <v>0.69364288303281341</v>
      </c>
      <c r="CE167" s="1167">
        <f>'2030'!R\Max</f>
        <v>0.69363389287487265</v>
      </c>
      <c r="CF167" s="1169">
        <f>'2031'!R\Max</f>
        <v>0.69362317640803295</v>
      </c>
    </row>
    <row r="168" spans="1:84" s="6" customFormat="1" ht="11.25" x14ac:dyDescent="0.2">
      <c r="A168" s="11">
        <v>43254</v>
      </c>
      <c r="B168" s="375">
        <f>'2022'!Maxi_hp</f>
        <v>239.49062250139852</v>
      </c>
      <c r="C168" s="13">
        <f>'2022'!An_max</f>
        <v>2022</v>
      </c>
      <c r="D168" s="1045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69">
        <f t="shared" si="80"/>
        <v>43262</v>
      </c>
      <c r="I168" s="743">
        <f t="shared" si="81"/>
        <v>0.5714285714285714</v>
      </c>
      <c r="J168" s="736">
        <f t="shared" si="82"/>
        <v>251.41399416646786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38">
        <v>43254</v>
      </c>
      <c r="AP168" s="13">
        <f t="shared" si="83"/>
        <v>7</v>
      </c>
      <c r="AQ168" s="13">
        <f t="shared" si="84"/>
        <v>8</v>
      </c>
      <c r="AR168" s="169">
        <f t="shared" si="85"/>
        <v>43248</v>
      </c>
      <c r="AS168" s="743">
        <f t="shared" si="86"/>
        <v>0.21428571428571427</v>
      </c>
      <c r="AT168" s="759">
        <f t="shared" si="87"/>
        <v>251.37381559674228</v>
      </c>
      <c r="AU168" s="13">
        <f t="shared" si="88"/>
        <v>7</v>
      </c>
      <c r="AV168" s="13">
        <f t="shared" si="89"/>
        <v>6</v>
      </c>
      <c r="AW168" s="169">
        <f t="shared" si="90"/>
        <v>43262</v>
      </c>
      <c r="AX168" s="743">
        <f t="shared" si="91"/>
        <v>0.2857142857142857</v>
      </c>
      <c r="AY168" s="759">
        <f t="shared" si="92"/>
        <v>251.51895043551923</v>
      </c>
      <c r="AZ168" s="736">
        <f t="shared" si="96"/>
        <v>251.44638301613077</v>
      </c>
      <c r="BA168" s="633">
        <f t="shared" si="93"/>
        <v>0.95257474945020537</v>
      </c>
      <c r="BC168" s="11">
        <v>43254</v>
      </c>
      <c r="BD168" s="286">
        <f>[2]!FeuilCaduc*(1-Persistant)+Persistant</f>
        <v>0.86832352276463809</v>
      </c>
      <c r="BE168" s="287">
        <f>[2]!CroissVégét</f>
        <v>0.42792037764903684</v>
      </c>
      <c r="BF168" s="806">
        <f>1+[2]!Salcycl*Ksac</f>
        <v>1.0335404403455797</v>
      </c>
      <c r="BH168" s="1036">
        <f t="shared" si="94"/>
        <v>1.9526909833364841E-3</v>
      </c>
      <c r="BI168" s="11">
        <v>44350</v>
      </c>
      <c r="BJ168" s="716">
        <v>6.6136970268847924E-5</v>
      </c>
      <c r="BK168" s="716">
        <v>1.9630789890866043E-4</v>
      </c>
      <c r="BL168" s="716">
        <v>3.9817829783435278E-4</v>
      </c>
      <c r="BM168" s="716">
        <v>7.3036383760279467E-4</v>
      </c>
      <c r="BN168" s="716">
        <v>1.256164932406289E-3</v>
      </c>
      <c r="BO168" s="717">
        <v>1.9600613233281953E-3</v>
      </c>
      <c r="BP168" s="716">
        <v>2.8981990769264021E-3</v>
      </c>
      <c r="BQ168" s="716">
        <v>4.3955195659295641E-3</v>
      </c>
      <c r="BR168" s="716">
        <v>6.1780782292504277E-3</v>
      </c>
      <c r="BS168" s="716">
        <v>8.2448266081590962E-3</v>
      </c>
      <c r="BT168" s="716">
        <v>1.017125098522838E-2</v>
      </c>
      <c r="BW168" s="1166">
        <f>'2022'!R\Max</f>
        <v>0.95257474945020537</v>
      </c>
      <c r="BX168" s="1167">
        <f>'2023'!R\Max</f>
        <v>0.95257288205803747</v>
      </c>
      <c r="BY168" s="1167">
        <f>'2024'!R\Max</f>
        <v>0.95257056152964192</v>
      </c>
      <c r="BZ168" s="1167">
        <f>'2025'!R\Max</f>
        <v>0.95256758065841662</v>
      </c>
      <c r="CA168" s="1167">
        <f>'2026'!R\Max</f>
        <v>0.95256436839593794</v>
      </c>
      <c r="CB168" s="1167">
        <f>'2027'!R\Max</f>
        <v>0.95256081900742406</v>
      </c>
      <c r="CC168" s="1168">
        <f>'2028'!R\Max</f>
        <v>0.95255703892143306</v>
      </c>
      <c r="CD168" s="1167">
        <f>'2029'!R\Max</f>
        <v>0.95257484277277515</v>
      </c>
      <c r="CE168" s="1167">
        <f>'2030'!R\Max</f>
        <v>0.95257297538564234</v>
      </c>
      <c r="CF168" s="1169">
        <f>'2031'!R\Max</f>
        <v>0.95257071049560149</v>
      </c>
    </row>
    <row r="169" spans="1:84" s="6" customFormat="1" ht="11.25" x14ac:dyDescent="0.2">
      <c r="A169" s="11">
        <v>43255</v>
      </c>
      <c r="B169" s="375">
        <f>'2022'!Maxi_hp</f>
        <v>104.35237094994316</v>
      </c>
      <c r="C169" s="13">
        <f>'2022'!An_max</f>
        <v>2022</v>
      </c>
      <c r="D169" s="1045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69">
        <f t="shared" si="80"/>
        <v>43262</v>
      </c>
      <c r="I169" s="743">
        <f t="shared" si="81"/>
        <v>0.5</v>
      </c>
      <c r="J169" s="736">
        <f t="shared" si="82"/>
        <v>251.53124999850988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38">
        <v>43255</v>
      </c>
      <c r="AP169" s="13">
        <f t="shared" si="83"/>
        <v>7</v>
      </c>
      <c r="AQ169" s="13">
        <f t="shared" si="84"/>
        <v>8</v>
      </c>
      <c r="AR169" s="169">
        <f t="shared" si="85"/>
        <v>43248</v>
      </c>
      <c r="AS169" s="743">
        <f t="shared" si="86"/>
        <v>0.25</v>
      </c>
      <c r="AT169" s="759">
        <f t="shared" si="87"/>
        <v>251.48046875074505</v>
      </c>
      <c r="AU169" s="13">
        <f t="shared" si="88"/>
        <v>7</v>
      </c>
      <c r="AV169" s="13">
        <f t="shared" si="89"/>
        <v>6</v>
      </c>
      <c r="AW169" s="169">
        <f t="shared" si="90"/>
        <v>43262</v>
      </c>
      <c r="AX169" s="743">
        <f t="shared" si="91"/>
        <v>0.25</v>
      </c>
      <c r="AY169" s="759">
        <f t="shared" si="92"/>
        <v>251.61718749739231</v>
      </c>
      <c r="AZ169" s="736">
        <f t="shared" si="96"/>
        <v>251.54882812406868</v>
      </c>
      <c r="BA169" s="633">
        <f t="shared" si="93"/>
        <v>0.41486841476182929</v>
      </c>
      <c r="BC169" s="11">
        <v>43255</v>
      </c>
      <c r="BD169" s="286">
        <f>[2]!FeuilCaduc*(1-Persistant)+Persistant</f>
        <v>0.87373657709914276</v>
      </c>
      <c r="BE169" s="287">
        <f>[2]!CroissVégét</f>
        <v>0.43803029270835642</v>
      </c>
      <c r="BF169" s="806">
        <f>1+[2]!Salcycl*Ksac</f>
        <v>1.0342170721373929</v>
      </c>
      <c r="BH169" s="1036">
        <f t="shared" si="94"/>
        <v>1.837454683496529E-3</v>
      </c>
      <c r="BI169" s="11">
        <v>44351</v>
      </c>
      <c r="BJ169" s="716">
        <v>5.7395350278900973E-5</v>
      </c>
      <c r="BK169" s="716">
        <v>1.7849753787549686E-4</v>
      </c>
      <c r="BL169" s="716">
        <v>3.6848760609982118E-4</v>
      </c>
      <c r="BM169" s="716">
        <v>6.8075106946416386E-4</v>
      </c>
      <c r="BN169" s="716">
        <v>1.1735458436546479E-3</v>
      </c>
      <c r="BO169" s="717">
        <v>1.8444798821471787E-3</v>
      </c>
      <c r="BP169" s="716">
        <v>2.7557267233239459E-3</v>
      </c>
      <c r="BQ169" s="716">
        <v>4.2464268466486351E-3</v>
      </c>
      <c r="BR169" s="716">
        <v>6.0190381496327957E-3</v>
      </c>
      <c r="BS169" s="716">
        <v>8.0697620085446696E-3</v>
      </c>
      <c r="BT169" s="716">
        <v>9.9659054632046731E-3</v>
      </c>
      <c r="BW169" s="1166">
        <f>'2022'!R\Max</f>
        <v>0.41486841476182929</v>
      </c>
      <c r="BX169" s="1167">
        <f>'2023'!R\Max</f>
        <v>0.41485861203461349</v>
      </c>
      <c r="BY169" s="1167">
        <f>'2024'!R\Max</f>
        <v>0.41484620927180704</v>
      </c>
      <c r="BZ169" s="1167">
        <f>'2025'!R\Max</f>
        <v>0.4148301726983829</v>
      </c>
      <c r="CA169" s="1167">
        <f>'2026'!R\Max</f>
        <v>0.4148128709366134</v>
      </c>
      <c r="CB169" s="1167">
        <f>'2027'!R\Max</f>
        <v>0.41479380100525876</v>
      </c>
      <c r="CC169" s="1168">
        <f>'2028'!R\Max</f>
        <v>0.41477348278373272</v>
      </c>
      <c r="CD169" s="1167">
        <f>'2029'!R\Max</f>
        <v>0.41486890466275417</v>
      </c>
      <c r="CE169" s="1167">
        <f>'2030'!R\Max</f>
        <v>0.41485910194008335</v>
      </c>
      <c r="CF169" s="1169">
        <f>'2031'!R\Max</f>
        <v>0.41484701071283947</v>
      </c>
    </row>
    <row r="170" spans="1:84" s="6" customFormat="1" ht="11.25" x14ac:dyDescent="0.2">
      <c r="A170" s="11">
        <v>43256</v>
      </c>
      <c r="B170" s="375">
        <f>'2022'!Maxi_hp</f>
        <v>135.21442308270213</v>
      </c>
      <c r="C170" s="13">
        <f>'2022'!An_max</f>
        <v>2022</v>
      </c>
      <c r="D170" s="1045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69">
        <f t="shared" si="80"/>
        <v>43262</v>
      </c>
      <c r="I170" s="743">
        <f t="shared" si="81"/>
        <v>0.42857142857142855</v>
      </c>
      <c r="J170" s="736">
        <f t="shared" si="82"/>
        <v>251.63702623695136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38">
        <v>43256</v>
      </c>
      <c r="AP170" s="13">
        <f t="shared" si="83"/>
        <v>7</v>
      </c>
      <c r="AQ170" s="13">
        <f t="shared" si="84"/>
        <v>8</v>
      </c>
      <c r="AR170" s="169">
        <f t="shared" si="85"/>
        <v>43248</v>
      </c>
      <c r="AS170" s="743">
        <f t="shared" si="86"/>
        <v>0.2857142857142857</v>
      </c>
      <c r="AT170" s="759">
        <f t="shared" si="87"/>
        <v>251.5758017499532</v>
      </c>
      <c r="AU170" s="13">
        <f t="shared" si="88"/>
        <v>7</v>
      </c>
      <c r="AV170" s="13">
        <f t="shared" si="89"/>
        <v>6</v>
      </c>
      <c r="AW170" s="169">
        <f t="shared" si="90"/>
        <v>43262</v>
      </c>
      <c r="AX170" s="743">
        <f t="shared" si="91"/>
        <v>0.21428571428571427</v>
      </c>
      <c r="AY170" s="759">
        <f t="shared" si="92"/>
        <v>251.70426384721486</v>
      </c>
      <c r="AZ170" s="736">
        <f t="shared" si="96"/>
        <v>251.64003279858403</v>
      </c>
      <c r="BA170" s="633">
        <f t="shared" si="93"/>
        <v>0.53733913925440724</v>
      </c>
      <c r="BC170" s="11">
        <v>43256</v>
      </c>
      <c r="BD170" s="286">
        <f>[2]!FeuilCaduc*(1-Persistant)+Persistant</f>
        <v>0.8790783654185379</v>
      </c>
      <c r="BE170" s="287">
        <f>[2]!CroissVégét</f>
        <v>0.44819129444890032</v>
      </c>
      <c r="BF170" s="806">
        <f>1+[2]!Salcycl*Ksac</f>
        <v>1.0348847956773173</v>
      </c>
      <c r="BH170" s="1036">
        <f t="shared" si="94"/>
        <v>1.7336024060782679E-3</v>
      </c>
      <c r="BI170" s="11">
        <v>44352</v>
      </c>
      <c r="BJ170" s="716">
        <v>5.0629430659411452E-5</v>
      </c>
      <c r="BK170" s="716">
        <v>1.6416780117594243E-4</v>
      </c>
      <c r="BL170" s="716">
        <v>3.4389749052046557E-4</v>
      </c>
      <c r="BM170" s="716">
        <v>6.3812374066228724E-4</v>
      </c>
      <c r="BN170" s="716">
        <v>1.1003745001924045E-3</v>
      </c>
      <c r="BO170" s="717">
        <v>1.7403029522421699E-3</v>
      </c>
      <c r="BP170" s="716">
        <v>2.625848712195759E-3</v>
      </c>
      <c r="BQ170" s="716">
        <v>4.1060660995586445E-3</v>
      </c>
      <c r="BR170" s="716">
        <v>5.8656918838575871E-3</v>
      </c>
      <c r="BS170" s="716">
        <v>7.8972307615224665E-3</v>
      </c>
      <c r="BT170" s="716">
        <v>9.7641520718592424E-3</v>
      </c>
      <c r="BW170" s="1166">
        <f>'2022'!R\Max</f>
        <v>0.53733913925440724</v>
      </c>
      <c r="BX170" s="1167">
        <f>'2023'!R\Max</f>
        <v>0.53732932774679731</v>
      </c>
      <c r="BY170" s="1167">
        <f>'2024'!R\Max</f>
        <v>0.53731670093550543</v>
      </c>
      <c r="BZ170" s="1167">
        <f>'2025'!R\Max</f>
        <v>0.53730029988836547</v>
      </c>
      <c r="CA170" s="1167">
        <f>'2026'!R\Max</f>
        <v>0.53728257554728254</v>
      </c>
      <c r="CB170" s="1167">
        <f>'2027'!R\Max</f>
        <v>0.53726307728205802</v>
      </c>
      <c r="CC170" s="1168">
        <f>'2028'!R\Max</f>
        <v>0.53724229089689202</v>
      </c>
      <c r="CD170" s="1167">
        <f>'2029'!R\Max</f>
        <v>0.53733962959170667</v>
      </c>
      <c r="CE170" s="1167">
        <f>'2030'!R\Max</f>
        <v>0.53732981809328295</v>
      </c>
      <c r="CF170" s="1169">
        <f>'2031'!R\Max</f>
        <v>0.53731752058446935</v>
      </c>
    </row>
    <row r="171" spans="1:84" s="6" customFormat="1" ht="11.25" x14ac:dyDescent="0.2">
      <c r="A171" s="11">
        <v>43257</v>
      </c>
      <c r="B171" s="375">
        <f>'2022'!Maxi_hp</f>
        <v>198.6992170848427</v>
      </c>
      <c r="C171" s="13">
        <f>'2022'!An_max</f>
        <v>2022</v>
      </c>
      <c r="D171" s="1045" t="str">
        <f t="shared" si="78"/>
        <v/>
      </c>
      <c r="E171" s="13"/>
      <c r="F171" s="13">
        <f t="shared" si="95"/>
        <v>13</v>
      </c>
      <c r="G171" s="13">
        <f t="shared" si="79"/>
        <v>12</v>
      </c>
      <c r="H171" s="169">
        <f t="shared" si="80"/>
        <v>43262</v>
      </c>
      <c r="I171" s="743">
        <f t="shared" si="81"/>
        <v>0.35714285714285715</v>
      </c>
      <c r="J171" s="736">
        <f t="shared" si="82"/>
        <v>251.7307762376964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38">
        <v>43257</v>
      </c>
      <c r="AP171" s="13">
        <f t="shared" si="83"/>
        <v>7</v>
      </c>
      <c r="AQ171" s="13">
        <f t="shared" si="84"/>
        <v>8</v>
      </c>
      <c r="AR171" s="169">
        <f t="shared" si="85"/>
        <v>43248</v>
      </c>
      <c r="AS171" s="743">
        <f t="shared" si="86"/>
        <v>0.32142857142857145</v>
      </c>
      <c r="AT171" s="759">
        <f t="shared" si="87"/>
        <v>251.65974626509205</v>
      </c>
      <c r="AU171" s="13">
        <f t="shared" si="88"/>
        <v>7</v>
      </c>
      <c r="AV171" s="13">
        <f t="shared" si="89"/>
        <v>6</v>
      </c>
      <c r="AW171" s="169">
        <f t="shared" si="90"/>
        <v>43262</v>
      </c>
      <c r="AX171" s="743">
        <f t="shared" si="91"/>
        <v>0.17857142857142858</v>
      </c>
      <c r="AY171" s="759">
        <f t="shared" si="92"/>
        <v>251.78031614369579</v>
      </c>
      <c r="AZ171" s="736">
        <f t="shared" si="96"/>
        <v>251.72003120439393</v>
      </c>
      <c r="BA171" s="633">
        <f t="shared" si="93"/>
        <v>0.78933223841180733</v>
      </c>
      <c r="BC171" s="11">
        <v>43257</v>
      </c>
      <c r="BD171" s="286">
        <f>[2]!FeuilCaduc*(1-Persistant)+Persistant</f>
        <v>0.88434250674933024</v>
      </c>
      <c r="BE171" s="287">
        <f>[2]!CroissVégét</f>
        <v>0.45839513154318023</v>
      </c>
      <c r="BF171" s="806">
        <f>1+[2]!Salcycl*Ksac</f>
        <v>1.0355428133436664</v>
      </c>
      <c r="BH171" s="1036">
        <f t="shared" si="94"/>
        <v>1.6378272830399607E-3</v>
      </c>
      <c r="BI171" s="11">
        <v>44353</v>
      </c>
      <c r="BJ171" s="716">
        <v>4.4410975521177059E-5</v>
      </c>
      <c r="BK171" s="716">
        <v>1.5057569824175653E-4</v>
      </c>
      <c r="BL171" s="716">
        <v>3.2076368104655813E-4</v>
      </c>
      <c r="BM171" s="716">
        <v>5.9862002832347357E-4</v>
      </c>
      <c r="BN171" s="716">
        <v>1.0331421038989902E-3</v>
      </c>
      <c r="BO171" s="717">
        <v>1.6442258023089326E-3</v>
      </c>
      <c r="BP171" s="716">
        <v>2.5049407051038601E-3</v>
      </c>
      <c r="BQ171" s="716">
        <v>3.9697916938470574E-3</v>
      </c>
      <c r="BR171" s="716">
        <v>5.7127234197093318E-3</v>
      </c>
      <c r="BS171" s="716">
        <v>7.7222905175056344E-3</v>
      </c>
      <c r="BT171" s="716">
        <v>9.5623889107953764E-3</v>
      </c>
      <c r="BW171" s="1166">
        <f>'2022'!R\Max</f>
        <v>0.78933223841180733</v>
      </c>
      <c r="BX171" s="1167">
        <f>'2023'!R\Max</f>
        <v>0.7893258238645372</v>
      </c>
      <c r="BY171" s="1167">
        <f>'2024'!R\Max</f>
        <v>0.78931743937405974</v>
      </c>
      <c r="BZ171" s="1167">
        <f>'2025'!R\Max</f>
        <v>0.78930652135831447</v>
      </c>
      <c r="CA171" s="1167">
        <f>'2026'!R\Max</f>
        <v>0.78929469587419265</v>
      </c>
      <c r="CB171" s="1167">
        <f>'2027'!R\Max</f>
        <v>0.78928170341321524</v>
      </c>
      <c r="CC171" s="1168">
        <f>'2028'!R\Max</f>
        <v>0.78926784037620512</v>
      </c>
      <c r="CD171" s="1167">
        <f>'2029'!R\Max</f>
        <v>0.78933255898031807</v>
      </c>
      <c r="CE171" s="1167">
        <f>'2030'!R\Max</f>
        <v>0.78932614444515037</v>
      </c>
      <c r="CF171" s="1169">
        <f>'2031'!R\Max</f>
        <v>0.78931798499687722</v>
      </c>
    </row>
    <row r="172" spans="1:84" s="6" customFormat="1" ht="11.25" x14ac:dyDescent="0.2">
      <c r="A172" s="11">
        <v>43258</v>
      </c>
      <c r="B172" s="375">
        <f>'2022'!Maxi_hp</f>
        <v>123.82480660988531</v>
      </c>
      <c r="C172" s="13">
        <f>'2022'!An_max</f>
        <v>2022</v>
      </c>
      <c r="D172" s="1045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69">
        <f t="shared" si="80"/>
        <v>43262</v>
      </c>
      <c r="I172" s="743">
        <f t="shared" si="81"/>
        <v>0.2857142857142857</v>
      </c>
      <c r="J172" s="736">
        <f t="shared" si="82"/>
        <v>251.81195335068873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38">
        <v>43258</v>
      </c>
      <c r="AP172" s="13">
        <f t="shared" si="83"/>
        <v>7</v>
      </c>
      <c r="AQ172" s="13">
        <f t="shared" si="84"/>
        <v>8</v>
      </c>
      <c r="AR172" s="169">
        <f t="shared" si="85"/>
        <v>43248</v>
      </c>
      <c r="AS172" s="743">
        <f t="shared" si="86"/>
        <v>0.35714285714285715</v>
      </c>
      <c r="AT172" s="759">
        <f t="shared" si="87"/>
        <v>251.73223396560974</v>
      </c>
      <c r="AU172" s="13">
        <f t="shared" si="88"/>
        <v>7</v>
      </c>
      <c r="AV172" s="13">
        <f t="shared" si="89"/>
        <v>6</v>
      </c>
      <c r="AW172" s="169">
        <f t="shared" si="90"/>
        <v>43262</v>
      </c>
      <c r="AX172" s="743">
        <f t="shared" si="91"/>
        <v>0.14285714285714285</v>
      </c>
      <c r="AY172" s="759">
        <f t="shared" si="92"/>
        <v>251.84548104724718</v>
      </c>
      <c r="AZ172" s="736">
        <f t="shared" si="96"/>
        <v>251.78885750642846</v>
      </c>
      <c r="BA172" s="633">
        <f t="shared" si="93"/>
        <v>0.49173522131191016</v>
      </c>
      <c r="BC172" s="11">
        <v>43258</v>
      </c>
      <c r="BD172" s="286">
        <f>[2]!FeuilCaduc*(1-Persistant)+Persistant</f>
        <v>0.88952281993357363</v>
      </c>
      <c r="BE172" s="287">
        <f>[2]!CroissVégét</f>
        <v>0.46863341037883222</v>
      </c>
      <c r="BF172" s="806">
        <f>1+[2]!Salcycl*Ksac</f>
        <v>1.0361903524916967</v>
      </c>
      <c r="BH172" s="1036">
        <f t="shared" si="94"/>
        <v>1.5501193596600619E-3</v>
      </c>
      <c r="BI172" s="11">
        <v>44354</v>
      </c>
      <c r="BJ172" s="716">
        <v>3.8739232475189289E-5</v>
      </c>
      <c r="BK172" s="716">
        <v>1.3772037090834435E-4</v>
      </c>
      <c r="BL172" s="716">
        <v>2.9908447176091936E-4</v>
      </c>
      <c r="BM172" s="716">
        <v>5.6223606900027698E-4</v>
      </c>
      <c r="BN172" s="716">
        <v>9.7184111018787064E-4</v>
      </c>
      <c r="BO172" s="717">
        <v>1.5562384521229063E-3</v>
      </c>
      <c r="BP172" s="716">
        <v>2.3929925675701237E-3</v>
      </c>
      <c r="BQ172" s="716">
        <v>3.8376030266086126E-3</v>
      </c>
      <c r="BR172" s="716">
        <v>5.5601401527231335E-3</v>
      </c>
      <c r="BS172" s="716">
        <v>7.5449555659876906E-3</v>
      </c>
      <c r="BT172" s="716">
        <v>9.3606288172717357E-3</v>
      </c>
      <c r="BW172" s="1166">
        <f>'2022'!R\Max</f>
        <v>0.49173522131191016</v>
      </c>
      <c r="BX172" s="1167">
        <f>'2023'!R\Max</f>
        <v>0.49172579678712497</v>
      </c>
      <c r="BY172" s="1167">
        <f>'2024'!R\Max</f>
        <v>0.49171330697441296</v>
      </c>
      <c r="BZ172" s="1167">
        <f>'2025'!R\Max</f>
        <v>0.49169703541252363</v>
      </c>
      <c r="CA172" s="1167">
        <f>'2026'!R\Max</f>
        <v>0.49167936190889827</v>
      </c>
      <c r="CB172" s="1167">
        <f>'2027'!R\Max</f>
        <v>0.49165995882594327</v>
      </c>
      <c r="CC172" s="1168">
        <f>'2028'!R\Max</f>
        <v>0.49163923246129876</v>
      </c>
      <c r="CD172" s="1167">
        <f>'2029'!R\Max</f>
        <v>0.49173569231051539</v>
      </c>
      <c r="CE172" s="1167">
        <f>'2030'!R\Max</f>
        <v>0.49172626779254097</v>
      </c>
      <c r="CF172" s="1169">
        <f>'2031'!R\Max</f>
        <v>0.4917141201550097</v>
      </c>
    </row>
    <row r="173" spans="1:84" s="6" customFormat="1" ht="11.25" x14ac:dyDescent="0.2">
      <c r="A173" s="11">
        <v>43259</v>
      </c>
      <c r="B173" s="375">
        <f>'2022'!Maxi_hp</f>
        <v>94.348824057543851</v>
      </c>
      <c r="C173" s="13">
        <f>'2022'!An_max</f>
        <v>2022</v>
      </c>
      <c r="D173" s="1045" t="str">
        <f t="shared" si="78"/>
        <v/>
      </c>
      <c r="E173" s="13"/>
      <c r="F173" s="13">
        <f t="shared" si="95"/>
        <v>13</v>
      </c>
      <c r="G173" s="13">
        <f t="shared" si="79"/>
        <v>12</v>
      </c>
      <c r="H173" s="169">
        <f t="shared" si="80"/>
        <v>43262</v>
      </c>
      <c r="I173" s="743">
        <f t="shared" si="81"/>
        <v>0.21428571428571427</v>
      </c>
      <c r="J173" s="736">
        <f t="shared" si="82"/>
        <v>251.88001093204531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38">
        <v>43259</v>
      </c>
      <c r="AP173" s="13">
        <f t="shared" si="83"/>
        <v>7</v>
      </c>
      <c r="AQ173" s="13">
        <f t="shared" si="84"/>
        <v>8</v>
      </c>
      <c r="AR173" s="169">
        <f t="shared" si="85"/>
        <v>43248</v>
      </c>
      <c r="AS173" s="743">
        <f t="shared" si="86"/>
        <v>0.39285714285714285</v>
      </c>
      <c r="AT173" s="759">
        <f t="shared" si="87"/>
        <v>251.79319652095438</v>
      </c>
      <c r="AU173" s="13">
        <f t="shared" si="88"/>
        <v>7</v>
      </c>
      <c r="AV173" s="13">
        <f t="shared" si="89"/>
        <v>6</v>
      </c>
      <c r="AW173" s="169">
        <f t="shared" si="90"/>
        <v>43262</v>
      </c>
      <c r="AX173" s="743">
        <f t="shared" si="91"/>
        <v>0.10714285714285714</v>
      </c>
      <c r="AY173" s="759">
        <f t="shared" si="92"/>
        <v>251.89989522557175</v>
      </c>
      <c r="AZ173" s="736">
        <f t="shared" si="96"/>
        <v>251.84654587326307</v>
      </c>
      <c r="BA173" s="633">
        <f t="shared" si="93"/>
        <v>0.3745784499072386</v>
      </c>
      <c r="BC173" s="11">
        <v>43259</v>
      </c>
      <c r="BD173" s="286">
        <f>[2]!FeuilCaduc*(1-Persistant)+Persistant</f>
        <v>0.8946133480281715</v>
      </c>
      <c r="BE173" s="287">
        <f>[2]!CroissVégét</f>
        <v>0.4788976222853652</v>
      </c>
      <c r="BF173" s="806">
        <f>1+[2]!Salcycl*Ksac</f>
        <v>1.0368266685035215</v>
      </c>
      <c r="BH173" s="1036">
        <f t="shared" si="94"/>
        <v>1.470468167489221E-3</v>
      </c>
      <c r="BI173" s="11">
        <v>44355</v>
      </c>
      <c r="BJ173" s="716">
        <v>3.3613415391061783E-5</v>
      </c>
      <c r="BK173" s="716">
        <v>1.2560089217238129E-4</v>
      </c>
      <c r="BL173" s="716">
        <v>2.7885803764042798E-4</v>
      </c>
      <c r="BM173" s="716">
        <v>5.2896778933790459E-4</v>
      </c>
      <c r="BN173" s="716">
        <v>9.1646361076583663E-4</v>
      </c>
      <c r="BO173" s="717">
        <v>1.4763304061442657E-3</v>
      </c>
      <c r="BP173" s="716">
        <v>2.2899935304007825E-3</v>
      </c>
      <c r="BQ173" s="716">
        <v>3.7094988450676989E-3</v>
      </c>
      <c r="BR173" s="716">
        <v>5.4079487958044849E-3</v>
      </c>
      <c r="BS173" s="716">
        <v>7.3652394482101756E-3</v>
      </c>
      <c r="BT173" s="716">
        <v>9.1588837382478739E-3</v>
      </c>
      <c r="BW173" s="1166">
        <f>'2022'!R\Max</f>
        <v>0.3745784499072386</v>
      </c>
      <c r="BX173" s="1167">
        <f>'2023'!R\Max</f>
        <v>0.37456981297514791</v>
      </c>
      <c r="BY173" s="1167">
        <f>'2024'!R\Max</f>
        <v>0.37455823088249834</v>
      </c>
      <c r="BZ173" s="1167">
        <f>'2025'!R\Max</f>
        <v>0.37454316278665151</v>
      </c>
      <c r="CA173" s="1167">
        <f>'2026'!R\Max</f>
        <v>0.37452673851683677</v>
      </c>
      <c r="CB173" s="1167">
        <f>'2027'!R\Max</f>
        <v>0.37450870903594269</v>
      </c>
      <c r="CC173" s="1168">
        <f>'2028'!R\Max</f>
        <v>0.37448942102054644</v>
      </c>
      <c r="CD173" s="1167">
        <f>'2029'!R\Max</f>
        <v>0.37457888154726293</v>
      </c>
      <c r="CE173" s="1167">
        <f>'2030'!R\Max</f>
        <v>0.3745702446175459</v>
      </c>
      <c r="CF173" s="1169">
        <f>'2031'!R\Max</f>
        <v>0.37455898392526932</v>
      </c>
    </row>
    <row r="174" spans="1:84" s="6" customFormat="1" ht="11.25" x14ac:dyDescent="0.2">
      <c r="A174" s="11">
        <v>43260</v>
      </c>
      <c r="B174" s="375">
        <f>'2022'!Maxi_hp</f>
        <v>200.17566222023561</v>
      </c>
      <c r="C174" s="13">
        <f>'2022'!An_max</f>
        <v>2022</v>
      </c>
      <c r="D174" s="1045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69">
        <f t="shared" si="80"/>
        <v>43262</v>
      </c>
      <c r="I174" s="743">
        <f t="shared" si="81"/>
        <v>0.14285714285714285</v>
      </c>
      <c r="J174" s="736">
        <f t="shared" si="82"/>
        <v>251.93440233149698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38">
        <v>43260</v>
      </c>
      <c r="AP174" s="13">
        <f t="shared" si="83"/>
        <v>7</v>
      </c>
      <c r="AQ174" s="13">
        <f t="shared" si="84"/>
        <v>8</v>
      </c>
      <c r="AR174" s="169">
        <f t="shared" si="85"/>
        <v>43248</v>
      </c>
      <c r="AS174" s="743">
        <f t="shared" si="86"/>
        <v>0.42857142857142855</v>
      </c>
      <c r="AT174" s="759">
        <f t="shared" si="87"/>
        <v>251.84256559780664</v>
      </c>
      <c r="AU174" s="13">
        <f t="shared" si="88"/>
        <v>7</v>
      </c>
      <c r="AV174" s="13">
        <f t="shared" si="89"/>
        <v>6</v>
      </c>
      <c r="AW174" s="169">
        <f t="shared" si="90"/>
        <v>43262</v>
      </c>
      <c r="AX174" s="743">
        <f t="shared" si="91"/>
        <v>7.1428571428571425E-2</v>
      </c>
      <c r="AY174" s="759">
        <f t="shared" si="92"/>
        <v>251.94369533477089</v>
      </c>
      <c r="AZ174" s="736">
        <f t="shared" si="96"/>
        <v>251.89313046628877</v>
      </c>
      <c r="BA174" s="633">
        <f t="shared" si="93"/>
        <v>0.79455469506241994</v>
      </c>
      <c r="BC174" s="11">
        <v>43260</v>
      </c>
      <c r="BD174" s="286">
        <f>[2]!FeuilCaduc*(1-Persistant)+Persistant</f>
        <v>0.89960838182728109</v>
      </c>
      <c r="BE174" s="287">
        <f>[2]!CroissVégét</f>
        <v>0.48917917157397695</v>
      </c>
      <c r="BF174" s="806">
        <f>1+[2]!Salcycl*Ksac</f>
        <v>1.0374510477284102</v>
      </c>
      <c r="BH174" s="1036">
        <f t="shared" si="94"/>
        <v>1.3988628148178443E-3</v>
      </c>
      <c r="BI174" s="11">
        <v>44356</v>
      </c>
      <c r="BJ174" s="716">
        <v>2.9032710529543594E-5</v>
      </c>
      <c r="BK174" s="716">
        <v>1.1421627439604528E-4</v>
      </c>
      <c r="BL174" s="716">
        <v>2.600824507985032E-4</v>
      </c>
      <c r="BM174" s="716">
        <v>4.98810941029393E-4</v>
      </c>
      <c r="BN174" s="716">
        <v>8.670014001830583E-4</v>
      </c>
      <c r="BO174" s="717">
        <v>1.4044907442385686E-3</v>
      </c>
      <c r="BP174" s="716">
        <v>2.1959322900077932E-3</v>
      </c>
      <c r="BQ174" s="716">
        <v>3.5854772914240443E-3</v>
      </c>
      <c r="BR174" s="716">
        <v>5.2561553819125912E-3</v>
      </c>
      <c r="BS174" s="716">
        <v>7.1831549280777784E-3</v>
      </c>
      <c r="BT174" s="716">
        <v>8.9571647282433043E-3</v>
      </c>
      <c r="BW174" s="1166">
        <f>'2022'!R\Max</f>
        <v>0.79455469506241994</v>
      </c>
      <c r="BX174" s="1167">
        <f>'2023'!R\Max</f>
        <v>0.79454880975710718</v>
      </c>
      <c r="BY174" s="1167">
        <f>'2024'!R\Max</f>
        <v>0.79454084158120686</v>
      </c>
      <c r="BZ174" s="1167">
        <f>'2025'!R\Max</f>
        <v>0.79453050766162059</v>
      </c>
      <c r="CA174" s="1167">
        <f>'2026'!R\Max</f>
        <v>0.79451919402820848</v>
      </c>
      <c r="CB174" s="1167">
        <f>'2027'!R\Max</f>
        <v>0.79450676763897254</v>
      </c>
      <c r="CC174" s="1168">
        <f>'2028'!R\Max</f>
        <v>0.79449344751684281</v>
      </c>
      <c r="CD174" s="1167">
        <f>'2029'!R\Max</f>
        <v>0.79455498918226208</v>
      </c>
      <c r="CE174" s="1167">
        <f>'2030'!R\Max</f>
        <v>0.79454910388743816</v>
      </c>
      <c r="CF174" s="1169">
        <f>'2031'!R\Max</f>
        <v>0.79454135801453185</v>
      </c>
    </row>
    <row r="175" spans="1:84" s="6" customFormat="1" ht="11.25" x14ac:dyDescent="0.2">
      <c r="A175" s="11">
        <v>43261</v>
      </c>
      <c r="B175" s="375">
        <f>'2022'!Maxi_hp</f>
        <v>253.08346878897103</v>
      </c>
      <c r="C175" s="13">
        <f>'2022'!An_max</f>
        <v>2022</v>
      </c>
      <c r="D175" s="1045">
        <f t="shared" si="78"/>
        <v>1.0044007926630025</v>
      </c>
      <c r="E175" s="13"/>
      <c r="F175" s="13">
        <f t="shared" si="95"/>
        <v>13</v>
      </c>
      <c r="G175" s="13">
        <f t="shared" si="79"/>
        <v>12</v>
      </c>
      <c r="H175" s="169">
        <f t="shared" si="80"/>
        <v>43262</v>
      </c>
      <c r="I175" s="743">
        <f t="shared" si="81"/>
        <v>7.1428571428571425E-2</v>
      </c>
      <c r="J175" s="736">
        <f t="shared" si="82"/>
        <v>251.97458090207405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38">
        <v>43261</v>
      </c>
      <c r="AP175" s="13">
        <f t="shared" si="83"/>
        <v>7</v>
      </c>
      <c r="AQ175" s="13">
        <f t="shared" si="84"/>
        <v>8</v>
      </c>
      <c r="AR175" s="169">
        <f t="shared" si="85"/>
        <v>43248</v>
      </c>
      <c r="AS175" s="743">
        <f t="shared" si="86"/>
        <v>0.4642857142857143</v>
      </c>
      <c r="AT175" s="759">
        <f t="shared" si="87"/>
        <v>251.88027286838206</v>
      </c>
      <c r="AU175" s="13">
        <f t="shared" si="88"/>
        <v>7</v>
      </c>
      <c r="AV175" s="13">
        <f t="shared" si="89"/>
        <v>6</v>
      </c>
      <c r="AW175" s="169">
        <f t="shared" si="90"/>
        <v>43262</v>
      </c>
      <c r="AX175" s="743">
        <f t="shared" si="91"/>
        <v>3.5714285714285712E-2</v>
      </c>
      <c r="AY175" s="759">
        <f t="shared" si="92"/>
        <v>251.97701803578866</v>
      </c>
      <c r="AZ175" s="736">
        <f t="shared" si="96"/>
        <v>251.92864545208536</v>
      </c>
      <c r="BA175" s="633">
        <f t="shared" si="93"/>
        <v>1.0044007926630025</v>
      </c>
      <c r="BC175" s="11">
        <v>43261</v>
      </c>
      <c r="BD175" s="286">
        <f>[2]!FeuilCaduc*(1-Persistant)+Persistant</f>
        <v>0.90450248234059194</v>
      </c>
      <c r="BE175" s="287">
        <f>[2]!CroissVégét</f>
        <v>0.499469404196</v>
      </c>
      <c r="BF175" s="806">
        <f>1+[2]!Salcycl*Ksac</f>
        <v>1.038062810292574</v>
      </c>
      <c r="BH175" s="1036">
        <f t="shared" si="94"/>
        <v>1.3352920771594024E-3</v>
      </c>
      <c r="BI175" s="11">
        <v>44357</v>
      </c>
      <c r="BJ175" s="716">
        <v>2.4996282675414935E-5</v>
      </c>
      <c r="BK175" s="716">
        <v>1.035654775126287E-4</v>
      </c>
      <c r="BL175" s="716">
        <v>2.4275569673060668E-4</v>
      </c>
      <c r="BM175" s="716">
        <v>4.7176113577647948E-4</v>
      </c>
      <c r="BN175" s="716">
        <v>8.2344604239298509E-4</v>
      </c>
      <c r="BO175" s="717">
        <v>1.3407082124132091E-3</v>
      </c>
      <c r="BP175" s="716">
        <v>2.1107971087545719E-3</v>
      </c>
      <c r="BQ175" s="716">
        <v>3.465535947737589E-3</v>
      </c>
      <c r="BR175" s="716">
        <v>5.1047652668005832E-3</v>
      </c>
      <c r="BS175" s="716">
        <v>6.9987139631507711E-3</v>
      </c>
      <c r="BT175" s="716">
        <v>8.7554819472925524E-3</v>
      </c>
      <c r="BW175" s="1166">
        <f>'2022'!R\Max</f>
        <v>1.0044007926630025</v>
      </c>
      <c r="BX175" s="1167">
        <f>'2023'!R\Max</f>
        <v>1.0044007926630025</v>
      </c>
      <c r="BY175" s="1167">
        <f>'2024'!R\Max</f>
        <v>1.0044007926630023</v>
      </c>
      <c r="BZ175" s="1167">
        <f>'2025'!R\Max</f>
        <v>1.0044007926630025</v>
      </c>
      <c r="CA175" s="1167">
        <f>'2026'!R\Max</f>
        <v>1.0044007926630025</v>
      </c>
      <c r="CB175" s="1167">
        <f>'2027'!R\Max</f>
        <v>1.0044007926630023</v>
      </c>
      <c r="CC175" s="1168">
        <f>'2028'!R\Max</f>
        <v>1.0044007926630025</v>
      </c>
      <c r="CD175" s="1167">
        <f>'2029'!R\Max</f>
        <v>1.0044007926630025</v>
      </c>
      <c r="CE175" s="1167">
        <f>'2030'!R\Max</f>
        <v>1.0044007926630023</v>
      </c>
      <c r="CF175" s="1169">
        <f>'2031'!R\Max</f>
        <v>1.0044007926630023</v>
      </c>
    </row>
    <row r="176" spans="1:84" s="6" customFormat="1" ht="11.25" x14ac:dyDescent="0.2">
      <c r="A176" s="11">
        <v>43262</v>
      </c>
      <c r="B176" s="375">
        <f>'2022'!Maxi_hp</f>
        <v>240.39829308903109</v>
      </c>
      <c r="C176" s="13">
        <f>'2022'!An_max</f>
        <v>2022</v>
      </c>
      <c r="D176" s="1045" t="str">
        <f t="shared" si="78"/>
        <v/>
      </c>
      <c r="E176" s="1040">
        <f>Y$13/10</f>
        <v>252</v>
      </c>
      <c r="F176" s="13">
        <f t="shared" si="95"/>
        <v>13</v>
      </c>
      <c r="G176" s="13">
        <f t="shared" si="79"/>
        <v>14</v>
      </c>
      <c r="H176" s="169">
        <f t="shared" si="80"/>
        <v>43262</v>
      </c>
      <c r="I176" s="743">
        <f t="shared" si="81"/>
        <v>0</v>
      </c>
      <c r="J176" s="736">
        <f t="shared" si="82"/>
        <v>251.99999999850988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38">
        <v>43262</v>
      </c>
      <c r="AP176" s="13">
        <f t="shared" si="83"/>
        <v>7</v>
      </c>
      <c r="AQ176" s="13">
        <f t="shared" si="84"/>
        <v>8</v>
      </c>
      <c r="AR176" s="169">
        <f t="shared" si="85"/>
        <v>43248</v>
      </c>
      <c r="AS176" s="743">
        <f t="shared" si="86"/>
        <v>0.5</v>
      </c>
      <c r="AT176" s="759">
        <f t="shared" si="87"/>
        <v>251.90624999925495</v>
      </c>
      <c r="AU176" s="13">
        <f t="shared" si="88"/>
        <v>7</v>
      </c>
      <c r="AV176" s="13">
        <f t="shared" si="89"/>
        <v>8</v>
      </c>
      <c r="AW176" s="169">
        <f t="shared" si="90"/>
        <v>43262</v>
      </c>
      <c r="AX176" s="743">
        <f t="shared" si="91"/>
        <v>0</v>
      </c>
      <c r="AY176" s="759">
        <f t="shared" si="92"/>
        <v>251.99999999850988</v>
      </c>
      <c r="AZ176" s="736">
        <f t="shared" si="96"/>
        <v>251.9531249988824</v>
      </c>
      <c r="BA176" s="633">
        <f t="shared" si="93"/>
        <v>0.95396148051766905</v>
      </c>
      <c r="BC176" s="11">
        <v>43262</v>
      </c>
      <c r="BD176" s="286">
        <f>[2]!FeuilCaduc*(1-Persistant)+Persistant</f>
        <v>0.90929050206565898</v>
      </c>
      <c r="BE176" s="287">
        <f>[2]!CroissVégét</f>
        <v>0.50975963681802305</v>
      </c>
      <c r="BF176" s="806">
        <f>1+[2]!Salcycl*Ksac</f>
        <v>1.0386613127582074</v>
      </c>
      <c r="BH176" s="1036">
        <f t="shared" si="94"/>
        <v>1.2797444877193341E-3</v>
      </c>
      <c r="BI176" s="11">
        <v>44358</v>
      </c>
      <c r="BJ176" s="716">
        <v>2.1503281270034774E-5</v>
      </c>
      <c r="BK176" s="716">
        <v>9.3647417230887799E-5</v>
      </c>
      <c r="BL176" s="716">
        <v>2.2687569055698112E-4</v>
      </c>
      <c r="BM176" s="716">
        <v>4.4781388024526299E-4</v>
      </c>
      <c r="BN176" s="716">
        <v>7.8578893730323757E-4</v>
      </c>
      <c r="BO176" s="717">
        <v>1.284971313539413E-3</v>
      </c>
      <c r="BP176" s="716">
        <v>2.0345759152794107E-3</v>
      </c>
      <c r="BQ176" s="716">
        <v>3.3496718807774222E-3</v>
      </c>
      <c r="BR176" s="716">
        <v>4.9537831317035168E-3</v>
      </c>
      <c r="BS176" s="716">
        <v>6.8119276755664758E-3</v>
      </c>
      <c r="BT176" s="716">
        <v>8.5538446588120653E-3</v>
      </c>
      <c r="BW176" s="1166">
        <f>'2022'!R\Max</f>
        <v>0.95396148051766905</v>
      </c>
      <c r="BX176" s="1167">
        <f>'2023'!R\Max</f>
        <v>0.95395996502893865</v>
      </c>
      <c r="BY176" s="1167">
        <f>'2024'!R\Max</f>
        <v>0.95395789058157643</v>
      </c>
      <c r="BZ176" s="1167">
        <f>'2025'!R\Max</f>
        <v>0.95395523149953965</v>
      </c>
      <c r="CA176" s="1167">
        <f>'2026'!R\Max</f>
        <v>0.95395228651675146</v>
      </c>
      <c r="CB176" s="1167">
        <f>'2027'!R\Max</f>
        <v>0.95394904248549761</v>
      </c>
      <c r="CC176" s="1168">
        <f>'2028'!R\Max</f>
        <v>0.95394554697984624</v>
      </c>
      <c r="CD176" s="1167">
        <f>'2029'!R\Max</f>
        <v>0.95396155625428225</v>
      </c>
      <c r="CE176" s="1167">
        <f>'2030'!R\Max</f>
        <v>0.95396004076896967</v>
      </c>
      <c r="CF176" s="1169">
        <f>'2031'!R\Max</f>
        <v>0.95395802346693748</v>
      </c>
    </row>
    <row r="177" spans="1:84" s="6" customFormat="1" ht="11.25" x14ac:dyDescent="0.2">
      <c r="A177" s="11">
        <v>43263</v>
      </c>
      <c r="B177" s="375">
        <f>'2022'!Maxi_hp</f>
        <v>189.8045422952159</v>
      </c>
      <c r="C177" s="13">
        <f>'2022'!An_max</f>
        <v>2022</v>
      </c>
      <c r="D177" s="1045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69">
        <f t="shared" si="80"/>
        <v>43262</v>
      </c>
      <c r="I177" s="743">
        <f t="shared" si="81"/>
        <v>7.1428571428571425E-2</v>
      </c>
      <c r="J177" s="736">
        <f t="shared" si="82"/>
        <v>252.01029519002356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38">
        <v>43263</v>
      </c>
      <c r="AP177" s="13">
        <f t="shared" si="83"/>
        <v>7</v>
      </c>
      <c r="AQ177" s="13">
        <f t="shared" si="84"/>
        <v>8</v>
      </c>
      <c r="AR177" s="169">
        <f t="shared" si="85"/>
        <v>43248</v>
      </c>
      <c r="AS177" s="743">
        <f t="shared" si="86"/>
        <v>0.5357142857142857</v>
      </c>
      <c r="AT177" s="759">
        <f t="shared" si="87"/>
        <v>251.92042866200208</v>
      </c>
      <c r="AU177" s="13">
        <f t="shared" si="88"/>
        <v>7</v>
      </c>
      <c r="AV177" s="13">
        <f t="shared" si="89"/>
        <v>8</v>
      </c>
      <c r="AW177" s="169">
        <f t="shared" si="90"/>
        <v>43262</v>
      </c>
      <c r="AX177" s="743">
        <f t="shared" si="91"/>
        <v>3.5714285714285712E-2</v>
      </c>
      <c r="AY177" s="759">
        <f t="shared" si="92"/>
        <v>252.01273232373811</v>
      </c>
      <c r="AZ177" s="736">
        <f t="shared" si="96"/>
        <v>251.96658049287009</v>
      </c>
      <c r="BA177" s="633">
        <f t="shared" si="93"/>
        <v>0.75316185853477691</v>
      </c>
      <c r="BC177" s="11">
        <v>43263</v>
      </c>
      <c r="BD177" s="286">
        <f>[2]!FeuilCaduc*(1-Persistant)+Persistant</f>
        <v>0.91396760489936879</v>
      </c>
      <c r="BE177" s="287">
        <f>[2]!CroissVégét</f>
        <v>0.52004118610663486</v>
      </c>
      <c r="BF177" s="806">
        <f>1+[2]!Salcycl*Ksac</f>
        <v>1.0392459506124212</v>
      </c>
      <c r="BH177" s="1036">
        <f t="shared" si="94"/>
        <v>1.2322084278709074E-3</v>
      </c>
      <c r="BI177" s="11">
        <v>44359</v>
      </c>
      <c r="BJ177" s="716">
        <v>1.85528465440614E-5</v>
      </c>
      <c r="BK177" s="716">
        <v>8.4460973240009648E-5</v>
      </c>
      <c r="BL177" s="716">
        <v>2.1244029326673085E-4</v>
      </c>
      <c r="BM177" s="716">
        <v>4.2696461102438989E-4</v>
      </c>
      <c r="BN177" s="716">
        <v>7.5402138733086683E-4</v>
      </c>
      <c r="BO177" s="717">
        <v>1.2372683980812155E-3</v>
      </c>
      <c r="BP177" s="716">
        <v>1.9672564048296461E-3</v>
      </c>
      <c r="BQ177" s="716">
        <v>3.2378816868879712E-3</v>
      </c>
      <c r="BR177" s="716">
        <v>4.8032129860513971E-3</v>
      </c>
      <c r="BS177" s="716">
        <v>6.6228063229946954E-3</v>
      </c>
      <c r="BT177" s="716">
        <v>8.3522612275093409E-3</v>
      </c>
      <c r="BW177" s="1166">
        <f>'2022'!R\Max</f>
        <v>0.75316185853477691</v>
      </c>
      <c r="BX177" s="1167">
        <f>'2023'!R\Max</f>
        <v>0.75315557951517176</v>
      </c>
      <c r="BY177" s="1167">
        <f>'2024'!R\Max</f>
        <v>0.75314697921565277</v>
      </c>
      <c r="BZ177" s="1167">
        <f>'2025'!R\Max</f>
        <v>0.75313604896723796</v>
      </c>
      <c r="CA177" s="1167">
        <f>'2026'!R\Max</f>
        <v>0.75312385274645632</v>
      </c>
      <c r="CB177" s="1167">
        <f>'2027'!R\Max</f>
        <v>0.75311038575902467</v>
      </c>
      <c r="CC177" s="1168">
        <f>'2028'!R\Max</f>
        <v>0.75309582600439617</v>
      </c>
      <c r="CD177" s="1167">
        <f>'2029'!R\Max</f>
        <v>0.75316217233143712</v>
      </c>
      <c r="CE177" s="1167">
        <f>'2030'!R\Max</f>
        <v>0.7531558933214374</v>
      </c>
      <c r="CF177" s="1169">
        <f>'2031'!R\Max</f>
        <v>0.75314752545293784</v>
      </c>
    </row>
    <row r="178" spans="1:84" s="6" customFormat="1" ht="11.25" x14ac:dyDescent="0.2">
      <c r="A178" s="11">
        <v>43264</v>
      </c>
      <c r="B178" s="375">
        <f>'2022'!Maxi_hp</f>
        <v>233.45979077270493</v>
      </c>
      <c r="C178" s="13">
        <f>'2022'!An_max</f>
        <v>2022</v>
      </c>
      <c r="D178" s="1045" t="str">
        <f t="shared" si="78"/>
        <v/>
      </c>
      <c r="E178" s="13"/>
      <c r="F178" s="13">
        <f t="shared" si="95"/>
        <v>13</v>
      </c>
      <c r="G178" s="13">
        <f t="shared" si="79"/>
        <v>14</v>
      </c>
      <c r="H178" s="169">
        <f t="shared" si="80"/>
        <v>43262</v>
      </c>
      <c r="I178" s="743">
        <f t="shared" si="81"/>
        <v>0.14285714285714285</v>
      </c>
      <c r="J178" s="736">
        <f t="shared" si="82"/>
        <v>252.00583090058393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38">
        <v>43264</v>
      </c>
      <c r="AP178" s="13">
        <f t="shared" si="83"/>
        <v>7</v>
      </c>
      <c r="AQ178" s="13">
        <f t="shared" si="84"/>
        <v>8</v>
      </c>
      <c r="AR178" s="169">
        <f t="shared" si="85"/>
        <v>43248</v>
      </c>
      <c r="AS178" s="743">
        <f t="shared" si="86"/>
        <v>0.5714285714285714</v>
      </c>
      <c r="AT178" s="759">
        <f t="shared" si="87"/>
        <v>251.92274052564591</v>
      </c>
      <c r="AU178" s="13">
        <f t="shared" si="88"/>
        <v>7</v>
      </c>
      <c r="AV178" s="13">
        <f t="shared" si="89"/>
        <v>8</v>
      </c>
      <c r="AW178" s="169">
        <f t="shared" si="90"/>
        <v>43262</v>
      </c>
      <c r="AX178" s="743">
        <f t="shared" si="91"/>
        <v>7.1428571428571425E-2</v>
      </c>
      <c r="AY178" s="759">
        <f t="shared" si="92"/>
        <v>252.01512390385784</v>
      </c>
      <c r="AZ178" s="736">
        <f t="shared" si="96"/>
        <v>251.96893221475187</v>
      </c>
      <c r="BA178" s="633">
        <f t="shared" si="93"/>
        <v>0.92640630551443315</v>
      </c>
      <c r="BC178" s="11">
        <v>43264</v>
      </c>
      <c r="BD178" s="286">
        <f>[2]!FeuilCaduc*(1-Persistant)+Persistant</f>
        <v>0.91852928454200511</v>
      </c>
      <c r="BE178" s="287">
        <f>[2]!CroissVégét</f>
        <v>0.53030539801316789</v>
      </c>
      <c r="BF178" s="806">
        <f>1+[2]!Salcycl*Ksac</f>
        <v>1.0398161605677507</v>
      </c>
      <c r="BH178" s="1036">
        <f t="shared" si="94"/>
        <v>1.194189214895404E-3</v>
      </c>
      <c r="BI178" s="11">
        <v>44360</v>
      </c>
      <c r="BJ178" s="716">
        <v>1.6244701323162514E-5</v>
      </c>
      <c r="BK178" s="716">
        <v>7.6468581424546679E-5</v>
      </c>
      <c r="BL178" s="716">
        <v>2.0014418139788418E-4</v>
      </c>
      <c r="BM178" s="716">
        <v>4.1000996888575751E-4</v>
      </c>
      <c r="BN178" s="716">
        <v>7.291018263116864E-4</v>
      </c>
      <c r="BO178" s="717">
        <v>1.1991105702060076E-3</v>
      </c>
      <c r="BP178" s="716">
        <v>1.911396156299246E-3</v>
      </c>
      <c r="BQ178" s="716">
        <v>3.1360102674208739E-3</v>
      </c>
      <c r="BR178" s="716">
        <v>4.6614635538703604E-3</v>
      </c>
      <c r="BS178" s="716">
        <v>6.4420625900819262E-3</v>
      </c>
      <c r="BT178" s="716">
        <v>8.1614560594032767E-3</v>
      </c>
      <c r="BW178" s="1166">
        <f>'2022'!R\Max</f>
        <v>0.92640630551443315</v>
      </c>
      <c r="BX178" s="1167">
        <f>'2023'!R\Max</f>
        <v>0.92640404740984394</v>
      </c>
      <c r="BY178" s="1167">
        <f>'2024'!R\Max</f>
        <v>0.92640096184742171</v>
      </c>
      <c r="BZ178" s="1167">
        <f>'2025'!R\Max</f>
        <v>0.92639707910766356</v>
      </c>
      <c r="CA178" s="1167">
        <f>'2026'!R\Max</f>
        <v>0.92639271018798597</v>
      </c>
      <c r="CB178" s="1167">
        <f>'2027'!R\Max</f>
        <v>0.92638787283710611</v>
      </c>
      <c r="CC178" s="1168">
        <f>'2028'!R\Max</f>
        <v>0.92638262287907802</v>
      </c>
      <c r="CD178" s="1167">
        <f>'2029'!R\Max</f>
        <v>0.92640641836352022</v>
      </c>
      <c r="CE178" s="1167">
        <f>'2030'!R\Max</f>
        <v>0.92640416026361361</v>
      </c>
      <c r="CF178" s="1169">
        <f>'2031'!R\Max</f>
        <v>0.92640115588483385</v>
      </c>
    </row>
    <row r="179" spans="1:84" s="6" customFormat="1" ht="11.25" x14ac:dyDescent="0.2">
      <c r="A179" s="11">
        <v>43265</v>
      </c>
      <c r="B179" s="375">
        <f>'2022'!Maxi_hp</f>
        <v>210.80210938162338</v>
      </c>
      <c r="C179" s="13">
        <f>'2022'!An_max</f>
        <v>2022</v>
      </c>
      <c r="D179" s="1045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69">
        <f t="shared" si="80"/>
        <v>43262</v>
      </c>
      <c r="I179" s="743">
        <f t="shared" si="81"/>
        <v>0.21428571428571427</v>
      </c>
      <c r="J179" s="736">
        <f t="shared" si="82"/>
        <v>251.98715378908173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38">
        <v>43265</v>
      </c>
      <c r="AP179" s="13">
        <f t="shared" si="83"/>
        <v>7</v>
      </c>
      <c r="AQ179" s="13">
        <f t="shared" si="84"/>
        <v>8</v>
      </c>
      <c r="AR179" s="169">
        <f t="shared" si="85"/>
        <v>43248</v>
      </c>
      <c r="AS179" s="743">
        <f t="shared" si="86"/>
        <v>0.6071428571428571</v>
      </c>
      <c r="AT179" s="759">
        <f t="shared" si="87"/>
        <v>251.91311725601554</v>
      </c>
      <c r="AU179" s="13">
        <f t="shared" si="88"/>
        <v>7</v>
      </c>
      <c r="AV179" s="13">
        <f t="shared" si="89"/>
        <v>8</v>
      </c>
      <c r="AW179" s="169">
        <f t="shared" si="90"/>
        <v>43262</v>
      </c>
      <c r="AX179" s="743">
        <f t="shared" si="91"/>
        <v>0.10714285714285714</v>
      </c>
      <c r="AY179" s="759">
        <f t="shared" si="92"/>
        <v>252.0070380819696</v>
      </c>
      <c r="AZ179" s="736">
        <f t="shared" si="96"/>
        <v>251.96007766899257</v>
      </c>
      <c r="BA179" s="633">
        <f t="shared" si="93"/>
        <v>0.83655895235861488</v>
      </c>
      <c r="BC179" s="11">
        <v>43265</v>
      </c>
      <c r="BD179" s="286">
        <f>[2]!FeuilCaduc*(1-Persistant)+Persistant</f>
        <v>0.92297138125713984</v>
      </c>
      <c r="BE179" s="287">
        <f>[2]!CroissVégét</f>
        <v>0.54054367684881977</v>
      </c>
      <c r="BF179" s="806">
        <f>1+[2]!Salcycl*Ksac</f>
        <v>1.0403714226571426</v>
      </c>
      <c r="BH179" s="1036">
        <f t="shared" si="94"/>
        <v>1.1604204385724114E-3</v>
      </c>
      <c r="BI179" s="11">
        <v>44361</v>
      </c>
      <c r="BJ179" s="716">
        <v>1.4187871205099164E-5</v>
      </c>
      <c r="BK179" s="716">
        <v>6.9191131745656602E-5</v>
      </c>
      <c r="BL179" s="716">
        <v>1.889630713538601E-4</v>
      </c>
      <c r="BM179" s="716">
        <v>3.9479456275232392E-4</v>
      </c>
      <c r="BN179" s="716">
        <v>7.0700874779339E-4</v>
      </c>
      <c r="BO179" s="717">
        <v>1.1652182466555334E-3</v>
      </c>
      <c r="BP179" s="716">
        <v>1.861313512715434E-3</v>
      </c>
      <c r="BQ179" s="716">
        <v>3.0431555594859806E-3</v>
      </c>
      <c r="BR179" s="716">
        <v>4.531880188950164E-3</v>
      </c>
      <c r="BS179" s="716">
        <v>6.2768102188798759E-3</v>
      </c>
      <c r="BT179" s="716">
        <v>7.9876695915008875E-3</v>
      </c>
      <c r="BW179" s="1166">
        <f>'2022'!R\Max</f>
        <v>0.83655895235861488</v>
      </c>
      <c r="BX179" s="1167">
        <f>'2023'!R\Max</f>
        <v>0.83655450502050999</v>
      </c>
      <c r="BY179" s="1167">
        <f>'2024'!R\Max</f>
        <v>0.83654844488646929</v>
      </c>
      <c r="BZ179" s="1167">
        <f>'2025'!R\Max</f>
        <v>0.83654089340764104</v>
      </c>
      <c r="CA179" s="1167">
        <f>'2026'!R\Max</f>
        <v>0.83653232252478904</v>
      </c>
      <c r="CB179" s="1167">
        <f>'2027'!R\Max</f>
        <v>0.83652280891708664</v>
      </c>
      <c r="CC179" s="1168">
        <f>'2028'!R\Max</f>
        <v>0.83651244377562739</v>
      </c>
      <c r="CD179" s="1167">
        <f>'2029'!R\Max</f>
        <v>0.83655917461571649</v>
      </c>
      <c r="CE179" s="1167">
        <f>'2030'!R\Max</f>
        <v>0.8365547272853695</v>
      </c>
      <c r="CF179" s="1169">
        <f>'2031'!R\Max</f>
        <v>0.83654882226914018</v>
      </c>
    </row>
    <row r="180" spans="1:84" s="6" customFormat="1" ht="11.25" x14ac:dyDescent="0.2">
      <c r="A180" s="11">
        <v>43266</v>
      </c>
      <c r="B180" s="375">
        <f>'2022'!Maxi_hp</f>
        <v>236.65513691987971</v>
      </c>
      <c r="C180" s="13">
        <f>'2022'!An_max</f>
        <v>2022</v>
      </c>
      <c r="D180" s="1045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69">
        <f t="shared" si="80"/>
        <v>43262</v>
      </c>
      <c r="I180" s="743">
        <f t="shared" si="81"/>
        <v>0.2857142857142857</v>
      </c>
      <c r="J180" s="736">
        <f t="shared" si="82"/>
        <v>251.95481049439735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38">
        <v>43266</v>
      </c>
      <c r="AP180" s="13">
        <f t="shared" si="83"/>
        <v>7</v>
      </c>
      <c r="AQ180" s="13">
        <f t="shared" si="84"/>
        <v>8</v>
      </c>
      <c r="AR180" s="169">
        <f t="shared" si="85"/>
        <v>43248</v>
      </c>
      <c r="AS180" s="743">
        <f t="shared" si="86"/>
        <v>0.6428571428571429</v>
      </c>
      <c r="AT180" s="759">
        <f t="shared" si="87"/>
        <v>251.8914905242622</v>
      </c>
      <c r="AU180" s="13">
        <f t="shared" si="88"/>
        <v>7</v>
      </c>
      <c r="AV180" s="13">
        <f t="shared" si="89"/>
        <v>8</v>
      </c>
      <c r="AW180" s="169">
        <f t="shared" si="90"/>
        <v>43262</v>
      </c>
      <c r="AX180" s="743">
        <f t="shared" si="91"/>
        <v>0.14285714285714285</v>
      </c>
      <c r="AY180" s="759">
        <f t="shared" si="92"/>
        <v>251.98833819180726</v>
      </c>
      <c r="AZ180" s="736">
        <f t="shared" si="96"/>
        <v>251.93991435803474</v>
      </c>
      <c r="BA180" s="633">
        <f t="shared" si="93"/>
        <v>0.93927612041025965</v>
      </c>
      <c r="BC180" s="11">
        <v>43266</v>
      </c>
      <c r="BD180" s="286">
        <f>[2]!FeuilCaduc*(1-Persistant)+Persistant</f>
        <v>0.9272900968616854</v>
      </c>
      <c r="BE180" s="287">
        <f>[2]!CroissVégét</f>
        <v>0.55074751394309984</v>
      </c>
      <c r="BF180" s="806">
        <f>1+[2]!Salcycl*Ksac</f>
        <v>1.0409112621077106</v>
      </c>
      <c r="BH180" s="1036">
        <f t="shared" si="94"/>
        <v>1.1308963012988623E-3</v>
      </c>
      <c r="BI180" s="11">
        <v>44362</v>
      </c>
      <c r="BJ180" s="716">
        <v>1.2381949389903219E-5</v>
      </c>
      <c r="BK180" s="716">
        <v>6.2627475959588564E-5</v>
      </c>
      <c r="BL180" s="716">
        <v>1.7889526904071341E-4</v>
      </c>
      <c r="BM180" s="716">
        <v>3.8131590383463178E-4</v>
      </c>
      <c r="BN180" s="716">
        <v>6.8773822782100633E-4</v>
      </c>
      <c r="BO180" s="717">
        <v>1.1355856100005851E-3</v>
      </c>
      <c r="BP180" s="716">
        <v>1.8170008506562371E-3</v>
      </c>
      <c r="BQ180" s="716">
        <v>2.9593055750407582E-3</v>
      </c>
      <c r="BR180" s="716">
        <v>4.4144471354869317E-3</v>
      </c>
      <c r="BS180" s="716">
        <v>6.1270297286730125E-3</v>
      </c>
      <c r="BT180" s="716">
        <v>7.8308818184847622E-3</v>
      </c>
      <c r="BW180" s="1166">
        <f>'2022'!R\Max</f>
        <v>0.93927612041025965</v>
      </c>
      <c r="BX180" s="1167">
        <f>'2023'!R\Max</f>
        <v>0.93927429557839082</v>
      </c>
      <c r="BY180" s="1167">
        <f>'2024'!R\Max</f>
        <v>0.93927181670718041</v>
      </c>
      <c r="BZ180" s="1167">
        <f>'2025'!R\Max</f>
        <v>0.93926875727456061</v>
      </c>
      <c r="CA180" s="1167">
        <f>'2026'!R\Max</f>
        <v>0.93926525367600577</v>
      </c>
      <c r="CB180" s="1167">
        <f>'2027'!R\Max</f>
        <v>0.93926135576308734</v>
      </c>
      <c r="CC180" s="1168">
        <f>'2028'!R\Max</f>
        <v>0.9392570921003871</v>
      </c>
      <c r="CD180" s="1167">
        <f>'2029'!R\Max</f>
        <v>0.93927621160651109</v>
      </c>
      <c r="CE180" s="1167">
        <f>'2030'!R\Max</f>
        <v>0.93927438677837272</v>
      </c>
      <c r="CF180" s="1169">
        <f>'2031'!R\Max</f>
        <v>0.93927196960057191</v>
      </c>
    </row>
    <row r="181" spans="1:84" s="6" customFormat="1" ht="11.25" x14ac:dyDescent="0.2">
      <c r="A181" s="11">
        <v>43267</v>
      </c>
      <c r="B181" s="375">
        <f>'2022'!Maxi_hp</f>
        <v>223.43412002799909</v>
      </c>
      <c r="C181" s="13">
        <f>'2022'!An_max</f>
        <v>2022</v>
      </c>
      <c r="D181" s="1045" t="str">
        <f t="shared" si="78"/>
        <v/>
      </c>
      <c r="E181" s="13"/>
      <c r="F181" s="13">
        <f t="shared" si="95"/>
        <v>13</v>
      </c>
      <c r="G181" s="13">
        <f t="shared" si="79"/>
        <v>14</v>
      </c>
      <c r="H181" s="169">
        <f t="shared" si="80"/>
        <v>43262</v>
      </c>
      <c r="I181" s="743">
        <f t="shared" si="81"/>
        <v>0.35714285714285715</v>
      </c>
      <c r="J181" s="736">
        <f t="shared" si="82"/>
        <v>251.90934766605497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38">
        <v>43267</v>
      </c>
      <c r="AP181" s="13">
        <f t="shared" si="83"/>
        <v>7</v>
      </c>
      <c r="AQ181" s="13">
        <f t="shared" si="84"/>
        <v>8</v>
      </c>
      <c r="AR181" s="169">
        <f t="shared" si="85"/>
        <v>43248</v>
      </c>
      <c r="AS181" s="743">
        <f t="shared" si="86"/>
        <v>0.6785714285714286</v>
      </c>
      <c r="AT181" s="759">
        <f t="shared" si="87"/>
        <v>251.85779199924855</v>
      </c>
      <c r="AU181" s="13">
        <f t="shared" si="88"/>
        <v>7</v>
      </c>
      <c r="AV181" s="13">
        <f t="shared" si="89"/>
        <v>8</v>
      </c>
      <c r="AW181" s="169">
        <f t="shared" si="90"/>
        <v>43262</v>
      </c>
      <c r="AX181" s="743">
        <f t="shared" si="91"/>
        <v>0.17857142857142858</v>
      </c>
      <c r="AY181" s="759">
        <f t="shared" si="92"/>
        <v>251.95888757083031</v>
      </c>
      <c r="AZ181" s="736">
        <f t="shared" si="96"/>
        <v>251.90833978503943</v>
      </c>
      <c r="BA181" s="633">
        <f t="shared" si="93"/>
        <v>0.88696240174539209</v>
      </c>
      <c r="BC181" s="11">
        <v>43267</v>
      </c>
      <c r="BD181" s="286">
        <f>[2]!FeuilCaduc*(1-Persistant)+Persistant</f>
        <v>0.93148200783276369</v>
      </c>
      <c r="BE181" s="287">
        <f>[2]!CroissVégét</f>
        <v>0.56090851568364364</v>
      </c>
      <c r="BF181" s="806">
        <f>1+[2]!Salcycl*Ksac</f>
        <v>1.0414352509790954</v>
      </c>
      <c r="BH181" s="1036">
        <f t="shared" si="94"/>
        <v>1.105611040261807E-3</v>
      </c>
      <c r="BI181" s="11">
        <v>44363</v>
      </c>
      <c r="BJ181" s="716">
        <v>1.0826530742333711E-5</v>
      </c>
      <c r="BK181" s="716">
        <v>5.6776464057584629E-5</v>
      </c>
      <c r="BL181" s="716">
        <v>1.6993907855931959E-4</v>
      </c>
      <c r="BM181" s="716">
        <v>3.6957151097900457E-4</v>
      </c>
      <c r="BN181" s="716">
        <v>6.7128636710625988E-4</v>
      </c>
      <c r="BO181" s="717">
        <v>1.1102068777091936E-3</v>
      </c>
      <c r="BP181" s="716">
        <v>1.7784505753552669E-3</v>
      </c>
      <c r="BQ181" s="716">
        <v>2.8844483034475483E-3</v>
      </c>
      <c r="BR181" s="716">
        <v>4.3091485883243151E-3</v>
      </c>
      <c r="BS181" s="716">
        <v>5.9927015758242984E-3</v>
      </c>
      <c r="BT181" s="716">
        <v>7.6910727039254658E-3</v>
      </c>
      <c r="BW181" s="1166">
        <f>'2022'!R\Max</f>
        <v>0.88696240174539209</v>
      </c>
      <c r="BX181" s="1167">
        <f>'2023'!R\Max</f>
        <v>0.88695924123218006</v>
      </c>
      <c r="BY181" s="1167">
        <f>'2024'!R\Max</f>
        <v>0.88695496258900974</v>
      </c>
      <c r="BZ181" s="1167">
        <f>'2025'!R\Max</f>
        <v>0.88694973116325437</v>
      </c>
      <c r="CA181" s="1167">
        <f>'2026'!R\Max</f>
        <v>0.88694368535012835</v>
      </c>
      <c r="CB181" s="1167">
        <f>'2027'!R\Max</f>
        <v>0.88693694549568003</v>
      </c>
      <c r="CC181" s="1168">
        <f>'2028'!R\Max</f>
        <v>0.88692954380819167</v>
      </c>
      <c r="CD181" s="1167">
        <f>'2029'!R\Max</f>
        <v>0.88696255969284621</v>
      </c>
      <c r="CE181" s="1167">
        <f>'2030'!R\Max</f>
        <v>0.88695939918547917</v>
      </c>
      <c r="CF181" s="1169">
        <f>'2031'!R\Max</f>
        <v>0.88695522402751903</v>
      </c>
    </row>
    <row r="182" spans="1:84" s="6" customFormat="1" ht="11.25" x14ac:dyDescent="0.2">
      <c r="A182" s="11">
        <v>43268</v>
      </c>
      <c r="B182" s="375">
        <f>'2022'!Maxi_hp</f>
        <v>230.42450598250218</v>
      </c>
      <c r="C182" s="13">
        <f>'2022'!An_max</f>
        <v>2022</v>
      </c>
      <c r="D182" s="1045" t="str">
        <f t="shared" si="78"/>
        <v/>
      </c>
      <c r="E182" s="13"/>
      <c r="F182" s="13">
        <f t="shared" si="95"/>
        <v>13</v>
      </c>
      <c r="G182" s="13">
        <f t="shared" si="79"/>
        <v>14</v>
      </c>
      <c r="H182" s="169">
        <f t="shared" si="80"/>
        <v>43262</v>
      </c>
      <c r="I182" s="743">
        <f t="shared" si="81"/>
        <v>0.42857142857142855</v>
      </c>
      <c r="J182" s="736">
        <f t="shared" si="82"/>
        <v>251.85131195166281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38">
        <v>43268</v>
      </c>
      <c r="AP182" s="13">
        <f t="shared" si="83"/>
        <v>7</v>
      </c>
      <c r="AQ182" s="13">
        <f t="shared" si="84"/>
        <v>8</v>
      </c>
      <c r="AR182" s="169">
        <f t="shared" si="85"/>
        <v>43248</v>
      </c>
      <c r="AS182" s="743">
        <f t="shared" si="86"/>
        <v>0.7142857142857143</v>
      </c>
      <c r="AT182" s="759">
        <f t="shared" si="87"/>
        <v>251.81195335303033</v>
      </c>
      <c r="AU182" s="13">
        <f t="shared" si="88"/>
        <v>7</v>
      </c>
      <c r="AV182" s="13">
        <f t="shared" si="89"/>
        <v>8</v>
      </c>
      <c r="AW182" s="169">
        <f t="shared" si="90"/>
        <v>43262</v>
      </c>
      <c r="AX182" s="743">
        <f t="shared" si="91"/>
        <v>0.21428571428571427</v>
      </c>
      <c r="AY182" s="759">
        <f t="shared" si="92"/>
        <v>251.91854956245848</v>
      </c>
      <c r="AZ182" s="736">
        <f t="shared" si="96"/>
        <v>251.86525145774442</v>
      </c>
      <c r="BA182" s="633">
        <f t="shared" si="93"/>
        <v>0.91492279391709896</v>
      </c>
      <c r="BC182" s="11">
        <v>43268</v>
      </c>
      <c r="BD182" s="286">
        <f>[2]!FeuilCaduc*(1-Persistant)+Persistant</f>
        <v>0.93554407643150084</v>
      </c>
      <c r="BE182" s="287">
        <f>[2]!CroissVégét</f>
        <v>0.57101843074296321</v>
      </c>
      <c r="BF182" s="806">
        <f>1+[2]!Salcycl*Ksac</f>
        <v>1.0419430095539377</v>
      </c>
      <c r="BH182" s="1036">
        <f t="shared" si="94"/>
        <v>1.084558975329625E-3</v>
      </c>
      <c r="BI182" s="11">
        <v>44364</v>
      </c>
      <c r="BJ182" s="716">
        <v>9.5212146268355174E-6</v>
      </c>
      <c r="BK182" s="716">
        <v>5.1636952311749645E-5</v>
      </c>
      <c r="BL182" s="716">
        <v>1.6209281474948697E-4</v>
      </c>
      <c r="BM182" s="716">
        <v>3.5955893025348633E-4</v>
      </c>
      <c r="BN182" s="716">
        <v>6.5764932288364046E-4</v>
      </c>
      <c r="BO182" s="717">
        <v>1.0890763502075182E-3</v>
      </c>
      <c r="BP182" s="716">
        <v>1.7456551857295867E-3</v>
      </c>
      <c r="BQ182" s="716">
        <v>2.8185718127737218E-3</v>
      </c>
      <c r="BR182" s="716">
        <v>4.2159688295534221E-3</v>
      </c>
      <c r="BS182" s="716">
        <v>5.8738063276710393E-3</v>
      </c>
      <c r="BT182" s="716">
        <v>7.5682223713337392E-3</v>
      </c>
      <c r="BW182" s="1166">
        <f>'2022'!R\Max</f>
        <v>0.91492279391709896</v>
      </c>
      <c r="BX182" s="1167">
        <f>'2023'!R\Max</f>
        <v>0.91492037194413633</v>
      </c>
      <c r="BY182" s="1167">
        <f>'2024'!R\Max</f>
        <v>0.91491710502911117</v>
      </c>
      <c r="BZ182" s="1167">
        <f>'2025'!R\Max</f>
        <v>0.91491314687506875</v>
      </c>
      <c r="CA182" s="1167">
        <f>'2026'!R\Max</f>
        <v>0.91490852993503702</v>
      </c>
      <c r="CB182" s="1167">
        <f>'2027'!R\Max</f>
        <v>0.91490337397583366</v>
      </c>
      <c r="CC182" s="1168">
        <f>'2028'!R\Max</f>
        <v>0.91489768893748635</v>
      </c>
      <c r="CD182" s="1167">
        <f>'2029'!R\Max</f>
        <v>0.9149229149557353</v>
      </c>
      <c r="CE182" s="1167">
        <f>'2030'!R\Max</f>
        <v>0.91492049298740474</v>
      </c>
      <c r="CF182" s="1169">
        <f>'2031'!R\Max</f>
        <v>0.9149173028362183</v>
      </c>
    </row>
    <row r="183" spans="1:84" s="6" customFormat="1" ht="11.25" x14ac:dyDescent="0.2">
      <c r="A183" s="11">
        <v>43269</v>
      </c>
      <c r="B183" s="375">
        <f>'2022'!Maxi_hp</f>
        <v>237.57794236873499</v>
      </c>
      <c r="C183" s="13">
        <f>'2022'!An_max</f>
        <v>2022</v>
      </c>
      <c r="D183" s="1045" t="str">
        <f t="shared" si="78"/>
        <v/>
      </c>
      <c r="E183" s="13"/>
      <c r="F183" s="13">
        <f t="shared" si="95"/>
        <v>13</v>
      </c>
      <c r="G183" s="13">
        <f t="shared" si="79"/>
        <v>14</v>
      </c>
      <c r="H183" s="169">
        <f t="shared" si="80"/>
        <v>43262</v>
      </c>
      <c r="I183" s="743">
        <f t="shared" si="81"/>
        <v>0.5</v>
      </c>
      <c r="J183" s="736">
        <f t="shared" si="82"/>
        <v>251.78125000074505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38">
        <v>43269</v>
      </c>
      <c r="AP183" s="13">
        <f t="shared" si="83"/>
        <v>7</v>
      </c>
      <c r="AQ183" s="13">
        <f t="shared" si="84"/>
        <v>8</v>
      </c>
      <c r="AR183" s="169">
        <f t="shared" si="85"/>
        <v>43248</v>
      </c>
      <c r="AS183" s="743">
        <f t="shared" si="86"/>
        <v>0.75</v>
      </c>
      <c r="AT183" s="759">
        <f t="shared" si="87"/>
        <v>251.75390625149012</v>
      </c>
      <c r="AU183" s="13">
        <f t="shared" si="88"/>
        <v>7</v>
      </c>
      <c r="AV183" s="13">
        <f t="shared" si="89"/>
        <v>8</v>
      </c>
      <c r="AW183" s="169">
        <f t="shared" si="90"/>
        <v>43262</v>
      </c>
      <c r="AX183" s="743">
        <f t="shared" si="91"/>
        <v>0.25</v>
      </c>
      <c r="AY183" s="759">
        <f t="shared" si="92"/>
        <v>251.86718749962748</v>
      </c>
      <c r="AZ183" s="736">
        <f t="shared" si="96"/>
        <v>251.8105468755588</v>
      </c>
      <c r="BA183" s="633">
        <f t="shared" si="93"/>
        <v>0.94358869998473671</v>
      </c>
      <c r="BC183" s="11">
        <v>43269</v>
      </c>
      <c r="BD183" s="286">
        <f>[2]!FeuilCaduc*(1-Persistant)+Persistant</f>
        <v>0.93947365975832464</v>
      </c>
      <c r="BE183" s="287">
        <f>[2]!CroissVégét</f>
        <v>0.5810691763075071</v>
      </c>
      <c r="BF183" s="806">
        <f>1+[2]!Salcycl*Ksac</f>
        <v>1.0424342074697905</v>
      </c>
      <c r="BH183" s="1036">
        <f t="shared" si="94"/>
        <v>1.0677345569734666E-3</v>
      </c>
      <c r="BI183" s="11">
        <v>44365</v>
      </c>
      <c r="BJ183" s="716">
        <v>8.4656077428290498E-6</v>
      </c>
      <c r="BK183" s="716">
        <v>4.7207811322594628E-5</v>
      </c>
      <c r="BL183" s="716">
        <v>1.5535481573885021E-4</v>
      </c>
      <c r="BM183" s="716">
        <v>3.5127575454397376E-4</v>
      </c>
      <c r="BN183" s="716">
        <v>6.4682334078486044E-4</v>
      </c>
      <c r="BO183" s="717">
        <v>1.0721884589710898E-3</v>
      </c>
      <c r="BP183" s="716">
        <v>1.7186073394561564E-3</v>
      </c>
      <c r="BQ183" s="716">
        <v>2.761664351170937E-3</v>
      </c>
      <c r="BR183" s="716">
        <v>4.1348923652307443E-3</v>
      </c>
      <c r="BS183" s="716">
        <v>5.770324836584499E-3</v>
      </c>
      <c r="BT183" s="716">
        <v>7.4623112954219813E-3</v>
      </c>
      <c r="BW183" s="1166">
        <f>'2022'!R\Max</f>
        <v>0.94358869998473671</v>
      </c>
      <c r="BX183" s="1167">
        <f>'2023'!R\Max</f>
        <v>0.94358706207820364</v>
      </c>
      <c r="BY183" s="1167">
        <f>'2024'!R\Max</f>
        <v>0.94358486113695972</v>
      </c>
      <c r="BZ183" s="1167">
        <f>'2025'!R\Max</f>
        <v>0.9435822179448915</v>
      </c>
      <c r="CA183" s="1167">
        <f>'2026'!R\Max</f>
        <v>0.94357910588892036</v>
      </c>
      <c r="CB183" s="1167">
        <f>'2027'!R\Max</f>
        <v>0.94357562549691931</v>
      </c>
      <c r="CC183" s="1168">
        <f>'2028'!R\Max</f>
        <v>0.94357177253288738</v>
      </c>
      <c r="CD183" s="1167">
        <f>'2029'!R\Max</f>
        <v>0.94358878183942174</v>
      </c>
      <c r="CE183" s="1167">
        <f>'2030'!R\Max</f>
        <v>0.94358714393613075</v>
      </c>
      <c r="CF183" s="1169">
        <f>'2031'!R\Max</f>
        <v>0.94358499322929168</v>
      </c>
    </row>
    <row r="184" spans="1:84" s="6" customFormat="1" ht="11.25" x14ac:dyDescent="0.2">
      <c r="A184" s="11">
        <v>43270</v>
      </c>
      <c r="B184" s="375">
        <f>'2022'!Maxi_hp</f>
        <v>242.11117824883087</v>
      </c>
      <c r="C184" s="13">
        <f>'2022'!An_max</f>
        <v>2022</v>
      </c>
      <c r="D184" s="1045" t="str">
        <f t="shared" si="78"/>
        <v/>
      </c>
      <c r="E184" s="13"/>
      <c r="F184" s="13">
        <f t="shared" si="95"/>
        <v>13</v>
      </c>
      <c r="G184" s="13">
        <f t="shared" si="79"/>
        <v>14</v>
      </c>
      <c r="H184" s="169">
        <f t="shared" si="80"/>
        <v>43262</v>
      </c>
      <c r="I184" s="743">
        <f t="shared" si="81"/>
        <v>0.5714285714285714</v>
      </c>
      <c r="J184" s="736">
        <f t="shared" si="82"/>
        <v>251.69970845303365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38">
        <v>43270</v>
      </c>
      <c r="AP184" s="13">
        <f t="shared" si="83"/>
        <v>7</v>
      </c>
      <c r="AQ184" s="13">
        <f t="shared" si="84"/>
        <v>8</v>
      </c>
      <c r="AR184" s="169">
        <f t="shared" si="85"/>
        <v>43248</v>
      </c>
      <c r="AS184" s="743">
        <f t="shared" si="86"/>
        <v>0.7857142857142857</v>
      </c>
      <c r="AT184" s="759">
        <f t="shared" si="87"/>
        <v>251.68358236189403</v>
      </c>
      <c r="AU184" s="13">
        <f t="shared" si="88"/>
        <v>7</v>
      </c>
      <c r="AV184" s="13">
        <f t="shared" si="89"/>
        <v>8</v>
      </c>
      <c r="AW184" s="169">
        <f t="shared" si="90"/>
        <v>43262</v>
      </c>
      <c r="AX184" s="743">
        <f t="shared" si="91"/>
        <v>0.2857142857142857</v>
      </c>
      <c r="AY184" s="759">
        <f t="shared" si="92"/>
        <v>251.80466472038202</v>
      </c>
      <c r="AZ184" s="736">
        <f t="shared" si="96"/>
        <v>251.74412354113804</v>
      </c>
      <c r="BA184" s="633">
        <f t="shared" si="93"/>
        <v>0.96190488156249898</v>
      </c>
      <c r="BC184" s="11">
        <v>43270</v>
      </c>
      <c r="BD184" s="286">
        <f>[2]!FeuilCaduc*(1-Persistant)+Persistant</f>
        <v>0.94326851666967559</v>
      </c>
      <c r="BE184" s="287">
        <f>[2]!CroissVégét</f>
        <v>0.5910528631363321</v>
      </c>
      <c r="BF184" s="806">
        <f>1+[2]!Salcycl*Ksac</f>
        <v>1.0429085645837095</v>
      </c>
      <c r="BH184" s="1036">
        <f t="shared" si="94"/>
        <v>1.0566449134840504E-3</v>
      </c>
      <c r="BI184" s="11">
        <v>44366</v>
      </c>
      <c r="BJ184" s="716">
        <v>7.7596143929555886E-6</v>
      </c>
      <c r="BK184" s="716">
        <v>4.395014353361535E-5</v>
      </c>
      <c r="BL184" s="716">
        <v>1.5041824273103195E-4</v>
      </c>
      <c r="BM184" s="716">
        <v>3.4551850674460397E-4</v>
      </c>
      <c r="BN184" s="716">
        <v>6.3976908138574449E-4</v>
      </c>
      <c r="BO184" s="717">
        <v>1.0610561147776543E-3</v>
      </c>
      <c r="BP184" s="716">
        <v>1.6998623145319395E-3</v>
      </c>
      <c r="BQ184" s="716">
        <v>2.7195458370838127E-3</v>
      </c>
      <c r="BR184" s="716">
        <v>4.0742845234587625E-3</v>
      </c>
      <c r="BS184" s="716">
        <v>5.6929099987007327E-3</v>
      </c>
      <c r="BT184" s="716">
        <v>7.3840056592365533E-3</v>
      </c>
      <c r="BW184" s="1166">
        <f>'2022'!R\Max</f>
        <v>0.96190488156249898</v>
      </c>
      <c r="BX184" s="1167">
        <f>'2023'!R\Max</f>
        <v>0.96190376241214848</v>
      </c>
      <c r="BY184" s="1167">
        <f>'2024'!R\Max</f>
        <v>0.9619022627703554</v>
      </c>
      <c r="BZ184" s="1167">
        <f>'2025'!R\Max</f>
        <v>0.96190047615510788</v>
      </c>
      <c r="CA184" s="1167">
        <f>'2026'!R\Max</f>
        <v>0.96189835470129892</v>
      </c>
      <c r="CB184" s="1167">
        <f>'2027'!R\Max</f>
        <v>0.9618959806664773</v>
      </c>
      <c r="CC184" s="1168">
        <f>'2028'!R\Max</f>
        <v>0.96189334275476102</v>
      </c>
      <c r="CD184" s="1167">
        <f>'2029'!R\Max</f>
        <v>0.96190493749222261</v>
      </c>
      <c r="CE184" s="1167">
        <f>'2030'!R\Max</f>
        <v>0.96190381834413352</v>
      </c>
      <c r="CF184" s="1169">
        <f>'2031'!R\Max</f>
        <v>0.96190235205561769</v>
      </c>
    </row>
    <row r="185" spans="1:84" s="6" customFormat="1" ht="11.25" x14ac:dyDescent="0.2">
      <c r="A185" s="11">
        <v>43271</v>
      </c>
      <c r="B185" s="375">
        <f>'2022'!Maxi_hp</f>
        <v>130.39443966361594</v>
      </c>
      <c r="C185" s="13">
        <f>'2022'!An_max</f>
        <v>2022</v>
      </c>
      <c r="D185" s="1045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69">
        <f t="shared" si="80"/>
        <v>43262</v>
      </c>
      <c r="I185" s="743">
        <f t="shared" si="81"/>
        <v>0.6428571428571429</v>
      </c>
      <c r="J185" s="736">
        <f t="shared" si="82"/>
        <v>251.60723396369389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38">
        <v>43271</v>
      </c>
      <c r="AP185" s="13">
        <f t="shared" si="83"/>
        <v>7</v>
      </c>
      <c r="AQ185" s="13">
        <f t="shared" si="84"/>
        <v>8</v>
      </c>
      <c r="AR185" s="169">
        <f t="shared" si="85"/>
        <v>43248</v>
      </c>
      <c r="AS185" s="743">
        <f t="shared" si="86"/>
        <v>0.8214285714285714</v>
      </c>
      <c r="AT185" s="759">
        <f t="shared" si="87"/>
        <v>251.60091335629781</v>
      </c>
      <c r="AU185" s="13">
        <f t="shared" si="88"/>
        <v>7</v>
      </c>
      <c r="AV185" s="13">
        <f t="shared" si="89"/>
        <v>8</v>
      </c>
      <c r="AW185" s="169">
        <f t="shared" si="90"/>
        <v>43262</v>
      </c>
      <c r="AX185" s="743">
        <f t="shared" si="91"/>
        <v>0.32142857142857145</v>
      </c>
      <c r="AY185" s="759">
        <f t="shared" si="92"/>
        <v>251.73084456803545</v>
      </c>
      <c r="AZ185" s="736">
        <f t="shared" si="96"/>
        <v>251.66587896216663</v>
      </c>
      <c r="BA185" s="633">
        <f t="shared" si="93"/>
        <v>0.51824598843780234</v>
      </c>
      <c r="BC185" s="11">
        <v>43271</v>
      </c>
      <c r="BD185" s="286">
        <f>[2]!FeuilCaduc*(1-Persistant)+Persistant</f>
        <v>0.94692681250213284</v>
      </c>
      <c r="BE185" s="287">
        <f>[2]!CroissVégét</f>
        <v>0.60096181929049675</v>
      </c>
      <c r="BF185" s="806">
        <f>1+[2]!Salcycl*Ksac</f>
        <v>1.0433658515627666</v>
      </c>
      <c r="BH185" s="1036">
        <f t="shared" si="94"/>
        <v>1.0486021485114196E-3</v>
      </c>
      <c r="BI185" s="11">
        <v>44367</v>
      </c>
      <c r="BJ185" s="716">
        <v>7.2548544441125428E-6</v>
      </c>
      <c r="BK185" s="716">
        <v>4.1620033875363023E-5</v>
      </c>
      <c r="BL185" s="716">
        <v>1.4687703563005569E-4</v>
      </c>
      <c r="BM185" s="716">
        <v>3.4136783946543003E-4</v>
      </c>
      <c r="BN185" s="716">
        <v>6.3465692987659569E-4</v>
      </c>
      <c r="BO185" s="717">
        <v>1.0529823393100371E-3</v>
      </c>
      <c r="BP185" s="716">
        <v>1.6862780027787922E-3</v>
      </c>
      <c r="BQ185" s="716">
        <v>2.6891572365747517E-3</v>
      </c>
      <c r="BR185" s="716">
        <v>4.0305361975741137E-3</v>
      </c>
      <c r="BS185" s="716">
        <v>5.6369702961118961E-3</v>
      </c>
      <c r="BT185" s="716">
        <v>7.327223900468219E-3</v>
      </c>
      <c r="BW185" s="1166">
        <f>'2022'!R\Max</f>
        <v>0.51824598843780234</v>
      </c>
      <c r="BX185" s="1167">
        <f>'2023'!R\Max</f>
        <v>0.51823839706247921</v>
      </c>
      <c r="BY185" s="1167">
        <f>'2024'!R\Max</f>
        <v>0.51822823590527267</v>
      </c>
      <c r="BZ185" s="1167">
        <f>'2025'!R\Max</f>
        <v>0.51821621387687644</v>
      </c>
      <c r="CA185" s="1167">
        <f>'2026'!R\Max</f>
        <v>0.51820183793001051</v>
      </c>
      <c r="CB185" s="1167">
        <f>'2027'!R\Max</f>
        <v>0.5181857573323897</v>
      </c>
      <c r="CC185" s="1168">
        <f>'2028'!R\Max</f>
        <v>0.51816783318447657</v>
      </c>
      <c r="CD185" s="1167">
        <f>'2029'!R\Max</f>
        <v>0.51824636782344791</v>
      </c>
      <c r="CE185" s="1167">
        <f>'2030'!R\Max</f>
        <v>0.51823877645315997</v>
      </c>
      <c r="CF185" s="1169">
        <f>'2031'!R\Max</f>
        <v>0.51822883671425168</v>
      </c>
    </row>
    <row r="186" spans="1:84" s="6" customFormat="1" ht="11.25" x14ac:dyDescent="0.2">
      <c r="A186" s="11">
        <v>43272</v>
      </c>
      <c r="B186" s="375">
        <f>'2022'!Maxi_hp</f>
        <v>93.010280369136851</v>
      </c>
      <c r="C186" s="13">
        <f>'2022'!An_max</f>
        <v>2022</v>
      </c>
      <c r="D186" s="1045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69">
        <f t="shared" si="80"/>
        <v>43262</v>
      </c>
      <c r="I186" s="743">
        <f t="shared" si="81"/>
        <v>0.7142857142857143</v>
      </c>
      <c r="J186" s="736">
        <f t="shared" si="82"/>
        <v>251.50437317660877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38">
        <v>43272</v>
      </c>
      <c r="AP186" s="13">
        <f t="shared" si="83"/>
        <v>7</v>
      </c>
      <c r="AQ186" s="13">
        <f t="shared" si="84"/>
        <v>8</v>
      </c>
      <c r="AR186" s="169">
        <f t="shared" si="85"/>
        <v>43248</v>
      </c>
      <c r="AS186" s="743">
        <f t="shared" si="86"/>
        <v>0.8571428571428571</v>
      </c>
      <c r="AT186" s="759">
        <f t="shared" si="87"/>
        <v>251.50583090207405</v>
      </c>
      <c r="AU186" s="13">
        <f t="shared" si="88"/>
        <v>7</v>
      </c>
      <c r="AV186" s="13">
        <f t="shared" si="89"/>
        <v>8</v>
      </c>
      <c r="AW186" s="169">
        <f t="shared" si="90"/>
        <v>43262</v>
      </c>
      <c r="AX186" s="743">
        <f t="shared" si="91"/>
        <v>0.35714285714285715</v>
      </c>
      <c r="AY186" s="759">
        <f t="shared" si="92"/>
        <v>251.64559037791832</v>
      </c>
      <c r="AZ186" s="736">
        <f t="shared" si="96"/>
        <v>251.5757106399962</v>
      </c>
      <c r="BA186" s="633">
        <f t="shared" si="93"/>
        <v>0.36981575785095455</v>
      </c>
      <c r="BC186" s="11">
        <v>43272</v>
      </c>
      <c r="BD186" s="286">
        <f>[2]!FeuilCaduc*(1-Persistant)+Persistant</f>
        <v>0.95044712156663069</v>
      </c>
      <c r="BE186" s="287">
        <f>[2]!CroissVégét</f>
        <v>0.61078861238975013</v>
      </c>
      <c r="BF186" s="806">
        <f>1+[2]!Salcycl*Ksac</f>
        <v>1.0438058901958289</v>
      </c>
      <c r="BH186" s="1036">
        <f t="shared" si="94"/>
        <v>1.043603012067874E-3</v>
      </c>
      <c r="BI186" s="11">
        <v>44368</v>
      </c>
      <c r="BJ186" s="716">
        <v>6.9510412452446422E-6</v>
      </c>
      <c r="BK186" s="716">
        <v>4.0216170567952424E-5</v>
      </c>
      <c r="BL186" s="716">
        <v>1.4472931892902725E-4</v>
      </c>
      <c r="BM186" s="716">
        <v>3.38821793354439E-4</v>
      </c>
      <c r="BN186" s="716">
        <v>6.3148477551260409E-4</v>
      </c>
      <c r="BO186" s="717">
        <v>1.0479638705255588E-3</v>
      </c>
      <c r="BP186" s="716">
        <v>1.6778487951605769E-3</v>
      </c>
      <c r="BQ186" s="716">
        <v>2.6704844726042967E-3</v>
      </c>
      <c r="BR186" s="716">
        <v>4.0036273465804085E-3</v>
      </c>
      <c r="BS186" s="716">
        <v>5.6024807853527628E-3</v>
      </c>
      <c r="BT186" s="716">
        <v>7.2919429671129202E-3</v>
      </c>
      <c r="BW186" s="1166">
        <f>'2022'!R\Max</f>
        <v>0.36981575785095455</v>
      </c>
      <c r="BX186" s="1167">
        <f>'2023'!R\Max</f>
        <v>0.36980868077198181</v>
      </c>
      <c r="BY186" s="1167">
        <f>'2024'!R\Max</f>
        <v>0.3697991996130513</v>
      </c>
      <c r="BZ186" s="1167">
        <f>'2025'!R\Max</f>
        <v>0.36978804671975207</v>
      </c>
      <c r="CA186" s="1167">
        <f>'2026'!R\Max</f>
        <v>0.3697746370840736</v>
      </c>
      <c r="CB186" s="1167">
        <f>'2027'!R\Max</f>
        <v>0.36975965813819406</v>
      </c>
      <c r="CC186" s="1168">
        <f>'2028'!R\Max</f>
        <v>0.36974291806232723</v>
      </c>
      <c r="CD186" s="1167">
        <f>'2029'!R\Max</f>
        <v>0.36981611153586552</v>
      </c>
      <c r="CE186" s="1167">
        <f>'2030'!R\Max</f>
        <v>0.36980903445839258</v>
      </c>
      <c r="CF186" s="1169">
        <f>'2031'!R\Max</f>
        <v>0.36979975699061229</v>
      </c>
    </row>
    <row r="187" spans="1:84" s="6" customFormat="1" ht="11.25" x14ac:dyDescent="0.2">
      <c r="A187" s="11">
        <v>43273</v>
      </c>
      <c r="B187" s="375">
        <f>'2022'!Maxi_hp</f>
        <v>183.86818847597502</v>
      </c>
      <c r="C187" s="13">
        <f>'2022'!An_max</f>
        <v>2022</v>
      </c>
      <c r="D187" s="1045" t="str">
        <f t="shared" si="78"/>
        <v/>
      </c>
      <c r="E187" s="13"/>
      <c r="F187" s="13">
        <f t="shared" si="95"/>
        <v>13</v>
      </c>
      <c r="G187" s="13">
        <f t="shared" si="79"/>
        <v>14</v>
      </c>
      <c r="H187" s="169">
        <f t="shared" si="80"/>
        <v>43262</v>
      </c>
      <c r="I187" s="743">
        <f t="shared" si="81"/>
        <v>0.7857142857142857</v>
      </c>
      <c r="J187" s="736">
        <f t="shared" si="82"/>
        <v>251.39167274002517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38">
        <v>43273</v>
      </c>
      <c r="AP187" s="13">
        <f t="shared" si="83"/>
        <v>7</v>
      </c>
      <c r="AQ187" s="13">
        <f t="shared" si="84"/>
        <v>8</v>
      </c>
      <c r="AR187" s="169">
        <f t="shared" si="85"/>
        <v>43248</v>
      </c>
      <c r="AS187" s="743">
        <f t="shared" si="86"/>
        <v>0.8928571428571429</v>
      </c>
      <c r="AT187" s="759">
        <f t="shared" si="87"/>
        <v>251.39826666978851</v>
      </c>
      <c r="AU187" s="13">
        <f t="shared" si="88"/>
        <v>7</v>
      </c>
      <c r="AV187" s="13">
        <f t="shared" si="89"/>
        <v>8</v>
      </c>
      <c r="AW187" s="169">
        <f t="shared" si="90"/>
        <v>43262</v>
      </c>
      <c r="AX187" s="743">
        <f t="shared" si="91"/>
        <v>0.39285714285714285</v>
      </c>
      <c r="AY187" s="759">
        <f t="shared" si="92"/>
        <v>251.5487654875964</v>
      </c>
      <c r="AZ187" s="736">
        <f t="shared" si="96"/>
        <v>251.47351607869246</v>
      </c>
      <c r="BA187" s="633">
        <f t="shared" si="93"/>
        <v>0.73140126907115555</v>
      </c>
      <c r="BC187" s="11">
        <v>43273</v>
      </c>
      <c r="BD187" s="286">
        <f>[2]!FeuilCaduc*(1-Persistant)+Persistant</f>
        <v>0.95382842739256313</v>
      </c>
      <c r="BE187" s="287">
        <f>[2]!CroissVégét</f>
        <v>0.62052607026992535</v>
      </c>
      <c r="BF187" s="806">
        <f>1+[2]!Salcycl*Ksac</f>
        <v>1.0442285534240705</v>
      </c>
      <c r="BH187" s="1036">
        <f t="shared" si="94"/>
        <v>1.0416444780515842E-3</v>
      </c>
      <c r="BI187" s="11">
        <v>44369</v>
      </c>
      <c r="BJ187" s="716">
        <v>6.8479029900998027E-6</v>
      </c>
      <c r="BK187" s="716">
        <v>3.9737310248945813E-5</v>
      </c>
      <c r="BL187" s="716">
        <v>1.4397331996543206E-4</v>
      </c>
      <c r="BM187" s="716">
        <v>3.3787852731001375E-4</v>
      </c>
      <c r="BN187" s="716">
        <v>6.3025065028744049E-4</v>
      </c>
      <c r="BO187" s="717">
        <v>1.0459976711260771E-3</v>
      </c>
      <c r="BP187" s="716">
        <v>1.6745694619366063E-3</v>
      </c>
      <c r="BQ187" s="716">
        <v>2.6635143313145791E-3</v>
      </c>
      <c r="BR187" s="716">
        <v>3.993539169985379E-3</v>
      </c>
      <c r="BS187" s="716">
        <v>5.5894181026030021E-3</v>
      </c>
      <c r="BT187" s="716">
        <v>7.2781413888251406E-3</v>
      </c>
      <c r="BW187" s="1166">
        <f>'2022'!R\Max</f>
        <v>0.73140126907115555</v>
      </c>
      <c r="BX187" s="1167">
        <f>'2023'!R\Max</f>
        <v>0.73139529189272079</v>
      </c>
      <c r="BY187" s="1167">
        <f>'2024'!R\Max</f>
        <v>0.73138725978844066</v>
      </c>
      <c r="BZ187" s="1167">
        <f>'2025'!R\Max</f>
        <v>0.73137785512182196</v>
      </c>
      <c r="CA187" s="1167">
        <f>'2026'!R\Max</f>
        <v>0.73136650512619772</v>
      </c>
      <c r="CB187" s="1167">
        <f>'2027'!R\Max</f>
        <v>0.73135385561470256</v>
      </c>
      <c r="CC187" s="1168">
        <f>'2028'!R\Max</f>
        <v>0.73133968924131965</v>
      </c>
      <c r="CD187" s="1167">
        <f>'2029'!R\Max</f>
        <v>0.73140156778385901</v>
      </c>
      <c r="CE187" s="1167">
        <f>'2030'!R\Max</f>
        <v>0.73139559061326587</v>
      </c>
      <c r="CF187" s="1169">
        <f>'2031'!R\Max</f>
        <v>0.73138772978799405</v>
      </c>
    </row>
    <row r="188" spans="1:84" s="6" customFormat="1" ht="11.25" x14ac:dyDescent="0.2">
      <c r="A188" s="11">
        <v>43274</v>
      </c>
      <c r="B188" s="375">
        <f>'2022'!Maxi_hp</f>
        <v>179.91750851894366</v>
      </c>
      <c r="C188" s="13">
        <f>'2022'!An_max</f>
        <v>2022</v>
      </c>
      <c r="D188" s="1045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69">
        <f t="shared" si="80"/>
        <v>43262</v>
      </c>
      <c r="I188" s="743">
        <f t="shared" si="81"/>
        <v>0.8571428571428571</v>
      </c>
      <c r="J188" s="736">
        <f t="shared" si="82"/>
        <v>251.26967930006131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38">
        <v>43274</v>
      </c>
      <c r="AP188" s="13">
        <f t="shared" si="83"/>
        <v>7</v>
      </c>
      <c r="AQ188" s="13">
        <f t="shared" si="84"/>
        <v>8</v>
      </c>
      <c r="AR188" s="169">
        <f t="shared" si="85"/>
        <v>43248</v>
      </c>
      <c r="AS188" s="743">
        <f t="shared" si="86"/>
        <v>0.9285714285714286</v>
      </c>
      <c r="AT188" s="759">
        <f t="shared" si="87"/>
        <v>251.27815233330642</v>
      </c>
      <c r="AU188" s="13">
        <f t="shared" si="88"/>
        <v>7</v>
      </c>
      <c r="AV188" s="13">
        <f t="shared" si="89"/>
        <v>8</v>
      </c>
      <c r="AW188" s="169">
        <f t="shared" si="90"/>
        <v>43262</v>
      </c>
      <c r="AX188" s="743">
        <f t="shared" si="91"/>
        <v>0.42857142857142855</v>
      </c>
      <c r="AY188" s="759">
        <f t="shared" si="92"/>
        <v>251.44023323442252</v>
      </c>
      <c r="AZ188" s="736">
        <f t="shared" si="96"/>
        <v>251.35919278386447</v>
      </c>
      <c r="BA188" s="633">
        <f t="shared" si="93"/>
        <v>0.7160335024111274</v>
      </c>
      <c r="BC188" s="11">
        <v>43274</v>
      </c>
      <c r="BD188" s="286">
        <f>[2]!FeuilCaduc*(1-Persistant)+Persistant</f>
        <v>0.95707012071897468</v>
      </c>
      <c r="BE188" s="287">
        <f>[2]!CroissVégét</f>
        <v>0.6301672999323692</v>
      </c>
      <c r="BF188" s="806">
        <f>1+[2]!Salcycl*Ksac</f>
        <v>1.0446337650898718</v>
      </c>
      <c r="BH188" s="1036">
        <f t="shared" si="94"/>
        <v>1.0427148616810322E-3</v>
      </c>
      <c r="BI188" s="11">
        <v>44370</v>
      </c>
      <c r="BJ188" s="716">
        <v>6.945125614588608E-6</v>
      </c>
      <c r="BK188" s="716">
        <v>4.0181944902604403E-5</v>
      </c>
      <c r="BL188" s="716">
        <v>1.4460614814558969E-4</v>
      </c>
      <c r="BM188" s="716">
        <v>3.3853344165043049E-4</v>
      </c>
      <c r="BN188" s="716">
        <v>6.3094735520893418E-4</v>
      </c>
      <c r="BO188" s="717">
        <v>1.0470720088633747E-3</v>
      </c>
      <c r="BP188" s="716">
        <v>1.6764208747356141E-3</v>
      </c>
      <c r="BQ188" s="716">
        <v>2.6682117771540414E-3</v>
      </c>
      <c r="BR188" s="716">
        <v>4.000220090051328E-3</v>
      </c>
      <c r="BS188" s="716">
        <v>5.597712836794503E-3</v>
      </c>
      <c r="BT188" s="716">
        <v>7.2857372146455743E-3</v>
      </c>
      <c r="BW188" s="1166">
        <f>'2022'!R\Max</f>
        <v>0.7160335024111274</v>
      </c>
      <c r="BX188" s="1167">
        <f>'2023'!R\Max</f>
        <v>0.71602728431027896</v>
      </c>
      <c r="BY188" s="1167">
        <f>'2024'!R\Max</f>
        <v>0.71601888431878946</v>
      </c>
      <c r="BZ188" s="1167">
        <f>'2025'!R\Max</f>
        <v>0.71600908455540813</v>
      </c>
      <c r="CA188" s="1167">
        <f>'2026'!R\Max</f>
        <v>0.71599723626758194</v>
      </c>
      <c r="CB188" s="1167">
        <f>'2027'!R\Max</f>
        <v>0.71598407360149752</v>
      </c>
      <c r="CC188" s="1168">
        <f>'2028'!R\Max</f>
        <v>0.71596931180919965</v>
      </c>
      <c r="CD188" s="1167">
        <f>'2029'!R\Max</f>
        <v>0.71603381316418946</v>
      </c>
      <c r="CE188" s="1167">
        <f>'2030'!R\Max</f>
        <v>0.71602759507124847</v>
      </c>
      <c r="CF188" s="1169">
        <f>'2031'!R\Max</f>
        <v>0.71601937406366867</v>
      </c>
    </row>
    <row r="189" spans="1:84" s="6" customFormat="1" ht="11.25" x14ac:dyDescent="0.2">
      <c r="A189" s="11">
        <v>43275</v>
      </c>
      <c r="B189" s="375">
        <f>'2022'!Maxi_hp</f>
        <v>179.79044298559464</v>
      </c>
      <c r="C189" s="13">
        <f>'2022'!An_max</f>
        <v>2022</v>
      </c>
      <c r="D189" s="1045" t="str">
        <f t="shared" si="78"/>
        <v/>
      </c>
      <c r="E189" s="13"/>
      <c r="F189" s="13">
        <f t="shared" si="95"/>
        <v>13</v>
      </c>
      <c r="G189" s="13">
        <f t="shared" si="79"/>
        <v>14</v>
      </c>
      <c r="H189" s="169">
        <f t="shared" si="80"/>
        <v>43262</v>
      </c>
      <c r="I189" s="743">
        <f t="shared" si="81"/>
        <v>0.9285714285714286</v>
      </c>
      <c r="J189" s="736">
        <f t="shared" si="82"/>
        <v>251.13893950560265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38">
        <v>43275</v>
      </c>
      <c r="AP189" s="13">
        <f t="shared" si="83"/>
        <v>7</v>
      </c>
      <c r="AQ189" s="13">
        <f t="shared" si="84"/>
        <v>8</v>
      </c>
      <c r="AR189" s="169">
        <f t="shared" si="85"/>
        <v>43248</v>
      </c>
      <c r="AS189" s="743">
        <f t="shared" si="86"/>
        <v>0.9642857142857143</v>
      </c>
      <c r="AT189" s="759">
        <f t="shared" si="87"/>
        <v>251.14541955228361</v>
      </c>
      <c r="AU189" s="13">
        <f t="shared" si="88"/>
        <v>7</v>
      </c>
      <c r="AV189" s="13">
        <f t="shared" si="89"/>
        <v>8</v>
      </c>
      <c r="AW189" s="169">
        <f t="shared" si="90"/>
        <v>43262</v>
      </c>
      <c r="AX189" s="743">
        <f t="shared" si="91"/>
        <v>0.4642857142857143</v>
      </c>
      <c r="AY189" s="759">
        <f t="shared" si="92"/>
        <v>251.31985695936845</v>
      </c>
      <c r="AZ189" s="736">
        <f t="shared" si="96"/>
        <v>251.23263825582603</v>
      </c>
      <c r="BA189" s="633">
        <f t="shared" si="93"/>
        <v>0.71590030339195443</v>
      </c>
      <c r="BC189" s="11">
        <v>43275</v>
      </c>
      <c r="BD189" s="286">
        <f>[2]!FeuilCaduc*(1-Persistant)+Persistant</f>
        <v>0.96017199524755636</v>
      </c>
      <c r="BE189" s="287">
        <f>[2]!CroissVégét</f>
        <v>0.63970570469545396</v>
      </c>
      <c r="BF189" s="806">
        <f>1+[2]!Salcycl*Ksac</f>
        <v>1.0450214994059446</v>
      </c>
      <c r="BH189" s="1036">
        <f t="shared" si="94"/>
        <v>1.0468021594684344E-3</v>
      </c>
      <c r="BI189" s="11">
        <v>44371</v>
      </c>
      <c r="BJ189" s="716">
        <v>7.2424010474392742E-6</v>
      </c>
      <c r="BK189" s="716">
        <v>4.1548590568623033E-5</v>
      </c>
      <c r="BL189" s="716">
        <v>1.4662491231028608E-4</v>
      </c>
      <c r="BM189" s="716">
        <v>3.4078186091146892E-4</v>
      </c>
      <c r="BN189" s="716">
        <v>6.3356750285086037E-4</v>
      </c>
      <c r="BO189" s="717">
        <v>1.0511748314044834E-3</v>
      </c>
      <c r="BP189" s="716">
        <v>1.6833834045436675E-3</v>
      </c>
      <c r="BQ189" s="716">
        <v>2.6845411354466252E-3</v>
      </c>
      <c r="BR189" s="716">
        <v>4.0236175382872812E-3</v>
      </c>
      <c r="BS189" s="716">
        <v>5.6272940954832399E-3</v>
      </c>
      <c r="BT189" s="716">
        <v>7.3146462772437524E-3</v>
      </c>
      <c r="BW189" s="1166">
        <f>'2022'!R\Max</f>
        <v>0.71590030339195443</v>
      </c>
      <c r="BX189" s="1167">
        <f>'2023'!R\Max</f>
        <v>0.71589403175390698</v>
      </c>
      <c r="BY189" s="1167">
        <f>'2024'!R\Max</f>
        <v>0.71588549514982536</v>
      </c>
      <c r="BZ189" s="1167">
        <f>'2025'!R\Max</f>
        <v>0.71587556278500797</v>
      </c>
      <c r="CA189" s="1167">
        <f>'2026'!R\Max</f>
        <v>0.71586355550721337</v>
      </c>
      <c r="CB189" s="1167">
        <f>'2027'!R\Max</f>
        <v>0.71585026940899266</v>
      </c>
      <c r="CC189" s="1168">
        <f>'2028'!R\Max</f>
        <v>0.71583535799955156</v>
      </c>
      <c r="CD189" s="1167">
        <f>'2029'!R\Max</f>
        <v>0.71590061682053463</v>
      </c>
      <c r="CE189" s="1167">
        <f>'2030'!R\Max</f>
        <v>0.71589434519052653</v>
      </c>
      <c r="CF189" s="1169">
        <f>'2031'!R\Max</f>
        <v>0.71588599152134924</v>
      </c>
    </row>
    <row r="190" spans="1:84" s="6" customFormat="1" ht="11.25" x14ac:dyDescent="0.2">
      <c r="A190" s="11">
        <v>43276</v>
      </c>
      <c r="B190" s="375">
        <f>'2022'!Maxi_hp</f>
        <v>153.36998421899938</v>
      </c>
      <c r="C190" s="13">
        <f>'2022'!An_max</f>
        <v>2022</v>
      </c>
      <c r="D190" s="1045" t="str">
        <f t="shared" si="78"/>
        <v/>
      </c>
      <c r="E190" s="1040">
        <f>Z$13/10</f>
        <v>251</v>
      </c>
      <c r="F190" s="13">
        <f t="shared" si="95"/>
        <v>15</v>
      </c>
      <c r="G190" s="13">
        <f t="shared" si="79"/>
        <v>14</v>
      </c>
      <c r="H190" s="169">
        <f t="shared" si="80"/>
        <v>43290</v>
      </c>
      <c r="I190" s="743">
        <f t="shared" si="81"/>
        <v>1</v>
      </c>
      <c r="J190" s="736">
        <f t="shared" si="82"/>
        <v>251.00000000149012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38">
        <v>43276</v>
      </c>
      <c r="AP190" s="13">
        <f t="shared" si="83"/>
        <v>9</v>
      </c>
      <c r="AQ190" s="13">
        <f t="shared" si="84"/>
        <v>8</v>
      </c>
      <c r="AR190" s="169">
        <f t="shared" si="85"/>
        <v>43304</v>
      </c>
      <c r="AS190" s="743">
        <f t="shared" si="86"/>
        <v>1</v>
      </c>
      <c r="AT190" s="759">
        <f t="shared" si="87"/>
        <v>251</v>
      </c>
      <c r="AU190" s="13">
        <f t="shared" si="88"/>
        <v>7</v>
      </c>
      <c r="AV190" s="13">
        <f t="shared" si="89"/>
        <v>8</v>
      </c>
      <c r="AW190" s="169">
        <f t="shared" si="90"/>
        <v>43262</v>
      </c>
      <c r="AX190" s="743">
        <f t="shared" si="91"/>
        <v>0.5</v>
      </c>
      <c r="AY190" s="759">
        <f t="shared" si="92"/>
        <v>251.18749999850988</v>
      </c>
      <c r="AZ190" s="736">
        <f t="shared" si="96"/>
        <v>251.09374999925495</v>
      </c>
      <c r="BA190" s="633">
        <f t="shared" si="93"/>
        <v>0.61103579369756522</v>
      </c>
      <c r="BC190" s="11">
        <v>43276</v>
      </c>
      <c r="BD190" s="286">
        <f>[2]!FeuilCaduc*(1-Persistant)+Persistant</f>
        <v>0.96313424118963542</v>
      </c>
      <c r="BE190" s="287">
        <f>[2]!CroissVégét</f>
        <v>0.64913499947740572</v>
      </c>
      <c r="BF190" s="806">
        <f>1+[2]!Salcycl*Ksac</f>
        <v>1.0453917801487045</v>
      </c>
      <c r="BH190" s="1036">
        <f t="shared" si="94"/>
        <v>1.0539030594837232E-3</v>
      </c>
      <c r="BI190" s="11">
        <v>44372</v>
      </c>
      <c r="BJ190" s="716">
        <v>7.7394792184113132E-6</v>
      </c>
      <c r="BK190" s="716">
        <v>4.3836098715602395E-5</v>
      </c>
      <c r="BL190" s="716">
        <v>1.5002792725674988E-4</v>
      </c>
      <c r="BM190" s="716">
        <v>3.4462193185192676E-4</v>
      </c>
      <c r="BN190" s="716">
        <v>6.3810896511328808E-4</v>
      </c>
      <c r="BO190" s="717">
        <v>1.0583028142925534E-3</v>
      </c>
      <c r="BP190" s="716">
        <v>1.6954513963250491E-3</v>
      </c>
      <c r="BQ190" s="716">
        <v>2.7124889748046045E-3</v>
      </c>
      <c r="BR190" s="716">
        <v>4.0637122932075569E-3</v>
      </c>
      <c r="BS190" s="716">
        <v>5.6781376491117147E-3</v>
      </c>
      <c r="BT190" s="716">
        <v>7.3648451397499617E-3</v>
      </c>
      <c r="BW190" s="1166">
        <f>'2022'!R\Max</f>
        <v>0.61103579369756522</v>
      </c>
      <c r="BX190" s="1167">
        <f>'2023'!R\Max</f>
        <v>0.61102838074612453</v>
      </c>
      <c r="BY190" s="1167">
        <f>'2024'!R\Max</f>
        <v>0.61101819104250799</v>
      </c>
      <c r="BZ190" s="1167">
        <f>'2025'!R\Max</f>
        <v>0.61100635763132216</v>
      </c>
      <c r="CA190" s="1167">
        <f>'2026'!R\Max</f>
        <v>0.61099208112355863</v>
      </c>
      <c r="CB190" s="1167">
        <f>'2027'!R\Max</f>
        <v>0.61097635824805008</v>
      </c>
      <c r="CC190" s="1168">
        <f>'2028'!R\Max</f>
        <v>0.610958710682311</v>
      </c>
      <c r="CD190" s="1167">
        <f>'2029'!R\Max</f>
        <v>0.61103616416512796</v>
      </c>
      <c r="CE190" s="1167">
        <f>'2030'!R\Max</f>
        <v>0.61102875122087541</v>
      </c>
      <c r="CF190" s="1169">
        <f>'2031'!R\Max</f>
        <v>0.61101878242212426</v>
      </c>
    </row>
    <row r="191" spans="1:84" s="6" customFormat="1" ht="11.25" x14ac:dyDescent="0.2">
      <c r="A191" s="11">
        <v>43277</v>
      </c>
      <c r="B191" s="375">
        <f>'2022'!Maxi_hp</f>
        <v>51.009116400553765</v>
      </c>
      <c r="C191" s="13">
        <f>'2022'!An_max</f>
        <v>2022</v>
      </c>
      <c r="D191" s="1045" t="str">
        <f t="shared" si="78"/>
        <v/>
      </c>
      <c r="E191" s="13"/>
      <c r="F191" s="13">
        <f t="shared" si="95"/>
        <v>15</v>
      </c>
      <c r="G191" s="13">
        <f t="shared" si="79"/>
        <v>14</v>
      </c>
      <c r="H191" s="169">
        <f t="shared" si="80"/>
        <v>43290</v>
      </c>
      <c r="I191" s="743">
        <f t="shared" si="81"/>
        <v>0.9285714285714286</v>
      </c>
      <c r="J191" s="736">
        <f t="shared" si="82"/>
        <v>250.85440961835644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38">
        <v>43277</v>
      </c>
      <c r="AP191" s="13">
        <f t="shared" si="83"/>
        <v>9</v>
      </c>
      <c r="AQ191" s="13">
        <f t="shared" si="84"/>
        <v>8</v>
      </c>
      <c r="AR191" s="169">
        <f t="shared" si="85"/>
        <v>43304</v>
      </c>
      <c r="AS191" s="743">
        <f t="shared" si="86"/>
        <v>0.9642857142857143</v>
      </c>
      <c r="AT191" s="759">
        <f t="shared" si="87"/>
        <v>250.84184812094486</v>
      </c>
      <c r="AU191" s="13">
        <f t="shared" si="88"/>
        <v>7</v>
      </c>
      <c r="AV191" s="13">
        <f t="shared" si="89"/>
        <v>8</v>
      </c>
      <c r="AW191" s="169">
        <f t="shared" si="90"/>
        <v>43262</v>
      </c>
      <c r="AX191" s="743">
        <f t="shared" si="91"/>
        <v>0.5357142857142857</v>
      </c>
      <c r="AY191" s="759">
        <f t="shared" si="92"/>
        <v>251.04302569271198</v>
      </c>
      <c r="AZ191" s="736">
        <f t="shared" si="96"/>
        <v>250.94243690682842</v>
      </c>
      <c r="BA191" s="633">
        <f t="shared" si="93"/>
        <v>0.20334151780771065</v>
      </c>
      <c r="BC191" s="11">
        <v>43277</v>
      </c>
      <c r="BD191" s="286">
        <f>[2]!FeuilCaduc*(1-Persistant)+Persistant</f>
        <v>0.96595743665661438</v>
      </c>
      <c r="BE191" s="287">
        <f>[2]!CroissVégét</f>
        <v>0.65844922415907026</v>
      </c>
      <c r="BF191" s="806">
        <f>1+[2]!Salcycl*Ksac</f>
        <v>1.0457446795820768</v>
      </c>
      <c r="BH191" s="1036">
        <f t="shared" si="94"/>
        <v>1.0640142664416177E-3</v>
      </c>
      <c r="BI191" s="11">
        <v>44373</v>
      </c>
      <c r="BJ191" s="716">
        <v>8.4361111604375732E-6</v>
      </c>
      <c r="BK191" s="716">
        <v>4.7043325896562744E-5</v>
      </c>
      <c r="BL191" s="716">
        <v>1.5481351542568194E-4</v>
      </c>
      <c r="BM191" s="716">
        <v>3.5005181002034392E-4</v>
      </c>
      <c r="BN191" s="716">
        <v>6.4456962450792194E-4</v>
      </c>
      <c r="BO191" s="717">
        <v>1.0684526497793613E-3</v>
      </c>
      <c r="BP191" s="716">
        <v>1.7126192232420781E-3</v>
      </c>
      <c r="BQ191" s="716">
        <v>2.7520419280033953E-3</v>
      </c>
      <c r="BR191" s="716">
        <v>4.1204852255384726E-3</v>
      </c>
      <c r="BS191" s="716">
        <v>5.7502193855479703E-3</v>
      </c>
      <c r="BT191" s="716">
        <v>7.4363104828822427E-3</v>
      </c>
      <c r="BW191" s="1166">
        <f>'2022'!R\Max</f>
        <v>0.20334151780771065</v>
      </c>
      <c r="BX191" s="1167">
        <f>'2023'!R\Max</f>
        <v>0.20333701360265607</v>
      </c>
      <c r="BY191" s="1167">
        <f>'2024'!R\Max</f>
        <v>0.20333074748704086</v>
      </c>
      <c r="BZ191" s="1167">
        <f>'2025'!R\Max</f>
        <v>0.2033234795330775</v>
      </c>
      <c r="CA191" s="1167">
        <f>'2026'!R\Max</f>
        <v>0.20331474492362386</v>
      </c>
      <c r="CB191" s="1167">
        <f>'2027'!R\Max</f>
        <v>0.20330517635941764</v>
      </c>
      <c r="CC191" s="1168">
        <f>'2028'!R\Max</f>
        <v>0.20329444305507058</v>
      </c>
      <c r="CD191" s="1167">
        <f>'2029'!R\Max</f>
        <v>0.20334174291088056</v>
      </c>
      <c r="CE191" s="1167">
        <f>'2030'!R\Max</f>
        <v>0.20333723870582596</v>
      </c>
      <c r="CF191" s="1169">
        <f>'2031'!R\Max</f>
        <v>0.2033311107119509</v>
      </c>
    </row>
    <row r="192" spans="1:84" s="6" customFormat="1" ht="11.25" x14ac:dyDescent="0.2">
      <c r="A192" s="11">
        <v>43278</v>
      </c>
      <c r="B192" s="375">
        <f>'2022'!Maxi_hp</f>
        <v>59.59894424699322</v>
      </c>
      <c r="C192" s="13">
        <f>'2022'!An_max</f>
        <v>2022</v>
      </c>
      <c r="D192" s="1045" t="str">
        <f t="shared" si="78"/>
        <v/>
      </c>
      <c r="E192" s="13"/>
      <c r="F192" s="13">
        <f t="shared" si="95"/>
        <v>15</v>
      </c>
      <c r="G192" s="13">
        <f t="shared" si="79"/>
        <v>14</v>
      </c>
      <c r="H192" s="169">
        <f t="shared" si="80"/>
        <v>43290</v>
      </c>
      <c r="I192" s="743">
        <f t="shared" si="81"/>
        <v>0.8571428571428571</v>
      </c>
      <c r="J192" s="736">
        <f t="shared" si="82"/>
        <v>250.70262390673162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38">
        <v>43278</v>
      </c>
      <c r="AP192" s="13">
        <f t="shared" si="83"/>
        <v>9</v>
      </c>
      <c r="AQ192" s="13">
        <f t="shared" si="84"/>
        <v>8</v>
      </c>
      <c r="AR192" s="169">
        <f t="shared" si="85"/>
        <v>43304</v>
      </c>
      <c r="AS192" s="743">
        <f t="shared" si="86"/>
        <v>0.9285714285714286</v>
      </c>
      <c r="AT192" s="759">
        <f t="shared" si="87"/>
        <v>250.67100947222539</v>
      </c>
      <c r="AU192" s="13">
        <f t="shared" si="88"/>
        <v>7</v>
      </c>
      <c r="AV192" s="13">
        <f t="shared" si="89"/>
        <v>8</v>
      </c>
      <c r="AW192" s="169">
        <f t="shared" si="90"/>
        <v>43262</v>
      </c>
      <c r="AX192" s="743">
        <f t="shared" si="91"/>
        <v>0.5714285714285714</v>
      </c>
      <c r="AY192" s="759">
        <f t="shared" si="92"/>
        <v>250.8862973741123</v>
      </c>
      <c r="AZ192" s="736">
        <f t="shared" si="96"/>
        <v>250.77865342316886</v>
      </c>
      <c r="BA192" s="633">
        <f t="shared" si="93"/>
        <v>0.23772764448275457</v>
      </c>
      <c r="BC192" s="11">
        <v>43278</v>
      </c>
      <c r="BD192" s="286">
        <f>[2]!FeuilCaduc*(1-Persistant)+Persistant</f>
        <v>0.96864253696018876</v>
      </c>
      <c r="BE192" s="287">
        <f>[2]!CroissVégét</f>
        <v>0.66764275499450454</v>
      </c>
      <c r="BF192" s="806">
        <f>1+[2]!Salcycl*Ksac</f>
        <v>1.0460803171200237</v>
      </c>
      <c r="BH192" s="1036">
        <f t="shared" si="94"/>
        <v>1.0798052071761711E-3</v>
      </c>
      <c r="BI192" s="11">
        <v>44374</v>
      </c>
      <c r="BJ192" s="716">
        <v>9.4794818599645444E-6</v>
      </c>
      <c r="BK192" s="716">
        <v>5.141062059072321E-5</v>
      </c>
      <c r="BL192" s="716">
        <v>1.6138234009740489E-4</v>
      </c>
      <c r="BM192" s="716">
        <v>3.5798293500490208E-4</v>
      </c>
      <c r="BN192" s="716">
        <v>6.5476675727090862E-4</v>
      </c>
      <c r="BO192" s="717">
        <v>1.0843027817911738E-3</v>
      </c>
      <c r="BP192" s="716">
        <v>1.7380037437908847E-3</v>
      </c>
      <c r="BQ192" s="716">
        <v>2.8062176326631243E-3</v>
      </c>
      <c r="BR192" s="716">
        <v>4.1974896699929235E-3</v>
      </c>
      <c r="BS192" s="716">
        <v>5.8480606429317144E-3</v>
      </c>
      <c r="BT192" s="716">
        <v>7.5350498327208231E-3</v>
      </c>
      <c r="BW192" s="1166">
        <f>'2022'!R\Max</f>
        <v>0.23772764448275457</v>
      </c>
      <c r="BX192" s="1167">
        <f>'2023'!R\Max</f>
        <v>0.23772228255041278</v>
      </c>
      <c r="BY192" s="1167">
        <f>'2024'!R\Max</f>
        <v>0.23771472182775755</v>
      </c>
      <c r="BZ192" s="1167">
        <f>'2025'!R\Max</f>
        <v>0.2377059598847108</v>
      </c>
      <c r="CA192" s="1167">
        <f>'2026'!R\Max</f>
        <v>0.23769548427547701</v>
      </c>
      <c r="CB192" s="1167">
        <f>'2027'!R\Max</f>
        <v>0.2376840724725782</v>
      </c>
      <c r="CC192" s="1168">
        <f>'2028'!R\Max</f>
        <v>0.23767128521573305</v>
      </c>
      <c r="CD192" s="1167">
        <f>'2029'!R\Max</f>
        <v>0.23772791245189717</v>
      </c>
      <c r="CE192" s="1167">
        <f>'2030'!R\Max</f>
        <v>0.23772255051955549</v>
      </c>
      <c r="CF192" s="1169">
        <f>'2031'!R\Max</f>
        <v>0.23771515971660367</v>
      </c>
    </row>
    <row r="193" spans="1:84" s="6" customFormat="1" ht="11.25" x14ac:dyDescent="0.2">
      <c r="A193" s="11">
        <v>43279</v>
      </c>
      <c r="B193" s="375">
        <f>'2022'!Maxi_hp</f>
        <v>260.61207165828807</v>
      </c>
      <c r="C193" s="13">
        <f>'2022'!An_max</f>
        <v>2022</v>
      </c>
      <c r="D193" s="1045">
        <f t="shared" si="78"/>
        <v>1.0401867145003136</v>
      </c>
      <c r="E193" s="13"/>
      <c r="F193" s="13">
        <f t="shared" si="95"/>
        <v>15</v>
      </c>
      <c r="G193" s="13">
        <f t="shared" si="79"/>
        <v>14</v>
      </c>
      <c r="H193" s="169">
        <f t="shared" si="80"/>
        <v>43290</v>
      </c>
      <c r="I193" s="743">
        <f t="shared" si="81"/>
        <v>0.7857142857142857</v>
      </c>
      <c r="J193" s="736">
        <f t="shared" si="82"/>
        <v>250.54354956213919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38">
        <v>43279</v>
      </c>
      <c r="AP193" s="13">
        <f t="shared" si="83"/>
        <v>9</v>
      </c>
      <c r="AQ193" s="13">
        <f t="shared" si="84"/>
        <v>8</v>
      </c>
      <c r="AR193" s="169">
        <f t="shared" si="85"/>
        <v>43304</v>
      </c>
      <c r="AS193" s="743">
        <f t="shared" si="86"/>
        <v>0.8928571428571429</v>
      </c>
      <c r="AT193" s="759">
        <f t="shared" si="87"/>
        <v>250.4875523858837</v>
      </c>
      <c r="AU193" s="13">
        <f t="shared" si="88"/>
        <v>7</v>
      </c>
      <c r="AV193" s="13">
        <f t="shared" si="89"/>
        <v>8</v>
      </c>
      <c r="AW193" s="169">
        <f t="shared" si="90"/>
        <v>43262</v>
      </c>
      <c r="AX193" s="743">
        <f t="shared" si="91"/>
        <v>0.6071428571428571</v>
      </c>
      <c r="AY193" s="759">
        <f t="shared" si="92"/>
        <v>250.71717838948325</v>
      </c>
      <c r="AZ193" s="736">
        <f t="shared" si="96"/>
        <v>250.60236538768348</v>
      </c>
      <c r="BA193" s="633">
        <f t="shared" si="93"/>
        <v>1.0401867145003136</v>
      </c>
      <c r="BC193" s="11">
        <v>43279</v>
      </c>
      <c r="BD193" s="286">
        <f>[2]!FeuilCaduc*(1-Persistant)+Persistant</f>
        <v>0.97119086190502157</v>
      </c>
      <c r="BE193" s="287">
        <f>[2]!CroissVégét</f>
        <v>0.67671031405616355</v>
      </c>
      <c r="BF193" s="806">
        <f>1+[2]!Salcycl*Ksac</f>
        <v>1.0463988577381278</v>
      </c>
      <c r="BH193" s="1036">
        <f t="shared" si="94"/>
        <v>1.0997626316820537E-3</v>
      </c>
      <c r="BI193" s="11">
        <v>44375</v>
      </c>
      <c r="BJ193" s="716">
        <v>1.0769261076079797E-5</v>
      </c>
      <c r="BK193" s="716">
        <v>5.6476130624369407E-5</v>
      </c>
      <c r="BL193" s="716">
        <v>1.6904014292202127E-4</v>
      </c>
      <c r="BM193" s="716">
        <v>3.6761656921654681E-4</v>
      </c>
      <c r="BN193" s="716">
        <v>6.6773542847966443E-4</v>
      </c>
      <c r="BO193" s="717">
        <v>1.1043341582875801E-3</v>
      </c>
      <c r="BP193" s="716">
        <v>1.7690430122749335E-3</v>
      </c>
      <c r="BQ193" s="716">
        <v>2.8691902863046087E-3</v>
      </c>
      <c r="BR193" s="716">
        <v>4.2863542595254428E-3</v>
      </c>
      <c r="BS193" s="716">
        <v>5.9610016686818569E-3</v>
      </c>
      <c r="BT193" s="716">
        <v>7.6503888341456407E-3</v>
      </c>
      <c r="BW193" s="1166">
        <f>'2022'!R\Max</f>
        <v>1.0401867145003136</v>
      </c>
      <c r="BX193" s="1167">
        <f>'2023'!R\Max</f>
        <v>1.0401867145003136</v>
      </c>
      <c r="BY193" s="1167">
        <f>'2024'!R\Max</f>
        <v>1.0401867145003136</v>
      </c>
      <c r="BZ193" s="1167">
        <f>'2025'!R\Max</f>
        <v>1.0401867145003136</v>
      </c>
      <c r="CA193" s="1167">
        <f>'2026'!R\Max</f>
        <v>1.0401867145003136</v>
      </c>
      <c r="CB193" s="1167">
        <f>'2027'!R\Max</f>
        <v>1.0401867145003136</v>
      </c>
      <c r="CC193" s="1168">
        <f>'2028'!R\Max</f>
        <v>1.0401867145003136</v>
      </c>
      <c r="CD193" s="1167">
        <f>'2029'!R\Max</f>
        <v>1.0401867145003136</v>
      </c>
      <c r="CE193" s="1167">
        <f>'2030'!R\Max</f>
        <v>1.0401867145003136</v>
      </c>
      <c r="CF193" s="1169">
        <f>'2031'!R\Max</f>
        <v>1.0401867145003136</v>
      </c>
    </row>
    <row r="194" spans="1:84" s="6" customFormat="1" ht="11.25" x14ac:dyDescent="0.2">
      <c r="A194" s="11">
        <v>43280</v>
      </c>
      <c r="B194" s="375">
        <f>'2022'!Maxi_hp</f>
        <v>247.45002413127429</v>
      </c>
      <c r="C194" s="13">
        <f>'2022'!An_max</f>
        <v>2022</v>
      </c>
      <c r="D194" s="1045">
        <f t="shared" si="78"/>
        <v>0.98831330449804156</v>
      </c>
      <c r="E194" s="13"/>
      <c r="F194" s="13">
        <f t="shared" si="95"/>
        <v>15</v>
      </c>
      <c r="G194" s="13">
        <f t="shared" si="79"/>
        <v>14</v>
      </c>
      <c r="H194" s="169">
        <f t="shared" si="80"/>
        <v>43290</v>
      </c>
      <c r="I194" s="743">
        <f t="shared" si="81"/>
        <v>0.7142857142857143</v>
      </c>
      <c r="J194" s="736">
        <f t="shared" si="82"/>
        <v>250.37609329457797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38">
        <v>43280</v>
      </c>
      <c r="AP194" s="13">
        <f t="shared" si="83"/>
        <v>9</v>
      </c>
      <c r="AQ194" s="13">
        <f t="shared" si="84"/>
        <v>8</v>
      </c>
      <c r="AR194" s="169">
        <f t="shared" si="85"/>
        <v>43304</v>
      </c>
      <c r="AS194" s="743">
        <f t="shared" si="86"/>
        <v>0.8571428571428571</v>
      </c>
      <c r="AT194" s="759">
        <f t="shared" si="87"/>
        <v>250.29154518991709</v>
      </c>
      <c r="AU194" s="13">
        <f t="shared" si="88"/>
        <v>7</v>
      </c>
      <c r="AV194" s="13">
        <f t="shared" si="89"/>
        <v>8</v>
      </c>
      <c r="AW194" s="169">
        <f t="shared" si="90"/>
        <v>43262</v>
      </c>
      <c r="AX194" s="743">
        <f t="shared" si="91"/>
        <v>0.6428571428571429</v>
      </c>
      <c r="AY194" s="759">
        <f t="shared" si="92"/>
        <v>250.53553206814186</v>
      </c>
      <c r="AZ194" s="736">
        <f t="shared" si="96"/>
        <v>250.41353862902946</v>
      </c>
      <c r="BA194" s="633">
        <f t="shared" si="93"/>
        <v>0.98831330449804156</v>
      </c>
      <c r="BC194" s="11">
        <v>43280</v>
      </c>
      <c r="BD194" s="286">
        <f>[2]!FeuilCaduc*(1-Persistant)+Persistant</f>
        <v>0.97360408117219543</v>
      </c>
      <c r="BE194" s="287">
        <f>[2]!CroissVégét</f>
        <v>0.6856469767197082</v>
      </c>
      <c r="BF194" s="806">
        <f>1+[2]!Salcycl*Ksac</f>
        <v>1.0467005101465245</v>
      </c>
      <c r="BH194" s="1036">
        <f t="shared" si="94"/>
        <v>1.1238819440952147E-3</v>
      </c>
      <c r="BI194" s="11">
        <v>44376</v>
      </c>
      <c r="BJ194" s="716">
        <v>1.2305150645581113E-5</v>
      </c>
      <c r="BK194" s="716">
        <v>6.2239030540995485E-5</v>
      </c>
      <c r="BL194" s="716">
        <v>1.7778567542222433E-4</v>
      </c>
      <c r="BM194" s="716">
        <v>3.7895080108042185E-4</v>
      </c>
      <c r="BN194" s="716">
        <v>6.834725479465568E-4</v>
      </c>
      <c r="BO194" s="717">
        <v>1.1285421674721078E-3</v>
      </c>
      <c r="BP194" s="716">
        <v>1.805730946429656E-3</v>
      </c>
      <c r="BQ194" s="716">
        <v>2.9409505531397765E-3</v>
      </c>
      <c r="BR194" s="716">
        <v>4.3870666329339043E-3</v>
      </c>
      <c r="BS194" s="716">
        <v>6.0890269736326788E-3</v>
      </c>
      <c r="BT194" s="716">
        <v>7.7823109616950515E-3</v>
      </c>
      <c r="BW194" s="1166">
        <f>'2022'!R\Max</f>
        <v>0.98831330449804156</v>
      </c>
      <c r="BX194" s="1167">
        <f>'2023'!R\Max</f>
        <v>0.98831291647903086</v>
      </c>
      <c r="BY194" s="1167">
        <f>'2024'!R\Max</f>
        <v>0.98831235397973527</v>
      </c>
      <c r="BZ194" s="1167">
        <f>'2025'!R\Max</f>
        <v>0.98831170343206243</v>
      </c>
      <c r="CA194" s="1167">
        <f>'2026'!R\Max</f>
        <v>0.9883109343941936</v>
      </c>
      <c r="CB194" s="1167">
        <f>'2027'!R\Max</f>
        <v>0.98831010553552034</v>
      </c>
      <c r="CC194" s="1168">
        <f>'2028'!R\Max</f>
        <v>0.988309179107554</v>
      </c>
      <c r="CD194" s="1167">
        <f>'2029'!R\Max</f>
        <v>0.98831332388929638</v>
      </c>
      <c r="CE194" s="1167">
        <f>'2030'!R\Max</f>
        <v>0.98831293587118263</v>
      </c>
      <c r="CF194" s="1169">
        <f>'2031'!R\Max</f>
        <v>0.98831238649032949</v>
      </c>
    </row>
    <row r="195" spans="1:84" s="6" customFormat="1" ht="11.25" x14ac:dyDescent="0.2">
      <c r="A195" s="11">
        <v>43281</v>
      </c>
      <c r="B195" s="375">
        <f>'2022'!Maxi_hp</f>
        <v>57.782534053656292</v>
      </c>
      <c r="C195" s="13">
        <f>'2022'!An_max</f>
        <v>2022</v>
      </c>
      <c r="D195" s="1045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69">
        <f t="shared" si="80"/>
        <v>43290</v>
      </c>
      <c r="I195" s="743">
        <f t="shared" si="81"/>
        <v>0.6428571428571429</v>
      </c>
      <c r="J195" s="736">
        <f t="shared" si="82"/>
        <v>250.19916180723482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38">
        <v>43281</v>
      </c>
      <c r="AP195" s="13">
        <f t="shared" si="83"/>
        <v>9</v>
      </c>
      <c r="AQ195" s="13">
        <f t="shared" si="84"/>
        <v>8</v>
      </c>
      <c r="AR195" s="169">
        <f t="shared" si="85"/>
        <v>43304</v>
      </c>
      <c r="AS195" s="743">
        <f t="shared" si="86"/>
        <v>0.8214285714285714</v>
      </c>
      <c r="AT195" s="759">
        <f t="shared" si="87"/>
        <v>250.08305621370673</v>
      </c>
      <c r="AU195" s="13">
        <f t="shared" si="88"/>
        <v>7</v>
      </c>
      <c r="AV195" s="13">
        <f t="shared" si="89"/>
        <v>8</v>
      </c>
      <c r="AW195" s="169">
        <f t="shared" si="90"/>
        <v>43262</v>
      </c>
      <c r="AX195" s="743">
        <f t="shared" si="91"/>
        <v>0.6785714285714286</v>
      </c>
      <c r="AY195" s="759">
        <f t="shared" si="92"/>
        <v>250.3412217559559</v>
      </c>
      <c r="AZ195" s="736">
        <f t="shared" si="96"/>
        <v>250.21213898483131</v>
      </c>
      <c r="BA195" s="633">
        <f t="shared" si="93"/>
        <v>0.23094615360132448</v>
      </c>
      <c r="BC195" s="11">
        <v>43281</v>
      </c>
      <c r="BD195" s="286">
        <f>[2]!FeuilCaduc*(1-Persistant)+Persistant</f>
        <v>0.97588419790656256</v>
      </c>
      <c r="BE195" s="287">
        <f>[2]!CroissVégét</f>
        <v>0.69444817721081942</v>
      </c>
      <c r="BF195" s="806">
        <f>1+[2]!Salcycl*Ksac</f>
        <v>1.0469855247383204</v>
      </c>
      <c r="BH195" s="1036">
        <f t="shared" si="94"/>
        <v>1.1521586486300801E-3</v>
      </c>
      <c r="BI195" s="11">
        <v>44377</v>
      </c>
      <c r="BJ195" s="716">
        <v>1.4086858496490216E-5</v>
      </c>
      <c r="BK195" s="716">
        <v>6.8698514951472887E-5</v>
      </c>
      <c r="BL195" s="716">
        <v>1.8761772000490946E-4</v>
      </c>
      <c r="BM195" s="716">
        <v>3.9198376277033896E-4</v>
      </c>
      <c r="BN195" s="716">
        <v>7.0197509139825981E-4</v>
      </c>
      <c r="BO195" s="717">
        <v>1.1569222979882705E-3</v>
      </c>
      <c r="BP195" s="716">
        <v>1.848061607847405E-3</v>
      </c>
      <c r="BQ195" s="716">
        <v>3.0214893502754276E-3</v>
      </c>
      <c r="BR195" s="716">
        <v>4.4996147781383887E-3</v>
      </c>
      <c r="BS195" s="716">
        <v>6.2321215131207258E-3</v>
      </c>
      <c r="BT195" s="716">
        <v>7.9308001620250392E-3</v>
      </c>
      <c r="BW195" s="1166">
        <f>'2022'!R\Max</f>
        <v>0.23094615360132448</v>
      </c>
      <c r="BX195" s="1167">
        <f>'2023'!R\Max</f>
        <v>0.23094059395274827</v>
      </c>
      <c r="BY195" s="1167">
        <f>'2024'!R\Max</f>
        <v>0.23093242135877859</v>
      </c>
      <c r="BZ195" s="1167">
        <f>'2025'!R\Max</f>
        <v>0.23092298209554413</v>
      </c>
      <c r="CA195" s="1167">
        <f>'2026'!R\Max</f>
        <v>0.23091189203997628</v>
      </c>
      <c r="CB195" s="1167">
        <f>'2027'!R\Max</f>
        <v>0.23090000173390737</v>
      </c>
      <c r="CC195" s="1168">
        <f>'2028'!R\Max</f>
        <v>0.23088673324041464</v>
      </c>
      <c r="CD195" s="1167">
        <f>'2029'!R\Max</f>
        <v>0.23094643145157837</v>
      </c>
      <c r="CE195" s="1167">
        <f>'2030'!R\Max</f>
        <v>0.23094087180300216</v>
      </c>
      <c r="CF195" s="1169">
        <f>'2031'!R\Max</f>
        <v>0.23093289309753157</v>
      </c>
    </row>
    <row r="196" spans="1:84" s="6" customFormat="1" ht="11.25" x14ac:dyDescent="0.2">
      <c r="A196" s="11">
        <v>43282</v>
      </c>
      <c r="B196" s="375">
        <f>'2022'!Maxi_hp</f>
        <v>221.60441669383138</v>
      </c>
      <c r="C196" s="13">
        <f>'2022'!An_max</f>
        <v>2022</v>
      </c>
      <c r="D196" s="1045" t="str">
        <f t="shared" si="78"/>
        <v/>
      </c>
      <c r="E196" s="13"/>
      <c r="F196" s="13">
        <f t="shared" si="95"/>
        <v>15</v>
      </c>
      <c r="G196" s="13">
        <f t="shared" si="79"/>
        <v>14</v>
      </c>
      <c r="H196" s="169">
        <f t="shared" si="80"/>
        <v>43290</v>
      </c>
      <c r="I196" s="743">
        <f t="shared" si="81"/>
        <v>0.5714285714285714</v>
      </c>
      <c r="J196" s="736">
        <f t="shared" si="82"/>
        <v>250.01166180627689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38">
        <v>43282</v>
      </c>
      <c r="AP196" s="13">
        <f t="shared" si="83"/>
        <v>9</v>
      </c>
      <c r="AQ196" s="13">
        <f t="shared" si="84"/>
        <v>8</v>
      </c>
      <c r="AR196" s="169">
        <f t="shared" si="85"/>
        <v>43304</v>
      </c>
      <c r="AS196" s="743">
        <f t="shared" si="86"/>
        <v>0.7857142857142857</v>
      </c>
      <c r="AT196" s="759">
        <f t="shared" si="87"/>
        <v>249.86215378908173</v>
      </c>
      <c r="AU196" s="13">
        <f t="shared" si="88"/>
        <v>7</v>
      </c>
      <c r="AV196" s="13">
        <f t="shared" si="89"/>
        <v>8</v>
      </c>
      <c r="AW196" s="169">
        <f t="shared" si="90"/>
        <v>43262</v>
      </c>
      <c r="AX196" s="743">
        <f t="shared" si="91"/>
        <v>0.7142857142857143</v>
      </c>
      <c r="AY196" s="759">
        <f t="shared" si="92"/>
        <v>250.1341107851693</v>
      </c>
      <c r="AZ196" s="736">
        <f t="shared" si="96"/>
        <v>249.99813228712551</v>
      </c>
      <c r="BA196" s="633">
        <f t="shared" si="93"/>
        <v>0.88637631977960674</v>
      </c>
      <c r="BC196" s="11">
        <v>43282</v>
      </c>
      <c r="BD196" s="286">
        <f>[2]!FeuilCaduc*(1-Persistant)+Persistant</f>
        <v>0.97803353063491905</v>
      </c>
      <c r="BE196" s="287">
        <f>[2]!CroissVégét</f>
        <v>0.70310971225270513</v>
      </c>
      <c r="BF196" s="806">
        <f>1+[2]!Salcycl*Ksac</f>
        <v>1.0472541913293649</v>
      </c>
      <c r="BH196" s="1036">
        <f t="shared" si="94"/>
        <v>1.1845883700882221E-3</v>
      </c>
      <c r="BI196" s="11">
        <v>44378</v>
      </c>
      <c r="BJ196" s="716">
        <v>1.6114099862022726E-5</v>
      </c>
      <c r="BK196" s="716">
        <v>7.5853801979442769E-5</v>
      </c>
      <c r="BL196" s="716">
        <v>1.9853509533288409E-4</v>
      </c>
      <c r="BM196" s="716">
        <v>4.0671363859607685E-4</v>
      </c>
      <c r="BN196" s="716">
        <v>7.2324011411755611E-4</v>
      </c>
      <c r="BO196" s="717">
        <v>1.189470159500902E-3</v>
      </c>
      <c r="BP196" s="716">
        <v>1.8960292298249683E-3</v>
      </c>
      <c r="BQ196" s="716">
        <v>3.110797891094167E-3</v>
      </c>
      <c r="BR196" s="716">
        <v>4.623987090679421E-3</v>
      </c>
      <c r="BS196" s="716">
        <v>6.3902707614553814E-3</v>
      </c>
      <c r="BT196" s="716">
        <v>8.0958409357280627E-3</v>
      </c>
      <c r="BW196" s="1166">
        <f>'2022'!R\Max</f>
        <v>0.88637631977960674</v>
      </c>
      <c r="BX196" s="1167">
        <f>'2023'!R\Max</f>
        <v>0.88637276841268797</v>
      </c>
      <c r="BY196" s="1167">
        <f>'2024'!R\Max</f>
        <v>0.88636747423919648</v>
      </c>
      <c r="BZ196" s="1167">
        <f>'2025'!R\Max</f>
        <v>0.88636136774652152</v>
      </c>
      <c r="CA196" s="1167">
        <f>'2026'!R\Max</f>
        <v>0.88635423736876895</v>
      </c>
      <c r="CB196" s="1167">
        <f>'2027'!R\Max</f>
        <v>0.88634662951382504</v>
      </c>
      <c r="CC196" s="1168">
        <f>'2028'!R\Max</f>
        <v>0.88633815281956219</v>
      </c>
      <c r="CD196" s="1167">
        <f>'2029'!R\Max</f>
        <v>0.88637649725966949</v>
      </c>
      <c r="CE196" s="1167">
        <f>'2030'!R\Max</f>
        <v>0.88637294590009041</v>
      </c>
      <c r="CF196" s="1169">
        <f>'2031'!R\Max</f>
        <v>0.8863677794072633</v>
      </c>
    </row>
    <row r="197" spans="1:84" s="6" customFormat="1" ht="11.25" x14ac:dyDescent="0.2">
      <c r="A197" s="11">
        <v>43283</v>
      </c>
      <c r="B197" s="375">
        <f>'2022'!Maxi_hp</f>
        <v>244.92207274501186</v>
      </c>
      <c r="C197" s="13">
        <f>'2022'!An_max</f>
        <v>2022</v>
      </c>
      <c r="D197" s="1045">
        <f t="shared" si="78"/>
        <v>0.98042360868948641</v>
      </c>
      <c r="E197" s="13"/>
      <c r="F197" s="13">
        <f t="shared" si="95"/>
        <v>15</v>
      </c>
      <c r="G197" s="13">
        <f t="shared" si="79"/>
        <v>14</v>
      </c>
      <c r="H197" s="169">
        <f t="shared" si="80"/>
        <v>43290</v>
      </c>
      <c r="I197" s="743">
        <f t="shared" si="81"/>
        <v>0.5</v>
      </c>
      <c r="J197" s="736">
        <f t="shared" si="82"/>
        <v>249.81249999925495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38">
        <v>43283</v>
      </c>
      <c r="AP197" s="13">
        <f t="shared" si="83"/>
        <v>9</v>
      </c>
      <c r="AQ197" s="13">
        <f t="shared" si="84"/>
        <v>8</v>
      </c>
      <c r="AR197" s="169">
        <f t="shared" si="85"/>
        <v>43304</v>
      </c>
      <c r="AS197" s="743">
        <f t="shared" si="86"/>
        <v>0.75</v>
      </c>
      <c r="AT197" s="759">
        <f t="shared" si="87"/>
        <v>249.62890624813735</v>
      </c>
      <c r="AU197" s="13">
        <f t="shared" si="88"/>
        <v>7</v>
      </c>
      <c r="AV197" s="13">
        <f t="shared" si="89"/>
        <v>8</v>
      </c>
      <c r="AW197" s="169">
        <f t="shared" si="90"/>
        <v>43262</v>
      </c>
      <c r="AX197" s="743">
        <f t="shared" si="91"/>
        <v>0.75</v>
      </c>
      <c r="AY197" s="759">
        <f t="shared" si="92"/>
        <v>249.9140625</v>
      </c>
      <c r="AZ197" s="736">
        <f t="shared" si="96"/>
        <v>249.77148437406868</v>
      </c>
      <c r="BA197" s="633">
        <f t="shared" si="93"/>
        <v>0.98042360868948641</v>
      </c>
      <c r="BC197" s="11">
        <v>43283</v>
      </c>
      <c r="BD197" s="286">
        <f>[2]!FeuilCaduc*(1-Persistant)+Persistant</f>
        <v>0.98005469365460984</v>
      </c>
      <c r="BE197" s="287">
        <f>[2]!CroissVégét</f>
        <v>0.71162774286802644</v>
      </c>
      <c r="BF197" s="806">
        <f>1+[2]!Salcycl*Ksac</f>
        <v>1.0475068367068263</v>
      </c>
      <c r="BH197" s="1036">
        <f t="shared" si="94"/>
        <v>1.2211668743750989E-3</v>
      </c>
      <c r="BI197" s="11">
        <v>44379</v>
      </c>
      <c r="BJ197" s="716">
        <v>1.8386598494638682E-5</v>
      </c>
      <c r="BK197" s="716">
        <v>8.3704136707127806E-5</v>
      </c>
      <c r="BL197" s="716">
        <v>2.1053666169782264E-4</v>
      </c>
      <c r="BM197" s="716">
        <v>4.2313867339337691E-4</v>
      </c>
      <c r="BN197" s="716">
        <v>7.4726476459003493E-4</v>
      </c>
      <c r="BO197" s="717">
        <v>1.2261815032855907E-3</v>
      </c>
      <c r="BP197" s="716">
        <v>1.9496282452240272E-3</v>
      </c>
      <c r="BQ197" s="716">
        <v>3.2088677286563724E-3</v>
      </c>
      <c r="BR197" s="716">
        <v>4.7601724322476205E-3</v>
      </c>
      <c r="BS197" s="716">
        <v>6.5634607864330967E-3</v>
      </c>
      <c r="BT197" s="716">
        <v>8.2774184192079461E-3</v>
      </c>
      <c r="BW197" s="1166">
        <f>'2022'!R\Max</f>
        <v>0.98042360868948641</v>
      </c>
      <c r="BX197" s="1167">
        <f>'2023'!R\Max</f>
        <v>0.98042291373303148</v>
      </c>
      <c r="BY197" s="1167">
        <f>'2024'!R\Max</f>
        <v>0.98042186322066294</v>
      </c>
      <c r="BZ197" s="1167">
        <f>'2025'!R\Max</f>
        <v>0.98042065339990214</v>
      </c>
      <c r="CA197" s="1167">
        <f>'2026'!R\Max</f>
        <v>0.98041924964051652</v>
      </c>
      <c r="CB197" s="1167">
        <f>'2027'!R\Max</f>
        <v>0.98041775892558092</v>
      </c>
      <c r="CC197" s="1168">
        <f>'2028'!R\Max</f>
        <v>0.98041610078175789</v>
      </c>
      <c r="CD197" s="1167">
        <f>'2029'!R\Max</f>
        <v>0.98042364341988908</v>
      </c>
      <c r="CE197" s="1167">
        <f>'2030'!R\Max</f>
        <v>0.98042294846514522</v>
      </c>
      <c r="CF197" s="1169">
        <f>'2031'!R\Max</f>
        <v>0.9804219236802163</v>
      </c>
    </row>
    <row r="198" spans="1:84" s="6" customFormat="1" ht="11.25" x14ac:dyDescent="0.2">
      <c r="A198" s="11">
        <v>43284</v>
      </c>
      <c r="B198" s="375">
        <f>'2022'!Maxi_hp</f>
        <v>202.86786743464688</v>
      </c>
      <c r="C198" s="13">
        <f>'2022'!An_max</f>
        <v>2022</v>
      </c>
      <c r="D198" s="1045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69">
        <f t="shared" si="80"/>
        <v>43290</v>
      </c>
      <c r="I198" s="743">
        <f t="shared" si="81"/>
        <v>0.42857142857142855</v>
      </c>
      <c r="J198" s="736">
        <f t="shared" si="82"/>
        <v>249.6005830873336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38">
        <v>43284</v>
      </c>
      <c r="AP198" s="13">
        <f t="shared" si="83"/>
        <v>9</v>
      </c>
      <c r="AQ198" s="13">
        <f t="shared" si="84"/>
        <v>8</v>
      </c>
      <c r="AR198" s="169">
        <f t="shared" si="85"/>
        <v>43304</v>
      </c>
      <c r="AS198" s="743">
        <f t="shared" si="86"/>
        <v>0.7142857142857143</v>
      </c>
      <c r="AT198" s="759">
        <f t="shared" si="87"/>
        <v>249.38338192339452</v>
      </c>
      <c r="AU198" s="13">
        <f t="shared" si="88"/>
        <v>7</v>
      </c>
      <c r="AV198" s="13">
        <f t="shared" si="89"/>
        <v>8</v>
      </c>
      <c r="AW198" s="169">
        <f t="shared" si="90"/>
        <v>43262</v>
      </c>
      <c r="AX198" s="743">
        <f t="shared" si="91"/>
        <v>0.7857142857142857</v>
      </c>
      <c r="AY198" s="759">
        <f t="shared" si="92"/>
        <v>249.68094023306452</v>
      </c>
      <c r="AZ198" s="736">
        <f t="shared" si="96"/>
        <v>249.53216107822954</v>
      </c>
      <c r="BA198" s="633">
        <f t="shared" si="93"/>
        <v>0.81277000608474037</v>
      </c>
      <c r="BC198" s="11">
        <v>43284</v>
      </c>
      <c r="BD198" s="286">
        <f>[2]!FeuilCaduc*(1-Persistant)+Persistant</f>
        <v>0.98195057604360725</v>
      </c>
      <c r="BE198" s="287">
        <f>[2]!CroissVégét</f>
        <v>0.71999879440261938</v>
      </c>
      <c r="BF198" s="806">
        <f>1+[2]!Salcycl*Ksac</f>
        <v>1.0477438220054509</v>
      </c>
      <c r="BH198" s="1036">
        <f t="shared" si="94"/>
        <v>1.2670987320443396E-3</v>
      </c>
      <c r="BI198" s="11">
        <v>44380</v>
      </c>
      <c r="BJ198" s="716">
        <v>2.129079725954597E-5</v>
      </c>
      <c r="BK198" s="716">
        <v>9.2722043166564599E-5</v>
      </c>
      <c r="BL198" s="716">
        <v>2.2463382541990814E-4</v>
      </c>
      <c r="BM198" s="716">
        <v>4.4338882120277794E-4</v>
      </c>
      <c r="BN198" s="716">
        <v>7.7802418816104045E-4</v>
      </c>
      <c r="BO198" s="717">
        <v>1.2722739091463261E-3</v>
      </c>
      <c r="BP198" s="716">
        <v>2.0144713161396994E-3</v>
      </c>
      <c r="BQ198" s="716">
        <v>3.3165722014256486E-3</v>
      </c>
      <c r="BR198" s="716">
        <v>4.9048324765129086E-3</v>
      </c>
      <c r="BS198" s="716">
        <v>6.7446158223898609E-3</v>
      </c>
      <c r="BT198" s="716">
        <v>8.4693201067040386E-3</v>
      </c>
      <c r="BW198" s="1166">
        <f>'2022'!R\Max</f>
        <v>0.81277000608474037</v>
      </c>
      <c r="BX198" s="1167">
        <f>'2023'!R\Max</f>
        <v>0.81276433752381627</v>
      </c>
      <c r="BY198" s="1167">
        <f>'2024'!R\Max</f>
        <v>0.8127556791783842</v>
      </c>
      <c r="BZ198" s="1167">
        <f>'2025'!R\Max</f>
        <v>0.81274573322978727</v>
      </c>
      <c r="CA198" s="1167">
        <f>'2026'!R\Max</f>
        <v>0.81273425845779856</v>
      </c>
      <c r="CB198" s="1167">
        <f>'2027'!R\Max</f>
        <v>0.81272212487272844</v>
      </c>
      <c r="CC198" s="1168">
        <f>'2028'!R\Max</f>
        <v>0.81270864687263511</v>
      </c>
      <c r="CD198" s="1167">
        <f>'2029'!R\Max</f>
        <v>0.81277028937234086</v>
      </c>
      <c r="CE198" s="1167">
        <f>'2030'!R\Max</f>
        <v>0.8127646208222391</v>
      </c>
      <c r="CF198" s="1169">
        <f>'2031'!R\Max</f>
        <v>0.81275617622186969</v>
      </c>
    </row>
    <row r="199" spans="1:84" s="6" customFormat="1" ht="11.25" x14ac:dyDescent="0.2">
      <c r="A199" s="11">
        <v>43285</v>
      </c>
      <c r="B199" s="375">
        <f>'2022'!Maxi_hp</f>
        <v>197.91997286853493</v>
      </c>
      <c r="C199" s="13">
        <f>'2022'!An_max</f>
        <v>2022</v>
      </c>
      <c r="D199" s="1045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69">
        <f t="shared" si="80"/>
        <v>43290</v>
      </c>
      <c r="I199" s="743">
        <f t="shared" si="81"/>
        <v>0.35714285714285715</v>
      </c>
      <c r="J199" s="736">
        <f t="shared" si="82"/>
        <v>249.37481778306619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38">
        <v>43285</v>
      </c>
      <c r="AP199" s="13">
        <f t="shared" si="83"/>
        <v>9</v>
      </c>
      <c r="AQ199" s="13">
        <f t="shared" si="84"/>
        <v>8</v>
      </c>
      <c r="AR199" s="169">
        <f t="shared" si="85"/>
        <v>43304</v>
      </c>
      <c r="AS199" s="743">
        <f t="shared" si="86"/>
        <v>0.6785714285714286</v>
      </c>
      <c r="AT199" s="759">
        <f t="shared" si="87"/>
        <v>249.12564914258465</v>
      </c>
      <c r="AU199" s="13">
        <f t="shared" si="88"/>
        <v>7</v>
      </c>
      <c r="AV199" s="13">
        <f t="shared" si="89"/>
        <v>8</v>
      </c>
      <c r="AW199" s="169">
        <f t="shared" si="90"/>
        <v>43262</v>
      </c>
      <c r="AX199" s="743">
        <f t="shared" si="91"/>
        <v>0.8214285714285714</v>
      </c>
      <c r="AY199" s="759">
        <f t="shared" si="92"/>
        <v>249.43460732453633</v>
      </c>
      <c r="AZ199" s="736">
        <f t="shared" si="96"/>
        <v>249.2801282335605</v>
      </c>
      <c r="BA199" s="633">
        <f t="shared" si="93"/>
        <v>0.79366463152950595</v>
      </c>
      <c r="BC199" s="11">
        <v>43285</v>
      </c>
      <c r="BD199" s="286">
        <f>[2]!FeuilCaduc*(1-Persistant)+Persistant</f>
        <v>0.98372431945317584</v>
      </c>
      <c r="BE199" s="287">
        <f>[2]!CroissVégét</f>
        <v>0.72821975485053358</v>
      </c>
      <c r="BF199" s="806">
        <f>1+[2]!Salcycl*Ksac</f>
        <v>1.047965539931647</v>
      </c>
      <c r="BH199" s="1036">
        <f t="shared" si="94"/>
        <v>1.3208708341680047E-3</v>
      </c>
      <c r="BI199" s="11">
        <v>44381</v>
      </c>
      <c r="BJ199" s="716">
        <v>2.4726321164738792E-5</v>
      </c>
      <c r="BK199" s="716">
        <v>1.02446963486913E-4</v>
      </c>
      <c r="BL199" s="716">
        <v>2.4013391910608452E-4</v>
      </c>
      <c r="BM199" s="716">
        <v>4.6666608422236288E-4</v>
      </c>
      <c r="BN199" s="716">
        <v>8.1455277052327037E-4</v>
      </c>
      <c r="BO199" s="717">
        <v>1.3262284748018661E-3</v>
      </c>
      <c r="BP199" s="716">
        <v>2.0880003599895781E-3</v>
      </c>
      <c r="BQ199" s="716">
        <v>3.4281079296637697E-3</v>
      </c>
      <c r="BR199" s="716">
        <v>5.0496334633653465E-3</v>
      </c>
      <c r="BS199" s="716">
        <v>6.923127388186138E-3</v>
      </c>
      <c r="BT199" s="716">
        <v>8.6609221615883535E-3</v>
      </c>
      <c r="BW199" s="1166">
        <f>'2022'!R\Max</f>
        <v>0.79366463152950595</v>
      </c>
      <c r="BX199" s="1167">
        <f>'2023'!R\Max</f>
        <v>0.79365835350752412</v>
      </c>
      <c r="BY199" s="1167">
        <f>'2024'!R\Max</f>
        <v>0.79364870395018738</v>
      </c>
      <c r="BZ199" s="1167">
        <f>'2025'!R\Max</f>
        <v>0.79363765844720391</v>
      </c>
      <c r="CA199" s="1167">
        <f>'2026'!R\Max</f>
        <v>0.79362497149366706</v>
      </c>
      <c r="CB199" s="1167">
        <f>'2027'!R\Max</f>
        <v>0.79361160446734857</v>
      </c>
      <c r="CC199" s="1168">
        <f>'2028'!R\Max</f>
        <v>0.79359676709501259</v>
      </c>
      <c r="CD199" s="1167">
        <f>'2029'!R\Max</f>
        <v>0.793664945275117</v>
      </c>
      <c r="CE199" s="1167">
        <f>'2030'!R\Max</f>
        <v>0.79365866726501111</v>
      </c>
      <c r="CF199" s="1169">
        <f>'2031'!R\Max</f>
        <v>0.79364925594344327</v>
      </c>
    </row>
    <row r="200" spans="1:84" s="6" customFormat="1" ht="11.25" x14ac:dyDescent="0.2">
      <c r="A200" s="11">
        <v>43286</v>
      </c>
      <c r="B200" s="375">
        <f>'2022'!Maxi_hp</f>
        <v>238.09957047491525</v>
      </c>
      <c r="C200" s="13">
        <f>'2022'!An_max</f>
        <v>2022</v>
      </c>
      <c r="D200" s="1045" t="str">
        <f t="shared" si="78"/>
        <v/>
      </c>
      <c r="E200" s="13"/>
      <c r="F200" s="13">
        <f t="shared" si="95"/>
        <v>15</v>
      </c>
      <c r="G200" s="13">
        <f t="shared" si="79"/>
        <v>14</v>
      </c>
      <c r="H200" s="169">
        <f t="shared" si="80"/>
        <v>43290</v>
      </c>
      <c r="I200" s="743">
        <f t="shared" si="81"/>
        <v>0.2857142857142857</v>
      </c>
      <c r="J200" s="736">
        <f t="shared" si="82"/>
        <v>249.13411078453063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38">
        <v>43286</v>
      </c>
      <c r="AP200" s="13">
        <f t="shared" si="83"/>
        <v>9</v>
      </c>
      <c r="AQ200" s="13">
        <f t="shared" si="84"/>
        <v>8</v>
      </c>
      <c r="AR200" s="169">
        <f t="shared" si="85"/>
        <v>43304</v>
      </c>
      <c r="AS200" s="743">
        <f t="shared" si="86"/>
        <v>0.6428571428571429</v>
      </c>
      <c r="AT200" s="759">
        <f t="shared" si="87"/>
        <v>248.85577623961225</v>
      </c>
      <c r="AU200" s="13">
        <f t="shared" si="88"/>
        <v>7</v>
      </c>
      <c r="AV200" s="13">
        <f t="shared" si="89"/>
        <v>8</v>
      </c>
      <c r="AW200" s="169">
        <f t="shared" si="90"/>
        <v>43262</v>
      </c>
      <c r="AX200" s="743">
        <f t="shared" si="91"/>
        <v>0.8571428571428571</v>
      </c>
      <c r="AY200" s="759">
        <f t="shared" si="92"/>
        <v>249.17492711395025</v>
      </c>
      <c r="AZ200" s="736">
        <f t="shared" si="96"/>
        <v>249.01535167678125</v>
      </c>
      <c r="BA200" s="633">
        <f t="shared" si="93"/>
        <v>0.95570843239864955</v>
      </c>
      <c r="BC200" s="11">
        <v>43286</v>
      </c>
      <c r="BD200" s="286">
        <f>[2]!FeuilCaduc*(1-Persistant)+Persistant</f>
        <v>0.9853792948528588</v>
      </c>
      <c r="BE200" s="287">
        <f>[2]!CroissVégét</f>
        <v>0.73628787157048126</v>
      </c>
      <c r="BF200" s="806">
        <f>1+[2]!Salcycl*Ksac</f>
        <v>1.0481724118566074</v>
      </c>
      <c r="BH200" s="1036">
        <f t="shared" si="94"/>
        <v>1.3824751938740542E-3</v>
      </c>
      <c r="BI200" s="11">
        <v>44382</v>
      </c>
      <c r="BJ200" s="716">
        <v>2.8692593507281552E-5</v>
      </c>
      <c r="BK200" s="716">
        <v>1.128782353899416E-4</v>
      </c>
      <c r="BL200" s="716">
        <v>2.570355954723983E-4</v>
      </c>
      <c r="BM200" s="716">
        <v>4.9296739115615583E-4</v>
      </c>
      <c r="BN200" s="716">
        <v>8.5684451406568384E-4</v>
      </c>
      <c r="BO200" s="717">
        <v>1.3880371923306637E-3</v>
      </c>
      <c r="BP200" s="716">
        <v>2.1702070326017893E-3</v>
      </c>
      <c r="BQ200" s="716">
        <v>3.5434735708790278E-3</v>
      </c>
      <c r="BR200" s="716">
        <v>5.1945797355318121E-3</v>
      </c>
      <c r="BS200" s="716">
        <v>7.0990045604399157E-3</v>
      </c>
      <c r="BT200" s="716">
        <v>8.852231907996274E-3</v>
      </c>
      <c r="BW200" s="1166">
        <f>'2022'!R\Max</f>
        <v>0.95570843239864955</v>
      </c>
      <c r="BX200" s="1167">
        <f>'2023'!R\Max</f>
        <v>0.95570676174137359</v>
      </c>
      <c r="BY200" s="1167">
        <f>'2024'!R\Max</f>
        <v>0.95570418776241883</v>
      </c>
      <c r="BZ200" s="1167">
        <f>'2025'!R\Max</f>
        <v>0.95570125412292917</v>
      </c>
      <c r="CA200" s="1167">
        <f>'2026'!R\Max</f>
        <v>0.95569789557359452</v>
      </c>
      <c r="CB200" s="1167">
        <f>'2027'!R\Max</f>
        <v>0.9556943676794093</v>
      </c>
      <c r="CC200" s="1168">
        <f>'2028'!R\Max</f>
        <v>0.95569045214436243</v>
      </c>
      <c r="CD200" s="1167">
        <f>'2029'!R\Max</f>
        <v>0.9557085158895261</v>
      </c>
      <c r="CE200" s="1167">
        <f>'2030'!R\Max</f>
        <v>0.95570684523657212</v>
      </c>
      <c r="CF200" s="1169">
        <f>'2031'!R\Max</f>
        <v>0.95570433436765434</v>
      </c>
    </row>
    <row r="201" spans="1:84" s="6" customFormat="1" ht="11.25" x14ac:dyDescent="0.2">
      <c r="A201" s="11">
        <v>43287</v>
      </c>
      <c r="B201" s="375">
        <f>'2022'!Maxi_hp</f>
        <v>189.02462826970424</v>
      </c>
      <c r="C201" s="13">
        <f>'2022'!An_max</f>
        <v>2022</v>
      </c>
      <c r="D201" s="1045" t="str">
        <f t="shared" si="78"/>
        <v/>
      </c>
      <c r="E201" s="13"/>
      <c r="F201" s="13">
        <f t="shared" si="95"/>
        <v>15</v>
      </c>
      <c r="G201" s="13">
        <f t="shared" si="79"/>
        <v>14</v>
      </c>
      <c r="H201" s="169">
        <f t="shared" si="80"/>
        <v>43290</v>
      </c>
      <c r="I201" s="743">
        <f t="shared" si="81"/>
        <v>0.21428571428571427</v>
      </c>
      <c r="J201" s="736">
        <f t="shared" si="82"/>
        <v>248.87736880651542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38">
        <v>43287</v>
      </c>
      <c r="AP201" s="13">
        <f t="shared" si="83"/>
        <v>9</v>
      </c>
      <c r="AQ201" s="13">
        <f t="shared" si="84"/>
        <v>8</v>
      </c>
      <c r="AR201" s="169">
        <f t="shared" si="85"/>
        <v>43304</v>
      </c>
      <c r="AS201" s="743">
        <f t="shared" si="86"/>
        <v>0.6071428571428571</v>
      </c>
      <c r="AT201" s="759">
        <f t="shared" si="87"/>
        <v>248.57383154141053</v>
      </c>
      <c r="AU201" s="13">
        <f t="shared" si="88"/>
        <v>7</v>
      </c>
      <c r="AV201" s="13">
        <f t="shared" si="89"/>
        <v>8</v>
      </c>
      <c r="AW201" s="169">
        <f t="shared" si="90"/>
        <v>43262</v>
      </c>
      <c r="AX201" s="743">
        <f t="shared" si="91"/>
        <v>0.8928571428571429</v>
      </c>
      <c r="AY201" s="759">
        <f t="shared" si="92"/>
        <v>248.90176293690288</v>
      </c>
      <c r="AZ201" s="736">
        <f t="shared" si="96"/>
        <v>248.73779723915669</v>
      </c>
      <c r="BA201" s="633">
        <f t="shared" si="93"/>
        <v>0.7595091075422673</v>
      </c>
      <c r="BC201" s="11">
        <v>43287</v>
      </c>
      <c r="BD201" s="286">
        <f>[2]!FeuilCaduc*(1-Persistant)+Persistant</f>
        <v>0.98691907840459148</v>
      </c>
      <c r="BE201" s="287">
        <f>[2]!CroissVégét</f>
        <v>0.74420074649273349</v>
      </c>
      <c r="BF201" s="806">
        <f>1+[2]!Salcycl*Ksac</f>
        <v>1.048364884800574</v>
      </c>
      <c r="BH201" s="1036">
        <f t="shared" si="94"/>
        <v>1.4519041839136787E-3</v>
      </c>
      <c r="BI201" s="11">
        <v>44383</v>
      </c>
      <c r="BJ201" s="716">
        <v>3.3189061498176767E-5</v>
      </c>
      <c r="BK201" s="716">
        <v>1.2401523873838499E-4</v>
      </c>
      <c r="BL201" s="716">
        <v>2.7533758330818361E-4</v>
      </c>
      <c r="BM201" s="716">
        <v>5.2228981454704136E-4</v>
      </c>
      <c r="BN201" s="716">
        <v>9.0489367964186789E-4</v>
      </c>
      <c r="BO201" s="717">
        <v>1.4576924145048196E-3</v>
      </c>
      <c r="BP201" s="716">
        <v>2.2610834164477241E-3</v>
      </c>
      <c r="BQ201" s="716">
        <v>3.6626681300914545E-3</v>
      </c>
      <c r="BR201" s="716">
        <v>5.3396759322075077E-3</v>
      </c>
      <c r="BS201" s="716">
        <v>7.2722566913103999E-3</v>
      </c>
      <c r="BT201" s="716">
        <v>9.0432570480234627E-3</v>
      </c>
      <c r="BW201" s="1166">
        <f>'2022'!R\Max</f>
        <v>0.7595091075422673</v>
      </c>
      <c r="BX201" s="1167">
        <f>'2023'!R\Max</f>
        <v>0.75950168382553906</v>
      </c>
      <c r="BY201" s="1167">
        <f>'2024'!R\Max</f>
        <v>0.75949026168393796</v>
      </c>
      <c r="BZ201" s="1167">
        <f>'2025'!R\Max</f>
        <v>0.75947730896323418</v>
      </c>
      <c r="CA201" s="1167">
        <f>'2026'!R\Max</f>
        <v>0.75946251428677303</v>
      </c>
      <c r="CB201" s="1167">
        <f>'2027'!R\Max</f>
        <v>0.75944701398543013</v>
      </c>
      <c r="CC201" s="1168">
        <f>'2028'!R\Max</f>
        <v>0.75942980377422087</v>
      </c>
      <c r="CD201" s="1167">
        <f>'2029'!R\Max</f>
        <v>0.75950947854433715</v>
      </c>
      <c r="CE201" s="1167">
        <f>'2030'!R\Max</f>
        <v>0.75950205484146671</v>
      </c>
      <c r="CF201" s="1169">
        <f>'2031'!R\Max</f>
        <v>0.75949090898988936</v>
      </c>
    </row>
    <row r="202" spans="1:84" s="6" customFormat="1" ht="11.25" x14ac:dyDescent="0.2">
      <c r="A202" s="11">
        <v>43288</v>
      </c>
      <c r="B202" s="375">
        <f>'2022'!Maxi_hp</f>
        <v>234.92991381410164</v>
      </c>
      <c r="C202" s="13">
        <f>'2022'!An_max</f>
        <v>2022</v>
      </c>
      <c r="D202" s="1045" t="str">
        <f t="shared" si="78"/>
        <v/>
      </c>
      <c r="E202" s="13"/>
      <c r="F202" s="13">
        <f t="shared" si="95"/>
        <v>15</v>
      </c>
      <c r="G202" s="13">
        <f t="shared" si="79"/>
        <v>14</v>
      </c>
      <c r="H202" s="169">
        <f t="shared" si="80"/>
        <v>43290</v>
      </c>
      <c r="I202" s="743">
        <f t="shared" si="81"/>
        <v>0.14285714285714285</v>
      </c>
      <c r="J202" s="736">
        <f t="shared" si="82"/>
        <v>248.60349854252172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38">
        <v>43288</v>
      </c>
      <c r="AP202" s="13">
        <f t="shared" si="83"/>
        <v>9</v>
      </c>
      <c r="AQ202" s="13">
        <f t="shared" si="84"/>
        <v>8</v>
      </c>
      <c r="AR202" s="169">
        <f t="shared" si="85"/>
        <v>43304</v>
      </c>
      <c r="AS202" s="743">
        <f t="shared" si="86"/>
        <v>0.5714285714285714</v>
      </c>
      <c r="AT202" s="759">
        <f t="shared" si="87"/>
        <v>248.27988338087283</v>
      </c>
      <c r="AU202" s="13">
        <f t="shared" si="88"/>
        <v>7</v>
      </c>
      <c r="AV202" s="13">
        <f t="shared" si="89"/>
        <v>8</v>
      </c>
      <c r="AW202" s="169">
        <f t="shared" si="90"/>
        <v>43262</v>
      </c>
      <c r="AX202" s="743">
        <f t="shared" si="91"/>
        <v>0.9285714285714286</v>
      </c>
      <c r="AY202" s="759">
        <f t="shared" si="92"/>
        <v>248.6149781333549</v>
      </c>
      <c r="AZ202" s="736">
        <f t="shared" si="96"/>
        <v>248.44743075711386</v>
      </c>
      <c r="BA202" s="633">
        <f t="shared" si="93"/>
        <v>0.94499842195068173</v>
      </c>
      <c r="BC202" s="11">
        <v>43288</v>
      </c>
      <c r="BD202" s="286">
        <f>[2]!FeuilCaduc*(1-Persistant)+Persistant</f>
        <v>0.98834742664822151</v>
      </c>
      <c r="BE202" s="287">
        <f>[2]!CroissVégét</f>
        <v>0.75195632992281269</v>
      </c>
      <c r="BF202" s="806">
        <f>1+[2]!Salcycl*Ksac</f>
        <v>1.0485434283310278</v>
      </c>
      <c r="BH202" s="1036">
        <f t="shared" si="94"/>
        <v>1.5291505754071999E-3</v>
      </c>
      <c r="BI202" s="11">
        <v>44384</v>
      </c>
      <c r="BJ202" s="716">
        <v>3.8215198888464799E-5</v>
      </c>
      <c r="BK202" s="716">
        <v>1.3585739904956146E-4</v>
      </c>
      <c r="BL202" s="716">
        <v>2.9503869443244879E-4</v>
      </c>
      <c r="BM202" s="716">
        <v>5.5463058574727812E-4</v>
      </c>
      <c r="BN202" s="716">
        <v>9.5869481507156391E-4</v>
      </c>
      <c r="BO202" s="717">
        <v>1.535186893644384E-3</v>
      </c>
      <c r="BP202" s="716">
        <v>2.3606220636115875E-3</v>
      </c>
      <c r="BQ202" s="716">
        <v>3.7856909790545891E-3</v>
      </c>
      <c r="BR202" s="716">
        <v>5.4849269902324119E-3</v>
      </c>
      <c r="BS202" s="716">
        <v>7.4428933960814193E-3</v>
      </c>
      <c r="BT202" s="716">
        <v>9.2340056608565188E-3</v>
      </c>
      <c r="BW202" s="1166">
        <f>'2022'!R\Max</f>
        <v>0.94499842195068173</v>
      </c>
      <c r="BX202" s="1167">
        <f>'2023'!R\Max</f>
        <v>0.94499624593458376</v>
      </c>
      <c r="BY202" s="1167">
        <f>'2024'!R\Max</f>
        <v>0.9449929141341209</v>
      </c>
      <c r="BZ202" s="1167">
        <f>'2025'!R\Max</f>
        <v>0.94498915677342388</v>
      </c>
      <c r="CA202" s="1167">
        <f>'2026'!R\Max</f>
        <v>0.94498487055405267</v>
      </c>
      <c r="CB202" s="1167">
        <f>'2027'!R\Max</f>
        <v>0.9449803893851596</v>
      </c>
      <c r="CC202" s="1168">
        <f>'2028'!R\Max</f>
        <v>0.94497540884968478</v>
      </c>
      <c r="CD202" s="1167">
        <f>'2029'!R\Max</f>
        <v>0.94499853069667084</v>
      </c>
      <c r="CE202" s="1167">
        <f>'2030'!R\Max</f>
        <v>0.94499635468644583</v>
      </c>
      <c r="CF202" s="1169">
        <f>'2031'!R\Max</f>
        <v>0.9449931019036365</v>
      </c>
    </row>
    <row r="203" spans="1:84" s="6" customFormat="1" ht="11.25" x14ac:dyDescent="0.2">
      <c r="A203" s="11">
        <v>43289</v>
      </c>
      <c r="B203" s="375">
        <f>'2022'!Maxi_hp</f>
        <v>249.16458276776109</v>
      </c>
      <c r="C203" s="13">
        <f>'2022'!An_max</f>
        <v>2022</v>
      </c>
      <c r="D203" s="1045">
        <f t="shared" si="78"/>
        <v>1.0034359116923777</v>
      </c>
      <c r="E203" s="13"/>
      <c r="F203" s="13">
        <f t="shared" si="95"/>
        <v>15</v>
      </c>
      <c r="G203" s="13">
        <f t="shared" si="79"/>
        <v>14</v>
      </c>
      <c r="H203" s="169">
        <f t="shared" si="80"/>
        <v>43290</v>
      </c>
      <c r="I203" s="743">
        <f t="shared" si="81"/>
        <v>7.1428571428571425E-2</v>
      </c>
      <c r="J203" s="736">
        <f t="shared" si="82"/>
        <v>248.31140670212253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38">
        <v>43289</v>
      </c>
      <c r="AP203" s="13">
        <f t="shared" si="83"/>
        <v>9</v>
      </c>
      <c r="AQ203" s="13">
        <f t="shared" si="84"/>
        <v>8</v>
      </c>
      <c r="AR203" s="169">
        <f t="shared" si="85"/>
        <v>43304</v>
      </c>
      <c r="AS203" s="743">
        <f t="shared" si="86"/>
        <v>0.5357142857142857</v>
      </c>
      <c r="AT203" s="759">
        <f t="shared" si="87"/>
        <v>247.9740000911589</v>
      </c>
      <c r="AU203" s="13">
        <f t="shared" si="88"/>
        <v>7</v>
      </c>
      <c r="AV203" s="13">
        <f t="shared" si="89"/>
        <v>8</v>
      </c>
      <c r="AW203" s="169">
        <f t="shared" si="90"/>
        <v>43262</v>
      </c>
      <c r="AX203" s="743">
        <f t="shared" si="91"/>
        <v>0.9642857142857143</v>
      </c>
      <c r="AY203" s="759">
        <f t="shared" si="92"/>
        <v>248.3144360410848</v>
      </c>
      <c r="AZ203" s="736">
        <f t="shared" si="96"/>
        <v>248.14421806612185</v>
      </c>
      <c r="BA203" s="633">
        <f t="shared" si="93"/>
        <v>1.0034359116923777</v>
      </c>
      <c r="BC203" s="11">
        <v>43289</v>
      </c>
      <c r="BD203" s="286">
        <f>[2]!FeuilCaduc*(1-Persistant)+Persistant</f>
        <v>0.98966825118451485</v>
      </c>
      <c r="BE203" s="287">
        <f>[2]!CroissVégét</f>
        <v>0.75955291305401751</v>
      </c>
      <c r="BF203" s="806">
        <f>1+[2]!Salcycl*Ksac</f>
        <v>1.0487085313980644</v>
      </c>
      <c r="BH203" s="1036">
        <f t="shared" si="94"/>
        <v>1.6142075765990492E-3</v>
      </c>
      <c r="BI203" s="11">
        <v>44385</v>
      </c>
      <c r="BJ203" s="716">
        <v>4.3770508595618402E-5</v>
      </c>
      <c r="BK203" s="716">
        <v>1.4840419100992916E-4</v>
      </c>
      <c r="BL203" s="716">
        <v>3.1613783065214817E-4</v>
      </c>
      <c r="BM203" s="716">
        <v>5.8998710989241249E-4</v>
      </c>
      <c r="BN203" s="716">
        <v>1.0182427836479891E-3</v>
      </c>
      <c r="BO203" s="717">
        <v>1.6205138204807722E-3</v>
      </c>
      <c r="BP203" s="716">
        <v>2.4688160387735833E-3</v>
      </c>
      <c r="BQ203" s="716">
        <v>3.9125418754985689E-3</v>
      </c>
      <c r="BR203" s="716">
        <v>5.6303381452979763E-3</v>
      </c>
      <c r="BS203" s="716">
        <v>7.6109245407853252E-3</v>
      </c>
      <c r="BT203" s="716">
        <v>9.4244862019532138E-3</v>
      </c>
      <c r="BW203" s="1166">
        <f>'2022'!R\Max</f>
        <v>1.0034359116923777</v>
      </c>
      <c r="BX203" s="1167">
        <f>'2023'!R\Max</f>
        <v>1.0034359116923774</v>
      </c>
      <c r="BY203" s="1167">
        <f>'2024'!R\Max</f>
        <v>1.0034359116923777</v>
      </c>
      <c r="BZ203" s="1167">
        <f>'2025'!R\Max</f>
        <v>1.0034359116923774</v>
      </c>
      <c r="CA203" s="1167">
        <f>'2026'!R\Max</f>
        <v>1.0034359116923777</v>
      </c>
      <c r="CB203" s="1167">
        <f>'2027'!R\Max</f>
        <v>1.0034359116923779</v>
      </c>
      <c r="CC203" s="1168">
        <f>'2028'!R\Max</f>
        <v>1.0034359116923777</v>
      </c>
      <c r="CD203" s="1167">
        <f>'2029'!R\Max</f>
        <v>1.0034359116923777</v>
      </c>
      <c r="CE203" s="1167">
        <f>'2030'!R\Max</f>
        <v>1.0034359116923774</v>
      </c>
      <c r="CF203" s="1169">
        <f>'2031'!R\Max</f>
        <v>1.0034359116923777</v>
      </c>
    </row>
    <row r="204" spans="1:84" s="6" customFormat="1" ht="11.25" x14ac:dyDescent="0.2">
      <c r="A204" s="11">
        <v>43290</v>
      </c>
      <c r="B204" s="375">
        <f>'2022'!Maxi_hp</f>
        <v>246.57961768675807</v>
      </c>
      <c r="C204" s="13">
        <f>'2022'!An_max</f>
        <v>2022</v>
      </c>
      <c r="D204" s="1045">
        <f t="shared" si="78"/>
        <v>0.99427265196273418</v>
      </c>
      <c r="E204" s="1040">
        <f>AA$13/10</f>
        <v>248</v>
      </c>
      <c r="F204" s="13">
        <f t="shared" si="95"/>
        <v>15</v>
      </c>
      <c r="G204" s="13">
        <f t="shared" si="79"/>
        <v>16</v>
      </c>
      <c r="H204" s="169">
        <f t="shared" si="80"/>
        <v>43290</v>
      </c>
      <c r="I204" s="743">
        <f t="shared" si="81"/>
        <v>0</v>
      </c>
      <c r="J204" s="736">
        <f t="shared" si="82"/>
        <v>248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38">
        <v>43290</v>
      </c>
      <c r="AP204" s="13">
        <f t="shared" si="83"/>
        <v>9</v>
      </c>
      <c r="AQ204" s="13">
        <f t="shared" si="84"/>
        <v>8</v>
      </c>
      <c r="AR204" s="169">
        <f t="shared" si="85"/>
        <v>43304</v>
      </c>
      <c r="AS204" s="743">
        <f t="shared" si="86"/>
        <v>0.5</v>
      </c>
      <c r="AT204" s="759">
        <f t="shared" si="87"/>
        <v>247.65624999776483</v>
      </c>
      <c r="AU204" s="13">
        <f t="shared" si="88"/>
        <v>9</v>
      </c>
      <c r="AV204" s="13">
        <f t="shared" si="89"/>
        <v>8</v>
      </c>
      <c r="AW204" s="169">
        <f t="shared" si="90"/>
        <v>43318</v>
      </c>
      <c r="AX204" s="743">
        <f t="shared" si="91"/>
        <v>1</v>
      </c>
      <c r="AY204" s="759">
        <f t="shared" si="92"/>
        <v>248</v>
      </c>
      <c r="AZ204" s="736">
        <f t="shared" si="96"/>
        <v>247.8281249988824</v>
      </c>
      <c r="BA204" s="633">
        <f t="shared" si="93"/>
        <v>0.99427265196273418</v>
      </c>
      <c r="BC204" s="11">
        <v>43290</v>
      </c>
      <c r="BD204" s="286">
        <f>[2]!FeuilCaduc*(1-Persistant)+Persistant</f>
        <v>0.99088559304384516</v>
      </c>
      <c r="BE204" s="287">
        <f>[2]!CroissVégét</f>
        <v>0.76698911930492164</v>
      </c>
      <c r="BF204" s="806">
        <f>1+[2]!Salcycl*Ksac</f>
        <v>1.0488606991304807</v>
      </c>
      <c r="BH204" s="1036">
        <f t="shared" si="94"/>
        <v>1.7070688715738027E-3</v>
      </c>
      <c r="BI204" s="11">
        <v>44386</v>
      </c>
      <c r="BJ204" s="716">
        <v>4.9854525328966106E-5</v>
      </c>
      <c r="BK204" s="716">
        <v>1.6165514198618154E-4</v>
      </c>
      <c r="BL204" s="716">
        <v>3.3863399071293711E-4</v>
      </c>
      <c r="BM204" s="716">
        <v>6.2835698086106853E-4</v>
      </c>
      <c r="BN204" s="716">
        <v>1.0835327926207491E-3</v>
      </c>
      <c r="BO204" s="717">
        <v>1.7136668629810805E-3</v>
      </c>
      <c r="BP204" s="716">
        <v>2.5856589621329608E-3</v>
      </c>
      <c r="BQ204" s="716">
        <v>4.0432209822766968E-3</v>
      </c>
      <c r="BR204" s="716">
        <v>5.77591493301395E-3</v>
      </c>
      <c r="BS204" s="716">
        <v>7.7763602296370129E-3</v>
      </c>
      <c r="BT204" s="716">
        <v>9.614707501987188E-3</v>
      </c>
      <c r="BW204" s="1166">
        <f>'2022'!R\Max</f>
        <v>0.99427265196273418</v>
      </c>
      <c r="BX204" s="1167">
        <f>'2023'!R\Max</f>
        <v>0.99427239884878293</v>
      </c>
      <c r="BY204" s="1167">
        <f>'2024'!R\Max</f>
        <v>0.99427201889691053</v>
      </c>
      <c r="BZ204" s="1167">
        <f>'2025'!R\Max</f>
        <v>0.99427159573495394</v>
      </c>
      <c r="CA204" s="1167">
        <f>'2026'!R\Max</f>
        <v>0.99427111292783865</v>
      </c>
      <c r="CB204" s="1167">
        <f>'2027'!R\Max</f>
        <v>0.99427060977307102</v>
      </c>
      <c r="CC204" s="1168">
        <f>'2028'!R\Max</f>
        <v>0.99427004853889034</v>
      </c>
      <c r="CD204" s="1167">
        <f>'2029'!R\Max</f>
        <v>0.99427266461200425</v>
      </c>
      <c r="CE204" s="1167">
        <f>'2030'!R\Max</f>
        <v>0.99427241149883405</v>
      </c>
      <c r="CF204" s="1169">
        <f>'2031'!R\Max</f>
        <v>0.99427204004380254</v>
      </c>
    </row>
    <row r="205" spans="1:84" s="6" customFormat="1" ht="11.25" x14ac:dyDescent="0.2">
      <c r="A205" s="11">
        <v>43291</v>
      </c>
      <c r="B205" s="375">
        <f>'2022'!Maxi_hp</f>
        <v>244.61747019264928</v>
      </c>
      <c r="C205" s="13">
        <f>'2022'!An_max</f>
        <v>2022</v>
      </c>
      <c r="D205" s="1045">
        <f t="shared" si="78"/>
        <v>0.98768079607013681</v>
      </c>
      <c r="E205" s="13"/>
      <c r="F205" s="13">
        <f t="shared" si="95"/>
        <v>15</v>
      </c>
      <c r="G205" s="13">
        <f t="shared" si="79"/>
        <v>16</v>
      </c>
      <c r="H205" s="169">
        <f t="shared" si="80"/>
        <v>43290</v>
      </c>
      <c r="I205" s="743">
        <f t="shared" si="81"/>
        <v>7.1428571428571425E-2</v>
      </c>
      <c r="J205" s="736">
        <f t="shared" si="82"/>
        <v>247.66854956171346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38">
        <v>43291</v>
      </c>
      <c r="AP205" s="13">
        <f t="shared" si="83"/>
        <v>9</v>
      </c>
      <c r="AQ205" s="13">
        <f t="shared" si="84"/>
        <v>8</v>
      </c>
      <c r="AR205" s="169">
        <f t="shared" si="85"/>
        <v>43304</v>
      </c>
      <c r="AS205" s="743">
        <f t="shared" si="86"/>
        <v>0.4642857142857143</v>
      </c>
      <c r="AT205" s="759">
        <f t="shared" si="87"/>
        <v>247.32670143762871</v>
      </c>
      <c r="AU205" s="13">
        <f t="shared" si="88"/>
        <v>9</v>
      </c>
      <c r="AV205" s="13">
        <f t="shared" si="89"/>
        <v>8</v>
      </c>
      <c r="AW205" s="169">
        <f t="shared" si="90"/>
        <v>43318</v>
      </c>
      <c r="AX205" s="743">
        <f t="shared" si="91"/>
        <v>0.9642857142857143</v>
      </c>
      <c r="AY205" s="759">
        <f t="shared" si="92"/>
        <v>247.67127140882826</v>
      </c>
      <c r="AZ205" s="736">
        <f t="shared" si="96"/>
        <v>247.49898642322847</v>
      </c>
      <c r="BA205" s="633">
        <f t="shared" si="93"/>
        <v>0.98768079607013681</v>
      </c>
      <c r="BC205" s="11">
        <v>43291</v>
      </c>
      <c r="BD205" s="286">
        <f>[2]!FeuilCaduc*(1-Persistant)+Persistant</f>
        <v>0.9920035969291523</v>
      </c>
      <c r="BE205" s="287">
        <f>[2]!CroissVégét</f>
        <v>0.77426389460057909</v>
      </c>
      <c r="BF205" s="806">
        <f>1+[2]!Salcycl*Ksac</f>
        <v>1.049000449616144</v>
      </c>
      <c r="BH205" s="1036">
        <f t="shared" si="94"/>
        <v>1.8077286590272058E-3</v>
      </c>
      <c r="BI205" s="11">
        <v>44387</v>
      </c>
      <c r="BJ205" s="716">
        <v>5.6466818216510541E-5</v>
      </c>
      <c r="BK205" s="716">
        <v>1.7560983554125255E-4</v>
      </c>
      <c r="BL205" s="716">
        <v>3.6252627726055886E-4</v>
      </c>
      <c r="BM205" s="716">
        <v>6.6973799625470514E-4</v>
      </c>
      <c r="BN205" s="716">
        <v>1.1545604217132657E-3</v>
      </c>
      <c r="BO205" s="717">
        <v>1.8146402052276118E-3</v>
      </c>
      <c r="BP205" s="716">
        <v>2.7111450524157873E-3</v>
      </c>
      <c r="BQ205" s="716">
        <v>4.1777288866475396E-3</v>
      </c>
      <c r="BR205" s="716">
        <v>5.9216631901713177E-3</v>
      </c>
      <c r="BS205" s="716">
        <v>7.9392107927339275E-3</v>
      </c>
      <c r="BT205" s="716">
        <v>9.8046787661225758E-3</v>
      </c>
      <c r="BW205" s="1166">
        <f>'2022'!R\Max</f>
        <v>0.98768079607013681</v>
      </c>
      <c r="BX205" s="1167">
        <f>'2023'!R\Max</f>
        <v>0.98768023866953536</v>
      </c>
      <c r="BY205" s="1167">
        <f>'2024'!R\Max</f>
        <v>0.98767941419267824</v>
      </c>
      <c r="BZ205" s="1167">
        <f>'2025'!R\Max</f>
        <v>0.98767850218557196</v>
      </c>
      <c r="CA205" s="1167">
        <f>'2026'!R\Max</f>
        <v>0.98767746013598823</v>
      </c>
      <c r="CB205" s="1167">
        <f>'2027'!R\Max</f>
        <v>0.9876763754061163</v>
      </c>
      <c r="CC205" s="1168">
        <f>'2028'!R\Max</f>
        <v>0.98767516231253905</v>
      </c>
      <c r="CD205" s="1167">
        <f>'2029'!R\Max</f>
        <v>0.98768082392599377</v>
      </c>
      <c r="CE205" s="1167">
        <f>'2030'!R\Max</f>
        <v>0.98768026652714735</v>
      </c>
      <c r="CF205" s="1169">
        <f>'2031'!R\Max</f>
        <v>0.98767945976888505</v>
      </c>
    </row>
    <row r="206" spans="1:84" s="6" customFormat="1" ht="11.25" x14ac:dyDescent="0.2">
      <c r="A206" s="11">
        <v>43292</v>
      </c>
      <c r="B206" s="375">
        <f>'2022'!Maxi_hp</f>
        <v>238.01215341902494</v>
      </c>
      <c r="C206" s="13">
        <f>'2022'!An_max</f>
        <v>2022</v>
      </c>
      <c r="D206" s="1045" t="str">
        <f t="shared" si="78"/>
        <v/>
      </c>
      <c r="E206" s="13"/>
      <c r="F206" s="13">
        <f t="shared" si="95"/>
        <v>15</v>
      </c>
      <c r="G206" s="13">
        <f t="shared" si="79"/>
        <v>16</v>
      </c>
      <c r="H206" s="169">
        <f t="shared" si="80"/>
        <v>43290</v>
      </c>
      <c r="I206" s="743">
        <f t="shared" si="81"/>
        <v>0.14285714285714285</v>
      </c>
      <c r="J206" s="736">
        <f t="shared" si="82"/>
        <v>247.31778425574308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38">
        <v>43292</v>
      </c>
      <c r="AP206" s="13">
        <f t="shared" si="83"/>
        <v>9</v>
      </c>
      <c r="AQ206" s="13">
        <f t="shared" si="84"/>
        <v>8</v>
      </c>
      <c r="AR206" s="169">
        <f t="shared" si="85"/>
        <v>43304</v>
      </c>
      <c r="AS206" s="743">
        <f t="shared" si="86"/>
        <v>0.42857142857142855</v>
      </c>
      <c r="AT206" s="759">
        <f t="shared" si="87"/>
        <v>246.98542273938656</v>
      </c>
      <c r="AU206" s="13">
        <f t="shared" si="88"/>
        <v>9</v>
      </c>
      <c r="AV206" s="13">
        <f t="shared" si="89"/>
        <v>8</v>
      </c>
      <c r="AW206" s="169">
        <f t="shared" si="90"/>
        <v>43318</v>
      </c>
      <c r="AX206" s="743">
        <f t="shared" si="91"/>
        <v>0.9285714285714286</v>
      </c>
      <c r="AY206" s="759">
        <f t="shared" si="92"/>
        <v>247.32807944587299</v>
      </c>
      <c r="AZ206" s="736">
        <f t="shared" si="96"/>
        <v>247.15675109262978</v>
      </c>
      <c r="BA206" s="633">
        <f t="shared" si="93"/>
        <v>0.96237379020388003</v>
      </c>
      <c r="BC206" s="11">
        <v>43292</v>
      </c>
      <c r="BD206" s="286">
        <f>[2]!FeuilCaduc*(1-Persistant)+Persistant</f>
        <v>0.99302648552044026</v>
      </c>
      <c r="BE206" s="287">
        <f>[2]!CroissVégét</f>
        <v>0.78137649671730769</v>
      </c>
      <c r="BF206" s="806">
        <f>1+[2]!Salcycl*Ksac</f>
        <v>1.0491283106900551</v>
      </c>
      <c r="BH206" s="1036">
        <f t="shared" si="94"/>
        <v>1.9194230287768327E-3</v>
      </c>
      <c r="BI206" s="11">
        <v>44388</v>
      </c>
      <c r="BJ206" s="716">
        <v>6.5010196119536507E-5</v>
      </c>
      <c r="BK206" s="716">
        <v>1.9296340542949498E-4</v>
      </c>
      <c r="BL206" s="716">
        <v>3.9139454268208648E-4</v>
      </c>
      <c r="BM206" s="716">
        <v>7.1792064450735356E-4</v>
      </c>
      <c r="BN206" s="716">
        <v>1.2347636772935546E-3</v>
      </c>
      <c r="BO206" s="717">
        <v>1.9266678004435883E-3</v>
      </c>
      <c r="BP206" s="716">
        <v>2.8488225211790777E-3</v>
      </c>
      <c r="BQ206" s="716">
        <v>4.3206331930045723E-3</v>
      </c>
      <c r="BR206" s="716">
        <v>6.0728224424666461E-3</v>
      </c>
      <c r="BS206" s="716">
        <v>8.1043596734043828E-3</v>
      </c>
      <c r="BT206" s="716">
        <v>9.997963599523747E-3</v>
      </c>
      <c r="BW206" s="1166">
        <f>'2022'!R\Max</f>
        <v>0.96237379020388003</v>
      </c>
      <c r="BX206" s="1167">
        <f>'2023'!R\Max</f>
        <v>0.96237207972842309</v>
      </c>
      <c r="BY206" s="1167">
        <f>'2024'!R\Max</f>
        <v>0.96236959376900111</v>
      </c>
      <c r="BZ206" s="1167">
        <f>'2025'!R\Max</f>
        <v>0.96236686328412469</v>
      </c>
      <c r="CA206" s="1167">
        <f>'2026'!R\Max</f>
        <v>0.96236373692069299</v>
      </c>
      <c r="CB206" s="1167">
        <f>'2027'!R\Max</f>
        <v>0.9623604855534984</v>
      </c>
      <c r="CC206" s="1168">
        <f>'2028'!R\Max</f>
        <v>0.96235683954863849</v>
      </c>
      <c r="CD206" s="1167">
        <f>'2029'!R\Max</f>
        <v>0.96237387568417976</v>
      </c>
      <c r="CE206" s="1167">
        <f>'2030'!R\Max</f>
        <v>0.96237216521407198</v>
      </c>
      <c r="CF206" s="1169">
        <f>'2031'!R\Max</f>
        <v>0.96236973022117489</v>
      </c>
    </row>
    <row r="207" spans="1:84" s="6" customFormat="1" ht="11.25" x14ac:dyDescent="0.2">
      <c r="A207" s="11">
        <v>43293</v>
      </c>
      <c r="B207" s="375">
        <f>'2022'!Maxi_hp</f>
        <v>235.24066730819968</v>
      </c>
      <c r="C207" s="13">
        <f>'2022'!An_max</f>
        <v>2022</v>
      </c>
      <c r="D207" s="1045" t="str">
        <f t="shared" ref="D207:D270" si="97">IF($BA207&gt;$D$11,BA207,"")</f>
        <v/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69">
        <f t="shared" ref="H207:H270" si="99">INDEX(x.2m,F207)</f>
        <v>43290</v>
      </c>
      <c r="I207" s="743">
        <f t="shared" ref="I207:I270" si="100">($A207-H207)/(INDEX(x.2m,G207)-H207)</f>
        <v>0.21428571428571427</v>
      </c>
      <c r="J207" s="736">
        <f t="shared" ref="J207:J270" si="101">((1-I207)*(INDEX(a.m,F207)*$A207*$A207+INDEX(b.m,F207)*$A207+INDEX(c.m,F207))+I207*(INDEX(a.m,G207)*$A207*$A207+INDEX(b.m,G207)*$A207+INDEX(c.m,G207)))/10</f>
        <v>246.94879737496376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38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69">
        <f t="shared" ref="AR207:AR270" si="104">INDEX(x.2lg,AP207)</f>
        <v>43304</v>
      </c>
      <c r="AS207" s="743">
        <f t="shared" ref="AS207:AS270" si="105">($A207-AR207)/(INDEX(x.2lg,AQ207)-AR207)</f>
        <v>0.39285714285714285</v>
      </c>
      <c r="AT207" s="759">
        <f t="shared" ref="AT207:AT270" si="106">((1-AS207)*(INDEX(a.lg,AP207)*$A207*$A207+INDEX(b.lg,AP207)*$A207+INDEX(c.lg,AP207))+AS207*(INDEX(a.lg,AQ207)*$A207*$A207+INDEX(b.lg,AQ207)*$A207+INDEX(c.lg,AQ207)))/10</f>
        <v>246.63248223348393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69">
        <f t="shared" ref="AW207:AW270" si="109">INDEX(x.2ld,AU207)</f>
        <v>43318</v>
      </c>
      <c r="AX207" s="743">
        <f t="shared" ref="AX207:AX270" si="110">($A207-AW207)/(INDEX(x.2ld,AV207)-AW207)</f>
        <v>0.8928571428571429</v>
      </c>
      <c r="AY207" s="759">
        <f t="shared" ref="AY207:AY270" si="111">((1-AX207)*(INDEX(a.ld,AU207)*$A207*$A207+INDEX(b.ld,AU207)*$A207+INDEX(c.ld,AU207))+AX207*(INDEX(a.ld,AV207)*$A207*$A207+INDEX(b.ld,AV207)*$A207+INDEX(c.ld,AV207)))/10</f>
        <v>246.97062909842603</v>
      </c>
      <c r="AZ207" s="736">
        <f t="shared" si="96"/>
        <v>246.80155566595499</v>
      </c>
      <c r="BA207" s="633">
        <f t="shared" ref="BA207:BA270" si="112">+B207/J207</f>
        <v>0.95258883545406936</v>
      </c>
      <c r="BC207" s="11">
        <v>43293</v>
      </c>
      <c r="BD207" s="286">
        <f>[2]!FeuilCaduc*(1-Persistant)+Persistant</f>
        <v>0.99395853402505574</v>
      </c>
      <c r="BE207" s="287">
        <f>[2]!CroissVégét</f>
        <v>0.78832648381074411</v>
      </c>
      <c r="BF207" s="806">
        <f>1+[2]!Salcycl*Ksac</f>
        <v>1.0492448167531321</v>
      </c>
      <c r="BH207" s="1036">
        <f t="shared" ref="BH207:BH270" si="113">INDEX($BJ207:$BT207,,$BH$10)*(1-Ratini)+INDEX($BJ207:$BT207,,$BH$10+1)*Ratini</f>
        <v>2.0394868549623029E-3</v>
      </c>
      <c r="BI207" s="11">
        <v>44389</v>
      </c>
      <c r="BJ207" s="716">
        <v>7.5336279730642172E-5</v>
      </c>
      <c r="BK207" s="716">
        <v>2.1347269297480724E-4</v>
      </c>
      <c r="BL207" s="716">
        <v>4.2483443016578761E-4</v>
      </c>
      <c r="BM207" s="716">
        <v>7.7199130479255293E-4</v>
      </c>
      <c r="BN207" s="716">
        <v>1.3223266358493154E-3</v>
      </c>
      <c r="BO207" s="717">
        <v>2.0470755368735306E-3</v>
      </c>
      <c r="BP207" s="716">
        <v>2.9955789996968332E-3</v>
      </c>
      <c r="BQ207" s="716">
        <v>4.4689174477018489E-3</v>
      </c>
      <c r="BR207" s="716">
        <v>6.2258422439406755E-3</v>
      </c>
      <c r="BS207" s="716">
        <v>8.2672938321069148E-3</v>
      </c>
      <c r="BT207" s="716">
        <v>1.0188572796468223E-2</v>
      </c>
      <c r="BW207" s="1166">
        <f>'2022'!R\Max</f>
        <v>0.95258883545406936</v>
      </c>
      <c r="BX207" s="1167">
        <f>'2023'!R\Max</f>
        <v>0.95258663577072977</v>
      </c>
      <c r="BY207" s="1167">
        <f>'2024'!R\Max</f>
        <v>0.95258350182371065</v>
      </c>
      <c r="BZ207" s="1167">
        <f>'2025'!R\Max</f>
        <v>0.95258008440379638</v>
      </c>
      <c r="CA207" s="1167">
        <f>'2026'!R\Max</f>
        <v>0.95257616179723115</v>
      </c>
      <c r="CB207" s="1167">
        <f>'2027'!R\Max</f>
        <v>0.95257208569340523</v>
      </c>
      <c r="CC207" s="1168">
        <f>'2028'!R\Max</f>
        <v>0.95256750245960453</v>
      </c>
      <c r="CD207" s="1167">
        <f>'2029'!R\Max</f>
        <v>0.95258894538227268</v>
      </c>
      <c r="CE207" s="1167">
        <f>'2030'!R\Max</f>
        <v>0.95258674570592117</v>
      </c>
      <c r="CF207" s="1169">
        <f>'2031'!R\Max</f>
        <v>0.95258367260460686</v>
      </c>
    </row>
    <row r="208" spans="1:84" s="6" customFormat="1" ht="11.25" x14ac:dyDescent="0.2">
      <c r="A208" s="11">
        <v>43294</v>
      </c>
      <c r="B208" s="375">
        <f>'2022'!Maxi_hp</f>
        <v>235.39696058537044</v>
      </c>
      <c r="C208" s="13">
        <f>'2022'!An_max</f>
        <v>2022</v>
      </c>
      <c r="D208" s="1045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69">
        <f t="shared" si="99"/>
        <v>43290</v>
      </c>
      <c r="I208" s="743">
        <f t="shared" si="100"/>
        <v>0.2857142857142857</v>
      </c>
      <c r="J208" s="736">
        <f t="shared" si="101"/>
        <v>246.56268221225054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38">
        <v>43294</v>
      </c>
      <c r="AP208" s="13">
        <f t="shared" si="102"/>
        <v>9</v>
      </c>
      <c r="AQ208" s="13">
        <f t="shared" si="103"/>
        <v>8</v>
      </c>
      <c r="AR208" s="169">
        <f t="shared" si="104"/>
        <v>43304</v>
      </c>
      <c r="AS208" s="743">
        <f t="shared" si="105"/>
        <v>0.35714285714285715</v>
      </c>
      <c r="AT208" s="759">
        <f t="shared" si="106"/>
        <v>246.26794825174974</v>
      </c>
      <c r="AU208" s="13">
        <f t="shared" si="107"/>
        <v>9</v>
      </c>
      <c r="AV208" s="13">
        <f t="shared" si="108"/>
        <v>8</v>
      </c>
      <c r="AW208" s="169">
        <f t="shared" si="109"/>
        <v>43318</v>
      </c>
      <c r="AX208" s="743">
        <f t="shared" si="110"/>
        <v>0.8571428571428571</v>
      </c>
      <c r="AY208" s="759">
        <f t="shared" si="111"/>
        <v>246.59912536314556</v>
      </c>
      <c r="AZ208" s="736">
        <f t="shared" ref="AZ208:AZ271" si="115">(AY208+AT208)/2</f>
        <v>246.43353680744764</v>
      </c>
      <c r="BA208" s="633">
        <f t="shared" si="112"/>
        <v>0.95471447046772384</v>
      </c>
      <c r="BC208" s="11">
        <v>43294</v>
      </c>
      <c r="BD208" s="286">
        <f>[2]!FeuilCaduc*(1-Persistant)+Persistant</f>
        <v>0.99480404515330823</v>
      </c>
      <c r="BE208" s="287">
        <f>[2]!CroissVégét</f>
        <v>0.79511370224543498</v>
      </c>
      <c r="BF208" s="806">
        <f>1+[2]!Salcycl*Ksac</f>
        <v>1.0493505056441634</v>
      </c>
      <c r="BH208" s="1036">
        <f t="shared" si="113"/>
        <v>2.1679156137115858E-3</v>
      </c>
      <c r="BI208" s="11">
        <v>44390</v>
      </c>
      <c r="BJ208" s="716">
        <v>8.7443529483965823E-5</v>
      </c>
      <c r="BK208" s="716">
        <v>2.3713507122058504E-4</v>
      </c>
      <c r="BL208" s="716">
        <v>4.628422891445542E-4</v>
      </c>
      <c r="BM208" s="716">
        <v>8.3194567343418651E-4</v>
      </c>
      <c r="BN208" s="716">
        <v>1.4172446148151589E-3</v>
      </c>
      <c r="BO208" s="717">
        <v>2.1758588923246332E-3</v>
      </c>
      <c r="BP208" s="716">
        <v>3.1514104060425606E-3</v>
      </c>
      <c r="BQ208" s="716">
        <v>4.6225821875003122E-3</v>
      </c>
      <c r="BR208" s="716">
        <v>6.3807277918070046E-3</v>
      </c>
      <c r="BS208" s="716">
        <v>8.4280239802021952E-3</v>
      </c>
      <c r="BT208" s="716">
        <v>1.0376519239781626E-2</v>
      </c>
      <c r="BW208" s="1166">
        <f>'2022'!R\Max</f>
        <v>0.95471447046772384</v>
      </c>
      <c r="BX208" s="1167">
        <f>'2023'!R\Max</f>
        <v>0.9547122994274283</v>
      </c>
      <c r="BY208" s="1167">
        <f>'2024'!R\Max</f>
        <v>0.95470927425468655</v>
      </c>
      <c r="BZ208" s="1167">
        <f>'2025'!R\Max</f>
        <v>0.95470599966669978</v>
      </c>
      <c r="CA208" s="1167">
        <f>'2026'!R\Max</f>
        <v>0.95470223016925204</v>
      </c>
      <c r="CB208" s="1167">
        <f>'2027'!R\Max</f>
        <v>0.95469831595167998</v>
      </c>
      <c r="CC208" s="1168">
        <f>'2028'!R\Max</f>
        <v>0.95469390280845423</v>
      </c>
      <c r="CD208" s="1167">
        <f>'2029'!R\Max</f>
        <v>0.95471457896437906</v>
      </c>
      <c r="CE208" s="1167">
        <f>'2030'!R\Max</f>
        <v>0.95471240793121781</v>
      </c>
      <c r="CF208" s="1169">
        <f>'2031'!R\Max</f>
        <v>0.95470943789771634</v>
      </c>
    </row>
    <row r="209" spans="1:84" s="6" customFormat="1" ht="11.25" x14ac:dyDescent="0.2">
      <c r="A209" s="11">
        <v>43295</v>
      </c>
      <c r="B209" s="375">
        <f>'2022'!Maxi_hp</f>
        <v>232.87229363523201</v>
      </c>
      <c r="C209" s="13">
        <f>'2022'!An_max</f>
        <v>2022</v>
      </c>
      <c r="D209" s="1045" t="str">
        <f t="shared" si="97"/>
        <v/>
      </c>
      <c r="E209" s="13"/>
      <c r="F209" s="13">
        <f t="shared" si="114"/>
        <v>15</v>
      </c>
      <c r="G209" s="13">
        <f t="shared" si="98"/>
        <v>16</v>
      </c>
      <c r="H209" s="169">
        <f t="shared" si="99"/>
        <v>43290</v>
      </c>
      <c r="I209" s="743">
        <f t="shared" si="100"/>
        <v>0.35714285714285715</v>
      </c>
      <c r="J209" s="736">
        <f t="shared" si="101"/>
        <v>246.16053207016415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38">
        <v>43295</v>
      </c>
      <c r="AP209" s="13">
        <f t="shared" si="102"/>
        <v>9</v>
      </c>
      <c r="AQ209" s="13">
        <f t="shared" si="103"/>
        <v>8</v>
      </c>
      <c r="AR209" s="169">
        <f t="shared" si="104"/>
        <v>43304</v>
      </c>
      <c r="AS209" s="743">
        <f t="shared" si="105"/>
        <v>0.32142857142857145</v>
      </c>
      <c r="AT209" s="759">
        <f t="shared" si="106"/>
        <v>245.89188912079803</v>
      </c>
      <c r="AU209" s="13">
        <f t="shared" si="107"/>
        <v>9</v>
      </c>
      <c r="AV209" s="13">
        <f t="shared" si="108"/>
        <v>8</v>
      </c>
      <c r="AW209" s="169">
        <f t="shared" si="109"/>
        <v>43318</v>
      </c>
      <c r="AX209" s="743">
        <f t="shared" si="110"/>
        <v>0.8214285714285714</v>
      </c>
      <c r="AY209" s="759">
        <f t="shared" si="111"/>
        <v>246.21377323152765</v>
      </c>
      <c r="AZ209" s="736">
        <f t="shared" si="115"/>
        <v>246.05283117616284</v>
      </c>
      <c r="BA209" s="633">
        <f t="shared" si="112"/>
        <v>0.94601799759213823</v>
      </c>
      <c r="BC209" s="11">
        <v>43295</v>
      </c>
      <c r="BD209" s="286">
        <f>[2]!FeuilCaduc*(1-Persistant)+Persistant</f>
        <v>0.99556732469267872</v>
      </c>
      <c r="BE209" s="287">
        <f>[2]!CroissVégét</f>
        <v>0.80173827384170082</v>
      </c>
      <c r="BF209" s="806">
        <f>1+[2]!Salcycl*Ksac</f>
        <v>1.0494459155865847</v>
      </c>
      <c r="BH209" s="1036">
        <f t="shared" si="113"/>
        <v>2.3047054908431151E-3</v>
      </c>
      <c r="BI209" s="11">
        <v>44391</v>
      </c>
      <c r="BJ209" s="716">
        <v>1.0133052620685811E-4</v>
      </c>
      <c r="BK209" s="716">
        <v>2.6394813083482574E-4</v>
      </c>
      <c r="BL209" s="716">
        <v>5.0541479184970336E-4</v>
      </c>
      <c r="BM209" s="716">
        <v>8.9777988469999547E-4</v>
      </c>
      <c r="BN209" s="716">
        <v>1.5195135193267803E-3</v>
      </c>
      <c r="BO209" s="717">
        <v>2.3130140555853939E-3</v>
      </c>
      <c r="BP209" s="716">
        <v>3.3163134615533676E-3</v>
      </c>
      <c r="BQ209" s="716">
        <v>4.7816285491558176E-3</v>
      </c>
      <c r="BR209" s="716">
        <v>6.5374846965575509E-3</v>
      </c>
      <c r="BS209" s="716">
        <v>8.5865610350441077E-3</v>
      </c>
      <c r="BT209" s="716">
        <v>1.0561816048642137E-2</v>
      </c>
      <c r="BW209" s="1166">
        <f>'2022'!R\Max</f>
        <v>0.94601799759213823</v>
      </c>
      <c r="BX209" s="1167">
        <f>'2023'!R\Max</f>
        <v>0.94601535392847136</v>
      </c>
      <c r="BY209" s="1167">
        <f>'2024'!R\Max</f>
        <v>0.94601175944150806</v>
      </c>
      <c r="BZ209" s="1167">
        <f>'2025'!R\Max</f>
        <v>0.94600789771155758</v>
      </c>
      <c r="CA209" s="1167">
        <f>'2026'!R\Max</f>
        <v>0.94600343765684436</v>
      </c>
      <c r="CB209" s="1167">
        <f>'2027'!R\Max</f>
        <v>0.94599880920821544</v>
      </c>
      <c r="CC209" s="1168">
        <f>'2028'!R\Max</f>
        <v>0.94599357660614503</v>
      </c>
      <c r="CD209" s="1167">
        <f>'2029'!R\Max</f>
        <v>0.94601812970783195</v>
      </c>
      <c r="CE209" s="1167">
        <f>'2030'!R\Max</f>
        <v>0.94601548605300179</v>
      </c>
      <c r="CF209" s="1169">
        <f>'2031'!R\Max</f>
        <v>0.94601195242629887</v>
      </c>
    </row>
    <row r="210" spans="1:84" s="6" customFormat="1" ht="11.25" x14ac:dyDescent="0.2">
      <c r="A210" s="11">
        <v>43296</v>
      </c>
      <c r="B210" s="375">
        <f>'2022'!Maxi_hp</f>
        <v>223.39577791236005</v>
      </c>
      <c r="C210" s="13">
        <f>'2022'!An_max</f>
        <v>2022</v>
      </c>
      <c r="D210" s="1045" t="str">
        <f t="shared" si="97"/>
        <v/>
      </c>
      <c r="E210" s="13"/>
      <c r="F210" s="13">
        <f t="shared" si="114"/>
        <v>15</v>
      </c>
      <c r="G210" s="13">
        <f t="shared" si="98"/>
        <v>16</v>
      </c>
      <c r="H210" s="169">
        <f t="shared" si="99"/>
        <v>43290</v>
      </c>
      <c r="I210" s="743">
        <f t="shared" si="100"/>
        <v>0.42857142857142855</v>
      </c>
      <c r="J210" s="736">
        <f t="shared" si="101"/>
        <v>245.74344023125514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38">
        <v>43296</v>
      </c>
      <c r="AP210" s="13">
        <f t="shared" si="102"/>
        <v>9</v>
      </c>
      <c r="AQ210" s="13">
        <f t="shared" si="103"/>
        <v>8</v>
      </c>
      <c r="AR210" s="169">
        <f t="shared" si="104"/>
        <v>43304</v>
      </c>
      <c r="AS210" s="743">
        <f t="shared" si="105"/>
        <v>0.2857142857142857</v>
      </c>
      <c r="AT210" s="759">
        <f t="shared" si="106"/>
        <v>245.50437317554443</v>
      </c>
      <c r="AU210" s="13">
        <f t="shared" si="107"/>
        <v>9</v>
      </c>
      <c r="AV210" s="13">
        <f t="shared" si="108"/>
        <v>8</v>
      </c>
      <c r="AW210" s="169">
        <f t="shared" si="109"/>
        <v>43318</v>
      </c>
      <c r="AX210" s="743">
        <f t="shared" si="110"/>
        <v>0.7857142857142857</v>
      </c>
      <c r="AY210" s="759">
        <f t="shared" si="111"/>
        <v>245.81477769517474</v>
      </c>
      <c r="AZ210" s="736">
        <f t="shared" si="115"/>
        <v>245.65957543535959</v>
      </c>
      <c r="BA210" s="633">
        <f t="shared" si="112"/>
        <v>0.90906100159636005</v>
      </c>
      <c r="BC210" s="11">
        <v>43296</v>
      </c>
      <c r="BD210" s="286">
        <f>[2]!FeuilCaduc*(1-Persistant)+Persistant</f>
        <v>0.9962526578460128</v>
      </c>
      <c r="BE210" s="287">
        <f>[2]!CroissVégét</f>
        <v>0.80820058265200556</v>
      </c>
      <c r="BF210" s="806">
        <f>1+[2]!Salcycl*Ksac</f>
        <v>1.0495315822307516</v>
      </c>
      <c r="BH210" s="1036">
        <f t="shared" si="113"/>
        <v>2.4498534235253169E-3</v>
      </c>
      <c r="BI210" s="11">
        <v>44392</v>
      </c>
      <c r="BJ210" s="716">
        <v>1.1699597994827736E-4</v>
      </c>
      <c r="BK210" s="716">
        <v>2.9390969574399016E-4</v>
      </c>
      <c r="BL210" s="716">
        <v>5.5254895596983176E-4</v>
      </c>
      <c r="BM210" s="716">
        <v>9.6949054001835777E-4</v>
      </c>
      <c r="BN210" s="716">
        <v>1.6291298788021016E-3</v>
      </c>
      <c r="BO210" s="717">
        <v>2.4585379681388805E-3</v>
      </c>
      <c r="BP210" s="716">
        <v>3.490285736061265E-3</v>
      </c>
      <c r="BQ210" s="716">
        <v>4.9460582963749599E-3</v>
      </c>
      <c r="BR210" s="716">
        <v>6.6961189915339366E-3</v>
      </c>
      <c r="BS210" s="716">
        <v>8.74291610943621E-3</v>
      </c>
      <c r="BT210" s="716">
        <v>1.0744476565816312E-2</v>
      </c>
      <c r="BW210" s="1166">
        <f>'2022'!R\Max</f>
        <v>0.90906100159636005</v>
      </c>
      <c r="BX210" s="1167">
        <f>'2023'!R\Max</f>
        <v>0.90905659016819906</v>
      </c>
      <c r="BY210" s="1167">
        <f>'2024'!R\Max</f>
        <v>0.90905075100169097</v>
      </c>
      <c r="BZ210" s="1167">
        <f>'2025'!R\Max</f>
        <v>0.90904452555383231</v>
      </c>
      <c r="CA210" s="1167">
        <f>'2026'!R\Max</f>
        <v>0.90903730863423293</v>
      </c>
      <c r="CB210" s="1167">
        <f>'2027'!R\Max</f>
        <v>0.90902982314443259</v>
      </c>
      <c r="CC210" s="1168">
        <f>'2028'!R\Max</f>
        <v>0.90902133745009406</v>
      </c>
      <c r="CD210" s="1167">
        <f>'2029'!R\Max</f>
        <v>0.90906122205536766</v>
      </c>
      <c r="CE210" s="1167">
        <f>'2030'!R\Max</f>
        <v>0.90905681064153709</v>
      </c>
      <c r="CF210" s="1169">
        <f>'2031'!R\Max</f>
        <v>0.90905106211109887</v>
      </c>
    </row>
    <row r="211" spans="1:84" s="6" customFormat="1" ht="11.25" x14ac:dyDescent="0.2">
      <c r="A211" s="11">
        <v>43297</v>
      </c>
      <c r="B211" s="375">
        <f>'2022'!Maxi_hp</f>
        <v>229.30204866300306</v>
      </c>
      <c r="C211" s="13">
        <f>'2022'!An_max</f>
        <v>2022</v>
      </c>
      <c r="D211" s="1045" t="str">
        <f t="shared" si="97"/>
        <v/>
      </c>
      <c r="E211" s="13"/>
      <c r="F211" s="13">
        <f t="shared" si="114"/>
        <v>15</v>
      </c>
      <c r="G211" s="13">
        <f t="shared" si="98"/>
        <v>16</v>
      </c>
      <c r="H211" s="169">
        <f t="shared" si="99"/>
        <v>43290</v>
      </c>
      <c r="I211" s="743">
        <f t="shared" si="100"/>
        <v>0.5</v>
      </c>
      <c r="J211" s="736">
        <f t="shared" si="101"/>
        <v>245.31249999925495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38">
        <v>43297</v>
      </c>
      <c r="AP211" s="13">
        <f t="shared" si="102"/>
        <v>9</v>
      </c>
      <c r="AQ211" s="13">
        <f t="shared" si="103"/>
        <v>8</v>
      </c>
      <c r="AR211" s="169">
        <f t="shared" si="104"/>
        <v>43304</v>
      </c>
      <c r="AS211" s="743">
        <f t="shared" si="105"/>
        <v>0.25</v>
      </c>
      <c r="AT211" s="759">
        <f t="shared" si="106"/>
        <v>245.10546874813735</v>
      </c>
      <c r="AU211" s="13">
        <f t="shared" si="107"/>
        <v>9</v>
      </c>
      <c r="AV211" s="13">
        <f t="shared" si="108"/>
        <v>8</v>
      </c>
      <c r="AW211" s="169">
        <f t="shared" si="109"/>
        <v>43318</v>
      </c>
      <c r="AX211" s="743">
        <f t="shared" si="110"/>
        <v>0.75</v>
      </c>
      <c r="AY211" s="759">
        <f t="shared" si="111"/>
        <v>245.4023437511176</v>
      </c>
      <c r="AZ211" s="736">
        <f t="shared" si="115"/>
        <v>245.25390624962748</v>
      </c>
      <c r="BA211" s="633">
        <f t="shared" si="112"/>
        <v>0.9347344658902399</v>
      </c>
      <c r="BC211" s="11">
        <v>43297</v>
      </c>
      <c r="BD211" s="286">
        <f>[2]!FeuilCaduc*(1-Persistant)+Persistant</f>
        <v>0.99686428648976422</v>
      </c>
      <c r="BE211" s="287">
        <f>[2]!CroissVégét</f>
        <v>0.81450126137468837</v>
      </c>
      <c r="BF211" s="806">
        <f>1+[2]!Salcycl*Ksac</f>
        <v>1.0496080358112205</v>
      </c>
      <c r="BH211" s="1036">
        <f t="shared" si="113"/>
        <v>2.6033571418683718E-3</v>
      </c>
      <c r="BI211" s="11">
        <v>44393</v>
      </c>
      <c r="BJ211" s="716">
        <v>1.3443873880455607E-4</v>
      </c>
      <c r="BK211" s="716">
        <v>3.2701783875959545E-4</v>
      </c>
      <c r="BL211" s="716">
        <v>6.0424216729535927E-4</v>
      </c>
      <c r="BM211" s="716">
        <v>1.0470747371692207E-3</v>
      </c>
      <c r="BN211" s="716">
        <v>1.7460908834782797E-3</v>
      </c>
      <c r="BO211" s="717">
        <v>2.6124283658079776E-3</v>
      </c>
      <c r="BP211" s="716">
        <v>3.673325693025465E-3</v>
      </c>
      <c r="BQ211" s="716">
        <v>5.1158738466245213E-3</v>
      </c>
      <c r="BR211" s="716">
        <v>6.8566371422959195E-3</v>
      </c>
      <c r="BS211" s="716">
        <v>8.8971005008194933E-3</v>
      </c>
      <c r="BT211" s="716">
        <v>1.092451434456395E-2</v>
      </c>
      <c r="BW211" s="1166">
        <f>'2022'!R\Max</f>
        <v>0.9347344658902399</v>
      </c>
      <c r="BX211" s="1167">
        <f>'2023'!R\Max</f>
        <v>0.93473111053794644</v>
      </c>
      <c r="BY211" s="1167">
        <f>'2024'!R\Max</f>
        <v>0.9347267969628551</v>
      </c>
      <c r="BZ211" s="1167">
        <f>'2025'!R\Max</f>
        <v>0.93472223375922503</v>
      </c>
      <c r="CA211" s="1167">
        <f>'2026'!R\Max</f>
        <v>0.93471692141201801</v>
      </c>
      <c r="CB211" s="1167">
        <f>'2027'!R\Max</f>
        <v>0.93471141368061261</v>
      </c>
      <c r="CC211" s="1168">
        <f>'2028'!R\Max</f>
        <v>0.93470515269572907</v>
      </c>
      <c r="CD211" s="1167">
        <f>'2029'!R\Max</f>
        <v>0.93473463357193787</v>
      </c>
      <c r="CE211" s="1167">
        <f>'2030'!R\Max</f>
        <v>0.93473127823135282</v>
      </c>
      <c r="CF211" s="1169">
        <f>'2031'!R\Max</f>
        <v>0.93472702500318394</v>
      </c>
    </row>
    <row r="212" spans="1:84" s="6" customFormat="1" ht="11.25" x14ac:dyDescent="0.2">
      <c r="A212" s="11">
        <v>43298</v>
      </c>
      <c r="B212" s="375">
        <f>'2022'!Maxi_hp</f>
        <v>228.56800088470703</v>
      </c>
      <c r="C212" s="13">
        <f>'2022'!An_max</f>
        <v>2022</v>
      </c>
      <c r="D212" s="1045" t="str">
        <f t="shared" si="97"/>
        <v/>
      </c>
      <c r="E212" s="13"/>
      <c r="F212" s="13">
        <f t="shared" si="114"/>
        <v>15</v>
      </c>
      <c r="G212" s="13">
        <f t="shared" si="98"/>
        <v>16</v>
      </c>
      <c r="H212" s="169">
        <f t="shared" si="99"/>
        <v>43290</v>
      </c>
      <c r="I212" s="743">
        <f t="shared" si="100"/>
        <v>0.5714285714285714</v>
      </c>
      <c r="J212" s="736">
        <f t="shared" si="101"/>
        <v>244.8688046651227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38">
        <v>43298</v>
      </c>
      <c r="AP212" s="13">
        <f t="shared" si="102"/>
        <v>9</v>
      </c>
      <c r="AQ212" s="13">
        <f t="shared" si="103"/>
        <v>8</v>
      </c>
      <c r="AR212" s="169">
        <f t="shared" si="104"/>
        <v>43304</v>
      </c>
      <c r="AS212" s="743">
        <f t="shared" si="105"/>
        <v>0.21428571428571427</v>
      </c>
      <c r="AT212" s="759">
        <f t="shared" si="106"/>
        <v>244.69524416838377</v>
      </c>
      <c r="AU212" s="13">
        <f t="shared" si="107"/>
        <v>9</v>
      </c>
      <c r="AV212" s="13">
        <f t="shared" si="108"/>
        <v>8</v>
      </c>
      <c r="AW212" s="169">
        <f t="shared" si="109"/>
        <v>43318</v>
      </c>
      <c r="AX212" s="743">
        <f t="shared" si="110"/>
        <v>0.7142857142857143</v>
      </c>
      <c r="AY212" s="759">
        <f t="shared" si="111"/>
        <v>244.97667638297588</v>
      </c>
      <c r="AZ212" s="736">
        <f t="shared" si="115"/>
        <v>244.83596027567984</v>
      </c>
      <c r="BA212" s="633">
        <f t="shared" si="112"/>
        <v>0.93343045961812776</v>
      </c>
      <c r="BC212" s="11">
        <v>43298</v>
      </c>
      <c r="BD212" s="286">
        <f>[2]!FeuilCaduc*(1-Persistant)+Persistant</f>
        <v>0.99740638749766264</v>
      </c>
      <c r="BE212" s="287">
        <f>[2]!CroissVégét</f>
        <v>0.82064117750784105</v>
      </c>
      <c r="BF212" s="806">
        <f>1+[2]!Salcycl*Ksac</f>
        <v>1.0496757984372078</v>
      </c>
      <c r="BH212" s="1036">
        <f t="shared" si="113"/>
        <v>2.7630786661285499E-3</v>
      </c>
      <c r="BI212" s="11">
        <v>44394</v>
      </c>
      <c r="BJ212" s="716">
        <v>1.5626436708252923E-4</v>
      </c>
      <c r="BK212" s="716">
        <v>3.6608501181412226E-4</v>
      </c>
      <c r="BL212" s="716">
        <v>6.6308689929181833E-4</v>
      </c>
      <c r="BM212" s="716">
        <v>1.132171095643631E-3</v>
      </c>
      <c r="BN212" s="716">
        <v>1.8698410900599713E-3</v>
      </c>
      <c r="BO212" s="717">
        <v>2.7725305231268709E-3</v>
      </c>
      <c r="BP212" s="716">
        <v>3.8625913968708789E-3</v>
      </c>
      <c r="BQ212" s="716">
        <v>5.2912326549967087E-3</v>
      </c>
      <c r="BR212" s="716">
        <v>7.0218807855627939E-3</v>
      </c>
      <c r="BS212" s="716">
        <v>9.0542258737375623E-3</v>
      </c>
      <c r="BT212" s="716">
        <v>1.1106726099659306E-2</v>
      </c>
      <c r="BW212" s="1166">
        <f>'2022'!R\Max</f>
        <v>0.93343045961812776</v>
      </c>
      <c r="BX212" s="1167">
        <f>'2023'!R\Max</f>
        <v>0.93342693976990643</v>
      </c>
      <c r="BY212" s="1167">
        <f>'2024'!R\Max</f>
        <v>0.9334225452645607</v>
      </c>
      <c r="BZ212" s="1167">
        <f>'2025'!R\Max</f>
        <v>0.93341793133149609</v>
      </c>
      <c r="CA212" s="1167">
        <f>'2026'!R\Max</f>
        <v>0.93341253685362935</v>
      </c>
      <c r="CB212" s="1167">
        <f>'2027'!R\Max</f>
        <v>0.93340694636450239</v>
      </c>
      <c r="CC212" s="1168">
        <f>'2028'!R\Max</f>
        <v>0.93340057573827784</v>
      </c>
      <c r="CD212" s="1167">
        <f>'2029'!R\Max</f>
        <v>0.93343063552023098</v>
      </c>
      <c r="CE212" s="1167">
        <f>'2030'!R\Max</f>
        <v>0.93342711568463299</v>
      </c>
      <c r="CF212" s="1169">
        <f>'2031'!R\Max</f>
        <v>0.93342277584013633</v>
      </c>
    </row>
    <row r="213" spans="1:84" s="6" customFormat="1" ht="11.25" x14ac:dyDescent="0.2">
      <c r="A213" s="11">
        <v>43299</v>
      </c>
      <c r="B213" s="375">
        <f>'2022'!Maxi_hp</f>
        <v>232.34343250983852</v>
      </c>
      <c r="C213" s="13">
        <f>'2022'!An_max</f>
        <v>2022</v>
      </c>
      <c r="D213" s="1045" t="str">
        <f t="shared" si="97"/>
        <v/>
      </c>
      <c r="E213" s="13"/>
      <c r="F213" s="13">
        <f t="shared" si="114"/>
        <v>15</v>
      </c>
      <c r="G213" s="13">
        <f t="shared" si="98"/>
        <v>16</v>
      </c>
      <c r="H213" s="169">
        <f t="shared" si="99"/>
        <v>43290</v>
      </c>
      <c r="I213" s="743">
        <f t="shared" si="100"/>
        <v>0.6428571428571429</v>
      </c>
      <c r="J213" s="736">
        <f t="shared" si="101"/>
        <v>244.41344752279775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38">
        <v>43299</v>
      </c>
      <c r="AP213" s="13">
        <f t="shared" si="102"/>
        <v>9</v>
      </c>
      <c r="AQ213" s="13">
        <f t="shared" si="103"/>
        <v>8</v>
      </c>
      <c r="AR213" s="169">
        <f t="shared" si="104"/>
        <v>43304</v>
      </c>
      <c r="AS213" s="743">
        <f t="shared" si="105"/>
        <v>0.17857142857142858</v>
      </c>
      <c r="AT213" s="759">
        <f t="shared" si="106"/>
        <v>244.27376776561141</v>
      </c>
      <c r="AU213" s="13">
        <f t="shared" si="107"/>
        <v>9</v>
      </c>
      <c r="AV213" s="13">
        <f t="shared" si="108"/>
        <v>8</v>
      </c>
      <c r="AW213" s="169">
        <f t="shared" si="109"/>
        <v>43318</v>
      </c>
      <c r="AX213" s="743">
        <f t="shared" si="110"/>
        <v>0.6785714285714286</v>
      </c>
      <c r="AY213" s="759">
        <f t="shared" si="111"/>
        <v>244.53798059374094</v>
      </c>
      <c r="AZ213" s="736">
        <f t="shared" si="115"/>
        <v>244.40587417967618</v>
      </c>
      <c r="BA213" s="633">
        <f t="shared" si="112"/>
        <v>0.95061640374008716</v>
      </c>
      <c r="BC213" s="11">
        <v>43299</v>
      </c>
      <c r="BD213" s="286">
        <f>[2]!FeuilCaduc*(1-Persistant)+Persistant</f>
        <v>0.99788305226322138</v>
      </c>
      <c r="BE213" s="287">
        <f>[2]!CroissVégét</f>
        <v>0.82662141934042188</v>
      </c>
      <c r="BF213" s="806">
        <f>1+[2]!Salcycl*Ksac</f>
        <v>1.0497353815329027</v>
      </c>
      <c r="BH213" s="1036">
        <f t="shared" si="113"/>
        <v>2.9238378018261843E-3</v>
      </c>
      <c r="BI213" s="11">
        <v>44395</v>
      </c>
      <c r="BJ213" s="716">
        <v>1.8208510968443779E-4</v>
      </c>
      <c r="BK213" s="716">
        <v>4.1063666284116995E-4</v>
      </c>
      <c r="BL213" s="716">
        <v>7.2807192353982128E-4</v>
      </c>
      <c r="BM213" s="716">
        <v>1.2226558869356061E-3</v>
      </c>
      <c r="BN213" s="716">
        <v>1.9964224670633445E-3</v>
      </c>
      <c r="BO213" s="717">
        <v>2.93365131321115E-3</v>
      </c>
      <c r="BP213" s="716">
        <v>4.0524969757795857E-3</v>
      </c>
      <c r="BQ213" s="716">
        <v>5.4712615950429817E-3</v>
      </c>
      <c r="BR213" s="716">
        <v>7.1951652109211624E-3</v>
      </c>
      <c r="BS213" s="716">
        <v>9.2213251599077371E-3</v>
      </c>
      <c r="BT213" s="716">
        <v>1.1297287702875651E-2</v>
      </c>
      <c r="BW213" s="1166">
        <f>'2022'!R\Max</f>
        <v>0.95061640374008716</v>
      </c>
      <c r="BX213" s="1167">
        <f>'2023'!R\Max</f>
        <v>0.95061366789878066</v>
      </c>
      <c r="BY213" s="1167">
        <f>'2024'!R\Max</f>
        <v>0.95061034091459429</v>
      </c>
      <c r="BZ213" s="1167">
        <f>'2025'!R\Max</f>
        <v>0.95060687108244024</v>
      </c>
      <c r="CA213" s="1167">
        <f>'2026'!R\Max</f>
        <v>0.95060279957068083</v>
      </c>
      <c r="CB213" s="1167">
        <f>'2027'!R\Max</f>
        <v>0.95059858254385776</v>
      </c>
      <c r="CC213" s="1168">
        <f>'2028'!R\Max</f>
        <v>0.95059376921032268</v>
      </c>
      <c r="CD213" s="1167">
        <f>'2029'!R\Max</f>
        <v>0.95061654046166744</v>
      </c>
      <c r="CE213" s="1167">
        <f>'2030'!R\Max</f>
        <v>0.95061380463072953</v>
      </c>
      <c r="CF213" s="1169">
        <f>'2031'!R\Max</f>
        <v>0.9506105143149558</v>
      </c>
    </row>
    <row r="214" spans="1:84" s="6" customFormat="1" ht="11.25" x14ac:dyDescent="0.2">
      <c r="A214" s="11">
        <v>43300</v>
      </c>
      <c r="B214" s="375">
        <f>'2022'!Maxi_hp</f>
        <v>164.45484514625312</v>
      </c>
      <c r="C214" s="13">
        <f>'2022'!An_max</f>
        <v>2022</v>
      </c>
      <c r="D214" s="1045" t="str">
        <f t="shared" si="97"/>
        <v/>
      </c>
      <c r="E214" s="13"/>
      <c r="F214" s="13">
        <f t="shared" si="114"/>
        <v>15</v>
      </c>
      <c r="G214" s="13">
        <f t="shared" si="98"/>
        <v>16</v>
      </c>
      <c r="H214" s="169">
        <f t="shared" si="99"/>
        <v>43290</v>
      </c>
      <c r="I214" s="743">
        <f t="shared" si="100"/>
        <v>0.7142857142857143</v>
      </c>
      <c r="J214" s="736">
        <f t="shared" si="101"/>
        <v>243.94752186685801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38">
        <v>43300</v>
      </c>
      <c r="AP214" s="13">
        <f t="shared" si="102"/>
        <v>9</v>
      </c>
      <c r="AQ214" s="13">
        <f t="shared" si="103"/>
        <v>8</v>
      </c>
      <c r="AR214" s="169">
        <f t="shared" si="104"/>
        <v>43304</v>
      </c>
      <c r="AS214" s="743">
        <f t="shared" si="105"/>
        <v>0.14285714285714285</v>
      </c>
      <c r="AT214" s="759">
        <f t="shared" si="106"/>
        <v>243.84110787191563</v>
      </c>
      <c r="AU214" s="13">
        <f t="shared" si="107"/>
        <v>9</v>
      </c>
      <c r="AV214" s="13">
        <f t="shared" si="108"/>
        <v>8</v>
      </c>
      <c r="AW214" s="169">
        <f t="shared" si="109"/>
        <v>43318</v>
      </c>
      <c r="AX214" s="743">
        <f t="shared" si="110"/>
        <v>0.6428571428571429</v>
      </c>
      <c r="AY214" s="759">
        <f t="shared" si="111"/>
        <v>244.08646136830959</v>
      </c>
      <c r="AZ214" s="736">
        <f t="shared" si="115"/>
        <v>243.96378462011262</v>
      </c>
      <c r="BA214" s="633">
        <f t="shared" si="112"/>
        <v>0.67414025724766125</v>
      </c>
      <c r="BC214" s="11">
        <v>43300</v>
      </c>
      <c r="BD214" s="286">
        <f>[2]!FeuilCaduc*(1-Persistant)+Persistant</f>
        <v>0.99829826754140993</v>
      </c>
      <c r="BE214" s="287">
        <f>[2]!CroissVégét</f>
        <v>0.83244328187154937</v>
      </c>
      <c r="BF214" s="806">
        <f>1+[2]!Salcycl*Ksac</f>
        <v>1.0497872834426762</v>
      </c>
      <c r="BH214" s="1036">
        <f t="shared" si="113"/>
        <v>3.0856407839583502E-3</v>
      </c>
      <c r="BI214" s="11">
        <v>44396</v>
      </c>
      <c r="BJ214" s="716">
        <v>2.1189856936924432E-4</v>
      </c>
      <c r="BK214" s="716">
        <v>4.6066990141914352E-4</v>
      </c>
      <c r="BL214" s="716">
        <v>7.991946693673939E-4</v>
      </c>
      <c r="BM214" s="716">
        <v>1.318528323385978E-3</v>
      </c>
      <c r="BN214" s="716">
        <v>2.1258380563741607E-3</v>
      </c>
      <c r="BO214" s="717">
        <v>3.0957970048460259E-3</v>
      </c>
      <c r="BP214" s="716">
        <v>4.2430506005044074E-3</v>
      </c>
      <c r="BQ214" s="716">
        <v>5.655965800279091E-3</v>
      </c>
      <c r="BR214" s="716">
        <v>7.3764933410198248E-3</v>
      </c>
      <c r="BS214" s="716">
        <v>9.3984004667210987E-3</v>
      </c>
      <c r="BT214" s="716">
        <v>1.1496204527447991E-2</v>
      </c>
      <c r="BW214" s="1166">
        <f>'2022'!R\Max</f>
        <v>0.67414025724766125</v>
      </c>
      <c r="BX214" s="1167">
        <f>'2023'!R\Max</f>
        <v>0.67412709966767737</v>
      </c>
      <c r="BY214" s="1167">
        <f>'2024'!R\Max</f>
        <v>0.67411146883022233</v>
      </c>
      <c r="BZ214" s="1167">
        <f>'2025'!R\Max</f>
        <v>0.67409526276693099</v>
      </c>
      <c r="CA214" s="1167">
        <f>'2026'!R\Max</f>
        <v>0.67407619234022087</v>
      </c>
      <c r="CB214" s="1167">
        <f>'2027'!R\Max</f>
        <v>0.67405645548950921</v>
      </c>
      <c r="CC214" s="1168">
        <f>'2028'!R\Max</f>
        <v>0.67403391145874503</v>
      </c>
      <c r="CD214" s="1167">
        <f>'2029'!R\Max</f>
        <v>0.67414091479838045</v>
      </c>
      <c r="CE214" s="1167">
        <f>'2030'!R\Max</f>
        <v>0.67412775724786822</v>
      </c>
      <c r="CF214" s="1169">
        <f>'2031'!R\Max</f>
        <v>0.67411227872463364</v>
      </c>
    </row>
    <row r="215" spans="1:84" s="6" customFormat="1" ht="11.25" x14ac:dyDescent="0.2">
      <c r="A215" s="11">
        <v>43301</v>
      </c>
      <c r="B215" s="375">
        <f>'2022'!Maxi_hp</f>
        <v>168.63588062194077</v>
      </c>
      <c r="C215" s="13">
        <f>'2022'!An_max</f>
        <v>2022</v>
      </c>
      <c r="D215" s="1045" t="str">
        <f t="shared" si="97"/>
        <v/>
      </c>
      <c r="E215" s="13"/>
      <c r="F215" s="13">
        <f t="shared" si="114"/>
        <v>15</v>
      </c>
      <c r="G215" s="13">
        <f t="shared" si="98"/>
        <v>16</v>
      </c>
      <c r="H215" s="169">
        <f t="shared" si="99"/>
        <v>43290</v>
      </c>
      <c r="I215" s="743">
        <f t="shared" si="100"/>
        <v>0.7857142857142857</v>
      </c>
      <c r="J215" s="736">
        <f t="shared" si="101"/>
        <v>243.47212098953977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38">
        <v>43301</v>
      </c>
      <c r="AP215" s="13">
        <f t="shared" si="102"/>
        <v>9</v>
      </c>
      <c r="AQ215" s="13">
        <f t="shared" si="103"/>
        <v>8</v>
      </c>
      <c r="AR215" s="169">
        <f t="shared" si="104"/>
        <v>43304</v>
      </c>
      <c r="AS215" s="743">
        <f t="shared" si="105"/>
        <v>0.10714285714285714</v>
      </c>
      <c r="AT215" s="759">
        <f t="shared" si="106"/>
        <v>243.39733281779499</v>
      </c>
      <c r="AU215" s="13">
        <f t="shared" si="107"/>
        <v>9</v>
      </c>
      <c r="AV215" s="13">
        <f t="shared" si="108"/>
        <v>8</v>
      </c>
      <c r="AW215" s="169">
        <f t="shared" si="109"/>
        <v>43318</v>
      </c>
      <c r="AX215" s="743">
        <f t="shared" si="110"/>
        <v>0.6071428571428571</v>
      </c>
      <c r="AY215" s="759">
        <f t="shared" si="111"/>
        <v>243.62232370695898</v>
      </c>
      <c r="AZ215" s="736">
        <f t="shared" si="115"/>
        <v>243.50982826237697</v>
      </c>
      <c r="BA215" s="633">
        <f t="shared" si="112"/>
        <v>0.69262911883527656</v>
      </c>
      <c r="BC215" s="11">
        <v>43301</v>
      </c>
      <c r="BD215" s="286">
        <f>[2]!FeuilCaduc*(1-Persistant)+Persistant</f>
        <v>0.99865589771572472</v>
      </c>
      <c r="BE215" s="287">
        <f>[2]!CroissVégét</f>
        <v>0.83810825274241962</v>
      </c>
      <c r="BF215" s="806">
        <f>1+[2]!Salcycl*Ksac</f>
        <v>1.0498319872144657</v>
      </c>
      <c r="BH215" s="1036">
        <f t="shared" si="113"/>
        <v>3.2484942481696721E-3</v>
      </c>
      <c r="BI215" s="11">
        <v>44397</v>
      </c>
      <c r="BJ215" s="716">
        <v>2.4570269574480323E-4</v>
      </c>
      <c r="BK215" s="716">
        <v>5.1618233163726269E-4</v>
      </c>
      <c r="BL215" s="716">
        <v>8.7645315020217548E-4</v>
      </c>
      <c r="BM215" s="716">
        <v>1.4197881973732947E-3</v>
      </c>
      <c r="BN215" s="716">
        <v>2.2580913640130652E-3</v>
      </c>
      <c r="BO215" s="717">
        <v>3.2589742667924605E-3</v>
      </c>
      <c r="BP215" s="716">
        <v>4.4342608716997495E-3</v>
      </c>
      <c r="BQ215" s="716">
        <v>5.8453511110662035E-3</v>
      </c>
      <c r="BR215" s="716">
        <v>7.5658690398841925E-3</v>
      </c>
      <c r="BS215" s="716">
        <v>9.5854549724796127E-3</v>
      </c>
      <c r="BT215" s="716">
        <v>1.1703482944558478E-2</v>
      </c>
      <c r="BW215" s="1166">
        <f>'2022'!R\Max</f>
        <v>0.69262911883527656</v>
      </c>
      <c r="BX215" s="1167">
        <f>'2023'!R\Max</f>
        <v>0.69261602560982671</v>
      </c>
      <c r="BY215" s="1167">
        <f>'2024'!R\Max</f>
        <v>0.69260078492475607</v>
      </c>
      <c r="BZ215" s="1167">
        <f>'2025'!R\Max</f>
        <v>0.69258506302075507</v>
      </c>
      <c r="CA215" s="1167">
        <f>'2026'!R\Max</f>
        <v>0.69256652273075292</v>
      </c>
      <c r="CB215" s="1167">
        <f>'2027'!R\Max</f>
        <v>0.69254735074055207</v>
      </c>
      <c r="CC215" s="1168">
        <f>'2028'!R\Max</f>
        <v>0.69252545383791597</v>
      </c>
      <c r="CD215" s="1167">
        <f>'2029'!R\Max</f>
        <v>0.6926297731686808</v>
      </c>
      <c r="CE215" s="1167">
        <f>'2030'!R\Max</f>
        <v>0.69261667997483267</v>
      </c>
      <c r="CF215" s="1169">
        <f>'2031'!R\Max</f>
        <v>0.69260157062226468</v>
      </c>
    </row>
    <row r="216" spans="1:84" s="6" customFormat="1" ht="11.25" x14ac:dyDescent="0.2">
      <c r="A216" s="11">
        <v>43302</v>
      </c>
      <c r="B216" s="375">
        <f>'2022'!Maxi_hp</f>
        <v>225.29827757588035</v>
      </c>
      <c r="C216" s="13">
        <f>'2022'!An_max</f>
        <v>2022</v>
      </c>
      <c r="D216" s="1045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69">
        <f t="shared" si="99"/>
        <v>43290</v>
      </c>
      <c r="I216" s="743">
        <f t="shared" si="100"/>
        <v>0.8571428571428571</v>
      </c>
      <c r="J216" s="736">
        <f t="shared" si="101"/>
        <v>242.98833819159441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38">
        <v>43302</v>
      </c>
      <c r="AP216" s="13">
        <f t="shared" si="102"/>
        <v>9</v>
      </c>
      <c r="AQ216" s="13">
        <f t="shared" si="103"/>
        <v>8</v>
      </c>
      <c r="AR216" s="169">
        <f t="shared" si="104"/>
        <v>43304</v>
      </c>
      <c r="AS216" s="743">
        <f t="shared" si="105"/>
        <v>7.1428571428571425E-2</v>
      </c>
      <c r="AT216" s="759">
        <f t="shared" si="106"/>
        <v>242.94251092970376</v>
      </c>
      <c r="AU216" s="13">
        <f t="shared" si="107"/>
        <v>9</v>
      </c>
      <c r="AV216" s="13">
        <f t="shared" si="108"/>
        <v>8</v>
      </c>
      <c r="AW216" s="169">
        <f t="shared" si="109"/>
        <v>43318</v>
      </c>
      <c r="AX216" s="743">
        <f t="shared" si="110"/>
        <v>0.5714285714285714</v>
      </c>
      <c r="AY216" s="759">
        <f t="shared" si="111"/>
        <v>243.14577259378774</v>
      </c>
      <c r="AZ216" s="736">
        <f t="shared" si="115"/>
        <v>243.04414176174575</v>
      </c>
      <c r="BA216" s="633">
        <f t="shared" si="112"/>
        <v>0.92719790279908176</v>
      </c>
      <c r="BC216" s="11">
        <v>43302</v>
      </c>
      <c r="BD216" s="286">
        <f>[2]!FeuilCaduc*(1-Persistant)+Persistant</f>
        <v>0.99895966858194629</v>
      </c>
      <c r="BE216" s="287">
        <f>[2]!CroissVégét</f>
        <v>0.84361799825853956</v>
      </c>
      <c r="BF216" s="806">
        <f>1+[2]!Salcycl*Ksac</f>
        <v>1.0498699585727433</v>
      </c>
      <c r="BH216" s="1036">
        <f t="shared" si="113"/>
        <v>3.4124052361618135E-3</v>
      </c>
      <c r="BI216" s="11">
        <v>44398</v>
      </c>
      <c r="BJ216" s="716">
        <v>2.8349580507834886E-4</v>
      </c>
      <c r="BK216" s="716">
        <v>5.7717207930755199E-4</v>
      </c>
      <c r="BL216" s="716">
        <v>9.5984599406412797E-4</v>
      </c>
      <c r="BM216" s="716">
        <v>1.526435908132843E-3</v>
      </c>
      <c r="BN216" s="716">
        <v>2.3931863743702213E-3</v>
      </c>
      <c r="BO216" s="717">
        <v>3.4231901731032774E-3</v>
      </c>
      <c r="BP216" s="716">
        <v>4.6261368233774533E-3</v>
      </c>
      <c r="BQ216" s="716">
        <v>6.0394240978667796E-3</v>
      </c>
      <c r="BR216" s="716">
        <v>7.7632971527013305E-3</v>
      </c>
      <c r="BS216" s="716">
        <v>9.7824929755871929E-3</v>
      </c>
      <c r="BT216" s="716">
        <v>1.191913036443463E-2</v>
      </c>
      <c r="BW216" s="1166">
        <f>'2022'!R\Max</f>
        <v>0.92719790279908176</v>
      </c>
      <c r="BX216" s="1167">
        <f>'2023'!R\Max</f>
        <v>0.92719364382524039</v>
      </c>
      <c r="BY216" s="1167">
        <f>'2024'!R\Max</f>
        <v>0.92718877179048231</v>
      </c>
      <c r="BZ216" s="1167">
        <f>'2025'!R\Max</f>
        <v>0.92718376723220208</v>
      </c>
      <c r="CA216" s="1167">
        <f>'2026'!R\Max</f>
        <v>0.92717785728908697</v>
      </c>
      <c r="CB216" s="1167">
        <f>'2027'!R\Max</f>
        <v>0.92717175162229104</v>
      </c>
      <c r="CC216" s="1168">
        <f>'2028'!R\Max</f>
        <v>0.92716478460450313</v>
      </c>
      <c r="CD216" s="1167">
        <f>'2029'!R\Max</f>
        <v>0.92719811563767729</v>
      </c>
      <c r="CE216" s="1167">
        <f>'2030'!R\Max</f>
        <v>0.92719385668068177</v>
      </c>
      <c r="CF216" s="1169">
        <f>'2031'!R\Max</f>
        <v>0.9271890218872082</v>
      </c>
    </row>
    <row r="217" spans="1:84" s="6" customFormat="1" ht="11.25" x14ac:dyDescent="0.2">
      <c r="A217" s="11">
        <v>43303</v>
      </c>
      <c r="B217" s="375">
        <f>'2022'!Maxi_hp</f>
        <v>170.9225367239975</v>
      </c>
      <c r="C217" s="13">
        <f>'2022'!An_max</f>
        <v>2022</v>
      </c>
      <c r="D217" s="1045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69">
        <f t="shared" si="99"/>
        <v>43290</v>
      </c>
      <c r="I217" s="743">
        <f t="shared" si="100"/>
        <v>0.9285714285714286</v>
      </c>
      <c r="J217" s="736">
        <f t="shared" si="101"/>
        <v>242.49726676440667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38">
        <v>43303</v>
      </c>
      <c r="AP217" s="13">
        <f t="shared" si="102"/>
        <v>9</v>
      </c>
      <c r="AQ217" s="13">
        <f t="shared" si="103"/>
        <v>8</v>
      </c>
      <c r="AR217" s="169">
        <f t="shared" si="104"/>
        <v>43304</v>
      </c>
      <c r="AS217" s="743">
        <f t="shared" si="105"/>
        <v>3.5714285714285712E-2</v>
      </c>
      <c r="AT217" s="759">
        <f t="shared" si="106"/>
        <v>242.47671054819867</v>
      </c>
      <c r="AU217" s="13">
        <f t="shared" si="107"/>
        <v>9</v>
      </c>
      <c r="AV217" s="13">
        <f t="shared" si="108"/>
        <v>8</v>
      </c>
      <c r="AW217" s="169">
        <f t="shared" si="109"/>
        <v>43318</v>
      </c>
      <c r="AX217" s="743">
        <f t="shared" si="110"/>
        <v>0.5357142857142857</v>
      </c>
      <c r="AY217" s="759">
        <f t="shared" si="111"/>
        <v>242.65701302827469</v>
      </c>
      <c r="AZ217" s="736">
        <f t="shared" si="115"/>
        <v>242.56686178823668</v>
      </c>
      <c r="BA217" s="633">
        <f t="shared" si="112"/>
        <v>0.70484314732525966</v>
      </c>
      <c r="BC217" s="11">
        <v>43303</v>
      </c>
      <c r="BD217" s="286">
        <f>[2]!FeuilCaduc*(1-Persistant)+Persistant</f>
        <v>0.99921315272422606</v>
      </c>
      <c r="BE217" s="287">
        <f>[2]!CroissVégét</f>
        <v>0.84897434957309781</v>
      </c>
      <c r="BF217" s="806">
        <f>1+[2]!Salcycl*Ksac</f>
        <v>1.0499016440905282</v>
      </c>
      <c r="BH217" s="1036">
        <f t="shared" si="113"/>
        <v>3.5773812011125269E-3</v>
      </c>
      <c r="BI217" s="11">
        <v>44399</v>
      </c>
      <c r="BJ217" s="716">
        <v>3.2527660010693631E-4</v>
      </c>
      <c r="BK217" s="716">
        <v>6.436378191772838E-4</v>
      </c>
      <c r="BL217" s="716">
        <v>1.0493724740596186E-3</v>
      </c>
      <c r="BM217" s="716">
        <v>1.6384724885787577E-3</v>
      </c>
      <c r="BN217" s="716">
        <v>2.5311275644458822E-3</v>
      </c>
      <c r="BO217" s="717">
        <v>3.588452208448863E-3</v>
      </c>
      <c r="BP217" s="716">
        <v>4.8186879263768323E-3</v>
      </c>
      <c r="BQ217" s="716">
        <v>6.2381920845215088E-3</v>
      </c>
      <c r="BR217" s="716">
        <v>7.9687835456344214E-3</v>
      </c>
      <c r="BS217" s="716">
        <v>9.9895199437800199E-3</v>
      </c>
      <c r="BT217" s="716">
        <v>1.2143155277496195E-2</v>
      </c>
      <c r="BW217" s="1166">
        <f>'2022'!R\Max</f>
        <v>0.70484314732525966</v>
      </c>
      <c r="BX217" s="1167">
        <f>'2023'!R\Max</f>
        <v>0.70482969308417098</v>
      </c>
      <c r="BY217" s="1167">
        <f>'2024'!R\Max</f>
        <v>0.70481452405459555</v>
      </c>
      <c r="BZ217" s="1167">
        <f>'2025'!R\Max</f>
        <v>0.70479899812280344</v>
      </c>
      <c r="CA217" s="1167">
        <f>'2026'!R\Max</f>
        <v>0.7047806535686153</v>
      </c>
      <c r="CB217" s="1167">
        <f>'2027'!R\Max</f>
        <v>0.70476172247579927</v>
      </c>
      <c r="CC217" s="1168">
        <f>'2028'!R\Max</f>
        <v>0.70474016157611286</v>
      </c>
      <c r="CD217" s="1167">
        <f>'2029'!R\Max</f>
        <v>0.70484381969896914</v>
      </c>
      <c r="CE217" s="1167">
        <f>'2030'!R\Max</f>
        <v>0.70483036549308986</v>
      </c>
      <c r="CF217" s="1169">
        <f>'2031'!R\Max</f>
        <v>0.70481529995745851</v>
      </c>
    </row>
    <row r="218" spans="1:84" s="6" customFormat="1" ht="11.25" x14ac:dyDescent="0.2">
      <c r="A218" s="11">
        <v>43304</v>
      </c>
      <c r="B218" s="375">
        <f>'2022'!Maxi_hp</f>
        <v>196.7247161303259</v>
      </c>
      <c r="C218" s="13">
        <f>'2022'!An_max</f>
        <v>2022</v>
      </c>
      <c r="D218" s="1045" t="str">
        <f t="shared" si="97"/>
        <v/>
      </c>
      <c r="E218" s="1040">
        <f>AB$13/10</f>
        <v>242</v>
      </c>
      <c r="F218" s="13">
        <f t="shared" si="114"/>
        <v>17</v>
      </c>
      <c r="G218" s="13">
        <f t="shared" si="98"/>
        <v>16</v>
      </c>
      <c r="H218" s="169">
        <f t="shared" si="99"/>
        <v>43318</v>
      </c>
      <c r="I218" s="743">
        <f t="shared" si="100"/>
        <v>1</v>
      </c>
      <c r="J218" s="736">
        <f t="shared" si="101"/>
        <v>242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38">
        <v>43304</v>
      </c>
      <c r="AP218" s="13">
        <f t="shared" si="102"/>
        <v>9</v>
      </c>
      <c r="AQ218" s="13">
        <f t="shared" si="103"/>
        <v>10</v>
      </c>
      <c r="AR218" s="169">
        <f t="shared" si="104"/>
        <v>43304</v>
      </c>
      <c r="AS218" s="743">
        <f t="shared" si="105"/>
        <v>0</v>
      </c>
      <c r="AT218" s="759">
        <f t="shared" si="106"/>
        <v>241.99999999850988</v>
      </c>
      <c r="AU218" s="13">
        <f t="shared" si="107"/>
        <v>9</v>
      </c>
      <c r="AV218" s="13">
        <f t="shared" si="108"/>
        <v>8</v>
      </c>
      <c r="AW218" s="169">
        <f t="shared" si="109"/>
        <v>43318</v>
      </c>
      <c r="AX218" s="743">
        <f t="shared" si="110"/>
        <v>0.5</v>
      </c>
      <c r="AY218" s="759">
        <f t="shared" si="111"/>
        <v>242.15624999850988</v>
      </c>
      <c r="AZ218" s="736">
        <f t="shared" si="115"/>
        <v>242.07812499850988</v>
      </c>
      <c r="BA218" s="633">
        <f t="shared" si="112"/>
        <v>0.81291205012531365</v>
      </c>
      <c r="BC218" s="11">
        <v>43304</v>
      </c>
      <c r="BD218" s="286">
        <f>[2]!FeuilCaduc*(1-Persistant)+Persistant</f>
        <v>0.99941975654296478</v>
      </c>
      <c r="BE218" s="287">
        <f>[2]!CroissVégét</f>
        <v>0.854179289095362</v>
      </c>
      <c r="BF218" s="806">
        <f>1+[2]!Salcycl*Ksac</f>
        <v>1.0499274695678706</v>
      </c>
      <c r="BH218" s="1036">
        <f t="shared" si="113"/>
        <v>3.7434300131611612E-3</v>
      </c>
      <c r="BI218" s="11">
        <v>44400</v>
      </c>
      <c r="BJ218" s="716">
        <v>3.7104418985382413E-4</v>
      </c>
      <c r="BK218" s="716">
        <v>7.1557880215324414E-4</v>
      </c>
      <c r="BL218" s="716">
        <v>1.1450325388948567E-3</v>
      </c>
      <c r="BM218" s="716">
        <v>1.755899632156452E-3</v>
      </c>
      <c r="BN218" s="716">
        <v>2.6719199181379385E-3</v>
      </c>
      <c r="BO218" s="717">
        <v>3.7547682735095361E-3</v>
      </c>
      <c r="BP218" s="716">
        <v>5.0119240919242617E-3</v>
      </c>
      <c r="BQ218" s="716">
        <v>6.4416631716420793E-3</v>
      </c>
      <c r="BR218" s="716">
        <v>8.1823351457850895E-3</v>
      </c>
      <c r="BS218" s="716">
        <v>1.0206542563542214E-2</v>
      </c>
      <c r="BT218" s="716">
        <v>1.2375567295727457E-2</v>
      </c>
      <c r="BW218" s="1166">
        <f>'2022'!R\Max</f>
        <v>0.81291205012531365</v>
      </c>
      <c r="BX218" s="1167">
        <f>'2023'!R\Max</f>
        <v>0.81290197642671813</v>
      </c>
      <c r="BY218" s="1167">
        <f>'2024'!R\Max</f>
        <v>0.81289074961691776</v>
      </c>
      <c r="BZ218" s="1167">
        <f>'2025'!R\Max</f>
        <v>0.81287929129411074</v>
      </c>
      <c r="CA218" s="1167">
        <f>'2026'!R\Max</f>
        <v>0.81286575548502571</v>
      </c>
      <c r="CB218" s="1167">
        <f>'2027'!R\Max</f>
        <v>0.81285180279125124</v>
      </c>
      <c r="CC218" s="1168">
        <f>'2028'!R\Max</f>
        <v>0.81283595477970361</v>
      </c>
      <c r="CD218" s="1167">
        <f>'2029'!R\Max</f>
        <v>0.81291255355279324</v>
      </c>
      <c r="CE218" s="1167">
        <f>'2030'!R\Max</f>
        <v>0.81290247988840569</v>
      </c>
      <c r="CF218" s="1169">
        <f>'2031'!R\Max</f>
        <v>0.81289132223741556</v>
      </c>
    </row>
    <row r="219" spans="1:84" s="6" customFormat="1" ht="11.25" x14ac:dyDescent="0.2">
      <c r="A219" s="11">
        <v>43305</v>
      </c>
      <c r="B219" s="375">
        <f>'2022'!Maxi_hp</f>
        <v>228.32347365293612</v>
      </c>
      <c r="C219" s="13">
        <f>'2022'!An_max</f>
        <v>2022</v>
      </c>
      <c r="D219" s="1045" t="str">
        <f t="shared" si="97"/>
        <v/>
      </c>
      <c r="E219" s="13"/>
      <c r="F219" s="13">
        <f t="shared" si="114"/>
        <v>17</v>
      </c>
      <c r="G219" s="13">
        <f t="shared" si="98"/>
        <v>16</v>
      </c>
      <c r="H219" s="169">
        <f t="shared" si="99"/>
        <v>43318</v>
      </c>
      <c r="I219" s="743">
        <f t="shared" si="100"/>
        <v>0.9285714285714286</v>
      </c>
      <c r="J219" s="736">
        <f t="shared" si="101"/>
        <v>241.49489796023281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38">
        <v>43305</v>
      </c>
      <c r="AP219" s="13">
        <f t="shared" si="102"/>
        <v>9</v>
      </c>
      <c r="AQ219" s="13">
        <f t="shared" si="103"/>
        <v>10</v>
      </c>
      <c r="AR219" s="169">
        <f t="shared" si="104"/>
        <v>43304</v>
      </c>
      <c r="AS219" s="743">
        <f t="shared" si="105"/>
        <v>3.5714285714285712E-2</v>
      </c>
      <c r="AT219" s="759">
        <f t="shared" si="106"/>
        <v>241.51242483465799</v>
      </c>
      <c r="AU219" s="13">
        <f t="shared" si="107"/>
        <v>9</v>
      </c>
      <c r="AV219" s="13">
        <f t="shared" si="108"/>
        <v>8</v>
      </c>
      <c r="AW219" s="169">
        <f t="shared" si="109"/>
        <v>43318</v>
      </c>
      <c r="AX219" s="743">
        <f t="shared" si="110"/>
        <v>0.4642857142857143</v>
      </c>
      <c r="AY219" s="759">
        <f t="shared" si="111"/>
        <v>241.64368850120476</v>
      </c>
      <c r="AZ219" s="736">
        <f t="shared" si="115"/>
        <v>241.57805666793138</v>
      </c>
      <c r="BA219" s="633">
        <f t="shared" si="112"/>
        <v>0.94545878849388509</v>
      </c>
      <c r="BC219" s="11">
        <v>43305</v>
      </c>
      <c r="BD219" s="286">
        <f>[2]!FeuilCaduc*(1-Persistant)+Persistant</f>
        <v>0.99958270897738566</v>
      </c>
      <c r="BE219" s="287">
        <f>[2]!CroissVégét</f>
        <v>0.85923493718111654</v>
      </c>
      <c r="BF219" s="806">
        <f>1+[2]!Salcycl*Ksac</f>
        <v>1.0499478386221732</v>
      </c>
      <c r="BH219" s="1036">
        <f t="shared" si="113"/>
        <v>3.9105546950784506E-3</v>
      </c>
      <c r="BI219" s="11">
        <v>44401</v>
      </c>
      <c r="BJ219" s="716">
        <v>4.207975423859037E-4</v>
      </c>
      <c r="BK219" s="716">
        <v>7.9299381390088861E-4</v>
      </c>
      <c r="BL219" s="716">
        <v>1.2468251631870594E-3</v>
      </c>
      <c r="BM219" s="716">
        <v>1.878717187962315E-3</v>
      </c>
      <c r="BN219" s="716">
        <v>2.815565146310295E-3</v>
      </c>
      <c r="BO219" s="717">
        <v>3.9221414049380654E-3</v>
      </c>
      <c r="BP219" s="716">
        <v>5.2058486598521051E-3</v>
      </c>
      <c r="BQ219" s="716">
        <v>6.6498372987571419E-3</v>
      </c>
      <c r="BR219" s="716">
        <v>8.403948656083975E-3</v>
      </c>
      <c r="BS219" s="716">
        <v>1.043355472936972E-2</v>
      </c>
      <c r="BT219" s="716">
        <v>1.2616360192368517E-2</v>
      </c>
      <c r="BW219" s="1166">
        <f>'2022'!R\Max</f>
        <v>0.94545878849388509</v>
      </c>
      <c r="BX219" s="1167">
        <f>'2023'!R\Max</f>
        <v>0.94545529285475072</v>
      </c>
      <c r="BY219" s="1167">
        <f>'2024'!R\Max</f>
        <v>0.94545143097917861</v>
      </c>
      <c r="BZ219" s="1167">
        <f>'2025'!R\Max</f>
        <v>0.94544749813501772</v>
      </c>
      <c r="CA219" s="1167">
        <f>'2026'!R\Max</f>
        <v>0.94544285672911033</v>
      </c>
      <c r="CB219" s="1167">
        <f>'2027'!R\Max</f>
        <v>0.94543807815941272</v>
      </c>
      <c r="CC219" s="1168">
        <f>'2028'!R\Max</f>
        <v>0.94543266975687046</v>
      </c>
      <c r="CD219" s="1167">
        <f>'2029'!R\Max</f>
        <v>0.94545896318471079</v>
      </c>
      <c r="CE219" s="1167">
        <f>'2030'!R\Max</f>
        <v>0.94545546756086407</v>
      </c>
      <c r="CF219" s="1169">
        <f>'2031'!R\Max</f>
        <v>0.94545162751772938</v>
      </c>
    </row>
    <row r="220" spans="1:84" s="6" customFormat="1" ht="11.25" x14ac:dyDescent="0.2">
      <c r="A220" s="11">
        <v>43306</v>
      </c>
      <c r="B220" s="375">
        <f>'2022'!Maxi_hp</f>
        <v>122.92919914878539</v>
      </c>
      <c r="C220" s="13">
        <f>'2022'!An_max</f>
        <v>2022</v>
      </c>
      <c r="D220" s="1045" t="str">
        <f t="shared" si="97"/>
        <v/>
      </c>
      <c r="E220" s="13"/>
      <c r="F220" s="13">
        <f t="shared" si="114"/>
        <v>17</v>
      </c>
      <c r="G220" s="13">
        <f t="shared" si="98"/>
        <v>16</v>
      </c>
      <c r="H220" s="169">
        <f t="shared" si="99"/>
        <v>43318</v>
      </c>
      <c r="I220" s="743">
        <f t="shared" si="100"/>
        <v>0.8571428571428571</v>
      </c>
      <c r="J220" s="736">
        <f t="shared" si="101"/>
        <v>240.97959183624812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38">
        <v>43306</v>
      </c>
      <c r="AP220" s="13">
        <f t="shared" si="102"/>
        <v>9</v>
      </c>
      <c r="AQ220" s="13">
        <f t="shared" si="103"/>
        <v>10</v>
      </c>
      <c r="AR220" s="169">
        <f t="shared" si="104"/>
        <v>43304</v>
      </c>
      <c r="AS220" s="743">
        <f t="shared" si="105"/>
        <v>7.1428571428571425E-2</v>
      </c>
      <c r="AT220" s="759">
        <f t="shared" si="106"/>
        <v>241.01393950400606</v>
      </c>
      <c r="AU220" s="13">
        <f t="shared" si="107"/>
        <v>9</v>
      </c>
      <c r="AV220" s="13">
        <f t="shared" si="108"/>
        <v>8</v>
      </c>
      <c r="AW220" s="169">
        <f t="shared" si="109"/>
        <v>43318</v>
      </c>
      <c r="AX220" s="743">
        <f t="shared" si="110"/>
        <v>0.42857142857142855</v>
      </c>
      <c r="AY220" s="759">
        <f t="shared" si="111"/>
        <v>241.11953352732317</v>
      </c>
      <c r="AZ220" s="736">
        <f t="shared" si="115"/>
        <v>241.06673651566462</v>
      </c>
      <c r="BA220" s="633">
        <f t="shared" si="112"/>
        <v>0.51012286232237858</v>
      </c>
      <c r="BC220" s="11">
        <v>43306</v>
      </c>
      <c r="BD220" s="286">
        <f>[2]!FeuilCaduc*(1-Persistant)+Persistant</f>
        <v>0.99970505194896342</v>
      </c>
      <c r="BE220" s="287">
        <f>[2]!CroissVégét</f>
        <v>0.86414353915538655</v>
      </c>
      <c r="BF220" s="806">
        <f>1+[2]!Salcycl*Ksac</f>
        <v>1.0499631314936204</v>
      </c>
      <c r="BH220" s="1036">
        <f t="shared" si="113"/>
        <v>4.0767252619746397E-3</v>
      </c>
      <c r="BI220" s="11">
        <v>44402</v>
      </c>
      <c r="BJ220" s="716">
        <v>4.7496501591257794E-4</v>
      </c>
      <c r="BK220" s="716">
        <v>8.7495744681597798E-4</v>
      </c>
      <c r="BL220" s="716">
        <v>1.353289386859383E-3</v>
      </c>
      <c r="BM220" s="716">
        <v>2.0055172129188931E-3</v>
      </c>
      <c r="BN220" s="716">
        <v>2.9605989782890258E-3</v>
      </c>
      <c r="BO220" s="717">
        <v>4.0885356316994505E-3</v>
      </c>
      <c r="BP220" s="716">
        <v>5.3975009362508498E-3</v>
      </c>
      <c r="BQ220" s="716">
        <v>6.8586396247495296E-3</v>
      </c>
      <c r="BR220" s="716">
        <v>8.6284475380504974E-3</v>
      </c>
      <c r="BS220" s="716">
        <v>1.066540203356605E-2</v>
      </c>
      <c r="BT220" s="716">
        <v>1.2861280233229409E-2</v>
      </c>
      <c r="BW220" s="1166">
        <f>'2022'!R\Max</f>
        <v>0.51012286232237858</v>
      </c>
      <c r="BX220" s="1167">
        <f>'2023'!R\Max</f>
        <v>0.51010555014250558</v>
      </c>
      <c r="BY220" s="1167">
        <f>'2024'!R\Max</f>
        <v>0.51008654033512024</v>
      </c>
      <c r="BZ220" s="1167">
        <f>'2025'!R\Max</f>
        <v>0.51006721431957303</v>
      </c>
      <c r="CA220" s="1167">
        <f>'2026'!R\Max</f>
        <v>0.51004444498512025</v>
      </c>
      <c r="CB220" s="1167">
        <f>'2027'!R\Max</f>
        <v>0.51002103456258074</v>
      </c>
      <c r="CC220" s="1168">
        <f>'2028'!R\Max</f>
        <v>0.50999464339388156</v>
      </c>
      <c r="CD220" s="1167">
        <f>'2029'!R\Max</f>
        <v>0.51012372750656843</v>
      </c>
      <c r="CE220" s="1167">
        <f>'2030'!R\Max</f>
        <v>0.51010641535188561</v>
      </c>
      <c r="CF220" s="1169">
        <f>'2031'!R\Max</f>
        <v>0.5100875061599619</v>
      </c>
    </row>
    <row r="221" spans="1:84" s="6" customFormat="1" ht="11.25" x14ac:dyDescent="0.2">
      <c r="A221" s="11">
        <v>43307</v>
      </c>
      <c r="B221" s="375">
        <f>'2022'!Maxi_hp</f>
        <v>219.36689548137969</v>
      </c>
      <c r="C221" s="13">
        <f>'2022'!An_max</f>
        <v>2022</v>
      </c>
      <c r="D221" s="1045" t="str">
        <f t="shared" si="97"/>
        <v/>
      </c>
      <c r="E221" s="13"/>
      <c r="F221" s="13">
        <f t="shared" si="114"/>
        <v>17</v>
      </c>
      <c r="G221" s="13">
        <f t="shared" si="98"/>
        <v>16</v>
      </c>
      <c r="H221" s="169">
        <f t="shared" si="99"/>
        <v>43318</v>
      </c>
      <c r="I221" s="743">
        <f t="shared" si="100"/>
        <v>0.7857142857142857</v>
      </c>
      <c r="J221" s="736">
        <f t="shared" si="101"/>
        <v>240.4540816321969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38">
        <v>43307</v>
      </c>
      <c r="AP221" s="13">
        <f t="shared" si="102"/>
        <v>9</v>
      </c>
      <c r="AQ221" s="13">
        <f t="shared" si="103"/>
        <v>10</v>
      </c>
      <c r="AR221" s="169">
        <f t="shared" si="104"/>
        <v>43304</v>
      </c>
      <c r="AS221" s="743">
        <f t="shared" si="105"/>
        <v>0.10714285714285714</v>
      </c>
      <c r="AT221" s="759">
        <f t="shared" si="106"/>
        <v>240.50447567451215</v>
      </c>
      <c r="AU221" s="13">
        <f t="shared" si="107"/>
        <v>9</v>
      </c>
      <c r="AV221" s="13">
        <f t="shared" si="108"/>
        <v>8</v>
      </c>
      <c r="AW221" s="169">
        <f t="shared" si="109"/>
        <v>43318</v>
      </c>
      <c r="AX221" s="743">
        <f t="shared" si="110"/>
        <v>0.39285714285714285</v>
      </c>
      <c r="AY221" s="759">
        <f t="shared" si="111"/>
        <v>240.58399006852088</v>
      </c>
      <c r="AZ221" s="736">
        <f t="shared" si="115"/>
        <v>240.5442328715165</v>
      </c>
      <c r="BA221" s="633">
        <f t="shared" si="112"/>
        <v>0.91230264835731678</v>
      </c>
      <c r="BC221" s="11">
        <v>43307</v>
      </c>
      <c r="BD221" s="286">
        <f>[2]!FeuilCaduc*(1-Persistant)+Persistant</f>
        <v>0.99978963253507569</v>
      </c>
      <c r="BE221" s="287">
        <f>[2]!CroissVégét</f>
        <v>0.86890745271110437</v>
      </c>
      <c r="BF221" s="806">
        <f>1+[2]!Salcycl*Ksac</f>
        <v>1.0499737040668844</v>
      </c>
      <c r="BH221" s="1036">
        <f t="shared" si="113"/>
        <v>4.2387187734844759E-3</v>
      </c>
      <c r="BI221" s="11">
        <v>44403</v>
      </c>
      <c r="BJ221" s="716">
        <v>5.3214826801927233E-4</v>
      </c>
      <c r="BK221" s="716">
        <v>9.5878505096639016E-4</v>
      </c>
      <c r="BL221" s="716">
        <v>1.4608596325358743E-3</v>
      </c>
      <c r="BM221" s="716">
        <v>2.1325241012416945E-3</v>
      </c>
      <c r="BN221" s="716">
        <v>3.1035967615927595E-3</v>
      </c>
      <c r="BO221" s="717">
        <v>4.2507301478595539E-3</v>
      </c>
      <c r="BP221" s="716">
        <v>5.5833485549344588E-3</v>
      </c>
      <c r="BQ221" s="716">
        <v>7.0635271875897701E-3</v>
      </c>
      <c r="BR221" s="716">
        <v>8.8506235009700659E-3</v>
      </c>
      <c r="BS221" s="716">
        <v>1.0897233860295535E-2</v>
      </c>
      <c r="BT221" s="716">
        <v>1.3106790726846283E-2</v>
      </c>
      <c r="BW221" s="1166">
        <f>'2022'!R\Max</f>
        <v>0.91230264835731678</v>
      </c>
      <c r="BX221" s="1167">
        <f>'2023'!R\Max</f>
        <v>0.91229699260370767</v>
      </c>
      <c r="BY221" s="1167">
        <f>'2024'!R\Max</f>
        <v>0.91229080524316031</v>
      </c>
      <c r="BZ221" s="1167">
        <f>'2025'!R\Max</f>
        <v>0.91228452206155952</v>
      </c>
      <c r="CA221" s="1167">
        <f>'2026'!R\Max</f>
        <v>0.91227713335312521</v>
      </c>
      <c r="CB221" s="1167">
        <f>'2027'!R\Max</f>
        <v>0.91226954567944318</v>
      </c>
      <c r="CC221" s="1168">
        <f>'2028'!R\Max</f>
        <v>0.91226102262682862</v>
      </c>
      <c r="CD221" s="1167">
        <f>'2029'!R\Max</f>
        <v>0.912302930997692</v>
      </c>
      <c r="CE221" s="1167">
        <f>'2030'!R\Max</f>
        <v>0.91229727526855187</v>
      </c>
      <c r="CF221" s="1169">
        <f>'2031'!R\Max</f>
        <v>0.91229111923701178</v>
      </c>
    </row>
    <row r="222" spans="1:84" s="6" customFormat="1" ht="11.25" x14ac:dyDescent="0.2">
      <c r="A222" s="11">
        <v>43308</v>
      </c>
      <c r="B222" s="375">
        <f>'2022'!Maxi_hp</f>
        <v>240.75744789111329</v>
      </c>
      <c r="C222" s="13">
        <f>'2022'!An_max</f>
        <v>2022</v>
      </c>
      <c r="D222" s="1045">
        <f t="shared" si="97"/>
        <v>1.0034973585030091</v>
      </c>
      <c r="E222" s="13"/>
      <c r="F222" s="13">
        <f t="shared" si="114"/>
        <v>17</v>
      </c>
      <c r="G222" s="13">
        <f t="shared" si="98"/>
        <v>16</v>
      </c>
      <c r="H222" s="169">
        <f t="shared" si="99"/>
        <v>43318</v>
      </c>
      <c r="I222" s="743">
        <f t="shared" si="100"/>
        <v>0.7142857142857143</v>
      </c>
      <c r="J222" s="736">
        <f t="shared" si="101"/>
        <v>239.91836734903708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38">
        <v>43308</v>
      </c>
      <c r="AP222" s="13">
        <f t="shared" si="102"/>
        <v>9</v>
      </c>
      <c r="AQ222" s="13">
        <f t="shared" si="103"/>
        <v>10</v>
      </c>
      <c r="AR222" s="169">
        <f t="shared" si="104"/>
        <v>43304</v>
      </c>
      <c r="AS222" s="743">
        <f t="shared" si="105"/>
        <v>0.14285714285714285</v>
      </c>
      <c r="AT222" s="759">
        <f t="shared" si="106"/>
        <v>239.98396501243116</v>
      </c>
      <c r="AU222" s="13">
        <f t="shared" si="107"/>
        <v>9</v>
      </c>
      <c r="AV222" s="13">
        <f t="shared" si="108"/>
        <v>8</v>
      </c>
      <c r="AW222" s="169">
        <f t="shared" si="109"/>
        <v>43318</v>
      </c>
      <c r="AX222" s="743">
        <f t="shared" si="110"/>
        <v>0.35714285714285715</v>
      </c>
      <c r="AY222" s="759">
        <f t="shared" si="111"/>
        <v>240.03726311911427</v>
      </c>
      <c r="AZ222" s="736">
        <f t="shared" si="115"/>
        <v>240.0106140657727</v>
      </c>
      <c r="BA222" s="633">
        <f t="shared" si="112"/>
        <v>1.0034973585030091</v>
      </c>
      <c r="BC222" s="11">
        <v>43308</v>
      </c>
      <c r="BD222" s="286">
        <f>[2]!FeuilCaduc*(1-Persistant)+Persistant</f>
        <v>0.99983909686562189</v>
      </c>
      <c r="BE222" s="287">
        <f>[2]!CroissVégét</f>
        <v>0.87352913572103608</v>
      </c>
      <c r="BF222" s="806">
        <f>1+[2]!Salcycl*Ksac</f>
        <v>1.0499798871082027</v>
      </c>
      <c r="BH222" s="1036">
        <f t="shared" si="113"/>
        <v>4.39654205334162E-3</v>
      </c>
      <c r="BI222" s="11">
        <v>44404</v>
      </c>
      <c r="BJ222" s="716">
        <v>5.9234750324654091E-4</v>
      </c>
      <c r="BK222" s="716">
        <v>1.0444782725970376E-3</v>
      </c>
      <c r="BL222" s="716">
        <v>1.5695386551797667E-3</v>
      </c>
      <c r="BM222" s="716">
        <v>2.2597416028773938E-3</v>
      </c>
      <c r="BN222" s="716">
        <v>3.2445637790649005E-3</v>
      </c>
      <c r="BO222" s="717">
        <v>4.408731793457076E-3</v>
      </c>
      <c r="BP222" s="716">
        <v>5.7633997176003158E-3</v>
      </c>
      <c r="BQ222" s="716">
        <v>7.264507454561614E-3</v>
      </c>
      <c r="BR222" s="716">
        <v>9.070483303689961E-3</v>
      </c>
      <c r="BS222" s="716">
        <v>1.1129055543269898E-2</v>
      </c>
      <c r="BT222" s="716">
        <v>1.3352896605859275E-2</v>
      </c>
      <c r="BW222" s="1166">
        <f>'2022'!R\Max</f>
        <v>1.0034973585030091</v>
      </c>
      <c r="BX222" s="1167">
        <f>'2023'!R\Max</f>
        <v>1.0034973585030094</v>
      </c>
      <c r="BY222" s="1167">
        <f>'2024'!R\Max</f>
        <v>1.0034973585030091</v>
      </c>
      <c r="BZ222" s="1167">
        <f>'2025'!R\Max</f>
        <v>1.0034973585030091</v>
      </c>
      <c r="CA222" s="1167">
        <f>'2026'!R\Max</f>
        <v>1.0034973585030091</v>
      </c>
      <c r="CB222" s="1167">
        <f>'2027'!R\Max</f>
        <v>1.0034973585030091</v>
      </c>
      <c r="CC222" s="1168">
        <f>'2028'!R\Max</f>
        <v>1.0034973585030091</v>
      </c>
      <c r="CD222" s="1167">
        <f>'2029'!R\Max</f>
        <v>1.0034973585030094</v>
      </c>
      <c r="CE222" s="1167">
        <f>'2030'!R\Max</f>
        <v>1.0034973585030091</v>
      </c>
      <c r="CF222" s="1169">
        <f>'2031'!R\Max</f>
        <v>1.0034973585030091</v>
      </c>
    </row>
    <row r="223" spans="1:84" s="6" customFormat="1" ht="11.25" x14ac:dyDescent="0.2">
      <c r="A223" s="11">
        <v>43309</v>
      </c>
      <c r="B223" s="375">
        <f>'2022'!Maxi_hp</f>
        <v>194.48838294022485</v>
      </c>
      <c r="C223" s="13">
        <f>'2022'!An_max</f>
        <v>2022</v>
      </c>
      <c r="D223" s="1045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69">
        <f t="shared" si="99"/>
        <v>43318</v>
      </c>
      <c r="I223" s="743">
        <f t="shared" si="100"/>
        <v>0.6428571428571429</v>
      </c>
      <c r="J223" s="736">
        <f t="shared" si="101"/>
        <v>239.37244897985033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38">
        <v>43309</v>
      </c>
      <c r="AP223" s="13">
        <f t="shared" si="102"/>
        <v>9</v>
      </c>
      <c r="AQ223" s="13">
        <f t="shared" si="103"/>
        <v>10</v>
      </c>
      <c r="AR223" s="169">
        <f t="shared" si="104"/>
        <v>43304</v>
      </c>
      <c r="AS223" s="743">
        <f t="shared" si="105"/>
        <v>0.17857142857142858</v>
      </c>
      <c r="AT223" s="759">
        <f t="shared" si="106"/>
        <v>239.45233919221374</v>
      </c>
      <c r="AU223" s="13">
        <f t="shared" si="107"/>
        <v>9</v>
      </c>
      <c r="AV223" s="13">
        <f t="shared" si="108"/>
        <v>8</v>
      </c>
      <c r="AW223" s="169">
        <f t="shared" si="109"/>
        <v>43318</v>
      </c>
      <c r="AX223" s="743">
        <f t="shared" si="110"/>
        <v>0.32142857142857145</v>
      </c>
      <c r="AY223" s="759">
        <f t="shared" si="111"/>
        <v>239.47955767065287</v>
      </c>
      <c r="AZ223" s="736">
        <f t="shared" si="115"/>
        <v>239.4659484314333</v>
      </c>
      <c r="BA223" s="633">
        <f t="shared" si="112"/>
        <v>0.81249276501572787</v>
      </c>
      <c r="BC223" s="11">
        <v>43309</v>
      </c>
      <c r="BD223" s="286">
        <f>[2]!FeuilCaduc*(1-Persistant)+Persistant</f>
        <v>0.99985588571902273</v>
      </c>
      <c r="BE223" s="287">
        <f>[2]!CroissVégét</f>
        <v>0.8780111344941991</v>
      </c>
      <c r="BF223" s="806">
        <f>1+[2]!Salcycl*Ksac</f>
        <v>1.0499819857148778</v>
      </c>
      <c r="BH223" s="1036">
        <f t="shared" si="113"/>
        <v>4.5502014738816165E-3</v>
      </c>
      <c r="BI223" s="11">
        <v>44405</v>
      </c>
      <c r="BJ223" s="716">
        <v>6.5556307282415704E-4</v>
      </c>
      <c r="BK223" s="716">
        <v>1.1320387990806082E-3</v>
      </c>
      <c r="BL223" s="716">
        <v>1.6793291749363306E-3</v>
      </c>
      <c r="BM223" s="716">
        <v>2.3871733515946686E-3</v>
      </c>
      <c r="BN223" s="716">
        <v>3.3835050278945779E-3</v>
      </c>
      <c r="BO223" s="717">
        <v>4.5625469553787724E-3</v>
      </c>
      <c r="BP223" s="716">
        <v>5.9376620385813055E-3</v>
      </c>
      <c r="BQ223" s="716">
        <v>7.4615874133428517E-3</v>
      </c>
      <c r="BR223" s="716">
        <v>9.2880333144279483E-3</v>
      </c>
      <c r="BS223" s="716">
        <v>1.1360872170619188E-2</v>
      </c>
      <c r="BT223" s="716">
        <v>1.359960258254655E-2</v>
      </c>
      <c r="BW223" s="1166">
        <f>'2022'!R\Max</f>
        <v>0.81249276501572787</v>
      </c>
      <c r="BX223" s="1167">
        <f>'2023'!R\Max</f>
        <v>0.81248160099529143</v>
      </c>
      <c r="BY223" s="1167">
        <f>'2024'!R\Max</f>
        <v>0.81246940056263373</v>
      </c>
      <c r="BZ223" s="1167">
        <f>'2025'!R\Max</f>
        <v>0.81245702641447404</v>
      </c>
      <c r="CA223" s="1167">
        <f>'2026'!R\Max</f>
        <v>0.81244254561806095</v>
      </c>
      <c r="CB223" s="1167">
        <f>'2027'!R\Max</f>
        <v>0.81242771222604548</v>
      </c>
      <c r="CC223" s="1168">
        <f>'2028'!R\Max</f>
        <v>0.81241116203388586</v>
      </c>
      <c r="CD223" s="1167">
        <f>'2029'!R\Max</f>
        <v>0.81249332292933629</v>
      </c>
      <c r="CE223" s="1167">
        <f>'2030'!R\Max</f>
        <v>0.81248215895080655</v>
      </c>
      <c r="CF223" s="1169">
        <f>'2031'!R\Max</f>
        <v>0.81247001894883308</v>
      </c>
    </row>
    <row r="224" spans="1:84" s="6" customFormat="1" ht="11.25" x14ac:dyDescent="0.2">
      <c r="A224" s="11">
        <v>43310</v>
      </c>
      <c r="B224" s="375">
        <f>'2022'!Maxi_hp</f>
        <v>118.14485084617337</v>
      </c>
      <c r="C224" s="13">
        <f>'2022'!An_max</f>
        <v>2022</v>
      </c>
      <c r="D224" s="1045" t="str">
        <f t="shared" si="97"/>
        <v/>
      </c>
      <c r="E224" s="13"/>
      <c r="F224" s="13">
        <f t="shared" si="114"/>
        <v>17</v>
      </c>
      <c r="G224" s="13">
        <f t="shared" si="98"/>
        <v>16</v>
      </c>
      <c r="H224" s="169">
        <f t="shared" si="99"/>
        <v>43318</v>
      </c>
      <c r="I224" s="743">
        <f t="shared" si="100"/>
        <v>0.5714285714285714</v>
      </c>
      <c r="J224" s="736">
        <f t="shared" si="101"/>
        <v>238.81632653240649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38">
        <v>43310</v>
      </c>
      <c r="AP224" s="13">
        <f t="shared" si="102"/>
        <v>9</v>
      </c>
      <c r="AQ224" s="13">
        <f t="shared" si="103"/>
        <v>10</v>
      </c>
      <c r="AR224" s="169">
        <f t="shared" si="104"/>
        <v>43304</v>
      </c>
      <c r="AS224" s="743">
        <f t="shared" si="105"/>
        <v>0.21428571428571427</v>
      </c>
      <c r="AT224" s="759">
        <f t="shared" si="106"/>
        <v>238.9095298814986</v>
      </c>
      <c r="AU224" s="13">
        <f t="shared" si="107"/>
        <v>9</v>
      </c>
      <c r="AV224" s="13">
        <f t="shared" si="108"/>
        <v>8</v>
      </c>
      <c r="AW224" s="169">
        <f t="shared" si="109"/>
        <v>43318</v>
      </c>
      <c r="AX224" s="743">
        <f t="shared" si="110"/>
        <v>0.2857142857142857</v>
      </c>
      <c r="AY224" s="759">
        <f t="shared" si="111"/>
        <v>238.91107871638877</v>
      </c>
      <c r="AZ224" s="736">
        <f t="shared" si="115"/>
        <v>238.91030429894369</v>
      </c>
      <c r="BA224" s="633">
        <f t="shared" si="112"/>
        <v>0.49471010864971809</v>
      </c>
      <c r="BC224" s="11">
        <v>43310</v>
      </c>
      <c r="BD224" s="286">
        <f>[2]!FeuilCaduc*(1-Persistant)+Persistant</f>
        <v>0.99984223177819298</v>
      </c>
      <c r="BE224" s="287">
        <f>[2]!CroissVégét</f>
        <v>0.88235607250226589</v>
      </c>
      <c r="BF224" s="806">
        <f>1+[2]!Salcycl*Ksac</f>
        <v>1.0499802789722741</v>
      </c>
      <c r="BH224" s="1036">
        <f t="shared" si="113"/>
        <v>4.6997029667699827E-3</v>
      </c>
      <c r="BI224" s="11">
        <v>44406</v>
      </c>
      <c r="BJ224" s="716">
        <v>7.217954668196165E-4</v>
      </c>
      <c r="BK224" s="716">
        <v>1.2214683540280611E-3</v>
      </c>
      <c r="BL224" s="716">
        <v>1.7902338741905572E-3</v>
      </c>
      <c r="BM224" s="716">
        <v>2.5148228643621195E-3</v>
      </c>
      <c r="BN224" s="716">
        <v>3.5204252248014207E-3</v>
      </c>
      <c r="BO224" s="717">
        <v>4.7121815781461943E-3</v>
      </c>
      <c r="BP224" s="716">
        <v>6.106142559787823E-3</v>
      </c>
      <c r="BQ224" s="716">
        <v>7.6547735820663215E-3</v>
      </c>
      <c r="BR224" s="716">
        <v>9.5032795167312549E-3</v>
      </c>
      <c r="BS224" s="716">
        <v>1.1592688584909689E-2</v>
      </c>
      <c r="BT224" s="716">
        <v>1.3846913147303373E-2</v>
      </c>
      <c r="BW224" s="1166">
        <f>'2022'!R\Max</f>
        <v>0.49471010864971809</v>
      </c>
      <c r="BX224" s="1167">
        <f>'2023'!R\Max</f>
        <v>0.49469149718744754</v>
      </c>
      <c r="BY224" s="1167">
        <f>'2024'!R\Max</f>
        <v>0.49467110621941768</v>
      </c>
      <c r="BZ224" s="1167">
        <f>'2025'!R\Max</f>
        <v>0.49465042839127144</v>
      </c>
      <c r="CA224" s="1167">
        <f>'2026'!R\Max</f>
        <v>0.49462630059516483</v>
      </c>
      <c r="CB224" s="1167">
        <f>'2027'!R\Max</f>
        <v>0.49460161693915078</v>
      </c>
      <c r="CC224" s="1168">
        <f>'2028'!R\Max</f>
        <v>0.49457416112761243</v>
      </c>
      <c r="CD224" s="1167">
        <f>'2029'!R\Max</f>
        <v>0.49471103876620443</v>
      </c>
      <c r="CE224" s="1167">
        <f>'2030'!R\Max</f>
        <v>0.49469242733090374</v>
      </c>
      <c r="CF224" s="1169">
        <f>'2031'!R\Max</f>
        <v>0.49467213960175416</v>
      </c>
    </row>
    <row r="225" spans="1:84" s="6" customFormat="1" ht="11.25" x14ac:dyDescent="0.2">
      <c r="A225" s="11">
        <v>43311</v>
      </c>
      <c r="B225" s="375">
        <f>'2022'!Maxi_hp</f>
        <v>204.51831402539628</v>
      </c>
      <c r="C225" s="13">
        <f>'2022'!An_max</f>
        <v>2022</v>
      </c>
      <c r="D225" s="1045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69">
        <f t="shared" si="99"/>
        <v>43318</v>
      </c>
      <c r="I225" s="743">
        <f t="shared" si="100"/>
        <v>0.5</v>
      </c>
      <c r="J225" s="736">
        <f t="shared" si="101"/>
        <v>238.25000000074505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38">
        <v>43311</v>
      </c>
      <c r="AP225" s="13">
        <f t="shared" si="102"/>
        <v>9</v>
      </c>
      <c r="AQ225" s="13">
        <f t="shared" si="103"/>
        <v>10</v>
      </c>
      <c r="AR225" s="169">
        <f t="shared" si="104"/>
        <v>43304</v>
      </c>
      <c r="AS225" s="743">
        <f t="shared" si="105"/>
        <v>0.25</v>
      </c>
      <c r="AT225" s="759">
        <f t="shared" si="106"/>
        <v>238.35546874813735</v>
      </c>
      <c r="AU225" s="13">
        <f t="shared" si="107"/>
        <v>9</v>
      </c>
      <c r="AV225" s="13">
        <f t="shared" si="108"/>
        <v>8</v>
      </c>
      <c r="AW225" s="169">
        <f t="shared" si="109"/>
        <v>43318</v>
      </c>
      <c r="AX225" s="743">
        <f t="shared" si="110"/>
        <v>0.25</v>
      </c>
      <c r="AY225" s="759">
        <f t="shared" si="111"/>
        <v>238.33203124962748</v>
      </c>
      <c r="AZ225" s="736">
        <f t="shared" si="115"/>
        <v>238.3437499988824</v>
      </c>
      <c r="BA225" s="633">
        <f t="shared" si="112"/>
        <v>0.85841894658869555</v>
      </c>
      <c r="BC225" s="11">
        <v>43311</v>
      </c>
      <c r="BD225" s="286">
        <f>[2]!FeuilCaduc*(1-Persistant)+Persistant</f>
        <v>0.99980015849187565</v>
      </c>
      <c r="BE225" s="287">
        <f>[2]!CroissVégét</f>
        <v>0.88656663959603077</v>
      </c>
      <c r="BF225" s="806">
        <f>1+[2]!Salcycl*Ksac</f>
        <v>1.0499750198114846</v>
      </c>
      <c r="BH225" s="1036">
        <f t="shared" si="113"/>
        <v>4.8450520338563594E-3</v>
      </c>
      <c r="BI225" s="11">
        <v>44407</v>
      </c>
      <c r="BJ225" s="716">
        <v>7.9104530630455723E-4</v>
      </c>
      <c r="BK225" s="716">
        <v>1.31276869243017E-3</v>
      </c>
      <c r="BL225" s="716">
        <v>1.902255394671006E-3</v>
      </c>
      <c r="BM225" s="716">
        <v>2.6426935407920294E-3</v>
      </c>
      <c r="BN225" s="716">
        <v>3.6553288113139182E-3</v>
      </c>
      <c r="BO225" s="717">
        <v>4.8576411748288495E-3</v>
      </c>
      <c r="BP225" s="716">
        <v>6.2688477658144641E-3</v>
      </c>
      <c r="BQ225" s="716">
        <v>7.8440720195880435E-3</v>
      </c>
      <c r="BR225" s="716">
        <v>9.7162275156936918E-3</v>
      </c>
      <c r="BS225" s="716">
        <v>1.1824509383477927E-2</v>
      </c>
      <c r="BT225" s="716">
        <v>1.409483256749984E-2</v>
      </c>
      <c r="BW225" s="1166">
        <f>'2022'!R\Max</f>
        <v>0.85841894658869555</v>
      </c>
      <c r="BX225" s="1167">
        <f>'2023'!R\Max</f>
        <v>0.85840976413827919</v>
      </c>
      <c r="BY225" s="1167">
        <f>'2024'!R\Max</f>
        <v>0.85839965696999021</v>
      </c>
      <c r="BZ225" s="1167">
        <f>'2025'!R\Max</f>
        <v>0.85838940542083131</v>
      </c>
      <c r="CA225" s="1167">
        <f>'2026'!R\Max</f>
        <v>0.85837747990070146</v>
      </c>
      <c r="CB225" s="1167">
        <f>'2027'!R\Max</f>
        <v>0.85836529333370903</v>
      </c>
      <c r="CC225" s="1168">
        <f>'2028'!R\Max</f>
        <v>0.85835177467506452</v>
      </c>
      <c r="CD225" s="1167">
        <f>'2029'!R\Max</f>
        <v>0.85841940547258422</v>
      </c>
      <c r="CE225" s="1167">
        <f>'2030'!R\Max</f>
        <v>0.85841022306089043</v>
      </c>
      <c r="CF225" s="1169">
        <f>'2031'!R\Max</f>
        <v>0.85840016927839224</v>
      </c>
    </row>
    <row r="226" spans="1:84" s="6" customFormat="1" ht="11.25" x14ac:dyDescent="0.2">
      <c r="A226" s="11">
        <v>43312</v>
      </c>
      <c r="B226" s="375">
        <f>'2022'!Maxi_hp</f>
        <v>234.06652052001985</v>
      </c>
      <c r="C226" s="13">
        <f>'2022'!An_max</f>
        <v>2022</v>
      </c>
      <c r="D226" s="1045">
        <f t="shared" si="97"/>
        <v>0.98482393142838187</v>
      </c>
      <c r="E226" s="13"/>
      <c r="F226" s="13">
        <f t="shared" si="114"/>
        <v>17</v>
      </c>
      <c r="G226" s="13">
        <f t="shared" si="98"/>
        <v>16</v>
      </c>
      <c r="H226" s="169">
        <f t="shared" si="99"/>
        <v>43318</v>
      </c>
      <c r="I226" s="743">
        <f t="shared" si="100"/>
        <v>0.42857142857142855</v>
      </c>
      <c r="J226" s="736">
        <f t="shared" si="101"/>
        <v>237.67346938912357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38">
        <v>43312</v>
      </c>
      <c r="AP226" s="13">
        <f t="shared" si="102"/>
        <v>9</v>
      </c>
      <c r="AQ226" s="13">
        <f t="shared" si="103"/>
        <v>10</v>
      </c>
      <c r="AR226" s="169">
        <f t="shared" si="104"/>
        <v>43304</v>
      </c>
      <c r="AS226" s="743">
        <f t="shared" si="105"/>
        <v>0.2857142857142857</v>
      </c>
      <c r="AT226" s="759">
        <f t="shared" si="106"/>
        <v>237.79008746232307</v>
      </c>
      <c r="AU226" s="13">
        <f t="shared" si="107"/>
        <v>9</v>
      </c>
      <c r="AV226" s="13">
        <f t="shared" si="108"/>
        <v>8</v>
      </c>
      <c r="AW226" s="169">
        <f t="shared" si="109"/>
        <v>43318</v>
      </c>
      <c r="AX226" s="743">
        <f t="shared" si="110"/>
        <v>0.21428571428571427</v>
      </c>
      <c r="AY226" s="759">
        <f t="shared" si="111"/>
        <v>237.74262026229076</v>
      </c>
      <c r="AZ226" s="736">
        <f t="shared" si="115"/>
        <v>237.76635386230691</v>
      </c>
      <c r="BA226" s="633">
        <f t="shared" si="112"/>
        <v>0.98482393142838187</v>
      </c>
      <c r="BC226" s="11">
        <v>43312</v>
      </c>
      <c r="BD226" s="286">
        <f>[2]!FeuilCaduc*(1-Persistant)+Persistant</f>
        <v>0.99973148047235272</v>
      </c>
      <c r="BE226" s="287">
        <f>[2]!CroissVégét</f>
        <v>0.89064558172697694</v>
      </c>
      <c r="BF226" s="806">
        <f>1+[2]!Salcycl*Ksac</f>
        <v>1.0499664350590441</v>
      </c>
      <c r="BH226" s="1036">
        <f t="shared" si="113"/>
        <v>4.9847319320750127E-3</v>
      </c>
      <c r="BI226" s="11">
        <v>44408</v>
      </c>
      <c r="BJ226" s="716">
        <v>8.6152083119760961E-4</v>
      </c>
      <c r="BK226" s="716">
        <v>1.4042815449532532E-3</v>
      </c>
      <c r="BL226" s="716">
        <v>2.0136793756483995E-3</v>
      </c>
      <c r="BM226" s="716">
        <v>2.7689320358678035E-3</v>
      </c>
      <c r="BN226" s="716">
        <v>3.786633202975146E-3</v>
      </c>
      <c r="BO226" s="717">
        <v>4.9974096990663694E-3</v>
      </c>
      <c r="BP226" s="716">
        <v>6.424088727790247E-3</v>
      </c>
      <c r="BQ226" s="716">
        <v>8.0271942414713218E-3</v>
      </c>
      <c r="BR226" s="716">
        <v>9.9245044559393581E-3</v>
      </c>
      <c r="BS226" s="716">
        <v>1.2054299104663059E-2</v>
      </c>
      <c r="BT226" s="716">
        <v>1.4341999988116123E-2</v>
      </c>
      <c r="BW226" s="1166">
        <f>'2022'!R\Max</f>
        <v>0.98482393142838187</v>
      </c>
      <c r="BX226" s="1167">
        <f>'2023'!R\Max</f>
        <v>0.98482278714197524</v>
      </c>
      <c r="BY226" s="1167">
        <f>'2024'!R\Max</f>
        <v>0.98482151964793729</v>
      </c>
      <c r="BZ226" s="1167">
        <f>'2025'!R\Max</f>
        <v>0.98482023356382908</v>
      </c>
      <c r="CA226" s="1167">
        <f>'2026'!R\Max</f>
        <v>0.98481874201868502</v>
      </c>
      <c r="CB226" s="1167">
        <f>'2027'!R\Max</f>
        <v>0.98481721950628009</v>
      </c>
      <c r="CC226" s="1168">
        <f>'2028'!R\Max</f>
        <v>0.98481553449528758</v>
      </c>
      <c r="CD226" s="1167">
        <f>'2029'!R\Max</f>
        <v>0.98482398861234977</v>
      </c>
      <c r="CE226" s="1167">
        <f>'2030'!R\Max</f>
        <v>0.98482284433193978</v>
      </c>
      <c r="CF226" s="1169">
        <f>'2031'!R\Max</f>
        <v>0.98482158391759123</v>
      </c>
    </row>
    <row r="227" spans="1:84" s="6" customFormat="1" ht="11.25" x14ac:dyDescent="0.2">
      <c r="A227" s="11">
        <v>43313</v>
      </c>
      <c r="B227" s="375">
        <f>'2022'!Maxi_hp</f>
        <v>232.94874797360882</v>
      </c>
      <c r="C227" s="13">
        <f>'2022'!An_max</f>
        <v>2022</v>
      </c>
      <c r="D227" s="1045">
        <f t="shared" si="97"/>
        <v>0.98254652784808316</v>
      </c>
      <c r="E227" s="13"/>
      <c r="F227" s="13">
        <f t="shared" si="114"/>
        <v>17</v>
      </c>
      <c r="G227" s="13">
        <f t="shared" si="98"/>
        <v>16</v>
      </c>
      <c r="H227" s="169">
        <f t="shared" si="99"/>
        <v>43318</v>
      </c>
      <c r="I227" s="743">
        <f t="shared" si="100"/>
        <v>0.35714285714285715</v>
      </c>
      <c r="J227" s="736">
        <f t="shared" si="101"/>
        <v>237.08673469520039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38">
        <v>43313</v>
      </c>
      <c r="AP227" s="13">
        <f t="shared" si="102"/>
        <v>9</v>
      </c>
      <c r="AQ227" s="13">
        <f t="shared" si="103"/>
        <v>10</v>
      </c>
      <c r="AR227" s="169">
        <f t="shared" si="104"/>
        <v>43304</v>
      </c>
      <c r="AS227" s="743">
        <f t="shared" si="105"/>
        <v>0.32142857142857145</v>
      </c>
      <c r="AT227" s="759">
        <f t="shared" si="106"/>
        <v>237.21331769249269</v>
      </c>
      <c r="AU227" s="13">
        <f t="shared" si="107"/>
        <v>9</v>
      </c>
      <c r="AV227" s="13">
        <f t="shared" si="108"/>
        <v>8</v>
      </c>
      <c r="AW227" s="169">
        <f t="shared" si="109"/>
        <v>43318</v>
      </c>
      <c r="AX227" s="743">
        <f t="shared" si="110"/>
        <v>0.17857142857142858</v>
      </c>
      <c r="AY227" s="759">
        <f t="shared" si="111"/>
        <v>237.14305074630039</v>
      </c>
      <c r="AZ227" s="736">
        <f t="shared" si="115"/>
        <v>237.17818421939654</v>
      </c>
      <c r="BA227" s="633">
        <f t="shared" si="112"/>
        <v>0.98254652784808316</v>
      </c>
      <c r="BC227" s="11">
        <v>43313</v>
      </c>
      <c r="BD227" s="286">
        <f>[2]!FeuilCaduc*(1-Persistant)+Persistant</f>
        <v>0.99963780534709201</v>
      </c>
      <c r="BE227" s="287">
        <f>[2]!CroissVégét</f>
        <v>0.89459569118431537</v>
      </c>
      <c r="BF227" s="806">
        <f>1+[2]!Salcycl*Ksac</f>
        <v>1.0499547256683865</v>
      </c>
      <c r="BH227" s="1036">
        <f t="shared" si="113"/>
        <v>5.1208781304095917E-3</v>
      </c>
      <c r="BI227" s="11">
        <v>44409</v>
      </c>
      <c r="BJ227" s="716">
        <v>9.3062462418154056E-4</v>
      </c>
      <c r="BK227" s="716">
        <v>1.4932034564930242E-3</v>
      </c>
      <c r="BL227" s="716">
        <v>2.1219219029175304E-3</v>
      </c>
      <c r="BM227" s="716">
        <v>2.8919059920560625E-3</v>
      </c>
      <c r="BN227" s="716">
        <v>3.9148945658740815E-3</v>
      </c>
      <c r="BO227" s="717">
        <v>5.1336393313484111E-3</v>
      </c>
      <c r="BP227" s="716">
        <v>6.5747044365899003E-3</v>
      </c>
      <c r="BQ227" s="716">
        <v>8.2039923183863644E-3</v>
      </c>
      <c r="BR227" s="716">
        <v>1.0125289642512136E-2</v>
      </c>
      <c r="BS227" s="716">
        <v>1.2276977374054589E-2</v>
      </c>
      <c r="BT227" s="716">
        <v>1.4583650804595675E-2</v>
      </c>
      <c r="BW227" s="1166">
        <f>'2022'!R\Max</f>
        <v>0.98254652784808316</v>
      </c>
      <c r="BX227" s="1167">
        <f>'2023'!R\Max</f>
        <v>0.98254519848897681</v>
      </c>
      <c r="BY227" s="1167">
        <f>'2024'!R\Max</f>
        <v>0.98254371726951217</v>
      </c>
      <c r="BZ227" s="1167">
        <f>'2025'!R\Max</f>
        <v>0.98254221393126884</v>
      </c>
      <c r="CA227" s="1167">
        <f>'2026'!R\Max</f>
        <v>0.98254047497483799</v>
      </c>
      <c r="CB227" s="1167">
        <f>'2027'!R\Max</f>
        <v>0.98253870172393831</v>
      </c>
      <c r="CC227" s="1168">
        <f>'2028'!R\Max</f>
        <v>0.98253674241054179</v>
      </c>
      <c r="CD227" s="1167">
        <f>'2029'!R\Max</f>
        <v>0.98254659428074398</v>
      </c>
      <c r="CE227" s="1167">
        <f>'2030'!R\Max</f>
        <v>0.98254526492866778</v>
      </c>
      <c r="CF227" s="1169">
        <f>'2031'!R\Max</f>
        <v>0.98254379239596457</v>
      </c>
    </row>
    <row r="228" spans="1:84" s="6" customFormat="1" ht="11.25" x14ac:dyDescent="0.2">
      <c r="A228" s="11">
        <v>43314</v>
      </c>
      <c r="B228" s="375">
        <f>'2022'!Maxi_hp</f>
        <v>233.02707544021914</v>
      </c>
      <c r="C228" s="13">
        <f>'2022'!An_max</f>
        <v>2022</v>
      </c>
      <c r="D228" s="1045">
        <f t="shared" si="97"/>
        <v>0.98535784402590665</v>
      </c>
      <c r="E228" s="13"/>
      <c r="F228" s="13">
        <f t="shared" si="114"/>
        <v>17</v>
      </c>
      <c r="G228" s="13">
        <f t="shared" si="98"/>
        <v>16</v>
      </c>
      <c r="H228" s="169">
        <f t="shared" si="99"/>
        <v>43318</v>
      </c>
      <c r="I228" s="743">
        <f t="shared" si="100"/>
        <v>0.2857142857142857</v>
      </c>
      <c r="J228" s="736">
        <f t="shared" si="101"/>
        <v>236.48979591833694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38">
        <v>43314</v>
      </c>
      <c r="AP228" s="13">
        <f t="shared" si="102"/>
        <v>9</v>
      </c>
      <c r="AQ228" s="13">
        <f t="shared" si="103"/>
        <v>10</v>
      </c>
      <c r="AR228" s="169">
        <f t="shared" si="104"/>
        <v>43304</v>
      </c>
      <c r="AS228" s="743">
        <f t="shared" si="105"/>
        <v>0.35714285714285715</v>
      </c>
      <c r="AT228" s="759">
        <f t="shared" si="106"/>
        <v>236.62509110548663</v>
      </c>
      <c r="AU228" s="13">
        <f t="shared" si="107"/>
        <v>9</v>
      </c>
      <c r="AV228" s="13">
        <f t="shared" si="108"/>
        <v>8</v>
      </c>
      <c r="AW228" s="169">
        <f t="shared" si="109"/>
        <v>43318</v>
      </c>
      <c r="AX228" s="743">
        <f t="shared" si="110"/>
        <v>0.14285714285714285</v>
      </c>
      <c r="AY228" s="759">
        <f t="shared" si="111"/>
        <v>236.53352769591979</v>
      </c>
      <c r="AZ228" s="736">
        <f t="shared" si="115"/>
        <v>236.57930940070321</v>
      </c>
      <c r="BA228" s="633">
        <f t="shared" si="112"/>
        <v>0.98535784402590665</v>
      </c>
      <c r="BC228" s="11">
        <v>43314</v>
      </c>
      <c r="BD228" s="286">
        <f>[2]!FeuilCaduc*(1-Persistant)+Persistant</f>
        <v>0.9995205369695489</v>
      </c>
      <c r="BE228" s="287">
        <f>[2]!CroissVégét</f>
        <v>0.89841979735358901</v>
      </c>
      <c r="BF228" s="806">
        <f>1+[2]!Salcycl*Ksac</f>
        <v>1.0499400671211936</v>
      </c>
      <c r="BH228" s="1036">
        <f t="shared" si="113"/>
        <v>5.2534946655747126E-3</v>
      </c>
      <c r="BI228" s="11">
        <v>44410</v>
      </c>
      <c r="BJ228" s="716">
        <v>9.9835900690700783E-4</v>
      </c>
      <c r="BK228" s="716">
        <v>1.5795376293329174E-3</v>
      </c>
      <c r="BL228" s="716">
        <v>2.226986807509363E-3</v>
      </c>
      <c r="BM228" s="716">
        <v>3.0116195179064813E-3</v>
      </c>
      <c r="BN228" s="716">
        <v>4.0401168319339547E-3</v>
      </c>
      <c r="BO228" s="717">
        <v>5.2663341094984469E-3</v>
      </c>
      <c r="BP228" s="716">
        <v>6.7206993795586546E-3</v>
      </c>
      <c r="BQ228" s="716">
        <v>8.3744717086825394E-3</v>
      </c>
      <c r="BR228" s="716">
        <v>1.0318589179089619E-2</v>
      </c>
      <c r="BS228" s="716">
        <v>1.2492550277363165E-2</v>
      </c>
      <c r="BT228" s="716">
        <v>1.4819790532365885E-2</v>
      </c>
      <c r="BW228" s="1166">
        <f>'2022'!R\Max</f>
        <v>0.98535784402590665</v>
      </c>
      <c r="BX228" s="1167">
        <f>'2023'!R\Max</f>
        <v>0.98535671256199731</v>
      </c>
      <c r="BY228" s="1167">
        <f>'2024'!R\Max</f>
        <v>0.98535544482670134</v>
      </c>
      <c r="BZ228" s="1167">
        <f>'2025'!R\Max</f>
        <v>0.98535415792574577</v>
      </c>
      <c r="CA228" s="1167">
        <f>'2026'!R\Max</f>
        <v>0.98535267257608417</v>
      </c>
      <c r="CB228" s="1167">
        <f>'2027'!R\Max</f>
        <v>0.98535115932520112</v>
      </c>
      <c r="CC228" s="1168">
        <f>'2028'!R\Max</f>
        <v>0.98534948883724083</v>
      </c>
      <c r="CD228" s="1167">
        <f>'2029'!R\Max</f>
        <v>0.98535790056901151</v>
      </c>
      <c r="CE228" s="1167">
        <f>'2030'!R\Max</f>
        <v>0.98535676911118053</v>
      </c>
      <c r="CF228" s="1169">
        <f>'2031'!R\Max</f>
        <v>0.98535550913702652</v>
      </c>
    </row>
    <row r="229" spans="1:84" s="6" customFormat="1" ht="11.25" x14ac:dyDescent="0.2">
      <c r="A229" s="11">
        <v>43315</v>
      </c>
      <c r="B229" s="375">
        <f>'2022'!Maxi_hp</f>
        <v>221.2701847087576</v>
      </c>
      <c r="C229" s="13">
        <f>'2022'!An_max</f>
        <v>2022</v>
      </c>
      <c r="D229" s="1045" t="str">
        <f t="shared" si="97"/>
        <v/>
      </c>
      <c r="E229" s="13"/>
      <c r="F229" s="13">
        <f t="shared" si="114"/>
        <v>17</v>
      </c>
      <c r="G229" s="13">
        <f t="shared" si="98"/>
        <v>16</v>
      </c>
      <c r="H229" s="169">
        <f t="shared" si="99"/>
        <v>43318</v>
      </c>
      <c r="I229" s="743">
        <f t="shared" si="100"/>
        <v>0.21428571428571427</v>
      </c>
      <c r="J229" s="736">
        <f t="shared" si="101"/>
        <v>235.88265306087479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38">
        <v>43315</v>
      </c>
      <c r="AP229" s="13">
        <f t="shared" si="102"/>
        <v>9</v>
      </c>
      <c r="AQ229" s="13">
        <f t="shared" si="103"/>
        <v>10</v>
      </c>
      <c r="AR229" s="169">
        <f t="shared" si="104"/>
        <v>43304</v>
      </c>
      <c r="AS229" s="743">
        <f t="shared" si="105"/>
        <v>0.39285714285714285</v>
      </c>
      <c r="AT229" s="759">
        <f t="shared" si="106"/>
        <v>236.02533937469124</v>
      </c>
      <c r="AU229" s="13">
        <f t="shared" si="107"/>
        <v>9</v>
      </c>
      <c r="AV229" s="13">
        <f t="shared" si="108"/>
        <v>8</v>
      </c>
      <c r="AW229" s="169">
        <f t="shared" si="109"/>
        <v>43318</v>
      </c>
      <c r="AX229" s="743">
        <f t="shared" si="110"/>
        <v>0.10714285714285714</v>
      </c>
      <c r="AY229" s="759">
        <f t="shared" si="111"/>
        <v>235.91425610392221</v>
      </c>
      <c r="AZ229" s="736">
        <f t="shared" si="115"/>
        <v>235.96979773930673</v>
      </c>
      <c r="BA229" s="633">
        <f t="shared" si="112"/>
        <v>0.93805195862221324</v>
      </c>
      <c r="BC229" s="11">
        <v>43315</v>
      </c>
      <c r="BD229" s="286">
        <f>[2]!FeuilCaduc*(1-Persistant)+Persistant</f>
        <v>0.99938087988317947</v>
      </c>
      <c r="BE229" s="287">
        <f>[2]!CroissVégét</f>
        <v>0.90212075799903491</v>
      </c>
      <c r="BF229" s="806">
        <f>1+[2]!Salcycl*Ksac</f>
        <v>1.0499226099853973</v>
      </c>
      <c r="BH229" s="1036">
        <f t="shared" si="113"/>
        <v>5.3825852241757228E-3</v>
      </c>
      <c r="BI229" s="11">
        <v>44411</v>
      </c>
      <c r="BJ229" s="716">
        <v>1.064726149274072E-3</v>
      </c>
      <c r="BK229" s="716">
        <v>1.6632870218084971E-3</v>
      </c>
      <c r="BL229" s="716">
        <v>2.3288776216672359E-3</v>
      </c>
      <c r="BM229" s="716">
        <v>3.1280764027070847E-3</v>
      </c>
      <c r="BN229" s="716">
        <v>4.1623036206827327E-3</v>
      </c>
      <c r="BO229" s="717">
        <v>5.3954977208316096E-3</v>
      </c>
      <c r="BP229" s="716">
        <v>6.8620776140510967E-3</v>
      </c>
      <c r="BQ229" s="716">
        <v>8.5386373131050713E-3</v>
      </c>
      <c r="BR229" s="716">
        <v>1.0504408517344426E-2</v>
      </c>
      <c r="BS229" s="716">
        <v>1.2701023246710666E-2</v>
      </c>
      <c r="BT229" s="716">
        <v>1.5050424105832367E-2</v>
      </c>
      <c r="BW229" s="1166">
        <f>'2022'!R\Max</f>
        <v>0.93805195862221324</v>
      </c>
      <c r="BX229" s="1167">
        <f>'2023'!R\Max</f>
        <v>0.93804735199648503</v>
      </c>
      <c r="BY229" s="1167">
        <f>'2024'!R\Max</f>
        <v>0.9380421636217886</v>
      </c>
      <c r="BZ229" s="1167">
        <f>'2025'!R\Max</f>
        <v>0.93803689626440601</v>
      </c>
      <c r="CA229" s="1167">
        <f>'2026'!R\Max</f>
        <v>0.93803082748220812</v>
      </c>
      <c r="CB229" s="1167">
        <f>'2027'!R\Max</f>
        <v>0.93802464989099832</v>
      </c>
      <c r="CC229" s="1168">
        <f>'2028'!R\Max</f>
        <v>0.93801783208170442</v>
      </c>
      <c r="CD229" s="1167">
        <f>'2029'!R\Max</f>
        <v>0.93805218883175556</v>
      </c>
      <c r="CE229" s="1167">
        <f>'2030'!R\Max</f>
        <v>0.93804758222931683</v>
      </c>
      <c r="CF229" s="1169">
        <f>'2031'!R\Max</f>
        <v>0.9380424268484483</v>
      </c>
    </row>
    <row r="230" spans="1:84" s="6" customFormat="1" ht="11.25" x14ac:dyDescent="0.2">
      <c r="A230" s="11">
        <v>43316</v>
      </c>
      <c r="B230" s="375">
        <f>'2022'!Maxi_hp</f>
        <v>210.00134100981151</v>
      </c>
      <c r="C230" s="13">
        <f>'2022'!An_max</f>
        <v>2022</v>
      </c>
      <c r="D230" s="1045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69">
        <f t="shared" si="99"/>
        <v>43318</v>
      </c>
      <c r="I230" s="743">
        <f t="shared" si="100"/>
        <v>0.14285714285714285</v>
      </c>
      <c r="J230" s="736">
        <f t="shared" si="101"/>
        <v>235.26530612515552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38">
        <v>43316</v>
      </c>
      <c r="AP230" s="13">
        <f t="shared" si="102"/>
        <v>9</v>
      </c>
      <c r="AQ230" s="13">
        <f t="shared" si="103"/>
        <v>10</v>
      </c>
      <c r="AR230" s="169">
        <f t="shared" si="104"/>
        <v>43304</v>
      </c>
      <c r="AS230" s="743">
        <f t="shared" si="105"/>
        <v>0.42857142857142855</v>
      </c>
      <c r="AT230" s="759">
        <f t="shared" si="106"/>
        <v>235.41399416731937</v>
      </c>
      <c r="AU230" s="13">
        <f t="shared" si="107"/>
        <v>9</v>
      </c>
      <c r="AV230" s="13">
        <f t="shared" si="108"/>
        <v>8</v>
      </c>
      <c r="AW230" s="169">
        <f t="shared" si="109"/>
        <v>43318</v>
      </c>
      <c r="AX230" s="743">
        <f t="shared" si="110"/>
        <v>7.1428571428571425E-2</v>
      </c>
      <c r="AY230" s="759">
        <f t="shared" si="111"/>
        <v>235.28544096308096</v>
      </c>
      <c r="AZ230" s="736">
        <f t="shared" si="115"/>
        <v>235.34971756520017</v>
      </c>
      <c r="BA230" s="633">
        <f t="shared" si="112"/>
        <v>0.89261499907723674</v>
      </c>
      <c r="BC230" s="11">
        <v>43316</v>
      </c>
      <c r="BD230" s="286">
        <f>[2]!FeuilCaduc*(1-Persistant)+Persistant</f>
        <v>0.99921984492289773</v>
      </c>
      <c r="BE230" s="287">
        <f>[2]!CroissVégét</f>
        <v>0.90570145106838851</v>
      </c>
      <c r="BF230" s="806">
        <f>1+[2]!Salcycl*Ksac</f>
        <v>1.0499024806153623</v>
      </c>
      <c r="BH230" s="1036">
        <f t="shared" si="113"/>
        <v>5.5081531519196418E-3</v>
      </c>
      <c r="BI230" s="11">
        <v>44412</v>
      </c>
      <c r="BJ230" s="716">
        <v>1.1297280729663964E-3</v>
      </c>
      <c r="BK230" s="716">
        <v>1.7444543550028835E-3</v>
      </c>
      <c r="BL230" s="716">
        <v>2.4275975870772246E-3</v>
      </c>
      <c r="BM230" s="716">
        <v>3.2412801249423022E-3</v>
      </c>
      <c r="BN230" s="716">
        <v>4.2814582471634478E-3</v>
      </c>
      <c r="BO230" s="717">
        <v>5.5211335113793903E-3</v>
      </c>
      <c r="BP230" s="716">
        <v>6.9988427795019586E-3</v>
      </c>
      <c r="BQ230" s="716">
        <v>8.6964934912961683E-3</v>
      </c>
      <c r="BR230" s="716">
        <v>1.0682752476509386E-2</v>
      </c>
      <c r="BS230" s="716">
        <v>1.290240107925794E-2</v>
      </c>
      <c r="BT230" s="716">
        <v>1.5275555892929648E-2</v>
      </c>
      <c r="BW230" s="1166">
        <f>'2022'!R\Max</f>
        <v>0.89261499907723674</v>
      </c>
      <c r="BX230" s="1167">
        <f>'2023'!R\Max</f>
        <v>0.89260732393423148</v>
      </c>
      <c r="BY230" s="1167">
        <f>'2024'!R\Max</f>
        <v>0.89259863719480181</v>
      </c>
      <c r="BZ230" s="1167">
        <f>'2025'!R\Max</f>
        <v>0.89258981784129832</v>
      </c>
      <c r="CA230" s="1167">
        <f>'2026'!R\Max</f>
        <v>0.89257967075196543</v>
      </c>
      <c r="CB230" s="1167">
        <f>'2027'!R\Max</f>
        <v>0.89256934955296663</v>
      </c>
      <c r="CC230" s="1168">
        <f>'2028'!R\Max</f>
        <v>0.89255795382162628</v>
      </c>
      <c r="CD230" s="1167">
        <f>'2029'!R\Max</f>
        <v>0.89261538263280771</v>
      </c>
      <c r="CE230" s="1167">
        <f>'2030'!R\Max</f>
        <v>0.892607707526205</v>
      </c>
      <c r="CF230" s="1169">
        <f>'2031'!R\Max</f>
        <v>0.89259907792757565</v>
      </c>
    </row>
    <row r="231" spans="1:84" s="6" customFormat="1" ht="11.25" x14ac:dyDescent="0.2">
      <c r="A231" s="11">
        <v>43317</v>
      </c>
      <c r="B231" s="375">
        <f>'2022'!Maxi_hp</f>
        <v>195.40472194340191</v>
      </c>
      <c r="C231" s="13">
        <f>'2022'!An_max</f>
        <v>2022</v>
      </c>
      <c r="D231" s="1045" t="str">
        <f t="shared" si="97"/>
        <v/>
      </c>
      <c r="E231" s="13"/>
      <c r="F231" s="13">
        <f t="shared" si="114"/>
        <v>17</v>
      </c>
      <c r="G231" s="13">
        <f t="shared" si="98"/>
        <v>16</v>
      </c>
      <c r="H231" s="169">
        <f t="shared" si="99"/>
        <v>43318</v>
      </c>
      <c r="I231" s="743">
        <f t="shared" si="100"/>
        <v>7.1428571428571425E-2</v>
      </c>
      <c r="J231" s="736">
        <f t="shared" si="101"/>
        <v>234.63775510340929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38">
        <v>43317</v>
      </c>
      <c r="AP231" s="13">
        <f t="shared" si="102"/>
        <v>9</v>
      </c>
      <c r="AQ231" s="13">
        <f t="shared" si="103"/>
        <v>10</v>
      </c>
      <c r="AR231" s="169">
        <f t="shared" si="104"/>
        <v>43304</v>
      </c>
      <c r="AS231" s="743">
        <f t="shared" si="105"/>
        <v>0.4642857142857143</v>
      </c>
      <c r="AT231" s="759">
        <f t="shared" si="106"/>
        <v>234.79098715116933</v>
      </c>
      <c r="AU231" s="13">
        <f t="shared" si="107"/>
        <v>9</v>
      </c>
      <c r="AV231" s="13">
        <f t="shared" si="108"/>
        <v>8</v>
      </c>
      <c r="AW231" s="169">
        <f t="shared" si="109"/>
        <v>43318</v>
      </c>
      <c r="AX231" s="743">
        <f t="shared" si="110"/>
        <v>3.5714285714285712E-2</v>
      </c>
      <c r="AY231" s="759">
        <f t="shared" si="111"/>
        <v>234.64728726329548</v>
      </c>
      <c r="AZ231" s="736">
        <f t="shared" si="115"/>
        <v>234.71913720723239</v>
      </c>
      <c r="BA231" s="633">
        <f t="shared" si="112"/>
        <v>0.83279317881848702</v>
      </c>
      <c r="BC231" s="11">
        <v>43317</v>
      </c>
      <c r="BD231" s="286">
        <f>[2]!FeuilCaduc*(1-Persistant)+Persistant</f>
        <v>0.99903825582980099</v>
      </c>
      <c r="BE231" s="287">
        <f>[2]!CroissVégét</f>
        <v>0.90916476701567317</v>
      </c>
      <c r="BF231" s="806">
        <f>1+[2]!Salcycl*Ksac</f>
        <v>1.0498797819787251</v>
      </c>
      <c r="BH231" s="1036">
        <f t="shared" si="113"/>
        <v>5.6302014628112004E-3</v>
      </c>
      <c r="BI231" s="11">
        <v>44413</v>
      </c>
      <c r="BJ231" s="716">
        <v>1.1933666549829396E-3</v>
      </c>
      <c r="BK231" s="716">
        <v>1.823042119438051E-3</v>
      </c>
      <c r="BL231" s="716">
        <v>2.523149663092574E-3</v>
      </c>
      <c r="BM231" s="716">
        <v>3.3512338607428159E-3</v>
      </c>
      <c r="BN231" s="716">
        <v>4.3975837298332512E-3</v>
      </c>
      <c r="BO231" s="717">
        <v>5.6432444950994072E-3</v>
      </c>
      <c r="BP231" s="716">
        <v>7.1309981094776972E-3</v>
      </c>
      <c r="BQ231" s="716">
        <v>8.848044078272152E-3</v>
      </c>
      <c r="BR231" s="716">
        <v>1.0853625262913015E-2</v>
      </c>
      <c r="BS231" s="716">
        <v>1.3096687955796391E-2</v>
      </c>
      <c r="BT231" s="716">
        <v>1.5495189709628772E-2</v>
      </c>
      <c r="BW231" s="1166">
        <f>'2022'!R\Max</f>
        <v>0.83279317881848702</v>
      </c>
      <c r="BX231" s="1167">
        <f>'2023'!R\Max</f>
        <v>0.83278192522675454</v>
      </c>
      <c r="BY231" s="1167">
        <f>'2024'!R\Max</f>
        <v>0.83276912992207586</v>
      </c>
      <c r="BZ231" s="1167">
        <f>'2025'!R\Max</f>
        <v>0.83275613945189486</v>
      </c>
      <c r="CA231" s="1167">
        <f>'2026'!R\Max</f>
        <v>0.83274120845002719</v>
      </c>
      <c r="CB231" s="1167">
        <f>'2027'!R\Max</f>
        <v>0.83272603167110693</v>
      </c>
      <c r="CC231" s="1168">
        <f>'2028'!R\Max</f>
        <v>0.83270925662878392</v>
      </c>
      <c r="CD231" s="1167">
        <f>'2029'!R\Max</f>
        <v>0.83279374120510474</v>
      </c>
      <c r="CE231" s="1167">
        <f>'2030'!R\Max</f>
        <v>0.8327824876618054</v>
      </c>
      <c r="CF231" s="1169">
        <f>'2031'!R\Max</f>
        <v>0.83276977910287253</v>
      </c>
    </row>
    <row r="232" spans="1:84" s="6" customFormat="1" ht="11.25" x14ac:dyDescent="0.2">
      <c r="A232" s="11">
        <v>43318</v>
      </c>
      <c r="B232" s="375">
        <f>'2022'!Maxi_hp</f>
        <v>209.60816001041005</v>
      </c>
      <c r="C232" s="13">
        <f>'2022'!An_max</f>
        <v>2022</v>
      </c>
      <c r="D232" s="1045" t="str">
        <f t="shared" si="97"/>
        <v/>
      </c>
      <c r="E232" s="1040">
        <f>AC$13/10</f>
        <v>234</v>
      </c>
      <c r="F232" s="13">
        <f t="shared" si="114"/>
        <v>17</v>
      </c>
      <c r="G232" s="13">
        <f t="shared" si="98"/>
        <v>18</v>
      </c>
      <c r="H232" s="169">
        <f t="shared" si="99"/>
        <v>43318</v>
      </c>
      <c r="I232" s="743">
        <f t="shared" si="100"/>
        <v>0</v>
      </c>
      <c r="J232" s="736">
        <f t="shared" si="101"/>
        <v>234.00000000298024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38">
        <v>43318</v>
      </c>
      <c r="AP232" s="13">
        <f t="shared" si="102"/>
        <v>9</v>
      </c>
      <c r="AQ232" s="13">
        <f t="shared" si="103"/>
        <v>10</v>
      </c>
      <c r="AR232" s="169">
        <f t="shared" si="104"/>
        <v>43304</v>
      </c>
      <c r="AS232" s="743">
        <f t="shared" si="105"/>
        <v>0.5</v>
      </c>
      <c r="AT232" s="759">
        <f t="shared" si="106"/>
        <v>234.15624999776483</v>
      </c>
      <c r="AU232" s="13">
        <f t="shared" si="107"/>
        <v>9</v>
      </c>
      <c r="AV232" s="13">
        <f t="shared" si="108"/>
        <v>10</v>
      </c>
      <c r="AW232" s="169">
        <f t="shared" si="109"/>
        <v>43318</v>
      </c>
      <c r="AX232" s="743">
        <f t="shared" si="110"/>
        <v>0</v>
      </c>
      <c r="AY232" s="759">
        <f t="shared" si="111"/>
        <v>234</v>
      </c>
      <c r="AZ232" s="736">
        <f t="shared" si="115"/>
        <v>234.0781249988824</v>
      </c>
      <c r="BA232" s="633">
        <f t="shared" si="112"/>
        <v>0.89576136755444635</v>
      </c>
      <c r="BC232" s="11">
        <v>43318</v>
      </c>
      <c r="BD232" s="286">
        <f>[2]!FeuilCaduc*(1-Persistant)+Persistant</f>
        <v>0.99883675674807082</v>
      </c>
      <c r="BE232" s="287">
        <f>[2]!CroissVégét</f>
        <v>0.91251360163473627</v>
      </c>
      <c r="BF232" s="806">
        <f>1+[2]!Salcycl*Ksac</f>
        <v>1.0498545945935089</v>
      </c>
      <c r="BH232" s="1036">
        <f t="shared" si="113"/>
        <v>5.7487328483670228E-3</v>
      </c>
      <c r="BI232" s="11">
        <v>44414</v>
      </c>
      <c r="BJ232" s="716">
        <v>1.255643631173554E-3</v>
      </c>
      <c r="BK232" s="716">
        <v>1.8990525817720681E-3</v>
      </c>
      <c r="BL232" s="716">
        <v>2.6155365349663316E-3</v>
      </c>
      <c r="BM232" s="716">
        <v>3.4579404923462723E-3</v>
      </c>
      <c r="BN232" s="716">
        <v>4.5106827984766652E-3</v>
      </c>
      <c r="BO232" s="717">
        <v>5.7618333631033495E-3</v>
      </c>
      <c r="BP232" s="716">
        <v>7.2585464437510162E-3</v>
      </c>
      <c r="BQ232" s="716">
        <v>8.9932924009290174E-3</v>
      </c>
      <c r="BR232" s="716">
        <v>1.101703048954987E-2</v>
      </c>
      <c r="BS232" s="716">
        <v>1.3283887459381661E-2</v>
      </c>
      <c r="BT232" s="716">
        <v>1.5709328834494631E-2</v>
      </c>
      <c r="BW232" s="1166">
        <f>'2022'!R\Max</f>
        <v>0.89576136755444635</v>
      </c>
      <c r="BX232" s="1167">
        <f>'2023'!R\Max</f>
        <v>0.89575375683770464</v>
      </c>
      <c r="BY232" s="1167">
        <f>'2024'!R\Max</f>
        <v>0.89574506607083315</v>
      </c>
      <c r="BZ232" s="1167">
        <f>'2025'!R\Max</f>
        <v>0.8957362430646163</v>
      </c>
      <c r="CA232" s="1167">
        <f>'2026'!R\Max</f>
        <v>0.89572610837529276</v>
      </c>
      <c r="CB232" s="1167">
        <f>'2027'!R\Max</f>
        <v>0.89571581295379121</v>
      </c>
      <c r="CC232" s="1168">
        <f>'2028'!R\Max</f>
        <v>0.89570441323653482</v>
      </c>
      <c r="CD232" s="1167">
        <f>'2029'!R\Max</f>
        <v>0.89576174788995377</v>
      </c>
      <c r="CE232" s="1167">
        <f>'2030'!R\Max</f>
        <v>0.89575413721015174</v>
      </c>
      <c r="CF232" s="1169">
        <f>'2031'!R\Max</f>
        <v>0.89574550698532651</v>
      </c>
    </row>
    <row r="233" spans="1:84" s="6" customFormat="1" ht="11.25" x14ac:dyDescent="0.2">
      <c r="A233" s="11">
        <v>43319</v>
      </c>
      <c r="B233" s="375">
        <f>'2022'!Maxi_hp</f>
        <v>224.01849945723848</v>
      </c>
      <c r="C233" s="13">
        <f>'2022'!An_max</f>
        <v>2022</v>
      </c>
      <c r="D233" s="1045" t="str">
        <f t="shared" si="97"/>
        <v/>
      </c>
      <c r="E233" s="13"/>
      <c r="F233" s="13">
        <f t="shared" si="114"/>
        <v>17</v>
      </c>
      <c r="G233" s="13">
        <f t="shared" si="98"/>
        <v>18</v>
      </c>
      <c r="H233" s="169">
        <f t="shared" si="99"/>
        <v>43318</v>
      </c>
      <c r="I233" s="743">
        <f t="shared" si="100"/>
        <v>7.1428571428571425E-2</v>
      </c>
      <c r="J233" s="736">
        <f t="shared" si="101"/>
        <v>233.35322521914333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38">
        <v>43319</v>
      </c>
      <c r="AP233" s="13">
        <f t="shared" si="102"/>
        <v>9</v>
      </c>
      <c r="AQ233" s="13">
        <f t="shared" si="103"/>
        <v>10</v>
      </c>
      <c r="AR233" s="169">
        <f t="shared" si="104"/>
        <v>43304</v>
      </c>
      <c r="AS233" s="743">
        <f t="shared" si="105"/>
        <v>0.5357142857142857</v>
      </c>
      <c r="AT233" s="759">
        <f t="shared" si="106"/>
        <v>233.50971437463804</v>
      </c>
      <c r="AU233" s="13">
        <f t="shared" si="107"/>
        <v>9</v>
      </c>
      <c r="AV233" s="13">
        <f t="shared" si="108"/>
        <v>10</v>
      </c>
      <c r="AW233" s="169">
        <f t="shared" si="109"/>
        <v>43318</v>
      </c>
      <c r="AX233" s="743">
        <f t="shared" si="110"/>
        <v>3.5714285714285712E-2</v>
      </c>
      <c r="AY233" s="759">
        <f t="shared" si="111"/>
        <v>233.34371583355323</v>
      </c>
      <c r="AZ233" s="736">
        <f t="shared" si="115"/>
        <v>233.42671510409565</v>
      </c>
      <c r="BA233" s="633">
        <f t="shared" si="112"/>
        <v>0.95999744270455845</v>
      </c>
      <c r="BC233" s="11">
        <v>43319</v>
      </c>
      <c r="BD233" s="286">
        <f>[2]!FeuilCaduc*(1-Persistant)+Persistant</f>
        <v>0.99861582046760844</v>
      </c>
      <c r="BE233" s="287">
        <f>[2]!CroissVégét</f>
        <v>0.91575084939386342</v>
      </c>
      <c r="BF233" s="806">
        <f>1+[2]!Salcycl*Ksac</f>
        <v>1.049826977558451</v>
      </c>
      <c r="BH233" s="1036">
        <f t="shared" si="113"/>
        <v>5.8637496868044325E-3</v>
      </c>
      <c r="BI233" s="11">
        <v>44415</v>
      </c>
      <c r="BJ233" s="716">
        <v>1.3165605997694952E-3</v>
      </c>
      <c r="BK233" s="716">
        <v>1.9724877914884167E-3</v>
      </c>
      <c r="BL233" s="716">
        <v>2.7047606220729028E-3</v>
      </c>
      <c r="BM233" s="716">
        <v>3.5614026165431672E-3</v>
      </c>
      <c r="BN233" s="716">
        <v>4.6207579020991684E-3</v>
      </c>
      <c r="BO233" s="717">
        <v>5.8769024928594926E-3</v>
      </c>
      <c r="BP233" s="716">
        <v>7.3814902403430372E-3</v>
      </c>
      <c r="BQ233" s="716">
        <v>9.1322412945077595E-3</v>
      </c>
      <c r="BR233" s="716">
        <v>1.11729711956014E-2</v>
      </c>
      <c r="BS233" s="716">
        <v>1.3464002593907476E-2</v>
      </c>
      <c r="BT233" s="716">
        <v>1.5917976023172568E-2</v>
      </c>
      <c r="BW233" s="1166">
        <f>'2022'!R\Max</f>
        <v>0.95999744270455845</v>
      </c>
      <c r="BX233" s="1167">
        <f>'2023'!R\Max</f>
        <v>0.95999428806385112</v>
      </c>
      <c r="BY233" s="1167">
        <f>'2024'!R\Max</f>
        <v>0.95999067116803793</v>
      </c>
      <c r="BZ233" s="1167">
        <f>'2025'!R\Max</f>
        <v>0.95998699951431443</v>
      </c>
      <c r="CA233" s="1167">
        <f>'2026'!R\Max</f>
        <v>0.95998278311999619</v>
      </c>
      <c r="CB233" s="1167">
        <f>'2027'!R\Max</f>
        <v>0.95997850212102598</v>
      </c>
      <c r="CC233" s="1168">
        <f>'2028'!R\Max</f>
        <v>0.95997375054129663</v>
      </c>
      <c r="CD233" s="1167">
        <f>'2029'!R\Max</f>
        <v>0.95999760035262083</v>
      </c>
      <c r="CE233" s="1167">
        <f>'2030'!R\Max</f>
        <v>0.95999444572900872</v>
      </c>
      <c r="CF233" s="1169">
        <f>'2031'!R\Max</f>
        <v>0.95999085465127831</v>
      </c>
    </row>
    <row r="234" spans="1:84" s="6" customFormat="1" ht="11.25" x14ac:dyDescent="0.2">
      <c r="A234" s="11">
        <v>43320</v>
      </c>
      <c r="B234" s="375">
        <f>'2022'!Maxi_hp</f>
        <v>227.96532559207185</v>
      </c>
      <c r="C234" s="13">
        <f>'2022'!An_max</f>
        <v>2022</v>
      </c>
      <c r="D234" s="1045">
        <f t="shared" si="97"/>
        <v>0.97966067590452099</v>
      </c>
      <c r="E234" s="13"/>
      <c r="F234" s="13">
        <f t="shared" si="114"/>
        <v>17</v>
      </c>
      <c r="G234" s="13">
        <f t="shared" si="98"/>
        <v>18</v>
      </c>
      <c r="H234" s="169">
        <f t="shared" si="99"/>
        <v>43318</v>
      </c>
      <c r="I234" s="743">
        <f t="shared" si="100"/>
        <v>0.14285714285714285</v>
      </c>
      <c r="J234" s="736">
        <f t="shared" si="101"/>
        <v>232.69825073012285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38">
        <v>43320</v>
      </c>
      <c r="AP234" s="13">
        <f t="shared" si="102"/>
        <v>9</v>
      </c>
      <c r="AQ234" s="13">
        <f t="shared" si="103"/>
        <v>10</v>
      </c>
      <c r="AR234" s="169">
        <f t="shared" si="104"/>
        <v>43304</v>
      </c>
      <c r="AS234" s="743">
        <f t="shared" si="105"/>
        <v>0.5714285714285714</v>
      </c>
      <c r="AT234" s="759">
        <f t="shared" si="106"/>
        <v>232.85131195315293</v>
      </c>
      <c r="AU234" s="13">
        <f t="shared" si="107"/>
        <v>9</v>
      </c>
      <c r="AV234" s="13">
        <f t="shared" si="108"/>
        <v>10</v>
      </c>
      <c r="AW234" s="169">
        <f t="shared" si="109"/>
        <v>43318</v>
      </c>
      <c r="AX234" s="743">
        <f t="shared" si="110"/>
        <v>7.1428571428571425E-2</v>
      </c>
      <c r="AY234" s="759">
        <f t="shared" si="111"/>
        <v>232.67829810370296</v>
      </c>
      <c r="AZ234" s="736">
        <f t="shared" si="115"/>
        <v>232.76480502842793</v>
      </c>
      <c r="BA234" s="633">
        <f t="shared" si="112"/>
        <v>0.97966067590452099</v>
      </c>
      <c r="BC234" s="11">
        <v>43320</v>
      </c>
      <c r="BD234" s="286">
        <f>[2]!FeuilCaduc*(1-Persistant)+Persistant</f>
        <v>0.99837575727223327</v>
      </c>
      <c r="BE234" s="287">
        <f>[2]!CroissVégét</f>
        <v>0.91887939725970647</v>
      </c>
      <c r="BF234" s="806">
        <f>1+[2]!Salcycl*Ksac</f>
        <v>1.0497969696590292</v>
      </c>
      <c r="BH234" s="1036">
        <f t="shared" si="113"/>
        <v>5.9766651984055402E-3</v>
      </c>
      <c r="BI234" s="11">
        <v>44416</v>
      </c>
      <c r="BJ234" s="716">
        <v>1.3779708145895016E-3</v>
      </c>
      <c r="BK234" s="716">
        <v>2.0452900557540207E-3</v>
      </c>
      <c r="BL234" s="716">
        <v>2.7923210192433937E-3</v>
      </c>
      <c r="BM234" s="716">
        <v>3.662682990434912E-3</v>
      </c>
      <c r="BN234" s="716">
        <v>4.728837990278849E-3</v>
      </c>
      <c r="BO234" s="717">
        <v>5.9898691708377546E-3</v>
      </c>
      <c r="BP234" s="716">
        <v>7.5014873439443186E-3</v>
      </c>
      <c r="BQ234" s="716">
        <v>9.2662694728887253E-3</v>
      </c>
      <c r="BR234" s="716">
        <v>1.1322041244959275E-2</v>
      </c>
      <c r="BS234" s="716">
        <v>1.363575867033053E-2</v>
      </c>
      <c r="BT234" s="716">
        <v>1.6117364668829768E-2</v>
      </c>
      <c r="BW234" s="1166">
        <f>'2022'!R\Max</f>
        <v>0.97966067590452099</v>
      </c>
      <c r="BX234" s="1167">
        <f>'2023'!R\Max</f>
        <v>0.9796590271874388</v>
      </c>
      <c r="BY234" s="1167">
        <f>'2024'!R\Max</f>
        <v>0.97965713029782586</v>
      </c>
      <c r="BZ234" s="1167">
        <f>'2025'!R\Max</f>
        <v>0.97965520497186021</v>
      </c>
      <c r="CA234" s="1167">
        <f>'2026'!R\Max</f>
        <v>0.9796529942737795</v>
      </c>
      <c r="CB234" s="1167">
        <f>'2027'!R\Max</f>
        <v>0.97965075082945907</v>
      </c>
      <c r="CC234" s="1168">
        <f>'2028'!R\Max</f>
        <v>0.97964825421805657</v>
      </c>
      <c r="CD234" s="1167">
        <f>'2029'!R\Max</f>
        <v>0.97966075829631361</v>
      </c>
      <c r="CE234" s="1167">
        <f>'2030'!R\Max</f>
        <v>0.97965910958849856</v>
      </c>
      <c r="CF234" s="1169">
        <f>'2031'!R\Max</f>
        <v>0.97965722651171749</v>
      </c>
    </row>
    <row r="235" spans="1:84" s="6" customFormat="1" ht="11.25" x14ac:dyDescent="0.2">
      <c r="A235" s="11">
        <v>43321</v>
      </c>
      <c r="B235" s="375">
        <f>'2022'!Maxi_hp</f>
        <v>217.27625624973561</v>
      </c>
      <c r="C235" s="13">
        <f>'2022'!An_max</f>
        <v>2022</v>
      </c>
      <c r="D235" s="1045" t="str">
        <f t="shared" si="97"/>
        <v/>
      </c>
      <c r="E235" s="13"/>
      <c r="F235" s="13">
        <f t="shared" si="114"/>
        <v>17</v>
      </c>
      <c r="G235" s="13">
        <f t="shared" si="98"/>
        <v>18</v>
      </c>
      <c r="H235" s="169">
        <f t="shared" si="99"/>
        <v>43318</v>
      </c>
      <c r="I235" s="743">
        <f t="shared" si="100"/>
        <v>0.21428571428571427</v>
      </c>
      <c r="J235" s="736">
        <f t="shared" si="101"/>
        <v>232.03452988533036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38">
        <v>43321</v>
      </c>
      <c r="AP235" s="13">
        <f t="shared" si="102"/>
        <v>9</v>
      </c>
      <c r="AQ235" s="13">
        <f t="shared" si="103"/>
        <v>10</v>
      </c>
      <c r="AR235" s="169">
        <f t="shared" si="104"/>
        <v>43304</v>
      </c>
      <c r="AS235" s="743">
        <f t="shared" si="105"/>
        <v>0.6071428571428571</v>
      </c>
      <c r="AT235" s="759">
        <f t="shared" si="106"/>
        <v>232.18097439663751</v>
      </c>
      <c r="AU235" s="13">
        <f t="shared" si="107"/>
        <v>9</v>
      </c>
      <c r="AV235" s="13">
        <f t="shared" si="108"/>
        <v>10</v>
      </c>
      <c r="AW235" s="169">
        <f t="shared" si="109"/>
        <v>43318</v>
      </c>
      <c r="AX235" s="743">
        <f t="shared" si="110"/>
        <v>0.10714285714285714</v>
      </c>
      <c r="AY235" s="759">
        <f t="shared" si="111"/>
        <v>232.0035418188466</v>
      </c>
      <c r="AZ235" s="736">
        <f t="shared" si="115"/>
        <v>232.09225810774205</v>
      </c>
      <c r="BA235" s="633">
        <f t="shared" si="112"/>
        <v>0.93639621808491968</v>
      </c>
      <c r="BC235" s="11">
        <v>43321</v>
      </c>
      <c r="BD235" s="286">
        <f>[2]!FeuilCaduc*(1-Persistant)+Persistant</f>
        <v>0.99811672425118192</v>
      </c>
      <c r="BE235" s="287">
        <f>[2]!CroissVégét</f>
        <v>0.92190211899696306</v>
      </c>
      <c r="BF235" s="806">
        <f>1+[2]!Salcycl*Ksac</f>
        <v>1.0497645905313977</v>
      </c>
      <c r="BH235" s="1036">
        <f t="shared" si="113"/>
        <v>6.0895081206388726E-3</v>
      </c>
      <c r="BI235" s="11">
        <v>44417</v>
      </c>
      <c r="BJ235" s="716">
        <v>1.439446589224022E-3</v>
      </c>
      <c r="BK235" s="716">
        <v>2.1183831703787599E-3</v>
      </c>
      <c r="BL235" s="716">
        <v>2.8796764537033608E-3</v>
      </c>
      <c r="BM235" s="716">
        <v>3.7631880224819419E-3</v>
      </c>
      <c r="BN235" s="716">
        <v>4.8363866726314911E-3</v>
      </c>
      <c r="BO235" s="717">
        <v>6.1027681144472665E-3</v>
      </c>
      <c r="BP235" s="716">
        <v>7.6214951245215283E-3</v>
      </c>
      <c r="BQ235" s="716">
        <v>9.3994429841732698E-3</v>
      </c>
      <c r="BR235" s="716">
        <v>1.1469402838251236E-2</v>
      </c>
      <c r="BS235" s="716">
        <v>1.3804292306971238E-2</v>
      </c>
      <c r="BT235" s="716">
        <v>1.6311730976050029E-2</v>
      </c>
      <c r="BW235" s="1166">
        <f>'2022'!R\Max</f>
        <v>0.93639621808491968</v>
      </c>
      <c r="BX235" s="1167">
        <f>'2023'!R\Max</f>
        <v>0.93639125398280243</v>
      </c>
      <c r="BY235" s="1167">
        <f>'2024'!R\Max</f>
        <v>0.93638552585361234</v>
      </c>
      <c r="BZ235" s="1167">
        <f>'2025'!R\Max</f>
        <v>0.93637971308308887</v>
      </c>
      <c r="CA235" s="1167">
        <f>'2026'!R\Max</f>
        <v>0.93637303927983939</v>
      </c>
      <c r="CB235" s="1167">
        <f>'2027'!R\Max</f>
        <v>0.93636626993894101</v>
      </c>
      <c r="CC235" s="1168">
        <f>'2028'!R\Max</f>
        <v>0.93635871885771793</v>
      </c>
      <c r="CD235" s="1167">
        <f>'2029'!R\Max</f>
        <v>0.93639646615819272</v>
      </c>
      <c r="CE235" s="1167">
        <f>'2030'!R\Max</f>
        <v>0.93639150208239386</v>
      </c>
      <c r="CF235" s="1169">
        <f>'2031'!R\Max</f>
        <v>0.93638581633500373</v>
      </c>
    </row>
    <row r="236" spans="1:84" s="6" customFormat="1" ht="11.25" x14ac:dyDescent="0.2">
      <c r="A236" s="11">
        <v>43322</v>
      </c>
      <c r="B236" s="375">
        <f>'2022'!Maxi_hp</f>
        <v>211.23051410692491</v>
      </c>
      <c r="C236" s="13">
        <f>'2022'!An_max</f>
        <v>2022</v>
      </c>
      <c r="D236" s="1045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69">
        <f t="shared" si="99"/>
        <v>43318</v>
      </c>
      <c r="I236" s="743">
        <f t="shared" si="100"/>
        <v>0.2857142857142857</v>
      </c>
      <c r="J236" s="736">
        <f t="shared" si="101"/>
        <v>231.36151603588036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38">
        <v>43322</v>
      </c>
      <c r="AP236" s="13">
        <f t="shared" si="102"/>
        <v>9</v>
      </c>
      <c r="AQ236" s="13">
        <f t="shared" si="103"/>
        <v>10</v>
      </c>
      <c r="AR236" s="169">
        <f t="shared" si="104"/>
        <v>43304</v>
      </c>
      <c r="AS236" s="743">
        <f t="shared" si="105"/>
        <v>0.6428571428571429</v>
      </c>
      <c r="AT236" s="759">
        <f t="shared" si="106"/>
        <v>231.4986333804471</v>
      </c>
      <c r="AU236" s="13">
        <f t="shared" si="107"/>
        <v>9</v>
      </c>
      <c r="AV236" s="13">
        <f t="shared" si="108"/>
        <v>10</v>
      </c>
      <c r="AW236" s="169">
        <f t="shared" si="109"/>
        <v>43318</v>
      </c>
      <c r="AX236" s="743">
        <f t="shared" si="110"/>
        <v>0.14285714285714285</v>
      </c>
      <c r="AY236" s="759">
        <f t="shared" si="111"/>
        <v>231.31924198269843</v>
      </c>
      <c r="AZ236" s="736">
        <f t="shared" si="115"/>
        <v>231.40893768157275</v>
      </c>
      <c r="BA236" s="633">
        <f t="shared" si="112"/>
        <v>0.91298897814175173</v>
      </c>
      <c r="BC236" s="11">
        <v>43322</v>
      </c>
      <c r="BD236" s="286">
        <f>[2]!FeuilCaduc*(1-Persistant)+Persistant</f>
        <v>0.99783873493122033</v>
      </c>
      <c r="BE236" s="287">
        <f>[2]!CroissVégét</f>
        <v>0.92482186992875737</v>
      </c>
      <c r="BF236" s="806">
        <f>1+[2]!Salcycl*Ksac</f>
        <v>1.0497298418664025</v>
      </c>
      <c r="BH236" s="1036">
        <f t="shared" si="113"/>
        <v>6.2022795958352568E-3</v>
      </c>
      <c r="BI236" s="11">
        <v>44418</v>
      </c>
      <c r="BJ236" s="716">
        <v>1.5009890145741152E-3</v>
      </c>
      <c r="BK236" s="716">
        <v>2.1917682989807418E-3</v>
      </c>
      <c r="BL236" s="716">
        <v>2.9668283014927187E-3</v>
      </c>
      <c r="BM236" s="716">
        <v>3.8629192532190298E-3</v>
      </c>
      <c r="BN236" s="716">
        <v>4.9434053491774288E-3</v>
      </c>
      <c r="BO236" s="717">
        <v>6.2156004632920965E-3</v>
      </c>
      <c r="BP236" s="716">
        <v>7.7415144906010551E-3</v>
      </c>
      <c r="BQ236" s="716">
        <v>9.5317627117701559E-3</v>
      </c>
      <c r="BR236" s="716">
        <v>1.1615056781578427E-2</v>
      </c>
      <c r="BS236" s="716">
        <v>1.3969604420886591E-2</v>
      </c>
      <c r="BT236" s="716">
        <v>1.6501076078632052E-2</v>
      </c>
      <c r="BW236" s="1166">
        <f>'2022'!R\Max</f>
        <v>0.91298897814175173</v>
      </c>
      <c r="BX236" s="1167">
        <f>'2023'!R\Max</f>
        <v>0.91298230810466652</v>
      </c>
      <c r="BY236" s="1167">
        <f>'2024'!R\Max</f>
        <v>0.91297459282202031</v>
      </c>
      <c r="BZ236" s="1167">
        <f>'2025'!R\Max</f>
        <v>0.91296676552666334</v>
      </c>
      <c r="CA236" s="1167">
        <f>'2026'!R\Max</f>
        <v>0.91295777896913266</v>
      </c>
      <c r="CB236" s="1167">
        <f>'2027'!R\Max</f>
        <v>0.91294866796966034</v>
      </c>
      <c r="CC236" s="1168">
        <f>'2028'!R\Max</f>
        <v>0.91293848319095383</v>
      </c>
      <c r="CD236" s="1167">
        <f>'2029'!R\Max</f>
        <v>0.91298931146701934</v>
      </c>
      <c r="CE236" s="1167">
        <f>'2030'!R\Max</f>
        <v>0.91298264146424679</v>
      </c>
      <c r="CF236" s="1169">
        <f>'2031'!R\Max</f>
        <v>0.91297498397589849</v>
      </c>
    </row>
    <row r="237" spans="1:84" s="6" customFormat="1" ht="11.25" x14ac:dyDescent="0.2">
      <c r="A237" s="11">
        <v>43323</v>
      </c>
      <c r="B237" s="375">
        <f>'2022'!Maxi_hp</f>
        <v>196.05222207585885</v>
      </c>
      <c r="C237" s="13">
        <f>'2022'!An_max</f>
        <v>2022</v>
      </c>
      <c r="D237" s="1045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69">
        <f t="shared" si="99"/>
        <v>43318</v>
      </c>
      <c r="I237" s="743">
        <f t="shared" si="100"/>
        <v>0.35714285714285715</v>
      </c>
      <c r="J237" s="736">
        <f t="shared" si="101"/>
        <v>230.67866253639968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38">
        <v>43323</v>
      </c>
      <c r="AP237" s="13">
        <f t="shared" si="102"/>
        <v>9</v>
      </c>
      <c r="AQ237" s="13">
        <f t="shared" si="103"/>
        <v>10</v>
      </c>
      <c r="AR237" s="169">
        <f t="shared" si="104"/>
        <v>43304</v>
      </c>
      <c r="AS237" s="743">
        <f t="shared" si="105"/>
        <v>0.6785714285714286</v>
      </c>
      <c r="AT237" s="759">
        <f t="shared" si="106"/>
        <v>230.80422056993203</v>
      </c>
      <c r="AU237" s="13">
        <f t="shared" si="107"/>
        <v>9</v>
      </c>
      <c r="AV237" s="13">
        <f t="shared" si="108"/>
        <v>10</v>
      </c>
      <c r="AW237" s="169">
        <f t="shared" si="109"/>
        <v>43318</v>
      </c>
      <c r="AX237" s="743">
        <f t="shared" si="110"/>
        <v>0.17857142857142858</v>
      </c>
      <c r="AY237" s="759">
        <f t="shared" si="111"/>
        <v>230.62519360424153</v>
      </c>
      <c r="AZ237" s="736">
        <f t="shared" si="115"/>
        <v>230.71470708708677</v>
      </c>
      <c r="BA237" s="633">
        <f t="shared" si="112"/>
        <v>0.84989318006351366</v>
      </c>
      <c r="BC237" s="11">
        <v>43323</v>
      </c>
      <c r="BD237" s="286">
        <f>[2]!FeuilCaduc*(1-Persistant)+Persistant</f>
        <v>0.99754166908790198</v>
      </c>
      <c r="BE237" s="287">
        <f>[2]!CroissVégét</f>
        <v>0.92764148214144238</v>
      </c>
      <c r="BF237" s="806">
        <f>1+[2]!Salcycl*Ksac</f>
        <v>1.0496927086359877</v>
      </c>
      <c r="BH237" s="1036">
        <f t="shared" si="113"/>
        <v>6.3149806438944365E-3</v>
      </c>
      <c r="BI237" s="11">
        <v>44419</v>
      </c>
      <c r="BJ237" s="716">
        <v>1.5625991205129326E-3</v>
      </c>
      <c r="BK237" s="716">
        <v>2.2654465422977488E-3</v>
      </c>
      <c r="BL237" s="716">
        <v>3.0537778377745426E-3</v>
      </c>
      <c r="BM237" s="716">
        <v>3.9618780819519151E-3</v>
      </c>
      <c r="BN237" s="716">
        <v>5.0498952822695476E-3</v>
      </c>
      <c r="BO237" s="717">
        <v>6.3283672347064527E-3</v>
      </c>
      <c r="BP237" s="716">
        <v>7.861546224080555E-3</v>
      </c>
      <c r="BQ237" s="716">
        <v>9.6632293580530392E-3</v>
      </c>
      <c r="BR237" s="716">
        <v>1.1759003644954948E-2</v>
      </c>
      <c r="BS237" s="716">
        <v>1.4131695600113556E-2</v>
      </c>
      <c r="BT237" s="716">
        <v>1.6685400670302913E-2</v>
      </c>
      <c r="BW237" s="1166">
        <f>'2022'!R\Max</f>
        <v>0.84989318006351366</v>
      </c>
      <c r="BX237" s="1167">
        <f>'2023'!R\Max</f>
        <v>0.84988238889732459</v>
      </c>
      <c r="BY237" s="1167">
        <f>'2024'!R\Max</f>
        <v>0.84986988295207233</v>
      </c>
      <c r="BZ237" s="1167">
        <f>'2025'!R\Max</f>
        <v>0.84985719928902392</v>
      </c>
      <c r="CA237" s="1167">
        <f>'2026'!R\Max</f>
        <v>0.84984263671150462</v>
      </c>
      <c r="CB237" s="1167">
        <f>'2027'!R\Max</f>
        <v>0.84982787907991753</v>
      </c>
      <c r="CC237" s="1168">
        <f>'2028'!R\Max</f>
        <v>0.84981135120489715</v>
      </c>
      <c r="CD237" s="1167">
        <f>'2029'!R\Max</f>
        <v>0.84989371933893632</v>
      </c>
      <c r="CE237" s="1167">
        <f>'2030'!R\Max</f>
        <v>0.84988292822291722</v>
      </c>
      <c r="CF237" s="1169">
        <f>'2031'!R\Max</f>
        <v>0.84987051679730152</v>
      </c>
    </row>
    <row r="238" spans="1:84" s="6" customFormat="1" ht="11.25" x14ac:dyDescent="0.2">
      <c r="A238" s="11">
        <v>43324</v>
      </c>
      <c r="B238" s="375">
        <f>'2022'!Maxi_hp</f>
        <v>205.41238028032569</v>
      </c>
      <c r="C238" s="13">
        <f>'2022'!An_max</f>
        <v>2022</v>
      </c>
      <c r="D238" s="1045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69">
        <f t="shared" si="99"/>
        <v>43318</v>
      </c>
      <c r="I238" s="743">
        <f t="shared" si="100"/>
        <v>0.42857142857142855</v>
      </c>
      <c r="J238" s="736">
        <f t="shared" si="101"/>
        <v>229.98542274321827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38">
        <v>43324</v>
      </c>
      <c r="AP238" s="13">
        <f t="shared" si="102"/>
        <v>9</v>
      </c>
      <c r="AQ238" s="13">
        <f t="shared" si="103"/>
        <v>10</v>
      </c>
      <c r="AR238" s="169">
        <f t="shared" si="104"/>
        <v>43304</v>
      </c>
      <c r="AS238" s="743">
        <f t="shared" si="105"/>
        <v>0.7142857142857143</v>
      </c>
      <c r="AT238" s="759">
        <f t="shared" si="106"/>
        <v>230.09766763725452</v>
      </c>
      <c r="AU238" s="13">
        <f t="shared" si="107"/>
        <v>9</v>
      </c>
      <c r="AV238" s="13">
        <f t="shared" si="108"/>
        <v>10</v>
      </c>
      <c r="AW238" s="169">
        <f t="shared" si="109"/>
        <v>43318</v>
      </c>
      <c r="AX238" s="743">
        <f t="shared" si="110"/>
        <v>0.21428571428571427</v>
      </c>
      <c r="AY238" s="759">
        <f t="shared" si="111"/>
        <v>229.92119168947846</v>
      </c>
      <c r="AZ238" s="736">
        <f t="shared" si="115"/>
        <v>230.00942966336649</v>
      </c>
      <c r="BA238" s="633">
        <f t="shared" si="112"/>
        <v>0.89315391310548975</v>
      </c>
      <c r="BC238" s="11">
        <v>43324</v>
      </c>
      <c r="BD238" s="286">
        <f>[2]!FeuilCaduc*(1-Persistant)+Persistant</f>
        <v>0.99722528259737375</v>
      </c>
      <c r="BE238" s="287">
        <f>[2]!CroissVégét</f>
        <v>0.93036376011657451</v>
      </c>
      <c r="BF238" s="806">
        <f>1+[2]!Salcycl*Ksac</f>
        <v>1.0496531603246717</v>
      </c>
      <c r="BH238" s="1036">
        <f t="shared" si="113"/>
        <v>6.4276121626590616E-3</v>
      </c>
      <c r="BI238" s="11">
        <v>44420</v>
      </c>
      <c r="BJ238" s="716">
        <v>1.6242778757499861E-3</v>
      </c>
      <c r="BK238" s="716">
        <v>2.3394189374884825E-3</v>
      </c>
      <c r="BL238" s="716">
        <v>3.1405262374447646E-3</v>
      </c>
      <c r="BM238" s="716">
        <v>4.0600657688734153E-3</v>
      </c>
      <c r="BN238" s="716">
        <v>5.1558575981133972E-3</v>
      </c>
      <c r="BO238" s="717">
        <v>6.4410693241165468E-3</v>
      </c>
      <c r="BP238" s="716">
        <v>7.9815909804397591E-3</v>
      </c>
      <c r="BQ238" s="716">
        <v>9.7938434468742234E-3</v>
      </c>
      <c r="BR238" s="716">
        <v>1.1901243767104726E-2</v>
      </c>
      <c r="BS238" s="716">
        <v>1.4290566112467993E-2</v>
      </c>
      <c r="BT238" s="716">
        <v>1.6864705018265029E-2</v>
      </c>
      <c r="BW238" s="1166">
        <f>'2022'!R\Max</f>
        <v>0.89315391310548975</v>
      </c>
      <c r="BX238" s="1167">
        <f>'2023'!R\Max</f>
        <v>0.89314578040586723</v>
      </c>
      <c r="BY238" s="1167">
        <f>'2024'!R\Max</f>
        <v>0.89313634209382364</v>
      </c>
      <c r="BZ238" s="1167">
        <f>'2025'!R\Max</f>
        <v>0.89312677270152863</v>
      </c>
      <c r="CA238" s="1167">
        <f>'2026'!R\Max</f>
        <v>0.89311578457667906</v>
      </c>
      <c r="CB238" s="1167">
        <f>'2027'!R\Max</f>
        <v>0.89310465373818781</v>
      </c>
      <c r="CC238" s="1168">
        <f>'2028'!R\Max</f>
        <v>0.89309216689157489</v>
      </c>
      <c r="CD238" s="1167">
        <f>'2029'!R\Max</f>
        <v>0.89315431952555258</v>
      </c>
      <c r="CE238" s="1167">
        <f>'2030'!R\Max</f>
        <v>0.89314618686702063</v>
      </c>
      <c r="CF238" s="1169">
        <f>'2031'!R\Max</f>
        <v>0.893136820306073</v>
      </c>
    </row>
    <row r="239" spans="1:84" s="6" customFormat="1" ht="11.25" x14ac:dyDescent="0.2">
      <c r="A239" s="11">
        <v>43325</v>
      </c>
      <c r="B239" s="375">
        <f>'2022'!Maxi_hp</f>
        <v>142.79404848596596</v>
      </c>
      <c r="C239" s="13">
        <f>'2022'!An_max</f>
        <v>2022</v>
      </c>
      <c r="D239" s="1045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69">
        <f t="shared" si="99"/>
        <v>43318</v>
      </c>
      <c r="I239" s="743">
        <f t="shared" si="100"/>
        <v>0.5</v>
      </c>
      <c r="J239" s="736">
        <f t="shared" si="101"/>
        <v>229.28125000149012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38">
        <v>43325</v>
      </c>
      <c r="AP239" s="13">
        <f t="shared" si="102"/>
        <v>9</v>
      </c>
      <c r="AQ239" s="13">
        <f t="shared" si="103"/>
        <v>10</v>
      </c>
      <c r="AR239" s="169">
        <f t="shared" si="104"/>
        <v>43304</v>
      </c>
      <c r="AS239" s="743">
        <f t="shared" si="105"/>
        <v>0.75</v>
      </c>
      <c r="AT239" s="759">
        <f t="shared" si="106"/>
        <v>229.37890624850988</v>
      </c>
      <c r="AU239" s="13">
        <f t="shared" si="107"/>
        <v>9</v>
      </c>
      <c r="AV239" s="13">
        <f t="shared" si="108"/>
        <v>10</v>
      </c>
      <c r="AW239" s="169">
        <f t="shared" si="109"/>
        <v>43318</v>
      </c>
      <c r="AX239" s="743">
        <f t="shared" si="110"/>
        <v>0.25</v>
      </c>
      <c r="AY239" s="759">
        <f t="shared" si="111"/>
        <v>229.20703124962748</v>
      </c>
      <c r="AZ239" s="736">
        <f t="shared" si="115"/>
        <v>229.29296874906868</v>
      </c>
      <c r="BA239" s="633">
        <f t="shared" si="112"/>
        <v>0.62278990752640229</v>
      </c>
      <c r="BC239" s="11">
        <v>43325</v>
      </c>
      <c r="BD239" s="286">
        <f>[2]!FeuilCaduc*(1-Persistant)+Persistant</f>
        <v>0.9968892171945738</v>
      </c>
      <c r="BE239" s="287">
        <f>[2]!CroissVégét</f>
        <v>0.93299147677206173</v>
      </c>
      <c r="BF239" s="806">
        <f>1+[2]!Salcycl*Ksac</f>
        <v>1.0496111521493217</v>
      </c>
      <c r="BH239" s="1036">
        <f t="shared" si="113"/>
        <v>6.5401749281656166E-3</v>
      </c>
      <c r="BI239" s="11">
        <v>44421</v>
      </c>
      <c r="BJ239" s="716">
        <v>1.6860261876665836E-3</v>
      </c>
      <c r="BK239" s="716">
        <v>2.4136864573912589E-3</v>
      </c>
      <c r="BL239" s="716">
        <v>3.2270745756839297E-3</v>
      </c>
      <c r="BM239" s="716">
        <v>4.1574834371037187E-3</v>
      </c>
      <c r="BN239" s="716">
        <v>5.2612932881896919E-3</v>
      </c>
      <c r="BO239" s="717">
        <v>6.5537075052791239E-3</v>
      </c>
      <c r="BP239" s="716">
        <v>8.1016492887971154E-3</v>
      </c>
      <c r="BQ239" s="716">
        <v>9.9236053258881518E-3</v>
      </c>
      <c r="BR239" s="716">
        <v>1.2041777260026114E-2</v>
      </c>
      <c r="BS239" s="716">
        <v>1.4446215914063887E-2</v>
      </c>
      <c r="BT239" s="716">
        <v>1.7038988976412536E-2</v>
      </c>
      <c r="BW239" s="1166">
        <f>'2022'!R\Max</f>
        <v>0.62278990752640229</v>
      </c>
      <c r="BX239" s="1167">
        <f>'2023'!R\Max</f>
        <v>0.62276973607700303</v>
      </c>
      <c r="BY239" s="1167">
        <f>'2024'!R\Max</f>
        <v>0.62274630655085716</v>
      </c>
      <c r="BZ239" s="1167">
        <f>'2025'!R\Max</f>
        <v>0.62272256142125304</v>
      </c>
      <c r="CA239" s="1167">
        <f>'2026'!R\Max</f>
        <v>0.62269529340178154</v>
      </c>
      <c r="CB239" s="1167">
        <f>'2027'!R\Max</f>
        <v>0.62266768374265435</v>
      </c>
      <c r="CC239" s="1168">
        <f>'2028'!R\Max</f>
        <v>0.6226366683740997</v>
      </c>
      <c r="CD239" s="1167">
        <f>'2029'!R\Max</f>
        <v>0.62279091558997945</v>
      </c>
      <c r="CE239" s="1167">
        <f>'2030'!R\Max</f>
        <v>0.62277074419646283</v>
      </c>
      <c r="CF239" s="1169">
        <f>'2031'!R\Max</f>
        <v>0.62274749320217049</v>
      </c>
    </row>
    <row r="240" spans="1:84" s="6" customFormat="1" ht="11.25" x14ac:dyDescent="0.2">
      <c r="A240" s="11">
        <v>43326</v>
      </c>
      <c r="B240" s="375">
        <f>'2022'!Maxi_hp</f>
        <v>156.63775376535247</v>
      </c>
      <c r="C240" s="13">
        <f>'2022'!An_max</f>
        <v>2022</v>
      </c>
      <c r="D240" s="1045" t="str">
        <f t="shared" si="97"/>
        <v/>
      </c>
      <c r="E240" s="13"/>
      <c r="F240" s="13">
        <f t="shared" si="114"/>
        <v>17</v>
      </c>
      <c r="G240" s="13">
        <f t="shared" si="98"/>
        <v>18</v>
      </c>
      <c r="H240" s="169">
        <f t="shared" si="99"/>
        <v>43318</v>
      </c>
      <c r="I240" s="743">
        <f t="shared" si="100"/>
        <v>0.5714285714285714</v>
      </c>
      <c r="J240" s="736">
        <f t="shared" si="101"/>
        <v>228.56559766892875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38">
        <v>43326</v>
      </c>
      <c r="AP240" s="13">
        <f t="shared" si="102"/>
        <v>9</v>
      </c>
      <c r="AQ240" s="13">
        <f t="shared" si="103"/>
        <v>10</v>
      </c>
      <c r="AR240" s="169">
        <f t="shared" si="104"/>
        <v>43304</v>
      </c>
      <c r="AS240" s="743">
        <f t="shared" si="105"/>
        <v>0.7857142857142857</v>
      </c>
      <c r="AT240" s="759">
        <f t="shared" si="106"/>
        <v>228.64786807447672</v>
      </c>
      <c r="AU240" s="13">
        <f t="shared" si="107"/>
        <v>9</v>
      </c>
      <c r="AV240" s="13">
        <f t="shared" si="108"/>
        <v>10</v>
      </c>
      <c r="AW240" s="169">
        <f t="shared" si="109"/>
        <v>43318</v>
      </c>
      <c r="AX240" s="743">
        <f t="shared" si="110"/>
        <v>0.2857142857142857</v>
      </c>
      <c r="AY240" s="759">
        <f t="shared" si="111"/>
        <v>228.48250728888169</v>
      </c>
      <c r="AZ240" s="736">
        <f t="shared" si="115"/>
        <v>228.56518768167922</v>
      </c>
      <c r="BA240" s="633">
        <f t="shared" si="112"/>
        <v>0.68530765505768776</v>
      </c>
      <c r="BC240" s="11">
        <v>43326</v>
      </c>
      <c r="BD240" s="286">
        <f>[2]!FeuilCaduc*(1-Persistant)+Persistant</f>
        <v>0.99653301000966721</v>
      </c>
      <c r="BE240" s="287">
        <f>[2]!CroissVégét</f>
        <v>0.93552736989395957</v>
      </c>
      <c r="BF240" s="806">
        <f>1+[2]!Salcycl*Ksac</f>
        <v>1.0495666262512084</v>
      </c>
      <c r="BH240" s="1036">
        <f t="shared" si="113"/>
        <v>6.6489910447462526E-3</v>
      </c>
      <c r="BI240" s="11">
        <v>44422</v>
      </c>
      <c r="BJ240" s="716">
        <v>1.7470511440930959E-3</v>
      </c>
      <c r="BK240" s="716">
        <v>2.4864205346525497E-3</v>
      </c>
      <c r="BL240" s="716">
        <v>3.3110756267054485E-3</v>
      </c>
      <c r="BM240" s="716">
        <v>4.2517406050419579E-3</v>
      </c>
      <c r="BN240" s="716">
        <v>5.3634386447696516E-3</v>
      </c>
      <c r="BO240" s="717">
        <v>6.6625942089815803E-3</v>
      </c>
      <c r="BP240" s="716">
        <v>8.2164691668104185E-3</v>
      </c>
      <c r="BQ240" s="716">
        <v>1.0045171342678237E-2</v>
      </c>
      <c r="BR240" s="716">
        <v>1.2170524176501947E-2</v>
      </c>
      <c r="BS240" s="716">
        <v>1.4585355821018069E-2</v>
      </c>
      <c r="BT240" s="716">
        <v>1.7191499877865418E-2</v>
      </c>
      <c r="BW240" s="1166">
        <f>'2022'!R\Max</f>
        <v>0.68530765505768776</v>
      </c>
      <c r="BX240" s="1167">
        <f>'2023'!R\Max</f>
        <v>0.6852890148620786</v>
      </c>
      <c r="BY240" s="1167">
        <f>'2024'!R\Max</f>
        <v>0.68526735789062931</v>
      </c>
      <c r="BZ240" s="1167">
        <f>'2025'!R\Max</f>
        <v>0.68524541759502378</v>
      </c>
      <c r="CA240" s="1167">
        <f>'2026'!R\Max</f>
        <v>0.68522022004225414</v>
      </c>
      <c r="CB240" s="1167">
        <f>'2027'!R\Max</f>
        <v>0.68519471615144101</v>
      </c>
      <c r="CC240" s="1168">
        <f>'2028'!R\Max</f>
        <v>0.68516603249114472</v>
      </c>
      <c r="CD240" s="1167">
        <f>'2029'!R\Max</f>
        <v>0.68530858659174188</v>
      </c>
      <c r="CE240" s="1167">
        <f>'2030'!R\Max</f>
        <v>0.68528994645818264</v>
      </c>
      <c r="CF240" s="1169">
        <f>'2031'!R\Max</f>
        <v>0.68526845433867511</v>
      </c>
    </row>
    <row r="241" spans="1:84" s="6" customFormat="1" ht="11.25" x14ac:dyDescent="0.2">
      <c r="A241" s="11">
        <v>43327</v>
      </c>
      <c r="B241" s="375">
        <f>'2022'!Maxi_hp</f>
        <v>161.2526894058478</v>
      </c>
      <c r="C241" s="13">
        <f>'2022'!An_max</f>
        <v>2022</v>
      </c>
      <c r="D241" s="1045" t="str">
        <f t="shared" si="97"/>
        <v/>
      </c>
      <c r="E241" s="13"/>
      <c r="F241" s="13">
        <f t="shared" si="114"/>
        <v>17</v>
      </c>
      <c r="G241" s="13">
        <f t="shared" si="98"/>
        <v>18</v>
      </c>
      <c r="H241" s="169">
        <f t="shared" si="99"/>
        <v>43318</v>
      </c>
      <c r="I241" s="743">
        <f t="shared" si="100"/>
        <v>0.6428571428571429</v>
      </c>
      <c r="J241" s="736">
        <f t="shared" si="101"/>
        <v>227.83791909686155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38">
        <v>43327</v>
      </c>
      <c r="AP241" s="13">
        <f t="shared" si="102"/>
        <v>9</v>
      </c>
      <c r="AQ241" s="13">
        <f t="shared" si="103"/>
        <v>10</v>
      </c>
      <c r="AR241" s="169">
        <f t="shared" si="104"/>
        <v>43304</v>
      </c>
      <c r="AS241" s="743">
        <f t="shared" si="105"/>
        <v>0.8214285714285714</v>
      </c>
      <c r="AT241" s="759">
        <f t="shared" si="106"/>
        <v>227.90448478263406</v>
      </c>
      <c r="AU241" s="13">
        <f t="shared" si="107"/>
        <v>9</v>
      </c>
      <c r="AV241" s="13">
        <f t="shared" si="108"/>
        <v>10</v>
      </c>
      <c r="AW241" s="169">
        <f t="shared" si="109"/>
        <v>43318</v>
      </c>
      <c r="AX241" s="743">
        <f t="shared" si="110"/>
        <v>0.32142857142857145</v>
      </c>
      <c r="AY241" s="759">
        <f t="shared" si="111"/>
        <v>227.74741481489372</v>
      </c>
      <c r="AZ241" s="736">
        <f t="shared" si="115"/>
        <v>227.82594979876387</v>
      </c>
      <c r="BA241" s="633">
        <f t="shared" si="112"/>
        <v>0.70775176513657445</v>
      </c>
      <c r="BC241" s="11">
        <v>43327</v>
      </c>
      <c r="BD241" s="286">
        <f>[2]!FeuilCaduc*(1-Persistant)+Persistant</f>
        <v>0.99615610276200495</v>
      </c>
      <c r="BE241" s="287">
        <f>[2]!CroissVégét</f>
        <v>0.93797413894004</v>
      </c>
      <c r="BF241" s="806">
        <f>1+[2]!Salcycl*Ksac</f>
        <v>1.0495195128452506</v>
      </c>
      <c r="BH241" s="1036">
        <f t="shared" si="113"/>
        <v>6.7555816281829962E-3</v>
      </c>
      <c r="BI241" s="11">
        <v>44423</v>
      </c>
      <c r="BJ241" s="716">
        <v>1.8091445465874384E-3</v>
      </c>
      <c r="BK241" s="716">
        <v>2.5592806919529395E-3</v>
      </c>
      <c r="BL241" s="716">
        <v>3.3942458126134598E-3</v>
      </c>
      <c r="BM241" s="716">
        <v>4.3446932242978773E-3</v>
      </c>
      <c r="BN241" s="716">
        <v>5.4638798470190491E-3</v>
      </c>
      <c r="BO241" s="717">
        <v>6.769249862533115E-3</v>
      </c>
      <c r="BP241" s="716">
        <v>8.3277443849313331E-3</v>
      </c>
      <c r="BQ241" s="716">
        <v>1.016083373092329E-2</v>
      </c>
      <c r="BR241" s="716">
        <v>1.2289860361687943E-2</v>
      </c>
      <c r="BS241" s="716">
        <v>1.4710023392403177E-2</v>
      </c>
      <c r="BT241" s="716">
        <v>1.7323600658334555E-2</v>
      </c>
      <c r="BW241" s="1166">
        <f>'2022'!R\Max</f>
        <v>0.70775176513657445</v>
      </c>
      <c r="BX241" s="1167">
        <f>'2023'!R\Max</f>
        <v>0.70773378378249807</v>
      </c>
      <c r="BY241" s="1167">
        <f>'2024'!R\Max</f>
        <v>0.70771289550672434</v>
      </c>
      <c r="BZ241" s="1167">
        <f>'2025'!R\Max</f>
        <v>0.7076917426018553</v>
      </c>
      <c r="CA241" s="1167">
        <f>'2026'!R\Max</f>
        <v>0.70766745589051505</v>
      </c>
      <c r="CB241" s="1167">
        <f>'2027'!R\Max</f>
        <v>0.70764288345512139</v>
      </c>
      <c r="CC241" s="1168">
        <f>'2028'!R\Max</f>
        <v>0.70761522677326039</v>
      </c>
      <c r="CD241" s="1167">
        <f>'2029'!R\Max</f>
        <v>0.70775266374334334</v>
      </c>
      <c r="CE241" s="1167">
        <f>'2030'!R\Max</f>
        <v>0.70773468245297733</v>
      </c>
      <c r="CF241" s="1169">
        <f>'2031'!R\Max</f>
        <v>0.70771395260279713</v>
      </c>
    </row>
    <row r="242" spans="1:84" s="6" customFormat="1" ht="11.25" x14ac:dyDescent="0.2">
      <c r="A242" s="11">
        <v>43328</v>
      </c>
      <c r="B242" s="375">
        <f>'2022'!Maxi_hp</f>
        <v>145.07444437533258</v>
      </c>
      <c r="C242" s="13">
        <f>'2022'!An_max</f>
        <v>2022</v>
      </c>
      <c r="D242" s="1045" t="str">
        <f t="shared" si="97"/>
        <v/>
      </c>
      <c r="E242" s="13"/>
      <c r="F242" s="13">
        <f t="shared" si="114"/>
        <v>17</v>
      </c>
      <c r="G242" s="13">
        <f t="shared" si="98"/>
        <v>18</v>
      </c>
      <c r="H242" s="169">
        <f t="shared" si="99"/>
        <v>43318</v>
      </c>
      <c r="I242" s="743">
        <f t="shared" si="100"/>
        <v>0.7142857142857143</v>
      </c>
      <c r="J242" s="736">
        <f t="shared" si="101"/>
        <v>227.09766763874464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38">
        <v>43328</v>
      </c>
      <c r="AP242" s="13">
        <f t="shared" si="102"/>
        <v>9</v>
      </c>
      <c r="AQ242" s="13">
        <f t="shared" si="103"/>
        <v>10</v>
      </c>
      <c r="AR242" s="169">
        <f t="shared" si="104"/>
        <v>43304</v>
      </c>
      <c r="AS242" s="743">
        <f t="shared" si="105"/>
        <v>0.8571428571428571</v>
      </c>
      <c r="AT242" s="759">
        <f t="shared" si="106"/>
        <v>227.14868804386683</v>
      </c>
      <c r="AU242" s="13">
        <f t="shared" si="107"/>
        <v>9</v>
      </c>
      <c r="AV242" s="13">
        <f t="shared" si="108"/>
        <v>10</v>
      </c>
      <c r="AW242" s="169">
        <f t="shared" si="109"/>
        <v>43318</v>
      </c>
      <c r="AX242" s="743">
        <f t="shared" si="110"/>
        <v>0.35714285714285715</v>
      </c>
      <c r="AY242" s="759">
        <f t="shared" si="111"/>
        <v>227.0015488345708</v>
      </c>
      <c r="AZ242" s="736">
        <f t="shared" si="115"/>
        <v>227.07511843921881</v>
      </c>
      <c r="BA242" s="633">
        <f t="shared" si="112"/>
        <v>0.63881961397379727</v>
      </c>
      <c r="BC242" s="11">
        <v>43328</v>
      </c>
      <c r="BD242" s="286">
        <f>[2]!FeuilCaduc*(1-Persistant)+Persistant</f>
        <v>0.99575785049972632</v>
      </c>
      <c r="BE242" s="287">
        <f>[2]!CroissVégét</f>
        <v>0.94033444219607754</v>
      </c>
      <c r="BF242" s="806">
        <f>1+[2]!Salcycl*Ksac</f>
        <v>1.0494697313124659</v>
      </c>
      <c r="BH242" s="1036">
        <f t="shared" si="113"/>
        <v>6.8599469951847796E-3</v>
      </c>
      <c r="BI242" s="11">
        <v>44424</v>
      </c>
      <c r="BJ242" s="716">
        <v>1.8723071150479956E-3</v>
      </c>
      <c r="BK242" s="716">
        <v>2.6322676683888484E-3</v>
      </c>
      <c r="BL242" s="716">
        <v>3.4765858610154355E-3</v>
      </c>
      <c r="BM242" s="716">
        <v>4.4363419676846884E-3</v>
      </c>
      <c r="BN242" s="716">
        <v>5.5626174245484916E-3</v>
      </c>
      <c r="BO242" s="717">
        <v>6.873674780389828E-3</v>
      </c>
      <c r="BP242" s="716">
        <v>8.4354749513628775E-3</v>
      </c>
      <c r="BQ242" s="716">
        <v>1.0270592123870007E-2</v>
      </c>
      <c r="BR242" s="716">
        <v>1.239978499105863E-2</v>
      </c>
      <c r="BS242" s="716">
        <v>1.4820217312715241E-2</v>
      </c>
      <c r="BT242" s="716">
        <v>1.7435289507508778E-2</v>
      </c>
      <c r="BW242" s="1166">
        <f>'2022'!R\Max</f>
        <v>0.63881961397379727</v>
      </c>
      <c r="BX242" s="1167">
        <f>'2023'!R\Max</f>
        <v>0.63879945588474751</v>
      </c>
      <c r="BY242" s="1167">
        <f>'2024'!R\Max</f>
        <v>0.63877605296519901</v>
      </c>
      <c r="BZ242" s="1167">
        <f>'2025'!R\Max</f>
        <v>0.63875236403181901</v>
      </c>
      <c r="CA242" s="1167">
        <f>'2026'!R\Max</f>
        <v>0.63872518293693015</v>
      </c>
      <c r="CB242" s="1167">
        <f>'2027'!R\Max</f>
        <v>0.63869769361586903</v>
      </c>
      <c r="CC242" s="1168">
        <f>'2028'!R\Max</f>
        <v>0.63866674463451434</v>
      </c>
      <c r="CD242" s="1167">
        <f>'2029'!R\Max</f>
        <v>0.63882062136769924</v>
      </c>
      <c r="CE242" s="1167">
        <f>'2030'!R\Max</f>
        <v>0.63880046333829443</v>
      </c>
      <c r="CF242" s="1169">
        <f>'2031'!R\Max</f>
        <v>0.63877723680544829</v>
      </c>
    </row>
    <row r="243" spans="1:84" s="6" customFormat="1" ht="11.25" x14ac:dyDescent="0.2">
      <c r="A243" s="11">
        <v>43329</v>
      </c>
      <c r="B243" s="375">
        <f>'2022'!Maxi_hp</f>
        <v>111.73711703322597</v>
      </c>
      <c r="C243" s="13">
        <f>'2022'!An_max</f>
        <v>2022</v>
      </c>
      <c r="D243" s="1045" t="str">
        <f t="shared" si="97"/>
        <v/>
      </c>
      <c r="E243" s="13"/>
      <c r="F243" s="13">
        <f t="shared" si="114"/>
        <v>17</v>
      </c>
      <c r="G243" s="13">
        <f t="shared" si="98"/>
        <v>18</v>
      </c>
      <c r="H243" s="169">
        <f t="shared" si="99"/>
        <v>43318</v>
      </c>
      <c r="I243" s="743">
        <f t="shared" si="100"/>
        <v>0.7857142857142857</v>
      </c>
      <c r="J243" s="736">
        <f t="shared" si="101"/>
        <v>226.34429664760827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38">
        <v>43329</v>
      </c>
      <c r="AP243" s="13">
        <f t="shared" si="102"/>
        <v>9</v>
      </c>
      <c r="AQ243" s="13">
        <f t="shared" si="103"/>
        <v>10</v>
      </c>
      <c r="AR243" s="169">
        <f t="shared" si="104"/>
        <v>43304</v>
      </c>
      <c r="AS243" s="743">
        <f t="shared" si="105"/>
        <v>0.8928571428571429</v>
      </c>
      <c r="AT243" s="759">
        <f t="shared" si="106"/>
        <v>226.38040952767648</v>
      </c>
      <c r="AU243" s="13">
        <f t="shared" si="107"/>
        <v>9</v>
      </c>
      <c r="AV243" s="13">
        <f t="shared" si="108"/>
        <v>10</v>
      </c>
      <c r="AW243" s="169">
        <f t="shared" si="109"/>
        <v>43318</v>
      </c>
      <c r="AX243" s="743">
        <f t="shared" si="110"/>
        <v>0.39285714285714285</v>
      </c>
      <c r="AY243" s="759">
        <f t="shared" si="111"/>
        <v>226.24470435535272</v>
      </c>
      <c r="AZ243" s="736">
        <f t="shared" si="115"/>
        <v>226.3125569415146</v>
      </c>
      <c r="BA243" s="633">
        <f t="shared" si="112"/>
        <v>0.49365996266823392</v>
      </c>
      <c r="BC243" s="11">
        <v>43329</v>
      </c>
      <c r="BD243" s="286">
        <f>[2]!FeuilCaduc*(1-Persistant)+Persistant</f>
        <v>0.99533752978320933</v>
      </c>
      <c r="BE243" s="287">
        <f>[2]!CroissVégét</f>
        <v>0.94261089426578282</v>
      </c>
      <c r="BF243" s="806">
        <f>1+[2]!Salcycl*Ksac</f>
        <v>1.0494171912229011</v>
      </c>
      <c r="BH243" s="1036">
        <f t="shared" si="113"/>
        <v>6.9620872681098751E-3</v>
      </c>
      <c r="BI243" s="11">
        <v>44425</v>
      </c>
      <c r="BJ243" s="716">
        <v>1.9365395440791087E-3</v>
      </c>
      <c r="BK243" s="716">
        <v>2.7053821315908377E-3</v>
      </c>
      <c r="BL243" s="716">
        <v>3.5580963817954622E-3</v>
      </c>
      <c r="BM243" s="716">
        <v>4.526687362417482E-3</v>
      </c>
      <c r="BN243" s="716">
        <v>5.659651738571316E-3</v>
      </c>
      <c r="BO243" s="717">
        <v>6.9758690823825261E-3</v>
      </c>
      <c r="BP243" s="716">
        <v>8.5396606259672183E-3</v>
      </c>
      <c r="BQ243" s="716">
        <v>1.0374445814243223E-2</v>
      </c>
      <c r="BR243" s="716">
        <v>1.2500296765614665E-2</v>
      </c>
      <c r="BS243" s="716">
        <v>1.4915935598776025E-2</v>
      </c>
      <c r="BT243" s="716">
        <v>1.7526563719590344E-2</v>
      </c>
      <c r="BW243" s="1166">
        <f>'2022'!R\Max</f>
        <v>0.49365996266823392</v>
      </c>
      <c r="BX243" s="1167">
        <f>'2023'!R\Max</f>
        <v>0.49363803336131834</v>
      </c>
      <c r="BY243" s="1167">
        <f>'2024'!R\Max</f>
        <v>0.49361260060439932</v>
      </c>
      <c r="BZ243" s="1167">
        <f>'2025'!R\Max</f>
        <v>0.49358686914462951</v>
      </c>
      <c r="CA243" s="1167">
        <f>'2026'!R\Max</f>
        <v>0.49355737419370022</v>
      </c>
      <c r="CB243" s="1167">
        <f>'2027'!R\Max</f>
        <v>0.49352755811329047</v>
      </c>
      <c r="CC243" s="1168">
        <f>'2028'!R\Max</f>
        <v>0.49349399434204022</v>
      </c>
      <c r="CD243" s="1167">
        <f>'2029'!R\Max</f>
        <v>0.49366105859268111</v>
      </c>
      <c r="CE243" s="1167">
        <f>'2030'!R\Max</f>
        <v>0.49363912932300863</v>
      </c>
      <c r="CF243" s="1169">
        <f>'2031'!R\Max</f>
        <v>0.49361388653873012</v>
      </c>
    </row>
    <row r="244" spans="1:84" s="6" customFormat="1" ht="11.25" x14ac:dyDescent="0.2">
      <c r="A244" s="11">
        <v>43330</v>
      </c>
      <c r="B244" s="375">
        <f>'2022'!Maxi_hp</f>
        <v>137.21289143208358</v>
      </c>
      <c r="C244" s="13">
        <f>'2022'!An_max</f>
        <v>2022</v>
      </c>
      <c r="D244" s="1045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69">
        <f t="shared" si="99"/>
        <v>43318</v>
      </c>
      <c r="I244" s="743">
        <f t="shared" si="100"/>
        <v>0.8571428571428571</v>
      </c>
      <c r="J244" s="736">
        <f t="shared" si="101"/>
        <v>225.57725947776012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38">
        <v>43330</v>
      </c>
      <c r="AP244" s="13">
        <f t="shared" si="102"/>
        <v>9</v>
      </c>
      <c r="AQ244" s="13">
        <f t="shared" si="103"/>
        <v>10</v>
      </c>
      <c r="AR244" s="169">
        <f t="shared" si="104"/>
        <v>43304</v>
      </c>
      <c r="AS244" s="743">
        <f t="shared" si="105"/>
        <v>0.9285714285714286</v>
      </c>
      <c r="AT244" s="759">
        <f t="shared" si="106"/>
        <v>225.59958090207405</v>
      </c>
      <c r="AU244" s="13">
        <f t="shared" si="107"/>
        <v>9</v>
      </c>
      <c r="AV244" s="13">
        <f t="shared" si="108"/>
        <v>10</v>
      </c>
      <c r="AW244" s="169">
        <f t="shared" si="109"/>
        <v>43318</v>
      </c>
      <c r="AX244" s="743">
        <f t="shared" si="110"/>
        <v>0.42857142857142855</v>
      </c>
      <c r="AY244" s="759">
        <f t="shared" si="111"/>
        <v>225.47667638510467</v>
      </c>
      <c r="AZ244" s="736">
        <f t="shared" si="115"/>
        <v>225.53812864358935</v>
      </c>
      <c r="BA244" s="633">
        <f t="shared" si="112"/>
        <v>0.60827448542352525</v>
      </c>
      <c r="BC244" s="11">
        <v>43330</v>
      </c>
      <c r="BD244" s="286">
        <f>[2]!FeuilCaduc*(1-Persistant)+Persistant</f>
        <v>0.99489434622181661</v>
      </c>
      <c r="BE244" s="287">
        <f>[2]!CroissVégét</f>
        <v>0.94480606387541</v>
      </c>
      <c r="BF244" s="806">
        <f>1+[2]!Salcycl*Ksac</f>
        <v>1.0493617932777271</v>
      </c>
      <c r="BH244" s="1036">
        <f t="shared" si="113"/>
        <v>7.0620023807800971E-3</v>
      </c>
      <c r="BI244" s="11">
        <v>44426</v>
      </c>
      <c r="BJ244" s="716">
        <v>2.0018425002309693E-3</v>
      </c>
      <c r="BK244" s="716">
        <v>2.778624677411762E-3</v>
      </c>
      <c r="BL244" s="716">
        <v>3.6387778692891018E-3</v>
      </c>
      <c r="BM244" s="716">
        <v>4.6157297935226771E-3</v>
      </c>
      <c r="BN244" s="716">
        <v>5.7549829863569176E-3</v>
      </c>
      <c r="BO244" s="717">
        <v>7.075832699545339E-3</v>
      </c>
      <c r="BP244" s="716">
        <v>8.6403009295112996E-3</v>
      </c>
      <c r="BQ244" s="716">
        <v>1.0472393769620955E-2</v>
      </c>
      <c r="BR244" s="716">
        <v>1.259139393636631E-2</v>
      </c>
      <c r="BS244" s="716">
        <v>1.4997175637357403E-2</v>
      </c>
      <c r="BT244" s="716">
        <v>1.7597419746333234E-2</v>
      </c>
      <c r="BW244" s="1166">
        <f>'2022'!R\Max</f>
        <v>0.60827448542352525</v>
      </c>
      <c r="BX244" s="1167">
        <f>'2023'!R\Max</f>
        <v>0.60825351006510475</v>
      </c>
      <c r="BY244" s="1167">
        <f>'2024'!R\Max</f>
        <v>0.60822921833467924</v>
      </c>
      <c r="BZ244" s="1167">
        <f>'2025'!R\Max</f>
        <v>0.60820465185048977</v>
      </c>
      <c r="CA244" s="1167">
        <f>'2026'!R\Max</f>
        <v>0.6081765292218182</v>
      </c>
      <c r="CB244" s="1167">
        <f>'2027'!R\Max</f>
        <v>0.60814811158950821</v>
      </c>
      <c r="CC244" s="1168">
        <f>'2028'!R\Max</f>
        <v>0.60811613828932298</v>
      </c>
      <c r="CD244" s="1167">
        <f>'2029'!R\Max</f>
        <v>0.60827553366290876</v>
      </c>
      <c r="CE244" s="1167">
        <f>'2030'!R\Max</f>
        <v>0.60825455836138498</v>
      </c>
      <c r="CF244" s="1169">
        <f>'2031'!R\Max</f>
        <v>0.60823044603387522</v>
      </c>
    </row>
    <row r="245" spans="1:84" s="6" customFormat="1" ht="11.25" x14ac:dyDescent="0.2">
      <c r="A245" s="11">
        <v>43331</v>
      </c>
      <c r="B245" s="375">
        <f>'2022'!Maxi_hp</f>
        <v>148.05691589601781</v>
      </c>
      <c r="C245" s="13">
        <f>'2022'!An_max</f>
        <v>2022</v>
      </c>
      <c r="D245" s="1045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69">
        <f t="shared" si="99"/>
        <v>43318</v>
      </c>
      <c r="I245" s="743">
        <f t="shared" si="100"/>
        <v>0.9285714285714286</v>
      </c>
      <c r="J245" s="736">
        <f t="shared" si="101"/>
        <v>224.79600947637641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38">
        <v>43331</v>
      </c>
      <c r="AP245" s="13">
        <f t="shared" si="102"/>
        <v>9</v>
      </c>
      <c r="AQ245" s="13">
        <f t="shared" si="103"/>
        <v>10</v>
      </c>
      <c r="AR245" s="169">
        <f t="shared" si="104"/>
        <v>43304</v>
      </c>
      <c r="AS245" s="743">
        <f t="shared" si="105"/>
        <v>0.9642857142857143</v>
      </c>
      <c r="AT245" s="759">
        <f t="shared" si="106"/>
        <v>224.80613383448548</v>
      </c>
      <c r="AU245" s="13">
        <f t="shared" si="107"/>
        <v>9</v>
      </c>
      <c r="AV245" s="13">
        <f t="shared" si="108"/>
        <v>10</v>
      </c>
      <c r="AW245" s="169">
        <f t="shared" si="109"/>
        <v>43318</v>
      </c>
      <c r="AX245" s="743">
        <f t="shared" si="110"/>
        <v>0.4642857142857143</v>
      </c>
      <c r="AY245" s="759">
        <f t="shared" si="111"/>
        <v>224.6972599318517</v>
      </c>
      <c r="AZ245" s="736">
        <f t="shared" si="115"/>
        <v>224.75169688316859</v>
      </c>
      <c r="BA245" s="633">
        <f t="shared" si="112"/>
        <v>0.65862786550744779</v>
      </c>
      <c r="BC245" s="11">
        <v>43331</v>
      </c>
      <c r="BD245" s="286">
        <f>[2]!FeuilCaduc*(1-Persistant)+Persistant</f>
        <v>0.99442744128564253</v>
      </c>
      <c r="BE245" s="287">
        <f>[2]!CroissVégét</f>
        <v>0.94692247197428869</v>
      </c>
      <c r="BF245" s="806">
        <f>1+[2]!Salcycl*Ksac</f>
        <v>1.0493034301607054</v>
      </c>
      <c r="BH245" s="1036">
        <f t="shared" si="113"/>
        <v>7.1596920843844808E-3</v>
      </c>
      <c r="BI245" s="11">
        <v>44427</v>
      </c>
      <c r="BJ245" s="716">
        <v>2.068216619263256E-3</v>
      </c>
      <c r="BK245" s="716">
        <v>2.8519958296486293E-3</v>
      </c>
      <c r="BL245" s="716">
        <v>3.7186307045030276E-3</v>
      </c>
      <c r="BM245" s="716">
        <v>4.7034695073048527E-3</v>
      </c>
      <c r="BN245" s="716">
        <v>5.8486112057563018E-3</v>
      </c>
      <c r="BO245" s="717">
        <v>7.1735653800339633E-3</v>
      </c>
      <c r="BP245" s="716">
        <v>8.7373951530228238E-3</v>
      </c>
      <c r="BQ245" s="716">
        <v>1.0564434647944156E-2</v>
      </c>
      <c r="BR245" s="716">
        <v>1.2673074328979947E-2</v>
      </c>
      <c r="BS245" s="716">
        <v>1.5063934223001065E-2</v>
      </c>
      <c r="BT245" s="716">
        <v>1.7647853250311641E-2</v>
      </c>
      <c r="BW245" s="1166">
        <f>'2022'!R\Max</f>
        <v>0.65862786550744779</v>
      </c>
      <c r="BX245" s="1167">
        <f>'2023'!R\Max</f>
        <v>0.65860802175886335</v>
      </c>
      <c r="BY245" s="1167">
        <f>'2024'!R\Max</f>
        <v>0.65858508374266611</v>
      </c>
      <c r="BZ245" s="1167">
        <f>'2025'!R\Max</f>
        <v>0.65856189678538002</v>
      </c>
      <c r="CA245" s="1167">
        <f>'2026'!R\Max</f>
        <v>0.6585353984706479</v>
      </c>
      <c r="CB245" s="1167">
        <f>'2027'!R\Max</f>
        <v>0.6585086333311807</v>
      </c>
      <c r="CC245" s="1168">
        <f>'2028'!R\Max</f>
        <v>0.65847854837669839</v>
      </c>
      <c r="CD245" s="1167">
        <f>'2029'!R\Max</f>
        <v>0.65862885719015341</v>
      </c>
      <c r="CE245" s="1167">
        <f>'2030'!R\Max</f>
        <v>0.65860901350434997</v>
      </c>
      <c r="CF245" s="1169">
        <f>'2031'!R\Max</f>
        <v>0.65858624249428743</v>
      </c>
    </row>
    <row r="246" spans="1:84" s="6" customFormat="1" ht="11.25" x14ac:dyDescent="0.2">
      <c r="A246" s="11">
        <v>43332</v>
      </c>
      <c r="B246" s="375">
        <f>'2022'!Maxi_hp</f>
        <v>216.29226150112041</v>
      </c>
      <c r="C246" s="13">
        <f>'2022'!An_max</f>
        <v>2022</v>
      </c>
      <c r="D246" s="1045" t="str">
        <f t="shared" si="97"/>
        <v/>
      </c>
      <c r="E246" s="1040">
        <f>AD$13/10</f>
        <v>224</v>
      </c>
      <c r="F246" s="13">
        <f t="shared" si="114"/>
        <v>19</v>
      </c>
      <c r="G246" s="13">
        <f t="shared" si="98"/>
        <v>18</v>
      </c>
      <c r="H246" s="169">
        <f t="shared" si="99"/>
        <v>43346</v>
      </c>
      <c r="I246" s="743">
        <f t="shared" si="100"/>
        <v>1</v>
      </c>
      <c r="J246" s="736">
        <f t="shared" si="101"/>
        <v>224.00000000149012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38">
        <v>43332</v>
      </c>
      <c r="AP246" s="13">
        <f t="shared" si="102"/>
        <v>11</v>
      </c>
      <c r="AQ246" s="13">
        <f t="shared" si="103"/>
        <v>10</v>
      </c>
      <c r="AR246" s="169">
        <f t="shared" si="104"/>
        <v>43360</v>
      </c>
      <c r="AS246" s="743">
        <f t="shared" si="105"/>
        <v>1</v>
      </c>
      <c r="AT246" s="759">
        <f t="shared" si="106"/>
        <v>223.99999999701976</v>
      </c>
      <c r="AU246" s="13">
        <f t="shared" si="107"/>
        <v>9</v>
      </c>
      <c r="AV246" s="13">
        <f t="shared" si="108"/>
        <v>10</v>
      </c>
      <c r="AW246" s="169">
        <f t="shared" si="109"/>
        <v>43318</v>
      </c>
      <c r="AX246" s="743">
        <f t="shared" si="110"/>
        <v>0.5</v>
      </c>
      <c r="AY246" s="759">
        <f t="shared" si="111"/>
        <v>223.90625000074505</v>
      </c>
      <c r="AZ246" s="736">
        <f t="shared" si="115"/>
        <v>223.9531249988824</v>
      </c>
      <c r="BA246" s="633">
        <f t="shared" si="112"/>
        <v>0.96559045312357838</v>
      </c>
      <c r="BC246" s="11">
        <v>43332</v>
      </c>
      <c r="BD246" s="286">
        <f>[2]!FeuilCaduc*(1-Persistant)+Persistant</f>
        <v>0.99393589832709273</v>
      </c>
      <c r="BE246" s="287">
        <f>[2]!CroissVégét</f>
        <v>0.94896259011285922</v>
      </c>
      <c r="BF246" s="806">
        <f>1+[2]!Salcycl*Ksac</f>
        <v>1.0492419872908867</v>
      </c>
      <c r="BH246" s="1036">
        <f t="shared" si="113"/>
        <v>7.2551559534056462E-3</v>
      </c>
      <c r="BI246" s="11">
        <v>44428</v>
      </c>
      <c r="BJ246" s="716">
        <v>2.1356625034162332E-3</v>
      </c>
      <c r="BK246" s="716">
        <v>2.9254960397743276E-3</v>
      </c>
      <c r="BL246" s="716">
        <v>3.797655157347193E-3</v>
      </c>
      <c r="BM246" s="716">
        <v>4.7899066148291173E-3</v>
      </c>
      <c r="BN246" s="716">
        <v>5.9405362797465729E-3</v>
      </c>
      <c r="BO246" s="717">
        <v>7.2690666950666651E-3</v>
      </c>
      <c r="BP246" s="716">
        <v>8.8309423671734388E-3</v>
      </c>
      <c r="BQ246" s="716">
        <v>1.0650566813058841E-2</v>
      </c>
      <c r="BR246" s="716">
        <v>1.2745335368462856E-2</v>
      </c>
      <c r="BS246" s="716">
        <v>1.5116207595883056E-2</v>
      </c>
      <c r="BT246" s="716">
        <v>1.7677859158240477E-2</v>
      </c>
      <c r="BW246" s="1166">
        <f>'2022'!R\Max</f>
        <v>0.96559045312357838</v>
      </c>
      <c r="BX246" s="1167">
        <f>'2023'!R\Max</f>
        <v>0.96558751532393872</v>
      </c>
      <c r="BY246" s="1167">
        <f>'2024'!R\Max</f>
        <v>0.96558412718040154</v>
      </c>
      <c r="BZ246" s="1167">
        <f>'2025'!R\Max</f>
        <v>0.96558070366910809</v>
      </c>
      <c r="CA246" s="1167">
        <f>'2026'!R\Max</f>
        <v>0.96557679917944861</v>
      </c>
      <c r="CB246" s="1167">
        <f>'2027'!R\Max</f>
        <v>0.96557285680345484</v>
      </c>
      <c r="CC246" s="1168">
        <f>'2028'!R\Max</f>
        <v>0.96556843145884119</v>
      </c>
      <c r="CD246" s="1167">
        <f>'2029'!R\Max</f>
        <v>0.96559059993464547</v>
      </c>
      <c r="CE246" s="1167">
        <f>'2030'!R\Max</f>
        <v>0.9655876621522862</v>
      </c>
      <c r="CF246" s="1169">
        <f>'2031'!R\Max</f>
        <v>0.96558429826225756</v>
      </c>
    </row>
    <row r="247" spans="1:84" s="6" customFormat="1" ht="11.25" x14ac:dyDescent="0.2">
      <c r="A247" s="11">
        <v>43333</v>
      </c>
      <c r="B247" s="375">
        <f>'2022'!Maxi_hp</f>
        <v>137.99506704811625</v>
      </c>
      <c r="C247" s="13">
        <f>'2022'!An_max</f>
        <v>2022</v>
      </c>
      <c r="D247" s="1045" t="str">
        <f t="shared" si="97"/>
        <v/>
      </c>
      <c r="E247" s="13"/>
      <c r="F247" s="13">
        <f t="shared" si="114"/>
        <v>19</v>
      </c>
      <c r="G247" s="13">
        <f t="shared" si="98"/>
        <v>18</v>
      </c>
      <c r="H247" s="169">
        <f t="shared" si="99"/>
        <v>43346</v>
      </c>
      <c r="I247" s="743">
        <f t="shared" si="100"/>
        <v>0.9285714285714286</v>
      </c>
      <c r="J247" s="736">
        <f t="shared" si="101"/>
        <v>223.19005102046899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38">
        <v>43333</v>
      </c>
      <c r="AP247" s="13">
        <f t="shared" si="102"/>
        <v>11</v>
      </c>
      <c r="AQ247" s="13">
        <f t="shared" si="103"/>
        <v>10</v>
      </c>
      <c r="AR247" s="169">
        <f t="shared" si="104"/>
        <v>43360</v>
      </c>
      <c r="AS247" s="743">
        <f t="shared" si="105"/>
        <v>0.9642857142857143</v>
      </c>
      <c r="AT247" s="759">
        <f t="shared" si="106"/>
        <v>223.18082634545863</v>
      </c>
      <c r="AU247" s="13">
        <f t="shared" si="107"/>
        <v>9</v>
      </c>
      <c r="AV247" s="13">
        <f t="shared" si="108"/>
        <v>10</v>
      </c>
      <c r="AW247" s="169">
        <f t="shared" si="109"/>
        <v>43318</v>
      </c>
      <c r="AX247" s="743">
        <f t="shared" si="110"/>
        <v>0.5357142857142857</v>
      </c>
      <c r="AY247" s="759">
        <f t="shared" si="111"/>
        <v>223.1034416007144</v>
      </c>
      <c r="AZ247" s="736">
        <f t="shared" si="115"/>
        <v>223.14213397308652</v>
      </c>
      <c r="BA247" s="633">
        <f t="shared" si="112"/>
        <v>0.61828502846419708</v>
      </c>
      <c r="BC247" s="11">
        <v>43333</v>
      </c>
      <c r="BD247" s="286">
        <f>[2]!FeuilCaduc*(1-Persistant)+Persistant</f>
        <v>0.99341874776098615</v>
      </c>
      <c r="BE247" s="287">
        <f>[2]!CroissVégét</f>
        <v>0.95092883908018766</v>
      </c>
      <c r="BF247" s="806">
        <f>1+[2]!Salcycl*Ksac</f>
        <v>1.0491773434701233</v>
      </c>
      <c r="BH247" s="1036">
        <f t="shared" si="113"/>
        <v>7.3483933914184601E-3</v>
      </c>
      <c r="BI247" s="11">
        <v>44429</v>
      </c>
      <c r="BJ247" s="716">
        <v>2.2041807186450853E-3</v>
      </c>
      <c r="BK247" s="716">
        <v>2.9991256866186097E-3</v>
      </c>
      <c r="BL247" s="716">
        <v>3.8758513888007586E-3</v>
      </c>
      <c r="BM247" s="716">
        <v>4.875041095319629E-3</v>
      </c>
      <c r="BN247" s="716">
        <v>6.0307579408711218E-3</v>
      </c>
      <c r="BO247" s="717">
        <v>7.3623360447373073E-3</v>
      </c>
      <c r="BP247" s="716">
        <v>8.920941431506001E-3</v>
      </c>
      <c r="BQ247" s="716">
        <v>1.073078835006956E-2</v>
      </c>
      <c r="BR247" s="716">
        <v>1.2808174103621553E-2</v>
      </c>
      <c r="BS247" s="716">
        <v>1.5153991479409034E-2</v>
      </c>
      <c r="BT247" s="716">
        <v>1.7687431713980215E-2</v>
      </c>
      <c r="BW247" s="1166">
        <f>'2022'!R\Max</f>
        <v>0.61828502846419708</v>
      </c>
      <c r="BX247" s="1167">
        <f>'2023'!R\Max</f>
        <v>0.61826414022762466</v>
      </c>
      <c r="BY247" s="1167">
        <f>'2024'!R\Max</f>
        <v>0.61824011916919386</v>
      </c>
      <c r="BZ247" s="1167">
        <f>'2025'!R\Max</f>
        <v>0.61821586077616419</v>
      </c>
      <c r="CA247" s="1167">
        <f>'2026'!R\Max</f>
        <v>0.61818826554590534</v>
      </c>
      <c r="CB247" s="1167">
        <f>'2027'!R\Max</f>
        <v>0.61816041715064773</v>
      </c>
      <c r="CC247" s="1168">
        <f>'2028'!R\Max</f>
        <v>0.61812921975211554</v>
      </c>
      <c r="CD247" s="1167">
        <f>'2029'!R\Max</f>
        <v>0.6182860723485516</v>
      </c>
      <c r="CE247" s="1167">
        <f>'2030'!R\Max</f>
        <v>0.61826518417079623</v>
      </c>
      <c r="CF247" s="1169">
        <f>'2031'!R\Max</f>
        <v>0.61824133147048443</v>
      </c>
    </row>
    <row r="248" spans="1:84" s="6" customFormat="1" ht="11.25" x14ac:dyDescent="0.2">
      <c r="A248" s="11">
        <v>43334</v>
      </c>
      <c r="B248" s="375">
        <f>'2022'!Maxi_hp</f>
        <v>108.83273565768181</v>
      </c>
      <c r="C248" s="13">
        <f>'2022'!An_max</f>
        <v>2022</v>
      </c>
      <c r="D248" s="1045" t="str">
        <f t="shared" si="97"/>
        <v/>
      </c>
      <c r="E248" s="13"/>
      <c r="F248" s="13">
        <f t="shared" si="114"/>
        <v>19</v>
      </c>
      <c r="G248" s="13">
        <f t="shared" si="98"/>
        <v>18</v>
      </c>
      <c r="H248" s="169">
        <f t="shared" si="99"/>
        <v>43346</v>
      </c>
      <c r="I248" s="743">
        <f t="shared" si="100"/>
        <v>0.8571428571428571</v>
      </c>
      <c r="J248" s="736">
        <f t="shared" si="101"/>
        <v>222.36734694029604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38">
        <v>43334</v>
      </c>
      <c r="AP248" s="13">
        <f t="shared" si="102"/>
        <v>11</v>
      </c>
      <c r="AQ248" s="13">
        <f t="shared" si="103"/>
        <v>10</v>
      </c>
      <c r="AR248" s="169">
        <f t="shared" si="104"/>
        <v>43360</v>
      </c>
      <c r="AS248" s="743">
        <f t="shared" si="105"/>
        <v>0.9285714285714286</v>
      </c>
      <c r="AT248" s="759">
        <f t="shared" si="106"/>
        <v>222.3483964996679</v>
      </c>
      <c r="AU248" s="13">
        <f t="shared" si="107"/>
        <v>9</v>
      </c>
      <c r="AV248" s="13">
        <f t="shared" si="108"/>
        <v>10</v>
      </c>
      <c r="AW248" s="169">
        <f t="shared" si="109"/>
        <v>43318</v>
      </c>
      <c r="AX248" s="743">
        <f t="shared" si="110"/>
        <v>0.5714285714285714</v>
      </c>
      <c r="AY248" s="759">
        <f t="shared" si="111"/>
        <v>222.28862973664491</v>
      </c>
      <c r="AZ248" s="736">
        <f t="shared" si="115"/>
        <v>222.3185131181564</v>
      </c>
      <c r="BA248" s="633">
        <f t="shared" si="112"/>
        <v>0.48942768421346761</v>
      </c>
      <c r="BC248" s="11">
        <v>43334</v>
      </c>
      <c r="BD248" s="286">
        <f>[2]!FeuilCaduc*(1-Persistant)+Persistant</f>
        <v>0.99287497136627267</v>
      </c>
      <c r="BE248" s="287">
        <f>[2]!CroissVégét</f>
        <v>0.95282358778342446</v>
      </c>
      <c r="BF248" s="806">
        <f>1+[2]!Salcycl*Ksac</f>
        <v>1.049109371420784</v>
      </c>
      <c r="BH248" s="1036">
        <f t="shared" si="113"/>
        <v>7.427085492882784E-3</v>
      </c>
      <c r="BI248" s="11">
        <v>44430</v>
      </c>
      <c r="BJ248" s="716">
        <v>2.2666284545834791E-3</v>
      </c>
      <c r="BK248" s="716">
        <v>3.0650989813129706E-3</v>
      </c>
      <c r="BL248" s="716">
        <v>3.9448244621717527E-3</v>
      </c>
      <c r="BM248" s="716">
        <v>4.949511137339881E-3</v>
      </c>
      <c r="BN248" s="716">
        <v>6.1085798685251392E-3</v>
      </c>
      <c r="BO248" s="717">
        <v>7.4410373540077504E-3</v>
      </c>
      <c r="BP248" s="716">
        <v>8.9935452906826311E-3</v>
      </c>
      <c r="BQ248" s="716">
        <v>1.0790385658617901E-2</v>
      </c>
      <c r="BR248" s="716">
        <v>1.2846735459261448E-2</v>
      </c>
      <c r="BS248" s="716">
        <v>1.5163022597782858E-2</v>
      </c>
      <c r="BT248" s="716">
        <v>1.7663096285067209E-2</v>
      </c>
      <c r="BW248" s="1166">
        <f>'2022'!R\Max</f>
        <v>0.48942768421346761</v>
      </c>
      <c r="BX248" s="1167">
        <f>'2023'!R\Max</f>
        <v>0.48940558491984987</v>
      </c>
      <c r="BY248" s="1167">
        <f>'2024'!R\Max</f>
        <v>0.48938024365878213</v>
      </c>
      <c r="BZ248" s="1167">
        <f>'2025'!R\Max</f>
        <v>0.48935466448908005</v>
      </c>
      <c r="CA248" s="1167">
        <f>'2026'!R\Max</f>
        <v>0.48932564148436508</v>
      </c>
      <c r="CB248" s="1167">
        <f>'2027'!R\Max</f>
        <v>0.48929636552669287</v>
      </c>
      <c r="CC248" s="1168">
        <f>'2028'!R\Max</f>
        <v>0.48926363942666823</v>
      </c>
      <c r="CD248" s="1167">
        <f>'2029'!R\Max</f>
        <v>0.4894287886333325</v>
      </c>
      <c r="CE248" s="1167">
        <f>'2030'!R\Max</f>
        <v>0.4894066893767216</v>
      </c>
      <c r="CF248" s="1169">
        <f>'2031'!R\Max</f>
        <v>0.48938152198312146</v>
      </c>
    </row>
    <row r="249" spans="1:84" s="6" customFormat="1" ht="11.25" x14ac:dyDescent="0.2">
      <c r="A249" s="11">
        <v>43335</v>
      </c>
      <c r="B249" s="375">
        <f>'2022'!Maxi_hp</f>
        <v>188.9062372791623</v>
      </c>
      <c r="C249" s="13">
        <f>'2022'!An_max</f>
        <v>2022</v>
      </c>
      <c r="D249" s="1045" t="str">
        <f t="shared" si="97"/>
        <v/>
      </c>
      <c r="E249" s="13"/>
      <c r="F249" s="13">
        <f t="shared" si="114"/>
        <v>19</v>
      </c>
      <c r="G249" s="13">
        <f t="shared" si="98"/>
        <v>18</v>
      </c>
      <c r="H249" s="169">
        <f t="shared" si="99"/>
        <v>43346</v>
      </c>
      <c r="I249" s="743">
        <f t="shared" si="100"/>
        <v>0.7857142857142857</v>
      </c>
      <c r="J249" s="736">
        <f t="shared" si="101"/>
        <v>221.5318877541593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38">
        <v>43335</v>
      </c>
      <c r="AP249" s="13">
        <f t="shared" si="102"/>
        <v>11</v>
      </c>
      <c r="AQ249" s="13">
        <f t="shared" si="103"/>
        <v>10</v>
      </c>
      <c r="AR249" s="169">
        <f t="shared" si="104"/>
        <v>43360</v>
      </c>
      <c r="AS249" s="743">
        <f t="shared" si="105"/>
        <v>0.8928571428571429</v>
      </c>
      <c r="AT249" s="759">
        <f t="shared" si="106"/>
        <v>221.50284711904823</v>
      </c>
      <c r="AU249" s="13">
        <f t="shared" si="107"/>
        <v>9</v>
      </c>
      <c r="AV249" s="13">
        <f t="shared" si="108"/>
        <v>10</v>
      </c>
      <c r="AW249" s="169">
        <f t="shared" si="109"/>
        <v>43318</v>
      </c>
      <c r="AX249" s="743">
        <f t="shared" si="110"/>
        <v>0.6071428571428571</v>
      </c>
      <c r="AY249" s="759">
        <f t="shared" si="111"/>
        <v>221.4616094201271</v>
      </c>
      <c r="AZ249" s="736">
        <f t="shared" si="115"/>
        <v>221.48222826958767</v>
      </c>
      <c r="BA249" s="633">
        <f t="shared" si="112"/>
        <v>0.85272706874956672</v>
      </c>
      <c r="BC249" s="11">
        <v>43335</v>
      </c>
      <c r="BD249" s="286">
        <f>[2]!FeuilCaduc*(1-Persistant)+Persistant</f>
        <v>0.9923035056872701</v>
      </c>
      <c r="BE249" s="287">
        <f>[2]!CroissVégét</f>
        <v>0.95464915235219705</v>
      </c>
      <c r="BF249" s="806">
        <f>1+[2]!Salcycl*Ksac</f>
        <v>1.0490379382109087</v>
      </c>
      <c r="BH249" s="1036">
        <f t="shared" si="113"/>
        <v>7.4898186553922167E-3</v>
      </c>
      <c r="BI249" s="11">
        <v>44431</v>
      </c>
      <c r="BJ249" s="716">
        <v>2.3211534898518902E-3</v>
      </c>
      <c r="BK249" s="716">
        <v>3.1214746910009105E-3</v>
      </c>
      <c r="BL249" s="716">
        <v>4.0030763338900288E-3</v>
      </c>
      <c r="BM249" s="716">
        <v>5.0122548627127457E-3</v>
      </c>
      <c r="BN249" s="716">
        <v>6.1729734061054184E-3</v>
      </c>
      <c r="BO249" s="717">
        <v>7.5037529471401734E-3</v>
      </c>
      <c r="BP249" s="716">
        <v>9.0470949257578873E-3</v>
      </c>
      <c r="BQ249" s="716">
        <v>1.0827978132817691E-2</v>
      </c>
      <c r="BR249" s="716">
        <v>1.2860422603419611E-2</v>
      </c>
      <c r="BS249" s="716">
        <v>1.5144571183194568E-2</v>
      </c>
      <c r="BT249" s="716">
        <v>1.7608613219706373E-2</v>
      </c>
      <c r="BW249" s="1166">
        <f>'2022'!R\Max</f>
        <v>0.85272706874956672</v>
      </c>
      <c r="BX249" s="1167">
        <f>'2023'!R\Max</f>
        <v>0.85271599250510943</v>
      </c>
      <c r="BY249" s="1167">
        <f>'2024'!R\Max</f>
        <v>0.85270332316716224</v>
      </c>
      <c r="BZ249" s="1167">
        <f>'2025'!R\Max</f>
        <v>0.85269053937097239</v>
      </c>
      <c r="CA249" s="1167">
        <f>'2026'!R\Max</f>
        <v>0.85267606775654581</v>
      </c>
      <c r="CB249" s="1167">
        <f>'2027'!R\Max</f>
        <v>0.85266147455018793</v>
      </c>
      <c r="CC249" s="1168">
        <f>'2028'!R\Max</f>
        <v>0.85264519167420705</v>
      </c>
      <c r="CD249" s="1167">
        <f>'2029'!R\Max</f>
        <v>0.8527276222701301</v>
      </c>
      <c r="CE249" s="1167">
        <f>'2030'!R\Max</f>
        <v>0.85271654607964342</v>
      </c>
      <c r="CF249" s="1169">
        <f>'2031'!R\Max</f>
        <v>0.85270396201531173</v>
      </c>
    </row>
    <row r="250" spans="1:84" s="6" customFormat="1" ht="11.25" x14ac:dyDescent="0.2">
      <c r="A250" s="11">
        <v>43336</v>
      </c>
      <c r="B250" s="375">
        <f>'2022'!Maxi_hp</f>
        <v>201.22172147178324</v>
      </c>
      <c r="C250" s="13">
        <f>'2022'!An_max</f>
        <v>2022</v>
      </c>
      <c r="D250" s="1045" t="str">
        <f t="shared" si="97"/>
        <v/>
      </c>
      <c r="E250" s="13"/>
      <c r="F250" s="13">
        <f t="shared" si="114"/>
        <v>19</v>
      </c>
      <c r="G250" s="13">
        <f t="shared" si="98"/>
        <v>18</v>
      </c>
      <c r="H250" s="169">
        <f t="shared" si="99"/>
        <v>43346</v>
      </c>
      <c r="I250" s="743">
        <f t="shared" si="100"/>
        <v>0.7142857142857143</v>
      </c>
      <c r="J250" s="736">
        <f t="shared" si="101"/>
        <v>220.68367346887081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38">
        <v>43336</v>
      </c>
      <c r="AP250" s="13">
        <f t="shared" si="102"/>
        <v>11</v>
      </c>
      <c r="AQ250" s="13">
        <f t="shared" si="103"/>
        <v>10</v>
      </c>
      <c r="AR250" s="169">
        <f t="shared" si="104"/>
        <v>43360</v>
      </c>
      <c r="AS250" s="743">
        <f t="shared" si="105"/>
        <v>0.8571428571428571</v>
      </c>
      <c r="AT250" s="759">
        <f t="shared" si="106"/>
        <v>220.64431486576797</v>
      </c>
      <c r="AU250" s="13">
        <f t="shared" si="107"/>
        <v>9</v>
      </c>
      <c r="AV250" s="13">
        <f t="shared" si="108"/>
        <v>10</v>
      </c>
      <c r="AW250" s="169">
        <f t="shared" si="109"/>
        <v>43318</v>
      </c>
      <c r="AX250" s="743">
        <f t="shared" si="110"/>
        <v>0.6428571428571429</v>
      </c>
      <c r="AY250" s="759">
        <f t="shared" si="111"/>
        <v>220.6221756554076</v>
      </c>
      <c r="AZ250" s="736">
        <f t="shared" si="115"/>
        <v>220.63324526058778</v>
      </c>
      <c r="BA250" s="633">
        <f t="shared" si="112"/>
        <v>0.91181063967637443</v>
      </c>
      <c r="BC250" s="11">
        <v>43336</v>
      </c>
      <c r="BD250" s="286">
        <f>[2]!FeuilCaduc*(1-Persistant)+Persistant</f>
        <v>0.99170324452734449</v>
      </c>
      <c r="BE250" s="287">
        <f>[2]!CroissVégét</f>
        <v>0.95640779545152554</v>
      </c>
      <c r="BF250" s="806">
        <f>1+[2]!Salcycl*Ksac</f>
        <v>1.048962905565918</v>
      </c>
      <c r="BH250" s="1036">
        <f t="shared" si="113"/>
        <v>7.5365948812337732E-3</v>
      </c>
      <c r="BI250" s="11">
        <v>44432</v>
      </c>
      <c r="BJ250" s="716">
        <v>2.3677565619362553E-3</v>
      </c>
      <c r="BK250" s="716">
        <v>3.1682537043545111E-3</v>
      </c>
      <c r="BL250" s="716">
        <v>4.050608145070962E-3</v>
      </c>
      <c r="BM250" s="716">
        <v>5.0632737679851452E-3</v>
      </c>
      <c r="BN250" s="716">
        <v>6.223940344078434E-3</v>
      </c>
      <c r="BO250" s="717">
        <v>7.5504848286629851E-3</v>
      </c>
      <c r="BP250" s="716">
        <v>9.0815924780522309E-3</v>
      </c>
      <c r="BQ250" s="716">
        <v>1.0843568070225242E-2</v>
      </c>
      <c r="BR250" s="716">
        <v>1.2849237994791098E-2</v>
      </c>
      <c r="BS250" s="716">
        <v>1.509863987850321E-2</v>
      </c>
      <c r="BT250" s="716">
        <v>1.7523985358925773E-2</v>
      </c>
      <c r="BW250" s="1166">
        <f>'2022'!R\Max</f>
        <v>0.91181063967637443</v>
      </c>
      <c r="BX250" s="1167">
        <f>'2023'!R\Max</f>
        <v>0.91180358090165947</v>
      </c>
      <c r="BY250" s="1167">
        <f>'2024'!R\Max</f>
        <v>0.91179552553103393</v>
      </c>
      <c r="BZ250" s="1167">
        <f>'2025'!R\Max</f>
        <v>0.91178740046528495</v>
      </c>
      <c r="CA250" s="1167">
        <f>'2026'!R\Max</f>
        <v>0.91177822295537259</v>
      </c>
      <c r="CB250" s="1167">
        <f>'2027'!R\Max</f>
        <v>0.91176897161831938</v>
      </c>
      <c r="CC250" s="1168">
        <f>'2028'!R\Max</f>
        <v>0.91175866706458442</v>
      </c>
      <c r="CD250" s="1167">
        <f>'2029'!R\Max</f>
        <v>0.91181099242740271</v>
      </c>
      <c r="CE250" s="1167">
        <f>'2030'!R\Max</f>
        <v>0.91180393369057944</v>
      </c>
      <c r="CF250" s="1169">
        <f>'2031'!R\Max</f>
        <v>0.91179593156480376</v>
      </c>
    </row>
    <row r="251" spans="1:84" s="6" customFormat="1" ht="11.25" x14ac:dyDescent="0.2">
      <c r="A251" s="11">
        <v>43337</v>
      </c>
      <c r="B251" s="375">
        <f>'2022'!Maxi_hp</f>
        <v>140.95537461468533</v>
      </c>
      <c r="C251" s="13">
        <f>'2022'!An_max</f>
        <v>2022</v>
      </c>
      <c r="D251" s="1045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69">
        <f t="shared" si="99"/>
        <v>43346</v>
      </c>
      <c r="I251" s="743">
        <f t="shared" si="100"/>
        <v>0.6428571428571429</v>
      </c>
      <c r="J251" s="736">
        <f t="shared" si="101"/>
        <v>219.82270407964074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38">
        <v>43337</v>
      </c>
      <c r="AP251" s="13">
        <f t="shared" si="102"/>
        <v>11</v>
      </c>
      <c r="AQ251" s="13">
        <f t="shared" si="103"/>
        <v>10</v>
      </c>
      <c r="AR251" s="169">
        <f t="shared" si="104"/>
        <v>43360</v>
      </c>
      <c r="AS251" s="743">
        <f t="shared" si="105"/>
        <v>0.8214285714285714</v>
      </c>
      <c r="AT251" s="759">
        <f t="shared" si="106"/>
        <v>219.77293640332564</v>
      </c>
      <c r="AU251" s="13">
        <f t="shared" si="107"/>
        <v>9</v>
      </c>
      <c r="AV251" s="13">
        <f t="shared" si="108"/>
        <v>10</v>
      </c>
      <c r="AW251" s="169">
        <f t="shared" si="109"/>
        <v>43318</v>
      </c>
      <c r="AX251" s="743">
        <f t="shared" si="110"/>
        <v>0.6785714285714286</v>
      </c>
      <c r="AY251" s="759">
        <f t="shared" si="111"/>
        <v>219.77012345093698</v>
      </c>
      <c r="AZ251" s="736">
        <f t="shared" si="115"/>
        <v>219.77152992713133</v>
      </c>
      <c r="BA251" s="633">
        <f t="shared" si="112"/>
        <v>0.64122300380591191</v>
      </c>
      <c r="BC251" s="11">
        <v>43337</v>
      </c>
      <c r="BD251" s="286">
        <f>[2]!FeuilCaduc*(1-Persistant)+Persistant</f>
        <v>0.99107304054302559</v>
      </c>
      <c r="BE251" s="287">
        <f>[2]!CroissVégét</f>
        <v>0.95810172578745478</v>
      </c>
      <c r="BF251" s="806">
        <f>1+[2]!Salcycl*Ksac</f>
        <v>1.0488841300678782</v>
      </c>
      <c r="BH251" s="1036">
        <f t="shared" si="113"/>
        <v>7.5674178482445257E-3</v>
      </c>
      <c r="BI251" s="11">
        <v>44433</v>
      </c>
      <c r="BJ251" s="716">
        <v>2.4064389131878998E-3</v>
      </c>
      <c r="BK251" s="716">
        <v>3.2054375842296011E-3</v>
      </c>
      <c r="BL251" s="716">
        <v>4.087421919328686E-3</v>
      </c>
      <c r="BM251" s="716">
        <v>5.1025704844448036E-3</v>
      </c>
      <c r="BN251" s="716">
        <v>6.2614838732771251E-3</v>
      </c>
      <c r="BO251" s="717">
        <v>7.5812366815665279E-3</v>
      </c>
      <c r="BP251" s="716">
        <v>9.0970420708545111E-3</v>
      </c>
      <c r="BQ251" s="716">
        <v>1.083716010689892E-2</v>
      </c>
      <c r="BR251" s="716">
        <v>1.2813186840263417E-2</v>
      </c>
      <c r="BS251" s="716">
        <v>1.5025234542543458E-2</v>
      </c>
      <c r="BT251" s="716">
        <v>1.740921926592872E-2</v>
      </c>
      <c r="BW251" s="1166">
        <f>'2022'!R\Max</f>
        <v>0.64122300380591191</v>
      </c>
      <c r="BX251" s="1167">
        <f>'2023'!R\Max</f>
        <v>0.641202945650584</v>
      </c>
      <c r="BY251" s="1167">
        <f>'2024'!R\Max</f>
        <v>0.6411801043113935</v>
      </c>
      <c r="BZ251" s="1167">
        <f>'2025'!R\Max</f>
        <v>0.64115707486842199</v>
      </c>
      <c r="CA251" s="1167">
        <f>'2026'!R\Max</f>
        <v>0.64113111762071762</v>
      </c>
      <c r="CB251" s="1167">
        <f>'2027'!R\Max</f>
        <v>0.64110496214279888</v>
      </c>
      <c r="CC251" s="1168">
        <f>'2028'!R\Max</f>
        <v>0.64107587653279863</v>
      </c>
      <c r="CD251" s="1167">
        <f>'2029'!R\Max</f>
        <v>0.64122400620550235</v>
      </c>
      <c r="CE251" s="1167">
        <f>'2030'!R\Max</f>
        <v>0.6412039481098224</v>
      </c>
      <c r="CF251" s="1169">
        <f>'2031'!R\Max</f>
        <v>0.64118125519476499</v>
      </c>
    </row>
    <row r="252" spans="1:84" s="6" customFormat="1" ht="11.25" x14ac:dyDescent="0.2">
      <c r="A252" s="11">
        <v>43338</v>
      </c>
      <c r="B252" s="375">
        <f>'2022'!Maxi_hp</f>
        <v>190.33969049923974</v>
      </c>
      <c r="C252" s="13">
        <f>'2022'!An_max</f>
        <v>2022</v>
      </c>
      <c r="D252" s="1045" t="str">
        <f t="shared" si="97"/>
        <v/>
      </c>
      <c r="E252" s="13"/>
      <c r="F252" s="13">
        <f t="shared" si="114"/>
        <v>19</v>
      </c>
      <c r="G252" s="13">
        <f t="shared" si="98"/>
        <v>18</v>
      </c>
      <c r="H252" s="169">
        <f t="shared" si="99"/>
        <v>43346</v>
      </c>
      <c r="I252" s="743">
        <f t="shared" si="100"/>
        <v>0.5714285714285714</v>
      </c>
      <c r="J252" s="736">
        <f t="shared" si="101"/>
        <v>218.94897959211045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38">
        <v>43338</v>
      </c>
      <c r="AP252" s="13">
        <f t="shared" si="102"/>
        <v>11</v>
      </c>
      <c r="AQ252" s="13">
        <f t="shared" si="103"/>
        <v>10</v>
      </c>
      <c r="AR252" s="169">
        <f t="shared" si="104"/>
        <v>43360</v>
      </c>
      <c r="AS252" s="743">
        <f t="shared" si="105"/>
        <v>0.7857142857142857</v>
      </c>
      <c r="AT252" s="759">
        <f t="shared" si="106"/>
        <v>218.88884839266538</v>
      </c>
      <c r="AU252" s="13">
        <f t="shared" si="107"/>
        <v>9</v>
      </c>
      <c r="AV252" s="13">
        <f t="shared" si="108"/>
        <v>10</v>
      </c>
      <c r="AW252" s="169">
        <f t="shared" si="109"/>
        <v>43318</v>
      </c>
      <c r="AX252" s="743">
        <f t="shared" si="110"/>
        <v>0.7142857142857143</v>
      </c>
      <c r="AY252" s="759">
        <f t="shared" si="111"/>
        <v>218.90524781388893</v>
      </c>
      <c r="AZ252" s="736">
        <f t="shared" si="115"/>
        <v>218.89704810327714</v>
      </c>
      <c r="BA252" s="633">
        <f t="shared" si="112"/>
        <v>0.86933353539181502</v>
      </c>
      <c r="BC252" s="11">
        <v>43338</v>
      </c>
      <c r="BD252" s="286">
        <f>[2]!FeuilCaduc*(1-Persistant)+Persistant</f>
        <v>0.99041170596149275</v>
      </c>
      <c r="BE252" s="287">
        <f>[2]!CroissVégét</f>
        <v>0.95973309779026206</v>
      </c>
      <c r="BF252" s="806">
        <f>1+[2]!Salcycl*Ksac</f>
        <v>1.0488014632451865</v>
      </c>
      <c r="BH252" s="1036">
        <f t="shared" si="113"/>
        <v>7.5822867322500294E-3</v>
      </c>
      <c r="BI252" s="11">
        <v>44434</v>
      </c>
      <c r="BJ252" s="716">
        <v>2.4372003287777373E-3</v>
      </c>
      <c r="BK252" s="716">
        <v>3.2330259508206484E-3</v>
      </c>
      <c r="BL252" s="716">
        <v>4.1135172272231211E-3</v>
      </c>
      <c r="BM252" s="716">
        <v>5.1301446182857634E-3</v>
      </c>
      <c r="BN252" s="716">
        <v>6.2856034789463937E-3</v>
      </c>
      <c r="BO252" s="717">
        <v>7.5960076784022121E-3</v>
      </c>
      <c r="BP252" s="716">
        <v>9.0934423719895904E-3</v>
      </c>
      <c r="BQ252" s="716">
        <v>1.0808752347012994E-2</v>
      </c>
      <c r="BR252" s="716">
        <v>1.2752266596933244E-2</v>
      </c>
      <c r="BS252" s="716">
        <v>1.4924351930694864E-2</v>
      </c>
      <c r="BT252" s="716">
        <v>1.7264310943720811E-2</v>
      </c>
      <c r="BW252" s="1166">
        <f>'2022'!R\Max</f>
        <v>0.86933353539181502</v>
      </c>
      <c r="BX252" s="1167">
        <f>'2023'!R\Max</f>
        <v>0.86932371880770276</v>
      </c>
      <c r="BY252" s="1167">
        <f>'2024'!R\Max</f>
        <v>0.86931256017167746</v>
      </c>
      <c r="BZ252" s="1167">
        <f>'2025'!R\Max</f>
        <v>0.86930131283907941</v>
      </c>
      <c r="CA252" s="1167">
        <f>'2026'!R\Max</f>
        <v>0.86928865923898568</v>
      </c>
      <c r="CB252" s="1167">
        <f>'2027'!R\Max</f>
        <v>0.86927591241611191</v>
      </c>
      <c r="CC252" s="1168">
        <f>'2028'!R\Max</f>
        <v>0.86926175632794223</v>
      </c>
      <c r="CD252" s="1167">
        <f>'2029'!R\Max</f>
        <v>0.8693340259622977</v>
      </c>
      <c r="CE252" s="1167">
        <f>'2030'!R\Max</f>
        <v>0.86932420942646149</v>
      </c>
      <c r="CF252" s="1169">
        <f>'2031'!R\Max</f>
        <v>0.86931312223764756</v>
      </c>
    </row>
    <row r="253" spans="1:84" s="6" customFormat="1" ht="11.25" x14ac:dyDescent="0.2">
      <c r="A253" s="11">
        <v>43339</v>
      </c>
      <c r="B253" s="375">
        <f>'2022'!Maxi_hp</f>
        <v>208.22908354447418</v>
      </c>
      <c r="C253" s="13">
        <f>'2022'!An_max</f>
        <v>2022</v>
      </c>
      <c r="D253" s="1045" t="str">
        <f t="shared" si="97"/>
        <v/>
      </c>
      <c r="E253" s="13"/>
      <c r="F253" s="13">
        <f t="shared" si="114"/>
        <v>19</v>
      </c>
      <c r="G253" s="13">
        <f t="shared" si="98"/>
        <v>18</v>
      </c>
      <c r="H253" s="169">
        <f t="shared" si="99"/>
        <v>43346</v>
      </c>
      <c r="I253" s="743">
        <f t="shared" si="100"/>
        <v>0.5</v>
      </c>
      <c r="J253" s="736">
        <f t="shared" si="101"/>
        <v>218.0625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38">
        <v>43339</v>
      </c>
      <c r="AP253" s="13">
        <f t="shared" si="102"/>
        <v>11</v>
      </c>
      <c r="AQ253" s="13">
        <f t="shared" si="103"/>
        <v>10</v>
      </c>
      <c r="AR253" s="169">
        <f t="shared" si="104"/>
        <v>43360</v>
      </c>
      <c r="AS253" s="743">
        <f t="shared" si="105"/>
        <v>0.75</v>
      </c>
      <c r="AT253" s="759">
        <f t="shared" si="106"/>
        <v>217.99218749627471</v>
      </c>
      <c r="AU253" s="13">
        <f t="shared" si="107"/>
        <v>9</v>
      </c>
      <c r="AV253" s="13">
        <f t="shared" si="108"/>
        <v>10</v>
      </c>
      <c r="AW253" s="169">
        <f t="shared" si="109"/>
        <v>43318</v>
      </c>
      <c r="AX253" s="743">
        <f t="shared" si="110"/>
        <v>0.75</v>
      </c>
      <c r="AY253" s="759">
        <f t="shared" si="111"/>
        <v>218.02734374962748</v>
      </c>
      <c r="AZ253" s="736">
        <f t="shared" si="115"/>
        <v>218.00976562295108</v>
      </c>
      <c r="BA253" s="633">
        <f t="shared" si="112"/>
        <v>0.95490551353155251</v>
      </c>
      <c r="BC253" s="11">
        <v>43339</v>
      </c>
      <c r="BD253" s="286">
        <f>[2]!FeuilCaduc*(1-Persistant)+Persistant</f>
        <v>0.98971801245898994</v>
      </c>
      <c r="BE253" s="287">
        <f>[2]!CroissVégét</f>
        <v>0.9613040114607565</v>
      </c>
      <c r="BF253" s="806">
        <f>1+[2]!Salcycl*Ksac</f>
        <v>1.0487147515573738</v>
      </c>
      <c r="BH253" s="1036">
        <f t="shared" si="113"/>
        <v>7.581200177240891E-3</v>
      </c>
      <c r="BI253" s="11">
        <v>44435</v>
      </c>
      <c r="BJ253" s="716">
        <v>2.4600403438302392E-3</v>
      </c>
      <c r="BK253" s="716">
        <v>3.2510181156810689E-3</v>
      </c>
      <c r="BL253" s="716">
        <v>4.1288932916708826E-3</v>
      </c>
      <c r="BM253" s="716">
        <v>5.1459953947780935E-3</v>
      </c>
      <c r="BN253" s="716">
        <v>6.2962982056598707E-3</v>
      </c>
      <c r="BO253" s="717">
        <v>7.5947964589218485E-3</v>
      </c>
      <c r="BP253" s="716">
        <v>9.0707914017540466E-3</v>
      </c>
      <c r="BQ253" s="716">
        <v>1.0758342132646733E-2</v>
      </c>
      <c r="BR253" s="716">
        <v>1.2666473843413207E-2</v>
      </c>
      <c r="BS253" s="716">
        <v>1.4795987807865419E-2</v>
      </c>
      <c r="BT253" s="716">
        <v>1.7089255288512937E-2</v>
      </c>
      <c r="BW253" s="1166">
        <f>'2022'!R\Max</f>
        <v>0.95490551353155251</v>
      </c>
      <c r="BX253" s="1167">
        <f>'2023'!R\Max</f>
        <v>0.95490183316479538</v>
      </c>
      <c r="BY253" s="1167">
        <f>'2024'!R\Max</f>
        <v>0.95489765624792</v>
      </c>
      <c r="BZ253" s="1167">
        <f>'2025'!R\Max</f>
        <v>0.95489344733105452</v>
      </c>
      <c r="CA253" s="1167">
        <f>'2026'!R\Max</f>
        <v>0.95488872043124717</v>
      </c>
      <c r="CB253" s="1167">
        <f>'2027'!R\Max</f>
        <v>0.95488396003042175</v>
      </c>
      <c r="CC253" s="1168">
        <f>'2028'!R\Max</f>
        <v>0.95487867945823834</v>
      </c>
      <c r="CD253" s="1167">
        <f>'2029'!R\Max</f>
        <v>0.95490569745158382</v>
      </c>
      <c r="CE253" s="1167">
        <f>'2030'!R\Max</f>
        <v>0.95490201710541767</v>
      </c>
      <c r="CF253" s="1169">
        <f>'2031'!R\Max</f>
        <v>0.95489786657956499</v>
      </c>
    </row>
    <row r="254" spans="1:84" s="6" customFormat="1" ht="11.25" x14ac:dyDescent="0.2">
      <c r="A254" s="11">
        <v>43340</v>
      </c>
      <c r="B254" s="375">
        <f>'2022'!Maxi_hp</f>
        <v>205.08046560040967</v>
      </c>
      <c r="C254" s="13">
        <f>'2022'!An_max</f>
        <v>2022</v>
      </c>
      <c r="D254" s="1045" t="str">
        <f t="shared" si="97"/>
        <v/>
      </c>
      <c r="E254" s="13"/>
      <c r="F254" s="13">
        <f t="shared" si="114"/>
        <v>19</v>
      </c>
      <c r="G254" s="13">
        <f t="shared" si="98"/>
        <v>18</v>
      </c>
      <c r="H254" s="169">
        <f t="shared" si="99"/>
        <v>43346</v>
      </c>
      <c r="I254" s="743">
        <f t="shared" si="100"/>
        <v>0.42857142857142855</v>
      </c>
      <c r="J254" s="736">
        <f t="shared" si="101"/>
        <v>217.16326530618326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38">
        <v>43340</v>
      </c>
      <c r="AP254" s="13">
        <f t="shared" si="102"/>
        <v>11</v>
      </c>
      <c r="AQ254" s="13">
        <f t="shared" si="103"/>
        <v>10</v>
      </c>
      <c r="AR254" s="169">
        <f t="shared" si="104"/>
        <v>43360</v>
      </c>
      <c r="AS254" s="743">
        <f t="shared" si="105"/>
        <v>0.7142857142857143</v>
      </c>
      <c r="AT254" s="759">
        <f t="shared" si="106"/>
        <v>217.08309037685393</v>
      </c>
      <c r="AU254" s="13">
        <f t="shared" si="107"/>
        <v>9</v>
      </c>
      <c r="AV254" s="13">
        <f t="shared" si="108"/>
        <v>10</v>
      </c>
      <c r="AW254" s="169">
        <f t="shared" si="109"/>
        <v>43318</v>
      </c>
      <c r="AX254" s="743">
        <f t="shared" si="110"/>
        <v>0.7857142857142857</v>
      </c>
      <c r="AY254" s="759">
        <f t="shared" si="111"/>
        <v>217.13620627000927</v>
      </c>
      <c r="AZ254" s="736">
        <f t="shared" si="115"/>
        <v>217.1096483234316</v>
      </c>
      <c r="BA254" s="633">
        <f t="shared" si="112"/>
        <v>0.94436075692296395</v>
      </c>
      <c r="BC254" s="11">
        <v>43340</v>
      </c>
      <c r="BD254" s="286">
        <f>[2]!FeuilCaduc*(1-Persistant)+Persistant</f>
        <v>0.98899069025189179</v>
      </c>
      <c r="BE254" s="287">
        <f>[2]!CroissVégét</f>
        <v>0.96281651236587618</v>
      </c>
      <c r="BF254" s="806">
        <f>1+[2]!Salcycl*Ksac</f>
        <v>1.0486238362814864</v>
      </c>
      <c r="BH254" s="1036">
        <f t="shared" si="113"/>
        <v>7.558727468952634E-3</v>
      </c>
      <c r="BI254" s="11">
        <v>44436</v>
      </c>
      <c r="BJ254" s="716">
        <v>2.472007113248824E-3</v>
      </c>
      <c r="BK254" s="716">
        <v>3.2559669631278577E-3</v>
      </c>
      <c r="BL254" s="716">
        <v>4.1292938706605576E-3</v>
      </c>
      <c r="BM254" s="716">
        <v>5.1447921157201848E-3</v>
      </c>
      <c r="BN254" s="716">
        <v>6.2878078933574387E-3</v>
      </c>
      <c r="BO254" s="717">
        <v>7.5721757949150995E-3</v>
      </c>
      <c r="BP254" s="716">
        <v>9.0247705269321122E-3</v>
      </c>
      <c r="BQ254" s="716">
        <v>1.0682980749064633E-2</v>
      </c>
      <c r="BR254" s="716">
        <v>1.2554441054380854E-2</v>
      </c>
      <c r="BS254" s="716">
        <v>1.464019723591708E-2</v>
      </c>
      <c r="BT254" s="716">
        <v>1.6885244105636951E-2</v>
      </c>
      <c r="BW254" s="1166">
        <f>'2022'!R\Max</f>
        <v>0.94436075692296395</v>
      </c>
      <c r="BX254" s="1167">
        <f>'2023'!R\Max</f>
        <v>0.94435632226120758</v>
      </c>
      <c r="BY254" s="1167">
        <f>'2024'!R\Max</f>
        <v>0.94435129577462251</v>
      </c>
      <c r="BZ254" s="1167">
        <f>'2025'!R\Max</f>
        <v>0.94434623217048941</v>
      </c>
      <c r="CA254" s="1167">
        <f>'2026'!R\Max</f>
        <v>0.94434055447705878</v>
      </c>
      <c r="CB254" s="1167">
        <f>'2027'!R\Max</f>
        <v>0.94433483812924013</v>
      </c>
      <c r="CC254" s="1168">
        <f>'2028'!R\Max</f>
        <v>0.94432850432924731</v>
      </c>
      <c r="CD254" s="1167">
        <f>'2029'!R\Max</f>
        <v>0.94436097853796697</v>
      </c>
      <c r="CE254" s="1167">
        <f>'2030'!R\Max</f>
        <v>0.94435654390031676</v>
      </c>
      <c r="CF254" s="1169">
        <f>'2031'!R\Max</f>
        <v>0.94435154881794969</v>
      </c>
    </row>
    <row r="255" spans="1:84" s="6" customFormat="1" ht="11.25" x14ac:dyDescent="0.2">
      <c r="A255" s="11">
        <v>43341</v>
      </c>
      <c r="B255" s="375">
        <f>'2022'!Maxi_hp</f>
        <v>138.05841280962883</v>
      </c>
      <c r="C255" s="13">
        <f>'2022'!An_max</f>
        <v>2022</v>
      </c>
      <c r="D255" s="1045" t="str">
        <f t="shared" si="97"/>
        <v/>
      </c>
      <c r="E255" s="13"/>
      <c r="F255" s="13">
        <f t="shared" si="114"/>
        <v>19</v>
      </c>
      <c r="G255" s="13">
        <f t="shared" si="98"/>
        <v>18</v>
      </c>
      <c r="H255" s="169">
        <f t="shared" si="99"/>
        <v>43346</v>
      </c>
      <c r="I255" s="743">
        <f t="shared" si="100"/>
        <v>0.35714285714285715</v>
      </c>
      <c r="J255" s="736">
        <f t="shared" si="101"/>
        <v>216.25127550821216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38">
        <v>43341</v>
      </c>
      <c r="AP255" s="13">
        <f t="shared" si="102"/>
        <v>11</v>
      </c>
      <c r="AQ255" s="13">
        <f t="shared" si="103"/>
        <v>10</v>
      </c>
      <c r="AR255" s="169">
        <f t="shared" si="104"/>
        <v>43360</v>
      </c>
      <c r="AS255" s="743">
        <f t="shared" si="105"/>
        <v>0.6785714285714286</v>
      </c>
      <c r="AT255" s="759">
        <f t="shared" si="106"/>
        <v>216.16169369284597</v>
      </c>
      <c r="AU255" s="13">
        <f t="shared" si="107"/>
        <v>9</v>
      </c>
      <c r="AV255" s="13">
        <f t="shared" si="108"/>
        <v>10</v>
      </c>
      <c r="AW255" s="169">
        <f t="shared" si="109"/>
        <v>43318</v>
      </c>
      <c r="AX255" s="743">
        <f t="shared" si="110"/>
        <v>0.8214285714285714</v>
      </c>
      <c r="AY255" s="759">
        <f t="shared" si="111"/>
        <v>216.23163037752465</v>
      </c>
      <c r="AZ255" s="736">
        <f t="shared" si="115"/>
        <v>216.19666203518531</v>
      </c>
      <c r="BA255" s="633">
        <f t="shared" si="112"/>
        <v>0.63841664048074509</v>
      </c>
      <c r="BC255" s="11">
        <v>43341</v>
      </c>
      <c r="BD255" s="286">
        <f>[2]!FeuilCaduc*(1-Persistant)+Persistant</f>
        <v>0.98822842646563969</v>
      </c>
      <c r="BE255" s="287">
        <f>[2]!CroissVégét</f>
        <v>0.96427259177046543</v>
      </c>
      <c r="BF255" s="806">
        <f>1+[2]!Salcycl*Ksac</f>
        <v>1.0485285533082049</v>
      </c>
      <c r="BH255" s="1036">
        <f t="shared" si="113"/>
        <v>7.5185454491052874E-3</v>
      </c>
      <c r="BI255" s="11">
        <v>44437</v>
      </c>
      <c r="BJ255" s="716">
        <v>2.4738931658711862E-3</v>
      </c>
      <c r="BK255" s="716">
        <v>3.2497008421069509E-3</v>
      </c>
      <c r="BL255" s="716">
        <v>4.1170659687289769E-3</v>
      </c>
      <c r="BM255" s="716">
        <v>5.1289247681283899E-3</v>
      </c>
      <c r="BN255" s="716">
        <v>6.2628954239995751E-3</v>
      </c>
      <c r="BO255" s="717">
        <v>7.5318321992322501E-3</v>
      </c>
      <c r="BP255" s="716">
        <v>8.9606306581169835E-3</v>
      </c>
      <c r="BQ255" s="716">
        <v>1.059001106859892E-2</v>
      </c>
      <c r="BR255" s="716">
        <v>1.2426247942125457E-2</v>
      </c>
      <c r="BS255" s="716">
        <v>1.4470269936861383E-2</v>
      </c>
      <c r="BT255" s="716">
        <v>1.6669031421069846E-2</v>
      </c>
      <c r="BW255" s="1166">
        <f>'2022'!R\Max</f>
        <v>0.63841664048074509</v>
      </c>
      <c r="BX255" s="1167">
        <f>'2023'!R\Max</f>
        <v>0.63839741125551053</v>
      </c>
      <c r="BY255" s="1167">
        <f>'2024'!R\Max</f>
        <v>0.63837563420333665</v>
      </c>
      <c r="BZ255" s="1167">
        <f>'2025'!R\Max</f>
        <v>0.63835370275866044</v>
      </c>
      <c r="CA255" s="1167">
        <f>'2026'!R\Max</f>
        <v>0.63832914313810851</v>
      </c>
      <c r="CB255" s="1167">
        <f>'2027'!R\Max</f>
        <v>0.63830442393730225</v>
      </c>
      <c r="CC255" s="1168">
        <f>'2028'!R\Max</f>
        <v>0.6382770639848816</v>
      </c>
      <c r="CD255" s="1167">
        <f>'2029'!R\Max</f>
        <v>0.63841760145640603</v>
      </c>
      <c r="CE255" s="1167">
        <f>'2030'!R\Max</f>
        <v>0.63839837228535568</v>
      </c>
      <c r="CF255" s="1169">
        <f>'2031'!R\Max</f>
        <v>0.63837673021717312</v>
      </c>
    </row>
    <row r="256" spans="1:84" s="6" customFormat="1" ht="11.25" x14ac:dyDescent="0.2">
      <c r="A256" s="11">
        <v>43342</v>
      </c>
      <c r="B256" s="375">
        <f>'2022'!Maxi_hp</f>
        <v>205.02021150821608</v>
      </c>
      <c r="C256" s="13">
        <f>'2022'!An_max</f>
        <v>2022</v>
      </c>
      <c r="D256" s="1045" t="str">
        <f t="shared" si="97"/>
        <v/>
      </c>
      <c r="E256" s="13"/>
      <c r="F256" s="13">
        <f t="shared" si="114"/>
        <v>19</v>
      </c>
      <c r="G256" s="13">
        <f t="shared" si="98"/>
        <v>18</v>
      </c>
      <c r="H256" s="169">
        <f t="shared" si="99"/>
        <v>43346</v>
      </c>
      <c r="I256" s="743">
        <f t="shared" si="100"/>
        <v>0.2857142857142857</v>
      </c>
      <c r="J256" s="736">
        <f t="shared" si="101"/>
        <v>215.3265306108764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38">
        <v>43342</v>
      </c>
      <c r="AP256" s="13">
        <f t="shared" si="102"/>
        <v>11</v>
      </c>
      <c r="AQ256" s="13">
        <f t="shared" si="103"/>
        <v>10</v>
      </c>
      <c r="AR256" s="169">
        <f t="shared" si="104"/>
        <v>43360</v>
      </c>
      <c r="AS256" s="743">
        <f t="shared" si="105"/>
        <v>0.6428571428571429</v>
      </c>
      <c r="AT256" s="759">
        <f t="shared" si="106"/>
        <v>215.22813410950556</v>
      </c>
      <c r="AU256" s="13">
        <f t="shared" si="107"/>
        <v>9</v>
      </c>
      <c r="AV256" s="13">
        <f t="shared" si="108"/>
        <v>10</v>
      </c>
      <c r="AW256" s="169">
        <f t="shared" si="109"/>
        <v>43318</v>
      </c>
      <c r="AX256" s="743">
        <f t="shared" si="110"/>
        <v>0.8571428571428571</v>
      </c>
      <c r="AY256" s="759">
        <f t="shared" si="111"/>
        <v>215.31341108062438</v>
      </c>
      <c r="AZ256" s="736">
        <f t="shared" si="115"/>
        <v>215.27077259506495</v>
      </c>
      <c r="BA256" s="633">
        <f t="shared" si="112"/>
        <v>0.95213632489493272</v>
      </c>
      <c r="BC256" s="11">
        <v>43342</v>
      </c>
      <c r="BD256" s="286">
        <f>[2]!FeuilCaduc*(1-Persistant)+Persistant</f>
        <v>0.98742986285947887</v>
      </c>
      <c r="BE256" s="287">
        <f>[2]!CroissVégét</f>
        <v>0.96567418689281481</v>
      </c>
      <c r="BF256" s="806">
        <f>1+[2]!Salcycl*Ksac</f>
        <v>1.0484287328574349</v>
      </c>
      <c r="BH256" s="1036">
        <f t="shared" si="113"/>
        <v>7.4606504992311808E-3</v>
      </c>
      <c r="BI256" s="11">
        <v>44438</v>
      </c>
      <c r="BJ256" s="716">
        <v>2.4656966383365818E-3</v>
      </c>
      <c r="BK256" s="716">
        <v>3.2322175969775849E-3</v>
      </c>
      <c r="BL256" s="716">
        <v>4.0922071291533092E-3</v>
      </c>
      <c r="BM256" s="716">
        <v>5.0983905187742765E-3</v>
      </c>
      <c r="BN256" s="716">
        <v>6.2215575677438163E-3</v>
      </c>
      <c r="BO256" s="717">
        <v>7.4737620492933664E-3</v>
      </c>
      <c r="BP256" s="716">
        <v>8.8783678510175722E-3</v>
      </c>
      <c r="BQ256" s="716">
        <v>1.047942896414906E-2</v>
      </c>
      <c r="BR256" s="716">
        <v>1.2281890318253082E-2</v>
      </c>
      <c r="BS256" s="716">
        <v>1.4286201699575915E-2</v>
      </c>
      <c r="BT256" s="716">
        <v>1.6440612919483136E-2</v>
      </c>
      <c r="BW256" s="1166">
        <f>'2022'!R\Max</f>
        <v>0.95213632489493272</v>
      </c>
      <c r="BX256" s="1167">
        <f>'2023'!R\Max</f>
        <v>0.95213257983538824</v>
      </c>
      <c r="BY256" s="1167">
        <f>'2024'!R\Max</f>
        <v>0.95212833943755926</v>
      </c>
      <c r="BZ256" s="1167">
        <f>'2025'!R\Max</f>
        <v>0.95212406956721551</v>
      </c>
      <c r="CA256" s="1167">
        <f>'2026'!R\Max</f>
        <v>0.9521192916491874</v>
      </c>
      <c r="CB256" s="1167">
        <f>'2027'!R\Max</f>
        <v>0.95211448338277793</v>
      </c>
      <c r="CC256" s="1168">
        <f>'2028'!R\Max</f>
        <v>0.9521091656482179</v>
      </c>
      <c r="CD256" s="1167">
        <f>'2029'!R\Max</f>
        <v>0.9521365120483436</v>
      </c>
      <c r="CE256" s="1167">
        <f>'2030'!R\Max</f>
        <v>0.95213276700885996</v>
      </c>
      <c r="CF256" s="1169">
        <f>'2031'!R\Max</f>
        <v>0.95212855281587683</v>
      </c>
    </row>
    <row r="257" spans="1:84" s="6" customFormat="1" ht="11.25" x14ac:dyDescent="0.2">
      <c r="A257" s="11">
        <v>43343</v>
      </c>
      <c r="B257" s="375">
        <f>'2022'!Maxi_hp</f>
        <v>91.208356380608777</v>
      </c>
      <c r="C257" s="13">
        <f>'2022'!An_max</f>
        <v>2022</v>
      </c>
      <c r="D257" s="1045" t="str">
        <f t="shared" si="97"/>
        <v/>
      </c>
      <c r="E257" s="13"/>
      <c r="F257" s="13">
        <f t="shared" si="114"/>
        <v>19</v>
      </c>
      <c r="G257" s="13">
        <f t="shared" si="98"/>
        <v>18</v>
      </c>
      <c r="H257" s="169">
        <f t="shared" si="99"/>
        <v>43346</v>
      </c>
      <c r="I257" s="743">
        <f t="shared" si="100"/>
        <v>0.21428571428571427</v>
      </c>
      <c r="J257" s="736">
        <f t="shared" si="101"/>
        <v>214.38903060949275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38">
        <v>43343</v>
      </c>
      <c r="AP257" s="13">
        <f t="shared" si="102"/>
        <v>11</v>
      </c>
      <c r="AQ257" s="13">
        <f t="shared" si="103"/>
        <v>10</v>
      </c>
      <c r="AR257" s="169">
        <f t="shared" si="104"/>
        <v>43360</v>
      </c>
      <c r="AS257" s="743">
        <f t="shared" si="105"/>
        <v>0.6071428571428571</v>
      </c>
      <c r="AT257" s="759">
        <f t="shared" si="106"/>
        <v>214.28254828575464</v>
      </c>
      <c r="AU257" s="13">
        <f t="shared" si="107"/>
        <v>9</v>
      </c>
      <c r="AV257" s="13">
        <f t="shared" si="108"/>
        <v>10</v>
      </c>
      <c r="AW257" s="169">
        <f t="shared" si="109"/>
        <v>43318</v>
      </c>
      <c r="AX257" s="743">
        <f t="shared" si="110"/>
        <v>0.8928571428571429</v>
      </c>
      <c r="AY257" s="759">
        <f t="shared" si="111"/>
        <v>214.38134338632227</v>
      </c>
      <c r="AZ257" s="736">
        <f t="shared" si="115"/>
        <v>214.33194583603847</v>
      </c>
      <c r="BA257" s="633">
        <f t="shared" si="112"/>
        <v>0.42543387654354287</v>
      </c>
      <c r="BC257" s="11">
        <v>43343</v>
      </c>
      <c r="BD257" s="286">
        <f>[2]!FeuilCaduc*(1-Persistant)+Persistant</f>
        <v>0.98659359299665617</v>
      </c>
      <c r="BE257" s="287">
        <f>[2]!CroissVégét</f>
        <v>0.9670231812722152</v>
      </c>
      <c r="BF257" s="806">
        <f>1+[2]!Salcycl*Ksac</f>
        <v>1.048324199124582</v>
      </c>
      <c r="BH257" s="1036">
        <f t="shared" si="113"/>
        <v>7.3850383043393862E-3</v>
      </c>
      <c r="BI257" s="11">
        <v>44439</v>
      </c>
      <c r="BJ257" s="716">
        <v>2.4474152857614424E-3</v>
      </c>
      <c r="BK257" s="716">
        <v>3.2035146426258195E-3</v>
      </c>
      <c r="BL257" s="716">
        <v>4.0547144084596741E-3</v>
      </c>
      <c r="BM257" s="716">
        <v>5.053185968146896E-3</v>
      </c>
      <c r="BN257" s="716">
        <v>6.1637904562575037E-3</v>
      </c>
      <c r="BO257" s="717">
        <v>7.3979610253811735E-3</v>
      </c>
      <c r="BP257" s="716">
        <v>8.7779774349071148E-3</v>
      </c>
      <c r="BQ257" s="716">
        <v>1.0351229584240155E-2</v>
      </c>
      <c r="BR257" s="716">
        <v>1.2121363303776883E-2</v>
      </c>
      <c r="BS257" s="716">
        <v>1.4087987674076402E-2</v>
      </c>
      <c r="BT257" s="716">
        <v>1.6199983692369184E-2</v>
      </c>
      <c r="BW257" s="1166">
        <f>'2022'!R\Max</f>
        <v>0.42543387654354287</v>
      </c>
      <c r="BX257" s="1167">
        <f>'2023'!R\Max</f>
        <v>0.42541407206502241</v>
      </c>
      <c r="BY257" s="1167">
        <f>'2024'!R\Max</f>
        <v>0.42539164351530834</v>
      </c>
      <c r="BZ257" s="1167">
        <f>'2025'!R\Max</f>
        <v>0.42536906491899329</v>
      </c>
      <c r="CA257" s="1167">
        <f>'2026'!R\Max</f>
        <v>0.425343812499059</v>
      </c>
      <c r="CB257" s="1167">
        <f>'2027'!R\Max</f>
        <v>0.4253184070643089</v>
      </c>
      <c r="CC257" s="1168">
        <f>'2028'!R\Max</f>
        <v>0.4252903328291342</v>
      </c>
      <c r="CD257" s="1167">
        <f>'2029'!R\Max</f>
        <v>0.42543486628607552</v>
      </c>
      <c r="CE257" s="1167">
        <f>'2030'!R\Max</f>
        <v>0.42541506182767447</v>
      </c>
      <c r="CF257" s="1169">
        <f>'2031'!R\Max</f>
        <v>0.42539277189461272</v>
      </c>
    </row>
    <row r="258" spans="1:84" s="6" customFormat="1" ht="11.25" x14ac:dyDescent="0.2">
      <c r="A258" s="11">
        <v>43344</v>
      </c>
      <c r="B258" s="375">
        <f>'2022'!Maxi_hp</f>
        <v>181.4226808178222</v>
      </c>
      <c r="C258" s="13">
        <f>'2022'!An_max</f>
        <v>2022</v>
      </c>
      <c r="D258" s="1045" t="str">
        <f t="shared" si="97"/>
        <v/>
      </c>
      <c r="E258" s="13"/>
      <c r="F258" s="13">
        <f t="shared" si="114"/>
        <v>19</v>
      </c>
      <c r="G258" s="13">
        <f t="shared" si="98"/>
        <v>18</v>
      </c>
      <c r="H258" s="169">
        <f t="shared" si="99"/>
        <v>43346</v>
      </c>
      <c r="I258" s="743">
        <f t="shared" si="100"/>
        <v>0.14285714285714285</v>
      </c>
      <c r="J258" s="736">
        <f t="shared" si="101"/>
        <v>213.43877550725429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38">
        <v>43344</v>
      </c>
      <c r="AP258" s="13">
        <f t="shared" si="102"/>
        <v>11</v>
      </c>
      <c r="AQ258" s="13">
        <f t="shared" si="103"/>
        <v>10</v>
      </c>
      <c r="AR258" s="169">
        <f t="shared" si="104"/>
        <v>43360</v>
      </c>
      <c r="AS258" s="743">
        <f t="shared" si="105"/>
        <v>0.5714285714285714</v>
      </c>
      <c r="AT258" s="759">
        <f t="shared" si="106"/>
        <v>213.32507288498536</v>
      </c>
      <c r="AU258" s="13">
        <f t="shared" si="107"/>
        <v>9</v>
      </c>
      <c r="AV258" s="13">
        <f t="shared" si="108"/>
        <v>10</v>
      </c>
      <c r="AW258" s="169">
        <f t="shared" si="109"/>
        <v>43318</v>
      </c>
      <c r="AX258" s="743">
        <f t="shared" si="110"/>
        <v>0.9285714285714286</v>
      </c>
      <c r="AY258" s="759">
        <f t="shared" si="111"/>
        <v>213.43522230535746</v>
      </c>
      <c r="AZ258" s="736">
        <f t="shared" si="115"/>
        <v>213.38014759517142</v>
      </c>
      <c r="BA258" s="633">
        <f t="shared" si="112"/>
        <v>0.84999869581643128</v>
      </c>
      <c r="BC258" s="11">
        <v>43344</v>
      </c>
      <c r="BD258" s="286">
        <f>[2]!FeuilCaduc*(1-Persistant)+Persistant</f>
        <v>0.9857181589603855</v>
      </c>
      <c r="BE258" s="287">
        <f>[2]!CroissVégét</f>
        <v>0.96832140523745813</v>
      </c>
      <c r="BF258" s="806">
        <f>1+[2]!Salcycl*Ksac</f>
        <v>1.0482147698700481</v>
      </c>
      <c r="BH258" s="1036">
        <f t="shared" si="113"/>
        <v>7.2917038268416187E-3</v>
      </c>
      <c r="BI258" s="11">
        <v>44440</v>
      </c>
      <c r="BJ258" s="716">
        <v>2.4190464668939322E-3</v>
      </c>
      <c r="BK258" s="716">
        <v>3.1635889479499448E-3</v>
      </c>
      <c r="BL258" s="716">
        <v>4.0045843578276567E-3</v>
      </c>
      <c r="BM258" s="716">
        <v>4.9933071288598644E-3</v>
      </c>
      <c r="BN258" s="716">
        <v>6.0895895585369869E-3</v>
      </c>
      <c r="BO258" s="717">
        <v>7.3044240845469262E-3</v>
      </c>
      <c r="BP258" s="716">
        <v>8.659453985949337E-3</v>
      </c>
      <c r="BQ258" s="716">
        <v>1.0205407327105263E-2</v>
      </c>
      <c r="BR258" s="716">
        <v>1.1944661305336736E-2</v>
      </c>
      <c r="BS258" s="716">
        <v>1.3875622350722268E-2</v>
      </c>
      <c r="BT258" s="716">
        <v>1.5947138220103439E-2</v>
      </c>
      <c r="BW258" s="1166">
        <f>'2022'!R\Max</f>
        <v>0.84999869581643128</v>
      </c>
      <c r="BX258" s="1167">
        <f>'2023'!R\Max</f>
        <v>0.84998851629334526</v>
      </c>
      <c r="BY258" s="1167">
        <f>'2024'!R\Max</f>
        <v>0.84997697686938911</v>
      </c>
      <c r="BZ258" s="1167">
        <f>'2025'!R\Max</f>
        <v>0.84996536080529517</v>
      </c>
      <c r="CA258" s="1167">
        <f>'2026'!R\Max</f>
        <v>0.84995236735765078</v>
      </c>
      <c r="CB258" s="1167">
        <f>'2027'!R\Max</f>
        <v>0.84993929600466189</v>
      </c>
      <c r="CC258" s="1168">
        <f>'2028'!R\Max</f>
        <v>0.84992485798035156</v>
      </c>
      <c r="CD258" s="1167">
        <f>'2029'!R\Max</f>
        <v>0.8499992045271223</v>
      </c>
      <c r="CE258" s="1167">
        <f>'2030'!R\Max</f>
        <v>0.84998902504871476</v>
      </c>
      <c r="CF258" s="1169">
        <f>'2031'!R\Max</f>
        <v>0.8499775573658942</v>
      </c>
    </row>
    <row r="259" spans="1:84" s="6" customFormat="1" ht="11.25" x14ac:dyDescent="0.2">
      <c r="A259" s="11">
        <v>43345</v>
      </c>
      <c r="B259" s="375">
        <f>'2022'!Maxi_hp</f>
        <v>178.8360068834514</v>
      </c>
      <c r="C259" s="13">
        <f>'2022'!An_max</f>
        <v>2022</v>
      </c>
      <c r="D259" s="1045" t="str">
        <f t="shared" si="97"/>
        <v/>
      </c>
      <c r="E259" s="13"/>
      <c r="F259" s="13">
        <f t="shared" si="114"/>
        <v>19</v>
      </c>
      <c r="G259" s="13">
        <f t="shared" si="98"/>
        <v>18</v>
      </c>
      <c r="H259" s="169">
        <f t="shared" si="99"/>
        <v>43346</v>
      </c>
      <c r="I259" s="743">
        <f t="shared" si="100"/>
        <v>7.1428571428571425E-2</v>
      </c>
      <c r="J259" s="736">
        <f t="shared" si="101"/>
        <v>212.47576530181937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38">
        <v>43345</v>
      </c>
      <c r="AP259" s="13">
        <f t="shared" si="102"/>
        <v>11</v>
      </c>
      <c r="AQ259" s="13">
        <f t="shared" si="103"/>
        <v>10</v>
      </c>
      <c r="AR259" s="169">
        <f t="shared" si="104"/>
        <v>43360</v>
      </c>
      <c r="AS259" s="743">
        <f t="shared" si="105"/>
        <v>0.5357142857142857</v>
      </c>
      <c r="AT259" s="759">
        <f t="shared" si="106"/>
        <v>212.35584456931269</v>
      </c>
      <c r="AU259" s="13">
        <f t="shared" si="107"/>
        <v>9</v>
      </c>
      <c r="AV259" s="13">
        <f t="shared" si="108"/>
        <v>10</v>
      </c>
      <c r="AW259" s="169">
        <f t="shared" si="109"/>
        <v>43318</v>
      </c>
      <c r="AX259" s="743">
        <f t="shared" si="110"/>
        <v>0.9642857142857143</v>
      </c>
      <c r="AY259" s="759">
        <f t="shared" si="111"/>
        <v>212.47484283995414</v>
      </c>
      <c r="AZ259" s="736">
        <f t="shared" si="115"/>
        <v>212.41534370463341</v>
      </c>
      <c r="BA259" s="633">
        <f t="shared" si="112"/>
        <v>0.84167719847680944</v>
      </c>
      <c r="BC259" s="11">
        <v>43345</v>
      </c>
      <c r="BD259" s="286">
        <f>[2]!FeuilCaduc*(1-Persistant)+Persistant</f>
        <v>0.98480204772528879</v>
      </c>
      <c r="BE259" s="287">
        <f>[2]!CroissVégét</f>
        <v>0.96957063646587138</v>
      </c>
      <c r="BF259" s="806">
        <f>1+[2]!Salcycl*Ksac</f>
        <v>1.0481002559656611</v>
      </c>
      <c r="BH259" s="1036">
        <f t="shared" si="113"/>
        <v>7.1806412804391422E-3</v>
      </c>
      <c r="BI259" s="11">
        <v>44441</v>
      </c>
      <c r="BJ259" s="716">
        <v>2.3805871292559046E-3</v>
      </c>
      <c r="BK259" s="716">
        <v>3.1124370193291759E-3</v>
      </c>
      <c r="BL259" s="716">
        <v>3.9418130044736243E-3</v>
      </c>
      <c r="BM259" s="716">
        <v>4.9187494040320431E-3</v>
      </c>
      <c r="BN259" s="716">
        <v>5.9989496566945294E-3</v>
      </c>
      <c r="BO259" s="717">
        <v>7.1931454344772057E-3</v>
      </c>
      <c r="BP259" s="716">
        <v>8.5227913004777989E-3</v>
      </c>
      <c r="BQ259" s="716">
        <v>1.0041955814712161E-2</v>
      </c>
      <c r="BR259" s="716">
        <v>1.1751777991353317E-2</v>
      </c>
      <c r="BS259" s="716">
        <v>1.3649099539345505E-2</v>
      </c>
      <c r="BT259" s="716">
        <v>1.5682070353917821E-2</v>
      </c>
      <c r="BW259" s="1166">
        <f>'2022'!R\Max</f>
        <v>0.84167719847680944</v>
      </c>
      <c r="BX259" s="1167">
        <f>'2023'!R\Max</f>
        <v>0.84166672117104913</v>
      </c>
      <c r="BY259" s="1167">
        <f>'2024'!R\Max</f>
        <v>0.84165482613563081</v>
      </c>
      <c r="BZ259" s="1167">
        <f>'2025'!R\Max</f>
        <v>0.84164285321604038</v>
      </c>
      <c r="CA259" s="1167">
        <f>'2026'!R\Max</f>
        <v>0.8416294534851565</v>
      </c>
      <c r="CB259" s="1167">
        <f>'2027'!R\Max</f>
        <v>0.84161597508228703</v>
      </c>
      <c r="CC259" s="1168">
        <f>'2028'!R\Max</f>
        <v>0.84160109285003659</v>
      </c>
      <c r="CD259" s="1167">
        <f>'2029'!R\Max</f>
        <v>0.84167772206959579</v>
      </c>
      <c r="CE259" s="1167">
        <f>'2030'!R\Max</f>
        <v>0.84166724480843669</v>
      </c>
      <c r="CF259" s="1169">
        <f>'2031'!R\Max</f>
        <v>0.84165542446639319</v>
      </c>
    </row>
    <row r="260" spans="1:84" s="6" customFormat="1" ht="11.25" x14ac:dyDescent="0.2">
      <c r="A260" s="11">
        <v>43346</v>
      </c>
      <c r="B260" s="375">
        <f>'2022'!Maxi_hp</f>
        <v>139.70102045088095</v>
      </c>
      <c r="C260" s="13">
        <f>'2022'!An_max</f>
        <v>2022</v>
      </c>
      <c r="D260" s="1045" t="str">
        <f t="shared" si="97"/>
        <v/>
      </c>
      <c r="E260" s="1040">
        <f>AE$13/10</f>
        <v>211.5</v>
      </c>
      <c r="F260" s="13">
        <f t="shared" si="114"/>
        <v>19</v>
      </c>
      <c r="G260" s="13">
        <f t="shared" si="98"/>
        <v>20</v>
      </c>
      <c r="H260" s="169">
        <f t="shared" si="99"/>
        <v>43346</v>
      </c>
      <c r="I260" s="743">
        <f t="shared" si="100"/>
        <v>0</v>
      </c>
      <c r="J260" s="736">
        <f t="shared" si="101"/>
        <v>211.49999999552966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38">
        <v>43346</v>
      </c>
      <c r="AP260" s="13">
        <f t="shared" si="102"/>
        <v>11</v>
      </c>
      <c r="AQ260" s="13">
        <f t="shared" si="103"/>
        <v>10</v>
      </c>
      <c r="AR260" s="169">
        <f t="shared" si="104"/>
        <v>43360</v>
      </c>
      <c r="AS260" s="743">
        <f t="shared" si="105"/>
        <v>0.5</v>
      </c>
      <c r="AT260" s="759">
        <f t="shared" si="106"/>
        <v>211.37499999776483</v>
      </c>
      <c r="AU260" s="13">
        <f t="shared" si="107"/>
        <v>11</v>
      </c>
      <c r="AV260" s="13">
        <f t="shared" si="108"/>
        <v>10</v>
      </c>
      <c r="AW260" s="169">
        <f t="shared" si="109"/>
        <v>43374</v>
      </c>
      <c r="AX260" s="743">
        <f t="shared" si="110"/>
        <v>1</v>
      </c>
      <c r="AY260" s="759">
        <f t="shared" si="111"/>
        <v>211.50000000149012</v>
      </c>
      <c r="AZ260" s="736">
        <f t="shared" si="115"/>
        <v>211.43749999962748</v>
      </c>
      <c r="BA260" s="633">
        <f t="shared" si="112"/>
        <v>0.66052491940346914</v>
      </c>
      <c r="BC260" s="11">
        <v>43346</v>
      </c>
      <c r="BD260" s="286">
        <f>[2]!FeuilCaduc*(1-Persistant)+Persistant</f>
        <v>0.98384368730206961</v>
      </c>
      <c r="BE260" s="287">
        <f>[2]!CroissVégét</f>
        <v>0.97077260062312232</v>
      </c>
      <c r="BF260" s="806">
        <f>1+[2]!Salcycl*Ksac</f>
        <v>1.0479804609127588</v>
      </c>
      <c r="BH260" s="1036">
        <f t="shared" si="113"/>
        <v>7.0518441039447953E-3</v>
      </c>
      <c r="BI260" s="11">
        <v>44442</v>
      </c>
      <c r="BJ260" s="716">
        <v>2.3320337942631954E-3</v>
      </c>
      <c r="BK260" s="716">
        <v>3.0500548840640858E-3</v>
      </c>
      <c r="BL260" s="716">
        <v>3.8663958329982948E-3</v>
      </c>
      <c r="BM260" s="716">
        <v>4.8295075656237087E-3</v>
      </c>
      <c r="BN260" s="716">
        <v>5.8918648216909515E-3</v>
      </c>
      <c r="BO260" s="717">
        <v>7.0641185072957309E-3</v>
      </c>
      <c r="BP260" s="716">
        <v>8.367982368198296E-3</v>
      </c>
      <c r="BQ260" s="716">
        <v>9.8608678666994663E-3</v>
      </c>
      <c r="BR260" s="716">
        <v>1.1542706268076275E-2</v>
      </c>
      <c r="BS260" s="716">
        <v>1.3408412348256729E-2</v>
      </c>
      <c r="BT260" s="716">
        <v>1.5404773297733185E-2</v>
      </c>
      <c r="BW260" s="1166">
        <f>'2022'!R\Max</f>
        <v>0.66052491940346914</v>
      </c>
      <c r="BX260" s="1167">
        <f>'2023'!R\Max</f>
        <v>0.66050756844081249</v>
      </c>
      <c r="BY260" s="1167">
        <f>'2024'!R\Max</f>
        <v>0.6604878271193757</v>
      </c>
      <c r="BZ260" s="1167">
        <f>'2025'!R\Max</f>
        <v>0.66046795833095207</v>
      </c>
      <c r="CA260" s="1167">
        <f>'2026'!R\Max</f>
        <v>0.6604456994285185</v>
      </c>
      <c r="CB260" s="1167">
        <f>'2027'!R\Max</f>
        <v>0.66042331274616051</v>
      </c>
      <c r="CC260" s="1168">
        <f>'2028'!R\Max</f>
        <v>0.66039859954637448</v>
      </c>
      <c r="CD260" s="1167">
        <f>'2029'!R\Max</f>
        <v>0.66052578651370097</v>
      </c>
      <c r="CE260" s="1167">
        <f>'2030'!R\Max</f>
        <v>0.66050843559942685</v>
      </c>
      <c r="CF260" s="1169">
        <f>'2031'!R\Max</f>
        <v>0.66048882005313247</v>
      </c>
    </row>
    <row r="261" spans="1:84" s="6" customFormat="1" ht="11.25" x14ac:dyDescent="0.2">
      <c r="A261" s="11">
        <v>43347</v>
      </c>
      <c r="B261" s="375">
        <f>'2022'!Maxi_hp</f>
        <v>196.80516308145275</v>
      </c>
      <c r="C261" s="13">
        <f>'2022'!An_max</f>
        <v>2022</v>
      </c>
      <c r="D261" s="1045" t="str">
        <f t="shared" si="97"/>
        <v/>
      </c>
      <c r="E261" s="13"/>
      <c r="F261" s="13">
        <f t="shared" si="114"/>
        <v>19</v>
      </c>
      <c r="G261" s="13">
        <f t="shared" si="98"/>
        <v>20</v>
      </c>
      <c r="H261" s="169">
        <f t="shared" si="99"/>
        <v>43346</v>
      </c>
      <c r="I261" s="743">
        <f t="shared" si="100"/>
        <v>7.1428571428571425E-2</v>
      </c>
      <c r="J261" s="736">
        <f t="shared" si="101"/>
        <v>210.51147958944949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38">
        <v>43347</v>
      </c>
      <c r="AP261" s="13">
        <f t="shared" si="102"/>
        <v>11</v>
      </c>
      <c r="AQ261" s="13">
        <f t="shared" si="103"/>
        <v>10</v>
      </c>
      <c r="AR261" s="169">
        <f t="shared" si="104"/>
        <v>43360</v>
      </c>
      <c r="AS261" s="743">
        <f t="shared" si="105"/>
        <v>0.4642857142857143</v>
      </c>
      <c r="AT261" s="759">
        <f t="shared" si="106"/>
        <v>210.38267583607563</v>
      </c>
      <c r="AU261" s="13">
        <f t="shared" si="107"/>
        <v>11</v>
      </c>
      <c r="AV261" s="13">
        <f t="shared" si="108"/>
        <v>10</v>
      </c>
      <c r="AW261" s="169">
        <f t="shared" si="109"/>
        <v>43374</v>
      </c>
      <c r="AX261" s="743">
        <f t="shared" si="110"/>
        <v>0.9642857142857143</v>
      </c>
      <c r="AY261" s="759">
        <f t="shared" si="111"/>
        <v>210.50840470165548</v>
      </c>
      <c r="AZ261" s="736">
        <f t="shared" si="115"/>
        <v>210.44554026886556</v>
      </c>
      <c r="BA261" s="633">
        <f t="shared" si="112"/>
        <v>0.93489040818710922</v>
      </c>
      <c r="BC261" s="11">
        <v>43347</v>
      </c>
      <c r="BD261" s="286">
        <f>[2]!FeuilCaduc*(1-Persistant)+Persistant</f>
        <v>0.98284144277977403</v>
      </c>
      <c r="BE261" s="287">
        <f>[2]!CroissVégét</f>
        <v>0.97192897207465079</v>
      </c>
      <c r="BF261" s="806">
        <f>1+[2]!Salcycl*Ksac</f>
        <v>1.0478551803474718</v>
      </c>
      <c r="BH261" s="1036">
        <f t="shared" si="113"/>
        <v>6.9053049351001953E-3</v>
      </c>
      <c r="BI261" s="11">
        <v>44443</v>
      </c>
      <c r="BJ261" s="716">
        <v>2.2733825423444029E-3</v>
      </c>
      <c r="BK261" s="716">
        <v>2.9764380738150835E-3</v>
      </c>
      <c r="BL261" s="716">
        <v>3.7783277667317598E-3</v>
      </c>
      <c r="BM261" s="716">
        <v>4.7255757327693878E-3</v>
      </c>
      <c r="BN261" s="716">
        <v>5.7683283890642085E-3</v>
      </c>
      <c r="BO261" s="717">
        <v>6.9173359333603397E-3</v>
      </c>
      <c r="BP261" s="716">
        <v>8.1950193453857231E-3</v>
      </c>
      <c r="BQ261" s="716">
        <v>9.6621354743063482E-3</v>
      </c>
      <c r="BR261" s="716">
        <v>1.1317438255624901E-2</v>
      </c>
      <c r="BS261" s="716">
        <v>1.3153553163242499E-2</v>
      </c>
      <c r="BT261" s="716">
        <v>1.5115239589981897E-2</v>
      </c>
      <c r="BW261" s="1166">
        <f>'2022'!R\Max</f>
        <v>0.93489040818710922</v>
      </c>
      <c r="BX261" s="1167">
        <f>'2023'!R\Max</f>
        <v>0.93488577559814801</v>
      </c>
      <c r="BY261" s="1167">
        <f>'2024'!R\Max</f>
        <v>0.93488048928635781</v>
      </c>
      <c r="BZ261" s="1167">
        <f>'2025'!R\Max</f>
        <v>0.93487516871863574</v>
      </c>
      <c r="CA261" s="1167">
        <f>'2026'!R\Max</f>
        <v>0.93486919842978056</v>
      </c>
      <c r="CB261" s="1167">
        <f>'2027'!R\Max</f>
        <v>0.93486319393738504</v>
      </c>
      <c r="CC261" s="1168">
        <f>'2028'!R\Max</f>
        <v>0.93485656483573354</v>
      </c>
      <c r="CD261" s="1167">
        <f>'2029'!R\Max</f>
        <v>0.93489063969467645</v>
      </c>
      <c r="CE261" s="1167">
        <f>'2030'!R\Max</f>
        <v>0.934886007128089</v>
      </c>
      <c r="CF261" s="1169">
        <f>'2031'!R\Max</f>
        <v>0.9348807551727617</v>
      </c>
    </row>
    <row r="262" spans="1:84" s="6" customFormat="1" ht="11.25" x14ac:dyDescent="0.2">
      <c r="A262" s="11">
        <v>43348</v>
      </c>
      <c r="B262" s="375">
        <f>'2022'!Maxi_hp</f>
        <v>173.8244682935279</v>
      </c>
      <c r="C262" s="13">
        <f>'2022'!An_max</f>
        <v>2022</v>
      </c>
      <c r="D262" s="1045" t="str">
        <f t="shared" si="97"/>
        <v/>
      </c>
      <c r="E262" s="13"/>
      <c r="F262" s="13">
        <f t="shared" si="114"/>
        <v>19</v>
      </c>
      <c r="G262" s="13">
        <f t="shared" si="98"/>
        <v>20</v>
      </c>
      <c r="H262" s="169">
        <f t="shared" si="99"/>
        <v>43346</v>
      </c>
      <c r="I262" s="743">
        <f t="shared" si="100"/>
        <v>0.14285714285714285</v>
      </c>
      <c r="J262" s="736">
        <f t="shared" si="101"/>
        <v>209.51020407974721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38">
        <v>43348</v>
      </c>
      <c r="AP262" s="13">
        <f t="shared" si="102"/>
        <v>11</v>
      </c>
      <c r="AQ262" s="13">
        <f t="shared" si="103"/>
        <v>10</v>
      </c>
      <c r="AR262" s="169">
        <f t="shared" si="104"/>
        <v>43360</v>
      </c>
      <c r="AS262" s="743">
        <f t="shared" si="105"/>
        <v>0.42857142857142855</v>
      </c>
      <c r="AT262" s="759">
        <f t="shared" si="106"/>
        <v>209.37900874401839</v>
      </c>
      <c r="AU262" s="13">
        <f t="shared" si="107"/>
        <v>11</v>
      </c>
      <c r="AV262" s="13">
        <f t="shared" si="108"/>
        <v>10</v>
      </c>
      <c r="AW262" s="169">
        <f t="shared" si="109"/>
        <v>43374</v>
      </c>
      <c r="AX262" s="743">
        <f t="shared" si="110"/>
        <v>0.9285714285714286</v>
      </c>
      <c r="AY262" s="759">
        <f t="shared" si="111"/>
        <v>209.49836005925067</v>
      </c>
      <c r="AZ262" s="736">
        <f t="shared" si="115"/>
        <v>209.43868440163453</v>
      </c>
      <c r="BA262" s="633">
        <f t="shared" si="112"/>
        <v>0.82967065521717487</v>
      </c>
      <c r="BC262" s="11">
        <v>43348</v>
      </c>
      <c r="BD262" s="286">
        <f>[2]!FeuilCaduc*(1-Persistant)+Persistant</f>
        <v>0.98179361239504859</v>
      </c>
      <c r="BE262" s="287">
        <f>[2]!CroissVégét</f>
        <v>0.97304137466019458</v>
      </c>
      <c r="BF262" s="806">
        <f>1+[2]!Salcycl*Ksac</f>
        <v>1.0477242015493811</v>
      </c>
      <c r="BH262" s="1036">
        <f t="shared" si="113"/>
        <v>6.7418461458755288E-3</v>
      </c>
      <c r="BI262" s="11">
        <v>44444</v>
      </c>
      <c r="BJ262" s="716">
        <v>2.2064203169232998E-3</v>
      </c>
      <c r="BK262" s="716">
        <v>2.8929428616278475E-3</v>
      </c>
      <c r="BL262" s="716">
        <v>3.6784527048972864E-3</v>
      </c>
      <c r="BM262" s="716">
        <v>4.607408300133539E-3</v>
      </c>
      <c r="BN262" s="716">
        <v>5.6287846302731847E-3</v>
      </c>
      <c r="BO262" s="717">
        <v>6.7536240855386939E-3</v>
      </c>
      <c r="BP262" s="716">
        <v>8.0053066503984992E-3</v>
      </c>
      <c r="BQ262" s="716">
        <v>9.4475134201688227E-3</v>
      </c>
      <c r="BR262" s="716">
        <v>1.1077973120757138E-2</v>
      </c>
      <c r="BS262" s="716">
        <v>1.2886825724855692E-2</v>
      </c>
      <c r="BT262" s="716">
        <v>1.4816345219900539E-2</v>
      </c>
      <c r="BW262" s="1166">
        <f>'2022'!R\Max</f>
        <v>0.82967065521717487</v>
      </c>
      <c r="BX262" s="1167">
        <f>'2023'!R\Max</f>
        <v>0.82966008004083447</v>
      </c>
      <c r="BY262" s="1167">
        <f>'2024'!R\Max</f>
        <v>0.82964797124504985</v>
      </c>
      <c r="BZ262" s="1167">
        <f>'2025'!R\Max</f>
        <v>0.82963578422810891</v>
      </c>
      <c r="CA262" s="1167">
        <f>'2026'!R\Max</f>
        <v>0.82962208129579307</v>
      </c>
      <c r="CB262" s="1167">
        <f>'2027'!R\Max</f>
        <v>0.82960830073717418</v>
      </c>
      <c r="CC262" s="1168">
        <f>'2028'!R\Max</f>
        <v>0.82959308298116374</v>
      </c>
      <c r="CD262" s="1167">
        <f>'2029'!R\Max</f>
        <v>0.82967118370258286</v>
      </c>
      <c r="CE262" s="1167">
        <f>'2030'!R\Max</f>
        <v>0.8296606085681395</v>
      </c>
      <c r="CF262" s="1169">
        <f>'2031'!R\Max</f>
        <v>0.82964858027695532</v>
      </c>
    </row>
    <row r="263" spans="1:84" s="6" customFormat="1" ht="11.25" x14ac:dyDescent="0.2">
      <c r="A263" s="11">
        <v>43349</v>
      </c>
      <c r="B263" s="375">
        <f>'2022'!Maxi_hp</f>
        <v>194.94810319538493</v>
      </c>
      <c r="C263" s="13">
        <f>'2022'!An_max</f>
        <v>2022</v>
      </c>
      <c r="D263" s="1045" t="str">
        <f t="shared" si="97"/>
        <v/>
      </c>
      <c r="E263" s="13"/>
      <c r="F263" s="13">
        <f t="shared" si="114"/>
        <v>19</v>
      </c>
      <c r="G263" s="13">
        <f t="shared" si="98"/>
        <v>20</v>
      </c>
      <c r="H263" s="169">
        <f t="shared" si="99"/>
        <v>43346</v>
      </c>
      <c r="I263" s="743">
        <f t="shared" si="100"/>
        <v>0.21428571428571427</v>
      </c>
      <c r="J263" s="736">
        <f t="shared" si="101"/>
        <v>208.49617346706137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38">
        <v>43349</v>
      </c>
      <c r="AP263" s="13">
        <f t="shared" si="102"/>
        <v>11</v>
      </c>
      <c r="AQ263" s="13">
        <f t="shared" si="103"/>
        <v>10</v>
      </c>
      <c r="AR263" s="169">
        <f t="shared" si="104"/>
        <v>43360</v>
      </c>
      <c r="AS263" s="743">
        <f t="shared" si="105"/>
        <v>0.39285714285714285</v>
      </c>
      <c r="AT263" s="759">
        <f t="shared" si="106"/>
        <v>208.36413538482574</v>
      </c>
      <c r="AU263" s="13">
        <f t="shared" si="107"/>
        <v>11</v>
      </c>
      <c r="AV263" s="13">
        <f t="shared" si="108"/>
        <v>10</v>
      </c>
      <c r="AW263" s="169">
        <f t="shared" si="109"/>
        <v>43374</v>
      </c>
      <c r="AX263" s="743">
        <f t="shared" si="110"/>
        <v>0.8928571428571429</v>
      </c>
      <c r="AY263" s="759">
        <f t="shared" si="111"/>
        <v>208.47054938080586</v>
      </c>
      <c r="AZ263" s="736">
        <f t="shared" si="115"/>
        <v>208.4173423828158</v>
      </c>
      <c r="BA263" s="633">
        <f t="shared" si="112"/>
        <v>0.93502005314348469</v>
      </c>
      <c r="BC263" s="11">
        <v>43349</v>
      </c>
      <c r="BD263" s="286">
        <f>[2]!FeuilCaduc*(1-Persistant)+Persistant</f>
        <v>0.98069842376122951</v>
      </c>
      <c r="BE263" s="287">
        <f>[2]!CroissVégét</f>
        <v>0.97411138252345786</v>
      </c>
      <c r="BF263" s="806">
        <f>1+[2]!Salcycl*Ksac</f>
        <v>1.0475873029701537</v>
      </c>
      <c r="BH263" s="1036">
        <f t="shared" si="113"/>
        <v>6.5737923526622485E-3</v>
      </c>
      <c r="BI263" s="11">
        <v>44445</v>
      </c>
      <c r="BJ263" s="716">
        <v>2.1382951119115431E-3</v>
      </c>
      <c r="BK263" s="716">
        <v>2.8073599626332684E-3</v>
      </c>
      <c r="BL263" s="716">
        <v>3.5751700665205941E-3</v>
      </c>
      <c r="BM263" s="716">
        <v>4.4843714041429466E-3</v>
      </c>
      <c r="BN263" s="716">
        <v>5.4839346123498117E-3</v>
      </c>
      <c r="BO263" s="717">
        <v>6.5853247599253701E-3</v>
      </c>
      <c r="BP263" s="716">
        <v>7.8126980297610078E-3</v>
      </c>
      <c r="BQ263" s="716">
        <v>9.2317222103886452E-3</v>
      </c>
      <c r="BR263" s="716">
        <v>1.0839172207022683E-2</v>
      </c>
      <c r="BS263" s="716">
        <v>1.2622497911977152E-2</v>
      </c>
      <c r="BT263" s="716">
        <v>1.4521567314184454E-2</v>
      </c>
      <c r="BW263" s="1166">
        <f>'2022'!R\Max</f>
        <v>0.93502005314348469</v>
      </c>
      <c r="BX263" s="1167">
        <f>'2023'!R\Max</f>
        <v>0.93501557806736579</v>
      </c>
      <c r="BY263" s="1167">
        <f>'2024'!R\Max</f>
        <v>0.93501043642750625</v>
      </c>
      <c r="BZ263" s="1167">
        <f>'2025'!R\Max</f>
        <v>0.93500526150278207</v>
      </c>
      <c r="CA263" s="1167">
        <f>'2026'!R\Max</f>
        <v>0.93499943093252402</v>
      </c>
      <c r="CB263" s="1167">
        <f>'2027'!R\Max</f>
        <v>0.93499356746219509</v>
      </c>
      <c r="CC263" s="1168">
        <f>'2028'!R\Max</f>
        <v>0.93498709166177318</v>
      </c>
      <c r="CD263" s="1167">
        <f>'2029'!R\Max</f>
        <v>0.93502027677991728</v>
      </c>
      <c r="CE263" s="1167">
        <f>'2030'!R\Max</f>
        <v>0.93501580172471932</v>
      </c>
      <c r="CF263" s="1169">
        <f>'2031'!R\Max</f>
        <v>0.93501069503602863</v>
      </c>
    </row>
    <row r="264" spans="1:84" s="6" customFormat="1" ht="11.25" x14ac:dyDescent="0.2">
      <c r="A264" s="11">
        <v>43350</v>
      </c>
      <c r="B264" s="375">
        <f>'2022'!Maxi_hp</f>
        <v>148.17728238486964</v>
      </c>
      <c r="C264" s="13">
        <f>'2022'!An_max</f>
        <v>2022</v>
      </c>
      <c r="D264" s="1045" t="str">
        <f t="shared" si="97"/>
        <v/>
      </c>
      <c r="E264" s="13"/>
      <c r="F264" s="13">
        <f t="shared" si="114"/>
        <v>19</v>
      </c>
      <c r="G264" s="13">
        <f t="shared" si="98"/>
        <v>20</v>
      </c>
      <c r="H264" s="169">
        <f t="shared" si="99"/>
        <v>43346</v>
      </c>
      <c r="I264" s="743">
        <f t="shared" si="100"/>
        <v>0.2857142857142857</v>
      </c>
      <c r="J264" s="736">
        <f t="shared" si="101"/>
        <v>207.46938775288208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38">
        <v>43350</v>
      </c>
      <c r="AP264" s="13">
        <f t="shared" si="102"/>
        <v>11</v>
      </c>
      <c r="AQ264" s="13">
        <f t="shared" si="103"/>
        <v>10</v>
      </c>
      <c r="AR264" s="169">
        <f t="shared" si="104"/>
        <v>43360</v>
      </c>
      <c r="AS264" s="743">
        <f t="shared" si="105"/>
        <v>0.35714285714285715</v>
      </c>
      <c r="AT264" s="759">
        <f t="shared" si="106"/>
        <v>207.33819241779187</v>
      </c>
      <c r="AU264" s="13">
        <f t="shared" si="107"/>
        <v>11</v>
      </c>
      <c r="AV264" s="13">
        <f t="shared" si="108"/>
        <v>10</v>
      </c>
      <c r="AW264" s="169">
        <f t="shared" si="109"/>
        <v>43374</v>
      </c>
      <c r="AX264" s="743">
        <f t="shared" si="110"/>
        <v>0.8571428571428571</v>
      </c>
      <c r="AY264" s="759">
        <f t="shared" si="111"/>
        <v>207.42565597636357</v>
      </c>
      <c r="AZ264" s="736">
        <f t="shared" si="115"/>
        <v>207.38192419707772</v>
      </c>
      <c r="BA264" s="633">
        <f t="shared" si="112"/>
        <v>0.71421275201026002</v>
      </c>
      <c r="BC264" s="11">
        <v>43350</v>
      </c>
      <c r="BD264" s="286">
        <f>[2]!FeuilCaduc*(1-Persistant)+Persistant</f>
        <v>0.97955403039187494</v>
      </c>
      <c r="BE264" s="287">
        <f>[2]!CroissVégét</f>
        <v>0.97514052098953308</v>
      </c>
      <c r="BF264" s="806">
        <f>1+[2]!Salcycl*Ksac</f>
        <v>1.0474442537989843</v>
      </c>
      <c r="BH264" s="1036">
        <f t="shared" si="113"/>
        <v>6.4011390265149371E-3</v>
      </c>
      <c r="BI264" s="11">
        <v>44446</v>
      </c>
      <c r="BJ264" s="716">
        <v>2.0690052871317772E-3</v>
      </c>
      <c r="BK264" s="716">
        <v>2.7196870914435959E-3</v>
      </c>
      <c r="BL264" s="716">
        <v>3.4684767770417776E-3</v>
      </c>
      <c r="BM264" s="716">
        <v>4.356461101184878E-3</v>
      </c>
      <c r="BN264" s="716">
        <v>5.3337738861767977E-3</v>
      </c>
      <c r="BO264" s="717">
        <v>6.4124334267302444E-3</v>
      </c>
      <c r="BP264" s="716">
        <v>7.61718924767387E-3</v>
      </c>
      <c r="BQ264" s="716">
        <v>9.0147579685706889E-3</v>
      </c>
      <c r="BR264" s="716">
        <v>1.0601032069048567E-2</v>
      </c>
      <c r="BS264" s="716">
        <v>1.2360566642113208E-2</v>
      </c>
      <c r="BT264" s="716">
        <v>1.4230903054491232E-2</v>
      </c>
      <c r="BW264" s="1166">
        <f>'2022'!R\Max</f>
        <v>0.71421275201026002</v>
      </c>
      <c r="BX264" s="1167">
        <f>'2023'!R\Max</f>
        <v>0.71419793970948686</v>
      </c>
      <c r="BY264" s="1167">
        <f>'2024'!R\Max</f>
        <v>0.71418086427333349</v>
      </c>
      <c r="BZ264" s="1167">
        <f>'2025'!R\Max</f>
        <v>0.71416367905878408</v>
      </c>
      <c r="CA264" s="1167">
        <f>'2026'!R\Max</f>
        <v>0.71414427826539839</v>
      </c>
      <c r="CB264" s="1167">
        <f>'2027'!R\Max</f>
        <v>0.71412476964535498</v>
      </c>
      <c r="CC264" s="1168">
        <f>'2028'!R\Max</f>
        <v>0.71410322600138365</v>
      </c>
      <c r="CD264" s="1167">
        <f>'2029'!R\Max</f>
        <v>0.71421349224978758</v>
      </c>
      <c r="CE264" s="1167">
        <f>'2030'!R\Max</f>
        <v>0.7141986799935186</v>
      </c>
      <c r="CF264" s="1169">
        <f>'2031'!R\Max</f>
        <v>0.71418172309405292</v>
      </c>
    </row>
    <row r="265" spans="1:84" s="6" customFormat="1" ht="11.25" x14ac:dyDescent="0.2">
      <c r="A265" s="11">
        <v>43351</v>
      </c>
      <c r="B265" s="375">
        <f>'2022'!Maxi_hp</f>
        <v>172.26316013998238</v>
      </c>
      <c r="C265" s="13">
        <f>'2022'!An_max</f>
        <v>2022</v>
      </c>
      <c r="D265" s="1045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69">
        <f t="shared" si="99"/>
        <v>43346</v>
      </c>
      <c r="I265" s="743">
        <f t="shared" si="100"/>
        <v>0.35714285714285715</v>
      </c>
      <c r="J265" s="736">
        <f t="shared" si="101"/>
        <v>206.42984693657073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38">
        <v>43351</v>
      </c>
      <c r="AP265" s="13">
        <f t="shared" si="102"/>
        <v>11</v>
      </c>
      <c r="AQ265" s="13">
        <f t="shared" si="103"/>
        <v>10</v>
      </c>
      <c r="AR265" s="169">
        <f t="shared" si="104"/>
        <v>43360</v>
      </c>
      <c r="AS265" s="743">
        <f t="shared" si="105"/>
        <v>0.32142857142857145</v>
      </c>
      <c r="AT265" s="759">
        <f t="shared" si="106"/>
        <v>206.30131650801218</v>
      </c>
      <c r="AU265" s="13">
        <f t="shared" si="107"/>
        <v>11</v>
      </c>
      <c r="AV265" s="13">
        <f t="shared" si="108"/>
        <v>10</v>
      </c>
      <c r="AW265" s="169">
        <f t="shared" si="109"/>
        <v>43374</v>
      </c>
      <c r="AX265" s="743">
        <f t="shared" si="110"/>
        <v>0.8214285714285714</v>
      </c>
      <c r="AY265" s="759">
        <f t="shared" si="111"/>
        <v>206.36436315647194</v>
      </c>
      <c r="AZ265" s="736">
        <f t="shared" si="115"/>
        <v>206.33283983224206</v>
      </c>
      <c r="BA265" s="633">
        <f t="shared" si="112"/>
        <v>0.83448766104502958</v>
      </c>
      <c r="BC265" s="11">
        <v>43351</v>
      </c>
      <c r="BD265" s="286">
        <f>[2]!FeuilCaduc*(1-Persistant)+Persistant</f>
        <v>0.97835850865339413</v>
      </c>
      <c r="BE265" s="287">
        <f>[2]!CroissVégét</f>
        <v>0.97613026748322473</v>
      </c>
      <c r="BF265" s="806">
        <f>1+[2]!Salcycl*Ksac</f>
        <v>1.0472948135816742</v>
      </c>
      <c r="BH265" s="1036">
        <f t="shared" si="113"/>
        <v>6.2238813322996788E-3</v>
      </c>
      <c r="BI265" s="11">
        <v>44447</v>
      </c>
      <c r="BJ265" s="716">
        <v>1.9985491099353959E-3</v>
      </c>
      <c r="BK265" s="716">
        <v>2.6299218183015774E-3</v>
      </c>
      <c r="BL265" s="716">
        <v>3.3583695477003572E-3</v>
      </c>
      <c r="BM265" s="716">
        <v>4.2236731559912458E-3</v>
      </c>
      <c r="BN265" s="716">
        <v>5.1782976783490151E-3</v>
      </c>
      <c r="BO265" s="717">
        <v>6.2349452501662119E-3</v>
      </c>
      <c r="BP265" s="716">
        <v>7.4187758237812505E-3</v>
      </c>
      <c r="BQ265" s="716">
        <v>8.7966166373574517E-3</v>
      </c>
      <c r="BR265" s="716">
        <v>1.036354914890446E-2</v>
      </c>
      <c r="BS265" s="716">
        <v>1.210102878269031E-2</v>
      </c>
      <c r="BT265" s="716">
        <v>1.3944349631150949E-2</v>
      </c>
      <c r="BW265" s="1166">
        <f>'2022'!R\Max</f>
        <v>0.83448766104502958</v>
      </c>
      <c r="BX265" s="1167">
        <f>'2023'!R\Max</f>
        <v>0.83447777443371651</v>
      </c>
      <c r="BY265" s="1167">
        <f>'2024'!R\Max</f>
        <v>0.83446633923277247</v>
      </c>
      <c r="BZ265" s="1167">
        <f>'2025'!R\Max</f>
        <v>0.83445483039825807</v>
      </c>
      <c r="CA265" s="1167">
        <f>'2026'!R\Max</f>
        <v>0.83444181166004894</v>
      </c>
      <c r="CB265" s="1167">
        <f>'2027'!R\Max</f>
        <v>0.83442872081496666</v>
      </c>
      <c r="CC265" s="1168">
        <f>'2028'!R\Max</f>
        <v>0.83441426745322178</v>
      </c>
      <c r="CD265" s="1167">
        <f>'2029'!R\Max</f>
        <v>0.83448815512070296</v>
      </c>
      <c r="CE265" s="1167">
        <f>'2030'!R\Max</f>
        <v>0.83447826854719753</v>
      </c>
      <c r="CF265" s="1169">
        <f>'2031'!R\Max</f>
        <v>0.83446691437399401</v>
      </c>
    </row>
    <row r="266" spans="1:84" s="6" customFormat="1" ht="11.25" x14ac:dyDescent="0.2">
      <c r="A266" s="11">
        <v>43352</v>
      </c>
      <c r="B266" s="375">
        <f>'2022'!Maxi_hp</f>
        <v>92.136816423786186</v>
      </c>
      <c r="C266" s="13">
        <f>'2022'!An_max</f>
        <v>2022</v>
      </c>
      <c r="D266" s="1045" t="str">
        <f t="shared" si="97"/>
        <v/>
      </c>
      <c r="E266" s="13"/>
      <c r="F266" s="13">
        <f t="shared" si="114"/>
        <v>19</v>
      </c>
      <c r="G266" s="13">
        <f t="shared" si="98"/>
        <v>20</v>
      </c>
      <c r="H266" s="169">
        <f t="shared" si="99"/>
        <v>43346</v>
      </c>
      <c r="I266" s="743">
        <f t="shared" si="100"/>
        <v>0.42857142857142855</v>
      </c>
      <c r="J266" s="736">
        <f t="shared" si="101"/>
        <v>205.37755101834023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38">
        <v>43352</v>
      </c>
      <c r="AP266" s="13">
        <f t="shared" si="102"/>
        <v>11</v>
      </c>
      <c r="AQ266" s="13">
        <f t="shared" si="103"/>
        <v>10</v>
      </c>
      <c r="AR266" s="169">
        <f t="shared" si="104"/>
        <v>43360</v>
      </c>
      <c r="AS266" s="743">
        <f t="shared" si="105"/>
        <v>0.2857142857142857</v>
      </c>
      <c r="AT266" s="759">
        <f t="shared" si="106"/>
        <v>205.25364431334393</v>
      </c>
      <c r="AU266" s="13">
        <f t="shared" si="107"/>
        <v>11</v>
      </c>
      <c r="AV266" s="13">
        <f t="shared" si="108"/>
        <v>10</v>
      </c>
      <c r="AW266" s="169">
        <f t="shared" si="109"/>
        <v>43374</v>
      </c>
      <c r="AX266" s="743">
        <f t="shared" si="110"/>
        <v>0.7857142857142857</v>
      </c>
      <c r="AY266" s="759">
        <f t="shared" si="111"/>
        <v>205.28735422758118</v>
      </c>
      <c r="AZ266" s="736">
        <f t="shared" si="115"/>
        <v>205.27049927046255</v>
      </c>
      <c r="BA266" s="633">
        <f t="shared" si="112"/>
        <v>0.44862165298464562</v>
      </c>
      <c r="BC266" s="11">
        <v>43352</v>
      </c>
      <c r="BD266" s="286">
        <f>[2]!FeuilCaduc*(1-Persistant)+Persistant</f>
        <v>0.97710985527977512</v>
      </c>
      <c r="BE266" s="287">
        <f>[2]!CroissVégét</f>
        <v>0.97708205248193514</v>
      </c>
      <c r="BF266" s="806">
        <f>1+[2]!Salcycl*Ksac</f>
        <v>1.0471387319099719</v>
      </c>
      <c r="BH266" s="1036">
        <f t="shared" si="113"/>
        <v>6.0420141220682358E-3</v>
      </c>
      <c r="BI266" s="11">
        <v>44448</v>
      </c>
      <c r="BJ266" s="716">
        <v>1.9269247535399815E-3</v>
      </c>
      <c r="BK266" s="716">
        <v>2.5380615660712306E-3</v>
      </c>
      <c r="BL266" s="716">
        <v>3.2448448705991798E-3</v>
      </c>
      <c r="BM266" s="716">
        <v>4.0860030345690511E-3</v>
      </c>
      <c r="BN266" s="716">
        <v>5.017500883480493E-3</v>
      </c>
      <c r="BO266" s="717">
        <v>6.0528550818346599E-3</v>
      </c>
      <c r="BP266" s="716">
        <v>7.2174530290678302E-3</v>
      </c>
      <c r="BQ266" s="716">
        <v>8.5772939768911788E-3</v>
      </c>
      <c r="BR266" s="716">
        <v>1.0126719777288915E-2</v>
      </c>
      <c r="BS266" s="716">
        <v>1.1843881154824175E-2</v>
      </c>
      <c r="BT266" s="716">
        <v>1.3661904249493914E-2</v>
      </c>
      <c r="BW266" s="1166">
        <f>'2022'!R\Max</f>
        <v>0.44862165298464562</v>
      </c>
      <c r="BX266" s="1167">
        <f>'2023'!R\Max</f>
        <v>0.44860416795932861</v>
      </c>
      <c r="BY266" s="1167">
        <f>'2024'!R\Max</f>
        <v>0.44858387970416513</v>
      </c>
      <c r="BZ266" s="1167">
        <f>'2025'!R\Max</f>
        <v>0.44856346237927558</v>
      </c>
      <c r="CA266" s="1167">
        <f>'2026'!R\Max</f>
        <v>0.44854032277630446</v>
      </c>
      <c r="CB266" s="1167">
        <f>'2027'!R\Max</f>
        <v>0.44851705767307104</v>
      </c>
      <c r="CC266" s="1168">
        <f>'2028'!R\Max</f>
        <v>0.44849138368035019</v>
      </c>
      <c r="CD266" s="1167">
        <f>'2029'!R\Max</f>
        <v>0.44862252681058318</v>
      </c>
      <c r="CE266" s="1167">
        <f>'2030'!R\Max</f>
        <v>0.44860504180362815</v>
      </c>
      <c r="CF266" s="1169">
        <f>'2031'!R\Max</f>
        <v>0.44858490007186497</v>
      </c>
    </row>
    <row r="267" spans="1:84" s="6" customFormat="1" ht="11.25" x14ac:dyDescent="0.2">
      <c r="A267" s="11">
        <v>43353</v>
      </c>
      <c r="B267" s="375">
        <f>'2022'!Maxi_hp</f>
        <v>191.68801678499003</v>
      </c>
      <c r="C267" s="13">
        <f>'2022'!An_max</f>
        <v>2022</v>
      </c>
      <c r="D267" s="1045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69">
        <f t="shared" si="99"/>
        <v>43346</v>
      </c>
      <c r="I267" s="743">
        <f t="shared" si="100"/>
        <v>0.5</v>
      </c>
      <c r="J267" s="736">
        <f t="shared" si="101"/>
        <v>204.31249999776483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38">
        <v>43353</v>
      </c>
      <c r="AP267" s="13">
        <f t="shared" si="102"/>
        <v>11</v>
      </c>
      <c r="AQ267" s="13">
        <f t="shared" si="103"/>
        <v>10</v>
      </c>
      <c r="AR267" s="169">
        <f t="shared" si="104"/>
        <v>43360</v>
      </c>
      <c r="AS267" s="743">
        <f t="shared" si="105"/>
        <v>0.25</v>
      </c>
      <c r="AT267" s="759">
        <f t="shared" si="106"/>
        <v>204.19531249925495</v>
      </c>
      <c r="AU267" s="13">
        <f t="shared" si="107"/>
        <v>11</v>
      </c>
      <c r="AV267" s="13">
        <f t="shared" si="108"/>
        <v>10</v>
      </c>
      <c r="AW267" s="169">
        <f t="shared" si="109"/>
        <v>43374</v>
      </c>
      <c r="AX267" s="743">
        <f t="shared" si="110"/>
        <v>0.75</v>
      </c>
      <c r="AY267" s="759">
        <f t="shared" si="111"/>
        <v>204.1953125</v>
      </c>
      <c r="AZ267" s="736">
        <f t="shared" si="115"/>
        <v>204.19531249962748</v>
      </c>
      <c r="BA267" s="633">
        <f t="shared" si="112"/>
        <v>0.93820993227084526</v>
      </c>
      <c r="BC267" s="11">
        <v>43353</v>
      </c>
      <c r="BD267" s="286">
        <f>[2]!FeuilCaduc*(1-Persistant)+Persistant</f>
        <v>0.97580598557900677</v>
      </c>
      <c r="BE267" s="287">
        <f>[2]!CroissVégét</f>
        <v>0.97799726049726488</v>
      </c>
      <c r="BF267" s="806">
        <f>1+[2]!Salcycl*Ksac</f>
        <v>1.0469757481973758</v>
      </c>
      <c r="BH267" s="1036">
        <f t="shared" si="113"/>
        <v>5.855531928199203E-3</v>
      </c>
      <c r="BI267" s="11">
        <v>44449</v>
      </c>
      <c r="BJ267" s="716">
        <v>1.8541302952910664E-3</v>
      </c>
      <c r="BK267" s="716">
        <v>2.4441036071292071E-3</v>
      </c>
      <c r="BL267" s="716">
        <v>3.1278990136416602E-3</v>
      </c>
      <c r="BM267" s="716">
        <v>3.9434458969719302E-3</v>
      </c>
      <c r="BN267" s="716">
        <v>4.8513780563170248E-3</v>
      </c>
      <c r="BO267" s="717">
        <v>5.8661574538775045E-3</v>
      </c>
      <c r="BP267" s="716">
        <v>7.0132158814787647E-3</v>
      </c>
      <c r="BQ267" s="716">
        <v>8.3567855629485491E-3</v>
      </c>
      <c r="BR267" s="716">
        <v>9.8905401743310268E-3</v>
      </c>
      <c r="BS267" s="716">
        <v>1.1589120536640941E-2</v>
      </c>
      <c r="BT267" s="716">
        <v>1.3383564135663011E-2</v>
      </c>
      <c r="BW267" s="1166">
        <f>'2022'!R\Max</f>
        <v>0.93820993227084526</v>
      </c>
      <c r="BX267" s="1167">
        <f>'2023'!R\Max</f>
        <v>0.9382058803836455</v>
      </c>
      <c r="BY267" s="1167">
        <f>'2024'!R\Max</f>
        <v>0.93820116369202156</v>
      </c>
      <c r="BZ267" s="1167">
        <f>'2025'!R\Max</f>
        <v>0.93819641669272091</v>
      </c>
      <c r="CA267" s="1167">
        <f>'2026'!R\Max</f>
        <v>0.9381910260014259</v>
      </c>
      <c r="CB267" s="1167">
        <f>'2027'!R\Max</f>
        <v>0.93818560580537158</v>
      </c>
      <c r="CC267" s="1168">
        <f>'2028'!R\Max</f>
        <v>0.93817962738992922</v>
      </c>
      <c r="CD267" s="1167">
        <f>'2029'!R\Max</f>
        <v>0.93821013475939163</v>
      </c>
      <c r="CE267" s="1167">
        <f>'2030'!R\Max</f>
        <v>0.93820608289025764</v>
      </c>
      <c r="CF267" s="1169">
        <f>'2031'!R\Max</f>
        <v>0.9382014009161157</v>
      </c>
    </row>
    <row r="268" spans="1:84" s="6" customFormat="1" ht="11.25" x14ac:dyDescent="0.2">
      <c r="A268" s="11">
        <v>43354</v>
      </c>
      <c r="B268" s="375">
        <f>'2022'!Maxi_hp</f>
        <v>195.40930696041534</v>
      </c>
      <c r="C268" s="13">
        <f>'2022'!An_max</f>
        <v>2022</v>
      </c>
      <c r="D268" s="1045" t="str">
        <f t="shared" si="97"/>
        <v/>
      </c>
      <c r="E268" s="13"/>
      <c r="F268" s="13">
        <f t="shared" si="114"/>
        <v>19</v>
      </c>
      <c r="G268" s="13">
        <f t="shared" si="98"/>
        <v>20</v>
      </c>
      <c r="H268" s="169">
        <f t="shared" si="99"/>
        <v>43346</v>
      </c>
      <c r="I268" s="743">
        <f t="shared" si="100"/>
        <v>0.5714285714285714</v>
      </c>
      <c r="J268" s="736">
        <f t="shared" si="101"/>
        <v>203.23469387527024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38">
        <v>43354</v>
      </c>
      <c r="AP268" s="13">
        <f t="shared" si="102"/>
        <v>11</v>
      </c>
      <c r="AQ268" s="13">
        <f t="shared" si="103"/>
        <v>10</v>
      </c>
      <c r="AR268" s="169">
        <f t="shared" si="104"/>
        <v>43360</v>
      </c>
      <c r="AS268" s="743">
        <f t="shared" si="105"/>
        <v>0.21428571428571427</v>
      </c>
      <c r="AT268" s="759">
        <f t="shared" si="106"/>
        <v>203.12645772429451</v>
      </c>
      <c r="AU268" s="13">
        <f t="shared" si="107"/>
        <v>11</v>
      </c>
      <c r="AV268" s="13">
        <f t="shared" si="108"/>
        <v>10</v>
      </c>
      <c r="AW268" s="169">
        <f t="shared" si="109"/>
        <v>43374</v>
      </c>
      <c r="AX268" s="743">
        <f t="shared" si="110"/>
        <v>0.7142857142857143</v>
      </c>
      <c r="AY268" s="759">
        <f t="shared" si="111"/>
        <v>203.08892128233396</v>
      </c>
      <c r="AZ268" s="736">
        <f t="shared" si="115"/>
        <v>203.10768950331425</v>
      </c>
      <c r="BA268" s="633">
        <f t="shared" si="112"/>
        <v>0.96149581173548293</v>
      </c>
      <c r="BC268" s="11">
        <v>43354</v>
      </c>
      <c r="BD268" s="286">
        <f>[2]!FeuilCaduc*(1-Persistant)+Persistant</f>
        <v>0.97444473245570595</v>
      </c>
      <c r="BE268" s="287">
        <f>[2]!CroissVégét</f>
        <v>0.97887723107993829</v>
      </c>
      <c r="BF268" s="806">
        <f>1+[2]!Salcycl*Ksac</f>
        <v>1.0468055915569632</v>
      </c>
      <c r="BH268" s="1036">
        <f t="shared" si="113"/>
        <v>5.666200821964641E-3</v>
      </c>
      <c r="BI268" s="11">
        <v>44450</v>
      </c>
      <c r="BJ268" s="716">
        <v>1.781320812232537E-3</v>
      </c>
      <c r="BK268" s="716">
        <v>2.349799724147401E-3</v>
      </c>
      <c r="BL268" s="716">
        <v>3.0097695238166908E-3</v>
      </c>
      <c r="BM268" s="716">
        <v>3.7985620313836215E-3</v>
      </c>
      <c r="BN268" s="716">
        <v>4.6823397623965667E-3</v>
      </c>
      <c r="BO268" s="717">
        <v>5.6766116178048514E-3</v>
      </c>
      <c r="BP268" s="716">
        <v>6.8067707483441611E-3</v>
      </c>
      <c r="BQ268" s="716">
        <v>8.1346962927677565E-3</v>
      </c>
      <c r="BR268" s="716">
        <v>9.653684901099106E-3</v>
      </c>
      <c r="BS268" s="716">
        <v>1.1335241276505021E-2</v>
      </c>
      <c r="BT268" s="716">
        <v>1.310843982175916E-2</v>
      </c>
      <c r="BW268" s="1166">
        <f>'2022'!R\Max</f>
        <v>0.96149581173548293</v>
      </c>
      <c r="BX268" s="1167">
        <f>'2023'!R\Max</f>
        <v>0.96149325232897898</v>
      </c>
      <c r="BY268" s="1167">
        <f>'2024'!R\Max</f>
        <v>0.96149026359539924</v>
      </c>
      <c r="BZ268" s="1167">
        <f>'2025'!R\Max</f>
        <v>0.96148725569827964</v>
      </c>
      <c r="CA268" s="1167">
        <f>'2026'!R\Max</f>
        <v>0.96148383283387306</v>
      </c>
      <c r="CB268" s="1167">
        <f>'2027'!R\Max</f>
        <v>0.96148039134062957</v>
      </c>
      <c r="CC268" s="1168">
        <f>'2028'!R\Max</f>
        <v>0.96147659652904982</v>
      </c>
      <c r="CD268" s="1167">
        <f>'2029'!R\Max</f>
        <v>0.96149593963881907</v>
      </c>
      <c r="CE268" s="1167">
        <f>'2030'!R\Max</f>
        <v>0.96149338024401421</v>
      </c>
      <c r="CF268" s="1169">
        <f>'2031'!R\Max</f>
        <v>0.96149041391026413</v>
      </c>
    </row>
    <row r="269" spans="1:84" s="6" customFormat="1" ht="11.25" x14ac:dyDescent="0.2">
      <c r="A269" s="11">
        <v>43355</v>
      </c>
      <c r="B269" s="375">
        <f>'2022'!Maxi_hp</f>
        <v>135.30425984199042</v>
      </c>
      <c r="C269" s="13">
        <f>'2022'!An_max</f>
        <v>2022</v>
      </c>
      <c r="D269" s="1045" t="str">
        <f t="shared" si="97"/>
        <v/>
      </c>
      <c r="E269" s="13"/>
      <c r="F269" s="13">
        <f t="shared" si="114"/>
        <v>19</v>
      </c>
      <c r="G269" s="13">
        <f t="shared" si="98"/>
        <v>20</v>
      </c>
      <c r="H269" s="169">
        <f t="shared" si="99"/>
        <v>43346</v>
      </c>
      <c r="I269" s="743">
        <f t="shared" si="100"/>
        <v>0.6428571428571429</v>
      </c>
      <c r="J269" s="736">
        <f t="shared" si="101"/>
        <v>202.14413265234657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38">
        <v>43355</v>
      </c>
      <c r="AP269" s="13">
        <f t="shared" si="102"/>
        <v>11</v>
      </c>
      <c r="AQ269" s="13">
        <f t="shared" si="103"/>
        <v>10</v>
      </c>
      <c r="AR269" s="169">
        <f t="shared" si="104"/>
        <v>43360</v>
      </c>
      <c r="AS269" s="743">
        <f t="shared" si="105"/>
        <v>0.17857142857142858</v>
      </c>
      <c r="AT269" s="759">
        <f t="shared" si="106"/>
        <v>202.04721665398353</v>
      </c>
      <c r="AU269" s="13">
        <f t="shared" si="107"/>
        <v>11</v>
      </c>
      <c r="AV269" s="13">
        <f t="shared" si="108"/>
        <v>10</v>
      </c>
      <c r="AW269" s="169">
        <f t="shared" si="109"/>
        <v>43374</v>
      </c>
      <c r="AX269" s="743">
        <f t="shared" si="110"/>
        <v>0.6785714285714286</v>
      </c>
      <c r="AY269" s="759">
        <f t="shared" si="111"/>
        <v>201.96886388691408</v>
      </c>
      <c r="AZ269" s="736">
        <f t="shared" si="115"/>
        <v>202.00804027044882</v>
      </c>
      <c r="BA269" s="633">
        <f t="shared" si="112"/>
        <v>0.66934547180100779</v>
      </c>
      <c r="BC269" s="11">
        <v>43355</v>
      </c>
      <c r="BD269" s="286">
        <f>[2]!FeuilCaduc*(1-Persistant)+Persistant</f>
        <v>0.9730238463676989</v>
      </c>
      <c r="BE269" s="287">
        <f>[2]!CroissVégét</f>
        <v>0.97972325984311226</v>
      </c>
      <c r="BF269" s="806">
        <f>1+[2]!Salcycl*Ksac</f>
        <v>1.0466279807959624</v>
      </c>
      <c r="BH269" s="1036">
        <f t="shared" si="113"/>
        <v>5.479454415194142E-3</v>
      </c>
      <c r="BI269" s="11">
        <v>44451</v>
      </c>
      <c r="BJ269" s="716">
        <v>1.7114513502797545E-3</v>
      </c>
      <c r="BK269" s="716">
        <v>2.258600257208736E-3</v>
      </c>
      <c r="BL269" s="716">
        <v>2.894716327417965E-3</v>
      </c>
      <c r="BM269" s="716">
        <v>3.6566866603921413E-3</v>
      </c>
      <c r="BN269" s="716">
        <v>4.5161504806837949E-3</v>
      </c>
      <c r="BO269" s="717">
        <v>5.4896476843521473E-3</v>
      </c>
      <c r="BP269" s="716">
        <v>6.6024364344201949E-3</v>
      </c>
      <c r="BQ269" s="716">
        <v>7.913971852637005E-3</v>
      </c>
      <c r="BR269" s="716">
        <v>9.4175149652517241E-3</v>
      </c>
      <c r="BS269" s="716">
        <v>1.1082178847827627E-2</v>
      </c>
      <c r="BT269" s="716">
        <v>1.2835327859264088E-2</v>
      </c>
      <c r="BW269" s="1166">
        <f>'2022'!R\Max</f>
        <v>0.66934547180100779</v>
      </c>
      <c r="BX269" s="1167">
        <f>'2023'!R\Max</f>
        <v>0.66933034748346698</v>
      </c>
      <c r="BY269" s="1167">
        <f>'2024'!R\Max</f>
        <v>0.66931263229754123</v>
      </c>
      <c r="BZ269" s="1167">
        <f>'2025'!R\Max</f>
        <v>0.66929480470727232</v>
      </c>
      <c r="CA269" s="1167">
        <f>'2026'!R\Max</f>
        <v>0.66927447345669611</v>
      </c>
      <c r="CB269" s="1167">
        <f>'2027'!R\Max</f>
        <v>0.66925403323000499</v>
      </c>
      <c r="CC269" s="1168">
        <f>'2028'!R\Max</f>
        <v>0.66923149128295045</v>
      </c>
      <c r="CD269" s="1167">
        <f>'2029'!R\Max</f>
        <v>0.66934622763728857</v>
      </c>
      <c r="CE269" s="1167">
        <f>'2030'!R\Max</f>
        <v>0.66933110335790369</v>
      </c>
      <c r="CF269" s="1169">
        <f>'2031'!R\Max</f>
        <v>0.66931352322539173</v>
      </c>
    </row>
    <row r="270" spans="1:84" s="6" customFormat="1" ht="11.25" x14ac:dyDescent="0.2">
      <c r="A270" s="11">
        <v>43356</v>
      </c>
      <c r="B270" s="375">
        <f>'2022'!Maxi_hp</f>
        <v>48.711486880695645</v>
      </c>
      <c r="C270" s="13">
        <f>'2022'!An_max</f>
        <v>2022</v>
      </c>
      <c r="D270" s="1045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69">
        <f t="shared" si="99"/>
        <v>43346</v>
      </c>
      <c r="I270" s="743">
        <f t="shared" si="100"/>
        <v>0.7142857142857143</v>
      </c>
      <c r="J270" s="736">
        <f t="shared" si="101"/>
        <v>201.04081632494928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38">
        <v>43356</v>
      </c>
      <c r="AP270" s="13">
        <f t="shared" si="102"/>
        <v>11</v>
      </c>
      <c r="AQ270" s="13">
        <f t="shared" si="103"/>
        <v>10</v>
      </c>
      <c r="AR270" s="169">
        <f t="shared" si="104"/>
        <v>43360</v>
      </c>
      <c r="AS270" s="743">
        <f t="shared" si="105"/>
        <v>0.14285714285714285</v>
      </c>
      <c r="AT270" s="759">
        <f t="shared" si="106"/>
        <v>200.95772594639234</v>
      </c>
      <c r="AU270" s="13">
        <f t="shared" si="107"/>
        <v>11</v>
      </c>
      <c r="AV270" s="13">
        <f t="shared" si="108"/>
        <v>10</v>
      </c>
      <c r="AW270" s="169">
        <f t="shared" si="109"/>
        <v>43374</v>
      </c>
      <c r="AX270" s="743">
        <f t="shared" si="110"/>
        <v>0.6428571428571429</v>
      </c>
      <c r="AY270" s="759">
        <f t="shared" si="111"/>
        <v>200.83582361585326</v>
      </c>
      <c r="AZ270" s="736">
        <f t="shared" si="115"/>
        <v>200.89677478112282</v>
      </c>
      <c r="BA270" s="633">
        <f t="shared" si="112"/>
        <v>0.24229650362124261</v>
      </c>
      <c r="BC270" s="11">
        <v>43356</v>
      </c>
      <c r="BD270" s="286">
        <f>[2]!FeuilCaduc*(1-Persistant)+Persistant</f>
        <v>0.97154099632593671</v>
      </c>
      <c r="BE270" s="287">
        <f>[2]!CroissVégét</f>
        <v>0.98053659949953242</v>
      </c>
      <c r="BF270" s="806">
        <f>1+[2]!Salcycl*Ksac</f>
        <v>1.0464426245407421</v>
      </c>
      <c r="BH270" s="1036">
        <f t="shared" si="113"/>
        <v>5.2952902572207441E-3</v>
      </c>
      <c r="BI270" s="11">
        <v>44452</v>
      </c>
      <c r="BJ270" s="716">
        <v>1.6445219840047823E-3</v>
      </c>
      <c r="BK270" s="716">
        <v>2.1705049212307087E-3</v>
      </c>
      <c r="BL270" s="716">
        <v>2.7827386289543837E-3</v>
      </c>
      <c r="BM270" s="716">
        <v>3.5178184020029694E-3</v>
      </c>
      <c r="BN270" s="716">
        <v>4.3528082692899442E-3</v>
      </c>
      <c r="BO270" s="717">
        <v>5.3052631974687611E-3</v>
      </c>
      <c r="BP270" s="716">
        <v>6.4002099647144607E-3</v>
      </c>
      <c r="BQ270" s="716">
        <v>7.6946086554312391E-3</v>
      </c>
      <c r="BR270" s="716">
        <v>9.182026252206649E-3</v>
      </c>
      <c r="BS270" s="716">
        <v>1.0829929022259559E-2</v>
      </c>
      <c r="BT270" s="716">
        <v>1.2564224401029108E-2</v>
      </c>
      <c r="BW270" s="1166">
        <f>'2022'!R\Max</f>
        <v>0.24229650362124261</v>
      </c>
      <c r="BX270" s="1167">
        <f>'2023'!R\Max</f>
        <v>0.2422850540689952</v>
      </c>
      <c r="BY270" s="1167">
        <f>'2024'!R\Max</f>
        <v>0.2422716031731641</v>
      </c>
      <c r="BZ270" s="1167">
        <f>'2025'!R\Max</f>
        <v>0.24225806800791067</v>
      </c>
      <c r="CA270" s="1167">
        <f>'2026'!R\Max</f>
        <v>0.24224259604998266</v>
      </c>
      <c r="CB270" s="1167">
        <f>'2027'!R\Max</f>
        <v>0.24222704253998789</v>
      </c>
      <c r="CC270" s="1168">
        <f>'2028'!R\Max</f>
        <v>0.24220987868821958</v>
      </c>
      <c r="CD270" s="1167">
        <f>'2029'!R\Max</f>
        <v>0.24229707582665372</v>
      </c>
      <c r="CE270" s="1167">
        <f>'2030'!R\Max</f>
        <v>0.2422856262744062</v>
      </c>
      <c r="CF270" s="1169">
        <f>'2031'!R\Max</f>
        <v>0.24227227960964212</v>
      </c>
    </row>
    <row r="271" spans="1:84" s="6" customFormat="1" ht="11.25" x14ac:dyDescent="0.2">
      <c r="A271" s="11">
        <v>43357</v>
      </c>
      <c r="B271" s="375">
        <f>'2022'!Maxi_hp</f>
        <v>155.35884692302292</v>
      </c>
      <c r="C271" s="13">
        <f>'2022'!An_max</f>
        <v>2022</v>
      </c>
      <c r="D271" s="1045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69">
        <f t="shared" ref="H271:H334" si="118">INDEX(x.2m,F271)</f>
        <v>43346</v>
      </c>
      <c r="I271" s="743">
        <f t="shared" ref="I271:I334" si="119">($A271-H271)/(INDEX(x.2m,G271)-H271)</f>
        <v>0.7857142857142857</v>
      </c>
      <c r="J271" s="736">
        <f t="shared" ref="J271:J334" si="120">((1-I271)*(INDEX(a.m,F271)*$A271*$A271+INDEX(b.m,F271)*$A271+INDEX(c.m,F271))+I271*(INDEX(a.m,G271)*$A271*$A271+INDEX(b.m,G271)*$A271+INDEX(c.m,G271)))/10</f>
        <v>199.92474489627142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38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69">
        <f t="shared" ref="AR271:AR334" si="123">INDEX(x.2lg,AP271)</f>
        <v>43360</v>
      </c>
      <c r="AS271" s="743">
        <f t="shared" ref="AS271:AS334" si="124">($A271-AR271)/(INDEX(x.2lg,AQ271)-AR271)</f>
        <v>0.10714285714285714</v>
      </c>
      <c r="AT271" s="759">
        <f t="shared" ref="AT271:AT334" si="125">((1-AS271)*(INDEX(a.lg,AP271)*$A271*$A271+INDEX(b.lg,AP271)*$A271+INDEX(c.lg,AP271))+AS271*(INDEX(a.lg,AQ271)*$A271*$A271+INDEX(b.lg,AQ271)*$A271+INDEX(c.lg,AQ271)))/10</f>
        <v>199.85812226379556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69">
        <f t="shared" ref="AW271:AW334" si="128">INDEX(x.2ld,AU271)</f>
        <v>43374</v>
      </c>
      <c r="AX271" s="743">
        <f t="shared" ref="AX271:AX334" si="129">($A271-AW271)/(INDEX(x.2ld,AV271)-AW271)</f>
        <v>0.6071428571428571</v>
      </c>
      <c r="AY271" s="759">
        <f t="shared" ref="AY271:AY334" si="130">((1-AX271)*(INDEX(a.ld,AU271)*$A271*$A271+INDEX(b.ld,AU271)*$A271+INDEX(c.ld,AU271))+AX271*(INDEX(a.ld,AV271)*$A271*$A271+INDEX(b.ld,AV271)*$A271+INDEX(c.ld,AV271)))/10</f>
        <v>199.69048378401038</v>
      </c>
      <c r="AZ271" s="736">
        <f t="shared" si="115"/>
        <v>199.77430302390297</v>
      </c>
      <c r="BA271" s="633">
        <f t="shared" ref="BA271:BA334" si="131">+B271/J271</f>
        <v>0.77708663329108674</v>
      </c>
      <c r="BC271" s="11">
        <v>43357</v>
      </c>
      <c r="BD271" s="286">
        <f>[2]!FeuilCaduc*(1-Persistant)+Persistant</f>
        <v>0.96999377203723292</v>
      </c>
      <c r="BE271" s="287">
        <f>[2]!CroissVégét</f>
        <v>0.98131846090840358</v>
      </c>
      <c r="BF271" s="806">
        <f>1+[2]!Salcycl*Ksac</f>
        <v>1.0462492215046542</v>
      </c>
      <c r="BH271" s="1036">
        <f t="shared" ref="BH271:BH334" si="132">INDEX($BJ271:$BT271,,$BH$10)*(1-Ratini)+INDEX($BJ271:$BT271,,$BH$10+1)*Ratini</f>
        <v>5.1137059176299751E-3</v>
      </c>
      <c r="BI271" s="11">
        <v>44453</v>
      </c>
      <c r="BJ271" s="716">
        <v>1.5805328947249321E-3</v>
      </c>
      <c r="BK271" s="716">
        <v>2.0855135336647801E-3</v>
      </c>
      <c r="BL271" s="716">
        <v>2.6738357201112287E-3</v>
      </c>
      <c r="BM271" s="716">
        <v>3.3819559422903797E-3</v>
      </c>
      <c r="BN271" s="716">
        <v>4.192311232070328E-3</v>
      </c>
      <c r="BO271" s="717">
        <v>5.1234557210868038E-3</v>
      </c>
      <c r="BP271" s="716">
        <v>6.2000883500951164E-3</v>
      </c>
      <c r="BQ271" s="716">
        <v>7.4766030524292685E-3</v>
      </c>
      <c r="BR271" s="716">
        <v>8.9472145421075743E-3</v>
      </c>
      <c r="BS271" s="716">
        <v>1.057848746228362E-2</v>
      </c>
      <c r="BT271" s="716">
        <v>1.229512553838431E-2</v>
      </c>
      <c r="BW271" s="1166">
        <f>'2022'!R\Max</f>
        <v>0.77708663329108674</v>
      </c>
      <c r="BX271" s="1167">
        <f>'2023'!R\Max</f>
        <v>0.77707508935349456</v>
      </c>
      <c r="BY271" s="1167">
        <f>'2024'!R\Max</f>
        <v>0.77706148620581961</v>
      </c>
      <c r="BZ271" s="1167">
        <f>'2025'!R\Max</f>
        <v>0.77704779710329341</v>
      </c>
      <c r="CA271" s="1167">
        <f>'2026'!R\Max</f>
        <v>0.77703210774890485</v>
      </c>
      <c r="CB271" s="1167">
        <f>'2027'!R\Max</f>
        <v>0.7770163345465223</v>
      </c>
      <c r="CC271" s="1168">
        <f>'2028'!R\Max</f>
        <v>0.77699890483857814</v>
      </c>
      <c r="CD271" s="1167">
        <f>'2029'!R\Max</f>
        <v>0.77708721019426197</v>
      </c>
      <c r="CE271" s="1167">
        <f>'2030'!R\Max</f>
        <v>0.77707566629335545</v>
      </c>
      <c r="CF271" s="1169">
        <f>'2031'!R\Max</f>
        <v>0.77706217030842151</v>
      </c>
    </row>
    <row r="272" spans="1:84" s="6" customFormat="1" ht="11.25" x14ac:dyDescent="0.2">
      <c r="A272" s="11">
        <v>43358</v>
      </c>
      <c r="B272" s="375">
        <f>'2022'!Maxi_hp</f>
        <v>173.8569482012538</v>
      </c>
      <c r="C272" s="13">
        <f>'2022'!An_max</f>
        <v>2022</v>
      </c>
      <c r="D272" s="1045" t="str">
        <f t="shared" si="116"/>
        <v/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69">
        <f t="shared" si="118"/>
        <v>43346</v>
      </c>
      <c r="I272" s="743">
        <f t="shared" si="119"/>
        <v>0.8571428571428571</v>
      </c>
      <c r="J272" s="736">
        <f t="shared" si="120"/>
        <v>198.79591836482285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38">
        <v>43358</v>
      </c>
      <c r="AP272" s="13">
        <f t="shared" si="121"/>
        <v>11</v>
      </c>
      <c r="AQ272" s="13">
        <f t="shared" si="122"/>
        <v>10</v>
      </c>
      <c r="AR272" s="169">
        <f t="shared" si="123"/>
        <v>43360</v>
      </c>
      <c r="AS272" s="743">
        <f t="shared" si="124"/>
        <v>7.1428571428571425E-2</v>
      </c>
      <c r="AT272" s="759">
        <f t="shared" si="125"/>
        <v>198.74854227134159</v>
      </c>
      <c r="AU272" s="13">
        <f t="shared" si="126"/>
        <v>11</v>
      </c>
      <c r="AV272" s="13">
        <f t="shared" si="127"/>
        <v>10</v>
      </c>
      <c r="AW272" s="169">
        <f t="shared" si="128"/>
        <v>43374</v>
      </c>
      <c r="AX272" s="743">
        <f t="shared" si="129"/>
        <v>0.5714285714285714</v>
      </c>
      <c r="AY272" s="759">
        <f t="shared" si="130"/>
        <v>198.53352769687771</v>
      </c>
      <c r="AZ272" s="736">
        <f t="shared" ref="AZ272:AZ335" si="134">(AY272+AT272)/2</f>
        <v>198.64103498410964</v>
      </c>
      <c r="BA272" s="633">
        <f t="shared" si="131"/>
        <v>0.87454988830403457</v>
      </c>
      <c r="BC272" s="11">
        <v>43358</v>
      </c>
      <c r="BD272" s="286">
        <f>[2]!FeuilCaduc*(1-Persistant)+Persistant</f>
        <v>0.9683796872779693</v>
      </c>
      <c r="BE272" s="287">
        <f>[2]!CroissVégét</f>
        <v>0.98207001412819972</v>
      </c>
      <c r="BF272" s="806">
        <f>1+[2]!Salcycl*Ksac</f>
        <v>1.0460474609097461</v>
      </c>
      <c r="BH272" s="1036">
        <f t="shared" si="132"/>
        <v>4.934698990048338E-3</v>
      </c>
      <c r="BI272" s="11">
        <v>44454</v>
      </c>
      <c r="BJ272" s="716">
        <v>1.5194843748270335E-3</v>
      </c>
      <c r="BK272" s="716">
        <v>2.0036260190625338E-3</v>
      </c>
      <c r="BL272" s="716">
        <v>2.5680069842747722E-3</v>
      </c>
      <c r="BM272" s="716">
        <v>3.2490980398212524E-3</v>
      </c>
      <c r="BN272" s="716">
        <v>4.0346575228094794E-3</v>
      </c>
      <c r="BO272" s="717">
        <v>4.9442228429054276E-3</v>
      </c>
      <c r="BP272" s="716">
        <v>6.00206859037018E-3</v>
      </c>
      <c r="BQ272" s="716">
        <v>7.2599513352796415E-3</v>
      </c>
      <c r="BR272" s="716">
        <v>8.7130755107702237E-3</v>
      </c>
      <c r="BS272" s="716">
        <v>1.0327849722330832E-2</v>
      </c>
      <c r="BT272" s="716">
        <v>1.2028027303988872E-2</v>
      </c>
      <c r="BW272" s="1166">
        <f>'2022'!R\Max</f>
        <v>0.87454988830403457</v>
      </c>
      <c r="BX272" s="1167">
        <f>'2023'!R\Max</f>
        <v>0.87454267561628674</v>
      </c>
      <c r="BY272" s="1167">
        <f>'2024'!R\Max</f>
        <v>0.8745341513353766</v>
      </c>
      <c r="BZ272" s="1167">
        <f>'2025'!R\Max</f>
        <v>0.87452557326448033</v>
      </c>
      <c r="CA272" s="1167">
        <f>'2026'!R\Max</f>
        <v>0.87451571455803989</v>
      </c>
      <c r="CB272" s="1167">
        <f>'2027'!R\Max</f>
        <v>0.87450580306491343</v>
      </c>
      <c r="CC272" s="1168">
        <f>'2028'!R\Max</f>
        <v>0.87449483064692257</v>
      </c>
      <c r="CD272" s="1167">
        <f>'2029'!R\Max</f>
        <v>0.87455024875265197</v>
      </c>
      <c r="CE272" s="1167">
        <f>'2030'!R\Max</f>
        <v>0.87454303609213524</v>
      </c>
      <c r="CF272" s="1169">
        <f>'2031'!R\Max</f>
        <v>0.87453458001476847</v>
      </c>
    </row>
    <row r="273" spans="1:84" s="6" customFormat="1" ht="11.25" x14ac:dyDescent="0.2">
      <c r="A273" s="11">
        <v>43359</v>
      </c>
      <c r="B273" s="375">
        <f>'2022'!Maxi_hp</f>
        <v>110.99482020790059</v>
      </c>
      <c r="C273" s="13">
        <f>'2022'!An_max</f>
        <v>2022</v>
      </c>
      <c r="D273" s="1045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69">
        <f t="shared" si="118"/>
        <v>43346</v>
      </c>
      <c r="I273" s="743">
        <f t="shared" si="119"/>
        <v>0.9285714285714286</v>
      </c>
      <c r="J273" s="736">
        <f t="shared" si="120"/>
        <v>197.65433673251954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38">
        <v>43359</v>
      </c>
      <c r="AP273" s="13">
        <f t="shared" si="121"/>
        <v>11</v>
      </c>
      <c r="AQ273" s="13">
        <f t="shared" si="122"/>
        <v>10</v>
      </c>
      <c r="AR273" s="169">
        <f t="shared" si="123"/>
        <v>43360</v>
      </c>
      <c r="AS273" s="743">
        <f t="shared" si="124"/>
        <v>3.5714285714285712E-2</v>
      </c>
      <c r="AT273" s="759">
        <f t="shared" si="125"/>
        <v>197.62912262944241</v>
      </c>
      <c r="AU273" s="13">
        <f t="shared" si="126"/>
        <v>11</v>
      </c>
      <c r="AV273" s="13">
        <f t="shared" si="127"/>
        <v>10</v>
      </c>
      <c r="AW273" s="169">
        <f t="shared" si="128"/>
        <v>43374</v>
      </c>
      <c r="AX273" s="743">
        <f t="shared" si="129"/>
        <v>0.5357142857142857</v>
      </c>
      <c r="AY273" s="759">
        <f t="shared" si="130"/>
        <v>197.36563866718538</v>
      </c>
      <c r="AZ273" s="736">
        <f t="shared" si="134"/>
        <v>197.49738064831388</v>
      </c>
      <c r="BA273" s="633">
        <f t="shared" si="131"/>
        <v>0.56156025738057536</v>
      </c>
      <c r="BC273" s="11">
        <v>43359</v>
      </c>
      <c r="BD273" s="286">
        <f>[2]!FeuilCaduc*(1-Persistant)+Persistant</f>
        <v>0.9666961845742561</v>
      </c>
      <c r="BE273" s="287">
        <f>[2]!CroissVégét</f>
        <v>0.98279238947199099</v>
      </c>
      <c r="BF273" s="806">
        <f>1+[2]!Salcycl*Ksac</f>
        <v>1.0458370230717819</v>
      </c>
      <c r="BH273" s="1036">
        <f t="shared" si="132"/>
        <v>4.7582670959777015E-3</v>
      </c>
      <c r="BI273" s="11">
        <v>44455</v>
      </c>
      <c r="BJ273" s="716">
        <v>1.46137683210605E-3</v>
      </c>
      <c r="BK273" s="716">
        <v>1.9248424136607972E-3</v>
      </c>
      <c r="BL273" s="716">
        <v>2.4652519010812022E-3</v>
      </c>
      <c r="BM273" s="716">
        <v>3.1192435301096049E-3</v>
      </c>
      <c r="BN273" s="716">
        <v>3.8798453494441752E-3</v>
      </c>
      <c r="BO273" s="717">
        <v>4.7675621782210988E-3</v>
      </c>
      <c r="BP273" s="716">
        <v>5.8061476774219183E-3</v>
      </c>
      <c r="BQ273" s="716">
        <v>7.0446497380323913E-3</v>
      </c>
      <c r="BR273" s="716">
        <v>8.4796047307066028E-3</v>
      </c>
      <c r="BS273" s="716">
        <v>1.0078011249988299E-2</v>
      </c>
      <c r="BT273" s="716">
        <v>1.1762925674787369E-2</v>
      </c>
      <c r="BW273" s="1166">
        <f>'2022'!R\Max</f>
        <v>0.56156025738057536</v>
      </c>
      <c r="BX273" s="1167">
        <f>'2023'!R\Max</f>
        <v>0.56154430211884487</v>
      </c>
      <c r="BY273" s="1167">
        <f>'2024'!R\Max</f>
        <v>0.56152539210488772</v>
      </c>
      <c r="BZ273" s="1167">
        <f>'2025'!R\Max</f>
        <v>0.56150636415488386</v>
      </c>
      <c r="CA273" s="1167">
        <f>'2026'!R\Max</f>
        <v>0.5614844321552207</v>
      </c>
      <c r="CB273" s="1167">
        <f>'2027'!R\Max</f>
        <v>0.56146238397572301</v>
      </c>
      <c r="CC273" s="1168">
        <f>'2028'!R\Max</f>
        <v>0.56143791895520756</v>
      </c>
      <c r="CD273" s="1167">
        <f>'2029'!R\Max</f>
        <v>0.56156105475015017</v>
      </c>
      <c r="CE273" s="1167">
        <f>'2030'!R\Max</f>
        <v>0.56154509951545239</v>
      </c>
      <c r="CF273" s="1169">
        <f>'2031'!R\Max</f>
        <v>0.56152634302983473</v>
      </c>
    </row>
    <row r="274" spans="1:84" s="6" customFormat="1" ht="11.25" x14ac:dyDescent="0.2">
      <c r="A274" s="11">
        <v>43360</v>
      </c>
      <c r="B274" s="375">
        <f>'2022'!Maxi_hp</f>
        <v>201.72150038015275</v>
      </c>
      <c r="C274" s="13">
        <f>'2022'!An_max</f>
        <v>2022</v>
      </c>
      <c r="D274" s="1045">
        <f t="shared" si="116"/>
        <v>1.0265725210341587</v>
      </c>
      <c r="E274" s="1040">
        <f>AF$13/10</f>
        <v>196.5</v>
      </c>
      <c r="F274" s="13">
        <f t="shared" si="133"/>
        <v>21</v>
      </c>
      <c r="G274" s="13">
        <f t="shared" si="117"/>
        <v>20</v>
      </c>
      <c r="H274" s="169">
        <f t="shared" si="118"/>
        <v>43374</v>
      </c>
      <c r="I274" s="743">
        <f t="shared" si="119"/>
        <v>1</v>
      </c>
      <c r="J274" s="736">
        <f t="shared" si="120"/>
        <v>196.49999999701976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38">
        <v>43360</v>
      </c>
      <c r="AP274" s="13">
        <f t="shared" si="121"/>
        <v>11</v>
      </c>
      <c r="AQ274" s="13">
        <f t="shared" si="122"/>
        <v>12</v>
      </c>
      <c r="AR274" s="169">
        <f t="shared" si="123"/>
        <v>43360</v>
      </c>
      <c r="AS274" s="743">
        <f t="shared" si="124"/>
        <v>0</v>
      </c>
      <c r="AT274" s="759">
        <f t="shared" si="125"/>
        <v>196.5</v>
      </c>
      <c r="AU274" s="13">
        <f t="shared" si="126"/>
        <v>11</v>
      </c>
      <c r="AV274" s="13">
        <f t="shared" si="127"/>
        <v>10</v>
      </c>
      <c r="AW274" s="169">
        <f t="shared" si="128"/>
        <v>43374</v>
      </c>
      <c r="AX274" s="743">
        <f t="shared" si="129"/>
        <v>0.5</v>
      </c>
      <c r="AY274" s="759">
        <f t="shared" si="130"/>
        <v>196.18750000037252</v>
      </c>
      <c r="AZ274" s="736">
        <f t="shared" si="134"/>
        <v>196.34375000018628</v>
      </c>
      <c r="BA274" s="633">
        <f t="shared" si="131"/>
        <v>1.0265725210341587</v>
      </c>
      <c r="BC274" s="11">
        <v>43360</v>
      </c>
      <c r="BD274" s="286">
        <f>[2]!FeuilCaduc*(1-Persistant)+Persistant</f>
        <v>0.96494064125016266</v>
      </c>
      <c r="BE274" s="287">
        <f>[2]!CroissVégét</f>
        <v>0.98348667856218763</v>
      </c>
      <c r="BF274" s="806">
        <f>1+[2]!Salcycl*Ksac</f>
        <v>1.0456175801562704</v>
      </c>
      <c r="BH274" s="1036">
        <f t="shared" si="132"/>
        <v>4.584407888681267E-3</v>
      </c>
      <c r="BI274" s="11">
        <v>44456</v>
      </c>
      <c r="BJ274" s="716">
        <v>1.4062107941193863E-3</v>
      </c>
      <c r="BK274" s="716">
        <v>1.8491628699874223E-3</v>
      </c>
      <c r="BL274" s="716">
        <v>2.3655700509920166E-3</v>
      </c>
      <c r="BM274" s="716">
        <v>2.992391330104665E-3</v>
      </c>
      <c r="BN274" s="716">
        <v>3.7278729783283252E-3</v>
      </c>
      <c r="BO274" s="717">
        <v>4.5934713738095554E-3</v>
      </c>
      <c r="BP274" s="716">
        <v>5.6123225984045762E-3</v>
      </c>
      <c r="BQ274" s="716">
        <v>6.8306944392480416E-3</v>
      </c>
      <c r="BR274" s="716">
        <v>8.2467976722427339E-3</v>
      </c>
      <c r="BS274" s="716">
        <v>9.8289673873187076E-3</v>
      </c>
      <c r="BT274" s="716">
        <v>1.1499816575096758E-2</v>
      </c>
      <c r="BW274" s="1166">
        <f>'2022'!R\Max</f>
        <v>1.0265725210341587</v>
      </c>
      <c r="BX274" s="1167">
        <f>'2023'!R\Max</f>
        <v>1.0265725210341587</v>
      </c>
      <c r="BY274" s="1167">
        <f>'2024'!R\Max</f>
        <v>1.0265725210341587</v>
      </c>
      <c r="BZ274" s="1167">
        <f>'2025'!R\Max</f>
        <v>1.0265725210341587</v>
      </c>
      <c r="CA274" s="1167">
        <f>'2026'!R\Max</f>
        <v>1.0265725210341587</v>
      </c>
      <c r="CB274" s="1167">
        <f>'2027'!R\Max</f>
        <v>1.0265725210341587</v>
      </c>
      <c r="CC274" s="1168">
        <f>'2028'!R\Max</f>
        <v>1.0265725210341587</v>
      </c>
      <c r="CD274" s="1167">
        <f>'2029'!R\Max</f>
        <v>1.0265725210341587</v>
      </c>
      <c r="CE274" s="1167">
        <f>'2030'!R\Max</f>
        <v>1.026572521034159</v>
      </c>
      <c r="CF274" s="1169">
        <f>'2031'!R\Max</f>
        <v>1.0265725210341587</v>
      </c>
    </row>
    <row r="275" spans="1:84" s="6" customFormat="1" ht="11.25" x14ac:dyDescent="0.2">
      <c r="A275" s="11">
        <v>43361</v>
      </c>
      <c r="B275" s="375">
        <f>'2022'!Maxi_hp</f>
        <v>194.81879732421061</v>
      </c>
      <c r="C275" s="13">
        <f>'2022'!An_max</f>
        <v>2022</v>
      </c>
      <c r="D275" s="1045">
        <f t="shared" si="116"/>
        <v>0.99738617048723777</v>
      </c>
      <c r="E275" s="13"/>
      <c r="F275" s="13">
        <f t="shared" si="133"/>
        <v>21</v>
      </c>
      <c r="G275" s="13">
        <f t="shared" si="117"/>
        <v>20</v>
      </c>
      <c r="H275" s="169">
        <f t="shared" si="118"/>
        <v>43374</v>
      </c>
      <c r="I275" s="743">
        <f t="shared" si="119"/>
        <v>0.9285714285714286</v>
      </c>
      <c r="J275" s="736">
        <f t="shared" si="120"/>
        <v>195.32935495690577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38">
        <v>43361</v>
      </c>
      <c r="AP275" s="13">
        <f t="shared" si="121"/>
        <v>11</v>
      </c>
      <c r="AQ275" s="13">
        <f t="shared" si="122"/>
        <v>12</v>
      </c>
      <c r="AR275" s="169">
        <f t="shared" si="123"/>
        <v>43360</v>
      </c>
      <c r="AS275" s="743">
        <f t="shared" si="124"/>
        <v>3.5714285714285712E-2</v>
      </c>
      <c r="AT275" s="759">
        <f t="shared" si="125"/>
        <v>195.3563456612373</v>
      </c>
      <c r="AU275" s="13">
        <f t="shared" si="126"/>
        <v>11</v>
      </c>
      <c r="AV275" s="13">
        <f t="shared" si="127"/>
        <v>10</v>
      </c>
      <c r="AW275" s="169">
        <f t="shared" si="128"/>
        <v>43374</v>
      </c>
      <c r="AX275" s="743">
        <f t="shared" si="129"/>
        <v>0.4642857142857143</v>
      </c>
      <c r="AY275" s="759">
        <f t="shared" si="130"/>
        <v>194.99979500757266</v>
      </c>
      <c r="AZ275" s="736">
        <f t="shared" si="134"/>
        <v>195.17807033440499</v>
      </c>
      <c r="BA275" s="633">
        <f t="shared" si="131"/>
        <v>0.99738617048723777</v>
      </c>
      <c r="BC275" s="11">
        <v>43361</v>
      </c>
      <c r="BD275" s="286">
        <f>[2]!FeuilCaduc*(1-Persistant)+Persistant</f>
        <v>0.96311037689069634</v>
      </c>
      <c r="BE275" s="287">
        <f>[2]!CroissVégét</f>
        <v>0.98415393538190332</v>
      </c>
      <c r="BF275" s="806">
        <f>1+[2]!Salcycl*Ksac</f>
        <v>1.0453887971113371</v>
      </c>
      <c r="BH275" s="1036">
        <f t="shared" si="132"/>
        <v>4.4131190569440884E-3</v>
      </c>
      <c r="BI275" s="11">
        <v>44457</v>
      </c>
      <c r="BJ275" s="716">
        <v>1.3539869125026238E-3</v>
      </c>
      <c r="BK275" s="716">
        <v>1.7765876614161871E-3</v>
      </c>
      <c r="BL275" s="716">
        <v>2.2689611198041864E-3</v>
      </c>
      <c r="BM275" s="716">
        <v>2.8685404425963777E-3</v>
      </c>
      <c r="BN275" s="716">
        <v>3.5787387383953155E-3</v>
      </c>
      <c r="BO275" s="717">
        <v>4.4219481116820761E-3</v>
      </c>
      <c r="BP275" s="716">
        <v>5.4205903387894725E-3</v>
      </c>
      <c r="BQ275" s="716">
        <v>6.6180815639219279E-3</v>
      </c>
      <c r="BR275" s="716">
        <v>8.0146497044146746E-3</v>
      </c>
      <c r="BS275" s="716">
        <v>9.5807133719169445E-3</v>
      </c>
      <c r="BT275" s="716">
        <v>1.123869587938716E-2</v>
      </c>
      <c r="BW275" s="1166">
        <f>'2022'!R\Max</f>
        <v>0.99738617048723777</v>
      </c>
      <c r="BX275" s="1167">
        <f>'2023'!R\Max</f>
        <v>0.99738600671429478</v>
      </c>
      <c r="BY275" s="1167">
        <f>'2024'!R\Max</f>
        <v>0.99738581151190753</v>
      </c>
      <c r="BZ275" s="1167">
        <f>'2025'!R\Max</f>
        <v>0.99738561508916757</v>
      </c>
      <c r="CA275" s="1167">
        <f>'2026'!R\Max</f>
        <v>0.99738538718755654</v>
      </c>
      <c r="CB275" s="1167">
        <f>'2027'!R\Max</f>
        <v>0.99738515805651395</v>
      </c>
      <c r="CC275" s="1168">
        <f>'2028'!R\Max</f>
        <v>0.99738490210664676</v>
      </c>
      <c r="CD275" s="1167">
        <f>'2029'!R\Max</f>
        <v>0.99738617867161516</v>
      </c>
      <c r="CE275" s="1167">
        <f>'2030'!R\Max</f>
        <v>0.99738601489938927</v>
      </c>
      <c r="CF275" s="1169">
        <f>'2031'!R\Max</f>
        <v>0.99738582132783327</v>
      </c>
    </row>
    <row r="276" spans="1:84" s="6" customFormat="1" ht="11.25" x14ac:dyDescent="0.2">
      <c r="A276" s="11">
        <v>43362</v>
      </c>
      <c r="B276" s="375">
        <f>'2022'!Maxi_hp</f>
        <v>192.2448463410021</v>
      </c>
      <c r="C276" s="13">
        <f>'2022'!An_max</f>
        <v>2022</v>
      </c>
      <c r="D276" s="1045">
        <f t="shared" si="116"/>
        <v>0.9902385087148674</v>
      </c>
      <c r="E276" s="13"/>
      <c r="F276" s="13">
        <f t="shared" si="133"/>
        <v>21</v>
      </c>
      <c r="G276" s="13">
        <f t="shared" si="117"/>
        <v>20</v>
      </c>
      <c r="H276" s="169">
        <f t="shared" si="118"/>
        <v>43374</v>
      </c>
      <c r="I276" s="743">
        <f t="shared" si="119"/>
        <v>0.8571428571428571</v>
      </c>
      <c r="J276" s="736">
        <f t="shared" si="120"/>
        <v>194.13994168990425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38">
        <v>43362</v>
      </c>
      <c r="AP276" s="13">
        <f t="shared" si="121"/>
        <v>11</v>
      </c>
      <c r="AQ276" s="13">
        <f t="shared" si="122"/>
        <v>12</v>
      </c>
      <c r="AR276" s="169">
        <f t="shared" si="123"/>
        <v>43360</v>
      </c>
      <c r="AS276" s="743">
        <f t="shared" si="124"/>
        <v>7.1428571428571425E-2</v>
      </c>
      <c r="AT276" s="759">
        <f t="shared" si="125"/>
        <v>194.19387755053384</v>
      </c>
      <c r="AU276" s="13">
        <f t="shared" si="126"/>
        <v>11</v>
      </c>
      <c r="AV276" s="13">
        <f t="shared" si="127"/>
        <v>10</v>
      </c>
      <c r="AW276" s="169">
        <f t="shared" si="128"/>
        <v>43374</v>
      </c>
      <c r="AX276" s="743">
        <f t="shared" si="129"/>
        <v>0.42857142857142855</v>
      </c>
      <c r="AY276" s="759">
        <f t="shared" si="130"/>
        <v>193.80320699768407</v>
      </c>
      <c r="AZ276" s="736">
        <f t="shared" si="134"/>
        <v>193.99854227410896</v>
      </c>
      <c r="BA276" s="633">
        <f t="shared" si="131"/>
        <v>0.9902385087148674</v>
      </c>
      <c r="BC276" s="11">
        <v>43362</v>
      </c>
      <c r="BD276" s="286">
        <f>[2]!FeuilCaduc*(1-Persistant)+Persistant</f>
        <v>0.96120266225036788</v>
      </c>
      <c r="BE276" s="287">
        <f>[2]!CroissVégét</f>
        <v>0.98479517732042654</v>
      </c>
      <c r="BF276" s="806">
        <f>1+[2]!Salcycl*Ksac</f>
        <v>1.0451503327812959</v>
      </c>
      <c r="BH276" s="1036">
        <f t="shared" si="132"/>
        <v>4.2482850272834959E-3</v>
      </c>
      <c r="BI276" s="11">
        <v>44458</v>
      </c>
      <c r="BJ276" s="716">
        <v>1.3041623473851645E-3</v>
      </c>
      <c r="BK276" s="716">
        <v>1.707285914588248E-3</v>
      </c>
      <c r="BL276" s="716">
        <v>2.1764708200707572E-3</v>
      </c>
      <c r="BM276" s="716">
        <v>2.7497245923418533E-3</v>
      </c>
      <c r="BN276" s="716">
        <v>3.4353944770702878E-3</v>
      </c>
      <c r="BO276" s="717">
        <v>4.2568866865080419E-3</v>
      </c>
      <c r="BP276" s="716">
        <v>5.2361053494423748E-3</v>
      </c>
      <c r="BQ276" s="716">
        <v>6.4139225317813133E-3</v>
      </c>
      <c r="BR276" s="716">
        <v>7.7925471501319038E-3</v>
      </c>
      <c r="BS276" s="716">
        <v>9.3450606347051501E-3</v>
      </c>
      <c r="BT276" s="716">
        <v>1.0993650275728115E-2</v>
      </c>
      <c r="BW276" s="1166">
        <f>'2022'!R\Max</f>
        <v>0.9902385087148674</v>
      </c>
      <c r="BX276" s="1167">
        <f>'2023'!R\Max</f>
        <v>0.99023791082915913</v>
      </c>
      <c r="BY276" s="1167">
        <f>'2024'!R\Max</f>
        <v>0.99023719600040272</v>
      </c>
      <c r="BZ276" s="1167">
        <f>'2025'!R\Max</f>
        <v>0.99023647671448811</v>
      </c>
      <c r="CA276" s="1167">
        <f>'2026'!R\Max</f>
        <v>0.99023563913633073</v>
      </c>
      <c r="CB276" s="1167">
        <f>'2027'!R\Max</f>
        <v>0.99023479702394468</v>
      </c>
      <c r="CC276" s="1168">
        <f>'2028'!R\Max</f>
        <v>0.99023385241310258</v>
      </c>
      <c r="CD276" s="1167">
        <f>'2029'!R\Max</f>
        <v>0.99023853859359967</v>
      </c>
      <c r="CE276" s="1167">
        <f>'2030'!R\Max</f>
        <v>0.99023794071044224</v>
      </c>
      <c r="CF276" s="1169">
        <f>'2031'!R\Max</f>
        <v>0.99023723194566027</v>
      </c>
    </row>
    <row r="277" spans="1:84" s="6" customFormat="1" ht="11.25" x14ac:dyDescent="0.2">
      <c r="A277" s="11">
        <v>43363</v>
      </c>
      <c r="B277" s="375">
        <f>'2022'!Maxi_hp</f>
        <v>196.62901416079933</v>
      </c>
      <c r="C277" s="13">
        <f>'2022'!An_max</f>
        <v>2022</v>
      </c>
      <c r="D277" s="1045">
        <f t="shared" si="116"/>
        <v>1.0191548690504901</v>
      </c>
      <c r="E277" s="13"/>
      <c r="F277" s="13">
        <f t="shared" si="133"/>
        <v>21</v>
      </c>
      <c r="G277" s="13">
        <f t="shared" si="117"/>
        <v>20</v>
      </c>
      <c r="H277" s="169">
        <f t="shared" si="118"/>
        <v>43374</v>
      </c>
      <c r="I277" s="743">
        <f t="shared" si="119"/>
        <v>0.7857142857142857</v>
      </c>
      <c r="J277" s="736">
        <f t="shared" si="120"/>
        <v>192.93340014554559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38">
        <v>43363</v>
      </c>
      <c r="AP277" s="13">
        <f t="shared" si="121"/>
        <v>11</v>
      </c>
      <c r="AQ277" s="13">
        <f t="shared" si="122"/>
        <v>12</v>
      </c>
      <c r="AR277" s="169">
        <f t="shared" si="123"/>
        <v>43360</v>
      </c>
      <c r="AS277" s="743">
        <f t="shared" si="124"/>
        <v>0.10714285714285714</v>
      </c>
      <c r="AT277" s="759">
        <f t="shared" si="125"/>
        <v>193.01355229480458</v>
      </c>
      <c r="AU277" s="13">
        <f t="shared" si="126"/>
        <v>11</v>
      </c>
      <c r="AV277" s="13">
        <f t="shared" si="127"/>
        <v>10</v>
      </c>
      <c r="AW277" s="169">
        <f t="shared" si="128"/>
        <v>43374</v>
      </c>
      <c r="AX277" s="743">
        <f t="shared" si="129"/>
        <v>0.39285714285714285</v>
      </c>
      <c r="AY277" s="759">
        <f t="shared" si="130"/>
        <v>192.59841927878028</v>
      </c>
      <c r="AZ277" s="736">
        <f t="shared" si="134"/>
        <v>192.80598578679243</v>
      </c>
      <c r="BA277" s="633">
        <f t="shared" si="131"/>
        <v>1.0191548690504901</v>
      </c>
      <c r="BC277" s="11">
        <v>43363</v>
      </c>
      <c r="BD277" s="286">
        <f>[2]!FeuilCaduc*(1-Persistant)+Persistant</f>
        <v>0.95921472962157506</v>
      </c>
      <c r="BE277" s="287">
        <f>[2]!CroissVégét</f>
        <v>0.98541138621054403</v>
      </c>
      <c r="BF277" s="806">
        <f>1+[2]!Salcycl*Ksac</f>
        <v>1.0449018412026969</v>
      </c>
      <c r="BH277" s="1036">
        <f t="shared" si="132"/>
        <v>4.0890735657281253E-3</v>
      </c>
      <c r="BI277" s="11">
        <v>44459</v>
      </c>
      <c r="BJ277" s="716">
        <v>1.2549413161916162E-3</v>
      </c>
      <c r="BK277" s="716">
        <v>1.6398932476828761E-3</v>
      </c>
      <c r="BL277" s="716">
        <v>2.0872479167011872E-3</v>
      </c>
      <c r="BM277" s="716">
        <v>2.6354822356586104E-3</v>
      </c>
      <c r="BN277" s="716">
        <v>3.2973878866074998E-3</v>
      </c>
      <c r="BO277" s="717">
        <v>4.0974508440996876E-3</v>
      </c>
      <c r="BP277" s="716">
        <v>5.0574513736030644E-3</v>
      </c>
      <c r="BQ277" s="716">
        <v>6.2164500635977201E-3</v>
      </c>
      <c r="BR277" s="716">
        <v>7.5784786629662475E-3</v>
      </c>
      <c r="BS277" s="716">
        <v>9.1196943919407188E-3</v>
      </c>
      <c r="BT277" s="716">
        <v>1.0761793782153511E-2</v>
      </c>
      <c r="BW277" s="1166">
        <f>'2022'!R\Max</f>
        <v>1.0191548690504901</v>
      </c>
      <c r="BX277" s="1167">
        <f>'2023'!R\Max</f>
        <v>1.0191548690504901</v>
      </c>
      <c r="BY277" s="1167">
        <f>'2024'!R\Max</f>
        <v>1.0191548690504904</v>
      </c>
      <c r="BZ277" s="1167">
        <f>'2025'!R\Max</f>
        <v>1.0191548690504901</v>
      </c>
      <c r="CA277" s="1167">
        <f>'2026'!R\Max</f>
        <v>1.0191548690504901</v>
      </c>
      <c r="CB277" s="1167">
        <f>'2027'!R\Max</f>
        <v>1.0191548690504901</v>
      </c>
      <c r="CC277" s="1168">
        <f>'2028'!R\Max</f>
        <v>1.0191548690504899</v>
      </c>
      <c r="CD277" s="1167">
        <f>'2029'!R\Max</f>
        <v>1.0191548690504904</v>
      </c>
      <c r="CE277" s="1167">
        <f>'2030'!R\Max</f>
        <v>1.0191548690504901</v>
      </c>
      <c r="CF277" s="1169">
        <f>'2031'!R\Max</f>
        <v>1.0191548690504901</v>
      </c>
    </row>
    <row r="278" spans="1:84" s="6" customFormat="1" ht="11.25" x14ac:dyDescent="0.2">
      <c r="A278" s="11">
        <v>43364</v>
      </c>
      <c r="B278" s="375">
        <f>'2022'!Maxi_hp</f>
        <v>191.3179458974538</v>
      </c>
      <c r="C278" s="13">
        <f>'2022'!An_max</f>
        <v>2022</v>
      </c>
      <c r="D278" s="1045">
        <f t="shared" si="116"/>
        <v>0.99794782978802132</v>
      </c>
      <c r="E278" s="13"/>
      <c r="F278" s="13">
        <f t="shared" si="133"/>
        <v>21</v>
      </c>
      <c r="G278" s="13">
        <f t="shared" si="117"/>
        <v>20</v>
      </c>
      <c r="H278" s="169">
        <f t="shared" si="118"/>
        <v>43374</v>
      </c>
      <c r="I278" s="743">
        <f t="shared" si="119"/>
        <v>0.7142857142857143</v>
      </c>
      <c r="J278" s="736">
        <f t="shared" si="120"/>
        <v>191.71137026080063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38">
        <v>43364</v>
      </c>
      <c r="AP278" s="13">
        <f t="shared" si="121"/>
        <v>11</v>
      </c>
      <c r="AQ278" s="13">
        <f t="shared" si="122"/>
        <v>12</v>
      </c>
      <c r="AR278" s="169">
        <f t="shared" si="123"/>
        <v>43360</v>
      </c>
      <c r="AS278" s="743">
        <f t="shared" si="124"/>
        <v>0.14285714285714285</v>
      </c>
      <c r="AT278" s="759">
        <f t="shared" si="125"/>
        <v>191.81632653080993</v>
      </c>
      <c r="AU278" s="13">
        <f t="shared" si="126"/>
        <v>11</v>
      </c>
      <c r="AV278" s="13">
        <f t="shared" si="127"/>
        <v>10</v>
      </c>
      <c r="AW278" s="169">
        <f t="shared" si="128"/>
        <v>43374</v>
      </c>
      <c r="AX278" s="743">
        <f t="shared" si="129"/>
        <v>0.35714285714285715</v>
      </c>
      <c r="AY278" s="759">
        <f t="shared" si="130"/>
        <v>191.38611516058444</v>
      </c>
      <c r="AZ278" s="736">
        <f t="shared" si="134"/>
        <v>191.60122084569718</v>
      </c>
      <c r="BA278" s="633">
        <f t="shared" si="131"/>
        <v>0.99794782978802132</v>
      </c>
      <c r="BC278" s="11">
        <v>43364</v>
      </c>
      <c r="BD278" s="286">
        <f>[2]!FeuilCaduc*(1-Persistant)+Persistant</f>
        <v>0.95714378465986294</v>
      </c>
      <c r="BE278" s="287">
        <f>[2]!CroissVégét</f>
        <v>0.98600350935571934</v>
      </c>
      <c r="BF278" s="806">
        <f>1+[2]!Salcycl*Ksac</f>
        <v>1.0446429730824829</v>
      </c>
      <c r="BH278" s="1036">
        <f t="shared" si="132"/>
        <v>3.9354849377108902E-3</v>
      </c>
      <c r="BI278" s="11">
        <v>44460</v>
      </c>
      <c r="BJ278" s="716">
        <v>1.2063230634868662E-3</v>
      </c>
      <c r="BK278" s="716">
        <v>1.5744094139074547E-3</v>
      </c>
      <c r="BL278" s="716">
        <v>2.001292617115969E-3</v>
      </c>
      <c r="BM278" s="716">
        <v>2.5258139205305138E-3</v>
      </c>
      <c r="BN278" s="716">
        <v>3.1647195061511157E-3</v>
      </c>
      <c r="BO278" s="717">
        <v>3.9436408469936323E-3</v>
      </c>
      <c r="BP278" s="716">
        <v>4.8846284191038959E-3</v>
      </c>
      <c r="BQ278" s="716">
        <v>6.0256644292009387E-3</v>
      </c>
      <c r="BR278" s="716">
        <v>7.3724452260467525E-3</v>
      </c>
      <c r="BS278" s="716">
        <v>8.9046171779705273E-3</v>
      </c>
      <c r="BT278" s="716">
        <v>1.0543131110362074E-2</v>
      </c>
      <c r="BW278" s="1166">
        <f>'2022'!R\Max</f>
        <v>0.99794782978802132</v>
      </c>
      <c r="BX278" s="1167">
        <f>'2023'!R\Max</f>
        <v>0.99794770703952951</v>
      </c>
      <c r="BY278" s="1167">
        <f>'2024'!R\Max</f>
        <v>0.99794755909351451</v>
      </c>
      <c r="BZ278" s="1167">
        <f>'2025'!R\Max</f>
        <v>0.99794741022062383</v>
      </c>
      <c r="CA278" s="1167">
        <f>'2026'!R\Max</f>
        <v>0.99794723542247121</v>
      </c>
      <c r="CB278" s="1167">
        <f>'2027'!R\Max</f>
        <v>0.99794705966533814</v>
      </c>
      <c r="CC278" s="1168">
        <f>'2028'!R\Max</f>
        <v>0.99794686053422199</v>
      </c>
      <c r="CD278" s="1167">
        <f>'2029'!R\Max</f>
        <v>0.99794783592225833</v>
      </c>
      <c r="CE278" s="1167">
        <f>'2030'!R\Max</f>
        <v>0.99794771317427955</v>
      </c>
      <c r="CF278" s="1169">
        <f>'2031'!R\Max</f>
        <v>0.99794756653322303</v>
      </c>
    </row>
    <row r="279" spans="1:84" s="6" customFormat="1" ht="11.25" x14ac:dyDescent="0.2">
      <c r="A279" s="11">
        <v>43365</v>
      </c>
      <c r="B279" s="375">
        <f>'2022'!Maxi_hp</f>
        <v>185.84598226608634</v>
      </c>
      <c r="C279" s="13">
        <f>'2022'!An_max</f>
        <v>2022</v>
      </c>
      <c r="D279" s="1045">
        <f t="shared" si="116"/>
        <v>0.97569498486481299</v>
      </c>
      <c r="E279" s="13"/>
      <c r="F279" s="13">
        <f t="shared" si="133"/>
        <v>21</v>
      </c>
      <c r="G279" s="13">
        <f t="shared" si="117"/>
        <v>20</v>
      </c>
      <c r="H279" s="169">
        <f t="shared" si="118"/>
        <v>43374</v>
      </c>
      <c r="I279" s="743">
        <f t="shared" si="119"/>
        <v>0.6428571428571429</v>
      </c>
      <c r="J279" s="736">
        <f t="shared" si="120"/>
        <v>190.47549198158086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38">
        <v>43365</v>
      </c>
      <c r="AP279" s="13">
        <f t="shared" si="121"/>
        <v>11</v>
      </c>
      <c r="AQ279" s="13">
        <f t="shared" si="122"/>
        <v>12</v>
      </c>
      <c r="AR279" s="169">
        <f t="shared" si="123"/>
        <v>43360</v>
      </c>
      <c r="AS279" s="743">
        <f t="shared" si="124"/>
        <v>0.17857142857142858</v>
      </c>
      <c r="AT279" s="759">
        <f t="shared" si="125"/>
        <v>190.60315688738066</v>
      </c>
      <c r="AU279" s="13">
        <f t="shared" si="126"/>
        <v>11</v>
      </c>
      <c r="AV279" s="13">
        <f t="shared" si="127"/>
        <v>10</v>
      </c>
      <c r="AW279" s="169">
        <f t="shared" si="128"/>
        <v>43374</v>
      </c>
      <c r="AX279" s="743">
        <f t="shared" si="129"/>
        <v>0.32142857142857145</v>
      </c>
      <c r="AY279" s="759">
        <f t="shared" si="130"/>
        <v>190.16697795111685</v>
      </c>
      <c r="AZ279" s="736">
        <f t="shared" si="134"/>
        <v>190.38506741924874</v>
      </c>
      <c r="BA279" s="633">
        <f t="shared" si="131"/>
        <v>0.97569498486481299</v>
      </c>
      <c r="BC279" s="11">
        <v>43365</v>
      </c>
      <c r="BD279" s="286">
        <f>[2]!FeuilCaduc*(1-Persistant)+Persistant</f>
        <v>0.95498701964555321</v>
      </c>
      <c r="BE279" s="287">
        <f>[2]!CroissVégét</f>
        <v>0.98657246054533965</v>
      </c>
      <c r="BF279" s="806">
        <f>1+[2]!Salcycl*Ksac</f>
        <v>1.0443733774556943</v>
      </c>
      <c r="BH279" s="1036">
        <f t="shared" si="132"/>
        <v>3.787519789876609E-3</v>
      </c>
      <c r="BI279" s="11">
        <v>44461</v>
      </c>
      <c r="BJ279" s="716">
        <v>1.158306886349385E-3</v>
      </c>
      <c r="BK279" s="716">
        <v>1.5108342972820863E-3</v>
      </c>
      <c r="BL279" s="716">
        <v>1.9186053409867177E-3</v>
      </c>
      <c r="BM279" s="716">
        <v>2.420720487575244E-3</v>
      </c>
      <c r="BN279" s="716">
        <v>3.0373902221138018E-3</v>
      </c>
      <c r="BO279" s="717">
        <v>3.795457339297573E-3</v>
      </c>
      <c r="BP279" s="716">
        <v>4.7176369126471001E-3</v>
      </c>
      <c r="BQ279" s="716">
        <v>5.8415663999163555E-3</v>
      </c>
      <c r="BR279" s="716">
        <v>7.1744484442194181E-3</v>
      </c>
      <c r="BS279" s="716">
        <v>8.6998323313525645E-3</v>
      </c>
      <c r="BT279" s="716">
        <v>1.0337668003043244E-2</v>
      </c>
      <c r="BW279" s="1166">
        <f>'2022'!R\Max</f>
        <v>0.97569498486481299</v>
      </c>
      <c r="BX279" s="1167">
        <f>'2023'!R\Max</f>
        <v>0.97569358603601852</v>
      </c>
      <c r="BY279" s="1167">
        <f>'2024'!R\Max</f>
        <v>0.97569189154697966</v>
      </c>
      <c r="BZ279" s="1167">
        <f>'2025'!R\Max</f>
        <v>0.97569018637387595</v>
      </c>
      <c r="CA279" s="1167">
        <f>'2026'!R\Max</f>
        <v>0.97568817487036907</v>
      </c>
      <c r="CB279" s="1167">
        <f>'2027'!R\Max</f>
        <v>0.97568615223767385</v>
      </c>
      <c r="CC279" s="1168">
        <f>'2028'!R\Max</f>
        <v>0.97568384724167623</v>
      </c>
      <c r="CD279" s="1167">
        <f>'2029'!R\Max</f>
        <v>0.9756950547700719</v>
      </c>
      <c r="CE279" s="1167">
        <f>'2030'!R\Max</f>
        <v>0.97569365594684954</v>
      </c>
      <c r="CF279" s="1169">
        <f>'2031'!R\Max</f>
        <v>0.97569197676074948</v>
      </c>
    </row>
    <row r="280" spans="1:84" s="6" customFormat="1" ht="11.25" x14ac:dyDescent="0.2">
      <c r="A280" s="11">
        <v>43366</v>
      </c>
      <c r="B280" s="375">
        <f>'2022'!Maxi_hp</f>
        <v>119.17293135937119</v>
      </c>
      <c r="C280" s="13">
        <f>'2022'!An_max</f>
        <v>2022</v>
      </c>
      <c r="D280" s="1045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69">
        <f t="shared" si="118"/>
        <v>43374</v>
      </c>
      <c r="I280" s="743">
        <f t="shared" si="119"/>
        <v>0.5714285714285714</v>
      </c>
      <c r="J280" s="736">
        <f t="shared" si="120"/>
        <v>189.22740524836951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38">
        <v>43366</v>
      </c>
      <c r="AP280" s="13">
        <f t="shared" si="121"/>
        <v>11</v>
      </c>
      <c r="AQ280" s="13">
        <f t="shared" si="122"/>
        <v>12</v>
      </c>
      <c r="AR280" s="169">
        <f t="shared" si="123"/>
        <v>43360</v>
      </c>
      <c r="AS280" s="743">
        <f t="shared" si="124"/>
        <v>0.21428571428571427</v>
      </c>
      <c r="AT280" s="759">
        <f t="shared" si="125"/>
        <v>189.37500000066521</v>
      </c>
      <c r="AU280" s="13">
        <f t="shared" si="126"/>
        <v>11</v>
      </c>
      <c r="AV280" s="13">
        <f t="shared" si="127"/>
        <v>10</v>
      </c>
      <c r="AW280" s="169">
        <f t="shared" si="128"/>
        <v>43374</v>
      </c>
      <c r="AX280" s="743">
        <f t="shared" si="129"/>
        <v>0.2857142857142857</v>
      </c>
      <c r="AY280" s="759">
        <f t="shared" si="130"/>
        <v>188.94169096244232</v>
      </c>
      <c r="AZ280" s="736">
        <f t="shared" si="134"/>
        <v>189.15834548155377</v>
      </c>
      <c r="BA280" s="633">
        <f t="shared" si="131"/>
        <v>0.62978684933586304</v>
      </c>
      <c r="BC280" s="11">
        <v>43366</v>
      </c>
      <c r="BD280" s="286">
        <f>[2]!FeuilCaduc*(1-Persistant)+Persistant</f>
        <v>0.95274162814343621</v>
      </c>
      <c r="BE280" s="287">
        <f>[2]!CroissVégét</f>
        <v>0.98711912105647015</v>
      </c>
      <c r="BF280" s="806">
        <f>1+[2]!Salcycl*Ksac</f>
        <v>1.0440927035179295</v>
      </c>
      <c r="BH280" s="1036">
        <f t="shared" si="132"/>
        <v>3.645195292961847E-3</v>
      </c>
      <c r="BI280" s="11">
        <v>44462</v>
      </c>
      <c r="BJ280" s="716">
        <v>1.1108970515815147E-3</v>
      </c>
      <c r="BK280" s="716">
        <v>1.4491743288668974E-3</v>
      </c>
      <c r="BL280" s="716">
        <v>1.8391948642919624E-3</v>
      </c>
      <c r="BM280" s="716">
        <v>2.3202133446745391E-3</v>
      </c>
      <c r="BN280" s="716">
        <v>2.9154141788029649E-3</v>
      </c>
      <c r="BO280" s="717">
        <v>3.6529175237724498E-3</v>
      </c>
      <c r="BP280" s="716">
        <v>4.556497880011068E-3</v>
      </c>
      <c r="BQ280" s="716">
        <v>5.6641823383329079E-3</v>
      </c>
      <c r="BR280" s="716">
        <v>6.98452148776511E-3</v>
      </c>
      <c r="BS280" s="716">
        <v>8.5053816845800673E-3</v>
      </c>
      <c r="BT280" s="716">
        <v>1.014545620051871E-2</v>
      </c>
      <c r="BW280" s="1166">
        <f>'2022'!R\Max</f>
        <v>0.62978684933586304</v>
      </c>
      <c r="BX280" s="1167">
        <f>'2023'!R\Max</f>
        <v>0.62977331693370187</v>
      </c>
      <c r="BY280" s="1167">
        <f>'2024'!R\Max</f>
        <v>0.62975683046921305</v>
      </c>
      <c r="BZ280" s="1167">
        <f>'2025'!R\Max</f>
        <v>0.62974023983697336</v>
      </c>
      <c r="CA280" s="1167">
        <f>'2026'!R\Max</f>
        <v>0.62972057083404542</v>
      </c>
      <c r="CB280" s="1167">
        <f>'2027'!R\Max</f>
        <v>0.62970079299316428</v>
      </c>
      <c r="CC280" s="1168">
        <f>'2028'!R\Max</f>
        <v>0.6296781117065221</v>
      </c>
      <c r="CD280" s="1167">
        <f>'2029'!R\Max</f>
        <v>0.62978752562065998</v>
      </c>
      <c r="CE280" s="1167">
        <f>'2030'!R\Max</f>
        <v>0.62977399324438943</v>
      </c>
      <c r="CF280" s="1169">
        <f>'2031'!R\Max</f>
        <v>0.62975765958597119</v>
      </c>
    </row>
    <row r="281" spans="1:84" s="6" customFormat="1" ht="11.25" x14ac:dyDescent="0.2">
      <c r="A281" s="11">
        <v>43367</v>
      </c>
      <c r="B281" s="375">
        <f>'2022'!Maxi_hp</f>
        <v>80.176027230313849</v>
      </c>
      <c r="C281" s="13">
        <f>'2022'!An_max</f>
        <v>2022</v>
      </c>
      <c r="D281" s="1045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69">
        <f t="shared" si="118"/>
        <v>43374</v>
      </c>
      <c r="I281" s="743">
        <f t="shared" si="119"/>
        <v>0.5</v>
      </c>
      <c r="J281" s="736">
        <f t="shared" si="120"/>
        <v>187.96874999962748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38">
        <v>43367</v>
      </c>
      <c r="AP281" s="13">
        <f t="shared" si="121"/>
        <v>11</v>
      </c>
      <c r="AQ281" s="13">
        <f t="shared" si="122"/>
        <v>12</v>
      </c>
      <c r="AR281" s="169">
        <f t="shared" si="123"/>
        <v>43360</v>
      </c>
      <c r="AS281" s="743">
        <f t="shared" si="124"/>
        <v>0.25</v>
      </c>
      <c r="AT281" s="759">
        <f t="shared" si="125"/>
        <v>188.13281249776483</v>
      </c>
      <c r="AU281" s="13">
        <f t="shared" si="126"/>
        <v>11</v>
      </c>
      <c r="AV281" s="13">
        <f t="shared" si="127"/>
        <v>10</v>
      </c>
      <c r="AW281" s="169">
        <f t="shared" si="128"/>
        <v>43374</v>
      </c>
      <c r="AX281" s="743">
        <f t="shared" si="129"/>
        <v>0.25</v>
      </c>
      <c r="AY281" s="759">
        <f t="shared" si="130"/>
        <v>187.7109374994412</v>
      </c>
      <c r="AZ281" s="736">
        <f t="shared" si="134"/>
        <v>187.92187499860302</v>
      </c>
      <c r="BA281" s="633">
        <f t="shared" si="131"/>
        <v>0.42653913073568211</v>
      </c>
      <c r="BC281" s="11">
        <v>43367</v>
      </c>
      <c r="BD281" s="286">
        <f>[2]!FeuilCaduc*(1-Persistant)+Persistant</f>
        <v>0.95040482100443024</v>
      </c>
      <c r="BE281" s="287">
        <f>[2]!CroissVégét</f>
        <v>0.98764434064074225</v>
      </c>
      <c r="BF281" s="806">
        <f>1+[2]!Salcycl*Ksac</f>
        <v>1.0438006026255537</v>
      </c>
      <c r="BH281" s="1036">
        <f t="shared" si="132"/>
        <v>3.5085186939736394E-3</v>
      </c>
      <c r="BI281" s="11">
        <v>44463</v>
      </c>
      <c r="BJ281" s="716">
        <v>1.064094652638027E-3</v>
      </c>
      <c r="BK281" s="716">
        <v>1.3894318867528769E-3</v>
      </c>
      <c r="BL281" s="716">
        <v>1.7630648632279049E-3</v>
      </c>
      <c r="BM281" s="716">
        <v>2.2242974944207566E-3</v>
      </c>
      <c r="BN281" s="716">
        <v>2.798797512457847E-3</v>
      </c>
      <c r="BO281" s="717">
        <v>3.5160286591789675E-3</v>
      </c>
      <c r="BP281" s="716">
        <v>4.4012201284325397E-3</v>
      </c>
      <c r="BQ281" s="716">
        <v>5.4935237528477487E-3</v>
      </c>
      <c r="BR281" s="716">
        <v>6.8026796675837121E-3</v>
      </c>
      <c r="BS281" s="716">
        <v>8.3212859643742795E-3</v>
      </c>
      <c r="BT281" s="716">
        <v>9.9665229886757908E-3</v>
      </c>
      <c r="BW281" s="1166">
        <f>'2022'!R\Max</f>
        <v>0.42653913073568211</v>
      </c>
      <c r="BX281" s="1167">
        <f>'2023'!R\Max</f>
        <v>0.42652516418658815</v>
      </c>
      <c r="BY281" s="1167">
        <f>'2024'!R\Max</f>
        <v>0.42650803835651102</v>
      </c>
      <c r="BZ281" s="1167">
        <f>'2025'!R\Max</f>
        <v>0.42649080340865891</v>
      </c>
      <c r="CA281" s="1167">
        <f>'2026'!R\Max</f>
        <v>0.42647026038016295</v>
      </c>
      <c r="CB281" s="1167">
        <f>'2027'!R\Max</f>
        <v>0.42644960297743406</v>
      </c>
      <c r="CC281" s="1168">
        <f>'2028'!R\Max</f>
        <v>0.42642575011916034</v>
      </c>
      <c r="CD281" s="1167">
        <f>'2029'!R\Max</f>
        <v>0.42653982872580071</v>
      </c>
      <c r="CE281" s="1167">
        <f>'2030'!R\Max</f>
        <v>0.42652586218679411</v>
      </c>
      <c r="CF281" s="1169">
        <f>'2031'!R\Max</f>
        <v>0.42650889968609634</v>
      </c>
    </row>
    <row r="282" spans="1:84" s="6" customFormat="1" ht="11.25" x14ac:dyDescent="0.2">
      <c r="A282" s="11">
        <v>43368</v>
      </c>
      <c r="B282" s="375">
        <f>'2022'!Maxi_hp</f>
        <v>139.26582651103067</v>
      </c>
      <c r="C282" s="13">
        <f>'2022'!An_max</f>
        <v>2022</v>
      </c>
      <c r="D282" s="1045" t="str">
        <f t="shared" si="116"/>
        <v/>
      </c>
      <c r="E282" s="13"/>
      <c r="F282" s="13">
        <f t="shared" si="133"/>
        <v>21</v>
      </c>
      <c r="G282" s="13">
        <f t="shared" si="117"/>
        <v>20</v>
      </c>
      <c r="H282" s="169">
        <f t="shared" si="118"/>
        <v>43374</v>
      </c>
      <c r="I282" s="743">
        <f t="shared" si="119"/>
        <v>0.42857142857142855</v>
      </c>
      <c r="J282" s="736">
        <f t="shared" si="120"/>
        <v>186.70116618041479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38">
        <v>43368</v>
      </c>
      <c r="AP282" s="13">
        <f t="shared" si="121"/>
        <v>11</v>
      </c>
      <c r="AQ282" s="13">
        <f t="shared" si="122"/>
        <v>12</v>
      </c>
      <c r="AR282" s="169">
        <f t="shared" si="123"/>
        <v>43360</v>
      </c>
      <c r="AS282" s="743">
        <f t="shared" si="124"/>
        <v>0.2857142857142857</v>
      </c>
      <c r="AT282" s="759">
        <f t="shared" si="125"/>
        <v>186.87755101919174</v>
      </c>
      <c r="AU282" s="13">
        <f t="shared" si="126"/>
        <v>11</v>
      </c>
      <c r="AV282" s="13">
        <f t="shared" si="127"/>
        <v>10</v>
      </c>
      <c r="AW282" s="169">
        <f t="shared" si="128"/>
        <v>43374</v>
      </c>
      <c r="AX282" s="743">
        <f t="shared" si="129"/>
        <v>0.21428571428571427</v>
      </c>
      <c r="AY282" s="759">
        <f t="shared" si="130"/>
        <v>186.47540087492337</v>
      </c>
      <c r="AZ282" s="736">
        <f t="shared" si="134"/>
        <v>186.67647594705755</v>
      </c>
      <c r="BA282" s="633">
        <f t="shared" si="131"/>
        <v>0.7459290660051584</v>
      </c>
      <c r="BC282" s="11">
        <v>43368</v>
      </c>
      <c r="BD282" s="286">
        <f>[2]!FeuilCaduc*(1-Persistant)+Persistant</f>
        <v>0.94797384363547132</v>
      </c>
      <c r="BE282" s="287">
        <f>[2]!CroissVégét</f>
        <v>0.98814893849517882</v>
      </c>
      <c r="BF282" s="806">
        <f>1+[2]!Salcycl*Ksac</f>
        <v>1.043496730454434</v>
      </c>
      <c r="BH282" s="1036">
        <f t="shared" si="132"/>
        <v>3.3974148098501115E-3</v>
      </c>
      <c r="BI282" s="11">
        <v>44464</v>
      </c>
      <c r="BJ282" s="716">
        <v>1.0198634442293482E-3</v>
      </c>
      <c r="BK282" s="716">
        <v>1.3367962362989155E-3</v>
      </c>
      <c r="BL282" s="716">
        <v>1.6990334306449695E-3</v>
      </c>
      <c r="BM282" s="716">
        <v>2.1460013542876429E-3</v>
      </c>
      <c r="BN282" s="716">
        <v>2.7037142829995022E-3</v>
      </c>
      <c r="BO282" s="717">
        <v>3.4047552513576333E-3</v>
      </c>
      <c r="BP282" s="716">
        <v>4.276021639317994E-3</v>
      </c>
      <c r="BQ282" s="716">
        <v>5.3583551250535365E-3</v>
      </c>
      <c r="BR282" s="716">
        <v>6.662365145495671E-3</v>
      </c>
      <c r="BS282" s="716">
        <v>8.1853346098946528E-3</v>
      </c>
      <c r="BT282" s="716">
        <v>9.8425803687347633E-3</v>
      </c>
      <c r="BW282" s="1166">
        <f>'2022'!R\Max</f>
        <v>0.7459290660051584</v>
      </c>
      <c r="BX282" s="1167">
        <f>'2023'!R\Max</f>
        <v>0.74591836987379656</v>
      </c>
      <c r="BY282" s="1167">
        <f>'2024'!R\Max</f>
        <v>0.74590516679933383</v>
      </c>
      <c r="BZ282" s="1167">
        <f>'2025'!R\Max</f>
        <v>0.74589187792007161</v>
      </c>
      <c r="CA282" s="1167">
        <f>'2026'!R\Max</f>
        <v>0.74587595545864449</v>
      </c>
      <c r="CB282" s="1167">
        <f>'2027'!R\Max</f>
        <v>0.74585994253368815</v>
      </c>
      <c r="CC282" s="1168">
        <f>'2028'!R\Max</f>
        <v>0.74584132749756593</v>
      </c>
      <c r="CD282" s="1167">
        <f>'2029'!R\Max</f>
        <v>0.74592960054331126</v>
      </c>
      <c r="CE282" s="1167">
        <f>'2030'!R\Max</f>
        <v>0.74591890443885644</v>
      </c>
      <c r="CF282" s="1169">
        <f>'2031'!R\Max</f>
        <v>0.74590583090556517</v>
      </c>
    </row>
    <row r="283" spans="1:84" s="6" customFormat="1" ht="11.25" x14ac:dyDescent="0.2">
      <c r="A283" s="11">
        <v>43369</v>
      </c>
      <c r="B283" s="375">
        <f>'2022'!Maxi_hp</f>
        <v>140.96821646202747</v>
      </c>
      <c r="C283" s="13">
        <f>'2022'!An_max</f>
        <v>2022</v>
      </c>
      <c r="D283" s="1045" t="str">
        <f t="shared" si="116"/>
        <v/>
      </c>
      <c r="E283" s="13"/>
      <c r="F283" s="13">
        <f t="shared" si="133"/>
        <v>21</v>
      </c>
      <c r="G283" s="13">
        <f t="shared" si="117"/>
        <v>20</v>
      </c>
      <c r="H283" s="169">
        <f t="shared" si="118"/>
        <v>43374</v>
      </c>
      <c r="I283" s="743">
        <f t="shared" si="119"/>
        <v>0.35714285714285715</v>
      </c>
      <c r="J283" s="736">
        <f t="shared" si="120"/>
        <v>185.42629373057611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38">
        <v>43369</v>
      </c>
      <c r="AP283" s="13">
        <f t="shared" si="121"/>
        <v>11</v>
      </c>
      <c r="AQ283" s="13">
        <f t="shared" si="122"/>
        <v>12</v>
      </c>
      <c r="AR283" s="169">
        <f t="shared" si="123"/>
        <v>43360</v>
      </c>
      <c r="AS283" s="743">
        <f t="shared" si="124"/>
        <v>0.32142857142857145</v>
      </c>
      <c r="AT283" s="759">
        <f t="shared" si="125"/>
        <v>185.61017219297855</v>
      </c>
      <c r="AU283" s="13">
        <f t="shared" si="126"/>
        <v>11</v>
      </c>
      <c r="AV283" s="13">
        <f t="shared" si="127"/>
        <v>10</v>
      </c>
      <c r="AW283" s="169">
        <f t="shared" si="128"/>
        <v>43374</v>
      </c>
      <c r="AX283" s="743">
        <f t="shared" si="129"/>
        <v>0.17857142857142858</v>
      </c>
      <c r="AY283" s="759">
        <f t="shared" si="130"/>
        <v>185.23576439475374</v>
      </c>
      <c r="AZ283" s="736">
        <f t="shared" si="134"/>
        <v>185.42296829386615</v>
      </c>
      <c r="BA283" s="633">
        <f t="shared" si="131"/>
        <v>0.76023854883738284</v>
      </c>
      <c r="BC283" s="11">
        <v>43369</v>
      </c>
      <c r="BD283" s="286">
        <f>[2]!FeuilCaduc*(1-Persistant)+Persistant</f>
        <v>0.94544599444663047</v>
      </c>
      <c r="BE283" s="287">
        <f>[2]!CroissVégét</f>
        <v>0.98863370421593466</v>
      </c>
      <c r="BF283" s="806">
        <f>1+[2]!Salcycl*Ksac</f>
        <v>1.0431807493058287</v>
      </c>
      <c r="BH283" s="1036">
        <f t="shared" si="132"/>
        <v>3.3101208692651457E-3</v>
      </c>
      <c r="BI283" s="11">
        <v>44465</v>
      </c>
      <c r="BJ283" s="716">
        <v>9.7704152669541742E-4</v>
      </c>
      <c r="BK283" s="716">
        <v>1.289509289102448E-3</v>
      </c>
      <c r="BL283" s="716">
        <v>1.6448576577452008E-3</v>
      </c>
      <c r="BM283" s="716">
        <v>2.0827609785222067E-3</v>
      </c>
      <c r="BN283" s="716">
        <v>2.6277525169668362E-3</v>
      </c>
      <c r="BO283" s="717">
        <v>3.3173413985609357E-3</v>
      </c>
      <c r="BP283" s="716">
        <v>4.1802064656138397E-3</v>
      </c>
      <c r="BQ283" s="716">
        <v>5.2590901648138814E-3</v>
      </c>
      <c r="BR283" s="716">
        <v>6.5649302227829406E-3</v>
      </c>
      <c r="BS283" s="716">
        <v>8.0990663492723092E-3</v>
      </c>
      <c r="BT283" s="716">
        <v>9.7745545365730234E-3</v>
      </c>
      <c r="BW283" s="1166">
        <f>'2022'!R\Max</f>
        <v>0.76023854883738284</v>
      </c>
      <c r="BX283" s="1167">
        <f>'2023'!R\Max</f>
        <v>0.76022831798754575</v>
      </c>
      <c r="BY283" s="1167">
        <f>'2024'!R\Max</f>
        <v>0.76021560785435449</v>
      </c>
      <c r="BZ283" s="1167">
        <f>'2025'!R\Max</f>
        <v>0.76020281414214674</v>
      </c>
      <c r="CA283" s="1167">
        <f>'2026'!R\Max</f>
        <v>0.76018741497208686</v>
      </c>
      <c r="CB283" s="1167">
        <f>'2027'!R\Max</f>
        <v>0.76017192763639474</v>
      </c>
      <c r="CC283" s="1168">
        <f>'2028'!R\Max</f>
        <v>0.76015381863971632</v>
      </c>
      <c r="CD283" s="1167">
        <f>'2029'!R\Max</f>
        <v>0.76023906012277853</v>
      </c>
      <c r="CE283" s="1167">
        <f>'2030'!R\Max</f>
        <v>0.76022882929935798</v>
      </c>
      <c r="CF283" s="1169">
        <f>'2031'!R\Max</f>
        <v>0.76021624721412218</v>
      </c>
    </row>
    <row r="284" spans="1:84" s="6" customFormat="1" ht="11.25" x14ac:dyDescent="0.2">
      <c r="A284" s="11">
        <v>43370</v>
      </c>
      <c r="B284" s="375">
        <f>'2022'!Maxi_hp</f>
        <v>64.741286379220085</v>
      </c>
      <c r="C284" s="13">
        <f>'2022'!An_max</f>
        <v>2022</v>
      </c>
      <c r="D284" s="1045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69">
        <f t="shared" si="118"/>
        <v>43374</v>
      </c>
      <c r="I284" s="743">
        <f t="shared" si="119"/>
        <v>0.2857142857142857</v>
      </c>
      <c r="J284" s="736">
        <f t="shared" si="120"/>
        <v>184.14577259495854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38">
        <v>43370</v>
      </c>
      <c r="AP284" s="13">
        <f t="shared" si="121"/>
        <v>11</v>
      </c>
      <c r="AQ284" s="13">
        <f t="shared" si="122"/>
        <v>12</v>
      </c>
      <c r="AR284" s="169">
        <f t="shared" si="123"/>
        <v>43360</v>
      </c>
      <c r="AS284" s="743">
        <f t="shared" si="124"/>
        <v>0.35714285714285715</v>
      </c>
      <c r="AT284" s="759">
        <f t="shared" si="125"/>
        <v>184.3316326522401</v>
      </c>
      <c r="AU284" s="13">
        <f t="shared" si="126"/>
        <v>11</v>
      </c>
      <c r="AV284" s="13">
        <f t="shared" si="127"/>
        <v>10</v>
      </c>
      <c r="AW284" s="169">
        <f t="shared" si="128"/>
        <v>43374</v>
      </c>
      <c r="AX284" s="743">
        <f t="shared" si="129"/>
        <v>0.14285714285714285</v>
      </c>
      <c r="AY284" s="759">
        <f t="shared" si="130"/>
        <v>183.9927113703319</v>
      </c>
      <c r="AZ284" s="736">
        <f t="shared" si="134"/>
        <v>184.162172011286</v>
      </c>
      <c r="BA284" s="633">
        <f t="shared" si="131"/>
        <v>0.35157628365231636</v>
      </c>
      <c r="BC284" s="11">
        <v>43370</v>
      </c>
      <c r="BD284" s="286">
        <f>[2]!FeuilCaduc*(1-Persistant)+Persistant</f>
        <v>0.94281864436775531</v>
      </c>
      <c r="BE284" s="287">
        <f>[2]!CroissVégét</f>
        <v>0.98909939873407315</v>
      </c>
      <c r="BF284" s="806">
        <f>1+[2]!Salcycl*Ksac</f>
        <v>1.0428523305459694</v>
      </c>
      <c r="BH284" s="1036">
        <f t="shared" si="132"/>
        <v>3.2466532351562035E-3</v>
      </c>
      <c r="BI284" s="11">
        <v>44466</v>
      </c>
      <c r="BJ284" s="716">
        <v>9.3562749869276391E-4</v>
      </c>
      <c r="BK284" s="716">
        <v>1.2475730058398129E-3</v>
      </c>
      <c r="BL284" s="716">
        <v>1.6005432765823118E-3</v>
      </c>
      <c r="BM284" s="716">
        <v>2.0345863758169697E-3</v>
      </c>
      <c r="BN284" s="716">
        <v>2.5709251308265119E-3</v>
      </c>
      <c r="BO284" s="717">
        <v>3.253803500195412E-3</v>
      </c>
      <c r="BP284" s="716">
        <v>4.1137952254507761E-3</v>
      </c>
      <c r="BQ284" s="716">
        <v>5.1957546926781053E-3</v>
      </c>
      <c r="BR284" s="716">
        <v>6.5104063809927329E-3</v>
      </c>
      <c r="BS284" s="716">
        <v>8.0625183438566856E-3</v>
      </c>
      <c r="BT284" s="716">
        <v>9.7624879482989032E-3</v>
      </c>
      <c r="BW284" s="1166">
        <f>'2022'!R\Max</f>
        <v>0.35157628365231636</v>
      </c>
      <c r="BX284" s="1167">
        <f>'2023'!R\Max</f>
        <v>0.35156347795113574</v>
      </c>
      <c r="BY284" s="1167">
        <f>'2024'!R\Max</f>
        <v>0.35154747218187976</v>
      </c>
      <c r="BZ284" s="1167">
        <f>'2025'!R\Max</f>
        <v>0.35153136104935251</v>
      </c>
      <c r="CA284" s="1167">
        <f>'2026'!R\Max</f>
        <v>0.35151189514341358</v>
      </c>
      <c r="CB284" s="1167">
        <f>'2027'!R\Max</f>
        <v>0.35149231873055603</v>
      </c>
      <c r="CC284" s="1168">
        <f>'2028'!R\Max</f>
        <v>0.35146931868386483</v>
      </c>
      <c r="CD284" s="1167">
        <f>'2029'!R\Max</f>
        <v>0.35157692363098569</v>
      </c>
      <c r="CE284" s="1167">
        <f>'2030'!R\Max</f>
        <v>0.35156411793351433</v>
      </c>
      <c r="CF284" s="1169">
        <f>'2031'!R\Max</f>
        <v>0.35154827735239841</v>
      </c>
    </row>
    <row r="285" spans="1:84" s="6" customFormat="1" ht="11.25" x14ac:dyDescent="0.2">
      <c r="A285" s="11">
        <v>43371</v>
      </c>
      <c r="B285" s="375">
        <f>'2022'!Maxi_hp</f>
        <v>64.941266554955206</v>
      </c>
      <c r="C285" s="13">
        <f>'2022'!An_max</f>
        <v>2022</v>
      </c>
      <c r="D285" s="1045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69">
        <f t="shared" si="118"/>
        <v>43374</v>
      </c>
      <c r="I285" s="743">
        <f t="shared" si="119"/>
        <v>0.21428571428571427</v>
      </c>
      <c r="J285" s="736">
        <f t="shared" si="120"/>
        <v>182.86124271191656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38">
        <v>43371</v>
      </c>
      <c r="AP285" s="13">
        <f t="shared" si="121"/>
        <v>11</v>
      </c>
      <c r="AQ285" s="13">
        <f t="shared" si="122"/>
        <v>12</v>
      </c>
      <c r="AR285" s="169">
        <f t="shared" si="123"/>
        <v>43360</v>
      </c>
      <c r="AS285" s="743">
        <f t="shared" si="124"/>
        <v>0.39285714285714285</v>
      </c>
      <c r="AT285" s="759">
        <f t="shared" si="125"/>
        <v>183.04288902998505</v>
      </c>
      <c r="AU285" s="13">
        <f t="shared" si="126"/>
        <v>11</v>
      </c>
      <c r="AV285" s="13">
        <f t="shared" si="127"/>
        <v>10</v>
      </c>
      <c r="AW285" s="169">
        <f t="shared" si="128"/>
        <v>43374</v>
      </c>
      <c r="AX285" s="743">
        <f t="shared" si="129"/>
        <v>0.10714285714285714</v>
      </c>
      <c r="AY285" s="759">
        <f t="shared" si="130"/>
        <v>182.7469251096781</v>
      </c>
      <c r="AZ285" s="736">
        <f t="shared" si="134"/>
        <v>182.89490706983156</v>
      </c>
      <c r="BA285" s="633">
        <f t="shared" si="131"/>
        <v>0.35513958885899644</v>
      </c>
      <c r="BC285" s="11">
        <v>43371</v>
      </c>
      <c r="BD285" s="286">
        <f>[2]!FeuilCaduc*(1-Persistant)+Persistant</f>
        <v>0.94008925731094739</v>
      </c>
      <c r="BE285" s="287">
        <f>[2]!CroissVégét</f>
        <v>0.98954675523264646</v>
      </c>
      <c r="BF285" s="806">
        <f>1+[2]!Salcycl*Ksac</f>
        <v>1.0425111571638683</v>
      </c>
      <c r="BH285" s="1036">
        <f t="shared" si="132"/>
        <v>3.2070305544480981E-3</v>
      </c>
      <c r="BI285" s="11">
        <v>44467</v>
      </c>
      <c r="BJ285" s="716">
        <v>8.9562023456848786E-4</v>
      </c>
      <c r="BK285" s="716">
        <v>1.2109899635380508E-3</v>
      </c>
      <c r="BL285" s="716">
        <v>1.5660970319427928E-3</v>
      </c>
      <c r="BM285" s="716">
        <v>2.0014890291062785E-3</v>
      </c>
      <c r="BN285" s="716">
        <v>2.5332468971409443E-3</v>
      </c>
      <c r="BO285" s="717">
        <v>3.2141602441827181E-3</v>
      </c>
      <c r="BP285" s="716">
        <v>4.0768113111288081E-3</v>
      </c>
      <c r="BQ285" s="716">
        <v>5.1683778525090885E-3</v>
      </c>
      <c r="BR285" s="716">
        <v>6.4988289918993664E-3</v>
      </c>
      <c r="BS285" s="716">
        <v>8.0757321631184566E-3</v>
      </c>
      <c r="BT285" s="716">
        <v>9.8064279127710891E-3</v>
      </c>
      <c r="BW285" s="1166">
        <f>'2022'!R\Max</f>
        <v>0.35513958885899644</v>
      </c>
      <c r="BX285" s="1167">
        <f>'2023'!R\Max</f>
        <v>0.35512663164058261</v>
      </c>
      <c r="BY285" s="1167">
        <f>'2024'!R\Max</f>
        <v>0.35511034389137686</v>
      </c>
      <c r="BZ285" s="1167">
        <f>'2025'!R\Max</f>
        <v>0.35509394806510952</v>
      </c>
      <c r="CA285" s="1167">
        <f>'2026'!R\Max</f>
        <v>0.35507407656098317</v>
      </c>
      <c r="CB285" s="1167">
        <f>'2027'!R\Max</f>
        <v>0.35505409221298478</v>
      </c>
      <c r="CC285" s="1168">
        <f>'2028'!R\Max</f>
        <v>0.35503052195116336</v>
      </c>
      <c r="CD285" s="1167">
        <f>'2029'!R\Max</f>
        <v>0.35514023640975101</v>
      </c>
      <c r="CE285" s="1167">
        <f>'2030'!R\Max</f>
        <v>0.35512727919537829</v>
      </c>
      <c r="CF285" s="1169">
        <f>'2031'!R\Max</f>
        <v>0.35511116328949932</v>
      </c>
    </row>
    <row r="286" spans="1:84" s="6" customFormat="1" ht="11.25" x14ac:dyDescent="0.2">
      <c r="A286" s="11">
        <v>43372</v>
      </c>
      <c r="B286" s="375">
        <f>'2022'!Maxi_hp</f>
        <v>96.649393993788266</v>
      </c>
      <c r="C286" s="13">
        <f>'2022'!An_max</f>
        <v>2022</v>
      </c>
      <c r="D286" s="1045" t="str">
        <f t="shared" si="116"/>
        <v/>
      </c>
      <c r="E286" s="13"/>
      <c r="F286" s="13">
        <f t="shared" si="133"/>
        <v>21</v>
      </c>
      <c r="G286" s="13">
        <f t="shared" si="117"/>
        <v>20</v>
      </c>
      <c r="H286" s="169">
        <f t="shared" si="118"/>
        <v>43374</v>
      </c>
      <c r="I286" s="743">
        <f t="shared" si="119"/>
        <v>0.14285714285714285</v>
      </c>
      <c r="J286" s="736">
        <f t="shared" si="120"/>
        <v>181.57434402384928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38">
        <v>43372</v>
      </c>
      <c r="AP286" s="13">
        <f t="shared" si="121"/>
        <v>11</v>
      </c>
      <c r="AQ286" s="13">
        <f t="shared" si="122"/>
        <v>12</v>
      </c>
      <c r="AR286" s="169">
        <f t="shared" si="123"/>
        <v>43360</v>
      </c>
      <c r="AS286" s="743">
        <f t="shared" si="124"/>
        <v>0.42857142857142855</v>
      </c>
      <c r="AT286" s="759">
        <f t="shared" si="125"/>
        <v>181.74489795847663</v>
      </c>
      <c r="AU286" s="13">
        <f t="shared" si="126"/>
        <v>11</v>
      </c>
      <c r="AV286" s="13">
        <f t="shared" si="127"/>
        <v>10</v>
      </c>
      <c r="AW286" s="169">
        <f t="shared" si="128"/>
        <v>43374</v>
      </c>
      <c r="AX286" s="743">
        <f t="shared" si="129"/>
        <v>7.1428571428571425E-2</v>
      </c>
      <c r="AY286" s="759">
        <f t="shared" si="130"/>
        <v>181.49908892150435</v>
      </c>
      <c r="AZ286" s="736">
        <f t="shared" si="134"/>
        <v>181.62199343999049</v>
      </c>
      <c r="BA286" s="633">
        <f t="shared" si="131"/>
        <v>0.53228551926418433</v>
      </c>
      <c r="BC286" s="11">
        <v>43372</v>
      </c>
      <c r="BD286" s="286">
        <f>[2]!FeuilCaduc*(1-Persistant)+Persistant</f>
        <v>0.93725541144016344</v>
      </c>
      <c r="BE286" s="287">
        <f>[2]!CroissVégét</f>
        <v>0.98997648004446692</v>
      </c>
      <c r="BF286" s="806">
        <f>1+[2]!Salcycl*Ksac</f>
        <v>1.0421569264300203</v>
      </c>
      <c r="BH286" s="1036">
        <f t="shared" si="132"/>
        <v>3.1912735388177423E-3</v>
      </c>
      <c r="BI286" s="11">
        <v>44468</v>
      </c>
      <c r="BJ286" s="716">
        <v>8.5701887126000801E-4</v>
      </c>
      <c r="BK286" s="716">
        <v>1.1797633062311482E-3</v>
      </c>
      <c r="BL286" s="716">
        <v>1.5415265905266446E-3</v>
      </c>
      <c r="BM286" s="716">
        <v>1.9834817568896903E-3</v>
      </c>
      <c r="BN286" s="716">
        <v>2.514734268466017E-3</v>
      </c>
      <c r="BO286" s="717">
        <v>3.1984323872679579E-3</v>
      </c>
      <c r="BP286" s="716">
        <v>4.0692806186435719E-3</v>
      </c>
      <c r="BQ286" s="716">
        <v>5.1769917811098094E-3</v>
      </c>
      <c r="BR286" s="716">
        <v>6.5302369230953944E-3</v>
      </c>
      <c r="BS286" s="716">
        <v>8.1387533278727588E-3</v>
      </c>
      <c r="BT286" s="716">
        <v>9.9064260777551559E-3</v>
      </c>
      <c r="BW286" s="1166">
        <f>'2022'!R\Max</f>
        <v>0.53228551926418433</v>
      </c>
      <c r="BX286" s="1167">
        <f>'2023'!R\Max</f>
        <v>0.53227124215209609</v>
      </c>
      <c r="BY286" s="1167">
        <f>'2024'!R\Max</f>
        <v>0.53225320149481825</v>
      </c>
      <c r="BZ286" s="1167">
        <f>'2025'!R\Max</f>
        <v>0.53223503997483412</v>
      </c>
      <c r="CA286" s="1167">
        <f>'2026'!R\Max</f>
        <v>0.53221297662199141</v>
      </c>
      <c r="CB286" s="1167">
        <f>'2027'!R\Max</f>
        <v>0.53219078769157346</v>
      </c>
      <c r="CC286" s="1168">
        <f>'2028'!R\Max</f>
        <v>0.53216454154752579</v>
      </c>
      <c r="CD286" s="1167">
        <f>'2029'!R\Max</f>
        <v>0.532286232770385</v>
      </c>
      <c r="CE286" s="1167">
        <f>'2030'!R\Max</f>
        <v>0.53227195567730701</v>
      </c>
      <c r="CF286" s="1169">
        <f>'2031'!R\Max</f>
        <v>0.53225410912289706</v>
      </c>
    </row>
    <row r="287" spans="1:84" s="6" customFormat="1" ht="11.25" x14ac:dyDescent="0.2">
      <c r="A287" s="11">
        <v>43373</v>
      </c>
      <c r="B287" s="375">
        <f>'2022'!Maxi_hp</f>
        <v>138.5967620238211</v>
      </c>
      <c r="C287" s="13">
        <f>'2022'!An_max</f>
        <v>2022</v>
      </c>
      <c r="D287" s="1045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69">
        <f t="shared" si="118"/>
        <v>43374</v>
      </c>
      <c r="I287" s="743">
        <f t="shared" si="119"/>
        <v>7.1428571428571425E-2</v>
      </c>
      <c r="J287" s="736">
        <f t="shared" si="120"/>
        <v>180.28671647209143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38">
        <v>43373</v>
      </c>
      <c r="AP287" s="13">
        <f t="shared" si="121"/>
        <v>11</v>
      </c>
      <c r="AQ287" s="13">
        <f t="shared" si="122"/>
        <v>12</v>
      </c>
      <c r="AR287" s="169">
        <f t="shared" si="123"/>
        <v>43360</v>
      </c>
      <c r="AS287" s="743">
        <f t="shared" si="124"/>
        <v>0.4642857142857143</v>
      </c>
      <c r="AT287" s="759">
        <f t="shared" si="125"/>
        <v>180.43861607158823</v>
      </c>
      <c r="AU287" s="13">
        <f t="shared" si="126"/>
        <v>11</v>
      </c>
      <c r="AV287" s="13">
        <f t="shared" si="127"/>
        <v>10</v>
      </c>
      <c r="AW287" s="169">
        <f t="shared" si="128"/>
        <v>43374</v>
      </c>
      <c r="AX287" s="743">
        <f t="shared" si="129"/>
        <v>3.5714285714285712E-2</v>
      </c>
      <c r="AY287" s="759">
        <f t="shared" si="130"/>
        <v>180.24988611377776</v>
      </c>
      <c r="AZ287" s="736">
        <f t="shared" si="134"/>
        <v>180.34425109268301</v>
      </c>
      <c r="BA287" s="633">
        <f t="shared" si="131"/>
        <v>0.7687574810608746</v>
      </c>
      <c r="BC287" s="11">
        <v>43373</v>
      </c>
      <c r="BD287" s="286">
        <f>[2]!FeuilCaduc*(1-Persistant)+Persistant</f>
        <v>0.93431482109526731</v>
      </c>
      <c r="BE287" s="287">
        <f>[2]!CroissVégét</f>
        <v>0.99038925353008489</v>
      </c>
      <c r="BF287" s="806">
        <f>1+[2]!Salcycl*Ksac</f>
        <v>1.0417893526369084</v>
      </c>
      <c r="BH287" s="1036">
        <f t="shared" si="132"/>
        <v>3.1994047455365243E-3</v>
      </c>
      <c r="BI287" s="11">
        <v>44469</v>
      </c>
      <c r="BJ287" s="716">
        <v>8.1982279521788611E-4</v>
      </c>
      <c r="BK287" s="716">
        <v>1.1538966956466611E-3</v>
      </c>
      <c r="BL287" s="716">
        <v>1.5268404501668125E-3</v>
      </c>
      <c r="BM287" s="716">
        <v>1.9805785746043049E-3</v>
      </c>
      <c r="BN287" s="716">
        <v>2.5154052013105191E-3</v>
      </c>
      <c r="BO287" s="717">
        <v>3.2066425354058173E-3</v>
      </c>
      <c r="BP287" s="716">
        <v>4.0912312773105537E-3</v>
      </c>
      <c r="BQ287" s="716">
        <v>5.2216312779727742E-3</v>
      </c>
      <c r="BR287" s="716">
        <v>6.6046721437357792E-3</v>
      </c>
      <c r="BS287" s="716">
        <v>8.2516308536907963E-3</v>
      </c>
      <c r="BT287" s="716">
        <v>1.0062537916307021E-2</v>
      </c>
      <c r="BW287" s="1166">
        <f>'2022'!R\Max</f>
        <v>0.7687574810608746</v>
      </c>
      <c r="BX287" s="1167">
        <f>'2023'!R\Max</f>
        <v>0.76874708417594717</v>
      </c>
      <c r="BY287" s="1167">
        <f>'2024'!R\Max</f>
        <v>0.76873388563233669</v>
      </c>
      <c r="BZ287" s="1167">
        <f>'2025'!R\Max</f>
        <v>0.76872059788596292</v>
      </c>
      <c r="CA287" s="1167">
        <f>'2026'!R\Max</f>
        <v>0.76870442984885212</v>
      </c>
      <c r="CB287" s="1167">
        <f>'2027'!R\Max</f>
        <v>0.76868816967983844</v>
      </c>
      <c r="CC287" s="1168">
        <f>'2028'!R\Max</f>
        <v>0.7686688996711567</v>
      </c>
      <c r="CD287" s="1167">
        <f>'2029'!R\Max</f>
        <v>0.7687580006429886</v>
      </c>
      <c r="CE287" s="1167">
        <f>'2030'!R\Max</f>
        <v>0.76874760378655183</v>
      </c>
      <c r="CF287" s="1169">
        <f>'2031'!R\Max</f>
        <v>0.7687345496793242</v>
      </c>
    </row>
    <row r="288" spans="1:84" s="6" customFormat="1" ht="11.25" x14ac:dyDescent="0.2">
      <c r="A288" s="11">
        <v>43374</v>
      </c>
      <c r="B288" s="375">
        <f>'2022'!Maxi_hp</f>
        <v>157.11197366226085</v>
      </c>
      <c r="C288" s="13">
        <f>'2022'!An_max</f>
        <v>2022</v>
      </c>
      <c r="D288" s="1045" t="str">
        <f t="shared" si="116"/>
        <v/>
      </c>
      <c r="E288" s="1040">
        <f>AG$13/10</f>
        <v>179</v>
      </c>
      <c r="F288" s="13">
        <f t="shared" si="133"/>
        <v>21</v>
      </c>
      <c r="G288" s="13">
        <f t="shared" si="117"/>
        <v>22</v>
      </c>
      <c r="H288" s="169">
        <f t="shared" si="118"/>
        <v>43374</v>
      </c>
      <c r="I288" s="743">
        <f t="shared" si="119"/>
        <v>0</v>
      </c>
      <c r="J288" s="736">
        <f t="shared" si="120"/>
        <v>179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38">
        <v>43374</v>
      </c>
      <c r="AP288" s="13">
        <f t="shared" si="121"/>
        <v>11</v>
      </c>
      <c r="AQ288" s="13">
        <f t="shared" si="122"/>
        <v>12</v>
      </c>
      <c r="AR288" s="169">
        <f t="shared" si="123"/>
        <v>43360</v>
      </c>
      <c r="AS288" s="743">
        <f t="shared" si="124"/>
        <v>0.5</v>
      </c>
      <c r="AT288" s="759">
        <f t="shared" si="125"/>
        <v>179.12499999925495</v>
      </c>
      <c r="AU288" s="13">
        <f t="shared" si="126"/>
        <v>11</v>
      </c>
      <c r="AV288" s="13">
        <f t="shared" si="127"/>
        <v>12</v>
      </c>
      <c r="AW288" s="169">
        <f t="shared" si="128"/>
        <v>43374</v>
      </c>
      <c r="AX288" s="743">
        <f t="shared" si="129"/>
        <v>0</v>
      </c>
      <c r="AY288" s="759">
        <f t="shared" si="130"/>
        <v>179</v>
      </c>
      <c r="AZ288" s="736">
        <f t="shared" si="134"/>
        <v>179.06249999962748</v>
      </c>
      <c r="BA288" s="633">
        <f t="shared" si="131"/>
        <v>0.87772052325285388</v>
      </c>
      <c r="BC288" s="11">
        <v>43374</v>
      </c>
      <c r="BD288" s="286">
        <f>[2]!FeuilCaduc*(1-Persistant)+Persistant</f>
        <v>0.93126535920518227</v>
      </c>
      <c r="BE288" s="287">
        <f>[2]!CroissVégét</f>
        <v>0.99078573093558142</v>
      </c>
      <c r="BF288" s="806">
        <f>1+[2]!Salcycl*Ksac</f>
        <v>1.0414081699006479</v>
      </c>
      <c r="BH288" s="1036">
        <f t="shared" si="132"/>
        <v>3.2314483582781264E-3</v>
      </c>
      <c r="BI288" s="11">
        <v>44470</v>
      </c>
      <c r="BJ288" s="716">
        <v>7.8403162931906586E-4</v>
      </c>
      <c r="BK288" s="716">
        <v>1.1333942618793225E-3</v>
      </c>
      <c r="BL288" s="716">
        <v>1.5220478490317422E-3</v>
      </c>
      <c r="BM288" s="716">
        <v>1.9927945559754892E-3</v>
      </c>
      <c r="BN288" s="716">
        <v>2.5352789800682455E-3</v>
      </c>
      <c r="BO288" s="717">
        <v>3.2388149241120569E-3</v>
      </c>
      <c r="BP288" s="716">
        <v>4.1426933793453843E-3</v>
      </c>
      <c r="BQ288" s="716">
        <v>5.3023334749738513E-3</v>
      </c>
      <c r="BR288" s="716">
        <v>6.7221793302123002E-3</v>
      </c>
      <c r="BS288" s="716">
        <v>8.4144167942249142E-3</v>
      </c>
      <c r="BT288" s="716">
        <v>1.0274822213051493E-2</v>
      </c>
      <c r="BW288" s="1166">
        <f>'2022'!R\Max</f>
        <v>0.87772052325285388</v>
      </c>
      <c r="BX288" s="1167">
        <f>'2023'!R\Max</f>
        <v>0.8777140842449388</v>
      </c>
      <c r="BY288" s="1167">
        <f>'2024'!R\Max</f>
        <v>0.87770587755071328</v>
      </c>
      <c r="BZ288" s="1167">
        <f>'2025'!R\Max</f>
        <v>0.87769761517609568</v>
      </c>
      <c r="CA288" s="1167">
        <f>'2026'!R\Max</f>
        <v>0.87768755376522634</v>
      </c>
      <c r="CB288" s="1167">
        <f>'2027'!R\Max</f>
        <v>0.87767743534165299</v>
      </c>
      <c r="CC288" s="1168">
        <f>'2028'!R\Max</f>
        <v>0.87766543285053589</v>
      </c>
      <c r="CD288" s="1167">
        <f>'2029'!R\Max</f>
        <v>0.87772084503845793</v>
      </c>
      <c r="CE288" s="1167">
        <f>'2030'!R\Max</f>
        <v>0.87771440605284989</v>
      </c>
      <c r="CF288" s="1169">
        <f>'2031'!R\Max</f>
        <v>0.87770629045373416</v>
      </c>
    </row>
    <row r="289" spans="1:84" s="6" customFormat="1" ht="11.25" x14ac:dyDescent="0.2">
      <c r="A289" s="11">
        <v>43375</v>
      </c>
      <c r="B289" s="375">
        <f>'2022'!Maxi_hp</f>
        <v>162.65964891476867</v>
      </c>
      <c r="C289" s="13">
        <f>'2022'!An_max</f>
        <v>2022</v>
      </c>
      <c r="D289" s="1045" t="str">
        <f t="shared" si="116"/>
        <v/>
      </c>
      <c r="E289" s="13"/>
      <c r="F289" s="13">
        <f t="shared" si="133"/>
        <v>21</v>
      </c>
      <c r="G289" s="13">
        <f t="shared" si="117"/>
        <v>22</v>
      </c>
      <c r="H289" s="169">
        <f t="shared" si="118"/>
        <v>43374</v>
      </c>
      <c r="I289" s="743">
        <f t="shared" si="119"/>
        <v>7.1428571428571425E-2</v>
      </c>
      <c r="J289" s="736">
        <f t="shared" si="120"/>
        <v>177.71055029258133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38">
        <v>43375</v>
      </c>
      <c r="AP289" s="13">
        <f t="shared" si="121"/>
        <v>11</v>
      </c>
      <c r="AQ289" s="13">
        <f t="shared" si="122"/>
        <v>12</v>
      </c>
      <c r="AR289" s="169">
        <f t="shared" si="123"/>
        <v>43360</v>
      </c>
      <c r="AS289" s="743">
        <f t="shared" si="124"/>
        <v>0.5357142857142857</v>
      </c>
      <c r="AT289" s="759">
        <f t="shared" si="125"/>
        <v>177.80500637745217</v>
      </c>
      <c r="AU289" s="13">
        <f t="shared" si="126"/>
        <v>11</v>
      </c>
      <c r="AV289" s="13">
        <f t="shared" si="127"/>
        <v>12</v>
      </c>
      <c r="AW289" s="169">
        <f t="shared" si="128"/>
        <v>43374</v>
      </c>
      <c r="AX289" s="743">
        <f t="shared" si="129"/>
        <v>3.5714285714285712E-2</v>
      </c>
      <c r="AY289" s="759">
        <f t="shared" si="130"/>
        <v>177.74189139945165</v>
      </c>
      <c r="AZ289" s="736">
        <f t="shared" si="134"/>
        <v>177.77344888845192</v>
      </c>
      <c r="BA289" s="633">
        <f t="shared" si="131"/>
        <v>0.91530665257052568</v>
      </c>
      <c r="BC289" s="11">
        <v>43375</v>
      </c>
      <c r="BD289" s="286">
        <f>[2]!FeuilCaduc*(1-Persistant)+Persistant</f>
        <v>0.92810508001352443</v>
      </c>
      <c r="BE289" s="287">
        <f>[2]!CroissVégét</f>
        <v>0.99116654322989417</v>
      </c>
      <c r="BF289" s="806">
        <f>1+[2]!Salcycl*Ksac</f>
        <v>1.0410131350016905</v>
      </c>
      <c r="BH289" s="1036">
        <f t="shared" si="132"/>
        <v>3.2874299679610994E-3</v>
      </c>
      <c r="BI289" s="11">
        <v>44471</v>
      </c>
      <c r="BJ289" s="716">
        <v>7.4964521978934217E-4</v>
      </c>
      <c r="BK289" s="716">
        <v>1.1182605540774276E-3</v>
      </c>
      <c r="BL289" s="716">
        <v>1.5271586748446793E-3</v>
      </c>
      <c r="BM289" s="716">
        <v>2.0201456943891938E-3</v>
      </c>
      <c r="BN289" s="716">
        <v>2.5743760409774746E-3</v>
      </c>
      <c r="BO289" s="717">
        <v>3.2949751988498445E-3</v>
      </c>
      <c r="BP289" s="716">
        <v>4.2236987094885423E-3</v>
      </c>
      <c r="BQ289" s="716">
        <v>5.4191375061226716E-3</v>
      </c>
      <c r="BR289" s="716">
        <v>6.8828054718993959E-3</v>
      </c>
      <c r="BS289" s="716">
        <v>8.6271657846227756E-3</v>
      </c>
      <c r="BT289" s="716">
        <v>1.0543340550569375E-2</v>
      </c>
      <c r="BW289" s="1166">
        <f>'2022'!R\Max</f>
        <v>0.91530665257052568</v>
      </c>
      <c r="BX289" s="1167">
        <f>'2023'!R\Max</f>
        <v>0.91530185560290922</v>
      </c>
      <c r="BY289" s="1167">
        <f>'2024'!R\Max</f>
        <v>0.91529572150562122</v>
      </c>
      <c r="BZ289" s="1167">
        <f>'2025'!R\Max</f>
        <v>0.9152895457826804</v>
      </c>
      <c r="CA289" s="1167">
        <f>'2026'!R\Max</f>
        <v>0.91528202481063825</v>
      </c>
      <c r="CB289" s="1167">
        <f>'2027'!R\Max</f>
        <v>0.91527446166919102</v>
      </c>
      <c r="CC289" s="1168">
        <f>'2028'!R\Max</f>
        <v>0.9152654901295707</v>
      </c>
      <c r="CD289" s="1167">
        <f>'2029'!R\Max</f>
        <v>0.91530689229527951</v>
      </c>
      <c r="CE289" s="1167">
        <f>'2030'!R\Max</f>
        <v>0.91530209534591889</v>
      </c>
      <c r="CF289" s="1169">
        <f>'2031'!R\Max</f>
        <v>0.91529603012906358</v>
      </c>
    </row>
    <row r="290" spans="1:84" s="6" customFormat="1" ht="11.25" x14ac:dyDescent="0.2">
      <c r="A290" s="11">
        <v>43376</v>
      </c>
      <c r="B290" s="375">
        <f>'2022'!Maxi_hp</f>
        <v>152.79064899002728</v>
      </c>
      <c r="C290" s="13">
        <f>'2022'!An_max</f>
        <v>2022</v>
      </c>
      <c r="D290" s="1045" t="str">
        <f t="shared" si="116"/>
        <v/>
      </c>
      <c r="E290" s="13"/>
      <c r="F290" s="13">
        <f t="shared" si="133"/>
        <v>21</v>
      </c>
      <c r="G290" s="13">
        <f t="shared" si="117"/>
        <v>22</v>
      </c>
      <c r="H290" s="169">
        <f t="shared" si="118"/>
        <v>43374</v>
      </c>
      <c r="I290" s="743">
        <f t="shared" si="119"/>
        <v>0.14285714285714285</v>
      </c>
      <c r="J290" s="736">
        <f t="shared" si="120"/>
        <v>176.41399416918199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38">
        <v>43376</v>
      </c>
      <c r="AP290" s="13">
        <f t="shared" si="121"/>
        <v>11</v>
      </c>
      <c r="AQ290" s="13">
        <f t="shared" si="122"/>
        <v>12</v>
      </c>
      <c r="AR290" s="169">
        <f t="shared" si="123"/>
        <v>43360</v>
      </c>
      <c r="AS290" s="743">
        <f t="shared" si="124"/>
        <v>0.5714285714285714</v>
      </c>
      <c r="AT290" s="759">
        <f t="shared" si="125"/>
        <v>176.47959183667388</v>
      </c>
      <c r="AU290" s="13">
        <f t="shared" si="126"/>
        <v>11</v>
      </c>
      <c r="AV290" s="13">
        <f t="shared" si="127"/>
        <v>12</v>
      </c>
      <c r="AW290" s="169">
        <f t="shared" si="128"/>
        <v>43374</v>
      </c>
      <c r="AX290" s="743">
        <f t="shared" si="129"/>
        <v>7.1428571428571425E-2</v>
      </c>
      <c r="AY290" s="759">
        <f t="shared" si="130"/>
        <v>176.46829446006035</v>
      </c>
      <c r="AZ290" s="736">
        <f t="shared" si="134"/>
        <v>176.47394314836711</v>
      </c>
      <c r="BA290" s="633">
        <f t="shared" si="131"/>
        <v>0.86609143287975332</v>
      </c>
      <c r="BC290" s="11">
        <v>43376</v>
      </c>
      <c r="BD290" s="286">
        <f>[2]!FeuilCaduc*(1-Persistant)+Persistant</f>
        <v>0.9248322419303654</v>
      </c>
      <c r="BE290" s="287">
        <f>[2]!CroissVégét</f>
        <v>0.99153229792147035</v>
      </c>
      <c r="BF290" s="806">
        <f>1+[2]!Salcycl*Ksac</f>
        <v>1.0406040302412958</v>
      </c>
      <c r="BH290" s="1036">
        <f t="shared" si="132"/>
        <v>3.3849644972467033E-3</v>
      </c>
      <c r="BI290" s="11">
        <v>44472</v>
      </c>
      <c r="BJ290" s="716">
        <v>7.2493365059778222E-4</v>
      </c>
      <c r="BK290" s="716">
        <v>1.1185946694978347E-3</v>
      </c>
      <c r="BL290" s="716">
        <v>1.5542141267422599E-3</v>
      </c>
      <c r="BM290" s="716">
        <v>2.0766854962646531E-3</v>
      </c>
      <c r="BN290" s="716">
        <v>2.64877367012835E-3</v>
      </c>
      <c r="BO290" s="717">
        <v>3.392754552891277E-3</v>
      </c>
      <c r="BP290" s="716">
        <v>4.3526053274654331E-3</v>
      </c>
      <c r="BQ290" s="716">
        <v>5.5897383659336613E-3</v>
      </c>
      <c r="BR290" s="716">
        <v>7.1029299367112051E-3</v>
      </c>
      <c r="BS290" s="716">
        <v>8.9044202774957327E-3</v>
      </c>
      <c r="BT290" s="716">
        <v>1.0880883438368984E-2</v>
      </c>
      <c r="BW290" s="1166">
        <f>'2022'!R\Max</f>
        <v>0.86609143287975332</v>
      </c>
      <c r="BX290" s="1167">
        <f>'2023'!R\Max</f>
        <v>0.86608398751646054</v>
      </c>
      <c r="BY290" s="1167">
        <f>'2024'!R\Max</f>
        <v>0.86607445379648729</v>
      </c>
      <c r="BZ290" s="1167">
        <f>'2025'!R\Max</f>
        <v>0.8660648559207178</v>
      </c>
      <c r="CA290" s="1167">
        <f>'2026'!R\Max</f>
        <v>0.86605317811320903</v>
      </c>
      <c r="CB290" s="1167">
        <f>'2027'!R\Max</f>
        <v>0.86604143597018202</v>
      </c>
      <c r="CC290" s="1168">
        <f>'2028'!R\Max</f>
        <v>0.86602752072393607</v>
      </c>
      <c r="CD290" s="1167">
        <f>'2029'!R\Max</f>
        <v>0.86609180495671434</v>
      </c>
      <c r="CE290" s="1167">
        <f>'2030'!R\Max</f>
        <v>0.86608435962046604</v>
      </c>
      <c r="CF290" s="1169">
        <f>'2031'!R\Max</f>
        <v>0.86607493343850439</v>
      </c>
    </row>
    <row r="291" spans="1:84" s="6" customFormat="1" ht="11.25" x14ac:dyDescent="0.2">
      <c r="A291" s="11">
        <v>43377</v>
      </c>
      <c r="B291" s="375">
        <f>'2022'!Maxi_hp</f>
        <v>174.84667705924409</v>
      </c>
      <c r="C291" s="13">
        <f>'2022'!An_max</f>
        <v>2022</v>
      </c>
      <c r="D291" s="1045">
        <f t="shared" si="116"/>
        <v>0.99849123467701073</v>
      </c>
      <c r="E291" s="13"/>
      <c r="F291" s="13">
        <f t="shared" si="133"/>
        <v>21</v>
      </c>
      <c r="G291" s="13">
        <f t="shared" si="117"/>
        <v>22</v>
      </c>
      <c r="H291" s="169">
        <f t="shared" si="118"/>
        <v>43374</v>
      </c>
      <c r="I291" s="743">
        <f t="shared" si="119"/>
        <v>0.21428571428571427</v>
      </c>
      <c r="J291" s="736">
        <f t="shared" si="120"/>
        <v>175.11087828007126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38">
        <v>43377</v>
      </c>
      <c r="AP291" s="13">
        <f t="shared" si="121"/>
        <v>11</v>
      </c>
      <c r="AQ291" s="13">
        <f t="shared" si="122"/>
        <v>12</v>
      </c>
      <c r="AR291" s="169">
        <f t="shared" si="123"/>
        <v>43360</v>
      </c>
      <c r="AS291" s="743">
        <f t="shared" si="124"/>
        <v>0.6071428571428571</v>
      </c>
      <c r="AT291" s="759">
        <f t="shared" si="125"/>
        <v>175.14971301076667</v>
      </c>
      <c r="AU291" s="13">
        <f t="shared" si="126"/>
        <v>11</v>
      </c>
      <c r="AV291" s="13">
        <f t="shared" si="127"/>
        <v>12</v>
      </c>
      <c r="AW291" s="169">
        <f t="shared" si="128"/>
        <v>43374</v>
      </c>
      <c r="AX291" s="743">
        <f t="shared" si="129"/>
        <v>0.10714285714285714</v>
      </c>
      <c r="AY291" s="759">
        <f t="shared" si="130"/>
        <v>175.18030247831985</v>
      </c>
      <c r="AZ291" s="736">
        <f t="shared" si="134"/>
        <v>175.16500774454326</v>
      </c>
      <c r="BA291" s="633">
        <f t="shared" si="131"/>
        <v>0.99849123467701073</v>
      </c>
      <c r="BC291" s="11">
        <v>43377</v>
      </c>
      <c r="BD291" s="286">
        <f>[2]!FeuilCaduc*(1-Persistant)+Persistant</f>
        <v>0.92144533031574949</v>
      </c>
      <c r="BE291" s="287">
        <f>[2]!CroissVégét</f>
        <v>0.99188357985413123</v>
      </c>
      <c r="BF291" s="806">
        <f>1+[2]!Salcycl*Ksac</f>
        <v>1.0401806662894686</v>
      </c>
      <c r="BH291" s="1036">
        <f t="shared" si="132"/>
        <v>3.5201951841688796E-3</v>
      </c>
      <c r="BI291" s="11">
        <v>44473</v>
      </c>
      <c r="BJ291" s="716">
        <v>7.1045372608774602E-4</v>
      </c>
      <c r="BK291" s="716">
        <v>1.134244725146712E-3</v>
      </c>
      <c r="BL291" s="716">
        <v>1.6021887939627142E-3</v>
      </c>
      <c r="BM291" s="716">
        <v>2.1604038502962019E-3</v>
      </c>
      <c r="BN291" s="716">
        <v>2.7555456101634717E-3</v>
      </c>
      <c r="BO291" s="717">
        <v>3.5282863780695395E-3</v>
      </c>
      <c r="BP291" s="716">
        <v>4.5242868468648037E-3</v>
      </c>
      <c r="BQ291" s="716">
        <v>5.8070489198746604E-3</v>
      </c>
      <c r="BR291" s="716">
        <v>7.3731851117071227E-3</v>
      </c>
      <c r="BS291" s="716">
        <v>9.2343809643352075E-3</v>
      </c>
      <c r="BT291" s="716">
        <v>1.1273370626434761E-2</v>
      </c>
      <c r="BW291" s="1166">
        <f>'2022'!R\Max</f>
        <v>0.99849123467701073</v>
      </c>
      <c r="BX291" s="1167">
        <f>'2023'!R\Max</f>
        <v>0.9984911339451068</v>
      </c>
      <c r="BY291" s="1167">
        <f>'2024'!R\Max</f>
        <v>0.99849100504018751</v>
      </c>
      <c r="BZ291" s="1167">
        <f>'2025'!R\Max</f>
        <v>0.99849087527687264</v>
      </c>
      <c r="CA291" s="1167">
        <f>'2026'!R\Max</f>
        <v>0.99849071765962016</v>
      </c>
      <c r="CB291" s="1167">
        <f>'2027'!R\Max</f>
        <v>0.99849055918605112</v>
      </c>
      <c r="CC291" s="1168">
        <f>'2028'!R\Max</f>
        <v>0.99849037169362653</v>
      </c>
      <c r="CD291" s="1167">
        <f>'2029'!R\Max</f>
        <v>0.99849123971096421</v>
      </c>
      <c r="CE291" s="1167">
        <f>'2030'!R\Max</f>
        <v>0.99849113897953079</v>
      </c>
      <c r="CF291" s="1169">
        <f>'2031'!R\Max</f>
        <v>0.99849101152485853</v>
      </c>
    </row>
    <row r="292" spans="1:84" s="6" customFormat="1" ht="11.25" x14ac:dyDescent="0.2">
      <c r="A292" s="11">
        <v>43378</v>
      </c>
      <c r="B292" s="375">
        <f>'2022'!Maxi_hp</f>
        <v>177.70954073163574</v>
      </c>
      <c r="C292" s="13">
        <f>'2022'!An_max</f>
        <v>2022</v>
      </c>
      <c r="D292" s="1045">
        <f t="shared" si="116"/>
        <v>1.022484189466115</v>
      </c>
      <c r="E292" s="13"/>
      <c r="F292" s="13">
        <f t="shared" si="133"/>
        <v>21</v>
      </c>
      <c r="G292" s="13">
        <f t="shared" si="117"/>
        <v>22</v>
      </c>
      <c r="H292" s="169">
        <f t="shared" si="118"/>
        <v>43374</v>
      </c>
      <c r="I292" s="743">
        <f t="shared" si="119"/>
        <v>0.2857142857142857</v>
      </c>
      <c r="J292" s="736">
        <f t="shared" si="120"/>
        <v>173.80174927147371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38">
        <v>43378</v>
      </c>
      <c r="AP292" s="13">
        <f t="shared" si="121"/>
        <v>11</v>
      </c>
      <c r="AQ292" s="13">
        <f t="shared" si="122"/>
        <v>12</v>
      </c>
      <c r="AR292" s="169">
        <f t="shared" si="123"/>
        <v>43360</v>
      </c>
      <c r="AS292" s="743">
        <f t="shared" si="124"/>
        <v>0.6428571428571429</v>
      </c>
      <c r="AT292" s="759">
        <f t="shared" si="125"/>
        <v>173.81632652913353</v>
      </c>
      <c r="AU292" s="13">
        <f t="shared" si="126"/>
        <v>11</v>
      </c>
      <c r="AV292" s="13">
        <f t="shared" si="127"/>
        <v>12</v>
      </c>
      <c r="AW292" s="169">
        <f t="shared" si="128"/>
        <v>43374</v>
      </c>
      <c r="AX292" s="743">
        <f t="shared" si="129"/>
        <v>0.14285714285714285</v>
      </c>
      <c r="AY292" s="759">
        <f t="shared" si="130"/>
        <v>173.87900874625359</v>
      </c>
      <c r="AZ292" s="736">
        <f t="shared" si="134"/>
        <v>173.84766763769358</v>
      </c>
      <c r="BA292" s="633">
        <f t="shared" si="131"/>
        <v>1.022484189466115</v>
      </c>
      <c r="BC292" s="11">
        <v>43378</v>
      </c>
      <c r="BD292" s="286">
        <f>[2]!FeuilCaduc*(1-Persistant)+Persistant</f>
        <v>0.9179430799943108</v>
      </c>
      <c r="BE292" s="287">
        <f>[2]!CroissVégét</f>
        <v>0.99222095198209459</v>
      </c>
      <c r="BF292" s="806">
        <f>1+[2]!Salcycl*Ksac</f>
        <v>1.0397428849992889</v>
      </c>
      <c r="BH292" s="1036">
        <f t="shared" si="132"/>
        <v>3.6931680287218579E-3</v>
      </c>
      <c r="BI292" s="11">
        <v>44474</v>
      </c>
      <c r="BJ292" s="716">
        <v>7.0621709974210713E-4</v>
      </c>
      <c r="BK292" s="716">
        <v>1.1652288729502786E-3</v>
      </c>
      <c r="BL292" s="716">
        <v>1.6711079711074423E-3</v>
      </c>
      <c r="BM292" s="716">
        <v>2.2713339893163124E-3</v>
      </c>
      <c r="BN292" s="716">
        <v>2.8947314229507814E-3</v>
      </c>
      <c r="BO292" s="717">
        <v>3.7016167425043527E-3</v>
      </c>
      <c r="BP292" s="716">
        <v>4.7387953478626316E-3</v>
      </c>
      <c r="BQ292" s="716">
        <v>6.0711258473434742E-3</v>
      </c>
      <c r="BR292" s="716">
        <v>7.6936315286751196E-3</v>
      </c>
      <c r="BS292" s="716">
        <v>9.6171110509416374E-3</v>
      </c>
      <c r="BT292" s="716">
        <v>1.1720867470805659E-2</v>
      </c>
      <c r="BW292" s="1166">
        <f>'2022'!R\Max</f>
        <v>1.022484189466115</v>
      </c>
      <c r="BX292" s="1167">
        <f>'2023'!R\Max</f>
        <v>1.0224841894661152</v>
      </c>
      <c r="BY292" s="1167">
        <f>'2024'!R\Max</f>
        <v>1.022484189466115</v>
      </c>
      <c r="BZ292" s="1167">
        <f>'2025'!R\Max</f>
        <v>1.022484189466115</v>
      </c>
      <c r="CA292" s="1167">
        <f>'2026'!R\Max</f>
        <v>1.022484189466115</v>
      </c>
      <c r="CB292" s="1167">
        <f>'2027'!R\Max</f>
        <v>1.0224841894661147</v>
      </c>
      <c r="CC292" s="1168">
        <f>'2028'!R\Max</f>
        <v>1.0224841894661154</v>
      </c>
      <c r="CD292" s="1167">
        <f>'2029'!R\Max</f>
        <v>1.022484189466115</v>
      </c>
      <c r="CE292" s="1167">
        <f>'2030'!R\Max</f>
        <v>1.0224841894661147</v>
      </c>
      <c r="CF292" s="1169">
        <f>'2031'!R\Max</f>
        <v>1.0224841894661152</v>
      </c>
    </row>
    <row r="293" spans="1:84" s="6" customFormat="1" ht="11.25" x14ac:dyDescent="0.2">
      <c r="A293" s="11">
        <v>43379</v>
      </c>
      <c r="B293" s="375">
        <f>'2022'!Maxi_hp</f>
        <v>59.670237446224867</v>
      </c>
      <c r="C293" s="13">
        <f>'2022'!An_max</f>
        <v>2022</v>
      </c>
      <c r="D293" s="1045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69">
        <f t="shared" si="118"/>
        <v>43374</v>
      </c>
      <c r="I293" s="743">
        <f t="shared" si="119"/>
        <v>0.35714285714285715</v>
      </c>
      <c r="J293" s="736">
        <f t="shared" si="120"/>
        <v>172.48715379070489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38">
        <v>43379</v>
      </c>
      <c r="AP293" s="13">
        <f t="shared" si="121"/>
        <v>11</v>
      </c>
      <c r="AQ293" s="13">
        <f t="shared" si="122"/>
        <v>12</v>
      </c>
      <c r="AR293" s="169">
        <f t="shared" si="123"/>
        <v>43360</v>
      </c>
      <c r="AS293" s="743">
        <f t="shared" si="124"/>
        <v>0.6785714285714286</v>
      </c>
      <c r="AT293" s="759">
        <f t="shared" si="125"/>
        <v>172.48038902969233</v>
      </c>
      <c r="AU293" s="13">
        <f t="shared" si="126"/>
        <v>11</v>
      </c>
      <c r="AV293" s="13">
        <f t="shared" si="127"/>
        <v>12</v>
      </c>
      <c r="AW293" s="169">
        <f t="shared" si="128"/>
        <v>43374</v>
      </c>
      <c r="AX293" s="743">
        <f t="shared" si="129"/>
        <v>0.17857142857142858</v>
      </c>
      <c r="AY293" s="759">
        <f t="shared" si="130"/>
        <v>172.56550656046187</v>
      </c>
      <c r="AZ293" s="736">
        <f t="shared" si="134"/>
        <v>172.5229477950771</v>
      </c>
      <c r="BA293" s="633">
        <f t="shared" si="131"/>
        <v>0.3459401824128216</v>
      </c>
      <c r="BC293" s="11">
        <v>43379</v>
      </c>
      <c r="BD293" s="286">
        <f>[2]!FeuilCaduc*(1-Persistant)+Persistant</f>
        <v>0.91432449729596932</v>
      </c>
      <c r="BE293" s="287">
        <f>[2]!CroissVégét</f>
        <v>0.99254495612417293</v>
      </c>
      <c r="BF293" s="806">
        <f>1+[2]!Salcycl*Ksac</f>
        <v>1.0392905621619961</v>
      </c>
      <c r="BH293" s="1036">
        <f t="shared" si="132"/>
        <v>3.9039299659400688E-3</v>
      </c>
      <c r="BI293" s="11">
        <v>44475</v>
      </c>
      <c r="BJ293" s="716">
        <v>7.1223586791284552E-4</v>
      </c>
      <c r="BK293" s="716">
        <v>1.2115657897606104E-3</v>
      </c>
      <c r="BL293" s="716">
        <v>1.7609975713967125E-3</v>
      </c>
      <c r="BM293" s="716">
        <v>2.4095098708362037E-3</v>
      </c>
      <c r="BN293" s="716">
        <v>3.0663715077189741E-3</v>
      </c>
      <c r="BO293" s="717">
        <v>3.9127926503892416E-3</v>
      </c>
      <c r="BP293" s="716">
        <v>4.9961839048516888E-3</v>
      </c>
      <c r="BQ293" s="716">
        <v>6.3820268040901433E-3</v>
      </c>
      <c r="BR293" s="716">
        <v>8.0643306316698863E-3</v>
      </c>
      <c r="BS293" s="716">
        <v>1.0052674534548283E-2</v>
      </c>
      <c r="BT293" s="716">
        <v>1.2223439975094265E-2</v>
      </c>
      <c r="BW293" s="1166">
        <f>'2022'!R\Max</f>
        <v>0.3459401824128216</v>
      </c>
      <c r="BX293" s="1167">
        <f>'2023'!R\Max</f>
        <v>0.34592360507481656</v>
      </c>
      <c r="BY293" s="1167">
        <f>'2024'!R\Max</f>
        <v>0.34590253107795249</v>
      </c>
      <c r="BZ293" s="1167">
        <f>'2025'!R\Max</f>
        <v>0.3458813254802256</v>
      </c>
      <c r="CA293" s="1167">
        <f>'2026'!R\Max</f>
        <v>0.34585571213406674</v>
      </c>
      <c r="CB293" s="1167">
        <f>'2027'!R\Max</f>
        <v>0.34582996969993496</v>
      </c>
      <c r="CC293" s="1168">
        <f>'2028'!R\Max</f>
        <v>0.3457996769130724</v>
      </c>
      <c r="CD293" s="1167">
        <f>'2029'!R\Max</f>
        <v>0.34594101088268397</v>
      </c>
      <c r="CE293" s="1167">
        <f>'2030'!R\Max</f>
        <v>0.34592443355025765</v>
      </c>
      <c r="CF293" s="1169">
        <f>'2031'!R\Max</f>
        <v>0.3459035908489051</v>
      </c>
    </row>
    <row r="294" spans="1:84" s="6" customFormat="1" ht="11.25" x14ac:dyDescent="0.2">
      <c r="A294" s="11">
        <v>43380</v>
      </c>
      <c r="B294" s="375">
        <f>'2022'!Maxi_hp</f>
        <v>122.62690257230749</v>
      </c>
      <c r="C294" s="13">
        <f>'2022'!An_max</f>
        <v>2022</v>
      </c>
      <c r="D294" s="1045" t="str">
        <f t="shared" si="116"/>
        <v/>
      </c>
      <c r="E294" s="13"/>
      <c r="F294" s="13">
        <f t="shared" si="133"/>
        <v>21</v>
      </c>
      <c r="G294" s="13">
        <f t="shared" si="117"/>
        <v>22</v>
      </c>
      <c r="H294" s="169">
        <f t="shared" si="118"/>
        <v>43374</v>
      </c>
      <c r="I294" s="743">
        <f t="shared" si="119"/>
        <v>0.42857142857142855</v>
      </c>
      <c r="J294" s="736">
        <f t="shared" si="120"/>
        <v>171.16763848438859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38">
        <v>43380</v>
      </c>
      <c r="AP294" s="13">
        <f t="shared" si="121"/>
        <v>11</v>
      </c>
      <c r="AQ294" s="13">
        <f t="shared" si="122"/>
        <v>12</v>
      </c>
      <c r="AR294" s="169">
        <f t="shared" si="123"/>
        <v>43360</v>
      </c>
      <c r="AS294" s="743">
        <f t="shared" si="124"/>
        <v>0.7142857142857143</v>
      </c>
      <c r="AT294" s="759">
        <f t="shared" si="125"/>
        <v>171.14285714227174</v>
      </c>
      <c r="AU294" s="13">
        <f t="shared" si="126"/>
        <v>11</v>
      </c>
      <c r="AV294" s="13">
        <f t="shared" si="127"/>
        <v>12</v>
      </c>
      <c r="AW294" s="169">
        <f t="shared" si="128"/>
        <v>43374</v>
      </c>
      <c r="AX294" s="743">
        <f t="shared" si="129"/>
        <v>0.21428571428571427</v>
      </c>
      <c r="AY294" s="759">
        <f t="shared" si="130"/>
        <v>171.24088921243589</v>
      </c>
      <c r="AZ294" s="736">
        <f t="shared" si="134"/>
        <v>171.19187317735381</v>
      </c>
      <c r="BA294" s="633">
        <f t="shared" si="131"/>
        <v>0.71641405851078399</v>
      </c>
      <c r="BC294" s="11">
        <v>43380</v>
      </c>
      <c r="BD294" s="286">
        <f>[2]!FeuilCaduc*(1-Persistant)+Persistant</f>
        <v>0.91058888141524863</v>
      </c>
      <c r="BE294" s="287">
        <f>[2]!CroissVégét</f>
        <v>0.9928561136972186</v>
      </c>
      <c r="BF294" s="806">
        <f>1+[2]!Salcycl*Ksac</f>
        <v>1.0388236101769062</v>
      </c>
      <c r="BH294" s="1036">
        <f t="shared" si="132"/>
        <v>4.1525285211895403E-3</v>
      </c>
      <c r="BI294" s="11">
        <v>44476</v>
      </c>
      <c r="BJ294" s="716">
        <v>7.2852247586415884E-4</v>
      </c>
      <c r="BK294" s="716">
        <v>1.2732745369907952E-3</v>
      </c>
      <c r="BL294" s="716">
        <v>1.8718839351532935E-3</v>
      </c>
      <c r="BM294" s="716">
        <v>2.574965928388392E-3</v>
      </c>
      <c r="BN294" s="716">
        <v>3.2705068049276322E-3</v>
      </c>
      <c r="BO294" s="717">
        <v>4.1618616967688911E-3</v>
      </c>
      <c r="BP294" s="716">
        <v>5.2965061954594753E-3</v>
      </c>
      <c r="BQ294" s="716">
        <v>6.7398099955449488E-3</v>
      </c>
      <c r="BR294" s="716">
        <v>8.4853443194379038E-3</v>
      </c>
      <c r="BS294" s="716">
        <v>1.0541135723171466E-2</v>
      </c>
      <c r="BT294" s="716">
        <v>1.2781154289890415E-2</v>
      </c>
      <c r="BW294" s="1166">
        <f>'2022'!R\Max</f>
        <v>0.71641405851078399</v>
      </c>
      <c r="BX294" s="1167">
        <f>'2023'!R\Max</f>
        <v>0.71639841299829532</v>
      </c>
      <c r="BY294" s="1167">
        <f>'2024'!R\Max</f>
        <v>0.71637862950789521</v>
      </c>
      <c r="BZ294" s="1167">
        <f>'2025'!R\Max</f>
        <v>0.71635872485535357</v>
      </c>
      <c r="CA294" s="1167">
        <f>'2026'!R\Max</f>
        <v>0.71633476704169086</v>
      </c>
      <c r="CB294" s="1167">
        <f>'2027'!R\Max</f>
        <v>0.716310689783346</v>
      </c>
      <c r="CC294" s="1168">
        <f>'2028'!R\Max</f>
        <v>0.71628245012249447</v>
      </c>
      <c r="CD294" s="1167">
        <f>'2029'!R\Max</f>
        <v>0.71641484038812542</v>
      </c>
      <c r="CE294" s="1167">
        <f>'2030'!R\Max</f>
        <v>0.71639919492578541</v>
      </c>
      <c r="CF294" s="1169">
        <f>'2031'!R\Max</f>
        <v>0.71637962422470125</v>
      </c>
    </row>
    <row r="295" spans="1:84" s="6" customFormat="1" ht="11.25" x14ac:dyDescent="0.2">
      <c r="A295" s="11">
        <v>43381</v>
      </c>
      <c r="B295" s="375">
        <f>'2022'!Maxi_hp</f>
        <v>68.517254335797233</v>
      </c>
      <c r="C295" s="13">
        <f>'2022'!An_max</f>
        <v>2022</v>
      </c>
      <c r="D295" s="1045" t="str">
        <f t="shared" si="116"/>
        <v/>
      </c>
      <c r="E295" s="13"/>
      <c r="F295" s="13">
        <f t="shared" si="133"/>
        <v>21</v>
      </c>
      <c r="G295" s="13">
        <f t="shared" si="117"/>
        <v>22</v>
      </c>
      <c r="H295" s="169">
        <f t="shared" si="118"/>
        <v>43374</v>
      </c>
      <c r="I295" s="743">
        <f t="shared" si="119"/>
        <v>0.5</v>
      </c>
      <c r="J295" s="736">
        <f t="shared" si="120"/>
        <v>169.84374999981372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38">
        <v>43381</v>
      </c>
      <c r="AP295" s="13">
        <f t="shared" si="121"/>
        <v>11</v>
      </c>
      <c r="AQ295" s="13">
        <f t="shared" si="122"/>
        <v>12</v>
      </c>
      <c r="AR295" s="169">
        <f t="shared" si="123"/>
        <v>43360</v>
      </c>
      <c r="AS295" s="743">
        <f t="shared" si="124"/>
        <v>0.75</v>
      </c>
      <c r="AT295" s="759">
        <f t="shared" si="125"/>
        <v>169.80468749990686</v>
      </c>
      <c r="AU295" s="13">
        <f t="shared" si="126"/>
        <v>11</v>
      </c>
      <c r="AV295" s="13">
        <f t="shared" si="127"/>
        <v>12</v>
      </c>
      <c r="AW295" s="169">
        <f t="shared" si="128"/>
        <v>43374</v>
      </c>
      <c r="AX295" s="743">
        <f t="shared" si="129"/>
        <v>0.25</v>
      </c>
      <c r="AY295" s="759">
        <f t="shared" si="130"/>
        <v>169.90624999981372</v>
      </c>
      <c r="AZ295" s="736">
        <f t="shared" si="134"/>
        <v>169.85546874986028</v>
      </c>
      <c r="BA295" s="633">
        <f t="shared" si="131"/>
        <v>0.40341345699133691</v>
      </c>
      <c r="BC295" s="11">
        <v>43381</v>
      </c>
      <c r="BD295" s="286">
        <f>[2]!FeuilCaduc*(1-Persistant)+Persistant</f>
        <v>0.90673584488131709</v>
      </c>
      <c r="BE295" s="287">
        <f>[2]!CroissVégét</f>
        <v>0.99315492642894099</v>
      </c>
      <c r="BF295" s="806">
        <f>1+[2]!Salcycl*Ksac</f>
        <v>1.0383419806101646</v>
      </c>
      <c r="BH295" s="1036">
        <f t="shared" si="132"/>
        <v>4.4390114654901036E-3</v>
      </c>
      <c r="BI295" s="11">
        <v>44477</v>
      </c>
      <c r="BJ295" s="716">
        <v>7.5508962382129412E-4</v>
      </c>
      <c r="BK295" s="716">
        <v>1.3503744202597266E-3</v>
      </c>
      <c r="BL295" s="716">
        <v>2.0037936383000467E-3</v>
      </c>
      <c r="BM295" s="716">
        <v>2.7677368228883072E-3</v>
      </c>
      <c r="BN295" s="716">
        <v>3.5071785001615963E-3</v>
      </c>
      <c r="BO295" s="717">
        <v>4.448871722347379E-3</v>
      </c>
      <c r="BP295" s="716">
        <v>5.6398161096055362E-3</v>
      </c>
      <c r="BQ295" s="716">
        <v>7.1445337501966633E-3</v>
      </c>
      <c r="BR295" s="716">
        <v>8.9567344879059319E-3</v>
      </c>
      <c r="BS295" s="716">
        <v>1.1082558755039792E-2</v>
      </c>
      <c r="BT295" s="716">
        <v>1.3394076212260825E-2</v>
      </c>
      <c r="BW295" s="1166">
        <f>'2022'!R\Max</f>
        <v>0.40341345699133691</v>
      </c>
      <c r="BX295" s="1167">
        <f>'2023'!R\Max</f>
        <v>0.40339393529924578</v>
      </c>
      <c r="BY295" s="1167">
        <f>'2024'!R\Max</f>
        <v>0.40336941275827554</v>
      </c>
      <c r="BZ295" s="1167">
        <f>'2025'!R\Max</f>
        <v>0.40334474677743409</v>
      </c>
      <c r="CA295" s="1167">
        <f>'2026'!R\Max</f>
        <v>0.40331517976982811</v>
      </c>
      <c r="CB295" s="1167">
        <f>'2027'!R\Max</f>
        <v>0.40328547194429587</v>
      </c>
      <c r="CC295" s="1168">
        <f>'2028'!R\Max</f>
        <v>0.40325076471848065</v>
      </c>
      <c r="CD295" s="1167">
        <f>'2029'!R\Max</f>
        <v>0.40341443260323934</v>
      </c>
      <c r="CE295" s="1167">
        <f>'2030'!R\Max</f>
        <v>0.40339491092751822</v>
      </c>
      <c r="CF295" s="1169">
        <f>'2031'!R\Max</f>
        <v>0.40337064545718943</v>
      </c>
    </row>
    <row r="296" spans="1:84" s="6" customFormat="1" ht="11.25" x14ac:dyDescent="0.2">
      <c r="A296" s="11">
        <v>43382</v>
      </c>
      <c r="B296" s="375">
        <f>'2022'!Maxi_hp</f>
        <v>161.58402633756273</v>
      </c>
      <c r="C296" s="13">
        <f>'2022'!An_max</f>
        <v>2022</v>
      </c>
      <c r="D296" s="1045" t="str">
        <f t="shared" si="116"/>
        <v/>
      </c>
      <c r="E296" s="13"/>
      <c r="F296" s="13">
        <f t="shared" si="133"/>
        <v>21</v>
      </c>
      <c r="G296" s="13">
        <f t="shared" si="117"/>
        <v>22</v>
      </c>
      <c r="H296" s="169">
        <f t="shared" si="118"/>
        <v>43374</v>
      </c>
      <c r="I296" s="743">
        <f t="shared" si="119"/>
        <v>0.5714285714285714</v>
      </c>
      <c r="J296" s="736">
        <f t="shared" si="120"/>
        <v>168.51603498554655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38">
        <v>43382</v>
      </c>
      <c r="AP296" s="13">
        <f t="shared" si="121"/>
        <v>11</v>
      </c>
      <c r="AQ296" s="13">
        <f t="shared" si="122"/>
        <v>12</v>
      </c>
      <c r="AR296" s="169">
        <f t="shared" si="123"/>
        <v>43360</v>
      </c>
      <c r="AS296" s="743">
        <f t="shared" si="124"/>
        <v>0.7857142857142857</v>
      </c>
      <c r="AT296" s="759">
        <f t="shared" si="125"/>
        <v>168.46683673454183</v>
      </c>
      <c r="AU296" s="13">
        <f t="shared" si="126"/>
        <v>11</v>
      </c>
      <c r="AV296" s="13">
        <f t="shared" si="127"/>
        <v>12</v>
      </c>
      <c r="AW296" s="169">
        <f t="shared" si="128"/>
        <v>43374</v>
      </c>
      <c r="AX296" s="743">
        <f t="shared" si="129"/>
        <v>0.2857142857142857</v>
      </c>
      <c r="AY296" s="759">
        <f t="shared" si="130"/>
        <v>168.56268221629517</v>
      </c>
      <c r="AZ296" s="736">
        <f t="shared" si="134"/>
        <v>168.51475947541849</v>
      </c>
      <c r="BA296" s="633">
        <f t="shared" si="131"/>
        <v>0.95886439739352769</v>
      </c>
      <c r="BC296" s="11">
        <v>43382</v>
      </c>
      <c r="BD296" s="286">
        <f>[2]!FeuilCaduc*(1-Persistant)+Persistant</f>
        <v>0.90276533293247851</v>
      </c>
      <c r="BE296" s="287">
        <f>[2]!CroissVégét</f>
        <v>0.9934418770502661</v>
      </c>
      <c r="BF296" s="806">
        <f>1+[2]!Salcycl*Ksac</f>
        <v>1.0378456666165599</v>
      </c>
      <c r="BH296" s="1036">
        <f t="shared" si="132"/>
        <v>4.745714012558991E-3</v>
      </c>
      <c r="BI296" s="11">
        <v>44478</v>
      </c>
      <c r="BJ296" s="716">
        <v>7.9596356861528833E-4</v>
      </c>
      <c r="BK296" s="716">
        <v>1.4420823249847155E-3</v>
      </c>
      <c r="BL296" s="716">
        <v>2.1507827680763841E-3</v>
      </c>
      <c r="BM296" s="716">
        <v>2.9762243705687037E-3</v>
      </c>
      <c r="BN296" s="716">
        <v>3.762024948423686E-3</v>
      </c>
      <c r="BO296" s="717">
        <v>4.7561229884172853E-3</v>
      </c>
      <c r="BP296" s="716">
        <v>6.004757052954602E-3</v>
      </c>
      <c r="BQ296" s="716">
        <v>7.5710766438014483E-3</v>
      </c>
      <c r="BR296" s="716">
        <v>9.4620253020991623E-3</v>
      </c>
      <c r="BS296" s="716">
        <v>1.1679955743558257E-2</v>
      </c>
      <c r="BT296" s="716">
        <v>1.4095560571222816E-2</v>
      </c>
      <c r="BW296" s="1166">
        <f>'2022'!R\Max</f>
        <v>0.95886439739352769</v>
      </c>
      <c r="BX296" s="1167">
        <f>'2023'!R\Max</f>
        <v>0.95886103122144917</v>
      </c>
      <c r="BY296" s="1167">
        <f>'2024'!R\Max</f>
        <v>0.95885683162753066</v>
      </c>
      <c r="BZ296" s="1167">
        <f>'2025'!R\Max</f>
        <v>0.95885260788439852</v>
      </c>
      <c r="CA296" s="1167">
        <f>'2026'!R\Max</f>
        <v>0.95884753203056228</v>
      </c>
      <c r="CB296" s="1167">
        <f>'2027'!R\Max</f>
        <v>0.95884243123268076</v>
      </c>
      <c r="CC296" s="1168">
        <f>'2028'!R\Max</f>
        <v>0.95883647156323837</v>
      </c>
      <c r="CD296" s="1167">
        <f>'2029'!R\Max</f>
        <v>0.95886456561217304</v>
      </c>
      <c r="CE296" s="1167">
        <f>'2030'!R\Max</f>
        <v>0.9588611994590126</v>
      </c>
      <c r="CF296" s="1169">
        <f>'2031'!R\Max</f>
        <v>0.9588570426986377</v>
      </c>
    </row>
    <row r="297" spans="1:84" s="6" customFormat="1" ht="11.25" x14ac:dyDescent="0.2">
      <c r="A297" s="11">
        <v>43383</v>
      </c>
      <c r="B297" s="375">
        <f>'2022'!Maxi_hp</f>
        <v>129.28371187059687</v>
      </c>
      <c r="C297" s="13">
        <f>'2022'!An_max</f>
        <v>2022</v>
      </c>
      <c r="D297" s="1045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69">
        <f t="shared" si="118"/>
        <v>43374</v>
      </c>
      <c r="I297" s="743">
        <f t="shared" si="119"/>
        <v>0.6428571428571429</v>
      </c>
      <c r="J297" s="736">
        <f t="shared" si="120"/>
        <v>167.18504008783825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38">
        <v>43383</v>
      </c>
      <c r="AP297" s="13">
        <f t="shared" si="121"/>
        <v>11</v>
      </c>
      <c r="AQ297" s="13">
        <f t="shared" si="122"/>
        <v>12</v>
      </c>
      <c r="AR297" s="169">
        <f t="shared" si="123"/>
        <v>43360</v>
      </c>
      <c r="AS297" s="743">
        <f t="shared" si="124"/>
        <v>0.8214285714285714</v>
      </c>
      <c r="AT297" s="759">
        <f t="shared" si="125"/>
        <v>167.13026147930481</v>
      </c>
      <c r="AU297" s="13">
        <f t="shared" si="126"/>
        <v>11</v>
      </c>
      <c r="AV297" s="13">
        <f t="shared" si="127"/>
        <v>12</v>
      </c>
      <c r="AW297" s="169">
        <f t="shared" si="128"/>
        <v>43374</v>
      </c>
      <c r="AX297" s="743">
        <f t="shared" si="129"/>
        <v>0.32142857142857145</v>
      </c>
      <c r="AY297" s="759">
        <f t="shared" si="130"/>
        <v>167.21127915483504</v>
      </c>
      <c r="AZ297" s="736">
        <f t="shared" si="134"/>
        <v>167.17077031706992</v>
      </c>
      <c r="BA297" s="633">
        <f t="shared" si="131"/>
        <v>0.77329713114685272</v>
      </c>
      <c r="BC297" s="11">
        <v>43383</v>
      </c>
      <c r="BD297" s="286">
        <f>[2]!FeuilCaduc*(1-Persistant)+Persistant</f>
        <v>0.89867764159247643</v>
      </c>
      <c r="BE297" s="287">
        <f>[2]!CroissVégét</f>
        <v>0.99371742996744827</v>
      </c>
      <c r="BF297" s="806">
        <f>1+[2]!Salcycl*Ksac</f>
        <v>1.0373347051990596</v>
      </c>
      <c r="BH297" s="1036">
        <f t="shared" si="132"/>
        <v>5.0526119209696498E-3</v>
      </c>
      <c r="BI297" s="11">
        <v>44479</v>
      </c>
      <c r="BJ297" s="716">
        <v>8.4918428355233136E-4</v>
      </c>
      <c r="BK297" s="716">
        <v>1.5431939048986907E-3</v>
      </c>
      <c r="BL297" s="716">
        <v>2.3039969700986845E-3</v>
      </c>
      <c r="BM297" s="716">
        <v>3.1873391087946291E-3</v>
      </c>
      <c r="BN297" s="716">
        <v>4.0187942574145081E-3</v>
      </c>
      <c r="BO297" s="717">
        <v>5.0635513361712231E-3</v>
      </c>
      <c r="BP297" s="716">
        <v>6.3669855982214441E-3</v>
      </c>
      <c r="BQ297" s="716">
        <v>7.9905199158273096E-3</v>
      </c>
      <c r="BR297" s="716">
        <v>9.9676064578309593E-3</v>
      </c>
      <c r="BS297" s="716">
        <v>1.229537106174833E-2</v>
      </c>
      <c r="BT297" s="716">
        <v>1.4843748078608981E-2</v>
      </c>
      <c r="BW297" s="1166">
        <f>'2022'!R\Max</f>
        <v>0.77329713114685272</v>
      </c>
      <c r="BX297" s="1167">
        <f>'2023'!R\Max</f>
        <v>0.77328146052745383</v>
      </c>
      <c r="BY297" s="1167">
        <f>'2024'!R\Max</f>
        <v>0.77326204441665258</v>
      </c>
      <c r="BZ297" s="1167">
        <f>'2025'!R\Max</f>
        <v>0.77324252147322292</v>
      </c>
      <c r="CA297" s="1167">
        <f>'2026'!R\Max</f>
        <v>0.77321886006252738</v>
      </c>
      <c r="CB297" s="1167">
        <f>'2027'!R\Max</f>
        <v>0.77319507984916958</v>
      </c>
      <c r="CC297" s="1168">
        <f>'2028'!R\Max</f>
        <v>0.77316719265635969</v>
      </c>
      <c r="CD297" s="1167">
        <f>'2029'!R\Max</f>
        <v>0.77329791427048045</v>
      </c>
      <c r="CE297" s="1167">
        <f>'2030'!R\Max</f>
        <v>0.77328224371734977</v>
      </c>
      <c r="CF297" s="1169">
        <f>'2031'!R\Max</f>
        <v>0.77326302004569591</v>
      </c>
    </row>
    <row r="298" spans="1:84" s="6" customFormat="1" ht="11.25" x14ac:dyDescent="0.2">
      <c r="A298" s="11">
        <v>43384</v>
      </c>
      <c r="B298" s="375">
        <f>'2022'!Maxi_hp</f>
        <v>99.534723219686853</v>
      </c>
      <c r="C298" s="13">
        <f>'2022'!An_max</f>
        <v>2022</v>
      </c>
      <c r="D298" s="1045" t="str">
        <f t="shared" si="116"/>
        <v/>
      </c>
      <c r="E298" s="13"/>
      <c r="F298" s="13">
        <f t="shared" si="133"/>
        <v>21</v>
      </c>
      <c r="G298" s="13">
        <f t="shared" si="117"/>
        <v>22</v>
      </c>
      <c r="H298" s="169">
        <f t="shared" si="118"/>
        <v>43374</v>
      </c>
      <c r="I298" s="743">
        <f t="shared" si="119"/>
        <v>0.7142857142857143</v>
      </c>
      <c r="J298" s="736">
        <f t="shared" si="120"/>
        <v>165.85131195379154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38">
        <v>43384</v>
      </c>
      <c r="AP298" s="13">
        <f t="shared" si="121"/>
        <v>11</v>
      </c>
      <c r="AQ298" s="13">
        <f t="shared" si="122"/>
        <v>12</v>
      </c>
      <c r="AR298" s="169">
        <f t="shared" si="123"/>
        <v>43360</v>
      </c>
      <c r="AS298" s="743">
        <f t="shared" si="124"/>
        <v>0.8571428571428571</v>
      </c>
      <c r="AT298" s="759">
        <f t="shared" si="125"/>
        <v>165.79591836716446</v>
      </c>
      <c r="AU298" s="13">
        <f t="shared" si="126"/>
        <v>11</v>
      </c>
      <c r="AV298" s="13">
        <f t="shared" si="127"/>
        <v>12</v>
      </c>
      <c r="AW298" s="169">
        <f t="shared" si="128"/>
        <v>43374</v>
      </c>
      <c r="AX298" s="743">
        <f t="shared" si="129"/>
        <v>0.35714285714285715</v>
      </c>
      <c r="AY298" s="759">
        <f t="shared" si="130"/>
        <v>165.85313411030387</v>
      </c>
      <c r="AZ298" s="736">
        <f t="shared" si="134"/>
        <v>165.82452623873417</v>
      </c>
      <c r="BA298" s="633">
        <f t="shared" si="131"/>
        <v>0.60014432232781256</v>
      </c>
      <c r="BC298" s="11">
        <v>43384</v>
      </c>
      <c r="BD298" s="286">
        <f>[2]!FeuilCaduc*(1-Persistant)+Persistant</f>
        <v>0.89447343425168757</v>
      </c>
      <c r="BE298" s="287">
        <f>[2]!CroissVégét</f>
        <v>0.99398203191418089</v>
      </c>
      <c r="BF298" s="806">
        <f>1+[2]!Salcycl*Ksac</f>
        <v>1.0368091792814609</v>
      </c>
      <c r="BH298" s="1036">
        <f t="shared" si="132"/>
        <v>5.3597020502937822E-3</v>
      </c>
      <c r="BI298" s="11">
        <v>44480</v>
      </c>
      <c r="BJ298" s="716">
        <v>9.1476735428035259E-4</v>
      </c>
      <c r="BK298" s="716">
        <v>1.6537204529039312E-3</v>
      </c>
      <c r="BL298" s="716">
        <v>2.4634428922117161E-3</v>
      </c>
      <c r="BM298" s="716">
        <v>3.4010824028829836E-3</v>
      </c>
      <c r="BN298" s="716">
        <v>4.2774862926325116E-3</v>
      </c>
      <c r="BO298" s="717">
        <v>5.3711535933734685E-3</v>
      </c>
      <c r="BP298" s="716">
        <v>6.7264938185640057E-3</v>
      </c>
      <c r="BQ298" s="716">
        <v>8.4028486413933023E-3</v>
      </c>
      <c r="BR298" s="716">
        <v>1.0473471229537609E-2</v>
      </c>
      <c r="BS298" s="716">
        <v>1.2928819479672759E-2</v>
      </c>
      <c r="BT298" s="716">
        <v>1.5638689222274529E-2</v>
      </c>
      <c r="BW298" s="1166">
        <f>'2022'!R\Max</f>
        <v>0.60014432232781256</v>
      </c>
      <c r="BX298" s="1167">
        <f>'2023'!R\Max</f>
        <v>0.60012194349778869</v>
      </c>
      <c r="BY298" s="1167">
        <f>'2024'!R\Max</f>
        <v>0.600094405383929</v>
      </c>
      <c r="BZ298" s="1167">
        <f>'2025'!R\Max</f>
        <v>0.60006672245043979</v>
      </c>
      <c r="CA298" s="1167">
        <f>'2026'!R\Max</f>
        <v>0.60003270157772637</v>
      </c>
      <c r="CB298" s="1167">
        <f>'2027'!R\Max</f>
        <v>0.5999985022413814</v>
      </c>
      <c r="CC298" s="1168">
        <f>'2028'!R\Max</f>
        <v>0.59995811614949912</v>
      </c>
      <c r="CD298" s="1167">
        <f>'2029'!R\Max</f>
        <v>0.60014544070440967</v>
      </c>
      <c r="CE298" s="1167">
        <f>'2030'!R\Max</f>
        <v>0.60012306193699849</v>
      </c>
      <c r="CF298" s="1169">
        <f>'2031'!R\Max</f>
        <v>0.60009578882217518</v>
      </c>
    </row>
    <row r="299" spans="1:84" s="6" customFormat="1" ht="11.25" x14ac:dyDescent="0.2">
      <c r="A299" s="11">
        <v>43385</v>
      </c>
      <c r="B299" s="375">
        <f>'2022'!Maxi_hp</f>
        <v>125.02935085466613</v>
      </c>
      <c r="C299" s="13">
        <f>'2022'!An_max</f>
        <v>2022</v>
      </c>
      <c r="D299" s="1045" t="str">
        <f t="shared" si="116"/>
        <v/>
      </c>
      <c r="E299" s="13"/>
      <c r="F299" s="13">
        <f t="shared" si="133"/>
        <v>21</v>
      </c>
      <c r="G299" s="13">
        <f t="shared" si="117"/>
        <v>22</v>
      </c>
      <c r="H299" s="169">
        <f t="shared" si="118"/>
        <v>43374</v>
      </c>
      <c r="I299" s="743">
        <f t="shared" si="119"/>
        <v>0.7857142857142857</v>
      </c>
      <c r="J299" s="736">
        <f t="shared" si="120"/>
        <v>164.51539723026966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38">
        <v>43385</v>
      </c>
      <c r="AP299" s="13">
        <f t="shared" si="121"/>
        <v>11</v>
      </c>
      <c r="AQ299" s="13">
        <f t="shared" si="122"/>
        <v>12</v>
      </c>
      <c r="AR299" s="169">
        <f t="shared" si="123"/>
        <v>43360</v>
      </c>
      <c r="AS299" s="743">
        <f t="shared" si="124"/>
        <v>0.8928571428571429</v>
      </c>
      <c r="AT299" s="759">
        <f t="shared" si="125"/>
        <v>164.46476403055712</v>
      </c>
      <c r="AU299" s="13">
        <f t="shared" si="126"/>
        <v>11</v>
      </c>
      <c r="AV299" s="13">
        <f t="shared" si="127"/>
        <v>12</v>
      </c>
      <c r="AW299" s="169">
        <f t="shared" si="128"/>
        <v>43374</v>
      </c>
      <c r="AX299" s="743">
        <f t="shared" si="129"/>
        <v>0.39285714285714285</v>
      </c>
      <c r="AY299" s="759">
        <f t="shared" si="130"/>
        <v>164.48934037900932</v>
      </c>
      <c r="AZ299" s="736">
        <f t="shared" si="134"/>
        <v>164.47705220478321</v>
      </c>
      <c r="BA299" s="633">
        <f t="shared" si="131"/>
        <v>0.75998570929907849</v>
      </c>
      <c r="BC299" s="11">
        <v>43385</v>
      </c>
      <c r="BD299" s="286">
        <f>[2]!FeuilCaduc*(1-Persistant)+Persistant</f>
        <v>0.8901537565639891</v>
      </c>
      <c r="BE299" s="287">
        <f>[2]!CroissVégét</f>
        <v>0.99423611258398381</v>
      </c>
      <c r="BF299" s="806">
        <f>1+[2]!Salcycl*Ksac</f>
        <v>1.0362692195704986</v>
      </c>
      <c r="BH299" s="1036">
        <f t="shared" si="132"/>
        <v>5.6669801445465209E-3</v>
      </c>
      <c r="BI299" s="11">
        <v>44481</v>
      </c>
      <c r="BJ299" s="716">
        <v>9.9272823344508316E-4</v>
      </c>
      <c r="BK299" s="716">
        <v>1.7736729400603748E-3</v>
      </c>
      <c r="BL299" s="716">
        <v>2.6291266550939681E-3</v>
      </c>
      <c r="BM299" s="716">
        <v>3.6174548625502478E-3</v>
      </c>
      <c r="BN299" s="716">
        <v>4.5380999945473935E-3</v>
      </c>
      <c r="BO299" s="717">
        <v>5.6789254702156412E-3</v>
      </c>
      <c r="BP299" s="716">
        <v>7.0832724566410781E-3</v>
      </c>
      <c r="BQ299" s="716">
        <v>8.8080463364950314E-3</v>
      </c>
      <c r="BR299" s="716">
        <v>1.0979611056351488E-2</v>
      </c>
      <c r="BS299" s="716">
        <v>1.3580313620430716E-2</v>
      </c>
      <c r="BT299" s="716">
        <v>1.6480432001584465E-2</v>
      </c>
      <c r="BW299" s="1166">
        <f>'2022'!R\Max</f>
        <v>0.75998570929907849</v>
      </c>
      <c r="BX299" s="1167">
        <f>'2023'!R\Max</f>
        <v>0.75996802593747392</v>
      </c>
      <c r="BY299" s="1167">
        <f>'2024'!R\Max</f>
        <v>0.75994641341001834</v>
      </c>
      <c r="BZ299" s="1167">
        <f>'2025'!R\Max</f>
        <v>0.75992469074720814</v>
      </c>
      <c r="CA299" s="1167">
        <f>'2026'!R\Max</f>
        <v>0.75989748789898259</v>
      </c>
      <c r="CB299" s="1167">
        <f>'2027'!R\Max</f>
        <v>0.75987013099224543</v>
      </c>
      <c r="CC299" s="1168">
        <f>'2028'!R\Max</f>
        <v>0.75983750734484556</v>
      </c>
      <c r="CD299" s="1167">
        <f>'2029'!R\Max</f>
        <v>0.75998659300537708</v>
      </c>
      <c r="CE299" s="1167">
        <f>'2030'!R\Max</f>
        <v>0.75996890972259157</v>
      </c>
      <c r="CF299" s="1169">
        <f>'2031'!R\Max</f>
        <v>0.75994749896429081</v>
      </c>
    </row>
    <row r="300" spans="1:84" s="6" customFormat="1" ht="11.25" x14ac:dyDescent="0.2">
      <c r="A300" s="11">
        <v>43386</v>
      </c>
      <c r="B300" s="375">
        <f>'2022'!Maxi_hp</f>
        <v>96.671730861785207</v>
      </c>
      <c r="C300" s="13">
        <f>'2022'!An_max</f>
        <v>2022</v>
      </c>
      <c r="D300" s="1045" t="str">
        <f t="shared" si="116"/>
        <v/>
      </c>
      <c r="E300" s="13"/>
      <c r="F300" s="13">
        <f t="shared" si="133"/>
        <v>21</v>
      </c>
      <c r="G300" s="13">
        <f t="shared" si="117"/>
        <v>22</v>
      </c>
      <c r="H300" s="169">
        <f t="shared" si="118"/>
        <v>43374</v>
      </c>
      <c r="I300" s="743">
        <f t="shared" si="119"/>
        <v>0.8571428571428571</v>
      </c>
      <c r="J300" s="736">
        <f t="shared" si="120"/>
        <v>163.17784256562589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38">
        <v>43386</v>
      </c>
      <c r="AP300" s="13">
        <f t="shared" si="121"/>
        <v>11</v>
      </c>
      <c r="AQ300" s="13">
        <f t="shared" si="122"/>
        <v>12</v>
      </c>
      <c r="AR300" s="169">
        <f t="shared" si="123"/>
        <v>43360</v>
      </c>
      <c r="AS300" s="743">
        <f t="shared" si="124"/>
        <v>0.9285714285714286</v>
      </c>
      <c r="AT300" s="759">
        <f t="shared" si="125"/>
        <v>163.13775510165308</v>
      </c>
      <c r="AU300" s="13">
        <f t="shared" si="126"/>
        <v>11</v>
      </c>
      <c r="AV300" s="13">
        <f t="shared" si="127"/>
        <v>12</v>
      </c>
      <c r="AW300" s="169">
        <f t="shared" si="128"/>
        <v>43374</v>
      </c>
      <c r="AX300" s="743">
        <f t="shared" si="129"/>
        <v>0.42857142857142855</v>
      </c>
      <c r="AY300" s="759">
        <f t="shared" si="130"/>
        <v>163.12099125310777</v>
      </c>
      <c r="AZ300" s="736">
        <f t="shared" si="134"/>
        <v>163.12937317738044</v>
      </c>
      <c r="BA300" s="633">
        <f t="shared" si="131"/>
        <v>0.59243172566708224</v>
      </c>
      <c r="BC300" s="11">
        <v>43386</v>
      </c>
      <c r="BD300" s="286">
        <f>[2]!FeuilCaduc*(1-Persistant)+Persistant</f>
        <v>0.88572004947976746</v>
      </c>
      <c r="BE300" s="287">
        <f>[2]!CroissVégét</f>
        <v>0.99448008524317211</v>
      </c>
      <c r="BF300" s="806">
        <f>1+[2]!Salcycl*Ksac</f>
        <v>1.0357150061849709</v>
      </c>
      <c r="BH300" s="1036">
        <f t="shared" si="132"/>
        <v>5.9744408328979738E-3</v>
      </c>
      <c r="BI300" s="11">
        <v>44482</v>
      </c>
      <c r="BJ300" s="716">
        <v>1.0830821281028597E-3</v>
      </c>
      <c r="BK300" s="716">
        <v>1.9030619303279709E-3</v>
      </c>
      <c r="BL300" s="716">
        <v>2.8010537965196211E-3</v>
      </c>
      <c r="BM300" s="716">
        <v>3.8364563195796507E-3</v>
      </c>
      <c r="BN300" s="716">
        <v>4.8006333630874745E-3</v>
      </c>
      <c r="BO300" s="717">
        <v>5.986861560199932E-3</v>
      </c>
      <c r="BP300" s="716">
        <v>7.4373109523967846E-3</v>
      </c>
      <c r="BQ300" s="716">
        <v>9.2060950264236593E-3</v>
      </c>
      <c r="BR300" s="716">
        <v>1.1486015543582133E-2</v>
      </c>
      <c r="BS300" s="716">
        <v>1.4249863800260859E-2</v>
      </c>
      <c r="BT300" s="716">
        <v>1.7369021506026386E-2</v>
      </c>
      <c r="BW300" s="1166">
        <f>'2022'!R\Max</f>
        <v>0.59243172566708224</v>
      </c>
      <c r="BX300" s="1167">
        <f>'2023'!R\Max</f>
        <v>0.59240747297560581</v>
      </c>
      <c r="BY300" s="1167">
        <f>'2024'!R\Max</f>
        <v>0.59237803640599551</v>
      </c>
      <c r="BZ300" s="1167">
        <f>'2025'!R\Max</f>
        <v>0.59234845686277915</v>
      </c>
      <c r="CA300" s="1167">
        <f>'2026'!R\Max</f>
        <v>0.59231055262967025</v>
      </c>
      <c r="CB300" s="1167">
        <f>'2027'!R\Max</f>
        <v>0.59227241867585101</v>
      </c>
      <c r="CC300" s="1168">
        <f>'2028'!R\Max</f>
        <v>0.59222640004669613</v>
      </c>
      <c r="CD300" s="1167">
        <f>'2029'!R\Max</f>
        <v>0.5924329376876909</v>
      </c>
      <c r="CE300" s="1167">
        <f>'2030'!R\Max</f>
        <v>0.5924086850674215</v>
      </c>
      <c r="CF300" s="1169">
        <f>'2031'!R\Max</f>
        <v>0.59237951462433014</v>
      </c>
    </row>
    <row r="301" spans="1:84" s="6" customFormat="1" ht="11.25" x14ac:dyDescent="0.2">
      <c r="A301" s="11">
        <v>43387</v>
      </c>
      <c r="B301" s="375">
        <f>'2022'!Maxi_hp</f>
        <v>86.160128113136821</v>
      </c>
      <c r="C301" s="13">
        <f>'2022'!An_max</f>
        <v>2022</v>
      </c>
      <c r="D301" s="1045" t="str">
        <f t="shared" si="116"/>
        <v/>
      </c>
      <c r="E301" s="13"/>
      <c r="F301" s="13">
        <f t="shared" si="133"/>
        <v>21</v>
      </c>
      <c r="G301" s="13">
        <f t="shared" si="117"/>
        <v>22</v>
      </c>
      <c r="H301" s="169">
        <f t="shared" si="118"/>
        <v>43374</v>
      </c>
      <c r="I301" s="743">
        <f t="shared" si="119"/>
        <v>0.9285714285714286</v>
      </c>
      <c r="J301" s="736">
        <f t="shared" si="120"/>
        <v>161.83919460629778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38">
        <v>43387</v>
      </c>
      <c r="AP301" s="13">
        <f t="shared" si="121"/>
        <v>11</v>
      </c>
      <c r="AQ301" s="13">
        <f t="shared" si="122"/>
        <v>12</v>
      </c>
      <c r="AR301" s="169">
        <f t="shared" si="123"/>
        <v>43360</v>
      </c>
      <c r="AS301" s="743">
        <f t="shared" si="124"/>
        <v>0.9642857142857143</v>
      </c>
      <c r="AT301" s="759">
        <f t="shared" si="125"/>
        <v>161.81584821435223</v>
      </c>
      <c r="AU301" s="13">
        <f t="shared" si="126"/>
        <v>11</v>
      </c>
      <c r="AV301" s="13">
        <f t="shared" si="127"/>
        <v>12</v>
      </c>
      <c r="AW301" s="169">
        <f t="shared" si="128"/>
        <v>43374</v>
      </c>
      <c r="AX301" s="743">
        <f t="shared" si="129"/>
        <v>0.4642857142857143</v>
      </c>
      <c r="AY301" s="759">
        <f t="shared" si="130"/>
        <v>161.74918002858757</v>
      </c>
      <c r="AZ301" s="736">
        <f t="shared" si="134"/>
        <v>161.78251412146989</v>
      </c>
      <c r="BA301" s="633">
        <f t="shared" si="131"/>
        <v>0.53238109793326915</v>
      </c>
      <c r="BC301" s="11">
        <v>43387</v>
      </c>
      <c r="BD301" s="286">
        <f>[2]!FeuilCaduc*(1-Persistant)+Persistant</f>
        <v>0.88117416024711881</v>
      </c>
      <c r="BE301" s="287">
        <f>[2]!CroissVégét</f>
        <v>0.99471434732473374</v>
      </c>
      <c r="BF301" s="806">
        <f>1+[2]!Salcycl*Ksac</f>
        <v>1.0351467700308898</v>
      </c>
      <c r="BH301" s="1036">
        <f t="shared" si="132"/>
        <v>6.2820776304300038E-3</v>
      </c>
      <c r="BI301" s="11">
        <v>44483</v>
      </c>
      <c r="BJ301" s="716">
        <v>1.1858438871412648E-3</v>
      </c>
      <c r="BK301" s="716">
        <v>2.0418974953231059E-3</v>
      </c>
      <c r="BL301" s="716">
        <v>2.9792292156414391E-3</v>
      </c>
      <c r="BM301" s="716">
        <v>4.0580858055171663E-3</v>
      </c>
      <c r="BN301" s="716">
        <v>5.065083442163245E-3</v>
      </c>
      <c r="BO301" s="717">
        <v>6.2949553410676512E-3</v>
      </c>
      <c r="BP301" s="716">
        <v>7.7885974709015551E-3</v>
      </c>
      <c r="BQ301" s="716">
        <v>9.5969753142551868E-3</v>
      </c>
      <c r="BR301" s="716">
        <v>1.1992672464284889E-2</v>
      </c>
      <c r="BS301" s="716">
        <v>1.4937477868752576E-2</v>
      </c>
      <c r="BT301" s="716">
        <v>1.8304499493954463E-2</v>
      </c>
      <c r="BW301" s="1166">
        <f>'2022'!R\Max</f>
        <v>0.53238109793326915</v>
      </c>
      <c r="BX301" s="1167">
        <f>'2023'!R\Max</f>
        <v>0.53235526813759104</v>
      </c>
      <c r="BY301" s="1167">
        <f>'2024'!R\Max</f>
        <v>0.53232413666047085</v>
      </c>
      <c r="BZ301" s="1167">
        <f>'2025'!R\Max</f>
        <v>0.53229286060415892</v>
      </c>
      <c r="CA301" s="1167">
        <f>'2026'!R\Max</f>
        <v>0.53225169043781029</v>
      </c>
      <c r="CB301" s="1167">
        <f>'2027'!R\Max</f>
        <v>0.53221025064432992</v>
      </c>
      <c r="CC301" s="1168">
        <f>'2028'!R\Max</f>
        <v>0.53215955736070542</v>
      </c>
      <c r="CD301" s="1167">
        <f>'2029'!R\Max</f>
        <v>0.53238238877629496</v>
      </c>
      <c r="CE301" s="1167">
        <f>'2030'!R\Max</f>
        <v>0.53235655904286905</v>
      </c>
      <c r="CF301" s="1169">
        <f>'2031'!R\Max</f>
        <v>0.53232569967181698</v>
      </c>
    </row>
    <row r="302" spans="1:84" s="6" customFormat="1" ht="11.25" x14ac:dyDescent="0.2">
      <c r="A302" s="11">
        <v>43388</v>
      </c>
      <c r="B302" s="375">
        <f>'2022'!Maxi_hp</f>
        <v>157.4095998459747</v>
      </c>
      <c r="C302" s="13">
        <f>'2022'!An_max</f>
        <v>2022</v>
      </c>
      <c r="D302" s="1045">
        <f t="shared" si="116"/>
        <v>0.98074517037762832</v>
      </c>
      <c r="E302" s="1040">
        <f>AH$13/10</f>
        <v>160.5</v>
      </c>
      <c r="F302" s="13">
        <f t="shared" si="133"/>
        <v>23</v>
      </c>
      <c r="G302" s="13">
        <f t="shared" si="117"/>
        <v>22</v>
      </c>
      <c r="H302" s="169">
        <f t="shared" si="118"/>
        <v>43402</v>
      </c>
      <c r="I302" s="743">
        <f t="shared" si="119"/>
        <v>1</v>
      </c>
      <c r="J302" s="736">
        <f t="shared" si="120"/>
        <v>160.50000000037252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38">
        <v>43388</v>
      </c>
      <c r="AP302" s="13">
        <f t="shared" si="121"/>
        <v>13</v>
      </c>
      <c r="AQ302" s="13">
        <f t="shared" si="122"/>
        <v>12</v>
      </c>
      <c r="AR302" s="169">
        <f t="shared" si="123"/>
        <v>43416</v>
      </c>
      <c r="AS302" s="743">
        <f t="shared" si="124"/>
        <v>1</v>
      </c>
      <c r="AT302" s="759">
        <f t="shared" si="125"/>
        <v>160.5</v>
      </c>
      <c r="AU302" s="13">
        <f t="shared" si="126"/>
        <v>11</v>
      </c>
      <c r="AV302" s="13">
        <f t="shared" si="127"/>
        <v>12</v>
      </c>
      <c r="AW302" s="169">
        <f t="shared" si="128"/>
        <v>43374</v>
      </c>
      <c r="AX302" s="743">
        <f t="shared" si="129"/>
        <v>0.5</v>
      </c>
      <c r="AY302" s="759">
        <f t="shared" si="130"/>
        <v>160.37499999962748</v>
      </c>
      <c r="AZ302" s="736">
        <f t="shared" si="134"/>
        <v>160.43749999981372</v>
      </c>
      <c r="BA302" s="633">
        <f t="shared" si="131"/>
        <v>0.98074517037762832</v>
      </c>
      <c r="BC302" s="11">
        <v>43388</v>
      </c>
      <c r="BD302" s="286">
        <f>[2]!FeuilCaduc*(1-Persistant)+Persistant</f>
        <v>0.87651835122667876</v>
      </c>
      <c r="BE302" s="287">
        <f>[2]!CroissVégét</f>
        <v>0.99493928100346574</v>
      </c>
      <c r="BF302" s="806">
        <f>1+[2]!Salcycl*Ksac</f>
        <v>1.0345647939033349</v>
      </c>
      <c r="BH302" s="1036">
        <f t="shared" si="132"/>
        <v>6.589882938848165E-3</v>
      </c>
      <c r="BI302" s="11">
        <v>44484</v>
      </c>
      <c r="BJ302" s="716">
        <v>1.3010278886921899E-3</v>
      </c>
      <c r="BK302" s="716">
        <v>2.1901891290612586E-3</v>
      </c>
      <c r="BL302" s="716">
        <v>3.163657117253096E-3</v>
      </c>
      <c r="BM302" s="716">
        <v>4.2823415293390781E-3</v>
      </c>
      <c r="BN302" s="716">
        <v>5.3314463041551638E-3</v>
      </c>
      <c r="BO302" s="717">
        <v>6.6031991756828464E-3</v>
      </c>
      <c r="BP302" s="716">
        <v>8.1371189301369211E-3</v>
      </c>
      <c r="BQ302" s="716">
        <v>9.9806664492695634E-3</v>
      </c>
      <c r="BR302" s="716">
        <v>1.2499567760742158E-2</v>
      </c>
      <c r="BS302" s="716">
        <v>1.5643161048949455E-2</v>
      </c>
      <c r="BT302" s="716">
        <v>1.928690397120314E-2</v>
      </c>
      <c r="BW302" s="1166">
        <f>'2022'!R\Max</f>
        <v>0.98074517037762832</v>
      </c>
      <c r="BX302" s="1167">
        <f>'2023'!R\Max</f>
        <v>0.98074315206782181</v>
      </c>
      <c r="BY302" s="1167">
        <f>'2024'!R\Max</f>
        <v>0.98074073656166383</v>
      </c>
      <c r="BZ302" s="1167">
        <f>'2025'!R\Max</f>
        <v>0.9807383100368694</v>
      </c>
      <c r="CA302" s="1167">
        <f>'2026'!R\Max</f>
        <v>0.98073501702956689</v>
      </c>
      <c r="CB302" s="1167">
        <f>'2027'!R\Max</f>
        <v>0.98073170011320376</v>
      </c>
      <c r="CC302" s="1168">
        <f>'2028'!R\Max</f>
        <v>0.9807275808823066</v>
      </c>
      <c r="CD302" s="1167">
        <f>'2029'!R\Max</f>
        <v>0.98074527123742983</v>
      </c>
      <c r="CE302" s="1167">
        <f>'2030'!R\Max</f>
        <v>0.98074325294230136</v>
      </c>
      <c r="CF302" s="1169">
        <f>'2031'!R\Max</f>
        <v>0.98074085781907994</v>
      </c>
    </row>
    <row r="303" spans="1:84" s="6" customFormat="1" ht="11.25" x14ac:dyDescent="0.2">
      <c r="A303" s="11">
        <v>43389</v>
      </c>
      <c r="B303" s="375">
        <f>'2022'!Maxi_hp</f>
        <v>141.13609952426535</v>
      </c>
      <c r="C303" s="13">
        <f>'2022'!An_max</f>
        <v>2022</v>
      </c>
      <c r="D303" s="1045" t="str">
        <f t="shared" si="116"/>
        <v/>
      </c>
      <c r="E303" s="13"/>
      <c r="F303" s="13">
        <f t="shared" si="133"/>
        <v>23</v>
      </c>
      <c r="G303" s="13">
        <f t="shared" si="117"/>
        <v>22</v>
      </c>
      <c r="H303" s="169">
        <f t="shared" si="118"/>
        <v>43402</v>
      </c>
      <c r="I303" s="743">
        <f t="shared" si="119"/>
        <v>0.9285714285714286</v>
      </c>
      <c r="J303" s="736">
        <f t="shared" si="120"/>
        <v>159.15706997080039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38">
        <v>43389</v>
      </c>
      <c r="AP303" s="13">
        <f t="shared" si="121"/>
        <v>13</v>
      </c>
      <c r="AQ303" s="13">
        <f t="shared" si="122"/>
        <v>12</v>
      </c>
      <c r="AR303" s="169">
        <f t="shared" si="123"/>
        <v>43416</v>
      </c>
      <c r="AS303" s="743">
        <f t="shared" si="124"/>
        <v>0.9642857142857143</v>
      </c>
      <c r="AT303" s="759">
        <f t="shared" si="125"/>
        <v>159.17824116254758</v>
      </c>
      <c r="AU303" s="13">
        <f t="shared" si="126"/>
        <v>11</v>
      </c>
      <c r="AV303" s="13">
        <f t="shared" si="127"/>
        <v>12</v>
      </c>
      <c r="AW303" s="169">
        <f t="shared" si="128"/>
        <v>43374</v>
      </c>
      <c r="AX303" s="743">
        <f t="shared" si="129"/>
        <v>0.5357142857142857</v>
      </c>
      <c r="AY303" s="759">
        <f t="shared" si="130"/>
        <v>158.99954446072556</v>
      </c>
      <c r="AZ303" s="736">
        <f t="shared" si="134"/>
        <v>159.08889281163658</v>
      </c>
      <c r="BA303" s="633">
        <f t="shared" si="131"/>
        <v>0.88677241639443827</v>
      </c>
      <c r="BC303" s="11">
        <v>43389</v>
      </c>
      <c r="BD303" s="286">
        <f>[2]!FeuilCaduc*(1-Persistant)+Persistant</f>
        <v>0.8717553063806176</v>
      </c>
      <c r="BE303" s="287">
        <f>[2]!CroissVégét</f>
        <v>0.99515525375273173</v>
      </c>
      <c r="BF303" s="806">
        <f>1+[2]!Salcycl*Ksac</f>
        <v>1.0339694132975772</v>
      </c>
      <c r="BH303" s="1036">
        <f t="shared" si="132"/>
        <v>6.8978480472101393E-3</v>
      </c>
      <c r="BI303" s="11">
        <v>44485</v>
      </c>
      <c r="BJ303" s="716">
        <v>1.428647927547677E-3</v>
      </c>
      <c r="BK303" s="716">
        <v>2.3479456627046955E-3</v>
      </c>
      <c r="BL303" s="716">
        <v>3.3543409560590231E-3</v>
      </c>
      <c r="BM303" s="716">
        <v>4.5092208551299516E-3</v>
      </c>
      <c r="BN303" s="716">
        <v>5.5997170344145586E-3</v>
      </c>
      <c r="BO303" s="717">
        <v>6.9115843129324483E-3</v>
      </c>
      <c r="BP303" s="716">
        <v>8.4828610288010028E-3</v>
      </c>
      <c r="BQ303" s="716">
        <v>1.0357146395395742E-2</v>
      </c>
      <c r="BR303" s="716">
        <v>1.3006685545977011E-2</v>
      </c>
      <c r="BS303" s="716">
        <v>1.6366915777492653E-2</v>
      </c>
      <c r="BT303" s="716">
        <v>2.0316268769749079E-2</v>
      </c>
      <c r="BW303" s="1166">
        <f>'2022'!R\Max</f>
        <v>0.88677241639443827</v>
      </c>
      <c r="BX303" s="1167">
        <f>'2023'!R\Max</f>
        <v>0.88676139120644093</v>
      </c>
      <c r="BY303" s="1167">
        <f>'2024'!R\Max</f>
        <v>0.88674829287438961</v>
      </c>
      <c r="BZ303" s="1167">
        <f>'2025'!R\Max</f>
        <v>0.88673513769148404</v>
      </c>
      <c r="CA303" s="1167">
        <f>'2026'!R\Max</f>
        <v>0.88671667808327681</v>
      </c>
      <c r="CB303" s="1167">
        <f>'2027'!R\Max</f>
        <v>0.88669807410688228</v>
      </c>
      <c r="CC303" s="1168">
        <f>'2028'!R\Max</f>
        <v>0.88667460286344191</v>
      </c>
      <c r="CD303" s="1167">
        <f>'2029'!R\Max</f>
        <v>0.88677296735445155</v>
      </c>
      <c r="CE303" s="1167">
        <f>'2030'!R\Max</f>
        <v>0.88676194223745619</v>
      </c>
      <c r="CF303" s="1169">
        <f>'2031'!R\Max</f>
        <v>0.88674895026772471</v>
      </c>
    </row>
    <row r="304" spans="1:84" s="6" customFormat="1" ht="11.25" x14ac:dyDescent="0.2">
      <c r="A304" s="11">
        <v>43390</v>
      </c>
      <c r="B304" s="375">
        <f>'2022'!Maxi_hp</f>
        <v>90.44932204480186</v>
      </c>
      <c r="C304" s="13">
        <f>'2022'!An_max</f>
        <v>2022</v>
      </c>
      <c r="D304" s="1045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69">
        <f t="shared" si="118"/>
        <v>43402</v>
      </c>
      <c r="I304" s="743">
        <f t="shared" si="119"/>
        <v>0.8571428571428571</v>
      </c>
      <c r="J304" s="736">
        <f t="shared" si="120"/>
        <v>157.80758017471859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38">
        <v>43390</v>
      </c>
      <c r="AP304" s="13">
        <f t="shared" si="121"/>
        <v>13</v>
      </c>
      <c r="AQ304" s="13">
        <f t="shared" si="122"/>
        <v>12</v>
      </c>
      <c r="AR304" s="169">
        <f t="shared" si="123"/>
        <v>43416</v>
      </c>
      <c r="AS304" s="743">
        <f t="shared" si="124"/>
        <v>0.9285714285714286</v>
      </c>
      <c r="AT304" s="759">
        <f t="shared" si="125"/>
        <v>157.83919460643082</v>
      </c>
      <c r="AU304" s="13">
        <f t="shared" si="126"/>
        <v>11</v>
      </c>
      <c r="AV304" s="13">
        <f t="shared" si="127"/>
        <v>12</v>
      </c>
      <c r="AW304" s="169">
        <f t="shared" si="128"/>
        <v>43374</v>
      </c>
      <c r="AX304" s="743">
        <f t="shared" si="129"/>
        <v>0.5714285714285714</v>
      </c>
      <c r="AY304" s="759">
        <f t="shared" si="130"/>
        <v>157.62390670616713</v>
      </c>
      <c r="AZ304" s="736">
        <f t="shared" si="134"/>
        <v>157.73155065629896</v>
      </c>
      <c r="BA304" s="633">
        <f t="shared" si="131"/>
        <v>0.57316208730062135</v>
      </c>
      <c r="BC304" s="11">
        <v>43390</v>
      </c>
      <c r="BD304" s="286">
        <f>[2]!FeuilCaduc*(1-Persistant)+Persistant</f>
        <v>0.86688813531301845</v>
      </c>
      <c r="BE304" s="287">
        <f>[2]!CroissVégét</f>
        <v>0.99536261888322142</v>
      </c>
      <c r="BF304" s="806">
        <f>1+[2]!Salcycl*Ksac</f>
        <v>1.0333610169141274</v>
      </c>
      <c r="BH304" s="1036">
        <f t="shared" si="132"/>
        <v>7.22053547205716E-3</v>
      </c>
      <c r="BI304" s="11">
        <v>44486</v>
      </c>
      <c r="BJ304" s="716">
        <v>1.5619037477886627E-3</v>
      </c>
      <c r="BK304" s="716">
        <v>2.5062088154519119E-3</v>
      </c>
      <c r="BL304" s="716">
        <v>3.5399480203908117E-3</v>
      </c>
      <c r="BM304" s="716">
        <v>4.7248776502576339E-3</v>
      </c>
      <c r="BN304" s="716">
        <v>5.8679428850040042E-3</v>
      </c>
      <c r="BO304" s="717">
        <v>7.234848026804447E-3</v>
      </c>
      <c r="BP304" s="716">
        <v>8.86314062228339E-3</v>
      </c>
      <c r="BQ304" s="716">
        <v>1.077935635886572E-2</v>
      </c>
      <c r="BR304" s="716">
        <v>1.3587258402609161E-2</v>
      </c>
      <c r="BS304" s="716">
        <v>1.7207409523848898E-2</v>
      </c>
      <c r="BT304" s="716">
        <v>2.1520241165007316E-2</v>
      </c>
      <c r="BW304" s="1166">
        <f>'2022'!R\Max</f>
        <v>0.57316208730062135</v>
      </c>
      <c r="BX304" s="1167">
        <f>'2023'!R\Max</f>
        <v>0.57313416863571442</v>
      </c>
      <c r="BY304" s="1167">
        <f>'2024'!R\Max</f>
        <v>0.57310143730799057</v>
      </c>
      <c r="BZ304" s="1167">
        <f>'2025'!R\Max</f>
        <v>0.57306857728833405</v>
      </c>
      <c r="CA304" s="1167">
        <f>'2026'!R\Max</f>
        <v>0.57302081311660502</v>
      </c>
      <c r="CB304" s="1167">
        <f>'2027'!R\Max</f>
        <v>0.57297265261782893</v>
      </c>
      <c r="CC304" s="1168">
        <f>'2028'!R\Max</f>
        <v>0.57291090939591416</v>
      </c>
      <c r="CD304" s="1167">
        <f>'2029'!R\Max</f>
        <v>0.57316348252445859</v>
      </c>
      <c r="CE304" s="1167">
        <f>'2030'!R\Max</f>
        <v>0.57313556394654641</v>
      </c>
      <c r="CF304" s="1169">
        <f>'2031'!R\Max</f>
        <v>0.57310307946449734</v>
      </c>
    </row>
    <row r="305" spans="1:84" s="6" customFormat="1" ht="11.25" x14ac:dyDescent="0.2">
      <c r="A305" s="11">
        <v>43391</v>
      </c>
      <c r="B305" s="375">
        <f>'2022'!Maxi_hp</f>
        <v>144.41565792808763</v>
      </c>
      <c r="C305" s="13">
        <f>'2022'!An_max</f>
        <v>2022</v>
      </c>
      <c r="D305" s="1045" t="str">
        <f t="shared" si="116"/>
        <v/>
      </c>
      <c r="E305" s="13"/>
      <c r="F305" s="13">
        <f t="shared" si="133"/>
        <v>23</v>
      </c>
      <c r="G305" s="13">
        <f t="shared" si="117"/>
        <v>22</v>
      </c>
      <c r="H305" s="169">
        <f t="shared" si="118"/>
        <v>43402</v>
      </c>
      <c r="I305" s="743">
        <f t="shared" si="119"/>
        <v>0.7857142857142857</v>
      </c>
      <c r="J305" s="736">
        <f t="shared" si="120"/>
        <v>156.45262390651874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38">
        <v>43391</v>
      </c>
      <c r="AP305" s="13">
        <f t="shared" si="121"/>
        <v>13</v>
      </c>
      <c r="AQ305" s="13">
        <f t="shared" si="122"/>
        <v>12</v>
      </c>
      <c r="AR305" s="169">
        <f t="shared" si="123"/>
        <v>43416</v>
      </c>
      <c r="AS305" s="743">
        <f t="shared" si="124"/>
        <v>0.8928571428571429</v>
      </c>
      <c r="AT305" s="759">
        <f t="shared" si="125"/>
        <v>156.48470526529209</v>
      </c>
      <c r="AU305" s="13">
        <f t="shared" si="126"/>
        <v>11</v>
      </c>
      <c r="AV305" s="13">
        <f t="shared" si="127"/>
        <v>12</v>
      </c>
      <c r="AW305" s="169">
        <f t="shared" si="128"/>
        <v>43374</v>
      </c>
      <c r="AX305" s="743">
        <f t="shared" si="129"/>
        <v>0.6071428571428571</v>
      </c>
      <c r="AY305" s="759">
        <f t="shared" si="130"/>
        <v>156.24918002882706</v>
      </c>
      <c r="AZ305" s="736">
        <f t="shared" si="134"/>
        <v>156.36694264705957</v>
      </c>
      <c r="BA305" s="633">
        <f t="shared" si="131"/>
        <v>0.92306318885630667</v>
      </c>
      <c r="BC305" s="11">
        <v>43391</v>
      </c>
      <c r="BD305" s="286">
        <f>[2]!FeuilCaduc*(1-Persistant)+Persistant</f>
        <v>0.86192037475695327</v>
      </c>
      <c r="BE305" s="287">
        <f>[2]!CroissVégét</f>
        <v>0.99556171606410238</v>
      </c>
      <c r="BF305" s="806">
        <f>1+[2]!Salcycl*Ksac</f>
        <v>1.0327400468446191</v>
      </c>
      <c r="BH305" s="1036">
        <f t="shared" si="132"/>
        <v>7.5402510213033952E-3</v>
      </c>
      <c r="BI305" s="11">
        <v>44487</v>
      </c>
      <c r="BJ305" s="716">
        <v>1.6924757511885707E-3</v>
      </c>
      <c r="BK305" s="716">
        <v>2.6548153372029652E-3</v>
      </c>
      <c r="BL305" s="716">
        <v>3.7083575675382692E-3</v>
      </c>
      <c r="BM305" s="716">
        <v>4.9151629358138542E-3</v>
      </c>
      <c r="BN305" s="716">
        <v>6.1199550938245513E-3</v>
      </c>
      <c r="BO305" s="717">
        <v>7.555279983767013E-3</v>
      </c>
      <c r="BP305" s="716">
        <v>9.2595448810422597E-3</v>
      </c>
      <c r="BQ305" s="716">
        <v>1.1229570357544244E-2</v>
      </c>
      <c r="BR305" s="716">
        <v>1.4224922912545223E-2</v>
      </c>
      <c r="BS305" s="716">
        <v>1.8150183332172404E-2</v>
      </c>
      <c r="BT305" s="716">
        <v>2.2886196734240666E-2</v>
      </c>
      <c r="BW305" s="1166">
        <f>'2022'!R\Max</f>
        <v>0.92306318885630667</v>
      </c>
      <c r="BX305" s="1167">
        <f>'2023'!R\Max</f>
        <v>0.92305468152349246</v>
      </c>
      <c r="BY305" s="1167">
        <f>'2024'!R\Max</f>
        <v>0.92304487966493765</v>
      </c>
      <c r="BZ305" s="1167">
        <f>'2025'!R\Max</f>
        <v>0.92303504243673029</v>
      </c>
      <c r="CA305" s="1167">
        <f>'2026'!R\Max</f>
        <v>0.92302021202334994</v>
      </c>
      <c r="CB305" s="1167">
        <f>'2027'!R\Max</f>
        <v>0.92300524772685621</v>
      </c>
      <c r="CC305" s="1168">
        <f>'2028'!R\Max</f>
        <v>0.92298574977968406</v>
      </c>
      <c r="CD305" s="1167">
        <f>'2029'!R\Max</f>
        <v>0.92306361398737657</v>
      </c>
      <c r="CE305" s="1167">
        <f>'2030'!R\Max</f>
        <v>0.92305510671802848</v>
      </c>
      <c r="CF305" s="1169">
        <f>'2031'!R\Max</f>
        <v>0.92304537124793651</v>
      </c>
    </row>
    <row r="306" spans="1:84" s="6" customFormat="1" ht="11.25" x14ac:dyDescent="0.2">
      <c r="A306" s="11">
        <v>43392</v>
      </c>
      <c r="B306" s="375">
        <f>'2022'!Maxi_hp</f>
        <v>63.744201053360378</v>
      </c>
      <c r="C306" s="13">
        <f>'2022'!An_max</f>
        <v>2022</v>
      </c>
      <c r="D306" s="1045" t="str">
        <f t="shared" si="116"/>
        <v/>
      </c>
      <c r="E306" s="13"/>
      <c r="F306" s="13">
        <f t="shared" si="133"/>
        <v>23</v>
      </c>
      <c r="G306" s="13">
        <f t="shared" si="117"/>
        <v>22</v>
      </c>
      <c r="H306" s="169">
        <f t="shared" si="118"/>
        <v>43402</v>
      </c>
      <c r="I306" s="743">
        <f t="shared" si="119"/>
        <v>0.7142857142857143</v>
      </c>
      <c r="J306" s="736">
        <f t="shared" si="120"/>
        <v>155.09329446006035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38">
        <v>43392</v>
      </c>
      <c r="AP306" s="13">
        <f t="shared" si="121"/>
        <v>13</v>
      </c>
      <c r="AQ306" s="13">
        <f t="shared" si="122"/>
        <v>12</v>
      </c>
      <c r="AR306" s="169">
        <f t="shared" si="123"/>
        <v>43416</v>
      </c>
      <c r="AS306" s="743">
        <f t="shared" si="124"/>
        <v>0.8571428571428571</v>
      </c>
      <c r="AT306" s="759">
        <f t="shared" si="125"/>
        <v>155.11661807628616</v>
      </c>
      <c r="AU306" s="13">
        <f t="shared" si="126"/>
        <v>11</v>
      </c>
      <c r="AV306" s="13">
        <f t="shared" si="127"/>
        <v>12</v>
      </c>
      <c r="AW306" s="169">
        <f t="shared" si="128"/>
        <v>43374</v>
      </c>
      <c r="AX306" s="743">
        <f t="shared" si="129"/>
        <v>0.6428571428571429</v>
      </c>
      <c r="AY306" s="759">
        <f t="shared" si="130"/>
        <v>154.87645772551849</v>
      </c>
      <c r="AZ306" s="736">
        <f t="shared" si="134"/>
        <v>154.99653790090233</v>
      </c>
      <c r="BA306" s="633">
        <f t="shared" si="131"/>
        <v>0.41100552590154565</v>
      </c>
      <c r="BC306" s="11">
        <v>43392</v>
      </c>
      <c r="BD306" s="286">
        <f>[2]!FeuilCaduc*(1-Persistant)+Persistant</f>
        <v>0.85685598742298774</v>
      </c>
      <c r="BE306" s="287">
        <f>[2]!CroissVégét</f>
        <v>0.99575287182696259</v>
      </c>
      <c r="BF306" s="806">
        <f>1+[2]!Salcycl*Ksac</f>
        <v>1.0321069984278735</v>
      </c>
      <c r="BH306" s="1036">
        <f t="shared" si="132"/>
        <v>7.856978523218365E-3</v>
      </c>
      <c r="BI306" s="11">
        <v>44488</v>
      </c>
      <c r="BJ306" s="716">
        <v>1.8203567347842428E-3</v>
      </c>
      <c r="BK306" s="716">
        <v>2.7937480989803569E-3</v>
      </c>
      <c r="BL306" s="716">
        <v>3.8595417170381361E-3</v>
      </c>
      <c r="BM306" s="716">
        <v>5.0800371117446976E-3</v>
      </c>
      <c r="BN306" s="716">
        <v>6.355723364702171E-3</v>
      </c>
      <c r="BO306" s="717">
        <v>7.872864161548471E-3</v>
      </c>
      <c r="BP306" s="716">
        <v>9.6720786701841414E-3</v>
      </c>
      <c r="BQ306" s="716">
        <v>1.1707805426348012E-2</v>
      </c>
      <c r="BR306" s="716">
        <v>1.4919726561094429E-2</v>
      </c>
      <c r="BS306" s="716">
        <v>1.9195332399805087E-2</v>
      </c>
      <c r="BT306" s="716">
        <v>2.4414293759518025E-2</v>
      </c>
      <c r="BW306" s="1166">
        <f>'2022'!R\Max</f>
        <v>0.41100552590154565</v>
      </c>
      <c r="BX306" s="1167">
        <f>'2023'!R\Max</f>
        <v>0.41097482593005963</v>
      </c>
      <c r="BY306" s="1167">
        <f>'2024'!R\Max</f>
        <v>0.41094019096780604</v>
      </c>
      <c r="BZ306" s="1167">
        <f>'2025'!R\Max</f>
        <v>0.41090545324506905</v>
      </c>
      <c r="CA306" s="1167">
        <f>'2026'!R\Max</f>
        <v>0.41085114823873359</v>
      </c>
      <c r="CB306" s="1167">
        <f>'2027'!R\Max</f>
        <v>0.41079633490675616</v>
      </c>
      <c r="CC306" s="1168">
        <f>'2028'!R\Max</f>
        <v>0.41072382218194797</v>
      </c>
      <c r="CD306" s="1167">
        <f>'2029'!R\Max</f>
        <v>0.41100706014757665</v>
      </c>
      <c r="CE306" s="1167">
        <f>'2030'!R\Max</f>
        <v>0.41097636021929762</v>
      </c>
      <c r="CF306" s="1169">
        <f>'2031'!R\Max</f>
        <v>0.41094192699904813</v>
      </c>
    </row>
    <row r="307" spans="1:84" s="6" customFormat="1" ht="11.25" x14ac:dyDescent="0.2">
      <c r="A307" s="11">
        <v>43393</v>
      </c>
      <c r="B307" s="375">
        <f>'2022'!Maxi_hp</f>
        <v>40.567878446480144</v>
      </c>
      <c r="C307" s="13">
        <f>'2022'!An_max</f>
        <v>2022</v>
      </c>
      <c r="D307" s="1045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69">
        <f t="shared" si="118"/>
        <v>43402</v>
      </c>
      <c r="I307" s="743">
        <f t="shared" si="119"/>
        <v>0.6428571428571429</v>
      </c>
      <c r="J307" s="736">
        <f t="shared" si="120"/>
        <v>153.73068513151787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38">
        <v>43393</v>
      </c>
      <c r="AP307" s="13">
        <f t="shared" si="121"/>
        <v>13</v>
      </c>
      <c r="AQ307" s="13">
        <f t="shared" si="122"/>
        <v>12</v>
      </c>
      <c r="AR307" s="169">
        <f t="shared" si="123"/>
        <v>43416</v>
      </c>
      <c r="AS307" s="743">
        <f t="shared" si="124"/>
        <v>0.8214285714285714</v>
      </c>
      <c r="AT307" s="759">
        <f t="shared" si="125"/>
        <v>153.73677796990211</v>
      </c>
      <c r="AU307" s="13">
        <f t="shared" si="126"/>
        <v>11</v>
      </c>
      <c r="AV307" s="13">
        <f t="shared" si="127"/>
        <v>12</v>
      </c>
      <c r="AW307" s="169">
        <f t="shared" si="128"/>
        <v>43374</v>
      </c>
      <c r="AX307" s="743">
        <f t="shared" si="129"/>
        <v>0.6785714285714286</v>
      </c>
      <c r="AY307" s="759">
        <f t="shared" si="130"/>
        <v>153.50683309060656</v>
      </c>
      <c r="AZ307" s="736">
        <f t="shared" si="134"/>
        <v>153.62180553025433</v>
      </c>
      <c r="BA307" s="633">
        <f t="shared" si="131"/>
        <v>0.26388927110923877</v>
      </c>
      <c r="BC307" s="11">
        <v>43393</v>
      </c>
      <c r="BD307" s="286">
        <f>[2]!FeuilCaduc*(1-Persistant)+Persistant</f>
        <v>0.85169935814433595</v>
      </c>
      <c r="BE307" s="287">
        <f>[2]!CroissVégét</f>
        <v>0.99593640005294937</v>
      </c>
      <c r="BF307" s="806">
        <f>1+[2]!Salcycl*Ksac</f>
        <v>1.031462419768042</v>
      </c>
      <c r="BH307" s="1036">
        <f t="shared" si="132"/>
        <v>8.1707007759083301E-3</v>
      </c>
      <c r="BI307" s="11">
        <v>44489</v>
      </c>
      <c r="BJ307" s="716">
        <v>1.9455391302573028E-3</v>
      </c>
      <c r="BK307" s="716">
        <v>2.9229898136947023E-3</v>
      </c>
      <c r="BL307" s="716">
        <v>3.9934726533777292E-3</v>
      </c>
      <c r="BM307" s="716">
        <v>5.21946088333899E-3</v>
      </c>
      <c r="BN307" s="716">
        <v>6.5752171291238127E-3</v>
      </c>
      <c r="BO307" s="717">
        <v>8.1875834996949174E-3</v>
      </c>
      <c r="BP307" s="716">
        <v>1.0100744807049778E-2</v>
      </c>
      <c r="BQ307" s="716">
        <v>1.2214075898520372E-2</v>
      </c>
      <c r="BR307" s="716">
        <v>1.5671712327067818E-2</v>
      </c>
      <c r="BS307" s="716">
        <v>2.0342944562557825E-2</v>
      </c>
      <c r="BT307" s="716">
        <v>2.6104679316168711E-2</v>
      </c>
      <c r="BW307" s="1166">
        <f>'2022'!R\Max</f>
        <v>0.26388927110923877</v>
      </c>
      <c r="BX307" s="1167">
        <f>'2023'!R\Max</f>
        <v>0.26386429117575849</v>
      </c>
      <c r="BY307" s="1167">
        <f>'2024'!R\Max</f>
        <v>0.26383676300149972</v>
      </c>
      <c r="BZ307" s="1167">
        <f>'2025'!R\Max</f>
        <v>0.26380916947350824</v>
      </c>
      <c r="CA307" s="1167">
        <f>'2026'!R\Max</f>
        <v>0.26376446241060297</v>
      </c>
      <c r="CB307" s="1167">
        <f>'2027'!R\Max</f>
        <v>0.26371931643799112</v>
      </c>
      <c r="CC307" s="1168">
        <f>'2028'!R\Max</f>
        <v>0.26365872091903453</v>
      </c>
      <c r="CD307" s="1167">
        <f>'2029'!R\Max</f>
        <v>0.26389051951204057</v>
      </c>
      <c r="CE307" s="1167">
        <f>'2030'!R\Max</f>
        <v>0.26386553957856035</v>
      </c>
      <c r="CF307" s="1169">
        <f>'2031'!R\Max</f>
        <v>0.26383814202189149</v>
      </c>
    </row>
    <row r="308" spans="1:84" s="6" customFormat="1" ht="11.25" x14ac:dyDescent="0.2">
      <c r="A308" s="11">
        <v>43394</v>
      </c>
      <c r="B308" s="375">
        <f>'2022'!Maxi_hp</f>
        <v>66.109579565729476</v>
      </c>
      <c r="C308" s="13">
        <f>'2022'!An_max</f>
        <v>2022</v>
      </c>
      <c r="D308" s="1045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69">
        <f t="shared" si="118"/>
        <v>43402</v>
      </c>
      <c r="I308" s="743">
        <f t="shared" si="119"/>
        <v>0.5714285714285714</v>
      </c>
      <c r="J308" s="736">
        <f t="shared" si="120"/>
        <v>152.36588921259559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38">
        <v>43394</v>
      </c>
      <c r="AP308" s="13">
        <f t="shared" si="121"/>
        <v>13</v>
      </c>
      <c r="AQ308" s="13">
        <f t="shared" si="122"/>
        <v>12</v>
      </c>
      <c r="AR308" s="169">
        <f t="shared" si="123"/>
        <v>43416</v>
      </c>
      <c r="AS308" s="743">
        <f t="shared" si="124"/>
        <v>0.7857142857142857</v>
      </c>
      <c r="AT308" s="759">
        <f t="shared" si="125"/>
        <v>152.34702988362739</v>
      </c>
      <c r="AU308" s="13">
        <f t="shared" si="126"/>
        <v>11</v>
      </c>
      <c r="AV308" s="13">
        <f t="shared" si="127"/>
        <v>12</v>
      </c>
      <c r="AW308" s="169">
        <f t="shared" si="128"/>
        <v>43374</v>
      </c>
      <c r="AX308" s="743">
        <f t="shared" si="129"/>
        <v>0.7142857142857143</v>
      </c>
      <c r="AY308" s="759">
        <f t="shared" si="130"/>
        <v>152.14139941685966</v>
      </c>
      <c r="AZ308" s="736">
        <f t="shared" si="134"/>
        <v>152.24421465024352</v>
      </c>
      <c r="BA308" s="633">
        <f t="shared" si="131"/>
        <v>0.43388700651683931</v>
      </c>
      <c r="BC308" s="11">
        <v>43394</v>
      </c>
      <c r="BD308" s="286">
        <f>[2]!FeuilCaduc*(1-Persistant)+Persistant</f>
        <v>0.84645528727532271</v>
      </c>
      <c r="BE308" s="287">
        <f>[2]!CroissVégét</f>
        <v>0.99611260244351996</v>
      </c>
      <c r="BF308" s="806">
        <f>1+[2]!Salcycl*Ksac</f>
        <v>1.0308069109094153</v>
      </c>
      <c r="BH308" s="1036">
        <f t="shared" si="132"/>
        <v>8.4813995765313267E-3</v>
      </c>
      <c r="BI308" s="11">
        <v>44490</v>
      </c>
      <c r="BJ308" s="716">
        <v>2.0680150293428219E-3</v>
      </c>
      <c r="BK308" s="716">
        <v>3.0425231252529036E-3</v>
      </c>
      <c r="BL308" s="716">
        <v>4.1101227839938923E-3</v>
      </c>
      <c r="BM308" s="716">
        <v>5.3333954939019006E-3</v>
      </c>
      <c r="BN308" s="716">
        <v>6.7784056957906763E-3</v>
      </c>
      <c r="BO308" s="717">
        <v>8.4994199275118826E-3</v>
      </c>
      <c r="BP308" s="716">
        <v>1.054554391673806E-2</v>
      </c>
      <c r="BQ308" s="716">
        <v>1.274839315311114E-2</v>
      </c>
      <c r="BR308" s="716">
        <v>1.648091816622126E-2</v>
      </c>
      <c r="BS308" s="716">
        <v>2.1593099368107521E-2</v>
      </c>
      <c r="BT308" s="716">
        <v>2.795748780460177E-2</v>
      </c>
      <c r="BW308" s="1166">
        <f>'2022'!R\Max</f>
        <v>0.43388700651683931</v>
      </c>
      <c r="BX308" s="1167">
        <f>'2023'!R\Max</f>
        <v>0.43385138480516688</v>
      </c>
      <c r="BY308" s="1167">
        <f>'2024'!R\Max</f>
        <v>0.43381310081039304</v>
      </c>
      <c r="BZ308" s="1167">
        <f>'2025'!R\Max</f>
        <v>0.43377474746460404</v>
      </c>
      <c r="CA308" s="1167">
        <f>'2026'!R\Max</f>
        <v>0.43371041893237566</v>
      </c>
      <c r="CB308" s="1167">
        <f>'2027'!R\Max</f>
        <v>0.43364542450274973</v>
      </c>
      <c r="CC308" s="1168">
        <f>'2028'!R\Max</f>
        <v>0.43355699524280844</v>
      </c>
      <c r="CD308" s="1167">
        <f>'2029'!R\Max</f>
        <v>0.43388878671925224</v>
      </c>
      <c r="CE308" s="1167">
        <f>'2030'!R\Max</f>
        <v>0.43385316507672705</v>
      </c>
      <c r="CF308" s="1169">
        <f>'2031'!R\Max</f>
        <v>0.43381501752379081</v>
      </c>
    </row>
    <row r="309" spans="1:84" s="6" customFormat="1" ht="11.25" x14ac:dyDescent="0.2">
      <c r="A309" s="11">
        <v>43395</v>
      </c>
      <c r="B309" s="375">
        <f>'2022'!Maxi_hp</f>
        <v>138.58007051254708</v>
      </c>
      <c r="C309" s="13">
        <f>'2022'!An_max</f>
        <v>2022</v>
      </c>
      <c r="D309" s="1045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69">
        <f t="shared" si="118"/>
        <v>43402</v>
      </c>
      <c r="I309" s="743">
        <f t="shared" si="119"/>
        <v>0.5</v>
      </c>
      <c r="J309" s="736">
        <f t="shared" si="120"/>
        <v>151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38">
        <v>43395</v>
      </c>
      <c r="AP309" s="13">
        <f t="shared" si="121"/>
        <v>13</v>
      </c>
      <c r="AQ309" s="13">
        <f t="shared" si="122"/>
        <v>12</v>
      </c>
      <c r="AR309" s="169">
        <f t="shared" si="123"/>
        <v>43416</v>
      </c>
      <c r="AS309" s="743">
        <f t="shared" si="124"/>
        <v>0.75</v>
      </c>
      <c r="AT309" s="759">
        <f t="shared" si="125"/>
        <v>150.94921874925495</v>
      </c>
      <c r="AU309" s="13">
        <f t="shared" si="126"/>
        <v>11</v>
      </c>
      <c r="AV309" s="13">
        <f t="shared" si="127"/>
        <v>12</v>
      </c>
      <c r="AW309" s="169">
        <f t="shared" si="128"/>
        <v>43374</v>
      </c>
      <c r="AX309" s="743">
        <f t="shared" si="129"/>
        <v>0.75</v>
      </c>
      <c r="AY309" s="759">
        <f t="shared" si="130"/>
        <v>150.78124999925495</v>
      </c>
      <c r="AZ309" s="736">
        <f t="shared" si="134"/>
        <v>150.86523437425495</v>
      </c>
      <c r="BA309" s="633">
        <f t="shared" si="131"/>
        <v>0.91774881134137143</v>
      </c>
      <c r="BC309" s="11">
        <v>43395</v>
      </c>
      <c r="BD309" s="286">
        <f>[2]!FeuilCaduc*(1-Persistant)+Persistant</f>
        <v>0.84112898132199043</v>
      </c>
      <c r="BE309" s="287">
        <f>[2]!CroissVégét</f>
        <v>0.99628176897521181</v>
      </c>
      <c r="BF309" s="806">
        <f>1+[2]!Salcycl*Ksac</f>
        <v>1.0301411226652488</v>
      </c>
      <c r="BH309" s="1036">
        <f t="shared" si="132"/>
        <v>8.789055750489317E-3</v>
      </c>
      <c r="BI309" s="11">
        <v>44491</v>
      </c>
      <c r="BJ309" s="716">
        <v>2.1877762092331388E-3</v>
      </c>
      <c r="BK309" s="716">
        <v>3.152330697658389E-3</v>
      </c>
      <c r="BL309" s="716">
        <v>4.2094648972606273E-3</v>
      </c>
      <c r="BM309" s="716">
        <v>5.4218029574133282E-3</v>
      </c>
      <c r="BN309" s="716">
        <v>6.9652584001527766E-3</v>
      </c>
      <c r="BO309" s="717">
        <v>8.8083543919830701E-3</v>
      </c>
      <c r="BP309" s="716">
        <v>1.1006474287602146E-2</v>
      </c>
      <c r="BQ309" s="716">
        <v>1.3310765362422575E-2</v>
      </c>
      <c r="BR309" s="716">
        <v>1.7347376494656116E-2</v>
      </c>
      <c r="BS309" s="716">
        <v>2.2945867149341076E-2</v>
      </c>
      <c r="BT309" s="716">
        <v>2.9972839482059518E-2</v>
      </c>
      <c r="BW309" s="1166">
        <f>'2022'!R\Max</f>
        <v>0.91774881134137143</v>
      </c>
      <c r="BX309" s="1167">
        <f>'2023'!R\Max</f>
        <v>0.91773701831549592</v>
      </c>
      <c r="BY309" s="1167">
        <f>'2024'!R\Max</f>
        <v>0.91772466728240742</v>
      </c>
      <c r="BZ309" s="1167">
        <f>'2025'!R\Max</f>
        <v>0.91771229969870383</v>
      </c>
      <c r="CA309" s="1167">
        <f>'2026'!R\Max</f>
        <v>0.91769085776581805</v>
      </c>
      <c r="CB309" s="1167">
        <f>'2027'!R\Max</f>
        <v>0.91766917884025878</v>
      </c>
      <c r="CC309" s="1168">
        <f>'2028'!R\Max</f>
        <v>0.91763930598787247</v>
      </c>
      <c r="CD309" s="1167">
        <f>'2029'!R\Max</f>
        <v>0.91774940065257893</v>
      </c>
      <c r="CE309" s="1167">
        <f>'2030'!R\Max</f>
        <v>0.91773760774046287</v>
      </c>
      <c r="CF309" s="1169">
        <f>'2031'!R\Max</f>
        <v>0.91772528530189856</v>
      </c>
    </row>
    <row r="310" spans="1:84" s="6" customFormat="1" ht="11.25" x14ac:dyDescent="0.2">
      <c r="A310" s="11">
        <v>43396</v>
      </c>
      <c r="B310" s="375">
        <f>'2022'!Maxi_hp</f>
        <v>84.166642562822275</v>
      </c>
      <c r="C310" s="13">
        <f>'2022'!An_max</f>
        <v>2022</v>
      </c>
      <c r="D310" s="1045" t="str">
        <f t="shared" si="116"/>
        <v/>
      </c>
      <c r="E310" s="13"/>
      <c r="F310" s="13">
        <f t="shared" si="133"/>
        <v>23</v>
      </c>
      <c r="G310" s="13">
        <f t="shared" si="117"/>
        <v>22</v>
      </c>
      <c r="H310" s="169">
        <f t="shared" si="118"/>
        <v>43402</v>
      </c>
      <c r="I310" s="743">
        <f t="shared" si="119"/>
        <v>0.42857142857142855</v>
      </c>
      <c r="J310" s="736">
        <f t="shared" si="120"/>
        <v>149.63411078681901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38">
        <v>43396</v>
      </c>
      <c r="AP310" s="13">
        <f t="shared" si="121"/>
        <v>13</v>
      </c>
      <c r="AQ310" s="13">
        <f t="shared" si="122"/>
        <v>12</v>
      </c>
      <c r="AR310" s="169">
        <f t="shared" si="123"/>
        <v>43416</v>
      </c>
      <c r="AS310" s="743">
        <f t="shared" si="124"/>
        <v>0.7142857142857143</v>
      </c>
      <c r="AT310" s="759">
        <f t="shared" si="125"/>
        <v>149.5451895035271</v>
      </c>
      <c r="AU310" s="13">
        <f t="shared" si="126"/>
        <v>11</v>
      </c>
      <c r="AV310" s="13">
        <f t="shared" si="127"/>
        <v>12</v>
      </c>
      <c r="AW310" s="169">
        <f t="shared" si="128"/>
        <v>43374</v>
      </c>
      <c r="AX310" s="743">
        <f t="shared" si="129"/>
        <v>0.7857142857142857</v>
      </c>
      <c r="AY310" s="759">
        <f t="shared" si="130"/>
        <v>149.42747813351451</v>
      </c>
      <c r="AZ310" s="736">
        <f t="shared" si="134"/>
        <v>149.48633381852079</v>
      </c>
      <c r="BA310" s="633">
        <f t="shared" si="131"/>
        <v>0.56248299348490771</v>
      </c>
      <c r="BC310" s="11">
        <v>43396</v>
      </c>
      <c r="BD310" s="286">
        <f>[2]!FeuilCaduc*(1-Persistant)+Persistant</f>
        <v>0.83572604080636914</v>
      </c>
      <c r="BE310" s="287">
        <f>[2]!CroissVégét</f>
        <v>0.99644417833885535</v>
      </c>
      <c r="BF310" s="806">
        <f>1+[2]!Salcycl*Ksac</f>
        <v>1.0294657551007962</v>
      </c>
      <c r="BH310" s="1036">
        <f t="shared" si="132"/>
        <v>9.1605786805248595E-3</v>
      </c>
      <c r="BI310" s="11">
        <v>44492</v>
      </c>
      <c r="BJ310" s="716">
        <v>2.3059324004958289E-3</v>
      </c>
      <c r="BK310" s="716">
        <v>3.2648163032122264E-3</v>
      </c>
      <c r="BL310" s="716">
        <v>4.3151062752741351E-3</v>
      </c>
      <c r="BM310" s="716">
        <v>5.5204360082279488E-3</v>
      </c>
      <c r="BN310" s="716">
        <v>7.1851484308071258E-3</v>
      </c>
      <c r="BO310" s="717">
        <v>9.1814818363377491E-3</v>
      </c>
      <c r="BP310" s="716">
        <v>1.157291327968109E-2</v>
      </c>
      <c r="BQ310" s="716">
        <v>1.4017890964408211E-2</v>
      </c>
      <c r="BR310" s="716">
        <v>1.8395093529398675E-2</v>
      </c>
      <c r="BS310" s="716">
        <v>2.4516536580436843E-2</v>
      </c>
      <c r="BT310" s="716">
        <v>3.2239509758914327E-2</v>
      </c>
      <c r="BW310" s="1166">
        <f>'2022'!R\Max</f>
        <v>0.56248299348490771</v>
      </c>
      <c r="BX310" s="1167">
        <f>'2023'!R\Max</f>
        <v>0.56244105644496445</v>
      </c>
      <c r="BY310" s="1167">
        <f>'2024'!R\Max</f>
        <v>0.56239819952520798</v>
      </c>
      <c r="BZ310" s="1167">
        <f>'2025'!R\Max</f>
        <v>0.56235531567829122</v>
      </c>
      <c r="CA310" s="1167">
        <f>'2026'!R\Max</f>
        <v>0.56227936206080453</v>
      </c>
      <c r="CB310" s="1167">
        <f>'2027'!R\Max</f>
        <v>0.56220256558714377</v>
      </c>
      <c r="CC310" s="1168">
        <f>'2028'!R\Max</f>
        <v>0.56209589585668895</v>
      </c>
      <c r="CD310" s="1167">
        <f>'2029'!R\Max</f>
        <v>0.56248508924145435</v>
      </c>
      <c r="CE310" s="1167">
        <f>'2030'!R\Max</f>
        <v>0.56244315238902498</v>
      </c>
      <c r="CF310" s="1169">
        <f>'2031'!R\Max</f>
        <v>0.56240034259510829</v>
      </c>
    </row>
    <row r="311" spans="1:84" s="6" customFormat="1" ht="11.25" x14ac:dyDescent="0.2">
      <c r="A311" s="11">
        <v>43397</v>
      </c>
      <c r="B311" s="375">
        <f>'2022'!Maxi_hp</f>
        <v>108.27450579494256</v>
      </c>
      <c r="C311" s="13">
        <f>'2022'!An_max</f>
        <v>2022</v>
      </c>
      <c r="D311" s="1045" t="str">
        <f t="shared" si="116"/>
        <v/>
      </c>
      <c r="E311" s="13"/>
      <c r="F311" s="13">
        <f t="shared" si="133"/>
        <v>23</v>
      </c>
      <c r="G311" s="13">
        <f t="shared" si="117"/>
        <v>22</v>
      </c>
      <c r="H311" s="169">
        <f t="shared" si="118"/>
        <v>43402</v>
      </c>
      <c r="I311" s="743">
        <f t="shared" si="119"/>
        <v>0.35714285714285715</v>
      </c>
      <c r="J311" s="736">
        <f t="shared" si="120"/>
        <v>148.26931486872155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38">
        <v>43397</v>
      </c>
      <c r="AP311" s="13">
        <f t="shared" si="121"/>
        <v>13</v>
      </c>
      <c r="AQ311" s="13">
        <f t="shared" si="122"/>
        <v>12</v>
      </c>
      <c r="AR311" s="169">
        <f t="shared" si="123"/>
        <v>43416</v>
      </c>
      <c r="AS311" s="743">
        <f t="shared" si="124"/>
        <v>0.6785714285714286</v>
      </c>
      <c r="AT311" s="759">
        <f t="shared" si="125"/>
        <v>148.13678708065834</v>
      </c>
      <c r="AU311" s="13">
        <f t="shared" si="126"/>
        <v>11</v>
      </c>
      <c r="AV311" s="13">
        <f t="shared" si="127"/>
        <v>12</v>
      </c>
      <c r="AW311" s="169">
        <f t="shared" si="128"/>
        <v>43374</v>
      </c>
      <c r="AX311" s="743">
        <f t="shared" si="129"/>
        <v>0.8214285714285714</v>
      </c>
      <c r="AY311" s="759">
        <f t="shared" si="130"/>
        <v>148.08117711371077</v>
      </c>
      <c r="AZ311" s="736">
        <f t="shared" si="134"/>
        <v>148.10898209718454</v>
      </c>
      <c r="BA311" s="633">
        <f t="shared" si="131"/>
        <v>0.73025565600548825</v>
      </c>
      <c r="BC311" s="11">
        <v>43397</v>
      </c>
      <c r="BD311" s="286">
        <f>[2]!FeuilCaduc*(1-Persistant)+Persistant</f>
        <v>0.83025244538896747</v>
      </c>
      <c r="BE311" s="287">
        <f>[2]!CroissVégét</f>
        <v>0.99660009836364072</v>
      </c>
      <c r="BF311" s="806">
        <f>1+[2]!Salcycl*Ksac</f>
        <v>1.0287815556736208</v>
      </c>
      <c r="BH311" s="1036">
        <f t="shared" si="132"/>
        <v>9.6139415121350262E-3</v>
      </c>
      <c r="BI311" s="11">
        <v>44493</v>
      </c>
      <c r="BJ311" s="716">
        <v>2.4184621441745023E-3</v>
      </c>
      <c r="BK311" s="716">
        <v>3.3808183973540948E-3</v>
      </c>
      <c r="BL311" s="716">
        <v>4.4330996930425316E-3</v>
      </c>
      <c r="BM311" s="716">
        <v>5.6410608996732767E-3</v>
      </c>
      <c r="BN311" s="716">
        <v>7.4526682400958069E-3</v>
      </c>
      <c r="BO311" s="717">
        <v>9.6368111791182692E-3</v>
      </c>
      <c r="BP311" s="716">
        <v>1.2266620813645565E-2</v>
      </c>
      <c r="BQ311" s="716">
        <v>1.4895387090001775E-2</v>
      </c>
      <c r="BR311" s="716">
        <v>1.9641065254283319E-2</v>
      </c>
      <c r="BS311" s="716">
        <v>2.6302583460444107E-2</v>
      </c>
      <c r="BT311" s="716">
        <v>3.4724538525412983E-2</v>
      </c>
      <c r="BW311" s="1166">
        <f>'2022'!R\Max</f>
        <v>0.73025565600548825</v>
      </c>
      <c r="BX311" s="1167">
        <f>'2023'!R\Max</f>
        <v>0.73021864496063749</v>
      </c>
      <c r="BY311" s="1167">
        <f>'2024'!R\Max</f>
        <v>0.73018164226066529</v>
      </c>
      <c r="BZ311" s="1167">
        <f>'2025'!R\Max</f>
        <v>0.73014463393641449</v>
      </c>
      <c r="CA311" s="1167">
        <f>'2026'!R\Max</f>
        <v>0.73007853384530053</v>
      </c>
      <c r="CB311" s="1167">
        <f>'2027'!R\Max</f>
        <v>0.73001168874277278</v>
      </c>
      <c r="CC311" s="1168">
        <f>'2028'!R\Max</f>
        <v>0.72991848245917779</v>
      </c>
      <c r="CD311" s="1167">
        <f>'2029'!R\Max</f>
        <v>0.73025750552082846</v>
      </c>
      <c r="CE311" s="1167">
        <f>'2030'!R\Max</f>
        <v>0.73022049477504902</v>
      </c>
      <c r="CF311" s="1169">
        <f>'2031'!R\Max</f>
        <v>0.73018349164008878</v>
      </c>
    </row>
    <row r="312" spans="1:84" s="6" customFormat="1" ht="11.25" x14ac:dyDescent="0.2">
      <c r="A312" s="11">
        <v>43398</v>
      </c>
      <c r="B312" s="375">
        <f>'2022'!Maxi_hp</f>
        <v>93.640209590302121</v>
      </c>
      <c r="C312" s="13">
        <f>'2022'!An_max</f>
        <v>2022</v>
      </c>
      <c r="D312" s="1045" t="str">
        <f t="shared" si="116"/>
        <v/>
      </c>
      <c r="E312" s="13"/>
      <c r="F312" s="13">
        <f t="shared" si="133"/>
        <v>23</v>
      </c>
      <c r="G312" s="13">
        <f t="shared" si="117"/>
        <v>22</v>
      </c>
      <c r="H312" s="169">
        <f t="shared" si="118"/>
        <v>43402</v>
      </c>
      <c r="I312" s="743">
        <f t="shared" si="119"/>
        <v>0.2857142857142857</v>
      </c>
      <c r="J312" s="736">
        <f t="shared" si="120"/>
        <v>146.90670553930104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38">
        <v>43398</v>
      </c>
      <c r="AP312" s="13">
        <f t="shared" si="121"/>
        <v>13</v>
      </c>
      <c r="AQ312" s="13">
        <f t="shared" si="122"/>
        <v>12</v>
      </c>
      <c r="AR312" s="169">
        <f t="shared" si="123"/>
        <v>43416</v>
      </c>
      <c r="AS312" s="743">
        <f t="shared" si="124"/>
        <v>0.6428571428571429</v>
      </c>
      <c r="AT312" s="759">
        <f t="shared" si="125"/>
        <v>146.72585641331972</v>
      </c>
      <c r="AU312" s="13">
        <f t="shared" si="126"/>
        <v>11</v>
      </c>
      <c r="AV312" s="13">
        <f t="shared" si="127"/>
        <v>12</v>
      </c>
      <c r="AW312" s="169">
        <f t="shared" si="128"/>
        <v>43374</v>
      </c>
      <c r="AX312" s="743">
        <f t="shared" si="129"/>
        <v>0.8571428571428571</v>
      </c>
      <c r="AY312" s="759">
        <f t="shared" si="130"/>
        <v>146.74344023317099</v>
      </c>
      <c r="AZ312" s="736">
        <f t="shared" si="134"/>
        <v>146.73464832324535</v>
      </c>
      <c r="BA312" s="633">
        <f t="shared" si="131"/>
        <v>0.63741276646661393</v>
      </c>
      <c r="BC312" s="11">
        <v>43398</v>
      </c>
      <c r="BD312" s="286">
        <f>[2]!FeuilCaduc*(1-Persistant)+Persistant</f>
        <v>0.82471453629716374</v>
      </c>
      <c r="BE312" s="287">
        <f>[2]!CroissVégét</f>
        <v>0.99674978642645717</v>
      </c>
      <c r="BF312" s="806">
        <f>1+[2]!Salcycl*Ksac</f>
        <v>1.0280893170371455</v>
      </c>
      <c r="BH312" s="1036">
        <f t="shared" si="132"/>
        <v>1.0149298110750089E-2</v>
      </c>
      <c r="BI312" s="11">
        <v>44494</v>
      </c>
      <c r="BJ312" s="716">
        <v>2.5253743403283839E-3</v>
      </c>
      <c r="BK312" s="716">
        <v>3.500362201935673E-3</v>
      </c>
      <c r="BL312" s="716">
        <v>4.5634868917686158E-3</v>
      </c>
      <c r="BM312" s="716">
        <v>5.7837377658570598E-3</v>
      </c>
      <c r="BN312" s="716">
        <v>7.767918805993021E-3</v>
      </c>
      <c r="BO312" s="717">
        <v>1.0174496845387286E-2</v>
      </c>
      <c r="BP312" s="716">
        <v>1.3087819625226026E-2</v>
      </c>
      <c r="BQ312" s="716">
        <v>1.5943542336067554E-2</v>
      </c>
      <c r="BR312" s="716">
        <v>2.1085642547643918E-2</v>
      </c>
      <c r="BS312" s="716">
        <v>2.8304421149508745E-2</v>
      </c>
      <c r="BT312" s="716">
        <v>3.7428396977224151E-2</v>
      </c>
      <c r="BW312" s="1166">
        <f>'2022'!R\Max</f>
        <v>0.63741276646661393</v>
      </c>
      <c r="BX312" s="1167">
        <f>'2023'!R\Max</f>
        <v>0.6373645379577676</v>
      </c>
      <c r="BY312" s="1167">
        <f>'2024'!R\Max</f>
        <v>0.63731723332196399</v>
      </c>
      <c r="BZ312" s="1167">
        <f>'2025'!R\Max</f>
        <v>0.63726994522745462</v>
      </c>
      <c r="CA312" s="1167">
        <f>'2026'!R\Max</f>
        <v>0.63718569661126678</v>
      </c>
      <c r="CB312" s="1167">
        <f>'2027'!R\Max</f>
        <v>0.6371005108301101</v>
      </c>
      <c r="CC312" s="1168">
        <f>'2028'!R\Max</f>
        <v>0.63698171902602463</v>
      </c>
      <c r="CD312" s="1167">
        <f>'2029'!R\Max</f>
        <v>0.6374151765672752</v>
      </c>
      <c r="CE312" s="1167">
        <f>'2030'!R\Max</f>
        <v>0.63736694839787256</v>
      </c>
      <c r="CF312" s="1169">
        <f>'2031'!R\Max</f>
        <v>0.63731959643117087</v>
      </c>
    </row>
    <row r="313" spans="1:84" s="6" customFormat="1" ht="11.25" x14ac:dyDescent="0.2">
      <c r="A313" s="11">
        <v>43399</v>
      </c>
      <c r="B313" s="375">
        <f>'2022'!Maxi_hp</f>
        <v>61.842299177452915</v>
      </c>
      <c r="C313" s="13">
        <f>'2022'!An_max</f>
        <v>2022</v>
      </c>
      <c r="D313" s="1045" t="str">
        <f t="shared" si="116"/>
        <v/>
      </c>
      <c r="E313" s="13"/>
      <c r="F313" s="13">
        <f t="shared" si="133"/>
        <v>23</v>
      </c>
      <c r="G313" s="13">
        <f t="shared" si="117"/>
        <v>22</v>
      </c>
      <c r="H313" s="169">
        <f t="shared" si="118"/>
        <v>43402</v>
      </c>
      <c r="I313" s="743">
        <f t="shared" si="119"/>
        <v>0.21428571428571427</v>
      </c>
      <c r="J313" s="736">
        <f t="shared" si="120"/>
        <v>145.54737609310874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38">
        <v>43399</v>
      </c>
      <c r="AP313" s="13">
        <f t="shared" si="121"/>
        <v>13</v>
      </c>
      <c r="AQ313" s="13">
        <f t="shared" si="122"/>
        <v>12</v>
      </c>
      <c r="AR313" s="169">
        <f t="shared" si="123"/>
        <v>43416</v>
      </c>
      <c r="AS313" s="743">
        <f t="shared" si="124"/>
        <v>0.6071428571428571</v>
      </c>
      <c r="AT313" s="759">
        <f t="shared" si="125"/>
        <v>145.31424243822693</v>
      </c>
      <c r="AU313" s="13">
        <f t="shared" si="126"/>
        <v>11</v>
      </c>
      <c r="AV313" s="13">
        <f t="shared" si="127"/>
        <v>12</v>
      </c>
      <c r="AW313" s="169">
        <f t="shared" si="128"/>
        <v>43374</v>
      </c>
      <c r="AX313" s="743">
        <f t="shared" si="129"/>
        <v>0.8928571428571429</v>
      </c>
      <c r="AY313" s="759">
        <f t="shared" si="130"/>
        <v>145.4153607867392</v>
      </c>
      <c r="AZ313" s="736">
        <f t="shared" si="134"/>
        <v>145.36480161248306</v>
      </c>
      <c r="BA313" s="633">
        <f t="shared" si="131"/>
        <v>0.42489463456827631</v>
      </c>
      <c r="BC313" s="11">
        <v>43399</v>
      </c>
      <c r="BD313" s="286">
        <f>[2]!FeuilCaduc*(1-Persistant)+Persistant</f>
        <v>0.81911899613020722</v>
      </c>
      <c r="BE313" s="287">
        <f>[2]!CroissVégét</f>
        <v>0.99689348984691617</v>
      </c>
      <c r="BF313" s="806">
        <f>1+[2]!Salcycl*Ksac</f>
        <v>1.0273898745162759</v>
      </c>
      <c r="BH313" s="1036">
        <f t="shared" si="132"/>
        <v>1.0766742729047698E-2</v>
      </c>
      <c r="BI313" s="11">
        <v>44495</v>
      </c>
      <c r="BJ313" s="716">
        <v>2.6266622073191355E-3</v>
      </c>
      <c r="BK313" s="716">
        <v>3.6234508643591887E-3</v>
      </c>
      <c r="BL313" s="716">
        <v>4.706280499057274E-3</v>
      </c>
      <c r="BM313" s="716">
        <v>5.9484895375993318E-3</v>
      </c>
      <c r="BN313" s="716">
        <v>8.1309535905718586E-3</v>
      </c>
      <c r="BO313" s="717">
        <v>1.0794633519451133E-2</v>
      </c>
      <c r="BP313" s="716">
        <v>1.4036658209384198E-2</v>
      </c>
      <c r="BQ313" s="716">
        <v>1.7162555929868002E-2</v>
      </c>
      <c r="BR313" s="716">
        <v>2.2729058725165504E-2</v>
      </c>
      <c r="BS313" s="716">
        <v>3.0522305553446732E-2</v>
      </c>
      <c r="BT313" s="716">
        <v>4.0351348118863851E-2</v>
      </c>
      <c r="BW313" s="1166">
        <f>'2022'!R\Max</f>
        <v>0.42489463456827631</v>
      </c>
      <c r="BX313" s="1167">
        <f>'2023'!R\Max</f>
        <v>0.42483775009388158</v>
      </c>
      <c r="BY313" s="1167">
        <f>'2024'!R\Max</f>
        <v>0.42478285104271207</v>
      </c>
      <c r="BZ313" s="1167">
        <f>'2025'!R\Max</f>
        <v>0.42472799791609195</v>
      </c>
      <c r="CA313" s="1167">
        <f>'2026'!R\Max</f>
        <v>0.42463133960504362</v>
      </c>
      <c r="CB313" s="1167">
        <f>'2027'!R\Max</f>
        <v>0.42453364156550405</v>
      </c>
      <c r="CC313" s="1168">
        <f>'2028'!R\Max</f>
        <v>0.42439778545225182</v>
      </c>
      <c r="CD313" s="1167">
        <f>'2029'!R\Max</f>
        <v>0.42489747735281003</v>
      </c>
      <c r="CE313" s="1167">
        <f>'2030'!R\Max</f>
        <v>0.42484059304378557</v>
      </c>
      <c r="CF313" s="1169">
        <f>'2031'!R\Max</f>
        <v>0.42478559231424423</v>
      </c>
    </row>
    <row r="314" spans="1:84" s="6" customFormat="1" ht="11.25" x14ac:dyDescent="0.2">
      <c r="A314" s="11">
        <v>43400</v>
      </c>
      <c r="B314" s="375">
        <f>'2022'!Maxi_hp</f>
        <v>55.506514695537248</v>
      </c>
      <c r="C314" s="13">
        <f>'2022'!An_max</f>
        <v>2022</v>
      </c>
      <c r="D314" s="1045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69">
        <f t="shared" si="118"/>
        <v>43402</v>
      </c>
      <c r="I314" s="743">
        <f t="shared" si="119"/>
        <v>0.14285714285714285</v>
      </c>
      <c r="J314" s="736">
        <f t="shared" si="120"/>
        <v>144.19241982474924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38">
        <v>43400</v>
      </c>
      <c r="AP314" s="13">
        <f t="shared" si="121"/>
        <v>13</v>
      </c>
      <c r="AQ314" s="13">
        <f t="shared" si="122"/>
        <v>12</v>
      </c>
      <c r="AR314" s="169">
        <f t="shared" si="123"/>
        <v>43416</v>
      </c>
      <c r="AS314" s="743">
        <f t="shared" si="124"/>
        <v>0.5714285714285714</v>
      </c>
      <c r="AT314" s="759">
        <f t="shared" si="125"/>
        <v>143.90379008693353</v>
      </c>
      <c r="AU314" s="13">
        <f t="shared" si="126"/>
        <v>11</v>
      </c>
      <c r="AV314" s="13">
        <f t="shared" si="127"/>
        <v>12</v>
      </c>
      <c r="AW314" s="169">
        <f t="shared" si="128"/>
        <v>43374</v>
      </c>
      <c r="AX314" s="743">
        <f t="shared" si="129"/>
        <v>0.9285714285714286</v>
      </c>
      <c r="AY314" s="759">
        <f t="shared" si="130"/>
        <v>144.09803207021739</v>
      </c>
      <c r="AZ314" s="736">
        <f t="shared" si="134"/>
        <v>144.00091107857546</v>
      </c>
      <c r="BA314" s="633">
        <f t="shared" si="131"/>
        <v>0.38494752195018017</v>
      </c>
      <c r="BC314" s="11">
        <v>43400</v>
      </c>
      <c r="BD314" s="286">
        <f>[2]!FeuilCaduc*(1-Persistant)+Persistant</f>
        <v>0.81347282613424399</v>
      </c>
      <c r="BE314" s="287">
        <f>[2]!CroissVégét</f>
        <v>0.99703144626847073</v>
      </c>
      <c r="BF314" s="806">
        <f>1+[2]!Salcycl*Ksac</f>
        <v>1.0266841032667804</v>
      </c>
      <c r="BH314" s="1036">
        <f t="shared" si="132"/>
        <v>1.146637024333561E-2</v>
      </c>
      <c r="BI314" s="11">
        <v>44496</v>
      </c>
      <c r="BJ314" s="716">
        <v>2.7223184770335091E-3</v>
      </c>
      <c r="BK314" s="716">
        <v>3.7500872619205352E-3</v>
      </c>
      <c r="BL314" s="716">
        <v>4.8614930858922141E-3</v>
      </c>
      <c r="BM314" s="716">
        <v>6.1353393206590627E-3</v>
      </c>
      <c r="BN314" s="716">
        <v>8.5418264096305211E-3</v>
      </c>
      <c r="BO314" s="717">
        <v>1.1497316512102276E-2</v>
      </c>
      <c r="BP314" s="716">
        <v>1.5113286062918951E-2</v>
      </c>
      <c r="BQ314" s="716">
        <v>1.8552628597184959E-2</v>
      </c>
      <c r="BR314" s="716">
        <v>2.4571548149198097E-2</v>
      </c>
      <c r="BS314" s="716">
        <v>3.2956492375017236E-2</v>
      </c>
      <c r="BT314" s="716">
        <v>4.3493652659953183E-2</v>
      </c>
      <c r="BW314" s="1166">
        <f>'2022'!R\Max</f>
        <v>0.38494752195018017</v>
      </c>
      <c r="BX314" s="1167">
        <f>'2023'!R\Max</f>
        <v>0.38488589836587639</v>
      </c>
      <c r="BY314" s="1167">
        <f>'2024'!R\Max</f>
        <v>0.38482721036362205</v>
      </c>
      <c r="BZ314" s="1167">
        <f>'2025'!R\Max</f>
        <v>0.3847685918679285</v>
      </c>
      <c r="CA314" s="1167">
        <f>'2026'!R\Max</f>
        <v>0.38466705369751203</v>
      </c>
      <c r="CB314" s="1167">
        <f>'2027'!R\Max</f>
        <v>0.3845644567187389</v>
      </c>
      <c r="CC314" s="1168">
        <f>'2028'!R\Max</f>
        <v>0.38442248096003923</v>
      </c>
      <c r="CD314" s="1167">
        <f>'2029'!R\Max</f>
        <v>0.38495060159281935</v>
      </c>
      <c r="CE314" s="1167">
        <f>'2030'!R\Max</f>
        <v>0.38488897814478445</v>
      </c>
      <c r="CF314" s="1169">
        <f>'2031'!R\Max</f>
        <v>0.38483013983008346</v>
      </c>
    </row>
    <row r="315" spans="1:84" s="6" customFormat="1" ht="11.25" x14ac:dyDescent="0.2">
      <c r="A315" s="11">
        <v>43401</v>
      </c>
      <c r="B315" s="375">
        <f>'2022'!Maxi_hp</f>
        <v>73.255686968497727</v>
      </c>
      <c r="C315" s="13">
        <f>'2022'!An_max</f>
        <v>2022</v>
      </c>
      <c r="D315" s="1045" t="str">
        <f t="shared" si="116"/>
        <v/>
      </c>
      <c r="E315" s="13"/>
      <c r="F315" s="13">
        <f t="shared" si="133"/>
        <v>23</v>
      </c>
      <c r="G315" s="13">
        <f t="shared" si="117"/>
        <v>22</v>
      </c>
      <c r="H315" s="169">
        <f t="shared" si="118"/>
        <v>43402</v>
      </c>
      <c r="I315" s="743">
        <f t="shared" si="119"/>
        <v>7.1428571428571425E-2</v>
      </c>
      <c r="J315" s="736">
        <f t="shared" si="120"/>
        <v>142.84293002914637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38">
        <v>43401</v>
      </c>
      <c r="AP315" s="13">
        <f t="shared" si="121"/>
        <v>13</v>
      </c>
      <c r="AQ315" s="13">
        <f t="shared" si="122"/>
        <v>12</v>
      </c>
      <c r="AR315" s="169">
        <f t="shared" si="123"/>
        <v>43416</v>
      </c>
      <c r="AS315" s="743">
        <f t="shared" si="124"/>
        <v>0.5357142857142857</v>
      </c>
      <c r="AT315" s="759">
        <f t="shared" si="125"/>
        <v>142.49634429731273</v>
      </c>
      <c r="AU315" s="13">
        <f t="shared" si="126"/>
        <v>11</v>
      </c>
      <c r="AV315" s="13">
        <f t="shared" si="127"/>
        <v>12</v>
      </c>
      <c r="AW315" s="169">
        <f t="shared" si="128"/>
        <v>43374</v>
      </c>
      <c r="AX315" s="743">
        <f t="shared" si="129"/>
        <v>0.9642857142857143</v>
      </c>
      <c r="AY315" s="759">
        <f t="shared" si="130"/>
        <v>142.79254737597492</v>
      </c>
      <c r="AZ315" s="736">
        <f t="shared" si="134"/>
        <v>142.64444583664383</v>
      </c>
      <c r="BA315" s="633">
        <f t="shared" si="131"/>
        <v>0.51284083120914892</v>
      </c>
      <c r="BC315" s="11">
        <v>43401</v>
      </c>
      <c r="BD315" s="286">
        <f>[2]!FeuilCaduc*(1-Persistant)+Persistant</f>
        <v>0.80778332106293327</v>
      </c>
      <c r="BE315" s="287">
        <f>[2]!CroissVégét</f>
        <v>0.99716388402603495</v>
      </c>
      <c r="BF315" s="806">
        <f>1+[2]!Salcycl*Ksac</f>
        <v>1.0259729151328667</v>
      </c>
      <c r="BH315" s="1036">
        <f t="shared" si="132"/>
        <v>1.2248275522940335E-2</v>
      </c>
      <c r="BI315" s="11">
        <v>44497</v>
      </c>
      <c r="BJ315" s="716">
        <v>2.8123354390629505E-3</v>
      </c>
      <c r="BK315" s="716">
        <v>3.8802739752636672E-3</v>
      </c>
      <c r="BL315" s="716">
        <v>5.0291370717344226E-3</v>
      </c>
      <c r="BM315" s="716">
        <v>6.3443102262570354E-3</v>
      </c>
      <c r="BN315" s="716">
        <v>9.0005910656976978E-3</v>
      </c>
      <c r="BO315" s="717">
        <v>1.2282641127218464E-2</v>
      </c>
      <c r="BP315" s="716">
        <v>1.6317852703753744E-2</v>
      </c>
      <c r="BQ315" s="716">
        <v>2.0113961249177695E-2</v>
      </c>
      <c r="BR315" s="716">
        <v>2.6613344701998453E-2</v>
      </c>
      <c r="BS315" s="716">
        <v>3.5607235457805399E-2</v>
      </c>
      <c r="BT315" s="716">
        <v>4.685556734008027E-2</v>
      </c>
      <c r="BW315" s="1166">
        <f>'2022'!R\Max</f>
        <v>0.51284083120914892</v>
      </c>
      <c r="BX315" s="1167">
        <f>'2023'!R\Max</f>
        <v>0.51276808900924487</v>
      </c>
      <c r="BY315" s="1167">
        <f>'2024'!R\Max</f>
        <v>0.51269954634610315</v>
      </c>
      <c r="BZ315" s="1167">
        <f>'2025'!R\Max</f>
        <v>0.51263109819515162</v>
      </c>
      <c r="CA315" s="1167">
        <f>'2026'!R\Max</f>
        <v>0.51251504770513345</v>
      </c>
      <c r="CB315" s="1167">
        <f>'2027'!R\Max</f>
        <v>0.5123978147158208</v>
      </c>
      <c r="CC315" s="1168">
        <f>'2028'!R\Max</f>
        <v>0.51223661859229153</v>
      </c>
      <c r="CD315" s="1167">
        <f>'2029'!R\Max</f>
        <v>0.51284446635317404</v>
      </c>
      <c r="CE315" s="1167">
        <f>'2030'!R\Max</f>
        <v>0.51277172460395837</v>
      </c>
      <c r="CF315" s="1169">
        <f>'2031'!R\Max</f>
        <v>0.51270296691690065</v>
      </c>
    </row>
    <row r="316" spans="1:84" s="6" customFormat="1" ht="11.25" x14ac:dyDescent="0.2">
      <c r="A316" s="11">
        <v>43402</v>
      </c>
      <c r="B316" s="375">
        <f>'2022'!Maxi_hp</f>
        <v>106.36453669934818</v>
      </c>
      <c r="C316" s="13">
        <f>'2022'!An_max</f>
        <v>2022</v>
      </c>
      <c r="D316" s="1045" t="str">
        <f t="shared" si="116"/>
        <v/>
      </c>
      <c r="E316" s="1040">
        <f>AI$13/10</f>
        <v>141.5</v>
      </c>
      <c r="F316" s="13">
        <f t="shared" si="133"/>
        <v>23</v>
      </c>
      <c r="G316" s="13">
        <f t="shared" si="117"/>
        <v>24</v>
      </c>
      <c r="H316" s="169">
        <f t="shared" si="118"/>
        <v>43402</v>
      </c>
      <c r="I316" s="743">
        <f t="shared" si="119"/>
        <v>0</v>
      </c>
      <c r="J316" s="736">
        <f t="shared" si="120"/>
        <v>141.5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38">
        <v>43402</v>
      </c>
      <c r="AP316" s="13">
        <f t="shared" si="121"/>
        <v>13</v>
      </c>
      <c r="AQ316" s="13">
        <f t="shared" si="122"/>
        <v>12</v>
      </c>
      <c r="AR316" s="169">
        <f t="shared" si="123"/>
        <v>43416</v>
      </c>
      <c r="AS316" s="743">
        <f t="shared" si="124"/>
        <v>0.5</v>
      </c>
      <c r="AT316" s="759">
        <f t="shared" si="125"/>
        <v>141.09374999832363</v>
      </c>
      <c r="AU316" s="13">
        <f t="shared" si="126"/>
        <v>13</v>
      </c>
      <c r="AV316" s="13">
        <f t="shared" si="127"/>
        <v>12</v>
      </c>
      <c r="AW316" s="169">
        <f t="shared" si="128"/>
        <v>43430</v>
      </c>
      <c r="AX316" s="743">
        <f t="shared" si="129"/>
        <v>1</v>
      </c>
      <c r="AY316" s="759">
        <f t="shared" si="130"/>
        <v>141.5</v>
      </c>
      <c r="AZ316" s="736">
        <f t="shared" si="134"/>
        <v>141.29687499916182</v>
      </c>
      <c r="BA316" s="633">
        <f t="shared" si="131"/>
        <v>0.75169283886465144</v>
      </c>
      <c r="BC316" s="11">
        <v>43402</v>
      </c>
      <c r="BD316" s="286">
        <f>[2]!FeuilCaduc*(1-Persistant)+Persistant</f>
        <v>0.80205804176065143</v>
      </c>
      <c r="BE316" s="287">
        <f>[2]!CroissVégét</f>
        <v>0.99729102250050727</v>
      </c>
      <c r="BF316" s="806">
        <f>1+[2]!Salcycl*Ksac</f>
        <v>1.0252572552200814</v>
      </c>
      <c r="BH316" s="1036">
        <f t="shared" si="132"/>
        <v>1.3112552799569134E-2</v>
      </c>
      <c r="BI316" s="11">
        <v>44498</v>
      </c>
      <c r="BJ316" s="716">
        <v>2.8967049848766598E-3</v>
      </c>
      <c r="BK316" s="716">
        <v>4.014013261825944E-3</v>
      </c>
      <c r="BL316" s="716">
        <v>5.2092246296088314E-3</v>
      </c>
      <c r="BM316" s="716">
        <v>6.5754252015838045E-3</v>
      </c>
      <c r="BN316" s="716">
        <v>9.5073009810177495E-3</v>
      </c>
      <c r="BO316" s="717">
        <v>1.3150702028335197E-2</v>
      </c>
      <c r="BP316" s="716">
        <v>1.7650506690189523E-2</v>
      </c>
      <c r="BQ316" s="716">
        <v>2.1846753669198766E-2</v>
      </c>
      <c r="BR316" s="716">
        <v>2.8854680258916059E-2</v>
      </c>
      <c r="BS316" s="716">
        <v>3.8474785130030165E-2</v>
      </c>
      <c r="BT316" s="716">
        <v>5.0437343253563104E-2</v>
      </c>
      <c r="BW316" s="1166">
        <f>'2022'!R\Max</f>
        <v>0.75169283886465144</v>
      </c>
      <c r="BX316" s="1167">
        <f>'2023'!R\Max</f>
        <v>0.75163208889849553</v>
      </c>
      <c r="BY316" s="1167">
        <f>'2024'!R\Max</f>
        <v>0.75157532407045702</v>
      </c>
      <c r="BZ316" s="1167">
        <f>'2025'!R\Max</f>
        <v>0.75151864063746754</v>
      </c>
      <c r="CA316" s="1167">
        <f>'2026'!R\Max</f>
        <v>0.7514248408172246</v>
      </c>
      <c r="CB316" s="1167">
        <f>'2027'!R\Max</f>
        <v>0.75133009919660476</v>
      </c>
      <c r="CC316" s="1168">
        <f>'2028'!R\Max</f>
        <v>0.7512008082060313</v>
      </c>
      <c r="CD316" s="1167">
        <f>'2029'!R\Max</f>
        <v>0.7516958744500436</v>
      </c>
      <c r="CE316" s="1167">
        <f>'2030'!R\Max</f>
        <v>0.75163512537663268</v>
      </c>
      <c r="CF316" s="1169">
        <f>'2031'!R\Max</f>
        <v>0.7515781564866213</v>
      </c>
    </row>
    <row r="317" spans="1:84" s="6" customFormat="1" ht="11.25" x14ac:dyDescent="0.2">
      <c r="A317" s="11">
        <v>43403</v>
      </c>
      <c r="B317" s="375">
        <f>'2022'!Maxi_hp</f>
        <v>88.928840015230989</v>
      </c>
      <c r="C317" s="13">
        <f>'2022'!An_max</f>
        <v>2022</v>
      </c>
      <c r="D317" s="1045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69">
        <f t="shared" si="118"/>
        <v>43402</v>
      </c>
      <c r="I317" s="743">
        <f t="shared" si="119"/>
        <v>7.1428571428571425E-2</v>
      </c>
      <c r="J317" s="736">
        <f t="shared" si="120"/>
        <v>140.15725218664323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38">
        <v>43403</v>
      </c>
      <c r="AP317" s="13">
        <f t="shared" si="121"/>
        <v>13</v>
      </c>
      <c r="AQ317" s="13">
        <f t="shared" si="122"/>
        <v>12</v>
      </c>
      <c r="AR317" s="169">
        <f t="shared" si="123"/>
        <v>43416</v>
      </c>
      <c r="AS317" s="743">
        <f t="shared" si="124"/>
        <v>0.4642857142857143</v>
      </c>
      <c r="AT317" s="759">
        <f t="shared" si="125"/>
        <v>139.6978521321102</v>
      </c>
      <c r="AU317" s="13">
        <f t="shared" si="126"/>
        <v>13</v>
      </c>
      <c r="AV317" s="13">
        <f t="shared" si="127"/>
        <v>12</v>
      </c>
      <c r="AW317" s="169">
        <f t="shared" si="128"/>
        <v>43430</v>
      </c>
      <c r="AX317" s="743">
        <f t="shared" si="129"/>
        <v>0.9642857142857143</v>
      </c>
      <c r="AY317" s="759">
        <f t="shared" si="130"/>
        <v>140.20332902419781</v>
      </c>
      <c r="AZ317" s="736">
        <f t="shared" si="134"/>
        <v>139.95059057815399</v>
      </c>
      <c r="BA317" s="633">
        <f t="shared" si="131"/>
        <v>0.63449331823948074</v>
      </c>
      <c r="BC317" s="11">
        <v>43403</v>
      </c>
      <c r="BD317" s="286">
        <f>[2]!FeuilCaduc*(1-Persistant)+Persistant</f>
        <v>0.7963047856257206</v>
      </c>
      <c r="BE317" s="287">
        <f>[2]!CroissVégét</f>
        <v>0.99741307246059263</v>
      </c>
      <c r="BF317" s="806">
        <f>1+[2]!Salcycl*Ksac</f>
        <v>1.0245380982032151</v>
      </c>
      <c r="BH317" s="1036">
        <f t="shared" si="132"/>
        <v>1.4059295036693365E-2</v>
      </c>
      <c r="BI317" s="11">
        <v>44499</v>
      </c>
      <c r="BJ317" s="716">
        <v>2.9754186519996904E-3</v>
      </c>
      <c r="BK317" s="716">
        <v>4.151307029290445E-3</v>
      </c>
      <c r="BL317" s="716">
        <v>5.401767591200056E-3</v>
      </c>
      <c r="BM317" s="716">
        <v>6.8287068603191253E-3</v>
      </c>
      <c r="BN317" s="716">
        <v>1.006200883055179E-2</v>
      </c>
      <c r="BO317" s="717">
        <v>1.4101592605239575E-2</v>
      </c>
      <c r="BP317" s="716">
        <v>1.9111394640185686E-2</v>
      </c>
      <c r="BQ317" s="716">
        <v>2.3751203199644366E-2</v>
      </c>
      <c r="BR317" s="716">
        <v>3.129578316162468E-2</v>
      </c>
      <c r="BS317" s="716">
        <v>4.1559386548413228E-2</v>
      </c>
      <c r="BT317" s="716">
        <v>5.4239224174292888E-2</v>
      </c>
      <c r="BW317" s="1166">
        <f>'2022'!R\Max</f>
        <v>0.63449331823948074</v>
      </c>
      <c r="BX317" s="1167">
        <f>'2023'!R\Max</f>
        <v>0.63440908655451467</v>
      </c>
      <c r="BY317" s="1167">
        <f>'2024'!R\Max</f>
        <v>0.63433091102900574</v>
      </c>
      <c r="BZ317" s="1167">
        <f>'2025'!R\Max</f>
        <v>0.6342528643219475</v>
      </c>
      <c r="CA317" s="1167">
        <f>'2026'!R\Max</f>
        <v>0.63412706883502901</v>
      </c>
      <c r="CB317" s="1167">
        <f>'2027'!R\Max</f>
        <v>0.634000077072288</v>
      </c>
      <c r="CC317" s="1168">
        <f>'2028'!R\Max</f>
        <v>0.63382832111684906</v>
      </c>
      <c r="CD317" s="1167">
        <f>'2029'!R\Max</f>
        <v>0.6344975272841733</v>
      </c>
      <c r="CE317" s="1167">
        <f>'2030'!R\Max</f>
        <v>0.63441329662221135</v>
      </c>
      <c r="CF317" s="1169">
        <f>'2031'!R\Max</f>
        <v>0.63433481104791933</v>
      </c>
    </row>
    <row r="318" spans="1:84" s="6" customFormat="1" ht="11.25" x14ac:dyDescent="0.2">
      <c r="A318" s="11">
        <v>43404</v>
      </c>
      <c r="B318" s="375">
        <f>'2022'!Maxi_hp</f>
        <v>90.042264193669411</v>
      </c>
      <c r="C318" s="13">
        <f>'2022'!An_max</f>
        <v>2022</v>
      </c>
      <c r="D318" s="1045" t="str">
        <f t="shared" si="116"/>
        <v/>
      </c>
      <c r="E318" s="13"/>
      <c r="F318" s="13">
        <f t="shared" si="133"/>
        <v>23</v>
      </c>
      <c r="G318" s="13">
        <f t="shared" si="117"/>
        <v>24</v>
      </c>
      <c r="H318" s="169">
        <f t="shared" si="118"/>
        <v>43402</v>
      </c>
      <c r="I318" s="743">
        <f t="shared" si="119"/>
        <v>0.14285714285714285</v>
      </c>
      <c r="J318" s="736">
        <f t="shared" si="120"/>
        <v>138.8090379005032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38">
        <v>43404</v>
      </c>
      <c r="AP318" s="13">
        <f t="shared" si="121"/>
        <v>13</v>
      </c>
      <c r="AQ318" s="13">
        <f t="shared" si="122"/>
        <v>12</v>
      </c>
      <c r="AR318" s="169">
        <f t="shared" si="123"/>
        <v>43416</v>
      </c>
      <c r="AS318" s="743">
        <f t="shared" si="124"/>
        <v>0.42857142857142855</v>
      </c>
      <c r="AT318" s="759">
        <f t="shared" si="125"/>
        <v>138.31049562463801</v>
      </c>
      <c r="AU318" s="13">
        <f t="shared" si="126"/>
        <v>13</v>
      </c>
      <c r="AV318" s="13">
        <f t="shared" si="127"/>
        <v>12</v>
      </c>
      <c r="AW318" s="169">
        <f t="shared" si="128"/>
        <v>43430</v>
      </c>
      <c r="AX318" s="743">
        <f t="shared" si="129"/>
        <v>0.9285714285714286</v>
      </c>
      <c r="AY318" s="759">
        <f t="shared" si="130"/>
        <v>138.88665133033481</v>
      </c>
      <c r="AZ318" s="736">
        <f t="shared" si="134"/>
        <v>138.59857347748641</v>
      </c>
      <c r="BA318" s="633">
        <f t="shared" si="131"/>
        <v>0.64867724433196294</v>
      </c>
      <c r="BC318" s="11">
        <v>43404</v>
      </c>
      <c r="BD318" s="286">
        <f>[2]!FeuilCaduc*(1-Persistant)+Persistant</f>
        <v>0.79053155513041851</v>
      </c>
      <c r="BE318" s="287">
        <f>[2]!CroissVégét</f>
        <v>0.99753023639231442</v>
      </c>
      <c r="BF318" s="806">
        <f>1+[2]!Salcycl*Ksac</f>
        <v>1.0238164443913023</v>
      </c>
      <c r="BH318" s="1036">
        <f t="shared" si="132"/>
        <v>1.5139898157216919E-2</v>
      </c>
      <c r="BI318" s="11">
        <v>44500</v>
      </c>
      <c r="BJ318" s="716">
        <v>3.0645772085055064E-3</v>
      </c>
      <c r="BK318" s="716">
        <v>4.3181668396376841E-3</v>
      </c>
      <c r="BL318" s="716">
        <v>5.6557069904756051E-3</v>
      </c>
      <c r="BM318" s="716">
        <v>7.1779125057819769E-3</v>
      </c>
      <c r="BN318" s="716">
        <v>1.0736023080552123E-2</v>
      </c>
      <c r="BO318" s="717">
        <v>1.5186498074840524E-2</v>
      </c>
      <c r="BP318" s="716">
        <v>2.0725409837699115E-2</v>
      </c>
      <c r="BQ318" s="716">
        <v>2.5847391849550316E-2</v>
      </c>
      <c r="BR318" s="716">
        <v>3.3949778871532721E-2</v>
      </c>
      <c r="BS318" s="716">
        <v>4.4865696465846948E-2</v>
      </c>
      <c r="BT318" s="716">
        <v>5.825622678100157E-2</v>
      </c>
      <c r="BW318" s="1166">
        <f>'2022'!R\Max</f>
        <v>0.64867724433196294</v>
      </c>
      <c r="BX318" s="1167">
        <f>'2023'!R\Max</f>
        <v>0.64858550730913778</v>
      </c>
      <c r="BY318" s="1167">
        <f>'2024'!R\Max</f>
        <v>0.64850049094094431</v>
      </c>
      <c r="BZ318" s="1167">
        <f>'2025'!R\Max</f>
        <v>0.64841561422101224</v>
      </c>
      <c r="CA318" s="1167">
        <f>'2026'!R\Max</f>
        <v>0.64828246087350083</v>
      </c>
      <c r="CB318" s="1167">
        <f>'2027'!R\Max</f>
        <v>0.64814809590323552</v>
      </c>
      <c r="CC318" s="1168">
        <f>'2028'!R\Max</f>
        <v>0.64796807892621888</v>
      </c>
      <c r="CD318" s="1167">
        <f>'2029'!R\Max</f>
        <v>0.64868182832643917</v>
      </c>
      <c r="CE318" s="1167">
        <f>'2030'!R\Max</f>
        <v>0.64859009259079892</v>
      </c>
      <c r="CF318" s="1169">
        <f>'2031'!R\Max</f>
        <v>0.64850473218080606</v>
      </c>
    </row>
    <row r="319" spans="1:84" s="6" customFormat="1" ht="11.25" x14ac:dyDescent="0.2">
      <c r="A319" s="11">
        <v>43405</v>
      </c>
      <c r="B319" s="375">
        <f>'2022'!Maxi_hp</f>
        <v>89.368067113464861</v>
      </c>
      <c r="C319" s="13">
        <f>'2022'!An_max</f>
        <v>2022</v>
      </c>
      <c r="D319" s="1045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69">
        <f t="shared" si="118"/>
        <v>43402</v>
      </c>
      <c r="I319" s="743">
        <f t="shared" si="119"/>
        <v>0.21428571428571427</v>
      </c>
      <c r="J319" s="736">
        <f t="shared" si="120"/>
        <v>137.45754373148083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38">
        <v>43405</v>
      </c>
      <c r="AP319" s="13">
        <f t="shared" si="121"/>
        <v>13</v>
      </c>
      <c r="AQ319" s="13">
        <f t="shared" si="122"/>
        <v>12</v>
      </c>
      <c r="AR319" s="169">
        <f t="shared" si="123"/>
        <v>43416</v>
      </c>
      <c r="AS319" s="743">
        <f t="shared" si="124"/>
        <v>0.39285714285714285</v>
      </c>
      <c r="AT319" s="759">
        <f t="shared" si="125"/>
        <v>136.93352541697345</v>
      </c>
      <c r="AU319" s="13">
        <f t="shared" si="126"/>
        <v>13</v>
      </c>
      <c r="AV319" s="13">
        <f t="shared" si="127"/>
        <v>12</v>
      </c>
      <c r="AW319" s="169">
        <f t="shared" si="128"/>
        <v>43430</v>
      </c>
      <c r="AX319" s="743">
        <f t="shared" si="129"/>
        <v>0.8928571428571429</v>
      </c>
      <c r="AY319" s="759">
        <f t="shared" si="130"/>
        <v>137.55282690636813</v>
      </c>
      <c r="AZ319" s="736">
        <f t="shared" si="134"/>
        <v>137.24317616167079</v>
      </c>
      <c r="BA319" s="633">
        <f t="shared" si="131"/>
        <v>0.65015032778442983</v>
      </c>
      <c r="BC319" s="11">
        <v>43405</v>
      </c>
      <c r="BD319" s="286">
        <f>[2]!FeuilCaduc*(1-Persistant)+Persistant</f>
        <v>0.78474652459248617</v>
      </c>
      <c r="BE319" s="287">
        <f>[2]!CroissVégét</f>
        <v>0.99764270881659778</v>
      </c>
      <c r="BF319" s="806">
        <f>1+[2]!Salcycl*Ksac</f>
        <v>1.0230933155740607</v>
      </c>
      <c r="BH319" s="1036">
        <f t="shared" si="132"/>
        <v>1.6339853298362968E-2</v>
      </c>
      <c r="BI319" s="11">
        <v>44501</v>
      </c>
      <c r="BJ319" s="716">
        <v>3.1710447037315891E-3</v>
      </c>
      <c r="BK319" s="716">
        <v>4.5236445527854965E-3</v>
      </c>
      <c r="BL319" s="716">
        <v>5.9825149272522389E-3</v>
      </c>
      <c r="BM319" s="716">
        <v>7.6370766672400796E-3</v>
      </c>
      <c r="BN319" s="716">
        <v>1.1531437526272351E-2</v>
      </c>
      <c r="BO319" s="717">
        <v>1.6390733892153373E-2</v>
      </c>
      <c r="BP319" s="716">
        <v>2.2455167777103296E-2</v>
      </c>
      <c r="BQ319" s="716">
        <v>2.8082253120971429E-2</v>
      </c>
      <c r="BR319" s="716">
        <v>3.6743214450914954E-2</v>
      </c>
      <c r="BS319" s="716">
        <v>4.8294696385704217E-2</v>
      </c>
      <c r="BT319" s="716">
        <v>6.2360193404047991E-2</v>
      </c>
      <c r="BW319" s="1166">
        <f>'2022'!R\Max</f>
        <v>0.65015032778442983</v>
      </c>
      <c r="BX319" s="1167">
        <f>'2023'!R\Max</f>
        <v>0.65004983308693998</v>
      </c>
      <c r="BY319" s="1167">
        <f>'2024'!R\Max</f>
        <v>0.64995638900792618</v>
      </c>
      <c r="BZ319" s="1167">
        <f>'2025'!R\Max</f>
        <v>0.649863087018001</v>
      </c>
      <c r="CA319" s="1167">
        <f>'2026'!R\Max</f>
        <v>0.64972060107128093</v>
      </c>
      <c r="CB319" s="1167">
        <f>'2027'!R\Max</f>
        <v>0.64957687935945685</v>
      </c>
      <c r="CC319" s="1168">
        <f>'2028'!R\Max</f>
        <v>0.64938621130092999</v>
      </c>
      <c r="CD319" s="1167">
        <f>'2029'!R\Max</f>
        <v>0.65015534931425512</v>
      </c>
      <c r="CE319" s="1167">
        <f>'2030'!R\Max</f>
        <v>0.65005485617099323</v>
      </c>
      <c r="CF319" s="1169">
        <f>'2031'!R\Max</f>
        <v>0.64996105118618641</v>
      </c>
    </row>
    <row r="320" spans="1:84" s="6" customFormat="1" ht="11.25" x14ac:dyDescent="0.2">
      <c r="A320" s="11">
        <v>43406</v>
      </c>
      <c r="B320" s="375">
        <f>'2022'!Maxi_hp</f>
        <v>118.72465698577568</v>
      </c>
      <c r="C320" s="13">
        <f>'2022'!An_max</f>
        <v>2022</v>
      </c>
      <c r="D320" s="1045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69">
        <f t="shared" si="118"/>
        <v>43402</v>
      </c>
      <c r="I320" s="743">
        <f t="shared" si="119"/>
        <v>0.2857142857142857</v>
      </c>
      <c r="J320" s="736">
        <f t="shared" si="120"/>
        <v>136.10495626825306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38">
        <v>43406</v>
      </c>
      <c r="AP320" s="13">
        <f t="shared" si="121"/>
        <v>13</v>
      </c>
      <c r="AQ320" s="13">
        <f t="shared" si="122"/>
        <v>12</v>
      </c>
      <c r="AR320" s="169">
        <f t="shared" si="123"/>
        <v>43416</v>
      </c>
      <c r="AS320" s="743">
        <f t="shared" si="124"/>
        <v>0.35714285714285715</v>
      </c>
      <c r="AT320" s="759">
        <f t="shared" si="125"/>
        <v>135.56878644416906</v>
      </c>
      <c r="AU320" s="13">
        <f t="shared" si="126"/>
        <v>13</v>
      </c>
      <c r="AV320" s="13">
        <f t="shared" si="127"/>
        <v>12</v>
      </c>
      <c r="AW320" s="169">
        <f t="shared" si="128"/>
        <v>43430</v>
      </c>
      <c r="AX320" s="743">
        <f t="shared" si="129"/>
        <v>0.8571428571428571</v>
      </c>
      <c r="AY320" s="759">
        <f t="shared" si="130"/>
        <v>136.20471574238368</v>
      </c>
      <c r="AZ320" s="736">
        <f t="shared" si="134"/>
        <v>135.88675109327636</v>
      </c>
      <c r="BA320" s="633">
        <f t="shared" si="131"/>
        <v>0.872302230873782</v>
      </c>
      <c r="BC320" s="11">
        <v>43406</v>
      </c>
      <c r="BD320" s="286">
        <f>[2]!FeuilCaduc*(1-Persistant)+Persistant</f>
        <v>0.77895800540929394</v>
      </c>
      <c r="BE320" s="287">
        <f>[2]!CroissVégét</f>
        <v>0.99775067659530603</v>
      </c>
      <c r="BF320" s="806">
        <f>1+[2]!Salcycl*Ksac</f>
        <v>1.0223697506761618</v>
      </c>
      <c r="BH320" s="1036">
        <f t="shared" si="132"/>
        <v>1.7659289588160827E-2</v>
      </c>
      <c r="BI320" s="11">
        <v>44502</v>
      </c>
      <c r="BJ320" s="716">
        <v>3.2948393125770124E-3</v>
      </c>
      <c r="BK320" s="716">
        <v>4.7677827159529895E-3</v>
      </c>
      <c r="BL320" s="716">
        <v>6.3822737111875055E-3</v>
      </c>
      <c r="BM320" s="716">
        <v>8.206324654508039E-3</v>
      </c>
      <c r="BN320" s="716">
        <v>1.2448387847080614E-2</v>
      </c>
      <c r="BO320" s="717">
        <v>1.7714429115883976E-2</v>
      </c>
      <c r="BP320" s="716">
        <v>2.4300788037079229E-2</v>
      </c>
      <c r="BQ320" s="716">
        <v>3.0455929216146458E-2</v>
      </c>
      <c r="BR320" s="716">
        <v>3.9676225802482597E-2</v>
      </c>
      <c r="BS320" s="716">
        <v>5.1846492637265686E-2</v>
      </c>
      <c r="BT320" s="716">
        <v>6.6551176105395363E-2</v>
      </c>
      <c r="BW320" s="1166">
        <f>'2022'!R\Max</f>
        <v>0.872302230873782</v>
      </c>
      <c r="BX320" s="1167">
        <f>'2023'!R\Max</f>
        <v>0.87224863988701684</v>
      </c>
      <c r="BY320" s="1167">
        <f>'2024'!R\Max</f>
        <v>0.8721984494519428</v>
      </c>
      <c r="BZ320" s="1167">
        <f>'2025'!R\Max</f>
        <v>0.87214831460396869</v>
      </c>
      <c r="CA320" s="1167">
        <f>'2026'!R\Max</f>
        <v>0.87207374472846444</v>
      </c>
      <c r="CB320" s="1167">
        <f>'2027'!R\Max</f>
        <v>0.87199853768687829</v>
      </c>
      <c r="CC320" s="1168">
        <f>'2028'!R\Max</f>
        <v>0.87189973854830205</v>
      </c>
      <c r="CD320" s="1167">
        <f>'2029'!R\Max</f>
        <v>0.8723049083748512</v>
      </c>
      <c r="CE320" s="1167">
        <f>'2030'!R\Max</f>
        <v>0.87225131886297569</v>
      </c>
      <c r="CF320" s="1169">
        <f>'2031'!R\Max</f>
        <v>0.87220095432522515</v>
      </c>
    </row>
    <row r="321" spans="1:84" s="6" customFormat="1" ht="11.25" x14ac:dyDescent="0.2">
      <c r="A321" s="11">
        <v>43407</v>
      </c>
      <c r="B321" s="375">
        <f>'2022'!Maxi_hp</f>
        <v>45.327958657850239</v>
      </c>
      <c r="C321" s="13">
        <f>'2022'!An_max</f>
        <v>2022</v>
      </c>
      <c r="D321" s="1045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69">
        <f t="shared" si="118"/>
        <v>43402</v>
      </c>
      <c r="I321" s="743">
        <f t="shared" si="119"/>
        <v>0.35714285714285715</v>
      </c>
      <c r="J321" s="736">
        <f t="shared" si="120"/>
        <v>134.75346209851227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38">
        <v>43407</v>
      </c>
      <c r="AP321" s="13">
        <f t="shared" si="121"/>
        <v>13</v>
      </c>
      <c r="AQ321" s="13">
        <f t="shared" si="122"/>
        <v>12</v>
      </c>
      <c r="AR321" s="169">
        <f t="shared" si="123"/>
        <v>43416</v>
      </c>
      <c r="AS321" s="743">
        <f t="shared" si="124"/>
        <v>0.32142857142857145</v>
      </c>
      <c r="AT321" s="759">
        <f t="shared" si="125"/>
        <v>134.21812363289564</v>
      </c>
      <c r="AU321" s="13">
        <f t="shared" si="126"/>
        <v>13</v>
      </c>
      <c r="AV321" s="13">
        <f t="shared" si="127"/>
        <v>12</v>
      </c>
      <c r="AW321" s="169">
        <f t="shared" si="128"/>
        <v>43430</v>
      </c>
      <c r="AX321" s="743">
        <f t="shared" si="129"/>
        <v>0.8214285714285714</v>
      </c>
      <c r="AY321" s="759">
        <f t="shared" si="130"/>
        <v>134.84517782886647</v>
      </c>
      <c r="AZ321" s="736">
        <f t="shared" si="134"/>
        <v>134.53165073088104</v>
      </c>
      <c r="BA321" s="633">
        <f t="shared" si="131"/>
        <v>0.33637695055814582</v>
      </c>
      <c r="BC321" s="11">
        <v>43407</v>
      </c>
      <c r="BD321" s="286">
        <f>[2]!FeuilCaduc*(1-Persistant)+Persistant</f>
        <v>0.77317440998061149</v>
      </c>
      <c r="BE321" s="287">
        <f>[2]!CroissVégét</f>
        <v>0.99785431922609247</v>
      </c>
      <c r="BF321" s="806">
        <f>1+[2]!Salcycl*Ksac</f>
        <v>1.0216468012475763</v>
      </c>
      <c r="BH321" s="1036">
        <f t="shared" si="132"/>
        <v>1.9098331921734404E-2</v>
      </c>
      <c r="BI321" s="11">
        <v>44503</v>
      </c>
      <c r="BJ321" s="716">
        <v>3.4359788051473742E-3</v>
      </c>
      <c r="BK321" s="716">
        <v>5.0506230688476782E-3</v>
      </c>
      <c r="BL321" s="716">
        <v>6.8550643127201884E-3</v>
      </c>
      <c r="BM321" s="716">
        <v>8.8857798595071927E-3</v>
      </c>
      <c r="BN321" s="716">
        <v>1.3487006720101441E-2</v>
      </c>
      <c r="BO321" s="717">
        <v>1.9157708558810448E-2</v>
      </c>
      <c r="BP321" s="716">
        <v>2.6262384355777806E-2</v>
      </c>
      <c r="BQ321" s="716">
        <v>3.2968554840850685E-2</v>
      </c>
      <c r="BR321" s="716">
        <v>4.2748939618950432E-2</v>
      </c>
      <c r="BS321" s="716">
        <v>5.5521180474390454E-2</v>
      </c>
      <c r="BT321" s="716">
        <v>7.0829213976393982E-2</v>
      </c>
      <c r="BW321" s="1166">
        <f>'2022'!R\Max</f>
        <v>0.33637695055814582</v>
      </c>
      <c r="BX321" s="1167">
        <f>'2023'!R\Max</f>
        <v>0.3362608375472298</v>
      </c>
      <c r="BY321" s="1167">
        <f>'2024'!R\Max</f>
        <v>0.33615108296499718</v>
      </c>
      <c r="BZ321" s="1167">
        <f>'2025'!R\Max</f>
        <v>0.33604147482323748</v>
      </c>
      <c r="CA321" s="1167">
        <f>'2026'!R\Max</f>
        <v>0.33588277368866926</v>
      </c>
      <c r="CB321" s="1167">
        <f>'2027'!R\Max</f>
        <v>0.33572290411312661</v>
      </c>
      <c r="CC321" s="1168">
        <f>'2028'!R\Max</f>
        <v>0.33551524647954362</v>
      </c>
      <c r="CD321" s="1167">
        <f>'2029'!R\Max</f>
        <v>0.33638275333259493</v>
      </c>
      <c r="CE321" s="1167">
        <f>'2030'!R\Max</f>
        <v>0.33626664054193239</v>
      </c>
      <c r="CF321" s="1169">
        <f>'2031'!R\Max</f>
        <v>0.33615656066323141</v>
      </c>
    </row>
    <row r="322" spans="1:84" s="6" customFormat="1" ht="11.25" x14ac:dyDescent="0.2">
      <c r="A322" s="11">
        <v>43408</v>
      </c>
      <c r="B322" s="375">
        <f>'2022'!Maxi_hp</f>
        <v>53.726769074168885</v>
      </c>
      <c r="C322" s="13">
        <f>'2022'!An_max</f>
        <v>2022</v>
      </c>
      <c r="D322" s="1045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69">
        <f t="shared" si="118"/>
        <v>43402</v>
      </c>
      <c r="I322" s="743">
        <f t="shared" si="119"/>
        <v>0.42857142857142855</v>
      </c>
      <c r="J322" s="736">
        <f t="shared" si="120"/>
        <v>133.40524781261169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38">
        <v>43408</v>
      </c>
      <c r="AP322" s="13">
        <f t="shared" si="121"/>
        <v>13</v>
      </c>
      <c r="AQ322" s="13">
        <f t="shared" si="122"/>
        <v>12</v>
      </c>
      <c r="AR322" s="169">
        <f t="shared" si="123"/>
        <v>43416</v>
      </c>
      <c r="AS322" s="743">
        <f t="shared" si="124"/>
        <v>0.2857142857142857</v>
      </c>
      <c r="AT322" s="759">
        <f t="shared" si="125"/>
        <v>132.88338192541684</v>
      </c>
      <c r="AU322" s="13">
        <f t="shared" si="126"/>
        <v>13</v>
      </c>
      <c r="AV322" s="13">
        <f t="shared" si="127"/>
        <v>12</v>
      </c>
      <c r="AW322" s="169">
        <f t="shared" si="128"/>
        <v>43430</v>
      </c>
      <c r="AX322" s="743">
        <f t="shared" si="129"/>
        <v>0.7857142857142857</v>
      </c>
      <c r="AY322" s="759">
        <f t="shared" si="130"/>
        <v>133.47707315901559</v>
      </c>
      <c r="AZ322" s="736">
        <f t="shared" si="134"/>
        <v>133.18022754221622</v>
      </c>
      <c r="BA322" s="633">
        <f t="shared" si="131"/>
        <v>0.402733550254608</v>
      </c>
      <c r="BC322" s="11">
        <v>43408</v>
      </c>
      <c r="BD322" s="286">
        <f>[2]!FeuilCaduc*(1-Persistant)+Persistant</f>
        <v>0.76740421455885688</v>
      </c>
      <c r="BE322" s="287">
        <f>[2]!CroissVégét</f>
        <v>0.99795380912643716</v>
      </c>
      <c r="BF322" s="806">
        <f>1+[2]!Salcycl*Ksac</f>
        <v>1.0209255268198572</v>
      </c>
      <c r="BH322" s="1036">
        <f t="shared" si="132"/>
        <v>2.0657100048116685E-2</v>
      </c>
      <c r="BI322" s="11">
        <v>44504</v>
      </c>
      <c r="BJ322" s="716">
        <v>3.5944804139054422E-3</v>
      </c>
      <c r="BK322" s="716">
        <v>5.3722062470655599E-3</v>
      </c>
      <c r="BL322" s="716">
        <v>7.4009658030347383E-3</v>
      </c>
      <c r="BM322" s="716">
        <v>9.6755629109618966E-3</v>
      </c>
      <c r="BN322" s="716">
        <v>1.4647422888734796E-2</v>
      </c>
      <c r="BO322" s="717">
        <v>2.0720691874791242E-2</v>
      </c>
      <c r="BP322" s="716">
        <v>2.8340063748744055E-2</v>
      </c>
      <c r="BQ322" s="716">
        <v>3.5620256148573337E-2</v>
      </c>
      <c r="BR322" s="716">
        <v>4.5961472324746587E-2</v>
      </c>
      <c r="BS322" s="716">
        <v>5.9318843150349937E-2</v>
      </c>
      <c r="BT322" s="716">
        <v>7.5194332492352661E-2</v>
      </c>
      <c r="BW322" s="1166">
        <f>'2022'!R\Max</f>
        <v>0.402733550254608</v>
      </c>
      <c r="BX322" s="1167">
        <f>'2023'!R\Max</f>
        <v>0.40259901650060231</v>
      </c>
      <c r="BY322" s="1167">
        <f>'2024'!R\Max</f>
        <v>0.40247031941792843</v>
      </c>
      <c r="BZ322" s="1167">
        <f>'2025'!R\Max</f>
        <v>0.40234174587998528</v>
      </c>
      <c r="CA322" s="1167">
        <f>'2026'!R\Max</f>
        <v>0.40216033111781369</v>
      </c>
      <c r="CB322" s="1167">
        <f>'2027'!R\Max</f>
        <v>0.40197764501823857</v>
      </c>
      <c r="CC322" s="1168">
        <f>'2028'!R\Max</f>
        <v>0.40174285906452728</v>
      </c>
      <c r="CD322" s="1167">
        <f>'2029'!R\Max</f>
        <v>0.40274027333783885</v>
      </c>
      <c r="CE322" s="1167">
        <f>'2030'!R\Max</f>
        <v>0.40260574035733443</v>
      </c>
      <c r="CF322" s="1169">
        <f>'2031'!R\Max</f>
        <v>0.40247674466727784</v>
      </c>
    </row>
    <row r="323" spans="1:84" s="6" customFormat="1" ht="11.25" x14ac:dyDescent="0.2">
      <c r="A323" s="11">
        <v>43409</v>
      </c>
      <c r="B323" s="375">
        <f>'2022'!Maxi_hp</f>
        <v>126.39744220222137</v>
      </c>
      <c r="C323" s="13">
        <f>'2022'!An_max</f>
        <v>2022</v>
      </c>
      <c r="D323" s="1045" t="str">
        <f t="shared" si="116"/>
        <v/>
      </c>
      <c r="E323" s="13"/>
      <c r="F323" s="13">
        <f t="shared" si="133"/>
        <v>23</v>
      </c>
      <c r="G323" s="13">
        <f t="shared" si="117"/>
        <v>24</v>
      </c>
      <c r="H323" s="169">
        <f t="shared" si="118"/>
        <v>43402</v>
      </c>
      <c r="I323" s="743">
        <f t="shared" si="119"/>
        <v>0.5</v>
      </c>
      <c r="J323" s="736">
        <f t="shared" si="120"/>
        <v>132.06249999906868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38">
        <v>43409</v>
      </c>
      <c r="AP323" s="13">
        <f t="shared" si="121"/>
        <v>13</v>
      </c>
      <c r="AQ323" s="13">
        <f t="shared" si="122"/>
        <v>12</v>
      </c>
      <c r="AR323" s="169">
        <f t="shared" si="123"/>
        <v>43416</v>
      </c>
      <c r="AS323" s="743">
        <f t="shared" si="124"/>
        <v>0.25</v>
      </c>
      <c r="AT323" s="759">
        <f t="shared" si="125"/>
        <v>131.56640624785797</v>
      </c>
      <c r="AU323" s="13">
        <f t="shared" si="126"/>
        <v>13</v>
      </c>
      <c r="AV323" s="13">
        <f t="shared" si="127"/>
        <v>12</v>
      </c>
      <c r="AW323" s="169">
        <f t="shared" si="128"/>
        <v>43430</v>
      </c>
      <c r="AX323" s="743">
        <f t="shared" si="129"/>
        <v>0.75</v>
      </c>
      <c r="AY323" s="759">
        <f t="shared" si="130"/>
        <v>132.10326171517372</v>
      </c>
      <c r="AZ323" s="736">
        <f t="shared" si="134"/>
        <v>131.83483398151583</v>
      </c>
      <c r="BA323" s="633">
        <f t="shared" si="131"/>
        <v>0.95710320645991664</v>
      </c>
      <c r="BC323" s="11">
        <v>43409</v>
      </c>
      <c r="BD323" s="286">
        <f>[2]!FeuilCaduc*(1-Persistant)+Persistant</f>
        <v>0.76165592127670301</v>
      </c>
      <c r="BE323" s="287">
        <f>[2]!CroissVégét</f>
        <v>0.99804931190721602</v>
      </c>
      <c r="BF323" s="806">
        <f>1+[2]!Salcycl*Ksac</f>
        <v>1.0202069901595878</v>
      </c>
      <c r="BH323" s="1036">
        <f t="shared" si="132"/>
        <v>2.2335707656923758E-2</v>
      </c>
      <c r="BI323" s="11">
        <v>44505</v>
      </c>
      <c r="BJ323" s="716">
        <v>3.7703607007970332E-3</v>
      </c>
      <c r="BK323" s="716">
        <v>5.7325714854545061E-3</v>
      </c>
      <c r="BL323" s="716">
        <v>8.0200547939755784E-3</v>
      </c>
      <c r="BM323" s="716">
        <v>1.0575790829030566E-2</v>
      </c>
      <c r="BN323" s="716">
        <v>1.592976023107591E-2</v>
      </c>
      <c r="BO323" s="717">
        <v>2.2403492645632326E-2</v>
      </c>
      <c r="BP323" s="716">
        <v>3.0533925626648098E-2</v>
      </c>
      <c r="BQ323" s="716">
        <v>3.8411149684452084E-2</v>
      </c>
      <c r="BR323" s="716">
        <v>4.9313929017408054E-2</v>
      </c>
      <c r="BS323" s="716">
        <v>6.3239550992254936E-2</v>
      </c>
      <c r="BT323" s="716">
        <v>7.9646542866592937E-2</v>
      </c>
      <c r="BW323" s="1166">
        <f>'2022'!R\Max</f>
        <v>0.95710320645991664</v>
      </c>
      <c r="BX323" s="1167">
        <f>'2023'!R\Max</f>
        <v>0.95707863086323464</v>
      </c>
      <c r="BY323" s="1167">
        <f>'2024'!R\Max</f>
        <v>0.95705478464233784</v>
      </c>
      <c r="BZ323" s="1167">
        <f>'2025'!R\Max</f>
        <v>0.95703093777092663</v>
      </c>
      <c r="CA323" s="1167">
        <f>'2026'!R\Max</f>
        <v>0.95699811152927206</v>
      </c>
      <c r="CB323" s="1167">
        <f>'2027'!R\Max</f>
        <v>0.95696504060733834</v>
      </c>
      <c r="CC323" s="1168">
        <f>'2028'!R\Max</f>
        <v>0.95692296005909172</v>
      </c>
      <c r="CD323" s="1167">
        <f>'2029'!R\Max</f>
        <v>0.95710443414837898</v>
      </c>
      <c r="CE323" s="1167">
        <f>'2030'!R\Max</f>
        <v>0.95707985951782748</v>
      </c>
      <c r="CF323" s="1169">
        <f>'2031'!R\Max</f>
        <v>0.95705597594185288</v>
      </c>
    </row>
    <row r="324" spans="1:84" s="6" customFormat="1" ht="11.25" x14ac:dyDescent="0.2">
      <c r="A324" s="11">
        <v>43410</v>
      </c>
      <c r="B324" s="375">
        <f>'2022'!Maxi_hp</f>
        <v>126.85337190072234</v>
      </c>
      <c r="C324" s="13">
        <f>'2022'!An_max</f>
        <v>2022</v>
      </c>
      <c r="D324" s="1045">
        <f t="shared" si="116"/>
        <v>0.97036556076065206</v>
      </c>
      <c r="E324" s="13"/>
      <c r="F324" s="13">
        <f t="shared" si="133"/>
        <v>23</v>
      </c>
      <c r="G324" s="13">
        <f t="shared" si="117"/>
        <v>24</v>
      </c>
      <c r="H324" s="169">
        <f t="shared" si="118"/>
        <v>43402</v>
      </c>
      <c r="I324" s="743">
        <f t="shared" si="119"/>
        <v>0.5714285714285714</v>
      </c>
      <c r="J324" s="736">
        <f t="shared" si="120"/>
        <v>130.72740524847592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38">
        <v>43410</v>
      </c>
      <c r="AP324" s="13">
        <f t="shared" si="121"/>
        <v>13</v>
      </c>
      <c r="AQ324" s="13">
        <f t="shared" si="122"/>
        <v>12</v>
      </c>
      <c r="AR324" s="169">
        <f t="shared" si="123"/>
        <v>43416</v>
      </c>
      <c r="AS324" s="743">
        <f t="shared" si="124"/>
        <v>0.21428571428571427</v>
      </c>
      <c r="AT324" s="759">
        <f t="shared" si="125"/>
        <v>130.26904154505047</v>
      </c>
      <c r="AU324" s="13">
        <f t="shared" si="126"/>
        <v>13</v>
      </c>
      <c r="AV324" s="13">
        <f t="shared" si="127"/>
        <v>12</v>
      </c>
      <c r="AW324" s="169">
        <f t="shared" si="128"/>
        <v>43430</v>
      </c>
      <c r="AX324" s="743">
        <f t="shared" si="129"/>
        <v>0.7142857142857143</v>
      </c>
      <c r="AY324" s="759">
        <f t="shared" si="130"/>
        <v>130.72660349639398</v>
      </c>
      <c r="AZ324" s="736">
        <f t="shared" si="134"/>
        <v>130.49782252072222</v>
      </c>
      <c r="BA324" s="633">
        <f t="shared" si="131"/>
        <v>0.97036556076065206</v>
      </c>
      <c r="BC324" s="11">
        <v>43410</v>
      </c>
      <c r="BD324" s="286">
        <f>[2]!FeuilCaduc*(1-Persistant)+Persistant</f>
        <v>0.75593801961083673</v>
      </c>
      <c r="BE324" s="287">
        <f>[2]!CroissVégét</f>
        <v>0.99814098663615436</v>
      </c>
      <c r="BF324" s="806">
        <f>1+[2]!Salcycl*Ksac</f>
        <v>1.0194922524513546</v>
      </c>
      <c r="BH324" s="1036">
        <f t="shared" si="132"/>
        <v>2.4135778796857497E-2</v>
      </c>
      <c r="BI324" s="11">
        <v>44506</v>
      </c>
      <c r="BJ324" s="716">
        <v>3.974290921138917E-3</v>
      </c>
      <c r="BK324" s="716">
        <v>6.1419584637702612E-3</v>
      </c>
      <c r="BL324" s="716">
        <v>8.7240652240136232E-3</v>
      </c>
      <c r="BM324" s="716">
        <v>1.1600954011098166E-2</v>
      </c>
      <c r="BN324" s="716">
        <v>1.7342892559815207E-2</v>
      </c>
      <c r="BO324" s="717">
        <v>2.4207658206141836E-2</v>
      </c>
      <c r="BP324" s="716">
        <v>3.2835638659882482E-2</v>
      </c>
      <c r="BQ324" s="716">
        <v>4.1318642584173733E-2</v>
      </c>
      <c r="BR324" s="716">
        <v>5.2766749274452414E-2</v>
      </c>
      <c r="BS324" s="716">
        <v>6.7219876014475599E-2</v>
      </c>
      <c r="BT324" s="716">
        <v>8.4093424910947318E-2</v>
      </c>
      <c r="BW324" s="1166">
        <f>'2022'!R\Max</f>
        <v>0.97036556076065206</v>
      </c>
      <c r="BX324" s="1167">
        <f>'2023'!R\Max</f>
        <v>0.9703472456518476</v>
      </c>
      <c r="BY324" s="1167">
        <f>'2024'!R\Max</f>
        <v>0.97032921601006739</v>
      </c>
      <c r="BZ324" s="1167">
        <f>'2025'!R\Max</f>
        <v>0.97031117824113855</v>
      </c>
      <c r="CA324" s="1167">
        <f>'2026'!R\Max</f>
        <v>0.97028695558100564</v>
      </c>
      <c r="CB324" s="1167">
        <f>'2027'!R\Max</f>
        <v>0.97026256143642364</v>
      </c>
      <c r="CC324" s="1168">
        <f>'2028'!R\Max</f>
        <v>0.97023187076486395</v>
      </c>
      <c r="CD324" s="1167">
        <f>'2029'!R\Max</f>
        <v>0.97036647567043433</v>
      </c>
      <c r="CE324" s="1167">
        <f>'2030'!R\Max</f>
        <v>0.97034816134320645</v>
      </c>
      <c r="CF324" s="1169">
        <f>'2031'!R\Max</f>
        <v>0.97033011707211336</v>
      </c>
    </row>
    <row r="325" spans="1:84" s="6" customFormat="1" ht="11.25" x14ac:dyDescent="0.2">
      <c r="A325" s="11">
        <v>43411</v>
      </c>
      <c r="B325" s="375">
        <f>'2022'!Maxi_hp</f>
        <v>122.48864217227751</v>
      </c>
      <c r="C325" s="13">
        <f>'2022'!An_max</f>
        <v>2022</v>
      </c>
      <c r="D325" s="1045" t="str">
        <f t="shared" si="116"/>
        <v/>
      </c>
      <c r="E325" s="13"/>
      <c r="F325" s="13">
        <f t="shared" si="133"/>
        <v>23</v>
      </c>
      <c r="G325" s="13">
        <f t="shared" si="117"/>
        <v>24</v>
      </c>
      <c r="H325" s="169">
        <f t="shared" si="118"/>
        <v>43402</v>
      </c>
      <c r="I325" s="743">
        <f t="shared" si="119"/>
        <v>0.6428571428571429</v>
      </c>
      <c r="J325" s="736">
        <f t="shared" si="120"/>
        <v>129.40215014621083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38">
        <v>43411</v>
      </c>
      <c r="AP325" s="13">
        <f t="shared" si="121"/>
        <v>13</v>
      </c>
      <c r="AQ325" s="13">
        <f t="shared" si="122"/>
        <v>12</v>
      </c>
      <c r="AR325" s="169">
        <f t="shared" si="123"/>
        <v>43416</v>
      </c>
      <c r="AS325" s="743">
        <f t="shared" si="124"/>
        <v>0.17857142857142858</v>
      </c>
      <c r="AT325" s="759">
        <f t="shared" si="125"/>
        <v>128.99313274020597</v>
      </c>
      <c r="AU325" s="13">
        <f t="shared" si="126"/>
        <v>13</v>
      </c>
      <c r="AV325" s="13">
        <f t="shared" si="127"/>
        <v>12</v>
      </c>
      <c r="AW325" s="169">
        <f t="shared" si="128"/>
        <v>43430</v>
      </c>
      <c r="AX325" s="743">
        <f t="shared" si="129"/>
        <v>0.6785714285714286</v>
      </c>
      <c r="AY325" s="759">
        <f t="shared" si="130"/>
        <v>129.34995848807904</v>
      </c>
      <c r="AZ325" s="736">
        <f t="shared" si="134"/>
        <v>129.1715456141425</v>
      </c>
      <c r="BA325" s="633">
        <f t="shared" si="131"/>
        <v>0.94657346909520601</v>
      </c>
      <c r="BC325" s="11">
        <v>43411</v>
      </c>
      <c r="BD325" s="286">
        <f>[2]!FeuilCaduc*(1-Persistant)+Persistant</f>
        <v>0.75025894754742239</v>
      </c>
      <c r="BE325" s="287">
        <f>[2]!CroissVégét</f>
        <v>0.99822898609149657</v>
      </c>
      <c r="BF325" s="806">
        <f>1+[2]!Salcycl*Ksac</f>
        <v>1.0187823684434278</v>
      </c>
      <c r="BH325" s="1036">
        <f t="shared" si="132"/>
        <v>2.5990090837531673E-2</v>
      </c>
      <c r="BI325" s="11">
        <v>44507</v>
      </c>
      <c r="BJ325" s="716">
        <v>4.2051735237089594E-3</v>
      </c>
      <c r="BK325" s="716">
        <v>6.5879205354097345E-3</v>
      </c>
      <c r="BL325" s="716">
        <v>9.4893076371965809E-3</v>
      </c>
      <c r="BM325" s="716">
        <v>1.2715176075180863E-2</v>
      </c>
      <c r="BN325" s="716">
        <v>1.8837247049494507E-2</v>
      </c>
      <c r="BO325" s="717">
        <v>2.6065779163266262E-2</v>
      </c>
      <c r="BP325" s="716">
        <v>3.5155367321529109E-2</v>
      </c>
      <c r="BQ325" s="716">
        <v>4.4225422553800853E-2</v>
      </c>
      <c r="BR325" s="716">
        <v>5.6195257699380462E-2</v>
      </c>
      <c r="BS325" s="716">
        <v>7.1143881312772203E-2</v>
      </c>
      <c r="BT325" s="716">
        <v>8.8445662403749931E-2</v>
      </c>
      <c r="BW325" s="1166">
        <f>'2022'!R\Max</f>
        <v>0.94657346909520601</v>
      </c>
      <c r="BX325" s="1167">
        <f>'2023'!R\Max</f>
        <v>0.94653944523303557</v>
      </c>
      <c r="BY325" s="1167">
        <f>'2024'!R\Max</f>
        <v>0.9465054632983968</v>
      </c>
      <c r="BZ325" s="1167">
        <f>'2025'!R\Max</f>
        <v>0.94647145349370387</v>
      </c>
      <c r="CA325" s="1167">
        <f>'2026'!R\Max</f>
        <v>0.94642677252868346</v>
      </c>
      <c r="CB325" s="1167">
        <f>'2027'!R\Max</f>
        <v>0.94638179290457181</v>
      </c>
      <c r="CC325" s="1168">
        <f>'2028'!R\Max</f>
        <v>0.94632580191895943</v>
      </c>
      <c r="CD325" s="1167">
        <f>'2029'!R\Max</f>
        <v>0.94657516870298397</v>
      </c>
      <c r="CE325" s="1167">
        <f>'2030'!R\Max</f>
        <v>0.94654114632010178</v>
      </c>
      <c r="CF325" s="1169">
        <f>'2031'!R\Max</f>
        <v>0.94650716220495001</v>
      </c>
    </row>
    <row r="326" spans="1:84" s="6" customFormat="1" ht="11.25" x14ac:dyDescent="0.2">
      <c r="A326" s="11">
        <v>43412</v>
      </c>
      <c r="B326" s="375">
        <f>'2022'!Maxi_hp</f>
        <v>81.980504790373274</v>
      </c>
      <c r="C326" s="13">
        <f>'2022'!An_max</f>
        <v>2022</v>
      </c>
      <c r="D326" s="1045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69">
        <f t="shared" si="118"/>
        <v>43402</v>
      </c>
      <c r="I326" s="743">
        <f t="shared" si="119"/>
        <v>0.7142857142857143</v>
      </c>
      <c r="J326" s="736">
        <f t="shared" si="120"/>
        <v>128.08892128190823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38">
        <v>43412</v>
      </c>
      <c r="AP326" s="13">
        <f t="shared" si="121"/>
        <v>13</v>
      </c>
      <c r="AQ326" s="13">
        <f t="shared" si="122"/>
        <v>12</v>
      </c>
      <c r="AR326" s="169">
        <f t="shared" si="123"/>
        <v>43416</v>
      </c>
      <c r="AS326" s="743">
        <f t="shared" si="124"/>
        <v>0.14285714285714285</v>
      </c>
      <c r="AT326" s="759">
        <f t="shared" si="125"/>
        <v>127.74052477979235</v>
      </c>
      <c r="AU326" s="13">
        <f t="shared" si="126"/>
        <v>13</v>
      </c>
      <c r="AV326" s="13">
        <f t="shared" si="127"/>
        <v>12</v>
      </c>
      <c r="AW326" s="169">
        <f t="shared" si="128"/>
        <v>43430</v>
      </c>
      <c r="AX326" s="743">
        <f t="shared" si="129"/>
        <v>0.6428571428571429</v>
      </c>
      <c r="AY326" s="759">
        <f t="shared" si="130"/>
        <v>127.97618668026158</v>
      </c>
      <c r="AZ326" s="736">
        <f t="shared" si="134"/>
        <v>127.85835573002697</v>
      </c>
      <c r="BA326" s="633">
        <f t="shared" si="131"/>
        <v>0.64002806776664234</v>
      </c>
      <c r="BC326" s="11">
        <v>43412</v>
      </c>
      <c r="BD326" s="286">
        <f>[2]!FeuilCaduc*(1-Persistant)+Persistant</f>
        <v>0.74462705271936014</v>
      </c>
      <c r="BE326" s="287">
        <f>[2]!CroissVégét</f>
        <v>0.99831345700622864</v>
      </c>
      <c r="BF326" s="806">
        <f>1+[2]!Salcycl*Ksac</f>
        <v>1.0180783815899199</v>
      </c>
      <c r="BH326" s="1036">
        <f t="shared" si="132"/>
        <v>2.7898659107638151E-2</v>
      </c>
      <c r="BI326" s="11">
        <v>44508</v>
      </c>
      <c r="BJ326" s="716">
        <v>4.4630329186000281E-3</v>
      </c>
      <c r="BK326" s="716">
        <v>7.0704881998275709E-3</v>
      </c>
      <c r="BL326" s="716">
        <v>1.031583398651924E-2</v>
      </c>
      <c r="BM326" s="716">
        <v>1.3918533390252683E-2</v>
      </c>
      <c r="BN326" s="716">
        <v>2.0412880802633052E-2</v>
      </c>
      <c r="BO326" s="717">
        <v>2.7977870403664739E-2</v>
      </c>
      <c r="BP326" s="716">
        <v>3.7493071450255766E-2</v>
      </c>
      <c r="BQ326" s="716">
        <v>4.7131412347195832E-2</v>
      </c>
      <c r="BR326" s="716">
        <v>5.9599333123738489E-2</v>
      </c>
      <c r="BS326" s="716">
        <v>7.5011390251323293E-2</v>
      </c>
      <c r="BT326" s="716">
        <v>9.2703015183283791E-2</v>
      </c>
      <c r="BW326" s="1166">
        <f>'2022'!R\Max</f>
        <v>0.64002806776664234</v>
      </c>
      <c r="BX326" s="1167">
        <f>'2023'!R\Max</f>
        <v>0.63986540339812925</v>
      </c>
      <c r="BY326" s="1167">
        <f>'2024'!R\Max</f>
        <v>0.63970060191879541</v>
      </c>
      <c r="BZ326" s="1167">
        <f>'2025'!R\Max</f>
        <v>0.63953567254420152</v>
      </c>
      <c r="CA326" s="1167">
        <f>'2026'!R\Max</f>
        <v>0.63932330143172866</v>
      </c>
      <c r="CB326" s="1167">
        <f>'2027'!R\Max</f>
        <v>0.63910969988920463</v>
      </c>
      <c r="CC326" s="1168">
        <f>'2028'!R\Max</f>
        <v>0.63884661567569856</v>
      </c>
      <c r="CD326" s="1167">
        <f>'2029'!R\Max</f>
        <v>0.64003619506836384</v>
      </c>
      <c r="CE326" s="1167">
        <f>'2030'!R\Max</f>
        <v>0.63987353460424401</v>
      </c>
      <c r="CF326" s="1169">
        <f>'2031'!R\Max</f>
        <v>0.63970884236052339</v>
      </c>
    </row>
    <row r="327" spans="1:84" s="6" customFormat="1" ht="11.25" x14ac:dyDescent="0.2">
      <c r="A327" s="11">
        <v>43413</v>
      </c>
      <c r="B327" s="375">
        <f>'2022'!Maxi_hp</f>
        <v>46.247813119200636</v>
      </c>
      <c r="C327" s="13">
        <f>'2022'!An_max</f>
        <v>2022</v>
      </c>
      <c r="D327" s="1045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69">
        <f t="shared" si="118"/>
        <v>43402</v>
      </c>
      <c r="I327" s="743">
        <f t="shared" si="119"/>
        <v>0.7857142857142857</v>
      </c>
      <c r="J327" s="736">
        <f t="shared" si="120"/>
        <v>126.78990524743817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38">
        <v>43413</v>
      </c>
      <c r="AP327" s="13">
        <f t="shared" si="121"/>
        <v>13</v>
      </c>
      <c r="AQ327" s="13">
        <f t="shared" si="122"/>
        <v>12</v>
      </c>
      <c r="AR327" s="169">
        <f t="shared" si="123"/>
        <v>43416</v>
      </c>
      <c r="AS327" s="743">
        <f t="shared" si="124"/>
        <v>0.10714285714285714</v>
      </c>
      <c r="AT327" s="759">
        <f t="shared" si="125"/>
        <v>126.51306258836496</v>
      </c>
      <c r="AU327" s="13">
        <f t="shared" si="126"/>
        <v>13</v>
      </c>
      <c r="AV327" s="13">
        <f t="shared" si="127"/>
        <v>12</v>
      </c>
      <c r="AW327" s="169">
        <f t="shared" si="128"/>
        <v>43430</v>
      </c>
      <c r="AX327" s="743">
        <f t="shared" si="129"/>
        <v>0.6071428571428571</v>
      </c>
      <c r="AY327" s="759">
        <f t="shared" si="130"/>
        <v>126.60814805658802</v>
      </c>
      <c r="AZ327" s="736">
        <f t="shared" si="134"/>
        <v>126.56060532247649</v>
      </c>
      <c r="BA327" s="633">
        <f t="shared" si="131"/>
        <v>0.3647594264617931</v>
      </c>
      <c r="BC327" s="11">
        <v>43413</v>
      </c>
      <c r="BD327" s="286">
        <f>[2]!FeuilCaduc*(1-Persistant)+Persistant</f>
        <v>0.73905055378765083</v>
      </c>
      <c r="BE327" s="287">
        <f>[2]!CroissVégét</f>
        <v>0.99839454030316765</v>
      </c>
      <c r="BF327" s="806">
        <f>1+[2]!Salcycl*Ksac</f>
        <v>1.0173813192234564</v>
      </c>
      <c r="BH327" s="1036">
        <f t="shared" si="132"/>
        <v>2.9861491548813499E-2</v>
      </c>
      <c r="BI327" s="11">
        <v>44509</v>
      </c>
      <c r="BJ327" s="716">
        <v>4.7478919435933742E-3</v>
      </c>
      <c r="BK327" s="716">
        <v>7.589689418914883E-3</v>
      </c>
      <c r="BL327" s="716">
        <v>1.1203691918271747E-2</v>
      </c>
      <c r="BM327" s="716">
        <v>1.5211096056575961E-2</v>
      </c>
      <c r="BN327" s="716">
        <v>2.2069843752840934E-2</v>
      </c>
      <c r="BO327" s="717">
        <v>2.9943939424632776E-2</v>
      </c>
      <c r="BP327" s="716">
        <v>3.9848703258859815E-2</v>
      </c>
      <c r="BQ327" s="716">
        <v>5.0036525916137664E-2</v>
      </c>
      <c r="BR327" s="716">
        <v>6.2978844760679789E-2</v>
      </c>
      <c r="BS327" s="716">
        <v>7.8822216114788887E-2</v>
      </c>
      <c r="BT327" s="716">
        <v>9.6865232959260417E-2</v>
      </c>
      <c r="BW327" s="1166">
        <f>'2022'!R\Max</f>
        <v>0.3647594264617931</v>
      </c>
      <c r="BX327" s="1167">
        <f>'2023'!R\Max</f>
        <v>0.36458870829853085</v>
      </c>
      <c r="BY327" s="1167">
        <f>'2024'!R\Max</f>
        <v>0.36441320432511337</v>
      </c>
      <c r="BZ327" s="1167">
        <f>'2025'!R\Max</f>
        <v>0.36423757306377519</v>
      </c>
      <c r="CA327" s="1167">
        <f>'2026'!R\Max</f>
        <v>0.36401550207215067</v>
      </c>
      <c r="CB327" s="1167">
        <f>'2027'!R\Max</f>
        <v>0.3637923324499287</v>
      </c>
      <c r="CC327" s="1168">
        <f>'2028'!R\Max</f>
        <v>0.36352022899920794</v>
      </c>
      <c r="CD327" s="1167">
        <f>'2029'!R\Max</f>
        <v>0.36476795788288846</v>
      </c>
      <c r="CE327" s="1167">
        <f>'2030'!R\Max</f>
        <v>0.36459724053569958</v>
      </c>
      <c r="CF327" s="1169">
        <f>'2031'!R\Max</f>
        <v>0.36442198125933967</v>
      </c>
    </row>
    <row r="328" spans="1:84" s="6" customFormat="1" ht="11.25" x14ac:dyDescent="0.2">
      <c r="A328" s="11">
        <v>43414</v>
      </c>
      <c r="B328" s="375">
        <f>'2022'!Maxi_hp</f>
        <v>96.067755850477184</v>
      </c>
      <c r="C328" s="13">
        <f>'2022'!An_max</f>
        <v>2022</v>
      </c>
      <c r="D328" s="1045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69">
        <f t="shared" si="118"/>
        <v>43402</v>
      </c>
      <c r="I328" s="743">
        <f t="shared" si="119"/>
        <v>0.8571428571428571</v>
      </c>
      <c r="J328" s="736">
        <f t="shared" si="120"/>
        <v>125.50728863009385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38">
        <v>43414</v>
      </c>
      <c r="AP328" s="13">
        <f t="shared" si="121"/>
        <v>13</v>
      </c>
      <c r="AQ328" s="13">
        <f t="shared" si="122"/>
        <v>12</v>
      </c>
      <c r="AR328" s="169">
        <f t="shared" si="123"/>
        <v>43416</v>
      </c>
      <c r="AS328" s="743">
        <f t="shared" si="124"/>
        <v>7.1428571428571425E-2</v>
      </c>
      <c r="AT328" s="759">
        <f t="shared" si="125"/>
        <v>125.31259110817419</v>
      </c>
      <c r="AU328" s="13">
        <f t="shared" si="126"/>
        <v>13</v>
      </c>
      <c r="AV328" s="13">
        <f t="shared" si="127"/>
        <v>12</v>
      </c>
      <c r="AW328" s="169">
        <f t="shared" si="128"/>
        <v>43430</v>
      </c>
      <c r="AX328" s="743">
        <f t="shared" si="129"/>
        <v>0.5714285714285714</v>
      </c>
      <c r="AY328" s="759">
        <f t="shared" si="130"/>
        <v>125.24870262103423</v>
      </c>
      <c r="AZ328" s="736">
        <f t="shared" si="134"/>
        <v>125.28064686460421</v>
      </c>
      <c r="BA328" s="633">
        <f t="shared" si="131"/>
        <v>0.76543567229483023</v>
      </c>
      <c r="BC328" s="11">
        <v>43414</v>
      </c>
      <c r="BD328" s="286">
        <f>[2]!FeuilCaduc*(1-Persistant)+Persistant</f>
        <v>0.73353750233911663</v>
      </c>
      <c r="BE328" s="287">
        <f>[2]!CroissVégét</f>
        <v>0.99847237132123801</v>
      </c>
      <c r="BF328" s="806">
        <f>1+[2]!Salcycl*Ksac</f>
        <v>1.0166921877923896</v>
      </c>
      <c r="BH328" s="1036">
        <f t="shared" si="132"/>
        <v>3.1878588308488873E-2</v>
      </c>
      <c r="BI328" s="11">
        <v>44510</v>
      </c>
      <c r="BJ328" s="716">
        <v>5.0597716580039771E-3</v>
      </c>
      <c r="BK328" s="716">
        <v>8.1455493380054329E-3</v>
      </c>
      <c r="BL328" s="716">
        <v>1.2152924305124796E-2</v>
      </c>
      <c r="BM328" s="716">
        <v>1.6592927226639378E-2</v>
      </c>
      <c r="BN328" s="716">
        <v>2.3808178048131859E-2</v>
      </c>
      <c r="BO328" s="717">
        <v>3.1963985929169374E-2</v>
      </c>
      <c r="BP328" s="716">
        <v>4.2222207208351938E-2</v>
      </c>
      <c r="BQ328" s="716">
        <v>5.2940668431732563E-2</v>
      </c>
      <c r="BR328" s="716">
        <v>6.6333652410695276E-2</v>
      </c>
      <c r="BS328" s="716">
        <v>8.2576162562814678E-2</v>
      </c>
      <c r="BT328" s="716">
        <v>0.10093205606422859</v>
      </c>
      <c r="BW328" s="1166">
        <f>'2022'!R\Max</f>
        <v>0.76543567229483023</v>
      </c>
      <c r="BX328" s="1167">
        <f>'2023'!R\Max</f>
        <v>0.76529825659500084</v>
      </c>
      <c r="BY328" s="1167">
        <f>'2024'!R\Max</f>
        <v>0.76515470969179344</v>
      </c>
      <c r="BZ328" s="1167">
        <f>'2025'!R\Max</f>
        <v>0.76501091713269598</v>
      </c>
      <c r="CA328" s="1167">
        <f>'2026'!R\Max</f>
        <v>0.76483190133760837</v>
      </c>
      <c r="CB328" s="1167">
        <f>'2027'!R\Max</f>
        <v>0.76465191143455424</v>
      </c>
      <c r="CC328" s="1168">
        <f>'2028'!R\Max</f>
        <v>0.76443426305127626</v>
      </c>
      <c r="CD328" s="1167">
        <f>'2029'!R\Max</f>
        <v>0.76544253724433653</v>
      </c>
      <c r="CE328" s="1167">
        <f>'2030'!R\Max</f>
        <v>0.76530512643795723</v>
      </c>
      <c r="CF328" s="1169">
        <f>'2031'!R\Max</f>
        <v>0.76516189309083238</v>
      </c>
    </row>
    <row r="329" spans="1:84" s="6" customFormat="1" ht="11.25" x14ac:dyDescent="0.2">
      <c r="A329" s="11">
        <v>43415</v>
      </c>
      <c r="B329" s="375">
        <f>'2022'!Maxi_hp</f>
        <v>116.91931335378777</v>
      </c>
      <c r="C329" s="13">
        <f>'2022'!An_max</f>
        <v>2022</v>
      </c>
      <c r="D329" s="1045" t="str">
        <f t="shared" si="116"/>
        <v/>
      </c>
      <c r="E329" s="13"/>
      <c r="F329" s="13">
        <f t="shared" si="133"/>
        <v>23</v>
      </c>
      <c r="G329" s="13">
        <f t="shared" si="117"/>
        <v>24</v>
      </c>
      <c r="H329" s="169">
        <f t="shared" si="118"/>
        <v>43402</v>
      </c>
      <c r="I329" s="743">
        <f t="shared" si="119"/>
        <v>0.9285714285714286</v>
      </c>
      <c r="J329" s="736">
        <f t="shared" si="120"/>
        <v>124.24325801841914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38">
        <v>43415</v>
      </c>
      <c r="AP329" s="13">
        <f t="shared" si="121"/>
        <v>13</v>
      </c>
      <c r="AQ329" s="13">
        <f t="shared" si="122"/>
        <v>12</v>
      </c>
      <c r="AR329" s="169">
        <f t="shared" si="123"/>
        <v>43416</v>
      </c>
      <c r="AS329" s="743">
        <f t="shared" si="124"/>
        <v>3.5714285714285712E-2</v>
      </c>
      <c r="AT329" s="759">
        <f t="shared" si="125"/>
        <v>124.14095526827234</v>
      </c>
      <c r="AU329" s="13">
        <f t="shared" si="126"/>
        <v>13</v>
      </c>
      <c r="AV329" s="13">
        <f t="shared" si="127"/>
        <v>12</v>
      </c>
      <c r="AW329" s="169">
        <f t="shared" si="128"/>
        <v>43430</v>
      </c>
      <c r="AX329" s="743">
        <f t="shared" si="129"/>
        <v>0.5357142857142857</v>
      </c>
      <c r="AY329" s="759">
        <f t="shared" si="130"/>
        <v>123.90071035530418</v>
      </c>
      <c r="AZ329" s="736">
        <f t="shared" si="134"/>
        <v>124.02083281178827</v>
      </c>
      <c r="BA329" s="633">
        <f t="shared" si="131"/>
        <v>0.94105157268537187</v>
      </c>
      <c r="BC329" s="11">
        <v>43415</v>
      </c>
      <c r="BD329" s="286">
        <f>[2]!FeuilCaduc*(1-Persistant)+Persistant</f>
        <v>0.72809574557030932</v>
      </c>
      <c r="BE329" s="287">
        <f>[2]!CroissVégét</f>
        <v>0.99854708003323223</v>
      </c>
      <c r="BF329" s="806">
        <f>1+[2]!Salcycl*Ksac</f>
        <v>1.0160119681962887</v>
      </c>
      <c r="BH329" s="1036">
        <f t="shared" si="132"/>
        <v>3.3949941332521605E-2</v>
      </c>
      <c r="BI329" s="11">
        <v>44511</v>
      </c>
      <c r="BJ329" s="716">
        <v>5.3986911364908331E-3</v>
      </c>
      <c r="BK329" s="716">
        <v>8.7380900068262397E-3</v>
      </c>
      <c r="BL329" s="716">
        <v>1.3163568779133425E-2</v>
      </c>
      <c r="BM329" s="716">
        <v>1.8064082425985842E-2</v>
      </c>
      <c r="BN329" s="716">
        <v>2.5627917434075359E-2</v>
      </c>
      <c r="BO329" s="717">
        <v>3.4038001420825241E-2</v>
      </c>
      <c r="BP329" s="716">
        <v>4.4613519881747589E-2</v>
      </c>
      <c r="BQ329" s="716">
        <v>5.5843736305457657E-2</v>
      </c>
      <c r="BR329" s="716">
        <v>6.9663606666881026E-2</v>
      </c>
      <c r="BS329" s="716">
        <v>8.6273024083954875E-2</v>
      </c>
      <c r="BT329" s="716">
        <v>0.10490321620426557</v>
      </c>
      <c r="BW329" s="1166">
        <f>'2022'!R\Max</f>
        <v>0.94105157268537187</v>
      </c>
      <c r="BX329" s="1167">
        <f>'2023'!R\Max</f>
        <v>0.94100767786661277</v>
      </c>
      <c r="BY329" s="1167">
        <f>'2024'!R\Max</f>
        <v>0.94096107781506111</v>
      </c>
      <c r="BZ329" s="1167">
        <f>'2025'!R\Max</f>
        <v>0.94091436654263549</v>
      </c>
      <c r="CA329" s="1167">
        <f>'2026'!R\Max</f>
        <v>0.94085705626439331</v>
      </c>
      <c r="CB329" s="1167">
        <f>'2027'!R\Max</f>
        <v>0.94079942812934092</v>
      </c>
      <c r="CC329" s="1168">
        <f>'2028'!R\Max</f>
        <v>0.94073032738861262</v>
      </c>
      <c r="CD329" s="1167">
        <f>'2029'!R\Max</f>
        <v>0.94105376521471684</v>
      </c>
      <c r="CE329" s="1167">
        <f>'2030'!R\Max</f>
        <v>0.94100987262138025</v>
      </c>
      <c r="CF329" s="1169">
        <f>'2031'!R\Max</f>
        <v>0.94096341094685731</v>
      </c>
    </row>
    <row r="330" spans="1:84" s="6" customFormat="1" ht="11.25" x14ac:dyDescent="0.2">
      <c r="A330" s="11">
        <v>43416</v>
      </c>
      <c r="B330" s="375">
        <f>'2022'!Maxi_hp</f>
        <v>115.3058916610667</v>
      </c>
      <c r="C330" s="13">
        <f>'2022'!An_max</f>
        <v>2022</v>
      </c>
      <c r="D330" s="1045" t="str">
        <f t="shared" si="116"/>
        <v/>
      </c>
      <c r="E330" s="1040">
        <f>AJ$13/10</f>
        <v>123</v>
      </c>
      <c r="F330" s="13">
        <f t="shared" si="133"/>
        <v>25</v>
      </c>
      <c r="G330" s="13">
        <f t="shared" si="117"/>
        <v>24</v>
      </c>
      <c r="H330" s="169">
        <f t="shared" si="118"/>
        <v>43430</v>
      </c>
      <c r="I330" s="743">
        <f t="shared" si="119"/>
        <v>1</v>
      </c>
      <c r="J330" s="736">
        <f t="shared" si="120"/>
        <v>122.99999999701977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38">
        <v>43416</v>
      </c>
      <c r="AP330" s="13">
        <f t="shared" si="121"/>
        <v>13</v>
      </c>
      <c r="AQ330" s="13">
        <f t="shared" si="122"/>
        <v>14</v>
      </c>
      <c r="AR330" s="169">
        <f t="shared" si="123"/>
        <v>43416</v>
      </c>
      <c r="AS330" s="743">
        <f t="shared" si="124"/>
        <v>0</v>
      </c>
      <c r="AT330" s="759">
        <f t="shared" si="125"/>
        <v>122.99999999701977</v>
      </c>
      <c r="AU330" s="13">
        <f t="shared" si="126"/>
        <v>13</v>
      </c>
      <c r="AV330" s="13">
        <f t="shared" si="127"/>
        <v>12</v>
      </c>
      <c r="AW330" s="169">
        <f t="shared" si="128"/>
        <v>43430</v>
      </c>
      <c r="AX330" s="743">
        <f t="shared" si="129"/>
        <v>0.5</v>
      </c>
      <c r="AY330" s="759">
        <f t="shared" si="130"/>
        <v>122.56703124344349</v>
      </c>
      <c r="AZ330" s="736">
        <f t="shared" si="134"/>
        <v>122.78351562023164</v>
      </c>
      <c r="BA330" s="633">
        <f t="shared" si="131"/>
        <v>0.93744627368992273</v>
      </c>
      <c r="BC330" s="11">
        <v>43416</v>
      </c>
      <c r="BD330" s="286">
        <f>[2]!FeuilCaduc*(1-Persistant)+Persistant</f>
        <v>0.72273289002272234</v>
      </c>
      <c r="BE330" s="287">
        <f>[2]!CroissVégét</f>
        <v>0.99861879125535868</v>
      </c>
      <c r="BF330" s="806">
        <f>1+[2]!Salcycl*Ksac</f>
        <v>1.0153416112528404</v>
      </c>
      <c r="BH330" s="1036">
        <f t="shared" si="132"/>
        <v>3.6075533958155104E-2</v>
      </c>
      <c r="BI330" s="11">
        <v>44512</v>
      </c>
      <c r="BJ330" s="716">
        <v>5.7646672629194625E-3</v>
      </c>
      <c r="BK330" s="716">
        <v>9.3673301005319665E-3</v>
      </c>
      <c r="BL330" s="716">
        <v>1.4235657264865384E-2</v>
      </c>
      <c r="BM330" s="716">
        <v>1.9624608874210206E-2</v>
      </c>
      <c r="BN330" s="716">
        <v>2.7529086637193414E-2</v>
      </c>
      <c r="BO330" s="717">
        <v>3.6165968798880177E-2</v>
      </c>
      <c r="BP330" s="716">
        <v>4.7022569858294332E-2</v>
      </c>
      <c r="BQ330" s="716">
        <v>5.8745617210751028E-2</v>
      </c>
      <c r="BR330" s="716">
        <v>7.2968549120891471E-2</v>
      </c>
      <c r="BS330" s="716">
        <v>8.9912586450449819E-2</v>
      </c>
      <c r="BT330" s="716">
        <v>0.10877843721071546</v>
      </c>
      <c r="BW330" s="1166">
        <f>'2022'!R\Max</f>
        <v>0.93744627368992273</v>
      </c>
      <c r="BX330" s="1167">
        <f>'2023'!R\Max</f>
        <v>0.93739851134396202</v>
      </c>
      <c r="BY330" s="1167">
        <f>'2024'!R\Max</f>
        <v>0.93734696666260497</v>
      </c>
      <c r="BZ330" s="1167">
        <f>'2025'!R\Max</f>
        <v>0.93729527887515784</v>
      </c>
      <c r="CA330" s="1167">
        <f>'2026'!R\Max</f>
        <v>0.93723273746212099</v>
      </c>
      <c r="CB330" s="1167">
        <f>'2027'!R\Max</f>
        <v>0.93716986421205306</v>
      </c>
      <c r="CC330" s="1168">
        <f>'2028'!R\Max</f>
        <v>0.93709511927178657</v>
      </c>
      <c r="CD330" s="1167">
        <f>'2029'!R\Max</f>
        <v>0.93744865937084032</v>
      </c>
      <c r="CE330" s="1167">
        <f>'2030'!R\Max</f>
        <v>0.93740089950341376</v>
      </c>
      <c r="CF330" s="1169">
        <f>'2031'!R\Max</f>
        <v>0.93734954830136619</v>
      </c>
    </row>
    <row r="331" spans="1:84" s="6" customFormat="1" ht="11.25" x14ac:dyDescent="0.2">
      <c r="A331" s="11">
        <v>43417</v>
      </c>
      <c r="B331" s="375">
        <f>'2022'!Maxi_hp</f>
        <v>113.88791436897183</v>
      </c>
      <c r="C331" s="13">
        <f>'2022'!An_max</f>
        <v>2022</v>
      </c>
      <c r="D331" s="1045" t="str">
        <f t="shared" si="116"/>
        <v/>
      </c>
      <c r="E331" s="13"/>
      <c r="F331" s="13">
        <f t="shared" si="133"/>
        <v>25</v>
      </c>
      <c r="G331" s="13">
        <f t="shared" si="117"/>
        <v>24</v>
      </c>
      <c r="H331" s="169">
        <f t="shared" si="118"/>
        <v>43430</v>
      </c>
      <c r="I331" s="743">
        <f t="shared" si="119"/>
        <v>0.9285714285714286</v>
      </c>
      <c r="J331" s="736">
        <f t="shared" si="120"/>
        <v>121.76475947488632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38">
        <v>43417</v>
      </c>
      <c r="AP331" s="13">
        <f t="shared" si="121"/>
        <v>13</v>
      </c>
      <c r="AQ331" s="13">
        <f t="shared" si="122"/>
        <v>14</v>
      </c>
      <c r="AR331" s="169">
        <f t="shared" si="123"/>
        <v>43416</v>
      </c>
      <c r="AS331" s="743">
        <f t="shared" si="124"/>
        <v>3.5714285714285712E-2</v>
      </c>
      <c r="AT331" s="759">
        <f t="shared" si="125"/>
        <v>121.87034765173283</v>
      </c>
      <c r="AU331" s="13">
        <f t="shared" si="126"/>
        <v>13</v>
      </c>
      <c r="AV331" s="13">
        <f t="shared" si="127"/>
        <v>12</v>
      </c>
      <c r="AW331" s="169">
        <f t="shared" si="128"/>
        <v>43430</v>
      </c>
      <c r="AX331" s="743">
        <f t="shared" si="129"/>
        <v>0.4642857142857143</v>
      </c>
      <c r="AY331" s="759">
        <f t="shared" si="130"/>
        <v>121.25052529190266</v>
      </c>
      <c r="AZ331" s="736">
        <f t="shared" si="134"/>
        <v>121.56043647181775</v>
      </c>
      <c r="BA331" s="633">
        <f t="shared" si="131"/>
        <v>0.93531096238448974</v>
      </c>
      <c r="BC331" s="11">
        <v>43417</v>
      </c>
      <c r="BD331" s="286">
        <f>[2]!FeuilCaduc*(1-Persistant)+Persistant</f>
        <v>0.71745626662741557</v>
      </c>
      <c r="BE331" s="287">
        <f>[2]!CroissVégét</f>
        <v>0.99868762484886009</v>
      </c>
      <c r="BF331" s="806">
        <f>1+[2]!Salcycl*Ksac</f>
        <v>1.014682033328427</v>
      </c>
      <c r="BH331" s="1036">
        <f t="shared" si="132"/>
        <v>3.8255340506564012E-2</v>
      </c>
      <c r="BI331" s="11">
        <v>44513</v>
      </c>
      <c r="BJ331" s="716">
        <v>6.1577145241585507E-3</v>
      </c>
      <c r="BK331" s="716">
        <v>1.0033284640633309E-2</v>
      </c>
      <c r="BL331" s="716">
        <v>1.5369215512371207E-2</v>
      </c>
      <c r="BM331" s="716">
        <v>2.1274544805740744E-2</v>
      </c>
      <c r="BN331" s="716">
        <v>2.9511700748047102E-2</v>
      </c>
      <c r="BO331" s="717">
        <v>3.8347861953104669E-2</v>
      </c>
      <c r="BP331" s="716">
        <v>4.9449277587149981E-2</v>
      </c>
      <c r="BQ331" s="716">
        <v>6.1646190103913888E-2</v>
      </c>
      <c r="BR331" s="716">
        <v>7.6248312568030663E-2</v>
      </c>
      <c r="BS331" s="716">
        <v>9.3494627171931174E-2</v>
      </c>
      <c r="BT331" s="716">
        <v>0.11255743579061701</v>
      </c>
      <c r="BW331" s="1166">
        <f>'2022'!R\Max</f>
        <v>0.93531096238448974</v>
      </c>
      <c r="BX331" s="1167">
        <f>'2023'!R\Max</f>
        <v>0.93526043033379991</v>
      </c>
      <c r="BY331" s="1167">
        <f>'2024'!R\Max</f>
        <v>0.93520496102163397</v>
      </c>
      <c r="BZ331" s="1167">
        <f>'2025'!R\Max</f>
        <v>0.93514931578421256</v>
      </c>
      <c r="CA331" s="1167">
        <f>'2026'!R\Max</f>
        <v>0.93508285657452461</v>
      </c>
      <c r="CB331" s="1167">
        <f>'2027'!R\Max</f>
        <v>0.93501605965062717</v>
      </c>
      <c r="CC331" s="1168">
        <f>'2028'!R\Max</f>
        <v>0.93493731624649123</v>
      </c>
      <c r="CD331" s="1167">
        <f>'2029'!R\Max</f>
        <v>0.9353134863791317</v>
      </c>
      <c r="CE331" s="1167">
        <f>'2030'!R\Max</f>
        <v>0.93526295700831086</v>
      </c>
      <c r="CF331" s="1169">
        <f>'2031'!R\Max</f>
        <v>0.93520774025699371</v>
      </c>
    </row>
    <row r="332" spans="1:84" s="6" customFormat="1" ht="11.25" x14ac:dyDescent="0.2">
      <c r="A332" s="11">
        <v>43418</v>
      </c>
      <c r="B332" s="375">
        <f>'2022'!Maxi_hp</f>
        <v>43.440643377111911</v>
      </c>
      <c r="C332" s="13">
        <f>'2022'!An_max</f>
        <v>2022</v>
      </c>
      <c r="D332" s="1045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69">
        <f t="shared" si="118"/>
        <v>43430</v>
      </c>
      <c r="I332" s="743">
        <f t="shared" si="119"/>
        <v>0.8571428571428571</v>
      </c>
      <c r="J332" s="736">
        <f t="shared" si="120"/>
        <v>120.52623906603881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38">
        <v>43418</v>
      </c>
      <c r="AP332" s="13">
        <f t="shared" si="121"/>
        <v>13</v>
      </c>
      <c r="AQ332" s="13">
        <f t="shared" si="122"/>
        <v>14</v>
      </c>
      <c r="AR332" s="169">
        <f t="shared" si="123"/>
        <v>43416</v>
      </c>
      <c r="AS332" s="743">
        <f t="shared" si="124"/>
        <v>7.1428571428571425E-2</v>
      </c>
      <c r="AT332" s="759">
        <f t="shared" si="125"/>
        <v>120.73321363287312</v>
      </c>
      <c r="AU332" s="13">
        <f t="shared" si="126"/>
        <v>13</v>
      </c>
      <c r="AV332" s="13">
        <f t="shared" si="127"/>
        <v>12</v>
      </c>
      <c r="AW332" s="169">
        <f t="shared" si="128"/>
        <v>43430</v>
      </c>
      <c r="AX332" s="743">
        <f t="shared" si="129"/>
        <v>0.42857142857142855</v>
      </c>
      <c r="AY332" s="759">
        <f t="shared" si="130"/>
        <v>119.95405247562697</v>
      </c>
      <c r="AZ332" s="736">
        <f t="shared" si="134"/>
        <v>120.34363305425003</v>
      </c>
      <c r="BA332" s="633">
        <f t="shared" si="131"/>
        <v>0.36042478147277029</v>
      </c>
      <c r="BC332" s="11">
        <v>43418</v>
      </c>
      <c r="BD332" s="286">
        <f>[2]!FeuilCaduc*(1-Persistant)+Persistant</f>
        <v>0.71227289730794707</v>
      </c>
      <c r="BE332" s="287">
        <f>[2]!CroissVégét</f>
        <v>0.99875369591398344</v>
      </c>
      <c r="BF332" s="806">
        <f>1+[2]!Salcycl*Ksac</f>
        <v>1.0140341121634935</v>
      </c>
      <c r="BH332" s="1036">
        <f t="shared" si="132"/>
        <v>4.0441824144099525E-2</v>
      </c>
      <c r="BI332" s="11">
        <v>44514</v>
      </c>
      <c r="BJ332" s="716">
        <v>6.5908092579157456E-3</v>
      </c>
      <c r="BK332" s="716">
        <v>1.0743666264190732E-2</v>
      </c>
      <c r="BL332" s="716">
        <v>1.6543564412335041E-2</v>
      </c>
      <c r="BM332" s="716">
        <v>2.2965934917513711E-2</v>
      </c>
      <c r="BN332" s="716">
        <v>3.1517463502003178E-2</v>
      </c>
      <c r="BO332" s="717">
        <v>4.0536257901534811E-2</v>
      </c>
      <c r="BP332" s="716">
        <v>5.1850508840612784E-2</v>
      </c>
      <c r="BQ332" s="716">
        <v>6.4482265349287735E-2</v>
      </c>
      <c r="BR332" s="716">
        <v>7.9411366822919202E-2</v>
      </c>
      <c r="BS332" s="716">
        <v>9.6888068231851823E-2</v>
      </c>
      <c r="BT332" s="716">
        <v>0.11606130311025045</v>
      </c>
      <c r="BW332" s="1166">
        <f>'2022'!R\Max</f>
        <v>0.36042478147277029</v>
      </c>
      <c r="BX332" s="1167">
        <f>'2023'!R\Max</f>
        <v>0.36022807431701265</v>
      </c>
      <c r="BY332" s="1167">
        <f>'2024'!R\Max</f>
        <v>0.36000894557282137</v>
      </c>
      <c r="BZ332" s="1167">
        <f>'2025'!R\Max</f>
        <v>0.35978928320193221</v>
      </c>
      <c r="CA332" s="1167">
        <f>'2026'!R\Max</f>
        <v>0.35953052459502621</v>
      </c>
      <c r="CB332" s="1167">
        <f>'2027'!R\Max</f>
        <v>0.3592708440676301</v>
      </c>
      <c r="CC332" s="1168">
        <f>'2028'!R\Max</f>
        <v>0.35896778838970206</v>
      </c>
      <c r="CD332" s="1167">
        <f>'2029'!R\Max</f>
        <v>0.36043461162028673</v>
      </c>
      <c r="CE332" s="1167">
        <f>'2030'!R\Max</f>
        <v>0.36023790548126511</v>
      </c>
      <c r="CF332" s="1169">
        <f>'2031'!R\Max</f>
        <v>0.36001992280358885</v>
      </c>
    </row>
    <row r="333" spans="1:84" s="6" customFormat="1" ht="11.25" x14ac:dyDescent="0.2">
      <c r="A333" s="11">
        <v>43419</v>
      </c>
      <c r="B333" s="375">
        <f>'2022'!Maxi_hp</f>
        <v>54.6572788100165</v>
      </c>
      <c r="C333" s="13">
        <f>'2022'!An_max</f>
        <v>2022</v>
      </c>
      <c r="D333" s="1045" t="str">
        <f t="shared" si="116"/>
        <v/>
      </c>
      <c r="E333" s="13"/>
      <c r="F333" s="13">
        <f t="shared" si="133"/>
        <v>25</v>
      </c>
      <c r="G333" s="13">
        <f t="shared" si="117"/>
        <v>24</v>
      </c>
      <c r="H333" s="169">
        <f t="shared" si="118"/>
        <v>43430</v>
      </c>
      <c r="I333" s="743">
        <f t="shared" si="119"/>
        <v>0.7857142857142857</v>
      </c>
      <c r="J333" s="736">
        <f t="shared" si="120"/>
        <v>119.2888119565589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38">
        <v>43419</v>
      </c>
      <c r="AP333" s="13">
        <f t="shared" si="121"/>
        <v>13</v>
      </c>
      <c r="AQ333" s="13">
        <f t="shared" si="122"/>
        <v>14</v>
      </c>
      <c r="AR333" s="169">
        <f t="shared" si="123"/>
        <v>43416</v>
      </c>
      <c r="AS333" s="743">
        <f t="shared" si="124"/>
        <v>0.10714285714285714</v>
      </c>
      <c r="AT333" s="759">
        <f t="shared" si="125"/>
        <v>119.59133248254656</v>
      </c>
      <c r="AU333" s="13">
        <f t="shared" si="126"/>
        <v>13</v>
      </c>
      <c r="AV333" s="13">
        <f t="shared" si="127"/>
        <v>12</v>
      </c>
      <c r="AW333" s="169">
        <f t="shared" si="128"/>
        <v>43430</v>
      </c>
      <c r="AX333" s="743">
        <f t="shared" si="129"/>
        <v>0.39285714285714285</v>
      </c>
      <c r="AY333" s="759">
        <f t="shared" si="130"/>
        <v>118.68047279454768</v>
      </c>
      <c r="AZ333" s="736">
        <f t="shared" si="134"/>
        <v>119.13590263854712</v>
      </c>
      <c r="BA333" s="633">
        <f t="shared" si="131"/>
        <v>0.45819283395932303</v>
      </c>
      <c r="BC333" s="11">
        <v>43419</v>
      </c>
      <c r="BD333" s="286">
        <f>[2]!FeuilCaduc*(1-Persistant)+Persistant</f>
        <v>0.70718946337911481</v>
      </c>
      <c r="BE333" s="287">
        <f>[2]!CroissVégét</f>
        <v>0.99881711497657366</v>
      </c>
      <c r="BF333" s="806">
        <f>1+[2]!Salcycl*Ksac</f>
        <v>1.0133986829223893</v>
      </c>
      <c r="BH333" s="1036">
        <f t="shared" si="132"/>
        <v>4.2583303087831773E-2</v>
      </c>
      <c r="BI333" s="11">
        <v>44515</v>
      </c>
      <c r="BJ333" s="716">
        <v>7.047773521582955E-3</v>
      </c>
      <c r="BK333" s="716">
        <v>1.1472334023325384E-2</v>
      </c>
      <c r="BL333" s="716">
        <v>1.7709493327150723E-2</v>
      </c>
      <c r="BM333" s="716">
        <v>2.4624604581882065E-2</v>
      </c>
      <c r="BN333" s="716">
        <v>3.34746582283394E-2</v>
      </c>
      <c r="BO333" s="717">
        <v>4.2679686861832121E-2</v>
      </c>
      <c r="BP333" s="716">
        <v>5.4201238360531694E-2</v>
      </c>
      <c r="BQ333" s="716">
        <v>6.7233644550115559E-2</v>
      </c>
      <c r="BR333" s="716">
        <v>8.2444465794496116E-2</v>
      </c>
      <c r="BS333" s="716">
        <v>0.10008810326232771</v>
      </c>
      <c r="BT333" s="716">
        <v>0.11929481961537322</v>
      </c>
      <c r="BW333" s="1166">
        <f>'2022'!R\Max</f>
        <v>0.45819283395932303</v>
      </c>
      <c r="BX333" s="1167">
        <f>'2023'!R\Max</f>
        <v>0.45797641065129469</v>
      </c>
      <c r="BY333" s="1167">
        <f>'2024'!R\Max</f>
        <v>0.45773216326311367</v>
      </c>
      <c r="BZ333" s="1167">
        <f>'2025'!R\Max</f>
        <v>0.45748721137714438</v>
      </c>
      <c r="CA333" s="1167">
        <f>'2026'!R\Max</f>
        <v>0.45720212443073144</v>
      </c>
      <c r="CB333" s="1167">
        <f>'2027'!R\Max</f>
        <v>0.45691602711561985</v>
      </c>
      <c r="CC333" s="1168">
        <f>'2028'!R\Max</f>
        <v>0.45658505369725544</v>
      </c>
      <c r="CD333" s="1167">
        <f>'2029'!R\Max</f>
        <v>0.4582036484117174</v>
      </c>
      <c r="CE333" s="1167">
        <f>'2030'!R\Max</f>
        <v>0.45798722809017289</v>
      </c>
      <c r="CF333" s="1169">
        <f>'2031'!R\Max</f>
        <v>0.45774440302623332</v>
      </c>
    </row>
    <row r="334" spans="1:84" s="6" customFormat="1" ht="11.25" x14ac:dyDescent="0.2">
      <c r="A334" s="11">
        <v>43420</v>
      </c>
      <c r="B334" s="375">
        <f>'2022'!Maxi_hp</f>
        <v>114.00392589977223</v>
      </c>
      <c r="C334" s="13">
        <f>'2022'!An_max</f>
        <v>2022</v>
      </c>
      <c r="D334" s="1045" t="str">
        <f t="shared" si="116"/>
        <v/>
      </c>
      <c r="E334" s="13"/>
      <c r="F334" s="13">
        <f t="shared" si="133"/>
        <v>25</v>
      </c>
      <c r="G334" s="13">
        <f t="shared" si="117"/>
        <v>24</v>
      </c>
      <c r="H334" s="169">
        <f t="shared" si="118"/>
        <v>43430</v>
      </c>
      <c r="I334" s="743">
        <f t="shared" si="119"/>
        <v>0.7142857142857143</v>
      </c>
      <c r="J334" s="736">
        <f t="shared" si="120"/>
        <v>118.05685131166663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38">
        <v>43420</v>
      </c>
      <c r="AP334" s="13">
        <f t="shared" si="121"/>
        <v>13</v>
      </c>
      <c r="AQ334" s="13">
        <f t="shared" si="122"/>
        <v>14</v>
      </c>
      <c r="AR334" s="169">
        <f t="shared" si="123"/>
        <v>43416</v>
      </c>
      <c r="AS334" s="743">
        <f t="shared" si="124"/>
        <v>0.14285714285714285</v>
      </c>
      <c r="AT334" s="759">
        <f t="shared" si="125"/>
        <v>118.44743872795786</v>
      </c>
      <c r="AU334" s="13">
        <f t="shared" si="126"/>
        <v>13</v>
      </c>
      <c r="AV334" s="13">
        <f t="shared" si="127"/>
        <v>12</v>
      </c>
      <c r="AW334" s="169">
        <f t="shared" si="128"/>
        <v>43430</v>
      </c>
      <c r="AX334" s="743">
        <f t="shared" si="129"/>
        <v>0.35714285714285715</v>
      </c>
      <c r="AY334" s="759">
        <f t="shared" si="130"/>
        <v>117.43264622289155</v>
      </c>
      <c r="AZ334" s="736">
        <f t="shared" si="134"/>
        <v>117.9400424754247</v>
      </c>
      <c r="BA334" s="633">
        <f t="shared" si="131"/>
        <v>0.96566971449039585</v>
      </c>
      <c r="BC334" s="11">
        <v>43420</v>
      </c>
      <c r="BD334" s="286">
        <f>[2]!FeuilCaduc*(1-Persistant)+Persistant</f>
        <v>0.70221227596561042</v>
      </c>
      <c r="BE334" s="287">
        <f>[2]!CroissVégét</f>
        <v>0.9988779881675528</v>
      </c>
      <c r="BF334" s="806">
        <f>1+[2]!Salcycl*Ksac</f>
        <v>1.0127765344957014</v>
      </c>
      <c r="BH334" s="1036">
        <f t="shared" si="132"/>
        <v>4.4679631992813384E-2</v>
      </c>
      <c r="BI334" s="11">
        <v>44516</v>
      </c>
      <c r="BJ334" s="716">
        <v>7.5286099444005234E-3</v>
      </c>
      <c r="BK334" s="716">
        <v>1.2219272957890596E-2</v>
      </c>
      <c r="BL334" s="716">
        <v>1.886694264298136E-2</v>
      </c>
      <c r="BM334" s="716">
        <v>2.6250449510676593E-2</v>
      </c>
      <c r="BN334" s="716">
        <v>3.538314901573384E-2</v>
      </c>
      <c r="BO334" s="717">
        <v>4.4778003389226662E-2</v>
      </c>
      <c r="BP334" s="716">
        <v>5.6501299980589122E-2</v>
      </c>
      <c r="BQ334" s="716">
        <v>6.9900105833196155E-2</v>
      </c>
      <c r="BR334" s="716">
        <v>8.5347323567419253E-2</v>
      </c>
      <c r="BS334" s="716">
        <v>0.10309436680544397</v>
      </c>
      <c r="BT334" s="716">
        <v>0.12225753057563203</v>
      </c>
      <c r="BW334" s="1166">
        <f>'2022'!R\Max</f>
        <v>0.96566971449039585</v>
      </c>
      <c r="BX334" s="1167">
        <f>'2023'!R\Max</f>
        <v>0.96564019576644222</v>
      </c>
      <c r="BY334" s="1167">
        <f>'2024'!R\Max</f>
        <v>0.96560650855893826</v>
      </c>
      <c r="BZ334" s="1167">
        <f>'2025'!R\Max</f>
        <v>0.96557268237008187</v>
      </c>
      <c r="CA334" s="1167">
        <f>'2026'!R\Max</f>
        <v>0.9655337421713247</v>
      </c>
      <c r="CB334" s="1167">
        <f>'2027'!R\Max</f>
        <v>0.96549462659626217</v>
      </c>
      <c r="CC334" s="1168">
        <f>'2028'!R\Max</f>
        <v>0.9654497404804292</v>
      </c>
      <c r="CD334" s="1167">
        <f>'2029'!R\Max</f>
        <v>0.9656711888070294</v>
      </c>
      <c r="CE334" s="1167">
        <f>'2030'!R\Max</f>
        <v>0.96564167183177319</v>
      </c>
      <c r="CF334" s="1169">
        <f>'2031'!R\Max</f>
        <v>0.96560819786065222</v>
      </c>
    </row>
    <row r="335" spans="1:84" s="6" customFormat="1" ht="11.25" x14ac:dyDescent="0.2">
      <c r="A335" s="11">
        <v>43421</v>
      </c>
      <c r="B335" s="375">
        <f>'2022'!Maxi_hp</f>
        <v>67.685207187062332</v>
      </c>
      <c r="C335" s="13">
        <f>'2022'!An_max</f>
        <v>2022</v>
      </c>
      <c r="D335" s="1045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69">
        <f t="shared" ref="H335:H380" si="137">INDEX(x.2m,F335)</f>
        <v>43430</v>
      </c>
      <c r="I335" s="743">
        <f t="shared" ref="I335:I380" si="138">($A335-H335)/(INDEX(x.2m,G335)-H335)</f>
        <v>0.6428571428571429</v>
      </c>
      <c r="J335" s="736">
        <f t="shared" ref="J335:J380" si="139">((1-I335)*(INDEX(a.m,F335)*$A335*$A335+INDEX(b.m,F335)*$A335+INDEX(c.m,F335))+I335*(INDEX(a.m,G335)*$A335*$A335+INDEX(b.m,G335)*$A335+INDEX(c.m,G335)))/10</f>
        <v>116.83473031978522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38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69">
        <f t="shared" ref="AR335:AR380" si="142">INDEX(x.2lg,AP335)</f>
        <v>43416</v>
      </c>
      <c r="AS335" s="743">
        <f t="shared" ref="AS335:AS380" si="143">($A335-AR335)/(INDEX(x.2lg,AQ335)-AR335)</f>
        <v>0.17857142857142858</v>
      </c>
      <c r="AT335" s="759">
        <f t="shared" ref="AT335:AT380" si="144">((1-AS335)*(INDEX(a.lg,AP335)*$A335*$A335+INDEX(b.lg,AP335)*$A335+INDEX(c.lg,AP335))+AS335*(INDEX(a.lg,AQ335)*$A335*$A335+INDEX(b.lg,AQ335)*$A335+INDEX(c.lg,AQ335)))/10</f>
        <v>117.30426690940344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69">
        <f t="shared" ref="AW335:AW380" si="147">INDEX(x.2ld,AU335)</f>
        <v>43430</v>
      </c>
      <c r="AX335" s="743">
        <f t="shared" ref="AX335:AX380" si="148">($A335-AW335)/(INDEX(x.2ld,AV335)-AW335)</f>
        <v>0.32142857142857145</v>
      </c>
      <c r="AY335" s="759">
        <f t="shared" ref="AY335:AY380" si="149">((1-AX335)*(INDEX(a.ld,AU335)*$A335*$A335+INDEX(b.ld,AU335)*$A335+INDEX(c.ld,AU335))+AX335*(INDEX(a.ld,AV335)*$A335*$A335+INDEX(b.ld,AV335)*$A335+INDEX(c.ld,AV335)))/10</f>
        <v>116.21343276998296</v>
      </c>
      <c r="AZ335" s="736">
        <f t="shared" si="134"/>
        <v>116.7588498396932</v>
      </c>
      <c r="BA335" s="633">
        <f t="shared" ref="BA335:BA380" si="150">+B335/J335</f>
        <v>0.57932437556711913</v>
      </c>
      <c r="BC335" s="11">
        <v>43421</v>
      </c>
      <c r="BD335" s="286">
        <f>[2]!FeuilCaduc*(1-Persistant)+Persistant</f>
        <v>0.69734724864930842</v>
      </c>
      <c r="BE335" s="287">
        <f>[2]!CroissVégét</f>
        <v>0.99893641739554129</v>
      </c>
      <c r="BF335" s="806">
        <f>1+[2]!Salcycl*Ksac</f>
        <v>1.0121684060811635</v>
      </c>
      <c r="BH335" s="1036">
        <f t="shared" ref="BH335:BH380" si="151">INDEX($BJ335:$BT335,,$BH$10)*(1-Ratini)+INDEX($BJ335:$BT335,,$BH$10+1)*Ratini</f>
        <v>4.6730662161461926E-2</v>
      </c>
      <c r="BI335" s="11">
        <v>44517</v>
      </c>
      <c r="BJ335" s="716">
        <v>8.033318127133697E-3</v>
      </c>
      <c r="BK335" s="716">
        <v>1.2984464644909178E-2</v>
      </c>
      <c r="BL335" s="716">
        <v>2.0015849808203236E-2</v>
      </c>
      <c r="BM335" s="716">
        <v>2.7843362669271274E-2</v>
      </c>
      <c r="BN335" s="716">
        <v>3.7242797401183532E-2</v>
      </c>
      <c r="BO335" s="717">
        <v>4.6831058677838079E-2</v>
      </c>
      <c r="BP335" s="716">
        <v>5.8750523931987597E-2</v>
      </c>
      <c r="BQ335" s="716">
        <v>7.248142487751659E-2</v>
      </c>
      <c r="BR335" s="716">
        <v>8.8119654057617347E-2</v>
      </c>
      <c r="BS335" s="716">
        <v>0.10590649711794385</v>
      </c>
      <c r="BT335" s="716">
        <v>0.12494899019470536</v>
      </c>
      <c r="BW335" s="1166">
        <f>'2022'!R\Max</f>
        <v>0.57932437556711913</v>
      </c>
      <c r="BX335" s="1167">
        <f>'2023'!R\Max</f>
        <v>0.57910305407740359</v>
      </c>
      <c r="BY335" s="1167">
        <f>'2024'!R\Max</f>
        <v>0.57884869917293946</v>
      </c>
      <c r="BZ335" s="1167">
        <f>'2025'!R\Max</f>
        <v>0.57859345466150136</v>
      </c>
      <c r="CA335" s="1167">
        <f>'2026'!R\Max</f>
        <v>0.57830335369627872</v>
      </c>
      <c r="CB335" s="1167">
        <f>'2027'!R\Max</f>
        <v>0.57801227829617363</v>
      </c>
      <c r="CC335" s="1168">
        <f>'2028'!R\Max</f>
        <v>0.5776818555837705</v>
      </c>
      <c r="CD335" s="1167">
        <f>'2029'!R\Max</f>
        <v>0.57933543343271998</v>
      </c>
      <c r="CE335" s="1167">
        <f>'2030'!R\Max</f>
        <v>0.57911411755751196</v>
      </c>
      <c r="CF335" s="1169">
        <f>'2031'!R\Max</f>
        <v>0.5788614514127377</v>
      </c>
    </row>
    <row r="336" spans="1:84" s="6" customFormat="1" ht="11.25" x14ac:dyDescent="0.2">
      <c r="A336" s="11">
        <v>43422</v>
      </c>
      <c r="B336" s="375">
        <f>'2022'!Maxi_hp</f>
        <v>53.713397448687658</v>
      </c>
      <c r="C336" s="13">
        <f>'2022'!An_max</f>
        <v>2022</v>
      </c>
      <c r="D336" s="1045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69">
        <f t="shared" si="137"/>
        <v>43430</v>
      </c>
      <c r="I336" s="743">
        <f t="shared" si="138"/>
        <v>0.5714285714285714</v>
      </c>
      <c r="J336" s="736">
        <f t="shared" si="139"/>
        <v>115.62682215997151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38">
        <v>43422</v>
      </c>
      <c r="AP336" s="13">
        <f t="shared" si="140"/>
        <v>13</v>
      </c>
      <c r="AQ336" s="13">
        <f t="shared" si="141"/>
        <v>14</v>
      </c>
      <c r="AR336" s="169">
        <f t="shared" si="142"/>
        <v>43416</v>
      </c>
      <c r="AS336" s="743">
        <f t="shared" si="143"/>
        <v>0.21428571428571427</v>
      </c>
      <c r="AT336" s="759">
        <f t="shared" si="144"/>
        <v>116.16455156526395</v>
      </c>
      <c r="AU336" s="13">
        <f t="shared" si="145"/>
        <v>13</v>
      </c>
      <c r="AV336" s="13">
        <f t="shared" si="146"/>
        <v>12</v>
      </c>
      <c r="AW336" s="169">
        <f t="shared" si="147"/>
        <v>43430</v>
      </c>
      <c r="AX336" s="743">
        <f t="shared" si="148"/>
        <v>0.2857142857142857</v>
      </c>
      <c r="AY336" s="759">
        <f t="shared" si="149"/>
        <v>115.02569241906914</v>
      </c>
      <c r="AZ336" s="736">
        <f t="shared" ref="AZ336:AZ380" si="153">(AY336+AT336)/2</f>
        <v>115.59512199216655</v>
      </c>
      <c r="BA336" s="633">
        <f t="shared" si="150"/>
        <v>0.4645409814547557</v>
      </c>
      <c r="BC336" s="11">
        <v>43422</v>
      </c>
      <c r="BD336" s="286">
        <f>[2]!FeuilCaduc*(1-Persistant)+Persistant</f>
        <v>0.69259987253677058</v>
      </c>
      <c r="BE336" s="287">
        <f>[2]!CroissVégét</f>
        <v>0.99899250051286803</v>
      </c>
      <c r="BF336" s="806">
        <f>1+[2]!Salcycl*Ksac</f>
        <v>1.0115749840670962</v>
      </c>
      <c r="BH336" s="1036">
        <f t="shared" si="151"/>
        <v>4.8736241896304829E-2</v>
      </c>
      <c r="BI336" s="11">
        <v>44518</v>
      </c>
      <c r="BJ336" s="716">
        <v>8.5618944606883681E-3</v>
      </c>
      <c r="BK336" s="716">
        <v>1.3767887061050615E-2</v>
      </c>
      <c r="BL336" s="716">
        <v>2.1156149402500751E-2</v>
      </c>
      <c r="BM336" s="716">
        <v>2.9403234534065723E-2</v>
      </c>
      <c r="BN336" s="716">
        <v>3.905346274988214E-2</v>
      </c>
      <c r="BO336" s="717">
        <v>4.883870091313338E-2</v>
      </c>
      <c r="BP336" s="716">
        <v>6.0948737238503137E-2</v>
      </c>
      <c r="BQ336" s="716">
        <v>7.4977375572648011E-2</v>
      </c>
      <c r="BR336" s="716">
        <v>9.0761172018146374E-2</v>
      </c>
      <c r="BS336" s="716">
        <v>0.10852413766334308</v>
      </c>
      <c r="BT336" s="716">
        <v>0.12736876369140651</v>
      </c>
      <c r="BW336" s="1166">
        <f>'2022'!R\Max</f>
        <v>0.4645409814547557</v>
      </c>
      <c r="BX336" s="1167">
        <f>'2023'!R\Max</f>
        <v>0.46431067867782333</v>
      </c>
      <c r="BY336" s="1167">
        <f>'2024'!R\Max</f>
        <v>0.46404460228302535</v>
      </c>
      <c r="BZ336" s="1167">
        <f>'2025'!R\Max</f>
        <v>0.46377763056447802</v>
      </c>
      <c r="CA336" s="1167">
        <f>'2026'!R\Max</f>
        <v>0.46347787806674501</v>
      </c>
      <c r="CB336" s="1167">
        <f>'2027'!R\Max</f>
        <v>0.46317727273496434</v>
      </c>
      <c r="CC336" s="1168">
        <f>'2028'!R\Max</f>
        <v>0.46283965858792814</v>
      </c>
      <c r="CD336" s="1167">
        <f>'2029'!R\Max</f>
        <v>0.46455248927547449</v>
      </c>
      <c r="CE336" s="1167">
        <f>'2030'!R\Max</f>
        <v>0.4643221900091925</v>
      </c>
      <c r="CF336" s="1169">
        <f>'2031'!R\Max</f>
        <v>0.46405794204635503</v>
      </c>
    </row>
    <row r="337" spans="1:84" s="6" customFormat="1" ht="11.25" x14ac:dyDescent="0.2">
      <c r="A337" s="11">
        <v>43423</v>
      </c>
      <c r="B337" s="375">
        <f>'2022'!Maxi_hp</f>
        <v>25.539405273460016</v>
      </c>
      <c r="C337" s="13">
        <f>'2022'!An_max</f>
        <v>2022</v>
      </c>
      <c r="D337" s="1045" t="str">
        <f t="shared" si="135"/>
        <v/>
      </c>
      <c r="E337" s="13"/>
      <c r="F337" s="13">
        <f t="shared" si="152"/>
        <v>25</v>
      </c>
      <c r="G337" s="13">
        <f t="shared" si="136"/>
        <v>24</v>
      </c>
      <c r="H337" s="169">
        <f t="shared" si="137"/>
        <v>43430</v>
      </c>
      <c r="I337" s="743">
        <f t="shared" si="138"/>
        <v>0.5</v>
      </c>
      <c r="J337" s="736">
        <f t="shared" si="139"/>
        <v>114.43750000298023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38">
        <v>43423</v>
      </c>
      <c r="AP337" s="13">
        <f t="shared" si="140"/>
        <v>13</v>
      </c>
      <c r="AQ337" s="13">
        <f t="shared" si="141"/>
        <v>14</v>
      </c>
      <c r="AR337" s="169">
        <f t="shared" si="142"/>
        <v>43416</v>
      </c>
      <c r="AS337" s="743">
        <f t="shared" si="143"/>
        <v>0.25</v>
      </c>
      <c r="AT337" s="759">
        <f t="shared" si="144"/>
        <v>115.03102721944451</v>
      </c>
      <c r="AU337" s="13">
        <f t="shared" si="145"/>
        <v>13</v>
      </c>
      <c r="AV337" s="13">
        <f t="shared" si="146"/>
        <v>12</v>
      </c>
      <c r="AW337" s="169">
        <f t="shared" si="147"/>
        <v>43430</v>
      </c>
      <c r="AX337" s="743">
        <f t="shared" si="148"/>
        <v>0.25</v>
      </c>
      <c r="AY337" s="759">
        <f t="shared" si="149"/>
        <v>113.87228514552116</v>
      </c>
      <c r="AZ337" s="736">
        <f t="shared" si="153"/>
        <v>114.45165618248284</v>
      </c>
      <c r="BA337" s="633">
        <f t="shared" si="150"/>
        <v>0.22317339397308494</v>
      </c>
      <c r="BC337" s="11">
        <v>43423</v>
      </c>
      <c r="BD337" s="286">
        <f>[2]!FeuilCaduc*(1-Persistant)+Persistant</f>
        <v>0.68797519391974316</v>
      </c>
      <c r="BE337" s="287">
        <f>[2]!CroissVégét</f>
        <v>0.99904633147520905</v>
      </c>
      <c r="BF337" s="806">
        <f>1+[2]!Salcycl*Ksac</f>
        <v>1.0109968992399678</v>
      </c>
      <c r="BH337" s="1036">
        <f t="shared" si="151"/>
        <v>5.0696216852931832E-2</v>
      </c>
      <c r="BI337" s="11">
        <v>44519</v>
      </c>
      <c r="BJ337" s="716">
        <v>9.1143319447656908E-3</v>
      </c>
      <c r="BK337" s="716">
        <v>1.456951444517003E-2</v>
      </c>
      <c r="BL337" s="716">
        <v>2.2287773206055905E-2</v>
      </c>
      <c r="BM337" s="716">
        <v>3.0929953350099012E-2</v>
      </c>
      <c r="BN337" s="716">
        <v>4.0815002635267716E-2</v>
      </c>
      <c r="BO337" s="717">
        <v>5.0800775624592787E-2</v>
      </c>
      <c r="BP337" s="716">
        <v>6.3095764111792768E-2</v>
      </c>
      <c r="BQ337" s="716">
        <v>7.7387730677450986E-2</v>
      </c>
      <c r="BR337" s="716">
        <v>9.3271594045414893E-2</v>
      </c>
      <c r="BS337" s="716">
        <v>0.11094693860447642</v>
      </c>
      <c r="BT337" s="716">
        <v>0.12951642938128377</v>
      </c>
      <c r="BW337" s="1166">
        <f>'2022'!R\Max</f>
        <v>0.22317339397308494</v>
      </c>
      <c r="BX337" s="1167">
        <f>'2023'!R\Max</f>
        <v>0.22302598914540722</v>
      </c>
      <c r="BY337" s="1167">
        <f>'2024'!R\Max</f>
        <v>0.22285516672810685</v>
      </c>
      <c r="BZ337" s="1167">
        <f>'2025'!R\Max</f>
        <v>0.22268382009602342</v>
      </c>
      <c r="CA337" s="1167">
        <f>'2026'!R\Max</f>
        <v>0.22249380607113309</v>
      </c>
      <c r="CB337" s="1167">
        <f>'2027'!R\Max</f>
        <v>0.22230337416100579</v>
      </c>
      <c r="CC337" s="1168">
        <f>'2028'!R\Max</f>
        <v>0.22209193443652292</v>
      </c>
      <c r="CD337" s="1167">
        <f>'2029'!R\Max</f>
        <v>0.22318076071007084</v>
      </c>
      <c r="CE337" s="1167">
        <f>'2030'!R\Max</f>
        <v>0.22303335588239309</v>
      </c>
      <c r="CF337" s="1169">
        <f>'2031'!R\Max</f>
        <v>0.22286372998612122</v>
      </c>
    </row>
    <row r="338" spans="1:84" s="6" customFormat="1" ht="11.25" x14ac:dyDescent="0.2">
      <c r="A338" s="11">
        <v>43424</v>
      </c>
      <c r="B338" s="375">
        <f>'2022'!Maxi_hp</f>
        <v>74.711901468469961</v>
      </c>
      <c r="C338" s="13">
        <f>'2022'!An_max</f>
        <v>2022</v>
      </c>
      <c r="D338" s="1045" t="str">
        <f t="shared" si="135"/>
        <v/>
      </c>
      <c r="E338" s="13"/>
      <c r="F338" s="13">
        <f t="shared" si="152"/>
        <v>25</v>
      </c>
      <c r="G338" s="13">
        <f t="shared" si="136"/>
        <v>24</v>
      </c>
      <c r="H338" s="169">
        <f t="shared" si="137"/>
        <v>43430</v>
      </c>
      <c r="I338" s="743">
        <f t="shared" si="138"/>
        <v>0.42857142857142855</v>
      </c>
      <c r="J338" s="736">
        <f t="shared" si="139"/>
        <v>113.27113702573948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38">
        <v>43424</v>
      </c>
      <c r="AP338" s="13">
        <f t="shared" si="140"/>
        <v>13</v>
      </c>
      <c r="AQ338" s="13">
        <f t="shared" si="141"/>
        <v>14</v>
      </c>
      <c r="AR338" s="169">
        <f t="shared" si="142"/>
        <v>43416</v>
      </c>
      <c r="AS338" s="743">
        <f t="shared" si="143"/>
        <v>0.2857142857142857</v>
      </c>
      <c r="AT338" s="759">
        <f t="shared" si="144"/>
        <v>113.90642841798918</v>
      </c>
      <c r="AU338" s="13">
        <f t="shared" si="145"/>
        <v>13</v>
      </c>
      <c r="AV338" s="13">
        <f t="shared" si="146"/>
        <v>12</v>
      </c>
      <c r="AW338" s="169">
        <f t="shared" si="147"/>
        <v>43430</v>
      </c>
      <c r="AX338" s="743">
        <f t="shared" si="148"/>
        <v>0.21428571428571427</v>
      </c>
      <c r="AY338" s="759">
        <f t="shared" si="149"/>
        <v>112.75607096669928</v>
      </c>
      <c r="AZ338" s="736">
        <f t="shared" si="153"/>
        <v>113.33124969234423</v>
      </c>
      <c r="BA338" s="633">
        <f t="shared" si="150"/>
        <v>0.65958463409343726</v>
      </c>
      <c r="BC338" s="11">
        <v>43424</v>
      </c>
      <c r="BD338" s="286">
        <f>[2]!FeuilCaduc*(1-Persistant)+Persistant</f>
        <v>0.6834777946811299</v>
      </c>
      <c r="BE338" s="287">
        <f>[2]!CroissVégét</f>
        <v>0.99909800049508712</v>
      </c>
      <c r="BF338" s="806">
        <f>1+[2]!Salcycl*Ksac</f>
        <v>1.0104347243351413</v>
      </c>
      <c r="BH338" s="1036">
        <f t="shared" si="151"/>
        <v>5.2556766974967244E-2</v>
      </c>
      <c r="BI338" s="11">
        <v>44520</v>
      </c>
      <c r="BJ338" s="716">
        <v>9.6894065312196839E-3</v>
      </c>
      <c r="BK338" s="716">
        <v>1.5387152579261104E-2</v>
      </c>
      <c r="BL338" s="716">
        <v>2.3402238689543858E-2</v>
      </c>
      <c r="BM338" s="716">
        <v>3.2402014731036551E-2</v>
      </c>
      <c r="BN338" s="716">
        <v>4.249334841013757E-2</v>
      </c>
      <c r="BO338" s="717">
        <v>5.2663253754898359E-2</v>
      </c>
      <c r="BP338" s="716">
        <v>6.5110139617143695E-2</v>
      </c>
      <c r="BQ338" s="716">
        <v>7.9602303760126655E-2</v>
      </c>
      <c r="BR338" s="716">
        <v>9.5526969797638361E-2</v>
      </c>
      <c r="BS338" s="716">
        <v>0.11305544689426077</v>
      </c>
      <c r="BT338" s="716">
        <v>0.13129262959334845</v>
      </c>
      <c r="BW338" s="1166">
        <f>'2022'!R\Max</f>
        <v>0.65958463409343726</v>
      </c>
      <c r="BX338" s="1167">
        <f>'2023'!R\Max</f>
        <v>0.65936934875527464</v>
      </c>
      <c r="BY338" s="1167">
        <f>'2024'!R\Max</f>
        <v>0.65911927402829129</v>
      </c>
      <c r="BZ338" s="1167">
        <f>'2025'!R\Max</f>
        <v>0.65886822462846317</v>
      </c>
      <c r="CA338" s="1167">
        <f>'2026'!R\Max</f>
        <v>0.65859266975546638</v>
      </c>
      <c r="CB338" s="1167">
        <f>'2027'!R\Max</f>
        <v>0.65831632847282251</v>
      </c>
      <c r="CC338" s="1168">
        <f>'2028'!R\Max</f>
        <v>0.65801248238186705</v>
      </c>
      <c r="CD338" s="1167">
        <f>'2029'!R\Max</f>
        <v>0.65959538934652717</v>
      </c>
      <c r="CE338" s="1167">
        <f>'2030'!R\Max</f>
        <v>0.65938011142999764</v>
      </c>
      <c r="CF338" s="1169">
        <f>'2031'!R\Max</f>
        <v>0.65913181523665121</v>
      </c>
    </row>
    <row r="339" spans="1:84" s="6" customFormat="1" ht="11.25" x14ac:dyDescent="0.2">
      <c r="A339" s="11">
        <v>43425</v>
      </c>
      <c r="B339" s="375">
        <f>'2022'!Maxi_hp</f>
        <v>14.796158423320728</v>
      </c>
      <c r="C339" s="13">
        <f>'2022'!An_max</f>
        <v>2022</v>
      </c>
      <c r="D339" s="1045" t="str">
        <f t="shared" si="135"/>
        <v/>
      </c>
      <c r="E339" s="13"/>
      <c r="F339" s="13">
        <f>INT(MATCH($A339,x.2m)/2)*2+1</f>
        <v>25</v>
      </c>
      <c r="G339" s="13">
        <f>INT((MATCH($A339,x.2m)+1)/2)*2</f>
        <v>24</v>
      </c>
      <c r="H339" s="169">
        <f t="shared" si="137"/>
        <v>43430</v>
      </c>
      <c r="I339" s="743">
        <f t="shared" si="138"/>
        <v>0.35714285714285715</v>
      </c>
      <c r="J339" s="736">
        <f t="shared" si="139"/>
        <v>112.13210641954625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38">
        <v>43425</v>
      </c>
      <c r="AP339" s="13">
        <f t="shared" si="140"/>
        <v>13</v>
      </c>
      <c r="AQ339" s="13">
        <f t="shared" si="141"/>
        <v>14</v>
      </c>
      <c r="AR339" s="169">
        <f t="shared" si="142"/>
        <v>43416</v>
      </c>
      <c r="AS339" s="743">
        <f t="shared" si="143"/>
        <v>0.32142857142857145</v>
      </c>
      <c r="AT339" s="759">
        <f t="shared" si="144"/>
        <v>112.79348969012499</v>
      </c>
      <c r="AU339" s="13">
        <f t="shared" si="145"/>
        <v>13</v>
      </c>
      <c r="AV339" s="13">
        <f t="shared" si="146"/>
        <v>12</v>
      </c>
      <c r="AW339" s="169">
        <f t="shared" si="147"/>
        <v>43430</v>
      </c>
      <c r="AX339" s="743">
        <f t="shared" si="148"/>
        <v>0.17857142857142858</v>
      </c>
      <c r="AY339" s="759">
        <f t="shared" si="149"/>
        <v>111.67990985941142</v>
      </c>
      <c r="AZ339" s="736">
        <f t="shared" si="153"/>
        <v>112.2366997747682</v>
      </c>
      <c r="BA339" s="633">
        <f t="shared" si="150"/>
        <v>0.13195291603602252</v>
      </c>
      <c r="BC339" s="11">
        <v>43425</v>
      </c>
      <c r="BD339" s="286">
        <f>[2]!FeuilCaduc*(1-Persistant)+Persistant</f>
        <v>0.67911177557735525</v>
      </c>
      <c r="BE339" s="287">
        <f>[2]!CroissVégét</f>
        <v>0.99914759418945731</v>
      </c>
      <c r="BF339" s="806">
        <f>1+[2]!Salcycl*Ksac</f>
        <v>1.0098889719471693</v>
      </c>
      <c r="BH339" s="1036">
        <f t="shared" si="151"/>
        <v>5.4316170237483662E-2</v>
      </c>
      <c r="BI339" s="11">
        <v>44521</v>
      </c>
      <c r="BJ339" s="716">
        <v>1.0276395687235162E-2</v>
      </c>
      <c r="BK339" s="716">
        <v>1.6210514481296165E-2</v>
      </c>
      <c r="BL339" s="716">
        <v>2.448774910274577E-2</v>
      </c>
      <c r="BM339" s="716">
        <v>3.3804840021017295E-2</v>
      </c>
      <c r="BN339" s="716">
        <v>4.4079532394994236E-2</v>
      </c>
      <c r="BO339" s="717">
        <v>5.4424489949532341E-2</v>
      </c>
      <c r="BP339" s="716">
        <v>6.7000088080772971E-2</v>
      </c>
      <c r="BQ339" s="716">
        <v>8.1643597092200093E-2</v>
      </c>
      <c r="BR339" s="716">
        <v>9.7566779341785814E-2</v>
      </c>
      <c r="BS339" s="716">
        <v>0.11491303787970845</v>
      </c>
      <c r="BT339" s="716">
        <v>0.13278976971089596</v>
      </c>
      <c r="BW339" s="1166">
        <f>'2022'!R\Max</f>
        <v>0.13195291603602252</v>
      </c>
      <c r="BX339" s="1167">
        <f>'2023'!R\Max</f>
        <v>0.13186311022450159</v>
      </c>
      <c r="BY339" s="1167">
        <f>'2024'!R\Max</f>
        <v>0.13175885873658078</v>
      </c>
      <c r="BZ339" s="1167">
        <f>'2025'!R\Max</f>
        <v>0.1316542854036418</v>
      </c>
      <c r="CA339" s="1167">
        <f>'2026'!R\Max</f>
        <v>0.1315407727398003</v>
      </c>
      <c r="CB339" s="1167">
        <f>'2027'!R\Max</f>
        <v>0.13142706090764764</v>
      </c>
      <c r="CC339" s="1168">
        <f>'2028'!R\Max</f>
        <v>0.13130340798629475</v>
      </c>
      <c r="CD339" s="1167">
        <f>'2029'!R\Max</f>
        <v>0.1319574041915578</v>
      </c>
      <c r="CE339" s="1167">
        <f>'2030'!R\Max</f>
        <v>0.13186759838003692</v>
      </c>
      <c r="CF339" s="1169">
        <f>'2031'!R\Max</f>
        <v>0.13176408491710431</v>
      </c>
    </row>
    <row r="340" spans="1:84" s="6" customFormat="1" ht="11.25" x14ac:dyDescent="0.2">
      <c r="A340" s="11">
        <v>43426</v>
      </c>
      <c r="B340" s="375">
        <f>'2022'!Maxi_hp</f>
        <v>35.925753134499537</v>
      </c>
      <c r="C340" s="13">
        <f>'2022'!An_max</f>
        <v>2022</v>
      </c>
      <c r="D340" s="1045" t="str">
        <f t="shared" si="135"/>
        <v/>
      </c>
      <c r="E340" s="13"/>
      <c r="F340" s="13">
        <f t="shared" si="152"/>
        <v>25</v>
      </c>
      <c r="G340" s="13">
        <f t="shared" si="136"/>
        <v>24</v>
      </c>
      <c r="H340" s="169">
        <f t="shared" si="137"/>
        <v>43430</v>
      </c>
      <c r="I340" s="743">
        <f t="shared" si="138"/>
        <v>0.2857142857142857</v>
      </c>
      <c r="J340" s="736">
        <f t="shared" si="139"/>
        <v>111.02478134206362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38">
        <v>43426</v>
      </c>
      <c r="AP340" s="13">
        <f t="shared" si="140"/>
        <v>13</v>
      </c>
      <c r="AQ340" s="13">
        <f t="shared" si="141"/>
        <v>14</v>
      </c>
      <c r="AR340" s="169">
        <f t="shared" si="142"/>
        <v>43416</v>
      </c>
      <c r="AS340" s="743">
        <f t="shared" si="143"/>
        <v>0.35714285714285715</v>
      </c>
      <c r="AT340" s="759">
        <f t="shared" si="144"/>
        <v>111.6949455774256</v>
      </c>
      <c r="AU340" s="13">
        <f t="shared" si="145"/>
        <v>13</v>
      </c>
      <c r="AV340" s="13">
        <f t="shared" si="146"/>
        <v>12</v>
      </c>
      <c r="AW340" s="169">
        <f t="shared" si="147"/>
        <v>43430</v>
      </c>
      <c r="AX340" s="743">
        <f t="shared" si="148"/>
        <v>0.14285714285714285</v>
      </c>
      <c r="AY340" s="759">
        <f t="shared" si="149"/>
        <v>110.64666180919323</v>
      </c>
      <c r="AZ340" s="736">
        <f t="shared" si="153"/>
        <v>111.17080369330941</v>
      </c>
      <c r="BA340" s="633">
        <f t="shared" si="150"/>
        <v>0.32358319197057006</v>
      </c>
      <c r="BC340" s="11">
        <v>43426</v>
      </c>
      <c r="BD340" s="286">
        <f>[2]!FeuilCaduc*(1-Persistant)+Persistant</f>
        <v>0.67488074250533581</v>
      </c>
      <c r="BE340" s="287">
        <f>[2]!CroissVégét</f>
        <v>0.99919519572159454</v>
      </c>
      <c r="BF340" s="806">
        <f>1+[2]!Salcycl*Ksac</f>
        <v>1.009360092813167</v>
      </c>
      <c r="BH340" s="1036">
        <f t="shared" si="151"/>
        <v>5.5974229069286986E-2</v>
      </c>
      <c r="BI340" s="11">
        <v>44522</v>
      </c>
      <c r="BJ340" s="716">
        <v>1.0875272639928898E-2</v>
      </c>
      <c r="BK340" s="716">
        <v>1.7039553250109037E-2</v>
      </c>
      <c r="BL340" s="716">
        <v>2.5544213820972845E-2</v>
      </c>
      <c r="BM340" s="716">
        <v>3.5138287449673525E-2</v>
      </c>
      <c r="BN340" s="716">
        <v>4.5573379642457203E-2</v>
      </c>
      <c r="BO340" s="717">
        <v>5.6084286397905143E-2</v>
      </c>
      <c r="BP340" s="716">
        <v>6.8765379039029809E-2</v>
      </c>
      <c r="BQ340" s="716">
        <v>8.3511326359418617E-2</v>
      </c>
      <c r="BR340" s="716">
        <v>9.9390695321491515E-2</v>
      </c>
      <c r="BS340" s="716">
        <v>0.11651935341752055</v>
      </c>
      <c r="BT340" s="716">
        <v>0.13400747384694017</v>
      </c>
      <c r="BW340" s="1166">
        <f>'2022'!R\Max</f>
        <v>0.32358319197057006</v>
      </c>
      <c r="BX340" s="1167">
        <f>'2023'!R\Max</f>
        <v>0.32336786529009792</v>
      </c>
      <c r="BY340" s="1167">
        <f>'2024'!R\Max</f>
        <v>0.32311822694663805</v>
      </c>
      <c r="BZ340" s="1167">
        <f>'2025'!R\Max</f>
        <v>0.32286781249046287</v>
      </c>
      <c r="CA340" s="1167">
        <f>'2026'!R\Max</f>
        <v>0.32259855373114082</v>
      </c>
      <c r="CB340" s="1167">
        <f>'2027'!R\Max</f>
        <v>0.32232886057701599</v>
      </c>
      <c r="CC340" s="1168">
        <f>'2028'!R\Max</f>
        <v>0.3220383934018427</v>
      </c>
      <c r="CD340" s="1167">
        <f>'2029'!R\Max</f>
        <v>0.32359395292099996</v>
      </c>
      <c r="CE340" s="1167">
        <f>'2030'!R\Max</f>
        <v>0.32337862674420859</v>
      </c>
      <c r="CF340" s="1169">
        <f>'2031'!R\Max</f>
        <v>0.32313074135849934</v>
      </c>
    </row>
    <row r="341" spans="1:84" s="6" customFormat="1" ht="11.25" x14ac:dyDescent="0.2">
      <c r="A341" s="11">
        <v>43427</v>
      </c>
      <c r="B341" s="375">
        <f>'2022'!Maxi_hp</f>
        <v>59.26549414271846</v>
      </c>
      <c r="C341" s="13">
        <f>'2022'!An_max</f>
        <v>2022</v>
      </c>
      <c r="D341" s="1045" t="str">
        <f t="shared" si="135"/>
        <v/>
      </c>
      <c r="E341" s="13"/>
      <c r="F341" s="13">
        <f t="shared" si="152"/>
        <v>25</v>
      </c>
      <c r="G341" s="13">
        <f t="shared" si="136"/>
        <v>24</v>
      </c>
      <c r="H341" s="169">
        <f t="shared" si="137"/>
        <v>43430</v>
      </c>
      <c r="I341" s="743">
        <f t="shared" si="138"/>
        <v>0.21428571428571427</v>
      </c>
      <c r="J341" s="736">
        <f t="shared" si="139"/>
        <v>109.95353498309851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38">
        <v>43427</v>
      </c>
      <c r="AP341" s="13">
        <f t="shared" si="140"/>
        <v>13</v>
      </c>
      <c r="AQ341" s="13">
        <f t="shared" si="141"/>
        <v>14</v>
      </c>
      <c r="AR341" s="169">
        <f t="shared" si="142"/>
        <v>43416</v>
      </c>
      <c r="AS341" s="743">
        <f t="shared" si="143"/>
        <v>0.39285714285714285</v>
      </c>
      <c r="AT341" s="759">
        <f t="shared" si="144"/>
        <v>110.61353060315764</v>
      </c>
      <c r="AU341" s="13">
        <f t="shared" si="145"/>
        <v>13</v>
      </c>
      <c r="AV341" s="13">
        <f t="shared" si="146"/>
        <v>12</v>
      </c>
      <c r="AW341" s="169">
        <f t="shared" si="147"/>
        <v>43430</v>
      </c>
      <c r="AX341" s="743">
        <f t="shared" si="148"/>
        <v>0.10714285714285714</v>
      </c>
      <c r="AY341" s="759">
        <f t="shared" si="149"/>
        <v>109.65918679434273</v>
      </c>
      <c r="AZ341" s="736">
        <f t="shared" si="153"/>
        <v>110.13635869875019</v>
      </c>
      <c r="BA341" s="633">
        <f t="shared" si="150"/>
        <v>0.53900490013193703</v>
      </c>
      <c r="BC341" s="11">
        <v>43427</v>
      </c>
      <c r="BD341" s="286">
        <f>[2]!FeuilCaduc*(1-Persistant)+Persistant</f>
        <v>0.67078779583869075</v>
      </c>
      <c r="BE341" s="287">
        <f>[2]!CroissVégét</f>
        <v>0.99924088493749397</v>
      </c>
      <c r="BF341" s="806">
        <f>1+[2]!Salcycl*Ksac</f>
        <v>1.0088484744798363</v>
      </c>
      <c r="BH341" s="1036">
        <f t="shared" si="151"/>
        <v>5.753044992584299E-2</v>
      </c>
      <c r="BI341" s="11">
        <v>44523</v>
      </c>
      <c r="BJ341" s="716">
        <v>1.1485947657227113E-2</v>
      </c>
      <c r="BK341" s="716">
        <v>1.7874125540399535E-2</v>
      </c>
      <c r="BL341" s="716">
        <v>2.6571402922478043E-2</v>
      </c>
      <c r="BM341" s="716">
        <v>3.6402027550074108E-2</v>
      </c>
      <c r="BN341" s="716">
        <v>4.6974473986556221E-2</v>
      </c>
      <c r="BO341" s="717">
        <v>5.7642148736695743E-2</v>
      </c>
      <c r="BP341" s="716">
        <v>7.0405420724495169E-2</v>
      </c>
      <c r="BQ341" s="716">
        <v>8.5204772985787533E-2</v>
      </c>
      <c r="BR341" s="716">
        <v>0.10099787783008767</v>
      </c>
      <c r="BS341" s="716">
        <v>0.11787343878592083</v>
      </c>
      <c r="BT341" s="716">
        <v>0.13494468435998991</v>
      </c>
      <c r="BW341" s="1166">
        <f>'2022'!R\Max</f>
        <v>0.53900490013193703</v>
      </c>
      <c r="BX341" s="1167">
        <f>'2023'!R\Max</f>
        <v>0.53875792367274966</v>
      </c>
      <c r="BY341" s="1167">
        <f>'2024'!R\Max</f>
        <v>0.53847225650770791</v>
      </c>
      <c r="BZ341" s="1167">
        <f>'2025'!R\Max</f>
        <v>0.53818557606957418</v>
      </c>
      <c r="CA341" s="1167">
        <f>'2026'!R\Max</f>
        <v>0.53787988911518259</v>
      </c>
      <c r="CB341" s="1167">
        <f>'2027'!R\Max</f>
        <v>0.53757360397319309</v>
      </c>
      <c r="CC341" s="1168">
        <f>'2028'!R\Max</f>
        <v>0.53724658263907599</v>
      </c>
      <c r="CD341" s="1167">
        <f>'2029'!R\Max</f>
        <v>0.53901724000264717</v>
      </c>
      <c r="CE341" s="1167">
        <f>'2030'!R\Max</f>
        <v>0.53877026941213768</v>
      </c>
      <c r="CF341" s="1169">
        <f>'2031'!R\Max</f>
        <v>0.53848657956563362</v>
      </c>
    </row>
    <row r="342" spans="1:84" s="6" customFormat="1" ht="11.25" x14ac:dyDescent="0.2">
      <c r="A342" s="11">
        <v>43428</v>
      </c>
      <c r="B342" s="375">
        <f>'2022'!Maxi_hp</f>
        <v>58.321847918347885</v>
      </c>
      <c r="C342" s="13">
        <f>'2022'!An_max</f>
        <v>2022</v>
      </c>
      <c r="D342" s="1045" t="str">
        <f t="shared" si="135"/>
        <v/>
      </c>
      <c r="E342" s="13"/>
      <c r="F342" s="13">
        <f t="shared" si="152"/>
        <v>25</v>
      </c>
      <c r="G342" s="13">
        <f t="shared" si="136"/>
        <v>24</v>
      </c>
      <c r="H342" s="169">
        <f t="shared" si="137"/>
        <v>43430</v>
      </c>
      <c r="I342" s="743">
        <f t="shared" si="138"/>
        <v>0.14285714285714285</v>
      </c>
      <c r="J342" s="736">
        <f t="shared" si="139"/>
        <v>108.92274052990335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38">
        <v>43428</v>
      </c>
      <c r="AP342" s="13">
        <f t="shared" si="140"/>
        <v>13</v>
      </c>
      <c r="AQ342" s="13">
        <f t="shared" si="141"/>
        <v>14</v>
      </c>
      <c r="AR342" s="169">
        <f t="shared" si="142"/>
        <v>43416</v>
      </c>
      <c r="AS342" s="743">
        <f t="shared" si="143"/>
        <v>0.42857142857142855</v>
      </c>
      <c r="AT342" s="759">
        <f t="shared" si="144"/>
        <v>109.5519793161324</v>
      </c>
      <c r="AU342" s="13">
        <f t="shared" si="145"/>
        <v>13</v>
      </c>
      <c r="AV342" s="13">
        <f t="shared" si="146"/>
        <v>12</v>
      </c>
      <c r="AW342" s="169">
        <f t="shared" si="147"/>
        <v>43430</v>
      </c>
      <c r="AX342" s="743">
        <f t="shared" si="148"/>
        <v>7.1428571428571425E-2</v>
      </c>
      <c r="AY342" s="759">
        <f t="shared" si="149"/>
        <v>108.72034483642452</v>
      </c>
      <c r="AZ342" s="736">
        <f t="shared" si="153"/>
        <v>109.13616207627845</v>
      </c>
      <c r="BA342" s="633">
        <f t="shared" si="150"/>
        <v>0.53544234780189326</v>
      </c>
      <c r="BC342" s="11">
        <v>43428</v>
      </c>
      <c r="BD342" s="286">
        <f>[2]!FeuilCaduc*(1-Persistant)+Persistant</f>
        <v>0.66683552289354608</v>
      </c>
      <c r="BE342" s="287">
        <f>[2]!CroissVégét</f>
        <v>0.99928473849698995</v>
      </c>
      <c r="BF342" s="806">
        <f>1+[2]!Salcycl*Ksac</f>
        <v>1.0083544403616933</v>
      </c>
      <c r="BH342" s="1036">
        <f t="shared" si="151"/>
        <v>5.8984519046907734E-2</v>
      </c>
      <c r="BI342" s="11">
        <v>44524</v>
      </c>
      <c r="BJ342" s="716">
        <v>1.2108356998096821E-2</v>
      </c>
      <c r="BK342" s="716">
        <v>1.8714132324136358E-2</v>
      </c>
      <c r="BL342" s="716">
        <v>2.7569161110580016E-2</v>
      </c>
      <c r="BM342" s="716">
        <v>3.7595839475567862E-2</v>
      </c>
      <c r="BN342" s="716">
        <v>4.8282544484310547E-2</v>
      </c>
      <c r="BO342" s="717">
        <v>5.909776275258629E-2</v>
      </c>
      <c r="BP342" s="716">
        <v>7.1919846907802093E-2</v>
      </c>
      <c r="BQ342" s="716">
        <v>8.6723499974474302E-2</v>
      </c>
      <c r="BR342" s="716">
        <v>0.10238783015046922</v>
      </c>
      <c r="BS342" s="716">
        <v>0.11897475045726762</v>
      </c>
      <c r="BT342" s="716">
        <v>0.13560082602280349</v>
      </c>
      <c r="BW342" s="1166">
        <f>'2022'!R\Max</f>
        <v>0.53544234780189326</v>
      </c>
      <c r="BX342" s="1167">
        <f>'2023'!R\Max</f>
        <v>0.53519309479315313</v>
      </c>
      <c r="BY342" s="1167">
        <f>'2024'!R\Max</f>
        <v>0.53490600980758762</v>
      </c>
      <c r="BZ342" s="1167">
        <f>'2025'!R\Max</f>
        <v>0.53461793331545615</v>
      </c>
      <c r="CA342" s="1167">
        <f>'2026'!R\Max</f>
        <v>0.53431330005433975</v>
      </c>
      <c r="CB342" s="1167">
        <f>'2027'!R\Max</f>
        <v>0.53400812779820672</v>
      </c>
      <c r="CC342" s="1168">
        <f>'2028'!R\Max</f>
        <v>0.53368517907049118</v>
      </c>
      <c r="CD342" s="1167">
        <f>'2029'!R\Max</f>
        <v>0.53545480143890067</v>
      </c>
      <c r="CE342" s="1167">
        <f>'2030'!R\Max</f>
        <v>0.5352055543122789</v>
      </c>
      <c r="CF342" s="1169">
        <f>'2031'!R\Max</f>
        <v>0.53492040266124397</v>
      </c>
    </row>
    <row r="343" spans="1:84" s="6" customFormat="1" ht="11.25" x14ac:dyDescent="0.2">
      <c r="A343" s="11">
        <v>43429</v>
      </c>
      <c r="B343" s="375">
        <f>'2022'!Maxi_hp</f>
        <v>18.882417047930645</v>
      </c>
      <c r="C343" s="13">
        <f>'2022'!An_max</f>
        <v>2022</v>
      </c>
      <c r="D343" s="1045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69">
        <f t="shared" si="137"/>
        <v>43430</v>
      </c>
      <c r="I343" s="743">
        <f t="shared" si="138"/>
        <v>7.1428571428571425E-2</v>
      </c>
      <c r="J343" s="736">
        <f t="shared" si="139"/>
        <v>107.93677114152483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38">
        <v>43429</v>
      </c>
      <c r="AP343" s="13">
        <f t="shared" si="140"/>
        <v>13</v>
      </c>
      <c r="AQ343" s="13">
        <f t="shared" si="141"/>
        <v>14</v>
      </c>
      <c r="AR343" s="169">
        <f t="shared" si="142"/>
        <v>43416</v>
      </c>
      <c r="AS343" s="743">
        <f t="shared" si="143"/>
        <v>0.4642857142857143</v>
      </c>
      <c r="AT343" s="759">
        <f t="shared" si="144"/>
        <v>108.51302624195814</v>
      </c>
      <c r="AU343" s="13">
        <f t="shared" si="145"/>
        <v>13</v>
      </c>
      <c r="AV343" s="13">
        <f t="shared" si="146"/>
        <v>12</v>
      </c>
      <c r="AW343" s="169">
        <f t="shared" si="147"/>
        <v>43430</v>
      </c>
      <c r="AX343" s="743">
        <f t="shared" si="148"/>
        <v>3.5714285714285712E-2</v>
      </c>
      <c r="AY343" s="759">
        <f t="shared" si="149"/>
        <v>107.83299591027733</v>
      </c>
      <c r="AZ343" s="736">
        <f t="shared" si="153"/>
        <v>108.17301107611775</v>
      </c>
      <c r="BA343" s="633">
        <f t="shared" si="150"/>
        <v>0.17493961370377056</v>
      </c>
      <c r="BC343" s="11">
        <v>43429</v>
      </c>
      <c r="BD343" s="286">
        <f>[2]!FeuilCaduc*(1-Persistant)+Persistant</f>
        <v>0.66302599355952796</v>
      </c>
      <c r="BE343" s="287">
        <f>[2]!CroissVégét</f>
        <v>0.99932682999978462</v>
      </c>
      <c r="BF343" s="806">
        <f>1+[2]!Salcycl*Ksac</f>
        <v>1.007878249194941</v>
      </c>
      <c r="BH343" s="1036">
        <f t="shared" si="151"/>
        <v>6.0336381677616284E-2</v>
      </c>
      <c r="BI343" s="11">
        <v>44525</v>
      </c>
      <c r="BJ343" s="716">
        <v>1.2742483699560291E-2</v>
      </c>
      <c r="BK343" s="716">
        <v>1.9559549330808865E-2</v>
      </c>
      <c r="BL343" s="716">
        <v>2.8537449766327341E-2</v>
      </c>
      <c r="BM343" s="716">
        <v>3.8719666561804506E-2</v>
      </c>
      <c r="BN343" s="716">
        <v>4.9497532805957499E-2</v>
      </c>
      <c r="BO343" s="717">
        <v>6.0451073728539889E-2</v>
      </c>
      <c r="BP343" s="716">
        <v>7.3308608826520044E-2</v>
      </c>
      <c r="BQ343" s="716">
        <v>8.8067458136786028E-2</v>
      </c>
      <c r="BR343" s="716">
        <v>0.10356051728856518</v>
      </c>
      <c r="BS343" s="716">
        <v>0.11982328448741418</v>
      </c>
      <c r="BT343" s="716">
        <v>0.13597594114266737</v>
      </c>
      <c r="BW343" s="1166">
        <f>'2022'!R\Max</f>
        <v>0.17493961370377056</v>
      </c>
      <c r="BX343" s="1167">
        <f>'2023'!R\Max</f>
        <v>0.17481614307422114</v>
      </c>
      <c r="BY343" s="1167">
        <f>'2024'!R\Max</f>
        <v>0.1746748088161377</v>
      </c>
      <c r="BZ343" s="1167">
        <f>'2025'!R\Max</f>
        <v>0.17453307990761241</v>
      </c>
      <c r="CA343" s="1167">
        <f>'2026'!R\Max</f>
        <v>0.17438445279802567</v>
      </c>
      <c r="CB343" s="1167">
        <f>'2027'!R\Max</f>
        <v>0.17423567328838102</v>
      </c>
      <c r="CC343" s="1168">
        <f>'2028'!R\Max</f>
        <v>0.17407966205984104</v>
      </c>
      <c r="CD343" s="1167">
        <f>'2029'!R\Max</f>
        <v>0.17494578429986085</v>
      </c>
      <c r="CE343" s="1167">
        <f>'2030'!R\Max</f>
        <v>0.17482231367031145</v>
      </c>
      <c r="CF343" s="1169">
        <f>'2031'!R\Max</f>
        <v>0.17468189189210503</v>
      </c>
    </row>
    <row r="344" spans="1:84" s="6" customFormat="1" ht="11.25" x14ac:dyDescent="0.2">
      <c r="A344" s="11">
        <v>43430</v>
      </c>
      <c r="B344" s="375">
        <f>'2022'!Maxi_hp</f>
        <v>56.855945185650661</v>
      </c>
      <c r="C344" s="13">
        <f>'2022'!An_max</f>
        <v>2022</v>
      </c>
      <c r="D344" s="1045" t="str">
        <f t="shared" si="135"/>
        <v/>
      </c>
      <c r="E344" s="1040">
        <f>AK$13/10</f>
        <v>107</v>
      </c>
      <c r="F344" s="13">
        <f t="shared" si="152"/>
        <v>25</v>
      </c>
      <c r="G344" s="13">
        <f t="shared" si="136"/>
        <v>26</v>
      </c>
      <c r="H344" s="169">
        <f t="shared" si="137"/>
        <v>43430</v>
      </c>
      <c r="I344" s="743">
        <f t="shared" si="138"/>
        <v>0</v>
      </c>
      <c r="J344" s="736">
        <f t="shared" si="139"/>
        <v>107.00000000596046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38">
        <v>43430</v>
      </c>
      <c r="AP344" s="13">
        <f t="shared" si="140"/>
        <v>13</v>
      </c>
      <c r="AQ344" s="13">
        <f t="shared" si="141"/>
        <v>14</v>
      </c>
      <c r="AR344" s="169">
        <f t="shared" si="142"/>
        <v>43416</v>
      </c>
      <c r="AS344" s="743">
        <f t="shared" si="143"/>
        <v>0.5</v>
      </c>
      <c r="AT344" s="759">
        <f t="shared" si="144"/>
        <v>107.49940592497587</v>
      </c>
      <c r="AU344" s="13">
        <f t="shared" si="145"/>
        <v>13</v>
      </c>
      <c r="AV344" s="13">
        <f t="shared" si="146"/>
        <v>14</v>
      </c>
      <c r="AW344" s="169">
        <f t="shared" si="147"/>
        <v>43430</v>
      </c>
      <c r="AX344" s="743">
        <f t="shared" si="148"/>
        <v>0</v>
      </c>
      <c r="AY344" s="759">
        <f t="shared" si="149"/>
        <v>107</v>
      </c>
      <c r="AZ344" s="736">
        <f t="shared" si="153"/>
        <v>107.24970296248793</v>
      </c>
      <c r="BA344" s="633">
        <f t="shared" si="150"/>
        <v>0.53136397366806998</v>
      </c>
      <c r="BC344" s="11">
        <v>43430</v>
      </c>
      <c r="BD344" s="286">
        <f>[2]!FeuilCaduc*(1-Persistant)+Persistant</f>
        <v>0.65936075910655212</v>
      </c>
      <c r="BE344" s="287">
        <f>[2]!CroissVégét</f>
        <v>0.99936723010658135</v>
      </c>
      <c r="BF344" s="806">
        <f>1+[2]!Salcycl*Ksac</f>
        <v>1.007420094888319</v>
      </c>
      <c r="BH344" s="1036">
        <f t="shared" si="151"/>
        <v>6.1586006594414683E-2</v>
      </c>
      <c r="BI344" s="11">
        <v>44526</v>
      </c>
      <c r="BJ344" s="716">
        <v>1.338831356633605E-2</v>
      </c>
      <c r="BK344" s="716">
        <v>2.0410357395721768E-2</v>
      </c>
      <c r="BL344" s="716">
        <v>2.9476241076315437E-2</v>
      </c>
      <c r="BM344" s="716">
        <v>3.9773469661786069E-2</v>
      </c>
      <c r="BN344" s="716">
        <v>5.0619401961726228E-2</v>
      </c>
      <c r="BO344" s="717">
        <v>6.1702050502018206E-2</v>
      </c>
      <c r="BP344" s="716">
        <v>7.4571684731594867E-2</v>
      </c>
      <c r="BQ344" s="716">
        <v>8.9236631781063114E-2</v>
      </c>
      <c r="BR344" s="716">
        <v>0.1045159424151114</v>
      </c>
      <c r="BS344" s="716">
        <v>0.12041907771050603</v>
      </c>
      <c r="BT344" s="716">
        <v>0.13607011335446076</v>
      </c>
      <c r="BW344" s="1166">
        <f>'2022'!R\Max</f>
        <v>0.53136397366806998</v>
      </c>
      <c r="BX344" s="1167">
        <f>'2023'!R\Max</f>
        <v>0.53111187896809475</v>
      </c>
      <c r="BY344" s="1167">
        <f>'2024'!R\Max</f>
        <v>0.53082523225308953</v>
      </c>
      <c r="BZ344" s="1167">
        <f>'2025'!R\Max</f>
        <v>0.53053767300853427</v>
      </c>
      <c r="CA344" s="1167">
        <f>'2026'!R\Max</f>
        <v>0.53023816350815633</v>
      </c>
      <c r="CB344" s="1167">
        <f>'2027'!R\Max</f>
        <v>0.52993822697663984</v>
      </c>
      <c r="CC344" s="1168">
        <f>'2028'!R\Max</f>
        <v>0.52962613147466364</v>
      </c>
      <c r="CD344" s="1167">
        <f>'2029'!R\Max</f>
        <v>0.53137656930929877</v>
      </c>
      <c r="CE344" s="1167">
        <f>'2030'!R\Max</f>
        <v>0.53112448051578731</v>
      </c>
      <c r="CF344" s="1169">
        <f>'2031'!R\Max</f>
        <v>0.53083959934686586</v>
      </c>
    </row>
    <row r="345" spans="1:84" s="6" customFormat="1" ht="11.25" x14ac:dyDescent="0.2">
      <c r="A345" s="11">
        <v>43431</v>
      </c>
      <c r="B345" s="375">
        <f>'2022'!Maxi_hp</f>
        <v>61.932817208554482</v>
      </c>
      <c r="C345" s="13">
        <f>'2022'!An_max</f>
        <v>2022</v>
      </c>
      <c r="D345" s="1045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69">
        <f t="shared" si="137"/>
        <v>43430</v>
      </c>
      <c r="I345" s="743">
        <f t="shared" si="138"/>
        <v>7.1428571428571425E-2</v>
      </c>
      <c r="J345" s="736">
        <f t="shared" si="139"/>
        <v>106.10130148444857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38">
        <v>43431</v>
      </c>
      <c r="AP345" s="13">
        <f t="shared" si="140"/>
        <v>13</v>
      </c>
      <c r="AQ345" s="13">
        <f t="shared" si="141"/>
        <v>14</v>
      </c>
      <c r="AR345" s="169">
        <f t="shared" si="142"/>
        <v>43416</v>
      </c>
      <c r="AS345" s="743">
        <f t="shared" si="143"/>
        <v>0.5357142857142857</v>
      </c>
      <c r="AT345" s="759">
        <f t="shared" si="144"/>
        <v>106.51385288664274</v>
      </c>
      <c r="AU345" s="13">
        <f t="shared" si="145"/>
        <v>13</v>
      </c>
      <c r="AV345" s="13">
        <f t="shared" si="146"/>
        <v>14</v>
      </c>
      <c r="AW345" s="169">
        <f t="shared" si="147"/>
        <v>43430</v>
      </c>
      <c r="AX345" s="743">
        <f t="shared" si="148"/>
        <v>3.5714285714285712E-2</v>
      </c>
      <c r="AY345" s="759">
        <f t="shared" si="149"/>
        <v>106.20516286151751</v>
      </c>
      <c r="AZ345" s="736">
        <f t="shared" si="153"/>
        <v>106.35950787408012</v>
      </c>
      <c r="BA345" s="633">
        <f t="shared" si="150"/>
        <v>0.58371401992304561</v>
      </c>
      <c r="BC345" s="11">
        <v>43431</v>
      </c>
      <c r="BD345" s="286">
        <f>[2]!FeuilCaduc*(1-Persistant)+Persistant</f>
        <v>0.65584085415297422</v>
      </c>
      <c r="BE345" s="287">
        <f>[2]!CroissVégét</f>
        <v>0.9994060066555025</v>
      </c>
      <c r="BF345" s="806">
        <f>1+[2]!Salcycl*Ksac</f>
        <v>1.0069801067691218</v>
      </c>
      <c r="BH345" s="1036">
        <f t="shared" si="151"/>
        <v>6.2733384335745615E-2</v>
      </c>
      <c r="BI345" s="11">
        <v>44527</v>
      </c>
      <c r="BJ345" s="716">
        <v>1.4045835376442543E-2</v>
      </c>
      <c r="BK345" s="716">
        <v>2.126654255682657E-2</v>
      </c>
      <c r="BL345" s="716">
        <v>3.0385517523281984E-2</v>
      </c>
      <c r="BM345" s="716">
        <v>4.0757225932100294E-2</v>
      </c>
      <c r="BN345" s="716">
        <v>5.1648134688447998E-2</v>
      </c>
      <c r="BO345" s="717">
        <v>6.2850683694017237E-2</v>
      </c>
      <c r="BP345" s="716">
        <v>7.5709077713313019E-2</v>
      </c>
      <c r="BQ345" s="716">
        <v>9.0231035687353287E-2</v>
      </c>
      <c r="BR345" s="716">
        <v>0.10525414310548319</v>
      </c>
      <c r="BS345" s="716">
        <v>0.12076220336715832</v>
      </c>
      <c r="BT345" s="716">
        <v>0.13588346276488028</v>
      </c>
      <c r="BW345" s="1166">
        <f>'2022'!R\Max</f>
        <v>0.58371401992304561</v>
      </c>
      <c r="BX345" s="1167">
        <f>'2023'!R\Max</f>
        <v>0.58346746678562977</v>
      </c>
      <c r="BY345" s="1167">
        <f>'2024'!R\Max</f>
        <v>0.58318953237895055</v>
      </c>
      <c r="BZ345" s="1167">
        <f>'2025'!R\Max</f>
        <v>0.58291072940753053</v>
      </c>
      <c r="CA345" s="1167">
        <f>'2026'!R\Max</f>
        <v>0.58262232131382352</v>
      </c>
      <c r="CB345" s="1167">
        <f>'2027'!R\Max</f>
        <v>0.58233351139990674</v>
      </c>
      <c r="CC345" s="1168">
        <f>'2028'!R\Max</f>
        <v>0.58203537528172844</v>
      </c>
      <c r="CD345" s="1167">
        <f>'2029'!R\Max</f>
        <v>0.58372633799233986</v>
      </c>
      <c r="CE345" s="1167">
        <f>'2030'!R\Max</f>
        <v>0.58347979195325494</v>
      </c>
      <c r="CF345" s="1169">
        <f>'2031'!R\Max</f>
        <v>0.58320346113784394</v>
      </c>
    </row>
    <row r="346" spans="1:84" s="6" customFormat="1" ht="11.25" x14ac:dyDescent="0.2">
      <c r="A346" s="11">
        <v>43432</v>
      </c>
      <c r="B346" s="375">
        <f>'2022'!Maxi_hp</f>
        <v>40.252888141714507</v>
      </c>
      <c r="C346" s="13">
        <f>'2022'!An_max</f>
        <v>2022</v>
      </c>
      <c r="D346" s="1045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69">
        <f t="shared" si="137"/>
        <v>43430</v>
      </c>
      <c r="I346" s="743">
        <f t="shared" si="138"/>
        <v>0.14285714285714285</v>
      </c>
      <c r="J346" s="736">
        <f t="shared" si="139"/>
        <v>105.2280393608979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38">
        <v>43432</v>
      </c>
      <c r="AP346" s="13">
        <f t="shared" si="140"/>
        <v>13</v>
      </c>
      <c r="AQ346" s="13">
        <f t="shared" si="141"/>
        <v>14</v>
      </c>
      <c r="AR346" s="169">
        <f t="shared" si="142"/>
        <v>43416</v>
      </c>
      <c r="AS346" s="743">
        <f t="shared" si="143"/>
        <v>0.5714285714285714</v>
      </c>
      <c r="AT346" s="759">
        <f t="shared" si="144"/>
        <v>105.55910167694091</v>
      </c>
      <c r="AU346" s="13">
        <f t="shared" si="145"/>
        <v>13</v>
      </c>
      <c r="AV346" s="13">
        <f t="shared" si="146"/>
        <v>14</v>
      </c>
      <c r="AW346" s="169">
        <f t="shared" si="147"/>
        <v>43430</v>
      </c>
      <c r="AX346" s="743">
        <f t="shared" si="148"/>
        <v>7.1428571428571425E-2</v>
      </c>
      <c r="AY346" s="759">
        <f t="shared" si="149"/>
        <v>105.43115857413837</v>
      </c>
      <c r="AZ346" s="736">
        <f t="shared" si="153"/>
        <v>105.49513012553965</v>
      </c>
      <c r="BA346" s="633">
        <f t="shared" si="150"/>
        <v>0.38253005934720702</v>
      </c>
      <c r="BC346" s="11">
        <v>43432</v>
      </c>
      <c r="BD346" s="286">
        <f>[2]!FeuilCaduc*(1-Persistant)+Persistant</f>
        <v>0.65246680175585481</v>
      </c>
      <c r="BE346" s="287">
        <f>[2]!CroissVégét</f>
        <v>0.99944322477397196</v>
      </c>
      <c r="BF346" s="806">
        <f>1+[2]!Salcycl*Ksac</f>
        <v>1.0065583502194819</v>
      </c>
      <c r="BH346" s="1036">
        <f t="shared" si="151"/>
        <v>6.3736600160252982E-2</v>
      </c>
      <c r="BI346" s="11">
        <v>44528</v>
      </c>
      <c r="BJ346" s="716">
        <v>1.468627317474591E-2</v>
      </c>
      <c r="BK346" s="716">
        <v>2.2104631786942896E-2</v>
      </c>
      <c r="BL346" s="716">
        <v>3.1252693305169124E-2</v>
      </c>
      <c r="BM346" s="716">
        <v>4.1660127412010355E-2</v>
      </c>
      <c r="BN346" s="716">
        <v>5.2560517050924016E-2</v>
      </c>
      <c r="BO346" s="717">
        <v>6.3854860679269279E-2</v>
      </c>
      <c r="BP346" s="716">
        <v>7.6670461926508671E-2</v>
      </c>
      <c r="BQ346" s="716">
        <v>9.1008226530910508E-2</v>
      </c>
      <c r="BR346" s="716">
        <v>0.10574985169479327</v>
      </c>
      <c r="BS346" s="716">
        <v>0.1208517199299539</v>
      </c>
      <c r="BT346" s="716">
        <v>0.13544437558731198</v>
      </c>
      <c r="BW346" s="1166">
        <f>'2022'!R\Max</f>
        <v>0.38253005934720702</v>
      </c>
      <c r="BX346" s="1167">
        <f>'2023'!R\Max</f>
        <v>0.38229050017434768</v>
      </c>
      <c r="BY346" s="1167">
        <f>'2024'!R\Max</f>
        <v>0.38202305175553969</v>
      </c>
      <c r="BZ346" s="1167">
        <f>'2025'!R\Max</f>
        <v>0.38175494123564263</v>
      </c>
      <c r="CA346" s="1167">
        <f>'2026'!R\Max</f>
        <v>0.38147938858369551</v>
      </c>
      <c r="CB346" s="1167">
        <f>'2027'!R\Max</f>
        <v>0.38120362030675653</v>
      </c>
      <c r="CC346" s="1168">
        <f>'2028'!R\Max</f>
        <v>0.380921202734126</v>
      </c>
      <c r="CD346" s="1167">
        <f>'2029'!R\Max</f>
        <v>0.38254203055576191</v>
      </c>
      <c r="CE346" s="1167">
        <f>'2030'!R\Max</f>
        <v>0.3823024733922003</v>
      </c>
      <c r="CF346" s="1169">
        <f>'2031'!R\Max</f>
        <v>0.38203644958650118</v>
      </c>
    </row>
    <row r="347" spans="1:84" s="6" customFormat="1" ht="11.25" x14ac:dyDescent="0.2">
      <c r="A347" s="11">
        <v>43433</v>
      </c>
      <c r="B347" s="375">
        <f>'2022'!Maxi_hp</f>
        <v>57.360785760520933</v>
      </c>
      <c r="C347" s="13">
        <f>'2022'!An_max</f>
        <v>2022</v>
      </c>
      <c r="D347" s="1045" t="str">
        <f t="shared" si="135"/>
        <v/>
      </c>
      <c r="E347" s="13"/>
      <c r="F347" s="13">
        <f t="shared" si="152"/>
        <v>25</v>
      </c>
      <c r="G347" s="13">
        <f t="shared" si="136"/>
        <v>26</v>
      </c>
      <c r="H347" s="169">
        <f t="shared" si="137"/>
        <v>43430</v>
      </c>
      <c r="I347" s="743">
        <f t="shared" si="138"/>
        <v>0.21428571428571427</v>
      </c>
      <c r="J347" s="736">
        <f t="shared" si="139"/>
        <v>104.3823209779603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38">
        <v>43433</v>
      </c>
      <c r="AP347" s="13">
        <f t="shared" si="140"/>
        <v>13</v>
      </c>
      <c r="AQ347" s="13">
        <f t="shared" si="141"/>
        <v>14</v>
      </c>
      <c r="AR347" s="169">
        <f t="shared" si="142"/>
        <v>43416</v>
      </c>
      <c r="AS347" s="743">
        <f t="shared" si="143"/>
        <v>0.6071428571428571</v>
      </c>
      <c r="AT347" s="759">
        <f t="shared" si="144"/>
        <v>104.63788682094642</v>
      </c>
      <c r="AU347" s="13">
        <f t="shared" si="145"/>
        <v>13</v>
      </c>
      <c r="AV347" s="13">
        <f t="shared" si="146"/>
        <v>14</v>
      </c>
      <c r="AW347" s="169">
        <f t="shared" si="147"/>
        <v>43430</v>
      </c>
      <c r="AX347" s="743">
        <f t="shared" si="148"/>
        <v>0.10714285714285714</v>
      </c>
      <c r="AY347" s="759">
        <f t="shared" si="149"/>
        <v>104.67914955701147</v>
      </c>
      <c r="AZ347" s="736">
        <f t="shared" si="153"/>
        <v>104.65851818897895</v>
      </c>
      <c r="BA347" s="633">
        <f t="shared" si="150"/>
        <v>0.5495258701196376</v>
      </c>
      <c r="BC347" s="11">
        <v>43433</v>
      </c>
      <c r="BD347" s="286">
        <f>[2]!FeuilCaduc*(1-Persistant)+Persistant</f>
        <v>0.64923862155967649</v>
      </c>
      <c r="BE347" s="287">
        <f>[2]!CroissVégét</f>
        <v>0.9994789469862303</v>
      </c>
      <c r="BF347" s="806">
        <f>1+[2]!Salcycl*Ksac</f>
        <v>1.0061548276949595</v>
      </c>
      <c r="BH347" s="1036">
        <f t="shared" si="151"/>
        <v>6.4643324844665492E-2</v>
      </c>
      <c r="BI347" s="11">
        <v>44529</v>
      </c>
      <c r="BJ347" s="716">
        <v>1.5296609660466002E-2</v>
      </c>
      <c r="BK347" s="716">
        <v>2.291689007619703E-2</v>
      </c>
      <c r="BL347" s="716">
        <v>3.2098530717472387E-2</v>
      </c>
      <c r="BM347" s="716">
        <v>4.2530313579183354E-2</v>
      </c>
      <c r="BN347" s="716">
        <v>5.3415046639542961E-2</v>
      </c>
      <c r="BO347" s="717">
        <v>6.4762137669803557E-2</v>
      </c>
      <c r="BP347" s="716">
        <v>7.7499054129061037E-2</v>
      </c>
      <c r="BQ347" s="716">
        <v>9.1631520338392114E-2</v>
      </c>
      <c r="BR347" s="716">
        <v>0.10609480109487569</v>
      </c>
      <c r="BS347" s="716">
        <v>0.12081902267269899</v>
      </c>
      <c r="BT347" s="716">
        <v>0.13493222276641303</v>
      </c>
      <c r="BW347" s="1166">
        <f>'2022'!R\Max</f>
        <v>0.5495258701196376</v>
      </c>
      <c r="BX347" s="1167">
        <f>'2023'!R\Max</f>
        <v>0.54927552569749805</v>
      </c>
      <c r="BY347" s="1167">
        <f>'2024'!R\Max</f>
        <v>0.54899819286461526</v>
      </c>
      <c r="BZ347" s="1167">
        <f>'2025'!R\Max</f>
        <v>0.54872011531698783</v>
      </c>
      <c r="CA347" s="1167">
        <f>'2026'!R\Max</f>
        <v>0.54843550681945819</v>
      </c>
      <c r="CB347" s="1167">
        <f>'2027'!R\Max</f>
        <v>0.54815059506173114</v>
      </c>
      <c r="CC347" s="1168">
        <f>'2028'!R\Max</f>
        <v>0.54786048535257614</v>
      </c>
      <c r="CD347" s="1167">
        <f>'2029'!R\Max</f>
        <v>0.54953837807218642</v>
      </c>
      <c r="CE347" s="1167">
        <f>'2030'!R\Max</f>
        <v>0.54928803996880926</v>
      </c>
      <c r="CF347" s="1169">
        <f>'2031'!R\Max</f>
        <v>0.54901208604081719</v>
      </c>
    </row>
    <row r="348" spans="1:84" s="6" customFormat="1" ht="11.25" x14ac:dyDescent="0.2">
      <c r="A348" s="11">
        <v>43434</v>
      </c>
      <c r="B348" s="375">
        <f>'2022'!Maxi_hp</f>
        <v>22.747934672139031</v>
      </c>
      <c r="C348" s="13">
        <f>'2022'!An_max</f>
        <v>2022</v>
      </c>
      <c r="D348" s="1045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69">
        <f t="shared" si="137"/>
        <v>43430</v>
      </c>
      <c r="I348" s="743">
        <f t="shared" si="138"/>
        <v>0.2857142857142857</v>
      </c>
      <c r="J348" s="736">
        <f t="shared" si="139"/>
        <v>103.56625364337648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38">
        <v>43434</v>
      </c>
      <c r="AP348" s="13">
        <f t="shared" si="140"/>
        <v>13</v>
      </c>
      <c r="AQ348" s="13">
        <f t="shared" si="141"/>
        <v>14</v>
      </c>
      <c r="AR348" s="169">
        <f t="shared" si="142"/>
        <v>43416</v>
      </c>
      <c r="AS348" s="743">
        <f t="shared" si="143"/>
        <v>0.6428571428571429</v>
      </c>
      <c r="AT348" s="759">
        <f t="shared" si="144"/>
        <v>103.75294284863132</v>
      </c>
      <c r="AU348" s="13">
        <f t="shared" si="145"/>
        <v>13</v>
      </c>
      <c r="AV348" s="13">
        <f t="shared" si="146"/>
        <v>14</v>
      </c>
      <c r="AW348" s="169">
        <f t="shared" si="147"/>
        <v>43430</v>
      </c>
      <c r="AX348" s="743">
        <f t="shared" si="148"/>
        <v>0.14285714285714285</v>
      </c>
      <c r="AY348" s="759">
        <f t="shared" si="149"/>
        <v>103.95029823354312</v>
      </c>
      <c r="AZ348" s="736">
        <f t="shared" si="153"/>
        <v>103.85162054108721</v>
      </c>
      <c r="BA348" s="633">
        <f t="shared" si="150"/>
        <v>0.21964620590091086</v>
      </c>
      <c r="BC348" s="11">
        <v>43434</v>
      </c>
      <c r="BD348" s="286">
        <f>[2]!FeuilCaduc*(1-Persistant)+Persistant</f>
        <v>0.64615584091608813</v>
      </c>
      <c r="BE348" s="287">
        <f>[2]!CroissVégét</f>
        <v>0.99951323331664843</v>
      </c>
      <c r="BF348" s="806">
        <f>1+[2]!Salcycl*Ksac</f>
        <v>1.0057694801145109</v>
      </c>
      <c r="BH348" s="1036">
        <f t="shared" si="151"/>
        <v>6.5453606527518679E-2</v>
      </c>
      <c r="BI348" s="11">
        <v>44530</v>
      </c>
      <c r="BJ348" s="716">
        <v>1.587683643721103E-2</v>
      </c>
      <c r="BK348" s="716">
        <v>2.370331426382663E-2</v>
      </c>
      <c r="BL348" s="716">
        <v>3.2923042275893134E-2</v>
      </c>
      <c r="BM348" s="716">
        <v>4.3367811300487204E-2</v>
      </c>
      <c r="BN348" s="716">
        <v>5.4211763871648548E-2</v>
      </c>
      <c r="BO348" s="717">
        <v>6.5572562885857943E-2</v>
      </c>
      <c r="BP348" s="716">
        <v>7.819491953439027E-2</v>
      </c>
      <c r="BQ348" s="716">
        <v>9.2101011182170248E-2</v>
      </c>
      <c r="BR348" s="716">
        <v>0.10628912414777653</v>
      </c>
      <c r="BS348" s="716">
        <v>0.12066429447735121</v>
      </c>
      <c r="BT348" s="716">
        <v>0.13434724588886204</v>
      </c>
      <c r="BW348" s="1166">
        <f>'2022'!R\Max</f>
        <v>0.21964620590091086</v>
      </c>
      <c r="BX348" s="1167">
        <f>'2023'!R\Max</f>
        <v>0.21949163088859391</v>
      </c>
      <c r="BY348" s="1167">
        <f>'2024'!R\Max</f>
        <v>0.21932167196382868</v>
      </c>
      <c r="BZ348" s="1167">
        <f>'2025'!R\Max</f>
        <v>0.21915137616664992</v>
      </c>
      <c r="CA348" s="1167">
        <f>'2026'!R\Max</f>
        <v>0.21897770070786701</v>
      </c>
      <c r="CB348" s="1167">
        <f>'2027'!R\Max</f>
        <v>0.21880395124114851</v>
      </c>
      <c r="CC348" s="1168">
        <f>'2028'!R\Max</f>
        <v>0.21862796013399199</v>
      </c>
      <c r="CD348" s="1167">
        <f>'2029'!R\Max</f>
        <v>0.2196539309766648</v>
      </c>
      <c r="CE348" s="1167">
        <f>'2030'!R\Max</f>
        <v>0.21949935596434789</v>
      </c>
      <c r="CF348" s="1169">
        <f>'2031'!R\Max</f>
        <v>0.21933018270508031</v>
      </c>
    </row>
    <row r="349" spans="1:84" s="6" customFormat="1" ht="11.25" x14ac:dyDescent="0.2">
      <c r="A349" s="11">
        <v>43435</v>
      </c>
      <c r="B349" s="375">
        <f>'2022'!Maxi_hp</f>
        <v>17.086180397127045</v>
      </c>
      <c r="C349" s="13">
        <f>'2022'!An_max</f>
        <v>2022</v>
      </c>
      <c r="D349" s="1045" t="str">
        <f t="shared" si="135"/>
        <v/>
      </c>
      <c r="E349" s="13"/>
      <c r="F349" s="13">
        <f t="shared" si="152"/>
        <v>25</v>
      </c>
      <c r="G349" s="13">
        <f t="shared" si="136"/>
        <v>26</v>
      </c>
      <c r="H349" s="169">
        <f t="shared" si="137"/>
        <v>43430</v>
      </c>
      <c r="I349" s="743">
        <f t="shared" si="138"/>
        <v>0.35714285714285715</v>
      </c>
      <c r="J349" s="736">
        <f t="shared" si="139"/>
        <v>102.78194469511509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38">
        <v>43435</v>
      </c>
      <c r="AP349" s="13">
        <f t="shared" si="140"/>
        <v>13</v>
      </c>
      <c r="AQ349" s="13">
        <f t="shared" si="141"/>
        <v>14</v>
      </c>
      <c r="AR349" s="169">
        <f t="shared" si="142"/>
        <v>43416</v>
      </c>
      <c r="AS349" s="743">
        <f t="shared" si="143"/>
        <v>0.6785714285714286</v>
      </c>
      <c r="AT349" s="759">
        <f t="shared" si="144"/>
        <v>102.90700431913137</v>
      </c>
      <c r="AU349" s="13">
        <f t="shared" si="145"/>
        <v>13</v>
      </c>
      <c r="AV349" s="13">
        <f t="shared" si="146"/>
        <v>14</v>
      </c>
      <c r="AW349" s="169">
        <f t="shared" si="147"/>
        <v>43430</v>
      </c>
      <c r="AX349" s="743">
        <f t="shared" si="148"/>
        <v>0.17857142857142858</v>
      </c>
      <c r="AY349" s="759">
        <f t="shared" si="149"/>
        <v>103.24576705055577</v>
      </c>
      <c r="AZ349" s="736">
        <f t="shared" si="153"/>
        <v>103.07638568484357</v>
      </c>
      <c r="BA349" s="633">
        <f t="shared" si="150"/>
        <v>0.16623717762696796</v>
      </c>
      <c r="BC349" s="11">
        <v>43435</v>
      </c>
      <c r="BD349" s="286">
        <f>[2]!FeuilCaduc*(1-Persistant)+Persistant</f>
        <v>0.64321750886433393</v>
      </c>
      <c r="BE349" s="287">
        <f>[2]!CroissVégét</f>
        <v>0.99954614138899944</v>
      </c>
      <c r="BF349" s="806">
        <f>1+[2]!Salcycl*Ksac</f>
        <v>1.0054021886080418</v>
      </c>
      <c r="BH349" s="1036">
        <f t="shared" si="151"/>
        <v>6.6167507321451671E-2</v>
      </c>
      <c r="BI349" s="11">
        <v>44531</v>
      </c>
      <c r="BJ349" s="716">
        <v>1.6426951767489168E-2</v>
      </c>
      <c r="BK349" s="716">
        <v>2.4463908903295289E-2</v>
      </c>
      <c r="BL349" s="716">
        <v>3.3726248067458831E-2</v>
      </c>
      <c r="BM349" s="716">
        <v>4.4172656079101598E-2</v>
      </c>
      <c r="BN349" s="716">
        <v>5.4950719690564503E-2</v>
      </c>
      <c r="BO349" s="717">
        <v>6.628619855826047E-2</v>
      </c>
      <c r="BP349" s="716">
        <v>7.8758139675784308E-2</v>
      </c>
      <c r="BQ349" s="716">
        <v>9.2416809687777865E-2</v>
      </c>
      <c r="BR349" s="716">
        <v>0.10633296802309662</v>
      </c>
      <c r="BS349" s="716">
        <v>0.12038772759183963</v>
      </c>
      <c r="BT349" s="716">
        <v>0.13368968857976843</v>
      </c>
      <c r="BW349" s="1166">
        <f>'2022'!R\Max</f>
        <v>0.16623717762696796</v>
      </c>
      <c r="BX349" s="1167">
        <f>'2023'!R\Max</f>
        <v>0.16612123137448576</v>
      </c>
      <c r="BY349" s="1167">
        <f>'2024'!R\Max</f>
        <v>0.16599448866248087</v>
      </c>
      <c r="BZ349" s="1167">
        <f>'2025'!R\Max</f>
        <v>0.16586750990377297</v>
      </c>
      <c r="CA349" s="1167">
        <f>'2026'!R\Max</f>
        <v>0.16573818860382231</v>
      </c>
      <c r="CB349" s="1167">
        <f>'2027'!R\Max</f>
        <v>0.16560881608732916</v>
      </c>
      <c r="CC349" s="1168">
        <f>'2028'!R\Max</f>
        <v>0.16547818262432584</v>
      </c>
      <c r="CD349" s="1167">
        <f>'2029'!R\Max</f>
        <v>0.1662429721830892</v>
      </c>
      <c r="CE349" s="1167">
        <f>'2030'!R\Max</f>
        <v>0.16612702593060705</v>
      </c>
      <c r="CF349" s="1169">
        <f>'2031'!R\Max</f>
        <v>0.16600083458162695</v>
      </c>
    </row>
    <row r="350" spans="1:84" s="6" customFormat="1" ht="11.25" x14ac:dyDescent="0.2">
      <c r="A350" s="11">
        <v>43436</v>
      </c>
      <c r="B350" s="375">
        <f>'2022'!Maxi_hp</f>
        <v>27.5528918378476</v>
      </c>
      <c r="C350" s="13">
        <f>'2022'!An_max</f>
        <v>2022</v>
      </c>
      <c r="D350" s="1045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69">
        <f t="shared" si="137"/>
        <v>43430</v>
      </c>
      <c r="I350" s="743">
        <f t="shared" si="138"/>
        <v>0.42857142857142855</v>
      </c>
      <c r="J350" s="736">
        <f t="shared" si="139"/>
        <v>102.03150146262985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38">
        <v>43436</v>
      </c>
      <c r="AP350" s="13">
        <f t="shared" si="140"/>
        <v>13</v>
      </c>
      <c r="AQ350" s="13">
        <f t="shared" si="141"/>
        <v>14</v>
      </c>
      <c r="AR350" s="169">
        <f t="shared" si="142"/>
        <v>43416</v>
      </c>
      <c r="AS350" s="743">
        <f t="shared" si="143"/>
        <v>0.7142857142857143</v>
      </c>
      <c r="AT350" s="759">
        <f t="shared" si="144"/>
        <v>102.10280574134418</v>
      </c>
      <c r="AU350" s="13">
        <f t="shared" si="145"/>
        <v>13</v>
      </c>
      <c r="AV350" s="13">
        <f t="shared" si="146"/>
        <v>14</v>
      </c>
      <c r="AW350" s="169">
        <f t="shared" si="147"/>
        <v>43430</v>
      </c>
      <c r="AX350" s="743">
        <f t="shared" si="148"/>
        <v>0.21428571428571427</v>
      </c>
      <c r="AY350" s="759">
        <f t="shared" si="149"/>
        <v>102.56671843315874</v>
      </c>
      <c r="AZ350" s="736">
        <f t="shared" si="153"/>
        <v>102.33476208725146</v>
      </c>
      <c r="BA350" s="633">
        <f t="shared" si="150"/>
        <v>0.27004299106525592</v>
      </c>
      <c r="BC350" s="11">
        <v>43436</v>
      </c>
      <c r="BD350" s="286">
        <f>[2]!FeuilCaduc*(1-Persistant)+Persistant</f>
        <v>0.64042221284015988</v>
      </c>
      <c r="BE350" s="287">
        <f>[2]!CroissVégét</f>
        <v>0.99957772652184329</v>
      </c>
      <c r="BF350" s="806">
        <f>1+[2]!Salcycl*Ksac</f>
        <v>1.0050527766050199</v>
      </c>
      <c r="BH350" s="1036">
        <f t="shared" si="151"/>
        <v>6.6785101644615638E-2</v>
      </c>
      <c r="BI350" s="11">
        <v>44532</v>
      </c>
      <c r="BJ350" s="716">
        <v>1.6946960049687359E-2</v>
      </c>
      <c r="BK350" s="716">
        <v>2.5198685815240516E-2</v>
      </c>
      <c r="BL350" s="716">
        <v>3.450817538433161E-2</v>
      </c>
      <c r="BM350" s="716">
        <v>4.4944891492661232E-2</v>
      </c>
      <c r="BN350" s="716">
        <v>5.5631974568227528E-2</v>
      </c>
      <c r="BO350" s="717">
        <v>6.6903119252735191E-2</v>
      </c>
      <c r="BP350" s="716">
        <v>7.9188810108273236E-2</v>
      </c>
      <c r="BQ350" s="716">
        <v>9.2579040372196594E-2</v>
      </c>
      <c r="BR350" s="716">
        <v>0.10622649161605263</v>
      </c>
      <c r="BS350" s="716">
        <v>0.11998952153165049</v>
      </c>
      <c r="BT350" s="716">
        <v>0.1329597952674598</v>
      </c>
      <c r="BW350" s="1166">
        <f>'2022'!R\Max</f>
        <v>0.27004299106525592</v>
      </c>
      <c r="BX350" s="1167">
        <f>'2023'!R\Max</f>
        <v>0.26985690471466778</v>
      </c>
      <c r="BY350" s="1167">
        <f>'2024'!R\Max</f>
        <v>0.26965444577552922</v>
      </c>
      <c r="BZ350" s="1167">
        <f>'2025'!R\Max</f>
        <v>0.26945162941683615</v>
      </c>
      <c r="CA350" s="1167">
        <f>'2026'!R\Max</f>
        <v>0.26924500027255632</v>
      </c>
      <c r="CB350" s="1167">
        <f>'2027'!R\Max</f>
        <v>0.26903828789254763</v>
      </c>
      <c r="CC350" s="1168">
        <f>'2028'!R\Max</f>
        <v>0.26882986229087952</v>
      </c>
      <c r="CD350" s="1167">
        <f>'2029'!R\Max</f>
        <v>0.27005229095877392</v>
      </c>
      <c r="CE350" s="1167">
        <f>'2030'!R\Max</f>
        <v>0.26986620460818572</v>
      </c>
      <c r="CF350" s="1169">
        <f>'2031'!R\Max</f>
        <v>0.26966458177171371</v>
      </c>
    </row>
    <row r="351" spans="1:84" s="6" customFormat="1" ht="11.25" x14ac:dyDescent="0.2">
      <c r="A351" s="11">
        <v>43437</v>
      </c>
      <c r="B351" s="375">
        <f>'2022'!Maxi_hp</f>
        <v>37.783098286209089</v>
      </c>
      <c r="C351" s="13">
        <f>'2022'!An_max</f>
        <v>2022</v>
      </c>
      <c r="D351" s="1045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69">
        <f t="shared" si="137"/>
        <v>43430</v>
      </c>
      <c r="I351" s="743">
        <f t="shared" si="138"/>
        <v>0.5</v>
      </c>
      <c r="J351" s="736">
        <f t="shared" si="139"/>
        <v>101.31703124940395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38">
        <v>43437</v>
      </c>
      <c r="AP351" s="13">
        <f t="shared" si="140"/>
        <v>13</v>
      </c>
      <c r="AQ351" s="13">
        <f t="shared" si="141"/>
        <v>14</v>
      </c>
      <c r="AR351" s="169">
        <f t="shared" si="142"/>
        <v>43416</v>
      </c>
      <c r="AS351" s="743">
        <f t="shared" si="143"/>
        <v>0.75</v>
      </c>
      <c r="AT351" s="759">
        <f t="shared" si="144"/>
        <v>101.34308165609836</v>
      </c>
      <c r="AU351" s="13">
        <f t="shared" si="145"/>
        <v>13</v>
      </c>
      <c r="AV351" s="13">
        <f t="shared" si="146"/>
        <v>14</v>
      </c>
      <c r="AW351" s="169">
        <f t="shared" si="147"/>
        <v>43430</v>
      </c>
      <c r="AX351" s="743">
        <f t="shared" si="148"/>
        <v>0.25</v>
      </c>
      <c r="AY351" s="759">
        <f t="shared" si="149"/>
        <v>101.91431481540204</v>
      </c>
      <c r="AZ351" s="736">
        <f t="shared" si="153"/>
        <v>101.62869823575019</v>
      </c>
      <c r="BA351" s="633">
        <f t="shared" si="150"/>
        <v>0.372919516297329</v>
      </c>
      <c r="BC351" s="11">
        <v>43437</v>
      </c>
      <c r="BD351" s="286">
        <f>[2]!FeuilCaduc*(1-Persistant)+Persistant</f>
        <v>0.63776809796037026</v>
      </c>
      <c r="BE351" s="287">
        <f>[2]!CroissVégét</f>
        <v>0.99960804182016849</v>
      </c>
      <c r="BF351" s="806">
        <f>1+[2]!Salcycl*Ksac</f>
        <v>1.0047210122450463</v>
      </c>
      <c r="BH351" s="1036">
        <f t="shared" si="151"/>
        <v>6.7306474551367443E-2</v>
      </c>
      <c r="BI351" s="11">
        <v>44533</v>
      </c>
      <c r="BJ351" s="716">
        <v>1.7436871294880141E-2</v>
      </c>
      <c r="BK351" s="716">
        <v>2.5907663640167083E-2</v>
      </c>
      <c r="BL351" s="716">
        <v>3.5268858357260603E-2</v>
      </c>
      <c r="BM351" s="716">
        <v>4.5684568630927715E-2</v>
      </c>
      <c r="BN351" s="716">
        <v>5.6255597507228861E-2</v>
      </c>
      <c r="BO351" s="717">
        <v>6.7423410193491851E-2</v>
      </c>
      <c r="BP351" s="716">
        <v>7.9487038109647426E-2</v>
      </c>
      <c r="BQ351" s="716">
        <v>9.2587838981133305E-2</v>
      </c>
      <c r="BR351" s="716">
        <v>0.10596986294436757</v>
      </c>
      <c r="BS351" s="716">
        <v>0.11946988098008082</v>
      </c>
      <c r="BT351" s="716">
        <v>0.13215780994678167</v>
      </c>
      <c r="BW351" s="1166">
        <f>'2022'!R\Max</f>
        <v>0.372919516297329</v>
      </c>
      <c r="BX351" s="1167">
        <f>'2023'!R\Max</f>
        <v>0.37269286987175604</v>
      </c>
      <c r="BY351" s="1167">
        <f>'2024'!R\Max</f>
        <v>0.37244711688331067</v>
      </c>
      <c r="BZ351" s="1167">
        <f>'2025'!R\Max</f>
        <v>0.37220091026064556</v>
      </c>
      <c r="CA351" s="1167">
        <f>'2026'!R\Max</f>
        <v>0.37194949218501372</v>
      </c>
      <c r="CB351" s="1167">
        <f>'2027'!R\Max</f>
        <v>0.37169792178808347</v>
      </c>
      <c r="CC351" s="1168">
        <f>'2028'!R\Max</f>
        <v>0.37144414044520668</v>
      </c>
      <c r="CD351" s="1167">
        <f>'2029'!R\Max</f>
        <v>0.37293084238752827</v>
      </c>
      <c r="CE351" s="1167">
        <f>'2030'!R\Max</f>
        <v>0.37270419756736733</v>
      </c>
      <c r="CF351" s="1169">
        <f>'2031'!R\Max</f>
        <v>0.37245942036674623</v>
      </c>
    </row>
    <row r="352" spans="1:84" s="6" customFormat="1" ht="11.25" x14ac:dyDescent="0.2">
      <c r="A352" s="11">
        <v>43438</v>
      </c>
      <c r="B352" s="375">
        <f>'2022'!Maxi_hp</f>
        <v>81.102007560946589</v>
      </c>
      <c r="C352" s="13">
        <f>'2022'!An_max</f>
        <v>2022</v>
      </c>
      <c r="D352" s="1045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69">
        <f t="shared" si="137"/>
        <v>43430</v>
      </c>
      <c r="I352" s="743">
        <f t="shared" si="138"/>
        <v>0.5714285714285714</v>
      </c>
      <c r="J352" s="736">
        <f t="shared" si="139"/>
        <v>100.64064140660422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38">
        <v>43438</v>
      </c>
      <c r="AP352" s="13">
        <f t="shared" si="140"/>
        <v>13</v>
      </c>
      <c r="AQ352" s="13">
        <f t="shared" si="141"/>
        <v>14</v>
      </c>
      <c r="AR352" s="169">
        <f t="shared" si="142"/>
        <v>43416</v>
      </c>
      <c r="AS352" s="743">
        <f t="shared" si="143"/>
        <v>0.7857142857142857</v>
      </c>
      <c r="AT352" s="759">
        <f t="shared" si="144"/>
        <v>100.63056661933661</v>
      </c>
      <c r="AU352" s="13">
        <f t="shared" si="145"/>
        <v>13</v>
      </c>
      <c r="AV352" s="13">
        <f t="shared" si="146"/>
        <v>14</v>
      </c>
      <c r="AW352" s="169">
        <f t="shared" si="147"/>
        <v>43430</v>
      </c>
      <c r="AX352" s="743">
        <f t="shared" si="148"/>
        <v>0.2857142857142857</v>
      </c>
      <c r="AY352" s="759">
        <f t="shared" si="149"/>
        <v>101.28971861345426</v>
      </c>
      <c r="AZ352" s="736">
        <f t="shared" si="153"/>
        <v>100.96014261639543</v>
      </c>
      <c r="BA352" s="633">
        <f t="shared" si="150"/>
        <v>0.8058574193032173</v>
      </c>
      <c r="BC352" s="11">
        <v>43438</v>
      </c>
      <c r="BD352" s="286">
        <f>[2]!FeuilCaduc*(1-Persistant)+Persistant</f>
        <v>0.63525288871101571</v>
      </c>
      <c r="BE352" s="287">
        <f>[2]!CroissVégét</f>
        <v>0.99963713826343847</v>
      </c>
      <c r="BF352" s="806">
        <f>1+[2]!Salcycl*Ksac</f>
        <v>1.004406611088877</v>
      </c>
      <c r="BH352" s="1036">
        <f t="shared" si="151"/>
        <v>6.7714338268614074E-2</v>
      </c>
      <c r="BI352" s="11">
        <v>44534</v>
      </c>
      <c r="BJ352" s="716">
        <v>1.7886985520222651E-2</v>
      </c>
      <c r="BK352" s="716">
        <v>2.6569444061105368E-2</v>
      </c>
      <c r="BL352" s="716">
        <v>3.5979271628868853E-2</v>
      </c>
      <c r="BM352" s="716">
        <v>4.6360182306255798E-2</v>
      </c>
      <c r="BN352" s="716">
        <v>5.6794835703376047E-2</v>
      </c>
      <c r="BO352" s="717">
        <v>6.7829883762337811E-2</v>
      </c>
      <c r="BP352" s="716">
        <v>7.9650500136346239E-2</v>
      </c>
      <c r="BQ352" s="716">
        <v>9.2451838303933345E-2</v>
      </c>
      <c r="BR352" s="716">
        <v>0.10558196574511793</v>
      </c>
      <c r="BS352" s="716">
        <v>0.11885205204189764</v>
      </c>
      <c r="BT352" s="716">
        <v>0.13131246154421039</v>
      </c>
      <c r="BW352" s="1166">
        <f>'2022'!R\Max</f>
        <v>0.8058574193032173</v>
      </c>
      <c r="BX352" s="1167">
        <f>'2023'!R\Max</f>
        <v>0.80570837333417678</v>
      </c>
      <c r="BY352" s="1167">
        <f>'2024'!R\Max</f>
        <v>0.80554706313619595</v>
      </c>
      <c r="BZ352" s="1167">
        <f>'2025'!R\Max</f>
        <v>0.80538532046874756</v>
      </c>
      <c r="CA352" s="1167">
        <f>'2026'!R\Max</f>
        <v>0.80521933651977717</v>
      </c>
      <c r="CB352" s="1167">
        <f>'2027'!R\Max</f>
        <v>0.80505308577540236</v>
      </c>
      <c r="CC352" s="1168">
        <f>'2028'!R\Max</f>
        <v>0.80488491932259976</v>
      </c>
      <c r="CD352" s="1167">
        <f>'2029'!R\Max</f>
        <v>0.80586486428962067</v>
      </c>
      <c r="CE352" s="1167">
        <f>'2030'!R\Max</f>
        <v>0.8057158255007375</v>
      </c>
      <c r="CF352" s="1169">
        <f>'2031'!R\Max</f>
        <v>0.80555514199088663</v>
      </c>
    </row>
    <row r="353" spans="1:84" s="6" customFormat="1" ht="11.25" x14ac:dyDescent="0.2">
      <c r="A353" s="11">
        <v>43439</v>
      </c>
      <c r="B353" s="375">
        <f>'2022'!Maxi_hp</f>
        <v>101.80165922756321</v>
      </c>
      <c r="C353" s="13">
        <f>'2022'!An_max</f>
        <v>2022</v>
      </c>
      <c r="D353" s="1045">
        <f t="shared" si="135"/>
        <v>1.0179714021442381</v>
      </c>
      <c r="E353" s="13"/>
      <c r="F353" s="13">
        <f t="shared" si="152"/>
        <v>25</v>
      </c>
      <c r="G353" s="13">
        <f t="shared" si="136"/>
        <v>26</v>
      </c>
      <c r="H353" s="169">
        <f t="shared" si="137"/>
        <v>43430</v>
      </c>
      <c r="I353" s="743">
        <f t="shared" si="138"/>
        <v>0.6428571428571429</v>
      </c>
      <c r="J353" s="736">
        <f t="shared" si="139"/>
        <v>100.0044392338821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38">
        <v>43439</v>
      </c>
      <c r="AP353" s="13">
        <f t="shared" si="140"/>
        <v>13</v>
      </c>
      <c r="AQ353" s="13">
        <f t="shared" si="141"/>
        <v>14</v>
      </c>
      <c r="AR353" s="169">
        <f t="shared" si="142"/>
        <v>43416</v>
      </c>
      <c r="AS353" s="743">
        <f t="shared" si="143"/>
        <v>0.8214285714285714</v>
      </c>
      <c r="AT353" s="759">
        <f t="shared" si="144"/>
        <v>99.967995138785653</v>
      </c>
      <c r="AU353" s="13">
        <f t="shared" si="145"/>
        <v>13</v>
      </c>
      <c r="AV353" s="13">
        <f t="shared" si="146"/>
        <v>14</v>
      </c>
      <c r="AW353" s="169">
        <f t="shared" si="147"/>
        <v>43430</v>
      </c>
      <c r="AX353" s="743">
        <f t="shared" si="148"/>
        <v>0.32142857142857145</v>
      </c>
      <c r="AY353" s="759">
        <f t="shared" si="149"/>
        <v>100.69409229031632</v>
      </c>
      <c r="AZ353" s="736">
        <f t="shared" si="153"/>
        <v>100.33104371455099</v>
      </c>
      <c r="BA353" s="633">
        <f t="shared" si="150"/>
        <v>1.0179714021442381</v>
      </c>
      <c r="BC353" s="11">
        <v>43439</v>
      </c>
      <c r="BD353" s="286">
        <f>[2]!FeuilCaduc*(1-Persistant)+Persistant</f>
        <v>0.63287391284958383</v>
      </c>
      <c r="BE353" s="287">
        <f>[2]!CroissVégét</f>
        <v>0.99966506479017636</v>
      </c>
      <c r="BF353" s="806">
        <f>1+[2]!Salcycl*Ksac</f>
        <v>1.0041092391061979</v>
      </c>
      <c r="BH353" s="1036">
        <f t="shared" si="151"/>
        <v>6.8062547091302023E-2</v>
      </c>
      <c r="BI353" s="11">
        <v>44535</v>
      </c>
      <c r="BJ353" s="716">
        <v>1.829853721010298E-2</v>
      </c>
      <c r="BK353" s="716">
        <v>2.7186224692177047E-2</v>
      </c>
      <c r="BL353" s="716">
        <v>3.6647885594633077E-2</v>
      </c>
      <c r="BM353" s="716">
        <v>4.699322149693299E-2</v>
      </c>
      <c r="BN353" s="716">
        <v>5.728375249161894E-2</v>
      </c>
      <c r="BO353" s="717">
        <v>6.8176603673671621E-2</v>
      </c>
      <c r="BP353" s="716">
        <v>7.9760744152839014E-2</v>
      </c>
      <c r="BQ353" s="716">
        <v>9.2281334014172975E-2</v>
      </c>
      <c r="BR353" s="716">
        <v>0.10518685895582119</v>
      </c>
      <c r="BS353" s="716">
        <v>0.11825555813642351</v>
      </c>
      <c r="BT353" s="716">
        <v>0.13052311021581647</v>
      </c>
      <c r="BW353" s="1166">
        <f>'2022'!R\Max</f>
        <v>1.0179714021442381</v>
      </c>
      <c r="BX353" s="1167">
        <f>'2023'!R\Max</f>
        <v>1.0179714021442379</v>
      </c>
      <c r="BY353" s="1167">
        <f>'2024'!R\Max</f>
        <v>1.0179714021442381</v>
      </c>
      <c r="BZ353" s="1167">
        <f>'2025'!R\Max</f>
        <v>1.0179714021442383</v>
      </c>
      <c r="CA353" s="1167">
        <f>'2026'!R\Max</f>
        <v>1.0179714021442381</v>
      </c>
      <c r="CB353" s="1167">
        <f>'2027'!R\Max</f>
        <v>1.0179714021442381</v>
      </c>
      <c r="CC353" s="1168">
        <f>'2028'!R\Max</f>
        <v>1.0179714021442381</v>
      </c>
      <c r="CD353" s="1167">
        <f>'2029'!R\Max</f>
        <v>1.0179714021442381</v>
      </c>
      <c r="CE353" s="1167">
        <f>'2030'!R\Max</f>
        <v>1.0179714021442381</v>
      </c>
      <c r="CF353" s="1169">
        <f>'2031'!R\Max</f>
        <v>1.0179714021442379</v>
      </c>
    </row>
    <row r="354" spans="1:84" s="6" customFormat="1" ht="11.25" x14ac:dyDescent="0.2">
      <c r="A354" s="11">
        <v>43440</v>
      </c>
      <c r="B354" s="375">
        <f>'2022'!Maxi_hp</f>
        <v>52.883007862036244</v>
      </c>
      <c r="C354" s="13">
        <f>'2022'!An_max</f>
        <v>2022</v>
      </c>
      <c r="D354" s="1045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69">
        <f t="shared" si="137"/>
        <v>43430</v>
      </c>
      <c r="I354" s="743">
        <f t="shared" si="138"/>
        <v>0.7142857142857143</v>
      </c>
      <c r="J354" s="736">
        <f t="shared" si="139"/>
        <v>99.410532072612213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38">
        <v>43440</v>
      </c>
      <c r="AP354" s="13">
        <f t="shared" si="140"/>
        <v>13</v>
      </c>
      <c r="AQ354" s="13">
        <f t="shared" si="141"/>
        <v>14</v>
      </c>
      <c r="AR354" s="169">
        <f t="shared" si="142"/>
        <v>43416</v>
      </c>
      <c r="AS354" s="743">
        <f t="shared" si="143"/>
        <v>0.8571428571428571</v>
      </c>
      <c r="AT354" s="759">
        <f t="shared" si="144"/>
        <v>99.358101765598576</v>
      </c>
      <c r="AU354" s="13">
        <f t="shared" si="145"/>
        <v>13</v>
      </c>
      <c r="AV354" s="13">
        <f t="shared" si="146"/>
        <v>14</v>
      </c>
      <c r="AW354" s="169">
        <f t="shared" si="147"/>
        <v>43430</v>
      </c>
      <c r="AX354" s="743">
        <f t="shared" si="148"/>
        <v>0.35714285714285715</v>
      </c>
      <c r="AY354" s="759">
        <f t="shared" si="149"/>
        <v>100.12859825704778</v>
      </c>
      <c r="AZ354" s="736">
        <f t="shared" si="153"/>
        <v>99.743350011323173</v>
      </c>
      <c r="BA354" s="633">
        <f t="shared" si="150"/>
        <v>0.53196584667114577</v>
      </c>
      <c r="BC354" s="11">
        <v>43440</v>
      </c>
      <c r="BD354" s="286">
        <f>[2]!FeuilCaduc*(1-Persistant)+Persistant</f>
        <v>0.6306281273157095</v>
      </c>
      <c r="BE354" s="287">
        <f>[2]!CroissVégét</f>
        <v>0.9996918683792223</v>
      </c>
      <c r="BF354" s="806">
        <f>1+[2]!Salcycl*Ksac</f>
        <v>1.0038285159144638</v>
      </c>
      <c r="BH354" s="1036">
        <f t="shared" si="151"/>
        <v>6.8351210434312623E-2</v>
      </c>
      <c r="BI354" s="11">
        <v>44536</v>
      </c>
      <c r="BJ354" s="716">
        <v>1.8671549643398035E-2</v>
      </c>
      <c r="BK354" s="716">
        <v>2.7758040966465031E-2</v>
      </c>
      <c r="BL354" s="716">
        <v>3.7274751712136088E-2</v>
      </c>
      <c r="BM354" s="716">
        <v>4.7583756151402347E-2</v>
      </c>
      <c r="BN354" s="716">
        <v>5.7722437211031354E-2</v>
      </c>
      <c r="BO354" s="717">
        <v>6.8463679554808213E-2</v>
      </c>
      <c r="BP354" s="716">
        <v>7.9817903797611348E-2</v>
      </c>
      <c r="BQ354" s="716">
        <v>9.2076486928440504E-2</v>
      </c>
      <c r="BR354" s="716">
        <v>0.1047847311010771</v>
      </c>
      <c r="BS354" s="716">
        <v>0.11768061555006083</v>
      </c>
      <c r="BT354" s="716">
        <v>0.12978999895150453</v>
      </c>
      <c r="BW354" s="1166">
        <f>'2022'!R\Max</f>
        <v>0.53196584667114577</v>
      </c>
      <c r="BX354" s="1167">
        <f>'2023'!R\Max</f>
        <v>0.53173693641987241</v>
      </c>
      <c r="BY354" s="1167">
        <f>'2024'!R\Max</f>
        <v>0.53149007153998062</v>
      </c>
      <c r="BZ354" s="1167">
        <f>'2025'!R\Max</f>
        <v>0.5312427051280092</v>
      </c>
      <c r="CA354" s="1167">
        <f>'2026'!R\Max</f>
        <v>0.53098633749980972</v>
      </c>
      <c r="CB354" s="1167">
        <f>'2027'!R\Max</f>
        <v>0.53072965430928276</v>
      </c>
      <c r="CC354" s="1168">
        <f>'2028'!R\Max</f>
        <v>0.53046913620596214</v>
      </c>
      <c r="CD354" s="1167">
        <f>'2029'!R\Max</f>
        <v>0.5319772841783037</v>
      </c>
      <c r="CE354" s="1167">
        <f>'2030'!R\Max</f>
        <v>0.53174837881011217</v>
      </c>
      <c r="CF354" s="1169">
        <f>'2031'!R\Max</f>
        <v>0.53150243098777727</v>
      </c>
    </row>
    <row r="355" spans="1:84" s="6" customFormat="1" ht="11.25" x14ac:dyDescent="0.2">
      <c r="A355" s="11">
        <v>43441</v>
      </c>
      <c r="B355" s="375">
        <f>'2022'!Maxi_hp</f>
        <v>81.826902027230147</v>
      </c>
      <c r="C355" s="13">
        <f>'2022'!An_max</f>
        <v>2022</v>
      </c>
      <c r="D355" s="1045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69">
        <f t="shared" si="137"/>
        <v>43430</v>
      </c>
      <c r="I355" s="743">
        <f t="shared" si="138"/>
        <v>0.7857142857142857</v>
      </c>
      <c r="J355" s="736">
        <f t="shared" si="139"/>
        <v>98.86102724628789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38">
        <v>43441</v>
      </c>
      <c r="AP355" s="13">
        <f t="shared" si="140"/>
        <v>13</v>
      </c>
      <c r="AQ355" s="13">
        <f t="shared" si="141"/>
        <v>14</v>
      </c>
      <c r="AR355" s="169">
        <f t="shared" si="142"/>
        <v>43416</v>
      </c>
      <c r="AS355" s="743">
        <f t="shared" si="143"/>
        <v>0.8928571428571429</v>
      </c>
      <c r="AT355" s="759">
        <f t="shared" si="144"/>
        <v>98.803621022296809</v>
      </c>
      <c r="AU355" s="13">
        <f t="shared" si="145"/>
        <v>13</v>
      </c>
      <c r="AV355" s="13">
        <f t="shared" si="146"/>
        <v>14</v>
      </c>
      <c r="AW355" s="169">
        <f t="shared" si="147"/>
        <v>43430</v>
      </c>
      <c r="AX355" s="743">
        <f t="shared" si="148"/>
        <v>0.39285714285714285</v>
      </c>
      <c r="AY355" s="759">
        <f t="shared" si="149"/>
        <v>99.594398940248155</v>
      </c>
      <c r="AZ355" s="736">
        <f t="shared" si="153"/>
        <v>99.199009981272482</v>
      </c>
      <c r="BA355" s="633">
        <f t="shared" si="150"/>
        <v>0.82769625510140188</v>
      </c>
      <c r="BC355" s="11">
        <v>43441</v>
      </c>
      <c r="BD355" s="286">
        <f>[2]!FeuilCaduc*(1-Persistant)+Persistant</f>
        <v>0.62851214593092741</v>
      </c>
      <c r="BE355" s="287">
        <f>[2]!CroissVégét</f>
        <v>0.99971759412779237</v>
      </c>
      <c r="BF355" s="806">
        <f>1+[2]!Salcycl*Ksac</f>
        <v>1.0035640182413659</v>
      </c>
      <c r="BH355" s="1036">
        <f t="shared" si="151"/>
        <v>6.8580441168396136E-2</v>
      </c>
      <c r="BI355" s="11">
        <v>44537</v>
      </c>
      <c r="BJ355" s="716">
        <v>1.9006049640834577E-2</v>
      </c>
      <c r="BK355" s="716">
        <v>2.8284933401266543E-2</v>
      </c>
      <c r="BL355" s="716">
        <v>3.7859926826332713E-2</v>
      </c>
      <c r="BM355" s="716">
        <v>4.8131861368074937E-2</v>
      </c>
      <c r="BN355" s="716">
        <v>5.8110983477872545E-2</v>
      </c>
      <c r="BO355" s="717">
        <v>6.8691224480240606E-2</v>
      </c>
      <c r="BP355" s="716">
        <v>7.9822114388785531E-2</v>
      </c>
      <c r="BQ355" s="716">
        <v>9.1837457253079194E-2</v>
      </c>
      <c r="BR355" s="716">
        <v>0.10437576804685748</v>
      </c>
      <c r="BS355" s="716">
        <v>0.1171274360022606</v>
      </c>
      <c r="BT355" s="716">
        <v>0.1291133642185589</v>
      </c>
      <c r="BW355" s="1166">
        <f>'2022'!R\Max</f>
        <v>0.82769625510140188</v>
      </c>
      <c r="BX355" s="1167">
        <f>'2023'!R\Max</f>
        <v>0.82756740009072605</v>
      </c>
      <c r="BY355" s="1167">
        <f>'2024'!R\Max</f>
        <v>0.82742838595909274</v>
      </c>
      <c r="BZ355" s="1167">
        <f>'2025'!R\Max</f>
        <v>0.82728901090129714</v>
      </c>
      <c r="CA355" s="1167">
        <f>'2026'!R\Max</f>
        <v>0.82714354524077727</v>
      </c>
      <c r="CB355" s="1167">
        <f>'2027'!R\Max</f>
        <v>0.82699779398634599</v>
      </c>
      <c r="CC355" s="1168">
        <f>'2028'!R\Max</f>
        <v>0.8268494542347411</v>
      </c>
      <c r="CD355" s="1167">
        <f>'2029'!R\Max</f>
        <v>0.82770269156522991</v>
      </c>
      <c r="CE355" s="1167">
        <f>'2030'!R\Max</f>
        <v>0.82757384269572354</v>
      </c>
      <c r="CF355" s="1169">
        <f>'2031'!R\Max</f>
        <v>0.82743534763125703</v>
      </c>
    </row>
    <row r="356" spans="1:84" s="6" customFormat="1" ht="11.25" x14ac:dyDescent="0.2">
      <c r="A356" s="11">
        <v>43442</v>
      </c>
      <c r="B356" s="375">
        <f>'2022'!Maxi_hp</f>
        <v>15.477444404663771</v>
      </c>
      <c r="C356" s="13">
        <f>'2022'!An_max</f>
        <v>2022</v>
      </c>
      <c r="D356" s="1045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69">
        <f t="shared" si="137"/>
        <v>43430</v>
      </c>
      <c r="I356" s="743">
        <f t="shared" si="138"/>
        <v>0.8571428571428571</v>
      </c>
      <c r="J356" s="736">
        <f t="shared" si="139"/>
        <v>98.358032066481456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38">
        <v>43442</v>
      </c>
      <c r="AP356" s="13">
        <f t="shared" si="140"/>
        <v>13</v>
      </c>
      <c r="AQ356" s="13">
        <f t="shared" si="141"/>
        <v>14</v>
      </c>
      <c r="AR356" s="169">
        <f t="shared" si="142"/>
        <v>43416</v>
      </c>
      <c r="AS356" s="743">
        <f t="shared" si="143"/>
        <v>0.9285714285714286</v>
      </c>
      <c r="AT356" s="759">
        <f t="shared" si="144"/>
        <v>98.307287461417062</v>
      </c>
      <c r="AU356" s="13">
        <f t="shared" si="145"/>
        <v>13</v>
      </c>
      <c r="AV356" s="13">
        <f t="shared" si="146"/>
        <v>14</v>
      </c>
      <c r="AW356" s="169">
        <f t="shared" si="147"/>
        <v>43430</v>
      </c>
      <c r="AX356" s="743">
        <f t="shared" si="148"/>
        <v>0.42857142857142855</v>
      </c>
      <c r="AY356" s="759">
        <f t="shared" si="149"/>
        <v>99.092656786101202</v>
      </c>
      <c r="AZ356" s="736">
        <f t="shared" si="153"/>
        <v>98.699972123759125</v>
      </c>
      <c r="BA356" s="633">
        <f t="shared" si="150"/>
        <v>0.15735821548566942</v>
      </c>
      <c r="BC356" s="11">
        <v>43442</v>
      </c>
      <c r="BD356" s="286">
        <f>[2]!FeuilCaduc*(1-Persistant)+Persistant</f>
        <v>0.62652226865599625</v>
      </c>
      <c r="BE356" s="287">
        <f>[2]!CroissVégét</f>
        <v>0.99974228532646048</v>
      </c>
      <c r="BF356" s="806">
        <f>1+[2]!Salcycl*Ksac</f>
        <v>1.0033152835819996</v>
      </c>
      <c r="BH356" s="1036">
        <f t="shared" si="151"/>
        <v>6.8750354585737333E-2</v>
      </c>
      <c r="BI356" s="11">
        <v>44538</v>
      </c>
      <c r="BJ356" s="716">
        <v>1.9302066893673819E-2</v>
      </c>
      <c r="BK356" s="716">
        <v>2.8766946815125965E-2</v>
      </c>
      <c r="BL356" s="716">
        <v>3.8403472443249563E-2</v>
      </c>
      <c r="BM356" s="716">
        <v>4.8637616656526127E-2</v>
      </c>
      <c r="BN356" s="716">
        <v>5.8449488312783383E-2</v>
      </c>
      <c r="BO356" s="717">
        <v>6.8859353935495221E-2</v>
      </c>
      <c r="BP356" s="716">
        <v>7.9773512003316518E-2</v>
      </c>
      <c r="BQ356" s="716">
        <v>9.1564403991284626E-2</v>
      </c>
      <c r="BR356" s="716">
        <v>0.10396015288513276</v>
      </c>
      <c r="BS356" s="716">
        <v>0.11659622702948245</v>
      </c>
      <c r="BT356" s="716">
        <v>0.12849343695155566</v>
      </c>
      <c r="BW356" s="1166">
        <f>'2022'!R\Max</f>
        <v>0.15735821548566942</v>
      </c>
      <c r="BX356" s="1167">
        <f>'2023'!R\Max</f>
        <v>0.1572604631580834</v>
      </c>
      <c r="BY356" s="1167">
        <f>'2024'!R\Max</f>
        <v>0.15715502485678243</v>
      </c>
      <c r="BZ356" s="1167">
        <f>'2025'!R\Max</f>
        <v>0.15704942008828116</v>
      </c>
      <c r="CA356" s="1167">
        <f>'2026'!R\Max</f>
        <v>0.1569385127841986</v>
      </c>
      <c r="CB356" s="1167">
        <f>'2027'!R\Max</f>
        <v>0.15682749063306103</v>
      </c>
      <c r="CC356" s="1168">
        <f>'2028'!R\Max</f>
        <v>0.15671436164843003</v>
      </c>
      <c r="CD356" s="1167">
        <f>'2029'!R\Max</f>
        <v>0.15736310077808774</v>
      </c>
      <c r="CE356" s="1167">
        <f>'2030'!R\Max</f>
        <v>0.15726534845050175</v>
      </c>
      <c r="CF356" s="1169">
        <f>'2031'!R\Max</f>
        <v>0.15716030258456284</v>
      </c>
    </row>
    <row r="357" spans="1:84" s="6" customFormat="1" ht="11.25" x14ac:dyDescent="0.2">
      <c r="A357" s="11">
        <v>43443</v>
      </c>
      <c r="B357" s="375">
        <f>'2022'!Maxi_hp</f>
        <v>29.752765723166412</v>
      </c>
      <c r="C357" s="13">
        <f>'2022'!An_max</f>
        <v>2022</v>
      </c>
      <c r="D357" s="1045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69">
        <f t="shared" si="137"/>
        <v>43430</v>
      </c>
      <c r="I357" s="743">
        <f t="shared" si="138"/>
        <v>0.9285714285714286</v>
      </c>
      <c r="J357" s="736">
        <f t="shared" si="139"/>
        <v>97.903653883934027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38">
        <v>43443</v>
      </c>
      <c r="AP357" s="13">
        <f t="shared" si="140"/>
        <v>13</v>
      </c>
      <c r="AQ357" s="13">
        <f t="shared" si="141"/>
        <v>14</v>
      </c>
      <c r="AR357" s="169">
        <f t="shared" si="142"/>
        <v>43416</v>
      </c>
      <c r="AS357" s="743">
        <f t="shared" si="143"/>
        <v>0.9642857142857143</v>
      </c>
      <c r="AT357" s="759">
        <f t="shared" si="144"/>
        <v>97.871835606864522</v>
      </c>
      <c r="AU357" s="13">
        <f t="shared" si="145"/>
        <v>13</v>
      </c>
      <c r="AV357" s="13">
        <f t="shared" si="146"/>
        <v>14</v>
      </c>
      <c r="AW357" s="169">
        <f t="shared" si="147"/>
        <v>43430</v>
      </c>
      <c r="AX357" s="743">
        <f t="shared" si="148"/>
        <v>0.4642857142857143</v>
      </c>
      <c r="AY357" s="759">
        <f t="shared" si="149"/>
        <v>98.624534223547997</v>
      </c>
      <c r="AZ357" s="736">
        <f t="shared" si="153"/>
        <v>98.248184915206252</v>
      </c>
      <c r="BA357" s="633">
        <f t="shared" si="150"/>
        <v>0.30389841995518041</v>
      </c>
      <c r="BC357" s="11">
        <v>43443</v>
      </c>
      <c r="BD357" s="286">
        <f>[2]!FeuilCaduc*(1-Persistant)+Persistant</f>
        <v>0.62465451216441836</v>
      </c>
      <c r="BE357" s="287">
        <f>[2]!CroissVégét</f>
        <v>0.99976598353118062</v>
      </c>
      <c r="BF357" s="806">
        <f>1+[2]!Salcycl*Ksac</f>
        <v>1.0030818140205524</v>
      </c>
      <c r="BH357" s="1036">
        <f t="shared" si="151"/>
        <v>6.8861067365479575E-2</v>
      </c>
      <c r="BI357" s="11">
        <v>44539</v>
      </c>
      <c r="BJ357" s="716">
        <v>1.9559633292389519E-2</v>
      </c>
      <c r="BK357" s="716">
        <v>2.9204129544858588E-2</v>
      </c>
      <c r="BL357" s="716">
        <v>3.8905454003670507E-2</v>
      </c>
      <c r="BM357" s="716">
        <v>4.9101105198669802E-2</v>
      </c>
      <c r="BN357" s="716">
        <v>5.8738051267951175E-2</v>
      </c>
      <c r="BO357" s="717">
        <v>6.8968184780945532E-2</v>
      </c>
      <c r="BP357" s="716">
        <v>7.9672232556134537E-2</v>
      </c>
      <c r="BQ357" s="716">
        <v>9.1257484350136642E-2</v>
      </c>
      <c r="BR357" s="716">
        <v>0.10353806581842155</v>
      </c>
      <c r="BS357" s="716">
        <v>0.11608719236906707</v>
      </c>
      <c r="BT357" s="716">
        <v>0.12793044354217559</v>
      </c>
      <c r="BW357" s="1166">
        <f>'2022'!R\Max</f>
        <v>0.30389841995518041</v>
      </c>
      <c r="BX357" s="1167">
        <f>'2023'!R\Max</f>
        <v>0.30371404741091373</v>
      </c>
      <c r="BY357" s="1167">
        <f>'2024'!R\Max</f>
        <v>0.30351481645079259</v>
      </c>
      <c r="BZ357" s="1167">
        <f>'2025'!R\Max</f>
        <v>0.30331526254043106</v>
      </c>
      <c r="CA357" s="1167">
        <f>'2026'!R\Max</f>
        <v>0.30310398364889912</v>
      </c>
      <c r="CB357" s="1167">
        <f>'2027'!R\Max</f>
        <v>0.30289244940602544</v>
      </c>
      <c r="CC357" s="1168">
        <f>'2028'!R\Max</f>
        <v>0.30267638562067894</v>
      </c>
      <c r="CD357" s="1167">
        <f>'2029'!R\Max</f>
        <v>0.30390763416471361</v>
      </c>
      <c r="CE357" s="1167">
        <f>'2030'!R\Max</f>
        <v>0.30372326168599639</v>
      </c>
      <c r="CF357" s="1169">
        <f>'2031'!R\Max</f>
        <v>0.3035247893618091</v>
      </c>
    </row>
    <row r="358" spans="1:84" s="6" customFormat="1" ht="11.25" x14ac:dyDescent="0.2">
      <c r="A358" s="11">
        <v>43444</v>
      </c>
      <c r="B358" s="375">
        <f>'2022'!Maxi_hp</f>
        <v>71.744443051435056</v>
      </c>
      <c r="C358" s="13">
        <f>'2022'!An_max</f>
        <v>2022</v>
      </c>
      <c r="D358" s="1045" t="str">
        <f t="shared" si="135"/>
        <v/>
      </c>
      <c r="E358" s="1040">
        <f>AL$13/10</f>
        <v>97.5</v>
      </c>
      <c r="F358" s="13">
        <f t="shared" si="152"/>
        <v>27</v>
      </c>
      <c r="G358" s="13">
        <f t="shared" si="136"/>
        <v>26</v>
      </c>
      <c r="H358" s="169">
        <f t="shared" si="137"/>
        <v>43458</v>
      </c>
      <c r="I358" s="743">
        <f t="shared" si="138"/>
        <v>1</v>
      </c>
      <c r="J358" s="736">
        <f t="shared" si="139"/>
        <v>97.5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38">
        <v>43444</v>
      </c>
      <c r="AP358" s="13">
        <f t="shared" si="140"/>
        <v>15</v>
      </c>
      <c r="AQ358" s="13">
        <f t="shared" si="141"/>
        <v>14</v>
      </c>
      <c r="AR358" s="169">
        <f t="shared" si="142"/>
        <v>43473</v>
      </c>
      <c r="AS358" s="743">
        <f t="shared" si="143"/>
        <v>1</v>
      </c>
      <c r="AT358" s="759">
        <f t="shared" si="144"/>
        <v>97.499999988079068</v>
      </c>
      <c r="AU358" s="13">
        <f t="shared" si="145"/>
        <v>13</v>
      </c>
      <c r="AV358" s="13">
        <f t="shared" si="146"/>
        <v>14</v>
      </c>
      <c r="AW358" s="169">
        <f t="shared" si="147"/>
        <v>43430</v>
      </c>
      <c r="AX358" s="743">
        <f t="shared" si="148"/>
        <v>0.5</v>
      </c>
      <c r="AY358" s="759">
        <f t="shared" si="149"/>
        <v>98.191193675994867</v>
      </c>
      <c r="AZ358" s="736">
        <f t="shared" si="153"/>
        <v>97.845596832036961</v>
      </c>
      <c r="BA358" s="633">
        <f t="shared" si="150"/>
        <v>0.73584044155318007</v>
      </c>
      <c r="BC358" s="11">
        <v>43444</v>
      </c>
      <c r="BD358" s="286">
        <f>[2]!FeuilCaduc*(1-Persistant)+Persistant</f>
        <v>0.62290464148302538</v>
      </c>
      <c r="BE358" s="287">
        <f>[2]!CroissVégét</f>
        <v>0.9997887286324697</v>
      </c>
      <c r="BF358" s="806">
        <f>1+[2]!Salcycl*Ksac</f>
        <v>1.0028630801853782</v>
      </c>
      <c r="BH358" s="1036">
        <f t="shared" si="151"/>
        <v>6.8912696538551949E-2</v>
      </c>
      <c r="BI358" s="11">
        <v>44540</v>
      </c>
      <c r="BJ358" s="716">
        <v>1.9778782255148987E-2</v>
      </c>
      <c r="BK358" s="716">
        <v>2.9596532662280562E-2</v>
      </c>
      <c r="BL358" s="716">
        <v>3.936594015643053E-2</v>
      </c>
      <c r="BM358" s="716">
        <v>4.9522413109437842E-2</v>
      </c>
      <c r="BN358" s="716">
        <v>5.8976773553680827E-2</v>
      </c>
      <c r="BO358" s="717">
        <v>6.9017834214927673E-2</v>
      </c>
      <c r="BP358" s="716">
        <v>7.9518410878480397E-2</v>
      </c>
      <c r="BQ358" s="716">
        <v>9.0916853146705626E-2</v>
      </c>
      <c r="BR358" s="716">
        <v>0.10310968404328953</v>
      </c>
      <c r="BS358" s="716">
        <v>0.11560053234193067</v>
      </c>
      <c r="BT358" s="716">
        <v>0.1274246068277205</v>
      </c>
      <c r="BW358" s="1166">
        <f>'2022'!R\Max</f>
        <v>0.73584044155318007</v>
      </c>
      <c r="BX358" s="1167">
        <f>'2023'!R\Max</f>
        <v>0.73567396841109955</v>
      </c>
      <c r="BY358" s="1167">
        <f>'2024'!R\Max</f>
        <v>0.73549342143531993</v>
      </c>
      <c r="BZ358" s="1167">
        <f>'2025'!R\Max</f>
        <v>0.73531242651173301</v>
      </c>
      <c r="CA358" s="1167">
        <f>'2026'!R\Max</f>
        <v>0.73511892209335905</v>
      </c>
      <c r="CB358" s="1167">
        <f>'2027'!R\Max</f>
        <v>0.73492498241688542</v>
      </c>
      <c r="CC358" s="1168">
        <f>'2028'!R\Max</f>
        <v>0.73472622809734811</v>
      </c>
      <c r="CD358" s="1167">
        <f>'2029'!R\Max</f>
        <v>0.73584875799180727</v>
      </c>
      <c r="CE358" s="1167">
        <f>'2030'!R\Max</f>
        <v>0.73568229106191974</v>
      </c>
      <c r="CF358" s="1169">
        <f>'2031'!R\Max</f>
        <v>0.73550246302721456</v>
      </c>
    </row>
    <row r="359" spans="1:84" s="6" customFormat="1" ht="11.25" x14ac:dyDescent="0.2">
      <c r="A359" s="11">
        <v>43445</v>
      </c>
      <c r="B359" s="375">
        <f>'2022'!Maxi_hp</f>
        <v>67.53712274687156</v>
      </c>
      <c r="C359" s="13">
        <f>'2022'!An_max</f>
        <v>2022</v>
      </c>
      <c r="D359" s="1045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69">
        <f t="shared" si="137"/>
        <v>43458</v>
      </c>
      <c r="I359" s="743">
        <f t="shared" si="138"/>
        <v>0.9285714285714286</v>
      </c>
      <c r="J359" s="736">
        <f t="shared" si="139"/>
        <v>97.143474689977509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38">
        <v>43445</v>
      </c>
      <c r="AP359" s="13">
        <f t="shared" si="140"/>
        <v>15</v>
      </c>
      <c r="AQ359" s="13">
        <f t="shared" si="141"/>
        <v>14</v>
      </c>
      <c r="AR359" s="169">
        <f t="shared" si="142"/>
        <v>43473</v>
      </c>
      <c r="AS359" s="743">
        <f t="shared" si="143"/>
        <v>0.96551724137931039</v>
      </c>
      <c r="AT359" s="759">
        <f t="shared" si="144"/>
        <v>97.184650747118326</v>
      </c>
      <c r="AU359" s="13">
        <f t="shared" si="145"/>
        <v>13</v>
      </c>
      <c r="AV359" s="13">
        <f t="shared" si="146"/>
        <v>14</v>
      </c>
      <c r="AW359" s="169">
        <f t="shared" si="147"/>
        <v>43430</v>
      </c>
      <c r="AX359" s="743">
        <f t="shared" si="148"/>
        <v>0.5357142857142857</v>
      </c>
      <c r="AY359" s="759">
        <f t="shared" si="149"/>
        <v>97.793797578769073</v>
      </c>
      <c r="AZ359" s="736">
        <f t="shared" si="153"/>
        <v>97.4892241629437</v>
      </c>
      <c r="BA359" s="633">
        <f t="shared" si="150"/>
        <v>0.6952306674473886</v>
      </c>
      <c r="BC359" s="11">
        <v>43445</v>
      </c>
      <c r="BD359" s="286">
        <f>[2]!FeuilCaduc*(1-Persistant)+Persistant</f>
        <v>0.62126820244498304</v>
      </c>
      <c r="BE359" s="287">
        <f>[2]!CroissVégét</f>
        <v>0.99981055892185233</v>
      </c>
      <c r="BF359" s="806">
        <f>1+[2]!Salcycl*Ksac</f>
        <v>1.0026585253056228</v>
      </c>
      <c r="BH359" s="1036">
        <f t="shared" si="151"/>
        <v>6.890535845340115E-2</v>
      </c>
      <c r="BI359" s="11">
        <v>44541</v>
      </c>
      <c r="BJ359" s="716">
        <v>1.9959548056546969E-2</v>
      </c>
      <c r="BK359" s="716">
        <v>2.9944209191315449E-2</v>
      </c>
      <c r="BL359" s="716">
        <v>3.9785002032212809E-2</v>
      </c>
      <c r="BM359" s="716">
        <v>4.9901628698097639E-2</v>
      </c>
      <c r="BN359" s="716">
        <v>5.9165757165734356E-2</v>
      </c>
      <c r="BO359" s="717">
        <v>6.9008418737762298E-2</v>
      </c>
      <c r="BP359" s="716">
        <v>7.9312179797291674E-2</v>
      </c>
      <c r="BQ359" s="716">
        <v>9.0542662215366262E-2</v>
      </c>
      <c r="BR359" s="716">
        <v>0.10267518163522053</v>
      </c>
      <c r="BS359" s="716">
        <v>0.11513644423679847</v>
      </c>
      <c r="BT359" s="716">
        <v>0.12697614708132518</v>
      </c>
      <c r="BW359" s="1166">
        <f>'2022'!R\Max</f>
        <v>0.6952306674473886</v>
      </c>
      <c r="BX359" s="1167">
        <f>'2023'!R\Max</f>
        <v>0.69505242743666051</v>
      </c>
      <c r="BY359" s="1167">
        <f>'2024'!R\Max</f>
        <v>0.69485836051279892</v>
      </c>
      <c r="BZ359" s="1167">
        <f>'2025'!R\Max</f>
        <v>0.69466381366396346</v>
      </c>
      <c r="CA359" s="1167">
        <f>'2026'!R\Max</f>
        <v>0.69445381262423567</v>
      </c>
      <c r="CB359" s="1167">
        <f>'2027'!R\Max</f>
        <v>0.69424331625930591</v>
      </c>
      <c r="CC359" s="1168">
        <f>'2028'!R\Max</f>
        <v>0.69402706497457023</v>
      </c>
      <c r="CD359" s="1167">
        <f>'2029'!R\Max</f>
        <v>0.69523957210055609</v>
      </c>
      <c r="CE359" s="1167">
        <f>'2030'!R\Max</f>
        <v>0.69506133801450953</v>
      </c>
      <c r="CF359" s="1169">
        <f>'2031'!R\Max</f>
        <v>0.69486807952781615</v>
      </c>
    </row>
    <row r="360" spans="1:84" s="6" customFormat="1" ht="11.25" x14ac:dyDescent="0.2">
      <c r="A360" s="11">
        <v>43446</v>
      </c>
      <c r="B360" s="375">
        <f>'2022'!Maxi_hp</f>
        <v>23.546248768046997</v>
      </c>
      <c r="C360" s="13">
        <f>'2022'!An_max</f>
        <v>2022</v>
      </c>
      <c r="D360" s="1045" t="str">
        <f t="shared" si="135"/>
        <v/>
      </c>
      <c r="E360" s="13"/>
      <c r="F360" s="13">
        <f t="shared" si="152"/>
        <v>27</v>
      </c>
      <c r="G360" s="13">
        <f t="shared" si="136"/>
        <v>26</v>
      </c>
      <c r="H360" s="169">
        <f t="shared" si="137"/>
        <v>43458</v>
      </c>
      <c r="I360" s="743">
        <f t="shared" si="138"/>
        <v>0.8571428571428571</v>
      </c>
      <c r="J360" s="736">
        <f t="shared" si="139"/>
        <v>96.829211110728124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38">
        <v>43446</v>
      </c>
      <c r="AP360" s="13">
        <f t="shared" si="140"/>
        <v>15</v>
      </c>
      <c r="AQ360" s="13">
        <f t="shared" si="141"/>
        <v>14</v>
      </c>
      <c r="AR360" s="169">
        <f t="shared" si="142"/>
        <v>43473</v>
      </c>
      <c r="AS360" s="743">
        <f t="shared" si="143"/>
        <v>0.93103448275862066</v>
      </c>
      <c r="AT360" s="759">
        <f t="shared" si="144"/>
        <v>96.916356065561033</v>
      </c>
      <c r="AU360" s="13">
        <f t="shared" si="145"/>
        <v>13</v>
      </c>
      <c r="AV360" s="13">
        <f t="shared" si="146"/>
        <v>14</v>
      </c>
      <c r="AW360" s="169">
        <f t="shared" si="147"/>
        <v>43430</v>
      </c>
      <c r="AX360" s="743">
        <f t="shared" si="148"/>
        <v>0.5714285714285714</v>
      </c>
      <c r="AY360" s="759">
        <f t="shared" si="149"/>
        <v>97.433508371455332</v>
      </c>
      <c r="AZ360" s="736">
        <f t="shared" si="153"/>
        <v>97.174932218508189</v>
      </c>
      <c r="BA360" s="633">
        <f t="shared" si="150"/>
        <v>0.24317298982350385</v>
      </c>
      <c r="BC360" s="11">
        <v>43446</v>
      </c>
      <c r="BD360" s="286">
        <f>[2]!FeuilCaduc*(1-Persistant)+Persistant</f>
        <v>0.61974055469729172</v>
      </c>
      <c r="BE360" s="287">
        <f>[2]!CroissVégét</f>
        <v>0.99983151115568181</v>
      </c>
      <c r="BF360" s="806">
        <f>1+[2]!Salcycl*Ksac</f>
        <v>1.0024675693371614</v>
      </c>
      <c r="BH360" s="1036">
        <f t="shared" si="151"/>
        <v>6.8839167741115273E-2</v>
      </c>
      <c r="BI360" s="11">
        <v>44542</v>
      </c>
      <c r="BJ360" s="716">
        <v>2.0101965156168765E-2</v>
      </c>
      <c r="BK360" s="716">
        <v>3.0247213324846062E-2</v>
      </c>
      <c r="BL360" s="716">
        <v>4.0162712517005629E-2</v>
      </c>
      <c r="BM360" s="716">
        <v>5.0238841729138894E-2</v>
      </c>
      <c r="BN360" s="716">
        <v>5.930510401215322E-2</v>
      </c>
      <c r="BO360" s="717">
        <v>6.8940053115167335E-2</v>
      </c>
      <c r="BP360" s="716">
        <v>7.9053669213883737E-2</v>
      </c>
      <c r="BQ360" s="716">
        <v>9.013505981430163E-2</v>
      </c>
      <c r="BR360" s="716">
        <v>0.10223472943256734</v>
      </c>
      <c r="BS360" s="716">
        <v>0.1146951226934062</v>
      </c>
      <c r="BT360" s="716">
        <v>0.1265852830010317</v>
      </c>
      <c r="BW360" s="1166">
        <f>'2022'!R\Max</f>
        <v>0.24317298982350385</v>
      </c>
      <c r="BX360" s="1167">
        <f>'2023'!R\Max</f>
        <v>0.2430323437746191</v>
      </c>
      <c r="BY360" s="1167">
        <f>'2024'!R\Max</f>
        <v>0.24287852338011356</v>
      </c>
      <c r="BZ360" s="1167">
        <f>'2025'!R\Max</f>
        <v>0.2427244188749707</v>
      </c>
      <c r="CA360" s="1167">
        <f>'2026'!R\Max</f>
        <v>0.24255645250898583</v>
      </c>
      <c r="CB360" s="1167">
        <f>'2027'!R\Max</f>
        <v>0.24238818720130464</v>
      </c>
      <c r="CC360" s="1168">
        <f>'2028'!R\Max</f>
        <v>0.24221501135411139</v>
      </c>
      <c r="CD360" s="1167">
        <f>'2029'!R\Max</f>
        <v>0.24318001878223303</v>
      </c>
      <c r="CE360" s="1167">
        <f>'2030'!R\Max</f>
        <v>0.24303937273334839</v>
      </c>
      <c r="CF360" s="1169">
        <f>'2031'!R\Max</f>
        <v>0.24288622494169471</v>
      </c>
    </row>
    <row r="361" spans="1:84" s="6" customFormat="1" ht="11.25" x14ac:dyDescent="0.2">
      <c r="A361" s="11">
        <v>43447</v>
      </c>
      <c r="B361" s="375">
        <f>'2022'!Maxi_hp</f>
        <v>24.525889099355748</v>
      </c>
      <c r="C361" s="13">
        <f>'2022'!An_max</f>
        <v>2022</v>
      </c>
      <c r="D361" s="1045" t="str">
        <f t="shared" si="135"/>
        <v/>
      </c>
      <c r="E361" s="13"/>
      <c r="F361" s="13">
        <f t="shared" si="152"/>
        <v>27</v>
      </c>
      <c r="G361" s="13">
        <f t="shared" si="136"/>
        <v>26</v>
      </c>
      <c r="H361" s="169">
        <f t="shared" si="137"/>
        <v>43458</v>
      </c>
      <c r="I361" s="743">
        <f t="shared" si="138"/>
        <v>0.7857142857142857</v>
      </c>
      <c r="J361" s="736">
        <f t="shared" si="139"/>
        <v>96.557409902555605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38">
        <v>43447</v>
      </c>
      <c r="AP361" s="13">
        <f t="shared" si="140"/>
        <v>15</v>
      </c>
      <c r="AQ361" s="13">
        <f t="shared" si="141"/>
        <v>14</v>
      </c>
      <c r="AR361" s="169">
        <f t="shared" si="142"/>
        <v>43473</v>
      </c>
      <c r="AS361" s="743">
        <f t="shared" si="143"/>
        <v>0.89655172413793105</v>
      </c>
      <c r="AT361" s="759">
        <f t="shared" si="144"/>
        <v>96.694397518141528</v>
      </c>
      <c r="AU361" s="13">
        <f t="shared" si="145"/>
        <v>13</v>
      </c>
      <c r="AV361" s="13">
        <f t="shared" si="146"/>
        <v>14</v>
      </c>
      <c r="AW361" s="169">
        <f t="shared" si="147"/>
        <v>43430</v>
      </c>
      <c r="AX361" s="743">
        <f t="shared" si="148"/>
        <v>0.6071428571428571</v>
      </c>
      <c r="AY361" s="759">
        <f t="shared" si="149"/>
        <v>97.111488481078823</v>
      </c>
      <c r="AZ361" s="736">
        <f t="shared" si="153"/>
        <v>96.902942999610175</v>
      </c>
      <c r="BA361" s="633">
        <f t="shared" si="150"/>
        <v>0.25400317929102423</v>
      </c>
      <c r="BC361" s="11">
        <v>43447</v>
      </c>
      <c r="BD361" s="286">
        <f>[2]!FeuilCaduc*(1-Persistant)+Persistant</f>
        <v>0.61831690500385694</v>
      </c>
      <c r="BE361" s="287">
        <f>[2]!CroissVégét</f>
        <v>0.99985162061643362</v>
      </c>
      <c r="BF361" s="806">
        <f>1+[2]!Salcycl*Ksac</f>
        <v>1.0022896131254821</v>
      </c>
      <c r="BH361" s="1036">
        <f t="shared" si="151"/>
        <v>6.8767720199962815E-2</v>
      </c>
      <c r="BI361" s="11">
        <v>44543</v>
      </c>
      <c r="BJ361" s="716">
        <v>2.0229292209504968E-2</v>
      </c>
      <c r="BK361" s="716">
        <v>3.0517520288381571E-2</v>
      </c>
      <c r="BL361" s="716">
        <v>4.0498274924534873E-2</v>
      </c>
      <c r="BM361" s="716">
        <v>5.0535216981377938E-2</v>
      </c>
      <c r="BN361" s="716">
        <v>5.9419731091619944E-2</v>
      </c>
      <c r="BO361" s="717">
        <v>6.8866636612170642E-2</v>
      </c>
      <c r="BP361" s="716">
        <v>7.8811789347094555E-2</v>
      </c>
      <c r="BQ361" s="716">
        <v>8.9760698491700722E-2</v>
      </c>
      <c r="BR361" s="716">
        <v>0.10183597452422638</v>
      </c>
      <c r="BS361" s="716">
        <v>0.11429829330031804</v>
      </c>
      <c r="BT361" s="716">
        <v>0.12623895332392657</v>
      </c>
      <c r="BW361" s="1166">
        <f>'2022'!R\Max</f>
        <v>0.25400317929102423</v>
      </c>
      <c r="BX361" s="1167">
        <f>'2023'!R\Max</f>
        <v>0.25385864387566176</v>
      </c>
      <c r="BY361" s="1167">
        <f>'2024'!R\Max</f>
        <v>0.25369982827390447</v>
      </c>
      <c r="BZ361" s="1167">
        <f>'2025'!R\Max</f>
        <v>0.25354070501324055</v>
      </c>
      <c r="CA361" s="1167">
        <f>'2026'!R\Max</f>
        <v>0.25336555722326143</v>
      </c>
      <c r="CB361" s="1167">
        <f>'2027'!R\Max</f>
        <v>0.25319006418826279</v>
      </c>
      <c r="CC361" s="1168">
        <f>'2028'!R\Max</f>
        <v>0.25300906479837026</v>
      </c>
      <c r="CD361" s="1167">
        <f>'2029'!R\Max</f>
        <v>0.25401040262561159</v>
      </c>
      <c r="CE361" s="1167">
        <f>'2030'!R\Max</f>
        <v>0.25386586721024912</v>
      </c>
      <c r="CF361" s="1169">
        <f>'2031'!R\Max</f>
        <v>0.25370778065394589</v>
      </c>
    </row>
    <row r="362" spans="1:84" s="6" customFormat="1" ht="11.25" x14ac:dyDescent="0.2">
      <c r="A362" s="11">
        <v>43448</v>
      </c>
      <c r="B362" s="375">
        <f>'2022'!Maxi_hp</f>
        <v>72.007464364847081</v>
      </c>
      <c r="C362" s="13">
        <f>'2022'!An_max</f>
        <v>2022</v>
      </c>
      <c r="D362" s="1045" t="str">
        <f t="shared" si="135"/>
        <v/>
      </c>
      <c r="E362" s="13"/>
      <c r="F362" s="13">
        <f t="shared" si="152"/>
        <v>27</v>
      </c>
      <c r="G362" s="13">
        <f t="shared" si="136"/>
        <v>26</v>
      </c>
      <c r="H362" s="169">
        <f t="shared" si="137"/>
        <v>43458</v>
      </c>
      <c r="I362" s="743">
        <f t="shared" si="138"/>
        <v>0.7142857142857143</v>
      </c>
      <c r="J362" s="736">
        <f t="shared" si="139"/>
        <v>96.32827172534806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38">
        <v>43448</v>
      </c>
      <c r="AP362" s="13">
        <f t="shared" si="140"/>
        <v>15</v>
      </c>
      <c r="AQ362" s="13">
        <f t="shared" si="141"/>
        <v>14</v>
      </c>
      <c r="AR362" s="169">
        <f t="shared" si="142"/>
        <v>43473</v>
      </c>
      <c r="AS362" s="743">
        <f t="shared" si="143"/>
        <v>0.86206896551724133</v>
      </c>
      <c r="AT362" s="759">
        <f t="shared" si="144"/>
        <v>96.518056742692821</v>
      </c>
      <c r="AU362" s="13">
        <f t="shared" si="145"/>
        <v>13</v>
      </c>
      <c r="AV362" s="13">
        <f t="shared" si="146"/>
        <v>14</v>
      </c>
      <c r="AW362" s="169">
        <f t="shared" si="147"/>
        <v>43430</v>
      </c>
      <c r="AX362" s="743">
        <f t="shared" si="148"/>
        <v>0.6428571428571429</v>
      </c>
      <c r="AY362" s="759">
        <f t="shared" si="149"/>
        <v>96.828900330833022</v>
      </c>
      <c r="AZ362" s="736">
        <f t="shared" si="153"/>
        <v>96.673478536762929</v>
      </c>
      <c r="BA362" s="633">
        <f t="shared" si="150"/>
        <v>0.74752160580805749</v>
      </c>
      <c r="BC362" s="11">
        <v>43448</v>
      </c>
      <c r="BD362" s="286">
        <f>[2]!FeuilCaduc*(1-Persistant)+Persistant</f>
        <v>0.61699234058646302</v>
      </c>
      <c r="BE362" s="287">
        <f>[2]!CroissVégét</f>
        <v>0.99987092117157228</v>
      </c>
      <c r="BF362" s="806">
        <f>1+[2]!Salcycl*Ksac</f>
        <v>1.0021240425733078</v>
      </c>
      <c r="BH362" s="1036">
        <f t="shared" si="151"/>
        <v>6.8691132861980711E-2</v>
      </c>
      <c r="BI362" s="11">
        <v>44544</v>
      </c>
      <c r="BJ362" s="716">
        <v>2.0341565913901311E-2</v>
      </c>
      <c r="BK362" s="716">
        <v>3.0755186256075939E-2</v>
      </c>
      <c r="BL362" s="716">
        <v>4.0791763326695027E-2</v>
      </c>
      <c r="BM362" s="716">
        <v>5.0790845092527459E-2</v>
      </c>
      <c r="BN362" s="716">
        <v>5.9509741665719429E-2</v>
      </c>
      <c r="BO362" s="717">
        <v>6.8788286406522195E-2</v>
      </c>
      <c r="BP362" s="716">
        <v>7.8586672980797009E-2</v>
      </c>
      <c r="BQ362" s="716">
        <v>8.9419728690392622E-2</v>
      </c>
      <c r="BR362" s="716">
        <v>0.10147908886323519</v>
      </c>
      <c r="BS362" s="716">
        <v>0.11394615014934344</v>
      </c>
      <c r="BT362" s="716">
        <v>0.12593737434695235</v>
      </c>
      <c r="BW362" s="1166">
        <f>'2022'!R\Max</f>
        <v>0.74752160580805749</v>
      </c>
      <c r="BX362" s="1167">
        <f>'2023'!R\Max</f>
        <v>0.74737039715976261</v>
      </c>
      <c r="BY362" s="1167">
        <f>'2024'!R\Max</f>
        <v>0.74720343202133288</v>
      </c>
      <c r="BZ362" s="1167">
        <f>'2025'!R\Max</f>
        <v>0.74703599753166861</v>
      </c>
      <c r="CA362" s="1167">
        <f>'2026'!R\Max</f>
        <v>0.74684985291755002</v>
      </c>
      <c r="CB362" s="1167">
        <f>'2027'!R\Max</f>
        <v>0.7466631437980269</v>
      </c>
      <c r="CC362" s="1168">
        <f>'2028'!R\Max</f>
        <v>0.74647008196480646</v>
      </c>
      <c r="CD362" s="1167">
        <f>'2029'!R\Max</f>
        <v>0.7475291598007775</v>
      </c>
      <c r="CE362" s="1167">
        <f>'2030'!R\Max</f>
        <v>0.74737795657231842</v>
      </c>
      <c r="CF362" s="1169">
        <f>'2031'!R\Max</f>
        <v>0.74721179627982937</v>
      </c>
    </row>
    <row r="363" spans="1:84" s="6" customFormat="1" ht="11.25" x14ac:dyDescent="0.2">
      <c r="A363" s="11">
        <v>43449</v>
      </c>
      <c r="B363" s="375">
        <f>'2022'!Maxi_hp</f>
        <v>91.83152399747874</v>
      </c>
      <c r="C363" s="13">
        <f>'2022'!An_max</f>
        <v>2021</v>
      </c>
      <c r="D363" s="1045" t="str">
        <f t="shared" si="135"/>
        <v/>
      </c>
      <c r="E363" s="13"/>
      <c r="F363" s="13">
        <f t="shared" si="152"/>
        <v>27</v>
      </c>
      <c r="G363" s="13">
        <f t="shared" si="136"/>
        <v>26</v>
      </c>
      <c r="H363" s="169">
        <f t="shared" si="137"/>
        <v>43458</v>
      </c>
      <c r="I363" s="743">
        <f t="shared" si="138"/>
        <v>0.6428571428571429</v>
      </c>
      <c r="J363" s="736">
        <f t="shared" si="139"/>
        <v>96.141997230052951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38">
        <v>43449</v>
      </c>
      <c r="AP363" s="13">
        <f t="shared" si="140"/>
        <v>15</v>
      </c>
      <c r="AQ363" s="13">
        <f t="shared" si="141"/>
        <v>14</v>
      </c>
      <c r="AR363" s="169">
        <f t="shared" si="142"/>
        <v>43473</v>
      </c>
      <c r="AS363" s="743">
        <f t="shared" si="143"/>
        <v>0.82758620689655171</v>
      </c>
      <c r="AT363" s="759">
        <f t="shared" si="144"/>
        <v>96.386615333063858</v>
      </c>
      <c r="AU363" s="13">
        <f t="shared" si="145"/>
        <v>13</v>
      </c>
      <c r="AV363" s="13">
        <f t="shared" si="146"/>
        <v>14</v>
      </c>
      <c r="AW363" s="169">
        <f t="shared" si="147"/>
        <v>43430</v>
      </c>
      <c r="AX363" s="743">
        <f t="shared" si="148"/>
        <v>0.6785714285714286</v>
      </c>
      <c r="AY363" s="759">
        <f t="shared" si="149"/>
        <v>96.586906366901729</v>
      </c>
      <c r="AZ363" s="736">
        <f t="shared" si="153"/>
        <v>96.486760849982801</v>
      </c>
      <c r="BA363" s="633">
        <f t="shared" si="150"/>
        <v>0.95516555348585164</v>
      </c>
      <c r="BC363" s="11">
        <v>43449</v>
      </c>
      <c r="BD363" s="286">
        <f>[2]!FeuilCaduc*(1-Persistant)+Persistant</f>
        <v>0.6157618622494625</v>
      </c>
      <c r="BE363" s="287">
        <f>[2]!CroissVégét</f>
        <v>0.99988944533008528</v>
      </c>
      <c r="BF363" s="806">
        <f>1+[2]!Salcycl*Ksac</f>
        <v>1.0019702327811828</v>
      </c>
      <c r="BH363" s="1036">
        <f t="shared" si="151"/>
        <v>6.8609521852020447E-2</v>
      </c>
      <c r="BI363" s="11">
        <v>44545</v>
      </c>
      <c r="BJ363" s="716">
        <v>2.0438822837187644E-2</v>
      </c>
      <c r="BK363" s="716">
        <v>3.0960267094345326E-2</v>
      </c>
      <c r="BL363" s="716">
        <v>4.1043251307916216E-2</v>
      </c>
      <c r="BM363" s="716">
        <v>5.1005816017511883E-2</v>
      </c>
      <c r="BN363" s="716">
        <v>5.957523810560459E-2</v>
      </c>
      <c r="BO363" s="717">
        <v>6.8705118768609214E-2</v>
      </c>
      <c r="BP363" s="716">
        <v>7.8378452243869079E-2</v>
      </c>
      <c r="BQ363" s="716">
        <v>8.9112300364746308E-2</v>
      </c>
      <c r="BR363" s="716">
        <v>0.10116424429326933</v>
      </c>
      <c r="BS363" s="716">
        <v>0.11363888741031714</v>
      </c>
      <c r="BT363" s="716">
        <v>0.12568076278927276</v>
      </c>
      <c r="BW363" s="1166">
        <f>'2022'!R\Max</f>
        <v>0.37269057111126558</v>
      </c>
      <c r="BX363" s="1167">
        <f>'2023'!R\Max</f>
        <v>0.37250572019879685</v>
      </c>
      <c r="BY363" s="1167">
        <f>'2024'!R\Max</f>
        <v>0.37230100535297012</v>
      </c>
      <c r="BZ363" s="1167">
        <f>'2025'!R\Max</f>
        <v>0.37209583761461479</v>
      </c>
      <c r="CA363" s="1167">
        <f>'2026'!R\Max</f>
        <v>0.37186597492318302</v>
      </c>
      <c r="CB363" s="1167">
        <f>'2027'!R\Max</f>
        <v>0.37163554871586219</v>
      </c>
      <c r="CC363" s="1168">
        <f>'2028'!R\Max</f>
        <v>0.37139717607853134</v>
      </c>
      <c r="CD363" s="1167">
        <f>'2029'!R\Max</f>
        <v>0.37269980870352526</v>
      </c>
      <c r="CE363" s="1167">
        <f>'2030'!R\Max</f>
        <v>0.37251495885534514</v>
      </c>
      <c r="CF363" s="1169">
        <f>'2031'!R\Max</f>
        <v>0.37231125817403338</v>
      </c>
    </row>
    <row r="364" spans="1:84" s="6" customFormat="1" ht="11.25" x14ac:dyDescent="0.2">
      <c r="A364" s="11">
        <v>43450</v>
      </c>
      <c r="B364" s="375">
        <f>'2022'!Maxi_hp</f>
        <v>96.573538746410236</v>
      </c>
      <c r="C364" s="13">
        <f>'2022'!An_max</f>
        <v>2021</v>
      </c>
      <c r="D364" s="1045">
        <f t="shared" si="135"/>
        <v>1.0059870723614859</v>
      </c>
      <c r="E364" s="13"/>
      <c r="F364" s="13">
        <f t="shared" si="152"/>
        <v>27</v>
      </c>
      <c r="G364" s="13">
        <f t="shared" si="136"/>
        <v>26</v>
      </c>
      <c r="H364" s="169">
        <f t="shared" si="137"/>
        <v>43458</v>
      </c>
      <c r="I364" s="743">
        <f t="shared" si="138"/>
        <v>0.5714285714285714</v>
      </c>
      <c r="J364" s="736">
        <f t="shared" si="139"/>
        <v>95.998787061657225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38">
        <v>43450</v>
      </c>
      <c r="AP364" s="13">
        <f t="shared" si="140"/>
        <v>15</v>
      </c>
      <c r="AQ364" s="13">
        <f t="shared" si="141"/>
        <v>14</v>
      </c>
      <c r="AR364" s="169">
        <f t="shared" si="142"/>
        <v>43473</v>
      </c>
      <c r="AS364" s="743">
        <f t="shared" si="143"/>
        <v>0.7931034482758621</v>
      </c>
      <c r="AT364" s="759">
        <f t="shared" si="144"/>
        <v>96.299354869949411</v>
      </c>
      <c r="AU364" s="13">
        <f t="shared" si="145"/>
        <v>13</v>
      </c>
      <c r="AV364" s="13">
        <f t="shared" si="146"/>
        <v>14</v>
      </c>
      <c r="AW364" s="169">
        <f t="shared" si="147"/>
        <v>43430</v>
      </c>
      <c r="AX364" s="743">
        <f t="shared" si="148"/>
        <v>0.7142857142857143</v>
      </c>
      <c r="AY364" s="759">
        <f t="shared" si="149"/>
        <v>96.386669012478421</v>
      </c>
      <c r="AZ364" s="736">
        <f t="shared" si="153"/>
        <v>96.343011941213916</v>
      </c>
      <c r="BA364" s="633">
        <f t="shared" si="150"/>
        <v>1.0059870723614859</v>
      </c>
      <c r="BC364" s="11">
        <v>43450</v>
      </c>
      <c r="BD364" s="286">
        <f>[2]!FeuilCaduc*(1-Persistant)+Persistant</f>
        <v>0.61462041703967107</v>
      </c>
      <c r="BE364" s="287">
        <f>[2]!CroissVégét</f>
        <v>0.9999072242967757</v>
      </c>
      <c r="BF364" s="806">
        <f>1+[2]!Salcycl*Ksac</f>
        <v>1.0018275521299589</v>
      </c>
      <c r="BH364" s="1036">
        <f t="shared" si="151"/>
        <v>6.8523002285240983E-2</v>
      </c>
      <c r="BI364" s="11">
        <v>44546</v>
      </c>
      <c r="BJ364" s="716">
        <v>2.0521099151144903E-2</v>
      </c>
      <c r="BK364" s="716">
        <v>3.1132817786465598E-2</v>
      </c>
      <c r="BL364" s="716">
        <v>4.1252811223277605E-2</v>
      </c>
      <c r="BM364" s="716">
        <v>5.1180218307886736E-2</v>
      </c>
      <c r="BN364" s="716">
        <v>5.9616321451320474E-2</v>
      </c>
      <c r="BO364" s="717">
        <v>6.861724896252748E-2</v>
      </c>
      <c r="BP364" s="716">
        <v>7.8187258888008315E-2</v>
      </c>
      <c r="BQ364" s="716">
        <v>8.8838563546584801E-2</v>
      </c>
      <c r="BR364" s="716">
        <v>0.10089161326013833</v>
      </c>
      <c r="BS364" s="716">
        <v>0.11337670008935259</v>
      </c>
      <c r="BT364" s="716">
        <v>0.12546933654930176</v>
      </c>
      <c r="BW364" s="1166">
        <f>'2022'!R\Max</f>
        <v>0.22748513688981389</v>
      </c>
      <c r="BX364" s="1167">
        <f>'2023'!R\Max</f>
        <v>0.22736060074600684</v>
      </c>
      <c r="BY364" s="1167">
        <f>'2024'!R\Max</f>
        <v>0.22722228951019319</v>
      </c>
      <c r="BZ364" s="1167">
        <f>'2025'!R\Max</f>
        <v>0.22708368229671871</v>
      </c>
      <c r="CA364" s="1167">
        <f>'2026'!R\Max</f>
        <v>0.2269272176384666</v>
      </c>
      <c r="CB364" s="1167">
        <f>'2027'!R\Max</f>
        <v>0.22677036928155481</v>
      </c>
      <c r="CC364" s="1168">
        <f>'2028'!R\Max</f>
        <v>0.2266080170161662</v>
      </c>
      <c r="CD364" s="1167">
        <f>'2029'!R\Max</f>
        <v>0.22749136073628562</v>
      </c>
      <c r="CE364" s="1167">
        <f>'2030'!R\Max</f>
        <v>0.22736682459247856</v>
      </c>
      <c r="CF364" s="1169">
        <f>'2031'!R\Max</f>
        <v>0.22722921657562303</v>
      </c>
    </row>
    <row r="365" spans="1:84" s="6" customFormat="1" ht="11.25" x14ac:dyDescent="0.2">
      <c r="A365" s="11">
        <v>43451</v>
      </c>
      <c r="B365" s="375">
        <f>'2022'!Maxi_hp</f>
        <v>97.364376896272645</v>
      </c>
      <c r="C365" s="13">
        <f>'2022'!An_max</f>
        <v>2021</v>
      </c>
      <c r="D365" s="1045">
        <f t="shared" si="135"/>
        <v>1.0152820929404727</v>
      </c>
      <c r="E365" s="13"/>
      <c r="F365" s="13">
        <f t="shared" si="152"/>
        <v>27</v>
      </c>
      <c r="G365" s="13">
        <f t="shared" si="136"/>
        <v>26</v>
      </c>
      <c r="H365" s="169">
        <f t="shared" si="137"/>
        <v>43458</v>
      </c>
      <c r="I365" s="743">
        <f t="shared" si="138"/>
        <v>0.5</v>
      </c>
      <c r="J365" s="736">
        <f t="shared" si="139"/>
        <v>95.89884188175202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38">
        <v>43451</v>
      </c>
      <c r="AP365" s="13">
        <f t="shared" si="140"/>
        <v>15</v>
      </c>
      <c r="AQ365" s="13">
        <f t="shared" si="141"/>
        <v>14</v>
      </c>
      <c r="AR365" s="169">
        <f t="shared" si="142"/>
        <v>43473</v>
      </c>
      <c r="AS365" s="743">
        <f t="shared" si="143"/>
        <v>0.75862068965517238</v>
      </c>
      <c r="AT365" s="759">
        <f t="shared" si="144"/>
        <v>96.255556984810994</v>
      </c>
      <c r="AU365" s="13">
        <f t="shared" si="145"/>
        <v>13</v>
      </c>
      <c r="AV365" s="13">
        <f t="shared" si="146"/>
        <v>14</v>
      </c>
      <c r="AW365" s="169">
        <f t="shared" si="147"/>
        <v>43430</v>
      </c>
      <c r="AX365" s="743">
        <f t="shared" si="148"/>
        <v>0.75</v>
      </c>
      <c r="AY365" s="759">
        <f t="shared" si="149"/>
        <v>96.229350703954694</v>
      </c>
      <c r="AZ365" s="736">
        <f t="shared" si="153"/>
        <v>96.242453844382851</v>
      </c>
      <c r="BA365" s="633">
        <f t="shared" si="150"/>
        <v>1.0152820929404727</v>
      </c>
      <c r="BC365" s="11">
        <v>43451</v>
      </c>
      <c r="BD365" s="286">
        <f>[2]!FeuilCaduc*(1-Persistant)+Persistant</f>
        <v>0.61356293020072572</v>
      </c>
      <c r="BE365" s="287">
        <f>[2]!CroissVégét</f>
        <v>0.99992428802440059</v>
      </c>
      <c r="BF365" s="806">
        <f>1+[2]!Salcycl*Ksac</f>
        <v>1.0016953662750907</v>
      </c>
      <c r="BH365" s="1036">
        <f t="shared" si="151"/>
        <v>6.8431688165949689E-2</v>
      </c>
      <c r="BI365" s="11">
        <v>44547</v>
      </c>
      <c r="BJ365" s="716">
        <v>2.0588430365372869E-2</v>
      </c>
      <c r="BK365" s="716">
        <v>3.1272891857776611E-2</v>
      </c>
      <c r="BL365" s="716">
        <v>4.1420513457425166E-2</v>
      </c>
      <c r="BM365" s="716">
        <v>5.1314138392258485E-2</v>
      </c>
      <c r="BN365" s="716">
        <v>5.963309097229768E-2</v>
      </c>
      <c r="BO365" s="717">
        <v>6.8524791148502504E-2</v>
      </c>
      <c r="BP365" s="716">
        <v>7.8013224567086717E-2</v>
      </c>
      <c r="BQ365" s="716">
        <v>8.859866891285155E-2</v>
      </c>
      <c r="BR365" s="716">
        <v>0.1006613695252704</v>
      </c>
      <c r="BS365" s="716">
        <v>0.11315978478932953</v>
      </c>
      <c r="BT365" s="716">
        <v>0.12530331546420281</v>
      </c>
      <c r="BW365" s="1166">
        <f>'2022'!R\Max</f>
        <v>0.14129563331573086</v>
      </c>
      <c r="BX365" s="1167">
        <f>'2023'!R\Max</f>
        <v>0.14121899330264837</v>
      </c>
      <c r="BY365" s="1167">
        <f>'2024'!R\Max</f>
        <v>0.14113367873917615</v>
      </c>
      <c r="BZ365" s="1167">
        <f>'2025'!R\Max</f>
        <v>0.14104817794496133</v>
      </c>
      <c r="CA365" s="1167">
        <f>'2026'!R\Max</f>
        <v>0.14095099583605189</v>
      </c>
      <c r="CB365" s="1167">
        <f>'2027'!R\Max</f>
        <v>0.14085356294149887</v>
      </c>
      <c r="CC365" s="1168">
        <f>'2028'!R\Max</f>
        <v>0.140752684660749</v>
      </c>
      <c r="CD365" s="1167">
        <f>'2029'!R\Max</f>
        <v>0.1412994634943476</v>
      </c>
      <c r="CE365" s="1167">
        <f>'2030'!R\Max</f>
        <v>0.14122282348126508</v>
      </c>
      <c r="CF365" s="1169">
        <f>'2031'!R\Max</f>
        <v>0.14113795174619354</v>
      </c>
    </row>
    <row r="366" spans="1:84" s="6" customFormat="1" ht="11.25" x14ac:dyDescent="0.2">
      <c r="A366" s="11">
        <v>43452</v>
      </c>
      <c r="B366" s="375">
        <f>'2022'!Maxi_hp</f>
        <v>98.158403846650032</v>
      </c>
      <c r="C366" s="13">
        <f>'2022'!An_max</f>
        <v>2021</v>
      </c>
      <c r="D366" s="1045">
        <f t="shared" si="135"/>
        <v>1.0241651129100751</v>
      </c>
      <c r="E366" s="13"/>
      <c r="F366" s="13">
        <f t="shared" si="152"/>
        <v>27</v>
      </c>
      <c r="G366" s="13">
        <f t="shared" si="136"/>
        <v>26</v>
      </c>
      <c r="H366" s="169">
        <f t="shared" si="137"/>
        <v>43458</v>
      </c>
      <c r="I366" s="743">
        <f t="shared" si="138"/>
        <v>0.42857142857142855</v>
      </c>
      <c r="J366" s="736">
        <f t="shared" si="139"/>
        <v>95.842362339156011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38">
        <v>43452</v>
      </c>
      <c r="AP366" s="13">
        <f t="shared" si="140"/>
        <v>15</v>
      </c>
      <c r="AQ366" s="13">
        <f t="shared" si="141"/>
        <v>14</v>
      </c>
      <c r="AR366" s="169">
        <f t="shared" si="142"/>
        <v>43473</v>
      </c>
      <c r="AS366" s="743">
        <f t="shared" si="143"/>
        <v>0.72413793103448276</v>
      </c>
      <c r="AT366" s="759">
        <f t="shared" si="144"/>
        <v>96.254503280952051</v>
      </c>
      <c r="AU366" s="13">
        <f t="shared" si="145"/>
        <v>13</v>
      </c>
      <c r="AV366" s="13">
        <f t="shared" si="146"/>
        <v>14</v>
      </c>
      <c r="AW366" s="169">
        <f t="shared" si="147"/>
        <v>43430</v>
      </c>
      <c r="AX366" s="743">
        <f t="shared" si="148"/>
        <v>0.7857142857142857</v>
      </c>
      <c r="AY366" s="759">
        <f t="shared" si="149"/>
        <v>96.116113858989308</v>
      </c>
      <c r="AZ366" s="736">
        <f t="shared" si="153"/>
        <v>96.185308569970687</v>
      </c>
      <c r="BA366" s="633">
        <f t="shared" si="150"/>
        <v>1.0241651129100751</v>
      </c>
      <c r="BC366" s="11">
        <v>43452</v>
      </c>
      <c r="BD366" s="286">
        <f>[2]!FeuilCaduc*(1-Persistant)+Persistant</f>
        <v>0.61258433619096941</v>
      </c>
      <c r="BE366" s="287">
        <f>[2]!CroissVégét</f>
        <v>0.99994066526373915</v>
      </c>
      <c r="BF366" s="806">
        <f>1+[2]!Salcycl*Ksac</f>
        <v>1.0015730420238711</v>
      </c>
      <c r="BH366" s="1036">
        <f t="shared" si="151"/>
        <v>6.8347232346111106E-2</v>
      </c>
      <c r="BI366" s="11">
        <v>44548</v>
      </c>
      <c r="BJ366" s="716">
        <v>2.0635289447097884E-2</v>
      </c>
      <c r="BK366" s="716">
        <v>3.1368979152071E-2</v>
      </c>
      <c r="BL366" s="716">
        <v>4.1532964362905753E-2</v>
      </c>
      <c r="BM366" s="716">
        <v>5.1397923848068051E-2</v>
      </c>
      <c r="BN366" s="716">
        <v>5.9627232695009684E-2</v>
      </c>
      <c r="BO366" s="717">
        <v>6.8439503643172278E-2</v>
      </c>
      <c r="BP366" s="716">
        <v>7.7874893259454195E-2</v>
      </c>
      <c r="BQ366" s="716">
        <v>8.8416777569970476E-2</v>
      </c>
      <c r="BR366" s="716">
        <v>0.10049582769789871</v>
      </c>
      <c r="BS366" s="716">
        <v>0.11300883485351375</v>
      </c>
      <c r="BT366" s="716">
        <v>0.12519789919663352</v>
      </c>
      <c r="BW366" s="1166">
        <f>'2022'!R\Max</f>
        <v>0.77039060872607357</v>
      </c>
      <c r="BX366" s="1167">
        <f>'2023'!R\Max</f>
        <v>0.77025442882184647</v>
      </c>
      <c r="BY366" s="1167">
        <f>'2024'!R\Max</f>
        <v>0.77010249803695585</v>
      </c>
      <c r="BZ366" s="1167">
        <f>'2025'!R\Max</f>
        <v>0.76995010838919353</v>
      </c>
      <c r="CA366" s="1167">
        <f>'2026'!R\Max</f>
        <v>0.76977581347558499</v>
      </c>
      <c r="CB366" s="1167">
        <f>'2027'!R\Max</f>
        <v>0.76960088933198889</v>
      </c>
      <c r="CC366" s="1168">
        <f>'2028'!R\Max</f>
        <v>0.76941964148798536</v>
      </c>
      <c r="CD366" s="1167">
        <f>'2029'!R\Max</f>
        <v>0.7703974118960667</v>
      </c>
      <c r="CE366" s="1167">
        <f>'2030'!R\Max</f>
        <v>0.77026123692171566</v>
      </c>
      <c r="CF366" s="1169">
        <f>'2031'!R\Max</f>
        <v>0.77011011065868606</v>
      </c>
    </row>
    <row r="367" spans="1:84" s="6" customFormat="1" ht="11.25" x14ac:dyDescent="0.2">
      <c r="A367" s="11">
        <v>43453</v>
      </c>
      <c r="B367" s="375">
        <f>'2022'!Maxi_hp</f>
        <v>96.560601713863988</v>
      </c>
      <c r="C367" s="13">
        <f>'2022'!An_max</f>
        <v>2021</v>
      </c>
      <c r="D367" s="1045">
        <f t="shared" si="135"/>
        <v>1.0076286764680205</v>
      </c>
      <c r="E367" s="13"/>
      <c r="F367" s="13">
        <f t="shared" si="152"/>
        <v>27</v>
      </c>
      <c r="G367" s="13">
        <f t="shared" si="136"/>
        <v>26</v>
      </c>
      <c r="H367" s="169">
        <f t="shared" si="137"/>
        <v>43458</v>
      </c>
      <c r="I367" s="743">
        <f t="shared" si="138"/>
        <v>0.35714285714285715</v>
      </c>
      <c r="J367" s="736">
        <f t="shared" si="139"/>
        <v>95.829549087796892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38">
        <v>43453</v>
      </c>
      <c r="AP367" s="13">
        <f t="shared" si="140"/>
        <v>15</v>
      </c>
      <c r="AQ367" s="13">
        <f t="shared" si="141"/>
        <v>14</v>
      </c>
      <c r="AR367" s="169">
        <f t="shared" si="142"/>
        <v>43473</v>
      </c>
      <c r="AS367" s="743">
        <f t="shared" si="143"/>
        <v>0.68965517241379315</v>
      </c>
      <c r="AT367" s="759">
        <f t="shared" si="144"/>
        <v>96.295475347494261</v>
      </c>
      <c r="AU367" s="13">
        <f t="shared" si="145"/>
        <v>13</v>
      </c>
      <c r="AV367" s="13">
        <f t="shared" si="146"/>
        <v>14</v>
      </c>
      <c r="AW367" s="169">
        <f t="shared" si="147"/>
        <v>43430</v>
      </c>
      <c r="AX367" s="743">
        <f t="shared" si="148"/>
        <v>0.8214285714285714</v>
      </c>
      <c r="AY367" s="759">
        <f t="shared" si="149"/>
        <v>96.048120933132509</v>
      </c>
      <c r="AZ367" s="736">
        <f t="shared" si="153"/>
        <v>96.171798140313385</v>
      </c>
      <c r="BA367" s="633">
        <f t="shared" si="150"/>
        <v>1.0076286764680205</v>
      </c>
      <c r="BC367" s="11">
        <v>43453</v>
      </c>
      <c r="BD367" s="286">
        <f>[2]!FeuilCaduc*(1-Persistant)+Persistant</f>
        <v>0.61167960854563364</v>
      </c>
      <c r="BE367" s="287">
        <f>[2]!CroissVégét</f>
        <v>0.99995638361167161</v>
      </c>
      <c r="BF367" s="806">
        <f>1+[2]!Salcycl*Ksac</f>
        <v>1.0014599510682043</v>
      </c>
      <c r="BH367" s="1036">
        <f t="shared" si="151"/>
        <v>6.8287146514324104E-2</v>
      </c>
      <c r="BI367" s="11">
        <v>44549</v>
      </c>
      <c r="BJ367" s="716">
        <v>2.0671430328733163E-2</v>
      </c>
      <c r="BK367" s="716">
        <v>3.1442564212819261E-2</v>
      </c>
      <c r="BL367" s="716">
        <v>4.1619311741809058E-2</v>
      </c>
      <c r="BM367" s="716">
        <v>5.1463239025155406E-2</v>
      </c>
      <c r="BN367" s="716">
        <v>5.9625692269910713E-2</v>
      </c>
      <c r="BO367" s="717">
        <v>6.8378798308996708E-2</v>
      </c>
      <c r="BP367" s="716">
        <v>7.777484684229892E-2</v>
      </c>
      <c r="BQ367" s="716">
        <v>8.8284557634660435E-2</v>
      </c>
      <c r="BR367" s="716">
        <v>0.10037645118119708</v>
      </c>
      <c r="BS367" s="716">
        <v>0.11290100398287094</v>
      </c>
      <c r="BT367" s="716">
        <v>0.12512481057615468</v>
      </c>
      <c r="BW367" s="1166">
        <f>'2022'!R\Max</f>
        <v>0.74061913197299489</v>
      </c>
      <c r="BX367" s="1167">
        <f>'2023'!R\Max</f>
        <v>0.74047205816061046</v>
      </c>
      <c r="BY367" s="1167">
        <f>'2024'!R\Max</f>
        <v>0.74030780105322946</v>
      </c>
      <c r="BZ367" s="1167">
        <f>'2025'!R\Max</f>
        <v>0.74014305363902166</v>
      </c>
      <c r="CA367" s="1167">
        <f>'2026'!R\Max</f>
        <v>0.73995387143503355</v>
      </c>
      <c r="CB367" s="1167">
        <f>'2027'!R\Max</f>
        <v>0.73976400351490934</v>
      </c>
      <c r="CC367" s="1168">
        <f>'2028'!R\Max</f>
        <v>0.73956731047443947</v>
      </c>
      <c r="CD367" s="1167">
        <f>'2029'!R\Max</f>
        <v>0.74062647956364114</v>
      </c>
      <c r="CE367" s="1167">
        <f>'2030'!R\Max</f>
        <v>0.74047941071110601</v>
      </c>
      <c r="CF367" s="1169">
        <f>'2031'!R\Max</f>
        <v>0.74031603124296752</v>
      </c>
    </row>
    <row r="368" spans="1:84" s="6" customFormat="1" ht="11.25" x14ac:dyDescent="0.2">
      <c r="A368" s="11">
        <v>43454</v>
      </c>
      <c r="B368" s="375">
        <f>'2022'!Maxi_hp</f>
        <v>98.669245392496961</v>
      </c>
      <c r="C368" s="13">
        <f>'2022'!An_max</f>
        <v>2021</v>
      </c>
      <c r="D368" s="1045">
        <f t="shared" si="135"/>
        <v>1.0292992378856456</v>
      </c>
      <c r="E368" s="13"/>
      <c r="F368" s="13">
        <f t="shared" si="152"/>
        <v>27</v>
      </c>
      <c r="G368" s="13">
        <f t="shared" si="136"/>
        <v>26</v>
      </c>
      <c r="H368" s="169">
        <f t="shared" si="137"/>
        <v>43458</v>
      </c>
      <c r="I368" s="743">
        <f t="shared" si="138"/>
        <v>0.2857142857142857</v>
      </c>
      <c r="J368" s="736">
        <f t="shared" si="139"/>
        <v>95.860602787562783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38">
        <v>43454</v>
      </c>
      <c r="AP368" s="13">
        <f t="shared" si="140"/>
        <v>15</v>
      </c>
      <c r="AQ368" s="13">
        <f t="shared" si="141"/>
        <v>14</v>
      </c>
      <c r="AR368" s="169">
        <f t="shared" si="142"/>
        <v>43473</v>
      </c>
      <c r="AS368" s="743">
        <f t="shared" si="143"/>
        <v>0.65517241379310343</v>
      </c>
      <c r="AT368" s="759">
        <f t="shared" si="144"/>
        <v>96.377754789179761</v>
      </c>
      <c r="AU368" s="13">
        <f t="shared" si="145"/>
        <v>13</v>
      </c>
      <c r="AV368" s="13">
        <f t="shared" si="146"/>
        <v>14</v>
      </c>
      <c r="AW368" s="169">
        <f t="shared" si="147"/>
        <v>43430</v>
      </c>
      <c r="AX368" s="743">
        <f t="shared" si="148"/>
        <v>0.8571428571428571</v>
      </c>
      <c r="AY368" s="759">
        <f t="shared" si="149"/>
        <v>96.026534340211327</v>
      </c>
      <c r="AZ368" s="736">
        <f t="shared" si="153"/>
        <v>96.202144564695544</v>
      </c>
      <c r="BA368" s="633">
        <f t="shared" si="150"/>
        <v>1.0292992378856456</v>
      </c>
      <c r="BC368" s="11">
        <v>43454</v>
      </c>
      <c r="BD368" s="286">
        <f>[2]!FeuilCaduc*(1-Persistant)+Persistant</f>
        <v>0.61084378837758946</v>
      </c>
      <c r="BE368" s="287">
        <f>[2]!CroissVégét</f>
        <v>0.99997146955734828</v>
      </c>
      <c r="BF368" s="806">
        <f>1+[2]!Salcycl*Ksac</f>
        <v>1.0013554735471988</v>
      </c>
      <c r="BH368" s="1036">
        <f t="shared" si="151"/>
        <v>6.8251554903801359E-2</v>
      </c>
      <c r="BI368" s="11">
        <v>44550</v>
      </c>
      <c r="BJ368" s="716">
        <v>2.0696886519483836E-2</v>
      </c>
      <c r="BK368" s="716">
        <v>3.1493696605803569E-2</v>
      </c>
      <c r="BL368" s="716">
        <v>4.1679622036232079E-2</v>
      </c>
      <c r="BM368" s="716">
        <v>5.1510169207499401E-2</v>
      </c>
      <c r="BN368" s="716">
        <v>5.9628574331645291E-2</v>
      </c>
      <c r="BO368" s="717">
        <v>6.8342799586572134E-2</v>
      </c>
      <c r="BP368" s="716">
        <v>7.771322919396588E-2</v>
      </c>
      <c r="BQ368" s="716">
        <v>8.8202173834546746E-2</v>
      </c>
      <c r="BR368" s="716">
        <v>0.10030342493006682</v>
      </c>
      <c r="BS368" s="716">
        <v>0.11283649821587614</v>
      </c>
      <c r="BT368" s="716">
        <v>0.12508427444801706</v>
      </c>
      <c r="BW368" s="1166">
        <f>'2022'!R\Max</f>
        <v>0.19350626506466523</v>
      </c>
      <c r="BX368" s="1167">
        <f>'2023'!R\Max</f>
        <v>0.19340303000386685</v>
      </c>
      <c r="BY368" s="1167">
        <f>'2024'!R\Max</f>
        <v>0.19328773055118398</v>
      </c>
      <c r="BZ368" s="1167">
        <f>'2025'!R\Max</f>
        <v>0.19317217268638484</v>
      </c>
      <c r="CA368" s="1167">
        <f>'2026'!R\Max</f>
        <v>0.19303922436176082</v>
      </c>
      <c r="CB368" s="1167">
        <f>'2027'!R\Max</f>
        <v>0.19290590353817796</v>
      </c>
      <c r="CC368" s="1168">
        <f>'2028'!R\Max</f>
        <v>0.19276792504914345</v>
      </c>
      <c r="CD368" s="1167">
        <f>'2029'!R\Max</f>
        <v>0.19351142436339794</v>
      </c>
      <c r="CE368" s="1167">
        <f>'2030'!R\Max</f>
        <v>0.19340818930259948</v>
      </c>
      <c r="CF368" s="1169">
        <f>'2031'!R\Max</f>
        <v>0.19329350569715467</v>
      </c>
    </row>
    <row r="369" spans="1:84" s="6" customFormat="1" ht="11.25" x14ac:dyDescent="0.2">
      <c r="A369" s="11">
        <v>43455</v>
      </c>
      <c r="B369" s="375">
        <f>'2022'!Maxi_hp</f>
        <v>87.695365898496206</v>
      </c>
      <c r="C369" s="13">
        <f>'2022'!An_max</f>
        <v>2022</v>
      </c>
      <c r="D369" s="1045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69">
        <f t="shared" si="137"/>
        <v>43458</v>
      </c>
      <c r="I369" s="743">
        <f t="shared" si="138"/>
        <v>0.21428571428571427</v>
      </c>
      <c r="J369" s="736">
        <f t="shared" si="139"/>
        <v>95.935724056192811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38">
        <v>43455</v>
      </c>
      <c r="AP369" s="13">
        <f t="shared" si="140"/>
        <v>15</v>
      </c>
      <c r="AQ369" s="13">
        <f t="shared" si="141"/>
        <v>14</v>
      </c>
      <c r="AR369" s="169">
        <f t="shared" si="142"/>
        <v>43473</v>
      </c>
      <c r="AS369" s="743">
        <f t="shared" si="143"/>
        <v>0.62068965517241381</v>
      </c>
      <c r="AT369" s="759">
        <f t="shared" si="144"/>
        <v>96.500623225549162</v>
      </c>
      <c r="AU369" s="13">
        <f t="shared" si="145"/>
        <v>13</v>
      </c>
      <c r="AV369" s="13">
        <f t="shared" si="146"/>
        <v>14</v>
      </c>
      <c r="AW369" s="169">
        <f t="shared" si="147"/>
        <v>43430</v>
      </c>
      <c r="AX369" s="743">
        <f t="shared" si="148"/>
        <v>0.8928571428571429</v>
      </c>
      <c r="AY369" s="759">
        <f t="shared" si="149"/>
        <v>96.052516522577832</v>
      </c>
      <c r="AZ369" s="736">
        <f t="shared" si="153"/>
        <v>96.276569874063497</v>
      </c>
      <c r="BA369" s="633">
        <f t="shared" si="150"/>
        <v>0.91410542591131172</v>
      </c>
      <c r="BC369" s="11">
        <v>43455</v>
      </c>
      <c r="BD369" s="286">
        <f>[2]!FeuilCaduc*(1-Persistant)+Persistant</f>
        <v>0.61007201132608702</v>
      </c>
      <c r="BE369" s="287">
        <f>[2]!CroissVégét</f>
        <v>0.99998594852652212</v>
      </c>
      <c r="BF369" s="806">
        <f>1+[2]!Salcycl*Ksac</f>
        <v>1.001259001415761</v>
      </c>
      <c r="BH369" s="1036">
        <f t="shared" si="151"/>
        <v>6.824058424192285E-2</v>
      </c>
      <c r="BI369" s="11">
        <v>44551</v>
      </c>
      <c r="BJ369" s="716">
        <v>2.0711690327568928E-2</v>
      </c>
      <c r="BK369" s="716">
        <v>3.152242339993399E-2</v>
      </c>
      <c r="BL369" s="716">
        <v>4.1713958781241962E-2</v>
      </c>
      <c r="BM369" s="716">
        <v>5.1538797576965688E-2</v>
      </c>
      <c r="BN369" s="716">
        <v>5.9635983859269825E-2</v>
      </c>
      <c r="BO369" s="717">
        <v>6.8331634433409963E-2</v>
      </c>
      <c r="BP369" s="716">
        <v>7.7690188171626748E-2</v>
      </c>
      <c r="BQ369" s="716">
        <v>8.8169796085339883E-2</v>
      </c>
      <c r="BR369" s="716">
        <v>0.10027693868369769</v>
      </c>
      <c r="BS369" s="716">
        <v>0.11281552802031609</v>
      </c>
      <c r="BT369" s="716">
        <v>0.1250765188952131</v>
      </c>
      <c r="BW369" s="1166">
        <f>'2022'!R\Max</f>
        <v>0.91410542591131172</v>
      </c>
      <c r="BX369" s="1167">
        <f>'2023'!R\Max</f>
        <v>0.91404576920675951</v>
      </c>
      <c r="BY369" s="1167">
        <f>'2024'!R\Max</f>
        <v>0.91397905012584169</v>
      </c>
      <c r="BZ369" s="1167">
        <f>'2025'!R\Max</f>
        <v>0.91391211125290506</v>
      </c>
      <c r="CA369" s="1167">
        <f>'2026'!R\Max</f>
        <v>0.91383490742410611</v>
      </c>
      <c r="CB369" s="1167">
        <f>'2027'!R\Max</f>
        <v>0.91375739191996075</v>
      </c>
      <c r="CC369" s="1168">
        <f>'2028'!R\Max</f>
        <v>0.91367707313730917</v>
      </c>
      <c r="CD369" s="1167">
        <f>'2029'!R\Max</f>
        <v>0.91410840586796227</v>
      </c>
      <c r="CE369" s="1167">
        <f>'2030'!R\Max</f>
        <v>0.91404875194561408</v>
      </c>
      <c r="CF369" s="1169">
        <f>'2031'!R\Max</f>
        <v>0.91398239364143918</v>
      </c>
    </row>
    <row r="370" spans="1:84" s="6" customFormat="1" ht="11.25" x14ac:dyDescent="0.2">
      <c r="A370" s="11">
        <v>43456</v>
      </c>
      <c r="B370" s="375">
        <f>'2022'!Maxi_hp</f>
        <v>94.664901862942699</v>
      </c>
      <c r="C370" s="13">
        <f>'2022'!An_max</f>
        <v>2021</v>
      </c>
      <c r="D370" s="1045">
        <f t="shared" si="135"/>
        <v>0.98552693676848357</v>
      </c>
      <c r="E370" s="13"/>
      <c r="F370" s="13">
        <f t="shared" si="152"/>
        <v>27</v>
      </c>
      <c r="G370" s="13">
        <f t="shared" si="136"/>
        <v>26</v>
      </c>
      <c r="H370" s="169">
        <f t="shared" si="137"/>
        <v>43458</v>
      </c>
      <c r="I370" s="743">
        <f t="shared" si="138"/>
        <v>0.14285714285714285</v>
      </c>
      <c r="J370" s="736">
        <f t="shared" si="139"/>
        <v>96.055113595724109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38">
        <v>43456</v>
      </c>
      <c r="AP370" s="13">
        <f t="shared" si="140"/>
        <v>15</v>
      </c>
      <c r="AQ370" s="13">
        <f t="shared" si="141"/>
        <v>14</v>
      </c>
      <c r="AR370" s="169">
        <f t="shared" si="142"/>
        <v>43473</v>
      </c>
      <c r="AS370" s="743">
        <f t="shared" si="143"/>
        <v>0.58620689655172409</v>
      </c>
      <c r="AT370" s="759">
        <f t="shared" si="144"/>
        <v>96.663362246751788</v>
      </c>
      <c r="AU370" s="13">
        <f t="shared" si="145"/>
        <v>13</v>
      </c>
      <c r="AV370" s="13">
        <f t="shared" si="146"/>
        <v>14</v>
      </c>
      <c r="AW370" s="169">
        <f t="shared" si="147"/>
        <v>43430</v>
      </c>
      <c r="AX370" s="743">
        <f t="shared" si="148"/>
        <v>0.9285714285714286</v>
      </c>
      <c r="AY370" s="759">
        <f t="shared" si="149"/>
        <v>96.127229902999744</v>
      </c>
      <c r="AZ370" s="736">
        <f t="shared" si="153"/>
        <v>96.395296074875773</v>
      </c>
      <c r="BA370" s="633">
        <f t="shared" si="150"/>
        <v>0.98552693676848357</v>
      </c>
      <c r="BC370" s="11">
        <v>43456</v>
      </c>
      <c r="BD370" s="286">
        <f>[2]!FeuilCaduc*(1-Persistant)+Persistant</f>
        <v>0.60935953277953325</v>
      </c>
      <c r="BE370" s="287">
        <f>[2]!CroissVégét</f>
        <v>0.99999984492411664</v>
      </c>
      <c r="BF370" s="806">
        <f>1+[2]!Salcycl*Ksac</f>
        <v>1.0011699415974418</v>
      </c>
      <c r="BH370" s="1036">
        <f t="shared" si="151"/>
        <v>6.8254364149664667E-2</v>
      </c>
      <c r="BI370" s="11">
        <v>44552</v>
      </c>
      <c r="BJ370" s="718">
        <v>2.0715872665470366E-2</v>
      </c>
      <c r="BK370" s="718">
        <v>3.1528788762878568E-2</v>
      </c>
      <c r="BL370" s="718">
        <v>4.1722382133854451E-2</v>
      </c>
      <c r="BM370" s="718">
        <v>5.154920487173939E-2</v>
      </c>
      <c r="BN370" s="718">
        <v>5.9648026229141095E-2</v>
      </c>
      <c r="BO370" s="719">
        <v>6.834543272703246E-2</v>
      </c>
      <c r="BP370" s="718">
        <v>7.7705876249877306E-2</v>
      </c>
      <c r="BQ370" s="718">
        <v>8.818760032411023E-2</v>
      </c>
      <c r="BR370" s="718">
        <v>0.1002971877331313</v>
      </c>
      <c r="BS370" s="718">
        <v>0.11283830900300014</v>
      </c>
      <c r="BT370" s="718">
        <v>0.12510177575533807</v>
      </c>
      <c r="BW370" s="1166">
        <f>'2022'!R\Max</f>
        <v>0.76044311333441661</v>
      </c>
      <c r="BX370" s="1167">
        <f>'2023'!R\Max</f>
        <v>0.7603050236072596</v>
      </c>
      <c r="BY370" s="1167">
        <f>'2024'!R\Max</f>
        <v>0.76015062452851578</v>
      </c>
      <c r="BZ370" s="1167">
        <f>'2025'!R\Max</f>
        <v>0.75999575781820294</v>
      </c>
      <c r="CA370" s="1167">
        <f>'2026'!R\Max</f>
        <v>0.75981719293496364</v>
      </c>
      <c r="CB370" s="1167">
        <f>'2027'!R\Max</f>
        <v>0.75963796212188062</v>
      </c>
      <c r="CC370" s="1168">
        <f>'2028'!R\Max</f>
        <v>0.75945230719505386</v>
      </c>
      <c r="CD370" s="1167">
        <f>'2029'!R\Max</f>
        <v>0.76045001200878659</v>
      </c>
      <c r="CE370" s="1167">
        <f>'2030'!R\Max</f>
        <v>0.76031192709976936</v>
      </c>
      <c r="CF370" s="1169">
        <f>'2031'!R\Max</f>
        <v>0.76015836100382406</v>
      </c>
    </row>
    <row r="371" spans="1:84" s="6" customFormat="1" ht="11.25" x14ac:dyDescent="0.2">
      <c r="A371" s="11">
        <v>43457</v>
      </c>
      <c r="B371" s="375">
        <f>'2022'!Maxi_hp</f>
        <v>74.928334057656301</v>
      </c>
      <c r="C371" s="13">
        <f>'2022'!An_max</f>
        <v>2022</v>
      </c>
      <c r="D371" s="1045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69">
        <f t="shared" si="137"/>
        <v>43458</v>
      </c>
      <c r="I371" s="743">
        <f t="shared" si="138"/>
        <v>7.1428571428571425E-2</v>
      </c>
      <c r="J371" s="736">
        <f t="shared" si="139"/>
        <v>96.218972023895816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38">
        <v>43457</v>
      </c>
      <c r="AP371" s="13">
        <f t="shared" si="140"/>
        <v>15</v>
      </c>
      <c r="AQ371" s="13">
        <f t="shared" si="141"/>
        <v>14</v>
      </c>
      <c r="AR371" s="169">
        <f t="shared" si="142"/>
        <v>43473</v>
      </c>
      <c r="AS371" s="743">
        <f t="shared" si="143"/>
        <v>0.55172413793103448</v>
      </c>
      <c r="AT371" s="759">
        <f t="shared" si="144"/>
        <v>96.865253457324258</v>
      </c>
      <c r="AU371" s="13">
        <f t="shared" si="145"/>
        <v>13</v>
      </c>
      <c r="AV371" s="13">
        <f t="shared" si="146"/>
        <v>14</v>
      </c>
      <c r="AW371" s="169">
        <f t="shared" si="147"/>
        <v>43430</v>
      </c>
      <c r="AX371" s="743">
        <f t="shared" si="148"/>
        <v>0.9642857142857143</v>
      </c>
      <c r="AY371" s="759">
        <f t="shared" si="149"/>
        <v>96.251836917442944</v>
      </c>
      <c r="AZ371" s="736">
        <f t="shared" si="153"/>
        <v>96.558545187383601</v>
      </c>
      <c r="BA371" s="633">
        <f t="shared" si="150"/>
        <v>0.77872723519690046</v>
      </c>
      <c r="BC371" s="11">
        <v>43457</v>
      </c>
      <c r="BD371" s="286">
        <f>[2]!FeuilCaduc*(1-Persistant)+Persistant</f>
        <v>0.60870175121632608</v>
      </c>
      <c r="BE371" s="287">
        <f>[2]!CroissVégét</f>
        <v>0.99999984492411664</v>
      </c>
      <c r="BF371" s="806">
        <f>1+[2]!Salcycl*Ksac</f>
        <v>1.0010877189020408</v>
      </c>
      <c r="BH371" s="1036">
        <f t="shared" si="151"/>
        <v>6.8293067144087213E-2</v>
      </c>
      <c r="BI371" s="11">
        <v>44553</v>
      </c>
      <c r="BJ371" s="716">
        <v>2.0709474864578352E-2</v>
      </c>
      <c r="BK371" s="716">
        <v>3.1512851830953141E-2</v>
      </c>
      <c r="BL371" s="716">
        <v>4.1704972586669081E-2</v>
      </c>
      <c r="BM371" s="716">
        <v>5.1541498933603401E-2</v>
      </c>
      <c r="BN371" s="716">
        <v>5.9664841867367348E-2</v>
      </c>
      <c r="BO371" s="717">
        <v>6.8384367324072701E-2</v>
      </c>
      <c r="BP371" s="716">
        <v>7.7760496252544067E-2</v>
      </c>
      <c r="BQ371" s="716">
        <v>8.8255820521997555E-2</v>
      </c>
      <c r="BR371" s="716">
        <v>0.10036443189002636</v>
      </c>
      <c r="BS371" s="716">
        <v>0.11290512809300578</v>
      </c>
      <c r="BT371" s="716">
        <v>0.12516035371777418</v>
      </c>
      <c r="BW371" s="1166">
        <f>'2022'!R\Max</f>
        <v>0.77872723519690046</v>
      </c>
      <c r="BX371" s="1167">
        <f>'2023'!R\Max</f>
        <v>0.77859676152972823</v>
      </c>
      <c r="BY371" s="1167">
        <f>'2024'!R\Max</f>
        <v>0.77845092793346171</v>
      </c>
      <c r="BZ371" s="1167">
        <f>'2025'!R\Max</f>
        <v>0.77830464931944487</v>
      </c>
      <c r="CA371" s="1167">
        <f>'2026'!R\Max</f>
        <v>0.77813620931357552</v>
      </c>
      <c r="CB371" s="1167">
        <f>'2027'!R\Max</f>
        <v>0.7779671397537018</v>
      </c>
      <c r="CC371" s="1168">
        <f>'2028'!R\Max</f>
        <v>0.77779199633375473</v>
      </c>
      <c r="CD371" s="1167">
        <f>'2029'!R\Max</f>
        <v>0.7787337532967229</v>
      </c>
      <c r="CE371" s="1167">
        <f>'2030'!R\Max</f>
        <v>0.77860328435744097</v>
      </c>
      <c r="CF371" s="1169">
        <f>'2031'!R\Max</f>
        <v>0.77845823526976854</v>
      </c>
    </row>
    <row r="372" spans="1:84" s="6" customFormat="1" ht="11.25" x14ac:dyDescent="0.2">
      <c r="A372" s="11">
        <v>43458</v>
      </c>
      <c r="B372" s="375">
        <f>'2022'!Maxi_hp</f>
        <v>90.976752342658557</v>
      </c>
      <c r="C372" s="13">
        <f>'2022'!An_max</f>
        <v>2022</v>
      </c>
      <c r="D372" s="1045" t="str">
        <f t="shared" si="135"/>
        <v/>
      </c>
      <c r="E372" s="1040">
        <f>AM$13/10</f>
        <v>96.427499999999995</v>
      </c>
      <c r="F372" s="13">
        <f t="shared" si="152"/>
        <v>27</v>
      </c>
      <c r="G372" s="13">
        <f t="shared" si="136"/>
        <v>28</v>
      </c>
      <c r="H372" s="169">
        <f t="shared" si="137"/>
        <v>43458</v>
      </c>
      <c r="I372" s="743">
        <f t="shared" si="138"/>
        <v>0</v>
      </c>
      <c r="J372" s="736">
        <f t="shared" si="139"/>
        <v>96.427499997615811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38">
        <v>43458</v>
      </c>
      <c r="AP372" s="13">
        <f t="shared" si="140"/>
        <v>15</v>
      </c>
      <c r="AQ372" s="13">
        <f t="shared" si="141"/>
        <v>14</v>
      </c>
      <c r="AR372" s="169">
        <f t="shared" si="142"/>
        <v>43473</v>
      </c>
      <c r="AS372" s="743">
        <f t="shared" si="143"/>
        <v>0.51724137931034486</v>
      </c>
      <c r="AT372" s="759">
        <f t="shared" si="144"/>
        <v>97.105578473518634</v>
      </c>
      <c r="AU372" s="13">
        <f t="shared" si="145"/>
        <v>15</v>
      </c>
      <c r="AV372" s="13">
        <f t="shared" si="146"/>
        <v>14</v>
      </c>
      <c r="AW372" s="169">
        <f t="shared" si="147"/>
        <v>43487</v>
      </c>
      <c r="AX372" s="743">
        <f t="shared" si="148"/>
        <v>1</v>
      </c>
      <c r="AY372" s="759">
        <f t="shared" si="149"/>
        <v>96.427499997615811</v>
      </c>
      <c r="AZ372" s="736">
        <f t="shared" si="153"/>
        <v>96.766539235567222</v>
      </c>
      <c r="BA372" s="633">
        <f t="shared" si="150"/>
        <v>0.9434730999446006</v>
      </c>
      <c r="BC372" s="11">
        <v>43458</v>
      </c>
      <c r="BD372" s="286">
        <f>[2]!FeuilCaduc*(1-Persistant)+Persistant</f>
        <v>0.60809422952685477</v>
      </c>
      <c r="BE372" s="287">
        <f>[2]!CroissVégét</f>
        <v>0.99999984492411664</v>
      </c>
      <c r="BF372" s="806">
        <f>1+[2]!Salcycl*Ksac</f>
        <v>1.0010117786908568</v>
      </c>
      <c r="BH372" s="1036">
        <f t="shared" si="151"/>
        <v>6.8356702138263545E-2</v>
      </c>
      <c r="BI372" s="11">
        <v>44554</v>
      </c>
      <c r="BJ372" s="716">
        <v>2.0692485744102353E-2</v>
      </c>
      <c r="BK372" s="716">
        <v>3.1474590842773986E-2</v>
      </c>
      <c r="BL372" s="716">
        <v>4.1661704158887487E-2</v>
      </c>
      <c r="BM372" s="716">
        <v>5.1515658226762961E-2</v>
      </c>
      <c r="BN372" s="716">
        <v>5.9686425547553011E-2</v>
      </c>
      <c r="BO372" s="717">
        <v>6.8448447287221534E-2</v>
      </c>
      <c r="BP372" s="716">
        <v>7.7854066406668573E-2</v>
      </c>
      <c r="BQ372" s="716">
        <v>8.8374482134422741E-2</v>
      </c>
      <c r="BR372" s="716">
        <v>0.1004786921891629</v>
      </c>
      <c r="BS372" s="716">
        <v>0.11301600219521783</v>
      </c>
      <c r="BT372" s="716">
        <v>0.12525225966012107</v>
      </c>
      <c r="BW372" s="1166">
        <f>'2022'!R\Max</f>
        <v>0.9434730999446006</v>
      </c>
      <c r="BX372" s="1167">
        <f>'2023'!R\Max</f>
        <v>0.94343271324499245</v>
      </c>
      <c r="BY372" s="1167">
        <f>'2024'!R\Max</f>
        <v>0.94338759346287826</v>
      </c>
      <c r="BZ372" s="1167">
        <f>'2025'!R\Max</f>
        <v>0.94334232402766405</v>
      </c>
      <c r="CA372" s="1167">
        <f>'2026'!R\Max</f>
        <v>0.94329032132199864</v>
      </c>
      <c r="CB372" s="1167">
        <f>'2027'!R\Max</f>
        <v>0.94323811024608362</v>
      </c>
      <c r="CC372" s="1168">
        <f>'2028'!R\Max</f>
        <v>0.94318400094533905</v>
      </c>
      <c r="CD372" s="1167">
        <f>'2029'!R\Max</f>
        <v>0.94347511728702338</v>
      </c>
      <c r="CE372" s="1167">
        <f>'2030'!R\Max</f>
        <v>0.94343473255440169</v>
      </c>
      <c r="CF372" s="1169">
        <f>'2031'!R\Max</f>
        <v>0.94338985456269053</v>
      </c>
    </row>
    <row r="373" spans="1:84" s="6" customFormat="1" ht="11.25" x14ac:dyDescent="0.2">
      <c r="A373" s="11">
        <v>43459</v>
      </c>
      <c r="B373" s="375">
        <f>'2022'!Maxi_hp</f>
        <v>51.242914990757299</v>
      </c>
      <c r="C373" s="13">
        <f>'2022'!An_max</f>
        <v>2022</v>
      </c>
      <c r="D373" s="1045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69">
        <f t="shared" si="137"/>
        <v>43458</v>
      </c>
      <c r="I373" s="743">
        <f t="shared" si="138"/>
        <v>6.6666666666666666E-2</v>
      </c>
      <c r="J373" s="736">
        <f t="shared" si="139"/>
        <v>96.684832494656249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38">
        <v>43459</v>
      </c>
      <c r="AP373" s="13">
        <f t="shared" si="140"/>
        <v>15</v>
      </c>
      <c r="AQ373" s="13">
        <f t="shared" si="141"/>
        <v>14</v>
      </c>
      <c r="AR373" s="169">
        <f t="shared" si="142"/>
        <v>43473</v>
      </c>
      <c r="AS373" s="743">
        <f t="shared" si="143"/>
        <v>0.48275862068965519</v>
      </c>
      <c r="AT373" s="759">
        <f t="shared" si="144"/>
        <v>97.383618881784628</v>
      </c>
      <c r="AU373" s="13">
        <f t="shared" si="145"/>
        <v>15</v>
      </c>
      <c r="AV373" s="13">
        <f t="shared" si="146"/>
        <v>14</v>
      </c>
      <c r="AW373" s="169">
        <f t="shared" si="147"/>
        <v>43487</v>
      </c>
      <c r="AX373" s="743">
        <f t="shared" si="148"/>
        <v>0.96551724137931039</v>
      </c>
      <c r="AY373" s="759">
        <f t="shared" si="149"/>
        <v>96.658480110970032</v>
      </c>
      <c r="AZ373" s="736">
        <f t="shared" si="153"/>
        <v>97.02104949637733</v>
      </c>
      <c r="BA373" s="633">
        <f t="shared" si="150"/>
        <v>0.52999952183388732</v>
      </c>
      <c r="BC373" s="11">
        <v>43459</v>
      </c>
      <c r="BD373" s="286">
        <f>[2]!FeuilCaduc*(1-Persistant)+Persistant</f>
        <v>0.60753271419984134</v>
      </c>
      <c r="BE373" s="287">
        <f>[2]!CroissVégét</f>
        <v>0.99999984492411664</v>
      </c>
      <c r="BF373" s="806">
        <f>1+[2]!Salcycl*Ksac</f>
        <v>1.0009415892749802</v>
      </c>
      <c r="BH373" s="1036">
        <f t="shared" si="151"/>
        <v>6.8445143395369654E-2</v>
      </c>
      <c r="BI373" s="11">
        <v>44555</v>
      </c>
      <c r="BJ373" s="716">
        <v>2.0664850597888702E-2</v>
      </c>
      <c r="BK373" s="716">
        <v>3.1413916884844066E-2</v>
      </c>
      <c r="BL373" s="716">
        <v>4.1592462545641161E-2</v>
      </c>
      <c r="BM373" s="716">
        <v>5.1471554110493166E-2</v>
      </c>
      <c r="BN373" s="716">
        <v>5.9712651880500407E-2</v>
      </c>
      <c r="BO373" s="717">
        <v>6.8537546875976532E-2</v>
      </c>
      <c r="BP373" s="716">
        <v>7.7986453190239932E-2</v>
      </c>
      <c r="BQ373" s="716">
        <v>8.8543439311298863E-2</v>
      </c>
      <c r="BR373" s="716">
        <v>0.10063979332164447</v>
      </c>
      <c r="BS373" s="716">
        <v>0.11317072602622368</v>
      </c>
      <c r="BT373" s="716">
        <v>0.12537725185298143</v>
      </c>
      <c r="BW373" s="1166">
        <f>'2022'!R\Max</f>
        <v>0.52999952183388732</v>
      </c>
      <c r="BX373" s="1167">
        <f>'2023'!R\Max</f>
        <v>0.52981075434348313</v>
      </c>
      <c r="BY373" s="1167">
        <f>'2024'!R\Max</f>
        <v>0.5296002359094637</v>
      </c>
      <c r="BZ373" s="1167">
        <f>'2025'!R\Max</f>
        <v>0.52938917154803</v>
      </c>
      <c r="CA373" s="1167">
        <f>'2026'!R\Max</f>
        <v>0.52914787456751788</v>
      </c>
      <c r="CB373" s="1167">
        <f>'2027'!R\Max</f>
        <v>0.52890582480515036</v>
      </c>
      <c r="CC373" s="1168">
        <f>'2028'!R\Max</f>
        <v>0.52865514719484474</v>
      </c>
      <c r="CD373" s="1167">
        <f>'2029'!R\Max</f>
        <v>0.5300089539933428</v>
      </c>
      <c r="CE373" s="1167">
        <f>'2030'!R\Max</f>
        <v>0.52982018979340373</v>
      </c>
      <c r="CF373" s="1169">
        <f>'2031'!R\Max</f>
        <v>0.52961078195107514</v>
      </c>
    </row>
    <row r="374" spans="1:84" s="6" customFormat="1" ht="11.25" x14ac:dyDescent="0.2">
      <c r="A374" s="11">
        <v>43460</v>
      </c>
      <c r="B374" s="375">
        <f>'2022'!Maxi_hp</f>
        <v>87.584724087627364</v>
      </c>
      <c r="C374" s="13">
        <f>'2022'!An_max</f>
        <v>2022</v>
      </c>
      <c r="D374" s="1045" t="str">
        <f t="shared" si="135"/>
        <v/>
      </c>
      <c r="E374" s="13"/>
      <c r="F374" s="13">
        <f t="shared" si="152"/>
        <v>27</v>
      </c>
      <c r="G374" s="13">
        <f t="shared" si="136"/>
        <v>28</v>
      </c>
      <c r="H374" s="169">
        <f t="shared" si="137"/>
        <v>43458</v>
      </c>
      <c r="I374" s="743">
        <f t="shared" si="138"/>
        <v>0.13333333333333333</v>
      </c>
      <c r="J374" s="736">
        <f t="shared" si="139"/>
        <v>96.993703272740049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38">
        <v>43460</v>
      </c>
      <c r="AP374" s="13">
        <f t="shared" si="140"/>
        <v>15</v>
      </c>
      <c r="AQ374" s="13">
        <f t="shared" si="141"/>
        <v>14</v>
      </c>
      <c r="AR374" s="169">
        <f t="shared" si="142"/>
        <v>43473</v>
      </c>
      <c r="AS374" s="743">
        <f t="shared" si="143"/>
        <v>0.44827586206896552</v>
      </c>
      <c r="AT374" s="759">
        <f t="shared" si="144"/>
        <v>97.698656299813052</v>
      </c>
      <c r="AU374" s="13">
        <f t="shared" si="145"/>
        <v>15</v>
      </c>
      <c r="AV374" s="13">
        <f t="shared" si="146"/>
        <v>14</v>
      </c>
      <c r="AW374" s="169">
        <f t="shared" si="147"/>
        <v>43487</v>
      </c>
      <c r="AX374" s="743">
        <f t="shared" si="148"/>
        <v>0.93103448275862066</v>
      </c>
      <c r="AY374" s="759">
        <f t="shared" si="149"/>
        <v>96.947018002436081</v>
      </c>
      <c r="AZ374" s="736">
        <f t="shared" si="153"/>
        <v>97.32283715112456</v>
      </c>
      <c r="BA374" s="633">
        <f t="shared" si="150"/>
        <v>0.9029939174643612</v>
      </c>
      <c r="BC374" s="11">
        <v>43460</v>
      </c>
      <c r="BD374" s="286">
        <f>[2]!FeuilCaduc*(1-Persistant)+Persistant</f>
        <v>0.60701315227700314</v>
      </c>
      <c r="BE374" s="287">
        <f>[2]!CroissVégét</f>
        <v>0.99999984492411664</v>
      </c>
      <c r="BF374" s="806">
        <f>1+[2]!Salcycl*Ksac</f>
        <v>1.0008766440346255</v>
      </c>
      <c r="BH374" s="1036">
        <f t="shared" si="151"/>
        <v>6.8558268064723801E-2</v>
      </c>
      <c r="BI374" s="11">
        <v>44556</v>
      </c>
      <c r="BJ374" s="716">
        <v>2.062651332812613E-2</v>
      </c>
      <c r="BK374" s="716">
        <v>3.133073815079998E-2</v>
      </c>
      <c r="BL374" s="716">
        <v>4.1497130073807585E-2</v>
      </c>
      <c r="BM374" s="716">
        <v>5.1409055507668833E-2</v>
      </c>
      <c r="BN374" s="716">
        <v>5.9743395873742694E-2</v>
      </c>
      <c r="BO374" s="717">
        <v>6.8651543262319425E-2</v>
      </c>
      <c r="BP374" s="716">
        <v>7.8157527686495337E-2</v>
      </c>
      <c r="BQ374" s="716">
        <v>8.8762552207902135E-2</v>
      </c>
      <c r="BR374" s="716">
        <v>0.10084756551584823</v>
      </c>
      <c r="BS374" s="716">
        <v>0.11336909942831956</v>
      </c>
      <c r="BT374" s="716">
        <v>0.12553509231221882</v>
      </c>
      <c r="BW374" s="1166">
        <f>'2022'!R\Max</f>
        <v>0.9029939174643612</v>
      </c>
      <c r="BX374" s="1167">
        <f>'2023'!R\Max</f>
        <v>0.9029273871697403</v>
      </c>
      <c r="BY374" s="1167">
        <f>'2024'!R\Max</f>
        <v>0.90285325428641583</v>
      </c>
      <c r="BZ374" s="1167">
        <f>'2025'!R\Max</f>
        <v>0.90277888422986763</v>
      </c>
      <c r="CA374" s="1167">
        <f>'2026'!R\Max</f>
        <v>0.90269426032809297</v>
      </c>
      <c r="CB374" s="1167">
        <f>'2027'!R\Max</f>
        <v>0.90260931992427806</v>
      </c>
      <c r="CC374" s="1168">
        <f>'2028'!R\Max</f>
        <v>0.90252127111908442</v>
      </c>
      <c r="CD374" s="1167">
        <f>'2029'!R\Max</f>
        <v>0.90299724079888788</v>
      </c>
      <c r="CE374" s="1167">
        <f>'2030'!R\Max</f>
        <v>0.90293071354978904</v>
      </c>
      <c r="CF374" s="1169">
        <f>'2031'!R\Max</f>
        <v>0.90285696902577484</v>
      </c>
    </row>
    <row r="375" spans="1:84" s="6" customFormat="1" ht="11.25" x14ac:dyDescent="0.2">
      <c r="A375" s="11">
        <v>43461</v>
      </c>
      <c r="B375" s="375">
        <f>'2022'!Maxi_hp</f>
        <v>41.855930622746683</v>
      </c>
      <c r="C375" s="13">
        <f>'2022'!An_max</f>
        <v>2021</v>
      </c>
      <c r="D375" s="1045" t="str">
        <f t="shared" si="135"/>
        <v/>
      </c>
      <c r="E375" s="13"/>
      <c r="F375" s="13">
        <f t="shared" si="152"/>
        <v>27</v>
      </c>
      <c r="G375" s="13">
        <f t="shared" si="136"/>
        <v>28</v>
      </c>
      <c r="H375" s="169">
        <f t="shared" si="137"/>
        <v>43458</v>
      </c>
      <c r="I375" s="743">
        <f t="shared" si="138"/>
        <v>0.2</v>
      </c>
      <c r="J375" s="736">
        <f t="shared" si="139"/>
        <v>97.352211227417001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38">
        <v>43461</v>
      </c>
      <c r="AP375" s="13">
        <f t="shared" si="140"/>
        <v>15</v>
      </c>
      <c r="AQ375" s="13">
        <f t="shared" si="141"/>
        <v>14</v>
      </c>
      <c r="AR375" s="169">
        <f t="shared" si="142"/>
        <v>43473</v>
      </c>
      <c r="AS375" s="743">
        <f t="shared" si="143"/>
        <v>0.41379310344827586</v>
      </c>
      <c r="AT375" s="759">
        <f t="shared" si="144"/>
        <v>98.04997232905751</v>
      </c>
      <c r="AU375" s="13">
        <f t="shared" si="145"/>
        <v>15</v>
      </c>
      <c r="AV375" s="13">
        <f t="shared" si="146"/>
        <v>14</v>
      </c>
      <c r="AW375" s="169">
        <f t="shared" si="147"/>
        <v>43487</v>
      </c>
      <c r="AX375" s="743">
        <f t="shared" si="148"/>
        <v>0.89655172413793105</v>
      </c>
      <c r="AY375" s="759">
        <f t="shared" si="149"/>
        <v>97.291245762438606</v>
      </c>
      <c r="AZ375" s="736">
        <f t="shared" si="153"/>
        <v>97.670609045748051</v>
      </c>
      <c r="BA375" s="633">
        <f t="shared" si="150"/>
        <v>0.42994329656231711</v>
      </c>
      <c r="BC375" s="11">
        <v>43461</v>
      </c>
      <c r="BD375" s="286">
        <f>[2]!FeuilCaduc*(1-Persistant)+Persistant</f>
        <v>0.60653170600139006</v>
      </c>
      <c r="BE375" s="287">
        <f>[2]!CroissVégét</f>
        <v>0.99999984492411664</v>
      </c>
      <c r="BF375" s="806">
        <f>1+[2]!Salcycl*Ksac</f>
        <v>1.0008164632501737</v>
      </c>
      <c r="BH375" s="1036">
        <f t="shared" si="151"/>
        <v>6.8678526672972404E-2</v>
      </c>
      <c r="BI375" s="11">
        <v>44557</v>
      </c>
      <c r="BJ375" s="716">
        <v>2.0567675209907946E-2</v>
      </c>
      <c r="BK375" s="716">
        <v>3.120347891138885E-2</v>
      </c>
      <c r="BL375" s="716">
        <v>4.1346441361971645E-2</v>
      </c>
      <c r="BM375" s="716">
        <v>5.1296380353489456E-2</v>
      </c>
      <c r="BN375" s="716">
        <v>5.9751630640691944E-2</v>
      </c>
      <c r="BO375" s="717">
        <v>6.8772987258819404E-2</v>
      </c>
      <c r="BP375" s="716">
        <v>7.8364717918719448E-2</v>
      </c>
      <c r="BQ375" s="716">
        <v>8.9040197490541415E-2</v>
      </c>
      <c r="BR375" s="716">
        <v>0.10112060361164392</v>
      </c>
      <c r="BS375" s="716">
        <v>0.11363402742873276</v>
      </c>
      <c r="BT375" s="716">
        <v>0.12575411014495752</v>
      </c>
      <c r="BW375" s="1166">
        <f>'2022'!R\Max</f>
        <v>0.27873943493759568</v>
      </c>
      <c r="BX375" s="1167">
        <f>'2023'!R\Max</f>
        <v>0.27859060647213851</v>
      </c>
      <c r="BY375" s="1167">
        <f>'2024'!R\Max</f>
        <v>0.27842531435439455</v>
      </c>
      <c r="BZ375" s="1167">
        <f>'2025'!R\Max</f>
        <v>0.27825967008236169</v>
      </c>
      <c r="CA375" s="1167">
        <f>'2026'!R\Max</f>
        <v>0.27807268303008342</v>
      </c>
      <c r="CB375" s="1167">
        <f>'2027'!R\Max</f>
        <v>0.27788523945302179</v>
      </c>
      <c r="CC375" s="1168">
        <f>'2028'!R\Max</f>
        <v>0.27769121773946964</v>
      </c>
      <c r="CD375" s="1167">
        <f>'2029'!R\Max</f>
        <v>0.278746872822625</v>
      </c>
      <c r="CE375" s="1167">
        <f>'2030'!R\Max</f>
        <v>0.27859804435716778</v>
      </c>
      <c r="CF375" s="1169">
        <f>'2031'!R\Max</f>
        <v>0.27843359262997414</v>
      </c>
    </row>
    <row r="376" spans="1:84" s="6" customFormat="1" ht="11.25" x14ac:dyDescent="0.2">
      <c r="A376" s="11">
        <v>43462</v>
      </c>
      <c r="B376" s="375">
        <f>'2022'!Maxi_hp</f>
        <v>71.241906609353137</v>
      </c>
      <c r="C376" s="13">
        <f>'2022'!An_max</f>
        <v>2022</v>
      </c>
      <c r="D376" s="1045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69">
        <f t="shared" si="137"/>
        <v>43458</v>
      </c>
      <c r="I376" s="743">
        <f t="shared" si="138"/>
        <v>0.26666666666666666</v>
      </c>
      <c r="J376" s="736">
        <f t="shared" si="139"/>
        <v>97.758455249865861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38">
        <v>43462</v>
      </c>
      <c r="AP376" s="13">
        <f t="shared" si="140"/>
        <v>15</v>
      </c>
      <c r="AQ376" s="13">
        <f t="shared" si="141"/>
        <v>14</v>
      </c>
      <c r="AR376" s="169">
        <f t="shared" si="142"/>
        <v>43473</v>
      </c>
      <c r="AS376" s="743">
        <f t="shared" si="143"/>
        <v>0.37931034482758619</v>
      </c>
      <c r="AT376" s="759">
        <f t="shared" si="144"/>
        <v>98.436848573232524</v>
      </c>
      <c r="AU376" s="13">
        <f t="shared" si="145"/>
        <v>15</v>
      </c>
      <c r="AV376" s="13">
        <f t="shared" si="146"/>
        <v>14</v>
      </c>
      <c r="AW376" s="169">
        <f t="shared" si="147"/>
        <v>43487</v>
      </c>
      <c r="AX376" s="743">
        <f t="shared" si="148"/>
        <v>0.86206896551724133</v>
      </c>
      <c r="AY376" s="759">
        <f t="shared" si="149"/>
        <v>97.689295448516987</v>
      </c>
      <c r="AZ376" s="736">
        <f t="shared" si="153"/>
        <v>98.063072010874748</v>
      </c>
      <c r="BA376" s="633">
        <f t="shared" si="150"/>
        <v>0.72875442259457035</v>
      </c>
      <c r="BC376" s="11">
        <v>43462</v>
      </c>
      <c r="BD376" s="286">
        <f>[2]!FeuilCaduc*(1-Persistant)+Persistant</f>
        <v>0.60608476510646603</v>
      </c>
      <c r="BE376" s="287">
        <f>[2]!CroissVégét</f>
        <v>0.99999984492411664</v>
      </c>
      <c r="BF376" s="806">
        <f>1+[2]!Salcycl*Ksac</f>
        <v>1.0007605956383083</v>
      </c>
      <c r="BH376" s="1036">
        <f t="shared" si="151"/>
        <v>6.8794215181767454E-2</v>
      </c>
      <c r="BI376" s="11">
        <v>44558</v>
      </c>
      <c r="BJ376" s="716">
        <v>2.0493843104695871E-2</v>
      </c>
      <c r="BK376" s="716">
        <v>3.1043610552587825E-2</v>
      </c>
      <c r="BL376" s="716">
        <v>4.1153737644842626E-2</v>
      </c>
      <c r="BM376" s="716">
        <v>5.1143121069965929E-2</v>
      </c>
      <c r="BN376" s="716">
        <v>5.9735611604780518E-2</v>
      </c>
      <c r="BO376" s="717">
        <v>6.8890069440374679E-2</v>
      </c>
      <c r="BP376" s="716">
        <v>7.858944303544696E-2</v>
      </c>
      <c r="BQ376" s="716">
        <v>8.9352186127414635E-2</v>
      </c>
      <c r="BR376" s="716">
        <v>0.10143657327364271</v>
      </c>
      <c r="BS376" s="716">
        <v>0.11394479749302878</v>
      </c>
      <c r="BT376" s="716">
        <v>0.12601908898566808</v>
      </c>
      <c r="BW376" s="1166">
        <f>'2022'!R\Max</f>
        <v>0.72875442259457035</v>
      </c>
      <c r="BX376" s="1167">
        <f>'2023'!R\Max</f>
        <v>0.72860268398638961</v>
      </c>
      <c r="BY376" s="1167">
        <f>'2024'!R\Max</f>
        <v>0.72843454160338905</v>
      </c>
      <c r="BZ376" s="1167">
        <f>'2025'!R\Max</f>
        <v>0.72826592752250885</v>
      </c>
      <c r="CA376" s="1167">
        <f>'2026'!R\Max</f>
        <v>0.72807689509553597</v>
      </c>
      <c r="CB376" s="1167">
        <f>'2027'!R\Max</f>
        <v>0.72788727321011348</v>
      </c>
      <c r="CC376" s="1168">
        <f>'2028'!R\Max</f>
        <v>0.72769097597812604</v>
      </c>
      <c r="CD376" s="1167">
        <f>'2029'!R\Max</f>
        <v>0.72876200329687812</v>
      </c>
      <c r="CE376" s="1167">
        <f>'2030'!R\Max</f>
        <v>0.72861026968134768</v>
      </c>
      <c r="CF376" s="1169">
        <f>'2031'!R\Max</f>
        <v>0.72844296506517725</v>
      </c>
    </row>
    <row r="377" spans="1:84" s="6" customFormat="1" ht="11.25" x14ac:dyDescent="0.2">
      <c r="A377" s="11">
        <v>43463</v>
      </c>
      <c r="B377" s="375">
        <f>'2022'!Maxi_hp</f>
        <v>44.051326696562526</v>
      </c>
      <c r="C377" s="13">
        <f>'2022'!An_max</f>
        <v>2022</v>
      </c>
      <c r="D377" s="1045" t="str">
        <f t="shared" si="135"/>
        <v/>
      </c>
      <c r="E377" s="13"/>
      <c r="F377" s="13">
        <f t="shared" si="152"/>
        <v>27</v>
      </c>
      <c r="G377" s="13">
        <f t="shared" si="136"/>
        <v>28</v>
      </c>
      <c r="H377" s="169">
        <f t="shared" si="137"/>
        <v>43458</v>
      </c>
      <c r="I377" s="743">
        <f t="shared" si="138"/>
        <v>0.33333333333333331</v>
      </c>
      <c r="J377" s="736">
        <f t="shared" si="139"/>
        <v>98.210534210999811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38">
        <v>43463</v>
      </c>
      <c r="AP377" s="13">
        <f t="shared" si="140"/>
        <v>15</v>
      </c>
      <c r="AQ377" s="13">
        <f t="shared" si="141"/>
        <v>14</v>
      </c>
      <c r="AR377" s="169">
        <f t="shared" si="142"/>
        <v>43473</v>
      </c>
      <c r="AS377" s="743">
        <f t="shared" si="143"/>
        <v>0.34482758620689657</v>
      </c>
      <c r="AT377" s="759">
        <f t="shared" si="144"/>
        <v>98.858566632558549</v>
      </c>
      <c r="AU377" s="13">
        <f t="shared" si="145"/>
        <v>15</v>
      </c>
      <c r="AV377" s="13">
        <f t="shared" si="146"/>
        <v>14</v>
      </c>
      <c r="AW377" s="169">
        <f t="shared" si="147"/>
        <v>43487</v>
      </c>
      <c r="AX377" s="743">
        <f t="shared" si="148"/>
        <v>0.82758620689655171</v>
      </c>
      <c r="AY377" s="759">
        <f t="shared" si="149"/>
        <v>98.139299160550379</v>
      </c>
      <c r="AZ377" s="736">
        <f t="shared" si="153"/>
        <v>98.498932896554464</v>
      </c>
      <c r="BA377" s="633">
        <f t="shared" si="150"/>
        <v>0.44853973202019987</v>
      </c>
      <c r="BC377" s="11">
        <v>43463</v>
      </c>
      <c r="BD377" s="286">
        <f>[2]!FeuilCaduc*(1-Persistant)+Persistant</f>
        <v>0.60566895671486809</v>
      </c>
      <c r="BE377" s="287">
        <f>[2]!CroissVégét</f>
        <v>0.99999984492411664</v>
      </c>
      <c r="BF377" s="806">
        <f>1+[2]!Salcycl*Ksac</f>
        <v>1.0007086195893584</v>
      </c>
      <c r="BH377" s="1036">
        <f t="shared" si="151"/>
        <v>6.8905184697270291E-2</v>
      </c>
      <c r="BI377" s="11">
        <v>44559</v>
      </c>
      <c r="BJ377" s="716">
        <v>2.0404953273158916E-2</v>
      </c>
      <c r="BK377" s="716">
        <v>3.085102401254464E-2</v>
      </c>
      <c r="BL377" s="716">
        <v>4.0918876557194818E-2</v>
      </c>
      <c r="BM377" s="716">
        <v>5.094911695608529E-2</v>
      </c>
      <c r="BN377" s="716">
        <v>5.9695182913962481E-2</v>
      </c>
      <c r="BO377" s="717">
        <v>6.9002640986775318E-2</v>
      </c>
      <c r="BP377" s="716">
        <v>7.8831560797899117E-2</v>
      </c>
      <c r="BQ377" s="716">
        <v>8.9698373927991681E-2</v>
      </c>
      <c r="BR377" s="716">
        <v>0.10179531286929917</v>
      </c>
      <c r="BS377" s="716">
        <v>0.11430122338146868</v>
      </c>
      <c r="BT377" s="716">
        <v>0.12632981402566137</v>
      </c>
      <c r="BW377" s="1166">
        <f>'2022'!R\Max</f>
        <v>0.44853973202019987</v>
      </c>
      <c r="BX377" s="1167">
        <f>'2023'!R\Max</f>
        <v>0.44834837881249079</v>
      </c>
      <c r="BY377" s="1167">
        <f>'2024'!R\Max</f>
        <v>0.44813719155579013</v>
      </c>
      <c r="BZ377" s="1167">
        <f>'2025'!R\Max</f>
        <v>0.44792552725625134</v>
      </c>
      <c r="CA377" s="1167">
        <f>'2026'!R\Max</f>
        <v>0.44769034114474021</v>
      </c>
      <c r="CB377" s="1167">
        <f>'2027'!R\Max</f>
        <v>0.44745458641169067</v>
      </c>
      <c r="CC377" s="1168">
        <f>'2028'!R\Max</f>
        <v>0.44721095807965672</v>
      </c>
      <c r="CD377" s="1167">
        <f>'2029'!R\Max</f>
        <v>0.44854929397640886</v>
      </c>
      <c r="CE377" s="1167">
        <f>'2030'!R\Max</f>
        <v>0.44835794296877601</v>
      </c>
      <c r="CF377" s="1169">
        <f>'2031'!R\Max</f>
        <v>0.44814776832587949</v>
      </c>
    </row>
    <row r="378" spans="1:84" s="6" customFormat="1" ht="11.25" x14ac:dyDescent="0.2">
      <c r="A378" s="11">
        <v>43464</v>
      </c>
      <c r="B378" s="375">
        <f>'2022'!Maxi_hp</f>
        <v>76.342020804358668</v>
      </c>
      <c r="C378" s="13">
        <f>'2022'!An_max</f>
        <v>2021</v>
      </c>
      <c r="D378" s="1045" t="str">
        <f t="shared" si="135"/>
        <v/>
      </c>
      <c r="E378" s="13"/>
      <c r="F378" s="13">
        <f t="shared" si="152"/>
        <v>27</v>
      </c>
      <c r="G378" s="13">
        <f t="shared" si="136"/>
        <v>28</v>
      </c>
      <c r="H378" s="169">
        <f t="shared" si="137"/>
        <v>43458</v>
      </c>
      <c r="I378" s="743">
        <f t="shared" si="138"/>
        <v>0.4</v>
      </c>
      <c r="J378" s="736">
        <f t="shared" si="139"/>
        <v>98.706546987295155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38">
        <v>43464</v>
      </c>
      <c r="AP378" s="13">
        <f t="shared" si="140"/>
        <v>15</v>
      </c>
      <c r="AQ378" s="13">
        <f t="shared" si="141"/>
        <v>14</v>
      </c>
      <c r="AR378" s="169">
        <f t="shared" si="142"/>
        <v>43473</v>
      </c>
      <c r="AS378" s="743">
        <f t="shared" si="143"/>
        <v>0.31034482758620691</v>
      </c>
      <c r="AT378" s="759">
        <f t="shared" si="144"/>
        <v>99.314408102117753</v>
      </c>
      <c r="AU378" s="13">
        <f t="shared" si="145"/>
        <v>15</v>
      </c>
      <c r="AV378" s="13">
        <f t="shared" si="146"/>
        <v>14</v>
      </c>
      <c r="AW378" s="169">
        <f t="shared" si="147"/>
        <v>43487</v>
      </c>
      <c r="AX378" s="743">
        <f t="shared" si="148"/>
        <v>0.7931034482758621</v>
      </c>
      <c r="AY378" s="759">
        <f t="shared" si="149"/>
        <v>98.639388964093968</v>
      </c>
      <c r="AZ378" s="736">
        <f t="shared" si="153"/>
        <v>98.976898533105867</v>
      </c>
      <c r="BA378" s="633">
        <f t="shared" si="150"/>
        <v>0.77342408517425798</v>
      </c>
      <c r="BC378" s="11">
        <v>43464</v>
      </c>
      <c r="BD378" s="286">
        <f>[2]!FeuilCaduc*(1-Persistant)+Persistant</f>
        <v>0.60528115283757489</v>
      </c>
      <c r="BE378" s="287">
        <f>[2]!CroissVégét</f>
        <v>0.99999984492411664</v>
      </c>
      <c r="BF378" s="806">
        <f>1+[2]!Salcycl*Ksac</f>
        <v>1.0006601441046969</v>
      </c>
      <c r="BH378" s="1036">
        <f t="shared" si="151"/>
        <v>6.9011285000828745E-2</v>
      </c>
      <c r="BI378" s="11">
        <v>44560</v>
      </c>
      <c r="BJ378" s="716">
        <v>2.0300941284308378E-2</v>
      </c>
      <c r="BK378" s="716">
        <v>3.0625608701525822E-2</v>
      </c>
      <c r="BL378" s="716">
        <v>4.0641713651872732E-2</v>
      </c>
      <c r="BM378" s="716">
        <v>5.0714205030203685E-2</v>
      </c>
      <c r="BN378" s="716">
        <v>5.9630186737506634E-2</v>
      </c>
      <c r="BO378" s="717">
        <v>6.9110551759916941E-2</v>
      </c>
      <c r="BP378" s="716">
        <v>7.9090928712517702E-2</v>
      </c>
      <c r="BQ378" s="716">
        <v>9.0078617227266608E-2</v>
      </c>
      <c r="BR378" s="716">
        <v>0.10219666205005767</v>
      </c>
      <c r="BS378" s="716">
        <v>0.11470312046291788</v>
      </c>
      <c r="BT378" s="716">
        <v>0.12668607248737218</v>
      </c>
      <c r="BW378" s="1166">
        <f>'2022'!R\Max</f>
        <v>0.63924069330506805</v>
      </c>
      <c r="BX378" s="1167">
        <f>'2023'!R\Max</f>
        <v>0.63906053920752137</v>
      </c>
      <c r="BY378" s="1167">
        <f>'2024'!R\Max</f>
        <v>0.63886247288925413</v>
      </c>
      <c r="BZ378" s="1167">
        <f>'2025'!R\Max</f>
        <v>0.63866390976590226</v>
      </c>
      <c r="CA378" s="1167">
        <f>'2026'!R\Max</f>
        <v>0.63844521314329794</v>
      </c>
      <c r="CB378" s="1167">
        <f>'2027'!R\Max</f>
        <v>0.63822594734724791</v>
      </c>
      <c r="CC378" s="1168">
        <f>'2028'!R\Max</f>
        <v>0.63799965259550717</v>
      </c>
      <c r="CD378" s="1167">
        <f>'2029'!R\Max</f>
        <v>0.63924969422116951</v>
      </c>
      <c r="CE378" s="1167">
        <f>'2030'!R\Max</f>
        <v>0.63906954489727963</v>
      </c>
      <c r="CF378" s="1169">
        <f>'2031'!R\Max</f>
        <v>0.63887239328249601</v>
      </c>
    </row>
    <row r="379" spans="1:84" s="6" customFormat="1" ht="11.25" x14ac:dyDescent="0.2">
      <c r="A379" s="11">
        <v>43465</v>
      </c>
      <c r="B379" s="375">
        <f>'2022'!Maxi_hp</f>
        <v>98.426511979974805</v>
      </c>
      <c r="C379" s="13">
        <f>'2022'!An_max</f>
        <v>2021</v>
      </c>
      <c r="D379" s="1045">
        <f t="shared" si="135"/>
        <v>0.99175692612232047</v>
      </c>
      <c r="E379" s="13"/>
      <c r="F379" s="13">
        <f t="shared" si="152"/>
        <v>27</v>
      </c>
      <c r="G379" s="13">
        <f t="shared" si="136"/>
        <v>28</v>
      </c>
      <c r="H379" s="169">
        <f t="shared" si="137"/>
        <v>43458</v>
      </c>
      <c r="I379" s="743">
        <f t="shared" si="138"/>
        <v>0.46666666666666667</v>
      </c>
      <c r="J379" s="736">
        <f t="shared" si="139"/>
        <v>99.244592487812042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38">
        <v>43465</v>
      </c>
      <c r="AP379" s="13">
        <f t="shared" si="140"/>
        <v>15</v>
      </c>
      <c r="AQ379" s="13">
        <f t="shared" si="141"/>
        <v>14</v>
      </c>
      <c r="AR379" s="169">
        <f t="shared" si="142"/>
        <v>43473</v>
      </c>
      <c r="AS379" s="743">
        <f t="shared" si="143"/>
        <v>0.27586206896551724</v>
      </c>
      <c r="AT379" s="759">
        <f t="shared" si="144"/>
        <v>99.803654612754954</v>
      </c>
      <c r="AU379" s="13">
        <f t="shared" si="145"/>
        <v>15</v>
      </c>
      <c r="AV379" s="13">
        <f t="shared" si="146"/>
        <v>14</v>
      </c>
      <c r="AW379" s="169">
        <f t="shared" si="147"/>
        <v>43487</v>
      </c>
      <c r="AX379" s="743">
        <f t="shared" si="148"/>
        <v>0.75862068965517238</v>
      </c>
      <c r="AY379" s="759">
        <f t="shared" si="149"/>
        <v>99.18769694361194</v>
      </c>
      <c r="AZ379" s="736">
        <f t="shared" si="153"/>
        <v>99.495675778183454</v>
      </c>
      <c r="BA379" s="633">
        <f t="shared" si="150"/>
        <v>0.99175692612232047</v>
      </c>
      <c r="BC379" s="11">
        <v>43465</v>
      </c>
      <c r="BD379" s="286">
        <f>[2]!FeuilCaduc*(1-Persistant)+Persistant</f>
        <v>0.60491847548575273</v>
      </c>
      <c r="BE379" s="287">
        <f>[2]!CroissVégét</f>
        <v>0.99999984492411664</v>
      </c>
      <c r="BF379" s="806">
        <f>1+[2]!Salcycl*Ksac</f>
        <v>1.000614809435719</v>
      </c>
      <c r="BH379" s="1036">
        <f t="shared" si="151"/>
        <v>6.9112364675921661E-2</v>
      </c>
      <c r="BI379" s="11">
        <v>44561</v>
      </c>
      <c r="BJ379" s="716">
        <v>2.0181742344715016E-2</v>
      </c>
      <c r="BK379" s="716">
        <v>3.0367253212571884E-2</v>
      </c>
      <c r="BL379" s="716">
        <v>4.0322103316069606E-2</v>
      </c>
      <c r="BM379" s="716">
        <v>5.0438220920070415E-2</v>
      </c>
      <c r="BN379" s="716">
        <v>5.9540463810450368E-2</v>
      </c>
      <c r="BO379" s="717">
        <v>6.9213650426327211E-2</v>
      </c>
      <c r="BP379" s="716">
        <v>7.9367403688356916E-2</v>
      </c>
      <c r="BQ379" s="716">
        <v>9.0492772187473591E-2</v>
      </c>
      <c r="BR379" s="716">
        <v>0.10264046087337693</v>
      </c>
      <c r="BS379" s="716">
        <v>0.11515030477920536</v>
      </c>
      <c r="BT379" s="716">
        <v>0.12708765269029831</v>
      </c>
      <c r="BW379" s="1166">
        <f>'2022'!R\Max</f>
        <v>0.50887790881131534</v>
      </c>
      <c r="BX379" s="1167">
        <f>'2023'!R\Max</f>
        <v>0.50868049304836149</v>
      </c>
      <c r="BY379" s="1167">
        <f>'2024'!R\Max</f>
        <v>0.50846450746985805</v>
      </c>
      <c r="BZ379" s="1167">
        <f>'2025'!R\Max</f>
        <v>0.50824804789165923</v>
      </c>
      <c r="CA379" s="1167">
        <f>'2026'!R\Max</f>
        <v>0.5080120249367488</v>
      </c>
      <c r="CB379" s="1167">
        <f>'2027'!R\Max</f>
        <v>0.50777549186366377</v>
      </c>
      <c r="CC379" s="1168">
        <f>'2028'!R\Max</f>
        <v>0.50753195710364907</v>
      </c>
      <c r="CD379" s="1167">
        <f>'2029'!R\Max</f>
        <v>0.50888777319583522</v>
      </c>
      <c r="CE379" s="1167">
        <f>'2030'!R\Max</f>
        <v>0.50869036069087015</v>
      </c>
      <c r="CF379" s="1169">
        <f>'2031'!R\Max</f>
        <v>0.50847532324725842</v>
      </c>
    </row>
    <row r="380" spans="1:84" s="6" customFormat="1" ht="12" customHeight="1" thickBot="1" x14ac:dyDescent="0.25">
      <c r="A380" s="11">
        <v>43466</v>
      </c>
      <c r="B380" s="376">
        <f>'2022'!Maxi_hp</f>
        <v>0</v>
      </c>
      <c r="C380" s="14">
        <f>'2022'!An_max</f>
        <v>2022</v>
      </c>
      <c r="D380" s="1046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38">
        <f t="shared" si="137"/>
        <v>43458</v>
      </c>
      <c r="I380" s="739">
        <f t="shared" si="138"/>
        <v>0.53333333333333333</v>
      </c>
      <c r="J380" s="737">
        <f t="shared" si="139"/>
        <v>99.822769579092665</v>
      </c>
      <c r="M380" s="796" t="s">
        <v>242</v>
      </c>
      <c r="N380" s="797">
        <f>$AZ22*10</f>
        <v>1049.5993232557485</v>
      </c>
      <c r="O380" s="797">
        <f>$AZ36*10</f>
        <v>1196.7331184074283</v>
      </c>
      <c r="P380" s="797">
        <f>$AZ50*10</f>
        <v>1390.169201555429</v>
      </c>
      <c r="Q380" s="797">
        <f>$AZ64*10</f>
        <v>1604.9814062537625</v>
      </c>
      <c r="R380" s="797">
        <f>$AZ78*10</f>
        <v>1818.0353124933317</v>
      </c>
      <c r="S380" s="797">
        <f>$AZ92*10</f>
        <v>2015.3167187385259</v>
      </c>
      <c r="T380" s="797">
        <f>$AZ106*10</f>
        <v>2186.137812487781</v>
      </c>
      <c r="U380" s="797">
        <f>$AZ120*10</f>
        <v>2318.6012499928474</v>
      </c>
      <c r="V380" s="797">
        <f>$AZ134*10</f>
        <v>2410.5432812161744</v>
      </c>
      <c r="W380" s="797">
        <f>$AZ148*10</f>
        <v>2470.4687499888241</v>
      </c>
      <c r="X380" s="797">
        <f>$AZ162*10</f>
        <v>2505.9375</v>
      </c>
      <c r="Y380" s="797">
        <f>$AZ176*10</f>
        <v>2519.5312499888241</v>
      </c>
      <c r="Z380" s="797">
        <f>$AZ190*10</f>
        <v>2510.9374999925494</v>
      </c>
      <c r="AA380" s="797">
        <f>$AZ204*10</f>
        <v>2478.2812499888241</v>
      </c>
      <c r="AB380" s="797">
        <f>$AZ218*10</f>
        <v>2420.7812499850988</v>
      </c>
      <c r="AC380" s="797">
        <f>$AZ232*10</f>
        <v>2340.7812499888241</v>
      </c>
      <c r="AD380" s="797">
        <f>$AZ246*10</f>
        <v>2239.5312499888241</v>
      </c>
      <c r="AE380" s="797">
        <f>$AZ260*10</f>
        <v>2114.3749999962747</v>
      </c>
      <c r="AF380" s="797">
        <f>$AZ274*10</f>
        <v>1963.4375000018626</v>
      </c>
      <c r="AG380" s="797">
        <f>$AZ288*10</f>
        <v>1790.6249999962747</v>
      </c>
      <c r="AH380" s="797">
        <f>$AZ302*10</f>
        <v>1604.3749999981374</v>
      </c>
      <c r="AI380" s="797">
        <f>$AZ316*10</f>
        <v>1412.9687499916181</v>
      </c>
      <c r="AJ380" s="797">
        <f>$AZ330*10</f>
        <v>1227.8351562023163</v>
      </c>
      <c r="AK380" s="797">
        <f>$AZ344*10</f>
        <v>1072.4970296248794</v>
      </c>
      <c r="AL380" s="797">
        <f>$AZ358*10</f>
        <v>978.45596832036961</v>
      </c>
      <c r="AM380" s="797">
        <f>$AZ372*10</f>
        <v>967.66539235567222</v>
      </c>
      <c r="AO380" s="1038">
        <v>43466</v>
      </c>
      <c r="AP380" s="14">
        <f t="shared" si="140"/>
        <v>15</v>
      </c>
      <c r="AQ380" s="14">
        <f t="shared" si="141"/>
        <v>14</v>
      </c>
      <c r="AR380" s="738">
        <f t="shared" si="142"/>
        <v>43473</v>
      </c>
      <c r="AS380" s="739">
        <f t="shared" si="143"/>
        <v>0.2413793103448276</v>
      </c>
      <c r="AT380" s="760">
        <f t="shared" si="144"/>
        <v>100.3255877383824</v>
      </c>
      <c r="AU380" s="14">
        <f t="shared" si="145"/>
        <v>15</v>
      </c>
      <c r="AV380" s="14">
        <f t="shared" si="146"/>
        <v>14</v>
      </c>
      <c r="AW380" s="738">
        <f t="shared" si="147"/>
        <v>43487</v>
      </c>
      <c r="AX380" s="739">
        <f t="shared" si="148"/>
        <v>0.72413793103448276</v>
      </c>
      <c r="AY380" s="760">
        <f t="shared" si="149"/>
        <v>99.782355178019088</v>
      </c>
      <c r="AZ380" s="737">
        <f t="shared" si="153"/>
        <v>100.05397145820075</v>
      </c>
      <c r="BA380" s="633">
        <f t="shared" si="150"/>
        <v>0</v>
      </c>
      <c r="BC380" s="11">
        <v>43466</v>
      </c>
      <c r="BD380" s="288">
        <f>[2]!FeuilCaduc*(1-Persistant)+Persistant</f>
        <v>0.60457829942861385</v>
      </c>
      <c r="BE380" s="289">
        <f>[2]!CroissVégét</f>
        <v>0.99999984492411664</v>
      </c>
      <c r="BF380" s="807">
        <f>1+[2]!Salcycl*Ksac</f>
        <v>1.0005722874285767</v>
      </c>
      <c r="BH380" s="1037">
        <f t="shared" si="151"/>
        <v>6.9208271234396088E-2</v>
      </c>
      <c r="BI380" s="11">
        <v>44562</v>
      </c>
      <c r="BJ380" s="812">
        <v>2.004729162751032E-2</v>
      </c>
      <c r="BK380" s="720">
        <v>3.007584603182285E-2</v>
      </c>
      <c r="BL380" s="720">
        <v>3.9959899687169752E-2</v>
      </c>
      <c r="BM380" s="720">
        <v>5.0120999752314564E-2</v>
      </c>
      <c r="BN380" s="720">
        <v>5.9425853977433905E-2</v>
      </c>
      <c r="BO380" s="721">
        <v>6.9311784578984278E-2</v>
      </c>
      <c r="BP380" s="720">
        <v>7.966084169367256E-2</v>
      </c>
      <c r="BQ380" s="720">
        <v>9.0940694098893729E-2</v>
      </c>
      <c r="BR380" s="720">
        <v>0.10312654892372131</v>
      </c>
      <c r="BS380" s="720">
        <v>0.1156425921083203</v>
      </c>
      <c r="BT380" s="720">
        <v>0.12753434311565015</v>
      </c>
      <c r="BW380" s="1170">
        <f>'2022'!R\Max</f>
        <v>0</v>
      </c>
      <c r="BX380" s="1171">
        <f>'2023'!R\Max</f>
        <v>0</v>
      </c>
      <c r="BY380" s="1171">
        <f>'2024'!R\Max</f>
        <v>0.63312046921100118</v>
      </c>
      <c r="BZ380" s="1171">
        <f>'2025'!R\Max</f>
        <v>0</v>
      </c>
      <c r="CA380" s="1171">
        <f>'2026'!R\Max</f>
        <v>0</v>
      </c>
      <c r="CB380" s="1171">
        <f>'2027'!R\Max</f>
        <v>0</v>
      </c>
      <c r="CC380" s="1172">
        <f>'2028'!R\Max</f>
        <v>0.63223190944139718</v>
      </c>
      <c r="CD380" s="1171">
        <f>'2029'!R\Max</f>
        <v>0</v>
      </c>
      <c r="CE380" s="1171">
        <f>'2030'!R\Max</f>
        <v>0</v>
      </c>
      <c r="CF380" s="1173">
        <f>'2031'!R\Max</f>
        <v>0</v>
      </c>
    </row>
    <row r="381" spans="1:84" ht="12" customHeight="1" x14ac:dyDescent="0.25">
      <c r="B381" s="625" t="s">
        <v>167</v>
      </c>
      <c r="M381" s="136" t="s">
        <v>243</v>
      </c>
      <c r="N381" s="798">
        <f t="shared" ref="N381:AM381" si="154">1-N3/N380*Ajust_M</f>
        <v>1.199813326710486E-3</v>
      </c>
      <c r="O381" s="798">
        <f t="shared" si="154"/>
        <v>3.6030094567429671E-5</v>
      </c>
      <c r="P381" s="798">
        <f t="shared" si="154"/>
        <v>4.4901121009621736E-4</v>
      </c>
      <c r="Q381" s="798">
        <f t="shared" si="154"/>
        <v>-1.3355879001992754E-3</v>
      </c>
      <c r="R381" s="798">
        <f t="shared" si="154"/>
        <v>-9.4865456947745841E-4</v>
      </c>
      <c r="S381" s="798">
        <f t="shared" si="154"/>
        <v>1.3405926291412129E-3</v>
      </c>
      <c r="T381" s="798">
        <f t="shared" si="154"/>
        <v>-1.7666715657893572E-3</v>
      </c>
      <c r="U381" s="798">
        <f t="shared" si="154"/>
        <v>-6.0327320497943759E-4</v>
      </c>
      <c r="V381" s="798">
        <f t="shared" si="154"/>
        <v>2.2537708424807956E-4</v>
      </c>
      <c r="W381" s="798">
        <f t="shared" si="154"/>
        <v>1.8974131481175327E-4</v>
      </c>
      <c r="X381" s="798">
        <f t="shared" si="154"/>
        <v>3.7411148522259463E-4</v>
      </c>
      <c r="Y381" s="798">
        <f t="shared" si="154"/>
        <v>-1.8604651606435318E-4</v>
      </c>
      <c r="Z381" s="798">
        <f t="shared" si="154"/>
        <v>3.7336651850239377E-4</v>
      </c>
      <c r="AA381" s="798">
        <f t="shared" si="154"/>
        <v>-6.9352500293651254E-4</v>
      </c>
      <c r="AB381" s="798">
        <f t="shared" si="154"/>
        <v>3.2272638641084317E-4</v>
      </c>
      <c r="AC381" s="798">
        <f t="shared" si="154"/>
        <v>3.3375608627583819E-4</v>
      </c>
      <c r="AD381" s="798">
        <f t="shared" si="154"/>
        <v>-2.0930719818190724E-4</v>
      </c>
      <c r="AE381" s="798">
        <f t="shared" si="154"/>
        <v>-2.9559562694725372E-4</v>
      </c>
      <c r="AF381" s="798">
        <f t="shared" si="154"/>
        <v>-7.9579818463071383E-4</v>
      </c>
      <c r="AG381" s="798">
        <f t="shared" si="154"/>
        <v>3.4904013753633834E-4</v>
      </c>
      <c r="AH381" s="798">
        <f t="shared" si="154"/>
        <v>-3.8955979859034429E-4</v>
      </c>
      <c r="AI381" s="798">
        <f t="shared" si="154"/>
        <v>-1.4375760315958885E-3</v>
      </c>
      <c r="AJ381" s="798">
        <f t="shared" si="154"/>
        <v>-1.7631387949337274E-3</v>
      </c>
      <c r="AK381" s="798">
        <f t="shared" si="154"/>
        <v>2.3282391987162754E-3</v>
      </c>
      <c r="AL381" s="798">
        <f t="shared" si="154"/>
        <v>3.5320632018854825E-3</v>
      </c>
      <c r="AM381" s="798">
        <f t="shared" si="154"/>
        <v>3.5036825564451757E-3</v>
      </c>
    </row>
  </sheetData>
  <sheetProtection sheet="1" objects="1" scenarios="1" formatCells="0" formatColumns="0" formatRows="0"/>
  <mergeCells count="5">
    <mergeCell ref="A5:J5"/>
    <mergeCell ref="BC1:BE3"/>
    <mergeCell ref="BD11:BE12"/>
    <mergeCell ref="BF11:BF12"/>
    <mergeCell ref="A2:E3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8" priority="20" stopIfTrue="1" operator="lessThan">
      <formula>0.01</formula>
    </cfRule>
    <cfRule type="cellIs" dxfId="37" priority="21" stopIfTrue="1" operator="greaterThan">
      <formula>0.05</formula>
    </cfRule>
  </conditionalFormatting>
  <conditionalFormatting sqref="A9:J9 A7:J7">
    <cfRule type="cellIs" dxfId="36" priority="50" stopIfTrue="1" operator="lessThan">
      <formula>0.01</formula>
    </cfRule>
    <cfRule type="cellIs" dxfId="35" priority="51" stopIfTrue="1" operator="greaterThan">
      <formula>0.05</formula>
    </cfRule>
  </conditionalFormatting>
  <conditionalFormatting sqref="N381:AM381">
    <cfRule type="cellIs" dxfId="34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zoomScaleNormal="100" workbookViewId="0">
      <pane ySplit="7" topLeftCell="A17" activePane="bottomLeft" state="frozen"/>
      <selection activeCell="B15" sqref="B15:B380"/>
      <selection pane="bottomLeft" activeCell="Q5" sqref="H5:Q5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2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43" t="s">
        <v>24</v>
      </c>
      <c r="I1" s="1243"/>
      <c r="J1" s="1243"/>
      <c r="K1" s="1243"/>
      <c r="L1" s="15"/>
      <c r="M1" s="34"/>
      <c r="N1" s="531"/>
      <c r="O1" s="532"/>
      <c r="P1" s="533" t="s">
        <v>4</v>
      </c>
      <c r="Q1" s="414">
        <v>5.0000000000000001E-3</v>
      </c>
      <c r="R1" s="534"/>
      <c r="S1" s="535" t="s">
        <v>105</v>
      </c>
      <c r="T1" s="810">
        <f>PertePVan/365.25</f>
        <v>1.3689253935660506E-5</v>
      </c>
      <c r="U1" s="532"/>
      <c r="V1" s="536"/>
      <c r="W1" s="204"/>
      <c r="X1" s="537"/>
      <c r="Y1" s="529" t="s">
        <v>165</v>
      </c>
      <c r="Z1" s="1236">
        <v>0.08</v>
      </c>
      <c r="AA1" s="1237"/>
      <c r="AB1" s="619"/>
      <c r="AC1" s="620"/>
      <c r="AE1" s="529" t="s">
        <v>246</v>
      </c>
      <c r="AF1" s="808">
        <v>0.05</v>
      </c>
      <c r="AG1" s="532"/>
      <c r="AH1" s="204"/>
      <c r="AI1" s="204"/>
      <c r="AJ1" s="204"/>
      <c r="AK1" s="204"/>
      <c r="AL1" s="529" t="s">
        <v>123</v>
      </c>
      <c r="AM1" s="637">
        <v>0.5</v>
      </c>
      <c r="AN1" s="618"/>
      <c r="AO1" s="204"/>
      <c r="AP1" s="204"/>
      <c r="AQ1" s="204"/>
      <c r="AR1" s="529" t="s">
        <v>104</v>
      </c>
      <c r="AS1" s="363">
        <v>0.6</v>
      </c>
      <c r="AT1" s="638" t="s">
        <v>54</v>
      </c>
      <c r="AU1" s="530"/>
    </row>
    <row r="2" spans="1:78" s="526" customFormat="1" ht="18" customHeight="1" thickBot="1" x14ac:dyDescent="0.35">
      <c r="A2" s="83" t="s">
        <v>132</v>
      </c>
      <c r="B2" s="1244" t="str">
        <f>Station</f>
        <v>Hangar Goussaud Espanès</v>
      </c>
      <c r="C2" s="1245"/>
      <c r="D2" s="1245"/>
      <c r="E2" s="1245"/>
      <c r="F2" s="1246"/>
      <c r="G2" s="809" t="s">
        <v>247</v>
      </c>
      <c r="K2" s="81"/>
      <c r="L2" s="527"/>
      <c r="M2" s="38"/>
      <c r="U2" s="35"/>
      <c r="V2" s="35"/>
      <c r="W2" s="35"/>
      <c r="X2" s="528"/>
      <c r="AA2" s="530"/>
      <c r="AB2" s="530"/>
      <c r="AC2" s="530"/>
      <c r="AD2" s="530"/>
      <c r="AE2" s="529" t="s">
        <v>166</v>
      </c>
      <c r="AF2" s="643">
        <v>3</v>
      </c>
      <c r="AG2" s="644">
        <f>+Tau_i*365</f>
        <v>1095</v>
      </c>
      <c r="AH2" s="536"/>
      <c r="AI2" s="236"/>
      <c r="AJ2" s="537"/>
      <c r="AL2" s="635" t="s">
        <v>197</v>
      </c>
      <c r="AM2" s="1248">
        <v>0.5</v>
      </c>
      <c r="AN2" s="1249"/>
      <c r="AS2" s="205" t="s">
        <v>124</v>
      </c>
      <c r="AT2" s="639">
        <f>H_i</f>
        <v>-1.0470773947367618E-2</v>
      </c>
      <c r="AU2" s="636"/>
      <c r="AY2" s="646"/>
      <c r="AZ2" s="646"/>
      <c r="BB2" s="528"/>
      <c r="BE2" s="31"/>
      <c r="BF2" s="29"/>
      <c r="BH2" s="528"/>
      <c r="BI2" s="528"/>
      <c r="BJ2" s="528"/>
      <c r="BK2" s="70"/>
      <c r="BL2" s="70"/>
      <c r="BM2" s="528"/>
      <c r="BN2" s="528"/>
      <c r="BO2" s="528"/>
      <c r="BP2" s="528"/>
      <c r="BQ2" s="70"/>
      <c r="BR2" s="70"/>
      <c r="BS2" s="528"/>
      <c r="BT2" s="528"/>
      <c r="BU2" s="528"/>
      <c r="BW2" s="31"/>
      <c r="BX2" s="29"/>
      <c r="BZ2" s="528"/>
    </row>
    <row r="3" spans="1:78" s="80" customFormat="1" ht="12.75" customHeight="1" x14ac:dyDescent="0.25">
      <c r="A3" s="1240">
        <f>'2022'!An</f>
        <v>2022</v>
      </c>
      <c r="B3" s="1241"/>
      <c r="C3" s="1241"/>
      <c r="D3" s="1241"/>
      <c r="E3" s="1241"/>
      <c r="F3" s="1242"/>
      <c r="G3" s="1240">
        <f>'2023'!An</f>
        <v>2023</v>
      </c>
      <c r="H3" s="1241"/>
      <c r="I3" s="1241"/>
      <c r="J3" s="1241"/>
      <c r="K3" s="1241"/>
      <c r="L3" s="1242"/>
      <c r="M3" s="1240">
        <f>'2024'!An</f>
        <v>2024</v>
      </c>
      <c r="N3" s="1241"/>
      <c r="O3" s="1241"/>
      <c r="P3" s="1241"/>
      <c r="Q3" s="1241"/>
      <c r="R3" s="1242"/>
      <c r="S3" s="1240">
        <f>'2025'!An</f>
        <v>2025</v>
      </c>
      <c r="T3" s="1241"/>
      <c r="U3" s="1241"/>
      <c r="V3" s="1241"/>
      <c r="W3" s="1241"/>
      <c r="X3" s="1242"/>
      <c r="Y3" s="1240">
        <f>'2026'!An</f>
        <v>2026</v>
      </c>
      <c r="Z3" s="1241"/>
      <c r="AA3" s="1241"/>
      <c r="AB3" s="1241"/>
      <c r="AC3" s="1241"/>
      <c r="AD3" s="1242"/>
      <c r="AE3" s="1240">
        <f>'2027'!An</f>
        <v>2027</v>
      </c>
      <c r="AF3" s="1241"/>
      <c r="AG3" s="1241"/>
      <c r="AH3" s="1241"/>
      <c r="AI3" s="1241"/>
      <c r="AJ3" s="1242"/>
      <c r="AK3" s="1240">
        <f>'2028'!An</f>
        <v>2028</v>
      </c>
      <c r="AL3" s="1241"/>
      <c r="AM3" s="1251"/>
      <c r="AN3" s="1251"/>
      <c r="AO3" s="1241"/>
      <c r="AP3" s="1242"/>
      <c r="AQ3" s="1240">
        <f>'2029'!An</f>
        <v>2029</v>
      </c>
      <c r="AR3" s="1241"/>
      <c r="AS3" s="1241"/>
      <c r="AT3" s="1241"/>
      <c r="AU3" s="1241"/>
      <c r="AV3" s="1242"/>
      <c r="AW3" s="1240">
        <f>'2030'!An</f>
        <v>2030</v>
      </c>
      <c r="AX3" s="1241"/>
      <c r="AY3" s="1241"/>
      <c r="AZ3" s="1241"/>
      <c r="BA3" s="1241"/>
      <c r="BB3" s="1242"/>
      <c r="BC3" s="1240">
        <f>'2031'!An</f>
        <v>2031</v>
      </c>
      <c r="BD3" s="1241"/>
      <c r="BE3" s="1241"/>
      <c r="BF3" s="1241"/>
      <c r="BG3" s="1241"/>
      <c r="BH3" s="1242"/>
      <c r="BI3" s="1252" t="e">
        <v>#NAME?</v>
      </c>
      <c r="BJ3" s="1253"/>
      <c r="BK3" s="1253"/>
      <c r="BL3" s="1253"/>
      <c r="BM3" s="1253"/>
      <c r="BN3" s="1254"/>
      <c r="BO3" s="1252" t="e">
        <v>#NAME?</v>
      </c>
      <c r="BP3" s="1253"/>
      <c r="BQ3" s="1253"/>
      <c r="BR3" s="1253"/>
      <c r="BS3" s="1253"/>
      <c r="BT3" s="1254"/>
      <c r="BU3" s="1252" t="e">
        <v>#NAME?</v>
      </c>
      <c r="BV3" s="1253"/>
      <c r="BW3" s="1253"/>
      <c r="BX3" s="1253"/>
      <c r="BY3" s="1253"/>
      <c r="BZ3" s="1254"/>
    </row>
    <row r="4" spans="1:78" s="422" customFormat="1" ht="15" customHeight="1" x14ac:dyDescent="0.25">
      <c r="A4" s="209" t="s">
        <v>77</v>
      </c>
      <c r="B4" s="435">
        <v>44609</v>
      </c>
      <c r="C4" s="436">
        <v>0</v>
      </c>
      <c r="D4" s="437" t="s">
        <v>80</v>
      </c>
      <c r="E4" s="569" t="s">
        <v>80</v>
      </c>
      <c r="F4" s="426"/>
      <c r="G4" s="353" t="s">
        <v>92</v>
      </c>
      <c r="H4" s="435" t="s">
        <v>135</v>
      </c>
      <c r="I4" s="436" t="s">
        <v>135</v>
      </c>
      <c r="J4" s="437" t="s">
        <v>80</v>
      </c>
      <c r="K4" s="569" t="s">
        <v>80</v>
      </c>
      <c r="L4" s="426"/>
      <c r="M4" s="353" t="s">
        <v>92</v>
      </c>
      <c r="N4" s="435" t="s">
        <v>135</v>
      </c>
      <c r="O4" s="436" t="s">
        <v>135</v>
      </c>
      <c r="P4" s="437" t="s">
        <v>80</v>
      </c>
      <c r="Q4" s="569" t="s">
        <v>80</v>
      </c>
      <c r="R4" s="426"/>
      <c r="S4" s="353" t="s">
        <v>92</v>
      </c>
      <c r="T4" s="435" t="s">
        <v>135</v>
      </c>
      <c r="U4" s="436" t="s">
        <v>135</v>
      </c>
      <c r="V4" s="437" t="s">
        <v>80</v>
      </c>
      <c r="W4" s="569" t="s">
        <v>80</v>
      </c>
      <c r="X4" s="426"/>
      <c r="Y4" s="353" t="s">
        <v>92</v>
      </c>
      <c r="Z4" s="435" t="s">
        <v>135</v>
      </c>
      <c r="AA4" s="436" t="s">
        <v>135</v>
      </c>
      <c r="AB4" s="437" t="s">
        <v>80</v>
      </c>
      <c r="AC4" s="569" t="s">
        <v>80</v>
      </c>
      <c r="AD4" s="426"/>
      <c r="AE4" s="353" t="s">
        <v>92</v>
      </c>
      <c r="AF4" s="435" t="s">
        <v>135</v>
      </c>
      <c r="AG4" s="436" t="s">
        <v>135</v>
      </c>
      <c r="AH4" s="437" t="s">
        <v>80</v>
      </c>
      <c r="AI4" s="569" t="s">
        <v>80</v>
      </c>
      <c r="AJ4" s="426"/>
      <c r="AK4" s="353" t="s">
        <v>92</v>
      </c>
      <c r="AL4" s="435" t="s">
        <v>135</v>
      </c>
      <c r="AM4" s="436" t="s">
        <v>135</v>
      </c>
      <c r="AN4" s="437" t="s">
        <v>80</v>
      </c>
      <c r="AO4" s="569" t="s">
        <v>80</v>
      </c>
      <c r="AP4" s="426"/>
      <c r="AQ4" s="353" t="s">
        <v>92</v>
      </c>
      <c r="AR4" s="435" t="s">
        <v>135</v>
      </c>
      <c r="AS4" s="436" t="s">
        <v>135</v>
      </c>
      <c r="AT4" s="437" t="s">
        <v>80</v>
      </c>
      <c r="AU4" s="569" t="s">
        <v>80</v>
      </c>
      <c r="AV4" s="426"/>
      <c r="AW4" s="353" t="s">
        <v>92</v>
      </c>
      <c r="AX4" s="435" t="s">
        <v>135</v>
      </c>
      <c r="AY4" s="436" t="s">
        <v>135</v>
      </c>
      <c r="AZ4" s="437" t="s">
        <v>80</v>
      </c>
      <c r="BA4" s="569" t="s">
        <v>80</v>
      </c>
      <c r="BB4" s="426"/>
      <c r="BC4" s="353" t="s">
        <v>92</v>
      </c>
      <c r="BD4" s="435" t="s">
        <v>135</v>
      </c>
      <c r="BE4" s="436" t="s">
        <v>135</v>
      </c>
      <c r="BF4" s="437" t="s">
        <v>80</v>
      </c>
      <c r="BG4" s="569" t="s">
        <v>80</v>
      </c>
      <c r="BH4" s="426"/>
      <c r="BI4" s="353" t="s">
        <v>92</v>
      </c>
      <c r="BJ4" s="435" t="s">
        <v>135</v>
      </c>
      <c r="BK4" s="436" t="s">
        <v>135</v>
      </c>
      <c r="BL4" s="437" t="s">
        <v>80</v>
      </c>
      <c r="BM4" s="569" t="s">
        <v>80</v>
      </c>
      <c r="BN4" s="426"/>
      <c r="BO4" s="353" t="s">
        <v>92</v>
      </c>
      <c r="BP4" s="435" t="s">
        <v>135</v>
      </c>
      <c r="BQ4" s="436" t="s">
        <v>135</v>
      </c>
      <c r="BR4" s="437" t="s">
        <v>80</v>
      </c>
      <c r="BS4" s="569" t="s">
        <v>80</v>
      </c>
      <c r="BT4" s="426"/>
      <c r="BU4" s="353" t="s">
        <v>92</v>
      </c>
      <c r="BV4" s="435" t="s">
        <v>135</v>
      </c>
      <c r="BW4" s="436" t="s">
        <v>135</v>
      </c>
      <c r="BX4" s="437" t="s">
        <v>80</v>
      </c>
      <c r="BY4" s="569" t="s">
        <v>80</v>
      </c>
      <c r="BZ4" s="426"/>
    </row>
    <row r="5" spans="1:78" s="422" customFormat="1" ht="15" customHeight="1" x14ac:dyDescent="0.25">
      <c r="A5" s="209" t="s">
        <v>16</v>
      </c>
      <c r="B5" s="427" t="s">
        <v>135</v>
      </c>
      <c r="C5" s="432" t="s">
        <v>135</v>
      </c>
      <c r="D5" s="433" t="s">
        <v>135</v>
      </c>
      <c r="E5" s="434" t="s">
        <v>135</v>
      </c>
      <c r="F5" s="183"/>
      <c r="G5" s="353" t="s">
        <v>93</v>
      </c>
      <c r="H5" s="427">
        <v>44927</v>
      </c>
      <c r="I5" s="432" t="s">
        <v>365</v>
      </c>
      <c r="J5" s="433" t="s">
        <v>135</v>
      </c>
      <c r="K5" s="434" t="s">
        <v>135</v>
      </c>
      <c r="L5" s="183"/>
      <c r="M5" s="353" t="s">
        <v>93</v>
      </c>
      <c r="N5" s="427">
        <v>45383</v>
      </c>
      <c r="O5" s="432">
        <v>8.0000000000000002E-3</v>
      </c>
      <c r="P5" s="433" t="s">
        <v>135</v>
      </c>
      <c r="Q5" s="434">
        <v>2.5</v>
      </c>
      <c r="R5" s="183"/>
      <c r="S5" s="353" t="s">
        <v>93</v>
      </c>
      <c r="T5" s="427" t="s">
        <v>135</v>
      </c>
      <c r="U5" s="432" t="s">
        <v>135</v>
      </c>
      <c r="V5" s="433" t="s">
        <v>135</v>
      </c>
      <c r="W5" s="434" t="s">
        <v>135</v>
      </c>
      <c r="X5" s="183"/>
      <c r="Y5" s="353" t="s">
        <v>93</v>
      </c>
      <c r="Z5" s="427" t="s">
        <v>135</v>
      </c>
      <c r="AA5" s="432" t="s">
        <v>135</v>
      </c>
      <c r="AB5" s="433" t="s">
        <v>135</v>
      </c>
      <c r="AC5" s="434" t="s">
        <v>135</v>
      </c>
      <c r="AD5" s="183"/>
      <c r="AE5" s="353" t="s">
        <v>93</v>
      </c>
      <c r="AF5" s="427" t="s">
        <v>135</v>
      </c>
      <c r="AG5" s="432" t="s">
        <v>135</v>
      </c>
      <c r="AH5" s="433" t="s">
        <v>135</v>
      </c>
      <c r="AI5" s="434" t="s">
        <v>135</v>
      </c>
      <c r="AJ5" s="183"/>
      <c r="AK5" s="353" t="s">
        <v>93</v>
      </c>
      <c r="AL5" s="427" t="s">
        <v>135</v>
      </c>
      <c r="AM5" s="432" t="s">
        <v>135</v>
      </c>
      <c r="AN5" s="433" t="s">
        <v>135</v>
      </c>
      <c r="AO5" s="434" t="s">
        <v>135</v>
      </c>
      <c r="AP5" s="183"/>
      <c r="AQ5" s="353" t="s">
        <v>93</v>
      </c>
      <c r="AR5" s="427" t="s">
        <v>135</v>
      </c>
      <c r="AS5" s="432" t="s">
        <v>135</v>
      </c>
      <c r="AT5" s="433" t="s">
        <v>135</v>
      </c>
      <c r="AU5" s="434" t="s">
        <v>135</v>
      </c>
      <c r="AV5" s="183"/>
      <c r="AW5" s="353" t="s">
        <v>93</v>
      </c>
      <c r="AX5" s="427" t="s">
        <v>135</v>
      </c>
      <c r="AY5" s="432" t="s">
        <v>135</v>
      </c>
      <c r="AZ5" s="433" t="s">
        <v>135</v>
      </c>
      <c r="BA5" s="434" t="s">
        <v>135</v>
      </c>
      <c r="BB5" s="183"/>
      <c r="BC5" s="353" t="s">
        <v>93</v>
      </c>
      <c r="BD5" s="427" t="s">
        <v>135</v>
      </c>
      <c r="BE5" s="432" t="s">
        <v>135</v>
      </c>
      <c r="BF5" s="433" t="s">
        <v>135</v>
      </c>
      <c r="BG5" s="434" t="s">
        <v>135</v>
      </c>
      <c r="BH5" s="183"/>
      <c r="BI5" s="353" t="s">
        <v>93</v>
      </c>
      <c r="BJ5" s="427" t="s">
        <v>135</v>
      </c>
      <c r="BK5" s="432" t="s">
        <v>135</v>
      </c>
      <c r="BL5" s="433" t="s">
        <v>135</v>
      </c>
      <c r="BM5" s="434" t="s">
        <v>135</v>
      </c>
      <c r="BN5" s="183"/>
      <c r="BO5" s="353" t="s">
        <v>93</v>
      </c>
      <c r="BP5" s="427" t="s">
        <v>135</v>
      </c>
      <c r="BQ5" s="432" t="s">
        <v>135</v>
      </c>
      <c r="BR5" s="433" t="s">
        <v>135</v>
      </c>
      <c r="BS5" s="434" t="s">
        <v>135</v>
      </c>
      <c r="BT5" s="183"/>
      <c r="BU5" s="353" t="s">
        <v>93</v>
      </c>
      <c r="BV5" s="427" t="s">
        <v>135</v>
      </c>
      <c r="BW5" s="432" t="s">
        <v>135</v>
      </c>
      <c r="BX5" s="433" t="s">
        <v>135</v>
      </c>
      <c r="BY5" s="434" t="s">
        <v>135</v>
      </c>
      <c r="BZ5" s="183"/>
    </row>
    <row r="6" spans="1:78" s="422" customFormat="1" ht="15" customHeight="1" x14ac:dyDescent="0.25">
      <c r="A6" s="209" t="s">
        <v>18</v>
      </c>
      <c r="B6" s="415" t="s">
        <v>135</v>
      </c>
      <c r="C6" s="428" t="s">
        <v>135</v>
      </c>
      <c r="D6" s="1250" t="s">
        <v>135</v>
      </c>
      <c r="E6" s="1250"/>
      <c r="F6" s="184"/>
      <c r="G6" s="353" t="s">
        <v>94</v>
      </c>
      <c r="H6" s="415" t="s">
        <v>135</v>
      </c>
      <c r="I6" s="428" t="s">
        <v>135</v>
      </c>
      <c r="J6" s="1250" t="s">
        <v>135</v>
      </c>
      <c r="K6" s="1250"/>
      <c r="L6" s="184"/>
      <c r="M6" s="353" t="s">
        <v>94</v>
      </c>
      <c r="N6" s="415" t="s">
        <v>135</v>
      </c>
      <c r="O6" s="428" t="s">
        <v>135</v>
      </c>
      <c r="P6" s="1250" t="s">
        <v>135</v>
      </c>
      <c r="Q6" s="1250"/>
      <c r="R6" s="184"/>
      <c r="S6" s="353" t="s">
        <v>94</v>
      </c>
      <c r="T6" s="415" t="s">
        <v>135</v>
      </c>
      <c r="U6" s="428" t="s">
        <v>135</v>
      </c>
      <c r="V6" s="1250" t="s">
        <v>135</v>
      </c>
      <c r="W6" s="1250"/>
      <c r="X6" s="184"/>
      <c r="Y6" s="353" t="s">
        <v>94</v>
      </c>
      <c r="Z6" s="415" t="s">
        <v>135</v>
      </c>
      <c r="AA6" s="428" t="s">
        <v>135</v>
      </c>
      <c r="AB6" s="1250" t="s">
        <v>135</v>
      </c>
      <c r="AC6" s="1250"/>
      <c r="AD6" s="184"/>
      <c r="AE6" s="353" t="s">
        <v>94</v>
      </c>
      <c r="AF6" s="415" t="s">
        <v>135</v>
      </c>
      <c r="AG6" s="428" t="s">
        <v>135</v>
      </c>
      <c r="AH6" s="1250" t="s">
        <v>135</v>
      </c>
      <c r="AI6" s="1250"/>
      <c r="AJ6" s="184"/>
      <c r="AK6" s="353" t="s">
        <v>94</v>
      </c>
      <c r="AL6" s="415" t="s">
        <v>135</v>
      </c>
      <c r="AM6" s="428" t="s">
        <v>135</v>
      </c>
      <c r="AN6" s="1250" t="s">
        <v>135</v>
      </c>
      <c r="AO6" s="1250"/>
      <c r="AP6" s="184"/>
      <c r="AQ6" s="353" t="s">
        <v>94</v>
      </c>
      <c r="AR6" s="415" t="s">
        <v>135</v>
      </c>
      <c r="AS6" s="428" t="s">
        <v>135</v>
      </c>
      <c r="AT6" s="1250" t="s">
        <v>135</v>
      </c>
      <c r="AU6" s="1250"/>
      <c r="AV6" s="184"/>
      <c r="AW6" s="353" t="s">
        <v>94</v>
      </c>
      <c r="AX6" s="415" t="s">
        <v>135</v>
      </c>
      <c r="AY6" s="428" t="s">
        <v>135</v>
      </c>
      <c r="AZ6" s="1250" t="s">
        <v>135</v>
      </c>
      <c r="BA6" s="1250"/>
      <c r="BB6" s="184"/>
      <c r="BC6" s="353" t="s">
        <v>94</v>
      </c>
      <c r="BD6" s="415" t="s">
        <v>135</v>
      </c>
      <c r="BE6" s="428" t="s">
        <v>135</v>
      </c>
      <c r="BF6" s="1250" t="s">
        <v>135</v>
      </c>
      <c r="BG6" s="1250"/>
      <c r="BH6" s="184"/>
      <c r="BI6" s="353" t="s">
        <v>94</v>
      </c>
      <c r="BJ6" s="415" t="s">
        <v>135</v>
      </c>
      <c r="BK6" s="428" t="s">
        <v>135</v>
      </c>
      <c r="BL6" s="1250" t="s">
        <v>135</v>
      </c>
      <c r="BM6" s="1250"/>
      <c r="BN6" s="184"/>
      <c r="BO6" s="353" t="s">
        <v>94</v>
      </c>
      <c r="BP6" s="415" t="s">
        <v>135</v>
      </c>
      <c r="BQ6" s="428" t="s">
        <v>135</v>
      </c>
      <c r="BR6" s="1250" t="s">
        <v>135</v>
      </c>
      <c r="BS6" s="1250"/>
      <c r="BT6" s="184"/>
      <c r="BU6" s="353" t="s">
        <v>94</v>
      </c>
      <c r="BV6" s="415" t="s">
        <v>135</v>
      </c>
      <c r="BW6" s="428" t="s">
        <v>135</v>
      </c>
      <c r="BX6" s="1250" t="s">
        <v>135</v>
      </c>
      <c r="BY6" s="1250"/>
      <c r="BZ6" s="184"/>
    </row>
    <row r="7" spans="1:78" ht="15.75" x14ac:dyDescent="0.25">
      <c r="A7" s="818" t="s">
        <v>252</v>
      </c>
      <c r="B7" s="425"/>
      <c r="C7" s="425"/>
      <c r="D7" s="217"/>
      <c r="E7" s="1238">
        <f>'2022'!Dépas_env</f>
        <v>4.0186714500313636E-2</v>
      </c>
      <c r="F7" s="1239"/>
      <c r="G7" s="818" t="s">
        <v>251</v>
      </c>
      <c r="H7" s="425"/>
      <c r="I7" s="425"/>
      <c r="J7" s="217"/>
      <c r="K7" s="1238">
        <f>'2023'!Dépas_env</f>
        <v>4.0186714500313636E-2</v>
      </c>
      <c r="L7" s="1239"/>
      <c r="M7" s="818" t="s">
        <v>251</v>
      </c>
      <c r="N7" s="425"/>
      <c r="O7" s="425"/>
      <c r="P7" s="217"/>
      <c r="Q7" s="1238">
        <f>'2024'!Dépas_env</f>
        <v>4.0186714500313636E-2</v>
      </c>
      <c r="R7" s="1239"/>
      <c r="S7" s="818" t="s">
        <v>251</v>
      </c>
      <c r="T7" s="425"/>
      <c r="U7" s="425"/>
      <c r="V7" s="217"/>
      <c r="W7" s="1238">
        <f>'2025'!Dépas_env</f>
        <v>4.0186714500313636E-2</v>
      </c>
      <c r="X7" s="1239"/>
      <c r="Y7" s="818" t="s">
        <v>251</v>
      </c>
      <c r="Z7" s="425"/>
      <c r="AA7" s="425"/>
      <c r="AB7" s="217"/>
      <c r="AC7" s="1238">
        <f>'2026'!Dépas_env</f>
        <v>4.0186714500313636E-2</v>
      </c>
      <c r="AD7" s="1239"/>
      <c r="AE7" s="818" t="s">
        <v>251</v>
      </c>
      <c r="AF7" s="425"/>
      <c r="AG7" s="425"/>
      <c r="AH7" s="217"/>
      <c r="AI7" s="1238">
        <f>'2027'!Dépas_env</f>
        <v>4.0186714500313636E-2</v>
      </c>
      <c r="AJ7" s="1239"/>
      <c r="AK7" s="818" t="s">
        <v>251</v>
      </c>
      <c r="AL7" s="425"/>
      <c r="AM7" s="425"/>
      <c r="AN7" s="217"/>
      <c r="AO7" s="1238">
        <f>'2028'!Dépas_env</f>
        <v>4.0186714500313636E-2</v>
      </c>
      <c r="AP7" s="1239"/>
      <c r="AQ7" s="818" t="s">
        <v>251</v>
      </c>
      <c r="AR7" s="425"/>
      <c r="AS7" s="425"/>
      <c r="AT7" s="217"/>
      <c r="AU7" s="1238">
        <f>'2029'!Dépas_env</f>
        <v>4.0186714500313636E-2</v>
      </c>
      <c r="AV7" s="1239"/>
      <c r="AW7" s="818" t="s">
        <v>251</v>
      </c>
      <c r="AX7" s="425"/>
      <c r="AY7" s="425"/>
      <c r="AZ7" s="217"/>
      <c r="BA7" s="1238">
        <f>'2030'!Dépas_env</f>
        <v>4.0186714500313636E-2</v>
      </c>
      <c r="BB7" s="1239"/>
      <c r="BC7" s="818" t="s">
        <v>251</v>
      </c>
      <c r="BD7" s="425"/>
      <c r="BE7" s="425"/>
      <c r="BF7" s="217"/>
      <c r="BG7" s="1238">
        <f>'2031'!Dépas_env</f>
        <v>4.0186714500313636E-2</v>
      </c>
      <c r="BH7" s="1239"/>
      <c r="BI7" s="818" t="s">
        <v>251</v>
      </c>
      <c r="BJ7" s="425"/>
      <c r="BK7" s="425"/>
      <c r="BL7" s="217"/>
      <c r="BM7" s="1238"/>
      <c r="BN7" s="1239"/>
      <c r="BO7" s="818" t="s">
        <v>251</v>
      </c>
      <c r="BP7" s="425"/>
      <c r="BQ7" s="425"/>
      <c r="BR7" s="217"/>
      <c r="BS7" s="1238"/>
      <c r="BT7" s="1239"/>
      <c r="BU7" s="818" t="s">
        <v>251</v>
      </c>
      <c r="BV7" s="425"/>
      <c r="BW7" s="425"/>
      <c r="BX7" s="217"/>
      <c r="BY7" s="1238"/>
      <c r="BZ7" s="1239"/>
    </row>
    <row r="8" spans="1:78" ht="15.75" x14ac:dyDescent="0.25">
      <c r="A8" s="421" t="s">
        <v>134</v>
      </c>
      <c r="T8" s="645" t="s">
        <v>194</v>
      </c>
    </row>
    <row r="9" spans="1:78" s="28" customFormat="1" ht="15" customHeight="1" x14ac:dyDescent="0.25">
      <c r="A9" s="439" t="s">
        <v>77</v>
      </c>
      <c r="B9" s="572">
        <f>IF(B4="D",T0,IF(YEAR(B4)=A3,B4, "err."))</f>
        <v>44609</v>
      </c>
      <c r="C9" s="573">
        <f>IF(B9&gt;T0,IF(C4="D",0,C4),0)</f>
        <v>0</v>
      </c>
      <c r="D9" s="574" t="s">
        <v>80</v>
      </c>
      <c r="E9" s="455" t="s">
        <v>80</v>
      </c>
      <c r="F9" s="1177">
        <f>IF(C5="I",T0,B10)</f>
        <v>44424</v>
      </c>
      <c r="G9" s="440" t="s">
        <v>92</v>
      </c>
      <c r="H9" s="572">
        <f>IF(H4="D",B9,IF(YEAR(H4)=G3,H4, "err."))</f>
        <v>44609</v>
      </c>
      <c r="I9" s="573">
        <f>IF(YEAR(H9)=G3,IF(I4="D",C9,I4),C9)</f>
        <v>0</v>
      </c>
      <c r="J9" s="575" t="s">
        <v>80</v>
      </c>
      <c r="K9" s="444" t="s">
        <v>80</v>
      </c>
      <c r="L9" s="1177">
        <f>IF(I5="I",F9,IF(YEAR(H10)=G3,H10,F9))</f>
        <v>44424</v>
      </c>
      <c r="M9" s="442" t="s">
        <v>92</v>
      </c>
      <c r="N9" s="572">
        <f>IF(N4="D",H9,IF(YEAR(N4)=M3,N4, "err."))</f>
        <v>44609</v>
      </c>
      <c r="O9" s="573">
        <f>IF(YEAR(N9)=M3,IF(O4="D",I9,O4),I9)</f>
        <v>0</v>
      </c>
      <c r="P9" s="575" t="s">
        <v>80</v>
      </c>
      <c r="Q9" s="444" t="s">
        <v>80</v>
      </c>
      <c r="R9" s="1177">
        <f>IF(O5="I",L9,IF(YEAR(N10)=M3,N10,L9))</f>
        <v>45383</v>
      </c>
      <c r="S9" s="440" t="s">
        <v>92</v>
      </c>
      <c r="T9" s="572">
        <f>IF(T4="D",N9,IF(YEAR(T4)=S3,T4, "err."))</f>
        <v>44609</v>
      </c>
      <c r="U9" s="573">
        <f>IF(YEAR(T9)=S3,IF(U4="D",O9,U4),O9)</f>
        <v>0</v>
      </c>
      <c r="V9" s="575" t="s">
        <v>80</v>
      </c>
      <c r="W9" s="444" t="s">
        <v>80</v>
      </c>
      <c r="X9" s="1177">
        <f>IF(U5="I",R9,IF(YEAR(T10)=S3,T10,R9))</f>
        <v>45383</v>
      </c>
      <c r="Y9" s="440" t="s">
        <v>92</v>
      </c>
      <c r="Z9" s="572">
        <f>IF(Z4="D",T9,IF(YEAR(Z4)=Y3,Z4, "err."))</f>
        <v>44609</v>
      </c>
      <c r="AA9" s="573">
        <f>IF(YEAR(Z9)=Y3,IF(AA4="D",U9,AA4),U9)</f>
        <v>0</v>
      </c>
      <c r="AB9" s="575" t="s">
        <v>80</v>
      </c>
      <c r="AC9" s="444" t="s">
        <v>80</v>
      </c>
      <c r="AD9" s="1177">
        <f>IF(AA5="I",X9,IF(YEAR(Z10)=Y3,Z10,X9))</f>
        <v>46142</v>
      </c>
      <c r="AE9" s="440" t="s">
        <v>92</v>
      </c>
      <c r="AF9" s="572">
        <f>IF(AF4="D",Z9,IF(YEAR(AF4)=AE3,AF4, "err."))</f>
        <v>44609</v>
      </c>
      <c r="AG9" s="573">
        <f>IF(YEAR(AF9)=AE3,IF(AG4="D",AA9,AG4),AA9)</f>
        <v>0</v>
      </c>
      <c r="AH9" s="575" t="s">
        <v>80</v>
      </c>
      <c r="AI9" s="444" t="s">
        <v>80</v>
      </c>
      <c r="AJ9" s="1177">
        <f>IF(AG5="I",AD9,IF(YEAR(AF10)=AE3,AF10,AD9))</f>
        <v>46142</v>
      </c>
      <c r="AK9" s="440" t="s">
        <v>92</v>
      </c>
      <c r="AL9" s="588">
        <f>IF(AL4="D",AF9,AL4)</f>
        <v>44609</v>
      </c>
      <c r="AM9" s="589">
        <f>IF(AM4="D",AG9,AM4)</f>
        <v>0</v>
      </c>
      <c r="AN9" s="575" t="s">
        <v>80</v>
      </c>
      <c r="AO9" s="590" t="s">
        <v>80</v>
      </c>
      <c r="AP9" s="1177">
        <f>IF(AM5="I",AJ9,IF(YEAR(AL10)=AK3,AL10,AJ9))</f>
        <v>46873</v>
      </c>
      <c r="AQ9" s="440" t="s">
        <v>92</v>
      </c>
      <c r="AR9" s="572">
        <f>IF(AR4="D",AL9,AR4)</f>
        <v>44609</v>
      </c>
      <c r="AS9" s="573">
        <f>IF(AS4="D",AM9,AS4)</f>
        <v>0</v>
      </c>
      <c r="AT9" s="575" t="s">
        <v>80</v>
      </c>
      <c r="AU9" s="444" t="s">
        <v>80</v>
      </c>
      <c r="AV9" s="1177">
        <f>IF(AS5="I",AP9,IF(YEAR(AR10)=AQ3,AR10,AP9))</f>
        <v>46873</v>
      </c>
      <c r="AW9" s="440" t="s">
        <v>92</v>
      </c>
      <c r="AX9" s="572">
        <f>IF(AX4="D",AR9,AX4)</f>
        <v>44609</v>
      </c>
      <c r="AY9" s="573">
        <f>IF(AY4="D",AS9,AY4)</f>
        <v>0</v>
      </c>
      <c r="AZ9" s="575" t="s">
        <v>80</v>
      </c>
      <c r="BA9" s="444" t="s">
        <v>80</v>
      </c>
      <c r="BB9" s="1177">
        <f>IF(AY5="I",AV9,IF(YEAR(AX10)=AW3,AX10,AV9))</f>
        <v>47603</v>
      </c>
      <c r="BC9" s="440" t="s">
        <v>92</v>
      </c>
      <c r="BD9" s="572">
        <f>IF(BD4="D",AX9,BD4)</f>
        <v>44609</v>
      </c>
      <c r="BE9" s="573">
        <f>IF(BE4="D",AY9,BE4)</f>
        <v>0</v>
      </c>
      <c r="BF9" s="575" t="s">
        <v>80</v>
      </c>
      <c r="BG9" s="444" t="s">
        <v>80</v>
      </c>
      <c r="BH9" s="1177">
        <f>IF(BE5="I",BB9,IF(YEAR(BD10)=BC3,BD10,BB9))</f>
        <v>47603</v>
      </c>
      <c r="BI9" s="440" t="s">
        <v>92</v>
      </c>
      <c r="BJ9" s="572">
        <f>IF(BJ4="D",BD9,BJ4)</f>
        <v>44609</v>
      </c>
      <c r="BK9" s="573">
        <f>IF(BK4="D",BE9,BK4)</f>
        <v>0</v>
      </c>
      <c r="BL9" s="575" t="s">
        <v>80</v>
      </c>
      <c r="BM9" s="444" t="s">
        <v>80</v>
      </c>
      <c r="BN9" s="1177" t="e">
        <f>IF(BK5="I",BH9,IF(YEAR(BJ10)=BI3,BJ10,BH9))</f>
        <v>#NAME?</v>
      </c>
      <c r="BO9" s="440" t="s">
        <v>92</v>
      </c>
      <c r="BP9" s="572">
        <f>IF(BP4="D",BJ9,BP4)</f>
        <v>44609</v>
      </c>
      <c r="BQ9" s="573">
        <f>IF(BQ4="D",BK9,BQ4)</f>
        <v>0</v>
      </c>
      <c r="BR9" s="575" t="s">
        <v>80</v>
      </c>
      <c r="BS9" s="444" t="s">
        <v>80</v>
      </c>
      <c r="BT9" s="1177" t="e">
        <f>IF(BQ5="I",BN9,IF(YEAR(BP10)=BO3,BP10,BN9))</f>
        <v>#NAME?</v>
      </c>
      <c r="BU9" s="440" t="s">
        <v>92</v>
      </c>
      <c r="BV9" s="572">
        <f>IF(BV4="D",BP9,BV4)</f>
        <v>44609</v>
      </c>
      <c r="BW9" s="573">
        <f>IF(BW4="D",BQ9,BW4)</f>
        <v>0</v>
      </c>
      <c r="BX9" s="575" t="s">
        <v>80</v>
      </c>
      <c r="BY9" s="444" t="s">
        <v>80</v>
      </c>
      <c r="BZ9" s="1177" t="e">
        <f>IF(BW5="I",BT9,IF(YEAR(BV10)=BU3,BV10,BT9))</f>
        <v>#NAME?</v>
      </c>
    </row>
    <row r="10" spans="1:78" s="443" customFormat="1" ht="15" customHeight="1" x14ac:dyDescent="0.25">
      <c r="A10" s="456" t="s">
        <v>16</v>
      </c>
      <c r="B10" s="570">
        <f>IF(B5="D",T0,IF(YEAR(B5)=A3,B5, "err."))</f>
        <v>44424</v>
      </c>
      <c r="C10" s="576">
        <f>IF(B10&gt;T0,IF(C5="D",0,C5),0)</f>
        <v>0</v>
      </c>
      <c r="D10" s="577">
        <f>IF(YEAR(B10)=A3,IF(D5="D",Salim_i,D5),Salim_i)</f>
        <v>0.08</v>
      </c>
      <c r="E10" s="578">
        <f>IF(E5="D",Tau_i,IF(YEAR(B10)=A3,E5,Tau_i))</f>
        <v>3</v>
      </c>
      <c r="F10" s="1178">
        <f>C10</f>
        <v>0</v>
      </c>
      <c r="G10" s="442" t="s">
        <v>93</v>
      </c>
      <c r="H10" s="570">
        <f>IF(H5="D",IF(AND(G3&gt;=YEAR(F9)+Inter_net,G3&gt;Amaj),DATE(G3,4,30),B10),IF(YEAR(H5)=G3,H5,"err."))</f>
        <v>44927</v>
      </c>
      <c r="I10" s="576" t="str">
        <f>IF(G3=YEAR(H10),IF(I5="D",F10,I5),C13)</f>
        <v>I</v>
      </c>
      <c r="J10" s="577">
        <f>IF(G3=YEAR(H10),IF(J5="D",D10,J5),D10)</f>
        <v>0.08</v>
      </c>
      <c r="K10" s="578">
        <f>IF(G3=YEAR(H10),IF(K5="D",E10,K5),E10)</f>
        <v>3</v>
      </c>
      <c r="L10" s="1178">
        <f>IF(I5="I",F10,IF(I5="D",F10,I5))</f>
        <v>0</v>
      </c>
      <c r="M10" s="442" t="s">
        <v>93</v>
      </c>
      <c r="N10" s="570">
        <f>IF(N5="D",IF(AND(M3&gt;=YEAR(L9)+Inter_net,M3&gt;Amaj),DATE(M3,4,30),H10),IF(YEAR(N5)=M3,N5,"err."))</f>
        <v>45383</v>
      </c>
      <c r="O10" s="576">
        <f>IF(M3=YEAR(N10),IF(O5="D",L10,O5),I13)</f>
        <v>8.0000000000000002E-3</v>
      </c>
      <c r="P10" s="577">
        <f>IF(M3=YEAR(N10),IF(P5="D",J10,P5),J10)</f>
        <v>0.08</v>
      </c>
      <c r="Q10" s="578">
        <f>IF(M3=YEAR(N10),IF(Q5="D",K10,Q5),K10)</f>
        <v>2.5</v>
      </c>
      <c r="R10" s="1178">
        <f>IF(O5="I",L10,IF(O5="D",L10,O5))</f>
        <v>8.0000000000000002E-3</v>
      </c>
      <c r="S10" s="442" t="s">
        <v>93</v>
      </c>
      <c r="T10" s="570">
        <f>IF(T5="D",IF(AND(S3&gt;=YEAR(R9)+Inter_net,S3&gt;Amaj),DATE(S3,4,30),N10),IF(YEAR(T5)=S3,T5,"err."))</f>
        <v>45383</v>
      </c>
      <c r="U10" s="576">
        <f>IF(S3=YEAR(T10),IF(U5="D",R10,U5),O13)</f>
        <v>8.0000000000000002E-3</v>
      </c>
      <c r="V10" s="577">
        <f>IF(S3=YEAR(T10),IF(V5="D",P10,V5),P10)</f>
        <v>0.08</v>
      </c>
      <c r="W10" s="578">
        <f>IF(S3=YEAR(T10),IF(W5="D",Q10,W5),Q10)</f>
        <v>2.5</v>
      </c>
      <c r="X10" s="1178">
        <f>IF(U5="I",R10,IF(U5="D",R10,U5))</f>
        <v>8.0000000000000002E-3</v>
      </c>
      <c r="Y10" s="442" t="s">
        <v>93</v>
      </c>
      <c r="Z10" s="570">
        <f>IF(Z5="D",IF(AND(Y3&gt;=YEAR(X9)+Inter_net,Y3&gt;Amaj),DATE(Y3,4,30),T10),IF(YEAR(Z5)=Y3,Z5,"err."))</f>
        <v>46142</v>
      </c>
      <c r="AA10" s="576">
        <f>IF(Y3=YEAR(Z10),IF(AA5="D",X10,AA5),U13)</f>
        <v>8.0000000000000002E-3</v>
      </c>
      <c r="AB10" s="577">
        <f>IF(Y3=YEAR(Z10),IF(AB5="D",V10,AB5),V10)</f>
        <v>0.08</v>
      </c>
      <c r="AC10" s="578">
        <f>IF(Y3=YEAR(Z10),IF(AC5="D",W10,AC5),W10)</f>
        <v>2.5</v>
      </c>
      <c r="AD10" s="1178">
        <f>IF(AA5="I",X10,IF(AA5="D",X10,AA5))</f>
        <v>8.0000000000000002E-3</v>
      </c>
      <c r="AE10" s="442" t="s">
        <v>93</v>
      </c>
      <c r="AF10" s="570">
        <f>IF(AF5="D",IF(AND(AE3&gt;=YEAR(AD9)+Inter_net,AE3&gt;Amaj),DATE(AE3,4,30),Z10),IF(YEAR(AF5)=AE3,AF5,"err."))</f>
        <v>46142</v>
      </c>
      <c r="AG10" s="576">
        <f>IF(AE3=YEAR(AF10),IF(AG5="D",AD10,AG5),AA13)</f>
        <v>8.0000000000000002E-3</v>
      </c>
      <c r="AH10" s="577">
        <f>IF(AE3=YEAR(AF10),IF(AH5="D",AB10,AH5),AB10)</f>
        <v>0.08</v>
      </c>
      <c r="AI10" s="578">
        <f>IF(AE3=YEAR(AF10),IF(AI5="D",AC10,AI5),AC10)</f>
        <v>2.5</v>
      </c>
      <c r="AJ10" s="1178">
        <f>IF(AG5="I",AD10,IF(AG5="D",AD10,AG5))</f>
        <v>8.0000000000000002E-3</v>
      </c>
      <c r="AK10" s="442" t="s">
        <v>93</v>
      </c>
      <c r="AL10" s="570">
        <f>IF(AL5="D",IF(AND(AK3&gt;=YEAR(AJ9)+Inter_net,AK3&gt;Amaj),DATE(AK3,4,30),AF10),IF(YEAR(AL5)=AK3,AL5,"err."))</f>
        <v>46873</v>
      </c>
      <c r="AM10" s="576">
        <f>IF(AK3=YEAR(AL10),IF(AM5="D",AJ10,AM5),AG13)</f>
        <v>8.0000000000000002E-3</v>
      </c>
      <c r="AN10" s="577">
        <f>IF(AN5="D",AH10,AN5)</f>
        <v>0.08</v>
      </c>
      <c r="AO10" s="578">
        <f>IF(AO5="D",AI10,AO5)</f>
        <v>2.5</v>
      </c>
      <c r="AP10" s="1178">
        <f>IF(AM5="I",AJ10,IF(AM5="D",AJ10,AM5))</f>
        <v>8.0000000000000002E-3</v>
      </c>
      <c r="AQ10" s="442" t="s">
        <v>93</v>
      </c>
      <c r="AR10" s="570">
        <f>IF(AR5="D",IF(AND(AQ3&gt;=YEAR(AP9)+Inter_net,AQ3&gt;Amaj),DATE(AQ3,4,30),AL10),IF(YEAR(AR5)=AQ3,AR5,"err."))</f>
        <v>46873</v>
      </c>
      <c r="AS10" s="576">
        <f>IF(AQ3=YEAR(AR10),IF(AS5="D",AP10,AS5),AM13)</f>
        <v>8.0000000000000002E-3</v>
      </c>
      <c r="AT10" s="577">
        <f>IF(AT5="D",AN10,AT5)</f>
        <v>0.08</v>
      </c>
      <c r="AU10" s="578">
        <f>IF(AU5="D",AO10,AU5)</f>
        <v>2.5</v>
      </c>
      <c r="AV10" s="1178">
        <f>IF(AS5="I",AP10,IF(AS5="D",AP10,AS5))</f>
        <v>8.0000000000000002E-3</v>
      </c>
      <c r="AW10" s="442" t="s">
        <v>93</v>
      </c>
      <c r="AX10" s="570">
        <f>IF(AX5="D",IF(AND(AW3&gt;=YEAR(AV9)+Inter_net,AW3&gt;Amaj),DATE(AW3,4,30),AR10),IF(YEAR(AX5)=AW3,AX5,"err."))</f>
        <v>47603</v>
      </c>
      <c r="AY10" s="576">
        <f>IF(AW3=YEAR(AX10),IF(AY5="D",AV10,AY5),AS13)</f>
        <v>8.0000000000000002E-3</v>
      </c>
      <c r="AZ10" s="577">
        <f>IF(AZ5="D",AT10,AZ5)</f>
        <v>0.08</v>
      </c>
      <c r="BA10" s="578">
        <f>IF(BA5="D",AU10,BA5)</f>
        <v>2.5</v>
      </c>
      <c r="BB10" s="1178">
        <f>IF(AY5="I",AV10,IF(AY5="D",AV10,AY5))</f>
        <v>8.0000000000000002E-3</v>
      </c>
      <c r="BC10" s="442" t="s">
        <v>93</v>
      </c>
      <c r="BD10" s="570">
        <f>IF(BD5="D",IF(AND(BC3&gt;=YEAR(BB9)+Inter_net,BC3&gt;Amaj),DATE(BC3,4,30),AX10),IF(YEAR(BD5)=BC3,BD5,"err."))</f>
        <v>47603</v>
      </c>
      <c r="BE10" s="576">
        <f>IF(BC3=YEAR(BD10),IF(BE5="D",BB10,BE5),AY13)</f>
        <v>8.0000000000000002E-3</v>
      </c>
      <c r="BF10" s="577">
        <f>IF(BF5="D",AZ10,BF5)</f>
        <v>0.08</v>
      </c>
      <c r="BG10" s="578">
        <f>IF(BG5="D",BA10,BG5)</f>
        <v>2.5</v>
      </c>
      <c r="BH10" s="1178">
        <f>IF(BE5="I",BB10,IF(BE5="D",BB10,BE5))</f>
        <v>8.0000000000000002E-3</v>
      </c>
      <c r="BI10" s="442" t="s">
        <v>93</v>
      </c>
      <c r="BJ10" s="570" t="e">
        <f>IF(BJ5="D",IF(AND(BI3&gt;=YEAR(BH9)+Inter_net,BI3&gt;Amaj),DATE(BI3,4,30),BD10),IF(YEAR(BJ5)=BI3,BJ5,"err."))</f>
        <v>#NAME?</v>
      </c>
      <c r="BK10" s="576" t="e">
        <f>IF(BI3=YEAR(BJ10),IF(BK5="D",BH10,BK5),BE13)</f>
        <v>#NAME?</v>
      </c>
      <c r="BL10" s="577">
        <f>IF(BL5="D",BF10,BL5)</f>
        <v>0.08</v>
      </c>
      <c r="BM10" s="578">
        <f>IF(BM5="D",BG10,BM5)</f>
        <v>2.5</v>
      </c>
      <c r="BN10" s="1178">
        <f>IF(BK5="I",BH10,IF(BK5="D",BH10,BK5))</f>
        <v>8.0000000000000002E-3</v>
      </c>
      <c r="BO10" s="442" t="s">
        <v>93</v>
      </c>
      <c r="BP10" s="570" t="e">
        <f>IF(BP5="D",IF(AND(BO3&gt;=YEAR(BN9)+Inter_net,BO3&gt;Amaj),DATE(BO3,4,30),BJ10),IF(YEAR(BP5)=BO3,BP5,"err."))</f>
        <v>#NAME?</v>
      </c>
      <c r="BQ10" s="576" t="e">
        <f>IF(BO3=YEAR(BP10),IF(BQ5="D",BN10,BQ5),BK13)</f>
        <v>#NAME?</v>
      </c>
      <c r="BR10" s="577">
        <f>IF(BR5="D",BL10,BR5)</f>
        <v>0.08</v>
      </c>
      <c r="BS10" s="578">
        <f>IF(BS5="D",BM10,BS5)</f>
        <v>2.5</v>
      </c>
      <c r="BT10" s="1178">
        <f>IF(BQ5="I",BN10,IF(BQ5="D",BN10,BQ5))</f>
        <v>8.0000000000000002E-3</v>
      </c>
      <c r="BU10" s="442" t="s">
        <v>93</v>
      </c>
      <c r="BV10" s="570" t="e">
        <f>IF(BV5="D",IF(AND(BU3&gt;=YEAR(BT9)+Inter_net,BU3&gt;Amaj),DATE(BU3,4,30),BP10),IF(YEAR(BV5)=BU3,BV5,"err."))</f>
        <v>#NAME?</v>
      </c>
      <c r="BW10" s="576" t="e">
        <f>IF(BU3=YEAR(BV10),IF(BW5="D",BT10,BW5),BQ13)</f>
        <v>#NAME?</v>
      </c>
      <c r="BX10" s="577">
        <f>IF(BX5="D",BR10,BX5)</f>
        <v>0.08</v>
      </c>
      <c r="BY10" s="578">
        <f>IF(BY5="D",BS10,BY5)</f>
        <v>2.5</v>
      </c>
      <c r="BZ10" s="1178">
        <f>IF(BW5="I",BT10,IF(BW5="D",BT10,BW5))</f>
        <v>8.0000000000000002E-3</v>
      </c>
    </row>
    <row r="11" spans="1:78" s="443" customFormat="1" ht="15" customHeight="1" x14ac:dyDescent="0.25">
      <c r="A11" s="441" t="s">
        <v>18</v>
      </c>
      <c r="B11" s="571">
        <f>IF(B6="D",DATE(A3,1,1),IF(YEAR(B6)=A3,B6, "err."))</f>
        <v>44562</v>
      </c>
      <c r="C11" s="579">
        <f>IF(C6="D",D_i,C6)</f>
        <v>0.5</v>
      </c>
      <c r="D11" s="1247">
        <f>IF(D6="D",IF(B11&gt;DATE(A3,1,1),H_i,H_i+PousHi),D6)</f>
        <v>0.48952922605263238</v>
      </c>
      <c r="E11" s="1247"/>
      <c r="F11" s="184"/>
      <c r="G11" s="442" t="s">
        <v>94</v>
      </c>
      <c r="H11" s="571">
        <f>IF(H6="D",IF(AND(G3&gt;=YEAR(B11)+Inter_tai,G3&gt;Amaj),DATE(G3,3,31),B11),IF(YEAR(H6)=G3,H6,"err."))</f>
        <v>44562</v>
      </c>
      <c r="I11" s="579">
        <f>IF(I6="D",IF(G3=YEAR(H11),D_i,C11),I6)</f>
        <v>0.5</v>
      </c>
      <c r="J11" s="1247">
        <f>IF(J6="D",IF(G3=YEAR(H11),H_i,D16+E16),J6)</f>
        <v>0.98952914851469065</v>
      </c>
      <c r="K11" s="1247"/>
      <c r="L11" s="184"/>
      <c r="M11" s="442" t="s">
        <v>94</v>
      </c>
      <c r="N11" s="571">
        <f>IF(N6="D",IF(AND(M3&gt;=YEAR(H11)+Inter_tai,M3&gt;Amaj),DATE(M3,3,31),H11),IF(YEAR(N6)=M3,N6,"err."))</f>
        <v>44562</v>
      </c>
      <c r="O11" s="579">
        <f>IF(O6="D",IF(M3=YEAR(N11),D_i,I11),O6)</f>
        <v>0.5</v>
      </c>
      <c r="P11" s="1247">
        <f>IF(P6="D",IF(M3=YEAR(N11),H_i,J16+K16),P6)</f>
        <v>1.489529070976749</v>
      </c>
      <c r="Q11" s="1247"/>
      <c r="R11" s="184"/>
      <c r="S11" s="442" t="s">
        <v>94</v>
      </c>
      <c r="T11" s="571">
        <f>IF(T6="D",IF(AND(S3&gt;=YEAR(N11)+Inter_tai,S3&gt;Amaj),DATE(S3,3,31),N11),IF(YEAR(T6)=S3,T6,"err."))</f>
        <v>44562</v>
      </c>
      <c r="U11" s="579">
        <f>IF(U6="D",IF(S3=YEAR(T11),D_i,O11),U6)</f>
        <v>0.5</v>
      </c>
      <c r="V11" s="1247">
        <f>IF(V6="D",IF(S3=YEAR(T11),H_i,P16+Q16),V6)</f>
        <v>1.9895289934388074</v>
      </c>
      <c r="W11" s="1247"/>
      <c r="X11" s="184"/>
      <c r="Y11" s="442" t="s">
        <v>94</v>
      </c>
      <c r="Z11" s="571">
        <f>IF(Z6="D",IF(AND(Y3&gt;=YEAR(T11)+Inter_tai,Y3&gt;Amaj),DATE(Y3,3,31),T11),IF(YEAR(Z6)=Y3,Z6,"err."))</f>
        <v>44562</v>
      </c>
      <c r="AA11" s="579">
        <f>IF(AA6="D",IF(Y3=YEAR(Z11),D_i,U11),AA6)</f>
        <v>0.5</v>
      </c>
      <c r="AB11" s="1247">
        <f>IF(AB6="D",IF(Y3=YEAR(Z11),H_i,V16+W16),AB6)</f>
        <v>2.4895289159008658</v>
      </c>
      <c r="AC11" s="1247"/>
      <c r="AD11" s="184"/>
      <c r="AE11" s="442" t="s">
        <v>94</v>
      </c>
      <c r="AF11" s="571">
        <f>IF(AF6="D",IF(AND(AE3&gt;=YEAR(Z11)+Inter_tai,AE3&gt;Amaj),DATE(AE3,3,31),Z11),IF(YEAR(AF6)=AE3,AF6,"err."))</f>
        <v>44562</v>
      </c>
      <c r="AG11" s="579">
        <f>IF(AG6="D",IF(AE3=YEAR(AF11),D_i,AA11),AG6)</f>
        <v>0.5</v>
      </c>
      <c r="AH11" s="1247">
        <f>IF(AH6="D",IF(AE3=YEAR(AF11),H_i,AB16+AC16),AH6)</f>
        <v>2.9895288383629239</v>
      </c>
      <c r="AI11" s="1247"/>
      <c r="AJ11" s="184"/>
      <c r="AK11" s="442" t="s">
        <v>94</v>
      </c>
      <c r="AL11" s="571">
        <f>IF(AL6="D",IF(AND(AK3&gt;=YEAR(AF11)+Inter_tai,AK3&gt;Amaj),DATE(AK3,3,31),AF11),IF(YEAR(AL6)=AK3,AL6,"err."))</f>
        <v>44562</v>
      </c>
      <c r="AM11" s="579">
        <f>IF(AM6="D",IF(AK3=YEAR(AL11),D_i,AG11),AM6)</f>
        <v>0.5</v>
      </c>
      <c r="AN11" s="1247">
        <f>IF(AN6="D",IF(AK3=YEAR(AL11),H_i,AH16+PousHi),AN6)</f>
        <v>3.4895287608249821</v>
      </c>
      <c r="AO11" s="1247"/>
      <c r="AP11" s="184"/>
      <c r="AQ11" s="442" t="s">
        <v>94</v>
      </c>
      <c r="AR11" s="571">
        <f>IF(AR6="D",IF(AND(AQ3&gt;=YEAR(AL11)+Inter_tai,AQ3&gt;Amaj),DATE(AQ3,3,31),AL11),IF(YEAR(AR6)=AQ3,AR6,"err."))</f>
        <v>47208</v>
      </c>
      <c r="AS11" s="579">
        <f>IF(AS6="D",IF(AQ3=YEAR(AR11),D_i,AM11),AS6)</f>
        <v>0.5</v>
      </c>
      <c r="AT11" s="1247">
        <f>IF(AT6="D",IF(AQ3=YEAR(AR11),H_i,AN16+PousHi),AT6)</f>
        <v>-1.0470773947367618E-2</v>
      </c>
      <c r="AU11" s="1247"/>
      <c r="AV11" s="184"/>
      <c r="AW11" s="442" t="s">
        <v>94</v>
      </c>
      <c r="AX11" s="571">
        <f>IF(AX6="D",IF(AND(AW3&gt;=YEAR(AR11)+Inter_tai,AW3&gt;Amaj),DATE(AW3,3,31),AR11),IF(YEAR(AX6)=AW3,AX6,"err."))</f>
        <v>47208</v>
      </c>
      <c r="AY11" s="579">
        <f>IF(AY6="D",IF(AW3=YEAR(AX11),D_i,AS11),AY6)</f>
        <v>0.5</v>
      </c>
      <c r="AZ11" s="1247">
        <f>IF(AZ6="D",IF(AW3=YEAR(AX11),H_i,AT16+PousHi),AZ6)</f>
        <v>0.96454103937512026</v>
      </c>
      <c r="BA11" s="1247"/>
      <c r="BB11" s="184"/>
      <c r="BC11" s="442" t="s">
        <v>94</v>
      </c>
      <c r="BD11" s="571">
        <f>IF(BD6="D",IF(AND(BC3&gt;=YEAR(AX11)+Inter_tai,BC3&gt;Amaj),DATE(BC3,3,31),AX11),IF(YEAR(BD6)=BC3,BD6,"err."))</f>
        <v>47208</v>
      </c>
      <c r="BE11" s="579">
        <f>IF(BE6="D",IF(BC3=YEAR(BD11),D_i,AY11),BE6)</f>
        <v>0.5</v>
      </c>
      <c r="BF11" s="1247">
        <f>IF(BF6="D",IF(BC3=YEAR(BD11),H_i,AZ16+PousHi),BF6)</f>
        <v>1.4645409618371785</v>
      </c>
      <c r="BG11" s="1247"/>
      <c r="BH11" s="184"/>
      <c r="BI11" s="442" t="s">
        <v>94</v>
      </c>
      <c r="BJ11" s="571" t="e">
        <f>IF(BJ6="D",IF(AND(BI3&gt;=YEAR(BD11)+Inter_tai,BI3&gt;Amaj),DATE(BI3,3,31),BD11),IF(YEAR(BJ6)=BI3,BJ6,"err."))</f>
        <v>#NAME?</v>
      </c>
      <c r="BK11" s="579" t="e">
        <f>IF(BK6="D",IF(BI3=YEAR(BJ11),D_i,BE11),BK6)</f>
        <v>#NAME?</v>
      </c>
      <c r="BL11" s="1247" t="e">
        <f>IF(BL6="D",IF(BI3=YEAR(BJ11),H_i,BF16+PousHi),BL6)</f>
        <v>#NAME?</v>
      </c>
      <c r="BM11" s="1247"/>
      <c r="BN11" s="184"/>
      <c r="BO11" s="442" t="s">
        <v>94</v>
      </c>
      <c r="BP11" s="571" t="e">
        <f>IF(BP6="D",IF(AND(BO3&gt;=YEAR(BJ11)+Inter_tai,BO3&gt;Amaj),DATE(BO3,3,31),BJ11),IF(YEAR(BP6)=BO3,BP6,"err."))</f>
        <v>#NAME?</v>
      </c>
      <c r="BQ11" s="579" t="e">
        <f>IF(BQ6="D",IF(BO3=YEAR(BP11),D_i,BK11),BQ6)</f>
        <v>#NAME?</v>
      </c>
      <c r="BR11" s="1247" t="e">
        <f>IF(BR6="D",IF(BO3=YEAR(BP11),H_i,BL16+PousHi),BR6)</f>
        <v>#NAME?</v>
      </c>
      <c r="BS11" s="1247"/>
      <c r="BT11" s="184"/>
      <c r="BU11" s="442" t="s">
        <v>94</v>
      </c>
      <c r="BV11" s="571" t="e">
        <f>IF(BV6="D",IF(AND(BU3&gt;=YEAR(BP11)+Inter_tai,BU3&gt;Amaj),DATE(BU3,3,31),BP11),IF(YEAR(BV6)=BU3,BV6,"err."))</f>
        <v>#NAME?</v>
      </c>
      <c r="BW11" s="579" t="e">
        <f>IF(BW6="D",IF(BU3=YEAR(BV11),D_i,BQ11),BW6)</f>
        <v>#NAME?</v>
      </c>
      <c r="BX11" s="1247" t="e">
        <f>IF(BX6="D",IF(BU3=YEAR(BV11),H_i,BR16+PousHi),BX6)</f>
        <v>#NAME?</v>
      </c>
      <c r="BY11" s="1247"/>
      <c r="BZ11" s="184"/>
    </row>
    <row r="12" spans="1:78" x14ac:dyDescent="0.25">
      <c r="A12" s="8" t="s">
        <v>164</v>
      </c>
      <c r="B12" s="438"/>
      <c r="C12" s="447"/>
      <c r="D12" s="398"/>
      <c r="E12" s="448"/>
      <c r="H12" s="438"/>
      <c r="L12" s="458"/>
      <c r="M12" s="448"/>
      <c r="AL12" s="448"/>
      <c r="AM12" s="447"/>
      <c r="AN12" s="398"/>
      <c r="AO12" s="448"/>
    </row>
    <row r="13" spans="1:78" s="404" customFormat="1" ht="15" customHeight="1" x14ac:dyDescent="0.25">
      <c r="A13" s="452" t="s">
        <v>16</v>
      </c>
      <c r="B13" s="580">
        <f>+'2022'!Tnet</f>
        <v>44424</v>
      </c>
      <c r="C13" s="581">
        <f>+'2022'!Resal</f>
        <v>0</v>
      </c>
      <c r="D13" s="582">
        <f>+'2022'!Salim</f>
        <v>0.08</v>
      </c>
      <c r="E13" s="583">
        <f>+'2022'!Tau_j/365</f>
        <v>3</v>
      </c>
      <c r="F13" s="457"/>
      <c r="G13" s="459" t="s">
        <v>93</v>
      </c>
      <c r="H13" s="580">
        <f>+'2023'!Tnet</f>
        <v>44927</v>
      </c>
      <c r="I13" s="581">
        <f>+'2023'!Resal</f>
        <v>2.9465013212189649E-2</v>
      </c>
      <c r="J13" s="582">
        <f>+'2023'!Salim</f>
        <v>0.08</v>
      </c>
      <c r="K13" s="583">
        <f>+'2023'!Tau_j/365</f>
        <v>3</v>
      </c>
      <c r="L13" s="460"/>
      <c r="M13" s="442" t="s">
        <v>93</v>
      </c>
      <c r="N13" s="580">
        <f>+'2024'!Tnet</f>
        <v>45383</v>
      </c>
      <c r="O13" s="581">
        <f>+'2024'!Resal</f>
        <v>8.0000000000000002E-3</v>
      </c>
      <c r="P13" s="582">
        <f>+'2024'!Salim</f>
        <v>0.08</v>
      </c>
      <c r="Q13" s="583">
        <f>+'2024'!Tau_j/365</f>
        <v>2.5</v>
      </c>
      <c r="R13" s="460"/>
      <c r="S13" s="442" t="s">
        <v>93</v>
      </c>
      <c r="T13" s="580">
        <f>+'2025'!Tnet</f>
        <v>45383</v>
      </c>
      <c r="U13" s="581">
        <f>+'2025'!Resal</f>
        <v>8.0000000000000002E-3</v>
      </c>
      <c r="V13" s="582">
        <f>+'2025'!Salim</f>
        <v>0.08</v>
      </c>
      <c r="W13" s="583">
        <f>+'2025'!Tau_j/365</f>
        <v>2.5</v>
      </c>
      <c r="X13" s="460"/>
      <c r="Y13" s="442" t="s">
        <v>93</v>
      </c>
      <c r="Z13" s="580">
        <f>+'2026'!Tnet</f>
        <v>46142</v>
      </c>
      <c r="AA13" s="581">
        <f>+'2026'!Resal</f>
        <v>8.0000000000000002E-3</v>
      </c>
      <c r="AB13" s="582">
        <f>+'2026'!Salim</f>
        <v>0.08</v>
      </c>
      <c r="AC13" s="583">
        <f>+'2026'!Tau_j/365</f>
        <v>2.5</v>
      </c>
      <c r="AD13" s="460"/>
      <c r="AE13" s="442" t="s">
        <v>93</v>
      </c>
      <c r="AF13" s="580">
        <f>+'2027'!Tnet</f>
        <v>46142</v>
      </c>
      <c r="AG13" s="581">
        <f>+'2027'!Resal</f>
        <v>8.0000000000000002E-3</v>
      </c>
      <c r="AH13" s="582">
        <f>+'2027'!Salim</f>
        <v>0.08</v>
      </c>
      <c r="AI13" s="583">
        <f>+'2027'!Tau_j/365</f>
        <v>2.5</v>
      </c>
      <c r="AJ13" s="460"/>
      <c r="AK13" s="442" t="s">
        <v>93</v>
      </c>
      <c r="AL13" s="580">
        <f>+'2028'!Tnet</f>
        <v>46873</v>
      </c>
      <c r="AM13" s="581">
        <f>+'2028'!Resal</f>
        <v>8.0000000000000002E-3</v>
      </c>
      <c r="AN13" s="582">
        <f>+'2028'!Salim</f>
        <v>0.08</v>
      </c>
      <c r="AO13" s="583">
        <f>+'2028'!Tau_j/365</f>
        <v>2.5</v>
      </c>
      <c r="AP13" s="457"/>
      <c r="AQ13" s="442" t="s">
        <v>93</v>
      </c>
      <c r="AR13" s="580">
        <f>+'2029'!Tnet</f>
        <v>46873</v>
      </c>
      <c r="AS13" s="581">
        <f>+'2029'!Resal</f>
        <v>8.0000000000000002E-3</v>
      </c>
      <c r="AT13" s="582">
        <f>+'2029'!Salim</f>
        <v>0.08</v>
      </c>
      <c r="AU13" s="583">
        <f>+'2029'!Tau_j/365</f>
        <v>2.5</v>
      </c>
      <c r="AV13" s="457"/>
      <c r="AW13" s="442" t="s">
        <v>93</v>
      </c>
      <c r="AX13" s="580">
        <f>+'2030'!Tnet</f>
        <v>47603</v>
      </c>
      <c r="AY13" s="581">
        <f>+'2030'!Resal</f>
        <v>8.0000000000000002E-3</v>
      </c>
      <c r="AZ13" s="582">
        <f>+'2030'!Salim</f>
        <v>0.08</v>
      </c>
      <c r="BA13" s="583">
        <f>+'2030'!Tau_j/365</f>
        <v>2.5</v>
      </c>
      <c r="BB13" s="457"/>
      <c r="BC13" s="442" t="s">
        <v>93</v>
      </c>
      <c r="BD13" s="580">
        <f>+'2031'!Tnet</f>
        <v>47603</v>
      </c>
      <c r="BE13" s="581">
        <f>+'2031'!Resal</f>
        <v>8.0000000000000002E-3</v>
      </c>
      <c r="BF13" s="582">
        <f>+'2031'!Salim</f>
        <v>0.08</v>
      </c>
      <c r="BG13" s="583">
        <f>+'2031'!Tau_j/365</f>
        <v>2.5</v>
      </c>
      <c r="BH13" s="457"/>
      <c r="BI13" s="442" t="s">
        <v>93</v>
      </c>
      <c r="BJ13" s="580">
        <f>+'2022'!Tnet</f>
        <v>44424</v>
      </c>
      <c r="BK13" s="581">
        <f>+'2022'!Resal</f>
        <v>0</v>
      </c>
      <c r="BL13" s="582">
        <f>+'2022'!Salim</f>
        <v>0.08</v>
      </c>
      <c r="BM13" s="583">
        <f>+'2022'!Tau_j/365</f>
        <v>3</v>
      </c>
      <c r="BN13" s="457"/>
      <c r="BO13" s="442" t="s">
        <v>93</v>
      </c>
      <c r="BP13" s="580">
        <f>+'2022'!Tnet</f>
        <v>44424</v>
      </c>
      <c r="BQ13" s="581">
        <f>+'2022'!Resal</f>
        <v>0</v>
      </c>
      <c r="BR13" s="582">
        <f>+'2022'!Salim</f>
        <v>0.08</v>
      </c>
      <c r="BS13" s="583">
        <f>+'2022'!Tau_j/365</f>
        <v>3</v>
      </c>
      <c r="BT13" s="457"/>
      <c r="BU13" s="442" t="s">
        <v>93</v>
      </c>
      <c r="BV13" s="580">
        <f>+'2022'!Tnet</f>
        <v>44424</v>
      </c>
      <c r="BW13" s="581">
        <f>+'2022'!Resal</f>
        <v>0</v>
      </c>
      <c r="BX13" s="582">
        <f>+'2022'!Salim</f>
        <v>0.08</v>
      </c>
      <c r="BY13" s="583">
        <f>+'2022'!Tau_j/365</f>
        <v>3</v>
      </c>
      <c r="BZ13" s="457"/>
    </row>
    <row r="14" spans="1:78" s="451" customFormat="1" ht="12.75" customHeight="1" x14ac:dyDescent="0.25">
      <c r="A14" s="469"/>
      <c r="B14" s="470" t="s">
        <v>2</v>
      </c>
      <c r="C14" s="470" t="s">
        <v>129</v>
      </c>
      <c r="D14" s="470" t="s">
        <v>130</v>
      </c>
      <c r="E14" s="470" t="s">
        <v>131</v>
      </c>
      <c r="F14" s="471"/>
      <c r="G14" s="472"/>
      <c r="H14" s="473" t="s">
        <v>2</v>
      </c>
      <c r="I14" s="473" t="s">
        <v>129</v>
      </c>
      <c r="J14" s="473" t="s">
        <v>130</v>
      </c>
      <c r="K14" s="473" t="s">
        <v>131</v>
      </c>
      <c r="L14" s="474"/>
      <c r="M14" s="475"/>
      <c r="N14" s="473" t="s">
        <v>2</v>
      </c>
      <c r="O14" s="473" t="s">
        <v>129</v>
      </c>
      <c r="P14" s="473" t="s">
        <v>130</v>
      </c>
      <c r="Q14" s="473" t="s">
        <v>131</v>
      </c>
      <c r="R14" s="471"/>
      <c r="S14" s="472"/>
      <c r="T14" s="473" t="s">
        <v>2</v>
      </c>
      <c r="U14" s="473" t="s">
        <v>129</v>
      </c>
      <c r="V14" s="473" t="s">
        <v>130</v>
      </c>
      <c r="W14" s="473" t="s">
        <v>131</v>
      </c>
      <c r="X14" s="471"/>
      <c r="Y14" s="472"/>
      <c r="Z14" s="473" t="s">
        <v>2</v>
      </c>
      <c r="AA14" s="473" t="s">
        <v>129</v>
      </c>
      <c r="AB14" s="473" t="s">
        <v>130</v>
      </c>
      <c r="AC14" s="473" t="s">
        <v>131</v>
      </c>
      <c r="AD14" s="471"/>
      <c r="AE14" s="472"/>
      <c r="AF14" s="473" t="s">
        <v>2</v>
      </c>
      <c r="AG14" s="473" t="s">
        <v>129</v>
      </c>
      <c r="AH14" s="473" t="s">
        <v>130</v>
      </c>
      <c r="AI14" s="473" t="s">
        <v>131</v>
      </c>
      <c r="AJ14" s="471"/>
      <c r="AK14" s="472"/>
      <c r="AL14" s="473" t="s">
        <v>2</v>
      </c>
      <c r="AM14" s="473" t="s">
        <v>129</v>
      </c>
      <c r="AN14" s="473" t="s">
        <v>130</v>
      </c>
      <c r="AO14" s="473" t="s">
        <v>131</v>
      </c>
      <c r="AP14" s="471"/>
      <c r="AQ14" s="472"/>
      <c r="AR14" s="473" t="s">
        <v>2</v>
      </c>
      <c r="AS14" s="473" t="s">
        <v>129</v>
      </c>
      <c r="AT14" s="473" t="s">
        <v>130</v>
      </c>
      <c r="AU14" s="473" t="s">
        <v>131</v>
      </c>
      <c r="AV14" s="471"/>
      <c r="AW14" s="472"/>
      <c r="AX14" s="473" t="s">
        <v>2</v>
      </c>
      <c r="AY14" s="473" t="s">
        <v>129</v>
      </c>
      <c r="AZ14" s="473" t="s">
        <v>130</v>
      </c>
      <c r="BA14" s="473" t="s">
        <v>131</v>
      </c>
      <c r="BB14" s="471"/>
      <c r="BC14" s="472"/>
      <c r="BD14" s="473" t="s">
        <v>2</v>
      </c>
      <c r="BE14" s="473" t="s">
        <v>129</v>
      </c>
      <c r="BF14" s="473" t="s">
        <v>130</v>
      </c>
      <c r="BG14" s="473" t="s">
        <v>131</v>
      </c>
      <c r="BH14" s="471"/>
      <c r="BI14" s="472"/>
      <c r="BJ14" s="473" t="s">
        <v>2</v>
      </c>
      <c r="BK14" s="473" t="s">
        <v>129</v>
      </c>
      <c r="BL14" s="473" t="s">
        <v>130</v>
      </c>
      <c r="BM14" s="473" t="s">
        <v>131</v>
      </c>
      <c r="BN14" s="471"/>
      <c r="BO14" s="472"/>
      <c r="BP14" s="473" t="s">
        <v>2</v>
      </c>
      <c r="BQ14" s="473" t="s">
        <v>129</v>
      </c>
      <c r="BR14" s="473" t="s">
        <v>130</v>
      </c>
      <c r="BS14" s="473" t="s">
        <v>131</v>
      </c>
      <c r="BT14" s="471"/>
      <c r="BU14" s="472"/>
      <c r="BV14" s="473" t="s">
        <v>2</v>
      </c>
      <c r="BW14" s="473" t="s">
        <v>129</v>
      </c>
      <c r="BX14" s="473" t="s">
        <v>130</v>
      </c>
      <c r="BY14" s="473" t="s">
        <v>131</v>
      </c>
      <c r="BZ14" s="471"/>
    </row>
    <row r="15" spans="1:78" s="454" customFormat="1" ht="15" customHeight="1" x14ac:dyDescent="0.25">
      <c r="A15" s="476" t="s">
        <v>125</v>
      </c>
      <c r="B15" s="584">
        <f>B11</f>
        <v>44562</v>
      </c>
      <c r="C15" s="585">
        <f>'2022'!Dd</f>
        <v>0.5</v>
      </c>
      <c r="D15" s="585">
        <f>'2022'!Df</f>
        <v>0.5</v>
      </c>
      <c r="E15" s="585">
        <f>'2022'!PousD</f>
        <v>0</v>
      </c>
      <c r="F15" s="461"/>
      <c r="G15" s="477" t="s">
        <v>128</v>
      </c>
      <c r="H15" s="584">
        <f>H11</f>
        <v>44562</v>
      </c>
      <c r="I15" s="585">
        <f>'2023'!Dd</f>
        <v>0.5</v>
      </c>
      <c r="J15" s="585">
        <f>'2023'!Df</f>
        <v>0.5</v>
      </c>
      <c r="K15" s="585">
        <f>'2023'!PousD</f>
        <v>0</v>
      </c>
      <c r="L15" s="461"/>
      <c r="M15" s="477" t="s">
        <v>128</v>
      </c>
      <c r="N15" s="584">
        <f>N11</f>
        <v>44562</v>
      </c>
      <c r="O15" s="585">
        <f>'2024'!Dd</f>
        <v>0.5</v>
      </c>
      <c r="P15" s="585">
        <f>'2024'!Df</f>
        <v>0.5</v>
      </c>
      <c r="Q15" s="585">
        <f>'2024'!PousD</f>
        <v>0</v>
      </c>
      <c r="R15" s="461"/>
      <c r="S15" s="478" t="s">
        <v>128</v>
      </c>
      <c r="T15" s="584">
        <f>T11</f>
        <v>44562</v>
      </c>
      <c r="U15" s="585">
        <f>'2025'!Dd</f>
        <v>0.5</v>
      </c>
      <c r="V15" s="585">
        <f>'2025'!Df</f>
        <v>0.5</v>
      </c>
      <c r="W15" s="585">
        <f>'2025'!PousD</f>
        <v>0</v>
      </c>
      <c r="X15" s="461"/>
      <c r="Y15" s="478" t="s">
        <v>128</v>
      </c>
      <c r="Z15" s="584">
        <f>Z11</f>
        <v>44562</v>
      </c>
      <c r="AA15" s="585">
        <f>'2026'!Dd</f>
        <v>0.5</v>
      </c>
      <c r="AB15" s="585">
        <f>'2026'!Df</f>
        <v>0.5</v>
      </c>
      <c r="AC15" s="585">
        <f>'2026'!PousD</f>
        <v>0</v>
      </c>
      <c r="AD15" s="461"/>
      <c r="AE15" s="478" t="s">
        <v>128</v>
      </c>
      <c r="AF15" s="584">
        <f>AF11</f>
        <v>44562</v>
      </c>
      <c r="AG15" s="585">
        <f>'2027'!Dd</f>
        <v>0.5</v>
      </c>
      <c r="AH15" s="585">
        <f>'2027'!Df</f>
        <v>0.5</v>
      </c>
      <c r="AI15" s="585">
        <f>'2027'!PousD</f>
        <v>0</v>
      </c>
      <c r="AJ15" s="461"/>
      <c r="AK15" s="478" t="s">
        <v>128</v>
      </c>
      <c r="AL15" s="584">
        <f>AL11</f>
        <v>44562</v>
      </c>
      <c r="AM15" s="585">
        <f>'2028'!Dd</f>
        <v>0.5</v>
      </c>
      <c r="AN15" s="585">
        <f>'2028'!Df</f>
        <v>0.5</v>
      </c>
      <c r="AO15" s="585">
        <f>'2028'!PousD</f>
        <v>0</v>
      </c>
      <c r="AP15" s="461"/>
      <c r="AQ15" s="478" t="s">
        <v>128</v>
      </c>
      <c r="AR15" s="584">
        <f>AR11</f>
        <v>47208</v>
      </c>
      <c r="AS15" s="585">
        <f>'2029'!Dd</f>
        <v>0.5</v>
      </c>
      <c r="AT15" s="585">
        <f>'2029'!Df</f>
        <v>0.5</v>
      </c>
      <c r="AU15" s="585">
        <f>'2029'!PousD</f>
        <v>0</v>
      </c>
      <c r="AV15" s="461"/>
      <c r="AW15" s="478" t="s">
        <v>128</v>
      </c>
      <c r="AX15" s="584">
        <f>AX11</f>
        <v>47208</v>
      </c>
      <c r="AY15" s="585">
        <f>'2030'!Dd</f>
        <v>0.5</v>
      </c>
      <c r="AZ15" s="585">
        <f>'2030'!Df</f>
        <v>0.5</v>
      </c>
      <c r="BA15" s="585">
        <f>'2030'!PousD</f>
        <v>0</v>
      </c>
      <c r="BB15" s="461"/>
      <c r="BC15" s="478" t="s">
        <v>128</v>
      </c>
      <c r="BD15" s="584">
        <f>BD11</f>
        <v>47208</v>
      </c>
      <c r="BE15" s="585">
        <f>'2031'!Dd</f>
        <v>0.5</v>
      </c>
      <c r="BF15" s="585">
        <f>'2031'!Df</f>
        <v>0.5</v>
      </c>
      <c r="BG15" s="585">
        <f>'2031'!PousD</f>
        <v>0</v>
      </c>
      <c r="BH15" s="461"/>
      <c r="BI15" s="478" t="s">
        <v>128</v>
      </c>
      <c r="BJ15" s="584" t="e">
        <f>BJ11</f>
        <v>#NAME?</v>
      </c>
      <c r="BK15" s="585">
        <f>'2022'!Dd</f>
        <v>0.5</v>
      </c>
      <c r="BL15" s="585">
        <f>'2022'!Df</f>
        <v>0.5</v>
      </c>
      <c r="BM15" s="585">
        <f>'2022'!PousD</f>
        <v>0</v>
      </c>
      <c r="BN15" s="461"/>
      <c r="BO15" s="478" t="s">
        <v>128</v>
      </c>
      <c r="BP15" s="584" t="e">
        <f>BP11</f>
        <v>#NAME?</v>
      </c>
      <c r="BQ15" s="585">
        <f>'2022'!Dd</f>
        <v>0.5</v>
      </c>
      <c r="BR15" s="585">
        <f>'2022'!Df</f>
        <v>0.5</v>
      </c>
      <c r="BS15" s="585">
        <f>'2022'!PousD</f>
        <v>0</v>
      </c>
      <c r="BT15" s="461"/>
      <c r="BU15" s="478" t="s">
        <v>128</v>
      </c>
      <c r="BV15" s="584" t="e">
        <f>BV11</f>
        <v>#NAME?</v>
      </c>
      <c r="BW15" s="585">
        <f>'2022'!Dd</f>
        <v>0.5</v>
      </c>
      <c r="BX15" s="585">
        <f>'2022'!Df</f>
        <v>0.5</v>
      </c>
      <c r="BY15" s="585">
        <f>'2022'!PousD</f>
        <v>0</v>
      </c>
      <c r="BZ15" s="461"/>
    </row>
    <row r="16" spans="1:78" s="454" customFormat="1" ht="15" customHeight="1" x14ac:dyDescent="0.25">
      <c r="A16" s="466" t="s">
        <v>126</v>
      </c>
      <c r="B16" s="586"/>
      <c r="C16" s="587">
        <f>'2022'!Hdd</f>
        <v>-1.0470773947367618E-2</v>
      </c>
      <c r="D16" s="587">
        <f>'2022'!Hdf</f>
        <v>0.4895291485146907</v>
      </c>
      <c r="E16" s="587">
        <f>'2022'!PousH</f>
        <v>0.5</v>
      </c>
      <c r="F16" s="453"/>
      <c r="G16" s="467" t="s">
        <v>127</v>
      </c>
      <c r="H16" s="586"/>
      <c r="I16" s="587">
        <f>'2023'!Hdd</f>
        <v>0.4895291485146907</v>
      </c>
      <c r="J16" s="587">
        <f>'2023'!Hdf</f>
        <v>0.98952907097674903</v>
      </c>
      <c r="K16" s="587">
        <f>'2023'!PousH</f>
        <v>0.49999999999999994</v>
      </c>
      <c r="L16" s="453"/>
      <c r="M16" s="467" t="s">
        <v>127</v>
      </c>
      <c r="N16" s="586"/>
      <c r="O16" s="587">
        <f>'2024'!Hdd</f>
        <v>0.98952907097674903</v>
      </c>
      <c r="P16" s="587">
        <f>'2024'!Hdf</f>
        <v>1.4895289934388074</v>
      </c>
      <c r="Q16" s="587">
        <f>'2024'!PousH</f>
        <v>0.5</v>
      </c>
      <c r="R16" s="453"/>
      <c r="S16" s="468" t="s">
        <v>127</v>
      </c>
      <c r="T16" s="586"/>
      <c r="U16" s="587">
        <f>'2025'!Hdd</f>
        <v>1.4895289934388074</v>
      </c>
      <c r="V16" s="587">
        <f>'2025'!Hdf</f>
        <v>1.9895289159008658</v>
      </c>
      <c r="W16" s="587">
        <f>'2025'!PousH</f>
        <v>0.5</v>
      </c>
      <c r="X16" s="453"/>
      <c r="Y16" s="468" t="s">
        <v>127</v>
      </c>
      <c r="Z16" s="586"/>
      <c r="AA16" s="587">
        <f>'2026'!Hdd</f>
        <v>1.9895289159008658</v>
      </c>
      <c r="AB16" s="587">
        <f>'2026'!Hdf</f>
        <v>2.4895288383629239</v>
      </c>
      <c r="AC16" s="587">
        <f>'2026'!PousH</f>
        <v>0.5</v>
      </c>
      <c r="AD16" s="453"/>
      <c r="AE16" s="468" t="s">
        <v>127</v>
      </c>
      <c r="AF16" s="586"/>
      <c r="AG16" s="587">
        <f>'2027'!Hdd</f>
        <v>2.4895288383629239</v>
      </c>
      <c r="AH16" s="587">
        <f>'2027'!Hdf</f>
        <v>2.9895287608249821</v>
      </c>
      <c r="AI16" s="587">
        <f>'2027'!PousH</f>
        <v>0.5</v>
      </c>
      <c r="AJ16" s="453"/>
      <c r="AK16" s="468" t="s">
        <v>127</v>
      </c>
      <c r="AL16" s="586"/>
      <c r="AM16" s="587">
        <f>'2028'!Hdd</f>
        <v>2.9895287608249821</v>
      </c>
      <c r="AN16" s="587">
        <f>'2028'!Hdf</f>
        <v>3.4895286832870402</v>
      </c>
      <c r="AO16" s="587">
        <f>'2028'!PousH</f>
        <v>0.5</v>
      </c>
      <c r="AP16" s="453"/>
      <c r="AQ16" s="468" t="s">
        <v>127</v>
      </c>
      <c r="AR16" s="586"/>
      <c r="AS16" s="587">
        <f>'2029'!Hdd</f>
        <v>3.4895286832870402</v>
      </c>
      <c r="AT16" s="587">
        <f>'2029'!Hdf</f>
        <v>0.46454103937512026</v>
      </c>
      <c r="AU16" s="587">
        <f>'2029'!PousH</f>
        <v>0.5</v>
      </c>
      <c r="AV16" s="453"/>
      <c r="AW16" s="468" t="s">
        <v>127</v>
      </c>
      <c r="AX16" s="586"/>
      <c r="AY16" s="587">
        <f>'2030'!Hdd</f>
        <v>0.46454103937512026</v>
      </c>
      <c r="AZ16" s="587">
        <f>'2030'!Hdf</f>
        <v>0.96454096183717852</v>
      </c>
      <c r="BA16" s="587">
        <f>'2030'!PousH</f>
        <v>0.5</v>
      </c>
      <c r="BB16" s="453"/>
      <c r="BC16" s="468" t="s">
        <v>127</v>
      </c>
      <c r="BD16" s="586"/>
      <c r="BE16" s="587">
        <f>'2031'!Hdd</f>
        <v>0.96454096183717852</v>
      </c>
      <c r="BF16" s="587">
        <f>'2031'!Hdf</f>
        <v>1.4645408842992369</v>
      </c>
      <c r="BG16" s="587">
        <f>'2031'!PousH</f>
        <v>0.5</v>
      </c>
      <c r="BH16" s="453"/>
      <c r="BI16" s="468" t="s">
        <v>127</v>
      </c>
      <c r="BJ16" s="586"/>
      <c r="BK16" s="587">
        <f>'2022'!Hdd</f>
        <v>-1.0470773947367618E-2</v>
      </c>
      <c r="BL16" s="587">
        <f>'2022'!Hdf</f>
        <v>0.4895291485146907</v>
      </c>
      <c r="BM16" s="587">
        <f>'2022'!PousH</f>
        <v>0.5</v>
      </c>
      <c r="BN16" s="453"/>
      <c r="BO16" s="468" t="s">
        <v>127</v>
      </c>
      <c r="BP16" s="586"/>
      <c r="BQ16" s="587">
        <f>'2022'!Hdd</f>
        <v>-1.0470773947367618E-2</v>
      </c>
      <c r="BR16" s="587">
        <f>'2022'!Hdf</f>
        <v>0.4895291485146907</v>
      </c>
      <c r="BS16" s="587">
        <f>'2022'!PousH</f>
        <v>0.5</v>
      </c>
      <c r="BT16" s="453"/>
      <c r="BU16" s="468" t="s">
        <v>127</v>
      </c>
      <c r="BV16" s="586"/>
      <c r="BW16" s="587">
        <f>'2022'!Hdd</f>
        <v>-1.0470773947367618E-2</v>
      </c>
      <c r="BX16" s="587">
        <f>'2022'!Hdf</f>
        <v>0.4895291485146907</v>
      </c>
      <c r="BY16" s="587">
        <f>'2022'!PousH</f>
        <v>0.5</v>
      </c>
      <c r="BZ16" s="453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3" t="s">
        <v>64</v>
      </c>
      <c r="C19" s="424" t="s">
        <v>65</v>
      </c>
      <c r="D19" s="424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4" t="s">
        <v>2</v>
      </c>
      <c r="AF19" s="423" t="s">
        <v>64</v>
      </c>
      <c r="AG19" s="424" t="s">
        <v>65</v>
      </c>
      <c r="AH19" s="424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'2022'!A29</f>
        <v>44576</v>
      </c>
      <c r="B20" s="91">
        <f>'2022'!L29</f>
        <v>1.2716901176439532E-2</v>
      </c>
      <c r="C20" s="48">
        <f>'2022'!O29</f>
        <v>1.0370376892998658E-2</v>
      </c>
      <c r="D20" s="66">
        <f>'2022'!P29</f>
        <v>5.9075804659459032E-7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55">
        <f>'2027'!A29</f>
        <v>46402</v>
      </c>
      <c r="AF20" s="91">
        <f>'2027'!L29</f>
        <v>2.6714039493363373E-2</v>
      </c>
      <c r="AG20" s="48">
        <f>'2027'!O29</f>
        <v>2.5855388601095756E-2</v>
      </c>
      <c r="AH20" s="66">
        <f>'2027'!P29</f>
        <v>3.3902012191825721E-3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'2022'!A60</f>
        <v>44607</v>
      </c>
      <c r="B21" s="91">
        <f>'2022'!L60</f>
        <v>1.3140296114315997E-2</v>
      </c>
      <c r="C21" s="48">
        <f>'2022'!O60</f>
        <v>1.2314403295171481E-2</v>
      </c>
      <c r="D21" s="66">
        <f>'2022'!P60</f>
        <v>7.7692904188167429E-7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55">
        <f>'2027'!A60</f>
        <v>46433</v>
      </c>
      <c r="AF21" s="91">
        <f>'2027'!L60</f>
        <v>2.7126982186193804E-2</v>
      </c>
      <c r="AG21" s="48">
        <f>'2027'!O60</f>
        <v>2.7664494654590643E-2</v>
      </c>
      <c r="AH21" s="66">
        <f>'2027'!P60</f>
        <v>7.1375559633766474E-4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'2022'!A88</f>
        <v>44635</v>
      </c>
      <c r="B22" s="91">
        <f>'2022'!L88</f>
        <v>2.8842650725260377E-3</v>
      </c>
      <c r="C22" s="48">
        <f>'2022'!O88</f>
        <v>1.4029963076221213E-2</v>
      </c>
      <c r="D22" s="66">
        <f>'2022'!P88</f>
        <v>5.3050083728991726E-7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55">
        <f>'2027'!A88</f>
        <v>46461</v>
      </c>
      <c r="AF22" s="91">
        <f>'2027'!L88</f>
        <v>2.7499812091007936E-2</v>
      </c>
      <c r="AG22" s="48">
        <f>'2027'!O88</f>
        <v>2.9259752891232414E-2</v>
      </c>
      <c r="AH22" s="66">
        <f>'2027'!P88</f>
        <v>1.51785874256228E-4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'2022'!A119</f>
        <v>44666</v>
      </c>
      <c r="B23" s="91">
        <f>'2022'!L119</f>
        <v>3.3073181867724344E-3</v>
      </c>
      <c r="C23" s="48">
        <f>'2022'!O119</f>
        <v>1.5941526666837222E-2</v>
      </c>
      <c r="D23" s="66">
        <f>'2022'!P119</f>
        <v>3.2004423952567188E-6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55">
        <f>'2027'!A119</f>
        <v>46492</v>
      </c>
      <c r="AF23" s="91">
        <f>'2027'!L119</f>
        <v>2.7912421398722853E-2</v>
      </c>
      <c r="AG23" s="48">
        <f>'2027'!O119</f>
        <v>3.1090264073066604E-2</v>
      </c>
      <c r="AH23" s="66">
        <f>'2027'!P119</f>
        <v>2.0766181774411289E-4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'2022'!A149</f>
        <v>44696</v>
      </c>
      <c r="B24" s="91">
        <f>'2022'!L149</f>
        <v>3.7165535256382665E-3</v>
      </c>
      <c r="C24" s="48">
        <f>'2022'!O149</f>
        <v>1.7950467271827468E-2</v>
      </c>
      <c r="D24" s="66">
        <f>'2022'!P149</f>
        <v>1.0050954374978106E-5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55">
        <f>'2027'!A149</f>
        <v>46522</v>
      </c>
      <c r="AF24" s="91">
        <f>'2027'!L149</f>
        <v>2.8311554047025789E-2</v>
      </c>
      <c r="AG24" s="48">
        <f>'2027'!O149</f>
        <v>3.3178484110030569E-2</v>
      </c>
      <c r="AH24" s="66">
        <f>'2027'!P149</f>
        <v>2.3514258613192452E-4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'2022'!A180</f>
        <v>44727</v>
      </c>
      <c r="B25" s="91">
        <f>'2022'!L180</f>
        <v>4.139253519168884E-3</v>
      </c>
      <c r="C25" s="48">
        <f>'2022'!O180</f>
        <v>2.0129341928905493E-2</v>
      </c>
      <c r="D25" s="66">
        <f>'2022'!P180</f>
        <v>1.2173382649394835E-5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55">
        <f>'2027'!A180</f>
        <v>46553</v>
      </c>
      <c r="AF25" s="91">
        <f>'2027'!L180</f>
        <v>2.8723818951427726E-2</v>
      </c>
      <c r="AG25" s="48">
        <f>'2027'!O180</f>
        <v>3.5505104271914965E-2</v>
      </c>
      <c r="AH25" s="66">
        <f>'2027'!P180</f>
        <v>1.9334636636828085E-4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'2022'!A210</f>
        <v>44757</v>
      </c>
      <c r="B26" s="91">
        <f>'2022'!L210</f>
        <v>4.5481472709599791E-3</v>
      </c>
      <c r="C26" s="48">
        <f>'2022'!O210</f>
        <v>2.2016652928780928E-2</v>
      </c>
      <c r="D26" s="66">
        <f>'2022'!P210</f>
        <v>3.0034416233114931E-5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55">
        <f>'2027'!A210</f>
        <v>46583</v>
      </c>
      <c r="AF26" s="91">
        <f>'2027'!L210</f>
        <v>2.9122618445330595E-2</v>
      </c>
      <c r="AG26" s="48">
        <f>'2027'!O210</f>
        <v>3.7356847597355428E-2</v>
      </c>
      <c r="AH26" s="66">
        <f>'2027'!P210</f>
        <v>2.9397257958991657E-4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'2022'!A241</f>
        <v>44788</v>
      </c>
      <c r="B27" s="91">
        <f>'2022'!L241</f>
        <v>4.9704944385231542E-3</v>
      </c>
      <c r="C27" s="48">
        <f>'2022'!O241</f>
        <v>2.3745506939243103E-2</v>
      </c>
      <c r="D27" s="66">
        <f>'2022'!P241</f>
        <v>5.6868440019823893E-5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55">
        <f>'2027'!A241</f>
        <v>46614</v>
      </c>
      <c r="AF27" s="91">
        <f>'2027'!L241</f>
        <v>2.953453923389171E-2</v>
      </c>
      <c r="AG27" s="48">
        <f>'2027'!O241</f>
        <v>3.8913123622364681E-2</v>
      </c>
      <c r="AH27" s="66">
        <f>'2027'!P241</f>
        <v>4.2526254746466657E-4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'2022'!A272</f>
        <v>44819</v>
      </c>
      <c r="B28" s="91">
        <f>'2022'!L272</f>
        <v>5.3926624139641888E-3</v>
      </c>
      <c r="C28" s="48">
        <f>'2022'!O272</f>
        <v>2.5342232467093374E-2</v>
      </c>
      <c r="D28" s="66">
        <f>'2022'!P272</f>
        <v>4.5056183949981648E-5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55">
        <f>'2027'!A272</f>
        <v>46645</v>
      </c>
      <c r="AF28" s="91">
        <f>'2027'!L272</f>
        <v>2.9946285254001892E-2</v>
      </c>
      <c r="AG28" s="48">
        <f>'2027'!O272</f>
        <v>4.0284120655994682E-2</v>
      </c>
      <c r="AH28" s="66">
        <f>'2027'!P272</f>
        <v>3.2626191140170655E-4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'2022'!A302</f>
        <v>44849</v>
      </c>
      <c r="B29" s="91">
        <f>'2022'!L302</f>
        <v>5.8010415244590385E-3</v>
      </c>
      <c r="C29" s="48">
        <f>'2022'!O302</f>
        <v>2.66234398237419E-2</v>
      </c>
      <c r="D29" s="66">
        <f>'2022'!P302</f>
        <v>7.4160305504863928E-5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55">
        <f>'2027'!A302</f>
        <v>46675</v>
      </c>
      <c r="AF29" s="91">
        <f>'2027'!L302</f>
        <v>3.0344582811429599E-2</v>
      </c>
      <c r="AG29" s="48">
        <f>'2027'!O302</f>
        <v>4.1230144719028451E-2</v>
      </c>
      <c r="AH29" s="66">
        <f>'2027'!P302</f>
        <v>5.7321604524098965E-4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'2022'!A333</f>
        <v>44880</v>
      </c>
      <c r="B30" s="91">
        <f>'2022'!L333</f>
        <v>6.2228571180060754E-3</v>
      </c>
      <c r="C30" s="48">
        <f>'2022'!O333</f>
        <v>2.7613804073523568E-2</v>
      </c>
      <c r="D30" s="66">
        <f>'2022'!P333</f>
        <v>6.0666624660864058E-4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55">
        <f>'2027'!A333</f>
        <v>46706</v>
      </c>
      <c r="AF30" s="91">
        <f>'2027'!L333</f>
        <v>3.0755985148809506E-2</v>
      </c>
      <c r="AG30" s="48">
        <f>'2027'!O333</f>
        <v>4.1745589309688511E-2</v>
      </c>
      <c r="AH30" s="66">
        <f>'2027'!P333</f>
        <v>4.2027180834413105E-3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'2022'!A363</f>
        <v>44910</v>
      </c>
      <c r="B31" s="92">
        <f>'2022'!L363</f>
        <v>6.6308953561163841E-3</v>
      </c>
      <c r="C31" s="49">
        <f>'2022'!O363</f>
        <v>2.8730825035594751E-2</v>
      </c>
      <c r="D31" s="67">
        <f>'2022'!P363</f>
        <v>5.5254536739405419E-4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56">
        <f>'2027'!A363</f>
        <v>46736</v>
      </c>
      <c r="AF31" s="92">
        <f>'2027'!L363</f>
        <v>3.115395024888401E-2</v>
      </c>
      <c r="AG31" s="49">
        <f>'2027'!O363</f>
        <v>4.2532363288761178E-2</v>
      </c>
      <c r="AH31" s="67">
        <f>'2027'!P363</f>
        <v>3.7093632892543603E-3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'2023'!A29</f>
        <v>44941</v>
      </c>
      <c r="B32" s="91">
        <f>'2023'!L29</f>
        <v>7.0523588619011424E-3</v>
      </c>
      <c r="C32" s="48">
        <f>'2023'!O29</f>
        <v>3.0111812246640952E-2</v>
      </c>
      <c r="D32" s="66">
        <f>'2023'!P29</f>
        <v>6.2424270237282007E-4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55">
        <f>'2028'!A29</f>
        <v>46767</v>
      </c>
      <c r="AF32" s="91">
        <f>'2028'!L29</f>
        <v>3.1565009190404281E-2</v>
      </c>
      <c r="AG32" s="48">
        <f>'2028'!O29</f>
        <v>4.3709988643088317E-2</v>
      </c>
      <c r="AH32" s="66">
        <f>'2028'!P29</f>
        <v>4.1207130953853305E-3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'2023'!A60</f>
        <v>44972</v>
      </c>
      <c r="B33" s="91">
        <f>'2023'!L60</f>
        <v>7.4736435504810794E-3</v>
      </c>
      <c r="C33" s="48">
        <f>'2023'!O60</f>
        <v>3.150488344060004E-2</v>
      </c>
      <c r="D33" s="66">
        <f>'2023'!P60</f>
        <v>1.2879989506806816E-4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55">
        <f>'2028'!A60</f>
        <v>46798</v>
      </c>
      <c r="AF33" s="91">
        <f>'2028'!L60</f>
        <v>3.1975893729135341E-2</v>
      </c>
      <c r="AG33" s="48">
        <f>'2028'!O60</f>
        <v>4.4922802918299483E-2</v>
      </c>
      <c r="AH33" s="66">
        <f>'2028'!P60</f>
        <v>9.2738285952275476E-4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'2023'!A88</f>
        <v>45000</v>
      </c>
      <c r="B34" s="91">
        <f>'2023'!L88</f>
        <v>7.8540051189744942E-3</v>
      </c>
      <c r="C34" s="48">
        <f>'2023'!O88</f>
        <v>3.2744479230110361E-2</v>
      </c>
      <c r="D34" s="66">
        <f>'2023'!P88</f>
        <v>2.5323755767811799E-5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55">
        <f>'2028'!A88</f>
        <v>46826</v>
      </c>
      <c r="AF34" s="91">
        <f>'2028'!L88</f>
        <v>3.2346865406620795E-2</v>
      </c>
      <c r="AG34" s="48">
        <f>'2028'!O88</f>
        <v>4.6004166187344424E-2</v>
      </c>
      <c r="AH34" s="66">
        <f>'2028'!P88</f>
        <v>1.9034909402690129E-4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'2023'!A119</f>
        <v>45031</v>
      </c>
      <c r="B35" s="91">
        <f>'2023'!L119</f>
        <v>8.2749496876127759E-3</v>
      </c>
      <c r="C35" s="48">
        <f>'2023'!O119</f>
        <v>3.4212418343170417E-2</v>
      </c>
      <c r="D35" s="66">
        <f>'2023'!P119</f>
        <v>3.9805792208597566E-5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55">
        <f>'2028'!A119</f>
        <v>46857</v>
      </c>
      <c r="AF35" s="91">
        <f>'2028'!L119</f>
        <v>3.2757418221866286E-2</v>
      </c>
      <c r="AG35" s="48">
        <f>'2028'!O119</f>
        <v>4.7345454272587142E-2</v>
      </c>
      <c r="AH35" s="66">
        <f>'2028'!P119</f>
        <v>2.550720237548431E-4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'2023'!A149</f>
        <v>45061</v>
      </c>
      <c r="B36" s="91">
        <f>'2023'!L149</f>
        <v>8.6821453502597956E-3</v>
      </c>
      <c r="C36" s="48">
        <f>'2023'!O149</f>
        <v>3.5996025035140142E-2</v>
      </c>
      <c r="D36" s="66">
        <f>'2023'!P149</f>
        <v>4.9993035764873899E-5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55">
        <f>'2028'!A149</f>
        <v>46887</v>
      </c>
      <c r="AF36" s="91">
        <f>'2028'!L149</f>
        <v>3.315456154692753E-2</v>
      </c>
      <c r="AG36" s="48">
        <f>'2028'!O149</f>
        <v>9.2793176441345639E-3</v>
      </c>
      <c r="AH36" s="66">
        <f>'2028'!P149</f>
        <v>2.8969363679565293E-4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'2023'!A180</f>
        <v>45092</v>
      </c>
      <c r="B37" s="91">
        <f>'2023'!L180</f>
        <v>9.1027385581766707E-3</v>
      </c>
      <c r="C37" s="48">
        <f>'2023'!O180</f>
        <v>3.802856385559903E-2</v>
      </c>
      <c r="D37" s="66">
        <f>'2023'!P180</f>
        <v>3.4568647427936185E-5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55">
        <f>'2028'!A180</f>
        <v>46918</v>
      </c>
      <c r="AF37" s="91">
        <f>'2028'!L180</f>
        <v>3.3564771675405947E-2</v>
      </c>
      <c r="AG37" s="48">
        <f>'2028'!O180</f>
        <v>1.1933584854867889E-2</v>
      </c>
      <c r="AH37" s="66">
        <f>'2028'!P180</f>
        <v>2.4565346000720049E-4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'2023'!A210</f>
        <v>45122</v>
      </c>
      <c r="B38" s="91">
        <f>'2023'!L210</f>
        <v>9.5095943362584201E-3</v>
      </c>
      <c r="C38" s="48">
        <f>'2023'!O210</f>
        <v>3.9576368547617126E-2</v>
      </c>
      <c r="D38" s="66">
        <f>'2023'!P210</f>
        <v>6.7386298220998225E-5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55">
        <f>'2028'!A210</f>
        <v>46948</v>
      </c>
      <c r="AF38" s="91">
        <f>'2028'!L210</f>
        <v>3.3961583506547099E-2</v>
      </c>
      <c r="AG38" s="48">
        <f>'2028'!O210</f>
        <v>1.435878733464243E-2</v>
      </c>
      <c r="AH38" s="66">
        <f>'2028'!P210</f>
        <v>3.6578641665395081E-4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'2023'!A241</f>
        <v>45153</v>
      </c>
      <c r="B39" s="91">
        <f>'2023'!L241</f>
        <v>9.9298364767334002E-3</v>
      </c>
      <c r="C39" s="48">
        <f>'2023'!O241</f>
        <v>4.0814872874093133E-2</v>
      </c>
      <c r="D39" s="66">
        <f>'2023'!P241</f>
        <v>1.177180874507964E-4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55">
        <f>'2028'!A241</f>
        <v>46979</v>
      </c>
      <c r="AF39" s="91">
        <f>'2028'!L241</f>
        <v>3.4371451234297856E-2</v>
      </c>
      <c r="AG39" s="48">
        <f>'2028'!O241</f>
        <v>1.6683500519842086E-2</v>
      </c>
      <c r="AH39" s="66">
        <f>'2028'!P241</f>
        <v>5.1881195558126612E-4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'2023'!A272</f>
        <v>45184</v>
      </c>
      <c r="B40" s="91">
        <f>'2023'!L272</f>
        <v>1.0349900318200489E-2</v>
      </c>
      <c r="C40" s="48">
        <f>'2023'!O272</f>
        <v>4.1880239268248132E-2</v>
      </c>
      <c r="D40" s="66">
        <f>'2023'!P272</f>
        <v>9.1072510242334181E-5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55">
        <f>'2028'!A272</f>
        <v>47010</v>
      </c>
      <c r="AF40" s="91">
        <f>'2028'!L272</f>
        <v>3.4781145064663677E-2</v>
      </c>
      <c r="AG40" s="48">
        <f>'2028'!O272</f>
        <v>1.8868096024736436E-2</v>
      </c>
      <c r="AH40" s="66">
        <f>'2028'!P272</f>
        <v>3.9623130333094861E-4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'2023'!A302</f>
        <v>45214</v>
      </c>
      <c r="B41" s="91">
        <f>'2023'!L302</f>
        <v>1.0756244020017514E-2</v>
      </c>
      <c r="C41" s="48">
        <f>'2023'!O302</f>
        <v>4.2537866329230289E-2</v>
      </c>
      <c r="D41" s="66">
        <f>'2023'!P302</f>
        <v>1.489669213794188E-4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55">
        <f>'2028'!A302</f>
        <v>47040</v>
      </c>
      <c r="AF41" s="91">
        <f>'2028'!L302</f>
        <v>3.5177457461039063E-2</v>
      </c>
      <c r="AG41" s="48">
        <f>'2028'!O302</f>
        <v>2.0734244947494321E-2</v>
      </c>
      <c r="AH41" s="66">
        <f>'2028'!P302</f>
        <v>7.2573147124618419E-4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'2023'!A333</f>
        <v>45245</v>
      </c>
      <c r="B42" s="91">
        <f>'2023'!L333</f>
        <v>1.1175957235902589E-2</v>
      </c>
      <c r="C42" s="48">
        <f>'2023'!O333</f>
        <v>4.2767498943870309E-2</v>
      </c>
      <c r="D42" s="66">
        <f>'2023'!P333</f>
        <v>1.2166221304048337E-3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55">
        <f>'2028'!A333</f>
        <v>47071</v>
      </c>
      <c r="AF42" s="91">
        <f>'2028'!L333</f>
        <v>3.5586809321629165E-2</v>
      </c>
      <c r="AG42" s="48">
        <f>'2028'!O333</f>
        <v>2.2339612194319278E-2</v>
      </c>
      <c r="AH42" s="66">
        <f>'2028'!P333</f>
        <v>5.1339302253773219E-3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'2023'!A363</f>
        <v>45275</v>
      </c>
      <c r="B43" s="92">
        <f>'2023'!L363</f>
        <v>1.1581961764282611E-2</v>
      </c>
      <c r="C43" s="49">
        <f>'2023'!O363</f>
        <v>4.3308710815065515E-2</v>
      </c>
      <c r="D43" s="67">
        <f>'2023'!P363</f>
        <v>1.1058027253577141E-3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56">
        <f>'2028'!A363</f>
        <v>47101</v>
      </c>
      <c r="AF43" s="92">
        <f>'2028'!L363</f>
        <v>3.5982790917657326E-2</v>
      </c>
      <c r="AG43" s="49">
        <f>'2028'!O363</f>
        <v>2.3965787101426023E-2</v>
      </c>
      <c r="AH43" s="67">
        <f>'2028'!P363</f>
        <v>4.4223299881776925E-3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'2024'!A29</f>
        <v>45306</v>
      </c>
      <c r="B44" s="91">
        <f>'2024'!L29</f>
        <v>1.2001324647251566E-2</v>
      </c>
      <c r="C44" s="48">
        <f>'2024'!O29</f>
        <v>4.4257168793193996E-2</v>
      </c>
      <c r="D44" s="66">
        <f>'2024'!P29</f>
        <v>1.2494934763008796E-3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55">
        <f>'2029'!A29</f>
        <v>47133</v>
      </c>
      <c r="AF44" s="91">
        <f>'2029'!L29</f>
        <v>3.6404992080954046E-2</v>
      </c>
      <c r="AG44" s="48">
        <f>'2029'!O29</f>
        <v>2.5855388601095756E-2</v>
      </c>
      <c r="AH44" s="66">
        <f>'2029'!P29</f>
        <v>4.8743379557340217E-3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'2024'!A60</f>
        <v>45337</v>
      </c>
      <c r="B45" s="91">
        <f>'2024'!L60</f>
        <v>1.2420509604261221E-2</v>
      </c>
      <c r="C45" s="48">
        <f>'2024'!O60</f>
        <v>4.5255463329744242E-2</v>
      </c>
      <c r="D45" s="66">
        <f>'2024'!P60</f>
        <v>2.5714015152542848E-4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55">
        <f>'2029'!A60</f>
        <v>47164</v>
      </c>
      <c r="AF45" s="91">
        <f>'2029'!L60</f>
        <v>3.6813823127033185E-2</v>
      </c>
      <c r="AG45" s="48">
        <f>'2029'!O60</f>
        <v>2.7664494654590643E-2</v>
      </c>
      <c r="AH45" s="66">
        <f>'2029'!P60</f>
        <v>1.223849850150896E-3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'2024'!A88</f>
        <v>45365</v>
      </c>
      <c r="B46" s="91">
        <f>'2024'!L88</f>
        <v>1.2798975406743907E-2</v>
      </c>
      <c r="C46" s="48">
        <f>'2024'!O88</f>
        <v>4.6154016016610913E-2</v>
      </c>
      <c r="D46" s="66">
        <f>'2024'!P88</f>
        <v>5.0150428844308933E-5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55">
        <f>'2029'!A88</f>
        <v>47192</v>
      </c>
      <c r="AF46" s="91">
        <f>'2029'!L88</f>
        <v>3.7182940785829843E-2</v>
      </c>
      <c r="AG46" s="48">
        <f>'2029'!O88</f>
        <v>2.9259752891232414E-2</v>
      </c>
      <c r="AH46" s="66">
        <f>'2029'!P88</f>
        <v>2.3614393616670288E-4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'2024'!A119</f>
        <v>45396</v>
      </c>
      <c r="B47" s="91">
        <f>'2024'!L119</f>
        <v>1.3217821939009E-2</v>
      </c>
      <c r="C47" s="48">
        <f>'2024'!O119</f>
        <v>9.063149228566332E-3</v>
      </c>
      <c r="D47" s="66">
        <f>'2024'!P119</f>
        <v>7.6764859934730343E-5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55">
        <f>'2029'!A119</f>
        <v>47223</v>
      </c>
      <c r="AF47" s="91">
        <f>'2029'!L119</f>
        <v>3.7591441766289924E-2</v>
      </c>
      <c r="AG47" s="48">
        <f>'2029'!O119</f>
        <v>3.1090264073066604E-2</v>
      </c>
      <c r="AH47" s="66">
        <f>'2029'!P119</f>
        <v>1.3710451591054295E-6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'2024'!A149</f>
        <v>45426</v>
      </c>
      <c r="B48" s="91">
        <f>'2024'!L149</f>
        <v>1.3622988091419153E-2</v>
      </c>
      <c r="C48" s="48">
        <f>'2024'!O149</f>
        <v>1.1541910449125829E-2</v>
      </c>
      <c r="D48" s="66">
        <f>'2024'!P149</f>
        <v>9.1020463224100319E-5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55">
        <f>'2029'!A149</f>
        <v>47253</v>
      </c>
      <c r="AF48" s="91">
        <f>'2029'!L149</f>
        <v>3.7986600273664295E-2</v>
      </c>
      <c r="AG48" s="48">
        <f>'2029'!O149</f>
        <v>3.3178484110030569E-2</v>
      </c>
      <c r="AH48" s="66">
        <f>'2029'!P149</f>
        <v>8.0547998873580057E-6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'2024'!A180</f>
        <v>45457</v>
      </c>
      <c r="B49" s="91">
        <f>'2024'!L180</f>
        <v>1.404148501418534E-2</v>
      </c>
      <c r="C49" s="48">
        <f>'2024'!O180</f>
        <v>1.4165158508778711E-2</v>
      </c>
      <c r="D49" s="66">
        <f>'2024'!P180</f>
        <v>6.4989148249927319E-5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55">
        <f>'2029'!A180</f>
        <v>47284</v>
      </c>
      <c r="AF49" s="91">
        <f>'2029'!L180</f>
        <v>3.8394760280015539E-2</v>
      </c>
      <c r="AG49" s="48">
        <f>'2029'!O180</f>
        <v>3.5505104271914965E-2</v>
      </c>
      <c r="AH49" s="66">
        <f>'2029'!P180</f>
        <v>1.1054151834837583E-5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'2024'!A210</f>
        <v>45487</v>
      </c>
      <c r="B50" s="91">
        <f>'2024'!L210</f>
        <v>1.4446312976054143E-2</v>
      </c>
      <c r="C50" s="48">
        <f>'2024'!O210</f>
        <v>1.6536070201533377E-2</v>
      </c>
      <c r="D50" s="66">
        <f>'2024'!P210</f>
        <v>1.1682321070358143E-4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55">
        <f>'2029'!A210</f>
        <v>47314</v>
      </c>
      <c r="AF50" s="91">
        <f>'2029'!L210</f>
        <v>3.8789588950189136E-2</v>
      </c>
      <c r="AG50" s="48">
        <f>'2029'!O210</f>
        <v>3.7356847597355428E-2</v>
      </c>
      <c r="AH50" s="66">
        <f>'2029'!P210</f>
        <v>2.8167710136270646E-5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'2024'!A241</f>
        <v>45518</v>
      </c>
      <c r="B51" s="91">
        <f>'2024'!L241</f>
        <v>1.4864460581139105E-2</v>
      </c>
      <c r="C51" s="48">
        <f>'2024'!O241</f>
        <v>1.8788033552875193E-2</v>
      </c>
      <c r="D51" s="66">
        <f>'2024'!P241</f>
        <v>1.8839946216000982E-4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55">
        <f>'2029'!A241</f>
        <v>47345</v>
      </c>
      <c r="AF51" s="91">
        <f>'2029'!L241</f>
        <v>3.9197408267041212E-2</v>
      </c>
      <c r="AG51" s="48">
        <f>'2029'!O241</f>
        <v>3.8913123622364681E-2</v>
      </c>
      <c r="AH51" s="66">
        <f>'2029'!P241</f>
        <v>5.3827404286013519E-5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'2024'!A272</f>
        <v>45549</v>
      </c>
      <c r="B52" s="91">
        <f>'2024'!L272</f>
        <v>1.5282430775879097E-2</v>
      </c>
      <c r="C52" s="48">
        <f>'2024'!O272</f>
        <v>2.0895603691639657E-2</v>
      </c>
      <c r="D52" s="66">
        <f>'2024'!P272</f>
        <v>1.4545220621186973E-4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55">
        <f>'2029'!A272</f>
        <v>47376</v>
      </c>
      <c r="AF52" s="91">
        <f>'2029'!L272</f>
        <v>3.9605054555601815E-2</v>
      </c>
      <c r="AG52" s="48">
        <f>'2029'!O272</f>
        <v>4.0284120655994682E-2</v>
      </c>
      <c r="AH52" s="66">
        <f>'2029'!P272</f>
        <v>4.2756461626159297E-5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'2024'!A302</f>
        <v>45579</v>
      </c>
      <c r="B53" s="91">
        <f>'2024'!L302</f>
        <v>1.5686749213730478E-2</v>
      </c>
      <c r="C53" s="48">
        <f>'2024'!O302</f>
        <v>2.2674642133357299E-2</v>
      </c>
      <c r="D53" s="66">
        <f>'2024'!P302</f>
        <v>2.3848091139315792E-4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55">
        <f>'2029'!A302</f>
        <v>47406</v>
      </c>
      <c r="AF53" s="91">
        <f>'2029'!L302</f>
        <v>3.9999386287052907E-2</v>
      </c>
      <c r="AG53" s="48">
        <f>'2029'!O302</f>
        <v>4.1230144719028451E-2</v>
      </c>
      <c r="AH53" s="66">
        <f>'2029'!P302</f>
        <v>7.0421753161434053E-5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'2024'!A333</f>
        <v>45610</v>
      </c>
      <c r="B54" s="91">
        <f>'2024'!L333</f>
        <v>1.6104370530446888E-2</v>
      </c>
      <c r="C54" s="48">
        <f>'2024'!O333</f>
        <v>2.4176823724592345E-2</v>
      </c>
      <c r="D54" s="66">
        <f>'2024'!P333</f>
        <v>1.9047936683142326E-3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55">
        <f>'2029'!A333</f>
        <v>47437</v>
      </c>
      <c r="AF54" s="91">
        <f>'2029'!L333</f>
        <v>4.0406692314912562E-2</v>
      </c>
      <c r="AG54" s="48">
        <f>'2029'!O333</f>
        <v>4.1745589309688511E-2</v>
      </c>
      <c r="AH54" s="66">
        <f>'2029'!P333</f>
        <v>5.7618295349217276E-4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'2024'!A363</f>
        <v>45640</v>
      </c>
      <c r="B55" s="92">
        <f>'2024'!L363</f>
        <v>1.65083514853408E-2</v>
      </c>
      <c r="C55" s="49">
        <f>'2024'!O363</f>
        <v>2.5723530483595134E-2</v>
      </c>
      <c r="D55" s="67">
        <f>'2024'!P363</f>
        <v>1.7184383091213358E-3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56">
        <f>'2029'!A363</f>
        <v>47467</v>
      </c>
      <c r="AF55" s="92">
        <f>'2029'!L363</f>
        <v>4.0800694899269407E-2</v>
      </c>
      <c r="AG55" s="49">
        <f>'2029'!O363</f>
        <v>4.2532363288761178E-2</v>
      </c>
      <c r="AH55" s="67">
        <f>'2029'!P363</f>
        <v>5.2489565262011815E-4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'2025'!A29</f>
        <v>45672</v>
      </c>
      <c r="B56" s="91">
        <f>'2025'!L29</f>
        <v>1.6939081677896928E-2</v>
      </c>
      <c r="C56" s="48">
        <f>'2025'!O29</f>
        <v>2.7549491825129273E-2</v>
      </c>
      <c r="D56" s="66">
        <f>'2025'!P29</f>
        <v>1.9540302100029263E-3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55">
        <f>'2030'!A29</f>
        <v>47498</v>
      </c>
      <c r="AF56" s="91">
        <f>'2030'!L29</f>
        <v>4.1207660950442371E-2</v>
      </c>
      <c r="AG56" s="48">
        <f>'2030'!O29</f>
        <v>4.3709988643088317E-2</v>
      </c>
      <c r="AH56" s="66">
        <f>'2030'!P29</f>
        <v>5.9299502837002836E-4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'2025'!A60</f>
        <v>45703</v>
      </c>
      <c r="B57" s="91">
        <f>'2025'!L60</f>
        <v>1.7356171658951425E-2</v>
      </c>
      <c r="C57" s="48">
        <f>'2025'!O60</f>
        <v>2.9302019751884869E-2</v>
      </c>
      <c r="D57" s="66">
        <f>'2025'!P60</f>
        <v>3.7929630378777358E-4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55">
        <f>'2030'!A60</f>
        <v>47529</v>
      </c>
      <c r="AF57" s="91">
        <f>'2030'!L60</f>
        <v>4.1614454335344608E-2</v>
      </c>
      <c r="AG57" s="48">
        <f>'2030'!O60</f>
        <v>4.4922802918299483E-2</v>
      </c>
      <c r="AH57" s="66">
        <f>'2030'!P60</f>
        <v>1.223859334027036E-4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'2025'!A88</f>
        <v>45731</v>
      </c>
      <c r="B58" s="91">
        <f>'2025'!L88</f>
        <v>1.7732745989083365E-2</v>
      </c>
      <c r="C58" s="48">
        <f>'2025'!O88</f>
        <v>3.0848517942411193E-2</v>
      </c>
      <c r="D58" s="66">
        <f>'2025'!P88</f>
        <v>8.1687227394186819E-5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55">
        <f>'2030'!A88</f>
        <v>47557</v>
      </c>
      <c r="AF58" s="91">
        <f>'2030'!L88</f>
        <v>4.1981732269075756E-2</v>
      </c>
      <c r="AG58" s="48">
        <f>'2030'!O88</f>
        <v>4.6004166187344424E-2</v>
      </c>
      <c r="AH58" s="66">
        <f>'2030'!P88</f>
        <v>2.408468245540328E-5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'2025'!A119</f>
        <v>45762</v>
      </c>
      <c r="B59" s="91">
        <f>'2025'!L119</f>
        <v>1.814949923675091E-2</v>
      </c>
      <c r="C59" s="48">
        <f>'2025'!O119</f>
        <v>3.2632610026463414E-2</v>
      </c>
      <c r="D59" s="66">
        <f>'2025'!P119</f>
        <v>1.1850905382982462E-4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55">
        <f>'2030'!A119</f>
        <v>47588</v>
      </c>
      <c r="AF59" s="91">
        <f>'2030'!L119</f>
        <v>4.2388197233444114E-2</v>
      </c>
      <c r="AG59" s="48">
        <f>'2030'!O119</f>
        <v>4.7345454272587142E-2</v>
      </c>
      <c r="AH59" s="66">
        <f>'2030'!P119</f>
        <v>3.7976394972446361E-5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'2025'!A149</f>
        <v>45792</v>
      </c>
      <c r="B60" s="91">
        <f>'2025'!L149</f>
        <v>1.8552640475497206E-2</v>
      </c>
      <c r="C60" s="48">
        <f>'2025'!O149</f>
        <v>3.4693484239046578E-2</v>
      </c>
      <c r="D60" s="66">
        <f>'2025'!P149</f>
        <v>1.3560481802619853E-4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55">
        <f>'2030'!A149</f>
        <v>47618</v>
      </c>
      <c r="AF60" s="91">
        <f>'2030'!L149</f>
        <v>4.2781386225154372E-2</v>
      </c>
      <c r="AG60" s="48">
        <f>'2030'!O149</f>
        <v>9.3585410113166071E-3</v>
      </c>
      <c r="AH60" s="66">
        <f>'2030'!P149</f>
        <v>4.7996881277253856E-5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'2025'!A180</f>
        <v>45823</v>
      </c>
      <c r="B61" s="91">
        <f>'2025'!L180</f>
        <v>1.8969045860922074E-2</v>
      </c>
      <c r="C61" s="48">
        <f>'2025'!O180</f>
        <v>3.699933441625447E-2</v>
      </c>
      <c r="D61" s="66">
        <f>'2025'!P180</f>
        <v>1.025319198729322E-4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55">
        <f>'2030'!A180</f>
        <v>47649</v>
      </c>
      <c r="AF61" s="91">
        <f>'2030'!L180</f>
        <v>4.3187511914868359E-2</v>
      </c>
      <c r="AG61" s="48">
        <f>'2030'!O180</f>
        <v>1.2011722104569892E-2</v>
      </c>
      <c r="AH61" s="66">
        <f>'2030'!P180</f>
        <v>3.3449416613378952E-5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'2025'!A210</f>
        <v>45853</v>
      </c>
      <c r="B62" s="91">
        <f>'2025'!L210</f>
        <v>1.9371850599314122E-2</v>
      </c>
      <c r="C62" s="48">
        <f>'2025'!O210</f>
        <v>3.8814725398861494E-2</v>
      </c>
      <c r="D62" s="66">
        <f>'2025'!P210</f>
        <v>1.6952586397273424E-4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55">
        <f>'2030'!A210</f>
        <v>47679</v>
      </c>
      <c r="AF62" s="91">
        <f>'2030'!L210</f>
        <v>4.35803727133246E-2</v>
      </c>
      <c r="AG62" s="48">
        <f>'2030'!O210</f>
        <v>1.4435023624107493E-2</v>
      </c>
      <c r="AH62" s="66">
        <f>'2030'!P210</f>
        <v>6.5519592124153983E-5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'2025'!A241</f>
        <v>45884</v>
      </c>
      <c r="B63" s="91">
        <f>'2025'!L241</f>
        <v>1.9787908412855493E-2</v>
      </c>
      <c r="C63" s="48">
        <f>'2025'!O241</f>
        <v>4.0322289164449882E-2</v>
      </c>
      <c r="D63" s="66">
        <f>'2025'!P241</f>
        <v>2.5997035240699008E-4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55">
        <f>'2030'!A241</f>
        <v>47710</v>
      </c>
      <c r="AF63" s="91">
        <f>'2030'!L241</f>
        <v>4.3986159411575132E-2</v>
      </c>
      <c r="AG63" s="48">
        <f>'2030'!O241</f>
        <v>1.6757189516313272E-2</v>
      </c>
      <c r="AH63" s="66">
        <f>'2030'!P241</f>
        <v>1.1467705171698609E-4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'2025'!A272</f>
        <v>45915</v>
      </c>
      <c r="B64" s="91">
        <f>'2025'!L272</f>
        <v>2.020378970270198E-2</v>
      </c>
      <c r="C64" s="48">
        <f>'2025'!O272</f>
        <v>4.1641711102743756E-2</v>
      </c>
      <c r="D64" s="66">
        <f>'2025'!P272</f>
        <v>2.0017014875311229E-4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55">
        <f>'2030'!A272</f>
        <v>47741</v>
      </c>
      <c r="AF64" s="91">
        <f>'2030'!L272</f>
        <v>4.4391773943927348E-2</v>
      </c>
      <c r="AG64" s="48">
        <f>'2030'!O272</f>
        <v>1.8939088022945368E-2</v>
      </c>
      <c r="AH64" s="66">
        <f>'2030'!P272</f>
        <v>8.877278791851198E-5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'2025'!A302</f>
        <v>45945</v>
      </c>
      <c r="B65" s="91">
        <f>'2025'!L302</f>
        <v>2.0606087463543421E-2</v>
      </c>
      <c r="C65" s="48">
        <f>'2025'!O302</f>
        <v>4.2529407220190718E-2</v>
      </c>
      <c r="D65" s="66">
        <f>'2025'!P302</f>
        <v>3.2838753832705939E-4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55">
        <f>'2030'!A302</f>
        <v>47771</v>
      </c>
      <c r="AF65" s="91">
        <f>'2030'!L302</f>
        <v>4.4784140280461071E-2</v>
      </c>
      <c r="AG65" s="48">
        <f>'2030'!O302</f>
        <v>2.0802186823025575E-2</v>
      </c>
      <c r="AH65" s="66">
        <f>'2030'!P302</f>
        <v>1.4522836903598893E-4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'2025'!A333</f>
        <v>45976</v>
      </c>
      <c r="B66" s="91">
        <f>'2025'!L333</f>
        <v>2.1021621618966813E-2</v>
      </c>
      <c r="C66" s="48">
        <f>'2025'!O333</f>
        <v>4.297576015583162E-2</v>
      </c>
      <c r="D66" s="66">
        <f>'2025'!P333</f>
        <v>2.5947348482200671E-3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55">
        <f>'2030'!A333</f>
        <v>47802</v>
      </c>
      <c r="AF66" s="91">
        <f>'2030'!L333</f>
        <v>4.5189416248010872E-2</v>
      </c>
      <c r="AG66" s="48">
        <f>'2030'!O333</f>
        <v>2.2403941084313456E-2</v>
      </c>
      <c r="AH66" s="66">
        <f>'2030'!P333</f>
        <v>1.186138837288366E-3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'2025'!A363</f>
        <v>46006</v>
      </c>
      <c r="B67" s="92">
        <f>'2025'!L363</f>
        <v>2.1423583583501715E-2</v>
      </c>
      <c r="C67" s="49">
        <f>'2025'!O363</f>
        <v>4.3709323387320989E-2</v>
      </c>
      <c r="D67" s="67">
        <f>'2025'!P363</f>
        <v>2.3323508210106461E-3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56">
        <f>'2030'!A363</f>
        <v>47832</v>
      </c>
      <c r="AF67" s="92">
        <f>'2030'!L363</f>
        <v>4.5581455077957633E-2</v>
      </c>
      <c r="AG67" s="49">
        <f>'2030'!O363</f>
        <v>2.4027333460572134E-2</v>
      </c>
      <c r="AH67" s="67">
        <f>'2030'!P363</f>
        <v>1.0781530105837781E-3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'2026'!A29</f>
        <v>46037</v>
      </c>
      <c r="B68" s="91">
        <f>'2026'!L29</f>
        <v>2.1838770894253678E-2</v>
      </c>
      <c r="C68" s="48">
        <f>'2026'!O29</f>
        <v>4.4845579994211585E-2</v>
      </c>
      <c r="D68" s="66">
        <f>'2026'!P29</f>
        <v>2.6601732515518055E-3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55">
        <f>'2031'!A29</f>
        <v>47863</v>
      </c>
      <c r="AF68" s="91">
        <f>'2031'!L29</f>
        <v>4.5986392763303741E-2</v>
      </c>
      <c r="AG68" s="48">
        <f>'2031'!O29</f>
        <v>2.5855388601095756E-2</v>
      </c>
      <c r="AH68" s="66">
        <f>'2031'!P29</f>
        <v>1.218245802298089E-3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'2026'!A60</f>
        <v>46068</v>
      </c>
      <c r="B69" s="91">
        <f>'2026'!L60</f>
        <v>2.2253782050644988E-2</v>
      </c>
      <c r="C69" s="48">
        <f>'2026'!O60</f>
        <v>4.6020468816902263E-2</v>
      </c>
      <c r="D69" s="66">
        <f>'2026'!P60</f>
        <v>5.0136760352886692E-4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55">
        <f>'2031'!A60</f>
        <v>47894</v>
      </c>
      <c r="AF69" s="91">
        <f>'2031'!L60</f>
        <v>4.6391158642967834E-2</v>
      </c>
      <c r="AG69" s="48">
        <f>'2031'!O60</f>
        <v>2.7664494654590643E-2</v>
      </c>
      <c r="AH69" s="66">
        <f>'2031'!P60</f>
        <v>2.5072618986006381E-4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'2026'!A88</f>
        <v>46096</v>
      </c>
      <c r="B70" s="91">
        <f>'2026'!L88</f>
        <v>2.2628479490799713E-2</v>
      </c>
      <c r="C70" s="48">
        <f>'2026'!O88</f>
        <v>4.7069147249590396E-2</v>
      </c>
      <c r="D70" s="66">
        <f>'2026'!P88</f>
        <v>1.1325866528924152E-4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55">
        <f>'2031'!A88</f>
        <v>47922</v>
      </c>
      <c r="AF70" s="91">
        <f>'2031'!L88</f>
        <v>4.6756606021035818E-2</v>
      </c>
      <c r="AG70" s="48">
        <f>'2031'!O88</f>
        <v>2.9259752891232414E-2</v>
      </c>
      <c r="AH70" s="66">
        <f>'2031'!P88</f>
        <v>4.8877937385925209E-5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'2026'!A119</f>
        <v>46127</v>
      </c>
      <c r="B71" s="91">
        <f>'2026'!L119</f>
        <v>2.3043155592122333E-2</v>
      </c>
      <c r="C71" s="48">
        <f>'2026'!O119</f>
        <v>4.8379319683070965E-2</v>
      </c>
      <c r="D71" s="66">
        <f>'2026'!P119</f>
        <v>1.6061802883349154E-4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55">
        <f>'2031'!A119</f>
        <v>47953</v>
      </c>
      <c r="AF71" s="91">
        <f>'2031'!L119</f>
        <v>4.7161045117051992E-2</v>
      </c>
      <c r="AG71" s="48">
        <f>'2031'!O119</f>
        <v>3.1090264073066604E-2</v>
      </c>
      <c r="AH71" s="66">
        <f>'2031'!P119</f>
        <v>7.4678642665220281E-5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'2026'!A149</f>
        <v>46157</v>
      </c>
      <c r="B72" s="91">
        <f>'2026'!L149</f>
        <v>2.3444287528348928E-2</v>
      </c>
      <c r="C72" s="48">
        <f>'2026'!O149</f>
        <v>9.3585410113166071E-3</v>
      </c>
      <c r="D72" s="66">
        <f>'2026'!P149</f>
        <v>1.8215403882945879E-4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55">
        <f>'2031'!A149</f>
        <v>47983</v>
      </c>
      <c r="AF72" s="91">
        <f>'2031'!L149</f>
        <v>4.7552274409391804E-2</v>
      </c>
      <c r="AG72" s="48">
        <f>'2031'!O149</f>
        <v>3.3178484110030569E-2</v>
      </c>
      <c r="AH72" s="66">
        <f>'2031'!P149</f>
        <v>8.8792305431142441E-5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'2026'!A180</f>
        <v>46188</v>
      </c>
      <c r="B73" s="91">
        <f>'2026'!L180</f>
        <v>2.3858617501214319E-2</v>
      </c>
      <c r="C73" s="48">
        <f>'2026'!O180</f>
        <v>1.2011722104569892E-2</v>
      </c>
      <c r="D73" s="66">
        <f>'2026'!P180</f>
        <v>1.4552195829502481E-4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55">
        <f>'2031'!A180</f>
        <v>48014</v>
      </c>
      <c r="AF73" s="91">
        <f>'2031'!L180</f>
        <v>4.7956375921737626E-2</v>
      </c>
      <c r="AG73" s="48">
        <f>'2031'!O180</f>
        <v>3.5505104271914965E-2</v>
      </c>
      <c r="AH73" s="66">
        <f>'2031'!P180</f>
        <v>6.3112902209531572E-5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'2026'!A210</f>
        <v>46218</v>
      </c>
      <c r="B74" s="91">
        <f>'2026'!L210</f>
        <v>2.4259414614243413E-2</v>
      </c>
      <c r="C74" s="48">
        <f>'2026'!O210</f>
        <v>1.4435023624107493E-2</v>
      </c>
      <c r="D74" s="66">
        <f>'2026'!P210</f>
        <v>2.3061595058664592E-4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55">
        <f>'2031'!A210</f>
        <v>48044</v>
      </c>
      <c r="AF74" s="91">
        <f>'2031'!L210</f>
        <v>4.834727865657662E-2</v>
      </c>
      <c r="AG74" s="48">
        <f>'2031'!O210</f>
        <v>3.7356847597355428E-2</v>
      </c>
      <c r="AH74" s="66">
        <f>'2031'!P210</f>
        <v>1.1418933099146113E-4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'2026'!A241</f>
        <v>46249</v>
      </c>
      <c r="B75" s="91">
        <f>'2026'!L241</f>
        <v>2.4673398747563691E-2</v>
      </c>
      <c r="C75" s="48">
        <f>'2026'!O241</f>
        <v>1.6757189516313272E-2</v>
      </c>
      <c r="D75" s="66">
        <f>'2026'!P241</f>
        <v>3.4213712226020213E-4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55">
        <f>'2031'!A241</f>
        <v>48075</v>
      </c>
      <c r="AF75" s="91">
        <f>'2031'!L241</f>
        <v>4.8751042867031691E-2</v>
      </c>
      <c r="AG75" s="48">
        <f>'2031'!O241</f>
        <v>3.8913123622364681E-2</v>
      </c>
      <c r="AH75" s="66">
        <f>'2031'!P241</f>
        <v>1.8482261917191211E-4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'2026'!A272</f>
        <v>46280</v>
      </c>
      <c r="B76" s="91">
        <f>'2026'!L272</f>
        <v>2.5087207237003639E-2</v>
      </c>
      <c r="C76" s="48">
        <f>'2026'!O272</f>
        <v>1.8939088022945368E-2</v>
      </c>
      <c r="D76" s="66">
        <f>'2026'!P272</f>
        <v>2.6305095993459906E-4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55">
        <f>'2031'!A272</f>
        <v>48106</v>
      </c>
      <c r="AF76" s="91">
        <f>'2031'!L272</f>
        <v>4.9154635769683042E-2</v>
      </c>
      <c r="AG76" s="48">
        <f>'2031'!O272</f>
        <v>4.0284120655994682E-2</v>
      </c>
      <c r="AH76" s="66">
        <f>'2031'!P272</f>
        <v>1.4271760994757324E-4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'2026'!A302</f>
        <v>46310</v>
      </c>
      <c r="B77" s="91">
        <f>'2026'!L302</f>
        <v>2.5487499899316868E-2</v>
      </c>
      <c r="C77" s="48">
        <f>'2026'!O302</f>
        <v>2.0802186823025575E-2</v>
      </c>
      <c r="D77" s="66">
        <f>'2026'!P302</f>
        <v>4.5037358083821163E-4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55">
        <f>'2031'!A302</f>
        <v>48136</v>
      </c>
      <c r="AF77" s="91">
        <f>'2031'!L302</f>
        <v>4.9545046507054935E-2</v>
      </c>
      <c r="AG77" s="48">
        <f>'2031'!O302</f>
        <v>4.1230144719028451E-2</v>
      </c>
      <c r="AH77" s="66">
        <f>'2031'!P302</f>
        <v>2.339877174839819E-4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'2026'!A333</f>
        <v>46341</v>
      </c>
      <c r="B78" s="91">
        <f>'2026'!L333</f>
        <v>2.5900962984491738E-2</v>
      </c>
      <c r="C78" s="48">
        <f>'2026'!O333</f>
        <v>2.2403941084313456E-2</v>
      </c>
      <c r="D78" s="66">
        <f>'2026'!P333</f>
        <v>3.3974506751040519E-3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55">
        <f>'2031'!A333</f>
        <v>48167</v>
      </c>
      <c r="AF78" s="91">
        <f>'2031'!L333</f>
        <v>4.9948302532350053E-2</v>
      </c>
      <c r="AG78" s="48">
        <f>'2031'!O333</f>
        <v>4.1745589309688511E-2</v>
      </c>
      <c r="AH78" s="66">
        <f>'2031'!P333</f>
        <v>1.8703130119603725E-3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'2026'!A363</f>
        <v>46371</v>
      </c>
      <c r="B79" s="92">
        <f>'2026'!L363</f>
        <v>2.630092152414587E-2</v>
      </c>
      <c r="C79" s="49">
        <f>'2026'!O363</f>
        <v>2.4027333460572134E-2</v>
      </c>
      <c r="D79" s="67">
        <f>'2026'!P363</f>
        <v>3.020063507201545E-3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56">
        <f>'2031'!A363</f>
        <v>48197</v>
      </c>
      <c r="AF79" s="92">
        <f>'2031'!L363</f>
        <v>5.0338387395465478E-2</v>
      </c>
      <c r="AG79" s="49">
        <f>'2031'!O363</f>
        <v>4.2532363288761178E-2</v>
      </c>
      <c r="AH79" s="67">
        <f>'2031'!P363</f>
        <v>1.6877572786649711E-3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  <mergeCell ref="AN6:AO6"/>
    <mergeCell ref="AT6:AU6"/>
    <mergeCell ref="AZ11:BA11"/>
    <mergeCell ref="AO7:AP7"/>
    <mergeCell ref="BA7:BB7"/>
    <mergeCell ref="AT11:AU11"/>
    <mergeCell ref="AN11:AO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H11:AI11"/>
    <mergeCell ref="E7:F7"/>
    <mergeCell ref="AI7:AJ7"/>
    <mergeCell ref="V11:W11"/>
    <mergeCell ref="P11:Q11"/>
    <mergeCell ref="J11:K11"/>
    <mergeCell ref="D11:E11"/>
    <mergeCell ref="B2:F2"/>
    <mergeCell ref="A3:F3"/>
    <mergeCell ref="G3:L3"/>
    <mergeCell ref="Q7:R7"/>
    <mergeCell ref="AB11:AC11"/>
    <mergeCell ref="Z1:AA1"/>
    <mergeCell ref="W7:X7"/>
    <mergeCell ref="K7:L7"/>
    <mergeCell ref="M3:R3"/>
    <mergeCell ref="H1:K1"/>
  </mergeCells>
  <conditionalFormatting sqref="B5 H5 N5 T5 Z5 AF5 AL5 AR5 AX5 BD5 BJ5 BP5 BV5">
    <cfRule type="expression" dxfId="33" priority="132" stopIfTrue="1">
      <formula>AND(B5="D",C5&lt;&gt;"D")</formula>
    </cfRule>
    <cfRule type="expression" dxfId="32" priority="992" stopIfTrue="1">
      <formula>YEAR(B5)&lt;&gt;A3</formula>
    </cfRule>
  </conditionalFormatting>
  <conditionalFormatting sqref="B4 H4 N4 T4 Z4 AF4 AL4 AR4 AX4 BD4 BJ4 BP4 BV4">
    <cfRule type="expression" dxfId="31" priority="133" stopIfTrue="1">
      <formula>YEAR(B4)&lt;&gt;A3</formula>
    </cfRule>
    <cfRule type="expression" dxfId="30" priority="149" stopIfTrue="1">
      <formula>AND(B4="D",C4&lt;&gt;"D")</formula>
    </cfRule>
  </conditionalFormatting>
  <conditionalFormatting sqref="B6 H6 N6 T6 Z6 AF6 AL6 AR6 AX6 BD6 BJ6 BP6 BV6">
    <cfRule type="expression" dxfId="29" priority="154" stopIfTrue="1">
      <formula>YEAR(B6)&lt;&gt;A3</formula>
    </cfRule>
  </conditionalFormatting>
  <conditionalFormatting sqref="C4:BY6">
    <cfRule type="cellIs" dxfId="28" priority="1162" stopIfTrue="1" operator="equal">
      <formula>"D"</formula>
    </cfRule>
  </conditionalFormatting>
  <conditionalFormatting sqref="B6 H6 N6 T6 Z6 AL6 AR6 BD6 BJ6 BP6 BV6 AF6 AX6">
    <cfRule type="expression" dxfId="27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6" priority="4" stopIfTrue="1">
      <formula>B6&lt;&gt;"D"</formula>
    </cfRule>
  </conditionalFormatting>
  <conditionalFormatting sqref="E7 K7 Q7 W7 AC7 AI7 AO7 AU7 BA7 BG7 BM7 BS7 BY7">
    <cfRule type="cellIs" dxfId="25" priority="5" stopIfTrue="1" operator="lessThan">
      <formula>0.01</formula>
    </cfRule>
    <cfRule type="cellIs" dxfId="24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3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2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K385"/>
  <sheetViews>
    <sheetView workbookViewId="0">
      <pane xSplit="22" ySplit="28" topLeftCell="W366" activePane="bottomRight" state="frozen"/>
      <selection pane="topRight"/>
      <selection pane="bottomLeft"/>
      <selection pane="bottomRight" activeCell="H10" sqref="H1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197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47" width="11.42578125" style="15"/>
    <col min="48" max="48" width="6.28515625" style="15" customWidth="1"/>
    <col min="49" max="49" width="6.85546875" style="3" customWidth="1"/>
    <col min="50" max="50" width="6.85546875" style="3" hidden="1" customWidth="1"/>
    <col min="51" max="51" width="6.85546875" style="3" customWidth="1"/>
    <col min="52" max="52" width="6.85546875" style="20" customWidth="1"/>
    <col min="53" max="53" width="6.85546875" style="21" customWidth="1"/>
    <col min="54" max="54" width="6.28515625" style="15" customWidth="1"/>
    <col min="55" max="55" width="1.7109375" style="68" customWidth="1"/>
    <col min="56" max="56" width="6.85546875" style="15" customWidth="1"/>
    <col min="57" max="57" width="6.28515625" style="3" customWidth="1"/>
    <col min="58" max="58" width="5" style="197" bestFit="1" customWidth="1"/>
    <col min="59" max="59" width="6" style="2" customWidth="1"/>
    <col min="60" max="61" width="6" style="2" hidden="1" customWidth="1"/>
    <col min="62" max="62" width="6" style="24" customWidth="1"/>
    <col min="63" max="63" width="6.85546875" style="24" customWidth="1"/>
    <col min="64" max="16384" width="11.42578125" style="15"/>
  </cols>
  <sheetData>
    <row r="1" spans="1:63" ht="19.5" customHeight="1" x14ac:dyDescent="0.3">
      <c r="A1" s="16" t="s">
        <v>47</v>
      </c>
      <c r="J1" s="1263">
        <f>1+YEAR(E6)</f>
        <v>2022</v>
      </c>
      <c r="K1" s="1264"/>
      <c r="L1" s="113" t="str">
        <f>"Calcul pertes et enveloppes en "&amp;TEXT(An,0)</f>
        <v>Calcul pertes et enveloppes en 2022</v>
      </c>
      <c r="M1" s="239"/>
      <c r="N1" s="239"/>
      <c r="O1" s="450"/>
      <c r="P1" s="450"/>
      <c r="Q1" s="450"/>
      <c r="R1" s="450"/>
      <c r="S1" s="450"/>
      <c r="T1" s="450"/>
      <c r="U1" s="450"/>
      <c r="V1" s="450"/>
      <c r="W1" s="448"/>
      <c r="X1" s="479" t="str">
        <f>"Prévision sans nettoyage ni taille végétation en "&amp;TEXT(An,0)</f>
        <v>Prévision sans nettoyage ni taille végétation en 2022</v>
      </c>
      <c r="Y1" s="480"/>
      <c r="Z1" s="481"/>
      <c r="AA1" s="482"/>
      <c r="AB1" s="483"/>
      <c r="AC1" s="484"/>
      <c r="AD1" s="484"/>
      <c r="AE1" s="484"/>
      <c r="AF1" s="450"/>
      <c r="AG1" s="450"/>
      <c r="AH1" s="450"/>
      <c r="AI1" s="484"/>
      <c r="AL1" s="819" t="s">
        <v>266</v>
      </c>
      <c r="AV1" s="16" t="s">
        <v>47</v>
      </c>
      <c r="BE1" s="1263">
        <f>An-1</f>
        <v>2021</v>
      </c>
      <c r="BF1" s="1264"/>
      <c r="BG1" s="113" t="str">
        <f>"Pertes et enveloppes en "&amp;TEXT(BE1,0)</f>
        <v>Pertes et enveloppes en 2021</v>
      </c>
      <c r="BH1" s="239"/>
      <c r="BI1" s="239"/>
      <c r="BJ1" s="450"/>
      <c r="BK1" s="450"/>
    </row>
    <row r="2" spans="1:63" s="6" customFormat="1" ht="16.5" thickBot="1" x14ac:dyDescent="0.3"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90"/>
      <c r="AD2" s="490"/>
      <c r="AE2" s="490"/>
      <c r="AF2" s="454"/>
      <c r="AG2" s="491"/>
      <c r="AH2" s="492"/>
      <c r="AI2" s="490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  <c r="BF2" s="186"/>
      <c r="BG2" s="17"/>
      <c r="BH2" s="17"/>
      <c r="BI2" s="17"/>
      <c r="BJ2" s="499"/>
      <c r="BK2" s="499"/>
    </row>
    <row r="3" spans="1:63" s="19" customFormat="1" ht="16.5" customHeight="1" thickBot="1" x14ac:dyDescent="0.3">
      <c r="A3" s="10"/>
      <c r="B3" s="10"/>
      <c r="C3" s="10"/>
      <c r="D3" s="105" t="s">
        <v>12</v>
      </c>
      <c r="E3" s="1255">
        <v>44926</v>
      </c>
      <c r="F3" s="1256"/>
      <c r="G3" s="607">
        <f>YEAR(Tmaj)</f>
        <v>2022</v>
      </c>
      <c r="H3" s="557"/>
      <c r="I3" s="557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 t="s">
        <v>96</v>
      </c>
      <c r="Y3" s="495"/>
      <c r="Z3" s="496"/>
      <c r="AA3" s="490"/>
      <c r="AB3" s="490"/>
      <c r="AC3" s="497"/>
      <c r="AD3" s="487"/>
      <c r="AE3" s="497"/>
      <c r="AF3" s="487"/>
      <c r="AG3" s="491"/>
      <c r="AH3" s="492"/>
      <c r="AI3" s="497"/>
      <c r="AJ3" s="823">
        <f>AL11-AJ11</f>
        <v>0</v>
      </c>
      <c r="AK3" s="824">
        <f>AM11-AK11</f>
        <v>0</v>
      </c>
      <c r="AL3" s="823"/>
      <c r="AM3" s="824"/>
      <c r="AN3" s="822" t="s">
        <v>267</v>
      </c>
      <c r="BF3" s="187"/>
      <c r="BG3" s="54"/>
      <c r="BH3" s="34"/>
      <c r="BI3" s="34"/>
      <c r="BJ3" s="499"/>
      <c r="BK3" s="499"/>
    </row>
    <row r="4" spans="1:63" s="19" customFormat="1" ht="16.5" customHeight="1" thickBot="1" x14ac:dyDescent="0.3">
      <c r="D4" s="105" t="s">
        <v>133</v>
      </c>
      <c r="E4" s="1257" t="s">
        <v>335</v>
      </c>
      <c r="F4" s="1258"/>
      <c r="G4" s="1258"/>
      <c r="H4" s="1258"/>
      <c r="I4" s="1259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97"/>
      <c r="AD4" s="497"/>
      <c r="AE4" s="497"/>
      <c r="AF4" s="487"/>
      <c r="AG4" s="491"/>
      <c r="AH4" s="492"/>
      <c r="AI4" s="497"/>
      <c r="AJ4" s="823">
        <f>AL12-AJ12</f>
        <v>0</v>
      </c>
      <c r="AK4" s="824">
        <f>AM12-AK12</f>
        <v>0</v>
      </c>
      <c r="AL4" s="823"/>
      <c r="AM4" s="824"/>
      <c r="AN4" s="822" t="s">
        <v>268</v>
      </c>
      <c r="BF4" s="187"/>
      <c r="BG4" s="498"/>
      <c r="BH4" s="497"/>
      <c r="BI4" s="497"/>
      <c r="BJ4" s="499"/>
      <c r="BK4" s="499"/>
    </row>
    <row r="5" spans="1:63" s="35" customFormat="1" ht="16.5" customHeight="1" thickBot="1" x14ac:dyDescent="0.3">
      <c r="A5" s="19"/>
      <c r="B5" s="19"/>
      <c r="C5" s="19"/>
      <c r="D5" s="106" t="s">
        <v>78</v>
      </c>
      <c r="E5" s="1255">
        <v>44424</v>
      </c>
      <c r="F5" s="1256"/>
      <c r="G5" s="552"/>
      <c r="H5" s="552"/>
      <c r="I5" s="552"/>
      <c r="J5" s="19"/>
      <c r="K5" s="188"/>
      <c r="L5" s="498"/>
      <c r="M5" s="497"/>
      <c r="N5" s="497"/>
      <c r="O5" s="422"/>
      <c r="P5" s="500"/>
      <c r="Q5" s="500"/>
      <c r="R5" s="487"/>
      <c r="S5" s="491"/>
      <c r="T5" s="491"/>
      <c r="U5" s="487"/>
      <c r="V5" s="499"/>
      <c r="W5" s="500"/>
      <c r="X5" s="501"/>
      <c r="Y5" s="502"/>
      <c r="Z5" s="232">
        <f>Wh_Psa_s-Wh_Psa</f>
        <v>-0.18757708950988672</v>
      </c>
      <c r="AA5" s="233">
        <f>Wh_Pvg_s-Wh_Pvg</f>
        <v>-3.7824816026121866E-4</v>
      </c>
      <c r="AB5" s="506" t="s">
        <v>6</v>
      </c>
      <c r="AC5" s="487"/>
      <c r="AD5" s="497"/>
      <c r="AE5" s="500"/>
      <c r="AF5" s="487"/>
      <c r="AG5" s="491"/>
      <c r="AH5" s="492"/>
      <c r="AI5" s="500"/>
      <c r="AJ5" s="508">
        <f>SUMIF(AJ15:AJ380,"VRAI",Wh)</f>
        <v>8.9990000000000006</v>
      </c>
      <c r="AK5" s="508">
        <f>SUMIF(AK15:AK380,"VRAI",Wh)</f>
        <v>8.9990000000000006</v>
      </c>
      <c r="AL5" s="508">
        <f>SUMIF(AJ15:AJ380,"VRAI",Wh_s)</f>
        <v>0</v>
      </c>
      <c r="AM5" s="508">
        <f>SUMIF(AK15:AK380,"VRAI",Wh_s)</f>
        <v>0</v>
      </c>
      <c r="AN5" s="822" t="s">
        <v>264</v>
      </c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88"/>
      <c r="BG5" s="498"/>
      <c r="BH5" s="497"/>
      <c r="BI5" s="497"/>
      <c r="BJ5" s="422"/>
      <c r="BK5" s="499"/>
    </row>
    <row r="6" spans="1:63" s="6" customFormat="1" ht="16.5" customHeight="1" thickBot="1" x14ac:dyDescent="0.3">
      <c r="A6" s="35"/>
      <c r="B6" s="174"/>
      <c r="C6" s="174"/>
      <c r="D6" s="106" t="s">
        <v>11</v>
      </c>
      <c r="E6" s="1255">
        <v>44536</v>
      </c>
      <c r="F6" s="1256"/>
      <c r="G6" s="568"/>
      <c r="H6" s="549"/>
      <c r="I6" s="549"/>
      <c r="J6" s="35"/>
      <c r="K6" s="189"/>
      <c r="L6" s="150" t="s">
        <v>83</v>
      </c>
      <c r="M6" s="41"/>
      <c r="N6" s="41"/>
      <c r="O6" s="500"/>
      <c r="P6" s="490"/>
      <c r="Q6" s="490"/>
      <c r="R6" s="507"/>
      <c r="S6" s="491"/>
      <c r="T6" s="491"/>
      <c r="U6" s="507"/>
      <c r="V6" s="492"/>
      <c r="W6" s="454"/>
      <c r="X6" s="489"/>
      <c r="Y6" s="490"/>
      <c r="Z6" s="454"/>
      <c r="AA6" s="454"/>
      <c r="AB6" s="508"/>
      <c r="AC6" s="492"/>
      <c r="AD6" s="507"/>
      <c r="AE6" s="507"/>
      <c r="AF6" s="492"/>
      <c r="AG6" s="491"/>
      <c r="AH6" s="491"/>
      <c r="AI6" s="492"/>
      <c r="AJ6" s="508">
        <f>SUMIF(AJ15:AJ380,"FAUX",Wh)</f>
        <v>46789.070000000007</v>
      </c>
      <c r="AK6" s="508">
        <f>SUMIF(AK15:AK380,"FAUX",Wh)</f>
        <v>46789.070000000007</v>
      </c>
      <c r="AL6" s="508">
        <f>SUMIF(AJ15:AJ380,"FAUX",Wh_s)</f>
        <v>46789.070000000007</v>
      </c>
      <c r="AM6" s="508">
        <f>SUMIF(AK15:AK380,"FAUX",Wh_s)</f>
        <v>46789.070000000007</v>
      </c>
      <c r="AN6" s="822" t="s">
        <v>265</v>
      </c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189"/>
      <c r="BG6" s="150"/>
      <c r="BH6" s="41"/>
      <c r="BI6" s="41"/>
      <c r="BJ6" s="500"/>
      <c r="BK6" s="492"/>
    </row>
    <row r="7" spans="1:63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AND(YEAR(Tnet)=An,Resal_2022="I")</f>
        <v>0</v>
      </c>
      <c r="F7" s="316" t="b">
        <f>YEAR(Tnet)=An</f>
        <v>0</v>
      </c>
      <c r="J7" s="174"/>
      <c r="K7" s="187"/>
      <c r="L7" s="185" t="s">
        <v>81</v>
      </c>
      <c r="M7" s="833"/>
      <c r="N7" s="833"/>
      <c r="O7" s="490"/>
      <c r="P7" s="244"/>
      <c r="Q7" s="244"/>
      <c r="R7" s="509"/>
      <c r="S7" s="509"/>
      <c r="T7" s="509"/>
      <c r="U7" s="244"/>
      <c r="V7" s="422"/>
      <c r="W7" s="510"/>
      <c r="X7" s="511"/>
      <c r="Y7" s="244"/>
      <c r="Z7" s="510"/>
      <c r="AA7" s="510"/>
      <c r="AB7" s="244"/>
      <c r="AC7" s="490"/>
      <c r="AD7" s="244"/>
      <c r="AE7" s="244"/>
      <c r="AF7" s="485"/>
      <c r="AG7" s="485"/>
      <c r="AH7" s="485"/>
      <c r="AI7" s="485"/>
      <c r="AJ7" s="508">
        <f>SUMIF(AJ15:AJ380,"VRAI",Wh_pvt)</f>
        <v>0</v>
      </c>
      <c r="AK7" s="508">
        <f>SUMIF(AK15:AK380,"VRAI",Wh_sa)</f>
        <v>0</v>
      </c>
      <c r="AL7" s="508">
        <f>SUMIF(AJ15:AJ380,"VRAI",Wh_pvt_s)</f>
        <v>0</v>
      </c>
      <c r="AM7" s="508">
        <f>SUMIF(AK15:AK380,"VRAI",Wh_sa_s)</f>
        <v>0</v>
      </c>
      <c r="AN7" s="822" t="s">
        <v>256</v>
      </c>
      <c r="AV7" s="179"/>
      <c r="AW7" s="174"/>
      <c r="AX7" s="174"/>
      <c r="AY7" s="22" t="s">
        <v>113</v>
      </c>
      <c r="AZ7" s="316" t="b">
        <v>0</v>
      </c>
      <c r="BA7" s="316" t="b">
        <v>0</v>
      </c>
      <c r="BE7" s="174"/>
      <c r="BF7" s="187"/>
      <c r="BG7" s="185" t="s">
        <v>81</v>
      </c>
      <c r="BH7" s="833"/>
      <c r="BI7" s="833"/>
      <c r="BJ7" s="490"/>
      <c r="BK7" s="422"/>
    </row>
    <row r="8" spans="1:63" s="6" customFormat="1" ht="15" customHeight="1" x14ac:dyDescent="0.2">
      <c r="A8" s="39"/>
      <c r="B8" s="82"/>
      <c r="C8" s="82"/>
      <c r="D8" s="136" t="s">
        <v>84</v>
      </c>
      <c r="E8" s="316" t="b">
        <f>AND(YEAR(Tnet)=An,Tnet&gt;T0,Resal_2022&lt;&gt;"I")</f>
        <v>0</v>
      </c>
      <c r="F8" s="317" t="b">
        <f>AND(YEAR(Ttai)=An,Ttai&gt;DATE(An,1,1))</f>
        <v>0</v>
      </c>
      <c r="H8" s="175" t="s">
        <v>76</v>
      </c>
      <c r="I8" s="98"/>
      <c r="J8" s="154"/>
      <c r="K8" s="187"/>
      <c r="L8" s="114"/>
      <c r="M8" s="114"/>
      <c r="N8" s="114"/>
      <c r="O8" s="512" t="s">
        <v>95</v>
      </c>
      <c r="P8" s="490"/>
      <c r="Q8" s="490"/>
      <c r="R8" s="490"/>
      <c r="S8" s="490"/>
      <c r="T8" s="490"/>
      <c r="U8" s="490"/>
      <c r="W8" s="399"/>
      <c r="X8" s="1267" t="s">
        <v>102</v>
      </c>
      <c r="Y8" s="1268"/>
      <c r="Z8" s="490"/>
      <c r="AA8" s="490"/>
      <c r="AB8" s="454"/>
      <c r="AC8" s="512" t="s">
        <v>95</v>
      </c>
      <c r="AD8" s="454"/>
      <c r="AE8" s="454"/>
      <c r="AF8" s="454"/>
      <c r="AG8" s="454"/>
      <c r="AH8" s="454"/>
      <c r="AI8" s="454"/>
      <c r="AJ8" s="508">
        <f>SUMIF(AJ15:AJ380,"FAUX",Wh_pvt)</f>
        <v>47028.454637984541</v>
      </c>
      <c r="AK8" s="508">
        <f>SUMIF(AK15:AK380,"FAUX",Wh_sa)</f>
        <v>48008.72585091275</v>
      </c>
      <c r="AL8" s="508">
        <f>SUMIF(AJ15:AJ380,"FAUX",Wh_pvt_s)</f>
        <v>47028.454637984541</v>
      </c>
      <c r="AM8" s="508">
        <f>SUMIF(AK15:AK380,"FAUX",Wh_sa_s)</f>
        <v>48008.72585091275</v>
      </c>
      <c r="AN8" s="822" t="s">
        <v>257</v>
      </c>
      <c r="AV8" s="39"/>
      <c r="AW8" s="82"/>
      <c r="AX8" s="82"/>
      <c r="AY8" s="136" t="s">
        <v>84</v>
      </c>
      <c r="AZ8" s="316" t="b">
        <v>0</v>
      </c>
      <c r="BA8" s="317" t="b">
        <v>0</v>
      </c>
      <c r="BC8" s="175" t="s">
        <v>76</v>
      </c>
      <c r="BD8" s="98"/>
      <c r="BE8" s="154"/>
      <c r="BF8" s="187"/>
      <c r="BG8" s="114"/>
      <c r="BH8" s="114"/>
      <c r="BI8" s="114"/>
      <c r="BJ8" s="512" t="s">
        <v>95</v>
      </c>
    </row>
    <row r="9" spans="1:63" s="19" customFormat="1" ht="15" customHeight="1" x14ac:dyDescent="0.25">
      <c r="A9" s="179"/>
      <c r="D9" s="73">
        <f>SUM(D$15:D$380)</f>
        <v>47028.454637984541</v>
      </c>
      <c r="E9" s="73">
        <f>SUM(E$15:E$380)</f>
        <v>48008.72585091275</v>
      </c>
      <c r="F9" s="73">
        <f>SUM(F$15:F$380)</f>
        <v>48010.743765373198</v>
      </c>
      <c r="H9" s="1260">
        <f>+SUM(Wh)</f>
        <v>46798.06900000001</v>
      </c>
      <c r="I9" s="1261"/>
      <c r="J9" s="1262"/>
      <c r="K9" s="187"/>
      <c r="L9" s="114"/>
      <c r="M9" s="114"/>
      <c r="N9" s="114"/>
      <c r="O9" s="321">
        <f>MAX(T0,Tnet_2022)</f>
        <v>44424</v>
      </c>
      <c r="P9" s="240" t="s">
        <v>112</v>
      </c>
      <c r="Q9" s="241"/>
      <c r="R9" s="241"/>
      <c r="S9" s="241"/>
      <c r="T9" s="241"/>
      <c r="U9" s="241"/>
      <c r="V9" s="454"/>
      <c r="W9" s="513"/>
      <c r="X9" s="1265">
        <f>+SUM(Wh_s)</f>
        <v>46789.070000000007</v>
      </c>
      <c r="Y9" s="1266"/>
      <c r="Z9" s="508">
        <f>SUM(Z$15:Z$380)</f>
        <v>47028.454637984541</v>
      </c>
      <c r="AA9" s="508">
        <f>SUM(AA$15:AA$380)</f>
        <v>48008.72585091275</v>
      </c>
      <c r="AB9" s="508">
        <f>F9</f>
        <v>48010.743765373198</v>
      </c>
      <c r="AC9" s="321">
        <f>IF(An_Tnet,Tnet,T0)</f>
        <v>44424</v>
      </c>
      <c r="AD9" s="311" t="s">
        <v>103</v>
      </c>
      <c r="AE9" s="312"/>
      <c r="AF9" s="312"/>
      <c r="AG9" s="312"/>
      <c r="AH9" s="312"/>
      <c r="AI9" s="313"/>
      <c r="AJ9" s="508">
        <f>SUMIF(AJ15:AJ380,"VRAI",Wh_sa)</f>
        <v>0</v>
      </c>
      <c r="AK9" s="508">
        <f>SUMIF(AK15:AK380,"VRAI",Wh_hp)</f>
        <v>0</v>
      </c>
      <c r="AL9" s="508">
        <f>SUMIF(AJ15:AJ380,"VRAI",Wh_sa_s)</f>
        <v>0</v>
      </c>
      <c r="AM9" s="508">
        <f>SUMIF(AK15:AK380,"VRAI",Wh_hp)</f>
        <v>0</v>
      </c>
      <c r="AN9" s="822" t="s">
        <v>262</v>
      </c>
      <c r="AV9" s="179"/>
      <c r="AY9" s="73">
        <f>SUM(AY$15:AY$380)</f>
        <v>1173.2967139791144</v>
      </c>
      <c r="AZ9" s="73">
        <f>SUM(AZ$15:AZ$380)</f>
        <v>1183.7408339211513</v>
      </c>
      <c r="BA9" s="73">
        <f>SUM(BA$15:BA$380)</f>
        <v>1183.7408339211513</v>
      </c>
      <c r="BC9" s="1260">
        <f>+SUM(AW15:AW379)</f>
        <v>1158.7639999999999</v>
      </c>
      <c r="BD9" s="1261"/>
      <c r="BE9" s="1262"/>
      <c r="BF9" s="187"/>
      <c r="BG9" s="114"/>
      <c r="BH9" s="114"/>
      <c r="BI9" s="114"/>
      <c r="BJ9" s="321"/>
      <c r="BK9" s="454"/>
    </row>
    <row r="10" spans="1:63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114"/>
      <c r="M10" s="114"/>
      <c r="N10" s="114"/>
      <c r="O10" s="314">
        <f>IF(Inflex,Salim_i*(1-EXP((T0-Tnet)/Tau_j)),IF(Acti_net,Resal_2022,0))</f>
        <v>0</v>
      </c>
      <c r="P10" s="416" t="b">
        <f>NOT(Acti_tai)</f>
        <v>1</v>
      </c>
      <c r="Q10" s="253">
        <f>IF(Acti_tai,0,Dens-Dd)</f>
        <v>0</v>
      </c>
      <c r="R10" s="256"/>
      <c r="S10" s="257"/>
      <c r="T10" s="259"/>
      <c r="U10" s="262">
        <f>IF(Acti_tai,PousHi,Htf_2022-H_i)</f>
        <v>0.5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IF(OR(Inflex,GainD),Salim_i*(1-EXP((T0-Tnet)/Tau_ij)),IF(Acti_net,Salim_i*(1-EXP((T0-Tnet)/Tau_ij)),0))</f>
        <v>0</v>
      </c>
      <c r="AD10" s="422"/>
      <c r="AE10" s="422"/>
      <c r="AF10" s="256"/>
      <c r="AG10" s="257"/>
      <c r="AH10" s="258"/>
      <c r="AI10" s="422"/>
      <c r="AJ10" s="508">
        <f>SUMIF(AJ15:AJ380,"FAUX",Wh_sa)</f>
        <v>48008.72585091275</v>
      </c>
      <c r="AK10" s="508">
        <f>SUMIF(AK15:AK380,"FAUX",Wh_hp)</f>
        <v>48010.743765373198</v>
      </c>
      <c r="AL10" s="508">
        <f>SUMIF(AJ15:AJ380,"FAUX",Wh_sa_s)</f>
        <v>48008.72585091275</v>
      </c>
      <c r="AM10" s="508">
        <f>SUMIF(AK15:AK380,"FAUX",Wh_hp)</f>
        <v>48010.743765373198</v>
      </c>
      <c r="AN10" s="822" t="s">
        <v>263</v>
      </c>
      <c r="AV10" s="202"/>
      <c r="AW10" s="203"/>
      <c r="AX10" s="829"/>
      <c r="AY10" s="176" t="s">
        <v>26</v>
      </c>
      <c r="AZ10" s="177" t="s">
        <v>27</v>
      </c>
      <c r="BA10" s="177" t="s">
        <v>28</v>
      </c>
      <c r="BF10" s="189"/>
      <c r="BG10" s="114"/>
      <c r="BH10" s="114"/>
      <c r="BI10" s="114"/>
      <c r="BJ10" s="314"/>
      <c r="BK10" s="422"/>
    </row>
    <row r="11" spans="1:63" s="40" customFormat="1" ht="15" customHeight="1" x14ac:dyDescent="0.25">
      <c r="A11" s="212"/>
      <c r="B11" s="213" t="s">
        <v>43</v>
      </c>
      <c r="C11" s="830"/>
      <c r="D11" s="214">
        <f>D$9-Prod_an</f>
        <v>230.38563798453106</v>
      </c>
      <c r="E11" s="215">
        <f>(E$9-D$9)*Prod_an/D$9</f>
        <v>975.46900518979078</v>
      </c>
      <c r="F11" s="216">
        <f>(F$9-E$9)*Prod_an/E$9</f>
        <v>1.9670278367604659</v>
      </c>
      <c r="G11" s="181" t="s">
        <v>6</v>
      </c>
      <c r="K11" s="190"/>
      <c r="L11" s="178">
        <f>Tvie_2022</f>
        <v>44609</v>
      </c>
      <c r="M11" s="834"/>
      <c r="N11" s="834"/>
      <c r="O11" s="314">
        <f>Salim_2022</f>
        <v>0.08</v>
      </c>
      <c r="P11" s="252">
        <f>Ttai_2022</f>
        <v>44562</v>
      </c>
      <c r="Q11" s="268">
        <f>Dens_2022</f>
        <v>0.5</v>
      </c>
      <c r="R11" s="516"/>
      <c r="S11" s="243"/>
      <c r="T11" s="517"/>
      <c r="U11" s="262">
        <f>Htf_2022</f>
        <v>0.48952922605263238</v>
      </c>
      <c r="V11" s="422"/>
      <c r="W11" s="511"/>
      <c r="X11" s="518" t="s">
        <v>43</v>
      </c>
      <c r="Y11" s="50">
        <f>Z$9-Prod_an_s</f>
        <v>239.38463798453449</v>
      </c>
      <c r="Z11" s="51">
        <f>(AA$9-Z$9)*Prod_an_s/Z$9</f>
        <v>975.28142810028089</v>
      </c>
      <c r="AA11" s="182">
        <f>(AB$9-AA$9)*Prod_an_s/AA$9</f>
        <v>1.9666495886002047</v>
      </c>
      <c r="AB11" s="519" t="s">
        <v>6</v>
      </c>
      <c r="AC11" s="465"/>
      <c r="AD11" s="252"/>
      <c r="AE11" s="268" t="str">
        <f>IF(Acti_tai,IF(GainD,Di,Dd)+PousD*Croi_tai,"NA")</f>
        <v>NA</v>
      </c>
      <c r="AF11" s="243"/>
      <c r="AG11" s="243"/>
      <c r="AH11" s="243"/>
      <c r="AI11" s="262" t="str">
        <f>IF(Acti_tai,IF(GainD,H_i,Hdd)+PousH*Croi_tai,"NA")</f>
        <v>NA</v>
      </c>
      <c r="AJ11" s="823">
        <f>IF($AJ7=0,0,($AJ9-$AJ7)*$AJ5/$AJ7)</f>
        <v>0</v>
      </c>
      <c r="AK11" s="824">
        <f>IF($AK7=0,0,($AK9-$AK7)*$AK5/$AK7)</f>
        <v>0</v>
      </c>
      <c r="AL11" s="823">
        <f>IF($AL7=0,0,($AL9-$AL7)*$AL5/$AL7)</f>
        <v>0</v>
      </c>
      <c r="AM11" s="824">
        <f>IF($AM7=0,0,($AM9-$AM7)*$AM5/$AM7)</f>
        <v>0</v>
      </c>
      <c r="AN11" s="822" t="s">
        <v>269</v>
      </c>
      <c r="AV11" s="212"/>
      <c r="AW11" s="213" t="s">
        <v>43</v>
      </c>
      <c r="AX11" s="830"/>
      <c r="AY11" s="214">
        <f>AY$9-BC9</f>
        <v>14.532713979114533</v>
      </c>
      <c r="AZ11" s="215">
        <f>(AZ$9-AY$9)*BC9/AY$9</f>
        <v>10.314756750209265</v>
      </c>
      <c r="BA11" s="216">
        <f>(BA$9-AZ$9)*BC9/AZ$9</f>
        <v>0</v>
      </c>
      <c r="BB11" s="181" t="s">
        <v>6</v>
      </c>
      <c r="BF11" s="190"/>
      <c r="BG11" s="178">
        <f>T0</f>
        <v>44424</v>
      </c>
      <c r="BH11" s="834"/>
      <c r="BI11" s="834"/>
      <c r="BJ11" s="314"/>
      <c r="BK11" s="422"/>
    </row>
    <row r="12" spans="1:63" s="19" customFormat="1" ht="15" customHeight="1" x14ac:dyDescent="0.25">
      <c r="A12" s="116"/>
      <c r="B12" s="117"/>
      <c r="C12" s="117"/>
      <c r="D12" s="117"/>
      <c r="E12" s="117"/>
      <c r="F12" s="217" t="s">
        <v>17</v>
      </c>
      <c r="G12" s="109">
        <f>G383-1</f>
        <v>4.0186714500313636E-2</v>
      </c>
      <c r="I12" s="102"/>
      <c r="J12" s="99"/>
      <c r="K12" s="187"/>
      <c r="L12" s="200">
        <f>Pspv_2022</f>
        <v>0</v>
      </c>
      <c r="M12" s="208"/>
      <c r="N12" s="208"/>
      <c r="O12" s="520">
        <f>Tau_2022*365</f>
        <v>1095</v>
      </c>
      <c r="P12" s="521">
        <f>INDEX(Croivg,MIN(MAX(Ttai-$A$15,0)+1,366))</f>
        <v>2.3909964587625958E-6</v>
      </c>
      <c r="Q12" s="292">
        <f>D_i</f>
        <v>0.5</v>
      </c>
      <c r="R12" s="274"/>
      <c r="S12" s="275"/>
      <c r="T12" s="522"/>
      <c r="U12" s="293">
        <f>H_i</f>
        <v>-1.0470773947367618E-2</v>
      </c>
      <c r="V12" s="510"/>
      <c r="W12" s="497"/>
      <c r="X12" s="498"/>
      <c r="Y12" s="497"/>
      <c r="Z12" s="422"/>
      <c r="AA12" s="422"/>
      <c r="AB12" s="497"/>
      <c r="AC12" s="314" t="b">
        <f>NOT(An_Tnet)</f>
        <v>1</v>
      </c>
      <c r="AD12" s="422"/>
      <c r="AE12" s="292">
        <f>D_i</f>
        <v>0.5</v>
      </c>
      <c r="AF12" s="199"/>
      <c r="AG12" s="199"/>
      <c r="AH12" s="199"/>
      <c r="AI12" s="293">
        <f>H_i</f>
        <v>-1.0470773947367618E-2</v>
      </c>
      <c r="AJ12" s="823">
        <f>IF($AJ8=0,0,($AJ10-$AJ8)*$AJ6/$AJ8)</f>
        <v>975.28142810028089</v>
      </c>
      <c r="AK12" s="824">
        <f>IF($AK8=0,0,($AK10-$AK8)*$AK6/$AK8)</f>
        <v>1.9666495886002047</v>
      </c>
      <c r="AL12" s="823">
        <f>IF($AL8=0,0,($AL10-$AL8)*$AL6/$AL8)</f>
        <v>975.28142810028089</v>
      </c>
      <c r="AM12" s="824">
        <f>IF($AM8=0,0,($AM10-$AM8)*$AM6/$AM8)</f>
        <v>1.9666495886002047</v>
      </c>
      <c r="AN12" s="822" t="s">
        <v>270</v>
      </c>
      <c r="AV12" s="116"/>
      <c r="AW12" s="117"/>
      <c r="AX12" s="117"/>
      <c r="AY12" s="117"/>
      <c r="AZ12" s="117"/>
      <c r="BA12" s="217" t="s">
        <v>17</v>
      </c>
      <c r="BB12" s="109">
        <f>BB383-1</f>
        <v>2.929923788564559E-2</v>
      </c>
      <c r="BD12" s="102"/>
      <c r="BE12" s="99"/>
      <c r="BF12" s="187"/>
      <c r="BG12" s="200">
        <f>1-0.98936170212766</f>
        <v>1.0638297872340385E-2</v>
      </c>
      <c r="BH12" s="208"/>
      <c r="BI12" s="208"/>
      <c r="BJ12" s="520"/>
      <c r="BK12" s="510"/>
    </row>
    <row r="13" spans="1:63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119</v>
      </c>
      <c r="Z13" s="124" t="s">
        <v>120</v>
      </c>
      <c r="AA13" s="124" t="s">
        <v>121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975.28142810028089</v>
      </c>
      <c r="AK13" s="73">
        <f>+AK11+AK12</f>
        <v>1.9666495886002047</v>
      </c>
      <c r="AL13" s="73">
        <f>+AL11+AL12</f>
        <v>975.28142810028089</v>
      </c>
      <c r="AM13" s="73">
        <f>+AM11+AM12</f>
        <v>1.9666495886002047</v>
      </c>
      <c r="AN13" s="821" t="s">
        <v>271</v>
      </c>
      <c r="AV13" s="130" t="s">
        <v>68</v>
      </c>
      <c r="AW13" s="124" t="s">
        <v>34</v>
      </c>
      <c r="AX13" s="124"/>
      <c r="AY13" s="124" t="s">
        <v>72</v>
      </c>
      <c r="AZ13" s="124" t="s">
        <v>73</v>
      </c>
      <c r="BA13" s="124" t="s">
        <v>35</v>
      </c>
      <c r="BB13" s="124" t="s">
        <v>36</v>
      </c>
      <c r="BC13" s="101"/>
      <c r="BD13" s="124" t="s">
        <v>37</v>
      </c>
      <c r="BE13" s="124" t="s">
        <v>38</v>
      </c>
      <c r="BF13" s="191"/>
      <c r="BG13" s="124" t="s">
        <v>32</v>
      </c>
      <c r="BH13" s="124"/>
      <c r="BI13" s="124"/>
      <c r="BJ13" s="124" t="s">
        <v>33</v>
      </c>
      <c r="BK13" s="124" t="s">
        <v>41</v>
      </c>
    </row>
    <row r="14" spans="1:63" s="46" customFormat="1" ht="40.5" customHeight="1" thickBot="1" x14ac:dyDescent="0.25">
      <c r="A14" s="45" t="s">
        <v>2</v>
      </c>
      <c r="B14" s="384" t="s">
        <v>188</v>
      </c>
      <c r="C14" s="384"/>
      <c r="D14" s="53" t="s">
        <v>30</v>
      </c>
      <c r="E14" s="158" t="s">
        <v>29</v>
      </c>
      <c r="F14" s="158" t="str">
        <f>"Hors pertes "&amp; TEXT(An,0)</f>
        <v>Hors pertes 2022</v>
      </c>
      <c r="G14" s="107" t="s">
        <v>42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207</v>
      </c>
      <c r="V14" s="45" t="str">
        <f>"Enveloppe "&amp; TEXT(An,0)</f>
        <v>Enveloppe 2022</v>
      </c>
      <c r="W14" s="828" t="s">
        <v>116</v>
      </c>
      <c r="X14" s="151" t="s">
        <v>2</v>
      </c>
      <c r="Y14" s="107" t="str">
        <f>"Wh / Jour "&amp; TEXT(An,0)</f>
        <v>Wh / Jour 2022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88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  <c r="AV14" s="45" t="s">
        <v>2</v>
      </c>
      <c r="AW14" s="384" t="s">
        <v>188</v>
      </c>
      <c r="AX14" s="384"/>
      <c r="AY14" s="53" t="s">
        <v>30</v>
      </c>
      <c r="AZ14" s="158" t="s">
        <v>29</v>
      </c>
      <c r="BA14" s="158" t="str">
        <f>"Hors pertes "&amp; TEXT(BE1,0)</f>
        <v>Hors pertes 2021</v>
      </c>
      <c r="BB14" s="107" t="s">
        <v>42</v>
      </c>
      <c r="BD14" s="79" t="s">
        <v>3</v>
      </c>
      <c r="BE14" s="79" t="s">
        <v>31</v>
      </c>
      <c r="BF14" s="192"/>
      <c r="BG14" s="23" t="s">
        <v>67</v>
      </c>
      <c r="BH14" s="23"/>
      <c r="BI14" s="23"/>
      <c r="BJ14" s="23" t="s">
        <v>65</v>
      </c>
      <c r="BK14" s="45" t="str">
        <f>"Enveloppe "&amp; TEXT(BE1,0)</f>
        <v>Enveloppe 2021</v>
      </c>
    </row>
    <row r="15" spans="1:63" s="6" customFormat="1" ht="11.25" x14ac:dyDescent="0.2">
      <c r="A15" s="56">
        <f>DATE(An,1,1)</f>
        <v>44562</v>
      </c>
      <c r="B15" s="1121">
        <v>97.754000000000005</v>
      </c>
      <c r="C15" s="844"/>
      <c r="D15" s="388">
        <f t="shared" ref="D15:D20" si="0">Wh/(1-Ppv)</f>
        <v>98.993961903061376</v>
      </c>
      <c r="E15" s="380">
        <f t="shared" ref="E15:E20" si="1">Wh_pvt/(1-Psa)</f>
        <v>99.941221356337223</v>
      </c>
      <c r="F15" s="380">
        <f t="shared" ref="F15:F20" si="2">Wh_sa/(1-Pvg*MEDIAN((-Sdif+Wh/Env_an)/Csdif,0,1))</f>
        <v>99.941221484103295</v>
      </c>
      <c r="G15" s="110">
        <f t="shared" ref="G15:G20" si="3">+Wh_hp/MaxiM</f>
        <v>1.0011866221014729</v>
      </c>
      <c r="I15" s="374">
        <f t="shared" ref="I15:I78" si="4">Wh_hp</f>
        <v>99.941221484103295</v>
      </c>
      <c r="J15" s="84">
        <v>2022</v>
      </c>
      <c r="K15" s="193">
        <f t="shared" ref="K15:K78" si="5">t</f>
        <v>44562</v>
      </c>
      <c r="L15" s="430">
        <f t="shared" ref="L15:L78" si="6">IF(t&lt;T0,0,IF(t&lt;Tvie,1-EXP((T0-t)*PertePVj)+Pspv_21,1-EXP((T0-t)*PertePVj)+Pspv))</f>
        <v>1.2525631656964964E-2</v>
      </c>
      <c r="M15" s="846"/>
      <c r="N15" s="846"/>
      <c r="O15" s="320">
        <f t="shared" ref="O15:O78" si="7">IF(t&lt;T0,0,IF(t&lt;Tnet,Salim_i*(1-EXP((T0-t)/Tau_ij)),Resal+(Salim-Resal)*(1-EXP((Tnet-t)/(Tau_j)))))*Salcycl</f>
        <v>9.4781656699833641E-3</v>
      </c>
      <c r="P15" s="298">
        <f>(INDEX(Models!$BJ15:$BT15,,T15)*(1-R15)+INDEX(Models!$BJ15:$BT15,,T15+1)*R15-ERP_i)*Q15*Ramure*Pc/MaxiM</f>
        <v>1.2784121479255911E-9</v>
      </c>
      <c r="Q15" s="299">
        <f>IF(OR(t&lt;Ttai,Notai),Dd+PousD*Croivg,Dens+PousD*(Croivg-Croi_tai))</f>
        <v>0.5</v>
      </c>
      <c r="R15" s="300">
        <f t="shared" ref="R15:R78" si="8">(Hp_vg-S15)/(INDEX(Echel_vg,T15+1)-S15)</f>
        <v>0.98953042155086179</v>
      </c>
      <c r="S15" s="800">
        <f>INDEX(Echel_vg,T15)</f>
        <v>-1</v>
      </c>
      <c r="T15" s="245">
        <f>MIN(MATCH(Hp_vg,Echel_vg),10)</f>
        <v>5</v>
      </c>
      <c r="U15" s="246">
        <f>IF(OR(t&lt;Ttai,Notai),Hdd+PousH*Croivg,Hdtf+PousH*(Croivg-Croi_tai))</f>
        <v>-1.0469578449138236E-2</v>
      </c>
      <c r="V15" s="377">
        <f t="shared" ref="V15:V78" si="9">MaxiM*(1-Ppv)*(1-Pvg)*(1-Psa)</f>
        <v>97.638140424625419</v>
      </c>
      <c r="W15" s="397"/>
      <c r="X15" s="152">
        <f t="shared" ref="X15:X78" si="10">t</f>
        <v>44562</v>
      </c>
      <c r="Y15" s="380">
        <f t="shared" ref="Y15:Y78" si="11">Wh_pvt_s*(1-Ppv)</f>
        <v>97.754000000000005</v>
      </c>
      <c r="Z15" s="380">
        <f t="shared" ref="Z15:Z78" si="12">Wh_sa_s*(1-Psa_s)</f>
        <v>98.993961903061376</v>
      </c>
      <c r="AA15" s="381">
        <f t="shared" ref="AA15:AA78" si="13">Wh_hp*(1-Pvg_s*MEDIAN((-Sdif+Wh/Env_an)/Csdif,0,1))</f>
        <v>99.941221356337223</v>
      </c>
      <c r="AB15" s="193">
        <f t="shared" ref="AB15:AB78" si="14">t</f>
        <v>44562</v>
      </c>
      <c r="AC15" s="446">
        <f t="shared" ref="AC15:AC78" si="15">IF(t&lt;T0,0,IF(OR(t&lt;Tnet,NoTnet),Salim_i*(1-EXP((T0-t)/Tau_ij)),Resal_s+(Salim-Resal_s)*(1-EXP((Tnet_s-t)/Tau_j))))*Salcycl</f>
        <v>9.4781656699833641E-3</v>
      </c>
      <c r="AD15" s="298">
        <f>(INDEX(Models!$BJ15:$BT15,,AH15)*(1-AF15)+INDEX(Models!$BJ15:$BT15,,AH15+1)*AF15-ERP_i)*AE15*Ramure*Pc/MaxiM</f>
        <v>1.2784121479255911E-9</v>
      </c>
      <c r="AE15" s="299">
        <f t="shared" ref="AE15:AE78" si="16">Dd+PousD*Croivg</f>
        <v>0.5</v>
      </c>
      <c r="AF15" s="300">
        <f t="shared" ref="AF15:AF78" si="17">(Hp_vg_s-AG15)/(INDEX(Echel_vg,AH15+1)-AG15)</f>
        <v>0.98953042155086179</v>
      </c>
      <c r="AG15" s="800">
        <f>INDEX(Echel_vg,AH15)</f>
        <v>-1</v>
      </c>
      <c r="AH15" s="245">
        <f t="shared" ref="AH15:AH78" si="18">MIN(MATCH(Hp_vg_s,Echel_vg),10)</f>
        <v>5</v>
      </c>
      <c r="AI15" s="220">
        <f t="shared" ref="AI15:AI78" si="19">Hdd+PousH*Croivg</f>
        <v>-1.0469578449138236E-2</v>
      </c>
      <c r="AJ15" s="261" t="b">
        <f t="shared" ref="AJ15:AJ78" si="20">t&lt;Tnet</f>
        <v>0</v>
      </c>
      <c r="AK15" s="261" t="b">
        <f t="shared" ref="AK15:AK78" si="21">t&lt;Ttai</f>
        <v>0</v>
      </c>
      <c r="AL15" s="261"/>
      <c r="AM15" s="261"/>
      <c r="AN15" s="75"/>
      <c r="AV15" s="153">
        <f>DATE(An-1,1,1)</f>
        <v>44197</v>
      </c>
      <c r="AW15" s="610"/>
      <c r="AX15" s="844"/>
      <c r="AY15" s="388"/>
      <c r="AZ15" s="380"/>
      <c r="BA15" s="380"/>
      <c r="BB15" s="110"/>
      <c r="BD15" s="374"/>
      <c r="BE15" s="84"/>
      <c r="BF15" s="193">
        <f t="shared" ref="BF15:BF78" si="22">t</f>
        <v>44562</v>
      </c>
      <c r="BG15" s="430"/>
      <c r="BH15" s="846"/>
      <c r="BI15" s="846"/>
      <c r="BJ15" s="320"/>
      <c r="BK15" s="377"/>
    </row>
    <row r="16" spans="1:63" s="6" customFormat="1" ht="11.25" customHeight="1" x14ac:dyDescent="0.2">
      <c r="A16" s="56">
        <f t="shared" ref="A16:A79" si="23">A15+1</f>
        <v>44563</v>
      </c>
      <c r="B16" s="608">
        <v>71.480999999999995</v>
      </c>
      <c r="C16" s="385"/>
      <c r="D16" s="388">
        <f t="shared" si="0"/>
        <v>72.388703304035033</v>
      </c>
      <c r="E16" s="380">
        <f t="shared" si="1"/>
        <v>73.086105542076027</v>
      </c>
      <c r="F16" s="380">
        <f t="shared" si="2"/>
        <v>73.086107014148709</v>
      </c>
      <c r="G16" s="110">
        <f t="shared" si="3"/>
        <v>0.72766533034624481</v>
      </c>
      <c r="I16" s="375">
        <f t="shared" si="4"/>
        <v>73.086107014148709</v>
      </c>
      <c r="J16" s="85">
        <v>2022</v>
      </c>
      <c r="K16" s="193">
        <f t="shared" si="5"/>
        <v>44563</v>
      </c>
      <c r="L16" s="430">
        <f t="shared" si="6"/>
        <v>1.2539294981188664E-2</v>
      </c>
      <c r="M16" s="846"/>
      <c r="N16" s="846"/>
      <c r="O16" s="320">
        <f t="shared" si="7"/>
        <v>9.5422000237718983E-3</v>
      </c>
      <c r="P16" s="165">
        <f>(INDEX(Models!$BJ16:$BT16,,T16)*(1-R16)+INDEX(Models!$BJ16:$BT16,,T16+1)*R16-ERP_i)*Q16*Ramure*Pc/MaxiM</f>
        <v>3.2967681920377492E-8</v>
      </c>
      <c r="Q16" s="301">
        <f t="shared" ref="Q16:Q78" si="24">IF(OR(t&lt;Ttai,Notai),Dd+PousD*Croivg,Dens+PousD*(Croivg-Croi_tai))</f>
        <v>0.5</v>
      </c>
      <c r="R16" s="173">
        <f t="shared" si="8"/>
        <v>0.98955963616485598</v>
      </c>
      <c r="S16" s="801">
        <f t="shared" ref="S16:S79" si="25">INDEX(Echel_vg,T16)</f>
        <v>-1</v>
      </c>
      <c r="T16" s="172">
        <f t="shared" ref="T16:T78" si="26">MIN(MATCH(Hp_vg,Echel_vg),10)</f>
        <v>5</v>
      </c>
      <c r="U16" s="247">
        <f t="shared" ref="U16:U78" si="27">IF(OR(t&lt;Ttai,Notai),Hdd+PousH*Croivg,Hdtf+PousH*(Croivg-Croi_tai))</f>
        <v>-1.0440363835143997E-2</v>
      </c>
      <c r="V16" s="378">
        <f t="shared" si="9"/>
        <v>98.233344509030758</v>
      </c>
      <c r="W16" s="397"/>
      <c r="X16" s="153">
        <f t="shared" si="10"/>
        <v>44563</v>
      </c>
      <c r="Y16" s="380">
        <f t="shared" si="11"/>
        <v>71.480999999999995</v>
      </c>
      <c r="Z16" s="380">
        <f t="shared" si="12"/>
        <v>72.388703304035033</v>
      </c>
      <c r="AA16" s="381">
        <f t="shared" si="13"/>
        <v>73.086105542076027</v>
      </c>
      <c r="AB16" s="193">
        <f t="shared" si="14"/>
        <v>44563</v>
      </c>
      <c r="AC16" s="420">
        <f t="shared" si="15"/>
        <v>9.5422000237718983E-3</v>
      </c>
      <c r="AD16" s="165">
        <f>(INDEX(Models!$BJ16:$BT16,,AH16)*(1-AF16)+INDEX(Models!$BJ16:$BT16,,AH16+1)*AF16-ERP_i)*AE16*Ramure*Pc/MaxiM</f>
        <v>3.2967681920377492E-8</v>
      </c>
      <c r="AE16" s="301">
        <f t="shared" si="16"/>
        <v>0.5</v>
      </c>
      <c r="AF16" s="173">
        <f t="shared" si="17"/>
        <v>0.98955963616485598</v>
      </c>
      <c r="AG16" s="801">
        <f t="shared" ref="AG16:AG78" si="28">INDEX(Echel_vg,AH16)</f>
        <v>-1</v>
      </c>
      <c r="AH16" s="172">
        <f t="shared" si="18"/>
        <v>5</v>
      </c>
      <c r="AI16" s="221">
        <f t="shared" si="19"/>
        <v>-1.0440363835143997E-2</v>
      </c>
      <c r="AJ16" s="261" t="b">
        <f t="shared" si="20"/>
        <v>0</v>
      </c>
      <c r="AK16" s="261" t="b">
        <f t="shared" si="21"/>
        <v>0</v>
      </c>
      <c r="AL16" s="261"/>
      <c r="AM16" s="261"/>
      <c r="AN16" s="75"/>
      <c r="AV16" s="153">
        <f t="shared" ref="AV16:AV79" si="29">AV15+1</f>
        <v>44198</v>
      </c>
      <c r="AW16" s="608"/>
      <c r="AX16" s="385"/>
      <c r="AY16" s="388"/>
      <c r="AZ16" s="380"/>
      <c r="BA16" s="380"/>
      <c r="BB16" s="110"/>
      <c r="BD16" s="375"/>
      <c r="BE16" s="85"/>
      <c r="BF16" s="193">
        <f t="shared" si="22"/>
        <v>44563</v>
      </c>
      <c r="BG16" s="430"/>
      <c r="BH16" s="846"/>
      <c r="BI16" s="846"/>
      <c r="BJ16" s="320"/>
      <c r="BK16" s="378"/>
    </row>
    <row r="17" spans="1:63" s="6" customFormat="1" ht="11.25" customHeight="1" x14ac:dyDescent="0.2">
      <c r="A17" s="56">
        <f t="shared" si="23"/>
        <v>44564</v>
      </c>
      <c r="B17" s="608">
        <v>74.441000000000003</v>
      </c>
      <c r="C17" s="385"/>
      <c r="D17" s="388">
        <f t="shared" si="0"/>
        <v>75.387334046947117</v>
      </c>
      <c r="E17" s="380">
        <f t="shared" si="1"/>
        <v>76.118543392922689</v>
      </c>
      <c r="F17" s="380">
        <f t="shared" si="2"/>
        <v>76.118546681586153</v>
      </c>
      <c r="G17" s="110">
        <f t="shared" si="3"/>
        <v>0.75296374972317093</v>
      </c>
      <c r="I17" s="375">
        <f t="shared" si="4"/>
        <v>76.118546681586153</v>
      </c>
      <c r="J17" s="85">
        <v>2022</v>
      </c>
      <c r="K17" s="193">
        <f t="shared" si="5"/>
        <v>44564</v>
      </c>
      <c r="L17" s="430">
        <f t="shared" si="6"/>
        <v>1.255295811837287E-2</v>
      </c>
      <c r="M17" s="846"/>
      <c r="N17" s="846"/>
      <c r="O17" s="320">
        <f t="shared" si="7"/>
        <v>9.6061920444414639E-3</v>
      </c>
      <c r="P17" s="165">
        <f>(INDEX(Models!$BJ17:$BT17,,T17)*(1-R17)+INDEX(Models!$BJ17:$BT17,,T17+1)*R17-ERP_i)*Q17*Ramure*Pc/MaxiM</f>
        <v>6.6767255123018278E-8</v>
      </c>
      <c r="Q17" s="301">
        <f t="shared" si="24"/>
        <v>0.5</v>
      </c>
      <c r="R17" s="173">
        <f t="shared" si="8"/>
        <v>0.98959007276034561</v>
      </c>
      <c r="S17" s="801">
        <f t="shared" si="25"/>
        <v>-1</v>
      </c>
      <c r="T17" s="172">
        <f t="shared" si="26"/>
        <v>5</v>
      </c>
      <c r="U17" s="247">
        <f t="shared" si="27"/>
        <v>-1.0409927239654415E-2</v>
      </c>
      <c r="V17" s="378">
        <f t="shared" si="9"/>
        <v>98.863986843102367</v>
      </c>
      <c r="W17" s="397"/>
      <c r="X17" s="153">
        <f t="shared" si="10"/>
        <v>44564</v>
      </c>
      <c r="Y17" s="380">
        <f t="shared" si="11"/>
        <v>74.441000000000003</v>
      </c>
      <c r="Z17" s="380">
        <f t="shared" si="12"/>
        <v>75.387334046947117</v>
      </c>
      <c r="AA17" s="381">
        <f t="shared" si="13"/>
        <v>76.118543392922689</v>
      </c>
      <c r="AB17" s="193">
        <f t="shared" si="14"/>
        <v>44564</v>
      </c>
      <c r="AC17" s="420">
        <f t="shared" si="15"/>
        <v>9.6061920444414639E-3</v>
      </c>
      <c r="AD17" s="165">
        <f>(INDEX(Models!$BJ17:$BT17,,AH17)*(1-AF17)+INDEX(Models!$BJ17:$BT17,,AH17+1)*AF17-ERP_i)*AE17*Ramure*Pc/MaxiM</f>
        <v>6.6767255123018278E-8</v>
      </c>
      <c r="AE17" s="301">
        <f t="shared" si="16"/>
        <v>0.5</v>
      </c>
      <c r="AF17" s="173">
        <f t="shared" si="17"/>
        <v>0.98959007276034561</v>
      </c>
      <c r="AG17" s="801">
        <f t="shared" si="28"/>
        <v>-1</v>
      </c>
      <c r="AH17" s="172">
        <f t="shared" si="18"/>
        <v>5</v>
      </c>
      <c r="AI17" s="221">
        <f t="shared" si="19"/>
        <v>-1.0409927239654415E-2</v>
      </c>
      <c r="AJ17" s="261" t="b">
        <f t="shared" si="20"/>
        <v>0</v>
      </c>
      <c r="AK17" s="261" t="b">
        <f t="shared" si="21"/>
        <v>0</v>
      </c>
      <c r="AL17" s="261"/>
      <c r="AM17" s="261"/>
      <c r="AN17" s="75"/>
      <c r="AV17" s="153">
        <f t="shared" si="29"/>
        <v>44199</v>
      </c>
      <c r="AW17" s="608"/>
      <c r="AX17" s="385"/>
      <c r="AY17" s="388"/>
      <c r="AZ17" s="380"/>
      <c r="BA17" s="380"/>
      <c r="BB17" s="110"/>
      <c r="BD17" s="375"/>
      <c r="BE17" s="85"/>
      <c r="BF17" s="193">
        <f t="shared" si="22"/>
        <v>44564</v>
      </c>
      <c r="BG17" s="430"/>
      <c r="BH17" s="846"/>
      <c r="BI17" s="846"/>
      <c r="BJ17" s="320"/>
      <c r="BK17" s="378"/>
    </row>
    <row r="18" spans="1:63" s="6" customFormat="1" ht="11.25" customHeight="1" x14ac:dyDescent="0.2">
      <c r="A18" s="56">
        <f t="shared" si="23"/>
        <v>44565</v>
      </c>
      <c r="B18" s="608">
        <v>79.945999999999998</v>
      </c>
      <c r="C18" s="385"/>
      <c r="D18" s="388">
        <f t="shared" si="0"/>
        <v>80.963436831061017</v>
      </c>
      <c r="E18" s="380">
        <f t="shared" si="1"/>
        <v>81.754009545961935</v>
      </c>
      <c r="F18" s="380">
        <f t="shared" si="2"/>
        <v>81.754015578877613</v>
      </c>
      <c r="G18" s="110">
        <f t="shared" si="3"/>
        <v>0.80324970708318344</v>
      </c>
      <c r="I18" s="375">
        <f t="shared" si="4"/>
        <v>81.754015578877613</v>
      </c>
      <c r="J18" s="85">
        <v>2022</v>
      </c>
      <c r="K18" s="193">
        <f t="shared" si="5"/>
        <v>44565</v>
      </c>
      <c r="L18" s="430">
        <f t="shared" si="6"/>
        <v>1.2566621068520245E-2</v>
      </c>
      <c r="M18" s="846"/>
      <c r="N18" s="846"/>
      <c r="O18" s="320">
        <f t="shared" si="7"/>
        <v>9.6701399636731789E-3</v>
      </c>
      <c r="P18" s="165">
        <f>(INDEX(Models!$BJ18:$BT18,,T18)*(1-R18)+INDEX(Models!$BJ18:$BT18,,T18+1)*R18-ERP_i)*Q18*Ramure*Pc/MaxiM</f>
        <v>1.026437831990738E-7</v>
      </c>
      <c r="Q18" s="301">
        <f t="shared" si="24"/>
        <v>0.5</v>
      </c>
      <c r="R18" s="173">
        <f t="shared" si="8"/>
        <v>0.98962178229164066</v>
      </c>
      <c r="S18" s="801">
        <f t="shared" si="25"/>
        <v>-1</v>
      </c>
      <c r="T18" s="172">
        <f t="shared" si="26"/>
        <v>5</v>
      </c>
      <c r="U18" s="247">
        <f t="shared" si="27"/>
        <v>-1.0378217708359295E-2</v>
      </c>
      <c r="V18" s="378">
        <f t="shared" si="9"/>
        <v>99.528200245277759</v>
      </c>
      <c r="W18" s="397"/>
      <c r="X18" s="153">
        <f t="shared" si="10"/>
        <v>44565</v>
      </c>
      <c r="Y18" s="380">
        <f t="shared" si="11"/>
        <v>79.945999999999998</v>
      </c>
      <c r="Z18" s="380">
        <f t="shared" si="12"/>
        <v>80.963436831061017</v>
      </c>
      <c r="AA18" s="381">
        <f t="shared" si="13"/>
        <v>81.754009545961935</v>
      </c>
      <c r="AB18" s="193">
        <f t="shared" si="14"/>
        <v>44565</v>
      </c>
      <c r="AC18" s="420">
        <f t="shared" si="15"/>
        <v>9.6701399636731789E-3</v>
      </c>
      <c r="AD18" s="165">
        <f>(INDEX(Models!$BJ18:$BT18,,AH18)*(1-AF18)+INDEX(Models!$BJ18:$BT18,,AH18+1)*AF18-ERP_i)*AE18*Ramure*Pc/MaxiM</f>
        <v>1.026437831990738E-7</v>
      </c>
      <c r="AE18" s="301">
        <f t="shared" si="16"/>
        <v>0.5</v>
      </c>
      <c r="AF18" s="173">
        <f t="shared" si="17"/>
        <v>0.98962178229164066</v>
      </c>
      <c r="AG18" s="801">
        <f t="shared" si="28"/>
        <v>-1</v>
      </c>
      <c r="AH18" s="172">
        <f t="shared" si="18"/>
        <v>5</v>
      </c>
      <c r="AI18" s="221">
        <f t="shared" si="19"/>
        <v>-1.0378217708359295E-2</v>
      </c>
      <c r="AJ18" s="261" t="b">
        <f t="shared" si="20"/>
        <v>0</v>
      </c>
      <c r="AK18" s="261" t="b">
        <f t="shared" si="21"/>
        <v>0</v>
      </c>
      <c r="AL18" s="261"/>
      <c r="AM18" s="261"/>
      <c r="AN18" s="75"/>
      <c r="AV18" s="153">
        <f t="shared" si="29"/>
        <v>44200</v>
      </c>
      <c r="AW18" s="608"/>
      <c r="AX18" s="385"/>
      <c r="AY18" s="388"/>
      <c r="AZ18" s="380"/>
      <c r="BA18" s="380"/>
      <c r="BB18" s="110"/>
      <c r="BD18" s="375"/>
      <c r="BE18" s="85"/>
      <c r="BF18" s="193">
        <f t="shared" si="22"/>
        <v>44565</v>
      </c>
      <c r="BG18" s="430"/>
      <c r="BH18" s="846"/>
      <c r="BI18" s="846"/>
      <c r="BJ18" s="320"/>
      <c r="BK18" s="378"/>
    </row>
    <row r="19" spans="1:63" s="6" customFormat="1" ht="11.25" customHeight="1" x14ac:dyDescent="0.2">
      <c r="A19" s="56">
        <f t="shared" si="23"/>
        <v>44566</v>
      </c>
      <c r="B19" s="608">
        <v>60.113</v>
      </c>
      <c r="C19" s="385"/>
      <c r="D19" s="388">
        <f t="shared" si="0"/>
        <v>60.878873508081767</v>
      </c>
      <c r="E19" s="380">
        <f t="shared" si="1"/>
        <v>61.477296105544788</v>
      </c>
      <c r="F19" s="380">
        <f t="shared" si="2"/>
        <v>61.477299806338095</v>
      </c>
      <c r="G19" s="110">
        <f t="shared" si="3"/>
        <v>0.59978572319738221</v>
      </c>
      <c r="I19" s="375">
        <f t="shared" si="4"/>
        <v>61.477299806338095</v>
      </c>
      <c r="J19" s="85">
        <v>2022</v>
      </c>
      <c r="K19" s="193">
        <f t="shared" si="5"/>
        <v>44566</v>
      </c>
      <c r="L19" s="430">
        <f t="shared" si="6"/>
        <v>1.2580283831633232E-2</v>
      </c>
      <c r="M19" s="846"/>
      <c r="N19" s="846"/>
      <c r="O19" s="320">
        <f t="shared" si="7"/>
        <v>9.734042246029204E-3</v>
      </c>
      <c r="P19" s="165">
        <f>(INDEX(Models!$BJ19:$BT19,,T19)*(1-R19)+INDEX(Models!$BJ19:$BT19,,T19+1)*R19-ERP_i)*Q19*Ramure*Pc/MaxiM</f>
        <v>1.4056172235421781E-7</v>
      </c>
      <c r="Q19" s="301">
        <f t="shared" si="24"/>
        <v>0.5</v>
      </c>
      <c r="R19" s="173">
        <f t="shared" si="8"/>
        <v>0.98965481782420239</v>
      </c>
      <c r="S19" s="801">
        <f t="shared" si="25"/>
        <v>-1</v>
      </c>
      <c r="T19" s="172">
        <f t="shared" si="26"/>
        <v>5</v>
      </c>
      <c r="U19" s="247">
        <f t="shared" si="27"/>
        <v>-1.0345182175797628E-2</v>
      </c>
      <c r="V19" s="378">
        <f t="shared" si="9"/>
        <v>100.22411812109105</v>
      </c>
      <c r="W19" s="397"/>
      <c r="X19" s="153">
        <f t="shared" si="10"/>
        <v>44566</v>
      </c>
      <c r="Y19" s="380">
        <f t="shared" si="11"/>
        <v>60.113</v>
      </c>
      <c r="Z19" s="380">
        <f t="shared" si="12"/>
        <v>60.878873508081767</v>
      </c>
      <c r="AA19" s="381">
        <f t="shared" si="13"/>
        <v>61.477296105544788</v>
      </c>
      <c r="AB19" s="193">
        <f t="shared" si="14"/>
        <v>44566</v>
      </c>
      <c r="AC19" s="420">
        <f t="shared" si="15"/>
        <v>9.734042246029204E-3</v>
      </c>
      <c r="AD19" s="165">
        <f>(INDEX(Models!$BJ19:$BT19,,AH19)*(1-AF19)+INDEX(Models!$BJ19:$BT19,,AH19+1)*AF19-ERP_i)*AE19*Ramure*Pc/MaxiM</f>
        <v>1.4056172235421781E-7</v>
      </c>
      <c r="AE19" s="301">
        <f t="shared" si="16"/>
        <v>0.5</v>
      </c>
      <c r="AF19" s="173">
        <f t="shared" si="17"/>
        <v>0.98965481782420239</v>
      </c>
      <c r="AG19" s="801">
        <f t="shared" si="28"/>
        <v>-1</v>
      </c>
      <c r="AH19" s="172">
        <f t="shared" si="18"/>
        <v>5</v>
      </c>
      <c r="AI19" s="221">
        <f t="shared" si="19"/>
        <v>-1.0345182175797628E-2</v>
      </c>
      <c r="AJ19" s="261" t="b">
        <f t="shared" si="20"/>
        <v>0</v>
      </c>
      <c r="AK19" s="261" t="b">
        <f t="shared" si="21"/>
        <v>0</v>
      </c>
      <c r="AL19" s="261"/>
      <c r="AM19" s="261"/>
      <c r="AN19" s="75"/>
      <c r="AV19" s="153">
        <f t="shared" si="29"/>
        <v>44201</v>
      </c>
      <c r="AW19" s="608"/>
      <c r="AX19" s="385"/>
      <c r="AY19" s="388"/>
      <c r="AZ19" s="380"/>
      <c r="BA19" s="380"/>
      <c r="BB19" s="110"/>
      <c r="BD19" s="375"/>
      <c r="BE19" s="85"/>
      <c r="BF19" s="193">
        <f t="shared" si="22"/>
        <v>44566</v>
      </c>
      <c r="BG19" s="430"/>
      <c r="BH19" s="846"/>
      <c r="BI19" s="846"/>
      <c r="BJ19" s="320"/>
      <c r="BK19" s="378"/>
    </row>
    <row r="20" spans="1:63" s="6" customFormat="1" ht="11.25" customHeight="1" x14ac:dyDescent="0.2">
      <c r="A20" s="56">
        <f t="shared" si="23"/>
        <v>44567</v>
      </c>
      <c r="B20" s="608">
        <v>102.965</v>
      </c>
      <c r="C20" s="385"/>
      <c r="D20" s="388">
        <f t="shared" si="0"/>
        <v>104.27827500692615</v>
      </c>
      <c r="E20" s="380">
        <f t="shared" si="1"/>
        <v>105.31009250843198</v>
      </c>
      <c r="F20" s="380">
        <f t="shared" si="2"/>
        <v>105.31011151518356</v>
      </c>
      <c r="G20" s="110">
        <f t="shared" si="3"/>
        <v>1.0199616450883788</v>
      </c>
      <c r="I20" s="375">
        <f t="shared" si="4"/>
        <v>105.31011151518356</v>
      </c>
      <c r="J20" s="85">
        <v>2022</v>
      </c>
      <c r="K20" s="193">
        <f t="shared" si="5"/>
        <v>44567</v>
      </c>
      <c r="L20" s="430">
        <f t="shared" si="6"/>
        <v>1.2593946407714496E-2</v>
      </c>
      <c r="M20" s="846"/>
      <c r="N20" s="846"/>
      <c r="O20" s="320">
        <f t="shared" si="7"/>
        <v>9.7978975891908539E-3</v>
      </c>
      <c r="P20" s="165">
        <f>(INDEX(Models!$BJ20:$BT20,,T20)*(1-R20)+INDEX(Models!$BJ20:$BT20,,T20+1)*R20-ERP_i)*Q20*Ramure*Pc/MaxiM</f>
        <v>1.8048363370003801E-7</v>
      </c>
      <c r="Q20" s="301">
        <f t="shared" si="24"/>
        <v>0.5</v>
      </c>
      <c r="R20" s="173">
        <f t="shared" si="8"/>
        <v>0.98968923462095304</v>
      </c>
      <c r="S20" s="801">
        <f t="shared" si="25"/>
        <v>-1</v>
      </c>
      <c r="T20" s="172">
        <f t="shared" si="26"/>
        <v>5</v>
      </c>
      <c r="U20" s="247">
        <f t="shared" si="27"/>
        <v>-1.0310765379046917E-2</v>
      </c>
      <c r="V20" s="378">
        <f t="shared" si="9"/>
        <v>100.94987443481581</v>
      </c>
      <c r="W20" s="397"/>
      <c r="X20" s="153">
        <f t="shared" si="10"/>
        <v>44567</v>
      </c>
      <c r="Y20" s="380">
        <f t="shared" si="11"/>
        <v>102.965</v>
      </c>
      <c r="Z20" s="380">
        <f t="shared" si="12"/>
        <v>104.27827500692615</v>
      </c>
      <c r="AA20" s="381">
        <f t="shared" si="13"/>
        <v>105.31009250843198</v>
      </c>
      <c r="AB20" s="193">
        <f t="shared" si="14"/>
        <v>44567</v>
      </c>
      <c r="AC20" s="420">
        <f t="shared" si="15"/>
        <v>9.7978975891908539E-3</v>
      </c>
      <c r="AD20" s="165">
        <f>(INDEX(Models!$BJ20:$BT20,,AH20)*(1-AF20)+INDEX(Models!$BJ20:$BT20,,AH20+1)*AF20-ERP_i)*AE20*Ramure*Pc/MaxiM</f>
        <v>1.8048363370003801E-7</v>
      </c>
      <c r="AE20" s="301">
        <f t="shared" si="16"/>
        <v>0.5</v>
      </c>
      <c r="AF20" s="173">
        <f t="shared" si="17"/>
        <v>0.98968923462095304</v>
      </c>
      <c r="AG20" s="801">
        <f t="shared" si="28"/>
        <v>-1</v>
      </c>
      <c r="AH20" s="172">
        <f t="shared" si="18"/>
        <v>5</v>
      </c>
      <c r="AI20" s="221">
        <f t="shared" si="19"/>
        <v>-1.0310765379046917E-2</v>
      </c>
      <c r="AJ20" s="261" t="b">
        <f t="shared" si="20"/>
        <v>0</v>
      </c>
      <c r="AK20" s="261" t="b">
        <f t="shared" si="21"/>
        <v>0</v>
      </c>
      <c r="AL20" s="261"/>
      <c r="AM20" s="261"/>
      <c r="AN20" s="75"/>
      <c r="AV20" s="153">
        <f t="shared" si="29"/>
        <v>44202</v>
      </c>
      <c r="AW20" s="608"/>
      <c r="AX20" s="385"/>
      <c r="AY20" s="388"/>
      <c r="AZ20" s="380"/>
      <c r="BA20" s="380"/>
      <c r="BB20" s="110"/>
      <c r="BD20" s="375"/>
      <c r="BE20" s="85"/>
      <c r="BF20" s="193">
        <f t="shared" si="22"/>
        <v>44567</v>
      </c>
      <c r="BG20" s="430"/>
      <c r="BH20" s="846"/>
      <c r="BI20" s="846"/>
      <c r="BJ20" s="320"/>
      <c r="BK20" s="378"/>
    </row>
    <row r="21" spans="1:63" s="6" customFormat="1" ht="11.25" customHeight="1" x14ac:dyDescent="0.2">
      <c r="A21" s="56">
        <f t="shared" si="23"/>
        <v>44568</v>
      </c>
      <c r="B21" s="608">
        <v>38.950000000000003</v>
      </c>
      <c r="C21" s="385"/>
      <c r="D21" s="388">
        <f t="shared" ref="D21:D79" si="30">Wh/(1-Ppv)</f>
        <v>39.447336587773023</v>
      </c>
      <c r="E21" s="380">
        <f t="shared" ref="E21:E79" si="31">Wh_pvt/(1-Psa)</f>
        <v>39.840229171875947</v>
      </c>
      <c r="F21" s="380">
        <f t="shared" ref="F21:F79" si="32">Wh_sa/(1-Pvg*MEDIAN((-Sdif+Wh/Env_an)/Csdif,0,1))</f>
        <v>39.840230222025987</v>
      </c>
      <c r="G21" s="110">
        <f t="shared" ref="G21:G79" si="33">+Wh_hp/MaxiM</f>
        <v>0.38297553809936818</v>
      </c>
      <c r="I21" s="375">
        <f t="shared" si="4"/>
        <v>39.840230222025987</v>
      </c>
      <c r="J21" s="85">
        <v>2022</v>
      </c>
      <c r="K21" s="193">
        <f t="shared" si="5"/>
        <v>44568</v>
      </c>
      <c r="L21" s="430">
        <f t="shared" si="6"/>
        <v>1.260760879676659E-2</v>
      </c>
      <c r="M21" s="846"/>
      <c r="N21" s="846"/>
      <c r="O21" s="320">
        <f t="shared" si="7"/>
        <v>9.8617049216241891E-3</v>
      </c>
      <c r="P21" s="165">
        <f>(INDEX(Models!$BJ21:$BT21,,T21)*(1-R21)+INDEX(Models!$BJ21:$BT21,,T21+1)*R21-ERP_i)*Q21*Ramure*Pc/MaxiM</f>
        <v>2.2237045536105855E-7</v>
      </c>
      <c r="Q21" s="301">
        <f t="shared" si="24"/>
        <v>0.5</v>
      </c>
      <c r="R21" s="173">
        <f t="shared" si="8"/>
        <v>0.98972509023201627</v>
      </c>
      <c r="S21" s="801">
        <f t="shared" si="25"/>
        <v>-1</v>
      </c>
      <c r="T21" s="172">
        <f t="shared" si="26"/>
        <v>5</v>
      </c>
      <c r="U21" s="247">
        <f t="shared" si="27"/>
        <v>-1.0274909767983733E-2</v>
      </c>
      <c r="V21" s="378">
        <f t="shared" si="9"/>
        <v>101.70360373055706</v>
      </c>
      <c r="W21" s="397"/>
      <c r="X21" s="153">
        <f t="shared" si="10"/>
        <v>44568</v>
      </c>
      <c r="Y21" s="380">
        <f t="shared" si="11"/>
        <v>38.950000000000003</v>
      </c>
      <c r="Z21" s="380">
        <f t="shared" si="12"/>
        <v>39.447336587773023</v>
      </c>
      <c r="AA21" s="381">
        <f t="shared" si="13"/>
        <v>39.840229171875947</v>
      </c>
      <c r="AB21" s="193">
        <f t="shared" si="14"/>
        <v>44568</v>
      </c>
      <c r="AC21" s="420">
        <f t="shared" si="15"/>
        <v>9.8617049216241891E-3</v>
      </c>
      <c r="AD21" s="165">
        <f>(INDEX(Models!$BJ21:$BT21,,AH21)*(1-AF21)+INDEX(Models!$BJ21:$BT21,,AH21+1)*AF21-ERP_i)*AE21*Ramure*Pc/MaxiM</f>
        <v>2.2237045536105855E-7</v>
      </c>
      <c r="AE21" s="301">
        <f t="shared" si="16"/>
        <v>0.5</v>
      </c>
      <c r="AF21" s="173">
        <f t="shared" si="17"/>
        <v>0.98972509023201627</v>
      </c>
      <c r="AG21" s="801">
        <f t="shared" si="28"/>
        <v>-1</v>
      </c>
      <c r="AH21" s="172">
        <f t="shared" si="18"/>
        <v>5</v>
      </c>
      <c r="AI21" s="221">
        <f t="shared" si="19"/>
        <v>-1.0274909767983733E-2</v>
      </c>
      <c r="AJ21" s="261" t="b">
        <f t="shared" si="20"/>
        <v>0</v>
      </c>
      <c r="AK21" s="261" t="b">
        <f t="shared" si="21"/>
        <v>0</v>
      </c>
      <c r="AL21" s="261"/>
      <c r="AM21" s="261"/>
      <c r="AN21" s="75"/>
      <c r="AV21" s="153">
        <f t="shared" si="29"/>
        <v>44203</v>
      </c>
      <c r="AW21" s="608"/>
      <c r="AX21" s="385"/>
      <c r="AY21" s="388"/>
      <c r="AZ21" s="380"/>
      <c r="BA21" s="380"/>
      <c r="BB21" s="110"/>
      <c r="BD21" s="375"/>
      <c r="BE21" s="85"/>
      <c r="BF21" s="193">
        <f t="shared" si="22"/>
        <v>44568</v>
      </c>
      <c r="BG21" s="430"/>
      <c r="BH21" s="846"/>
      <c r="BI21" s="846"/>
      <c r="BJ21" s="320"/>
      <c r="BK21" s="378"/>
    </row>
    <row r="22" spans="1:63" s="6" customFormat="1" ht="11.25" customHeight="1" x14ac:dyDescent="0.2">
      <c r="A22" s="56">
        <f t="shared" si="23"/>
        <v>44569</v>
      </c>
      <c r="B22" s="608">
        <v>26.077999999999999</v>
      </c>
      <c r="C22" s="385"/>
      <c r="D22" s="388">
        <f t="shared" si="30"/>
        <v>26.411344739398469</v>
      </c>
      <c r="E22" s="380">
        <f t="shared" si="31"/>
        <v>26.676117567913273</v>
      </c>
      <c r="F22" s="380">
        <f t="shared" si="32"/>
        <v>26.676117567913273</v>
      </c>
      <c r="G22" s="110">
        <f t="shared" si="33"/>
        <v>0.25446055257436162</v>
      </c>
      <c r="I22" s="375">
        <f t="shared" si="4"/>
        <v>26.676117567913273</v>
      </c>
      <c r="J22" s="85">
        <v>2022</v>
      </c>
      <c r="K22" s="193">
        <f t="shared" si="5"/>
        <v>44569</v>
      </c>
      <c r="L22" s="430">
        <f t="shared" si="6"/>
        <v>1.2621270998792067E-2</v>
      </c>
      <c r="M22" s="846"/>
      <c r="N22" s="846"/>
      <c r="O22" s="320">
        <f t="shared" si="7"/>
        <v>9.925463397765278E-3</v>
      </c>
      <c r="P22" s="165">
        <f>(INDEX(Models!$BJ22:$BT22,,T22)*(1-R22)+INDEX(Models!$BJ22:$BT22,,T22+1)*R22-ERP_i)*Q22*Ramure*Pc/MaxiM</f>
        <v>2.6618174295093073E-7</v>
      </c>
      <c r="Q22" s="301">
        <f t="shared" si="24"/>
        <v>0.5</v>
      </c>
      <c r="R22" s="173">
        <f t="shared" si="8"/>
        <v>0.98976244458801343</v>
      </c>
      <c r="S22" s="801">
        <f t="shared" si="25"/>
        <v>-1</v>
      </c>
      <c r="T22" s="172">
        <f t="shared" si="26"/>
        <v>5</v>
      </c>
      <c r="U22" s="247">
        <f t="shared" si="27"/>
        <v>-1.0237555411986581E-2</v>
      </c>
      <c r="V22" s="378">
        <f t="shared" si="9"/>
        <v>102.48344112548318</v>
      </c>
      <c r="W22" s="397"/>
      <c r="X22" s="153">
        <f t="shared" si="10"/>
        <v>44569</v>
      </c>
      <c r="Y22" s="380">
        <f t="shared" si="11"/>
        <v>26.077999999999999</v>
      </c>
      <c r="Z22" s="380">
        <f t="shared" si="12"/>
        <v>26.411344739398469</v>
      </c>
      <c r="AA22" s="381">
        <f t="shared" si="13"/>
        <v>26.676117567913273</v>
      </c>
      <c r="AB22" s="193">
        <f t="shared" si="14"/>
        <v>44569</v>
      </c>
      <c r="AC22" s="420">
        <f t="shared" si="15"/>
        <v>9.925463397765278E-3</v>
      </c>
      <c r="AD22" s="165">
        <f>(INDEX(Models!$BJ22:$BT22,,AH22)*(1-AF22)+INDEX(Models!$BJ22:$BT22,,AH22+1)*AF22-ERP_i)*AE22*Ramure*Pc/MaxiM</f>
        <v>2.6618174295093073E-7</v>
      </c>
      <c r="AE22" s="301">
        <f t="shared" si="16"/>
        <v>0.5</v>
      </c>
      <c r="AF22" s="173">
        <f t="shared" si="17"/>
        <v>0.98976244458801343</v>
      </c>
      <c r="AG22" s="801">
        <f t="shared" si="28"/>
        <v>-1</v>
      </c>
      <c r="AH22" s="172">
        <f t="shared" si="18"/>
        <v>5</v>
      </c>
      <c r="AI22" s="221">
        <f t="shared" si="19"/>
        <v>-1.0237555411986581E-2</v>
      </c>
      <c r="AJ22" s="261" t="b">
        <f t="shared" si="20"/>
        <v>0</v>
      </c>
      <c r="AK22" s="261" t="b">
        <f t="shared" si="21"/>
        <v>0</v>
      </c>
      <c r="AL22" s="261"/>
      <c r="AM22" s="261"/>
      <c r="AN22" s="75"/>
      <c r="AV22" s="153">
        <f t="shared" si="29"/>
        <v>44204</v>
      </c>
      <c r="AW22" s="608"/>
      <c r="AX22" s="385"/>
      <c r="AY22" s="388"/>
      <c r="AZ22" s="380"/>
      <c r="BA22" s="380"/>
      <c r="BB22" s="110"/>
      <c r="BD22" s="375"/>
      <c r="BE22" s="85"/>
      <c r="BF22" s="193">
        <f t="shared" si="22"/>
        <v>44569</v>
      </c>
      <c r="BG22" s="430"/>
      <c r="BH22" s="846"/>
      <c r="BI22" s="846"/>
      <c r="BJ22" s="320"/>
      <c r="BK22" s="378"/>
    </row>
    <row r="23" spans="1:63" s="6" customFormat="1" ht="11.25" customHeight="1" x14ac:dyDescent="0.2">
      <c r="A23" s="56">
        <f t="shared" si="23"/>
        <v>44570</v>
      </c>
      <c r="B23" s="608">
        <v>8.1419999999999995</v>
      </c>
      <c r="C23" s="385"/>
      <c r="D23" s="388">
        <f t="shared" si="30"/>
        <v>8.2461900590146584</v>
      </c>
      <c r="E23" s="380">
        <f t="shared" si="31"/>
        <v>8.3293938096908722</v>
      </c>
      <c r="F23" s="380">
        <f t="shared" si="32"/>
        <v>8.3293938096908722</v>
      </c>
      <c r="G23" s="110">
        <f t="shared" si="33"/>
        <v>7.8820629750537927E-2</v>
      </c>
      <c r="I23" s="375">
        <f t="shared" si="4"/>
        <v>8.3293938096908722</v>
      </c>
      <c r="J23" s="85">
        <v>2022</v>
      </c>
      <c r="K23" s="193">
        <f t="shared" si="5"/>
        <v>44570</v>
      </c>
      <c r="L23" s="430">
        <f t="shared" si="6"/>
        <v>1.263493301379337E-2</v>
      </c>
      <c r="M23" s="846"/>
      <c r="N23" s="846"/>
      <c r="O23" s="320">
        <f t="shared" si="7"/>
        <v>9.9891723908418079E-3</v>
      </c>
      <c r="P23" s="165">
        <f>(INDEX(Models!$BJ23:$BT23,,T23)*(1-R23)+INDEX(Models!$BJ23:$BT23,,T23+1)*R23-ERP_i)*Q23*Ramure*Pc/MaxiM</f>
        <v>3.118448520339244E-7</v>
      </c>
      <c r="Q23" s="301">
        <f t="shared" si="24"/>
        <v>0.5</v>
      </c>
      <c r="R23" s="173">
        <f t="shared" si="8"/>
        <v>0.98980136009704855</v>
      </c>
      <c r="S23" s="801">
        <f t="shared" si="25"/>
        <v>-1</v>
      </c>
      <c r="T23" s="172">
        <f t="shared" si="26"/>
        <v>5</v>
      </c>
      <c r="U23" s="247">
        <f t="shared" si="27"/>
        <v>-1.0198639902951464E-2</v>
      </c>
      <c r="V23" s="378">
        <f t="shared" si="9"/>
        <v>103.29779762897223</v>
      </c>
      <c r="W23" s="397"/>
      <c r="X23" s="153">
        <f t="shared" si="10"/>
        <v>44570</v>
      </c>
      <c r="Y23" s="380">
        <f t="shared" si="11"/>
        <v>8.1419999999999995</v>
      </c>
      <c r="Z23" s="380">
        <f t="shared" si="12"/>
        <v>8.2461900590146584</v>
      </c>
      <c r="AA23" s="381">
        <f t="shared" si="13"/>
        <v>8.3293938096908722</v>
      </c>
      <c r="AB23" s="193">
        <f t="shared" si="14"/>
        <v>44570</v>
      </c>
      <c r="AC23" s="420">
        <f t="shared" si="15"/>
        <v>9.9891723908418079E-3</v>
      </c>
      <c r="AD23" s="165">
        <f>(INDEX(Models!$BJ23:$BT23,,AH23)*(1-AF23)+INDEX(Models!$BJ23:$BT23,,AH23+1)*AF23-ERP_i)*AE23*Ramure*Pc/MaxiM</f>
        <v>3.118448520339244E-7</v>
      </c>
      <c r="AE23" s="301">
        <f t="shared" si="16"/>
        <v>0.5</v>
      </c>
      <c r="AF23" s="173">
        <f t="shared" si="17"/>
        <v>0.98980136009704855</v>
      </c>
      <c r="AG23" s="801">
        <f t="shared" si="28"/>
        <v>-1</v>
      </c>
      <c r="AH23" s="172">
        <f t="shared" si="18"/>
        <v>5</v>
      </c>
      <c r="AI23" s="221">
        <f t="shared" si="19"/>
        <v>-1.0198639902951464E-2</v>
      </c>
      <c r="AJ23" s="261" t="b">
        <f t="shared" si="20"/>
        <v>0</v>
      </c>
      <c r="AK23" s="261" t="b">
        <f t="shared" si="21"/>
        <v>0</v>
      </c>
      <c r="AL23" s="261"/>
      <c r="AM23" s="261"/>
      <c r="AN23" s="75"/>
      <c r="AV23" s="153">
        <f t="shared" si="29"/>
        <v>44205</v>
      </c>
      <c r="AW23" s="608"/>
      <c r="AX23" s="385"/>
      <c r="AY23" s="388"/>
      <c r="AZ23" s="380"/>
      <c r="BA23" s="380"/>
      <c r="BB23" s="110"/>
      <c r="BD23" s="375"/>
      <c r="BE23" s="85"/>
      <c r="BF23" s="193">
        <f t="shared" si="22"/>
        <v>44570</v>
      </c>
      <c r="BG23" s="430"/>
      <c r="BH23" s="846"/>
      <c r="BI23" s="846"/>
      <c r="BJ23" s="320"/>
      <c r="BK23" s="378"/>
    </row>
    <row r="24" spans="1:63" s="6" customFormat="1" ht="11.25" customHeight="1" x14ac:dyDescent="0.2">
      <c r="A24" s="56">
        <f t="shared" si="23"/>
        <v>44571</v>
      </c>
      <c r="B24" s="608">
        <v>7.4850000000000003</v>
      </c>
      <c r="C24" s="385"/>
      <c r="D24" s="388">
        <f t="shared" si="30"/>
        <v>7.580887575483322</v>
      </c>
      <c r="E24" s="380">
        <f t="shared" si="31"/>
        <v>7.65787086076881</v>
      </c>
      <c r="F24" s="380">
        <f t="shared" si="32"/>
        <v>7.65787086076881</v>
      </c>
      <c r="G24" s="110">
        <f t="shared" si="33"/>
        <v>7.1864241204881246E-2</v>
      </c>
      <c r="I24" s="375">
        <f t="shared" si="4"/>
        <v>7.65787086076881</v>
      </c>
      <c r="J24" s="85">
        <v>2022</v>
      </c>
      <c r="K24" s="193">
        <f t="shared" si="5"/>
        <v>44571</v>
      </c>
      <c r="L24" s="430">
        <f t="shared" si="6"/>
        <v>1.2648594841773275E-2</v>
      </c>
      <c r="M24" s="846"/>
      <c r="N24" s="846"/>
      <c r="O24" s="320">
        <f t="shared" si="7"/>
        <v>1.0052831483470512E-2</v>
      </c>
      <c r="P24" s="165">
        <f>(INDEX(Models!$BJ24:$BT24,,T24)*(1-R24)+INDEX(Models!$BJ24:$BT24,,T24+1)*R24-ERP_i)*Q24*Ramure*Pc/MaxiM</f>
        <v>3.5863405573640999E-7</v>
      </c>
      <c r="Q24" s="301">
        <f t="shared" si="24"/>
        <v>0.5</v>
      </c>
      <c r="R24" s="173">
        <f t="shared" si="8"/>
        <v>0.98984190174551812</v>
      </c>
      <c r="S24" s="801">
        <f t="shared" si="25"/>
        <v>-1</v>
      </c>
      <c r="T24" s="172">
        <f t="shared" si="26"/>
        <v>5</v>
      </c>
      <c r="U24" s="247">
        <f t="shared" si="27"/>
        <v>-1.0158098254481905E-2</v>
      </c>
      <c r="V24" s="378">
        <f t="shared" si="9"/>
        <v>104.1546837499439</v>
      </c>
      <c r="W24" s="397"/>
      <c r="X24" s="153">
        <f t="shared" si="10"/>
        <v>44571</v>
      </c>
      <c r="Y24" s="380">
        <f t="shared" si="11"/>
        <v>7.4850000000000003</v>
      </c>
      <c r="Z24" s="380">
        <f t="shared" si="12"/>
        <v>7.580887575483322</v>
      </c>
      <c r="AA24" s="381">
        <f t="shared" si="13"/>
        <v>7.65787086076881</v>
      </c>
      <c r="AB24" s="193">
        <f t="shared" si="14"/>
        <v>44571</v>
      </c>
      <c r="AC24" s="420">
        <f t="shared" si="15"/>
        <v>1.0052831483470512E-2</v>
      </c>
      <c r="AD24" s="165">
        <f>(INDEX(Models!$BJ24:$BT24,,AH24)*(1-AF24)+INDEX(Models!$BJ24:$BT24,,AH24+1)*AF24-ERP_i)*AE24*Ramure*Pc/MaxiM</f>
        <v>3.5863405573640999E-7</v>
      </c>
      <c r="AE24" s="301">
        <f t="shared" si="16"/>
        <v>0.5</v>
      </c>
      <c r="AF24" s="173">
        <f t="shared" si="17"/>
        <v>0.98984190174551812</v>
      </c>
      <c r="AG24" s="801">
        <f t="shared" si="28"/>
        <v>-1</v>
      </c>
      <c r="AH24" s="172">
        <f t="shared" si="18"/>
        <v>5</v>
      </c>
      <c r="AI24" s="221">
        <f t="shared" si="19"/>
        <v>-1.0158098254481905E-2</v>
      </c>
      <c r="AJ24" s="261" t="b">
        <f t="shared" si="20"/>
        <v>0</v>
      </c>
      <c r="AK24" s="261" t="b">
        <f t="shared" si="21"/>
        <v>0</v>
      </c>
      <c r="AL24" s="261"/>
      <c r="AM24" s="261"/>
      <c r="AN24" s="75"/>
      <c r="AV24" s="153">
        <f t="shared" si="29"/>
        <v>44206</v>
      </c>
      <c r="AW24" s="608"/>
      <c r="AX24" s="385"/>
      <c r="AY24" s="388"/>
      <c r="AZ24" s="380"/>
      <c r="BA24" s="380"/>
      <c r="BB24" s="110"/>
      <c r="BD24" s="375"/>
      <c r="BE24" s="85"/>
      <c r="BF24" s="193">
        <f t="shared" si="22"/>
        <v>44571</v>
      </c>
      <c r="BG24" s="430"/>
      <c r="BH24" s="846"/>
      <c r="BI24" s="846"/>
      <c r="BJ24" s="320"/>
      <c r="BK24" s="378"/>
    </row>
    <row r="25" spans="1:63" s="6" customFormat="1" ht="11.25" customHeight="1" x14ac:dyDescent="0.2">
      <c r="A25" s="56">
        <f t="shared" si="23"/>
        <v>44572</v>
      </c>
      <c r="B25" s="608">
        <v>100.352</v>
      </c>
      <c r="C25" s="385"/>
      <c r="D25" s="388">
        <f t="shared" si="30"/>
        <v>101.63897881844231</v>
      </c>
      <c r="E25" s="380">
        <f t="shared" si="31"/>
        <v>102.67771177580015</v>
      </c>
      <c r="F25" s="380">
        <f t="shared" si="32"/>
        <v>102.67775078920764</v>
      </c>
      <c r="G25" s="110">
        <f t="shared" si="33"/>
        <v>0.95526354774242372</v>
      </c>
      <c r="I25" s="375">
        <f t="shared" si="4"/>
        <v>102.67775078920764</v>
      </c>
      <c r="J25" s="85">
        <v>2022</v>
      </c>
      <c r="K25" s="193">
        <f t="shared" si="5"/>
        <v>44572</v>
      </c>
      <c r="L25" s="430">
        <f t="shared" si="6"/>
        <v>1.2662256482734224E-2</v>
      </c>
      <c r="M25" s="846"/>
      <c r="N25" s="846"/>
      <c r="O25" s="320">
        <f t="shared" si="7"/>
        <v>1.0116440456191042E-2</v>
      </c>
      <c r="P25" s="165">
        <f>(INDEX(Models!$BJ25:$BT25,,T25)*(1-R25)+INDEX(Models!$BJ25:$BT25,,T25+1)*R25-ERP_i)*Q25*Ramure*Pc/MaxiM</f>
        <v>4.0590046784031471E-7</v>
      </c>
      <c r="Q25" s="301">
        <f t="shared" si="24"/>
        <v>0.5</v>
      </c>
      <c r="R25" s="173">
        <f t="shared" si="8"/>
        <v>0.98988413720288415</v>
      </c>
      <c r="S25" s="801">
        <f t="shared" si="25"/>
        <v>-1</v>
      </c>
      <c r="T25" s="172">
        <f t="shared" si="26"/>
        <v>5</v>
      </c>
      <c r="U25" s="247">
        <f t="shared" si="27"/>
        <v>-1.0115862797115892E-2</v>
      </c>
      <c r="V25" s="378">
        <f t="shared" si="9"/>
        <v>105.05163484354999</v>
      </c>
      <c r="W25" s="397"/>
      <c r="X25" s="153">
        <f t="shared" si="10"/>
        <v>44572</v>
      </c>
      <c r="Y25" s="380">
        <f t="shared" si="11"/>
        <v>100.352</v>
      </c>
      <c r="Z25" s="380">
        <f t="shared" si="12"/>
        <v>101.63897881844231</v>
      </c>
      <c r="AA25" s="381">
        <f t="shared" si="13"/>
        <v>102.67771177580015</v>
      </c>
      <c r="AB25" s="193">
        <f t="shared" si="14"/>
        <v>44572</v>
      </c>
      <c r="AC25" s="420">
        <f t="shared" si="15"/>
        <v>1.0116440456191042E-2</v>
      </c>
      <c r="AD25" s="165">
        <f>(INDEX(Models!$BJ25:$BT25,,AH25)*(1-AF25)+INDEX(Models!$BJ25:$BT25,,AH25+1)*AF25-ERP_i)*AE25*Ramure*Pc/MaxiM</f>
        <v>4.0590046784031471E-7</v>
      </c>
      <c r="AE25" s="301">
        <f t="shared" si="16"/>
        <v>0.5</v>
      </c>
      <c r="AF25" s="173">
        <f t="shared" si="17"/>
        <v>0.98988413720288415</v>
      </c>
      <c r="AG25" s="801">
        <f t="shared" si="28"/>
        <v>-1</v>
      </c>
      <c r="AH25" s="172">
        <f t="shared" si="18"/>
        <v>5</v>
      </c>
      <c r="AI25" s="221">
        <f t="shared" si="19"/>
        <v>-1.0115862797115892E-2</v>
      </c>
      <c r="AJ25" s="261" t="b">
        <f t="shared" si="20"/>
        <v>0</v>
      </c>
      <c r="AK25" s="261" t="b">
        <f t="shared" si="21"/>
        <v>0</v>
      </c>
      <c r="AL25" s="261"/>
      <c r="AM25" s="261"/>
      <c r="AN25" s="75"/>
      <c r="AV25" s="153">
        <f t="shared" si="29"/>
        <v>44207</v>
      </c>
      <c r="AW25" s="608"/>
      <c r="AX25" s="385"/>
      <c r="AY25" s="388"/>
      <c r="AZ25" s="380"/>
      <c r="BA25" s="380"/>
      <c r="BB25" s="110"/>
      <c r="BD25" s="375"/>
      <c r="BE25" s="85"/>
      <c r="BF25" s="193">
        <f t="shared" si="22"/>
        <v>44572</v>
      </c>
      <c r="BG25" s="430"/>
      <c r="BH25" s="846"/>
      <c r="BI25" s="846"/>
      <c r="BJ25" s="320"/>
      <c r="BK25" s="378"/>
    </row>
    <row r="26" spans="1:63" s="6" customFormat="1" ht="11.25" customHeight="1" x14ac:dyDescent="0.2">
      <c r="A26" s="56">
        <f t="shared" si="23"/>
        <v>44573</v>
      </c>
      <c r="B26" s="608">
        <v>86.039000000000001</v>
      </c>
      <c r="C26" s="385"/>
      <c r="D26" s="388">
        <f t="shared" si="30"/>
        <v>87.143625444843494</v>
      </c>
      <c r="E26" s="380">
        <f t="shared" si="31"/>
        <v>88.039871270470172</v>
      </c>
      <c r="F26" s="380">
        <f t="shared" si="32"/>
        <v>88.039900443053</v>
      </c>
      <c r="G26" s="110">
        <f t="shared" si="33"/>
        <v>0.81179436646313585</v>
      </c>
      <c r="I26" s="375">
        <f t="shared" si="4"/>
        <v>88.039900443053</v>
      </c>
      <c r="J26" s="85">
        <v>2022</v>
      </c>
      <c r="K26" s="193">
        <f t="shared" si="5"/>
        <v>44573</v>
      </c>
      <c r="L26" s="430">
        <f t="shared" si="6"/>
        <v>1.267591793667866E-2</v>
      </c>
      <c r="M26" s="846"/>
      <c r="N26" s="846"/>
      <c r="O26" s="320">
        <f t="shared" si="7"/>
        <v>1.0179999274116334E-2</v>
      </c>
      <c r="P26" s="165">
        <f>(INDEX(Models!$BJ26:$BT26,,T26)*(1-R26)+INDEX(Models!$BJ26:$BT26,,T26+1)*R26-ERP_i)*Q26*Ramure*Pc/MaxiM</f>
        <v>4.5320823622589567E-7</v>
      </c>
      <c r="Q26" s="301">
        <f t="shared" si="24"/>
        <v>0.5</v>
      </c>
      <c r="R26" s="173">
        <f t="shared" si="8"/>
        <v>0.98992813693055526</v>
      </c>
      <c r="S26" s="801">
        <f t="shared" si="25"/>
        <v>-1</v>
      </c>
      <c r="T26" s="172">
        <f t="shared" si="26"/>
        <v>5</v>
      </c>
      <c r="U26" s="247">
        <f t="shared" si="27"/>
        <v>-1.0071863069444778E-2</v>
      </c>
      <c r="V26" s="378">
        <f t="shared" si="9"/>
        <v>105.98618698334103</v>
      </c>
      <c r="W26" s="397"/>
      <c r="X26" s="153">
        <f t="shared" si="10"/>
        <v>44573</v>
      </c>
      <c r="Y26" s="380">
        <f t="shared" si="11"/>
        <v>86.039000000000001</v>
      </c>
      <c r="Z26" s="380">
        <f t="shared" si="12"/>
        <v>87.143625444843494</v>
      </c>
      <c r="AA26" s="381">
        <f t="shared" si="13"/>
        <v>88.039871270470172</v>
      </c>
      <c r="AB26" s="193">
        <f t="shared" si="14"/>
        <v>44573</v>
      </c>
      <c r="AC26" s="420">
        <f t="shared" si="15"/>
        <v>1.0179999274116334E-2</v>
      </c>
      <c r="AD26" s="165">
        <f>(INDEX(Models!$BJ26:$BT26,,AH26)*(1-AF26)+INDEX(Models!$BJ26:$BT26,,AH26+1)*AF26-ERP_i)*AE26*Ramure*Pc/MaxiM</f>
        <v>4.5320823622589567E-7</v>
      </c>
      <c r="AE26" s="301">
        <f t="shared" si="16"/>
        <v>0.5</v>
      </c>
      <c r="AF26" s="173">
        <f t="shared" si="17"/>
        <v>0.98992813693055526</v>
      </c>
      <c r="AG26" s="801">
        <f t="shared" si="28"/>
        <v>-1</v>
      </c>
      <c r="AH26" s="172">
        <f t="shared" si="18"/>
        <v>5</v>
      </c>
      <c r="AI26" s="221">
        <f t="shared" si="19"/>
        <v>-1.0071863069444778E-2</v>
      </c>
      <c r="AJ26" s="261" t="b">
        <f t="shared" si="20"/>
        <v>0</v>
      </c>
      <c r="AK26" s="261" t="b">
        <f t="shared" si="21"/>
        <v>0</v>
      </c>
      <c r="AL26" s="261"/>
      <c r="AM26" s="261"/>
      <c r="AN26" s="75"/>
      <c r="AV26" s="153">
        <f t="shared" si="29"/>
        <v>44208</v>
      </c>
      <c r="AW26" s="608"/>
      <c r="AX26" s="385"/>
      <c r="AY26" s="388"/>
      <c r="AZ26" s="380"/>
      <c r="BA26" s="380"/>
      <c r="BB26" s="110"/>
      <c r="BD26" s="375"/>
      <c r="BE26" s="85"/>
      <c r="BF26" s="193">
        <f t="shared" si="22"/>
        <v>44573</v>
      </c>
      <c r="BG26" s="430"/>
      <c r="BH26" s="846"/>
      <c r="BI26" s="846"/>
      <c r="BJ26" s="320"/>
      <c r="BK26" s="378"/>
    </row>
    <row r="27" spans="1:63" s="6" customFormat="1" ht="11.25" customHeight="1" x14ac:dyDescent="0.2">
      <c r="A27" s="56">
        <f t="shared" si="23"/>
        <v>44574</v>
      </c>
      <c r="B27" s="608">
        <v>27.608000000000001</v>
      </c>
      <c r="C27" s="385"/>
      <c r="D27" s="388">
        <f t="shared" si="30"/>
        <v>27.962836630176209</v>
      </c>
      <c r="E27" s="380">
        <f t="shared" si="31"/>
        <v>28.252238664990184</v>
      </c>
      <c r="F27" s="380">
        <f t="shared" si="32"/>
        <v>28.252238664990184</v>
      </c>
      <c r="G27" s="110">
        <f t="shared" si="33"/>
        <v>0.25812500409394856</v>
      </c>
      <c r="I27" s="375">
        <f t="shared" si="4"/>
        <v>28.252238664990184</v>
      </c>
      <c r="J27" s="85">
        <v>2022</v>
      </c>
      <c r="K27" s="193">
        <f t="shared" si="5"/>
        <v>44574</v>
      </c>
      <c r="L27" s="430">
        <f t="shared" si="6"/>
        <v>1.2689579203609358E-2</v>
      </c>
      <c r="M27" s="846"/>
      <c r="N27" s="846"/>
      <c r="O27" s="320">
        <f t="shared" si="7"/>
        <v>1.0243508071896525E-2</v>
      </c>
      <c r="P27" s="165">
        <f>(INDEX(Models!$BJ27:$BT27,,T27)*(1-R27)+INDEX(Models!$BJ27:$BT27,,T27+1)*R27-ERP_i)*Q27*Ramure*Pc/MaxiM</f>
        <v>5.0010413030386188E-7</v>
      </c>
      <c r="Q27" s="301">
        <f t="shared" si="24"/>
        <v>0.5</v>
      </c>
      <c r="R27" s="173">
        <f t="shared" si="8"/>
        <v>0.98997397429502432</v>
      </c>
      <c r="S27" s="801">
        <f t="shared" si="25"/>
        <v>-1</v>
      </c>
      <c r="T27" s="172">
        <f t="shared" si="26"/>
        <v>5</v>
      </c>
      <c r="U27" s="247">
        <f t="shared" si="27"/>
        <v>-1.0026025704975659E-2</v>
      </c>
      <c r="V27" s="378">
        <f t="shared" si="9"/>
        <v>106.9558770179305</v>
      </c>
      <c r="W27" s="397"/>
      <c r="X27" s="153">
        <f t="shared" si="10"/>
        <v>44574</v>
      </c>
      <c r="Y27" s="380">
        <f t="shared" si="11"/>
        <v>27.608000000000001</v>
      </c>
      <c r="Z27" s="380">
        <f t="shared" si="12"/>
        <v>27.962836630176209</v>
      </c>
      <c r="AA27" s="381">
        <f t="shared" si="13"/>
        <v>28.252238664990184</v>
      </c>
      <c r="AB27" s="193">
        <f t="shared" si="14"/>
        <v>44574</v>
      </c>
      <c r="AC27" s="420">
        <f t="shared" si="15"/>
        <v>1.0243508071896525E-2</v>
      </c>
      <c r="AD27" s="165">
        <f>(INDEX(Models!$BJ27:$BT27,,AH27)*(1-AF27)+INDEX(Models!$BJ27:$BT27,,AH27+1)*AF27-ERP_i)*AE27*Ramure*Pc/MaxiM</f>
        <v>5.0010413030386188E-7</v>
      </c>
      <c r="AE27" s="301">
        <f t="shared" si="16"/>
        <v>0.5</v>
      </c>
      <c r="AF27" s="173">
        <f t="shared" si="17"/>
        <v>0.98997397429502432</v>
      </c>
      <c r="AG27" s="801">
        <f t="shared" si="28"/>
        <v>-1</v>
      </c>
      <c r="AH27" s="172">
        <f t="shared" si="18"/>
        <v>5</v>
      </c>
      <c r="AI27" s="221">
        <f t="shared" si="19"/>
        <v>-1.0026025704975659E-2</v>
      </c>
      <c r="AJ27" s="261" t="b">
        <f t="shared" si="20"/>
        <v>0</v>
      </c>
      <c r="AK27" s="261" t="b">
        <f t="shared" si="21"/>
        <v>0</v>
      </c>
      <c r="AL27" s="261"/>
      <c r="AM27" s="261"/>
      <c r="AN27" s="75"/>
      <c r="AV27" s="153">
        <f t="shared" si="29"/>
        <v>44209</v>
      </c>
      <c r="AW27" s="608"/>
      <c r="AX27" s="385"/>
      <c r="AY27" s="388"/>
      <c r="AZ27" s="380"/>
      <c r="BA27" s="380"/>
      <c r="BB27" s="110"/>
      <c r="BD27" s="375"/>
      <c r="BE27" s="85"/>
      <c r="BF27" s="193">
        <f t="shared" si="22"/>
        <v>44574</v>
      </c>
      <c r="BG27" s="430"/>
      <c r="BH27" s="846"/>
      <c r="BI27" s="846"/>
      <c r="BJ27" s="320"/>
      <c r="BK27" s="378"/>
    </row>
    <row r="28" spans="1:63" s="6" customFormat="1" ht="11.25" customHeight="1" x14ac:dyDescent="0.2">
      <c r="A28" s="56">
        <f t="shared" si="23"/>
        <v>44575</v>
      </c>
      <c r="B28" s="608">
        <v>110.104</v>
      </c>
      <c r="C28" s="385"/>
      <c r="D28" s="388">
        <f t="shared" si="30"/>
        <v>111.52067391735319</v>
      </c>
      <c r="E28" s="380">
        <f t="shared" si="31"/>
        <v>112.68208445882247</v>
      </c>
      <c r="F28" s="380">
        <f t="shared" si="32"/>
        <v>112.68214599647807</v>
      </c>
      <c r="G28" s="110">
        <f t="shared" si="33"/>
        <v>1.0198758094816887</v>
      </c>
      <c r="I28" s="375">
        <f t="shared" si="4"/>
        <v>112.68214599647807</v>
      </c>
      <c r="J28" s="85">
        <v>2022</v>
      </c>
      <c r="K28" s="193">
        <f t="shared" si="5"/>
        <v>44575</v>
      </c>
      <c r="L28" s="430">
        <f t="shared" si="6"/>
        <v>1.2703240283528761E-2</v>
      </c>
      <c r="M28" s="846"/>
      <c r="N28" s="846"/>
      <c r="O28" s="320">
        <f t="shared" si="7"/>
        <v>1.030696713720893E-2</v>
      </c>
      <c r="P28" s="165">
        <f>(INDEX(Models!$BJ28:$BT28,,T28)*(1-R28)+INDEX(Models!$BJ28:$BT28,,T28+1)*R28-ERP_i)*Q28*Ramure*Pc/MaxiM</f>
        <v>5.4611717817689923E-7</v>
      </c>
      <c r="Q28" s="301">
        <f t="shared" si="24"/>
        <v>0.5</v>
      </c>
      <c r="R28" s="173">
        <f t="shared" si="8"/>
        <v>0.9900217256854138</v>
      </c>
      <c r="S28" s="801">
        <f t="shared" si="25"/>
        <v>-1</v>
      </c>
      <c r="T28" s="172">
        <f t="shared" si="26"/>
        <v>5</v>
      </c>
      <c r="U28" s="247">
        <f t="shared" si="27"/>
        <v>-9.9782743145861771E-3</v>
      </c>
      <c r="V28" s="378">
        <f t="shared" si="9"/>
        <v>107.95824253931072</v>
      </c>
      <c r="W28" s="397"/>
      <c r="X28" s="153">
        <f t="shared" si="10"/>
        <v>44575</v>
      </c>
      <c r="Y28" s="380">
        <f t="shared" si="11"/>
        <v>110.104</v>
      </c>
      <c r="Z28" s="380">
        <f t="shared" si="12"/>
        <v>111.52067391735319</v>
      </c>
      <c r="AA28" s="381">
        <f t="shared" si="13"/>
        <v>112.68208445882247</v>
      </c>
      <c r="AB28" s="193">
        <f t="shared" si="14"/>
        <v>44575</v>
      </c>
      <c r="AC28" s="420">
        <f t="shared" si="15"/>
        <v>1.030696713720893E-2</v>
      </c>
      <c r="AD28" s="165">
        <f>(INDEX(Models!$BJ28:$BT28,,AH28)*(1-AF28)+INDEX(Models!$BJ28:$BT28,,AH28+1)*AF28-ERP_i)*AE28*Ramure*Pc/MaxiM</f>
        <v>5.4611717817689923E-7</v>
      </c>
      <c r="AE28" s="301">
        <f t="shared" si="16"/>
        <v>0.5</v>
      </c>
      <c r="AF28" s="173">
        <f t="shared" si="17"/>
        <v>0.9900217256854138</v>
      </c>
      <c r="AG28" s="801">
        <f t="shared" si="28"/>
        <v>-1</v>
      </c>
      <c r="AH28" s="172">
        <f t="shared" si="18"/>
        <v>5</v>
      </c>
      <c r="AI28" s="221">
        <f t="shared" si="19"/>
        <v>-9.9782743145861771E-3</v>
      </c>
      <c r="AJ28" s="261" t="b">
        <f t="shared" si="20"/>
        <v>0</v>
      </c>
      <c r="AK28" s="261" t="b">
        <f t="shared" si="21"/>
        <v>0</v>
      </c>
      <c r="AL28" s="261"/>
      <c r="AM28" s="261"/>
      <c r="AN28" s="75"/>
      <c r="AV28" s="153">
        <f t="shared" si="29"/>
        <v>44210</v>
      </c>
      <c r="AW28" s="608"/>
      <c r="AX28" s="385"/>
      <c r="AY28" s="388"/>
      <c r="AZ28" s="380"/>
      <c r="BA28" s="380"/>
      <c r="BB28" s="110"/>
      <c r="BD28" s="375"/>
      <c r="BE28" s="85"/>
      <c r="BF28" s="193">
        <f t="shared" si="22"/>
        <v>44575</v>
      </c>
      <c r="BG28" s="430"/>
      <c r="BH28" s="846"/>
      <c r="BI28" s="846"/>
      <c r="BJ28" s="320"/>
      <c r="BK28" s="378"/>
    </row>
    <row r="29" spans="1:63" s="6" customFormat="1" ht="11.25" customHeight="1" x14ac:dyDescent="0.2">
      <c r="A29" s="56">
        <f t="shared" si="23"/>
        <v>44576</v>
      </c>
      <c r="B29" s="608">
        <v>111.79</v>
      </c>
      <c r="C29" s="385"/>
      <c r="D29" s="388">
        <f t="shared" si="30"/>
        <v>113.2299338793586</v>
      </c>
      <c r="E29" s="380">
        <f t="shared" si="31"/>
        <v>114.41647585676191</v>
      </c>
      <c r="F29" s="380">
        <f t="shared" si="32"/>
        <v>114.41654344925561</v>
      </c>
      <c r="G29" s="110">
        <f t="shared" si="33"/>
        <v>1.025682695128749</v>
      </c>
      <c r="I29" s="375">
        <f t="shared" si="4"/>
        <v>114.41654344925561</v>
      </c>
      <c r="J29" s="85">
        <v>2022</v>
      </c>
      <c r="K29" s="193">
        <f t="shared" si="5"/>
        <v>44576</v>
      </c>
      <c r="L29" s="430">
        <f t="shared" si="6"/>
        <v>1.2716901176439532E-2</v>
      </c>
      <c r="M29" s="846"/>
      <c r="N29" s="846"/>
      <c r="O29" s="320">
        <f t="shared" si="7"/>
        <v>1.0370376892998658E-2</v>
      </c>
      <c r="P29" s="165">
        <f>(INDEX(Models!$BJ29:$BT29,,T29)*(1-R29)+INDEX(Models!$BJ29:$BT29,,T29+1)*R29-ERP_i)*Q29*Ramure*Pc/MaxiM</f>
        <v>5.9075804659459032E-7</v>
      </c>
      <c r="Q29" s="301">
        <f t="shared" si="24"/>
        <v>0.5</v>
      </c>
      <c r="R29" s="173">
        <f t="shared" si="8"/>
        <v>0.99007147063558609</v>
      </c>
      <c r="S29" s="801">
        <f t="shared" si="25"/>
        <v>-1</v>
      </c>
      <c r="T29" s="172">
        <f t="shared" si="26"/>
        <v>5</v>
      </c>
      <c r="U29" s="247">
        <f t="shared" si="27"/>
        <v>-9.9285293644138743E-3</v>
      </c>
      <c r="V29" s="378">
        <f t="shared" si="9"/>
        <v>108.99082194807582</v>
      </c>
      <c r="W29" s="397"/>
      <c r="X29" s="153">
        <f t="shared" si="10"/>
        <v>44576</v>
      </c>
      <c r="Y29" s="380">
        <f t="shared" si="11"/>
        <v>111.79</v>
      </c>
      <c r="Z29" s="380">
        <f t="shared" si="12"/>
        <v>113.2299338793586</v>
      </c>
      <c r="AA29" s="381">
        <f t="shared" si="13"/>
        <v>114.41647585676191</v>
      </c>
      <c r="AB29" s="193">
        <f t="shared" si="14"/>
        <v>44576</v>
      </c>
      <c r="AC29" s="420">
        <f t="shared" si="15"/>
        <v>1.0370376892998658E-2</v>
      </c>
      <c r="AD29" s="165">
        <f>(INDEX(Models!$BJ29:$BT29,,AH29)*(1-AF29)+INDEX(Models!$BJ29:$BT29,,AH29+1)*AF29-ERP_i)*AE29*Ramure*Pc/MaxiM</f>
        <v>5.9075804659459032E-7</v>
      </c>
      <c r="AE29" s="301">
        <f t="shared" si="16"/>
        <v>0.5</v>
      </c>
      <c r="AF29" s="173">
        <f t="shared" si="17"/>
        <v>0.99007147063558609</v>
      </c>
      <c r="AG29" s="801">
        <f t="shared" si="28"/>
        <v>-1</v>
      </c>
      <c r="AH29" s="172">
        <f t="shared" si="18"/>
        <v>5</v>
      </c>
      <c r="AI29" s="221">
        <f t="shared" si="19"/>
        <v>-9.9285293644138743E-3</v>
      </c>
      <c r="AJ29" s="261" t="b">
        <f t="shared" si="20"/>
        <v>0</v>
      </c>
      <c r="AK29" s="261" t="b">
        <f t="shared" si="21"/>
        <v>0</v>
      </c>
      <c r="AL29" s="261"/>
      <c r="AM29" s="261"/>
      <c r="AN29" s="75"/>
      <c r="AV29" s="153">
        <f t="shared" si="29"/>
        <v>44211</v>
      </c>
      <c r="AW29" s="608"/>
      <c r="AX29" s="385"/>
      <c r="AY29" s="388"/>
      <c r="AZ29" s="380"/>
      <c r="BA29" s="380"/>
      <c r="BB29" s="110"/>
      <c r="BD29" s="375"/>
      <c r="BE29" s="85"/>
      <c r="BF29" s="193">
        <f t="shared" si="22"/>
        <v>44576</v>
      </c>
      <c r="BG29" s="430"/>
      <c r="BH29" s="846"/>
      <c r="BI29" s="846"/>
      <c r="BJ29" s="320"/>
      <c r="BK29" s="378"/>
    </row>
    <row r="30" spans="1:63" s="6" customFormat="1" ht="11.25" customHeight="1" x14ac:dyDescent="0.2">
      <c r="A30" s="56">
        <f t="shared" si="23"/>
        <v>44577</v>
      </c>
      <c r="B30" s="608">
        <v>111.173</v>
      </c>
      <c r="C30" s="385"/>
      <c r="D30" s="388">
        <f t="shared" si="30"/>
        <v>112.60654458418591</v>
      </c>
      <c r="E30" s="380">
        <f t="shared" si="31"/>
        <v>113.79383967961441</v>
      </c>
      <c r="F30" s="380">
        <f t="shared" si="32"/>
        <v>113.79391184138983</v>
      </c>
      <c r="G30" s="110">
        <f t="shared" si="33"/>
        <v>1.0101938567944702</v>
      </c>
      <c r="I30" s="375">
        <f t="shared" si="4"/>
        <v>113.79391184138983</v>
      </c>
      <c r="J30" s="85">
        <v>2022</v>
      </c>
      <c r="K30" s="193">
        <f t="shared" si="5"/>
        <v>44577</v>
      </c>
      <c r="L30" s="430">
        <f t="shared" si="6"/>
        <v>1.2730561882344005E-2</v>
      </c>
      <c r="M30" s="846"/>
      <c r="N30" s="846"/>
      <c r="O30" s="320">
        <f t="shared" si="7"/>
        <v>1.0433737878705187E-2</v>
      </c>
      <c r="P30" s="165">
        <f>(INDEX(Models!$BJ30:$BT30,,T30)*(1-R30)+INDEX(Models!$BJ30:$BT30,,T30+1)*R30-ERP_i)*Q30*Ramure*Pc/MaxiM</f>
        <v>6.3414443049391626E-7</v>
      </c>
      <c r="Q30" s="301">
        <f t="shared" si="24"/>
        <v>0.5</v>
      </c>
      <c r="R30" s="173">
        <f t="shared" si="8"/>
        <v>0.99012329195097937</v>
      </c>
      <c r="S30" s="801">
        <f t="shared" si="25"/>
        <v>-1</v>
      </c>
      <c r="T30" s="172">
        <f t="shared" si="26"/>
        <v>5</v>
      </c>
      <c r="U30" s="247">
        <f t="shared" si="27"/>
        <v>-9.8767080490205859E-3</v>
      </c>
      <c r="V30" s="378">
        <f t="shared" si="9"/>
        <v>110.05115429307031</v>
      </c>
      <c r="W30" s="397"/>
      <c r="X30" s="153">
        <f t="shared" si="10"/>
        <v>44577</v>
      </c>
      <c r="Y30" s="380">
        <f t="shared" si="11"/>
        <v>111.173</v>
      </c>
      <c r="Z30" s="380">
        <f t="shared" si="12"/>
        <v>112.60654458418591</v>
      </c>
      <c r="AA30" s="381">
        <f t="shared" si="13"/>
        <v>113.79383967961441</v>
      </c>
      <c r="AB30" s="193">
        <f t="shared" si="14"/>
        <v>44577</v>
      </c>
      <c r="AC30" s="420">
        <f t="shared" si="15"/>
        <v>1.0433737878705187E-2</v>
      </c>
      <c r="AD30" s="165">
        <f>(INDEX(Models!$BJ30:$BT30,,AH30)*(1-AF30)+INDEX(Models!$BJ30:$BT30,,AH30+1)*AF30-ERP_i)*AE30*Ramure*Pc/MaxiM</f>
        <v>6.3414443049391626E-7</v>
      </c>
      <c r="AE30" s="301">
        <f t="shared" si="16"/>
        <v>0.5</v>
      </c>
      <c r="AF30" s="173">
        <f t="shared" si="17"/>
        <v>0.99012329195097937</v>
      </c>
      <c r="AG30" s="801">
        <f t="shared" si="28"/>
        <v>-1</v>
      </c>
      <c r="AH30" s="172">
        <f t="shared" si="18"/>
        <v>5</v>
      </c>
      <c r="AI30" s="221">
        <f t="shared" si="19"/>
        <v>-9.8767080490205859E-3</v>
      </c>
      <c r="AJ30" s="261" t="b">
        <f t="shared" si="20"/>
        <v>0</v>
      </c>
      <c r="AK30" s="261" t="b">
        <f t="shared" si="21"/>
        <v>0</v>
      </c>
      <c r="AL30" s="261"/>
      <c r="AM30" s="261"/>
      <c r="AN30" s="75"/>
      <c r="AV30" s="153">
        <f t="shared" si="29"/>
        <v>44212</v>
      </c>
      <c r="AW30" s="608"/>
      <c r="AX30" s="385"/>
      <c r="AY30" s="388"/>
      <c r="AZ30" s="380"/>
      <c r="BA30" s="380"/>
      <c r="BB30" s="110"/>
      <c r="BD30" s="375"/>
      <c r="BE30" s="85"/>
      <c r="BF30" s="193">
        <f t="shared" si="22"/>
        <v>44577</v>
      </c>
      <c r="BG30" s="430"/>
      <c r="BH30" s="846"/>
      <c r="BI30" s="846"/>
      <c r="BJ30" s="320"/>
      <c r="BK30" s="378"/>
    </row>
    <row r="31" spans="1:63" s="6" customFormat="1" ht="11.25" x14ac:dyDescent="0.2">
      <c r="A31" s="56">
        <f t="shared" si="23"/>
        <v>44578</v>
      </c>
      <c r="B31" s="608">
        <v>87.3</v>
      </c>
      <c r="C31" s="385"/>
      <c r="D31" s="388">
        <f t="shared" si="30"/>
        <v>88.426932493962937</v>
      </c>
      <c r="E31" s="380">
        <f t="shared" si="31"/>
        <v>89.365001447710199</v>
      </c>
      <c r="F31" s="380">
        <f t="shared" si="32"/>
        <v>89.36504341458523</v>
      </c>
      <c r="G31" s="110">
        <f t="shared" si="33"/>
        <v>0.78551837126662516</v>
      </c>
      <c r="I31" s="375">
        <f t="shared" si="4"/>
        <v>89.36504341458523</v>
      </c>
      <c r="J31" s="85">
        <v>2022</v>
      </c>
      <c r="K31" s="193">
        <f t="shared" si="5"/>
        <v>44578</v>
      </c>
      <c r="L31" s="430">
        <f t="shared" si="6"/>
        <v>1.2744222401244953E-2</v>
      </c>
      <c r="M31" s="846"/>
      <c r="N31" s="846"/>
      <c r="O31" s="320">
        <f t="shared" si="7"/>
        <v>1.0497050730717461E-2</v>
      </c>
      <c r="P31" s="165">
        <f>(INDEX(Models!$BJ31:$BT31,,T31)*(1-R31)+INDEX(Models!$BJ31:$BT31,,T31+1)*R31-ERP_i)*Q31*Ramure*Pc/MaxiM</f>
        <v>6.7706628383791583E-7</v>
      </c>
      <c r="Q31" s="301">
        <f t="shared" si="24"/>
        <v>0.5</v>
      </c>
      <c r="R31" s="173">
        <f t="shared" si="8"/>
        <v>0.99017727584033355</v>
      </c>
      <c r="S31" s="801">
        <f t="shared" si="25"/>
        <v>-1</v>
      </c>
      <c r="T31" s="172">
        <f t="shared" si="26"/>
        <v>5</v>
      </c>
      <c r="U31" s="247">
        <f t="shared" si="27"/>
        <v>-9.822724159666462E-3</v>
      </c>
      <c r="V31" s="378">
        <f t="shared" si="9"/>
        <v>111.13677933266239</v>
      </c>
      <c r="W31" s="397"/>
      <c r="X31" s="153">
        <f t="shared" si="10"/>
        <v>44578</v>
      </c>
      <c r="Y31" s="380">
        <f t="shared" si="11"/>
        <v>87.3</v>
      </c>
      <c r="Z31" s="380">
        <f t="shared" si="12"/>
        <v>88.426932493962937</v>
      </c>
      <c r="AA31" s="381">
        <f t="shared" si="13"/>
        <v>89.365001447710199</v>
      </c>
      <c r="AB31" s="193">
        <f t="shared" si="14"/>
        <v>44578</v>
      </c>
      <c r="AC31" s="420">
        <f t="shared" si="15"/>
        <v>1.0497050730717461E-2</v>
      </c>
      <c r="AD31" s="165">
        <f>(INDEX(Models!$BJ31:$BT31,,AH31)*(1-AF31)+INDEX(Models!$BJ31:$BT31,,AH31+1)*AF31-ERP_i)*AE31*Ramure*Pc/MaxiM</f>
        <v>6.7706628383791583E-7</v>
      </c>
      <c r="AE31" s="301">
        <f t="shared" si="16"/>
        <v>0.5</v>
      </c>
      <c r="AF31" s="173">
        <f t="shared" si="17"/>
        <v>0.99017727584033355</v>
      </c>
      <c r="AG31" s="801">
        <f t="shared" si="28"/>
        <v>-1</v>
      </c>
      <c r="AH31" s="172">
        <f t="shared" si="18"/>
        <v>5</v>
      </c>
      <c r="AI31" s="221">
        <f t="shared" si="19"/>
        <v>-9.822724159666462E-3</v>
      </c>
      <c r="AJ31" s="261" t="b">
        <f t="shared" si="20"/>
        <v>0</v>
      </c>
      <c r="AK31" s="261" t="b">
        <f t="shared" si="21"/>
        <v>0</v>
      </c>
      <c r="AL31" s="261"/>
      <c r="AM31" s="261"/>
      <c r="AN31" s="75"/>
      <c r="AV31" s="153">
        <f t="shared" si="29"/>
        <v>44213</v>
      </c>
      <c r="AW31" s="608"/>
      <c r="AX31" s="385"/>
      <c r="AY31" s="388"/>
      <c r="AZ31" s="380"/>
      <c r="BA31" s="380"/>
      <c r="BB31" s="110"/>
      <c r="BD31" s="375"/>
      <c r="BE31" s="85"/>
      <c r="BF31" s="193">
        <f t="shared" si="22"/>
        <v>44578</v>
      </c>
      <c r="BG31" s="430"/>
      <c r="BH31" s="846"/>
      <c r="BI31" s="846"/>
      <c r="BJ31" s="320"/>
      <c r="BK31" s="378"/>
    </row>
    <row r="32" spans="1:63" s="6" customFormat="1" ht="11.25" customHeight="1" x14ac:dyDescent="0.2">
      <c r="A32" s="56">
        <f t="shared" si="23"/>
        <v>44579</v>
      </c>
      <c r="B32" s="608">
        <v>22.865000000000002</v>
      </c>
      <c r="C32" s="385"/>
      <c r="D32" s="388">
        <f t="shared" si="30"/>
        <v>23.160478670927194</v>
      </c>
      <c r="E32" s="380">
        <f t="shared" si="31"/>
        <v>23.40767107813555</v>
      </c>
      <c r="F32" s="380">
        <f t="shared" si="32"/>
        <v>23.40767107813555</v>
      </c>
      <c r="G32" s="110">
        <f t="shared" si="33"/>
        <v>0.20370560053848938</v>
      </c>
      <c r="I32" s="375">
        <f t="shared" si="4"/>
        <v>23.40767107813555</v>
      </c>
      <c r="J32" s="85">
        <v>2022</v>
      </c>
      <c r="K32" s="193">
        <f t="shared" si="5"/>
        <v>44579</v>
      </c>
      <c r="L32" s="430">
        <f t="shared" si="6"/>
        <v>1.2757882733144932E-2</v>
      </c>
      <c r="M32" s="846"/>
      <c r="N32" s="846"/>
      <c r="O32" s="320">
        <f t="shared" si="7"/>
        <v>1.0560316162305043E-2</v>
      </c>
      <c r="P32" s="165">
        <f>(INDEX(Models!$BJ32:$BT32,,T32)*(1-R32)+INDEX(Models!$BJ32:$BT32,,T32+1)*R32-ERP_i)*Q32*Ramure*Pc/MaxiM</f>
        <v>7.1939673421549562E-7</v>
      </c>
      <c r="Q32" s="301">
        <f t="shared" si="24"/>
        <v>0.5</v>
      </c>
      <c r="R32" s="173">
        <f t="shared" si="8"/>
        <v>0.99023351205247523</v>
      </c>
      <c r="S32" s="801">
        <f t="shared" si="25"/>
        <v>-1</v>
      </c>
      <c r="T32" s="172">
        <f t="shared" si="26"/>
        <v>5</v>
      </c>
      <c r="U32" s="247">
        <f t="shared" si="27"/>
        <v>-9.7664879475247782E-3</v>
      </c>
      <c r="V32" s="378">
        <f t="shared" si="9"/>
        <v>112.24523768885493</v>
      </c>
      <c r="W32" s="397"/>
      <c r="X32" s="153">
        <f t="shared" si="10"/>
        <v>44579</v>
      </c>
      <c r="Y32" s="380">
        <f t="shared" si="11"/>
        <v>22.865000000000002</v>
      </c>
      <c r="Z32" s="380">
        <f t="shared" si="12"/>
        <v>23.160478670927194</v>
      </c>
      <c r="AA32" s="381">
        <f t="shared" si="13"/>
        <v>23.40767107813555</v>
      </c>
      <c r="AB32" s="193">
        <f t="shared" si="14"/>
        <v>44579</v>
      </c>
      <c r="AC32" s="420">
        <f t="shared" si="15"/>
        <v>1.0560316162305043E-2</v>
      </c>
      <c r="AD32" s="165">
        <f>(INDEX(Models!$BJ32:$BT32,,AH32)*(1-AF32)+INDEX(Models!$BJ32:$BT32,,AH32+1)*AF32-ERP_i)*AE32*Ramure*Pc/MaxiM</f>
        <v>7.1939673421549562E-7</v>
      </c>
      <c r="AE32" s="301">
        <f t="shared" si="16"/>
        <v>0.5</v>
      </c>
      <c r="AF32" s="173">
        <f t="shared" si="17"/>
        <v>0.99023351205247523</v>
      </c>
      <c r="AG32" s="801">
        <f t="shared" si="28"/>
        <v>-1</v>
      </c>
      <c r="AH32" s="172">
        <f t="shared" si="18"/>
        <v>5</v>
      </c>
      <c r="AI32" s="221">
        <f t="shared" si="19"/>
        <v>-9.7664879475247782E-3</v>
      </c>
      <c r="AJ32" s="261" t="b">
        <f t="shared" si="20"/>
        <v>0</v>
      </c>
      <c r="AK32" s="261" t="b">
        <f t="shared" si="21"/>
        <v>0</v>
      </c>
      <c r="AL32" s="261"/>
      <c r="AM32" s="261"/>
      <c r="AN32" s="75"/>
      <c r="AV32" s="153">
        <f t="shared" si="29"/>
        <v>44214</v>
      </c>
      <c r="AW32" s="608"/>
      <c r="AX32" s="385"/>
      <c r="AY32" s="388"/>
      <c r="AZ32" s="380"/>
      <c r="BA32" s="380"/>
      <c r="BB32" s="110"/>
      <c r="BD32" s="375"/>
      <c r="BE32" s="85"/>
      <c r="BF32" s="193">
        <f t="shared" si="22"/>
        <v>44579</v>
      </c>
      <c r="BG32" s="430"/>
      <c r="BH32" s="846"/>
      <c r="BI32" s="846"/>
      <c r="BJ32" s="320"/>
      <c r="BK32" s="378"/>
    </row>
    <row r="33" spans="1:63" s="6" customFormat="1" ht="11.25" customHeight="1" x14ac:dyDescent="0.2">
      <c r="A33" s="56">
        <f t="shared" si="23"/>
        <v>44580</v>
      </c>
      <c r="B33" s="608">
        <v>46.692999999999998</v>
      </c>
      <c r="C33" s="385"/>
      <c r="D33" s="388">
        <f t="shared" si="30"/>
        <v>47.297056383608634</v>
      </c>
      <c r="E33" s="380">
        <f t="shared" si="31"/>
        <v>47.804913553201331</v>
      </c>
      <c r="F33" s="380">
        <f t="shared" si="32"/>
        <v>47.804919366126292</v>
      </c>
      <c r="G33" s="110">
        <f t="shared" si="33"/>
        <v>0.41184875733706749</v>
      </c>
      <c r="I33" s="375">
        <f t="shared" si="4"/>
        <v>47.804919366126292</v>
      </c>
      <c r="J33" s="85">
        <v>2022</v>
      </c>
      <c r="K33" s="193">
        <f t="shared" si="5"/>
        <v>44580</v>
      </c>
      <c r="L33" s="430">
        <f t="shared" si="6"/>
        <v>1.2771542878046382E-2</v>
      </c>
      <c r="M33" s="846"/>
      <c r="N33" s="846"/>
      <c r="O33" s="320">
        <f t="shared" si="7"/>
        <v>1.0623534943275502E-2</v>
      </c>
      <c r="P33" s="165">
        <f>(INDEX(Models!$BJ33:$BT33,,T33)*(1-R33)+INDEX(Models!$BJ33:$BT33,,T33+1)*R33-ERP_i)*Q33*Ramure*Pc/MaxiM</f>
        <v>7.6100582482562731E-7</v>
      </c>
      <c r="Q33" s="301">
        <f t="shared" si="24"/>
        <v>0.5</v>
      </c>
      <c r="R33" s="173">
        <f t="shared" si="8"/>
        <v>0.99029209401833607</v>
      </c>
      <c r="S33" s="801">
        <f t="shared" si="25"/>
        <v>-1</v>
      </c>
      <c r="T33" s="172">
        <f t="shared" si="26"/>
        <v>5</v>
      </c>
      <c r="U33" s="247">
        <f t="shared" si="27"/>
        <v>-9.7079059816638971E-3</v>
      </c>
      <c r="V33" s="378">
        <f t="shared" si="9"/>
        <v>113.37407072921143</v>
      </c>
      <c r="W33" s="397"/>
      <c r="X33" s="153">
        <f t="shared" si="10"/>
        <v>44580</v>
      </c>
      <c r="Y33" s="380">
        <f t="shared" si="11"/>
        <v>46.692999999999998</v>
      </c>
      <c r="Z33" s="380">
        <f t="shared" si="12"/>
        <v>47.297056383608634</v>
      </c>
      <c r="AA33" s="381">
        <f t="shared" si="13"/>
        <v>47.804913553201331</v>
      </c>
      <c r="AB33" s="193">
        <f t="shared" si="14"/>
        <v>44580</v>
      </c>
      <c r="AC33" s="420">
        <f t="shared" si="15"/>
        <v>1.0623534943275502E-2</v>
      </c>
      <c r="AD33" s="165">
        <f>(INDEX(Models!$BJ33:$BT33,,AH33)*(1-AF33)+INDEX(Models!$BJ33:$BT33,,AH33+1)*AF33-ERP_i)*AE33*Ramure*Pc/MaxiM</f>
        <v>7.6100582482562731E-7</v>
      </c>
      <c r="AE33" s="301">
        <f t="shared" si="16"/>
        <v>0.5</v>
      </c>
      <c r="AF33" s="173">
        <f t="shared" si="17"/>
        <v>0.99029209401833607</v>
      </c>
      <c r="AG33" s="801">
        <f t="shared" si="28"/>
        <v>-1</v>
      </c>
      <c r="AH33" s="172">
        <f t="shared" si="18"/>
        <v>5</v>
      </c>
      <c r="AI33" s="221">
        <f t="shared" si="19"/>
        <v>-9.7079059816638971E-3</v>
      </c>
      <c r="AJ33" s="261" t="b">
        <f t="shared" si="20"/>
        <v>0</v>
      </c>
      <c r="AK33" s="261" t="b">
        <f t="shared" si="21"/>
        <v>0</v>
      </c>
      <c r="AL33" s="261"/>
      <c r="AM33" s="261"/>
      <c r="AN33" s="75"/>
      <c r="AV33" s="153">
        <f t="shared" si="29"/>
        <v>44215</v>
      </c>
      <c r="AW33" s="608"/>
      <c r="AX33" s="385"/>
      <c r="AY33" s="388"/>
      <c r="AZ33" s="380"/>
      <c r="BA33" s="380"/>
      <c r="BB33" s="110"/>
      <c r="BD33" s="375"/>
      <c r="BE33" s="85"/>
      <c r="BF33" s="193">
        <f t="shared" si="22"/>
        <v>44580</v>
      </c>
      <c r="BG33" s="430"/>
      <c r="BH33" s="846"/>
      <c r="BI33" s="846"/>
      <c r="BJ33" s="320"/>
      <c r="BK33" s="378"/>
    </row>
    <row r="34" spans="1:63" s="6" customFormat="1" ht="11.25" customHeight="1" x14ac:dyDescent="0.2">
      <c r="A34" s="56">
        <f t="shared" si="23"/>
        <v>44581</v>
      </c>
      <c r="B34" s="608">
        <v>24.064</v>
      </c>
      <c r="C34" s="385"/>
      <c r="D34" s="388">
        <f t="shared" si="30"/>
        <v>24.375647598808452</v>
      </c>
      <c r="E34" s="380">
        <f t="shared" si="31"/>
        <v>24.638956934020555</v>
      </c>
      <c r="F34" s="380">
        <f t="shared" si="32"/>
        <v>24.638956934020555</v>
      </c>
      <c r="G34" s="110">
        <f t="shared" si="33"/>
        <v>0.21012756091457718</v>
      </c>
      <c r="I34" s="375">
        <f t="shared" si="4"/>
        <v>24.638956934020555</v>
      </c>
      <c r="J34" s="85">
        <v>2022</v>
      </c>
      <c r="K34" s="193">
        <f t="shared" si="5"/>
        <v>44581</v>
      </c>
      <c r="L34" s="430">
        <f t="shared" si="6"/>
        <v>1.278520283595197E-2</v>
      </c>
      <c r="M34" s="846"/>
      <c r="N34" s="846"/>
      <c r="O34" s="320">
        <f t="shared" si="7"/>
        <v>1.0686707879607377E-2</v>
      </c>
      <c r="P34" s="165">
        <f>(INDEX(Models!$BJ34:$BT34,,T34)*(1-R34)+INDEX(Models!$BJ34:$BT34,,T34+1)*R34-ERP_i)*Q34*Ramure*Pc/MaxiM</f>
        <v>8.0176366406176279E-7</v>
      </c>
      <c r="Q34" s="301">
        <f t="shared" si="24"/>
        <v>0.5</v>
      </c>
      <c r="R34" s="173">
        <f t="shared" si="8"/>
        <v>0.99035311899837875</v>
      </c>
      <c r="S34" s="801">
        <f t="shared" si="25"/>
        <v>-1</v>
      </c>
      <c r="T34" s="172">
        <f t="shared" si="26"/>
        <v>5</v>
      </c>
      <c r="U34" s="247">
        <f t="shared" si="27"/>
        <v>-9.6468810016212478E-3</v>
      </c>
      <c r="V34" s="378">
        <f t="shared" si="9"/>
        <v>114.52082059878799</v>
      </c>
      <c r="W34" s="397"/>
      <c r="X34" s="153">
        <f t="shared" si="10"/>
        <v>44581</v>
      </c>
      <c r="Y34" s="380">
        <f t="shared" si="11"/>
        <v>24.064</v>
      </c>
      <c r="Z34" s="380">
        <f t="shared" si="12"/>
        <v>24.375647598808452</v>
      </c>
      <c r="AA34" s="381">
        <f t="shared" si="13"/>
        <v>24.638956934020555</v>
      </c>
      <c r="AB34" s="193">
        <f t="shared" si="14"/>
        <v>44581</v>
      </c>
      <c r="AC34" s="420">
        <f t="shared" si="15"/>
        <v>1.0686707879607377E-2</v>
      </c>
      <c r="AD34" s="165">
        <f>(INDEX(Models!$BJ34:$BT34,,AH34)*(1-AF34)+INDEX(Models!$BJ34:$BT34,,AH34+1)*AF34-ERP_i)*AE34*Ramure*Pc/MaxiM</f>
        <v>8.0176366406176279E-7</v>
      </c>
      <c r="AE34" s="301">
        <f t="shared" si="16"/>
        <v>0.5</v>
      </c>
      <c r="AF34" s="173">
        <f t="shared" si="17"/>
        <v>0.99035311899837875</v>
      </c>
      <c r="AG34" s="801">
        <f t="shared" si="28"/>
        <v>-1</v>
      </c>
      <c r="AH34" s="172">
        <f t="shared" si="18"/>
        <v>5</v>
      </c>
      <c r="AI34" s="221">
        <f t="shared" si="19"/>
        <v>-9.6468810016212478E-3</v>
      </c>
      <c r="AJ34" s="261" t="b">
        <f t="shared" si="20"/>
        <v>0</v>
      </c>
      <c r="AK34" s="261" t="b">
        <f t="shared" si="21"/>
        <v>0</v>
      </c>
      <c r="AL34" s="261"/>
      <c r="AM34" s="261"/>
      <c r="AN34" s="75"/>
      <c r="AV34" s="153">
        <f t="shared" si="29"/>
        <v>44216</v>
      </c>
      <c r="AW34" s="608"/>
      <c r="AX34" s="385"/>
      <c r="AY34" s="388"/>
      <c r="AZ34" s="380"/>
      <c r="BA34" s="380"/>
      <c r="BB34" s="110"/>
      <c r="BD34" s="375"/>
      <c r="BE34" s="85"/>
      <c r="BF34" s="193">
        <f t="shared" si="22"/>
        <v>44581</v>
      </c>
      <c r="BG34" s="430"/>
      <c r="BH34" s="846"/>
      <c r="BI34" s="846"/>
      <c r="BJ34" s="320"/>
      <c r="BK34" s="378"/>
    </row>
    <row r="35" spans="1:63" s="6" customFormat="1" ht="11.25" customHeight="1" x14ac:dyDescent="0.2">
      <c r="A35" s="56">
        <f t="shared" si="23"/>
        <v>44582</v>
      </c>
      <c r="B35" s="608">
        <v>60.411000000000001</v>
      </c>
      <c r="C35" s="385"/>
      <c r="D35" s="388">
        <f t="shared" si="30"/>
        <v>61.194216367623937</v>
      </c>
      <c r="E35" s="380">
        <f t="shared" si="31"/>
        <v>61.859192529623868</v>
      </c>
      <c r="F35" s="380">
        <f t="shared" si="32"/>
        <v>61.859209054823204</v>
      </c>
      <c r="G35" s="110">
        <f t="shared" si="33"/>
        <v>0.52221112462440289</v>
      </c>
      <c r="I35" s="375">
        <f t="shared" si="4"/>
        <v>61.859209054823204</v>
      </c>
      <c r="J35" s="85">
        <v>2022</v>
      </c>
      <c r="K35" s="193">
        <f t="shared" si="5"/>
        <v>44582</v>
      </c>
      <c r="L35" s="430">
        <f t="shared" si="6"/>
        <v>1.2798862606864136E-2</v>
      </c>
      <c r="M35" s="846"/>
      <c r="N35" s="846"/>
      <c r="O35" s="320">
        <f t="shared" si="7"/>
        <v>1.0749835793305544E-2</v>
      </c>
      <c r="P35" s="165">
        <f>(INDEX(Models!$BJ35:$BT35,,T35)*(1-R35)+INDEX(Models!$BJ35:$BT35,,T35+1)*R35-ERP_i)*Q35*Ramure*Pc/MaxiM</f>
        <v>8.4153852143805281E-7</v>
      </c>
      <c r="Q35" s="301">
        <f t="shared" si="24"/>
        <v>0.5</v>
      </c>
      <c r="R35" s="173">
        <f t="shared" si="8"/>
        <v>0.99041668823561491</v>
      </c>
      <c r="S35" s="801">
        <f t="shared" si="25"/>
        <v>-1</v>
      </c>
      <c r="T35" s="172">
        <f t="shared" si="26"/>
        <v>5</v>
      </c>
      <c r="U35" s="247">
        <f t="shared" si="27"/>
        <v>-9.5833117643850576E-3</v>
      </c>
      <c r="V35" s="378">
        <f t="shared" si="9"/>
        <v>115.68303019890479</v>
      </c>
      <c r="W35" s="397"/>
      <c r="X35" s="153">
        <f t="shared" si="10"/>
        <v>44582</v>
      </c>
      <c r="Y35" s="380">
        <f t="shared" si="11"/>
        <v>60.411000000000001</v>
      </c>
      <c r="Z35" s="380">
        <f t="shared" si="12"/>
        <v>61.194216367623937</v>
      </c>
      <c r="AA35" s="381">
        <f t="shared" si="13"/>
        <v>61.859192529623868</v>
      </c>
      <c r="AB35" s="193">
        <f t="shared" si="14"/>
        <v>44582</v>
      </c>
      <c r="AC35" s="420">
        <f t="shared" si="15"/>
        <v>1.0749835793305544E-2</v>
      </c>
      <c r="AD35" s="165">
        <f>(INDEX(Models!$BJ35:$BT35,,AH35)*(1-AF35)+INDEX(Models!$BJ35:$BT35,,AH35+1)*AF35-ERP_i)*AE35*Ramure*Pc/MaxiM</f>
        <v>8.4153852143805281E-7</v>
      </c>
      <c r="AE35" s="301">
        <f t="shared" si="16"/>
        <v>0.5</v>
      </c>
      <c r="AF35" s="173">
        <f t="shared" si="17"/>
        <v>0.99041668823561491</v>
      </c>
      <c r="AG35" s="801">
        <f t="shared" si="28"/>
        <v>-1</v>
      </c>
      <c r="AH35" s="172">
        <f t="shared" si="18"/>
        <v>5</v>
      </c>
      <c r="AI35" s="221">
        <f t="shared" si="19"/>
        <v>-9.5833117643850576E-3</v>
      </c>
      <c r="AJ35" s="261" t="b">
        <f t="shared" si="20"/>
        <v>0</v>
      </c>
      <c r="AK35" s="261" t="b">
        <f t="shared" si="21"/>
        <v>0</v>
      </c>
      <c r="AL35" s="261"/>
      <c r="AM35" s="261"/>
      <c r="AN35" s="75"/>
      <c r="AV35" s="153">
        <f t="shared" si="29"/>
        <v>44217</v>
      </c>
      <c r="AW35" s="608"/>
      <c r="AX35" s="385"/>
      <c r="AY35" s="388"/>
      <c r="AZ35" s="380"/>
      <c r="BA35" s="380"/>
      <c r="BB35" s="110"/>
      <c r="BD35" s="375"/>
      <c r="BE35" s="85"/>
      <c r="BF35" s="193">
        <f t="shared" si="22"/>
        <v>44582</v>
      </c>
      <c r="BG35" s="430"/>
      <c r="BH35" s="846"/>
      <c r="BI35" s="846"/>
      <c r="BJ35" s="320"/>
      <c r="BK35" s="378"/>
    </row>
    <row r="36" spans="1:63" s="6" customFormat="1" ht="11.25" customHeight="1" x14ac:dyDescent="0.2">
      <c r="A36" s="56">
        <f t="shared" si="23"/>
        <v>44583</v>
      </c>
      <c r="B36" s="608">
        <v>116.014</v>
      </c>
      <c r="C36" s="385"/>
      <c r="D36" s="388">
        <f t="shared" si="30"/>
        <v>117.51972407253433</v>
      </c>
      <c r="E36" s="380">
        <f t="shared" si="31"/>
        <v>118.80434590133878</v>
      </c>
      <c r="F36" s="380">
        <f t="shared" si="32"/>
        <v>118.80444939274724</v>
      </c>
      <c r="G36" s="110">
        <f t="shared" si="33"/>
        <v>0.99277548400958171</v>
      </c>
      <c r="I36" s="375">
        <f t="shared" si="4"/>
        <v>118.80444939274724</v>
      </c>
      <c r="J36" s="85">
        <v>2022</v>
      </c>
      <c r="K36" s="193">
        <f t="shared" si="5"/>
        <v>44583</v>
      </c>
      <c r="L36" s="430">
        <f t="shared" si="6"/>
        <v>1.2812522190785547E-2</v>
      </c>
      <c r="M36" s="846"/>
      <c r="N36" s="846"/>
      <c r="O36" s="320">
        <f t="shared" si="7"/>
        <v>1.0812919502719835E-2</v>
      </c>
      <c r="P36" s="165">
        <f>(INDEX(Models!$BJ36:$BT36,,T36)*(1-R36)+INDEX(Models!$BJ36:$BT36,,T36+1)*R36-ERP_i)*Q36*Ramure*Pc/MaxiM</f>
        <v>8.8019138908728956E-7</v>
      </c>
      <c r="Q36" s="301">
        <f t="shared" si="24"/>
        <v>0.5</v>
      </c>
      <c r="R36" s="173">
        <f t="shared" si="8"/>
        <v>0.99048290711439702</v>
      </c>
      <c r="S36" s="801">
        <f t="shared" si="25"/>
        <v>-1</v>
      </c>
      <c r="T36" s="172">
        <f t="shared" si="26"/>
        <v>5</v>
      </c>
      <c r="U36" s="247">
        <f t="shared" si="27"/>
        <v>-9.5170928856029621E-3</v>
      </c>
      <c r="V36" s="378">
        <f t="shared" si="9"/>
        <v>116.85824319266078</v>
      </c>
      <c r="W36" s="397"/>
      <c r="X36" s="153">
        <f t="shared" si="10"/>
        <v>44583</v>
      </c>
      <c r="Y36" s="380">
        <f t="shared" si="11"/>
        <v>116.014</v>
      </c>
      <c r="Z36" s="380">
        <f t="shared" si="12"/>
        <v>117.51972407253433</v>
      </c>
      <c r="AA36" s="381">
        <f t="shared" si="13"/>
        <v>118.80434590133878</v>
      </c>
      <c r="AB36" s="193">
        <f t="shared" si="14"/>
        <v>44583</v>
      </c>
      <c r="AC36" s="420">
        <f t="shared" si="15"/>
        <v>1.0812919502719835E-2</v>
      </c>
      <c r="AD36" s="165">
        <f>(INDEX(Models!$BJ36:$BT36,,AH36)*(1-AF36)+INDEX(Models!$BJ36:$BT36,,AH36+1)*AF36-ERP_i)*AE36*Ramure*Pc/MaxiM</f>
        <v>8.8019138908728956E-7</v>
      </c>
      <c r="AE36" s="301">
        <f t="shared" si="16"/>
        <v>0.5</v>
      </c>
      <c r="AF36" s="173">
        <f t="shared" si="17"/>
        <v>0.99048290711439702</v>
      </c>
      <c r="AG36" s="801">
        <f t="shared" si="28"/>
        <v>-1</v>
      </c>
      <c r="AH36" s="172">
        <f t="shared" si="18"/>
        <v>5</v>
      </c>
      <c r="AI36" s="221">
        <f t="shared" si="19"/>
        <v>-9.5170928856029621E-3</v>
      </c>
      <c r="AJ36" s="261" t="b">
        <f t="shared" si="20"/>
        <v>0</v>
      </c>
      <c r="AK36" s="261" t="b">
        <f t="shared" si="21"/>
        <v>0</v>
      </c>
      <c r="AL36" s="261"/>
      <c r="AM36" s="261"/>
      <c r="AN36" s="75"/>
      <c r="AV36" s="153">
        <f t="shared" si="29"/>
        <v>44218</v>
      </c>
      <c r="AW36" s="608"/>
      <c r="AX36" s="385"/>
      <c r="AY36" s="388"/>
      <c r="AZ36" s="380"/>
      <c r="BA36" s="380"/>
      <c r="BB36" s="110"/>
      <c r="BD36" s="375"/>
      <c r="BE36" s="85"/>
      <c r="BF36" s="193">
        <f t="shared" si="22"/>
        <v>44583</v>
      </c>
      <c r="BG36" s="430"/>
      <c r="BH36" s="846"/>
      <c r="BI36" s="846"/>
      <c r="BJ36" s="320"/>
      <c r="BK36" s="378"/>
    </row>
    <row r="37" spans="1:63" s="6" customFormat="1" ht="11.25" customHeight="1" x14ac:dyDescent="0.2">
      <c r="A37" s="56">
        <f t="shared" si="23"/>
        <v>44584</v>
      </c>
      <c r="B37" s="608">
        <v>117.917</v>
      </c>
      <c r="C37" s="385"/>
      <c r="D37" s="388">
        <f t="shared" si="30"/>
        <v>119.44907553327491</v>
      </c>
      <c r="E37" s="380">
        <f t="shared" si="31"/>
        <v>120.76248344904482</v>
      </c>
      <c r="F37" s="380">
        <f t="shared" si="32"/>
        <v>120.76259406342568</v>
      </c>
      <c r="G37" s="110">
        <f t="shared" si="33"/>
        <v>0.99883350037519691</v>
      </c>
      <c r="I37" s="375">
        <f t="shared" si="4"/>
        <v>120.76259406342568</v>
      </c>
      <c r="J37" s="85">
        <v>2022</v>
      </c>
      <c r="K37" s="193">
        <f t="shared" si="5"/>
        <v>44584</v>
      </c>
      <c r="L37" s="430">
        <f t="shared" si="6"/>
        <v>1.2826181587718644E-2</v>
      </c>
      <c r="M37" s="846"/>
      <c r="N37" s="846"/>
      <c r="O37" s="320">
        <f t="shared" si="7"/>
        <v>1.0875959803560166E-2</v>
      </c>
      <c r="P37" s="165">
        <f>(INDEX(Models!$BJ37:$BT37,,T37)*(1-R37)+INDEX(Models!$BJ37:$BT37,,T37+1)*R37-ERP_i)*Q37*Ramure*Pc/MaxiM</f>
        <v>9.1749452778162882E-7</v>
      </c>
      <c r="Q37" s="301">
        <f t="shared" si="24"/>
        <v>0.5</v>
      </c>
      <c r="R37" s="173">
        <f t="shared" si="8"/>
        <v>0.99055188532517435</v>
      </c>
      <c r="S37" s="801">
        <f t="shared" si="25"/>
        <v>-1</v>
      </c>
      <c r="T37" s="172">
        <f t="shared" si="26"/>
        <v>5</v>
      </c>
      <c r="U37" s="247">
        <f t="shared" si="27"/>
        <v>-9.4481146748256681E-3</v>
      </c>
      <c r="V37" s="378">
        <f t="shared" si="9"/>
        <v>118.0547105953279</v>
      </c>
      <c r="W37" s="397"/>
      <c r="X37" s="153">
        <f t="shared" si="10"/>
        <v>44584</v>
      </c>
      <c r="Y37" s="380">
        <f t="shared" si="11"/>
        <v>117.917</v>
      </c>
      <c r="Z37" s="380">
        <f t="shared" si="12"/>
        <v>119.44907553327491</v>
      </c>
      <c r="AA37" s="381">
        <f t="shared" si="13"/>
        <v>120.76248344904482</v>
      </c>
      <c r="AB37" s="193">
        <f t="shared" si="14"/>
        <v>44584</v>
      </c>
      <c r="AC37" s="420">
        <f t="shared" si="15"/>
        <v>1.0875959803560166E-2</v>
      </c>
      <c r="AD37" s="165">
        <f>(INDEX(Models!$BJ37:$BT37,,AH37)*(1-AF37)+INDEX(Models!$BJ37:$BT37,,AH37+1)*AF37-ERP_i)*AE37*Ramure*Pc/MaxiM</f>
        <v>9.1749452778162882E-7</v>
      </c>
      <c r="AE37" s="301">
        <f t="shared" si="16"/>
        <v>0.5</v>
      </c>
      <c r="AF37" s="173">
        <f t="shared" si="17"/>
        <v>0.99055188532517435</v>
      </c>
      <c r="AG37" s="801">
        <f t="shared" si="28"/>
        <v>-1</v>
      </c>
      <c r="AH37" s="172">
        <f t="shared" si="18"/>
        <v>5</v>
      </c>
      <c r="AI37" s="221">
        <f t="shared" si="19"/>
        <v>-9.4481146748256681E-3</v>
      </c>
      <c r="AJ37" s="261" t="b">
        <f t="shared" si="20"/>
        <v>0</v>
      </c>
      <c r="AK37" s="261" t="b">
        <f t="shared" si="21"/>
        <v>0</v>
      </c>
      <c r="AL37" s="261"/>
      <c r="AM37" s="261"/>
      <c r="AN37" s="75"/>
      <c r="AV37" s="153">
        <f t="shared" si="29"/>
        <v>44219</v>
      </c>
      <c r="AW37" s="608"/>
      <c r="AX37" s="385"/>
      <c r="AY37" s="388"/>
      <c r="AZ37" s="380"/>
      <c r="BA37" s="380"/>
      <c r="BB37" s="110"/>
      <c r="BD37" s="375"/>
      <c r="BE37" s="85"/>
      <c r="BF37" s="193">
        <f t="shared" si="22"/>
        <v>44584</v>
      </c>
      <c r="BG37" s="430"/>
      <c r="BH37" s="846"/>
      <c r="BI37" s="846"/>
      <c r="BJ37" s="320"/>
      <c r="BK37" s="378"/>
    </row>
    <row r="38" spans="1:63" s="6" customFormat="1" ht="11.25" customHeight="1" x14ac:dyDescent="0.2">
      <c r="A38" s="56">
        <f t="shared" si="23"/>
        <v>44585</v>
      </c>
      <c r="B38" s="608">
        <v>119.367</v>
      </c>
      <c r="C38" s="385"/>
      <c r="D38" s="388">
        <f t="shared" si="30"/>
        <v>120.91958826261128</v>
      </c>
      <c r="E38" s="380">
        <f t="shared" si="31"/>
        <v>122.2569518570437</v>
      </c>
      <c r="F38" s="380">
        <f t="shared" si="32"/>
        <v>122.2570683053769</v>
      </c>
      <c r="G38" s="110">
        <f t="shared" si="33"/>
        <v>1.000721756393286</v>
      </c>
      <c r="I38" s="375">
        <f t="shared" si="4"/>
        <v>122.2570683053769</v>
      </c>
      <c r="J38" s="85">
        <v>2022</v>
      </c>
      <c r="K38" s="193">
        <f t="shared" si="5"/>
        <v>44585</v>
      </c>
      <c r="L38" s="430">
        <f t="shared" si="6"/>
        <v>1.2839840797666202E-2</v>
      </c>
      <c r="M38" s="846"/>
      <c r="N38" s="846"/>
      <c r="O38" s="320">
        <f t="shared" si="7"/>
        <v>1.0938957450830426E-2</v>
      </c>
      <c r="P38" s="165">
        <f>(INDEX(Models!$BJ38:$BT38,,T38)*(1-R38)+INDEX(Models!$BJ38:$BT38,,T38+1)*R38-ERP_i)*Q38*Ramure*Pc/MaxiM</f>
        <v>9.5248753148992636E-7</v>
      </c>
      <c r="Q38" s="301">
        <f t="shared" si="24"/>
        <v>0.5</v>
      </c>
      <c r="R38" s="173">
        <f t="shared" si="8"/>
        <v>0.99062373703540385</v>
      </c>
      <c r="S38" s="801">
        <f t="shared" si="25"/>
        <v>-1</v>
      </c>
      <c r="T38" s="172">
        <f t="shared" si="26"/>
        <v>5</v>
      </c>
      <c r="U38" s="247">
        <f t="shared" si="27"/>
        <v>-9.3762629645961909E-3</v>
      </c>
      <c r="V38" s="378">
        <f t="shared" si="9"/>
        <v>119.28090824187947</v>
      </c>
      <c r="W38" s="397"/>
      <c r="X38" s="153">
        <f t="shared" si="10"/>
        <v>44585</v>
      </c>
      <c r="Y38" s="380">
        <f t="shared" si="11"/>
        <v>119.367</v>
      </c>
      <c r="Z38" s="380">
        <f t="shared" si="12"/>
        <v>120.91958826261128</v>
      </c>
      <c r="AA38" s="381">
        <f t="shared" si="13"/>
        <v>122.2569518570437</v>
      </c>
      <c r="AB38" s="193">
        <f t="shared" si="14"/>
        <v>44585</v>
      </c>
      <c r="AC38" s="420">
        <f t="shared" si="15"/>
        <v>1.0938957450830426E-2</v>
      </c>
      <c r="AD38" s="165">
        <f>(INDEX(Models!$BJ38:$BT38,,AH38)*(1-AF38)+INDEX(Models!$BJ38:$BT38,,AH38+1)*AF38-ERP_i)*AE38*Ramure*Pc/MaxiM</f>
        <v>9.5248753148992636E-7</v>
      </c>
      <c r="AE38" s="301">
        <f t="shared" si="16"/>
        <v>0.5</v>
      </c>
      <c r="AF38" s="173">
        <f t="shared" si="17"/>
        <v>0.99062373703540385</v>
      </c>
      <c r="AG38" s="801">
        <f t="shared" si="28"/>
        <v>-1</v>
      </c>
      <c r="AH38" s="172">
        <f t="shared" si="18"/>
        <v>5</v>
      </c>
      <c r="AI38" s="221">
        <f t="shared" si="19"/>
        <v>-9.3762629645961909E-3</v>
      </c>
      <c r="AJ38" s="261" t="b">
        <f t="shared" si="20"/>
        <v>0</v>
      </c>
      <c r="AK38" s="261" t="b">
        <f t="shared" si="21"/>
        <v>0</v>
      </c>
      <c r="AL38" s="261"/>
      <c r="AM38" s="261"/>
      <c r="AN38" s="75"/>
      <c r="AV38" s="153">
        <f t="shared" si="29"/>
        <v>44220</v>
      </c>
      <c r="AW38" s="608"/>
      <c r="AX38" s="385"/>
      <c r="AY38" s="388"/>
      <c r="AZ38" s="380"/>
      <c r="BA38" s="380"/>
      <c r="BB38" s="110"/>
      <c r="BD38" s="375"/>
      <c r="BE38" s="85"/>
      <c r="BF38" s="193">
        <f t="shared" si="22"/>
        <v>44585</v>
      </c>
      <c r="BG38" s="430"/>
      <c r="BH38" s="846"/>
      <c r="BI38" s="846"/>
      <c r="BJ38" s="320"/>
      <c r="BK38" s="378"/>
    </row>
    <row r="39" spans="1:63" s="6" customFormat="1" ht="11.25" customHeight="1" x14ac:dyDescent="0.2">
      <c r="A39" s="56">
        <f t="shared" si="23"/>
        <v>44586</v>
      </c>
      <c r="B39" s="608">
        <v>118.25700000000001</v>
      </c>
      <c r="C39" s="385"/>
      <c r="D39" s="388">
        <f t="shared" si="30"/>
        <v>119.79680825339716</v>
      </c>
      <c r="E39" s="380">
        <f t="shared" si="31"/>
        <v>121.12946409630858</v>
      </c>
      <c r="F39" s="380">
        <f t="shared" si="32"/>
        <v>121.12958041502201</v>
      </c>
      <c r="G39" s="110">
        <f t="shared" si="33"/>
        <v>0.98110319576974048</v>
      </c>
      <c r="I39" s="375">
        <f t="shared" si="4"/>
        <v>121.12958041502201</v>
      </c>
      <c r="J39" s="85">
        <v>2022</v>
      </c>
      <c r="K39" s="193">
        <f t="shared" si="5"/>
        <v>44586</v>
      </c>
      <c r="L39" s="430">
        <f t="shared" si="6"/>
        <v>1.2853499820630554E-2</v>
      </c>
      <c r="M39" s="846"/>
      <c r="N39" s="846"/>
      <c r="O39" s="320">
        <f t="shared" si="7"/>
        <v>1.1001913141891228E-2</v>
      </c>
      <c r="P39" s="165">
        <f>(INDEX(Models!$BJ39:$BT39,,T39)*(1-R39)+INDEX(Models!$BJ39:$BT39,,T39+1)*R39-ERP_i)*Q39*Ramure*Pc/MaxiM</f>
        <v>9.8692575462597541E-7</v>
      </c>
      <c r="Q39" s="301">
        <f t="shared" si="24"/>
        <v>0.5</v>
      </c>
      <c r="R39" s="173">
        <f t="shared" si="8"/>
        <v>0.99069858106681208</v>
      </c>
      <c r="S39" s="801">
        <f t="shared" si="25"/>
        <v>-1</v>
      </c>
      <c r="T39" s="172">
        <f t="shared" si="26"/>
        <v>5</v>
      </c>
      <c r="U39" s="247">
        <f t="shared" si="27"/>
        <v>-9.301418933187958E-3</v>
      </c>
      <c r="V39" s="378">
        <f t="shared" si="9"/>
        <v>120.53471781483698</v>
      </c>
      <c r="W39" s="397"/>
      <c r="X39" s="153">
        <f t="shared" si="10"/>
        <v>44586</v>
      </c>
      <c r="Y39" s="380">
        <f t="shared" si="11"/>
        <v>118.25700000000001</v>
      </c>
      <c r="Z39" s="380">
        <f t="shared" si="12"/>
        <v>119.79680825339716</v>
      </c>
      <c r="AA39" s="381">
        <f t="shared" si="13"/>
        <v>121.12946409630858</v>
      </c>
      <c r="AB39" s="193">
        <f t="shared" si="14"/>
        <v>44586</v>
      </c>
      <c r="AC39" s="420">
        <f t="shared" si="15"/>
        <v>1.1001913141891228E-2</v>
      </c>
      <c r="AD39" s="165">
        <f>(INDEX(Models!$BJ39:$BT39,,AH39)*(1-AF39)+INDEX(Models!$BJ39:$BT39,,AH39+1)*AF39-ERP_i)*AE39*Ramure*Pc/MaxiM</f>
        <v>9.8692575462597541E-7</v>
      </c>
      <c r="AE39" s="301">
        <f t="shared" si="16"/>
        <v>0.5</v>
      </c>
      <c r="AF39" s="173">
        <f t="shared" si="17"/>
        <v>0.99069858106681208</v>
      </c>
      <c r="AG39" s="801">
        <f t="shared" si="28"/>
        <v>-1</v>
      </c>
      <c r="AH39" s="172">
        <f t="shared" si="18"/>
        <v>5</v>
      </c>
      <c r="AI39" s="221">
        <f t="shared" si="19"/>
        <v>-9.301418933187958E-3</v>
      </c>
      <c r="AJ39" s="261" t="b">
        <f t="shared" si="20"/>
        <v>0</v>
      </c>
      <c r="AK39" s="261" t="b">
        <f t="shared" si="21"/>
        <v>0</v>
      </c>
      <c r="AL39" s="261"/>
      <c r="AM39" s="261"/>
      <c r="AN39" s="75"/>
      <c r="AV39" s="153">
        <f t="shared" si="29"/>
        <v>44221</v>
      </c>
      <c r="AW39" s="608"/>
      <c r="AX39" s="385"/>
      <c r="AY39" s="388"/>
      <c r="AZ39" s="380"/>
      <c r="BA39" s="380"/>
      <c r="BB39" s="110"/>
      <c r="BD39" s="375"/>
      <c r="BE39" s="85"/>
      <c r="BF39" s="193">
        <f t="shared" si="22"/>
        <v>44586</v>
      </c>
      <c r="BG39" s="430"/>
      <c r="BH39" s="846"/>
      <c r="BI39" s="846"/>
      <c r="BJ39" s="320"/>
      <c r="BK39" s="378"/>
    </row>
    <row r="40" spans="1:63" s="6" customFormat="1" ht="11.25" x14ac:dyDescent="0.2">
      <c r="A40" s="56">
        <f t="shared" si="23"/>
        <v>44587</v>
      </c>
      <c r="B40" s="608">
        <v>120.33200000000001</v>
      </c>
      <c r="C40" s="385"/>
      <c r="D40" s="388">
        <f t="shared" si="30"/>
        <v>121.90051324423632</v>
      </c>
      <c r="E40" s="380">
        <f t="shared" si="31"/>
        <v>123.26441270784174</v>
      </c>
      <c r="F40" s="380">
        <f t="shared" si="32"/>
        <v>123.264536354387</v>
      </c>
      <c r="G40" s="110">
        <f t="shared" si="33"/>
        <v>0.98783371606743398</v>
      </c>
      <c r="I40" s="375">
        <f t="shared" si="4"/>
        <v>123.264536354387</v>
      </c>
      <c r="J40" s="85">
        <v>2022</v>
      </c>
      <c r="K40" s="193">
        <f t="shared" si="5"/>
        <v>44587</v>
      </c>
      <c r="L40" s="430">
        <f t="shared" si="6"/>
        <v>1.2867158656614364E-2</v>
      </c>
      <c r="M40" s="846"/>
      <c r="N40" s="846"/>
      <c r="O40" s="320">
        <f t="shared" si="7"/>
        <v>1.1064827500846497E-2</v>
      </c>
      <c r="P40" s="165">
        <f>(INDEX(Models!$BJ40:$BT40,,T40)*(1-R40)+INDEX(Models!$BJ40:$BT40,,T40+1)*R40-ERP_i)*Q40*Ramure*Pc/MaxiM</f>
        <v>1.02084171576044E-6</v>
      </c>
      <c r="Q40" s="301">
        <f t="shared" si="24"/>
        <v>0.5</v>
      </c>
      <c r="R40" s="173">
        <f t="shared" si="8"/>
        <v>0.99077654107920476</v>
      </c>
      <c r="S40" s="801">
        <f t="shared" si="25"/>
        <v>-1</v>
      </c>
      <c r="T40" s="172">
        <f t="shared" si="26"/>
        <v>5</v>
      </c>
      <c r="U40" s="247">
        <f t="shared" si="27"/>
        <v>-9.2234589207952893E-3</v>
      </c>
      <c r="V40" s="378">
        <f t="shared" si="9"/>
        <v>121.81402184168698</v>
      </c>
      <c r="W40" s="397"/>
      <c r="X40" s="153">
        <f t="shared" si="10"/>
        <v>44587</v>
      </c>
      <c r="Y40" s="380">
        <f t="shared" si="11"/>
        <v>120.33200000000001</v>
      </c>
      <c r="Z40" s="380">
        <f t="shared" si="12"/>
        <v>121.90051324423632</v>
      </c>
      <c r="AA40" s="381">
        <f t="shared" si="13"/>
        <v>123.26441270784174</v>
      </c>
      <c r="AB40" s="193">
        <f t="shared" si="14"/>
        <v>44587</v>
      </c>
      <c r="AC40" s="420">
        <f t="shared" si="15"/>
        <v>1.1064827500846497E-2</v>
      </c>
      <c r="AD40" s="165">
        <f>(INDEX(Models!$BJ40:$BT40,,AH40)*(1-AF40)+INDEX(Models!$BJ40:$BT40,,AH40+1)*AF40-ERP_i)*AE40*Ramure*Pc/MaxiM</f>
        <v>1.02084171576044E-6</v>
      </c>
      <c r="AE40" s="301">
        <f t="shared" si="16"/>
        <v>0.5</v>
      </c>
      <c r="AF40" s="173">
        <f t="shared" si="17"/>
        <v>0.99077654107920476</v>
      </c>
      <c r="AG40" s="801">
        <f t="shared" si="28"/>
        <v>-1</v>
      </c>
      <c r="AH40" s="172">
        <f t="shared" si="18"/>
        <v>5</v>
      </c>
      <c r="AI40" s="221">
        <f t="shared" si="19"/>
        <v>-9.2234589207952893E-3</v>
      </c>
      <c r="AJ40" s="261" t="b">
        <f t="shared" si="20"/>
        <v>0</v>
      </c>
      <c r="AK40" s="261" t="b">
        <f t="shared" si="21"/>
        <v>0</v>
      </c>
      <c r="AL40" s="261"/>
      <c r="AM40" s="261"/>
      <c r="AN40" s="75"/>
      <c r="AV40" s="153">
        <f t="shared" si="29"/>
        <v>44222</v>
      </c>
      <c r="AW40" s="608"/>
      <c r="AX40" s="385"/>
      <c r="AY40" s="388"/>
      <c r="AZ40" s="380"/>
      <c r="BA40" s="380"/>
      <c r="BB40" s="110"/>
      <c r="BD40" s="375"/>
      <c r="BE40" s="85"/>
      <c r="BF40" s="193">
        <f t="shared" si="22"/>
        <v>44587</v>
      </c>
      <c r="BG40" s="430"/>
      <c r="BH40" s="846"/>
      <c r="BI40" s="846"/>
      <c r="BJ40" s="320"/>
      <c r="BK40" s="378"/>
    </row>
    <row r="41" spans="1:63" s="6" customFormat="1" ht="11.25" customHeight="1" x14ac:dyDescent="0.2">
      <c r="A41" s="56">
        <f t="shared" si="23"/>
        <v>44588</v>
      </c>
      <c r="B41" s="608">
        <v>122.286</v>
      </c>
      <c r="C41" s="385"/>
      <c r="D41" s="388">
        <f t="shared" si="30"/>
        <v>123.88169751317734</v>
      </c>
      <c r="E41" s="380">
        <f t="shared" si="31"/>
        <v>125.27572836909766</v>
      </c>
      <c r="F41" s="380">
        <f t="shared" si="32"/>
        <v>125.27585917077172</v>
      </c>
      <c r="G41" s="110">
        <f t="shared" si="33"/>
        <v>0.99325270459979709</v>
      </c>
      <c r="I41" s="375">
        <f t="shared" si="4"/>
        <v>125.27585917077172</v>
      </c>
      <c r="J41" s="85">
        <v>2022</v>
      </c>
      <c r="K41" s="193">
        <f t="shared" si="5"/>
        <v>44588</v>
      </c>
      <c r="L41" s="430">
        <f t="shared" si="6"/>
        <v>1.2880817305620185E-2</v>
      </c>
      <c r="M41" s="846"/>
      <c r="N41" s="846"/>
      <c r="O41" s="320">
        <f t="shared" si="7"/>
        <v>1.1127701064432147E-2</v>
      </c>
      <c r="P41" s="165">
        <f>(INDEX(Models!$BJ41:$BT41,,T41)*(1-R41)+INDEX(Models!$BJ41:$BT41,,T41+1)*R41-ERP_i)*Q41*Ramure*Pc/MaxiM</f>
        <v>1.0542712745200962E-6</v>
      </c>
      <c r="Q41" s="301">
        <f t="shared" si="24"/>
        <v>0.5</v>
      </c>
      <c r="R41" s="173">
        <f t="shared" si="8"/>
        <v>0.99085774576102648</v>
      </c>
      <c r="S41" s="801">
        <f t="shared" si="25"/>
        <v>-1</v>
      </c>
      <c r="T41" s="172">
        <f t="shared" si="26"/>
        <v>5</v>
      </c>
      <c r="U41" s="247">
        <f t="shared" si="27"/>
        <v>-9.1422542389735482E-3</v>
      </c>
      <c r="V41" s="378">
        <f t="shared" si="9"/>
        <v>123.11670352469662</v>
      </c>
      <c r="W41" s="397"/>
      <c r="X41" s="153">
        <f t="shared" si="10"/>
        <v>44588</v>
      </c>
      <c r="Y41" s="380">
        <f t="shared" si="11"/>
        <v>122.286</v>
      </c>
      <c r="Z41" s="380">
        <f t="shared" si="12"/>
        <v>123.88169751317734</v>
      </c>
      <c r="AA41" s="381">
        <f t="shared" si="13"/>
        <v>125.27572836909766</v>
      </c>
      <c r="AB41" s="193">
        <f t="shared" si="14"/>
        <v>44588</v>
      </c>
      <c r="AC41" s="420">
        <f t="shared" si="15"/>
        <v>1.1127701064432147E-2</v>
      </c>
      <c r="AD41" s="165">
        <f>(INDEX(Models!$BJ41:$BT41,,AH41)*(1-AF41)+INDEX(Models!$BJ41:$BT41,,AH41+1)*AF41-ERP_i)*AE41*Ramure*Pc/MaxiM</f>
        <v>1.0542712745200962E-6</v>
      </c>
      <c r="AE41" s="301">
        <f t="shared" si="16"/>
        <v>0.5</v>
      </c>
      <c r="AF41" s="173">
        <f t="shared" si="17"/>
        <v>0.99085774576102648</v>
      </c>
      <c r="AG41" s="801">
        <f t="shared" si="28"/>
        <v>-1</v>
      </c>
      <c r="AH41" s="172">
        <f t="shared" si="18"/>
        <v>5</v>
      </c>
      <c r="AI41" s="221">
        <f t="shared" si="19"/>
        <v>-9.1422542389735482E-3</v>
      </c>
      <c r="AJ41" s="261" t="b">
        <f t="shared" si="20"/>
        <v>0</v>
      </c>
      <c r="AK41" s="261" t="b">
        <f t="shared" si="21"/>
        <v>0</v>
      </c>
      <c r="AL41" s="261"/>
      <c r="AM41" s="261"/>
      <c r="AN41" s="75"/>
      <c r="AV41" s="153">
        <f t="shared" si="29"/>
        <v>44223</v>
      </c>
      <c r="AW41" s="608"/>
      <c r="AX41" s="385"/>
      <c r="AY41" s="388"/>
      <c r="AZ41" s="380"/>
      <c r="BA41" s="380"/>
      <c r="BB41" s="110"/>
      <c r="BD41" s="375"/>
      <c r="BE41" s="85"/>
      <c r="BF41" s="193">
        <f t="shared" si="22"/>
        <v>44588</v>
      </c>
      <c r="BG41" s="430"/>
      <c r="BH41" s="846"/>
      <c r="BI41" s="846"/>
      <c r="BJ41" s="320"/>
      <c r="BK41" s="378"/>
    </row>
    <row r="42" spans="1:63" s="6" customFormat="1" ht="11.25" x14ac:dyDescent="0.2">
      <c r="A42" s="56">
        <f t="shared" si="23"/>
        <v>44589</v>
      </c>
      <c r="B42" s="608">
        <v>18.945</v>
      </c>
      <c r="C42" s="385"/>
      <c r="D42" s="388">
        <f t="shared" si="30"/>
        <v>19.192476928678033</v>
      </c>
      <c r="E42" s="380">
        <f t="shared" si="31"/>
        <v>19.409681636189191</v>
      </c>
      <c r="F42" s="380">
        <f t="shared" si="32"/>
        <v>19.409681636189191</v>
      </c>
      <c r="G42" s="110">
        <f t="shared" si="33"/>
        <v>0.15224108759572255</v>
      </c>
      <c r="I42" s="375">
        <f t="shared" si="4"/>
        <v>19.409681636189191</v>
      </c>
      <c r="J42" s="85">
        <v>2022</v>
      </c>
      <c r="K42" s="193">
        <f t="shared" si="5"/>
        <v>44589</v>
      </c>
      <c r="L42" s="430">
        <f t="shared" si="6"/>
        <v>1.2894475767650571E-2</v>
      </c>
      <c r="M42" s="846"/>
      <c r="N42" s="846"/>
      <c r="O42" s="320">
        <f t="shared" si="7"/>
        <v>1.1190534269566989E-2</v>
      </c>
      <c r="P42" s="165">
        <f>(INDEX(Models!$BJ42:$BT42,,T42)*(1-R42)+INDEX(Models!$BJ42:$BT42,,T42+1)*R42-ERP_i)*Q42*Ramure*Pc/MaxiM</f>
        <v>1.0872534072054436E-6</v>
      </c>
      <c r="Q42" s="301">
        <f t="shared" si="24"/>
        <v>0.5</v>
      </c>
      <c r="R42" s="173">
        <f t="shared" si="8"/>
        <v>0.9909423290268724</v>
      </c>
      <c r="S42" s="801">
        <f t="shared" si="25"/>
        <v>-1</v>
      </c>
      <c r="T42" s="172">
        <f t="shared" si="26"/>
        <v>5</v>
      </c>
      <c r="U42" s="247">
        <f t="shared" si="27"/>
        <v>-9.0576709731275944E-3</v>
      </c>
      <c r="V42" s="378">
        <f t="shared" si="9"/>
        <v>124.44064674769498</v>
      </c>
      <c r="W42" s="397"/>
      <c r="X42" s="153">
        <f t="shared" si="10"/>
        <v>44589</v>
      </c>
      <c r="Y42" s="380">
        <f t="shared" si="11"/>
        <v>18.945</v>
      </c>
      <c r="Z42" s="380">
        <f t="shared" si="12"/>
        <v>19.192476928678033</v>
      </c>
      <c r="AA42" s="381">
        <f t="shared" si="13"/>
        <v>19.409681636189191</v>
      </c>
      <c r="AB42" s="193">
        <f t="shared" si="14"/>
        <v>44589</v>
      </c>
      <c r="AC42" s="420">
        <f t="shared" si="15"/>
        <v>1.1190534269566989E-2</v>
      </c>
      <c r="AD42" s="165">
        <f>(INDEX(Models!$BJ42:$BT42,,AH42)*(1-AF42)+INDEX(Models!$BJ42:$BT42,,AH42+1)*AF42-ERP_i)*AE42*Ramure*Pc/MaxiM</f>
        <v>1.0872534072054436E-6</v>
      </c>
      <c r="AE42" s="301">
        <f t="shared" si="16"/>
        <v>0.5</v>
      </c>
      <c r="AF42" s="173">
        <f t="shared" si="17"/>
        <v>0.9909423290268724</v>
      </c>
      <c r="AG42" s="801">
        <f t="shared" si="28"/>
        <v>-1</v>
      </c>
      <c r="AH42" s="172">
        <f t="shared" si="18"/>
        <v>5</v>
      </c>
      <c r="AI42" s="221">
        <f t="shared" si="19"/>
        <v>-9.0576709731275944E-3</v>
      </c>
      <c r="AJ42" s="261" t="b">
        <f t="shared" si="20"/>
        <v>0</v>
      </c>
      <c r="AK42" s="261" t="b">
        <f t="shared" si="21"/>
        <v>0</v>
      </c>
      <c r="AL42" s="261"/>
      <c r="AM42" s="261"/>
      <c r="AN42" s="75"/>
      <c r="AV42" s="153">
        <f t="shared" si="29"/>
        <v>44224</v>
      </c>
      <c r="AW42" s="608"/>
      <c r="AX42" s="385"/>
      <c r="AY42" s="388"/>
      <c r="AZ42" s="380"/>
      <c r="BA42" s="380"/>
      <c r="BB42" s="110"/>
      <c r="BD42" s="375"/>
      <c r="BE42" s="85"/>
      <c r="BF42" s="193">
        <f t="shared" si="22"/>
        <v>44589</v>
      </c>
      <c r="BG42" s="430"/>
      <c r="BH42" s="846"/>
      <c r="BI42" s="846"/>
      <c r="BJ42" s="320"/>
      <c r="BK42" s="378"/>
    </row>
    <row r="43" spans="1:63" s="6" customFormat="1" ht="11.25" customHeight="1" x14ac:dyDescent="0.2">
      <c r="A43" s="56">
        <f t="shared" si="23"/>
        <v>44590</v>
      </c>
      <c r="B43" s="608">
        <v>29.692</v>
      </c>
      <c r="C43" s="385"/>
      <c r="D43" s="388">
        <f t="shared" si="30"/>
        <v>30.080280290025883</v>
      </c>
      <c r="E43" s="380">
        <f t="shared" si="31"/>
        <v>30.422636176591364</v>
      </c>
      <c r="F43" s="380">
        <f t="shared" si="32"/>
        <v>30.422636176591364</v>
      </c>
      <c r="G43" s="110">
        <f t="shared" si="33"/>
        <v>0.23605569117657524</v>
      </c>
      <c r="I43" s="375">
        <f t="shared" si="4"/>
        <v>30.422636176591364</v>
      </c>
      <c r="J43" s="85">
        <v>2022</v>
      </c>
      <c r="K43" s="193">
        <f t="shared" si="5"/>
        <v>44590</v>
      </c>
      <c r="L43" s="430">
        <f t="shared" si="6"/>
        <v>1.2908134042708075E-2</v>
      </c>
      <c r="M43" s="846"/>
      <c r="N43" s="846"/>
      <c r="O43" s="320">
        <f t="shared" si="7"/>
        <v>1.1253327442705617E-2</v>
      </c>
      <c r="P43" s="165">
        <f>(INDEX(Models!$BJ43:$BT43,,T43)*(1-R43)+INDEX(Models!$BJ43:$BT43,,T43+1)*R43-ERP_i)*Q43*Ramure*Pc/MaxiM</f>
        <v>1.1198300103163108E-6</v>
      </c>
      <c r="Q43" s="301">
        <f t="shared" si="24"/>
        <v>0.5</v>
      </c>
      <c r="R43" s="173">
        <f t="shared" si="8"/>
        <v>0.99103043022215764</v>
      </c>
      <c r="S43" s="801">
        <f t="shared" si="25"/>
        <v>-1</v>
      </c>
      <c r="T43" s="172">
        <f t="shared" si="26"/>
        <v>5</v>
      </c>
      <c r="U43" s="247">
        <f t="shared" si="27"/>
        <v>-8.969569777842322E-3</v>
      </c>
      <c r="V43" s="378">
        <f t="shared" si="9"/>
        <v>125.78373604132696</v>
      </c>
      <c r="W43" s="397"/>
      <c r="X43" s="153">
        <f t="shared" si="10"/>
        <v>44590</v>
      </c>
      <c r="Y43" s="380">
        <f t="shared" si="11"/>
        <v>29.692</v>
      </c>
      <c r="Z43" s="380">
        <f t="shared" si="12"/>
        <v>30.080280290025883</v>
      </c>
      <c r="AA43" s="381">
        <f t="shared" si="13"/>
        <v>30.422636176591364</v>
      </c>
      <c r="AB43" s="193">
        <f t="shared" si="14"/>
        <v>44590</v>
      </c>
      <c r="AC43" s="420">
        <f t="shared" si="15"/>
        <v>1.1253327442705617E-2</v>
      </c>
      <c r="AD43" s="165">
        <f>(INDEX(Models!$BJ43:$BT43,,AH43)*(1-AF43)+INDEX(Models!$BJ43:$BT43,,AH43+1)*AF43-ERP_i)*AE43*Ramure*Pc/MaxiM</f>
        <v>1.1198300103163108E-6</v>
      </c>
      <c r="AE43" s="301">
        <f t="shared" si="16"/>
        <v>0.5</v>
      </c>
      <c r="AF43" s="173">
        <f t="shared" si="17"/>
        <v>0.99103043022215764</v>
      </c>
      <c r="AG43" s="801">
        <f t="shared" si="28"/>
        <v>-1</v>
      </c>
      <c r="AH43" s="172">
        <f t="shared" si="18"/>
        <v>5</v>
      </c>
      <c r="AI43" s="221">
        <f t="shared" si="19"/>
        <v>-8.969569777842322E-3</v>
      </c>
      <c r="AJ43" s="261" t="b">
        <f t="shared" si="20"/>
        <v>0</v>
      </c>
      <c r="AK43" s="261" t="b">
        <f t="shared" si="21"/>
        <v>0</v>
      </c>
      <c r="AL43" s="261"/>
      <c r="AM43" s="261"/>
      <c r="AN43" s="75"/>
      <c r="AV43" s="153">
        <f t="shared" si="29"/>
        <v>44225</v>
      </c>
      <c r="AW43" s="608"/>
      <c r="AX43" s="385"/>
      <c r="AY43" s="388"/>
      <c r="AZ43" s="380"/>
      <c r="BA43" s="380"/>
      <c r="BB43" s="110"/>
      <c r="BD43" s="375"/>
      <c r="BE43" s="85"/>
      <c r="BF43" s="193">
        <f t="shared" si="22"/>
        <v>44590</v>
      </c>
      <c r="BG43" s="430"/>
      <c r="BH43" s="846"/>
      <c r="BI43" s="846"/>
      <c r="BJ43" s="320"/>
      <c r="BK43" s="378"/>
    </row>
    <row r="44" spans="1:63" s="6" customFormat="1" ht="11.25" x14ac:dyDescent="0.2">
      <c r="A44" s="56">
        <f t="shared" si="23"/>
        <v>44591</v>
      </c>
      <c r="B44" s="608">
        <v>26.75</v>
      </c>
      <c r="C44" s="385"/>
      <c r="D44" s="388">
        <f t="shared" si="30"/>
        <v>27.100182930534899</v>
      </c>
      <c r="E44" s="380">
        <f t="shared" si="31"/>
        <v>27.410360787722297</v>
      </c>
      <c r="F44" s="380">
        <f t="shared" si="32"/>
        <v>27.410360787722297</v>
      </c>
      <c r="G44" s="110">
        <f t="shared" si="33"/>
        <v>0.21039136213208962</v>
      </c>
      <c r="I44" s="375">
        <f t="shared" si="4"/>
        <v>27.410360787722297</v>
      </c>
      <c r="J44" s="85">
        <v>2022</v>
      </c>
      <c r="K44" s="193">
        <f t="shared" si="5"/>
        <v>44591</v>
      </c>
      <c r="L44" s="430">
        <f t="shared" si="6"/>
        <v>1.2921792130795251E-2</v>
      </c>
      <c r="M44" s="846"/>
      <c r="N44" s="846"/>
      <c r="O44" s="320">
        <f t="shared" si="7"/>
        <v>1.1316080791112173E-2</v>
      </c>
      <c r="P44" s="165">
        <f>(INDEX(Models!$BJ44:$BT44,,T44)*(1-R44)+INDEX(Models!$BJ44:$BT44,,T44+1)*R44-ERP_i)*Q44*Ramure*Pc/MaxiM</f>
        <v>1.1493502202273401E-6</v>
      </c>
      <c r="Q44" s="301">
        <f t="shared" si="24"/>
        <v>0.5</v>
      </c>
      <c r="R44" s="173">
        <f t="shared" si="8"/>
        <v>0.99112219433515114</v>
      </c>
      <c r="S44" s="801">
        <f t="shared" si="25"/>
        <v>-1</v>
      </c>
      <c r="T44" s="172">
        <f t="shared" si="26"/>
        <v>5</v>
      </c>
      <c r="U44" s="247">
        <f t="shared" si="27"/>
        <v>-8.8778056648488504E-3</v>
      </c>
      <c r="V44" s="378">
        <f t="shared" si="9"/>
        <v>127.14385697112047</v>
      </c>
      <c r="W44" s="397"/>
      <c r="X44" s="153">
        <f t="shared" si="10"/>
        <v>44591</v>
      </c>
      <c r="Y44" s="380">
        <f t="shared" si="11"/>
        <v>26.75</v>
      </c>
      <c r="Z44" s="380">
        <f t="shared" si="12"/>
        <v>27.100182930534899</v>
      </c>
      <c r="AA44" s="381">
        <f t="shared" si="13"/>
        <v>27.410360787722297</v>
      </c>
      <c r="AB44" s="193">
        <f t="shared" si="14"/>
        <v>44591</v>
      </c>
      <c r="AC44" s="420">
        <f t="shared" si="15"/>
        <v>1.1316080791112173E-2</v>
      </c>
      <c r="AD44" s="165">
        <f>(INDEX(Models!$BJ44:$BT44,,AH44)*(1-AF44)+INDEX(Models!$BJ44:$BT44,,AH44+1)*AF44-ERP_i)*AE44*Ramure*Pc/MaxiM</f>
        <v>1.1493502202273401E-6</v>
      </c>
      <c r="AE44" s="301">
        <f t="shared" si="16"/>
        <v>0.5</v>
      </c>
      <c r="AF44" s="173">
        <f t="shared" si="17"/>
        <v>0.99112219433515114</v>
      </c>
      <c r="AG44" s="801">
        <f t="shared" si="28"/>
        <v>-1</v>
      </c>
      <c r="AH44" s="172">
        <f t="shared" si="18"/>
        <v>5</v>
      </c>
      <c r="AI44" s="221">
        <f t="shared" si="19"/>
        <v>-8.8778056648488504E-3</v>
      </c>
      <c r="AJ44" s="261" t="b">
        <f t="shared" si="20"/>
        <v>0</v>
      </c>
      <c r="AK44" s="261" t="b">
        <f t="shared" si="21"/>
        <v>0</v>
      </c>
      <c r="AL44" s="261"/>
      <c r="AM44" s="261"/>
      <c r="AN44" s="75"/>
      <c r="AV44" s="153">
        <f t="shared" si="29"/>
        <v>44226</v>
      </c>
      <c r="AW44" s="608"/>
      <c r="AX44" s="385"/>
      <c r="AY44" s="388"/>
      <c r="AZ44" s="380"/>
      <c r="BA44" s="380"/>
      <c r="BB44" s="110"/>
      <c r="BD44" s="375"/>
      <c r="BE44" s="85"/>
      <c r="BF44" s="193">
        <f t="shared" si="22"/>
        <v>44591</v>
      </c>
      <c r="BG44" s="430"/>
      <c r="BH44" s="846"/>
      <c r="BI44" s="846"/>
      <c r="BJ44" s="320"/>
      <c r="BK44" s="378"/>
    </row>
    <row r="45" spans="1:63" s="6" customFormat="1" ht="11.25" x14ac:dyDescent="0.2">
      <c r="A45" s="56">
        <f t="shared" si="23"/>
        <v>44592</v>
      </c>
      <c r="B45" s="608">
        <v>26.584</v>
      </c>
      <c r="C45" s="385"/>
      <c r="D45" s="388">
        <f t="shared" si="30"/>
        <v>26.932382487912811</v>
      </c>
      <c r="E45" s="380">
        <f t="shared" si="31"/>
        <v>27.242367789857944</v>
      </c>
      <c r="F45" s="380">
        <f t="shared" si="32"/>
        <v>27.242367789857944</v>
      </c>
      <c r="G45" s="110">
        <f t="shared" si="33"/>
        <v>0.20684871785471479</v>
      </c>
      <c r="I45" s="375">
        <f t="shared" si="4"/>
        <v>27.242367789857944</v>
      </c>
      <c r="J45" s="85">
        <v>2022</v>
      </c>
      <c r="K45" s="193">
        <f t="shared" si="5"/>
        <v>44592</v>
      </c>
      <c r="L45" s="430">
        <f t="shared" si="6"/>
        <v>1.2935450031914764E-2</v>
      </c>
      <c r="M45" s="846"/>
      <c r="N45" s="846"/>
      <c r="O45" s="320">
        <f t="shared" si="7"/>
        <v>1.1378794396151512E-2</v>
      </c>
      <c r="P45" s="165">
        <f>(INDEX(Models!$BJ45:$BT45,,T45)*(1-R45)+INDEX(Models!$BJ45:$BT45,,T45+1)*R45-ERP_i)*Q45*Ramure*Pc/MaxiM</f>
        <v>1.1739466123732988E-6</v>
      </c>
      <c r="Q45" s="301">
        <f t="shared" si="24"/>
        <v>0.5</v>
      </c>
      <c r="R45" s="173">
        <f t="shared" si="8"/>
        <v>0.99121777221658125</v>
      </c>
      <c r="S45" s="801">
        <f t="shared" si="25"/>
        <v>-1</v>
      </c>
      <c r="T45" s="172">
        <f t="shared" si="26"/>
        <v>5</v>
      </c>
      <c r="U45" s="247">
        <f t="shared" si="27"/>
        <v>-8.78222778341879E-3</v>
      </c>
      <c r="V45" s="378">
        <f t="shared" si="9"/>
        <v>128.51889568140882</v>
      </c>
      <c r="W45" s="397"/>
      <c r="X45" s="153">
        <f t="shared" si="10"/>
        <v>44592</v>
      </c>
      <c r="Y45" s="380">
        <f t="shared" si="11"/>
        <v>26.584</v>
      </c>
      <c r="Z45" s="380">
        <f t="shared" si="12"/>
        <v>26.932382487912811</v>
      </c>
      <c r="AA45" s="381">
        <f t="shared" si="13"/>
        <v>27.242367789857944</v>
      </c>
      <c r="AB45" s="193">
        <f t="shared" si="14"/>
        <v>44592</v>
      </c>
      <c r="AC45" s="420">
        <f t="shared" si="15"/>
        <v>1.1378794396151512E-2</v>
      </c>
      <c r="AD45" s="165">
        <f>(INDEX(Models!$BJ45:$BT45,,AH45)*(1-AF45)+INDEX(Models!$BJ45:$BT45,,AH45+1)*AF45-ERP_i)*AE45*Ramure*Pc/MaxiM</f>
        <v>1.1739466123732988E-6</v>
      </c>
      <c r="AE45" s="301">
        <f t="shared" si="16"/>
        <v>0.5</v>
      </c>
      <c r="AF45" s="173">
        <f t="shared" si="17"/>
        <v>0.99121777221658125</v>
      </c>
      <c r="AG45" s="801">
        <f t="shared" si="28"/>
        <v>-1</v>
      </c>
      <c r="AH45" s="172">
        <f t="shared" si="18"/>
        <v>5</v>
      </c>
      <c r="AI45" s="221">
        <f t="shared" si="19"/>
        <v>-8.78222778341879E-3</v>
      </c>
      <c r="AJ45" s="261" t="b">
        <f t="shared" si="20"/>
        <v>0</v>
      </c>
      <c r="AK45" s="261" t="b">
        <f t="shared" si="21"/>
        <v>0</v>
      </c>
      <c r="AL45" s="261"/>
      <c r="AM45" s="261"/>
      <c r="AN45" s="75"/>
      <c r="AV45" s="153">
        <f t="shared" si="29"/>
        <v>44227</v>
      </c>
      <c r="AW45" s="608"/>
      <c r="AX45" s="385"/>
      <c r="AY45" s="388"/>
      <c r="AZ45" s="380"/>
      <c r="BA45" s="380"/>
      <c r="BB45" s="110"/>
      <c r="BD45" s="375"/>
      <c r="BE45" s="85"/>
      <c r="BF45" s="193">
        <f t="shared" si="22"/>
        <v>44592</v>
      </c>
      <c r="BG45" s="430"/>
      <c r="BH45" s="846"/>
      <c r="BI45" s="846"/>
      <c r="BJ45" s="320"/>
      <c r="BK45" s="378"/>
    </row>
    <row r="46" spans="1:63" s="6" customFormat="1" ht="11.25" x14ac:dyDescent="0.2">
      <c r="A46" s="56">
        <f t="shared" si="23"/>
        <v>44593</v>
      </c>
      <c r="B46" s="608">
        <v>57.945</v>
      </c>
      <c r="C46" s="385"/>
      <c r="D46" s="388">
        <f t="shared" si="30"/>
        <v>58.705179697150747</v>
      </c>
      <c r="E46" s="380">
        <f t="shared" si="31"/>
        <v>59.384627019275584</v>
      </c>
      <c r="F46" s="380">
        <f t="shared" si="32"/>
        <v>59.384641801308028</v>
      </c>
      <c r="G46" s="110">
        <f t="shared" si="33"/>
        <v>0.44605034208384192</v>
      </c>
      <c r="I46" s="375">
        <f t="shared" si="4"/>
        <v>59.384641801308028</v>
      </c>
      <c r="J46" s="85">
        <v>2022</v>
      </c>
      <c r="K46" s="193">
        <f t="shared" si="5"/>
        <v>44593</v>
      </c>
      <c r="L46" s="430">
        <f t="shared" si="6"/>
        <v>1.2949107746068944E-2</v>
      </c>
      <c r="M46" s="846"/>
      <c r="N46" s="846"/>
      <c r="O46" s="320">
        <f t="shared" si="7"/>
        <v>1.1441468208671242E-2</v>
      </c>
      <c r="P46" s="165">
        <f>(INDEX(Models!$BJ46:$BT46,,T46)*(1-R46)+INDEX(Models!$BJ46:$BT46,,T46+1)*R46-ERP_i)*Q46*Ramure*Pc/MaxiM</f>
        <v>1.1930378415426603E-6</v>
      </c>
      <c r="Q46" s="301">
        <f t="shared" si="24"/>
        <v>0.5</v>
      </c>
      <c r="R46" s="173">
        <f t="shared" si="8"/>
        <v>0.99131732080702173</v>
      </c>
      <c r="S46" s="801">
        <f t="shared" si="25"/>
        <v>-1</v>
      </c>
      <c r="T46" s="172">
        <f t="shared" si="26"/>
        <v>5</v>
      </c>
      <c r="U46" s="247">
        <f t="shared" si="27"/>
        <v>-8.6826791929783161E-3</v>
      </c>
      <c r="V46" s="378">
        <f t="shared" si="9"/>
        <v>129.90673882768519</v>
      </c>
      <c r="W46" s="397"/>
      <c r="X46" s="153">
        <f t="shared" si="10"/>
        <v>44593</v>
      </c>
      <c r="Y46" s="380">
        <f t="shared" si="11"/>
        <v>57.945</v>
      </c>
      <c r="Z46" s="380">
        <f t="shared" si="12"/>
        <v>58.705179697150747</v>
      </c>
      <c r="AA46" s="381">
        <f t="shared" si="13"/>
        <v>59.384627019275584</v>
      </c>
      <c r="AB46" s="193">
        <f t="shared" si="14"/>
        <v>44593</v>
      </c>
      <c r="AC46" s="420">
        <f t="shared" si="15"/>
        <v>1.1441468208671242E-2</v>
      </c>
      <c r="AD46" s="165">
        <f>(INDEX(Models!$BJ46:$BT46,,AH46)*(1-AF46)+INDEX(Models!$BJ46:$BT46,,AH46+1)*AF46-ERP_i)*AE46*Ramure*Pc/MaxiM</f>
        <v>1.1930378415426603E-6</v>
      </c>
      <c r="AE46" s="301">
        <f t="shared" si="16"/>
        <v>0.5</v>
      </c>
      <c r="AF46" s="173">
        <f t="shared" si="17"/>
        <v>0.99131732080702173</v>
      </c>
      <c r="AG46" s="801">
        <f t="shared" si="28"/>
        <v>-1</v>
      </c>
      <c r="AH46" s="172">
        <f t="shared" si="18"/>
        <v>5</v>
      </c>
      <c r="AI46" s="221">
        <f t="shared" si="19"/>
        <v>-8.6826791929783161E-3</v>
      </c>
      <c r="AJ46" s="261" t="b">
        <f t="shared" si="20"/>
        <v>0</v>
      </c>
      <c r="AK46" s="261" t="b">
        <f t="shared" si="21"/>
        <v>0</v>
      </c>
      <c r="AL46" s="261"/>
      <c r="AM46" s="261"/>
      <c r="AN46" s="75"/>
      <c r="AV46" s="153">
        <f t="shared" si="29"/>
        <v>44228</v>
      </c>
      <c r="AW46" s="608"/>
      <c r="AX46" s="385"/>
      <c r="AY46" s="388"/>
      <c r="AZ46" s="380"/>
      <c r="BA46" s="380"/>
      <c r="BB46" s="110"/>
      <c r="BD46" s="375"/>
      <c r="BE46" s="85"/>
      <c r="BF46" s="193">
        <f t="shared" si="22"/>
        <v>44593</v>
      </c>
      <c r="BG46" s="430"/>
      <c r="BH46" s="846"/>
      <c r="BI46" s="846"/>
      <c r="BJ46" s="320"/>
      <c r="BK46" s="378"/>
    </row>
    <row r="47" spans="1:63" s="6" customFormat="1" ht="11.25" x14ac:dyDescent="0.2">
      <c r="A47" s="56">
        <f t="shared" si="23"/>
        <v>44594</v>
      </c>
      <c r="B47" s="608">
        <v>25.843</v>
      </c>
      <c r="C47" s="385"/>
      <c r="D47" s="388">
        <f t="shared" si="30"/>
        <v>26.182396256970605</v>
      </c>
      <c r="E47" s="380">
        <f t="shared" si="31"/>
        <v>26.487106634612363</v>
      </c>
      <c r="F47" s="380">
        <f t="shared" si="32"/>
        <v>26.487106634612363</v>
      </c>
      <c r="G47" s="110">
        <f t="shared" si="33"/>
        <v>0.19681592438986642</v>
      </c>
      <c r="I47" s="375">
        <f t="shared" si="4"/>
        <v>26.487106634612363</v>
      </c>
      <c r="J47" s="85">
        <v>2022</v>
      </c>
      <c r="K47" s="193">
        <f t="shared" si="5"/>
        <v>44594</v>
      </c>
      <c r="L47" s="430">
        <f t="shared" si="6"/>
        <v>1.2962765273260568E-2</v>
      </c>
      <c r="M47" s="846"/>
      <c r="N47" s="846"/>
      <c r="O47" s="320">
        <f t="shared" si="7"/>
        <v>1.1504102046524547E-2</v>
      </c>
      <c r="P47" s="165">
        <f>(INDEX(Models!$BJ47:$BT47,,T47)*(1-R47)+INDEX(Models!$BJ47:$BT47,,T47+1)*R47-ERP_i)*Q47*Ramure*Pc/MaxiM</f>
        <v>1.2060102750011504E-6</v>
      </c>
      <c r="Q47" s="301">
        <f t="shared" si="24"/>
        <v>0.5</v>
      </c>
      <c r="R47" s="173">
        <f t="shared" si="8"/>
        <v>0.99142100337226657</v>
      </c>
      <c r="S47" s="801">
        <f t="shared" si="25"/>
        <v>-1</v>
      </c>
      <c r="T47" s="172">
        <f t="shared" si="26"/>
        <v>5</v>
      </c>
      <c r="U47" s="247">
        <f t="shared" si="27"/>
        <v>-8.5789966277334349E-3</v>
      </c>
      <c r="V47" s="378">
        <f t="shared" si="9"/>
        <v>131.30527376374764</v>
      </c>
      <c r="W47" s="397"/>
      <c r="X47" s="153">
        <f t="shared" si="10"/>
        <v>44594</v>
      </c>
      <c r="Y47" s="380">
        <f t="shared" si="11"/>
        <v>25.843</v>
      </c>
      <c r="Z47" s="380">
        <f t="shared" si="12"/>
        <v>26.182396256970605</v>
      </c>
      <c r="AA47" s="381">
        <f t="shared" si="13"/>
        <v>26.487106634612363</v>
      </c>
      <c r="AB47" s="193">
        <f t="shared" si="14"/>
        <v>44594</v>
      </c>
      <c r="AC47" s="420">
        <f t="shared" si="15"/>
        <v>1.1504102046524547E-2</v>
      </c>
      <c r="AD47" s="165">
        <f>(INDEX(Models!$BJ47:$BT47,,AH47)*(1-AF47)+INDEX(Models!$BJ47:$BT47,,AH47+1)*AF47-ERP_i)*AE47*Ramure*Pc/MaxiM</f>
        <v>1.2060102750011504E-6</v>
      </c>
      <c r="AE47" s="301">
        <f t="shared" si="16"/>
        <v>0.5</v>
      </c>
      <c r="AF47" s="173">
        <f t="shared" si="17"/>
        <v>0.99142100337226657</v>
      </c>
      <c r="AG47" s="801">
        <f t="shared" si="28"/>
        <v>-1</v>
      </c>
      <c r="AH47" s="172">
        <f t="shared" si="18"/>
        <v>5</v>
      </c>
      <c r="AI47" s="221">
        <f t="shared" si="19"/>
        <v>-8.5789966277334349E-3</v>
      </c>
      <c r="AJ47" s="261" t="b">
        <f t="shared" si="20"/>
        <v>0</v>
      </c>
      <c r="AK47" s="261" t="b">
        <f t="shared" si="21"/>
        <v>0</v>
      </c>
      <c r="AL47" s="261"/>
      <c r="AM47" s="261"/>
      <c r="AN47" s="75"/>
      <c r="AV47" s="153">
        <f t="shared" si="29"/>
        <v>44229</v>
      </c>
      <c r="AW47" s="608"/>
      <c r="AX47" s="385"/>
      <c r="AY47" s="388"/>
      <c r="AZ47" s="380"/>
      <c r="BA47" s="380"/>
      <c r="BB47" s="110"/>
      <c r="BD47" s="375"/>
      <c r="BE47" s="85"/>
      <c r="BF47" s="193">
        <f t="shared" si="22"/>
        <v>44594</v>
      </c>
      <c r="BG47" s="430"/>
      <c r="BH47" s="846"/>
      <c r="BI47" s="846"/>
      <c r="BJ47" s="320"/>
      <c r="BK47" s="378"/>
    </row>
    <row r="48" spans="1:63" s="6" customFormat="1" ht="11.25" x14ac:dyDescent="0.2">
      <c r="A48" s="56">
        <f t="shared" si="23"/>
        <v>44595</v>
      </c>
      <c r="B48" s="608">
        <v>58.003999999999998</v>
      </c>
      <c r="C48" s="385"/>
      <c r="D48" s="388">
        <f t="shared" si="30"/>
        <v>58.766579977335482</v>
      </c>
      <c r="E48" s="380">
        <f t="shared" si="31"/>
        <v>59.454269413419631</v>
      </c>
      <c r="F48" s="380">
        <f t="shared" si="32"/>
        <v>59.454283525557202</v>
      </c>
      <c r="G48" s="110">
        <f t="shared" si="33"/>
        <v>0.43706502542368658</v>
      </c>
      <c r="I48" s="375">
        <f t="shared" si="4"/>
        <v>59.454283525557202</v>
      </c>
      <c r="J48" s="85">
        <v>2022</v>
      </c>
      <c r="K48" s="193">
        <f t="shared" si="5"/>
        <v>44595</v>
      </c>
      <c r="L48" s="430">
        <f t="shared" si="6"/>
        <v>1.2976422613492078E-2</v>
      </c>
      <c r="M48" s="846"/>
      <c r="N48" s="846"/>
      <c r="O48" s="320">
        <f t="shared" si="7"/>
        <v>1.1566695594260053E-2</v>
      </c>
      <c r="P48" s="165">
        <f>(INDEX(Models!$BJ48:$BT48,,T48)*(1-R48)+INDEX(Models!$BJ48:$BT48,,T48+1)*R48-ERP_i)*Q48*Ramure*Pc/MaxiM</f>
        <v>1.2122151029431271E-6</v>
      </c>
      <c r="Q48" s="301">
        <f t="shared" si="24"/>
        <v>0.5</v>
      </c>
      <c r="R48" s="173">
        <f t="shared" si="8"/>
        <v>0.99152898974689951</v>
      </c>
      <c r="S48" s="801">
        <f t="shared" si="25"/>
        <v>-1</v>
      </c>
      <c r="T48" s="172">
        <f t="shared" si="26"/>
        <v>5</v>
      </c>
      <c r="U48" s="247">
        <f t="shared" si="27"/>
        <v>-8.4710102531004514E-3</v>
      </c>
      <c r="V48" s="378">
        <f t="shared" si="9"/>
        <v>132.71238850175641</v>
      </c>
      <c r="W48" s="397"/>
      <c r="X48" s="153">
        <f t="shared" si="10"/>
        <v>44595</v>
      </c>
      <c r="Y48" s="380">
        <f t="shared" si="11"/>
        <v>58.003999999999998</v>
      </c>
      <c r="Z48" s="380">
        <f t="shared" si="12"/>
        <v>58.766579977335482</v>
      </c>
      <c r="AA48" s="381">
        <f t="shared" si="13"/>
        <v>59.454269413419631</v>
      </c>
      <c r="AB48" s="193">
        <f t="shared" si="14"/>
        <v>44595</v>
      </c>
      <c r="AC48" s="420">
        <f t="shared" si="15"/>
        <v>1.1566695594260053E-2</v>
      </c>
      <c r="AD48" s="165">
        <f>(INDEX(Models!$BJ48:$BT48,,AH48)*(1-AF48)+INDEX(Models!$BJ48:$BT48,,AH48+1)*AF48-ERP_i)*AE48*Ramure*Pc/MaxiM</f>
        <v>1.2122151029431271E-6</v>
      </c>
      <c r="AE48" s="301">
        <f t="shared" si="16"/>
        <v>0.5</v>
      </c>
      <c r="AF48" s="173">
        <f t="shared" si="17"/>
        <v>0.99152898974689951</v>
      </c>
      <c r="AG48" s="801">
        <f t="shared" si="28"/>
        <v>-1</v>
      </c>
      <c r="AH48" s="172">
        <f t="shared" si="18"/>
        <v>5</v>
      </c>
      <c r="AI48" s="221">
        <f t="shared" si="19"/>
        <v>-8.4710102531004514E-3</v>
      </c>
      <c r="AJ48" s="261" t="b">
        <f t="shared" si="20"/>
        <v>0</v>
      </c>
      <c r="AK48" s="261" t="b">
        <f t="shared" si="21"/>
        <v>0</v>
      </c>
      <c r="AL48" s="261"/>
      <c r="AM48" s="261"/>
      <c r="AN48" s="75"/>
      <c r="AV48" s="153">
        <f t="shared" si="29"/>
        <v>44230</v>
      </c>
      <c r="AW48" s="608"/>
      <c r="AX48" s="385"/>
      <c r="AY48" s="388"/>
      <c r="AZ48" s="380"/>
      <c r="BA48" s="380"/>
      <c r="BB48" s="110"/>
      <c r="BD48" s="375"/>
      <c r="BE48" s="85"/>
      <c r="BF48" s="193">
        <f t="shared" si="22"/>
        <v>44595</v>
      </c>
      <c r="BG48" s="430"/>
      <c r="BH48" s="846"/>
      <c r="BI48" s="846"/>
      <c r="BJ48" s="320"/>
      <c r="BK48" s="378"/>
    </row>
    <row r="49" spans="1:63" s="6" customFormat="1" ht="11.25" x14ac:dyDescent="0.2">
      <c r="A49" s="56">
        <f t="shared" si="23"/>
        <v>44596</v>
      </c>
      <c r="B49" s="608">
        <v>52.77</v>
      </c>
      <c r="C49" s="385"/>
      <c r="D49" s="388">
        <f t="shared" si="30"/>
        <v>53.46450822655386</v>
      </c>
      <c r="E49" s="380">
        <f t="shared" si="31"/>
        <v>54.093575857312224</v>
      </c>
      <c r="F49" s="380">
        <f t="shared" si="32"/>
        <v>54.093584600989601</v>
      </c>
      <c r="G49" s="110">
        <f t="shared" si="33"/>
        <v>0.3934356928455997</v>
      </c>
      <c r="I49" s="375">
        <f t="shared" si="4"/>
        <v>54.093584600989601</v>
      </c>
      <c r="J49" s="85">
        <v>2022</v>
      </c>
      <c r="K49" s="193">
        <f t="shared" si="5"/>
        <v>44596</v>
      </c>
      <c r="L49" s="430">
        <f t="shared" si="6"/>
        <v>1.2990079766766138E-2</v>
      </c>
      <c r="M49" s="846"/>
      <c r="N49" s="846"/>
      <c r="O49" s="320">
        <f t="shared" si="7"/>
        <v>1.1629248404980936E-2</v>
      </c>
      <c r="P49" s="165">
        <f>(INDEX(Models!$BJ49:$BT49,,T49)*(1-R49)+INDEX(Models!$BJ49:$BT49,,T49+1)*R49-ERP_i)*Q49*Ramure*Pc/MaxiM</f>
        <v>1.2109652311927166E-6</v>
      </c>
      <c r="Q49" s="301">
        <f t="shared" si="24"/>
        <v>0.5</v>
      </c>
      <c r="R49" s="173">
        <f t="shared" si="8"/>
        <v>0.99164145658626557</v>
      </c>
      <c r="S49" s="801">
        <f t="shared" si="25"/>
        <v>-1</v>
      </c>
      <c r="T49" s="172">
        <f t="shared" si="26"/>
        <v>5</v>
      </c>
      <c r="U49" s="247">
        <f t="shared" si="27"/>
        <v>-8.3585434137344837E-3</v>
      </c>
      <c r="V49" s="378">
        <f t="shared" si="9"/>
        <v>134.12597175772328</v>
      </c>
      <c r="W49" s="397"/>
      <c r="X49" s="153">
        <f t="shared" si="10"/>
        <v>44596</v>
      </c>
      <c r="Y49" s="380">
        <f t="shared" si="11"/>
        <v>52.77</v>
      </c>
      <c r="Z49" s="380">
        <f t="shared" si="12"/>
        <v>53.46450822655386</v>
      </c>
      <c r="AA49" s="381">
        <f t="shared" si="13"/>
        <v>54.093575857312224</v>
      </c>
      <c r="AB49" s="193">
        <f t="shared" si="14"/>
        <v>44596</v>
      </c>
      <c r="AC49" s="420">
        <f t="shared" si="15"/>
        <v>1.1629248404980936E-2</v>
      </c>
      <c r="AD49" s="165">
        <f>(INDEX(Models!$BJ49:$BT49,,AH49)*(1-AF49)+INDEX(Models!$BJ49:$BT49,,AH49+1)*AF49-ERP_i)*AE49*Ramure*Pc/MaxiM</f>
        <v>1.2109652311927166E-6</v>
      </c>
      <c r="AE49" s="301">
        <f t="shared" si="16"/>
        <v>0.5</v>
      </c>
      <c r="AF49" s="173">
        <f t="shared" si="17"/>
        <v>0.99164145658626557</v>
      </c>
      <c r="AG49" s="801">
        <f t="shared" si="28"/>
        <v>-1</v>
      </c>
      <c r="AH49" s="172">
        <f t="shared" si="18"/>
        <v>5</v>
      </c>
      <c r="AI49" s="221">
        <f t="shared" si="19"/>
        <v>-8.3585434137344837E-3</v>
      </c>
      <c r="AJ49" s="261" t="b">
        <f t="shared" si="20"/>
        <v>0</v>
      </c>
      <c r="AK49" s="261" t="b">
        <f t="shared" si="21"/>
        <v>0</v>
      </c>
      <c r="AL49" s="261"/>
      <c r="AM49" s="261"/>
      <c r="AN49" s="75"/>
      <c r="AV49" s="153">
        <f t="shared" si="29"/>
        <v>44231</v>
      </c>
      <c r="AW49" s="608"/>
      <c r="AX49" s="385"/>
      <c r="AY49" s="388"/>
      <c r="AZ49" s="380"/>
      <c r="BA49" s="380"/>
      <c r="BB49" s="110"/>
      <c r="BD49" s="375"/>
      <c r="BE49" s="85"/>
      <c r="BF49" s="193">
        <f t="shared" si="22"/>
        <v>44596</v>
      </c>
      <c r="BG49" s="430"/>
      <c r="BH49" s="846"/>
      <c r="BI49" s="846"/>
      <c r="BJ49" s="320"/>
      <c r="BK49" s="378"/>
    </row>
    <row r="50" spans="1:63" s="6" customFormat="1" ht="11.25" x14ac:dyDescent="0.2">
      <c r="A50" s="56">
        <f t="shared" si="23"/>
        <v>44597</v>
      </c>
      <c r="B50" s="608">
        <v>44.233000000000004</v>
      </c>
      <c r="C50" s="385"/>
      <c r="D50" s="388">
        <f t="shared" si="30"/>
        <v>44.815772507173122</v>
      </c>
      <c r="E50" s="380">
        <f t="shared" si="31"/>
        <v>45.345946425414688</v>
      </c>
      <c r="F50" s="380">
        <f t="shared" si="32"/>
        <v>45.345948475362562</v>
      </c>
      <c r="G50" s="110">
        <f t="shared" si="33"/>
        <v>0.32633666758042529</v>
      </c>
      <c r="I50" s="375">
        <f t="shared" si="4"/>
        <v>45.345948475362562</v>
      </c>
      <c r="J50" s="85">
        <v>2022</v>
      </c>
      <c r="K50" s="193">
        <f t="shared" si="5"/>
        <v>44597</v>
      </c>
      <c r="L50" s="430">
        <f t="shared" si="6"/>
        <v>1.3003736733085192E-2</v>
      </c>
      <c r="M50" s="846"/>
      <c r="N50" s="846"/>
      <c r="O50" s="320">
        <f t="shared" si="7"/>
        <v>1.1691759904352141E-2</v>
      </c>
      <c r="P50" s="165">
        <f>(INDEX(Models!$BJ50:$BT50,,T50)*(1-R50)+INDEX(Models!$BJ50:$BT50,,T50+1)*R50-ERP_i)*Q50*Ramure*Pc/MaxiM</f>
        <v>1.2015319474170094E-6</v>
      </c>
      <c r="Q50" s="301">
        <f t="shared" si="24"/>
        <v>0.5</v>
      </c>
      <c r="R50" s="173">
        <f t="shared" si="8"/>
        <v>0.99175858762704638</v>
      </c>
      <c r="S50" s="801">
        <f t="shared" si="25"/>
        <v>-1</v>
      </c>
      <c r="T50" s="172">
        <f t="shared" si="26"/>
        <v>5</v>
      </c>
      <c r="U50" s="247">
        <f t="shared" si="27"/>
        <v>-8.2414123729536333E-3</v>
      </c>
      <c r="V50" s="378">
        <f t="shared" si="9"/>
        <v>135.54391291738273</v>
      </c>
      <c r="W50" s="397"/>
      <c r="X50" s="153">
        <f t="shared" si="10"/>
        <v>44597</v>
      </c>
      <c r="Y50" s="380">
        <f t="shared" si="11"/>
        <v>44.233000000000004</v>
      </c>
      <c r="Z50" s="380">
        <f t="shared" si="12"/>
        <v>44.815772507173122</v>
      </c>
      <c r="AA50" s="381">
        <f t="shared" si="13"/>
        <v>45.345946425414688</v>
      </c>
      <c r="AB50" s="193">
        <f t="shared" si="14"/>
        <v>44597</v>
      </c>
      <c r="AC50" s="420">
        <f t="shared" si="15"/>
        <v>1.1691759904352141E-2</v>
      </c>
      <c r="AD50" s="165">
        <f>(INDEX(Models!$BJ50:$BT50,,AH50)*(1-AF50)+INDEX(Models!$BJ50:$BT50,,AH50+1)*AF50-ERP_i)*AE50*Ramure*Pc/MaxiM</f>
        <v>1.2015319474170094E-6</v>
      </c>
      <c r="AE50" s="301">
        <f t="shared" si="16"/>
        <v>0.5</v>
      </c>
      <c r="AF50" s="173">
        <f t="shared" si="17"/>
        <v>0.99175858762704638</v>
      </c>
      <c r="AG50" s="801">
        <f t="shared" si="28"/>
        <v>-1</v>
      </c>
      <c r="AH50" s="172">
        <f t="shared" si="18"/>
        <v>5</v>
      </c>
      <c r="AI50" s="221">
        <f t="shared" si="19"/>
        <v>-8.2414123729536333E-3</v>
      </c>
      <c r="AJ50" s="261" t="b">
        <f t="shared" si="20"/>
        <v>0</v>
      </c>
      <c r="AK50" s="261" t="b">
        <f t="shared" si="21"/>
        <v>0</v>
      </c>
      <c r="AL50" s="261"/>
      <c r="AM50" s="261"/>
      <c r="AN50" s="75"/>
      <c r="AV50" s="153">
        <f t="shared" si="29"/>
        <v>44232</v>
      </c>
      <c r="AW50" s="608"/>
      <c r="AX50" s="385"/>
      <c r="AY50" s="388"/>
      <c r="AZ50" s="380"/>
      <c r="BA50" s="380"/>
      <c r="BB50" s="110"/>
      <c r="BD50" s="375"/>
      <c r="BE50" s="85"/>
      <c r="BF50" s="193">
        <f t="shared" si="22"/>
        <v>44597</v>
      </c>
      <c r="BG50" s="430"/>
      <c r="BH50" s="846"/>
      <c r="BI50" s="846"/>
      <c r="BJ50" s="320"/>
      <c r="BK50" s="378"/>
    </row>
    <row r="51" spans="1:63" s="6" customFormat="1" ht="11.25" x14ac:dyDescent="0.2">
      <c r="A51" s="56">
        <f t="shared" si="23"/>
        <v>44598</v>
      </c>
      <c r="B51" s="608">
        <v>93.835999999999999</v>
      </c>
      <c r="C51" s="385"/>
      <c r="D51" s="388">
        <f t="shared" si="30"/>
        <v>95.073610601853943</v>
      </c>
      <c r="E51" s="380">
        <f t="shared" si="31"/>
        <v>96.204419416654744</v>
      </c>
      <c r="F51" s="380">
        <f t="shared" si="32"/>
        <v>96.204482022680693</v>
      </c>
      <c r="G51" s="110">
        <f t="shared" si="33"/>
        <v>0.68505279857060597</v>
      </c>
      <c r="I51" s="375">
        <f t="shared" si="4"/>
        <v>96.204482022680693</v>
      </c>
      <c r="J51" s="85">
        <v>2022</v>
      </c>
      <c r="K51" s="193">
        <f t="shared" si="5"/>
        <v>44598</v>
      </c>
      <c r="L51" s="430">
        <f t="shared" si="6"/>
        <v>1.3017393512451791E-2</v>
      </c>
      <c r="M51" s="846"/>
      <c r="N51" s="846"/>
      <c r="O51" s="320">
        <f t="shared" si="7"/>
        <v>1.1754229396711415E-2</v>
      </c>
      <c r="P51" s="165">
        <f>(INDEX(Models!$BJ51:$BT51,,T51)*(1-R51)+INDEX(Models!$BJ51:$BT51,,T51+1)*R51-ERP_i)*Q51*Ramure*Pc/MaxiM</f>
        <v>1.1830365866887533E-6</v>
      </c>
      <c r="Q51" s="301">
        <f t="shared" si="24"/>
        <v>0.5</v>
      </c>
      <c r="R51" s="173">
        <f t="shared" si="8"/>
        <v>0.99188057395664053</v>
      </c>
      <c r="S51" s="801">
        <f t="shared" si="25"/>
        <v>-1</v>
      </c>
      <c r="T51" s="172">
        <f t="shared" si="26"/>
        <v>5</v>
      </c>
      <c r="U51" s="247">
        <f t="shared" si="27"/>
        <v>-8.1194260433594852E-3</v>
      </c>
      <c r="V51" s="378">
        <f t="shared" si="9"/>
        <v>136.97623051690613</v>
      </c>
      <c r="W51" s="397"/>
      <c r="X51" s="153">
        <f t="shared" si="10"/>
        <v>44598</v>
      </c>
      <c r="Y51" s="380">
        <f t="shared" si="11"/>
        <v>93.835999999999999</v>
      </c>
      <c r="Z51" s="380">
        <f t="shared" si="12"/>
        <v>95.073610601853943</v>
      </c>
      <c r="AA51" s="381">
        <f t="shared" si="13"/>
        <v>96.204419416654744</v>
      </c>
      <c r="AB51" s="193">
        <f t="shared" si="14"/>
        <v>44598</v>
      </c>
      <c r="AC51" s="420">
        <f t="shared" si="15"/>
        <v>1.1754229396711415E-2</v>
      </c>
      <c r="AD51" s="165">
        <f>(INDEX(Models!$BJ51:$BT51,,AH51)*(1-AF51)+INDEX(Models!$BJ51:$BT51,,AH51+1)*AF51-ERP_i)*AE51*Ramure*Pc/MaxiM</f>
        <v>1.1830365866887533E-6</v>
      </c>
      <c r="AE51" s="301">
        <f t="shared" si="16"/>
        <v>0.5</v>
      </c>
      <c r="AF51" s="173">
        <f t="shared" si="17"/>
        <v>0.99188057395664053</v>
      </c>
      <c r="AG51" s="801">
        <f t="shared" si="28"/>
        <v>-1</v>
      </c>
      <c r="AH51" s="172">
        <f t="shared" si="18"/>
        <v>5</v>
      </c>
      <c r="AI51" s="221">
        <f t="shared" si="19"/>
        <v>-8.1194260433594852E-3</v>
      </c>
      <c r="AJ51" s="261" t="b">
        <f t="shared" si="20"/>
        <v>0</v>
      </c>
      <c r="AK51" s="261" t="b">
        <f t="shared" si="21"/>
        <v>0</v>
      </c>
      <c r="AL51" s="261"/>
      <c r="AM51" s="261"/>
      <c r="AN51" s="75"/>
      <c r="AV51" s="153">
        <f t="shared" si="29"/>
        <v>44233</v>
      </c>
      <c r="AW51" s="608"/>
      <c r="AX51" s="385"/>
      <c r="AY51" s="388"/>
      <c r="AZ51" s="380"/>
      <c r="BA51" s="380"/>
      <c r="BB51" s="110"/>
      <c r="BD51" s="375"/>
      <c r="BE51" s="85"/>
      <c r="BF51" s="193">
        <f t="shared" si="22"/>
        <v>44598</v>
      </c>
      <c r="BG51" s="430"/>
      <c r="BH51" s="846"/>
      <c r="BI51" s="846"/>
      <c r="BJ51" s="320"/>
      <c r="BK51" s="378"/>
    </row>
    <row r="52" spans="1:63" s="6" customFormat="1" ht="11.25" x14ac:dyDescent="0.2">
      <c r="A52" s="56">
        <f t="shared" si="23"/>
        <v>44599</v>
      </c>
      <c r="B52" s="608">
        <v>42.396999999999998</v>
      </c>
      <c r="C52" s="385"/>
      <c r="D52" s="388">
        <f t="shared" si="30"/>
        <v>42.956771846272183</v>
      </c>
      <c r="E52" s="380">
        <f t="shared" si="31"/>
        <v>43.470447169826997</v>
      </c>
      <c r="F52" s="380">
        <f t="shared" si="32"/>
        <v>43.470447620371786</v>
      </c>
      <c r="G52" s="110">
        <f t="shared" si="33"/>
        <v>0.30626501752925317</v>
      </c>
      <c r="I52" s="375">
        <f t="shared" si="4"/>
        <v>43.470447620371786</v>
      </c>
      <c r="J52" s="85">
        <v>2022</v>
      </c>
      <c r="K52" s="193">
        <f t="shared" si="5"/>
        <v>44599</v>
      </c>
      <c r="L52" s="430">
        <f t="shared" si="6"/>
        <v>1.3031050104868602E-2</v>
      </c>
      <c r="M52" s="846"/>
      <c r="N52" s="846"/>
      <c r="O52" s="320">
        <f t="shared" si="7"/>
        <v>1.1816656073217521E-2</v>
      </c>
      <c r="P52" s="165">
        <f>(INDEX(Models!$BJ52:$BT52,,T52)*(1-R52)+INDEX(Models!$BJ52:$BT52,,T52+1)*R52-ERP_i)*Q52*Ramure*Pc/MaxiM</f>
        <v>1.1579644955864863E-6</v>
      </c>
      <c r="Q52" s="301">
        <f t="shared" si="24"/>
        <v>0.5</v>
      </c>
      <c r="R52" s="173">
        <f t="shared" si="8"/>
        <v>0.99200761429154194</v>
      </c>
      <c r="S52" s="801">
        <f t="shared" si="25"/>
        <v>-1</v>
      </c>
      <c r="T52" s="172">
        <f t="shared" si="26"/>
        <v>5</v>
      </c>
      <c r="U52" s="247">
        <f t="shared" si="27"/>
        <v>-7.9923857084580174E-3</v>
      </c>
      <c r="V52" s="378">
        <f t="shared" si="9"/>
        <v>138.43223652256776</v>
      </c>
      <c r="W52" s="397"/>
      <c r="X52" s="153">
        <f t="shared" si="10"/>
        <v>44599</v>
      </c>
      <c r="Y52" s="380">
        <f t="shared" si="11"/>
        <v>42.396999999999998</v>
      </c>
      <c r="Z52" s="380">
        <f t="shared" si="12"/>
        <v>42.956771846272183</v>
      </c>
      <c r="AA52" s="381">
        <f t="shared" si="13"/>
        <v>43.470447169826997</v>
      </c>
      <c r="AB52" s="193">
        <f t="shared" si="14"/>
        <v>44599</v>
      </c>
      <c r="AC52" s="420">
        <f t="shared" si="15"/>
        <v>1.1816656073217521E-2</v>
      </c>
      <c r="AD52" s="165">
        <f>(INDEX(Models!$BJ52:$BT52,,AH52)*(1-AF52)+INDEX(Models!$BJ52:$BT52,,AH52+1)*AF52-ERP_i)*AE52*Ramure*Pc/MaxiM</f>
        <v>1.1579644955864863E-6</v>
      </c>
      <c r="AE52" s="301">
        <f t="shared" si="16"/>
        <v>0.5</v>
      </c>
      <c r="AF52" s="173">
        <f t="shared" si="17"/>
        <v>0.99200761429154194</v>
      </c>
      <c r="AG52" s="801">
        <f t="shared" si="28"/>
        <v>-1</v>
      </c>
      <c r="AH52" s="172">
        <f t="shared" si="18"/>
        <v>5</v>
      </c>
      <c r="AI52" s="221">
        <f t="shared" si="19"/>
        <v>-7.9923857084580174E-3</v>
      </c>
      <c r="AJ52" s="261" t="b">
        <f t="shared" si="20"/>
        <v>0</v>
      </c>
      <c r="AK52" s="261" t="b">
        <f t="shared" si="21"/>
        <v>0</v>
      </c>
      <c r="AL52" s="261"/>
      <c r="AM52" s="261"/>
      <c r="AN52" s="75"/>
      <c r="AV52" s="153">
        <f t="shared" si="29"/>
        <v>44234</v>
      </c>
      <c r="AW52" s="608"/>
      <c r="AX52" s="385"/>
      <c r="AY52" s="388"/>
      <c r="AZ52" s="380"/>
      <c r="BA52" s="380"/>
      <c r="BB52" s="110"/>
      <c r="BD52" s="375"/>
      <c r="BE52" s="85"/>
      <c r="BF52" s="193">
        <f t="shared" si="22"/>
        <v>44599</v>
      </c>
      <c r="BG52" s="430"/>
      <c r="BH52" s="846"/>
      <c r="BI52" s="846"/>
      <c r="BJ52" s="320"/>
      <c r="BK52" s="378"/>
    </row>
    <row r="53" spans="1:63" s="6" customFormat="1" ht="11.25" x14ac:dyDescent="0.2">
      <c r="A53" s="56">
        <f t="shared" si="23"/>
        <v>44600</v>
      </c>
      <c r="B53" s="608">
        <v>141.857</v>
      </c>
      <c r="C53" s="385"/>
      <c r="D53" s="388">
        <f t="shared" si="30"/>
        <v>143.73194098632788</v>
      </c>
      <c r="E53" s="380">
        <f t="shared" si="31"/>
        <v>145.45986439156252</v>
      </c>
      <c r="F53" s="380">
        <f t="shared" si="32"/>
        <v>145.46002837728111</v>
      </c>
      <c r="G53" s="110">
        <f t="shared" si="33"/>
        <v>1.0139250594819573</v>
      </c>
      <c r="I53" s="375">
        <f t="shared" si="4"/>
        <v>145.46002837728111</v>
      </c>
      <c r="J53" s="85">
        <v>2022</v>
      </c>
      <c r="K53" s="193">
        <f t="shared" si="5"/>
        <v>44600</v>
      </c>
      <c r="L53" s="430">
        <f t="shared" si="6"/>
        <v>1.3044706510338178E-2</v>
      </c>
      <c r="M53" s="846"/>
      <c r="N53" s="846"/>
      <c r="O53" s="320">
        <f t="shared" si="7"/>
        <v>1.1879039021947967E-2</v>
      </c>
      <c r="P53" s="165">
        <f>(INDEX(Models!$BJ53:$BT53,,T53)*(1-R53)+INDEX(Models!$BJ53:$BT53,,T53+1)*R53-ERP_i)*Q53*Ramure*Pc/MaxiM</f>
        <v>1.1273593195055651E-6</v>
      </c>
      <c r="Q53" s="301">
        <f t="shared" si="24"/>
        <v>0.5</v>
      </c>
      <c r="R53" s="173">
        <f t="shared" si="8"/>
        <v>0.99213991526490819</v>
      </c>
      <c r="S53" s="801">
        <f t="shared" si="25"/>
        <v>-1</v>
      </c>
      <c r="T53" s="172">
        <f t="shared" si="26"/>
        <v>5</v>
      </c>
      <c r="U53" s="247">
        <f t="shared" si="27"/>
        <v>-7.8600847350917546E-3</v>
      </c>
      <c r="V53" s="378">
        <f t="shared" si="9"/>
        <v>139.908762164808</v>
      </c>
      <c r="W53" s="397"/>
      <c r="X53" s="153">
        <f t="shared" si="10"/>
        <v>44600</v>
      </c>
      <c r="Y53" s="380">
        <f t="shared" si="11"/>
        <v>141.857</v>
      </c>
      <c r="Z53" s="380">
        <f t="shared" si="12"/>
        <v>143.73194098632788</v>
      </c>
      <c r="AA53" s="381">
        <f t="shared" si="13"/>
        <v>145.45986439156252</v>
      </c>
      <c r="AB53" s="193">
        <f t="shared" si="14"/>
        <v>44600</v>
      </c>
      <c r="AC53" s="420">
        <f t="shared" si="15"/>
        <v>1.1879039021947967E-2</v>
      </c>
      <c r="AD53" s="165">
        <f>(INDEX(Models!$BJ53:$BT53,,AH53)*(1-AF53)+INDEX(Models!$BJ53:$BT53,,AH53+1)*AF53-ERP_i)*AE53*Ramure*Pc/MaxiM</f>
        <v>1.1273593195055651E-6</v>
      </c>
      <c r="AE53" s="301">
        <f t="shared" si="16"/>
        <v>0.5</v>
      </c>
      <c r="AF53" s="173">
        <f t="shared" si="17"/>
        <v>0.99213991526490819</v>
      </c>
      <c r="AG53" s="801">
        <f t="shared" si="28"/>
        <v>-1</v>
      </c>
      <c r="AH53" s="172">
        <f t="shared" si="18"/>
        <v>5</v>
      </c>
      <c r="AI53" s="221">
        <f t="shared" si="19"/>
        <v>-7.8600847350917546E-3</v>
      </c>
      <c r="AJ53" s="261" t="b">
        <f t="shared" si="20"/>
        <v>0</v>
      </c>
      <c r="AK53" s="261" t="b">
        <f t="shared" si="21"/>
        <v>0</v>
      </c>
      <c r="AL53" s="261"/>
      <c r="AM53" s="261"/>
      <c r="AN53" s="75"/>
      <c r="AV53" s="153">
        <f t="shared" si="29"/>
        <v>44235</v>
      </c>
      <c r="AW53" s="608"/>
      <c r="AX53" s="385"/>
      <c r="AY53" s="388"/>
      <c r="AZ53" s="380"/>
      <c r="BA53" s="380"/>
      <c r="BB53" s="110"/>
      <c r="BD53" s="375"/>
      <c r="BE53" s="85"/>
      <c r="BF53" s="193">
        <f t="shared" si="22"/>
        <v>44600</v>
      </c>
      <c r="BG53" s="430"/>
      <c r="BH53" s="846"/>
      <c r="BI53" s="846"/>
      <c r="BJ53" s="320"/>
      <c r="BK53" s="378"/>
    </row>
    <row r="54" spans="1:63" s="6" customFormat="1" ht="11.25" x14ac:dyDescent="0.2">
      <c r="A54" s="56">
        <f t="shared" si="23"/>
        <v>44601</v>
      </c>
      <c r="B54" s="608">
        <v>141.16900000000001</v>
      </c>
      <c r="C54" s="385"/>
      <c r="D54" s="388">
        <f t="shared" si="30"/>
        <v>143.03682676751578</v>
      </c>
      <c r="E54" s="380">
        <f t="shared" si="31"/>
        <v>144.765526531148</v>
      </c>
      <c r="F54" s="380">
        <f t="shared" si="32"/>
        <v>144.76568409319361</v>
      </c>
      <c r="G54" s="110">
        <f t="shared" si="33"/>
        <v>0.9983476954672208</v>
      </c>
      <c r="I54" s="375">
        <f t="shared" si="4"/>
        <v>144.76568409319361</v>
      </c>
      <c r="J54" s="85">
        <v>2022</v>
      </c>
      <c r="K54" s="193">
        <f t="shared" si="5"/>
        <v>44601</v>
      </c>
      <c r="L54" s="430">
        <f t="shared" si="6"/>
        <v>1.305836272886296E-2</v>
      </c>
      <c r="M54" s="846"/>
      <c r="N54" s="846"/>
      <c r="O54" s="320">
        <f t="shared" si="7"/>
        <v>1.1941377239838163E-2</v>
      </c>
      <c r="P54" s="165">
        <f>(INDEX(Models!$BJ54:$BT54,,T54)*(1-R54)+INDEX(Models!$BJ54:$BT54,,T54+1)*R54-ERP_i)*Q54*Ramure*Pc/MaxiM</f>
        <v>1.0909687676246172E-6</v>
      </c>
      <c r="Q54" s="301">
        <f t="shared" si="24"/>
        <v>0.5</v>
      </c>
      <c r="R54" s="173">
        <f t="shared" si="8"/>
        <v>0.99227769172349933</v>
      </c>
      <c r="S54" s="801">
        <f t="shared" si="25"/>
        <v>-1</v>
      </c>
      <c r="T54" s="172">
        <f t="shared" si="26"/>
        <v>5</v>
      </c>
      <c r="U54" s="247">
        <f t="shared" si="27"/>
        <v>-7.7223082765006234E-3</v>
      </c>
      <c r="V54" s="378">
        <f t="shared" si="9"/>
        <v>141.40263985925367</v>
      </c>
      <c r="W54" s="397"/>
      <c r="X54" s="153">
        <f t="shared" si="10"/>
        <v>44601</v>
      </c>
      <c r="Y54" s="380">
        <f t="shared" si="11"/>
        <v>141.16900000000001</v>
      </c>
      <c r="Z54" s="380">
        <f t="shared" si="12"/>
        <v>143.03682676751578</v>
      </c>
      <c r="AA54" s="381">
        <f t="shared" si="13"/>
        <v>144.765526531148</v>
      </c>
      <c r="AB54" s="193">
        <f t="shared" si="14"/>
        <v>44601</v>
      </c>
      <c r="AC54" s="420">
        <f t="shared" si="15"/>
        <v>1.1941377239838163E-2</v>
      </c>
      <c r="AD54" s="165">
        <f>(INDEX(Models!$BJ54:$BT54,,AH54)*(1-AF54)+INDEX(Models!$BJ54:$BT54,,AH54+1)*AF54-ERP_i)*AE54*Ramure*Pc/MaxiM</f>
        <v>1.0909687676246172E-6</v>
      </c>
      <c r="AE54" s="301">
        <f t="shared" si="16"/>
        <v>0.5</v>
      </c>
      <c r="AF54" s="173">
        <f t="shared" si="17"/>
        <v>0.99227769172349933</v>
      </c>
      <c r="AG54" s="801">
        <f t="shared" si="28"/>
        <v>-1</v>
      </c>
      <c r="AH54" s="172">
        <f t="shared" si="18"/>
        <v>5</v>
      </c>
      <c r="AI54" s="221">
        <f t="shared" si="19"/>
        <v>-7.7223082765006234E-3</v>
      </c>
      <c r="AJ54" s="261" t="b">
        <f t="shared" si="20"/>
        <v>0</v>
      </c>
      <c r="AK54" s="261" t="b">
        <f t="shared" si="21"/>
        <v>0</v>
      </c>
      <c r="AL54" s="261"/>
      <c r="AM54" s="261"/>
      <c r="AN54" s="75"/>
      <c r="AV54" s="153">
        <f t="shared" si="29"/>
        <v>44236</v>
      </c>
      <c r="AW54" s="608"/>
      <c r="AX54" s="385"/>
      <c r="AY54" s="388"/>
      <c r="AZ54" s="380"/>
      <c r="BA54" s="380"/>
      <c r="BB54" s="110"/>
      <c r="BD54" s="375"/>
      <c r="BE54" s="85"/>
      <c r="BF54" s="193">
        <f t="shared" si="22"/>
        <v>44601</v>
      </c>
      <c r="BG54" s="430"/>
      <c r="BH54" s="846"/>
      <c r="BI54" s="846"/>
      <c r="BJ54" s="320"/>
      <c r="BK54" s="378"/>
    </row>
    <row r="55" spans="1:63" s="6" customFormat="1" ht="11.25" customHeight="1" x14ac:dyDescent="0.2">
      <c r="A55" s="56">
        <f t="shared" si="23"/>
        <v>44602</v>
      </c>
      <c r="B55" s="608">
        <v>132.58199999999999</v>
      </c>
      <c r="C55" s="385"/>
      <c r="D55" s="388">
        <f t="shared" si="30"/>
        <v>134.33806976825264</v>
      </c>
      <c r="E55" s="380">
        <f t="shared" si="31"/>
        <v>135.97021126603252</v>
      </c>
      <c r="F55" s="380">
        <f t="shared" si="32"/>
        <v>135.97033911419149</v>
      </c>
      <c r="G55" s="110">
        <f t="shared" si="33"/>
        <v>0.92772607547127228</v>
      </c>
      <c r="I55" s="375">
        <f t="shared" si="4"/>
        <v>135.97033911419149</v>
      </c>
      <c r="J55" s="85">
        <v>2022</v>
      </c>
      <c r="K55" s="193">
        <f t="shared" si="5"/>
        <v>44602</v>
      </c>
      <c r="L55" s="430">
        <f t="shared" si="6"/>
        <v>1.3072018760445614E-2</v>
      </c>
      <c r="M55" s="846"/>
      <c r="N55" s="846"/>
      <c r="O55" s="320">
        <f t="shared" si="7"/>
        <v>1.2003669646335492E-2</v>
      </c>
      <c r="P55" s="165">
        <f>(INDEX(Models!$BJ55:$BT55,,T55)*(1-R55)+INDEX(Models!$BJ55:$BT55,,T55+1)*R55-ERP_i)*Q55*Ramure*Pc/MaxiM</f>
        <v>1.0485233320360215E-6</v>
      </c>
      <c r="Q55" s="301">
        <f t="shared" si="24"/>
        <v>0.5</v>
      </c>
      <c r="R55" s="173">
        <f t="shared" si="8"/>
        <v>0.99242116703416183</v>
      </c>
      <c r="S55" s="801">
        <f t="shared" si="25"/>
        <v>-1</v>
      </c>
      <c r="T55" s="172">
        <f t="shared" si="26"/>
        <v>5</v>
      </c>
      <c r="U55" s="247">
        <f t="shared" si="27"/>
        <v>-7.5788329658381158E-3</v>
      </c>
      <c r="V55" s="378">
        <f t="shared" si="9"/>
        <v>142.9107030106255</v>
      </c>
      <c r="W55" s="397"/>
      <c r="X55" s="153">
        <f t="shared" si="10"/>
        <v>44602</v>
      </c>
      <c r="Y55" s="380">
        <f t="shared" si="11"/>
        <v>132.58199999999999</v>
      </c>
      <c r="Z55" s="380">
        <f t="shared" si="12"/>
        <v>134.33806976825264</v>
      </c>
      <c r="AA55" s="381">
        <f t="shared" si="13"/>
        <v>135.97021126603252</v>
      </c>
      <c r="AB55" s="193">
        <f t="shared" si="14"/>
        <v>44602</v>
      </c>
      <c r="AC55" s="420">
        <f t="shared" si="15"/>
        <v>1.2003669646335492E-2</v>
      </c>
      <c r="AD55" s="165">
        <f>(INDEX(Models!$BJ55:$BT55,,AH55)*(1-AF55)+INDEX(Models!$BJ55:$BT55,,AH55+1)*AF55-ERP_i)*AE55*Ramure*Pc/MaxiM</f>
        <v>1.0485233320360215E-6</v>
      </c>
      <c r="AE55" s="301">
        <f t="shared" si="16"/>
        <v>0.5</v>
      </c>
      <c r="AF55" s="173">
        <f t="shared" si="17"/>
        <v>0.99242116703416183</v>
      </c>
      <c r="AG55" s="801">
        <f t="shared" si="28"/>
        <v>-1</v>
      </c>
      <c r="AH55" s="172">
        <f t="shared" si="18"/>
        <v>5</v>
      </c>
      <c r="AI55" s="221">
        <f t="shared" si="19"/>
        <v>-7.5788329658381158E-3</v>
      </c>
      <c r="AJ55" s="261" t="b">
        <f t="shared" si="20"/>
        <v>0</v>
      </c>
      <c r="AK55" s="261" t="b">
        <f t="shared" si="21"/>
        <v>0</v>
      </c>
      <c r="AL55" s="261"/>
      <c r="AM55" s="261"/>
      <c r="AN55" s="75"/>
      <c r="AV55" s="153">
        <f t="shared" si="29"/>
        <v>44237</v>
      </c>
      <c r="AW55" s="608"/>
      <c r="AX55" s="385"/>
      <c r="AY55" s="388"/>
      <c r="AZ55" s="380"/>
      <c r="BA55" s="380"/>
      <c r="BB55" s="110"/>
      <c r="BD55" s="375"/>
      <c r="BE55" s="85"/>
      <c r="BF55" s="193">
        <f t="shared" si="22"/>
        <v>44602</v>
      </c>
      <c r="BG55" s="430"/>
      <c r="BH55" s="846"/>
      <c r="BI55" s="846"/>
      <c r="BJ55" s="320"/>
      <c r="BK55" s="378"/>
    </row>
    <row r="56" spans="1:63" s="6" customFormat="1" ht="11.25" customHeight="1" x14ac:dyDescent="0.2">
      <c r="A56" s="56">
        <f t="shared" si="23"/>
        <v>44603</v>
      </c>
      <c r="B56" s="608">
        <v>66.123999999999995</v>
      </c>
      <c r="C56" s="385"/>
      <c r="D56" s="388">
        <f t="shared" si="30"/>
        <v>67.000750012966563</v>
      </c>
      <c r="E56" s="380">
        <f t="shared" si="31"/>
        <v>67.819048899052007</v>
      </c>
      <c r="F56" s="380">
        <f t="shared" si="32"/>
        <v>67.819064186061496</v>
      </c>
      <c r="G56" s="110">
        <f t="shared" si="33"/>
        <v>0.45782764495487521</v>
      </c>
      <c r="I56" s="375">
        <f t="shared" si="4"/>
        <v>67.819064186061496</v>
      </c>
      <c r="J56" s="85">
        <v>2022</v>
      </c>
      <c r="K56" s="193">
        <f t="shared" si="5"/>
        <v>44603</v>
      </c>
      <c r="L56" s="430">
        <f t="shared" si="6"/>
        <v>1.3085674605088693E-2</v>
      </c>
      <c r="M56" s="846"/>
      <c r="N56" s="846"/>
      <c r="O56" s="320">
        <f t="shared" si="7"/>
        <v>1.2065915098624761E-2</v>
      </c>
      <c r="P56" s="165">
        <f>(INDEX(Models!$BJ56:$BT56,,T56)*(1-R56)+INDEX(Models!$BJ56:$BT56,,T56+1)*R56-ERP_i)*Q56*Ramure*Pc/MaxiM</f>
        <v>9.9973461770790952E-7</v>
      </c>
      <c r="Q56" s="301">
        <f t="shared" si="24"/>
        <v>0.5</v>
      </c>
      <c r="R56" s="173">
        <f t="shared" si="8"/>
        <v>0.99257057340002308</v>
      </c>
      <c r="S56" s="801">
        <f t="shared" si="25"/>
        <v>-1</v>
      </c>
      <c r="T56" s="172">
        <f t="shared" si="26"/>
        <v>5</v>
      </c>
      <c r="U56" s="247">
        <f t="shared" si="27"/>
        <v>-7.4294265999769104E-3</v>
      </c>
      <c r="V56" s="378">
        <f t="shared" si="9"/>
        <v>144.42978602784277</v>
      </c>
      <c r="W56" s="397"/>
      <c r="X56" s="153">
        <f t="shared" si="10"/>
        <v>44603</v>
      </c>
      <c r="Y56" s="380">
        <f t="shared" si="11"/>
        <v>66.123999999999995</v>
      </c>
      <c r="Z56" s="380">
        <f t="shared" si="12"/>
        <v>67.000750012966563</v>
      </c>
      <c r="AA56" s="381">
        <f t="shared" si="13"/>
        <v>67.819048899052007</v>
      </c>
      <c r="AB56" s="193">
        <f t="shared" si="14"/>
        <v>44603</v>
      </c>
      <c r="AC56" s="420">
        <f t="shared" si="15"/>
        <v>1.2065915098624761E-2</v>
      </c>
      <c r="AD56" s="165">
        <f>(INDEX(Models!$BJ56:$BT56,,AH56)*(1-AF56)+INDEX(Models!$BJ56:$BT56,,AH56+1)*AF56-ERP_i)*AE56*Ramure*Pc/MaxiM</f>
        <v>9.9973461770790952E-7</v>
      </c>
      <c r="AE56" s="301">
        <f t="shared" si="16"/>
        <v>0.5</v>
      </c>
      <c r="AF56" s="173">
        <f t="shared" si="17"/>
        <v>0.99257057340002308</v>
      </c>
      <c r="AG56" s="801">
        <f t="shared" si="28"/>
        <v>-1</v>
      </c>
      <c r="AH56" s="172">
        <f t="shared" si="18"/>
        <v>5</v>
      </c>
      <c r="AI56" s="221">
        <f t="shared" si="19"/>
        <v>-7.4294265999769104E-3</v>
      </c>
      <c r="AJ56" s="261" t="b">
        <f t="shared" si="20"/>
        <v>0</v>
      </c>
      <c r="AK56" s="261" t="b">
        <f t="shared" si="21"/>
        <v>0</v>
      </c>
      <c r="AL56" s="261"/>
      <c r="AM56" s="261"/>
      <c r="AN56" s="75"/>
      <c r="AV56" s="153">
        <f t="shared" si="29"/>
        <v>44238</v>
      </c>
      <c r="AW56" s="608"/>
      <c r="AX56" s="385"/>
      <c r="AY56" s="388"/>
      <c r="AZ56" s="380"/>
      <c r="BA56" s="380"/>
      <c r="BB56" s="110"/>
      <c r="BD56" s="375"/>
      <c r="BE56" s="85"/>
      <c r="BF56" s="193">
        <f t="shared" si="22"/>
        <v>44603</v>
      </c>
      <c r="BG56" s="430"/>
      <c r="BH56" s="846"/>
      <c r="BI56" s="846"/>
      <c r="BJ56" s="320"/>
      <c r="BK56" s="378"/>
    </row>
    <row r="57" spans="1:63" s="6" customFormat="1" ht="11.25" customHeight="1" x14ac:dyDescent="0.2">
      <c r="A57" s="56">
        <f t="shared" si="23"/>
        <v>44604</v>
      </c>
      <c r="B57" s="608">
        <v>110.736</v>
      </c>
      <c r="C57" s="385"/>
      <c r="D57" s="388">
        <f t="shared" si="30"/>
        <v>112.20582110810309</v>
      </c>
      <c r="E57" s="380">
        <f t="shared" si="31"/>
        <v>113.58337302384631</v>
      </c>
      <c r="F57" s="380">
        <f t="shared" si="32"/>
        <v>113.58344330581436</v>
      </c>
      <c r="G57" s="110">
        <f t="shared" si="33"/>
        <v>0.75869038902963637</v>
      </c>
      <c r="I57" s="375">
        <f t="shared" si="4"/>
        <v>113.58344330581436</v>
      </c>
      <c r="J57" s="85">
        <v>2022</v>
      </c>
      <c r="K57" s="193">
        <f t="shared" si="5"/>
        <v>44604</v>
      </c>
      <c r="L57" s="430">
        <f t="shared" si="6"/>
        <v>1.309933026279464E-2</v>
      </c>
      <c r="M57" s="846"/>
      <c r="N57" s="846"/>
      <c r="O57" s="320">
        <f t="shared" si="7"/>
        <v>1.2128112408265954E-2</v>
      </c>
      <c r="P57" s="165">
        <f>(INDEX(Models!$BJ57:$BT57,,T57)*(1-R57)+INDEX(Models!$BJ57:$BT57,,T57+1)*R57-ERP_i)*Q57*Ramure*Pc/MaxiM</f>
        <v>9.4429360739733628E-7</v>
      </c>
      <c r="Q57" s="301">
        <f t="shared" si="24"/>
        <v>0.5</v>
      </c>
      <c r="R57" s="173">
        <f t="shared" si="8"/>
        <v>0.99272615218654592</v>
      </c>
      <c r="S57" s="801">
        <f t="shared" si="25"/>
        <v>-1</v>
      </c>
      <c r="T57" s="172">
        <f t="shared" si="26"/>
        <v>5</v>
      </c>
      <c r="U57" s="247">
        <f t="shared" si="27"/>
        <v>-7.2738478134540688E-3</v>
      </c>
      <c r="V57" s="378">
        <f t="shared" si="9"/>
        <v>145.95672431592143</v>
      </c>
      <c r="W57" s="397"/>
      <c r="X57" s="153">
        <f t="shared" si="10"/>
        <v>44604</v>
      </c>
      <c r="Y57" s="380">
        <f t="shared" si="11"/>
        <v>110.736</v>
      </c>
      <c r="Z57" s="380">
        <f t="shared" si="12"/>
        <v>112.20582110810309</v>
      </c>
      <c r="AA57" s="381">
        <f t="shared" si="13"/>
        <v>113.58337302384631</v>
      </c>
      <c r="AB57" s="193">
        <f t="shared" si="14"/>
        <v>44604</v>
      </c>
      <c r="AC57" s="420">
        <f t="shared" si="15"/>
        <v>1.2128112408265954E-2</v>
      </c>
      <c r="AD57" s="165">
        <f>(INDEX(Models!$BJ57:$BT57,,AH57)*(1-AF57)+INDEX(Models!$BJ57:$BT57,,AH57+1)*AF57-ERP_i)*AE57*Ramure*Pc/MaxiM</f>
        <v>9.4429360739733628E-7</v>
      </c>
      <c r="AE57" s="301">
        <f t="shared" si="16"/>
        <v>0.5</v>
      </c>
      <c r="AF57" s="173">
        <f t="shared" si="17"/>
        <v>0.99272615218654592</v>
      </c>
      <c r="AG57" s="801">
        <f t="shared" si="28"/>
        <v>-1</v>
      </c>
      <c r="AH57" s="172">
        <f t="shared" si="18"/>
        <v>5</v>
      </c>
      <c r="AI57" s="221">
        <f t="shared" si="19"/>
        <v>-7.2738478134540688E-3</v>
      </c>
      <c r="AJ57" s="261" t="b">
        <f t="shared" si="20"/>
        <v>0</v>
      </c>
      <c r="AK57" s="261" t="b">
        <f t="shared" si="21"/>
        <v>0</v>
      </c>
      <c r="AL57" s="261"/>
      <c r="AM57" s="261"/>
      <c r="AN57" s="75"/>
      <c r="AV57" s="153">
        <f t="shared" si="29"/>
        <v>44239</v>
      </c>
      <c r="AW57" s="608"/>
      <c r="AX57" s="385"/>
      <c r="AY57" s="388"/>
      <c r="AZ57" s="380"/>
      <c r="BA57" s="380"/>
      <c r="BB57" s="110"/>
      <c r="BD57" s="375"/>
      <c r="BE57" s="85"/>
      <c r="BF57" s="193">
        <f t="shared" si="22"/>
        <v>44604</v>
      </c>
      <c r="BG57" s="430"/>
      <c r="BH57" s="846"/>
      <c r="BI57" s="846"/>
      <c r="BJ57" s="320"/>
      <c r="BK57" s="378"/>
    </row>
    <row r="58" spans="1:63" s="6" customFormat="1" ht="11.25" customHeight="1" x14ac:dyDescent="0.2">
      <c r="A58" s="56">
        <f t="shared" si="23"/>
        <v>44605</v>
      </c>
      <c r="B58" s="608">
        <v>135.09800000000001</v>
      </c>
      <c r="C58" s="385"/>
      <c r="D58" s="388">
        <f t="shared" si="30"/>
        <v>136.89307696526959</v>
      </c>
      <c r="E58" s="380">
        <f t="shared" si="31"/>
        <v>138.58243290355762</v>
      </c>
      <c r="F58" s="380">
        <f t="shared" si="32"/>
        <v>138.58254094560056</v>
      </c>
      <c r="G58" s="110">
        <f t="shared" si="33"/>
        <v>0.9159908717025228</v>
      </c>
      <c r="I58" s="375">
        <f t="shared" si="4"/>
        <v>138.58254094560056</v>
      </c>
      <c r="J58" s="85">
        <v>2022</v>
      </c>
      <c r="K58" s="193">
        <f t="shared" si="5"/>
        <v>44605</v>
      </c>
      <c r="L58" s="430">
        <f t="shared" si="6"/>
        <v>1.3112985733566229E-2</v>
      </c>
      <c r="M58" s="846"/>
      <c r="N58" s="846"/>
      <c r="O58" s="320">
        <f t="shared" si="7"/>
        <v>1.219026035907231E-2</v>
      </c>
      <c r="P58" s="165">
        <f>(INDEX(Models!$BJ58:$BT58,,T58)*(1-R58)+INDEX(Models!$BJ58:$BT58,,T58+1)*R58-ERP_i)*Q58*Ramure*Pc/MaxiM</f>
        <v>8.8594744996522001E-7</v>
      </c>
      <c r="Q58" s="301">
        <f t="shared" si="24"/>
        <v>0.5</v>
      </c>
      <c r="R58" s="173">
        <f t="shared" si="8"/>
        <v>0.99288815425758514</v>
      </c>
      <c r="S58" s="801">
        <f t="shared" si="25"/>
        <v>-1</v>
      </c>
      <c r="T58" s="172">
        <f t="shared" si="26"/>
        <v>5</v>
      </c>
      <c r="U58" s="247">
        <f t="shared" si="27"/>
        <v>-7.1118457424148868E-3</v>
      </c>
      <c r="V58" s="378">
        <f t="shared" si="9"/>
        <v>147.48835366074658</v>
      </c>
      <c r="W58" s="397"/>
      <c r="X58" s="153">
        <f t="shared" si="10"/>
        <v>44605</v>
      </c>
      <c r="Y58" s="380">
        <f t="shared" si="11"/>
        <v>135.09800000000001</v>
      </c>
      <c r="Z58" s="380">
        <f t="shared" si="12"/>
        <v>136.89307696526959</v>
      </c>
      <c r="AA58" s="381">
        <f t="shared" si="13"/>
        <v>138.58243290355762</v>
      </c>
      <c r="AB58" s="193">
        <f t="shared" si="14"/>
        <v>44605</v>
      </c>
      <c r="AC58" s="420">
        <f t="shared" si="15"/>
        <v>1.219026035907231E-2</v>
      </c>
      <c r="AD58" s="165">
        <f>(INDEX(Models!$BJ58:$BT58,,AH58)*(1-AF58)+INDEX(Models!$BJ58:$BT58,,AH58+1)*AF58-ERP_i)*AE58*Ramure*Pc/MaxiM</f>
        <v>8.8594744996522001E-7</v>
      </c>
      <c r="AE58" s="301">
        <f t="shared" si="16"/>
        <v>0.5</v>
      </c>
      <c r="AF58" s="173">
        <f t="shared" si="17"/>
        <v>0.99288815425758514</v>
      </c>
      <c r="AG58" s="801">
        <f t="shared" si="28"/>
        <v>-1</v>
      </c>
      <c r="AH58" s="172">
        <f t="shared" si="18"/>
        <v>5</v>
      </c>
      <c r="AI58" s="221">
        <f t="shared" si="19"/>
        <v>-7.1118457424148868E-3</v>
      </c>
      <c r="AJ58" s="261" t="b">
        <f t="shared" si="20"/>
        <v>0</v>
      </c>
      <c r="AK58" s="261" t="b">
        <f t="shared" si="21"/>
        <v>0</v>
      </c>
      <c r="AL58" s="261"/>
      <c r="AM58" s="261"/>
      <c r="AN58" s="75"/>
      <c r="AV58" s="153">
        <f t="shared" si="29"/>
        <v>44240</v>
      </c>
      <c r="AW58" s="608"/>
      <c r="AX58" s="385"/>
      <c r="AY58" s="388"/>
      <c r="AZ58" s="380"/>
      <c r="BA58" s="380"/>
      <c r="BB58" s="110"/>
      <c r="BD58" s="375"/>
      <c r="BE58" s="85"/>
      <c r="BF58" s="193">
        <f t="shared" si="22"/>
        <v>44605</v>
      </c>
      <c r="BG58" s="430"/>
      <c r="BH58" s="846"/>
      <c r="BI58" s="846"/>
      <c r="BJ58" s="320"/>
      <c r="BK58" s="378"/>
    </row>
    <row r="59" spans="1:63" s="6" customFormat="1" ht="11.25" x14ac:dyDescent="0.2">
      <c r="A59" s="56">
        <f t="shared" si="23"/>
        <v>44606</v>
      </c>
      <c r="B59" s="608">
        <v>77.027000000000001</v>
      </c>
      <c r="C59" s="385"/>
      <c r="D59" s="388">
        <f t="shared" si="30"/>
        <v>78.051554739921343</v>
      </c>
      <c r="E59" s="380">
        <f t="shared" si="31"/>
        <v>79.019732773276004</v>
      </c>
      <c r="F59" s="380">
        <f t="shared" si="32"/>
        <v>79.019753092234637</v>
      </c>
      <c r="G59" s="110">
        <f t="shared" si="33"/>
        <v>0.5168848146375925</v>
      </c>
      <c r="I59" s="375">
        <f t="shared" si="4"/>
        <v>79.019753092234637</v>
      </c>
      <c r="J59" s="85">
        <v>2022</v>
      </c>
      <c r="K59" s="193">
        <f t="shared" si="5"/>
        <v>44606</v>
      </c>
      <c r="L59" s="430">
        <f t="shared" si="6"/>
        <v>1.3126641017405793E-2</v>
      </c>
      <c r="M59" s="846"/>
      <c r="N59" s="846"/>
      <c r="O59" s="320">
        <f t="shared" si="7"/>
        <v>1.2252357726044948E-2</v>
      </c>
      <c r="P59" s="165">
        <f>(INDEX(Models!$BJ59:$BT59,,T59)*(1-R59)+INDEX(Models!$BJ59:$BT59,,T59+1)*R59-ERP_i)*Q59*Ramure*Pc/MaxiM</f>
        <v>8.299158890124765E-7</v>
      </c>
      <c r="Q59" s="301">
        <f t="shared" si="24"/>
        <v>0.5</v>
      </c>
      <c r="R59" s="173">
        <f t="shared" si="8"/>
        <v>0.99305684032156682</v>
      </c>
      <c r="S59" s="801">
        <f t="shared" si="25"/>
        <v>-1</v>
      </c>
      <c r="T59" s="172">
        <f t="shared" si="26"/>
        <v>5</v>
      </c>
      <c r="U59" s="247">
        <f t="shared" si="27"/>
        <v>-6.9431596784331837E-3</v>
      </c>
      <c r="V59" s="378">
        <f t="shared" si="9"/>
        <v>149.02151059440709</v>
      </c>
      <c r="W59" s="397"/>
      <c r="X59" s="153">
        <f t="shared" si="10"/>
        <v>44606</v>
      </c>
      <c r="Y59" s="380">
        <f t="shared" si="11"/>
        <v>77.027000000000001</v>
      </c>
      <c r="Z59" s="380">
        <f t="shared" si="12"/>
        <v>78.051554739921343</v>
      </c>
      <c r="AA59" s="381">
        <f t="shared" si="13"/>
        <v>79.019732773276004</v>
      </c>
      <c r="AB59" s="193">
        <f t="shared" si="14"/>
        <v>44606</v>
      </c>
      <c r="AC59" s="420">
        <f t="shared" si="15"/>
        <v>1.2252357726044948E-2</v>
      </c>
      <c r="AD59" s="165">
        <f>(INDEX(Models!$BJ59:$BT59,,AH59)*(1-AF59)+INDEX(Models!$BJ59:$BT59,,AH59+1)*AF59-ERP_i)*AE59*Ramure*Pc/MaxiM</f>
        <v>8.299158890124765E-7</v>
      </c>
      <c r="AE59" s="301">
        <f t="shared" si="16"/>
        <v>0.5</v>
      </c>
      <c r="AF59" s="173">
        <f t="shared" si="17"/>
        <v>0.99305684032156682</v>
      </c>
      <c r="AG59" s="801">
        <f t="shared" si="28"/>
        <v>-1</v>
      </c>
      <c r="AH59" s="172">
        <f t="shared" si="18"/>
        <v>5</v>
      </c>
      <c r="AI59" s="221">
        <f t="shared" si="19"/>
        <v>-6.9431596784331837E-3</v>
      </c>
      <c r="AJ59" s="261" t="b">
        <f t="shared" si="20"/>
        <v>0</v>
      </c>
      <c r="AK59" s="261" t="b">
        <f t="shared" si="21"/>
        <v>0</v>
      </c>
      <c r="AL59" s="261"/>
      <c r="AM59" s="261"/>
      <c r="AN59" s="75"/>
      <c r="AV59" s="153">
        <f t="shared" si="29"/>
        <v>44241</v>
      </c>
      <c r="AW59" s="608"/>
      <c r="AX59" s="385"/>
      <c r="AY59" s="388"/>
      <c r="AZ59" s="380"/>
      <c r="BA59" s="380"/>
      <c r="BB59" s="110"/>
      <c r="BD59" s="375"/>
      <c r="BE59" s="85"/>
      <c r="BF59" s="193">
        <f t="shared" si="22"/>
        <v>44606</v>
      </c>
      <c r="BG59" s="430"/>
      <c r="BH59" s="846"/>
      <c r="BI59" s="846"/>
      <c r="BJ59" s="320"/>
      <c r="BK59" s="378"/>
    </row>
    <row r="60" spans="1:63" s="6" customFormat="1" ht="11.25" x14ac:dyDescent="0.2">
      <c r="A60" s="56">
        <f t="shared" si="23"/>
        <v>44607</v>
      </c>
      <c r="B60" s="608">
        <v>81.326000000000008</v>
      </c>
      <c r="C60" s="385"/>
      <c r="D60" s="388">
        <f t="shared" si="30"/>
        <v>82.408877046843799</v>
      </c>
      <c r="E60" s="380">
        <f t="shared" si="31"/>
        <v>83.436345859229775</v>
      </c>
      <c r="F60" s="380">
        <f t="shared" si="32"/>
        <v>83.436368101478877</v>
      </c>
      <c r="G60" s="110">
        <f t="shared" si="33"/>
        <v>0.54018146783107024</v>
      </c>
      <c r="I60" s="375">
        <f t="shared" si="4"/>
        <v>83.436368101478877</v>
      </c>
      <c r="J60" s="85">
        <v>2022</v>
      </c>
      <c r="K60" s="193">
        <f t="shared" si="5"/>
        <v>44607</v>
      </c>
      <c r="L60" s="430">
        <f t="shared" si="6"/>
        <v>1.3140296114315997E-2</v>
      </c>
      <c r="M60" s="846"/>
      <c r="N60" s="846"/>
      <c r="O60" s="320">
        <f t="shared" si="7"/>
        <v>1.2314403295171481E-2</v>
      </c>
      <c r="P60" s="165">
        <f>(INDEX(Models!$BJ60:$BT60,,T60)*(1-R60)+INDEX(Models!$BJ60:$BT60,,T60+1)*R60-ERP_i)*Q60*Ramure*Pc/MaxiM</f>
        <v>7.7692904188167429E-7</v>
      </c>
      <c r="Q60" s="301">
        <f t="shared" si="24"/>
        <v>0.5</v>
      </c>
      <c r="R60" s="173">
        <f t="shared" si="8"/>
        <v>0.99323248128789721</v>
      </c>
      <c r="S60" s="801">
        <f t="shared" si="25"/>
        <v>-1</v>
      </c>
      <c r="T60" s="172">
        <f t="shared" si="26"/>
        <v>5</v>
      </c>
      <c r="U60" s="247">
        <f t="shared" si="27"/>
        <v>-6.7675187121027432E-3</v>
      </c>
      <c r="V60" s="378">
        <f t="shared" si="9"/>
        <v>150.5530332643016</v>
      </c>
      <c r="W60" s="397"/>
      <c r="X60" s="153">
        <f t="shared" si="10"/>
        <v>44607</v>
      </c>
      <c r="Y60" s="380">
        <f t="shared" si="11"/>
        <v>81.326000000000008</v>
      </c>
      <c r="Z60" s="380">
        <f t="shared" si="12"/>
        <v>82.408877046843799</v>
      </c>
      <c r="AA60" s="381">
        <f t="shared" si="13"/>
        <v>83.436345859229775</v>
      </c>
      <c r="AB60" s="193">
        <f t="shared" si="14"/>
        <v>44607</v>
      </c>
      <c r="AC60" s="420">
        <f t="shared" si="15"/>
        <v>1.2314403295171481E-2</v>
      </c>
      <c r="AD60" s="165">
        <f>(INDEX(Models!$BJ60:$BT60,,AH60)*(1-AF60)+INDEX(Models!$BJ60:$BT60,,AH60+1)*AF60-ERP_i)*AE60*Ramure*Pc/MaxiM</f>
        <v>7.7692904188167429E-7</v>
      </c>
      <c r="AE60" s="301">
        <f t="shared" si="16"/>
        <v>0.5</v>
      </c>
      <c r="AF60" s="173">
        <f t="shared" si="17"/>
        <v>0.99323248128789721</v>
      </c>
      <c r="AG60" s="801">
        <f t="shared" si="28"/>
        <v>-1</v>
      </c>
      <c r="AH60" s="172">
        <f t="shared" si="18"/>
        <v>5</v>
      </c>
      <c r="AI60" s="221">
        <f t="shared" si="19"/>
        <v>-6.7675187121027432E-3</v>
      </c>
      <c r="AJ60" s="261" t="b">
        <f t="shared" si="20"/>
        <v>0</v>
      </c>
      <c r="AK60" s="261" t="b">
        <f t="shared" si="21"/>
        <v>0</v>
      </c>
      <c r="AL60" s="261"/>
      <c r="AM60" s="261"/>
      <c r="AN60" s="75"/>
      <c r="AV60" s="153">
        <f t="shared" si="29"/>
        <v>44242</v>
      </c>
      <c r="AW60" s="608"/>
      <c r="AX60" s="385"/>
      <c r="AY60" s="388"/>
      <c r="AZ60" s="380"/>
      <c r="BA60" s="380"/>
      <c r="BB60" s="110"/>
      <c r="BD60" s="375"/>
      <c r="BE60" s="85"/>
      <c r="BF60" s="193">
        <f t="shared" si="22"/>
        <v>44607</v>
      </c>
      <c r="BG60" s="430"/>
      <c r="BH60" s="846"/>
      <c r="BI60" s="846"/>
      <c r="BJ60" s="320"/>
      <c r="BK60" s="378"/>
    </row>
    <row r="61" spans="1:63" s="6" customFormat="1" ht="11.25" customHeight="1" x14ac:dyDescent="0.2">
      <c r="A61" s="56">
        <f t="shared" si="23"/>
        <v>44608</v>
      </c>
      <c r="B61" s="608">
        <v>31.41</v>
      </c>
      <c r="C61" s="385"/>
      <c r="D61" s="388">
        <f t="shared" si="30"/>
        <v>31.828672803222034</v>
      </c>
      <c r="E61" s="380">
        <f t="shared" si="31"/>
        <v>32.227533516382081</v>
      </c>
      <c r="F61" s="380">
        <f t="shared" si="32"/>
        <v>32.227533516382081</v>
      </c>
      <c r="G61" s="110">
        <f t="shared" si="33"/>
        <v>0.20653620823430416</v>
      </c>
      <c r="I61" s="375">
        <f t="shared" si="4"/>
        <v>32.227533516382081</v>
      </c>
      <c r="J61" s="85">
        <v>2022</v>
      </c>
      <c r="K61" s="193">
        <f t="shared" si="5"/>
        <v>44608</v>
      </c>
      <c r="L61" s="430">
        <f t="shared" si="6"/>
        <v>1.3153951024299393E-2</v>
      </c>
      <c r="M61" s="846"/>
      <c r="N61" s="846"/>
      <c r="O61" s="320">
        <f t="shared" si="7"/>
        <v>1.2376395883889073E-2</v>
      </c>
      <c r="P61" s="165">
        <f>(INDEX(Models!$BJ61:$BT61,,T61)*(1-R61)+INDEX(Models!$BJ61:$BT61,,T61+1)*R61-ERP_i)*Q61*Ramure*Pc/MaxiM</f>
        <v>7.2776075425967106E-7</v>
      </c>
      <c r="Q61" s="301">
        <f t="shared" si="24"/>
        <v>0.5</v>
      </c>
      <c r="R61" s="173">
        <f t="shared" si="8"/>
        <v>0.99341535863368535</v>
      </c>
      <c r="S61" s="801">
        <f t="shared" si="25"/>
        <v>-1</v>
      </c>
      <c r="T61" s="172">
        <f t="shared" si="26"/>
        <v>5</v>
      </c>
      <c r="U61" s="247">
        <f t="shared" si="27"/>
        <v>-6.5846413663146648E-3</v>
      </c>
      <c r="V61" s="378">
        <f t="shared" si="9"/>
        <v>152.0797607817114</v>
      </c>
      <c r="W61" s="397"/>
      <c r="X61" s="153">
        <f t="shared" si="10"/>
        <v>44608</v>
      </c>
      <c r="Y61" s="380">
        <f t="shared" si="11"/>
        <v>31.41</v>
      </c>
      <c r="Z61" s="380">
        <f t="shared" si="12"/>
        <v>31.828672803222034</v>
      </c>
      <c r="AA61" s="381">
        <f t="shared" si="13"/>
        <v>32.227533516382081</v>
      </c>
      <c r="AB61" s="193">
        <f t="shared" si="14"/>
        <v>44608</v>
      </c>
      <c r="AC61" s="420">
        <f t="shared" si="15"/>
        <v>1.2376395883889073E-2</v>
      </c>
      <c r="AD61" s="165">
        <f>(INDEX(Models!$BJ61:$BT61,,AH61)*(1-AF61)+INDEX(Models!$BJ61:$BT61,,AH61+1)*AF61-ERP_i)*AE61*Ramure*Pc/MaxiM</f>
        <v>7.2776075425967106E-7</v>
      </c>
      <c r="AE61" s="301">
        <f t="shared" si="16"/>
        <v>0.5</v>
      </c>
      <c r="AF61" s="173">
        <f t="shared" si="17"/>
        <v>0.99341535863368535</v>
      </c>
      <c r="AG61" s="801">
        <f t="shared" si="28"/>
        <v>-1</v>
      </c>
      <c r="AH61" s="172">
        <f t="shared" si="18"/>
        <v>5</v>
      </c>
      <c r="AI61" s="221">
        <f t="shared" si="19"/>
        <v>-6.5846413663146648E-3</v>
      </c>
      <c r="AJ61" s="261" t="b">
        <f t="shared" si="20"/>
        <v>0</v>
      </c>
      <c r="AK61" s="261" t="b">
        <f t="shared" si="21"/>
        <v>0</v>
      </c>
      <c r="AL61" s="261"/>
      <c r="AM61" s="261"/>
      <c r="AN61" s="75"/>
      <c r="AV61" s="153">
        <f t="shared" si="29"/>
        <v>44243</v>
      </c>
      <c r="AW61" s="608"/>
      <c r="AX61" s="385"/>
      <c r="AY61" s="388"/>
      <c r="AZ61" s="380"/>
      <c r="BA61" s="380"/>
      <c r="BB61" s="110"/>
      <c r="BD61" s="375"/>
      <c r="BE61" s="85"/>
      <c r="BF61" s="193">
        <f t="shared" si="22"/>
        <v>44608</v>
      </c>
      <c r="BG61" s="430"/>
      <c r="BH61" s="846"/>
      <c r="BI61" s="846"/>
      <c r="BJ61" s="320"/>
      <c r="BK61" s="378"/>
    </row>
    <row r="62" spans="1:63" s="6" customFormat="1" ht="11.25" x14ac:dyDescent="0.2">
      <c r="A62" s="56">
        <f t="shared" si="23"/>
        <v>44609</v>
      </c>
      <c r="B62" s="608">
        <v>46.771000000000001</v>
      </c>
      <c r="C62" s="385"/>
      <c r="D62" s="388">
        <f t="shared" si="30"/>
        <v>46.889598230059725</v>
      </c>
      <c r="E62" s="380">
        <f t="shared" si="31"/>
        <v>47.480172491069432</v>
      </c>
      <c r="F62" s="380">
        <f t="shared" si="32"/>
        <v>47.480172549184005</v>
      </c>
      <c r="G62" s="110">
        <f t="shared" si="33"/>
        <v>0.30125380732631468</v>
      </c>
      <c r="I62" s="375">
        <f t="shared" si="4"/>
        <v>47.480172549184005</v>
      </c>
      <c r="J62" s="85">
        <v>2022</v>
      </c>
      <c r="K62" s="193">
        <f t="shared" si="5"/>
        <v>44609</v>
      </c>
      <c r="L62" s="430">
        <f t="shared" si="6"/>
        <v>2.5293078750181497E-3</v>
      </c>
      <c r="M62" s="846"/>
      <c r="N62" s="846"/>
      <c r="O62" s="320">
        <f t="shared" si="7"/>
        <v>1.2438334362007374E-2</v>
      </c>
      <c r="P62" s="165">
        <f>(INDEX(Models!$BJ62:$BT62,,T62)*(1-R62)+INDEX(Models!$BJ62:$BT62,,T62+1)*R62-ERP_i)*Q62*Ramure*Pc/MaxiM</f>
        <v>6.8323300020751221E-7</v>
      </c>
      <c r="Q62" s="301">
        <f t="shared" si="24"/>
        <v>0.5</v>
      </c>
      <c r="R62" s="173">
        <f t="shared" si="8"/>
        <v>0.99360576478084162</v>
      </c>
      <c r="S62" s="801">
        <f t="shared" si="25"/>
        <v>-1</v>
      </c>
      <c r="T62" s="172">
        <f t="shared" si="26"/>
        <v>5</v>
      </c>
      <c r="U62" s="247">
        <f t="shared" si="27"/>
        <v>-6.3942352191583302E-3</v>
      </c>
      <c r="V62" s="378">
        <f t="shared" si="9"/>
        <v>155.25436347794965</v>
      </c>
      <c r="W62" s="397"/>
      <c r="X62" s="153">
        <f t="shared" si="10"/>
        <v>44609</v>
      </c>
      <c r="Y62" s="380">
        <f t="shared" si="11"/>
        <v>46.771000000000001</v>
      </c>
      <c r="Z62" s="380">
        <f t="shared" si="12"/>
        <v>46.889598230059725</v>
      </c>
      <c r="AA62" s="381">
        <f t="shared" si="13"/>
        <v>47.480172491069432</v>
      </c>
      <c r="AB62" s="193">
        <f t="shared" si="14"/>
        <v>44609</v>
      </c>
      <c r="AC62" s="420">
        <f t="shared" si="15"/>
        <v>1.2438334362007374E-2</v>
      </c>
      <c r="AD62" s="165">
        <f>(INDEX(Models!$BJ62:$BT62,,AH62)*(1-AF62)+INDEX(Models!$BJ62:$BT62,,AH62+1)*AF62-ERP_i)*AE62*Ramure*Pc/MaxiM</f>
        <v>6.8323300020751221E-7</v>
      </c>
      <c r="AE62" s="301">
        <f t="shared" si="16"/>
        <v>0.5</v>
      </c>
      <c r="AF62" s="173">
        <f t="shared" si="17"/>
        <v>0.99360576478084162</v>
      </c>
      <c r="AG62" s="801">
        <f t="shared" si="28"/>
        <v>-1</v>
      </c>
      <c r="AH62" s="172">
        <f t="shared" si="18"/>
        <v>5</v>
      </c>
      <c r="AI62" s="221">
        <f t="shared" si="19"/>
        <v>-6.3942352191583302E-3</v>
      </c>
      <c r="AJ62" s="261" t="b">
        <f t="shared" si="20"/>
        <v>0</v>
      </c>
      <c r="AK62" s="261" t="b">
        <f t="shared" si="21"/>
        <v>0</v>
      </c>
      <c r="AL62" s="261"/>
      <c r="AM62" s="261"/>
      <c r="AN62" s="75"/>
      <c r="AV62" s="153">
        <f t="shared" si="29"/>
        <v>44244</v>
      </c>
      <c r="AW62" s="608"/>
      <c r="AX62" s="385"/>
      <c r="AY62" s="388"/>
      <c r="AZ62" s="380"/>
      <c r="BA62" s="380"/>
      <c r="BB62" s="110"/>
      <c r="BD62" s="375"/>
      <c r="BE62" s="85"/>
      <c r="BF62" s="193">
        <f t="shared" si="22"/>
        <v>44609</v>
      </c>
      <c r="BG62" s="430"/>
      <c r="BH62" s="846"/>
      <c r="BI62" s="846"/>
      <c r="BJ62" s="320"/>
      <c r="BK62" s="378"/>
    </row>
    <row r="63" spans="1:63" s="6" customFormat="1" ht="11.25" customHeight="1" x14ac:dyDescent="0.2">
      <c r="A63" s="56">
        <f t="shared" si="23"/>
        <v>44610</v>
      </c>
      <c r="B63" s="608">
        <v>132.97200000000001</v>
      </c>
      <c r="C63" s="385"/>
      <c r="D63" s="388">
        <f t="shared" si="30"/>
        <v>133.31100487438897</v>
      </c>
      <c r="E63" s="380">
        <f t="shared" si="31"/>
        <v>134.99851570623326</v>
      </c>
      <c r="F63" s="380">
        <f t="shared" si="32"/>
        <v>134.99858380946762</v>
      </c>
      <c r="G63" s="110">
        <f t="shared" si="33"/>
        <v>0.848152985477309</v>
      </c>
      <c r="I63" s="375">
        <f t="shared" si="4"/>
        <v>134.99858380946762</v>
      </c>
      <c r="J63" s="85">
        <v>2022</v>
      </c>
      <c r="K63" s="193">
        <f t="shared" si="5"/>
        <v>44610</v>
      </c>
      <c r="L63" s="430">
        <f t="shared" si="6"/>
        <v>2.5429624111555915E-3</v>
      </c>
      <c r="M63" s="846"/>
      <c r="N63" s="846"/>
      <c r="O63" s="320">
        <f t="shared" si="7"/>
        <v>1.2500217672884926E-2</v>
      </c>
      <c r="P63" s="165">
        <f>(INDEX(Models!$BJ63:$BT63,,T63)*(1-R63)+INDEX(Models!$BJ63:$BT63,,T63+1)*R63-ERP_i)*Q63*Ramure*Pc/MaxiM</f>
        <v>6.4422071806677552E-7</v>
      </c>
      <c r="Q63" s="301">
        <f t="shared" si="24"/>
        <v>0.5</v>
      </c>
      <c r="R63" s="173">
        <f t="shared" si="8"/>
        <v>0.99380400348358999</v>
      </c>
      <c r="S63" s="801">
        <f t="shared" si="25"/>
        <v>-1</v>
      </c>
      <c r="T63" s="172">
        <f t="shared" si="26"/>
        <v>5</v>
      </c>
      <c r="U63" s="247">
        <f t="shared" si="27"/>
        <v>-6.1959965164100584E-3</v>
      </c>
      <c r="V63" s="378">
        <f t="shared" si="9"/>
        <v>156.77829789482823</v>
      </c>
      <c r="W63" s="397"/>
      <c r="X63" s="153">
        <f t="shared" si="10"/>
        <v>44610</v>
      </c>
      <c r="Y63" s="380">
        <f t="shared" si="11"/>
        <v>132.97200000000001</v>
      </c>
      <c r="Z63" s="380">
        <f t="shared" si="12"/>
        <v>133.31100487438897</v>
      </c>
      <c r="AA63" s="381">
        <f t="shared" si="13"/>
        <v>134.99851570623326</v>
      </c>
      <c r="AB63" s="193">
        <f t="shared" si="14"/>
        <v>44610</v>
      </c>
      <c r="AC63" s="420">
        <f t="shared" si="15"/>
        <v>1.2500217672884926E-2</v>
      </c>
      <c r="AD63" s="165">
        <f>(INDEX(Models!$BJ63:$BT63,,AH63)*(1-AF63)+INDEX(Models!$BJ63:$BT63,,AH63+1)*AF63-ERP_i)*AE63*Ramure*Pc/MaxiM</f>
        <v>6.4422071806677552E-7</v>
      </c>
      <c r="AE63" s="301">
        <f t="shared" si="16"/>
        <v>0.5</v>
      </c>
      <c r="AF63" s="173">
        <f t="shared" si="17"/>
        <v>0.99380400348358999</v>
      </c>
      <c r="AG63" s="801">
        <f t="shared" si="28"/>
        <v>-1</v>
      </c>
      <c r="AH63" s="172">
        <f t="shared" si="18"/>
        <v>5</v>
      </c>
      <c r="AI63" s="221">
        <f t="shared" si="19"/>
        <v>-6.1959965164100584E-3</v>
      </c>
      <c r="AJ63" s="261" t="b">
        <f t="shared" si="20"/>
        <v>0</v>
      </c>
      <c r="AK63" s="261" t="b">
        <f t="shared" si="21"/>
        <v>0</v>
      </c>
      <c r="AL63" s="261"/>
      <c r="AM63" s="261"/>
      <c r="AN63" s="75"/>
      <c r="AV63" s="153">
        <f t="shared" si="29"/>
        <v>44245</v>
      </c>
      <c r="AW63" s="608"/>
      <c r="AX63" s="385"/>
      <c r="AY63" s="388"/>
      <c r="AZ63" s="380"/>
      <c r="BA63" s="380"/>
      <c r="BB63" s="110"/>
      <c r="BD63" s="375"/>
      <c r="BE63" s="85"/>
      <c r="BF63" s="193">
        <f t="shared" si="22"/>
        <v>44610</v>
      </c>
      <c r="BG63" s="430"/>
      <c r="BH63" s="846"/>
      <c r="BI63" s="846"/>
      <c r="BJ63" s="320"/>
      <c r="BK63" s="378"/>
    </row>
    <row r="64" spans="1:63" s="6" customFormat="1" ht="11.25" x14ac:dyDescent="0.2">
      <c r="A64" s="56">
        <f t="shared" si="23"/>
        <v>44611</v>
      </c>
      <c r="B64" s="608">
        <v>75.789000000000001</v>
      </c>
      <c r="C64" s="385"/>
      <c r="D64" s="388">
        <f t="shared" si="30"/>
        <v>75.983260076218713</v>
      </c>
      <c r="E64" s="380">
        <f t="shared" si="31"/>
        <v>76.949908275537382</v>
      </c>
      <c r="F64" s="380">
        <f t="shared" si="32"/>
        <v>76.949920298124354</v>
      </c>
      <c r="G64" s="110">
        <f t="shared" si="33"/>
        <v>0.47880482412970982</v>
      </c>
      <c r="I64" s="375">
        <f t="shared" si="4"/>
        <v>76.949920298124354</v>
      </c>
      <c r="J64" s="85">
        <v>2022</v>
      </c>
      <c r="K64" s="193">
        <f t="shared" si="5"/>
        <v>44611</v>
      </c>
      <c r="L64" s="430">
        <f t="shared" si="6"/>
        <v>2.5566167603738865E-3</v>
      </c>
      <c r="M64" s="846"/>
      <c r="N64" s="846"/>
      <c r="O64" s="320">
        <f t="shared" si="7"/>
        <v>1.2562044854652041E-2</v>
      </c>
      <c r="P64" s="165">
        <f>(INDEX(Models!$BJ64:$BT64,,T64)*(1-R64)+INDEX(Models!$BJ64:$BT64,,T64+1)*R64-ERP_i)*Q64*Ramure*Pc/MaxiM</f>
        <v>6.1165711488860932E-7</v>
      </c>
      <c r="Q64" s="301">
        <f t="shared" si="24"/>
        <v>0.5</v>
      </c>
      <c r="R64" s="173">
        <f t="shared" si="8"/>
        <v>0.99401039022639892</v>
      </c>
      <c r="S64" s="801">
        <f t="shared" si="25"/>
        <v>-1</v>
      </c>
      <c r="T64" s="172">
        <f t="shared" si="26"/>
        <v>5</v>
      </c>
      <c r="U64" s="247">
        <f t="shared" si="27"/>
        <v>-5.9896097736010937E-3</v>
      </c>
      <c r="V64" s="378">
        <f t="shared" si="9"/>
        <v>158.28780677403512</v>
      </c>
      <c r="W64" s="397"/>
      <c r="X64" s="153">
        <f t="shared" si="10"/>
        <v>44611</v>
      </c>
      <c r="Y64" s="380">
        <f t="shared" si="11"/>
        <v>75.789000000000001</v>
      </c>
      <c r="Z64" s="380">
        <f t="shared" si="12"/>
        <v>75.983260076218713</v>
      </c>
      <c r="AA64" s="381">
        <f t="shared" si="13"/>
        <v>76.949908275537382</v>
      </c>
      <c r="AB64" s="193">
        <f t="shared" si="14"/>
        <v>44611</v>
      </c>
      <c r="AC64" s="420">
        <f t="shared" si="15"/>
        <v>1.2562044854652041E-2</v>
      </c>
      <c r="AD64" s="165">
        <f>(INDEX(Models!$BJ64:$BT64,,AH64)*(1-AF64)+INDEX(Models!$BJ64:$BT64,,AH64+1)*AF64-ERP_i)*AE64*Ramure*Pc/MaxiM</f>
        <v>6.1165711488860932E-7</v>
      </c>
      <c r="AE64" s="301">
        <f t="shared" si="16"/>
        <v>0.5</v>
      </c>
      <c r="AF64" s="173">
        <f t="shared" si="17"/>
        <v>0.99401039022639892</v>
      </c>
      <c r="AG64" s="801">
        <f t="shared" si="28"/>
        <v>-1</v>
      </c>
      <c r="AH64" s="172">
        <f t="shared" si="18"/>
        <v>5</v>
      </c>
      <c r="AI64" s="221">
        <f t="shared" si="19"/>
        <v>-5.9896097736010937E-3</v>
      </c>
      <c r="AJ64" s="261" t="b">
        <f t="shared" si="20"/>
        <v>0</v>
      </c>
      <c r="AK64" s="261" t="b">
        <f t="shared" si="21"/>
        <v>0</v>
      </c>
      <c r="AL64" s="261"/>
      <c r="AM64" s="261"/>
      <c r="AN64" s="75"/>
      <c r="AV64" s="153">
        <f t="shared" si="29"/>
        <v>44246</v>
      </c>
      <c r="AW64" s="608"/>
      <c r="AX64" s="385"/>
      <c r="AY64" s="388"/>
      <c r="AZ64" s="380"/>
      <c r="BA64" s="380"/>
      <c r="BB64" s="110"/>
      <c r="BD64" s="375"/>
      <c r="BE64" s="85"/>
      <c r="BF64" s="193">
        <f t="shared" si="22"/>
        <v>44611</v>
      </c>
      <c r="BG64" s="430"/>
      <c r="BH64" s="846"/>
      <c r="BI64" s="846"/>
      <c r="BJ64" s="320"/>
      <c r="BK64" s="378"/>
    </row>
    <row r="65" spans="1:63" s="6" customFormat="1" ht="11.25" customHeight="1" x14ac:dyDescent="0.2">
      <c r="A65" s="56">
        <f t="shared" si="23"/>
        <v>44612</v>
      </c>
      <c r="B65" s="608">
        <v>95.350000000000009</v>
      </c>
      <c r="C65" s="385"/>
      <c r="D65" s="388">
        <f t="shared" si="30"/>
        <v>95.595706865689522</v>
      </c>
      <c r="E65" s="380">
        <f t="shared" si="31"/>
        <v>96.817918361705367</v>
      </c>
      <c r="F65" s="380">
        <f t="shared" si="32"/>
        <v>96.817942431119334</v>
      </c>
      <c r="G65" s="110">
        <f t="shared" si="33"/>
        <v>0.59671621333934832</v>
      </c>
      <c r="I65" s="375">
        <f t="shared" si="4"/>
        <v>96.817942431119334</v>
      </c>
      <c r="J65" s="85">
        <v>2022</v>
      </c>
      <c r="K65" s="193">
        <f t="shared" si="5"/>
        <v>44612</v>
      </c>
      <c r="L65" s="430">
        <f t="shared" si="6"/>
        <v>2.5702709226756992E-3</v>
      </c>
      <c r="M65" s="846"/>
      <c r="N65" s="846"/>
      <c r="O65" s="320">
        <f t="shared" si="7"/>
        <v>1.2623815061275486E-2</v>
      </c>
      <c r="P65" s="165">
        <f>(INDEX(Models!$BJ65:$BT65,,T65)*(1-R65)+INDEX(Models!$BJ65:$BT65,,T65+1)*R65-ERP_i)*Q65*Ramure*Pc/MaxiM</f>
        <v>5.8649745844977831E-7</v>
      </c>
      <c r="Q65" s="301">
        <f t="shared" si="24"/>
        <v>0.5</v>
      </c>
      <c r="R65" s="173">
        <f t="shared" si="8"/>
        <v>0.99422525263230921</v>
      </c>
      <c r="S65" s="801">
        <f t="shared" si="25"/>
        <v>-1</v>
      </c>
      <c r="T65" s="172">
        <f t="shared" si="26"/>
        <v>5</v>
      </c>
      <c r="U65" s="247">
        <f t="shared" si="27"/>
        <v>-5.7747473676908077E-3</v>
      </c>
      <c r="V65" s="378">
        <f t="shared" si="9"/>
        <v>159.7911463614125</v>
      </c>
      <c r="W65" s="397"/>
      <c r="X65" s="153">
        <f t="shared" si="10"/>
        <v>44612</v>
      </c>
      <c r="Y65" s="380">
        <f t="shared" si="11"/>
        <v>95.350000000000009</v>
      </c>
      <c r="Z65" s="380">
        <f t="shared" si="12"/>
        <v>95.595706865689522</v>
      </c>
      <c r="AA65" s="381">
        <f t="shared" si="13"/>
        <v>96.817918361705367</v>
      </c>
      <c r="AB65" s="193">
        <f t="shared" si="14"/>
        <v>44612</v>
      </c>
      <c r="AC65" s="420">
        <f t="shared" si="15"/>
        <v>1.2623815061275486E-2</v>
      </c>
      <c r="AD65" s="165">
        <f>(INDEX(Models!$BJ65:$BT65,,AH65)*(1-AF65)+INDEX(Models!$BJ65:$BT65,,AH65+1)*AF65-ERP_i)*AE65*Ramure*Pc/MaxiM</f>
        <v>5.8649745844977831E-7</v>
      </c>
      <c r="AE65" s="301">
        <f t="shared" si="16"/>
        <v>0.5</v>
      </c>
      <c r="AF65" s="173">
        <f t="shared" si="17"/>
        <v>0.99422525263230921</v>
      </c>
      <c r="AG65" s="801">
        <f t="shared" si="28"/>
        <v>-1</v>
      </c>
      <c r="AH65" s="172">
        <f t="shared" si="18"/>
        <v>5</v>
      </c>
      <c r="AI65" s="221">
        <f t="shared" si="19"/>
        <v>-5.7747473676908077E-3</v>
      </c>
      <c r="AJ65" s="261" t="b">
        <f t="shared" si="20"/>
        <v>0</v>
      </c>
      <c r="AK65" s="261" t="b">
        <f t="shared" si="21"/>
        <v>0</v>
      </c>
      <c r="AL65" s="261"/>
      <c r="AM65" s="261"/>
      <c r="AN65" s="75"/>
      <c r="AV65" s="153">
        <f t="shared" si="29"/>
        <v>44247</v>
      </c>
      <c r="AW65" s="608"/>
      <c r="AX65" s="385"/>
      <c r="AY65" s="388"/>
      <c r="AZ65" s="380"/>
      <c r="BA65" s="380"/>
      <c r="BB65" s="110"/>
      <c r="BD65" s="375"/>
      <c r="BE65" s="85"/>
      <c r="BF65" s="193">
        <f t="shared" si="22"/>
        <v>44612</v>
      </c>
      <c r="BG65" s="430"/>
      <c r="BH65" s="846"/>
      <c r="BI65" s="846"/>
      <c r="BJ65" s="320"/>
      <c r="BK65" s="378"/>
    </row>
    <row r="66" spans="1:63" s="6" customFormat="1" ht="11.25" customHeight="1" x14ac:dyDescent="0.2">
      <c r="A66" s="56">
        <f t="shared" si="23"/>
        <v>44613</v>
      </c>
      <c r="B66" s="608">
        <v>103.75700000000001</v>
      </c>
      <c r="C66" s="385"/>
      <c r="D66" s="388">
        <f t="shared" si="30"/>
        <v>104.02579484133135</v>
      </c>
      <c r="E66" s="380">
        <f t="shared" si="31"/>
        <v>105.36237211908622</v>
      </c>
      <c r="F66" s="380">
        <f t="shared" si="32"/>
        <v>105.36240150019904</v>
      </c>
      <c r="G66" s="110">
        <f t="shared" si="33"/>
        <v>0.6432640486478246</v>
      </c>
      <c r="I66" s="375">
        <f t="shared" si="4"/>
        <v>105.36240150019904</v>
      </c>
      <c r="J66" s="85">
        <v>2022</v>
      </c>
      <c r="K66" s="193">
        <f t="shared" si="5"/>
        <v>44613</v>
      </c>
      <c r="L66" s="430">
        <f t="shared" si="6"/>
        <v>2.5839248980633611E-3</v>
      </c>
      <c r="M66" s="846"/>
      <c r="N66" s="846"/>
      <c r="O66" s="320">
        <f t="shared" si="7"/>
        <v>1.268552758326465E-2</v>
      </c>
      <c r="P66" s="165">
        <f>(INDEX(Models!$BJ66:$BT66,,T66)*(1-R66)+INDEX(Models!$BJ66:$BT66,,T66+1)*R66-ERP_i)*Q66*Ramure*Pc/MaxiM</f>
        <v>5.686591920185219E-7</v>
      </c>
      <c r="Q66" s="301">
        <f t="shared" si="24"/>
        <v>0.5</v>
      </c>
      <c r="R66" s="173">
        <f t="shared" si="8"/>
        <v>0.99444893088159581</v>
      </c>
      <c r="S66" s="801">
        <f t="shared" si="25"/>
        <v>-1</v>
      </c>
      <c r="T66" s="172">
        <f t="shared" si="26"/>
        <v>5</v>
      </c>
      <c r="U66" s="247">
        <f t="shared" si="27"/>
        <v>-5.5510691184041863E-3</v>
      </c>
      <c r="V66" s="378">
        <f t="shared" si="9"/>
        <v>161.29763531656533</v>
      </c>
      <c r="W66" s="397"/>
      <c r="X66" s="153">
        <f t="shared" si="10"/>
        <v>44613</v>
      </c>
      <c r="Y66" s="380">
        <f t="shared" si="11"/>
        <v>103.75700000000001</v>
      </c>
      <c r="Z66" s="380">
        <f t="shared" si="12"/>
        <v>104.02579484133135</v>
      </c>
      <c r="AA66" s="381">
        <f t="shared" si="13"/>
        <v>105.36237211908622</v>
      </c>
      <c r="AB66" s="193">
        <f t="shared" si="14"/>
        <v>44613</v>
      </c>
      <c r="AC66" s="420">
        <f t="shared" si="15"/>
        <v>1.268552758326465E-2</v>
      </c>
      <c r="AD66" s="165">
        <f>(INDEX(Models!$BJ66:$BT66,,AH66)*(1-AF66)+INDEX(Models!$BJ66:$BT66,,AH66+1)*AF66-ERP_i)*AE66*Ramure*Pc/MaxiM</f>
        <v>5.686591920185219E-7</v>
      </c>
      <c r="AE66" s="301">
        <f t="shared" si="16"/>
        <v>0.5</v>
      </c>
      <c r="AF66" s="173">
        <f t="shared" si="17"/>
        <v>0.99444893088159581</v>
      </c>
      <c r="AG66" s="801">
        <f t="shared" si="28"/>
        <v>-1</v>
      </c>
      <c r="AH66" s="172">
        <f t="shared" si="18"/>
        <v>5</v>
      </c>
      <c r="AI66" s="221">
        <f t="shared" si="19"/>
        <v>-5.5510691184041863E-3</v>
      </c>
      <c r="AJ66" s="261" t="b">
        <f t="shared" si="20"/>
        <v>0</v>
      </c>
      <c r="AK66" s="261" t="b">
        <f t="shared" si="21"/>
        <v>0</v>
      </c>
      <c r="AL66" s="261"/>
      <c r="AM66" s="261"/>
      <c r="AN66" s="75"/>
      <c r="AV66" s="153">
        <f t="shared" si="29"/>
        <v>44248</v>
      </c>
      <c r="AW66" s="608"/>
      <c r="AX66" s="385"/>
      <c r="AY66" s="388"/>
      <c r="AZ66" s="380"/>
      <c r="BA66" s="380"/>
      <c r="BB66" s="110"/>
      <c r="BD66" s="375"/>
      <c r="BE66" s="85"/>
      <c r="BF66" s="193">
        <f t="shared" si="22"/>
        <v>44613</v>
      </c>
      <c r="BG66" s="430"/>
      <c r="BH66" s="846"/>
      <c r="BI66" s="846"/>
      <c r="BJ66" s="320"/>
      <c r="BK66" s="378"/>
    </row>
    <row r="67" spans="1:63" s="6" customFormat="1" ht="11.25" customHeight="1" x14ac:dyDescent="0.2">
      <c r="A67" s="56">
        <f t="shared" si="23"/>
        <v>44614</v>
      </c>
      <c r="B67" s="608">
        <v>138.89699999999999</v>
      </c>
      <c r="C67" s="385"/>
      <c r="D67" s="388">
        <f t="shared" si="30"/>
        <v>139.25873552330981</v>
      </c>
      <c r="E67" s="380">
        <f t="shared" si="31"/>
        <v>141.05681236421211</v>
      </c>
      <c r="F67" s="380">
        <f t="shared" si="32"/>
        <v>141.0568740138535</v>
      </c>
      <c r="G67" s="110">
        <f t="shared" si="33"/>
        <v>0.85314582684205897</v>
      </c>
      <c r="I67" s="375">
        <f t="shared" si="4"/>
        <v>141.0568740138535</v>
      </c>
      <c r="J67" s="85">
        <v>2022</v>
      </c>
      <c r="K67" s="193">
        <f t="shared" si="5"/>
        <v>44614</v>
      </c>
      <c r="L67" s="430">
        <f t="shared" si="6"/>
        <v>2.5975786865396477E-3</v>
      </c>
      <c r="M67" s="846"/>
      <c r="N67" s="846"/>
      <c r="O67" s="320">
        <f t="shared" si="7"/>
        <v>1.2747181867825183E-2</v>
      </c>
      <c r="P67" s="165">
        <f>(INDEX(Models!$BJ67:$BT67,,T67)*(1-R67)+INDEX(Models!$BJ67:$BT67,,T67+1)*R67-ERP_i)*Q67*Ramure*Pc/MaxiM</f>
        <v>5.5308849125392302E-7</v>
      </c>
      <c r="Q67" s="301">
        <f t="shared" si="24"/>
        <v>0.5</v>
      </c>
      <c r="R67" s="173">
        <f t="shared" si="8"/>
        <v>0.99468177814066505</v>
      </c>
      <c r="S67" s="801">
        <f t="shared" si="25"/>
        <v>-1</v>
      </c>
      <c r="T67" s="172">
        <f t="shared" si="26"/>
        <v>5</v>
      </c>
      <c r="U67" s="247">
        <f t="shared" si="27"/>
        <v>-5.3182218593348972E-3</v>
      </c>
      <c r="V67" s="378">
        <f t="shared" si="9"/>
        <v>162.80567695847344</v>
      </c>
      <c r="W67" s="397"/>
      <c r="X67" s="153">
        <f t="shared" si="10"/>
        <v>44614</v>
      </c>
      <c r="Y67" s="380">
        <f t="shared" si="11"/>
        <v>138.89699999999999</v>
      </c>
      <c r="Z67" s="380">
        <f t="shared" si="12"/>
        <v>139.25873552330981</v>
      </c>
      <c r="AA67" s="381">
        <f t="shared" si="13"/>
        <v>141.05681236421211</v>
      </c>
      <c r="AB67" s="193">
        <f t="shared" si="14"/>
        <v>44614</v>
      </c>
      <c r="AC67" s="420">
        <f t="shared" si="15"/>
        <v>1.2747181867825183E-2</v>
      </c>
      <c r="AD67" s="165">
        <f>(INDEX(Models!$BJ67:$BT67,,AH67)*(1-AF67)+INDEX(Models!$BJ67:$BT67,,AH67+1)*AF67-ERP_i)*AE67*Ramure*Pc/MaxiM</f>
        <v>5.5308849125392302E-7</v>
      </c>
      <c r="AE67" s="301">
        <f t="shared" si="16"/>
        <v>0.5</v>
      </c>
      <c r="AF67" s="173">
        <f t="shared" si="17"/>
        <v>0.99468177814066505</v>
      </c>
      <c r="AG67" s="801">
        <f t="shared" si="28"/>
        <v>-1</v>
      </c>
      <c r="AH67" s="172">
        <f t="shared" si="18"/>
        <v>5</v>
      </c>
      <c r="AI67" s="221">
        <f t="shared" si="19"/>
        <v>-5.3182218593348972E-3</v>
      </c>
      <c r="AJ67" s="261" t="b">
        <f t="shared" si="20"/>
        <v>0</v>
      </c>
      <c r="AK67" s="261" t="b">
        <f t="shared" si="21"/>
        <v>0</v>
      </c>
      <c r="AL67" s="261"/>
      <c r="AM67" s="261"/>
      <c r="AN67" s="75"/>
      <c r="AV67" s="153">
        <f t="shared" si="29"/>
        <v>44249</v>
      </c>
      <c r="AW67" s="608"/>
      <c r="AX67" s="385"/>
      <c r="AY67" s="388"/>
      <c r="AZ67" s="380"/>
      <c r="BA67" s="380"/>
      <c r="BB67" s="110"/>
      <c r="BD67" s="375"/>
      <c r="BE67" s="85"/>
      <c r="BF67" s="193">
        <f t="shared" si="22"/>
        <v>44614</v>
      </c>
      <c r="BG67" s="430"/>
      <c r="BH67" s="846"/>
      <c r="BI67" s="846"/>
      <c r="BJ67" s="320"/>
      <c r="BK67" s="378"/>
    </row>
    <row r="68" spans="1:63" s="6" customFormat="1" ht="11.25" customHeight="1" x14ac:dyDescent="0.2">
      <c r="A68" s="56">
        <f t="shared" si="23"/>
        <v>44615</v>
      </c>
      <c r="B68" s="608">
        <v>143.52600000000001</v>
      </c>
      <c r="C68" s="385"/>
      <c r="D68" s="388">
        <f t="shared" si="30"/>
        <v>143.90176092444139</v>
      </c>
      <c r="E68" s="380">
        <f t="shared" si="31"/>
        <v>145.76888210735751</v>
      </c>
      <c r="F68" s="380">
        <f t="shared" si="32"/>
        <v>145.76894661808049</v>
      </c>
      <c r="G68" s="110">
        <f t="shared" si="33"/>
        <v>0.8734877768783923</v>
      </c>
      <c r="I68" s="375">
        <f t="shared" si="4"/>
        <v>145.76894661808049</v>
      </c>
      <c r="J68" s="85">
        <v>2022</v>
      </c>
      <c r="K68" s="193">
        <f t="shared" si="5"/>
        <v>44615</v>
      </c>
      <c r="L68" s="430">
        <f t="shared" si="6"/>
        <v>2.6112322881071126E-3</v>
      </c>
      <c r="M68" s="846"/>
      <c r="N68" s="846"/>
      <c r="O68" s="320">
        <f t="shared" si="7"/>
        <v>1.2808777538274552E-2</v>
      </c>
      <c r="P68" s="165">
        <f>(INDEX(Models!$BJ68:$BT68,,T68)*(1-R68)+INDEX(Models!$BJ68:$BT68,,T68+1)*R68-ERP_i)*Q68*Ramure*Pc/MaxiM</f>
        <v>5.4018273961712459E-7</v>
      </c>
      <c r="Q68" s="301">
        <f t="shared" si="24"/>
        <v>0.5</v>
      </c>
      <c r="R68" s="173">
        <f t="shared" si="8"/>
        <v>0.99492416100104297</v>
      </c>
      <c r="S68" s="801">
        <f t="shared" si="25"/>
        <v>-1</v>
      </c>
      <c r="T68" s="172">
        <f t="shared" si="26"/>
        <v>5</v>
      </c>
      <c r="U68" s="247">
        <f t="shared" si="27"/>
        <v>-5.0758389989570317E-3</v>
      </c>
      <c r="V68" s="378">
        <f t="shared" si="9"/>
        <v>164.31367420016488</v>
      </c>
      <c r="W68" s="397"/>
      <c r="X68" s="153">
        <f t="shared" si="10"/>
        <v>44615</v>
      </c>
      <c r="Y68" s="380">
        <f t="shared" si="11"/>
        <v>143.52600000000001</v>
      </c>
      <c r="Z68" s="380">
        <f t="shared" si="12"/>
        <v>143.90176092444139</v>
      </c>
      <c r="AA68" s="381">
        <f t="shared" si="13"/>
        <v>145.76888210735751</v>
      </c>
      <c r="AB68" s="193">
        <f t="shared" si="14"/>
        <v>44615</v>
      </c>
      <c r="AC68" s="420">
        <f t="shared" si="15"/>
        <v>1.2808777538274552E-2</v>
      </c>
      <c r="AD68" s="165">
        <f>(INDEX(Models!$BJ68:$BT68,,AH68)*(1-AF68)+INDEX(Models!$BJ68:$BT68,,AH68+1)*AF68-ERP_i)*AE68*Ramure*Pc/MaxiM</f>
        <v>5.4018273961712459E-7</v>
      </c>
      <c r="AE68" s="301">
        <f t="shared" si="16"/>
        <v>0.5</v>
      </c>
      <c r="AF68" s="173">
        <f t="shared" si="17"/>
        <v>0.99492416100104297</v>
      </c>
      <c r="AG68" s="801">
        <f t="shared" si="28"/>
        <v>-1</v>
      </c>
      <c r="AH68" s="172">
        <f t="shared" si="18"/>
        <v>5</v>
      </c>
      <c r="AI68" s="221">
        <f t="shared" si="19"/>
        <v>-5.0758389989570317E-3</v>
      </c>
      <c r="AJ68" s="261" t="b">
        <f t="shared" si="20"/>
        <v>0</v>
      </c>
      <c r="AK68" s="261" t="b">
        <f t="shared" si="21"/>
        <v>0</v>
      </c>
      <c r="AL68" s="261"/>
      <c r="AM68" s="261"/>
      <c r="AN68" s="75"/>
      <c r="AV68" s="153">
        <f t="shared" si="29"/>
        <v>44250</v>
      </c>
      <c r="AW68" s="608"/>
      <c r="AX68" s="385"/>
      <c r="AY68" s="388"/>
      <c r="AZ68" s="380"/>
      <c r="BA68" s="380"/>
      <c r="BB68" s="110"/>
      <c r="BD68" s="375"/>
      <c r="BE68" s="85"/>
      <c r="BF68" s="193">
        <f t="shared" si="22"/>
        <v>44615</v>
      </c>
      <c r="BG68" s="430"/>
      <c r="BH68" s="846"/>
      <c r="BI68" s="846"/>
      <c r="BJ68" s="320"/>
      <c r="BK68" s="378"/>
    </row>
    <row r="69" spans="1:63" s="6" customFormat="1" ht="11.25" customHeight="1" x14ac:dyDescent="0.2">
      <c r="A69" s="56">
        <f t="shared" si="23"/>
        <v>44616</v>
      </c>
      <c r="B69" s="608">
        <v>90.974000000000004</v>
      </c>
      <c r="C69" s="385"/>
      <c r="D69" s="388">
        <f t="shared" si="30"/>
        <v>91.213424814696609</v>
      </c>
      <c r="E69" s="380">
        <f t="shared" si="31"/>
        <v>92.402676311384681</v>
      </c>
      <c r="F69" s="380">
        <f t="shared" si="32"/>
        <v>92.402693718208255</v>
      </c>
      <c r="G69" s="110">
        <f t="shared" si="33"/>
        <v>0.54863075749776247</v>
      </c>
      <c r="I69" s="375">
        <f t="shared" si="4"/>
        <v>92.402693718208255</v>
      </c>
      <c r="J69" s="85">
        <v>2022</v>
      </c>
      <c r="K69" s="193">
        <f t="shared" si="5"/>
        <v>44616</v>
      </c>
      <c r="L69" s="430">
        <f t="shared" si="6"/>
        <v>2.6248857027680872E-3</v>
      </c>
      <c r="M69" s="846"/>
      <c r="N69" s="846"/>
      <c r="O69" s="320">
        <f t="shared" si="7"/>
        <v>1.2870314412544138E-2</v>
      </c>
      <c r="P69" s="165">
        <f>(INDEX(Models!$BJ69:$BT69,,T69)*(1-R69)+INDEX(Models!$BJ69:$BT69,,T69+1)*R69-ERP_i)*Q69*Ramure*Pc/MaxiM</f>
        <v>5.3036853955182815E-7</v>
      </c>
      <c r="Q69" s="301">
        <f t="shared" si="24"/>
        <v>0.5</v>
      </c>
      <c r="R69" s="173">
        <f t="shared" si="8"/>
        <v>0.9951764599282612</v>
      </c>
      <c r="S69" s="801">
        <f t="shared" si="25"/>
        <v>-1</v>
      </c>
      <c r="T69" s="172">
        <f t="shared" si="26"/>
        <v>5</v>
      </c>
      <c r="U69" s="247">
        <f t="shared" si="27"/>
        <v>-4.8235400717387454E-3</v>
      </c>
      <c r="V69" s="378">
        <f t="shared" si="9"/>
        <v>165.8200304023309</v>
      </c>
      <c r="W69" s="397"/>
      <c r="X69" s="153">
        <f t="shared" si="10"/>
        <v>44616</v>
      </c>
      <c r="Y69" s="380">
        <f t="shared" si="11"/>
        <v>90.974000000000004</v>
      </c>
      <c r="Z69" s="380">
        <f t="shared" si="12"/>
        <v>91.213424814696609</v>
      </c>
      <c r="AA69" s="381">
        <f t="shared" si="13"/>
        <v>92.402676311384681</v>
      </c>
      <c r="AB69" s="193">
        <f t="shared" si="14"/>
        <v>44616</v>
      </c>
      <c r="AC69" s="420">
        <f t="shared" si="15"/>
        <v>1.2870314412544138E-2</v>
      </c>
      <c r="AD69" s="165">
        <f>(INDEX(Models!$BJ69:$BT69,,AH69)*(1-AF69)+INDEX(Models!$BJ69:$BT69,,AH69+1)*AF69-ERP_i)*AE69*Ramure*Pc/MaxiM</f>
        <v>5.3036853955182815E-7</v>
      </c>
      <c r="AE69" s="301">
        <f t="shared" si="16"/>
        <v>0.5</v>
      </c>
      <c r="AF69" s="173">
        <f t="shared" si="17"/>
        <v>0.9951764599282612</v>
      </c>
      <c r="AG69" s="801">
        <f t="shared" si="28"/>
        <v>-1</v>
      </c>
      <c r="AH69" s="172">
        <f t="shared" si="18"/>
        <v>5</v>
      </c>
      <c r="AI69" s="221">
        <f t="shared" si="19"/>
        <v>-4.8235400717387454E-3</v>
      </c>
      <c r="AJ69" s="261" t="b">
        <f t="shared" si="20"/>
        <v>0</v>
      </c>
      <c r="AK69" s="261" t="b">
        <f t="shared" si="21"/>
        <v>0</v>
      </c>
      <c r="AL69" s="261"/>
      <c r="AM69" s="261"/>
      <c r="AN69" s="75"/>
      <c r="AV69" s="153">
        <f t="shared" si="29"/>
        <v>44251</v>
      </c>
      <c r="AW69" s="608"/>
      <c r="AX69" s="385"/>
      <c r="AY69" s="388"/>
      <c r="AZ69" s="380"/>
      <c r="BA69" s="380"/>
      <c r="BB69" s="110"/>
      <c r="BD69" s="375"/>
      <c r="BE69" s="85"/>
      <c r="BF69" s="193">
        <f t="shared" si="22"/>
        <v>44616</v>
      </c>
      <c r="BG69" s="430"/>
      <c r="BH69" s="846"/>
      <c r="BI69" s="846"/>
      <c r="BJ69" s="320"/>
      <c r="BK69" s="378"/>
    </row>
    <row r="70" spans="1:63" s="6" customFormat="1" ht="11.25" customHeight="1" x14ac:dyDescent="0.2">
      <c r="A70" s="56">
        <f t="shared" si="23"/>
        <v>44617</v>
      </c>
      <c r="B70" s="608">
        <v>128.852</v>
      </c>
      <c r="C70" s="385"/>
      <c r="D70" s="388">
        <f t="shared" si="30"/>
        <v>129.19288044459978</v>
      </c>
      <c r="E70" s="380">
        <f t="shared" si="31"/>
        <v>130.88546411043905</v>
      </c>
      <c r="F70" s="380">
        <f t="shared" si="32"/>
        <v>130.88551017631676</v>
      </c>
      <c r="G70" s="110">
        <f t="shared" si="33"/>
        <v>0.77007860719243337</v>
      </c>
      <c r="I70" s="375">
        <f t="shared" si="4"/>
        <v>130.88551017631676</v>
      </c>
      <c r="J70" s="85">
        <v>2022</v>
      </c>
      <c r="K70" s="193">
        <f t="shared" si="5"/>
        <v>44617</v>
      </c>
      <c r="L70" s="430">
        <f t="shared" si="6"/>
        <v>2.638538930525347E-3</v>
      </c>
      <c r="M70" s="846"/>
      <c r="N70" s="846"/>
      <c r="O70" s="320">
        <f t="shared" si="7"/>
        <v>1.2931792520604798E-2</v>
      </c>
      <c r="P70" s="165">
        <f>(INDEX(Models!$BJ70:$BT70,,T70)*(1-R70)+INDEX(Models!$BJ70:$BT70,,T70+1)*R70-ERP_i)*Q70*Ramure*Pc/MaxiM</f>
        <v>5.2410126794362247E-7</v>
      </c>
      <c r="Q70" s="301">
        <f t="shared" si="24"/>
        <v>0.5</v>
      </c>
      <c r="R70" s="173">
        <f t="shared" si="8"/>
        <v>0.99543906972039731</v>
      </c>
      <c r="S70" s="801">
        <f t="shared" si="25"/>
        <v>-1</v>
      </c>
      <c r="T70" s="172">
        <f t="shared" si="26"/>
        <v>5</v>
      </c>
      <c r="U70" s="247">
        <f t="shared" si="27"/>
        <v>-4.5609302796026929E-3</v>
      </c>
      <c r="V70" s="378">
        <f t="shared" si="9"/>
        <v>167.32314937099616</v>
      </c>
      <c r="W70" s="397"/>
      <c r="X70" s="153">
        <f t="shared" si="10"/>
        <v>44617</v>
      </c>
      <c r="Y70" s="380">
        <f t="shared" si="11"/>
        <v>128.852</v>
      </c>
      <c r="Z70" s="380">
        <f t="shared" si="12"/>
        <v>129.19288044459978</v>
      </c>
      <c r="AA70" s="381">
        <f t="shared" si="13"/>
        <v>130.88546411043905</v>
      </c>
      <c r="AB70" s="193">
        <f t="shared" si="14"/>
        <v>44617</v>
      </c>
      <c r="AC70" s="420">
        <f t="shared" si="15"/>
        <v>1.2931792520604798E-2</v>
      </c>
      <c r="AD70" s="165">
        <f>(INDEX(Models!$BJ70:$BT70,,AH70)*(1-AF70)+INDEX(Models!$BJ70:$BT70,,AH70+1)*AF70-ERP_i)*AE70*Ramure*Pc/MaxiM</f>
        <v>5.2410126794362247E-7</v>
      </c>
      <c r="AE70" s="301">
        <f t="shared" si="16"/>
        <v>0.5</v>
      </c>
      <c r="AF70" s="173">
        <f t="shared" si="17"/>
        <v>0.99543906972039731</v>
      </c>
      <c r="AG70" s="801">
        <f t="shared" si="28"/>
        <v>-1</v>
      </c>
      <c r="AH70" s="172">
        <f t="shared" si="18"/>
        <v>5</v>
      </c>
      <c r="AI70" s="221">
        <f t="shared" si="19"/>
        <v>-4.5609302796026929E-3</v>
      </c>
      <c r="AJ70" s="261" t="b">
        <f t="shared" si="20"/>
        <v>0</v>
      </c>
      <c r="AK70" s="261" t="b">
        <f t="shared" si="21"/>
        <v>0</v>
      </c>
      <c r="AL70" s="261"/>
      <c r="AM70" s="261"/>
      <c r="AN70" s="75"/>
      <c r="AV70" s="153">
        <f t="shared" si="29"/>
        <v>44252</v>
      </c>
      <c r="AW70" s="608"/>
      <c r="AX70" s="385"/>
      <c r="AY70" s="388"/>
      <c r="AZ70" s="380"/>
      <c r="BA70" s="380"/>
      <c r="BB70" s="110"/>
      <c r="BD70" s="375"/>
      <c r="BE70" s="85"/>
      <c r="BF70" s="193">
        <f t="shared" si="22"/>
        <v>44617</v>
      </c>
      <c r="BG70" s="430"/>
      <c r="BH70" s="846"/>
      <c r="BI70" s="846"/>
      <c r="BJ70" s="320"/>
      <c r="BK70" s="378"/>
    </row>
    <row r="71" spans="1:63" s="6" customFormat="1" ht="11.25" x14ac:dyDescent="0.2">
      <c r="A71" s="56">
        <f t="shared" si="23"/>
        <v>44618</v>
      </c>
      <c r="B71" s="1130">
        <f>179.98*0.95</f>
        <v>170.98099999999999</v>
      </c>
      <c r="C71" s="385"/>
      <c r="D71" s="388">
        <f t="shared" si="30"/>
        <v>171.43568033499278</v>
      </c>
      <c r="E71" s="380">
        <f t="shared" si="31"/>
        <v>173.69250388169726</v>
      </c>
      <c r="F71" s="380">
        <f t="shared" si="32"/>
        <v>173.69259452617041</v>
      </c>
      <c r="G71" s="110">
        <f t="shared" si="33"/>
        <v>1.0127920050517858</v>
      </c>
      <c r="I71" s="375">
        <f t="shared" si="4"/>
        <v>173.69259452617041</v>
      </c>
      <c r="J71" s="85">
        <v>2022</v>
      </c>
      <c r="K71" s="193">
        <f t="shared" si="5"/>
        <v>44618</v>
      </c>
      <c r="L71" s="430">
        <f t="shared" si="6"/>
        <v>2.6521919713814457E-3</v>
      </c>
      <c r="M71" s="846"/>
      <c r="N71" s="846"/>
      <c r="O71" s="320">
        <f t="shared" si="7"/>
        <v>1.2993212120665792E-2</v>
      </c>
      <c r="P71" s="165">
        <f>(INDEX(Models!$BJ71:$BT71,,T71)*(1-R71)+INDEX(Models!$BJ71:$BT71,,T71+1)*R71-ERP_i)*Q71*Ramure*Pc/MaxiM</f>
        <v>5.2186722983587292E-7</v>
      </c>
      <c r="Q71" s="301">
        <f t="shared" si="24"/>
        <v>0.5</v>
      </c>
      <c r="R71" s="173">
        <f t="shared" si="8"/>
        <v>0.99571239997596261</v>
      </c>
      <c r="S71" s="801">
        <f t="shared" si="25"/>
        <v>-1</v>
      </c>
      <c r="T71" s="172">
        <f t="shared" si="26"/>
        <v>5</v>
      </c>
      <c r="U71" s="247">
        <f t="shared" si="27"/>
        <v>-4.2876000240373927E-3</v>
      </c>
      <c r="V71" s="378">
        <f t="shared" si="9"/>
        <v>168.82143534620167</v>
      </c>
      <c r="W71" s="397"/>
      <c r="X71" s="153">
        <f t="shared" si="10"/>
        <v>44618</v>
      </c>
      <c r="Y71" s="380">
        <f t="shared" si="11"/>
        <v>170.98099999999999</v>
      </c>
      <c r="Z71" s="380">
        <f t="shared" si="12"/>
        <v>171.43568033499278</v>
      </c>
      <c r="AA71" s="381">
        <f t="shared" si="13"/>
        <v>173.69250388169726</v>
      </c>
      <c r="AB71" s="193">
        <f t="shared" si="14"/>
        <v>44618</v>
      </c>
      <c r="AC71" s="420">
        <f t="shared" si="15"/>
        <v>1.2993212120665792E-2</v>
      </c>
      <c r="AD71" s="165">
        <f>(INDEX(Models!$BJ71:$BT71,,AH71)*(1-AF71)+INDEX(Models!$BJ71:$BT71,,AH71+1)*AF71-ERP_i)*AE71*Ramure*Pc/MaxiM</f>
        <v>5.2186722983587292E-7</v>
      </c>
      <c r="AE71" s="301">
        <f t="shared" si="16"/>
        <v>0.5</v>
      </c>
      <c r="AF71" s="173">
        <f t="shared" si="17"/>
        <v>0.99571239997596261</v>
      </c>
      <c r="AG71" s="801">
        <f t="shared" si="28"/>
        <v>-1</v>
      </c>
      <c r="AH71" s="172">
        <f t="shared" si="18"/>
        <v>5</v>
      </c>
      <c r="AI71" s="221">
        <f t="shared" si="19"/>
        <v>-4.2876000240373927E-3</v>
      </c>
      <c r="AJ71" s="261" t="b">
        <f t="shared" si="20"/>
        <v>0</v>
      </c>
      <c r="AK71" s="261" t="b">
        <f t="shared" si="21"/>
        <v>0</v>
      </c>
      <c r="AL71" s="261"/>
      <c r="AM71" s="261"/>
      <c r="AN71" s="75"/>
      <c r="AV71" s="153">
        <f t="shared" si="29"/>
        <v>44253</v>
      </c>
      <c r="AW71" s="608"/>
      <c r="AX71" s="385"/>
      <c r="AY71" s="388"/>
      <c r="AZ71" s="380"/>
      <c r="BA71" s="380"/>
      <c r="BB71" s="110"/>
      <c r="BD71" s="375"/>
      <c r="BE71" s="85"/>
      <c r="BF71" s="193">
        <f t="shared" si="22"/>
        <v>44618</v>
      </c>
      <c r="BG71" s="430"/>
      <c r="BH71" s="846"/>
      <c r="BI71" s="846"/>
      <c r="BJ71" s="320"/>
      <c r="BK71" s="378"/>
    </row>
    <row r="72" spans="1:63" s="6" customFormat="1" ht="11.25" customHeight="1" x14ac:dyDescent="0.2">
      <c r="A72" s="56">
        <f t="shared" si="23"/>
        <v>44619</v>
      </c>
      <c r="B72" s="608">
        <v>113.76</v>
      </c>
      <c r="C72" s="385"/>
      <c r="D72" s="388">
        <f t="shared" si="30"/>
        <v>114.06407712977345</v>
      </c>
      <c r="E72" s="380">
        <f t="shared" si="31"/>
        <v>115.57283117366721</v>
      </c>
      <c r="F72" s="380">
        <f t="shared" si="32"/>
        <v>115.57286305662481</v>
      </c>
      <c r="G72" s="110">
        <f t="shared" si="33"/>
        <v>0.66794534792976823</v>
      </c>
      <c r="I72" s="375">
        <f t="shared" si="4"/>
        <v>115.57286305662481</v>
      </c>
      <c r="J72" s="85">
        <v>2022</v>
      </c>
      <c r="K72" s="193">
        <f t="shared" si="5"/>
        <v>44619</v>
      </c>
      <c r="L72" s="430">
        <f t="shared" si="6"/>
        <v>2.6658448253387146E-3</v>
      </c>
      <c r="M72" s="846"/>
      <c r="N72" s="846"/>
      <c r="O72" s="320">
        <f t="shared" si="7"/>
        <v>1.305457371401251E-2</v>
      </c>
      <c r="P72" s="165">
        <f>(INDEX(Models!$BJ72:$BT72,,T72)*(1-R72)+INDEX(Models!$BJ72:$BT72,,T72+1)*R72-ERP_i)*Q72*Ramure*Pc/MaxiM</f>
        <v>5.248283141830498E-7</v>
      </c>
      <c r="Q72" s="301">
        <f t="shared" si="24"/>
        <v>0.5</v>
      </c>
      <c r="R72" s="173">
        <f t="shared" si="8"/>
        <v>0.99599687557077277</v>
      </c>
      <c r="S72" s="801">
        <f t="shared" si="25"/>
        <v>-1</v>
      </c>
      <c r="T72" s="172">
        <f t="shared" si="26"/>
        <v>5</v>
      </c>
      <c r="U72" s="247">
        <f t="shared" si="27"/>
        <v>-4.0031244292272616E-3</v>
      </c>
      <c r="V72" s="378">
        <f t="shared" si="9"/>
        <v>170.31329289283357</v>
      </c>
      <c r="W72" s="397"/>
      <c r="X72" s="153">
        <f t="shared" si="10"/>
        <v>44619</v>
      </c>
      <c r="Y72" s="380">
        <f t="shared" si="11"/>
        <v>113.76</v>
      </c>
      <c r="Z72" s="380">
        <f t="shared" si="12"/>
        <v>114.06407712977345</v>
      </c>
      <c r="AA72" s="381">
        <f t="shared" si="13"/>
        <v>115.57283117366721</v>
      </c>
      <c r="AB72" s="193">
        <f t="shared" si="14"/>
        <v>44619</v>
      </c>
      <c r="AC72" s="420">
        <f t="shared" si="15"/>
        <v>1.305457371401251E-2</v>
      </c>
      <c r="AD72" s="165">
        <f>(INDEX(Models!$BJ72:$BT72,,AH72)*(1-AF72)+INDEX(Models!$BJ72:$BT72,,AH72+1)*AF72-ERP_i)*AE72*Ramure*Pc/MaxiM</f>
        <v>5.248283141830498E-7</v>
      </c>
      <c r="AE72" s="301">
        <f t="shared" si="16"/>
        <v>0.5</v>
      </c>
      <c r="AF72" s="173">
        <f t="shared" si="17"/>
        <v>0.99599687557077277</v>
      </c>
      <c r="AG72" s="801">
        <f t="shared" si="28"/>
        <v>-1</v>
      </c>
      <c r="AH72" s="172">
        <f t="shared" si="18"/>
        <v>5</v>
      </c>
      <c r="AI72" s="221">
        <f t="shared" si="19"/>
        <v>-4.0031244292272616E-3</v>
      </c>
      <c r="AJ72" s="261" t="b">
        <f t="shared" si="20"/>
        <v>0</v>
      </c>
      <c r="AK72" s="261" t="b">
        <f t="shared" si="21"/>
        <v>0</v>
      </c>
      <c r="AL72" s="261"/>
      <c r="AM72" s="261"/>
      <c r="AN72" s="75"/>
      <c r="AV72" s="153">
        <f t="shared" si="29"/>
        <v>44254</v>
      </c>
      <c r="AW72" s="608"/>
      <c r="AX72" s="385"/>
      <c r="AY72" s="388"/>
      <c r="AZ72" s="380"/>
      <c r="BA72" s="380"/>
      <c r="BB72" s="110"/>
      <c r="BD72" s="375"/>
      <c r="BE72" s="85"/>
      <c r="BF72" s="193">
        <f t="shared" si="22"/>
        <v>44619</v>
      </c>
      <c r="BG72" s="430"/>
      <c r="BH72" s="846"/>
      <c r="BI72" s="846"/>
      <c r="BJ72" s="320"/>
      <c r="BK72" s="378"/>
    </row>
    <row r="73" spans="1:63" s="6" customFormat="1" ht="11.25" customHeight="1" x14ac:dyDescent="0.2">
      <c r="A73" s="56">
        <f t="shared" si="23"/>
        <v>44620</v>
      </c>
      <c r="B73" s="608">
        <v>154.33100000000002</v>
      </c>
      <c r="C73" s="385"/>
      <c r="D73" s="388">
        <f t="shared" si="30"/>
        <v>154.7456405558292</v>
      </c>
      <c r="E73" s="380">
        <f t="shared" si="31"/>
        <v>156.80223960983011</v>
      </c>
      <c r="F73" s="380">
        <f t="shared" si="32"/>
        <v>156.80231017233547</v>
      </c>
      <c r="G73" s="110">
        <f t="shared" si="33"/>
        <v>0.89833275856277495</v>
      </c>
      <c r="I73" s="375">
        <f t="shared" si="4"/>
        <v>156.80231017233547</v>
      </c>
      <c r="J73" s="85">
        <v>2022</v>
      </c>
      <c r="K73" s="193">
        <f t="shared" si="5"/>
        <v>44620</v>
      </c>
      <c r="L73" s="430">
        <f t="shared" si="6"/>
        <v>2.6794974924000403E-3</v>
      </c>
      <c r="M73" s="846"/>
      <c r="N73" s="846"/>
      <c r="O73" s="320">
        <f t="shared" si="7"/>
        <v>1.311587805836399E-2</v>
      </c>
      <c r="P73" s="165">
        <f>(INDEX(Models!$BJ73:$BT73,,T73)*(1-R73)+INDEX(Models!$BJ73:$BT73,,T73+1)*R73-ERP_i)*Q73*Ramure*Pc/MaxiM</f>
        <v>5.2647377710625162E-7</v>
      </c>
      <c r="Q73" s="301">
        <f t="shared" si="24"/>
        <v>0.5</v>
      </c>
      <c r="R73" s="173">
        <f t="shared" si="8"/>
        <v>0.99629293714336042</v>
      </c>
      <c r="S73" s="801">
        <f t="shared" si="25"/>
        <v>-1</v>
      </c>
      <c r="T73" s="172">
        <f t="shared" si="26"/>
        <v>5</v>
      </c>
      <c r="U73" s="247">
        <f t="shared" si="27"/>
        <v>-3.7070628566396027E-3</v>
      </c>
      <c r="V73" s="378">
        <f t="shared" si="9"/>
        <v>171.79712832255393</v>
      </c>
      <c r="W73" s="397"/>
      <c r="X73" s="153">
        <f t="shared" si="10"/>
        <v>44620</v>
      </c>
      <c r="Y73" s="380">
        <f t="shared" si="11"/>
        <v>154.33100000000002</v>
      </c>
      <c r="Z73" s="380">
        <f t="shared" si="12"/>
        <v>154.7456405558292</v>
      </c>
      <c r="AA73" s="381">
        <f t="shared" si="13"/>
        <v>156.80223960983011</v>
      </c>
      <c r="AB73" s="193">
        <f t="shared" si="14"/>
        <v>44620</v>
      </c>
      <c r="AC73" s="420">
        <f t="shared" si="15"/>
        <v>1.311587805836399E-2</v>
      </c>
      <c r="AD73" s="165">
        <f>(INDEX(Models!$BJ73:$BT73,,AH73)*(1-AF73)+INDEX(Models!$BJ73:$BT73,,AH73+1)*AF73-ERP_i)*AE73*Ramure*Pc/MaxiM</f>
        <v>5.2647377710625162E-7</v>
      </c>
      <c r="AE73" s="301">
        <f t="shared" si="16"/>
        <v>0.5</v>
      </c>
      <c r="AF73" s="173">
        <f t="shared" si="17"/>
        <v>0.99629293714336042</v>
      </c>
      <c r="AG73" s="801">
        <f t="shared" si="28"/>
        <v>-1</v>
      </c>
      <c r="AH73" s="172">
        <f t="shared" si="18"/>
        <v>5</v>
      </c>
      <c r="AI73" s="221">
        <f t="shared" si="19"/>
        <v>-3.7070628566396027E-3</v>
      </c>
      <c r="AJ73" s="261" t="b">
        <f t="shared" si="20"/>
        <v>0</v>
      </c>
      <c r="AK73" s="261" t="b">
        <f t="shared" si="21"/>
        <v>0</v>
      </c>
      <c r="AL73" s="261"/>
      <c r="AM73" s="261"/>
      <c r="AN73" s="75"/>
      <c r="AV73" s="153">
        <f t="shared" si="29"/>
        <v>44255</v>
      </c>
      <c r="AW73" s="608"/>
      <c r="AX73" s="385"/>
      <c r="AY73" s="388"/>
      <c r="AZ73" s="380"/>
      <c r="BA73" s="380"/>
      <c r="BB73" s="110"/>
      <c r="BD73" s="375"/>
      <c r="BE73" s="85"/>
      <c r="BF73" s="193">
        <f t="shared" si="22"/>
        <v>44620</v>
      </c>
      <c r="BG73" s="430"/>
      <c r="BH73" s="846"/>
      <c r="BI73" s="846"/>
      <c r="BJ73" s="320"/>
      <c r="BK73" s="378"/>
    </row>
    <row r="74" spans="1:63" s="6" customFormat="1" ht="11.25" customHeight="1" x14ac:dyDescent="0.2">
      <c r="A74" s="56">
        <f t="shared" si="23"/>
        <v>44621</v>
      </c>
      <c r="B74" s="608">
        <v>173.38800000000001</v>
      </c>
      <c r="C74" s="385"/>
      <c r="D74" s="388">
        <f t="shared" si="30"/>
        <v>173.85622087648423</v>
      </c>
      <c r="E74" s="380">
        <f t="shared" si="31"/>
        <v>176.17773714894076</v>
      </c>
      <c r="F74" s="380">
        <f t="shared" si="32"/>
        <v>176.17782993937286</v>
      </c>
      <c r="G74" s="110">
        <f t="shared" si="33"/>
        <v>1.0006732370823297</v>
      </c>
      <c r="I74" s="375">
        <f t="shared" si="4"/>
        <v>176.17782993937286</v>
      </c>
      <c r="J74" s="85">
        <v>2022</v>
      </c>
      <c r="K74" s="193">
        <f t="shared" si="5"/>
        <v>44621</v>
      </c>
      <c r="L74" s="430">
        <f t="shared" si="6"/>
        <v>2.6931499725677543E-3</v>
      </c>
      <c r="M74" s="846"/>
      <c r="N74" s="846"/>
      <c r="O74" s="320">
        <f t="shared" si="7"/>
        <v>1.3177126179648488E-2</v>
      </c>
      <c r="P74" s="165">
        <f>(INDEX(Models!$BJ74:$BT74,,T74)*(1-R74)+INDEX(Models!$BJ74:$BT74,,T74+1)*R74-ERP_i)*Q74*Ramure*Pc/MaxiM</f>
        <v>5.2668620184592502E-7</v>
      </c>
      <c r="Q74" s="301">
        <f t="shared" si="24"/>
        <v>0.5</v>
      </c>
      <c r="R74" s="173">
        <f t="shared" si="8"/>
        <v>0.99660104158841922</v>
      </c>
      <c r="S74" s="801">
        <f t="shared" si="25"/>
        <v>-1</v>
      </c>
      <c r="T74" s="172">
        <f t="shared" si="26"/>
        <v>5</v>
      </c>
      <c r="U74" s="247">
        <f t="shared" si="27"/>
        <v>-3.3989584115808203E-3</v>
      </c>
      <c r="V74" s="378">
        <f t="shared" si="9"/>
        <v>173.27134730368991</v>
      </c>
      <c r="W74" s="397"/>
      <c r="X74" s="153">
        <f t="shared" si="10"/>
        <v>44621</v>
      </c>
      <c r="Y74" s="380">
        <f t="shared" si="11"/>
        <v>173.38800000000001</v>
      </c>
      <c r="Z74" s="380">
        <f t="shared" si="12"/>
        <v>173.85622087648423</v>
      </c>
      <c r="AA74" s="381">
        <f t="shared" si="13"/>
        <v>176.17773714894076</v>
      </c>
      <c r="AB74" s="193">
        <f t="shared" si="14"/>
        <v>44621</v>
      </c>
      <c r="AC74" s="420">
        <f t="shared" si="15"/>
        <v>1.3177126179648488E-2</v>
      </c>
      <c r="AD74" s="165">
        <f>(INDEX(Models!$BJ74:$BT74,,AH74)*(1-AF74)+INDEX(Models!$BJ74:$BT74,,AH74+1)*AF74-ERP_i)*AE74*Ramure*Pc/MaxiM</f>
        <v>5.2668620184592502E-7</v>
      </c>
      <c r="AE74" s="301">
        <f t="shared" si="16"/>
        <v>0.5</v>
      </c>
      <c r="AF74" s="173">
        <f t="shared" si="17"/>
        <v>0.99660104158841922</v>
      </c>
      <c r="AG74" s="801">
        <f t="shared" si="28"/>
        <v>-1</v>
      </c>
      <c r="AH74" s="172">
        <f t="shared" si="18"/>
        <v>5</v>
      </c>
      <c r="AI74" s="221">
        <f t="shared" si="19"/>
        <v>-3.3989584115808203E-3</v>
      </c>
      <c r="AJ74" s="261" t="b">
        <f t="shared" si="20"/>
        <v>0</v>
      </c>
      <c r="AK74" s="261" t="b">
        <f t="shared" si="21"/>
        <v>0</v>
      </c>
      <c r="AL74" s="261"/>
      <c r="AM74" s="261"/>
      <c r="AN74" s="75"/>
      <c r="AV74" s="153">
        <f t="shared" si="29"/>
        <v>44256</v>
      </c>
      <c r="AW74" s="608"/>
      <c r="AX74" s="385"/>
      <c r="AY74" s="388"/>
      <c r="AZ74" s="380"/>
      <c r="BA74" s="380"/>
      <c r="BB74" s="110"/>
      <c r="BD74" s="375"/>
      <c r="BE74" s="85"/>
      <c r="BF74" s="193">
        <f t="shared" si="22"/>
        <v>44621</v>
      </c>
      <c r="BG74" s="430"/>
      <c r="BH74" s="846"/>
      <c r="BI74" s="846"/>
      <c r="BJ74" s="320"/>
      <c r="BK74" s="378"/>
    </row>
    <row r="75" spans="1:63" s="6" customFormat="1" ht="11.25" customHeight="1" x14ac:dyDescent="0.2">
      <c r="A75" s="56">
        <f t="shared" si="23"/>
        <v>44622</v>
      </c>
      <c r="B75" s="608">
        <v>53.063000000000002</v>
      </c>
      <c r="C75" s="385"/>
      <c r="D75" s="388">
        <f t="shared" si="30"/>
        <v>53.20702088468952</v>
      </c>
      <c r="E75" s="380">
        <f t="shared" si="31"/>
        <v>53.920842215288033</v>
      </c>
      <c r="F75" s="380">
        <f t="shared" si="32"/>
        <v>53.920842364129726</v>
      </c>
      <c r="G75" s="110">
        <f t="shared" si="33"/>
        <v>0.30367795724054436</v>
      </c>
      <c r="I75" s="375">
        <f t="shared" si="4"/>
        <v>53.920842364129726</v>
      </c>
      <c r="J75" s="85">
        <v>2022</v>
      </c>
      <c r="K75" s="193">
        <f t="shared" si="5"/>
        <v>44622</v>
      </c>
      <c r="L75" s="430">
        <f t="shared" si="6"/>
        <v>2.7068022658445212E-3</v>
      </c>
      <c r="M75" s="846"/>
      <c r="N75" s="846"/>
      <c r="O75" s="320">
        <f t="shared" si="7"/>
        <v>1.3238319382113149E-2</v>
      </c>
      <c r="P75" s="165">
        <f>(INDEX(Models!$BJ75:$BT75,,T75)*(1-R75)+INDEX(Models!$BJ75:$BT75,,T75+1)*R75-ERP_i)*Q75*Ramure*Pc/MaxiM</f>
        <v>5.2534011281563047E-7</v>
      </c>
      <c r="Q75" s="301">
        <f t="shared" si="24"/>
        <v>0.5</v>
      </c>
      <c r="R75" s="173">
        <f t="shared" si="8"/>
        <v>0.99692166255768078</v>
      </c>
      <c r="S75" s="801">
        <f t="shared" si="25"/>
        <v>-1</v>
      </c>
      <c r="T75" s="172">
        <f t="shared" si="26"/>
        <v>5</v>
      </c>
      <c r="U75" s="247">
        <f t="shared" si="27"/>
        <v>-3.0783374423192676E-3</v>
      </c>
      <c r="V75" s="378">
        <f t="shared" si="9"/>
        <v>174.73435593588337</v>
      </c>
      <c r="W75" s="397"/>
      <c r="X75" s="153">
        <f t="shared" si="10"/>
        <v>44622</v>
      </c>
      <c r="Y75" s="380">
        <f t="shared" si="11"/>
        <v>53.063000000000002</v>
      </c>
      <c r="Z75" s="380">
        <f t="shared" si="12"/>
        <v>53.20702088468952</v>
      </c>
      <c r="AA75" s="381">
        <f t="shared" si="13"/>
        <v>53.920842215288033</v>
      </c>
      <c r="AB75" s="193">
        <f t="shared" si="14"/>
        <v>44622</v>
      </c>
      <c r="AC75" s="420">
        <f t="shared" si="15"/>
        <v>1.3238319382113149E-2</v>
      </c>
      <c r="AD75" s="165">
        <f>(INDEX(Models!$BJ75:$BT75,,AH75)*(1-AF75)+INDEX(Models!$BJ75:$BT75,,AH75+1)*AF75-ERP_i)*AE75*Ramure*Pc/MaxiM</f>
        <v>5.2534011281563047E-7</v>
      </c>
      <c r="AE75" s="301">
        <f t="shared" si="16"/>
        <v>0.5</v>
      </c>
      <c r="AF75" s="173">
        <f t="shared" si="17"/>
        <v>0.99692166255768078</v>
      </c>
      <c r="AG75" s="801">
        <f t="shared" si="28"/>
        <v>-1</v>
      </c>
      <c r="AH75" s="172">
        <f t="shared" si="18"/>
        <v>5</v>
      </c>
      <c r="AI75" s="221">
        <f t="shared" si="19"/>
        <v>-3.0783374423192676E-3</v>
      </c>
      <c r="AJ75" s="261" t="b">
        <f t="shared" si="20"/>
        <v>0</v>
      </c>
      <c r="AK75" s="261" t="b">
        <f t="shared" si="21"/>
        <v>0</v>
      </c>
      <c r="AL75" s="261"/>
      <c r="AM75" s="261"/>
      <c r="AN75" s="75"/>
      <c r="AV75" s="153">
        <f t="shared" si="29"/>
        <v>44257</v>
      </c>
      <c r="AW75" s="608"/>
      <c r="AX75" s="385"/>
      <c r="AY75" s="388"/>
      <c r="AZ75" s="380"/>
      <c r="BA75" s="380"/>
      <c r="BB75" s="110"/>
      <c r="BD75" s="375"/>
      <c r="BE75" s="85"/>
      <c r="BF75" s="193">
        <f t="shared" si="22"/>
        <v>44622</v>
      </c>
      <c r="BG75" s="430"/>
      <c r="BH75" s="846"/>
      <c r="BI75" s="846"/>
      <c r="BJ75" s="320"/>
      <c r="BK75" s="378"/>
    </row>
    <row r="76" spans="1:63" s="6" customFormat="1" ht="11.25" customHeight="1" x14ac:dyDescent="0.2">
      <c r="A76" s="56">
        <f t="shared" si="23"/>
        <v>44623</v>
      </c>
      <c r="B76" s="608">
        <v>159.98099999999999</v>
      </c>
      <c r="C76" s="385"/>
      <c r="D76" s="388">
        <f t="shared" si="30"/>
        <v>160.41740823962775</v>
      </c>
      <c r="E76" s="380">
        <f t="shared" si="31"/>
        <v>162.57962939675963</v>
      </c>
      <c r="F76" s="380">
        <f t="shared" si="32"/>
        <v>162.57970315575704</v>
      </c>
      <c r="G76" s="110">
        <f t="shared" si="33"/>
        <v>0.90803069435453565</v>
      </c>
      <c r="I76" s="375">
        <f t="shared" si="4"/>
        <v>162.57970315575704</v>
      </c>
      <c r="J76" s="85">
        <v>2022</v>
      </c>
      <c r="K76" s="193">
        <f t="shared" si="5"/>
        <v>44623</v>
      </c>
      <c r="L76" s="430">
        <f t="shared" si="6"/>
        <v>2.7204543722327834E-3</v>
      </c>
      <c r="M76" s="846"/>
      <c r="N76" s="846"/>
      <c r="O76" s="320">
        <f t="shared" si="7"/>
        <v>1.3299459256701823E-2</v>
      </c>
      <c r="P76" s="165">
        <f>(INDEX(Models!$BJ76:$BT76,,T76)*(1-R76)+INDEX(Models!$BJ76:$BT76,,T76+1)*R76-ERP_i)*Q76*Ramure*Pc/MaxiM</f>
        <v>5.2230137659510743E-7</v>
      </c>
      <c r="Q76" s="301">
        <f t="shared" si="24"/>
        <v>0.5</v>
      </c>
      <c r="R76" s="173">
        <f t="shared" si="8"/>
        <v>0.99725529096753862</v>
      </c>
      <c r="S76" s="801">
        <f t="shared" si="25"/>
        <v>-1</v>
      </c>
      <c r="T76" s="172">
        <f t="shared" si="26"/>
        <v>5</v>
      </c>
      <c r="U76" s="247">
        <f t="shared" si="27"/>
        <v>-2.7447090324613848E-3</v>
      </c>
      <c r="V76" s="378">
        <f t="shared" si="9"/>
        <v>176.18456073826854</v>
      </c>
      <c r="W76" s="397"/>
      <c r="X76" s="153">
        <f t="shared" si="10"/>
        <v>44623</v>
      </c>
      <c r="Y76" s="380">
        <f t="shared" si="11"/>
        <v>159.98099999999999</v>
      </c>
      <c r="Z76" s="380">
        <f t="shared" si="12"/>
        <v>160.41740823962775</v>
      </c>
      <c r="AA76" s="381">
        <f t="shared" si="13"/>
        <v>162.57962939675963</v>
      </c>
      <c r="AB76" s="193">
        <f t="shared" si="14"/>
        <v>44623</v>
      </c>
      <c r="AC76" s="420">
        <f t="shared" si="15"/>
        <v>1.3299459256701823E-2</v>
      </c>
      <c r="AD76" s="165">
        <f>(INDEX(Models!$BJ76:$BT76,,AH76)*(1-AF76)+INDEX(Models!$BJ76:$BT76,,AH76+1)*AF76-ERP_i)*AE76*Ramure*Pc/MaxiM</f>
        <v>5.2230137659510743E-7</v>
      </c>
      <c r="AE76" s="301">
        <f t="shared" si="16"/>
        <v>0.5</v>
      </c>
      <c r="AF76" s="173">
        <f t="shared" si="17"/>
        <v>0.99725529096753862</v>
      </c>
      <c r="AG76" s="801">
        <f t="shared" si="28"/>
        <v>-1</v>
      </c>
      <c r="AH76" s="172">
        <f t="shared" si="18"/>
        <v>5</v>
      </c>
      <c r="AI76" s="221">
        <f t="shared" si="19"/>
        <v>-2.7447090324613848E-3</v>
      </c>
      <c r="AJ76" s="261" t="b">
        <f t="shared" si="20"/>
        <v>0</v>
      </c>
      <c r="AK76" s="261" t="b">
        <f t="shared" si="21"/>
        <v>0</v>
      </c>
      <c r="AL76" s="261"/>
      <c r="AM76" s="261"/>
      <c r="AN76" s="75"/>
      <c r="AV76" s="153">
        <f t="shared" si="29"/>
        <v>44258</v>
      </c>
      <c r="AW76" s="608"/>
      <c r="AX76" s="385"/>
      <c r="AY76" s="388"/>
      <c r="AZ76" s="380"/>
      <c r="BA76" s="380"/>
      <c r="BB76" s="110"/>
      <c r="BD76" s="375"/>
      <c r="BE76" s="85"/>
      <c r="BF76" s="193">
        <f t="shared" si="22"/>
        <v>44623</v>
      </c>
      <c r="BG76" s="430"/>
      <c r="BH76" s="846"/>
      <c r="BI76" s="846"/>
      <c r="BJ76" s="320"/>
      <c r="BK76" s="378"/>
    </row>
    <row r="77" spans="1:63" s="6" customFormat="1" ht="11.25" x14ac:dyDescent="0.2">
      <c r="A77" s="56">
        <f t="shared" si="23"/>
        <v>44624</v>
      </c>
      <c r="B77" s="608">
        <v>20.427</v>
      </c>
      <c r="C77" s="385"/>
      <c r="D77" s="388">
        <f t="shared" si="30"/>
        <v>20.483002706573672</v>
      </c>
      <c r="E77" s="380">
        <f t="shared" si="31"/>
        <v>20.760372655450283</v>
      </c>
      <c r="F77" s="380">
        <f t="shared" si="32"/>
        <v>20.760372655450283</v>
      </c>
      <c r="G77" s="110">
        <f t="shared" si="33"/>
        <v>0.11500364280127987</v>
      </c>
      <c r="I77" s="375">
        <f t="shared" si="4"/>
        <v>20.760372655450283</v>
      </c>
      <c r="J77" s="85">
        <v>2022</v>
      </c>
      <c r="K77" s="193">
        <f t="shared" si="5"/>
        <v>44624</v>
      </c>
      <c r="L77" s="430">
        <f t="shared" si="6"/>
        <v>2.7341062917352055E-3</v>
      </c>
      <c r="M77" s="846"/>
      <c r="N77" s="846"/>
      <c r="O77" s="320">
        <f t="shared" si="7"/>
        <v>1.336054768765392E-2</v>
      </c>
      <c r="P77" s="165">
        <f>(INDEX(Models!$BJ77:$BT77,,T77)*(1-R77)+INDEX(Models!$BJ77:$BT77,,T77+1)*R77-ERP_i)*Q77*Ramure*Pc/MaxiM</f>
        <v>5.1742655356423499E-7</v>
      </c>
      <c r="Q77" s="301">
        <f t="shared" si="24"/>
        <v>0.5</v>
      </c>
      <c r="R77" s="173">
        <f t="shared" si="8"/>
        <v>0.99760243551263694</v>
      </c>
      <c r="S77" s="801">
        <f t="shared" si="25"/>
        <v>-1</v>
      </c>
      <c r="T77" s="172">
        <f t="shared" si="26"/>
        <v>5</v>
      </c>
      <c r="U77" s="247">
        <f t="shared" si="27"/>
        <v>-2.3975644873630991E-3</v>
      </c>
      <c r="V77" s="378">
        <f t="shared" si="9"/>
        <v>177.62036865062208</v>
      </c>
      <c r="W77" s="397"/>
      <c r="X77" s="153">
        <f t="shared" si="10"/>
        <v>44624</v>
      </c>
      <c r="Y77" s="380">
        <f t="shared" si="11"/>
        <v>20.427</v>
      </c>
      <c r="Z77" s="380">
        <f t="shared" si="12"/>
        <v>20.483002706573672</v>
      </c>
      <c r="AA77" s="381">
        <f t="shared" si="13"/>
        <v>20.760372655450283</v>
      </c>
      <c r="AB77" s="193">
        <f t="shared" si="14"/>
        <v>44624</v>
      </c>
      <c r="AC77" s="420">
        <f t="shared" si="15"/>
        <v>1.336054768765392E-2</v>
      </c>
      <c r="AD77" s="165">
        <f>(INDEX(Models!$BJ77:$BT77,,AH77)*(1-AF77)+INDEX(Models!$BJ77:$BT77,,AH77+1)*AF77-ERP_i)*AE77*Ramure*Pc/MaxiM</f>
        <v>5.1742655356423499E-7</v>
      </c>
      <c r="AE77" s="301">
        <f t="shared" si="16"/>
        <v>0.5</v>
      </c>
      <c r="AF77" s="173">
        <f t="shared" si="17"/>
        <v>0.99760243551263694</v>
      </c>
      <c r="AG77" s="801">
        <f t="shared" si="28"/>
        <v>-1</v>
      </c>
      <c r="AH77" s="172">
        <f t="shared" si="18"/>
        <v>5</v>
      </c>
      <c r="AI77" s="221">
        <f t="shared" si="19"/>
        <v>-2.3975644873630991E-3</v>
      </c>
      <c r="AJ77" s="261" t="b">
        <f t="shared" si="20"/>
        <v>0</v>
      </c>
      <c r="AK77" s="261" t="b">
        <f t="shared" si="21"/>
        <v>0</v>
      </c>
      <c r="AL77" s="261"/>
      <c r="AM77" s="261"/>
      <c r="AN77" s="75"/>
      <c r="AV77" s="153">
        <f t="shared" si="29"/>
        <v>44259</v>
      </c>
      <c r="AW77" s="608"/>
      <c r="AX77" s="385"/>
      <c r="AY77" s="388"/>
      <c r="AZ77" s="380"/>
      <c r="BA77" s="380"/>
      <c r="BB77" s="110"/>
      <c r="BD77" s="375"/>
      <c r="BE77" s="85"/>
      <c r="BF77" s="193">
        <f t="shared" si="22"/>
        <v>44624</v>
      </c>
      <c r="BG77" s="430"/>
      <c r="BH77" s="846"/>
      <c r="BI77" s="846"/>
      <c r="BJ77" s="320"/>
      <c r="BK77" s="378"/>
    </row>
    <row r="78" spans="1:63" s="6" customFormat="1" ht="11.25" customHeight="1" x14ac:dyDescent="0.2">
      <c r="A78" s="56">
        <f t="shared" si="23"/>
        <v>44625</v>
      </c>
      <c r="B78" s="608">
        <v>67.456000000000003</v>
      </c>
      <c r="C78" s="385"/>
      <c r="D78" s="388">
        <f t="shared" si="30"/>
        <v>67.641863473140603</v>
      </c>
      <c r="E78" s="380">
        <f t="shared" si="31"/>
        <v>68.562075322193877</v>
      </c>
      <c r="F78" s="380">
        <f t="shared" si="32"/>
        <v>68.562079160993505</v>
      </c>
      <c r="G78" s="110">
        <f t="shared" si="33"/>
        <v>0.37676440388486837</v>
      </c>
      <c r="I78" s="375">
        <f t="shared" si="4"/>
        <v>68.562079160993505</v>
      </c>
      <c r="J78" s="85">
        <v>2022</v>
      </c>
      <c r="K78" s="193">
        <f t="shared" si="5"/>
        <v>44625</v>
      </c>
      <c r="L78" s="430">
        <f t="shared" si="6"/>
        <v>2.7477580243543409E-3</v>
      </c>
      <c r="M78" s="846"/>
      <c r="N78" s="846"/>
      <c r="O78" s="320">
        <f t="shared" si="7"/>
        <v>1.3421586857295645E-2</v>
      </c>
      <c r="P78" s="165">
        <f>(INDEX(Models!$BJ78:$BT78,,T78)*(1-R78)+INDEX(Models!$BJ78:$BT78,,T78+1)*R78-ERP_i)*Q78*Ramure*Pc/MaxiM</f>
        <v>5.105621957973243E-7</v>
      </c>
      <c r="Q78" s="301">
        <f t="shared" si="24"/>
        <v>0.5</v>
      </c>
      <c r="R78" s="173">
        <f t="shared" si="8"/>
        <v>0.99796362318453258</v>
      </c>
      <c r="S78" s="801">
        <f t="shared" si="25"/>
        <v>-1</v>
      </c>
      <c r="T78" s="172">
        <f t="shared" si="26"/>
        <v>5</v>
      </c>
      <c r="U78" s="247">
        <f t="shared" si="27"/>
        <v>-2.0363768154674569E-3</v>
      </c>
      <c r="V78" s="378">
        <f t="shared" si="9"/>
        <v>179.04018702626195</v>
      </c>
      <c r="W78" s="397"/>
      <c r="X78" s="153">
        <f t="shared" si="10"/>
        <v>44625</v>
      </c>
      <c r="Y78" s="380">
        <f t="shared" si="11"/>
        <v>67.456000000000003</v>
      </c>
      <c r="Z78" s="380">
        <f t="shared" si="12"/>
        <v>67.641863473140603</v>
      </c>
      <c r="AA78" s="381">
        <f t="shared" si="13"/>
        <v>68.562075322193877</v>
      </c>
      <c r="AB78" s="193">
        <f t="shared" si="14"/>
        <v>44625</v>
      </c>
      <c r="AC78" s="420">
        <f t="shared" si="15"/>
        <v>1.3421586857295645E-2</v>
      </c>
      <c r="AD78" s="165">
        <f>(INDEX(Models!$BJ78:$BT78,,AH78)*(1-AF78)+INDEX(Models!$BJ78:$BT78,,AH78+1)*AF78-ERP_i)*AE78*Ramure*Pc/MaxiM</f>
        <v>5.105621957973243E-7</v>
      </c>
      <c r="AE78" s="301">
        <f t="shared" si="16"/>
        <v>0.5</v>
      </c>
      <c r="AF78" s="173">
        <f t="shared" si="17"/>
        <v>0.99796362318453258</v>
      </c>
      <c r="AG78" s="801">
        <f t="shared" si="28"/>
        <v>-1</v>
      </c>
      <c r="AH78" s="172">
        <f t="shared" si="18"/>
        <v>5</v>
      </c>
      <c r="AI78" s="221">
        <f t="shared" si="19"/>
        <v>-2.0363768154674569E-3</v>
      </c>
      <c r="AJ78" s="261" t="b">
        <f t="shared" si="20"/>
        <v>0</v>
      </c>
      <c r="AK78" s="261" t="b">
        <f t="shared" si="21"/>
        <v>0</v>
      </c>
      <c r="AL78" s="261"/>
      <c r="AM78" s="261"/>
      <c r="AN78" s="75"/>
      <c r="AV78" s="153">
        <f t="shared" si="29"/>
        <v>44260</v>
      </c>
      <c r="AW78" s="608"/>
      <c r="AX78" s="385"/>
      <c r="AY78" s="388"/>
      <c r="AZ78" s="380"/>
      <c r="BA78" s="380"/>
      <c r="BB78" s="110"/>
      <c r="BD78" s="375"/>
      <c r="BE78" s="85"/>
      <c r="BF78" s="193">
        <f t="shared" si="22"/>
        <v>44625</v>
      </c>
      <c r="BG78" s="430"/>
      <c r="BH78" s="846"/>
      <c r="BI78" s="846"/>
      <c r="BJ78" s="320"/>
      <c r="BK78" s="378"/>
    </row>
    <row r="79" spans="1:63" s="6" customFormat="1" ht="11.25" x14ac:dyDescent="0.2">
      <c r="A79" s="56">
        <f t="shared" si="23"/>
        <v>44626</v>
      </c>
      <c r="B79" s="608">
        <v>95.234000000000009</v>
      </c>
      <c r="C79" s="385"/>
      <c r="D79" s="388">
        <f t="shared" si="30"/>
        <v>95.497708285581737</v>
      </c>
      <c r="E79" s="380">
        <f t="shared" si="31"/>
        <v>96.8028605241295</v>
      </c>
      <c r="F79" s="380">
        <f t="shared" si="32"/>
        <v>96.802876321766419</v>
      </c>
      <c r="G79" s="110">
        <f t="shared" si="33"/>
        <v>0.52777163294043683</v>
      </c>
      <c r="I79" s="375">
        <f t="shared" ref="I79:I142" si="34">Wh_hp</f>
        <v>96.802876321766419</v>
      </c>
      <c r="J79" s="85">
        <v>2022</v>
      </c>
      <c r="K79" s="193">
        <f t="shared" ref="K79:K142" si="35">t</f>
        <v>44626</v>
      </c>
      <c r="L79" s="430">
        <f t="shared" ref="L79:L142" si="36">IF(t&lt;T0,0,IF(t&lt;Tvie,1-EXP((T0-t)*PertePVj)+Pspv_21,1-EXP((T0-t)*PertePVj)+Pspv))</f>
        <v>2.7614095700927432E-3</v>
      </c>
      <c r="M79" s="846"/>
      <c r="N79" s="846"/>
      <c r="O79" s="320">
        <f t="shared" ref="O79:O142" si="37">IF(t&lt;T0,0,IF(t&lt;Tnet,Salim_i*(1-EXP((T0-t)/Tau_ij)),Resal+(Salim-Resal)*(1-EXP((Tnet-t)/(Tau_j)))))*Salcycl</f>
        <v>1.348257924901327E-2</v>
      </c>
      <c r="P79" s="165">
        <f>(INDEX(Models!$BJ79:$BT79,,T79)*(1-R79)+INDEX(Models!$BJ79:$BT79,,T79+1)*R79-ERP_i)*Q79*Ramure*Pc/MaxiM</f>
        <v>5.0153579064229154E-7</v>
      </c>
      <c r="Q79" s="301">
        <f t="shared" ref="Q79:Q142" si="38">IF(OR(t&lt;Ttai,Notai),Dd+PousD*Croivg,Dens+PousD*(Croivg-Croi_tai))</f>
        <v>0.5</v>
      </c>
      <c r="R79" s="173">
        <f t="shared" ref="R79:R142" si="39">(Hp_vg-S79)/(INDEX(Echel_vg,T79+1)-S79)</f>
        <v>0.99833939979443065</v>
      </c>
      <c r="S79" s="801">
        <f t="shared" si="25"/>
        <v>-1</v>
      </c>
      <c r="T79" s="172">
        <f t="shared" ref="T79:T142" si="40">MIN(MATCH(Hp_vg,Echel_vg),10)</f>
        <v>5</v>
      </c>
      <c r="U79" s="247">
        <f t="shared" ref="U79:U142" si="41">IF(OR(t&lt;Ttai,Notai),Hdd+PousH*Croivg,Hdtf+PousH*(Croivg-Croi_tai))</f>
        <v>-1.6606002055693323E-3</v>
      </c>
      <c r="V79" s="378">
        <f t="shared" ref="V79:V142" si="42">MaxiM*(1-Ppv)*(1-Pvg)*(1-Psa)</f>
        <v>180.44540826825585</v>
      </c>
      <c r="W79" s="397"/>
      <c r="X79" s="153">
        <f t="shared" ref="X79:X142" si="43">t</f>
        <v>44626</v>
      </c>
      <c r="Y79" s="380">
        <f t="shared" ref="Y79:Y142" si="44">Wh_pvt_s*(1-Ppv)</f>
        <v>95.234000000000009</v>
      </c>
      <c r="Z79" s="380">
        <f t="shared" ref="Z79:Z142" si="45">Wh_sa_s*(1-Psa_s)</f>
        <v>95.497708285581737</v>
      </c>
      <c r="AA79" s="381">
        <f t="shared" ref="AA79:AA142" si="46">Wh_hp*(1-Pvg_s*MEDIAN((-Sdif+Wh/Env_an)/Csdif,0,1))</f>
        <v>96.8028605241295</v>
      </c>
      <c r="AB79" s="193">
        <f t="shared" ref="AB79:AB142" si="47">t</f>
        <v>44626</v>
      </c>
      <c r="AC79" s="420">
        <f t="shared" ref="AC79:AC142" si="48">IF(t&lt;T0,0,IF(OR(t&lt;Tnet,NoTnet),Salim_i*(1-EXP((T0-t)/Tau_ij)),Resal_s+(Salim-Resal_s)*(1-EXP((Tnet_s-t)/Tau_j))))*Salcycl</f>
        <v>1.348257924901327E-2</v>
      </c>
      <c r="AD79" s="165">
        <f>(INDEX(Models!$BJ79:$BT79,,AH79)*(1-AF79)+INDEX(Models!$BJ79:$BT79,,AH79+1)*AF79-ERP_i)*AE79*Ramure*Pc/MaxiM</f>
        <v>5.0153579064229154E-7</v>
      </c>
      <c r="AE79" s="301">
        <f t="shared" ref="AE79:AE142" si="49">Dd+PousD*Croivg</f>
        <v>0.5</v>
      </c>
      <c r="AF79" s="173">
        <f t="shared" ref="AF79:AF142" si="50">(Hp_vg_s-AG79)/(INDEX(Echel_vg,AH79+1)-AG79)</f>
        <v>0.99833939979443065</v>
      </c>
      <c r="AG79" s="801">
        <f t="shared" ref="AG79:AG142" si="51">INDEX(Echel_vg,AH79)</f>
        <v>-1</v>
      </c>
      <c r="AH79" s="172">
        <f t="shared" ref="AH79:AH142" si="52">MIN(MATCH(Hp_vg_s,Echel_vg),10)</f>
        <v>5</v>
      </c>
      <c r="AI79" s="221">
        <f t="shared" ref="AI79:AI142" si="53">Hdd+PousH*Croivg</f>
        <v>-1.6606002055693323E-3</v>
      </c>
      <c r="AJ79" s="261" t="b">
        <f t="shared" ref="AJ79:AJ142" si="54">t&lt;Tnet</f>
        <v>0</v>
      </c>
      <c r="AK79" s="261" t="b">
        <f t="shared" ref="AK79:AK142" si="55">t&lt;Ttai</f>
        <v>0</v>
      </c>
      <c r="AL79" s="261"/>
      <c r="AM79" s="261"/>
      <c r="AN79" s="75"/>
      <c r="AV79" s="153">
        <f t="shared" si="29"/>
        <v>44261</v>
      </c>
      <c r="AW79" s="608"/>
      <c r="AX79" s="385"/>
      <c r="AY79" s="388"/>
      <c r="AZ79" s="380"/>
      <c r="BA79" s="380"/>
      <c r="BB79" s="110"/>
      <c r="BD79" s="375"/>
      <c r="BE79" s="85"/>
      <c r="BF79" s="193">
        <f t="shared" ref="BF79:BF142" si="56">t</f>
        <v>44626</v>
      </c>
      <c r="BG79" s="430"/>
      <c r="BH79" s="846"/>
      <c r="BI79" s="846"/>
      <c r="BJ79" s="320"/>
      <c r="BK79" s="378"/>
    </row>
    <row r="80" spans="1:63" s="6" customFormat="1" ht="11.25" x14ac:dyDescent="0.2">
      <c r="A80" s="56">
        <f t="shared" ref="A80:A143" si="57">A79+1</f>
        <v>44627</v>
      </c>
      <c r="B80" s="608">
        <v>141.48099999999999</v>
      </c>
      <c r="C80" s="385"/>
      <c r="D80" s="388">
        <f t="shared" ref="D80:D143" si="58">Wh/(1-Ppv)</f>
        <v>141.87471096721157</v>
      </c>
      <c r="E80" s="380">
        <f t="shared" ref="E80:E143" si="59">Wh_pvt/(1-Psa)</f>
        <v>143.82257600175785</v>
      </c>
      <c r="F80" s="380">
        <f t="shared" ref="F80:F143" si="60">Wh_sa/(1-Pvg*MEDIAN((-Sdif+Wh/Env_an)/Csdif,0,1))</f>
        <v>143.82262435298446</v>
      </c>
      <c r="G80" s="110">
        <f t="shared" ref="G80:G143" si="61">+Wh_hp/MaxiM</f>
        <v>0.77805716145601644</v>
      </c>
      <c r="I80" s="375">
        <f t="shared" si="34"/>
        <v>143.82262435298446</v>
      </c>
      <c r="J80" s="85">
        <v>2022</v>
      </c>
      <c r="K80" s="193">
        <f t="shared" si="35"/>
        <v>44627</v>
      </c>
      <c r="L80" s="430">
        <f t="shared" si="36"/>
        <v>2.7750609289528549E-3</v>
      </c>
      <c r="M80" s="846"/>
      <c r="N80" s="846"/>
      <c r="O80" s="320">
        <f t="shared" si="37"/>
        <v>1.3543527648416367E-2</v>
      </c>
      <c r="P80" s="165">
        <f>(INDEX(Models!$BJ80:$BT80,,T80)*(1-R80)+INDEX(Models!$BJ80:$BT80,,T80+1)*R80-ERP_i)*Q80*Ramure*Pc/MaxiM</f>
        <v>4.9226435347217132E-7</v>
      </c>
      <c r="Q80" s="301">
        <f t="shared" si="38"/>
        <v>0.5</v>
      </c>
      <c r="R80" s="173">
        <f t="shared" si="39"/>
        <v>0.99873033049886628</v>
      </c>
      <c r="S80" s="801">
        <f t="shared" ref="S80:S143" si="62">INDEX(Echel_vg,T80)</f>
        <v>-1</v>
      </c>
      <c r="T80" s="172">
        <f t="shared" si="40"/>
        <v>5</v>
      </c>
      <c r="U80" s="247">
        <f t="shared" si="41"/>
        <v>-1.269669501133764E-3</v>
      </c>
      <c r="V80" s="378">
        <f t="shared" si="42"/>
        <v>181.83879659070726</v>
      </c>
      <c r="W80" s="397"/>
      <c r="X80" s="153">
        <f t="shared" si="43"/>
        <v>44627</v>
      </c>
      <c r="Y80" s="380">
        <f t="shared" si="44"/>
        <v>141.48099999999999</v>
      </c>
      <c r="Z80" s="380">
        <f t="shared" si="45"/>
        <v>141.87471096721157</v>
      </c>
      <c r="AA80" s="381">
        <f t="shared" si="46"/>
        <v>143.82257600175785</v>
      </c>
      <c r="AB80" s="193">
        <f t="shared" si="47"/>
        <v>44627</v>
      </c>
      <c r="AC80" s="420">
        <f t="shared" si="48"/>
        <v>1.3543527648416367E-2</v>
      </c>
      <c r="AD80" s="165">
        <f>(INDEX(Models!$BJ80:$BT80,,AH80)*(1-AF80)+INDEX(Models!$BJ80:$BT80,,AH80+1)*AF80-ERP_i)*AE80*Ramure*Pc/MaxiM</f>
        <v>4.9226435347217132E-7</v>
      </c>
      <c r="AE80" s="301">
        <f t="shared" si="49"/>
        <v>0.5</v>
      </c>
      <c r="AF80" s="173">
        <f t="shared" si="50"/>
        <v>0.99873033049886628</v>
      </c>
      <c r="AG80" s="801">
        <f t="shared" si="51"/>
        <v>-1</v>
      </c>
      <c r="AH80" s="172">
        <f t="shared" si="52"/>
        <v>5</v>
      </c>
      <c r="AI80" s="221">
        <f t="shared" si="53"/>
        <v>-1.269669501133764E-3</v>
      </c>
      <c r="AJ80" s="261" t="b">
        <f t="shared" si="54"/>
        <v>0</v>
      </c>
      <c r="AK80" s="261" t="b">
        <f t="shared" si="55"/>
        <v>0</v>
      </c>
      <c r="AL80" s="261"/>
      <c r="AM80" s="261"/>
      <c r="AN80" s="75"/>
      <c r="AV80" s="153">
        <f t="shared" ref="AV80:AV143" si="63">AV79+1</f>
        <v>44262</v>
      </c>
      <c r="AW80" s="608"/>
      <c r="AX80" s="385"/>
      <c r="AY80" s="388"/>
      <c r="AZ80" s="380"/>
      <c r="BA80" s="380"/>
      <c r="BB80" s="110"/>
      <c r="BD80" s="375"/>
      <c r="BE80" s="85"/>
      <c r="BF80" s="193">
        <f t="shared" si="56"/>
        <v>44627</v>
      </c>
      <c r="BG80" s="430"/>
      <c r="BH80" s="846"/>
      <c r="BI80" s="846"/>
      <c r="BJ80" s="320"/>
      <c r="BK80" s="378"/>
    </row>
    <row r="81" spans="1:63" s="6" customFormat="1" ht="11.25" x14ac:dyDescent="0.2">
      <c r="A81" s="56">
        <f t="shared" si="57"/>
        <v>44628</v>
      </c>
      <c r="B81" s="608">
        <v>130.447</v>
      </c>
      <c r="C81" s="385"/>
      <c r="D81" s="388">
        <f t="shared" si="58"/>
        <v>130.81179643967667</v>
      </c>
      <c r="E81" s="380">
        <f t="shared" si="59"/>
        <v>132.61596168936859</v>
      </c>
      <c r="F81" s="380">
        <f t="shared" si="60"/>
        <v>132.61599951897398</v>
      </c>
      <c r="G81" s="110">
        <f t="shared" si="61"/>
        <v>0.71196589906964503</v>
      </c>
      <c r="I81" s="375">
        <f t="shared" si="34"/>
        <v>132.61599951897398</v>
      </c>
      <c r="J81" s="85">
        <v>2022</v>
      </c>
      <c r="K81" s="193">
        <f t="shared" si="35"/>
        <v>44628</v>
      </c>
      <c r="L81" s="430">
        <f t="shared" si="36"/>
        <v>2.7887121009373406E-3</v>
      </c>
      <c r="M81" s="846"/>
      <c r="N81" s="846"/>
      <c r="O81" s="320">
        <f t="shared" si="37"/>
        <v>1.3604435142716063E-2</v>
      </c>
      <c r="P81" s="165">
        <f>(INDEX(Models!$BJ81:$BT81,,T81)*(1-R81)+INDEX(Models!$BJ81:$BT81,,T81+1)*R81-ERP_i)*Q81*Ramure*Pc/MaxiM</f>
        <v>4.8469943126179442E-7</v>
      </c>
      <c r="Q81" s="301">
        <f t="shared" si="38"/>
        <v>0.5</v>
      </c>
      <c r="R81" s="173">
        <f t="shared" si="39"/>
        <v>0.99913700032707631</v>
      </c>
      <c r="S81" s="801">
        <f t="shared" si="62"/>
        <v>-1</v>
      </c>
      <c r="T81" s="172">
        <f t="shared" si="40"/>
        <v>5</v>
      </c>
      <c r="U81" s="247">
        <f t="shared" si="41"/>
        <v>-8.629996729236835E-4</v>
      </c>
      <c r="V81" s="378">
        <f t="shared" si="42"/>
        <v>183.22081739272897</v>
      </c>
      <c r="W81" s="397"/>
      <c r="X81" s="153">
        <f t="shared" si="43"/>
        <v>44628</v>
      </c>
      <c r="Y81" s="380">
        <f t="shared" si="44"/>
        <v>130.447</v>
      </c>
      <c r="Z81" s="380">
        <f t="shared" si="45"/>
        <v>130.81179643967667</v>
      </c>
      <c r="AA81" s="381">
        <f t="shared" si="46"/>
        <v>132.61596168936859</v>
      </c>
      <c r="AB81" s="193">
        <f t="shared" si="47"/>
        <v>44628</v>
      </c>
      <c r="AC81" s="420">
        <f t="shared" si="48"/>
        <v>1.3604435142716063E-2</v>
      </c>
      <c r="AD81" s="165">
        <f>(INDEX(Models!$BJ81:$BT81,,AH81)*(1-AF81)+INDEX(Models!$BJ81:$BT81,,AH81+1)*AF81-ERP_i)*AE81*Ramure*Pc/MaxiM</f>
        <v>4.8469943126179442E-7</v>
      </c>
      <c r="AE81" s="301">
        <f t="shared" si="49"/>
        <v>0.5</v>
      </c>
      <c r="AF81" s="173">
        <f t="shared" si="50"/>
        <v>0.99913700032707631</v>
      </c>
      <c r="AG81" s="801">
        <f t="shared" si="51"/>
        <v>-1</v>
      </c>
      <c r="AH81" s="172">
        <f t="shared" si="52"/>
        <v>5</v>
      </c>
      <c r="AI81" s="221">
        <f t="shared" si="53"/>
        <v>-8.629996729236835E-4</v>
      </c>
      <c r="AJ81" s="261" t="b">
        <f t="shared" si="54"/>
        <v>0</v>
      </c>
      <c r="AK81" s="261" t="b">
        <f t="shared" si="55"/>
        <v>0</v>
      </c>
      <c r="AL81" s="261"/>
      <c r="AM81" s="261"/>
      <c r="AN81" s="75"/>
      <c r="AV81" s="153">
        <f t="shared" si="63"/>
        <v>44263</v>
      </c>
      <c r="AW81" s="608"/>
      <c r="AX81" s="385"/>
      <c r="AY81" s="388"/>
      <c r="AZ81" s="380"/>
      <c r="BA81" s="380"/>
      <c r="BB81" s="110"/>
      <c r="BD81" s="375"/>
      <c r="BE81" s="85"/>
      <c r="BF81" s="193">
        <f t="shared" si="56"/>
        <v>44628</v>
      </c>
      <c r="BG81" s="430"/>
      <c r="BH81" s="846"/>
      <c r="BI81" s="846"/>
      <c r="BJ81" s="320"/>
      <c r="BK81" s="378"/>
    </row>
    <row r="82" spans="1:63" s="6" customFormat="1" ht="11.25" x14ac:dyDescent="0.2">
      <c r="A82" s="56">
        <f t="shared" si="57"/>
        <v>44629</v>
      </c>
      <c r="B82" s="608">
        <v>140.518</v>
      </c>
      <c r="C82" s="385"/>
      <c r="D82" s="388">
        <f t="shared" si="58"/>
        <v>140.91288907870265</v>
      </c>
      <c r="E82" s="380">
        <f t="shared" si="59"/>
        <v>142.86518542837246</v>
      </c>
      <c r="F82" s="380">
        <f t="shared" si="60"/>
        <v>142.86523052784904</v>
      </c>
      <c r="G82" s="110">
        <f t="shared" si="61"/>
        <v>0.76123572868489175</v>
      </c>
      <c r="I82" s="375">
        <f t="shared" si="34"/>
        <v>142.86523052784904</v>
      </c>
      <c r="J82" s="85">
        <v>2022</v>
      </c>
      <c r="K82" s="193">
        <f t="shared" si="35"/>
        <v>44629</v>
      </c>
      <c r="L82" s="430">
        <f t="shared" si="36"/>
        <v>2.8023630860488646E-3</v>
      </c>
      <c r="M82" s="846"/>
      <c r="N82" s="846"/>
      <c r="O82" s="320">
        <f t="shared" si="37"/>
        <v>1.3665305118360083E-2</v>
      </c>
      <c r="P82" s="165">
        <f>(INDEX(Models!$BJ82:$BT82,,T82)*(1-R82)+INDEX(Models!$BJ82:$BT82,,T82+1)*R82-ERP_i)*Q82*Ramure*Pc/MaxiM</f>
        <v>4.7909312250526821E-7</v>
      </c>
      <c r="Q82" s="301">
        <f t="shared" si="38"/>
        <v>0.5</v>
      </c>
      <c r="R82" s="173">
        <f t="shared" si="39"/>
        <v>0.99956001470866329</v>
      </c>
      <c r="S82" s="801">
        <f t="shared" si="62"/>
        <v>-1</v>
      </c>
      <c r="T82" s="172">
        <f t="shared" si="40"/>
        <v>5</v>
      </c>
      <c r="U82" s="247">
        <f t="shared" si="41"/>
        <v>-4.3998529133675891E-4</v>
      </c>
      <c r="V82" s="378">
        <f t="shared" si="42"/>
        <v>184.59193616680366</v>
      </c>
      <c r="W82" s="397"/>
      <c r="X82" s="153">
        <f t="shared" si="43"/>
        <v>44629</v>
      </c>
      <c r="Y82" s="380">
        <f t="shared" si="44"/>
        <v>140.518</v>
      </c>
      <c r="Z82" s="380">
        <f t="shared" si="45"/>
        <v>140.91288907870265</v>
      </c>
      <c r="AA82" s="381">
        <f t="shared" si="46"/>
        <v>142.86518542837246</v>
      </c>
      <c r="AB82" s="193">
        <f t="shared" si="47"/>
        <v>44629</v>
      </c>
      <c r="AC82" s="420">
        <f t="shared" si="48"/>
        <v>1.3665305118360083E-2</v>
      </c>
      <c r="AD82" s="165">
        <f>(INDEX(Models!$BJ82:$BT82,,AH82)*(1-AF82)+INDEX(Models!$BJ82:$BT82,,AH82+1)*AF82-ERP_i)*AE82*Ramure*Pc/MaxiM</f>
        <v>4.7909312250526821E-7</v>
      </c>
      <c r="AE82" s="301">
        <f t="shared" si="49"/>
        <v>0.5</v>
      </c>
      <c r="AF82" s="173">
        <f t="shared" si="50"/>
        <v>0.99956001470866329</v>
      </c>
      <c r="AG82" s="801">
        <f t="shared" si="51"/>
        <v>-1</v>
      </c>
      <c r="AH82" s="172">
        <f t="shared" si="52"/>
        <v>5</v>
      </c>
      <c r="AI82" s="221">
        <f t="shared" si="53"/>
        <v>-4.3998529133675891E-4</v>
      </c>
      <c r="AJ82" s="261" t="b">
        <f t="shared" si="54"/>
        <v>0</v>
      </c>
      <c r="AK82" s="261" t="b">
        <f t="shared" si="55"/>
        <v>0</v>
      </c>
      <c r="AL82" s="261"/>
      <c r="AM82" s="261"/>
      <c r="AN82" s="75"/>
      <c r="AV82" s="153">
        <f t="shared" si="63"/>
        <v>44264</v>
      </c>
      <c r="AW82" s="608"/>
      <c r="AX82" s="385"/>
      <c r="AY82" s="388"/>
      <c r="AZ82" s="380"/>
      <c r="BA82" s="380"/>
      <c r="BB82" s="110"/>
      <c r="BD82" s="375"/>
      <c r="BE82" s="85"/>
      <c r="BF82" s="193">
        <f t="shared" si="56"/>
        <v>44629</v>
      </c>
      <c r="BG82" s="430"/>
      <c r="BH82" s="846"/>
      <c r="BI82" s="846"/>
      <c r="BJ82" s="320"/>
      <c r="BK82" s="378"/>
    </row>
    <row r="83" spans="1:63" s="6" customFormat="1" ht="11.25" customHeight="1" x14ac:dyDescent="0.2">
      <c r="A83" s="56">
        <f t="shared" si="57"/>
        <v>44630</v>
      </c>
      <c r="B83" s="608">
        <v>101.005</v>
      </c>
      <c r="C83" s="385"/>
      <c r="D83" s="388">
        <f t="shared" si="58"/>
        <v>101.29023470727866</v>
      </c>
      <c r="E83" s="380">
        <f t="shared" si="59"/>
        <v>102.69990815367508</v>
      </c>
      <c r="F83" s="380">
        <f t="shared" si="60"/>
        <v>102.6999251260078</v>
      </c>
      <c r="G83" s="110">
        <f t="shared" si="61"/>
        <v>0.5431758349684267</v>
      </c>
      <c r="I83" s="375">
        <f t="shared" si="34"/>
        <v>102.6999251260078</v>
      </c>
      <c r="J83" s="85">
        <v>2022</v>
      </c>
      <c r="K83" s="193">
        <f t="shared" si="35"/>
        <v>44630</v>
      </c>
      <c r="L83" s="430">
        <f t="shared" si="36"/>
        <v>2.8160138842897586E-3</v>
      </c>
      <c r="M83" s="846"/>
      <c r="N83" s="846"/>
      <c r="O83" s="320">
        <f t="shared" si="37"/>
        <v>1.3726141256981961E-2</v>
      </c>
      <c r="P83" s="165">
        <f>(INDEX(Models!$BJ83:$BT83,,T83)*(1-R83)+INDEX(Models!$BJ83:$BT83,,T83+1)*R83-ERP_i)*Q83*Ramure*Pc/MaxiM</f>
        <v>4.7571706771892258E-7</v>
      </c>
      <c r="Q83" s="301">
        <f t="shared" si="38"/>
        <v>0.5</v>
      </c>
      <c r="R83" s="173">
        <f t="shared" si="39"/>
        <v>0</v>
      </c>
      <c r="S83" s="801">
        <f t="shared" si="62"/>
        <v>0</v>
      </c>
      <c r="T83" s="172">
        <f t="shared" si="40"/>
        <v>6</v>
      </c>
      <c r="U83" s="247">
        <f t="shared" si="41"/>
        <v>0</v>
      </c>
      <c r="V83" s="378">
        <f t="shared" si="42"/>
        <v>185.95261817619436</v>
      </c>
      <c r="W83" s="397"/>
      <c r="X83" s="153">
        <f t="shared" si="43"/>
        <v>44630</v>
      </c>
      <c r="Y83" s="380">
        <f t="shared" si="44"/>
        <v>101.005</v>
      </c>
      <c r="Z83" s="380">
        <f t="shared" si="45"/>
        <v>101.29023470727866</v>
      </c>
      <c r="AA83" s="381">
        <f t="shared" si="46"/>
        <v>102.69990815367508</v>
      </c>
      <c r="AB83" s="193">
        <f t="shared" si="47"/>
        <v>44630</v>
      </c>
      <c r="AC83" s="420">
        <f t="shared" si="48"/>
        <v>1.3726141256981961E-2</v>
      </c>
      <c r="AD83" s="165">
        <f>(INDEX(Models!$BJ83:$BT83,,AH83)*(1-AF83)+INDEX(Models!$BJ83:$BT83,,AH83+1)*AF83-ERP_i)*AE83*Ramure*Pc/MaxiM</f>
        <v>4.7571706771892258E-7</v>
      </c>
      <c r="AE83" s="301">
        <f t="shared" si="49"/>
        <v>0.5</v>
      </c>
      <c r="AF83" s="173">
        <f t="shared" si="50"/>
        <v>0</v>
      </c>
      <c r="AG83" s="801">
        <f t="shared" si="51"/>
        <v>0</v>
      </c>
      <c r="AH83" s="172">
        <f t="shared" si="52"/>
        <v>6</v>
      </c>
      <c r="AI83" s="221">
        <f t="shared" si="53"/>
        <v>0</v>
      </c>
      <c r="AJ83" s="261" t="b">
        <f t="shared" si="54"/>
        <v>0</v>
      </c>
      <c r="AK83" s="261" t="b">
        <f t="shared" si="55"/>
        <v>0</v>
      </c>
      <c r="AL83" s="261"/>
      <c r="AM83" s="261"/>
      <c r="AN83" s="75"/>
      <c r="AV83" s="153">
        <f t="shared" si="63"/>
        <v>44265</v>
      </c>
      <c r="AW83" s="608"/>
      <c r="AX83" s="385"/>
      <c r="AY83" s="388"/>
      <c r="AZ83" s="380"/>
      <c r="BA83" s="380"/>
      <c r="BB83" s="110"/>
      <c r="BD83" s="375"/>
      <c r="BE83" s="85"/>
      <c r="BF83" s="193">
        <f t="shared" si="56"/>
        <v>44630</v>
      </c>
      <c r="BG83" s="430"/>
      <c r="BH83" s="846"/>
      <c r="BI83" s="846"/>
      <c r="BJ83" s="320"/>
      <c r="BK83" s="378"/>
    </row>
    <row r="84" spans="1:63" s="6" customFormat="1" ht="11.25" customHeight="1" x14ac:dyDescent="0.2">
      <c r="A84" s="56">
        <f t="shared" si="57"/>
        <v>44631</v>
      </c>
      <c r="B84" s="608">
        <v>69.132000000000005</v>
      </c>
      <c r="C84" s="385"/>
      <c r="D84" s="388">
        <f t="shared" si="58"/>
        <v>69.328175476695478</v>
      </c>
      <c r="E84" s="380">
        <f t="shared" si="59"/>
        <v>70.297361511331076</v>
      </c>
      <c r="F84" s="380">
        <f t="shared" si="60"/>
        <v>70.297364846187307</v>
      </c>
      <c r="G84" s="110">
        <f t="shared" si="61"/>
        <v>0.36909098742923041</v>
      </c>
      <c r="I84" s="375">
        <f t="shared" si="34"/>
        <v>70.297364846187307</v>
      </c>
      <c r="J84" s="85">
        <v>2022</v>
      </c>
      <c r="K84" s="193">
        <f t="shared" si="35"/>
        <v>44631</v>
      </c>
      <c r="L84" s="430">
        <f t="shared" si="36"/>
        <v>2.8296644956626871E-3</v>
      </c>
      <c r="M84" s="846"/>
      <c r="N84" s="846"/>
      <c r="O84" s="320">
        <f t="shared" si="37"/>
        <v>1.3786947529736008E-2</v>
      </c>
      <c r="P84" s="165">
        <f>(INDEX(Models!$BJ84:$BT84,,T84)*(1-R84)+INDEX(Models!$BJ84:$BT84,,T84+1)*R84-ERP_i)*Q84*Ramure*Pc/MaxiM</f>
        <v>4.8063313241716522E-7</v>
      </c>
      <c r="Q84" s="301">
        <f t="shared" si="38"/>
        <v>0.5</v>
      </c>
      <c r="R84" s="173">
        <f t="shared" si="39"/>
        <v>4.5760400766484827E-4</v>
      </c>
      <c r="S84" s="801">
        <f t="shared" si="62"/>
        <v>0</v>
      </c>
      <c r="T84" s="172">
        <f t="shared" si="40"/>
        <v>6</v>
      </c>
      <c r="U84" s="247">
        <f t="shared" si="41"/>
        <v>4.5760400766484827E-4</v>
      </c>
      <c r="V84" s="378">
        <f t="shared" si="42"/>
        <v>187.30332738264548</v>
      </c>
      <c r="W84" s="397"/>
      <c r="X84" s="153">
        <f t="shared" si="43"/>
        <v>44631</v>
      </c>
      <c r="Y84" s="380">
        <f t="shared" si="44"/>
        <v>69.132000000000005</v>
      </c>
      <c r="Z84" s="380">
        <f t="shared" si="45"/>
        <v>69.328175476695478</v>
      </c>
      <c r="AA84" s="381">
        <f t="shared" si="46"/>
        <v>70.297361511331076</v>
      </c>
      <c r="AB84" s="193">
        <f t="shared" si="47"/>
        <v>44631</v>
      </c>
      <c r="AC84" s="420">
        <f t="shared" si="48"/>
        <v>1.3786947529736008E-2</v>
      </c>
      <c r="AD84" s="165">
        <f>(INDEX(Models!$BJ84:$BT84,,AH84)*(1-AF84)+INDEX(Models!$BJ84:$BT84,,AH84+1)*AF84-ERP_i)*AE84*Ramure*Pc/MaxiM</f>
        <v>4.8063313241716522E-7</v>
      </c>
      <c r="AE84" s="301">
        <f t="shared" si="49"/>
        <v>0.5</v>
      </c>
      <c r="AF84" s="173">
        <f t="shared" si="50"/>
        <v>4.5760400766484827E-4</v>
      </c>
      <c r="AG84" s="801">
        <f t="shared" si="51"/>
        <v>0</v>
      </c>
      <c r="AH84" s="172">
        <f t="shared" si="52"/>
        <v>6</v>
      </c>
      <c r="AI84" s="221">
        <f t="shared" si="53"/>
        <v>4.5760400766484827E-4</v>
      </c>
      <c r="AJ84" s="261" t="b">
        <f t="shared" si="54"/>
        <v>0</v>
      </c>
      <c r="AK84" s="261" t="b">
        <f t="shared" si="55"/>
        <v>0</v>
      </c>
      <c r="AL84" s="261"/>
      <c r="AM84" s="261"/>
      <c r="AN84" s="75"/>
      <c r="AV84" s="153">
        <f t="shared" si="63"/>
        <v>44266</v>
      </c>
      <c r="AW84" s="608"/>
      <c r="AX84" s="385"/>
      <c r="AY84" s="388"/>
      <c r="AZ84" s="380"/>
      <c r="BA84" s="380"/>
      <c r="BB84" s="110"/>
      <c r="BD84" s="375"/>
      <c r="BE84" s="85"/>
      <c r="BF84" s="193">
        <f t="shared" si="56"/>
        <v>44631</v>
      </c>
      <c r="BG84" s="430"/>
      <c r="BH84" s="846"/>
      <c r="BI84" s="846"/>
      <c r="BJ84" s="320"/>
      <c r="BK84" s="378"/>
    </row>
    <row r="85" spans="1:63" s="6" customFormat="1" ht="11.25" customHeight="1" x14ac:dyDescent="0.2">
      <c r="A85" s="56">
        <f t="shared" si="57"/>
        <v>44632</v>
      </c>
      <c r="B85" s="608">
        <v>64.7</v>
      </c>
      <c r="C85" s="385"/>
      <c r="D85" s="388">
        <f t="shared" si="58"/>
        <v>64.884487030060157</v>
      </c>
      <c r="E85" s="380">
        <f t="shared" si="59"/>
        <v>65.795606707853423</v>
      </c>
      <c r="F85" s="380">
        <f t="shared" si="60"/>
        <v>65.795608679472551</v>
      </c>
      <c r="G85" s="110">
        <f t="shared" si="61"/>
        <v>0.34297294733296046</v>
      </c>
      <c r="I85" s="375">
        <f t="shared" si="34"/>
        <v>65.795608679472551</v>
      </c>
      <c r="J85" s="85">
        <v>2022</v>
      </c>
      <c r="K85" s="193">
        <f t="shared" si="35"/>
        <v>44632</v>
      </c>
      <c r="L85" s="430">
        <f t="shared" si="36"/>
        <v>2.8433149201702035E-3</v>
      </c>
      <c r="M85" s="846"/>
      <c r="N85" s="846"/>
      <c r="O85" s="320">
        <f t="shared" si="37"/>
        <v>1.3847728190102803E-2</v>
      </c>
      <c r="P85" s="165">
        <f>(INDEX(Models!$BJ85:$BT85,,T85)*(1-R85)+INDEX(Models!$BJ85:$BT85,,T85+1)*R85-ERP_i)*Q85*Ramure*Pc/MaxiM</f>
        <v>4.8812092328306742E-7</v>
      </c>
      <c r="Q85" s="301">
        <f t="shared" si="38"/>
        <v>0.5</v>
      </c>
      <c r="R85" s="173">
        <f t="shared" si="39"/>
        <v>9.3349650702009151E-4</v>
      </c>
      <c r="S85" s="801">
        <f t="shared" si="62"/>
        <v>0</v>
      </c>
      <c r="T85" s="172">
        <f t="shared" si="40"/>
        <v>6</v>
      </c>
      <c r="U85" s="247">
        <f t="shared" si="41"/>
        <v>9.3349650702009151E-4</v>
      </c>
      <c r="V85" s="378">
        <f t="shared" si="42"/>
        <v>188.64452972307615</v>
      </c>
      <c r="W85" s="397"/>
      <c r="X85" s="153">
        <f t="shared" si="43"/>
        <v>44632</v>
      </c>
      <c r="Y85" s="380">
        <f t="shared" si="44"/>
        <v>64.7</v>
      </c>
      <c r="Z85" s="380">
        <f t="shared" si="45"/>
        <v>64.884487030060157</v>
      </c>
      <c r="AA85" s="381">
        <f t="shared" si="46"/>
        <v>65.795606707853423</v>
      </c>
      <c r="AB85" s="193">
        <f t="shared" si="47"/>
        <v>44632</v>
      </c>
      <c r="AC85" s="420">
        <f t="shared" si="48"/>
        <v>1.3847728190102803E-2</v>
      </c>
      <c r="AD85" s="165">
        <f>(INDEX(Models!$BJ85:$BT85,,AH85)*(1-AF85)+INDEX(Models!$BJ85:$BT85,,AH85+1)*AF85-ERP_i)*AE85*Ramure*Pc/MaxiM</f>
        <v>4.8812092328306742E-7</v>
      </c>
      <c r="AE85" s="301">
        <f t="shared" si="49"/>
        <v>0.5</v>
      </c>
      <c r="AF85" s="173">
        <f t="shared" si="50"/>
        <v>9.3349650702009151E-4</v>
      </c>
      <c r="AG85" s="801">
        <f t="shared" si="51"/>
        <v>0</v>
      </c>
      <c r="AH85" s="172">
        <f t="shared" si="52"/>
        <v>6</v>
      </c>
      <c r="AI85" s="221">
        <f t="shared" si="53"/>
        <v>9.3349650702009151E-4</v>
      </c>
      <c r="AJ85" s="261" t="b">
        <f t="shared" si="54"/>
        <v>0</v>
      </c>
      <c r="AK85" s="261" t="b">
        <f t="shared" si="55"/>
        <v>0</v>
      </c>
      <c r="AL85" s="261"/>
      <c r="AM85" s="261"/>
      <c r="AN85" s="75"/>
      <c r="AV85" s="153">
        <f t="shared" si="63"/>
        <v>44267</v>
      </c>
      <c r="AW85" s="608"/>
      <c r="AX85" s="385"/>
      <c r="AY85" s="388"/>
      <c r="AZ85" s="380"/>
      <c r="BA85" s="380"/>
      <c r="BB85" s="110"/>
      <c r="BD85" s="375"/>
      <c r="BE85" s="85"/>
      <c r="BF85" s="193">
        <f t="shared" si="56"/>
        <v>44632</v>
      </c>
      <c r="BG85" s="430"/>
      <c r="BH85" s="846"/>
      <c r="BI85" s="846"/>
      <c r="BJ85" s="320"/>
      <c r="BK85" s="378"/>
    </row>
    <row r="86" spans="1:63" s="6" customFormat="1" ht="11.25" customHeight="1" x14ac:dyDescent="0.2">
      <c r="A86" s="56">
        <f t="shared" si="57"/>
        <v>44633</v>
      </c>
      <c r="B86" s="608">
        <v>57.139000000000003</v>
      </c>
      <c r="C86" s="385"/>
      <c r="D86" s="388">
        <f t="shared" si="58"/>
        <v>57.302711851207214</v>
      </c>
      <c r="E86" s="380">
        <f t="shared" si="59"/>
        <v>58.110947250062459</v>
      </c>
      <c r="F86" s="380">
        <f t="shared" si="60"/>
        <v>58.110947281906434</v>
      </c>
      <c r="G86" s="110">
        <f t="shared" si="61"/>
        <v>0.30076832904384521</v>
      </c>
      <c r="I86" s="375">
        <f t="shared" si="34"/>
        <v>58.110947281906434</v>
      </c>
      <c r="J86" s="85">
        <v>2022</v>
      </c>
      <c r="K86" s="193">
        <f t="shared" si="35"/>
        <v>44633</v>
      </c>
      <c r="L86" s="430">
        <f t="shared" si="36"/>
        <v>2.8569651578149724E-3</v>
      </c>
      <c r="M86" s="846"/>
      <c r="N86" s="846"/>
      <c r="O86" s="320">
        <f t="shared" si="37"/>
        <v>1.3908487765261456E-2</v>
      </c>
      <c r="P86" s="165">
        <f>(INDEX(Models!$BJ86:$BT86,,T86)*(1-R86)+INDEX(Models!$BJ86:$BT86,,T86+1)*R86-ERP_i)*Q86*Ramure*Pc/MaxiM</f>
        <v>4.9915486938320745E-7</v>
      </c>
      <c r="Q86" s="301">
        <f t="shared" si="38"/>
        <v>0.5</v>
      </c>
      <c r="R86" s="173">
        <f t="shared" si="39"/>
        <v>1.4283697538658748E-3</v>
      </c>
      <c r="S86" s="801">
        <f t="shared" si="62"/>
        <v>0</v>
      </c>
      <c r="T86" s="172">
        <f t="shared" si="40"/>
        <v>6</v>
      </c>
      <c r="U86" s="247">
        <f t="shared" si="41"/>
        <v>1.4283697538658748E-3</v>
      </c>
      <c r="V86" s="378">
        <f t="shared" si="42"/>
        <v>189.9766896725742</v>
      </c>
      <c r="W86" s="397"/>
      <c r="X86" s="153">
        <f t="shared" si="43"/>
        <v>44633</v>
      </c>
      <c r="Y86" s="380">
        <f t="shared" si="44"/>
        <v>57.139000000000003</v>
      </c>
      <c r="Z86" s="380">
        <f t="shared" si="45"/>
        <v>57.302711851207214</v>
      </c>
      <c r="AA86" s="381">
        <f t="shared" si="46"/>
        <v>58.110947250062459</v>
      </c>
      <c r="AB86" s="193">
        <f t="shared" si="47"/>
        <v>44633</v>
      </c>
      <c r="AC86" s="420">
        <f t="shared" si="48"/>
        <v>1.3908487765261456E-2</v>
      </c>
      <c r="AD86" s="165">
        <f>(INDEX(Models!$BJ86:$BT86,,AH86)*(1-AF86)+INDEX(Models!$BJ86:$BT86,,AH86+1)*AF86-ERP_i)*AE86*Ramure*Pc/MaxiM</f>
        <v>4.9915486938320745E-7</v>
      </c>
      <c r="AE86" s="301">
        <f t="shared" si="49"/>
        <v>0.5</v>
      </c>
      <c r="AF86" s="173">
        <f t="shared" si="50"/>
        <v>1.4283697538658748E-3</v>
      </c>
      <c r="AG86" s="801">
        <f t="shared" si="51"/>
        <v>0</v>
      </c>
      <c r="AH86" s="172">
        <f t="shared" si="52"/>
        <v>6</v>
      </c>
      <c r="AI86" s="221">
        <f t="shared" si="53"/>
        <v>1.4283697538658748E-3</v>
      </c>
      <c r="AJ86" s="261" t="b">
        <f t="shared" si="54"/>
        <v>0</v>
      </c>
      <c r="AK86" s="261" t="b">
        <f t="shared" si="55"/>
        <v>0</v>
      </c>
      <c r="AL86" s="261"/>
      <c r="AM86" s="261"/>
      <c r="AN86" s="75"/>
      <c r="AV86" s="153">
        <f t="shared" si="63"/>
        <v>44268</v>
      </c>
      <c r="AW86" s="608"/>
      <c r="AX86" s="385"/>
      <c r="AY86" s="388"/>
      <c r="AZ86" s="380"/>
      <c r="BA86" s="380"/>
      <c r="BB86" s="110"/>
      <c r="BD86" s="375"/>
      <c r="BE86" s="85"/>
      <c r="BF86" s="193">
        <f t="shared" si="56"/>
        <v>44633</v>
      </c>
      <c r="BG86" s="430"/>
      <c r="BH86" s="846"/>
      <c r="BI86" s="846"/>
      <c r="BJ86" s="320"/>
      <c r="BK86" s="378"/>
    </row>
    <row r="87" spans="1:63" s="6" customFormat="1" ht="11.25" customHeight="1" x14ac:dyDescent="0.2">
      <c r="A87" s="56">
        <f t="shared" si="57"/>
        <v>44634</v>
      </c>
      <c r="B87" s="608">
        <v>56.073</v>
      </c>
      <c r="C87" s="385"/>
      <c r="D87" s="388">
        <f t="shared" si="58"/>
        <v>56.234427402548633</v>
      </c>
      <c r="E87" s="380">
        <f t="shared" si="59"/>
        <v>57.031108128817166</v>
      </c>
      <c r="F87" s="380">
        <f t="shared" si="60"/>
        <v>57.031108128817166</v>
      </c>
      <c r="G87" s="110">
        <f t="shared" si="61"/>
        <v>0.29311495850480285</v>
      </c>
      <c r="I87" s="375">
        <f t="shared" si="34"/>
        <v>57.031108128817166</v>
      </c>
      <c r="J87" s="85">
        <v>2022</v>
      </c>
      <c r="K87" s="193">
        <f t="shared" si="35"/>
        <v>44634</v>
      </c>
      <c r="L87" s="430">
        <f t="shared" si="36"/>
        <v>2.8706152085993253E-3</v>
      </c>
      <c r="M87" s="846"/>
      <c r="N87" s="846"/>
      <c r="O87" s="320">
        <f t="shared" si="37"/>
        <v>1.3969231046134683E-2</v>
      </c>
      <c r="P87" s="165">
        <f>(INDEX(Models!$BJ87:$BT87,,T87)*(1-R87)+INDEX(Models!$BJ87:$BT87,,T87+1)*R87-ERP_i)*Q87*Ramure*Pc/MaxiM</f>
        <v>5.1314672313872683E-7</v>
      </c>
      <c r="Q87" s="301">
        <f t="shared" si="38"/>
        <v>0.5</v>
      </c>
      <c r="R87" s="173">
        <f t="shared" si="39"/>
        <v>1.9429389869035085E-3</v>
      </c>
      <c r="S87" s="801">
        <f t="shared" si="62"/>
        <v>0</v>
      </c>
      <c r="T87" s="172">
        <f t="shared" si="40"/>
        <v>6</v>
      </c>
      <c r="U87" s="247">
        <f t="shared" si="41"/>
        <v>1.9429389869035085E-3</v>
      </c>
      <c r="V87" s="378">
        <f t="shared" si="42"/>
        <v>191.30027178536167</v>
      </c>
      <c r="W87" s="397"/>
      <c r="X87" s="153">
        <f t="shared" si="43"/>
        <v>44634</v>
      </c>
      <c r="Y87" s="380">
        <f t="shared" si="44"/>
        <v>56.073</v>
      </c>
      <c r="Z87" s="380">
        <f t="shared" si="45"/>
        <v>56.234427402548633</v>
      </c>
      <c r="AA87" s="381">
        <f t="shared" si="46"/>
        <v>57.031108128817166</v>
      </c>
      <c r="AB87" s="193">
        <f t="shared" si="47"/>
        <v>44634</v>
      </c>
      <c r="AC87" s="420">
        <f t="shared" si="48"/>
        <v>1.3969231046134683E-2</v>
      </c>
      <c r="AD87" s="165">
        <f>(INDEX(Models!$BJ87:$BT87,,AH87)*(1-AF87)+INDEX(Models!$BJ87:$BT87,,AH87+1)*AF87-ERP_i)*AE87*Ramure*Pc/MaxiM</f>
        <v>5.1314672313872683E-7</v>
      </c>
      <c r="AE87" s="301">
        <f t="shared" si="49"/>
        <v>0.5</v>
      </c>
      <c r="AF87" s="173">
        <f t="shared" si="50"/>
        <v>1.9429389869035085E-3</v>
      </c>
      <c r="AG87" s="801">
        <f t="shared" si="51"/>
        <v>0</v>
      </c>
      <c r="AH87" s="172">
        <f t="shared" si="52"/>
        <v>6</v>
      </c>
      <c r="AI87" s="221">
        <f t="shared" si="53"/>
        <v>1.9429389869035085E-3</v>
      </c>
      <c r="AJ87" s="261" t="b">
        <f t="shared" si="54"/>
        <v>0</v>
      </c>
      <c r="AK87" s="261" t="b">
        <f t="shared" si="55"/>
        <v>0</v>
      </c>
      <c r="AL87" s="261"/>
      <c r="AM87" s="261"/>
      <c r="AN87" s="75"/>
      <c r="AV87" s="153">
        <f t="shared" si="63"/>
        <v>44269</v>
      </c>
      <c r="AW87" s="608"/>
      <c r="AX87" s="385"/>
      <c r="AY87" s="388"/>
      <c r="AZ87" s="380"/>
      <c r="BA87" s="380"/>
      <c r="BB87" s="110"/>
      <c r="BD87" s="375"/>
      <c r="BE87" s="85"/>
      <c r="BF87" s="193">
        <f t="shared" si="56"/>
        <v>44634</v>
      </c>
      <c r="BG87" s="430"/>
      <c r="BH87" s="846"/>
      <c r="BI87" s="846"/>
      <c r="BJ87" s="320"/>
      <c r="BK87" s="378"/>
    </row>
    <row r="88" spans="1:63" s="6" customFormat="1" ht="11.25" x14ac:dyDescent="0.2">
      <c r="A88" s="56">
        <f t="shared" si="57"/>
        <v>44635</v>
      </c>
      <c r="B88" s="608">
        <v>59.823999999999998</v>
      </c>
      <c r="C88" s="385"/>
      <c r="D88" s="388">
        <f t="shared" si="58"/>
        <v>59.997047388236581</v>
      </c>
      <c r="E88" s="380">
        <f t="shared" si="59"/>
        <v>60.850781607346853</v>
      </c>
      <c r="F88" s="380">
        <f t="shared" si="60"/>
        <v>60.850782095593019</v>
      </c>
      <c r="G88" s="110">
        <f t="shared" si="61"/>
        <v>0.31058712375807312</v>
      </c>
      <c r="I88" s="375">
        <f t="shared" si="34"/>
        <v>60.850782095593019</v>
      </c>
      <c r="J88" s="85">
        <v>2022</v>
      </c>
      <c r="K88" s="193">
        <f t="shared" si="35"/>
        <v>44635</v>
      </c>
      <c r="L88" s="430">
        <f t="shared" si="36"/>
        <v>2.8842650725260377E-3</v>
      </c>
      <c r="M88" s="846"/>
      <c r="N88" s="846"/>
      <c r="O88" s="320">
        <f t="shared" si="37"/>
        <v>1.4029963076221213E-2</v>
      </c>
      <c r="P88" s="165">
        <f>(INDEX(Models!$BJ88:$BT88,,T88)*(1-R88)+INDEX(Models!$BJ88:$BT88,,T88+1)*R88-ERP_i)*Q88*Ramure*Pc/MaxiM</f>
        <v>5.3050083728991726E-7</v>
      </c>
      <c r="Q88" s="301">
        <f t="shared" si="38"/>
        <v>0.5</v>
      </c>
      <c r="R88" s="173">
        <f t="shared" si="39"/>
        <v>2.4779429185351094E-3</v>
      </c>
      <c r="S88" s="801">
        <f t="shared" si="62"/>
        <v>0</v>
      </c>
      <c r="T88" s="172">
        <f t="shared" si="40"/>
        <v>6</v>
      </c>
      <c r="U88" s="247">
        <f t="shared" si="41"/>
        <v>2.4779429185351094E-3</v>
      </c>
      <c r="V88" s="378">
        <f t="shared" si="42"/>
        <v>192.61574021312035</v>
      </c>
      <c r="W88" s="397"/>
      <c r="X88" s="153">
        <f t="shared" si="43"/>
        <v>44635</v>
      </c>
      <c r="Y88" s="380">
        <f t="shared" si="44"/>
        <v>59.823999999999998</v>
      </c>
      <c r="Z88" s="380">
        <f t="shared" si="45"/>
        <v>59.997047388236581</v>
      </c>
      <c r="AA88" s="381">
        <f t="shared" si="46"/>
        <v>60.850781607346853</v>
      </c>
      <c r="AB88" s="193">
        <f t="shared" si="47"/>
        <v>44635</v>
      </c>
      <c r="AC88" s="420">
        <f t="shared" si="48"/>
        <v>1.4029963076221213E-2</v>
      </c>
      <c r="AD88" s="165">
        <f>(INDEX(Models!$BJ88:$BT88,,AH88)*(1-AF88)+INDEX(Models!$BJ88:$BT88,,AH88+1)*AF88-ERP_i)*AE88*Ramure*Pc/MaxiM</f>
        <v>5.3050083728991726E-7</v>
      </c>
      <c r="AE88" s="301">
        <f t="shared" si="49"/>
        <v>0.5</v>
      </c>
      <c r="AF88" s="173">
        <f t="shared" si="50"/>
        <v>2.4779429185351094E-3</v>
      </c>
      <c r="AG88" s="801">
        <f t="shared" si="51"/>
        <v>0</v>
      </c>
      <c r="AH88" s="172">
        <f t="shared" si="52"/>
        <v>6</v>
      </c>
      <c r="AI88" s="221">
        <f t="shared" si="53"/>
        <v>2.4779429185351094E-3</v>
      </c>
      <c r="AJ88" s="261" t="b">
        <f t="shared" si="54"/>
        <v>0</v>
      </c>
      <c r="AK88" s="261" t="b">
        <f t="shared" si="55"/>
        <v>0</v>
      </c>
      <c r="AL88" s="261"/>
      <c r="AM88" s="261"/>
      <c r="AN88" s="75"/>
      <c r="AV88" s="153">
        <f t="shared" si="63"/>
        <v>44270</v>
      </c>
      <c r="AW88" s="608"/>
      <c r="AX88" s="385"/>
      <c r="AY88" s="388"/>
      <c r="AZ88" s="380"/>
      <c r="BA88" s="380"/>
      <c r="BB88" s="110"/>
      <c r="BD88" s="375"/>
      <c r="BE88" s="85"/>
      <c r="BF88" s="193">
        <f t="shared" si="56"/>
        <v>44635</v>
      </c>
      <c r="BG88" s="430"/>
      <c r="BH88" s="846"/>
      <c r="BI88" s="846"/>
      <c r="BJ88" s="320"/>
      <c r="BK88" s="378"/>
    </row>
    <row r="89" spans="1:63" s="6" customFormat="1" ht="11.25" customHeight="1" x14ac:dyDescent="0.2">
      <c r="A89" s="56">
        <f t="shared" si="57"/>
        <v>44636</v>
      </c>
      <c r="B89" s="608">
        <v>39.761000000000003</v>
      </c>
      <c r="C89" s="385"/>
      <c r="D89" s="388">
        <f t="shared" si="58"/>
        <v>39.876558868107082</v>
      </c>
      <c r="E89" s="380">
        <f t="shared" si="59"/>
        <v>40.446477610903443</v>
      </c>
      <c r="F89" s="380">
        <f t="shared" si="60"/>
        <v>40.446477610903443</v>
      </c>
      <c r="G89" s="110">
        <f t="shared" si="61"/>
        <v>0.205034284100028</v>
      </c>
      <c r="I89" s="375">
        <f t="shared" si="34"/>
        <v>40.446477610903443</v>
      </c>
      <c r="J89" s="85">
        <v>2022</v>
      </c>
      <c r="K89" s="193">
        <f t="shared" si="35"/>
        <v>44636</v>
      </c>
      <c r="L89" s="430">
        <f t="shared" si="36"/>
        <v>2.8979147495975521E-3</v>
      </c>
      <c r="M89" s="846"/>
      <c r="N89" s="846"/>
      <c r="O89" s="320">
        <f t="shared" si="37"/>
        <v>1.409068913933619E-2</v>
      </c>
      <c r="P89" s="165">
        <f>(INDEX(Models!$BJ89:$BT89,,T89)*(1-R89)+INDEX(Models!$BJ89:$BT89,,T89+1)*R89-ERP_i)*Q89*Ramure*Pc/MaxiM</f>
        <v>5.5164967284500316E-7</v>
      </c>
      <c r="Q89" s="301">
        <f t="shared" si="38"/>
        <v>0.5</v>
      </c>
      <c r="R89" s="173">
        <f t="shared" si="39"/>
        <v>3.0341442113070369E-3</v>
      </c>
      <c r="S89" s="801">
        <f t="shared" si="62"/>
        <v>0</v>
      </c>
      <c r="T89" s="172">
        <f t="shared" si="40"/>
        <v>6</v>
      </c>
      <c r="U89" s="247">
        <f t="shared" si="41"/>
        <v>3.0341442113070369E-3</v>
      </c>
      <c r="V89" s="378">
        <f t="shared" si="42"/>
        <v>193.9235588837405</v>
      </c>
      <c r="W89" s="397"/>
      <c r="X89" s="153">
        <f t="shared" si="43"/>
        <v>44636</v>
      </c>
      <c r="Y89" s="380">
        <f t="shared" si="44"/>
        <v>39.761000000000003</v>
      </c>
      <c r="Z89" s="380">
        <f t="shared" si="45"/>
        <v>39.876558868107082</v>
      </c>
      <c r="AA89" s="381">
        <f t="shared" si="46"/>
        <v>40.446477610903443</v>
      </c>
      <c r="AB89" s="193">
        <f t="shared" si="47"/>
        <v>44636</v>
      </c>
      <c r="AC89" s="420">
        <f t="shared" si="48"/>
        <v>1.409068913933619E-2</v>
      </c>
      <c r="AD89" s="165">
        <f>(INDEX(Models!$BJ89:$BT89,,AH89)*(1-AF89)+INDEX(Models!$BJ89:$BT89,,AH89+1)*AF89-ERP_i)*AE89*Ramure*Pc/MaxiM</f>
        <v>5.5164967284500316E-7</v>
      </c>
      <c r="AE89" s="301">
        <f t="shared" si="49"/>
        <v>0.5</v>
      </c>
      <c r="AF89" s="173">
        <f t="shared" si="50"/>
        <v>3.0341442113070369E-3</v>
      </c>
      <c r="AG89" s="801">
        <f t="shared" si="51"/>
        <v>0</v>
      </c>
      <c r="AH89" s="172">
        <f t="shared" si="52"/>
        <v>6</v>
      </c>
      <c r="AI89" s="221">
        <f t="shared" si="53"/>
        <v>3.0341442113070369E-3</v>
      </c>
      <c r="AJ89" s="261" t="b">
        <f t="shared" si="54"/>
        <v>0</v>
      </c>
      <c r="AK89" s="261" t="b">
        <f t="shared" si="55"/>
        <v>0</v>
      </c>
      <c r="AL89" s="261"/>
      <c r="AM89" s="261"/>
      <c r="AN89" s="75"/>
      <c r="AV89" s="153">
        <f t="shared" si="63"/>
        <v>44271</v>
      </c>
      <c r="AW89" s="608"/>
      <c r="AX89" s="385"/>
      <c r="AY89" s="388"/>
      <c r="AZ89" s="380"/>
      <c r="BA89" s="380"/>
      <c r="BB89" s="110"/>
      <c r="BD89" s="375"/>
      <c r="BE89" s="85"/>
      <c r="BF89" s="193">
        <f t="shared" si="56"/>
        <v>44636</v>
      </c>
      <c r="BG89" s="430"/>
      <c r="BH89" s="846"/>
      <c r="BI89" s="846"/>
      <c r="BJ89" s="320"/>
      <c r="BK89" s="378"/>
    </row>
    <row r="90" spans="1:63" s="6" customFormat="1" ht="11.25" customHeight="1" x14ac:dyDescent="0.2">
      <c r="A90" s="56">
        <f t="shared" si="57"/>
        <v>44637</v>
      </c>
      <c r="B90" s="608">
        <v>51.069000000000003</v>
      </c>
      <c r="C90" s="385"/>
      <c r="D90" s="388">
        <f t="shared" si="58"/>
        <v>51.218124860775085</v>
      </c>
      <c r="E90" s="380">
        <f t="shared" si="59"/>
        <v>51.95333809562544</v>
      </c>
      <c r="F90" s="380">
        <f t="shared" si="60"/>
        <v>51.95333809562544</v>
      </c>
      <c r="G90" s="110">
        <f t="shared" si="61"/>
        <v>0.26159140492712668</v>
      </c>
      <c r="I90" s="375">
        <f t="shared" si="34"/>
        <v>51.95333809562544</v>
      </c>
      <c r="J90" s="85">
        <v>2022</v>
      </c>
      <c r="K90" s="193">
        <f t="shared" si="35"/>
        <v>44637</v>
      </c>
      <c r="L90" s="430">
        <f t="shared" si="36"/>
        <v>2.9115642398164221E-3</v>
      </c>
      <c r="M90" s="846"/>
      <c r="N90" s="846"/>
      <c r="O90" s="320">
        <f t="shared" si="37"/>
        <v>1.4151414746384936E-2</v>
      </c>
      <c r="P90" s="165">
        <f>(INDEX(Models!$BJ90:$BT90,,T90)*(1-R90)+INDEX(Models!$BJ90:$BT90,,T90+1)*R90-ERP_i)*Q90*Ramure*Pc/MaxiM</f>
        <v>5.7705563660322939E-7</v>
      </c>
      <c r="Q90" s="301">
        <f t="shared" si="38"/>
        <v>0.5</v>
      </c>
      <c r="R90" s="173">
        <f t="shared" si="39"/>
        <v>3.6123299370712861E-3</v>
      </c>
      <c r="S90" s="801">
        <f t="shared" si="62"/>
        <v>0</v>
      </c>
      <c r="T90" s="172">
        <f t="shared" si="40"/>
        <v>6</v>
      </c>
      <c r="U90" s="247">
        <f t="shared" si="41"/>
        <v>3.6123299370712861E-3</v>
      </c>
      <c r="V90" s="378">
        <f t="shared" si="42"/>
        <v>195.2241915003757</v>
      </c>
      <c r="W90" s="397"/>
      <c r="X90" s="153">
        <f t="shared" si="43"/>
        <v>44637</v>
      </c>
      <c r="Y90" s="380">
        <f t="shared" si="44"/>
        <v>51.069000000000003</v>
      </c>
      <c r="Z90" s="380">
        <f t="shared" si="45"/>
        <v>51.218124860775085</v>
      </c>
      <c r="AA90" s="381">
        <f t="shared" si="46"/>
        <v>51.95333809562544</v>
      </c>
      <c r="AB90" s="193">
        <f t="shared" si="47"/>
        <v>44637</v>
      </c>
      <c r="AC90" s="420">
        <f t="shared" si="48"/>
        <v>1.4151414746384936E-2</v>
      </c>
      <c r="AD90" s="165">
        <f>(INDEX(Models!$BJ90:$BT90,,AH90)*(1-AF90)+INDEX(Models!$BJ90:$BT90,,AH90+1)*AF90-ERP_i)*AE90*Ramure*Pc/MaxiM</f>
        <v>5.7705563660322939E-7</v>
      </c>
      <c r="AE90" s="301">
        <f t="shared" si="49"/>
        <v>0.5</v>
      </c>
      <c r="AF90" s="173">
        <f t="shared" si="50"/>
        <v>3.6123299370712861E-3</v>
      </c>
      <c r="AG90" s="801">
        <f t="shared" si="51"/>
        <v>0</v>
      </c>
      <c r="AH90" s="172">
        <f t="shared" si="52"/>
        <v>6</v>
      </c>
      <c r="AI90" s="221">
        <f t="shared" si="53"/>
        <v>3.6123299370712861E-3</v>
      </c>
      <c r="AJ90" s="261" t="b">
        <f t="shared" si="54"/>
        <v>0</v>
      </c>
      <c r="AK90" s="261" t="b">
        <f t="shared" si="55"/>
        <v>0</v>
      </c>
      <c r="AL90" s="261"/>
      <c r="AM90" s="261"/>
      <c r="AN90" s="75"/>
      <c r="AV90" s="153">
        <f t="shared" si="63"/>
        <v>44272</v>
      </c>
      <c r="AW90" s="608"/>
      <c r="AX90" s="385"/>
      <c r="AY90" s="388"/>
      <c r="AZ90" s="380"/>
      <c r="BA90" s="380"/>
      <c r="BB90" s="110"/>
      <c r="BD90" s="375"/>
      <c r="BE90" s="85"/>
      <c r="BF90" s="193">
        <f t="shared" si="56"/>
        <v>44637</v>
      </c>
      <c r="BG90" s="430"/>
      <c r="BH90" s="846"/>
      <c r="BI90" s="846"/>
      <c r="BJ90" s="320"/>
      <c r="BK90" s="378"/>
    </row>
    <row r="91" spans="1:63" s="6" customFormat="1" ht="11.25" customHeight="1" x14ac:dyDescent="0.2">
      <c r="A91" s="56">
        <f t="shared" si="57"/>
        <v>44638</v>
      </c>
      <c r="B91" s="608">
        <v>53.916000000000004</v>
      </c>
      <c r="C91" s="385"/>
      <c r="D91" s="388">
        <f t="shared" si="58"/>
        <v>54.074178519341402</v>
      </c>
      <c r="E91" s="380">
        <f t="shared" si="59"/>
        <v>54.853768261754404</v>
      </c>
      <c r="F91" s="380">
        <f t="shared" si="60"/>
        <v>54.853768261754404</v>
      </c>
      <c r="G91" s="110">
        <f t="shared" si="61"/>
        <v>0.27435623911927981</v>
      </c>
      <c r="I91" s="375">
        <f t="shared" si="34"/>
        <v>54.853768261754404</v>
      </c>
      <c r="J91" s="85">
        <v>2022</v>
      </c>
      <c r="K91" s="193">
        <f t="shared" si="35"/>
        <v>44638</v>
      </c>
      <c r="L91" s="430">
        <f t="shared" si="36"/>
        <v>2.9252135431853121E-3</v>
      </c>
      <c r="M91" s="846"/>
      <c r="N91" s="846"/>
      <c r="O91" s="320">
        <f t="shared" si="37"/>
        <v>1.421214562129821E-2</v>
      </c>
      <c r="P91" s="165">
        <f>(INDEX(Models!$BJ91:$BT91,,T91)*(1-R91)+INDEX(Models!$BJ91:$BT91,,T91+1)*R91-ERP_i)*Q91*Ramure*Pc/MaxiM</f>
        <v>6.0721302645263875E-7</v>
      </c>
      <c r="Q91" s="301">
        <f t="shared" si="38"/>
        <v>0.5</v>
      </c>
      <c r="R91" s="173">
        <f t="shared" si="39"/>
        <v>4.2133120156967133E-3</v>
      </c>
      <c r="S91" s="801">
        <f t="shared" si="62"/>
        <v>0</v>
      </c>
      <c r="T91" s="172">
        <f t="shared" si="40"/>
        <v>6</v>
      </c>
      <c r="U91" s="247">
        <f t="shared" si="41"/>
        <v>4.2133120156967133E-3</v>
      </c>
      <c r="V91" s="378">
        <f t="shared" si="42"/>
        <v>196.51810155504364</v>
      </c>
      <c r="W91" s="397"/>
      <c r="X91" s="153">
        <f t="shared" si="43"/>
        <v>44638</v>
      </c>
      <c r="Y91" s="380">
        <f t="shared" si="44"/>
        <v>53.916000000000004</v>
      </c>
      <c r="Z91" s="380">
        <f t="shared" si="45"/>
        <v>54.074178519341402</v>
      </c>
      <c r="AA91" s="381">
        <f t="shared" si="46"/>
        <v>54.853768261754404</v>
      </c>
      <c r="AB91" s="193">
        <f t="shared" si="47"/>
        <v>44638</v>
      </c>
      <c r="AC91" s="420">
        <f t="shared" si="48"/>
        <v>1.421214562129821E-2</v>
      </c>
      <c r="AD91" s="165">
        <f>(INDEX(Models!$BJ91:$BT91,,AH91)*(1-AF91)+INDEX(Models!$BJ91:$BT91,,AH91+1)*AF91-ERP_i)*AE91*Ramure*Pc/MaxiM</f>
        <v>6.0721302645263875E-7</v>
      </c>
      <c r="AE91" s="301">
        <f t="shared" si="49"/>
        <v>0.5</v>
      </c>
      <c r="AF91" s="173">
        <f t="shared" si="50"/>
        <v>4.2133120156967133E-3</v>
      </c>
      <c r="AG91" s="801">
        <f t="shared" si="51"/>
        <v>0</v>
      </c>
      <c r="AH91" s="172">
        <f t="shared" si="52"/>
        <v>6</v>
      </c>
      <c r="AI91" s="221">
        <f t="shared" si="53"/>
        <v>4.2133120156967133E-3</v>
      </c>
      <c r="AJ91" s="261" t="b">
        <f t="shared" si="54"/>
        <v>0</v>
      </c>
      <c r="AK91" s="261" t="b">
        <f t="shared" si="55"/>
        <v>0</v>
      </c>
      <c r="AL91" s="261"/>
      <c r="AM91" s="261"/>
      <c r="AN91" s="75"/>
      <c r="AV91" s="153">
        <f t="shared" si="63"/>
        <v>44273</v>
      </c>
      <c r="AW91" s="608"/>
      <c r="AX91" s="385"/>
      <c r="AY91" s="388"/>
      <c r="AZ91" s="380"/>
      <c r="BA91" s="380"/>
      <c r="BB91" s="110"/>
      <c r="BD91" s="375"/>
      <c r="BE91" s="85"/>
      <c r="BF91" s="193">
        <f t="shared" si="56"/>
        <v>44638</v>
      </c>
      <c r="BG91" s="430"/>
      <c r="BH91" s="846"/>
      <c r="BI91" s="846"/>
      <c r="BJ91" s="320"/>
      <c r="BK91" s="378"/>
    </row>
    <row r="92" spans="1:63" s="6" customFormat="1" ht="11.25" customHeight="1" x14ac:dyDescent="0.2">
      <c r="A92" s="56">
        <f t="shared" si="57"/>
        <v>44639</v>
      </c>
      <c r="B92" s="608">
        <v>122.526</v>
      </c>
      <c r="C92" s="385"/>
      <c r="D92" s="388">
        <f t="shared" si="58"/>
        <v>122.88714845194323</v>
      </c>
      <c r="E92" s="380">
        <f t="shared" si="59"/>
        <v>124.66649939606216</v>
      </c>
      <c r="F92" s="380">
        <f t="shared" si="60"/>
        <v>124.66653595524753</v>
      </c>
      <c r="G92" s="110">
        <f t="shared" si="61"/>
        <v>0.61942565247491355</v>
      </c>
      <c r="I92" s="375">
        <f t="shared" si="34"/>
        <v>124.66653595524753</v>
      </c>
      <c r="J92" s="85">
        <v>2022</v>
      </c>
      <c r="K92" s="193">
        <f t="shared" si="35"/>
        <v>44639</v>
      </c>
      <c r="L92" s="430">
        <f t="shared" si="36"/>
        <v>2.9388626597065537E-3</v>
      </c>
      <c r="M92" s="846"/>
      <c r="N92" s="846"/>
      <c r="O92" s="320">
        <f t="shared" si="37"/>
        <v>1.4272887686257852E-2</v>
      </c>
      <c r="P92" s="165">
        <f>(INDEX(Models!$BJ92:$BT92,,T92)*(1-R92)+INDEX(Models!$BJ92:$BT92,,T92+1)*R92-ERP_i)*Q92*Ramure*Pc/MaxiM</f>
        <v>6.4265009037292818E-7</v>
      </c>
      <c r="Q92" s="301">
        <f t="shared" si="38"/>
        <v>0.5</v>
      </c>
      <c r="R92" s="173">
        <f t="shared" si="39"/>
        <v>4.8379276299033002E-3</v>
      </c>
      <c r="S92" s="801">
        <f t="shared" si="62"/>
        <v>0</v>
      </c>
      <c r="T92" s="172">
        <f t="shared" si="40"/>
        <v>6</v>
      </c>
      <c r="U92" s="247">
        <f t="shared" si="41"/>
        <v>4.8379276299033002E-3</v>
      </c>
      <c r="V92" s="378">
        <f t="shared" si="42"/>
        <v>197.80575231353609</v>
      </c>
      <c r="W92" s="397"/>
      <c r="X92" s="153">
        <f t="shared" si="43"/>
        <v>44639</v>
      </c>
      <c r="Y92" s="380">
        <f t="shared" si="44"/>
        <v>122.526</v>
      </c>
      <c r="Z92" s="380">
        <f t="shared" si="45"/>
        <v>122.88714845194323</v>
      </c>
      <c r="AA92" s="381">
        <f t="shared" si="46"/>
        <v>124.66649939606216</v>
      </c>
      <c r="AB92" s="193">
        <f t="shared" si="47"/>
        <v>44639</v>
      </c>
      <c r="AC92" s="420">
        <f t="shared" si="48"/>
        <v>1.4272887686257852E-2</v>
      </c>
      <c r="AD92" s="165">
        <f>(INDEX(Models!$BJ92:$BT92,,AH92)*(1-AF92)+INDEX(Models!$BJ92:$BT92,,AH92+1)*AF92-ERP_i)*AE92*Ramure*Pc/MaxiM</f>
        <v>6.4265009037292818E-7</v>
      </c>
      <c r="AE92" s="301">
        <f t="shared" si="49"/>
        <v>0.5</v>
      </c>
      <c r="AF92" s="173">
        <f t="shared" si="50"/>
        <v>4.8379276299033002E-3</v>
      </c>
      <c r="AG92" s="801">
        <f t="shared" si="51"/>
        <v>0</v>
      </c>
      <c r="AH92" s="172">
        <f t="shared" si="52"/>
        <v>6</v>
      </c>
      <c r="AI92" s="221">
        <f t="shared" si="53"/>
        <v>4.8379276299033002E-3</v>
      </c>
      <c r="AJ92" s="261" t="b">
        <f t="shared" si="54"/>
        <v>0</v>
      </c>
      <c r="AK92" s="261" t="b">
        <f t="shared" si="55"/>
        <v>0</v>
      </c>
      <c r="AL92" s="261"/>
      <c r="AM92" s="261"/>
      <c r="AN92" s="75"/>
      <c r="AV92" s="153">
        <f t="shared" si="63"/>
        <v>44274</v>
      </c>
      <c r="AW92" s="608"/>
      <c r="AX92" s="385"/>
      <c r="AY92" s="388"/>
      <c r="AZ92" s="380"/>
      <c r="BA92" s="380"/>
      <c r="BB92" s="110"/>
      <c r="BD92" s="375"/>
      <c r="BE92" s="85"/>
      <c r="BF92" s="193">
        <f t="shared" si="56"/>
        <v>44639</v>
      </c>
      <c r="BG92" s="430"/>
      <c r="BH92" s="846"/>
      <c r="BI92" s="846"/>
      <c r="BJ92" s="320"/>
      <c r="BK92" s="378"/>
    </row>
    <row r="93" spans="1:63" s="6" customFormat="1" ht="11.25" x14ac:dyDescent="0.2">
      <c r="A93" s="56">
        <f t="shared" si="57"/>
        <v>44640</v>
      </c>
      <c r="B93" s="608">
        <v>130.86600000000001</v>
      </c>
      <c r="C93" s="385"/>
      <c r="D93" s="388">
        <f t="shared" si="58"/>
        <v>131.25352756127205</v>
      </c>
      <c r="E93" s="380">
        <f t="shared" si="59"/>
        <v>133.16222793641703</v>
      </c>
      <c r="F93" s="380">
        <f t="shared" si="60"/>
        <v>133.16227442268254</v>
      </c>
      <c r="G93" s="110">
        <f t="shared" si="61"/>
        <v>0.65730778353280517</v>
      </c>
      <c r="I93" s="375">
        <f t="shared" si="34"/>
        <v>133.16227442268254</v>
      </c>
      <c r="J93" s="85">
        <v>2022</v>
      </c>
      <c r="K93" s="193">
        <f t="shared" si="35"/>
        <v>44640</v>
      </c>
      <c r="L93" s="430">
        <f t="shared" si="36"/>
        <v>2.9525115893829224E-3</v>
      </c>
      <c r="M93" s="846"/>
      <c r="N93" s="846"/>
      <c r="O93" s="320">
        <f t="shared" si="37"/>
        <v>1.4333647046340782E-2</v>
      </c>
      <c r="P93" s="165">
        <f>(INDEX(Models!$BJ93:$BT93,,T93)*(1-R93)+INDEX(Models!$BJ93:$BT93,,T93+1)*R93-ERP_i)*Q93*Ramure*Pc/MaxiM</f>
        <v>6.839096782023209E-7</v>
      </c>
      <c r="Q93" s="301">
        <f t="shared" si="38"/>
        <v>0.5</v>
      </c>
      <c r="R93" s="173">
        <f t="shared" si="39"/>
        <v>5.4870396125247765E-3</v>
      </c>
      <c r="S93" s="801">
        <f t="shared" si="62"/>
        <v>0</v>
      </c>
      <c r="T93" s="172">
        <f t="shared" si="40"/>
        <v>6</v>
      </c>
      <c r="U93" s="247">
        <f t="shared" si="41"/>
        <v>5.4870396125247765E-3</v>
      </c>
      <c r="V93" s="378">
        <f t="shared" si="42"/>
        <v>199.09387879259361</v>
      </c>
      <c r="W93" s="397"/>
      <c r="X93" s="153">
        <f t="shared" si="43"/>
        <v>44640</v>
      </c>
      <c r="Y93" s="380">
        <f t="shared" si="44"/>
        <v>130.86600000000001</v>
      </c>
      <c r="Z93" s="380">
        <f t="shared" si="45"/>
        <v>131.25352756127205</v>
      </c>
      <c r="AA93" s="381">
        <f t="shared" si="46"/>
        <v>133.16222793641703</v>
      </c>
      <c r="AB93" s="193">
        <f t="shared" si="47"/>
        <v>44640</v>
      </c>
      <c r="AC93" s="420">
        <f t="shared" si="48"/>
        <v>1.4333647046340782E-2</v>
      </c>
      <c r="AD93" s="165">
        <f>(INDEX(Models!$BJ93:$BT93,,AH93)*(1-AF93)+INDEX(Models!$BJ93:$BT93,,AH93+1)*AF93-ERP_i)*AE93*Ramure*Pc/MaxiM</f>
        <v>6.839096782023209E-7</v>
      </c>
      <c r="AE93" s="301">
        <f t="shared" si="49"/>
        <v>0.5</v>
      </c>
      <c r="AF93" s="173">
        <f t="shared" si="50"/>
        <v>5.4870396125247765E-3</v>
      </c>
      <c r="AG93" s="801">
        <f t="shared" si="51"/>
        <v>0</v>
      </c>
      <c r="AH93" s="172">
        <f t="shared" si="52"/>
        <v>6</v>
      </c>
      <c r="AI93" s="221">
        <f t="shared" si="53"/>
        <v>5.4870396125247765E-3</v>
      </c>
      <c r="AJ93" s="261" t="b">
        <f t="shared" si="54"/>
        <v>0</v>
      </c>
      <c r="AK93" s="261" t="b">
        <f t="shared" si="55"/>
        <v>0</v>
      </c>
      <c r="AL93" s="261"/>
      <c r="AM93" s="261"/>
      <c r="AN93" s="75"/>
      <c r="AV93" s="153">
        <f t="shared" si="63"/>
        <v>44275</v>
      </c>
      <c r="AW93" s="608"/>
      <c r="AX93" s="385"/>
      <c r="AY93" s="388"/>
      <c r="AZ93" s="380"/>
      <c r="BA93" s="380"/>
      <c r="BB93" s="110"/>
      <c r="BD93" s="375"/>
      <c r="BE93" s="85"/>
      <c r="BF93" s="193">
        <f t="shared" si="56"/>
        <v>44640</v>
      </c>
      <c r="BG93" s="430"/>
      <c r="BH93" s="846"/>
      <c r="BI93" s="846"/>
      <c r="BJ93" s="320"/>
      <c r="BK93" s="378"/>
    </row>
    <row r="94" spans="1:63" s="6" customFormat="1" ht="11.25" customHeight="1" x14ac:dyDescent="0.2">
      <c r="A94" s="56">
        <f t="shared" si="57"/>
        <v>44641</v>
      </c>
      <c r="B94" s="608">
        <v>188.59700000000001</v>
      </c>
      <c r="C94" s="385"/>
      <c r="D94" s="388">
        <f t="shared" si="58"/>
        <v>189.15807317316484</v>
      </c>
      <c r="E94" s="380">
        <f t="shared" si="59"/>
        <v>191.92066169849119</v>
      </c>
      <c r="F94" s="380">
        <f t="shared" si="60"/>
        <v>191.92079017384989</v>
      </c>
      <c r="G94" s="110">
        <f t="shared" si="61"/>
        <v>0.94116557741130846</v>
      </c>
      <c r="I94" s="375">
        <f t="shared" si="34"/>
        <v>191.92079017384989</v>
      </c>
      <c r="J94" s="85">
        <v>2022</v>
      </c>
      <c r="K94" s="193">
        <f t="shared" si="35"/>
        <v>44641</v>
      </c>
      <c r="L94" s="430">
        <f t="shared" si="36"/>
        <v>2.9661603322169716E-3</v>
      </c>
      <c r="M94" s="846"/>
      <c r="N94" s="846"/>
      <c r="O94" s="320">
        <f t="shared" si="37"/>
        <v>1.4394429973706512E-2</v>
      </c>
      <c r="P94" s="165">
        <f>(INDEX(Models!$BJ94:$BT94,,T94)*(1-R94)+INDEX(Models!$BJ94:$BT94,,T94+1)*R94-ERP_i)*Q94*Ramure*Pc/MaxiM</f>
        <v>7.3084556960600959E-7</v>
      </c>
      <c r="Q94" s="301">
        <f t="shared" si="38"/>
        <v>0.5</v>
      </c>
      <c r="R94" s="173">
        <f t="shared" si="39"/>
        <v>6.1615368022249831E-3</v>
      </c>
      <c r="S94" s="801">
        <f t="shared" si="62"/>
        <v>0</v>
      </c>
      <c r="T94" s="172">
        <f t="shared" si="40"/>
        <v>6</v>
      </c>
      <c r="U94" s="247">
        <f t="shared" si="41"/>
        <v>6.1615368022249831E-3</v>
      </c>
      <c r="V94" s="378">
        <f t="shared" si="42"/>
        <v>200.38661946583409</v>
      </c>
      <c r="W94" s="397"/>
      <c r="X94" s="153">
        <f t="shared" si="43"/>
        <v>44641</v>
      </c>
      <c r="Y94" s="380">
        <f t="shared" si="44"/>
        <v>188.59700000000001</v>
      </c>
      <c r="Z94" s="380">
        <f t="shared" si="45"/>
        <v>189.15807317316484</v>
      </c>
      <c r="AA94" s="381">
        <f t="shared" si="46"/>
        <v>191.92066169849119</v>
      </c>
      <c r="AB94" s="193">
        <f t="shared" si="47"/>
        <v>44641</v>
      </c>
      <c r="AC94" s="420">
        <f t="shared" si="48"/>
        <v>1.4394429973706512E-2</v>
      </c>
      <c r="AD94" s="165">
        <f>(INDEX(Models!$BJ94:$BT94,,AH94)*(1-AF94)+INDEX(Models!$BJ94:$BT94,,AH94+1)*AF94-ERP_i)*AE94*Ramure*Pc/MaxiM</f>
        <v>7.3084556960600959E-7</v>
      </c>
      <c r="AE94" s="301">
        <f t="shared" si="49"/>
        <v>0.5</v>
      </c>
      <c r="AF94" s="173">
        <f t="shared" si="50"/>
        <v>6.1615368022249831E-3</v>
      </c>
      <c r="AG94" s="801">
        <f t="shared" si="51"/>
        <v>0</v>
      </c>
      <c r="AH94" s="172">
        <f t="shared" si="52"/>
        <v>6</v>
      </c>
      <c r="AI94" s="221">
        <f t="shared" si="53"/>
        <v>6.1615368022249831E-3</v>
      </c>
      <c r="AJ94" s="261" t="b">
        <f t="shared" si="54"/>
        <v>0</v>
      </c>
      <c r="AK94" s="261" t="b">
        <f t="shared" si="55"/>
        <v>0</v>
      </c>
      <c r="AL94" s="261"/>
      <c r="AM94" s="261"/>
      <c r="AN94" s="75"/>
      <c r="AV94" s="153">
        <f t="shared" si="63"/>
        <v>44276</v>
      </c>
      <c r="AW94" s="608"/>
      <c r="AX94" s="385"/>
      <c r="AY94" s="388"/>
      <c r="AZ94" s="380"/>
      <c r="BA94" s="380"/>
      <c r="BB94" s="110"/>
      <c r="BD94" s="375"/>
      <c r="BE94" s="85"/>
      <c r="BF94" s="193">
        <f t="shared" si="56"/>
        <v>44641</v>
      </c>
      <c r="BG94" s="430"/>
      <c r="BH94" s="846"/>
      <c r="BI94" s="846"/>
      <c r="BJ94" s="320"/>
      <c r="BK94" s="378"/>
    </row>
    <row r="95" spans="1:63" s="6" customFormat="1" ht="11.25" customHeight="1" x14ac:dyDescent="0.2">
      <c r="A95" s="56">
        <f t="shared" si="57"/>
        <v>44642</v>
      </c>
      <c r="B95" s="608">
        <v>167.916</v>
      </c>
      <c r="C95" s="385"/>
      <c r="D95" s="388">
        <f t="shared" si="58"/>
        <v>168.41785301534858</v>
      </c>
      <c r="E95" s="380">
        <f t="shared" si="59"/>
        <v>170.88808174421499</v>
      </c>
      <c r="F95" s="380">
        <f t="shared" si="60"/>
        <v>170.88818318875792</v>
      </c>
      <c r="G95" s="110">
        <f t="shared" si="61"/>
        <v>0.83258387453291627</v>
      </c>
      <c r="I95" s="375">
        <f t="shared" si="34"/>
        <v>170.88818318875792</v>
      </c>
      <c r="J95" s="85">
        <v>2022</v>
      </c>
      <c r="K95" s="193">
        <f t="shared" si="35"/>
        <v>44642</v>
      </c>
      <c r="L95" s="430">
        <f t="shared" si="36"/>
        <v>2.979808888211144E-3</v>
      </c>
      <c r="M95" s="846"/>
      <c r="N95" s="846"/>
      <c r="O95" s="320">
        <f t="shared" si="37"/>
        <v>1.4455242891448851E-2</v>
      </c>
      <c r="P95" s="165">
        <f>(INDEX(Models!$BJ95:$BT95,,T95)*(1-R95)+INDEX(Models!$BJ95:$BT95,,T95+1)*R95-ERP_i)*Q95*Ramure*Pc/MaxiM</f>
        <v>7.8023702932064308E-7</v>
      </c>
      <c r="Q95" s="301">
        <f t="shared" si="38"/>
        <v>0.5</v>
      </c>
      <c r="R95" s="173">
        <f t="shared" si="39"/>
        <v>6.8623343633996935E-3</v>
      </c>
      <c r="S95" s="801">
        <f t="shared" si="62"/>
        <v>0</v>
      </c>
      <c r="T95" s="172">
        <f t="shared" si="40"/>
        <v>6</v>
      </c>
      <c r="U95" s="247">
        <f t="shared" si="41"/>
        <v>6.8623343633996935E-3</v>
      </c>
      <c r="V95" s="378">
        <f t="shared" si="42"/>
        <v>201.68054390924235</v>
      </c>
      <c r="W95" s="397"/>
      <c r="X95" s="153">
        <f t="shared" si="43"/>
        <v>44642</v>
      </c>
      <c r="Y95" s="380">
        <f t="shared" si="44"/>
        <v>167.916</v>
      </c>
      <c r="Z95" s="380">
        <f t="shared" si="45"/>
        <v>168.41785301534858</v>
      </c>
      <c r="AA95" s="381">
        <f t="shared" si="46"/>
        <v>170.88808174421499</v>
      </c>
      <c r="AB95" s="193">
        <f t="shared" si="47"/>
        <v>44642</v>
      </c>
      <c r="AC95" s="420">
        <f t="shared" si="48"/>
        <v>1.4455242891448851E-2</v>
      </c>
      <c r="AD95" s="165">
        <f>(INDEX(Models!$BJ95:$BT95,,AH95)*(1-AF95)+INDEX(Models!$BJ95:$BT95,,AH95+1)*AF95-ERP_i)*AE95*Ramure*Pc/MaxiM</f>
        <v>7.8023702932064308E-7</v>
      </c>
      <c r="AE95" s="301">
        <f t="shared" si="49"/>
        <v>0.5</v>
      </c>
      <c r="AF95" s="173">
        <f t="shared" si="50"/>
        <v>6.8623343633996935E-3</v>
      </c>
      <c r="AG95" s="801">
        <f t="shared" si="51"/>
        <v>0</v>
      </c>
      <c r="AH95" s="172">
        <f t="shared" si="52"/>
        <v>6</v>
      </c>
      <c r="AI95" s="221">
        <f t="shared" si="53"/>
        <v>6.8623343633996935E-3</v>
      </c>
      <c r="AJ95" s="261" t="b">
        <f t="shared" si="54"/>
        <v>0</v>
      </c>
      <c r="AK95" s="261" t="b">
        <f t="shared" si="55"/>
        <v>0</v>
      </c>
      <c r="AL95" s="261"/>
      <c r="AM95" s="261"/>
      <c r="AN95" s="75"/>
      <c r="AV95" s="153">
        <f t="shared" si="63"/>
        <v>44277</v>
      </c>
      <c r="AW95" s="608"/>
      <c r="AX95" s="385"/>
      <c r="AY95" s="388"/>
      <c r="AZ95" s="380"/>
      <c r="BA95" s="380"/>
      <c r="BB95" s="110"/>
      <c r="BD95" s="375"/>
      <c r="BE95" s="85"/>
      <c r="BF95" s="193">
        <f t="shared" si="56"/>
        <v>44642</v>
      </c>
      <c r="BG95" s="430"/>
      <c r="BH95" s="846"/>
      <c r="BI95" s="846"/>
      <c r="BJ95" s="320"/>
      <c r="BK95" s="378"/>
    </row>
    <row r="96" spans="1:63" s="6" customFormat="1" ht="11.25" x14ac:dyDescent="0.2">
      <c r="A96" s="56">
        <f t="shared" si="57"/>
        <v>44643</v>
      </c>
      <c r="B96" s="608">
        <v>200.99799999999999</v>
      </c>
      <c r="C96" s="385"/>
      <c r="D96" s="388">
        <f t="shared" si="58"/>
        <v>201.60148542965555</v>
      </c>
      <c r="E96" s="380">
        <f t="shared" si="59"/>
        <v>204.57105779827072</v>
      </c>
      <c r="F96" s="380">
        <f t="shared" si="60"/>
        <v>204.57122568175365</v>
      </c>
      <c r="G96" s="110">
        <f t="shared" si="61"/>
        <v>0.99027342604867497</v>
      </c>
      <c r="I96" s="375">
        <f t="shared" si="34"/>
        <v>204.57122568175365</v>
      </c>
      <c r="J96" s="85">
        <v>2022</v>
      </c>
      <c r="K96" s="193">
        <f t="shared" si="35"/>
        <v>44643</v>
      </c>
      <c r="L96" s="430">
        <f t="shared" si="36"/>
        <v>2.993457257367993E-3</v>
      </c>
      <c r="M96" s="846"/>
      <c r="N96" s="846"/>
      <c r="O96" s="320">
        <f t="shared" si="37"/>
        <v>1.4516092357226328E-2</v>
      </c>
      <c r="P96" s="165">
        <f>(INDEX(Models!$BJ96:$BT96,,T96)*(1-R96)+INDEX(Models!$BJ96:$BT96,,T96+1)*R96-ERP_i)*Q96*Ramure*Pc/MaxiM</f>
        <v>8.322241259807226E-7</v>
      </c>
      <c r="Q96" s="301">
        <f t="shared" si="38"/>
        <v>0.5</v>
      </c>
      <c r="R96" s="173">
        <f t="shared" si="39"/>
        <v>7.5903740656943358E-3</v>
      </c>
      <c r="S96" s="801">
        <f t="shared" si="62"/>
        <v>0</v>
      </c>
      <c r="T96" s="172">
        <f t="shared" si="40"/>
        <v>6</v>
      </c>
      <c r="U96" s="247">
        <f t="shared" si="41"/>
        <v>7.5903740656943358E-3</v>
      </c>
      <c r="V96" s="378">
        <f t="shared" si="42"/>
        <v>202.97222200306928</v>
      </c>
      <c r="W96" s="397"/>
      <c r="X96" s="153">
        <f t="shared" si="43"/>
        <v>44643</v>
      </c>
      <c r="Y96" s="380">
        <f t="shared" si="44"/>
        <v>200.99799999999999</v>
      </c>
      <c r="Z96" s="380">
        <f t="shared" si="45"/>
        <v>201.60148542965555</v>
      </c>
      <c r="AA96" s="381">
        <f t="shared" si="46"/>
        <v>204.57105779827072</v>
      </c>
      <c r="AB96" s="193">
        <f t="shared" si="47"/>
        <v>44643</v>
      </c>
      <c r="AC96" s="420">
        <f t="shared" si="48"/>
        <v>1.4516092357226328E-2</v>
      </c>
      <c r="AD96" s="165">
        <f>(INDEX(Models!$BJ96:$BT96,,AH96)*(1-AF96)+INDEX(Models!$BJ96:$BT96,,AH96+1)*AF96-ERP_i)*AE96*Ramure*Pc/MaxiM</f>
        <v>8.322241259807226E-7</v>
      </c>
      <c r="AE96" s="301">
        <f t="shared" si="49"/>
        <v>0.5</v>
      </c>
      <c r="AF96" s="173">
        <f t="shared" si="50"/>
        <v>7.5903740656943358E-3</v>
      </c>
      <c r="AG96" s="801">
        <f t="shared" si="51"/>
        <v>0</v>
      </c>
      <c r="AH96" s="172">
        <f t="shared" si="52"/>
        <v>6</v>
      </c>
      <c r="AI96" s="221">
        <f t="shared" si="53"/>
        <v>7.5903740656943358E-3</v>
      </c>
      <c r="AJ96" s="261" t="b">
        <f t="shared" si="54"/>
        <v>0</v>
      </c>
      <c r="AK96" s="261" t="b">
        <f t="shared" si="55"/>
        <v>0</v>
      </c>
      <c r="AL96" s="261"/>
      <c r="AM96" s="261"/>
      <c r="AN96" s="75"/>
      <c r="AV96" s="153">
        <f t="shared" si="63"/>
        <v>44278</v>
      </c>
      <c r="AW96" s="608"/>
      <c r="AX96" s="385"/>
      <c r="AY96" s="388"/>
      <c r="AZ96" s="380"/>
      <c r="BA96" s="380"/>
      <c r="BB96" s="110"/>
      <c r="BD96" s="375"/>
      <c r="BE96" s="85"/>
      <c r="BF96" s="193">
        <f t="shared" si="56"/>
        <v>44643</v>
      </c>
      <c r="BG96" s="430"/>
      <c r="BH96" s="846"/>
      <c r="BI96" s="846"/>
      <c r="BJ96" s="320"/>
      <c r="BK96" s="378"/>
    </row>
    <row r="97" spans="1:63" s="6" customFormat="1" ht="11.25" customHeight="1" x14ac:dyDescent="0.2">
      <c r="A97" s="56">
        <f t="shared" si="57"/>
        <v>44644</v>
      </c>
      <c r="B97" s="608">
        <v>199.322</v>
      </c>
      <c r="C97" s="385"/>
      <c r="D97" s="388">
        <f t="shared" si="58"/>
        <v>199.92319011250754</v>
      </c>
      <c r="E97" s="380">
        <f t="shared" si="59"/>
        <v>202.88057725341227</v>
      </c>
      <c r="F97" s="380">
        <f t="shared" si="60"/>
        <v>202.880750987478</v>
      </c>
      <c r="G97" s="110">
        <f t="shared" si="61"/>
        <v>0.97583338089421956</v>
      </c>
      <c r="I97" s="375">
        <f t="shared" si="34"/>
        <v>202.880750987478</v>
      </c>
      <c r="J97" s="85">
        <v>2022</v>
      </c>
      <c r="K97" s="193">
        <f t="shared" si="35"/>
        <v>44644</v>
      </c>
      <c r="L97" s="430">
        <f t="shared" si="36"/>
        <v>3.0071054396901831E-3</v>
      </c>
      <c r="M97" s="846"/>
      <c r="N97" s="846"/>
      <c r="O97" s="320">
        <f t="shared" si="37"/>
        <v>1.4576985046778325E-2</v>
      </c>
      <c r="P97" s="165">
        <f>(INDEX(Models!$BJ97:$BT97,,T97)*(1-R97)+INDEX(Models!$BJ97:$BT97,,T97+1)*R97-ERP_i)*Q97*Ramure*Pc/MaxiM</f>
        <v>8.8695690984244288E-7</v>
      </c>
      <c r="Q97" s="301">
        <f t="shared" si="38"/>
        <v>0.5</v>
      </c>
      <c r="R97" s="173">
        <f t="shared" si="39"/>
        <v>8.3466245182541518E-3</v>
      </c>
      <c r="S97" s="801">
        <f t="shared" si="62"/>
        <v>0</v>
      </c>
      <c r="T97" s="172">
        <f t="shared" si="40"/>
        <v>6</v>
      </c>
      <c r="U97" s="247">
        <f t="shared" si="41"/>
        <v>8.3466245182541518E-3</v>
      </c>
      <c r="V97" s="378">
        <f t="shared" si="42"/>
        <v>204.25822460992006</v>
      </c>
      <c r="W97" s="397"/>
      <c r="X97" s="153">
        <f t="shared" si="43"/>
        <v>44644</v>
      </c>
      <c r="Y97" s="380">
        <f t="shared" si="44"/>
        <v>199.322</v>
      </c>
      <c r="Z97" s="380">
        <f t="shared" si="45"/>
        <v>199.92319011250754</v>
      </c>
      <c r="AA97" s="381">
        <f t="shared" si="46"/>
        <v>202.88057725341227</v>
      </c>
      <c r="AB97" s="193">
        <f t="shared" si="47"/>
        <v>44644</v>
      </c>
      <c r="AC97" s="420">
        <f t="shared" si="48"/>
        <v>1.4576985046778325E-2</v>
      </c>
      <c r="AD97" s="165">
        <f>(INDEX(Models!$BJ97:$BT97,,AH97)*(1-AF97)+INDEX(Models!$BJ97:$BT97,,AH97+1)*AF97-ERP_i)*AE97*Ramure*Pc/MaxiM</f>
        <v>8.8695690984244288E-7</v>
      </c>
      <c r="AE97" s="301">
        <f t="shared" si="49"/>
        <v>0.5</v>
      </c>
      <c r="AF97" s="173">
        <f t="shared" si="50"/>
        <v>8.3466245182541518E-3</v>
      </c>
      <c r="AG97" s="801">
        <f t="shared" si="51"/>
        <v>0</v>
      </c>
      <c r="AH97" s="172">
        <f t="shared" si="52"/>
        <v>6</v>
      </c>
      <c r="AI97" s="221">
        <f t="shared" si="53"/>
        <v>8.3466245182541518E-3</v>
      </c>
      <c r="AJ97" s="261" t="b">
        <f t="shared" si="54"/>
        <v>0</v>
      </c>
      <c r="AK97" s="261" t="b">
        <f t="shared" si="55"/>
        <v>0</v>
      </c>
      <c r="AL97" s="261"/>
      <c r="AM97" s="261"/>
      <c r="AN97" s="75"/>
      <c r="AV97" s="153">
        <f t="shared" si="63"/>
        <v>44279</v>
      </c>
      <c r="AW97" s="608"/>
      <c r="AX97" s="385"/>
      <c r="AY97" s="388"/>
      <c r="AZ97" s="380"/>
      <c r="BA97" s="380"/>
      <c r="BB97" s="110"/>
      <c r="BD97" s="375"/>
      <c r="BE97" s="85"/>
      <c r="BF97" s="193">
        <f t="shared" si="56"/>
        <v>44644</v>
      </c>
      <c r="BG97" s="430"/>
      <c r="BH97" s="846"/>
      <c r="BI97" s="846"/>
      <c r="BJ97" s="320"/>
      <c r="BK97" s="378"/>
    </row>
    <row r="98" spans="1:63" s="6" customFormat="1" ht="11.25" x14ac:dyDescent="0.2">
      <c r="A98" s="56">
        <f t="shared" si="57"/>
        <v>44645</v>
      </c>
      <c r="B98" s="608">
        <v>169.816</v>
      </c>
      <c r="C98" s="385"/>
      <c r="D98" s="388">
        <f t="shared" si="58"/>
        <v>170.33052652311076</v>
      </c>
      <c r="E98" s="380">
        <f t="shared" si="59"/>
        <v>172.86085117118429</v>
      </c>
      <c r="F98" s="380">
        <f t="shared" si="60"/>
        <v>172.86097391722259</v>
      </c>
      <c r="G98" s="110">
        <f t="shared" si="61"/>
        <v>0.82621382291145484</v>
      </c>
      <c r="I98" s="375">
        <f t="shared" si="34"/>
        <v>172.86097391722259</v>
      </c>
      <c r="J98" s="85">
        <v>2022</v>
      </c>
      <c r="K98" s="193">
        <f t="shared" si="35"/>
        <v>44645</v>
      </c>
      <c r="L98" s="430">
        <f t="shared" si="36"/>
        <v>3.0207534351802678E-3</v>
      </c>
      <c r="M98" s="846"/>
      <c r="N98" s="846"/>
      <c r="O98" s="320">
        <f t="shared" si="37"/>
        <v>1.4637927737424776E-2</v>
      </c>
      <c r="P98" s="165">
        <f>(INDEX(Models!$BJ98:$BT98,,T98)*(1-R98)+INDEX(Models!$BJ98:$BT98,,T98+1)*R98-ERP_i)*Q98*Ramure*Pc/MaxiM</f>
        <v>9.4459611761956831E-7</v>
      </c>
      <c r="Q98" s="301">
        <f t="shared" si="38"/>
        <v>0.5</v>
      </c>
      <c r="R98" s="173">
        <f t="shared" si="39"/>
        <v>9.1320813535013916E-3</v>
      </c>
      <c r="S98" s="801">
        <f t="shared" si="62"/>
        <v>0</v>
      </c>
      <c r="T98" s="172">
        <f t="shared" si="40"/>
        <v>6</v>
      </c>
      <c r="U98" s="247">
        <f t="shared" si="41"/>
        <v>9.1320813535013916E-3</v>
      </c>
      <c r="V98" s="378">
        <f t="shared" si="42"/>
        <v>205.53512355660942</v>
      </c>
      <c r="W98" s="397"/>
      <c r="X98" s="153">
        <f t="shared" si="43"/>
        <v>44645</v>
      </c>
      <c r="Y98" s="380">
        <f t="shared" si="44"/>
        <v>169.816</v>
      </c>
      <c r="Z98" s="380">
        <f t="shared" si="45"/>
        <v>170.33052652311076</v>
      </c>
      <c r="AA98" s="381">
        <f t="shared" si="46"/>
        <v>172.86085117118429</v>
      </c>
      <c r="AB98" s="193">
        <f t="shared" si="47"/>
        <v>44645</v>
      </c>
      <c r="AC98" s="420">
        <f t="shared" si="48"/>
        <v>1.4637927737424776E-2</v>
      </c>
      <c r="AD98" s="165">
        <f>(INDEX(Models!$BJ98:$BT98,,AH98)*(1-AF98)+INDEX(Models!$BJ98:$BT98,,AH98+1)*AF98-ERP_i)*AE98*Ramure*Pc/MaxiM</f>
        <v>9.4459611761956831E-7</v>
      </c>
      <c r="AE98" s="301">
        <f t="shared" si="49"/>
        <v>0.5</v>
      </c>
      <c r="AF98" s="173">
        <f t="shared" si="50"/>
        <v>9.1320813535013916E-3</v>
      </c>
      <c r="AG98" s="801">
        <f t="shared" si="51"/>
        <v>0</v>
      </c>
      <c r="AH98" s="172">
        <f t="shared" si="52"/>
        <v>6</v>
      </c>
      <c r="AI98" s="221">
        <f t="shared" si="53"/>
        <v>9.1320813535013916E-3</v>
      </c>
      <c r="AJ98" s="261" t="b">
        <f t="shared" si="54"/>
        <v>0</v>
      </c>
      <c r="AK98" s="261" t="b">
        <f t="shared" si="55"/>
        <v>0</v>
      </c>
      <c r="AL98" s="261"/>
      <c r="AM98" s="261"/>
      <c r="AN98" s="75"/>
      <c r="AV98" s="153">
        <f t="shared" si="63"/>
        <v>44280</v>
      </c>
      <c r="AW98" s="608"/>
      <c r="AX98" s="385"/>
      <c r="AY98" s="388"/>
      <c r="AZ98" s="380"/>
      <c r="BA98" s="380"/>
      <c r="BB98" s="110"/>
      <c r="BD98" s="375"/>
      <c r="BE98" s="85"/>
      <c r="BF98" s="193">
        <f t="shared" si="56"/>
        <v>44645</v>
      </c>
      <c r="BG98" s="430"/>
      <c r="BH98" s="846"/>
      <c r="BI98" s="846"/>
      <c r="BJ98" s="320"/>
      <c r="BK98" s="378"/>
    </row>
    <row r="99" spans="1:63" s="6" customFormat="1" ht="11.25" x14ac:dyDescent="0.2">
      <c r="A99" s="56">
        <f t="shared" si="57"/>
        <v>44646</v>
      </c>
      <c r="B99" s="608">
        <v>187.233</v>
      </c>
      <c r="C99" s="385"/>
      <c r="D99" s="388">
        <f t="shared" si="58"/>
        <v>187.80286926007963</v>
      </c>
      <c r="E99" s="380">
        <f t="shared" si="59"/>
        <v>190.60455170707704</v>
      </c>
      <c r="F99" s="380">
        <f t="shared" si="60"/>
        <v>190.60471742459274</v>
      </c>
      <c r="G99" s="110">
        <f t="shared" si="61"/>
        <v>0.90538411409791497</v>
      </c>
      <c r="I99" s="375">
        <f t="shared" si="34"/>
        <v>190.60471742459274</v>
      </c>
      <c r="J99" s="85">
        <v>2022</v>
      </c>
      <c r="K99" s="193">
        <f t="shared" si="35"/>
        <v>44646</v>
      </c>
      <c r="L99" s="430">
        <f t="shared" si="36"/>
        <v>3.0344012438406898E-3</v>
      </c>
      <c r="M99" s="846"/>
      <c r="N99" s="846"/>
      <c r="O99" s="320">
        <f t="shared" si="37"/>
        <v>1.469892729163704E-2</v>
      </c>
      <c r="P99" s="165">
        <f>(INDEX(Models!$BJ99:$BT99,,T99)*(1-R99)+INDEX(Models!$BJ99:$BT99,,T99+1)*R99-ERP_i)*Q99*Ramure*Pc/MaxiM</f>
        <v>1.005313929838322E-6</v>
      </c>
      <c r="Q99" s="301">
        <f t="shared" si="38"/>
        <v>0.5</v>
      </c>
      <c r="R99" s="173">
        <f t="shared" si="39"/>
        <v>9.9477673549050079E-3</v>
      </c>
      <c r="S99" s="801">
        <f t="shared" si="62"/>
        <v>0</v>
      </c>
      <c r="T99" s="172">
        <f t="shared" si="40"/>
        <v>6</v>
      </c>
      <c r="U99" s="247">
        <f t="shared" si="41"/>
        <v>9.9477673549050079E-3</v>
      </c>
      <c r="V99" s="378">
        <f t="shared" si="42"/>
        <v>206.79949166617308</v>
      </c>
      <c r="W99" s="397"/>
      <c r="X99" s="153">
        <f t="shared" si="43"/>
        <v>44646</v>
      </c>
      <c r="Y99" s="380">
        <f t="shared" si="44"/>
        <v>187.233</v>
      </c>
      <c r="Z99" s="380">
        <f t="shared" si="45"/>
        <v>187.80286926007963</v>
      </c>
      <c r="AA99" s="381">
        <f t="shared" si="46"/>
        <v>190.60455170707704</v>
      </c>
      <c r="AB99" s="193">
        <f t="shared" si="47"/>
        <v>44646</v>
      </c>
      <c r="AC99" s="420">
        <f t="shared" si="48"/>
        <v>1.469892729163704E-2</v>
      </c>
      <c r="AD99" s="165">
        <f>(INDEX(Models!$BJ99:$BT99,,AH99)*(1-AF99)+INDEX(Models!$BJ99:$BT99,,AH99+1)*AF99-ERP_i)*AE99*Ramure*Pc/MaxiM</f>
        <v>1.005313929838322E-6</v>
      </c>
      <c r="AE99" s="301">
        <f t="shared" si="49"/>
        <v>0.5</v>
      </c>
      <c r="AF99" s="173">
        <f t="shared" si="50"/>
        <v>9.9477673549050079E-3</v>
      </c>
      <c r="AG99" s="801">
        <f t="shared" si="51"/>
        <v>0</v>
      </c>
      <c r="AH99" s="172">
        <f t="shared" si="52"/>
        <v>6</v>
      </c>
      <c r="AI99" s="221">
        <f t="shared" si="53"/>
        <v>9.9477673549050079E-3</v>
      </c>
      <c r="AJ99" s="261" t="b">
        <f t="shared" si="54"/>
        <v>0</v>
      </c>
      <c r="AK99" s="261" t="b">
        <f t="shared" si="55"/>
        <v>0</v>
      </c>
      <c r="AL99" s="261"/>
      <c r="AM99" s="261"/>
      <c r="AN99" s="75"/>
      <c r="AV99" s="153">
        <f t="shared" si="63"/>
        <v>44281</v>
      </c>
      <c r="AW99" s="608"/>
      <c r="AX99" s="385"/>
      <c r="AY99" s="388"/>
      <c r="AZ99" s="380"/>
      <c r="BA99" s="380"/>
      <c r="BB99" s="110"/>
      <c r="BD99" s="375"/>
      <c r="BE99" s="85"/>
      <c r="BF99" s="193">
        <f t="shared" si="56"/>
        <v>44646</v>
      </c>
      <c r="BG99" s="430"/>
      <c r="BH99" s="846"/>
      <c r="BI99" s="846"/>
      <c r="BJ99" s="320"/>
      <c r="BK99" s="378"/>
    </row>
    <row r="100" spans="1:63" s="6" customFormat="1" ht="11.25" x14ac:dyDescent="0.2">
      <c r="A100" s="56">
        <f t="shared" si="57"/>
        <v>44647</v>
      </c>
      <c r="B100" s="608">
        <v>189.26900000000001</v>
      </c>
      <c r="C100" s="385"/>
      <c r="D100" s="388">
        <f t="shared" si="58"/>
        <v>189.84766495983169</v>
      </c>
      <c r="E100" s="380">
        <f t="shared" si="59"/>
        <v>192.69179403635897</v>
      </c>
      <c r="F100" s="380">
        <f t="shared" si="60"/>
        <v>192.69197360418002</v>
      </c>
      <c r="G100" s="110">
        <f t="shared" si="61"/>
        <v>0.90973747635045488</v>
      </c>
      <c r="I100" s="375">
        <f t="shared" si="34"/>
        <v>192.69197360418002</v>
      </c>
      <c r="J100" s="85">
        <v>2022</v>
      </c>
      <c r="K100" s="193">
        <f t="shared" si="35"/>
        <v>44647</v>
      </c>
      <c r="L100" s="430">
        <f t="shared" si="36"/>
        <v>3.0480488656741134E-3</v>
      </c>
      <c r="M100" s="846"/>
      <c r="N100" s="846"/>
      <c r="O100" s="320">
        <f t="shared" si="37"/>
        <v>1.4759990640756683E-2</v>
      </c>
      <c r="P100" s="165">
        <f>(INDEX(Models!$BJ100:$BT100,,T100)*(1-R100)+INDEX(Models!$BJ100:$BT100,,T100+1)*R100-ERP_i)*Q100*Ramure*Pc/MaxiM</f>
        <v>1.0698427539838437E-6</v>
      </c>
      <c r="Q100" s="301">
        <f t="shared" si="38"/>
        <v>0.5</v>
      </c>
      <c r="R100" s="173">
        <f t="shared" si="39"/>
        <v>1.0794732522869586E-2</v>
      </c>
      <c r="S100" s="801">
        <f t="shared" si="62"/>
        <v>0</v>
      </c>
      <c r="T100" s="172">
        <f t="shared" si="40"/>
        <v>6</v>
      </c>
      <c r="U100" s="247">
        <f t="shared" si="41"/>
        <v>1.0794732522869586E-2</v>
      </c>
      <c r="V100" s="378">
        <f t="shared" si="42"/>
        <v>208.04790262040444</v>
      </c>
      <c r="W100" s="397"/>
      <c r="X100" s="153">
        <f t="shared" si="43"/>
        <v>44647</v>
      </c>
      <c r="Y100" s="380">
        <f t="shared" si="44"/>
        <v>189.26900000000001</v>
      </c>
      <c r="Z100" s="380">
        <f t="shared" si="45"/>
        <v>189.84766495983169</v>
      </c>
      <c r="AA100" s="381">
        <f t="shared" si="46"/>
        <v>192.69179403635897</v>
      </c>
      <c r="AB100" s="193">
        <f t="shared" si="47"/>
        <v>44647</v>
      </c>
      <c r="AC100" s="420">
        <f t="shared" si="48"/>
        <v>1.4759990640756683E-2</v>
      </c>
      <c r="AD100" s="165">
        <f>(INDEX(Models!$BJ100:$BT100,,AH100)*(1-AF100)+INDEX(Models!$BJ100:$BT100,,AH100+1)*AF100-ERP_i)*AE100*Ramure*Pc/MaxiM</f>
        <v>1.0698427539838437E-6</v>
      </c>
      <c r="AE100" s="301">
        <f t="shared" si="49"/>
        <v>0.5</v>
      </c>
      <c r="AF100" s="173">
        <f t="shared" si="50"/>
        <v>1.0794732522869586E-2</v>
      </c>
      <c r="AG100" s="801">
        <f t="shared" si="51"/>
        <v>0</v>
      </c>
      <c r="AH100" s="172">
        <f t="shared" si="52"/>
        <v>6</v>
      </c>
      <c r="AI100" s="221">
        <f t="shared" si="53"/>
        <v>1.0794732522869586E-2</v>
      </c>
      <c r="AJ100" s="261" t="b">
        <f t="shared" si="54"/>
        <v>0</v>
      </c>
      <c r="AK100" s="261" t="b">
        <f t="shared" si="55"/>
        <v>0</v>
      </c>
      <c r="AL100" s="261"/>
      <c r="AM100" s="261"/>
      <c r="AN100" s="75"/>
      <c r="AV100" s="153">
        <f t="shared" si="63"/>
        <v>44282</v>
      </c>
      <c r="AW100" s="608"/>
      <c r="AX100" s="385"/>
      <c r="AY100" s="388"/>
      <c r="AZ100" s="380"/>
      <c r="BA100" s="380"/>
      <c r="BB100" s="110"/>
      <c r="BD100" s="375"/>
      <c r="BE100" s="85"/>
      <c r="BF100" s="193">
        <f t="shared" si="56"/>
        <v>44647</v>
      </c>
      <c r="BG100" s="430"/>
      <c r="BH100" s="846"/>
      <c r="BI100" s="846"/>
      <c r="BJ100" s="320"/>
      <c r="BK100" s="378"/>
    </row>
    <row r="101" spans="1:63" s="6" customFormat="1" ht="11.25" x14ac:dyDescent="0.2">
      <c r="A101" s="56">
        <f t="shared" si="57"/>
        <v>44648</v>
      </c>
      <c r="B101" s="608">
        <v>149.233</v>
      </c>
      <c r="C101" s="385"/>
      <c r="D101" s="388">
        <f t="shared" si="58"/>
        <v>149.69130932801397</v>
      </c>
      <c r="E101" s="380">
        <f t="shared" si="59"/>
        <v>151.94327963325833</v>
      </c>
      <c r="F101" s="380">
        <f t="shared" si="60"/>
        <v>151.9433815966527</v>
      </c>
      <c r="G101" s="110">
        <f t="shared" si="61"/>
        <v>0.71308829593742495</v>
      </c>
      <c r="I101" s="375">
        <f t="shared" si="34"/>
        <v>151.9433815966527</v>
      </c>
      <c r="J101" s="85">
        <v>2022</v>
      </c>
      <c r="K101" s="193">
        <f t="shared" si="35"/>
        <v>44648</v>
      </c>
      <c r="L101" s="430">
        <f t="shared" si="36"/>
        <v>3.0616963006829812E-3</v>
      </c>
      <c r="M101" s="846"/>
      <c r="N101" s="846"/>
      <c r="O101" s="320">
        <f t="shared" si="37"/>
        <v>1.4821124768926046E-2</v>
      </c>
      <c r="P101" s="165">
        <f>(INDEX(Models!$BJ101:$BT101,,T101)*(1-R101)+INDEX(Models!$BJ101:$BT101,,T101+1)*R101-ERP_i)*Q101*Ramure*Pc/MaxiM</f>
        <v>1.1371488000887569E-6</v>
      </c>
      <c r="Q101" s="301">
        <f t="shared" si="38"/>
        <v>0.5</v>
      </c>
      <c r="R101" s="173">
        <f t="shared" si="39"/>
        <v>1.1674054072533826E-2</v>
      </c>
      <c r="S101" s="801">
        <f t="shared" si="62"/>
        <v>0</v>
      </c>
      <c r="T101" s="172">
        <f t="shared" si="40"/>
        <v>6</v>
      </c>
      <c r="U101" s="247">
        <f t="shared" si="41"/>
        <v>1.1674054072533826E-2</v>
      </c>
      <c r="V101" s="378">
        <f t="shared" si="42"/>
        <v>209.27693147481256</v>
      </c>
      <c r="W101" s="397"/>
      <c r="X101" s="153">
        <f t="shared" si="43"/>
        <v>44648</v>
      </c>
      <c r="Y101" s="380">
        <f t="shared" si="44"/>
        <v>149.233</v>
      </c>
      <c r="Z101" s="380">
        <f t="shared" si="45"/>
        <v>149.69130932801397</v>
      </c>
      <c r="AA101" s="381">
        <f t="shared" si="46"/>
        <v>151.94327963325833</v>
      </c>
      <c r="AB101" s="193">
        <f t="shared" si="47"/>
        <v>44648</v>
      </c>
      <c r="AC101" s="420">
        <f t="shared" si="48"/>
        <v>1.4821124768926046E-2</v>
      </c>
      <c r="AD101" s="165">
        <f>(INDEX(Models!$BJ101:$BT101,,AH101)*(1-AF101)+INDEX(Models!$BJ101:$BT101,,AH101+1)*AF101-ERP_i)*AE101*Ramure*Pc/MaxiM</f>
        <v>1.1371488000887569E-6</v>
      </c>
      <c r="AE101" s="301">
        <f t="shared" si="49"/>
        <v>0.5</v>
      </c>
      <c r="AF101" s="173">
        <f t="shared" si="50"/>
        <v>1.1674054072533826E-2</v>
      </c>
      <c r="AG101" s="801">
        <f t="shared" si="51"/>
        <v>0</v>
      </c>
      <c r="AH101" s="172">
        <f t="shared" si="52"/>
        <v>6</v>
      </c>
      <c r="AI101" s="221">
        <f t="shared" si="53"/>
        <v>1.1674054072533826E-2</v>
      </c>
      <c r="AJ101" s="261" t="b">
        <f t="shared" si="54"/>
        <v>0</v>
      </c>
      <c r="AK101" s="261" t="b">
        <f t="shared" si="55"/>
        <v>0</v>
      </c>
      <c r="AL101" s="261"/>
      <c r="AM101" s="261"/>
      <c r="AN101" s="75"/>
      <c r="AV101" s="153">
        <f t="shared" si="63"/>
        <v>44283</v>
      </c>
      <c r="AW101" s="608"/>
      <c r="AX101" s="385"/>
      <c r="AY101" s="388"/>
      <c r="AZ101" s="380"/>
      <c r="BA101" s="380"/>
      <c r="BB101" s="110"/>
      <c r="BD101" s="375"/>
      <c r="BE101" s="85"/>
      <c r="BF101" s="193">
        <f t="shared" si="56"/>
        <v>44648</v>
      </c>
      <c r="BG101" s="430"/>
      <c r="BH101" s="846"/>
      <c r="BI101" s="846"/>
      <c r="BJ101" s="320"/>
      <c r="BK101" s="378"/>
    </row>
    <row r="102" spans="1:63" s="6" customFormat="1" ht="11.25" x14ac:dyDescent="0.2">
      <c r="A102" s="56">
        <f t="shared" si="57"/>
        <v>44649</v>
      </c>
      <c r="B102" s="608">
        <v>117.34400000000001</v>
      </c>
      <c r="C102" s="385"/>
      <c r="D102" s="388">
        <f t="shared" si="58"/>
        <v>117.70598634577185</v>
      </c>
      <c r="E102" s="380">
        <f t="shared" si="59"/>
        <v>119.48419029575547</v>
      </c>
      <c r="F102" s="380">
        <f t="shared" si="60"/>
        <v>119.48424336256193</v>
      </c>
      <c r="G102" s="110">
        <f t="shared" si="61"/>
        <v>0.55749787182146315</v>
      </c>
      <c r="I102" s="375">
        <f t="shared" si="34"/>
        <v>119.48424336256193</v>
      </c>
      <c r="J102" s="85">
        <v>2022</v>
      </c>
      <c r="K102" s="193">
        <f t="shared" si="35"/>
        <v>44649</v>
      </c>
      <c r="L102" s="430">
        <f t="shared" si="36"/>
        <v>3.0753435488699576E-3</v>
      </c>
      <c r="M102" s="846"/>
      <c r="N102" s="846"/>
      <c r="O102" s="320">
        <f t="shared" si="37"/>
        <v>1.4882336697282552E-2</v>
      </c>
      <c r="P102" s="165">
        <f>(INDEX(Models!$BJ102:$BT102,,T102)*(1-R102)+INDEX(Models!$BJ102:$BT102,,T102+1)*R102-ERP_i)*Q102*Ramure*Pc/MaxiM</f>
        <v>1.2073578032140175E-6</v>
      </c>
      <c r="Q102" s="301">
        <f t="shared" si="38"/>
        <v>0.5</v>
      </c>
      <c r="R102" s="173">
        <f t="shared" si="39"/>
        <v>1.2586836356920209E-2</v>
      </c>
      <c r="S102" s="801">
        <f t="shared" si="62"/>
        <v>0</v>
      </c>
      <c r="T102" s="172">
        <f t="shared" si="40"/>
        <v>6</v>
      </c>
      <c r="U102" s="247">
        <f t="shared" si="41"/>
        <v>1.2586836356920209E-2</v>
      </c>
      <c r="V102" s="378">
        <f t="shared" si="42"/>
        <v>210.48315405516115</v>
      </c>
      <c r="W102" s="397"/>
      <c r="X102" s="153">
        <f t="shared" si="43"/>
        <v>44649</v>
      </c>
      <c r="Y102" s="380">
        <f t="shared" si="44"/>
        <v>117.34400000000001</v>
      </c>
      <c r="Z102" s="380">
        <f t="shared" si="45"/>
        <v>117.70598634577185</v>
      </c>
      <c r="AA102" s="381">
        <f t="shared" si="46"/>
        <v>119.48419029575547</v>
      </c>
      <c r="AB102" s="193">
        <f t="shared" si="47"/>
        <v>44649</v>
      </c>
      <c r="AC102" s="420">
        <f t="shared" si="48"/>
        <v>1.4882336697282552E-2</v>
      </c>
      <c r="AD102" s="165">
        <f>(INDEX(Models!$BJ102:$BT102,,AH102)*(1-AF102)+INDEX(Models!$BJ102:$BT102,,AH102+1)*AF102-ERP_i)*AE102*Ramure*Pc/MaxiM</f>
        <v>1.2073578032140175E-6</v>
      </c>
      <c r="AE102" s="301">
        <f t="shared" si="49"/>
        <v>0.5</v>
      </c>
      <c r="AF102" s="173">
        <f t="shared" si="50"/>
        <v>1.2586836356920209E-2</v>
      </c>
      <c r="AG102" s="801">
        <f t="shared" si="51"/>
        <v>0</v>
      </c>
      <c r="AH102" s="172">
        <f t="shared" si="52"/>
        <v>6</v>
      </c>
      <c r="AI102" s="221">
        <f t="shared" si="53"/>
        <v>1.2586836356920209E-2</v>
      </c>
      <c r="AJ102" s="261" t="b">
        <f t="shared" si="54"/>
        <v>0</v>
      </c>
      <c r="AK102" s="261" t="b">
        <f t="shared" si="55"/>
        <v>0</v>
      </c>
      <c r="AL102" s="261"/>
      <c r="AM102" s="261"/>
      <c r="AN102" s="75"/>
      <c r="AV102" s="153">
        <f t="shared" si="63"/>
        <v>44284</v>
      </c>
      <c r="AW102" s="608"/>
      <c r="AX102" s="385"/>
      <c r="AY102" s="388"/>
      <c r="AZ102" s="380"/>
      <c r="BA102" s="380"/>
      <c r="BB102" s="110"/>
      <c r="BD102" s="375"/>
      <c r="BE102" s="85"/>
      <c r="BF102" s="193">
        <f t="shared" si="56"/>
        <v>44649</v>
      </c>
      <c r="BG102" s="430"/>
      <c r="BH102" s="846"/>
      <c r="BI102" s="846"/>
      <c r="BJ102" s="320"/>
      <c r="BK102" s="378"/>
    </row>
    <row r="103" spans="1:63" s="6" customFormat="1" ht="11.25" x14ac:dyDescent="0.2">
      <c r="A103" s="56">
        <f t="shared" si="57"/>
        <v>44650</v>
      </c>
      <c r="B103" s="608">
        <v>30.826000000000001</v>
      </c>
      <c r="C103" s="385"/>
      <c r="D103" s="388">
        <f t="shared" si="58"/>
        <v>30.921516273422913</v>
      </c>
      <c r="E103" s="380">
        <f t="shared" si="59"/>
        <v>31.39060598359443</v>
      </c>
      <c r="F103" s="380">
        <f t="shared" si="60"/>
        <v>31.39060598359443</v>
      </c>
      <c r="G103" s="110">
        <f t="shared" si="61"/>
        <v>0.14563688075074613</v>
      </c>
      <c r="I103" s="375">
        <f t="shared" si="34"/>
        <v>31.39060598359443</v>
      </c>
      <c r="J103" s="85">
        <v>2022</v>
      </c>
      <c r="K103" s="193">
        <f t="shared" si="35"/>
        <v>44650</v>
      </c>
      <c r="L103" s="430">
        <f t="shared" si="36"/>
        <v>3.0889906102375964E-3</v>
      </c>
      <c r="M103" s="846"/>
      <c r="N103" s="846"/>
      <c r="O103" s="320">
        <f t="shared" si="37"/>
        <v>1.4943633468454749E-2</v>
      </c>
      <c r="P103" s="165">
        <f>(INDEX(Models!$BJ103:$BT103,,T103)*(1-R103)+INDEX(Models!$BJ103:$BT103,,T103+1)*R103-ERP_i)*Q103*Ramure*Pc/MaxiM</f>
        <v>1.2806037948994868E-6</v>
      </c>
      <c r="Q103" s="301">
        <f t="shared" si="38"/>
        <v>0.5</v>
      </c>
      <c r="R103" s="173">
        <f t="shared" si="39"/>
        <v>1.3534210708538549E-2</v>
      </c>
      <c r="S103" s="801">
        <f t="shared" si="62"/>
        <v>0</v>
      </c>
      <c r="T103" s="172">
        <f t="shared" si="40"/>
        <v>6</v>
      </c>
      <c r="U103" s="247">
        <f t="shared" si="41"/>
        <v>1.3534210708538549E-2</v>
      </c>
      <c r="V103" s="378">
        <f t="shared" si="42"/>
        <v>211.66314717262637</v>
      </c>
      <c r="W103" s="397"/>
      <c r="X103" s="153">
        <f t="shared" si="43"/>
        <v>44650</v>
      </c>
      <c r="Y103" s="380">
        <f t="shared" si="44"/>
        <v>30.826000000000001</v>
      </c>
      <c r="Z103" s="380">
        <f t="shared" si="45"/>
        <v>30.921516273422913</v>
      </c>
      <c r="AA103" s="381">
        <f t="shared" si="46"/>
        <v>31.39060598359443</v>
      </c>
      <c r="AB103" s="193">
        <f t="shared" si="47"/>
        <v>44650</v>
      </c>
      <c r="AC103" s="420">
        <f t="shared" si="48"/>
        <v>1.4943633468454749E-2</v>
      </c>
      <c r="AD103" s="165">
        <f>(INDEX(Models!$BJ103:$BT103,,AH103)*(1-AF103)+INDEX(Models!$BJ103:$BT103,,AH103+1)*AF103-ERP_i)*AE103*Ramure*Pc/MaxiM</f>
        <v>1.2806037948994868E-6</v>
      </c>
      <c r="AE103" s="301">
        <f t="shared" si="49"/>
        <v>0.5</v>
      </c>
      <c r="AF103" s="173">
        <f t="shared" si="50"/>
        <v>1.3534210708538549E-2</v>
      </c>
      <c r="AG103" s="801">
        <f t="shared" si="51"/>
        <v>0</v>
      </c>
      <c r="AH103" s="172">
        <f t="shared" si="52"/>
        <v>6</v>
      </c>
      <c r="AI103" s="221">
        <f t="shared" si="53"/>
        <v>1.3534210708538549E-2</v>
      </c>
      <c r="AJ103" s="261" t="b">
        <f t="shared" si="54"/>
        <v>0</v>
      </c>
      <c r="AK103" s="261" t="b">
        <f t="shared" si="55"/>
        <v>0</v>
      </c>
      <c r="AL103" s="261"/>
      <c r="AM103" s="261"/>
      <c r="AN103" s="75"/>
      <c r="AV103" s="153">
        <f t="shared" si="63"/>
        <v>44285</v>
      </c>
      <c r="AW103" s="608"/>
      <c r="AX103" s="385"/>
      <c r="AY103" s="388"/>
      <c r="AZ103" s="380"/>
      <c r="BA103" s="380"/>
      <c r="BB103" s="110"/>
      <c r="BD103" s="375"/>
      <c r="BE103" s="85"/>
      <c r="BF103" s="193">
        <f t="shared" si="56"/>
        <v>44650</v>
      </c>
      <c r="BG103" s="430"/>
      <c r="BH103" s="846"/>
      <c r="BI103" s="846"/>
      <c r="BJ103" s="320"/>
      <c r="BK103" s="378"/>
    </row>
    <row r="104" spans="1:63" s="6" customFormat="1" ht="11.25" x14ac:dyDescent="0.2">
      <c r="A104" s="56">
        <f t="shared" si="57"/>
        <v>44651</v>
      </c>
      <c r="B104" s="608">
        <v>89.189000000000007</v>
      </c>
      <c r="C104" s="385"/>
      <c r="D104" s="388">
        <f t="shared" si="58"/>
        <v>89.466582372103616</v>
      </c>
      <c r="E104" s="380">
        <f t="shared" si="59"/>
        <v>90.829480740801557</v>
      </c>
      <c r="F104" s="380">
        <f t="shared" si="60"/>
        <v>90.829501711386541</v>
      </c>
      <c r="G104" s="110">
        <f t="shared" si="61"/>
        <v>0.41909420362261579</v>
      </c>
      <c r="I104" s="375">
        <f t="shared" si="34"/>
        <v>90.829501711386541</v>
      </c>
      <c r="J104" s="85">
        <v>2022</v>
      </c>
      <c r="K104" s="193">
        <f t="shared" si="35"/>
        <v>44651</v>
      </c>
      <c r="L104" s="430">
        <f t="shared" si="36"/>
        <v>3.1026374847884508E-3</v>
      </c>
      <c r="M104" s="846"/>
      <c r="N104" s="846"/>
      <c r="O104" s="320">
        <f t="shared" si="37"/>
        <v>1.5005022131385052E-2</v>
      </c>
      <c r="P104" s="165">
        <f>(INDEX(Models!$BJ104:$BT104,,T104)*(1-R104)+INDEX(Models!$BJ104:$BT104,,T104+1)*R104-ERP_i)*Q104*Ramure*Pc/MaxiM</f>
        <v>1.3570295604820254E-6</v>
      </c>
      <c r="Q104" s="301">
        <f t="shared" si="38"/>
        <v>0.5</v>
      </c>
      <c r="R104" s="173">
        <f t="shared" si="39"/>
        <v>1.4517335192202805E-2</v>
      </c>
      <c r="S104" s="801">
        <f t="shared" si="62"/>
        <v>0</v>
      </c>
      <c r="T104" s="172">
        <f t="shared" si="40"/>
        <v>6</v>
      </c>
      <c r="U104" s="247">
        <f t="shared" si="41"/>
        <v>1.4517335192202805E-2</v>
      </c>
      <c r="V104" s="378">
        <f t="shared" si="42"/>
        <v>212.81348868286452</v>
      </c>
      <c r="W104" s="397"/>
      <c r="X104" s="153">
        <f t="shared" si="43"/>
        <v>44651</v>
      </c>
      <c r="Y104" s="380">
        <f t="shared" si="44"/>
        <v>89.189000000000007</v>
      </c>
      <c r="Z104" s="380">
        <f t="shared" si="45"/>
        <v>89.466582372103616</v>
      </c>
      <c r="AA104" s="381">
        <f t="shared" si="46"/>
        <v>90.829480740801557</v>
      </c>
      <c r="AB104" s="193">
        <f t="shared" si="47"/>
        <v>44651</v>
      </c>
      <c r="AC104" s="420">
        <f t="shared" si="48"/>
        <v>1.5005022131385052E-2</v>
      </c>
      <c r="AD104" s="165">
        <f>(INDEX(Models!$BJ104:$BT104,,AH104)*(1-AF104)+INDEX(Models!$BJ104:$BT104,,AH104+1)*AF104-ERP_i)*AE104*Ramure*Pc/MaxiM</f>
        <v>1.3570295604820254E-6</v>
      </c>
      <c r="AE104" s="301">
        <f t="shared" si="49"/>
        <v>0.5</v>
      </c>
      <c r="AF104" s="173">
        <f t="shared" si="50"/>
        <v>1.4517335192202805E-2</v>
      </c>
      <c r="AG104" s="801">
        <f t="shared" si="51"/>
        <v>0</v>
      </c>
      <c r="AH104" s="172">
        <f t="shared" si="52"/>
        <v>6</v>
      </c>
      <c r="AI104" s="221">
        <f t="shared" si="53"/>
        <v>1.4517335192202805E-2</v>
      </c>
      <c r="AJ104" s="261" t="b">
        <f t="shared" si="54"/>
        <v>0</v>
      </c>
      <c r="AK104" s="261" t="b">
        <f t="shared" si="55"/>
        <v>0</v>
      </c>
      <c r="AL104" s="261"/>
      <c r="AM104" s="261"/>
      <c r="AN104" s="75"/>
      <c r="AV104" s="153">
        <f t="shared" si="63"/>
        <v>44286</v>
      </c>
      <c r="AW104" s="608"/>
      <c r="AX104" s="385"/>
      <c r="AY104" s="388"/>
      <c r="AZ104" s="380"/>
      <c r="BA104" s="380"/>
      <c r="BB104" s="110"/>
      <c r="BD104" s="375"/>
      <c r="BE104" s="85"/>
      <c r="BF104" s="193">
        <f t="shared" si="56"/>
        <v>44651</v>
      </c>
      <c r="BG104" s="430"/>
      <c r="BH104" s="846"/>
      <c r="BI104" s="846"/>
      <c r="BJ104" s="320"/>
      <c r="BK104" s="378"/>
    </row>
    <row r="105" spans="1:63" s="6" customFormat="1" ht="11.25" customHeight="1" x14ac:dyDescent="0.2">
      <c r="A105" s="56">
        <f t="shared" si="57"/>
        <v>44652</v>
      </c>
      <c r="B105" s="608">
        <v>151.39099999999999</v>
      </c>
      <c r="C105" s="385"/>
      <c r="D105" s="388">
        <f t="shared" si="58"/>
        <v>151.86425216539536</v>
      </c>
      <c r="E105" s="380">
        <f t="shared" si="59"/>
        <v>154.18731687479087</v>
      </c>
      <c r="F105" s="380">
        <f t="shared" si="60"/>
        <v>154.18744589130031</v>
      </c>
      <c r="G105" s="110">
        <f t="shared" si="61"/>
        <v>0.70766312878566717</v>
      </c>
      <c r="I105" s="375">
        <f t="shared" si="34"/>
        <v>154.18744589130031</v>
      </c>
      <c r="J105" s="85">
        <v>2022</v>
      </c>
      <c r="K105" s="193">
        <f t="shared" si="35"/>
        <v>44652</v>
      </c>
      <c r="L105" s="430">
        <f t="shared" si="36"/>
        <v>3.1162841725249635E-3</v>
      </c>
      <c r="M105" s="846"/>
      <c r="N105" s="846"/>
      <c r="O105" s="320">
        <f t="shared" si="37"/>
        <v>1.5066509726490448E-2</v>
      </c>
      <c r="P105" s="165">
        <f>(INDEX(Models!$BJ105:$BT105,,T105)*(1-R105)+INDEX(Models!$BJ105:$BT105,,T105+1)*R105-ERP_i)*Q105*Ramure*Pc/MaxiM</f>
        <v>1.436787125370568E-6</v>
      </c>
      <c r="Q105" s="301">
        <f t="shared" si="38"/>
        <v>0.5</v>
      </c>
      <c r="R105" s="173">
        <f t="shared" si="39"/>
        <v>1.5537394261488043E-2</v>
      </c>
      <c r="S105" s="801">
        <f t="shared" si="62"/>
        <v>0</v>
      </c>
      <c r="T105" s="172">
        <f t="shared" si="40"/>
        <v>6</v>
      </c>
      <c r="U105" s="247">
        <f t="shared" si="41"/>
        <v>1.5537394261488043E-2</v>
      </c>
      <c r="V105" s="378">
        <f t="shared" si="42"/>
        <v>213.93075744902495</v>
      </c>
      <c r="W105" s="397"/>
      <c r="X105" s="153">
        <f t="shared" si="43"/>
        <v>44652</v>
      </c>
      <c r="Y105" s="380">
        <f t="shared" si="44"/>
        <v>151.39099999999999</v>
      </c>
      <c r="Z105" s="380">
        <f t="shared" si="45"/>
        <v>151.86425216539536</v>
      </c>
      <c r="AA105" s="381">
        <f t="shared" si="46"/>
        <v>154.18731687479087</v>
      </c>
      <c r="AB105" s="193">
        <f t="shared" si="47"/>
        <v>44652</v>
      </c>
      <c r="AC105" s="420">
        <f t="shared" si="48"/>
        <v>1.5066509726490448E-2</v>
      </c>
      <c r="AD105" s="165">
        <f>(INDEX(Models!$BJ105:$BT105,,AH105)*(1-AF105)+INDEX(Models!$BJ105:$BT105,,AH105+1)*AF105-ERP_i)*AE105*Ramure*Pc/MaxiM</f>
        <v>1.436787125370568E-6</v>
      </c>
      <c r="AE105" s="301">
        <f t="shared" si="49"/>
        <v>0.5</v>
      </c>
      <c r="AF105" s="173">
        <f t="shared" si="50"/>
        <v>1.5537394261488043E-2</v>
      </c>
      <c r="AG105" s="801">
        <f t="shared" si="51"/>
        <v>0</v>
      </c>
      <c r="AH105" s="172">
        <f t="shared" si="52"/>
        <v>6</v>
      </c>
      <c r="AI105" s="221">
        <f t="shared" si="53"/>
        <v>1.5537394261488043E-2</v>
      </c>
      <c r="AJ105" s="261" t="b">
        <f t="shared" si="54"/>
        <v>0</v>
      </c>
      <c r="AK105" s="261" t="b">
        <f t="shared" si="55"/>
        <v>0</v>
      </c>
      <c r="AL105" s="261"/>
      <c r="AM105" s="261"/>
      <c r="AN105" s="75"/>
      <c r="AV105" s="153">
        <f t="shared" si="63"/>
        <v>44287</v>
      </c>
      <c r="AW105" s="608"/>
      <c r="AX105" s="385"/>
      <c r="AY105" s="388"/>
      <c r="AZ105" s="380"/>
      <c r="BA105" s="380"/>
      <c r="BB105" s="110"/>
      <c r="BD105" s="375"/>
      <c r="BE105" s="85"/>
      <c r="BF105" s="193">
        <f t="shared" si="56"/>
        <v>44652</v>
      </c>
      <c r="BG105" s="430"/>
      <c r="BH105" s="846"/>
      <c r="BI105" s="846"/>
      <c r="BJ105" s="320"/>
      <c r="BK105" s="378"/>
    </row>
    <row r="106" spans="1:63" s="6" customFormat="1" ht="11.25" customHeight="1" x14ac:dyDescent="0.2">
      <c r="A106" s="56">
        <f t="shared" si="57"/>
        <v>44653</v>
      </c>
      <c r="B106" s="608">
        <v>74.057000000000002</v>
      </c>
      <c r="C106" s="385"/>
      <c r="D106" s="388">
        <f t="shared" si="58"/>
        <v>74.28952105065234</v>
      </c>
      <c r="E106" s="380">
        <f t="shared" si="59"/>
        <v>75.430643617101865</v>
      </c>
      <c r="F106" s="380">
        <f t="shared" si="60"/>
        <v>75.430650895015674</v>
      </c>
      <c r="G106" s="110">
        <f t="shared" si="61"/>
        <v>0.34443219587233864</v>
      </c>
      <c r="I106" s="375">
        <f t="shared" si="34"/>
        <v>75.430650895015674</v>
      </c>
      <c r="J106" s="85">
        <v>2022</v>
      </c>
      <c r="K106" s="193">
        <f t="shared" si="35"/>
        <v>44653</v>
      </c>
      <c r="L106" s="430">
        <f t="shared" si="36"/>
        <v>3.1299306734499099E-3</v>
      </c>
      <c r="M106" s="846"/>
      <c r="N106" s="846"/>
      <c r="O106" s="320">
        <f t="shared" si="37"/>
        <v>1.5128103271159203E-2</v>
      </c>
      <c r="P106" s="165">
        <f>(INDEX(Models!$BJ106:$BT106,,T106)*(1-R106)+INDEX(Models!$BJ106:$BT106,,T106+1)*R106-ERP_i)*Q106*Ramure*Pc/MaxiM</f>
        <v>1.5200382723913834E-6</v>
      </c>
      <c r="Q106" s="301">
        <f t="shared" si="38"/>
        <v>0.5</v>
      </c>
      <c r="R106" s="173">
        <f t="shared" si="39"/>
        <v>1.6595598310927405E-2</v>
      </c>
      <c r="S106" s="801">
        <f t="shared" si="62"/>
        <v>0</v>
      </c>
      <c r="T106" s="172">
        <f t="shared" si="40"/>
        <v>6</v>
      </c>
      <c r="U106" s="247">
        <f t="shared" si="41"/>
        <v>1.6595598310927405E-2</v>
      </c>
      <c r="V106" s="378">
        <f t="shared" si="42"/>
        <v>215.01153336821474</v>
      </c>
      <c r="W106" s="397"/>
      <c r="X106" s="153">
        <f t="shared" si="43"/>
        <v>44653</v>
      </c>
      <c r="Y106" s="380">
        <f t="shared" si="44"/>
        <v>74.057000000000002</v>
      </c>
      <c r="Z106" s="380">
        <f t="shared" si="45"/>
        <v>74.28952105065234</v>
      </c>
      <c r="AA106" s="381">
        <f t="shared" si="46"/>
        <v>75.430643617101865</v>
      </c>
      <c r="AB106" s="193">
        <f t="shared" si="47"/>
        <v>44653</v>
      </c>
      <c r="AC106" s="420">
        <f t="shared" si="48"/>
        <v>1.5128103271159203E-2</v>
      </c>
      <c r="AD106" s="165">
        <f>(INDEX(Models!$BJ106:$BT106,,AH106)*(1-AF106)+INDEX(Models!$BJ106:$BT106,,AH106+1)*AF106-ERP_i)*AE106*Ramure*Pc/MaxiM</f>
        <v>1.5200382723913834E-6</v>
      </c>
      <c r="AE106" s="301">
        <f t="shared" si="49"/>
        <v>0.5</v>
      </c>
      <c r="AF106" s="173">
        <f t="shared" si="50"/>
        <v>1.6595598310927405E-2</v>
      </c>
      <c r="AG106" s="801">
        <f t="shared" si="51"/>
        <v>0</v>
      </c>
      <c r="AH106" s="172">
        <f t="shared" si="52"/>
        <v>6</v>
      </c>
      <c r="AI106" s="221">
        <f t="shared" si="53"/>
        <v>1.6595598310927405E-2</v>
      </c>
      <c r="AJ106" s="261" t="b">
        <f t="shared" si="54"/>
        <v>0</v>
      </c>
      <c r="AK106" s="261" t="b">
        <f t="shared" si="55"/>
        <v>0</v>
      </c>
      <c r="AL106" s="261"/>
      <c r="AM106" s="261"/>
      <c r="AN106" s="75"/>
      <c r="AV106" s="153">
        <f t="shared" si="63"/>
        <v>44288</v>
      </c>
      <c r="AW106" s="608"/>
      <c r="AX106" s="385"/>
      <c r="AY106" s="388"/>
      <c r="AZ106" s="380"/>
      <c r="BA106" s="380"/>
      <c r="BB106" s="110"/>
      <c r="BD106" s="375"/>
      <c r="BE106" s="85"/>
      <c r="BF106" s="193">
        <f t="shared" si="56"/>
        <v>44653</v>
      </c>
      <c r="BG106" s="430"/>
      <c r="BH106" s="846"/>
      <c r="BI106" s="846"/>
      <c r="BJ106" s="320"/>
      <c r="BK106" s="378"/>
    </row>
    <row r="107" spans="1:63" s="6" customFormat="1" ht="11.25" x14ac:dyDescent="0.2">
      <c r="A107" s="56">
        <f t="shared" si="57"/>
        <v>44654</v>
      </c>
      <c r="B107" s="608">
        <v>118.883</v>
      </c>
      <c r="C107" s="385"/>
      <c r="D107" s="388">
        <f t="shared" si="58"/>
        <v>119.25789637864138</v>
      </c>
      <c r="E107" s="380">
        <f t="shared" si="59"/>
        <v>121.09734196376503</v>
      </c>
      <c r="F107" s="380">
        <f t="shared" si="60"/>
        <v>121.09741152575187</v>
      </c>
      <c r="G107" s="110">
        <f t="shared" si="61"/>
        <v>0.55023277532720616</v>
      </c>
      <c r="I107" s="375">
        <f t="shared" si="34"/>
        <v>121.09741152575187</v>
      </c>
      <c r="J107" s="85">
        <v>2022</v>
      </c>
      <c r="K107" s="193">
        <f t="shared" si="35"/>
        <v>44654</v>
      </c>
      <c r="L107" s="430">
        <f t="shared" si="36"/>
        <v>3.1435769875656216E-3</v>
      </c>
      <c r="M107" s="846"/>
      <c r="N107" s="846"/>
      <c r="O107" s="320">
        <f t="shared" si="37"/>
        <v>1.5189809745568609E-2</v>
      </c>
      <c r="P107" s="165">
        <f>(INDEX(Models!$BJ107:$BT107,,T107)*(1-R107)+INDEX(Models!$BJ107:$BT107,,T107+1)*R107-ERP_i)*Q107*Ramure*Pc/MaxiM</f>
        <v>1.6069041745914358E-6</v>
      </c>
      <c r="Q107" s="301">
        <f t="shared" si="38"/>
        <v>0.5</v>
      </c>
      <c r="R107" s="173">
        <f t="shared" si="39"/>
        <v>1.7693183115740974E-2</v>
      </c>
      <c r="S107" s="801">
        <f t="shared" si="62"/>
        <v>0</v>
      </c>
      <c r="T107" s="172">
        <f t="shared" si="40"/>
        <v>6</v>
      </c>
      <c r="U107" s="247">
        <f t="shared" si="41"/>
        <v>1.7693183115740974E-2</v>
      </c>
      <c r="V107" s="378">
        <f t="shared" si="42"/>
        <v>216.05924362758472</v>
      </c>
      <c r="W107" s="397"/>
      <c r="X107" s="153">
        <f t="shared" si="43"/>
        <v>44654</v>
      </c>
      <c r="Y107" s="380">
        <f t="shared" si="44"/>
        <v>118.883</v>
      </c>
      <c r="Z107" s="380">
        <f t="shared" si="45"/>
        <v>119.25789637864138</v>
      </c>
      <c r="AA107" s="381">
        <f t="shared" si="46"/>
        <v>121.09734196376503</v>
      </c>
      <c r="AB107" s="193">
        <f t="shared" si="47"/>
        <v>44654</v>
      </c>
      <c r="AC107" s="420">
        <f t="shared" si="48"/>
        <v>1.5189809745568609E-2</v>
      </c>
      <c r="AD107" s="165">
        <f>(INDEX(Models!$BJ107:$BT107,,AH107)*(1-AF107)+INDEX(Models!$BJ107:$BT107,,AH107+1)*AF107-ERP_i)*AE107*Ramure*Pc/MaxiM</f>
        <v>1.6069041745914358E-6</v>
      </c>
      <c r="AE107" s="301">
        <f t="shared" si="49"/>
        <v>0.5</v>
      </c>
      <c r="AF107" s="173">
        <f t="shared" si="50"/>
        <v>1.7693183115740974E-2</v>
      </c>
      <c r="AG107" s="801">
        <f t="shared" si="51"/>
        <v>0</v>
      </c>
      <c r="AH107" s="172">
        <f t="shared" si="52"/>
        <v>6</v>
      </c>
      <c r="AI107" s="221">
        <f t="shared" si="53"/>
        <v>1.7693183115740974E-2</v>
      </c>
      <c r="AJ107" s="261" t="b">
        <f t="shared" si="54"/>
        <v>0</v>
      </c>
      <c r="AK107" s="261" t="b">
        <f t="shared" si="55"/>
        <v>0</v>
      </c>
      <c r="AL107" s="261"/>
      <c r="AM107" s="261"/>
      <c r="AN107" s="75"/>
      <c r="AV107" s="153">
        <f t="shared" si="63"/>
        <v>44289</v>
      </c>
      <c r="AW107" s="608"/>
      <c r="AX107" s="385"/>
      <c r="AY107" s="388"/>
      <c r="AZ107" s="380"/>
      <c r="BA107" s="380"/>
      <c r="BB107" s="110"/>
      <c r="BD107" s="375"/>
      <c r="BE107" s="85"/>
      <c r="BF107" s="193">
        <f t="shared" si="56"/>
        <v>44654</v>
      </c>
      <c r="BG107" s="430"/>
      <c r="BH107" s="846"/>
      <c r="BI107" s="846"/>
      <c r="BJ107" s="320"/>
      <c r="BK107" s="378"/>
    </row>
    <row r="108" spans="1:63" s="6" customFormat="1" ht="11.25" x14ac:dyDescent="0.2">
      <c r="A108" s="56">
        <f t="shared" si="57"/>
        <v>44655</v>
      </c>
      <c r="B108" s="608">
        <v>181.375</v>
      </c>
      <c r="C108" s="385"/>
      <c r="D108" s="388">
        <f t="shared" si="58"/>
        <v>181.94945502514426</v>
      </c>
      <c r="E108" s="380">
        <f t="shared" si="59"/>
        <v>184.76746110106089</v>
      </c>
      <c r="F108" s="380">
        <f t="shared" si="60"/>
        <v>184.76770122417531</v>
      </c>
      <c r="G108" s="110">
        <f t="shared" si="61"/>
        <v>0.83552064853883401</v>
      </c>
      <c r="I108" s="375">
        <f t="shared" si="34"/>
        <v>184.76770122417531</v>
      </c>
      <c r="J108" s="85">
        <v>2022</v>
      </c>
      <c r="K108" s="193">
        <f t="shared" si="35"/>
        <v>44655</v>
      </c>
      <c r="L108" s="430">
        <f t="shared" si="36"/>
        <v>3.1572231148747631E-3</v>
      </c>
      <c r="M108" s="846"/>
      <c r="N108" s="846"/>
      <c r="O108" s="320">
        <f t="shared" si="37"/>
        <v>1.5251636078796713E-2</v>
      </c>
      <c r="P108" s="165">
        <f>(INDEX(Models!$BJ108:$BT108,,T108)*(1-R108)+INDEX(Models!$BJ108:$BT108,,T108+1)*R108-ERP_i)*Q108*Ramure*Pc/MaxiM</f>
        <v>1.6987499640498707E-6</v>
      </c>
      <c r="Q108" s="301">
        <f t="shared" si="38"/>
        <v>0.5</v>
      </c>
      <c r="R108" s="173">
        <f t="shared" si="39"/>
        <v>1.8831409150593646E-2</v>
      </c>
      <c r="S108" s="801">
        <f t="shared" si="62"/>
        <v>0</v>
      </c>
      <c r="T108" s="172">
        <f t="shared" si="40"/>
        <v>6</v>
      </c>
      <c r="U108" s="247">
        <f t="shared" si="41"/>
        <v>1.8831409150593646E-2</v>
      </c>
      <c r="V108" s="378">
        <f t="shared" si="42"/>
        <v>217.08012593141703</v>
      </c>
      <c r="W108" s="397"/>
      <c r="X108" s="153">
        <f t="shared" si="43"/>
        <v>44655</v>
      </c>
      <c r="Y108" s="380">
        <f t="shared" si="44"/>
        <v>181.375</v>
      </c>
      <c r="Z108" s="380">
        <f t="shared" si="45"/>
        <v>181.94945502514426</v>
      </c>
      <c r="AA108" s="381">
        <f t="shared" si="46"/>
        <v>184.76746110106089</v>
      </c>
      <c r="AB108" s="193">
        <f t="shared" si="47"/>
        <v>44655</v>
      </c>
      <c r="AC108" s="420">
        <f t="shared" si="48"/>
        <v>1.5251636078796713E-2</v>
      </c>
      <c r="AD108" s="165">
        <f>(INDEX(Models!$BJ108:$BT108,,AH108)*(1-AF108)+INDEX(Models!$BJ108:$BT108,,AH108+1)*AF108-ERP_i)*AE108*Ramure*Pc/MaxiM</f>
        <v>1.6987499640498707E-6</v>
      </c>
      <c r="AE108" s="301">
        <f t="shared" si="49"/>
        <v>0.5</v>
      </c>
      <c r="AF108" s="173">
        <f t="shared" si="50"/>
        <v>1.8831409150593646E-2</v>
      </c>
      <c r="AG108" s="801">
        <f t="shared" si="51"/>
        <v>0</v>
      </c>
      <c r="AH108" s="172">
        <f t="shared" si="52"/>
        <v>6</v>
      </c>
      <c r="AI108" s="221">
        <f t="shared" si="53"/>
        <v>1.8831409150593646E-2</v>
      </c>
      <c r="AJ108" s="261" t="b">
        <f t="shared" si="54"/>
        <v>0</v>
      </c>
      <c r="AK108" s="261" t="b">
        <f t="shared" si="55"/>
        <v>0</v>
      </c>
      <c r="AL108" s="261"/>
      <c r="AM108" s="261"/>
      <c r="AN108" s="75"/>
      <c r="AV108" s="153">
        <f t="shared" si="63"/>
        <v>44290</v>
      </c>
      <c r="AW108" s="608"/>
      <c r="AX108" s="385"/>
      <c r="AY108" s="388"/>
      <c r="AZ108" s="380"/>
      <c r="BA108" s="380"/>
      <c r="BB108" s="110"/>
      <c r="BD108" s="375"/>
      <c r="BE108" s="85"/>
      <c r="BF108" s="193">
        <f t="shared" si="56"/>
        <v>44655</v>
      </c>
      <c r="BG108" s="430"/>
      <c r="BH108" s="846"/>
      <c r="BI108" s="846"/>
      <c r="BJ108" s="320"/>
      <c r="BK108" s="378"/>
    </row>
    <row r="109" spans="1:63" s="6" customFormat="1" ht="11.25" x14ac:dyDescent="0.2">
      <c r="A109" s="56">
        <f t="shared" si="57"/>
        <v>44656</v>
      </c>
      <c r="B109" s="608">
        <v>222.22900000000001</v>
      </c>
      <c r="C109" s="385"/>
      <c r="D109" s="388">
        <f t="shared" si="58"/>
        <v>222.93590054838214</v>
      </c>
      <c r="E109" s="380">
        <f t="shared" si="59"/>
        <v>226.40294218398572</v>
      </c>
      <c r="F109" s="380">
        <f t="shared" si="60"/>
        <v>226.40334911043371</v>
      </c>
      <c r="G109" s="110">
        <f t="shared" si="61"/>
        <v>1.0190486017817744</v>
      </c>
      <c r="I109" s="375">
        <f t="shared" si="34"/>
        <v>226.40334911043371</v>
      </c>
      <c r="J109" s="85">
        <v>2022</v>
      </c>
      <c r="K109" s="193">
        <f t="shared" si="35"/>
        <v>44656</v>
      </c>
      <c r="L109" s="430">
        <f t="shared" si="36"/>
        <v>3.1708690553798879E-3</v>
      </c>
      <c r="M109" s="846"/>
      <c r="N109" s="846"/>
      <c r="O109" s="320">
        <f t="shared" si="37"/>
        <v>1.5313589135189345E-2</v>
      </c>
      <c r="P109" s="165">
        <f>(INDEX(Models!$BJ109:$BT109,,T109)*(1-R109)+INDEX(Models!$BJ109:$BT109,,T109+1)*R109-ERP_i)*Q109*Ramure*Pc/MaxiM</f>
        <v>1.7973517157379222E-6</v>
      </c>
      <c r="Q109" s="301">
        <f t="shared" si="38"/>
        <v>0.5</v>
      </c>
      <c r="R109" s="173">
        <f t="shared" si="39"/>
        <v>2.0011560778612374E-2</v>
      </c>
      <c r="S109" s="801">
        <f t="shared" si="62"/>
        <v>0</v>
      </c>
      <c r="T109" s="172">
        <f t="shared" si="40"/>
        <v>6</v>
      </c>
      <c r="U109" s="247">
        <f t="shared" si="41"/>
        <v>2.0011560778612374E-2</v>
      </c>
      <c r="V109" s="378">
        <f t="shared" si="42"/>
        <v>218.07497661194927</v>
      </c>
      <c r="W109" s="397"/>
      <c r="X109" s="153">
        <f t="shared" si="43"/>
        <v>44656</v>
      </c>
      <c r="Y109" s="380">
        <f t="shared" si="44"/>
        <v>222.22900000000001</v>
      </c>
      <c r="Z109" s="380">
        <f t="shared" si="45"/>
        <v>222.93590054838214</v>
      </c>
      <c r="AA109" s="381">
        <f t="shared" si="46"/>
        <v>226.40294218398572</v>
      </c>
      <c r="AB109" s="193">
        <f t="shared" si="47"/>
        <v>44656</v>
      </c>
      <c r="AC109" s="420">
        <f t="shared" si="48"/>
        <v>1.5313589135189345E-2</v>
      </c>
      <c r="AD109" s="165">
        <f>(INDEX(Models!$BJ109:$BT109,,AH109)*(1-AF109)+INDEX(Models!$BJ109:$BT109,,AH109+1)*AF109-ERP_i)*AE109*Ramure*Pc/MaxiM</f>
        <v>1.7973517157379222E-6</v>
      </c>
      <c r="AE109" s="301">
        <f t="shared" si="49"/>
        <v>0.5</v>
      </c>
      <c r="AF109" s="173">
        <f t="shared" si="50"/>
        <v>2.0011560778612374E-2</v>
      </c>
      <c r="AG109" s="801">
        <f t="shared" si="51"/>
        <v>0</v>
      </c>
      <c r="AH109" s="172">
        <f t="shared" si="52"/>
        <v>6</v>
      </c>
      <c r="AI109" s="221">
        <f t="shared" si="53"/>
        <v>2.0011560778612374E-2</v>
      </c>
      <c r="AJ109" s="261" t="b">
        <f t="shared" si="54"/>
        <v>0</v>
      </c>
      <c r="AK109" s="261" t="b">
        <f t="shared" si="55"/>
        <v>0</v>
      </c>
      <c r="AL109" s="261"/>
      <c r="AM109" s="261"/>
      <c r="AN109" s="75"/>
      <c r="AV109" s="153">
        <f t="shared" si="63"/>
        <v>44291</v>
      </c>
      <c r="AW109" s="608"/>
      <c r="AX109" s="385"/>
      <c r="AY109" s="388"/>
      <c r="AZ109" s="380"/>
      <c r="BA109" s="380"/>
      <c r="BB109" s="110"/>
      <c r="BD109" s="375"/>
      <c r="BE109" s="85"/>
      <c r="BF109" s="193">
        <f t="shared" si="56"/>
        <v>44656</v>
      </c>
      <c r="BG109" s="430"/>
      <c r="BH109" s="846"/>
      <c r="BI109" s="846"/>
      <c r="BJ109" s="320"/>
      <c r="BK109" s="378"/>
    </row>
    <row r="110" spans="1:63" s="6" customFormat="1" ht="11.25" customHeight="1" x14ac:dyDescent="0.2">
      <c r="A110" s="56">
        <f t="shared" si="57"/>
        <v>44657</v>
      </c>
      <c r="B110" s="608">
        <v>55.173999999999999</v>
      </c>
      <c r="C110" s="385"/>
      <c r="D110" s="388">
        <f t="shared" si="58"/>
        <v>55.350263734549351</v>
      </c>
      <c r="E110" s="380">
        <f t="shared" si="59"/>
        <v>56.214601212449267</v>
      </c>
      <c r="F110" s="380">
        <f t="shared" si="60"/>
        <v>56.214601212449267</v>
      </c>
      <c r="G110" s="110">
        <f t="shared" si="61"/>
        <v>0.25188430572801429</v>
      </c>
      <c r="I110" s="375">
        <f t="shared" si="34"/>
        <v>56.214601212449267</v>
      </c>
      <c r="J110" s="85">
        <v>2022</v>
      </c>
      <c r="K110" s="193">
        <f t="shared" si="35"/>
        <v>44657</v>
      </c>
      <c r="L110" s="430">
        <f t="shared" si="36"/>
        <v>3.1845148090835496E-3</v>
      </c>
      <c r="M110" s="846"/>
      <c r="N110" s="846"/>
      <c r="O110" s="320">
        <f t="shared" si="37"/>
        <v>1.5375675700933336E-2</v>
      </c>
      <c r="P110" s="165">
        <f>(INDEX(Models!$BJ110:$BT110,,T110)*(1-R110)+INDEX(Models!$BJ110:$BT110,,T110+1)*R110-ERP_i)*Q110*Ramure*Pc/MaxiM</f>
        <v>1.9032519095337792E-6</v>
      </c>
      <c r="Q110" s="301">
        <f t="shared" si="38"/>
        <v>0.5</v>
      </c>
      <c r="R110" s="173">
        <f t="shared" si="39"/>
        <v>2.1234945301652576E-2</v>
      </c>
      <c r="S110" s="801">
        <f t="shared" si="62"/>
        <v>0</v>
      </c>
      <c r="T110" s="172">
        <f t="shared" si="40"/>
        <v>6</v>
      </c>
      <c r="U110" s="247">
        <f t="shared" si="41"/>
        <v>2.1234945301652576E-2</v>
      </c>
      <c r="V110" s="378">
        <f t="shared" si="42"/>
        <v>219.04459204201527</v>
      </c>
      <c r="W110" s="397"/>
      <c r="X110" s="153">
        <f t="shared" si="43"/>
        <v>44657</v>
      </c>
      <c r="Y110" s="380">
        <f t="shared" si="44"/>
        <v>55.173999999999999</v>
      </c>
      <c r="Z110" s="380">
        <f t="shared" si="45"/>
        <v>55.350263734549351</v>
      </c>
      <c r="AA110" s="381">
        <f t="shared" si="46"/>
        <v>56.214601212449267</v>
      </c>
      <c r="AB110" s="193">
        <f t="shared" si="47"/>
        <v>44657</v>
      </c>
      <c r="AC110" s="420">
        <f t="shared" si="48"/>
        <v>1.5375675700933336E-2</v>
      </c>
      <c r="AD110" s="165">
        <f>(INDEX(Models!$BJ110:$BT110,,AH110)*(1-AF110)+INDEX(Models!$BJ110:$BT110,,AH110+1)*AF110-ERP_i)*AE110*Ramure*Pc/MaxiM</f>
        <v>1.9032519095337792E-6</v>
      </c>
      <c r="AE110" s="301">
        <f t="shared" si="49"/>
        <v>0.5</v>
      </c>
      <c r="AF110" s="173">
        <f t="shared" si="50"/>
        <v>2.1234945301652576E-2</v>
      </c>
      <c r="AG110" s="801">
        <f t="shared" si="51"/>
        <v>0</v>
      </c>
      <c r="AH110" s="172">
        <f t="shared" si="52"/>
        <v>6</v>
      </c>
      <c r="AI110" s="221">
        <f t="shared" si="53"/>
        <v>2.1234945301652576E-2</v>
      </c>
      <c r="AJ110" s="261" t="b">
        <f t="shared" si="54"/>
        <v>0</v>
      </c>
      <c r="AK110" s="261" t="b">
        <f t="shared" si="55"/>
        <v>0</v>
      </c>
      <c r="AL110" s="261"/>
      <c r="AM110" s="261"/>
      <c r="AN110" s="75"/>
      <c r="AV110" s="153">
        <f t="shared" si="63"/>
        <v>44292</v>
      </c>
      <c r="AW110" s="608"/>
      <c r="AX110" s="385"/>
      <c r="AY110" s="388"/>
      <c r="AZ110" s="380"/>
      <c r="BA110" s="380"/>
      <c r="BB110" s="110"/>
      <c r="BD110" s="375"/>
      <c r="BE110" s="85"/>
      <c r="BF110" s="193">
        <f t="shared" si="56"/>
        <v>44657</v>
      </c>
      <c r="BG110" s="430"/>
      <c r="BH110" s="846"/>
      <c r="BI110" s="846"/>
      <c r="BJ110" s="320"/>
      <c r="BK110" s="378"/>
    </row>
    <row r="111" spans="1:63" s="6" customFormat="1" ht="11.25" x14ac:dyDescent="0.2">
      <c r="A111" s="56">
        <f t="shared" si="57"/>
        <v>44658</v>
      </c>
      <c r="B111" s="608">
        <v>169.56100000000001</v>
      </c>
      <c r="C111" s="385"/>
      <c r="D111" s="388">
        <f t="shared" si="58"/>
        <v>170.10502314477822</v>
      </c>
      <c r="E111" s="380">
        <f t="shared" si="59"/>
        <v>172.7722645140008</v>
      </c>
      <c r="F111" s="380">
        <f t="shared" si="60"/>
        <v>172.77249888027328</v>
      </c>
      <c r="G111" s="110">
        <f t="shared" si="61"/>
        <v>0.77076715559178288</v>
      </c>
      <c r="I111" s="375">
        <f t="shared" si="34"/>
        <v>172.77249888027328</v>
      </c>
      <c r="J111" s="85">
        <v>2022</v>
      </c>
      <c r="K111" s="193">
        <f t="shared" si="35"/>
        <v>44658</v>
      </c>
      <c r="L111" s="430">
        <f t="shared" si="36"/>
        <v>3.1981603759883015E-3</v>
      </c>
      <c r="M111" s="846"/>
      <c r="N111" s="846"/>
      <c r="O111" s="320">
        <f t="shared" si="37"/>
        <v>1.5437902470777766E-2</v>
      </c>
      <c r="P111" s="165">
        <f>(INDEX(Models!$BJ111:$BT111,,T111)*(1-R111)+INDEX(Models!$BJ111:$BT111,,T111+1)*R111-ERP_i)*Q111*Ramure*Pc/MaxiM</f>
        <v>2.0170279347353553E-6</v>
      </c>
      <c r="Q111" s="301">
        <f t="shared" si="38"/>
        <v>0.5</v>
      </c>
      <c r="R111" s="173">
        <f t="shared" si="39"/>
        <v>2.2502891862601584E-2</v>
      </c>
      <c r="S111" s="801">
        <f t="shared" si="62"/>
        <v>0</v>
      </c>
      <c r="T111" s="172">
        <f t="shared" si="40"/>
        <v>6</v>
      </c>
      <c r="U111" s="247">
        <f t="shared" si="41"/>
        <v>2.2502891862601584E-2</v>
      </c>
      <c r="V111" s="378">
        <f t="shared" si="42"/>
        <v>219.98976833704793</v>
      </c>
      <c r="W111" s="397"/>
      <c r="X111" s="153">
        <f t="shared" si="43"/>
        <v>44658</v>
      </c>
      <c r="Y111" s="380">
        <f t="shared" si="44"/>
        <v>169.56100000000001</v>
      </c>
      <c r="Z111" s="380">
        <f t="shared" si="45"/>
        <v>170.10502314477822</v>
      </c>
      <c r="AA111" s="381">
        <f t="shared" si="46"/>
        <v>172.7722645140008</v>
      </c>
      <c r="AB111" s="193">
        <f t="shared" si="47"/>
        <v>44658</v>
      </c>
      <c r="AC111" s="420">
        <f t="shared" si="48"/>
        <v>1.5437902470777766E-2</v>
      </c>
      <c r="AD111" s="165">
        <f>(INDEX(Models!$BJ111:$BT111,,AH111)*(1-AF111)+INDEX(Models!$BJ111:$BT111,,AH111+1)*AF111-ERP_i)*AE111*Ramure*Pc/MaxiM</f>
        <v>2.0170279347353553E-6</v>
      </c>
      <c r="AE111" s="301">
        <f t="shared" si="49"/>
        <v>0.5</v>
      </c>
      <c r="AF111" s="173">
        <f t="shared" si="50"/>
        <v>2.2502891862601584E-2</v>
      </c>
      <c r="AG111" s="801">
        <f t="shared" si="51"/>
        <v>0</v>
      </c>
      <c r="AH111" s="172">
        <f t="shared" si="52"/>
        <v>6</v>
      </c>
      <c r="AI111" s="221">
        <f t="shared" si="53"/>
        <v>2.2502891862601584E-2</v>
      </c>
      <c r="AJ111" s="261" t="b">
        <f t="shared" si="54"/>
        <v>0</v>
      </c>
      <c r="AK111" s="261" t="b">
        <f t="shared" si="55"/>
        <v>0</v>
      </c>
      <c r="AL111" s="261"/>
      <c r="AM111" s="261"/>
      <c r="AN111" s="75"/>
      <c r="AV111" s="153">
        <f t="shared" si="63"/>
        <v>44293</v>
      </c>
      <c r="AW111" s="608"/>
      <c r="AX111" s="385"/>
      <c r="AY111" s="388"/>
      <c r="AZ111" s="380"/>
      <c r="BA111" s="380"/>
      <c r="BB111" s="110"/>
      <c r="BD111" s="375"/>
      <c r="BE111" s="85"/>
      <c r="BF111" s="193">
        <f t="shared" si="56"/>
        <v>44658</v>
      </c>
      <c r="BG111" s="430"/>
      <c r="BH111" s="846"/>
      <c r="BI111" s="846"/>
      <c r="BJ111" s="320"/>
      <c r="BK111" s="378"/>
    </row>
    <row r="112" spans="1:63" s="6" customFormat="1" ht="11.25" customHeight="1" x14ac:dyDescent="0.2">
      <c r="A112" s="56">
        <f t="shared" si="57"/>
        <v>44659</v>
      </c>
      <c r="B112" s="608">
        <v>134.958</v>
      </c>
      <c r="C112" s="385"/>
      <c r="D112" s="388">
        <f t="shared" si="58"/>
        <v>135.39285555279884</v>
      </c>
      <c r="E112" s="380">
        <f t="shared" si="59"/>
        <v>137.5245236306331</v>
      </c>
      <c r="F112" s="380">
        <f t="shared" si="60"/>
        <v>137.5246543062388</v>
      </c>
      <c r="G112" s="110">
        <f t="shared" si="61"/>
        <v>0.610914148212922</v>
      </c>
      <c r="I112" s="375">
        <f t="shared" si="34"/>
        <v>137.5246543062388</v>
      </c>
      <c r="J112" s="85">
        <v>2022</v>
      </c>
      <c r="K112" s="193">
        <f t="shared" si="35"/>
        <v>44659</v>
      </c>
      <c r="L112" s="430">
        <f t="shared" si="36"/>
        <v>3.2118057560966973E-3</v>
      </c>
      <c r="M112" s="846"/>
      <c r="N112" s="846"/>
      <c r="O112" s="320">
        <f t="shared" si="37"/>
        <v>1.5500276034836976E-2</v>
      </c>
      <c r="P112" s="165">
        <f>(INDEX(Models!$BJ112:$BT112,,T112)*(1-R112)+INDEX(Models!$BJ112:$BT112,,T112+1)*R112-ERP_i)*Q112*Ramure*Pc/MaxiM</f>
        <v>2.1392941322503439E-6</v>
      </c>
      <c r="Q112" s="301">
        <f t="shared" si="38"/>
        <v>0.5</v>
      </c>
      <c r="R112" s="173">
        <f t="shared" si="39"/>
        <v>2.3816750190345168E-2</v>
      </c>
      <c r="S112" s="801">
        <f t="shared" si="62"/>
        <v>0</v>
      </c>
      <c r="T112" s="172">
        <f t="shared" si="40"/>
        <v>6</v>
      </c>
      <c r="U112" s="247">
        <f t="shared" si="41"/>
        <v>2.3816750190345168E-2</v>
      </c>
      <c r="V112" s="378">
        <f t="shared" si="42"/>
        <v>220.91130139407068</v>
      </c>
      <c r="W112" s="397"/>
      <c r="X112" s="153">
        <f t="shared" si="43"/>
        <v>44659</v>
      </c>
      <c r="Y112" s="380">
        <f t="shared" si="44"/>
        <v>134.958</v>
      </c>
      <c r="Z112" s="380">
        <f t="shared" si="45"/>
        <v>135.39285555279884</v>
      </c>
      <c r="AA112" s="381">
        <f t="shared" si="46"/>
        <v>137.5245236306331</v>
      </c>
      <c r="AB112" s="193">
        <f t="shared" si="47"/>
        <v>44659</v>
      </c>
      <c r="AC112" s="420">
        <f t="shared" si="48"/>
        <v>1.5500276034836976E-2</v>
      </c>
      <c r="AD112" s="165">
        <f>(INDEX(Models!$BJ112:$BT112,,AH112)*(1-AF112)+INDEX(Models!$BJ112:$BT112,,AH112+1)*AF112-ERP_i)*AE112*Ramure*Pc/MaxiM</f>
        <v>2.1392941322503439E-6</v>
      </c>
      <c r="AE112" s="301">
        <f t="shared" si="49"/>
        <v>0.5</v>
      </c>
      <c r="AF112" s="173">
        <f t="shared" si="50"/>
        <v>2.3816750190345168E-2</v>
      </c>
      <c r="AG112" s="801">
        <f t="shared" si="51"/>
        <v>0</v>
      </c>
      <c r="AH112" s="172">
        <f t="shared" si="52"/>
        <v>6</v>
      </c>
      <c r="AI112" s="221">
        <f t="shared" si="53"/>
        <v>2.3816750190345168E-2</v>
      </c>
      <c r="AJ112" s="261" t="b">
        <f t="shared" si="54"/>
        <v>0</v>
      </c>
      <c r="AK112" s="261" t="b">
        <f t="shared" si="55"/>
        <v>0</v>
      </c>
      <c r="AL112" s="261"/>
      <c r="AM112" s="261"/>
      <c r="AN112" s="75"/>
      <c r="AV112" s="153">
        <f t="shared" si="63"/>
        <v>44294</v>
      </c>
      <c r="AW112" s="608"/>
      <c r="AX112" s="385"/>
      <c r="AY112" s="388"/>
      <c r="AZ112" s="380"/>
      <c r="BA112" s="380"/>
      <c r="BB112" s="110"/>
      <c r="BD112" s="375"/>
      <c r="BE112" s="85"/>
      <c r="BF112" s="193">
        <f t="shared" si="56"/>
        <v>44659</v>
      </c>
      <c r="BG112" s="430"/>
      <c r="BH112" s="846"/>
      <c r="BI112" s="846"/>
      <c r="BJ112" s="320"/>
      <c r="BK112" s="378"/>
    </row>
    <row r="113" spans="1:63" s="6" customFormat="1" ht="11.25" x14ac:dyDescent="0.2">
      <c r="A113" s="56">
        <f t="shared" si="57"/>
        <v>44660</v>
      </c>
      <c r="B113" s="608">
        <v>145.678</v>
      </c>
      <c r="C113" s="385"/>
      <c r="D113" s="388">
        <f t="shared" si="58"/>
        <v>146.14939771361125</v>
      </c>
      <c r="E113" s="380">
        <f t="shared" si="59"/>
        <v>148.45984907824339</v>
      </c>
      <c r="F113" s="380">
        <f t="shared" si="60"/>
        <v>148.46002089262618</v>
      </c>
      <c r="G113" s="110">
        <f t="shared" si="61"/>
        <v>0.6567686146608801</v>
      </c>
      <c r="I113" s="375">
        <f t="shared" si="34"/>
        <v>148.46002089262618</v>
      </c>
      <c r="J113" s="85">
        <v>2022</v>
      </c>
      <c r="K113" s="193">
        <f t="shared" si="35"/>
        <v>44660</v>
      </c>
      <c r="L113" s="430">
        <f t="shared" si="36"/>
        <v>3.2254509494112904E-3</v>
      </c>
      <c r="M113" s="846"/>
      <c r="N113" s="846"/>
      <c r="O113" s="320">
        <f t="shared" si="37"/>
        <v>1.5562802865402814E-2</v>
      </c>
      <c r="P113" s="165">
        <f>(INDEX(Models!$BJ113:$BT113,,T113)*(1-R113)+INDEX(Models!$BJ113:$BT113,,T113+1)*R113-ERP_i)*Q113*Ramure*Pc/MaxiM</f>
        <v>2.2707039050335131E-6</v>
      </c>
      <c r="Q113" s="301">
        <f t="shared" si="38"/>
        <v>0.5</v>
      </c>
      <c r="R113" s="173">
        <f t="shared" si="39"/>
        <v>2.5177889177911202E-2</v>
      </c>
      <c r="S113" s="801">
        <f t="shared" si="62"/>
        <v>0</v>
      </c>
      <c r="T113" s="172">
        <f t="shared" si="40"/>
        <v>6</v>
      </c>
      <c r="U113" s="247">
        <f t="shared" si="41"/>
        <v>2.5177889177911202E-2</v>
      </c>
      <c r="V113" s="378">
        <f t="shared" si="42"/>
        <v>221.80998688274559</v>
      </c>
      <c r="W113" s="397"/>
      <c r="X113" s="153">
        <f t="shared" si="43"/>
        <v>44660</v>
      </c>
      <c r="Y113" s="380">
        <f t="shared" si="44"/>
        <v>145.678</v>
      </c>
      <c r="Z113" s="380">
        <f t="shared" si="45"/>
        <v>146.14939771361125</v>
      </c>
      <c r="AA113" s="381">
        <f t="shared" si="46"/>
        <v>148.45984907824339</v>
      </c>
      <c r="AB113" s="193">
        <f t="shared" si="47"/>
        <v>44660</v>
      </c>
      <c r="AC113" s="420">
        <f t="shared" si="48"/>
        <v>1.5562802865402814E-2</v>
      </c>
      <c r="AD113" s="165">
        <f>(INDEX(Models!$BJ113:$BT113,,AH113)*(1-AF113)+INDEX(Models!$BJ113:$BT113,,AH113+1)*AF113-ERP_i)*AE113*Ramure*Pc/MaxiM</f>
        <v>2.2707039050335131E-6</v>
      </c>
      <c r="AE113" s="301">
        <f t="shared" si="49"/>
        <v>0.5</v>
      </c>
      <c r="AF113" s="173">
        <f t="shared" si="50"/>
        <v>2.5177889177911202E-2</v>
      </c>
      <c r="AG113" s="801">
        <f t="shared" si="51"/>
        <v>0</v>
      </c>
      <c r="AH113" s="172">
        <f t="shared" si="52"/>
        <v>6</v>
      </c>
      <c r="AI113" s="221">
        <f t="shared" si="53"/>
        <v>2.5177889177911202E-2</v>
      </c>
      <c r="AJ113" s="261" t="b">
        <f t="shared" si="54"/>
        <v>0</v>
      </c>
      <c r="AK113" s="261" t="b">
        <f t="shared" si="55"/>
        <v>0</v>
      </c>
      <c r="AL113" s="261"/>
      <c r="AM113" s="261"/>
      <c r="AN113" s="75"/>
      <c r="AV113" s="153">
        <f t="shared" si="63"/>
        <v>44295</v>
      </c>
      <c r="AW113" s="608"/>
      <c r="AX113" s="385"/>
      <c r="AY113" s="388"/>
      <c r="AZ113" s="380"/>
      <c r="BA113" s="380"/>
      <c r="BB113" s="110"/>
      <c r="BD113" s="375"/>
      <c r="BE113" s="85"/>
      <c r="BF113" s="193">
        <f t="shared" si="56"/>
        <v>44660</v>
      </c>
      <c r="BG113" s="430"/>
      <c r="BH113" s="846"/>
      <c r="BI113" s="846"/>
      <c r="BJ113" s="320"/>
      <c r="BK113" s="378"/>
    </row>
    <row r="114" spans="1:63" s="6" customFormat="1" ht="11.25" x14ac:dyDescent="0.2">
      <c r="A114" s="56">
        <f t="shared" si="57"/>
        <v>44661</v>
      </c>
      <c r="B114" s="608">
        <v>227.429</v>
      </c>
      <c r="C114" s="385"/>
      <c r="D114" s="388">
        <f t="shared" si="58"/>
        <v>228.16805823470148</v>
      </c>
      <c r="E114" s="380">
        <f t="shared" si="59"/>
        <v>231.78988866067206</v>
      </c>
      <c r="F114" s="380">
        <f t="shared" si="60"/>
        <v>231.79044704559419</v>
      </c>
      <c r="G114" s="110">
        <f t="shared" si="61"/>
        <v>1.0212962014267877</v>
      </c>
      <c r="I114" s="375">
        <f t="shared" si="34"/>
        <v>231.79044704559419</v>
      </c>
      <c r="J114" s="85">
        <v>2022</v>
      </c>
      <c r="K114" s="193">
        <f t="shared" si="35"/>
        <v>44661</v>
      </c>
      <c r="L114" s="430">
        <f t="shared" si="36"/>
        <v>3.2390959559346344E-3</v>
      </c>
      <c r="M114" s="846"/>
      <c r="N114" s="846"/>
      <c r="O114" s="320">
        <f t="shared" si="37"/>
        <v>1.56254893036889E-2</v>
      </c>
      <c r="P114" s="165">
        <f>(INDEX(Models!$BJ114:$BT114,,T114)*(1-R114)+INDEX(Models!$BJ114:$BT114,,T114+1)*R114-ERP_i)*Q114*Ramure*Pc/MaxiM</f>
        <v>2.4090074860047125E-6</v>
      </c>
      <c r="Q114" s="301">
        <f t="shared" si="38"/>
        <v>0.5</v>
      </c>
      <c r="R114" s="173">
        <f t="shared" si="39"/>
        <v>2.6587695284253726E-2</v>
      </c>
      <c r="S114" s="801">
        <f t="shared" si="62"/>
        <v>0</v>
      </c>
      <c r="T114" s="172">
        <f t="shared" si="40"/>
        <v>6</v>
      </c>
      <c r="U114" s="247">
        <f t="shared" si="41"/>
        <v>2.6587695284253726E-2</v>
      </c>
      <c r="V114" s="378">
        <f t="shared" si="42"/>
        <v>222.68662086696639</v>
      </c>
      <c r="W114" s="397"/>
      <c r="X114" s="153">
        <f t="shared" si="43"/>
        <v>44661</v>
      </c>
      <c r="Y114" s="380">
        <f t="shared" si="44"/>
        <v>227.429</v>
      </c>
      <c r="Z114" s="380">
        <f t="shared" si="45"/>
        <v>228.16805823470148</v>
      </c>
      <c r="AA114" s="381">
        <f t="shared" si="46"/>
        <v>231.78988866067206</v>
      </c>
      <c r="AB114" s="193">
        <f t="shared" si="47"/>
        <v>44661</v>
      </c>
      <c r="AC114" s="420">
        <f t="shared" si="48"/>
        <v>1.56254893036889E-2</v>
      </c>
      <c r="AD114" s="165">
        <f>(INDEX(Models!$BJ114:$BT114,,AH114)*(1-AF114)+INDEX(Models!$BJ114:$BT114,,AH114+1)*AF114-ERP_i)*AE114*Ramure*Pc/MaxiM</f>
        <v>2.4090074860047125E-6</v>
      </c>
      <c r="AE114" s="301">
        <f t="shared" si="49"/>
        <v>0.5</v>
      </c>
      <c r="AF114" s="173">
        <f t="shared" si="50"/>
        <v>2.6587695284253726E-2</v>
      </c>
      <c r="AG114" s="801">
        <f t="shared" si="51"/>
        <v>0</v>
      </c>
      <c r="AH114" s="172">
        <f t="shared" si="52"/>
        <v>6</v>
      </c>
      <c r="AI114" s="221">
        <f t="shared" si="53"/>
        <v>2.6587695284253726E-2</v>
      </c>
      <c r="AJ114" s="261" t="b">
        <f t="shared" si="54"/>
        <v>0</v>
      </c>
      <c r="AK114" s="261" t="b">
        <f t="shared" si="55"/>
        <v>0</v>
      </c>
      <c r="AL114" s="261"/>
      <c r="AM114" s="261"/>
      <c r="AN114" s="75"/>
      <c r="AV114" s="153">
        <f t="shared" si="63"/>
        <v>44296</v>
      </c>
      <c r="AW114" s="608"/>
      <c r="AX114" s="385"/>
      <c r="AY114" s="388"/>
      <c r="AZ114" s="380"/>
      <c r="BA114" s="380"/>
      <c r="BB114" s="110"/>
      <c r="BD114" s="375"/>
      <c r="BE114" s="85"/>
      <c r="BF114" s="193">
        <f t="shared" si="56"/>
        <v>44661</v>
      </c>
      <c r="BG114" s="430"/>
      <c r="BH114" s="846"/>
      <c r="BI114" s="846"/>
      <c r="BJ114" s="320"/>
      <c r="BK114" s="378"/>
    </row>
    <row r="115" spans="1:63" s="6" customFormat="1" ht="11.25" x14ac:dyDescent="0.2">
      <c r="A115" s="56">
        <f t="shared" si="57"/>
        <v>44662</v>
      </c>
      <c r="B115" s="608">
        <v>182.91300000000001</v>
      </c>
      <c r="C115" s="385"/>
      <c r="D115" s="388">
        <f t="shared" si="58"/>
        <v>183.50991016754139</v>
      </c>
      <c r="E115" s="380">
        <f t="shared" si="59"/>
        <v>186.43476239613889</v>
      </c>
      <c r="F115" s="380">
        <f t="shared" si="60"/>
        <v>186.43511486158815</v>
      </c>
      <c r="G115" s="110">
        <f t="shared" si="61"/>
        <v>0.81824838125879984</v>
      </c>
      <c r="I115" s="375">
        <f t="shared" si="34"/>
        <v>186.43511486158815</v>
      </c>
      <c r="J115" s="85">
        <v>2022</v>
      </c>
      <c r="K115" s="193">
        <f t="shared" si="35"/>
        <v>44662</v>
      </c>
      <c r="L115" s="430">
        <f t="shared" si="36"/>
        <v>3.2527407756692828E-3</v>
      </c>
      <c r="M115" s="846"/>
      <c r="N115" s="846"/>
      <c r="O115" s="320">
        <f t="shared" si="37"/>
        <v>1.5688341546426537E-2</v>
      </c>
      <c r="P115" s="165">
        <f>(INDEX(Models!$BJ115:$BT115,,T115)*(1-R115)+INDEX(Models!$BJ115:$BT115,,T115+1)*R115-ERP_i)*Q115*Ramure*Pc/MaxiM</f>
        <v>2.5535741176442359E-6</v>
      </c>
      <c r="Q115" s="301">
        <f t="shared" si="38"/>
        <v>0.5</v>
      </c>
      <c r="R115" s="173">
        <f t="shared" si="39"/>
        <v>2.8047570750150831E-2</v>
      </c>
      <c r="S115" s="801">
        <f t="shared" si="62"/>
        <v>0</v>
      </c>
      <c r="T115" s="172">
        <f t="shared" si="40"/>
        <v>6</v>
      </c>
      <c r="U115" s="247">
        <f t="shared" si="41"/>
        <v>2.8047570750150831E-2</v>
      </c>
      <c r="V115" s="378">
        <f t="shared" si="42"/>
        <v>223.54199887713594</v>
      </c>
      <c r="W115" s="397"/>
      <c r="X115" s="153">
        <f t="shared" si="43"/>
        <v>44662</v>
      </c>
      <c r="Y115" s="380">
        <f t="shared" si="44"/>
        <v>182.91300000000001</v>
      </c>
      <c r="Z115" s="380">
        <f t="shared" si="45"/>
        <v>183.50991016754139</v>
      </c>
      <c r="AA115" s="381">
        <f t="shared" si="46"/>
        <v>186.43476239613889</v>
      </c>
      <c r="AB115" s="193">
        <f t="shared" si="47"/>
        <v>44662</v>
      </c>
      <c r="AC115" s="420">
        <f t="shared" si="48"/>
        <v>1.5688341546426537E-2</v>
      </c>
      <c r="AD115" s="165">
        <f>(INDEX(Models!$BJ115:$BT115,,AH115)*(1-AF115)+INDEX(Models!$BJ115:$BT115,,AH115+1)*AF115-ERP_i)*AE115*Ramure*Pc/MaxiM</f>
        <v>2.5535741176442359E-6</v>
      </c>
      <c r="AE115" s="301">
        <f t="shared" si="49"/>
        <v>0.5</v>
      </c>
      <c r="AF115" s="173">
        <f t="shared" si="50"/>
        <v>2.8047570750150831E-2</v>
      </c>
      <c r="AG115" s="801">
        <f t="shared" si="51"/>
        <v>0</v>
      </c>
      <c r="AH115" s="172">
        <f t="shared" si="52"/>
        <v>6</v>
      </c>
      <c r="AI115" s="221">
        <f t="shared" si="53"/>
        <v>2.8047570750150831E-2</v>
      </c>
      <c r="AJ115" s="261" t="b">
        <f t="shared" si="54"/>
        <v>0</v>
      </c>
      <c r="AK115" s="261" t="b">
        <f t="shared" si="55"/>
        <v>0</v>
      </c>
      <c r="AL115" s="261"/>
      <c r="AM115" s="261"/>
      <c r="AN115" s="75"/>
      <c r="AV115" s="153">
        <f t="shared" si="63"/>
        <v>44297</v>
      </c>
      <c r="AW115" s="608"/>
      <c r="AX115" s="385"/>
      <c r="AY115" s="388"/>
      <c r="AZ115" s="380"/>
      <c r="BA115" s="380"/>
      <c r="BB115" s="110"/>
      <c r="BD115" s="375"/>
      <c r="BE115" s="85"/>
      <c r="BF115" s="193">
        <f t="shared" si="56"/>
        <v>44662</v>
      </c>
      <c r="BG115" s="430"/>
      <c r="BH115" s="846"/>
      <c r="BI115" s="846"/>
      <c r="BJ115" s="320"/>
      <c r="BK115" s="378"/>
    </row>
    <row r="116" spans="1:63" s="6" customFormat="1" ht="11.25" x14ac:dyDescent="0.2">
      <c r="A116" s="56">
        <f t="shared" si="57"/>
        <v>44663</v>
      </c>
      <c r="B116" s="608">
        <v>153.148</v>
      </c>
      <c r="C116" s="385"/>
      <c r="D116" s="388">
        <f t="shared" si="58"/>
        <v>153.64987972517019</v>
      </c>
      <c r="E116" s="380">
        <f t="shared" si="59"/>
        <v>156.10880661659951</v>
      </c>
      <c r="F116" s="380">
        <f t="shared" si="60"/>
        <v>156.10903736270134</v>
      </c>
      <c r="G116" s="110">
        <f t="shared" si="61"/>
        <v>0.68254709473721686</v>
      </c>
      <c r="I116" s="375">
        <f t="shared" si="34"/>
        <v>156.10903736270134</v>
      </c>
      <c r="J116" s="85">
        <v>2022</v>
      </c>
      <c r="K116" s="193">
        <f t="shared" si="35"/>
        <v>44663</v>
      </c>
      <c r="L116" s="430">
        <f t="shared" si="36"/>
        <v>3.2663854086179001E-3</v>
      </c>
      <c r="M116" s="846"/>
      <c r="N116" s="846"/>
      <c r="O116" s="320">
        <f t="shared" si="37"/>
        <v>1.5751365632231042E-2</v>
      </c>
      <c r="P116" s="165">
        <f>(INDEX(Models!$BJ116:$BT116,,T116)*(1-R116)+INDEX(Models!$BJ116:$BT116,,T116+1)*R116-ERP_i)*Q116*Ramure*Pc/MaxiM</f>
        <v>2.7046963112182524E-6</v>
      </c>
      <c r="Q116" s="301">
        <f t="shared" si="38"/>
        <v>0.5</v>
      </c>
      <c r="R116" s="173">
        <f t="shared" si="39"/>
        <v>2.9558931618779156E-2</v>
      </c>
      <c r="S116" s="801">
        <f t="shared" si="62"/>
        <v>0</v>
      </c>
      <c r="T116" s="172">
        <f t="shared" si="40"/>
        <v>6</v>
      </c>
      <c r="U116" s="247">
        <f t="shared" si="41"/>
        <v>2.9558931618779156E-2</v>
      </c>
      <c r="V116" s="378">
        <f t="shared" si="42"/>
        <v>224.37691601225166</v>
      </c>
      <c r="W116" s="397"/>
      <c r="X116" s="153">
        <f t="shared" si="43"/>
        <v>44663</v>
      </c>
      <c r="Y116" s="380">
        <f t="shared" si="44"/>
        <v>153.148</v>
      </c>
      <c r="Z116" s="380">
        <f t="shared" si="45"/>
        <v>153.64987972517019</v>
      </c>
      <c r="AA116" s="381">
        <f t="shared" si="46"/>
        <v>156.10880661659951</v>
      </c>
      <c r="AB116" s="193">
        <f t="shared" si="47"/>
        <v>44663</v>
      </c>
      <c r="AC116" s="420">
        <f t="shared" si="48"/>
        <v>1.5751365632231042E-2</v>
      </c>
      <c r="AD116" s="165">
        <f>(INDEX(Models!$BJ116:$BT116,,AH116)*(1-AF116)+INDEX(Models!$BJ116:$BT116,,AH116+1)*AF116-ERP_i)*AE116*Ramure*Pc/MaxiM</f>
        <v>2.7046963112182524E-6</v>
      </c>
      <c r="AE116" s="301">
        <f t="shared" si="49"/>
        <v>0.5</v>
      </c>
      <c r="AF116" s="173">
        <f t="shared" si="50"/>
        <v>2.9558931618779156E-2</v>
      </c>
      <c r="AG116" s="801">
        <f t="shared" si="51"/>
        <v>0</v>
      </c>
      <c r="AH116" s="172">
        <f t="shared" si="52"/>
        <v>6</v>
      </c>
      <c r="AI116" s="221">
        <f t="shared" si="53"/>
        <v>2.9558931618779156E-2</v>
      </c>
      <c r="AJ116" s="261" t="b">
        <f t="shared" si="54"/>
        <v>0</v>
      </c>
      <c r="AK116" s="261" t="b">
        <f t="shared" si="55"/>
        <v>0</v>
      </c>
      <c r="AL116" s="261"/>
      <c r="AM116" s="261"/>
      <c r="AN116" s="75"/>
      <c r="AV116" s="153">
        <f t="shared" si="63"/>
        <v>44298</v>
      </c>
      <c r="AW116" s="608"/>
      <c r="AX116" s="385"/>
      <c r="AY116" s="388"/>
      <c r="AZ116" s="380"/>
      <c r="BA116" s="380"/>
      <c r="BB116" s="110"/>
      <c r="BD116" s="375"/>
      <c r="BE116" s="85"/>
      <c r="BF116" s="193">
        <f t="shared" si="56"/>
        <v>44663</v>
      </c>
      <c r="BG116" s="430"/>
      <c r="BH116" s="846"/>
      <c r="BI116" s="846"/>
      <c r="BJ116" s="320"/>
      <c r="BK116" s="378"/>
    </row>
    <row r="117" spans="1:63" s="6" customFormat="1" ht="11.25" x14ac:dyDescent="0.2">
      <c r="A117" s="56">
        <f t="shared" si="57"/>
        <v>44664</v>
      </c>
      <c r="B117" s="608">
        <v>25.407</v>
      </c>
      <c r="C117" s="385"/>
      <c r="D117" s="388">
        <f t="shared" si="58"/>
        <v>25.490609961690975</v>
      </c>
      <c r="E117" s="380">
        <f t="shared" si="59"/>
        <v>25.900210588432266</v>
      </c>
      <c r="F117" s="380">
        <f t="shared" si="60"/>
        <v>25.900210588432266</v>
      </c>
      <c r="G117" s="110">
        <f t="shared" si="61"/>
        <v>0.11282331702107196</v>
      </c>
      <c r="I117" s="375">
        <f t="shared" si="34"/>
        <v>25.900210588432266</v>
      </c>
      <c r="J117" s="85">
        <v>2022</v>
      </c>
      <c r="K117" s="193">
        <f t="shared" si="35"/>
        <v>44664</v>
      </c>
      <c r="L117" s="430">
        <f t="shared" si="36"/>
        <v>3.2800298547829287E-3</v>
      </c>
      <c r="M117" s="846"/>
      <c r="N117" s="846"/>
      <c r="O117" s="320">
        <f t="shared" si="37"/>
        <v>1.5814567427657484E-2</v>
      </c>
      <c r="P117" s="165">
        <f>(INDEX(Models!$BJ117:$BT117,,T117)*(1-R117)+INDEX(Models!$BJ117:$BT117,,T117+1)*R117-ERP_i)*Q117*Ramure*Pc/MaxiM</f>
        <v>2.8626747210316441E-6</v>
      </c>
      <c r="Q117" s="301">
        <f t="shared" si="38"/>
        <v>0.5</v>
      </c>
      <c r="R117" s="173">
        <f t="shared" si="39"/>
        <v>3.1123205551700707E-2</v>
      </c>
      <c r="S117" s="801">
        <f t="shared" si="62"/>
        <v>0</v>
      </c>
      <c r="T117" s="172">
        <f t="shared" si="40"/>
        <v>6</v>
      </c>
      <c r="U117" s="247">
        <f t="shared" si="41"/>
        <v>3.1123205551700707E-2</v>
      </c>
      <c r="V117" s="378">
        <f t="shared" si="42"/>
        <v>225.1921671765609</v>
      </c>
      <c r="W117" s="397"/>
      <c r="X117" s="153">
        <f t="shared" si="43"/>
        <v>44664</v>
      </c>
      <c r="Y117" s="380">
        <f t="shared" si="44"/>
        <v>25.407</v>
      </c>
      <c r="Z117" s="380">
        <f t="shared" si="45"/>
        <v>25.490609961690975</v>
      </c>
      <c r="AA117" s="381">
        <f t="shared" si="46"/>
        <v>25.900210588432266</v>
      </c>
      <c r="AB117" s="193">
        <f t="shared" si="47"/>
        <v>44664</v>
      </c>
      <c r="AC117" s="420">
        <f t="shared" si="48"/>
        <v>1.5814567427657484E-2</v>
      </c>
      <c r="AD117" s="165">
        <f>(INDEX(Models!$BJ117:$BT117,,AH117)*(1-AF117)+INDEX(Models!$BJ117:$BT117,,AH117+1)*AF117-ERP_i)*AE117*Ramure*Pc/MaxiM</f>
        <v>2.8626747210316441E-6</v>
      </c>
      <c r="AE117" s="301">
        <f t="shared" si="49"/>
        <v>0.5</v>
      </c>
      <c r="AF117" s="173">
        <f t="shared" si="50"/>
        <v>3.1123205551700707E-2</v>
      </c>
      <c r="AG117" s="801">
        <f t="shared" si="51"/>
        <v>0</v>
      </c>
      <c r="AH117" s="172">
        <f t="shared" si="52"/>
        <v>6</v>
      </c>
      <c r="AI117" s="221">
        <f t="shared" si="53"/>
        <v>3.1123205551700707E-2</v>
      </c>
      <c r="AJ117" s="261" t="b">
        <f t="shared" si="54"/>
        <v>0</v>
      </c>
      <c r="AK117" s="261" t="b">
        <f t="shared" si="55"/>
        <v>0</v>
      </c>
      <c r="AL117" s="261"/>
      <c r="AM117" s="261"/>
      <c r="AN117" s="75"/>
      <c r="AV117" s="153">
        <f t="shared" si="63"/>
        <v>44299</v>
      </c>
      <c r="AW117" s="608"/>
      <c r="AX117" s="385"/>
      <c r="AY117" s="388"/>
      <c r="AZ117" s="380"/>
      <c r="BA117" s="380"/>
      <c r="BB117" s="110"/>
      <c r="BD117" s="375"/>
      <c r="BE117" s="85"/>
      <c r="BF117" s="193">
        <f t="shared" si="56"/>
        <v>44664</v>
      </c>
      <c r="BG117" s="430"/>
      <c r="BH117" s="846"/>
      <c r="BI117" s="846"/>
      <c r="BJ117" s="320"/>
      <c r="BK117" s="378"/>
    </row>
    <row r="118" spans="1:63" s="6" customFormat="1" ht="11.25" x14ac:dyDescent="0.2">
      <c r="A118" s="56">
        <f t="shared" si="57"/>
        <v>44665</v>
      </c>
      <c r="B118" s="608">
        <v>182.39699999999999</v>
      </c>
      <c r="C118" s="385"/>
      <c r="D118" s="388">
        <f t="shared" si="58"/>
        <v>182.99974151151568</v>
      </c>
      <c r="E118" s="380">
        <f t="shared" si="59"/>
        <v>185.95228305003883</v>
      </c>
      <c r="F118" s="380">
        <f t="shared" si="60"/>
        <v>185.95269093155864</v>
      </c>
      <c r="G118" s="110">
        <f t="shared" si="61"/>
        <v>0.80710659989573619</v>
      </c>
      <c r="I118" s="375">
        <f t="shared" si="34"/>
        <v>185.95269093155864</v>
      </c>
      <c r="J118" s="85">
        <v>2022</v>
      </c>
      <c r="K118" s="193">
        <f t="shared" si="35"/>
        <v>44665</v>
      </c>
      <c r="L118" s="430">
        <f t="shared" si="36"/>
        <v>3.2936741141668113E-3</v>
      </c>
      <c r="M118" s="846"/>
      <c r="N118" s="846"/>
      <c r="O118" s="320">
        <f t="shared" si="37"/>
        <v>1.5877952612868049E-2</v>
      </c>
      <c r="P118" s="165">
        <f>(INDEX(Models!$BJ118:$BT118,,T118)*(1-R118)+INDEX(Models!$BJ118:$BT118,,T118+1)*R118-ERP_i)*Q118*Ramure*Pc/MaxiM</f>
        <v>3.0278179678561048E-6</v>
      </c>
      <c r="Q118" s="301">
        <f t="shared" si="38"/>
        <v>0.5</v>
      </c>
      <c r="R118" s="173">
        <f t="shared" si="39"/>
        <v>3.2741829431264281E-2</v>
      </c>
      <c r="S118" s="801">
        <f t="shared" si="62"/>
        <v>0</v>
      </c>
      <c r="T118" s="172">
        <f t="shared" si="40"/>
        <v>6</v>
      </c>
      <c r="U118" s="247">
        <f t="shared" si="41"/>
        <v>3.2741829431264281E-2</v>
      </c>
      <c r="V118" s="378">
        <f t="shared" si="42"/>
        <v>225.98854704017489</v>
      </c>
      <c r="W118" s="397"/>
      <c r="X118" s="153">
        <f t="shared" si="43"/>
        <v>44665</v>
      </c>
      <c r="Y118" s="380">
        <f t="shared" si="44"/>
        <v>182.39699999999999</v>
      </c>
      <c r="Z118" s="380">
        <f t="shared" si="45"/>
        <v>182.99974151151568</v>
      </c>
      <c r="AA118" s="381">
        <f t="shared" si="46"/>
        <v>185.95228305003883</v>
      </c>
      <c r="AB118" s="193">
        <f t="shared" si="47"/>
        <v>44665</v>
      </c>
      <c r="AC118" s="420">
        <f t="shared" si="48"/>
        <v>1.5877952612868049E-2</v>
      </c>
      <c r="AD118" s="165">
        <f>(INDEX(Models!$BJ118:$BT118,,AH118)*(1-AF118)+INDEX(Models!$BJ118:$BT118,,AH118+1)*AF118-ERP_i)*AE118*Ramure*Pc/MaxiM</f>
        <v>3.0278179678561048E-6</v>
      </c>
      <c r="AE118" s="301">
        <f t="shared" si="49"/>
        <v>0.5</v>
      </c>
      <c r="AF118" s="173">
        <f t="shared" si="50"/>
        <v>3.2741829431264281E-2</v>
      </c>
      <c r="AG118" s="801">
        <f t="shared" si="51"/>
        <v>0</v>
      </c>
      <c r="AH118" s="172">
        <f t="shared" si="52"/>
        <v>6</v>
      </c>
      <c r="AI118" s="221">
        <f t="shared" si="53"/>
        <v>3.2741829431264281E-2</v>
      </c>
      <c r="AJ118" s="261" t="b">
        <f t="shared" si="54"/>
        <v>0</v>
      </c>
      <c r="AK118" s="261" t="b">
        <f t="shared" si="55"/>
        <v>0</v>
      </c>
      <c r="AL118" s="261"/>
      <c r="AM118" s="261"/>
      <c r="AN118" s="75"/>
      <c r="AV118" s="153">
        <f t="shared" si="63"/>
        <v>44300</v>
      </c>
      <c r="AW118" s="608"/>
      <c r="AX118" s="385"/>
      <c r="AY118" s="388"/>
      <c r="AZ118" s="380"/>
      <c r="BA118" s="380"/>
      <c r="BB118" s="110"/>
      <c r="BD118" s="375"/>
      <c r="BE118" s="85"/>
      <c r="BF118" s="193">
        <f t="shared" si="56"/>
        <v>44665</v>
      </c>
      <c r="BG118" s="430"/>
      <c r="BH118" s="846"/>
      <c r="BI118" s="846"/>
      <c r="BJ118" s="320"/>
      <c r="BK118" s="378"/>
    </row>
    <row r="119" spans="1:63" s="6" customFormat="1" ht="11.25" customHeight="1" x14ac:dyDescent="0.2">
      <c r="A119" s="56">
        <f t="shared" si="57"/>
        <v>44666</v>
      </c>
      <c r="B119" s="608">
        <v>192.57300000000001</v>
      </c>
      <c r="C119" s="385"/>
      <c r="D119" s="388">
        <f t="shared" si="58"/>
        <v>193.21201360650372</v>
      </c>
      <c r="E119" s="380">
        <f t="shared" si="59"/>
        <v>196.34200491365505</v>
      </c>
      <c r="F119" s="380">
        <f t="shared" si="60"/>
        <v>196.34249793514525</v>
      </c>
      <c r="G119" s="110">
        <f t="shared" si="61"/>
        <v>0.8492108399135232</v>
      </c>
      <c r="I119" s="375">
        <f t="shared" si="34"/>
        <v>196.34249793514525</v>
      </c>
      <c r="J119" s="85">
        <v>2022</v>
      </c>
      <c r="K119" s="193">
        <f t="shared" si="35"/>
        <v>44666</v>
      </c>
      <c r="L119" s="430">
        <f t="shared" si="36"/>
        <v>3.3073181867724344E-3</v>
      </c>
      <c r="M119" s="846"/>
      <c r="N119" s="846"/>
      <c r="O119" s="320">
        <f t="shared" si="37"/>
        <v>1.5941526666837222E-2</v>
      </c>
      <c r="P119" s="165">
        <f>(INDEX(Models!$BJ119:$BT119,,T119)*(1-R119)+INDEX(Models!$BJ119:$BT119,,T119+1)*R119-ERP_i)*Q119*Ramure*Pc/MaxiM</f>
        <v>3.2004423952567188E-6</v>
      </c>
      <c r="Q119" s="301">
        <f t="shared" si="38"/>
        <v>0.5</v>
      </c>
      <c r="R119" s="173">
        <f t="shared" si="39"/>
        <v>3.4416246740795783E-2</v>
      </c>
      <c r="S119" s="801">
        <f t="shared" si="62"/>
        <v>0</v>
      </c>
      <c r="T119" s="172">
        <f t="shared" si="40"/>
        <v>6</v>
      </c>
      <c r="U119" s="247">
        <f t="shared" si="41"/>
        <v>3.4416246740795783E-2</v>
      </c>
      <c r="V119" s="378">
        <f t="shared" si="42"/>
        <v>226.76685009892131</v>
      </c>
      <c r="W119" s="397"/>
      <c r="X119" s="153">
        <f t="shared" si="43"/>
        <v>44666</v>
      </c>
      <c r="Y119" s="380">
        <f t="shared" si="44"/>
        <v>192.57300000000001</v>
      </c>
      <c r="Z119" s="380">
        <f t="shared" si="45"/>
        <v>193.21201360650372</v>
      </c>
      <c r="AA119" s="381">
        <f t="shared" si="46"/>
        <v>196.34200491365505</v>
      </c>
      <c r="AB119" s="193">
        <f t="shared" si="47"/>
        <v>44666</v>
      </c>
      <c r="AC119" s="420">
        <f t="shared" si="48"/>
        <v>1.5941526666837222E-2</v>
      </c>
      <c r="AD119" s="165">
        <f>(INDEX(Models!$BJ119:$BT119,,AH119)*(1-AF119)+INDEX(Models!$BJ119:$BT119,,AH119+1)*AF119-ERP_i)*AE119*Ramure*Pc/MaxiM</f>
        <v>3.2004423952567188E-6</v>
      </c>
      <c r="AE119" s="301">
        <f t="shared" si="49"/>
        <v>0.5</v>
      </c>
      <c r="AF119" s="173">
        <f t="shared" si="50"/>
        <v>3.4416246740795783E-2</v>
      </c>
      <c r="AG119" s="801">
        <f t="shared" si="51"/>
        <v>0</v>
      </c>
      <c r="AH119" s="172">
        <f t="shared" si="52"/>
        <v>6</v>
      </c>
      <c r="AI119" s="221">
        <f t="shared" si="53"/>
        <v>3.4416246740795783E-2</v>
      </c>
      <c r="AJ119" s="261" t="b">
        <f t="shared" si="54"/>
        <v>0</v>
      </c>
      <c r="AK119" s="261" t="b">
        <f t="shared" si="55"/>
        <v>0</v>
      </c>
      <c r="AL119" s="261"/>
      <c r="AM119" s="261"/>
      <c r="AN119" s="75"/>
      <c r="AV119" s="153">
        <f t="shared" si="63"/>
        <v>44301</v>
      </c>
      <c r="AW119" s="608"/>
      <c r="AX119" s="385"/>
      <c r="AY119" s="388"/>
      <c r="AZ119" s="380"/>
      <c r="BA119" s="380"/>
      <c r="BB119" s="110"/>
      <c r="BD119" s="375"/>
      <c r="BE119" s="85"/>
      <c r="BF119" s="193">
        <f t="shared" si="56"/>
        <v>44666</v>
      </c>
      <c r="BG119" s="430"/>
      <c r="BH119" s="846"/>
      <c r="BI119" s="846"/>
      <c r="BJ119" s="320"/>
      <c r="BK119" s="378"/>
    </row>
    <row r="120" spans="1:63" s="6" customFormat="1" ht="11.25" x14ac:dyDescent="0.2">
      <c r="A120" s="56">
        <f t="shared" si="57"/>
        <v>44667</v>
      </c>
      <c r="B120" s="608">
        <v>193.73400000000001</v>
      </c>
      <c r="C120" s="385"/>
      <c r="D120" s="388">
        <f t="shared" si="58"/>
        <v>194.37952703698014</v>
      </c>
      <c r="E120" s="380">
        <f t="shared" si="59"/>
        <v>197.54123271196823</v>
      </c>
      <c r="F120" s="380">
        <f t="shared" si="60"/>
        <v>197.54175886779768</v>
      </c>
      <c r="G120" s="110">
        <f t="shared" si="61"/>
        <v>0.8514730985680935</v>
      </c>
      <c r="I120" s="375">
        <f t="shared" si="34"/>
        <v>197.54175886779768</v>
      </c>
      <c r="J120" s="85">
        <v>2022</v>
      </c>
      <c r="K120" s="193">
        <f t="shared" si="35"/>
        <v>44667</v>
      </c>
      <c r="L120" s="430">
        <f t="shared" si="36"/>
        <v>3.3209620726020184E-3</v>
      </c>
      <c r="M120" s="846"/>
      <c r="N120" s="846"/>
      <c r="O120" s="320">
        <f t="shared" si="37"/>
        <v>1.6005294852027795E-2</v>
      </c>
      <c r="P120" s="165">
        <f>(INDEX(Models!$BJ120:$BT120,,T120)*(1-R120)+INDEX(Models!$BJ120:$BT120,,T120+1)*R120-ERP_i)*Q120*Ramure*Pc/MaxiM</f>
        <v>3.3808717547874305E-6</v>
      </c>
      <c r="Q120" s="301">
        <f t="shared" si="38"/>
        <v>0.5</v>
      </c>
      <c r="R120" s="173">
        <f t="shared" si="39"/>
        <v>3.6147904714438177E-2</v>
      </c>
      <c r="S120" s="801">
        <f t="shared" si="62"/>
        <v>0</v>
      </c>
      <c r="T120" s="172">
        <f t="shared" si="40"/>
        <v>6</v>
      </c>
      <c r="U120" s="247">
        <f t="shared" si="41"/>
        <v>3.6147904714438177E-2</v>
      </c>
      <c r="V120" s="378">
        <f t="shared" si="42"/>
        <v>227.52787063903602</v>
      </c>
      <c r="W120" s="397"/>
      <c r="X120" s="153">
        <f t="shared" si="43"/>
        <v>44667</v>
      </c>
      <c r="Y120" s="380">
        <f t="shared" si="44"/>
        <v>193.73400000000001</v>
      </c>
      <c r="Z120" s="380">
        <f t="shared" si="45"/>
        <v>194.37952703698014</v>
      </c>
      <c r="AA120" s="381">
        <f t="shared" si="46"/>
        <v>197.54123271196823</v>
      </c>
      <c r="AB120" s="193">
        <f t="shared" si="47"/>
        <v>44667</v>
      </c>
      <c r="AC120" s="420">
        <f t="shared" si="48"/>
        <v>1.6005294852027795E-2</v>
      </c>
      <c r="AD120" s="165">
        <f>(INDEX(Models!$BJ120:$BT120,,AH120)*(1-AF120)+INDEX(Models!$BJ120:$BT120,,AH120+1)*AF120-ERP_i)*AE120*Ramure*Pc/MaxiM</f>
        <v>3.3808717547874305E-6</v>
      </c>
      <c r="AE120" s="301">
        <f t="shared" si="49"/>
        <v>0.5</v>
      </c>
      <c r="AF120" s="173">
        <f t="shared" si="50"/>
        <v>3.6147904714438177E-2</v>
      </c>
      <c r="AG120" s="801">
        <f t="shared" si="51"/>
        <v>0</v>
      </c>
      <c r="AH120" s="172">
        <f t="shared" si="52"/>
        <v>6</v>
      </c>
      <c r="AI120" s="221">
        <f t="shared" si="53"/>
        <v>3.6147904714438177E-2</v>
      </c>
      <c r="AJ120" s="261" t="b">
        <f t="shared" si="54"/>
        <v>0</v>
      </c>
      <c r="AK120" s="261" t="b">
        <f t="shared" si="55"/>
        <v>0</v>
      </c>
      <c r="AL120" s="261"/>
      <c r="AM120" s="261"/>
      <c r="AN120" s="75"/>
      <c r="AV120" s="153">
        <f t="shared" si="63"/>
        <v>44302</v>
      </c>
      <c r="AW120" s="608"/>
      <c r="AX120" s="385"/>
      <c r="AY120" s="388"/>
      <c r="AZ120" s="380"/>
      <c r="BA120" s="380"/>
      <c r="BB120" s="110"/>
      <c r="BD120" s="375"/>
      <c r="BE120" s="85"/>
      <c r="BF120" s="193">
        <f t="shared" si="56"/>
        <v>44667</v>
      </c>
      <c r="BG120" s="430"/>
      <c r="BH120" s="846"/>
      <c r="BI120" s="846"/>
      <c r="BJ120" s="320"/>
      <c r="BK120" s="378"/>
    </row>
    <row r="121" spans="1:63" s="6" customFormat="1" ht="11.25" x14ac:dyDescent="0.2">
      <c r="A121" s="56">
        <f t="shared" si="57"/>
        <v>44668</v>
      </c>
      <c r="B121" s="608">
        <v>232.405</v>
      </c>
      <c r="C121" s="385"/>
      <c r="D121" s="388">
        <f t="shared" si="58"/>
        <v>233.18257195027553</v>
      </c>
      <c r="E121" s="380">
        <f t="shared" si="59"/>
        <v>236.99083989518903</v>
      </c>
      <c r="F121" s="380">
        <f t="shared" si="60"/>
        <v>236.99168583798047</v>
      </c>
      <c r="G121" s="110">
        <f t="shared" si="61"/>
        <v>1.0181229862172456</v>
      </c>
      <c r="I121" s="375">
        <f t="shared" si="34"/>
        <v>236.99168583798047</v>
      </c>
      <c r="J121" s="85">
        <v>2022</v>
      </c>
      <c r="K121" s="193">
        <f t="shared" si="35"/>
        <v>44668</v>
      </c>
      <c r="L121" s="430">
        <f t="shared" si="36"/>
        <v>3.3346057716583388E-3</v>
      </c>
      <c r="M121" s="846"/>
      <c r="N121" s="846"/>
      <c r="O121" s="320">
        <f t="shared" si="37"/>
        <v>1.6069262198478793E-2</v>
      </c>
      <c r="P121" s="165">
        <f>(INDEX(Models!$BJ121:$BT121,,T121)*(1-R121)+INDEX(Models!$BJ121:$BT121,,T121+1)*R121-ERP_i)*Q121*Ramure*Pc/MaxiM</f>
        <v>3.569504088105785E-6</v>
      </c>
      <c r="Q121" s="301">
        <f t="shared" si="38"/>
        <v>0.5</v>
      </c>
      <c r="R121" s="173">
        <f t="shared" si="39"/>
        <v>3.7938251249114964E-2</v>
      </c>
      <c r="S121" s="801">
        <f t="shared" si="62"/>
        <v>0</v>
      </c>
      <c r="T121" s="172">
        <f t="shared" si="40"/>
        <v>6</v>
      </c>
      <c r="U121" s="247">
        <f t="shared" si="41"/>
        <v>3.7938251249114964E-2</v>
      </c>
      <c r="V121" s="378">
        <f t="shared" si="42"/>
        <v>228.26810036327944</v>
      </c>
      <c r="W121" s="397"/>
      <c r="X121" s="153">
        <f t="shared" si="43"/>
        <v>44668</v>
      </c>
      <c r="Y121" s="380">
        <f t="shared" si="44"/>
        <v>232.405</v>
      </c>
      <c r="Z121" s="380">
        <f t="shared" si="45"/>
        <v>233.18257195027553</v>
      </c>
      <c r="AA121" s="381">
        <f t="shared" si="46"/>
        <v>236.99083989518903</v>
      </c>
      <c r="AB121" s="193">
        <f t="shared" si="47"/>
        <v>44668</v>
      </c>
      <c r="AC121" s="420">
        <f t="shared" si="48"/>
        <v>1.6069262198478793E-2</v>
      </c>
      <c r="AD121" s="165">
        <f>(INDEX(Models!$BJ121:$BT121,,AH121)*(1-AF121)+INDEX(Models!$BJ121:$BT121,,AH121+1)*AF121-ERP_i)*AE121*Ramure*Pc/MaxiM</f>
        <v>3.569504088105785E-6</v>
      </c>
      <c r="AE121" s="301">
        <f t="shared" si="49"/>
        <v>0.5</v>
      </c>
      <c r="AF121" s="173">
        <f t="shared" si="50"/>
        <v>3.7938251249114964E-2</v>
      </c>
      <c r="AG121" s="801">
        <f t="shared" si="51"/>
        <v>0</v>
      </c>
      <c r="AH121" s="172">
        <f t="shared" si="52"/>
        <v>6</v>
      </c>
      <c r="AI121" s="221">
        <f t="shared" si="53"/>
        <v>3.7938251249114964E-2</v>
      </c>
      <c r="AJ121" s="261" t="b">
        <f t="shared" si="54"/>
        <v>0</v>
      </c>
      <c r="AK121" s="261" t="b">
        <f t="shared" si="55"/>
        <v>0</v>
      </c>
      <c r="AL121" s="261"/>
      <c r="AM121" s="261"/>
      <c r="AN121" s="75"/>
      <c r="AV121" s="153">
        <f t="shared" si="63"/>
        <v>44303</v>
      </c>
      <c r="AW121" s="608"/>
      <c r="AX121" s="385"/>
      <c r="AY121" s="388"/>
      <c r="AZ121" s="380"/>
      <c r="BA121" s="380"/>
      <c r="BB121" s="110"/>
      <c r="BD121" s="375"/>
      <c r="BE121" s="85"/>
      <c r="BF121" s="193">
        <f t="shared" si="56"/>
        <v>44668</v>
      </c>
      <c r="BG121" s="430"/>
      <c r="BH121" s="846"/>
      <c r="BI121" s="846"/>
      <c r="BJ121" s="320"/>
      <c r="BK121" s="378"/>
    </row>
    <row r="122" spans="1:63" s="18" customFormat="1" ht="11.25" x14ac:dyDescent="0.2">
      <c r="A122" s="56">
        <f t="shared" si="57"/>
        <v>44669</v>
      </c>
      <c r="B122" s="608">
        <v>171.518</v>
      </c>
      <c r="C122" s="385"/>
      <c r="D122" s="388">
        <f t="shared" si="58"/>
        <v>172.09421432990098</v>
      </c>
      <c r="E122" s="380">
        <f t="shared" si="59"/>
        <v>174.9162134250366</v>
      </c>
      <c r="F122" s="380">
        <f t="shared" si="60"/>
        <v>174.91663566375686</v>
      </c>
      <c r="G122" s="110">
        <f t="shared" si="61"/>
        <v>0.74903750444830319</v>
      </c>
      <c r="H122" s="17"/>
      <c r="I122" s="375">
        <f t="shared" si="34"/>
        <v>174.91663566375686</v>
      </c>
      <c r="J122" s="85">
        <v>2022</v>
      </c>
      <c r="K122" s="193">
        <f t="shared" si="35"/>
        <v>44669</v>
      </c>
      <c r="L122" s="430">
        <f t="shared" si="36"/>
        <v>3.3482492839438383E-3</v>
      </c>
      <c r="M122" s="846"/>
      <c r="N122" s="846"/>
      <c r="O122" s="320">
        <f t="shared" si="37"/>
        <v>1.6133433487256654E-2</v>
      </c>
      <c r="P122" s="165">
        <f>(INDEX(Models!$BJ122:$BT122,,T122)*(1-R122)+INDEX(Models!$BJ122:$BT122,,T122+1)*R122-ERP_i)*Q122*Ramure*Pc/MaxiM</f>
        <v>3.7630621238479642E-6</v>
      </c>
      <c r="Q122" s="301">
        <f t="shared" si="38"/>
        <v>0.5</v>
      </c>
      <c r="R122" s="173">
        <f t="shared" si="39"/>
        <v>3.9788731571837876E-2</v>
      </c>
      <c r="S122" s="801">
        <f t="shared" si="62"/>
        <v>0</v>
      </c>
      <c r="T122" s="172">
        <f t="shared" si="40"/>
        <v>6</v>
      </c>
      <c r="U122" s="247">
        <f t="shared" si="41"/>
        <v>3.9788731571837876E-2</v>
      </c>
      <c r="V122" s="378">
        <f t="shared" si="42"/>
        <v>228.98421985891179</v>
      </c>
      <c r="W122" s="397"/>
      <c r="X122" s="153">
        <f t="shared" si="43"/>
        <v>44669</v>
      </c>
      <c r="Y122" s="380">
        <f t="shared" si="44"/>
        <v>171.518</v>
      </c>
      <c r="Z122" s="380">
        <f t="shared" si="45"/>
        <v>172.09421432990098</v>
      </c>
      <c r="AA122" s="381">
        <f t="shared" si="46"/>
        <v>174.9162134250366</v>
      </c>
      <c r="AB122" s="193">
        <f t="shared" si="47"/>
        <v>44669</v>
      </c>
      <c r="AC122" s="445">
        <f t="shared" si="48"/>
        <v>1.6133433487256654E-2</v>
      </c>
      <c r="AD122" s="165">
        <f>(INDEX(Models!$BJ122:$BT122,,AH122)*(1-AF122)+INDEX(Models!$BJ122:$BT122,,AH122+1)*AF122-ERP_i)*AE122*Ramure*Pc/MaxiM</f>
        <v>3.7630621238479642E-6</v>
      </c>
      <c r="AE122" s="301">
        <f t="shared" si="49"/>
        <v>0.5</v>
      </c>
      <c r="AF122" s="173">
        <f t="shared" si="50"/>
        <v>3.9788731571837876E-2</v>
      </c>
      <c r="AG122" s="801">
        <f t="shared" si="51"/>
        <v>0</v>
      </c>
      <c r="AH122" s="172">
        <f t="shared" si="52"/>
        <v>6</v>
      </c>
      <c r="AI122" s="221">
        <f t="shared" si="53"/>
        <v>3.9788731571837876E-2</v>
      </c>
      <c r="AJ122" s="261" t="b">
        <f t="shared" si="54"/>
        <v>0</v>
      </c>
      <c r="AK122" s="261" t="b">
        <f t="shared" si="55"/>
        <v>0</v>
      </c>
      <c r="AL122" s="261"/>
      <c r="AM122" s="261"/>
      <c r="AN122" s="261"/>
      <c r="AV122" s="153">
        <f t="shared" si="63"/>
        <v>44304</v>
      </c>
      <c r="AW122" s="608"/>
      <c r="AX122" s="385"/>
      <c r="AY122" s="388"/>
      <c r="AZ122" s="380"/>
      <c r="BA122" s="380"/>
      <c r="BB122" s="110"/>
      <c r="BC122" s="17"/>
      <c r="BD122" s="375"/>
      <c r="BE122" s="85"/>
      <c r="BF122" s="193">
        <f t="shared" si="56"/>
        <v>44669</v>
      </c>
      <c r="BG122" s="430"/>
      <c r="BH122" s="846"/>
      <c r="BI122" s="846"/>
      <c r="BJ122" s="320"/>
      <c r="BK122" s="378"/>
    </row>
    <row r="123" spans="1:63" s="18" customFormat="1" ht="11.25" x14ac:dyDescent="0.2">
      <c r="A123" s="56">
        <f t="shared" si="57"/>
        <v>44670</v>
      </c>
      <c r="B123" s="608">
        <v>38.74</v>
      </c>
      <c r="C123" s="385"/>
      <c r="D123" s="388">
        <f t="shared" si="58"/>
        <v>38.870679048618285</v>
      </c>
      <c r="E123" s="380">
        <f t="shared" si="59"/>
        <v>39.510665427940808</v>
      </c>
      <c r="F123" s="380">
        <f t="shared" si="60"/>
        <v>39.510665427940808</v>
      </c>
      <c r="G123" s="110">
        <f t="shared" si="61"/>
        <v>0.16867076390333247</v>
      </c>
      <c r="H123" s="429"/>
      <c r="I123" s="375">
        <f t="shared" si="34"/>
        <v>39.510665427940808</v>
      </c>
      <c r="J123" s="85">
        <v>2022</v>
      </c>
      <c r="K123" s="193">
        <f t="shared" si="35"/>
        <v>44670</v>
      </c>
      <c r="L123" s="430">
        <f t="shared" si="36"/>
        <v>3.3618926094610702E-3</v>
      </c>
      <c r="M123" s="846"/>
      <c r="N123" s="846"/>
      <c r="O123" s="320">
        <f t="shared" si="37"/>
        <v>1.6197813233232401E-2</v>
      </c>
      <c r="P123" s="165">
        <f>(INDEX(Models!$BJ123:$BT123,,T123)*(1-R123)+INDEX(Models!$BJ123:$BT123,,T123+1)*R123-ERP_i)*Q123*Ramure*Pc/MaxiM</f>
        <v>3.9588764294341555E-6</v>
      </c>
      <c r="Q123" s="301">
        <f t="shared" si="38"/>
        <v>0.5</v>
      </c>
      <c r="R123" s="173">
        <f t="shared" si="39"/>
        <v>4.1700784656474733E-2</v>
      </c>
      <c r="S123" s="801">
        <f t="shared" si="62"/>
        <v>0</v>
      </c>
      <c r="T123" s="172">
        <f t="shared" si="40"/>
        <v>6</v>
      </c>
      <c r="U123" s="247">
        <f t="shared" si="41"/>
        <v>4.1700784656474733E-2</v>
      </c>
      <c r="V123" s="378">
        <f t="shared" si="42"/>
        <v>229.67730587459403</v>
      </c>
      <c r="W123" s="397"/>
      <c r="X123" s="153">
        <f t="shared" si="43"/>
        <v>44670</v>
      </c>
      <c r="Y123" s="380">
        <f t="shared" si="44"/>
        <v>38.74</v>
      </c>
      <c r="Z123" s="380">
        <f t="shared" si="45"/>
        <v>38.870679048618285</v>
      </c>
      <c r="AA123" s="381">
        <f t="shared" si="46"/>
        <v>39.510665427940808</v>
      </c>
      <c r="AB123" s="193">
        <f t="shared" si="47"/>
        <v>44670</v>
      </c>
      <c r="AC123" s="431">
        <f t="shared" si="48"/>
        <v>1.6197813233232401E-2</v>
      </c>
      <c r="AD123" s="165">
        <f>(INDEX(Models!$BJ123:$BT123,,AH123)*(1-AF123)+INDEX(Models!$BJ123:$BT123,,AH123+1)*AF123-ERP_i)*AE123*Ramure*Pc/MaxiM</f>
        <v>3.9588764294341555E-6</v>
      </c>
      <c r="AE123" s="301">
        <f t="shared" si="49"/>
        <v>0.5</v>
      </c>
      <c r="AF123" s="173">
        <f t="shared" si="50"/>
        <v>4.1700784656474733E-2</v>
      </c>
      <c r="AG123" s="801">
        <f t="shared" si="51"/>
        <v>0</v>
      </c>
      <c r="AH123" s="172">
        <f t="shared" si="52"/>
        <v>6</v>
      </c>
      <c r="AI123" s="221">
        <f t="shared" si="53"/>
        <v>4.1700784656474733E-2</v>
      </c>
      <c r="AJ123" s="261" t="b">
        <f t="shared" si="54"/>
        <v>0</v>
      </c>
      <c r="AK123" s="261" t="b">
        <f t="shared" si="55"/>
        <v>0</v>
      </c>
      <c r="AL123" s="261"/>
      <c r="AM123" s="261"/>
      <c r="AN123" s="261"/>
      <c r="AV123" s="153">
        <f t="shared" si="63"/>
        <v>44305</v>
      </c>
      <c r="AW123" s="608"/>
      <c r="AX123" s="385"/>
      <c r="AY123" s="388"/>
      <c r="AZ123" s="380"/>
      <c r="BA123" s="380"/>
      <c r="BB123" s="110"/>
      <c r="BC123" s="429"/>
      <c r="BD123" s="375"/>
      <c r="BE123" s="85"/>
      <c r="BF123" s="193">
        <f t="shared" si="56"/>
        <v>44670</v>
      </c>
      <c r="BG123" s="430"/>
      <c r="BH123" s="846"/>
      <c r="BI123" s="846"/>
      <c r="BJ123" s="320"/>
      <c r="BK123" s="378"/>
    </row>
    <row r="124" spans="1:63" s="6" customFormat="1" ht="11.25" customHeight="1" x14ac:dyDescent="0.2">
      <c r="A124" s="56">
        <f t="shared" si="57"/>
        <v>44671</v>
      </c>
      <c r="B124" s="608">
        <v>43.936</v>
      </c>
      <c r="C124" s="385"/>
      <c r="D124" s="388">
        <f t="shared" si="58"/>
        <v>44.084809851607261</v>
      </c>
      <c r="E124" s="380">
        <f t="shared" si="59"/>
        <v>44.813586575905077</v>
      </c>
      <c r="F124" s="380">
        <f t="shared" si="60"/>
        <v>44.813586575905077</v>
      </c>
      <c r="G124" s="110">
        <f t="shared" si="61"/>
        <v>0.19073634033904174</v>
      </c>
      <c r="I124" s="375">
        <f t="shared" si="34"/>
        <v>44.813586575905077</v>
      </c>
      <c r="J124" s="85">
        <v>2022</v>
      </c>
      <c r="K124" s="193">
        <f t="shared" si="35"/>
        <v>44671</v>
      </c>
      <c r="L124" s="430">
        <f t="shared" si="36"/>
        <v>3.3755357482126991E-3</v>
      </c>
      <c r="M124" s="846"/>
      <c r="N124" s="846"/>
      <c r="O124" s="320">
        <f t="shared" si="37"/>
        <v>1.6262405667161185E-2</v>
      </c>
      <c r="P124" s="165">
        <f>(INDEX(Models!$BJ124:$BT124,,T124)*(1-R124)+INDEX(Models!$BJ124:$BT124,,T124+1)*R124-ERP_i)*Q124*Ramure*Pc/MaxiM</f>
        <v>4.1564534177316669E-6</v>
      </c>
      <c r="Q124" s="301">
        <f t="shared" si="38"/>
        <v>0.5</v>
      </c>
      <c r="R124" s="173">
        <f t="shared" si="39"/>
        <v>4.3675839385143946E-2</v>
      </c>
      <c r="S124" s="801">
        <f t="shared" si="62"/>
        <v>0</v>
      </c>
      <c r="T124" s="172">
        <f t="shared" si="40"/>
        <v>6</v>
      </c>
      <c r="U124" s="247">
        <f t="shared" si="41"/>
        <v>4.3675839385143946E-2</v>
      </c>
      <c r="V124" s="378">
        <f t="shared" si="42"/>
        <v>230.34843440932599</v>
      </c>
      <c r="W124" s="397"/>
      <c r="X124" s="153">
        <f t="shared" si="43"/>
        <v>44671</v>
      </c>
      <c r="Y124" s="380">
        <f t="shared" si="44"/>
        <v>43.936</v>
      </c>
      <c r="Z124" s="380">
        <f t="shared" si="45"/>
        <v>44.084809851607261</v>
      </c>
      <c r="AA124" s="381">
        <f t="shared" si="46"/>
        <v>44.813586575905077</v>
      </c>
      <c r="AB124" s="193">
        <f t="shared" si="47"/>
        <v>44671</v>
      </c>
      <c r="AC124" s="420">
        <f t="shared" si="48"/>
        <v>1.6262405667161185E-2</v>
      </c>
      <c r="AD124" s="165">
        <f>(INDEX(Models!$BJ124:$BT124,,AH124)*(1-AF124)+INDEX(Models!$BJ124:$BT124,,AH124+1)*AF124-ERP_i)*AE124*Ramure*Pc/MaxiM</f>
        <v>4.1564534177316669E-6</v>
      </c>
      <c r="AE124" s="301">
        <f t="shared" si="49"/>
        <v>0.5</v>
      </c>
      <c r="AF124" s="173">
        <f t="shared" si="50"/>
        <v>4.3675839385143946E-2</v>
      </c>
      <c r="AG124" s="801">
        <f t="shared" si="51"/>
        <v>0</v>
      </c>
      <c r="AH124" s="172">
        <f t="shared" si="52"/>
        <v>6</v>
      </c>
      <c r="AI124" s="221">
        <f t="shared" si="53"/>
        <v>4.3675839385143946E-2</v>
      </c>
      <c r="AJ124" s="261" t="b">
        <f t="shared" si="54"/>
        <v>0</v>
      </c>
      <c r="AK124" s="261" t="b">
        <f t="shared" si="55"/>
        <v>0</v>
      </c>
      <c r="AL124" s="261"/>
      <c r="AM124" s="261"/>
      <c r="AN124" s="75"/>
      <c r="AV124" s="153">
        <f t="shared" si="63"/>
        <v>44306</v>
      </c>
      <c r="AW124" s="608"/>
      <c r="AX124" s="385"/>
      <c r="AY124" s="388"/>
      <c r="AZ124" s="380"/>
      <c r="BA124" s="380"/>
      <c r="BB124" s="110"/>
      <c r="BD124" s="375"/>
      <c r="BE124" s="85"/>
      <c r="BF124" s="193">
        <f t="shared" si="56"/>
        <v>44671</v>
      </c>
      <c r="BG124" s="430"/>
      <c r="BH124" s="846"/>
      <c r="BI124" s="846"/>
      <c r="BJ124" s="320"/>
      <c r="BK124" s="378"/>
    </row>
    <row r="125" spans="1:63" s="6" customFormat="1" ht="11.25" x14ac:dyDescent="0.2">
      <c r="A125" s="56">
        <f t="shared" si="57"/>
        <v>44672</v>
      </c>
      <c r="B125" s="608">
        <v>39.152000000000001</v>
      </c>
      <c r="C125" s="385"/>
      <c r="D125" s="388">
        <f t="shared" si="58"/>
        <v>39.285144374548551</v>
      </c>
      <c r="E125" s="380">
        <f t="shared" si="59"/>
        <v>39.937207740527782</v>
      </c>
      <c r="F125" s="380">
        <f t="shared" si="60"/>
        <v>39.937207740527782</v>
      </c>
      <c r="G125" s="110">
        <f t="shared" si="61"/>
        <v>0.16948940694257042</v>
      </c>
      <c r="I125" s="375">
        <f t="shared" si="34"/>
        <v>39.937207740527782</v>
      </c>
      <c r="J125" s="85">
        <v>2022</v>
      </c>
      <c r="K125" s="193">
        <f t="shared" si="35"/>
        <v>44672</v>
      </c>
      <c r="L125" s="430">
        <f t="shared" si="36"/>
        <v>3.3891787002012785E-3</v>
      </c>
      <c r="M125" s="846"/>
      <c r="N125" s="846"/>
      <c r="O125" s="320">
        <f t="shared" si="37"/>
        <v>1.6327214717055009E-2</v>
      </c>
      <c r="P125" s="165">
        <f>(INDEX(Models!$BJ125:$BT125,,T125)*(1-R125)+INDEX(Models!$BJ125:$BT125,,T125+1)*R125-ERP_i)*Q125*Ramure*Pc/MaxiM</f>
        <v>4.35524663249314E-6</v>
      </c>
      <c r="Q125" s="301">
        <f t="shared" si="38"/>
        <v>0.5</v>
      </c>
      <c r="R125" s="173">
        <f t="shared" si="39"/>
        <v>4.5715310450617011E-2</v>
      </c>
      <c r="S125" s="801">
        <f t="shared" si="62"/>
        <v>0</v>
      </c>
      <c r="T125" s="172">
        <f t="shared" si="40"/>
        <v>6</v>
      </c>
      <c r="U125" s="247">
        <f t="shared" si="41"/>
        <v>4.5715310450617011E-2</v>
      </c>
      <c r="V125" s="378">
        <f t="shared" si="42"/>
        <v>230.9986812134519</v>
      </c>
      <c r="W125" s="397"/>
      <c r="X125" s="153">
        <f t="shared" si="43"/>
        <v>44672</v>
      </c>
      <c r="Y125" s="380">
        <f t="shared" si="44"/>
        <v>39.152000000000001</v>
      </c>
      <c r="Z125" s="380">
        <f t="shared" si="45"/>
        <v>39.285144374548551</v>
      </c>
      <c r="AA125" s="381">
        <f t="shared" si="46"/>
        <v>39.937207740527782</v>
      </c>
      <c r="AB125" s="193">
        <f t="shared" si="47"/>
        <v>44672</v>
      </c>
      <c r="AC125" s="420">
        <f t="shared" si="48"/>
        <v>1.6327214717055009E-2</v>
      </c>
      <c r="AD125" s="165">
        <f>(INDEX(Models!$BJ125:$BT125,,AH125)*(1-AF125)+INDEX(Models!$BJ125:$BT125,,AH125+1)*AF125-ERP_i)*AE125*Ramure*Pc/MaxiM</f>
        <v>4.35524663249314E-6</v>
      </c>
      <c r="AE125" s="301">
        <f t="shared" si="49"/>
        <v>0.5</v>
      </c>
      <c r="AF125" s="173">
        <f t="shared" si="50"/>
        <v>4.5715310450617011E-2</v>
      </c>
      <c r="AG125" s="801">
        <f t="shared" si="51"/>
        <v>0</v>
      </c>
      <c r="AH125" s="172">
        <f t="shared" si="52"/>
        <v>6</v>
      </c>
      <c r="AI125" s="221">
        <f t="shared" si="53"/>
        <v>4.5715310450617011E-2</v>
      </c>
      <c r="AJ125" s="261" t="b">
        <f t="shared" si="54"/>
        <v>0</v>
      </c>
      <c r="AK125" s="261" t="b">
        <f t="shared" si="55"/>
        <v>0</v>
      </c>
      <c r="AL125" s="261"/>
      <c r="AM125" s="261"/>
      <c r="AN125" s="75"/>
      <c r="AV125" s="153">
        <f t="shared" si="63"/>
        <v>44307</v>
      </c>
      <c r="AW125" s="608"/>
      <c r="AX125" s="385"/>
      <c r="AY125" s="388"/>
      <c r="AZ125" s="380"/>
      <c r="BA125" s="380"/>
      <c r="BB125" s="110"/>
      <c r="BD125" s="375"/>
      <c r="BE125" s="85"/>
      <c r="BF125" s="193">
        <f t="shared" si="56"/>
        <v>44672</v>
      </c>
      <c r="BG125" s="430"/>
      <c r="BH125" s="846"/>
      <c r="BI125" s="846"/>
      <c r="BJ125" s="320"/>
      <c r="BK125" s="378"/>
    </row>
    <row r="126" spans="1:63" s="6" customFormat="1" ht="11.25" customHeight="1" x14ac:dyDescent="0.2">
      <c r="A126" s="56">
        <f t="shared" si="57"/>
        <v>44673</v>
      </c>
      <c r="B126" s="608">
        <v>119.137</v>
      </c>
      <c r="C126" s="385"/>
      <c r="D126" s="388">
        <f t="shared" si="58"/>
        <v>119.54378616160939</v>
      </c>
      <c r="E126" s="380">
        <f t="shared" si="59"/>
        <v>121.53603449244754</v>
      </c>
      <c r="F126" s="380">
        <f t="shared" si="60"/>
        <v>121.53620399370809</v>
      </c>
      <c r="G126" s="110">
        <f t="shared" si="61"/>
        <v>0.51434216300109126</v>
      </c>
      <c r="I126" s="375">
        <f t="shared" si="34"/>
        <v>121.53620399370809</v>
      </c>
      <c r="J126" s="85">
        <v>2022</v>
      </c>
      <c r="K126" s="193">
        <f t="shared" si="35"/>
        <v>44673</v>
      </c>
      <c r="L126" s="430">
        <f t="shared" si="36"/>
        <v>3.40282146542914E-3</v>
      </c>
      <c r="M126" s="846"/>
      <c r="N126" s="846"/>
      <c r="O126" s="320">
        <f t="shared" si="37"/>
        <v>1.6392243988855408E-2</v>
      </c>
      <c r="P126" s="165">
        <f>(INDEX(Models!$BJ126:$BT126,,T126)*(1-R126)+INDEX(Models!$BJ126:$BT126,,T126+1)*R126-ERP_i)*Q126*Ramure*Pc/MaxiM</f>
        <v>4.5546436345527941E-6</v>
      </c>
      <c r="Q126" s="301">
        <f t="shared" si="38"/>
        <v>0.5</v>
      </c>
      <c r="R126" s="173">
        <f t="shared" si="39"/>
        <v>4.7820593997499466E-2</v>
      </c>
      <c r="S126" s="801">
        <f t="shared" si="62"/>
        <v>0</v>
      </c>
      <c r="T126" s="172">
        <f t="shared" si="40"/>
        <v>6</v>
      </c>
      <c r="U126" s="247">
        <f t="shared" si="41"/>
        <v>4.7820593997499466E-2</v>
      </c>
      <c r="V126" s="378">
        <f t="shared" si="42"/>
        <v>231.62912181445739</v>
      </c>
      <c r="W126" s="397"/>
      <c r="X126" s="153">
        <f t="shared" si="43"/>
        <v>44673</v>
      </c>
      <c r="Y126" s="380">
        <f t="shared" si="44"/>
        <v>119.137</v>
      </c>
      <c r="Z126" s="380">
        <f t="shared" si="45"/>
        <v>119.54378616160939</v>
      </c>
      <c r="AA126" s="381">
        <f t="shared" si="46"/>
        <v>121.53603449244754</v>
      </c>
      <c r="AB126" s="193">
        <f t="shared" si="47"/>
        <v>44673</v>
      </c>
      <c r="AC126" s="420">
        <f t="shared" si="48"/>
        <v>1.6392243988855408E-2</v>
      </c>
      <c r="AD126" s="165">
        <f>(INDEX(Models!$BJ126:$BT126,,AH126)*(1-AF126)+INDEX(Models!$BJ126:$BT126,,AH126+1)*AF126-ERP_i)*AE126*Ramure*Pc/MaxiM</f>
        <v>4.5546436345527941E-6</v>
      </c>
      <c r="AE126" s="301">
        <f t="shared" si="49"/>
        <v>0.5</v>
      </c>
      <c r="AF126" s="173">
        <f t="shared" si="50"/>
        <v>4.7820593997499466E-2</v>
      </c>
      <c r="AG126" s="801">
        <f t="shared" si="51"/>
        <v>0</v>
      </c>
      <c r="AH126" s="172">
        <f t="shared" si="52"/>
        <v>6</v>
      </c>
      <c r="AI126" s="221">
        <f t="shared" si="53"/>
        <v>4.7820593997499466E-2</v>
      </c>
      <c r="AJ126" s="261" t="b">
        <f t="shared" si="54"/>
        <v>0</v>
      </c>
      <c r="AK126" s="261" t="b">
        <f t="shared" si="55"/>
        <v>0</v>
      </c>
      <c r="AL126" s="261"/>
      <c r="AM126" s="261"/>
      <c r="AN126" s="75"/>
      <c r="AV126" s="153">
        <f t="shared" si="63"/>
        <v>44308</v>
      </c>
      <c r="AW126" s="608"/>
      <c r="AX126" s="385"/>
      <c r="AY126" s="388"/>
      <c r="AZ126" s="380"/>
      <c r="BA126" s="380"/>
      <c r="BB126" s="110"/>
      <c r="BD126" s="375"/>
      <c r="BE126" s="85"/>
      <c r="BF126" s="193">
        <f t="shared" si="56"/>
        <v>44673</v>
      </c>
      <c r="BG126" s="430"/>
      <c r="BH126" s="846"/>
      <c r="BI126" s="846"/>
      <c r="BJ126" s="320"/>
      <c r="BK126" s="378"/>
    </row>
    <row r="127" spans="1:63" s="6" customFormat="1" ht="11.25" customHeight="1" x14ac:dyDescent="0.2">
      <c r="A127" s="56">
        <f t="shared" si="57"/>
        <v>44674</v>
      </c>
      <c r="B127" s="608">
        <v>43.402999999999999</v>
      </c>
      <c r="C127" s="385"/>
      <c r="D127" s="388">
        <f t="shared" si="58"/>
        <v>43.551793135294062</v>
      </c>
      <c r="E127" s="380">
        <f t="shared" si="59"/>
        <v>44.280539977910685</v>
      </c>
      <c r="F127" s="380">
        <f t="shared" si="60"/>
        <v>44.280539977910685</v>
      </c>
      <c r="G127" s="110">
        <f t="shared" si="61"/>
        <v>0.18688700597377234</v>
      </c>
      <c r="I127" s="375">
        <f t="shared" si="34"/>
        <v>44.280539977910685</v>
      </c>
      <c r="J127" s="85">
        <v>2022</v>
      </c>
      <c r="K127" s="193">
        <f t="shared" si="35"/>
        <v>44674</v>
      </c>
      <c r="L127" s="430">
        <f t="shared" si="36"/>
        <v>3.41646404389917E-3</v>
      </c>
      <c r="M127" s="846"/>
      <c r="N127" s="846"/>
      <c r="O127" s="320">
        <f t="shared" si="37"/>
        <v>1.6457496746429795E-2</v>
      </c>
      <c r="P127" s="165">
        <f>(INDEX(Models!$BJ127:$BT127,,T127)*(1-R127)+INDEX(Models!$BJ127:$BT127,,T127+1)*R127-ERP_i)*Q127*Ramure*Pc/MaxiM</f>
        <v>4.7539494974683633E-6</v>
      </c>
      <c r="Q127" s="301">
        <f t="shared" si="38"/>
        <v>0.5</v>
      </c>
      <c r="R127" s="173">
        <f t="shared" si="39"/>
        <v>4.9993063001532854E-2</v>
      </c>
      <c r="S127" s="801">
        <f t="shared" si="62"/>
        <v>0</v>
      </c>
      <c r="T127" s="172">
        <f t="shared" si="40"/>
        <v>6</v>
      </c>
      <c r="U127" s="247">
        <f t="shared" si="41"/>
        <v>4.9993063001532854E-2</v>
      </c>
      <c r="V127" s="378">
        <f t="shared" si="42"/>
        <v>232.24083150233082</v>
      </c>
      <c r="W127" s="397"/>
      <c r="X127" s="153">
        <f t="shared" si="43"/>
        <v>44674</v>
      </c>
      <c r="Y127" s="380">
        <f t="shared" si="44"/>
        <v>43.402999999999999</v>
      </c>
      <c r="Z127" s="380">
        <f t="shared" si="45"/>
        <v>43.551793135294062</v>
      </c>
      <c r="AA127" s="381">
        <f t="shared" si="46"/>
        <v>44.280539977910685</v>
      </c>
      <c r="AB127" s="193">
        <f t="shared" si="47"/>
        <v>44674</v>
      </c>
      <c r="AC127" s="420">
        <f t="shared" si="48"/>
        <v>1.6457496746429795E-2</v>
      </c>
      <c r="AD127" s="165">
        <f>(INDEX(Models!$BJ127:$BT127,,AH127)*(1-AF127)+INDEX(Models!$BJ127:$BT127,,AH127+1)*AF127-ERP_i)*AE127*Ramure*Pc/MaxiM</f>
        <v>4.7539494974683633E-6</v>
      </c>
      <c r="AE127" s="301">
        <f t="shared" si="49"/>
        <v>0.5</v>
      </c>
      <c r="AF127" s="173">
        <f t="shared" si="50"/>
        <v>4.9993063001532854E-2</v>
      </c>
      <c r="AG127" s="801">
        <f t="shared" si="51"/>
        <v>0</v>
      </c>
      <c r="AH127" s="172">
        <f t="shared" si="52"/>
        <v>6</v>
      </c>
      <c r="AI127" s="221">
        <f t="shared" si="53"/>
        <v>4.9993063001532854E-2</v>
      </c>
      <c r="AJ127" s="261" t="b">
        <f t="shared" si="54"/>
        <v>0</v>
      </c>
      <c r="AK127" s="261" t="b">
        <f t="shared" si="55"/>
        <v>0</v>
      </c>
      <c r="AL127" s="261"/>
      <c r="AM127" s="261"/>
      <c r="AN127" s="75"/>
      <c r="AV127" s="153">
        <f t="shared" si="63"/>
        <v>44309</v>
      </c>
      <c r="AW127" s="608"/>
      <c r="AX127" s="385"/>
      <c r="AY127" s="388"/>
      <c r="AZ127" s="380"/>
      <c r="BA127" s="380"/>
      <c r="BB127" s="110"/>
      <c r="BD127" s="375"/>
      <c r="BE127" s="85"/>
      <c r="BF127" s="193">
        <f t="shared" si="56"/>
        <v>44674</v>
      </c>
      <c r="BG127" s="430"/>
      <c r="BH127" s="846"/>
      <c r="BI127" s="846"/>
      <c r="BJ127" s="320"/>
      <c r="BK127" s="378"/>
    </row>
    <row r="128" spans="1:63" s="6" customFormat="1" ht="11.25" customHeight="1" x14ac:dyDescent="0.2">
      <c r="A128" s="56">
        <f t="shared" si="57"/>
        <v>44675</v>
      </c>
      <c r="B128" s="608">
        <v>117.233</v>
      </c>
      <c r="C128" s="385"/>
      <c r="D128" s="388">
        <f t="shared" si="58"/>
        <v>117.63650573538605</v>
      </c>
      <c r="E128" s="380">
        <f t="shared" si="59"/>
        <v>119.6128662405236</v>
      </c>
      <c r="F128" s="380">
        <f t="shared" si="60"/>
        <v>119.61303848340329</v>
      </c>
      <c r="G128" s="110">
        <f t="shared" si="61"/>
        <v>0.5035009596864054</v>
      </c>
      <c r="I128" s="375">
        <f t="shared" si="34"/>
        <v>119.61303848340329</v>
      </c>
      <c r="J128" s="85">
        <v>2022</v>
      </c>
      <c r="K128" s="193">
        <f t="shared" si="35"/>
        <v>44675</v>
      </c>
      <c r="L128" s="430">
        <f t="shared" si="36"/>
        <v>3.4301064356135891E-3</v>
      </c>
      <c r="M128" s="846"/>
      <c r="N128" s="846"/>
      <c r="O128" s="320">
        <f t="shared" si="37"/>
        <v>1.6522975890932899E-2</v>
      </c>
      <c r="P128" s="165">
        <f>(INDEX(Models!$BJ128:$BT128,,T128)*(1-R128)+INDEX(Models!$BJ128:$BT128,,T128+1)*R128-ERP_i)*Q128*Ramure*Pc/MaxiM</f>
        <v>4.9532535363626323E-6</v>
      </c>
      <c r="Q128" s="301">
        <f t="shared" si="38"/>
        <v>0.5</v>
      </c>
      <c r="R128" s="173">
        <f t="shared" si="39"/>
        <v>5.2234062388114358E-2</v>
      </c>
      <c r="S128" s="801">
        <f t="shared" si="62"/>
        <v>0</v>
      </c>
      <c r="T128" s="172">
        <f t="shared" si="40"/>
        <v>6</v>
      </c>
      <c r="U128" s="247">
        <f t="shared" si="41"/>
        <v>5.2234062388114358E-2</v>
      </c>
      <c r="V128" s="378">
        <f t="shared" si="42"/>
        <v>232.83488516739479</v>
      </c>
      <c r="W128" s="397"/>
      <c r="X128" s="153">
        <f t="shared" si="43"/>
        <v>44675</v>
      </c>
      <c r="Y128" s="380">
        <f t="shared" si="44"/>
        <v>117.233</v>
      </c>
      <c r="Z128" s="380">
        <f t="shared" si="45"/>
        <v>117.63650573538605</v>
      </c>
      <c r="AA128" s="381">
        <f t="shared" si="46"/>
        <v>119.6128662405236</v>
      </c>
      <c r="AB128" s="193">
        <f t="shared" si="47"/>
        <v>44675</v>
      </c>
      <c r="AC128" s="420">
        <f t="shared" si="48"/>
        <v>1.6522975890932899E-2</v>
      </c>
      <c r="AD128" s="165">
        <f>(INDEX(Models!$BJ128:$BT128,,AH128)*(1-AF128)+INDEX(Models!$BJ128:$BT128,,AH128+1)*AF128-ERP_i)*AE128*Ramure*Pc/MaxiM</f>
        <v>4.9532535363626323E-6</v>
      </c>
      <c r="AE128" s="301">
        <f t="shared" si="49"/>
        <v>0.5</v>
      </c>
      <c r="AF128" s="173">
        <f t="shared" si="50"/>
        <v>5.2234062388114358E-2</v>
      </c>
      <c r="AG128" s="801">
        <f t="shared" si="51"/>
        <v>0</v>
      </c>
      <c r="AH128" s="172">
        <f t="shared" si="52"/>
        <v>6</v>
      </c>
      <c r="AI128" s="221">
        <f t="shared" si="53"/>
        <v>5.2234062388114358E-2</v>
      </c>
      <c r="AJ128" s="261" t="b">
        <f t="shared" si="54"/>
        <v>0</v>
      </c>
      <c r="AK128" s="261" t="b">
        <f t="shared" si="55"/>
        <v>0</v>
      </c>
      <c r="AL128" s="261"/>
      <c r="AM128" s="261"/>
      <c r="AN128" s="75"/>
      <c r="AV128" s="153">
        <f t="shared" si="63"/>
        <v>44310</v>
      </c>
      <c r="AW128" s="608"/>
      <c r="AX128" s="385"/>
      <c r="AY128" s="388"/>
      <c r="AZ128" s="380"/>
      <c r="BA128" s="380"/>
      <c r="BB128" s="110"/>
      <c r="BD128" s="375"/>
      <c r="BE128" s="85"/>
      <c r="BF128" s="193">
        <f t="shared" si="56"/>
        <v>44675</v>
      </c>
      <c r="BG128" s="430"/>
      <c r="BH128" s="846"/>
      <c r="BI128" s="846"/>
      <c r="BJ128" s="320"/>
      <c r="BK128" s="378"/>
    </row>
    <row r="129" spans="1:63" s="6" customFormat="1" ht="11.25" customHeight="1" x14ac:dyDescent="0.2">
      <c r="A129" s="56">
        <f t="shared" si="57"/>
        <v>44676</v>
      </c>
      <c r="B129" s="608">
        <v>198.18600000000001</v>
      </c>
      <c r="C129" s="385"/>
      <c r="D129" s="388">
        <f t="shared" si="58"/>
        <v>198.87086125810765</v>
      </c>
      <c r="E129" s="380">
        <f t="shared" si="59"/>
        <v>202.22551643476493</v>
      </c>
      <c r="F129" s="380">
        <f t="shared" si="60"/>
        <v>202.22633446721255</v>
      </c>
      <c r="G129" s="110">
        <f t="shared" si="61"/>
        <v>0.84908006878324815</v>
      </c>
      <c r="I129" s="375">
        <f t="shared" si="34"/>
        <v>202.22633446721255</v>
      </c>
      <c r="J129" s="85">
        <v>2022</v>
      </c>
      <c r="K129" s="193">
        <f t="shared" si="35"/>
        <v>44676</v>
      </c>
      <c r="L129" s="430">
        <f t="shared" si="36"/>
        <v>3.4437486405752837E-3</v>
      </c>
      <c r="M129" s="846"/>
      <c r="N129" s="846"/>
      <c r="O129" s="320">
        <f t="shared" si="37"/>
        <v>1.6588683939593011E-2</v>
      </c>
      <c r="P129" s="165">
        <f>(INDEX(Models!$BJ129:$BT129,,T129)*(1-R129)+INDEX(Models!$BJ129:$BT129,,T129+1)*R129-ERP_i)*Q129*Ramure*Pc/MaxiM</f>
        <v>5.1569679754150448E-6</v>
      </c>
      <c r="Q129" s="301">
        <f t="shared" si="38"/>
        <v>0.5</v>
      </c>
      <c r="R129" s="173">
        <f t="shared" si="39"/>
        <v>5.4544903893080199E-2</v>
      </c>
      <c r="S129" s="801">
        <f t="shared" si="62"/>
        <v>0</v>
      </c>
      <c r="T129" s="172">
        <f t="shared" si="40"/>
        <v>6</v>
      </c>
      <c r="U129" s="247">
        <f t="shared" si="41"/>
        <v>5.4544903893080199E-2</v>
      </c>
      <c r="V129" s="378">
        <f t="shared" si="42"/>
        <v>233.41235642595538</v>
      </c>
      <c r="W129" s="397"/>
      <c r="X129" s="153">
        <f t="shared" si="43"/>
        <v>44676</v>
      </c>
      <c r="Y129" s="380">
        <f t="shared" si="44"/>
        <v>198.18600000000001</v>
      </c>
      <c r="Z129" s="380">
        <f t="shared" si="45"/>
        <v>198.87086125810765</v>
      </c>
      <c r="AA129" s="381">
        <f t="shared" si="46"/>
        <v>202.22551643476493</v>
      </c>
      <c r="AB129" s="193">
        <f t="shared" si="47"/>
        <v>44676</v>
      </c>
      <c r="AC129" s="420">
        <f t="shared" si="48"/>
        <v>1.6588683939593011E-2</v>
      </c>
      <c r="AD129" s="165">
        <f>(INDEX(Models!$BJ129:$BT129,,AH129)*(1-AF129)+INDEX(Models!$BJ129:$BT129,,AH129+1)*AF129-ERP_i)*AE129*Ramure*Pc/MaxiM</f>
        <v>5.1569679754150448E-6</v>
      </c>
      <c r="AE129" s="301">
        <f t="shared" si="49"/>
        <v>0.5</v>
      </c>
      <c r="AF129" s="173">
        <f t="shared" si="50"/>
        <v>5.4544903893080199E-2</v>
      </c>
      <c r="AG129" s="801">
        <f t="shared" si="51"/>
        <v>0</v>
      </c>
      <c r="AH129" s="172">
        <f t="shared" si="52"/>
        <v>6</v>
      </c>
      <c r="AI129" s="221">
        <f t="shared" si="53"/>
        <v>5.4544903893080199E-2</v>
      </c>
      <c r="AJ129" s="261" t="b">
        <f t="shared" si="54"/>
        <v>0</v>
      </c>
      <c r="AK129" s="261" t="b">
        <f t="shared" si="55"/>
        <v>0</v>
      </c>
      <c r="AL129" s="261"/>
      <c r="AM129" s="261"/>
      <c r="AN129" s="75"/>
      <c r="AV129" s="153">
        <f t="shared" si="63"/>
        <v>44311</v>
      </c>
      <c r="AW129" s="608"/>
      <c r="AX129" s="385"/>
      <c r="AY129" s="388"/>
      <c r="AZ129" s="380"/>
      <c r="BA129" s="380"/>
      <c r="BB129" s="110"/>
      <c r="BD129" s="375"/>
      <c r="BE129" s="85"/>
      <c r="BF129" s="193">
        <f t="shared" si="56"/>
        <v>44676</v>
      </c>
      <c r="BG129" s="430"/>
      <c r="BH129" s="846"/>
      <c r="BI129" s="846"/>
      <c r="BJ129" s="320"/>
      <c r="BK129" s="378"/>
    </row>
    <row r="130" spans="1:63" s="6" customFormat="1" ht="11.25" customHeight="1" x14ac:dyDescent="0.2">
      <c r="A130" s="56">
        <f t="shared" si="57"/>
        <v>44677</v>
      </c>
      <c r="B130" s="608">
        <v>232.88900000000001</v>
      </c>
      <c r="C130" s="385"/>
      <c r="D130" s="388">
        <f t="shared" si="58"/>
        <v>233.69698176172963</v>
      </c>
      <c r="E130" s="380">
        <f t="shared" si="59"/>
        <v>237.65503680471429</v>
      </c>
      <c r="F130" s="380">
        <f t="shared" si="60"/>
        <v>237.65630334663595</v>
      </c>
      <c r="G130" s="110">
        <f t="shared" si="61"/>
        <v>0.99536133691119932</v>
      </c>
      <c r="I130" s="375">
        <f t="shared" si="34"/>
        <v>237.65630334663595</v>
      </c>
      <c r="J130" s="85">
        <v>2022</v>
      </c>
      <c r="K130" s="193">
        <f t="shared" si="35"/>
        <v>44677</v>
      </c>
      <c r="L130" s="430">
        <f t="shared" si="36"/>
        <v>3.4573906587865855E-3</v>
      </c>
      <c r="M130" s="846"/>
      <c r="N130" s="846"/>
      <c r="O130" s="320">
        <f t="shared" si="37"/>
        <v>1.6654623004001699E-2</v>
      </c>
      <c r="P130" s="165">
        <f>(INDEX(Models!$BJ130:$BT130,,T130)*(1-R130)+INDEX(Models!$BJ130:$BT130,,T130+1)*R130-ERP_i)*Q130*Ramure*Pc/MaxiM</f>
        <v>5.3648515596659138E-6</v>
      </c>
      <c r="Q130" s="301">
        <f t="shared" si="38"/>
        <v>0.5</v>
      </c>
      <c r="R130" s="173">
        <f t="shared" si="39"/>
        <v>5.6926860670939161E-2</v>
      </c>
      <c r="S130" s="801">
        <f t="shared" si="62"/>
        <v>0</v>
      </c>
      <c r="T130" s="172">
        <f t="shared" si="40"/>
        <v>6</v>
      </c>
      <c r="U130" s="247">
        <f t="shared" si="41"/>
        <v>5.6926860670939161E-2</v>
      </c>
      <c r="V130" s="378">
        <f t="shared" si="42"/>
        <v>233.97431976137358</v>
      </c>
      <c r="W130" s="397"/>
      <c r="X130" s="153">
        <f t="shared" si="43"/>
        <v>44677</v>
      </c>
      <c r="Y130" s="380">
        <f t="shared" si="44"/>
        <v>232.88900000000001</v>
      </c>
      <c r="Z130" s="380">
        <f t="shared" si="45"/>
        <v>233.69698176172963</v>
      </c>
      <c r="AA130" s="381">
        <f t="shared" si="46"/>
        <v>237.65503680471429</v>
      </c>
      <c r="AB130" s="193">
        <f t="shared" si="47"/>
        <v>44677</v>
      </c>
      <c r="AC130" s="420">
        <f t="shared" si="48"/>
        <v>1.6654623004001699E-2</v>
      </c>
      <c r="AD130" s="165">
        <f>(INDEX(Models!$BJ130:$BT130,,AH130)*(1-AF130)+INDEX(Models!$BJ130:$BT130,,AH130+1)*AF130-ERP_i)*AE130*Ramure*Pc/MaxiM</f>
        <v>5.3648515596659138E-6</v>
      </c>
      <c r="AE130" s="301">
        <f t="shared" si="49"/>
        <v>0.5</v>
      </c>
      <c r="AF130" s="173">
        <f t="shared" si="50"/>
        <v>5.6926860670939161E-2</v>
      </c>
      <c r="AG130" s="801">
        <f t="shared" si="51"/>
        <v>0</v>
      </c>
      <c r="AH130" s="172">
        <f t="shared" si="52"/>
        <v>6</v>
      </c>
      <c r="AI130" s="221">
        <f t="shared" si="53"/>
        <v>5.6926860670939161E-2</v>
      </c>
      <c r="AJ130" s="261" t="b">
        <f t="shared" si="54"/>
        <v>0</v>
      </c>
      <c r="AK130" s="261" t="b">
        <f t="shared" si="55"/>
        <v>0</v>
      </c>
      <c r="AL130" s="261"/>
      <c r="AM130" s="261"/>
      <c r="AN130" s="75"/>
      <c r="AV130" s="153">
        <f t="shared" si="63"/>
        <v>44312</v>
      </c>
      <c r="AW130" s="608"/>
      <c r="AX130" s="385"/>
      <c r="AY130" s="388"/>
      <c r="AZ130" s="380"/>
      <c r="BA130" s="380"/>
      <c r="BB130" s="110"/>
      <c r="BD130" s="375"/>
      <c r="BE130" s="85"/>
      <c r="BF130" s="193">
        <f t="shared" si="56"/>
        <v>44677</v>
      </c>
      <c r="BG130" s="430"/>
      <c r="BH130" s="846"/>
      <c r="BI130" s="846"/>
      <c r="BJ130" s="320"/>
      <c r="BK130" s="378"/>
    </row>
    <row r="131" spans="1:63" s="6" customFormat="1" ht="11.25" customHeight="1" x14ac:dyDescent="0.2">
      <c r="A131" s="56">
        <f t="shared" si="57"/>
        <v>44678</v>
      </c>
      <c r="B131" s="608">
        <v>165.90299999999999</v>
      </c>
      <c r="C131" s="385"/>
      <c r="D131" s="388">
        <f t="shared" si="58"/>
        <v>166.48086047571599</v>
      </c>
      <c r="E131" s="380">
        <f t="shared" si="59"/>
        <v>169.31188983747126</v>
      </c>
      <c r="F131" s="380">
        <f t="shared" si="60"/>
        <v>169.3124393699353</v>
      </c>
      <c r="G131" s="110">
        <f t="shared" si="61"/>
        <v>0.70740791821558169</v>
      </c>
      <c r="I131" s="375">
        <f t="shared" si="34"/>
        <v>169.3124393699353</v>
      </c>
      <c r="J131" s="85">
        <v>2022</v>
      </c>
      <c r="K131" s="193">
        <f t="shared" si="35"/>
        <v>44678</v>
      </c>
      <c r="L131" s="430">
        <f t="shared" si="36"/>
        <v>3.4710324902500478E-3</v>
      </c>
      <c r="M131" s="846"/>
      <c r="N131" s="846"/>
      <c r="O131" s="320">
        <f t="shared" si="37"/>
        <v>1.6720794768004053E-2</v>
      </c>
      <c r="P131" s="165">
        <f>(INDEX(Models!$BJ131:$BT131,,T131)*(1-R131)+INDEX(Models!$BJ131:$BT131,,T131+1)*R131-ERP_i)*Q131*Ramure*Pc/MaxiM</f>
        <v>5.5766232319964049E-6</v>
      </c>
      <c r="Q131" s="301">
        <f t="shared" si="38"/>
        <v>0.5</v>
      </c>
      <c r="R131" s="173">
        <f t="shared" si="39"/>
        <v>5.9381161658074111E-2</v>
      </c>
      <c r="S131" s="801">
        <f t="shared" si="62"/>
        <v>0</v>
      </c>
      <c r="T131" s="172">
        <f t="shared" si="40"/>
        <v>6</v>
      </c>
      <c r="U131" s="247">
        <f t="shared" si="41"/>
        <v>5.9381161658074111E-2</v>
      </c>
      <c r="V131" s="378">
        <f t="shared" si="42"/>
        <v>234.52184943766486</v>
      </c>
      <c r="W131" s="397"/>
      <c r="X131" s="153">
        <f t="shared" si="43"/>
        <v>44678</v>
      </c>
      <c r="Y131" s="380">
        <f t="shared" si="44"/>
        <v>165.90299999999999</v>
      </c>
      <c r="Z131" s="380">
        <f t="shared" si="45"/>
        <v>166.48086047571599</v>
      </c>
      <c r="AA131" s="381">
        <f t="shared" si="46"/>
        <v>169.31188983747126</v>
      </c>
      <c r="AB131" s="193">
        <f t="shared" si="47"/>
        <v>44678</v>
      </c>
      <c r="AC131" s="420">
        <f t="shared" si="48"/>
        <v>1.6720794768004053E-2</v>
      </c>
      <c r="AD131" s="165">
        <f>(INDEX(Models!$BJ131:$BT131,,AH131)*(1-AF131)+INDEX(Models!$BJ131:$BT131,,AH131+1)*AF131-ERP_i)*AE131*Ramure*Pc/MaxiM</f>
        <v>5.5766232319964049E-6</v>
      </c>
      <c r="AE131" s="301">
        <f t="shared" si="49"/>
        <v>0.5</v>
      </c>
      <c r="AF131" s="173">
        <f t="shared" si="50"/>
        <v>5.9381161658074111E-2</v>
      </c>
      <c r="AG131" s="801">
        <f t="shared" si="51"/>
        <v>0</v>
      </c>
      <c r="AH131" s="172">
        <f t="shared" si="52"/>
        <v>6</v>
      </c>
      <c r="AI131" s="221">
        <f t="shared" si="53"/>
        <v>5.9381161658074111E-2</v>
      </c>
      <c r="AJ131" s="261" t="b">
        <f t="shared" si="54"/>
        <v>0</v>
      </c>
      <c r="AK131" s="261" t="b">
        <f t="shared" si="55"/>
        <v>0</v>
      </c>
      <c r="AL131" s="261"/>
      <c r="AM131" s="261"/>
      <c r="AN131" s="75"/>
      <c r="AV131" s="153">
        <f t="shared" si="63"/>
        <v>44313</v>
      </c>
      <c r="AW131" s="608"/>
      <c r="AX131" s="385"/>
      <c r="AY131" s="388"/>
      <c r="AZ131" s="380"/>
      <c r="BA131" s="380"/>
      <c r="BB131" s="110"/>
      <c r="BD131" s="375"/>
      <c r="BE131" s="85"/>
      <c r="BF131" s="193">
        <f t="shared" si="56"/>
        <v>44678</v>
      </c>
      <c r="BG131" s="430"/>
      <c r="BH131" s="846"/>
      <c r="BI131" s="846"/>
      <c r="BJ131" s="320"/>
      <c r="BK131" s="378"/>
    </row>
    <row r="132" spans="1:63" s="6" customFormat="1" ht="11.25" customHeight="1" x14ac:dyDescent="0.2">
      <c r="A132" s="56">
        <f t="shared" si="57"/>
        <v>44679</v>
      </c>
      <c r="B132" s="608">
        <v>96.623999999999995</v>
      </c>
      <c r="C132" s="385"/>
      <c r="D132" s="388">
        <f t="shared" si="58"/>
        <v>96.961880557255753</v>
      </c>
      <c r="E132" s="380">
        <f t="shared" si="59"/>
        <v>98.617390460277733</v>
      </c>
      <c r="F132" s="380">
        <f t="shared" si="60"/>
        <v>98.617481089900508</v>
      </c>
      <c r="G132" s="110">
        <f t="shared" si="61"/>
        <v>0.41106596361032427</v>
      </c>
      <c r="I132" s="375">
        <f t="shared" si="34"/>
        <v>98.617481089900508</v>
      </c>
      <c r="J132" s="85">
        <v>2022</v>
      </c>
      <c r="K132" s="193">
        <f t="shared" si="35"/>
        <v>44679</v>
      </c>
      <c r="L132" s="430">
        <f t="shared" si="36"/>
        <v>3.4846741349683352E-3</v>
      </c>
      <c r="M132" s="846"/>
      <c r="N132" s="846"/>
      <c r="O132" s="320">
        <f t="shared" si="37"/>
        <v>1.6787200465305501E-2</v>
      </c>
      <c r="P132" s="165">
        <f>(INDEX(Models!$BJ132:$BT132,,T132)*(1-R132)+INDEX(Models!$BJ132:$BT132,,T132+1)*R132-ERP_i)*Q132*Ramure*Pc/MaxiM</f>
        <v>5.79195908653035E-6</v>
      </c>
      <c r="Q132" s="301">
        <f t="shared" si="38"/>
        <v>0.5</v>
      </c>
      <c r="R132" s="173">
        <f t="shared" si="39"/>
        <v>6.1908985700951422E-2</v>
      </c>
      <c r="S132" s="801">
        <f t="shared" si="62"/>
        <v>0</v>
      </c>
      <c r="T132" s="172">
        <f t="shared" si="40"/>
        <v>6</v>
      </c>
      <c r="U132" s="247">
        <f t="shared" si="41"/>
        <v>6.1908985700951422E-2</v>
      </c>
      <c r="V132" s="378">
        <f t="shared" si="42"/>
        <v>235.05601949208963</v>
      </c>
      <c r="W132" s="397"/>
      <c r="X132" s="153">
        <f t="shared" si="43"/>
        <v>44679</v>
      </c>
      <c r="Y132" s="380">
        <f t="shared" si="44"/>
        <v>96.623999999999995</v>
      </c>
      <c r="Z132" s="380">
        <f t="shared" si="45"/>
        <v>96.961880557255753</v>
      </c>
      <c r="AA132" s="381">
        <f t="shared" si="46"/>
        <v>98.617390460277733</v>
      </c>
      <c r="AB132" s="193">
        <f t="shared" si="47"/>
        <v>44679</v>
      </c>
      <c r="AC132" s="420">
        <f t="shared" si="48"/>
        <v>1.6787200465305501E-2</v>
      </c>
      <c r="AD132" s="165">
        <f>(INDEX(Models!$BJ132:$BT132,,AH132)*(1-AF132)+INDEX(Models!$BJ132:$BT132,,AH132+1)*AF132-ERP_i)*AE132*Ramure*Pc/MaxiM</f>
        <v>5.79195908653035E-6</v>
      </c>
      <c r="AE132" s="301">
        <f t="shared" si="49"/>
        <v>0.5</v>
      </c>
      <c r="AF132" s="173">
        <f t="shared" si="50"/>
        <v>6.1908985700951422E-2</v>
      </c>
      <c r="AG132" s="801">
        <f t="shared" si="51"/>
        <v>0</v>
      </c>
      <c r="AH132" s="172">
        <f t="shared" si="52"/>
        <v>6</v>
      </c>
      <c r="AI132" s="221">
        <f t="shared" si="53"/>
        <v>6.1908985700951422E-2</v>
      </c>
      <c r="AJ132" s="261" t="b">
        <f t="shared" si="54"/>
        <v>0</v>
      </c>
      <c r="AK132" s="261" t="b">
        <f t="shared" si="55"/>
        <v>0</v>
      </c>
      <c r="AL132" s="261"/>
      <c r="AM132" s="261"/>
      <c r="AN132" s="75"/>
      <c r="AV132" s="153">
        <f t="shared" si="63"/>
        <v>44314</v>
      </c>
      <c r="AW132" s="608"/>
      <c r="AX132" s="385"/>
      <c r="AY132" s="388"/>
      <c r="AZ132" s="380"/>
      <c r="BA132" s="380"/>
      <c r="BB132" s="110"/>
      <c r="BD132" s="375"/>
      <c r="BE132" s="85"/>
      <c r="BF132" s="193">
        <f t="shared" si="56"/>
        <v>44679</v>
      </c>
      <c r="BG132" s="430"/>
      <c r="BH132" s="846"/>
      <c r="BI132" s="846"/>
      <c r="BJ132" s="320"/>
      <c r="BK132" s="378"/>
    </row>
    <row r="133" spans="1:63" s="6" customFormat="1" ht="11.25" customHeight="1" x14ac:dyDescent="0.2">
      <c r="A133" s="56">
        <f t="shared" si="57"/>
        <v>44680</v>
      </c>
      <c r="B133" s="608">
        <v>178.56</v>
      </c>
      <c r="C133" s="385"/>
      <c r="D133" s="388">
        <f t="shared" si="58"/>
        <v>179.18685215895823</v>
      </c>
      <c r="E133" s="380">
        <f t="shared" si="59"/>
        <v>182.25860976270403</v>
      </c>
      <c r="F133" s="380">
        <f t="shared" si="60"/>
        <v>182.25932645810221</v>
      </c>
      <c r="G133" s="110">
        <f t="shared" si="61"/>
        <v>0.75796424902025128</v>
      </c>
      <c r="I133" s="375">
        <f t="shared" si="34"/>
        <v>182.25932645810221</v>
      </c>
      <c r="J133" s="85">
        <v>2022</v>
      </c>
      <c r="K133" s="193">
        <f t="shared" si="35"/>
        <v>44680</v>
      </c>
      <c r="L133" s="430">
        <f t="shared" si="36"/>
        <v>3.4983155929440013E-3</v>
      </c>
      <c r="M133" s="846"/>
      <c r="N133" s="846"/>
      <c r="O133" s="320">
        <f t="shared" si="37"/>
        <v>1.6853840856929345E-2</v>
      </c>
      <c r="P133" s="165">
        <f>(INDEX(Models!$BJ133:$BT133,,T133)*(1-R133)+INDEX(Models!$BJ133:$BT133,,T133+1)*R133-ERP_i)*Q133*Ramure*Pc/MaxiM</f>
        <v>6.0104892537351392E-6</v>
      </c>
      <c r="Q133" s="301">
        <f t="shared" si="38"/>
        <v>0.5</v>
      </c>
      <c r="R133" s="173">
        <f t="shared" si="39"/>
        <v>6.4511455462083506E-2</v>
      </c>
      <c r="S133" s="801">
        <f t="shared" si="62"/>
        <v>0</v>
      </c>
      <c r="T133" s="172">
        <f t="shared" si="40"/>
        <v>6</v>
      </c>
      <c r="U133" s="247">
        <f t="shared" si="41"/>
        <v>6.4511455462083506E-2</v>
      </c>
      <c r="V133" s="378">
        <f t="shared" si="42"/>
        <v>235.57790376654759</v>
      </c>
      <c r="W133" s="397"/>
      <c r="X133" s="153">
        <f t="shared" si="43"/>
        <v>44680</v>
      </c>
      <c r="Y133" s="380">
        <f t="shared" si="44"/>
        <v>178.56</v>
      </c>
      <c r="Z133" s="380">
        <f t="shared" si="45"/>
        <v>179.18685215895823</v>
      </c>
      <c r="AA133" s="381">
        <f t="shared" si="46"/>
        <v>182.25860976270403</v>
      </c>
      <c r="AB133" s="193">
        <f t="shared" si="47"/>
        <v>44680</v>
      </c>
      <c r="AC133" s="420">
        <f t="shared" si="48"/>
        <v>1.6853840856929345E-2</v>
      </c>
      <c r="AD133" s="165">
        <f>(INDEX(Models!$BJ133:$BT133,,AH133)*(1-AF133)+INDEX(Models!$BJ133:$BT133,,AH133+1)*AF133-ERP_i)*AE133*Ramure*Pc/MaxiM</f>
        <v>6.0104892537351392E-6</v>
      </c>
      <c r="AE133" s="301">
        <f t="shared" si="49"/>
        <v>0.5</v>
      </c>
      <c r="AF133" s="173">
        <f t="shared" si="50"/>
        <v>6.4511455462083506E-2</v>
      </c>
      <c r="AG133" s="801">
        <f t="shared" si="51"/>
        <v>0</v>
      </c>
      <c r="AH133" s="172">
        <f t="shared" si="52"/>
        <v>6</v>
      </c>
      <c r="AI133" s="221">
        <f t="shared" si="53"/>
        <v>6.4511455462083506E-2</v>
      </c>
      <c r="AJ133" s="261" t="b">
        <f t="shared" si="54"/>
        <v>0</v>
      </c>
      <c r="AK133" s="261" t="b">
        <f t="shared" si="55"/>
        <v>0</v>
      </c>
      <c r="AL133" s="261"/>
      <c r="AM133" s="261"/>
      <c r="AN133" s="75"/>
      <c r="AV133" s="153">
        <f t="shared" si="63"/>
        <v>44315</v>
      </c>
      <c r="AW133" s="608"/>
      <c r="AX133" s="385"/>
      <c r="AY133" s="388"/>
      <c r="AZ133" s="380"/>
      <c r="BA133" s="380"/>
      <c r="BB133" s="110"/>
      <c r="BD133" s="375"/>
      <c r="BE133" s="85"/>
      <c r="BF133" s="193">
        <f t="shared" si="56"/>
        <v>44680</v>
      </c>
      <c r="BG133" s="430"/>
      <c r="BH133" s="846"/>
      <c r="BI133" s="846"/>
      <c r="BJ133" s="320"/>
      <c r="BK133" s="378"/>
    </row>
    <row r="134" spans="1:63" s="6" customFormat="1" ht="11.25" customHeight="1" x14ac:dyDescent="0.2">
      <c r="A134" s="56">
        <f t="shared" si="57"/>
        <v>44681</v>
      </c>
      <c r="B134" s="608">
        <v>167.19300000000001</v>
      </c>
      <c r="C134" s="385"/>
      <c r="D134" s="388">
        <f t="shared" si="58"/>
        <v>167.78224400351559</v>
      </c>
      <c r="E134" s="380">
        <f t="shared" si="59"/>
        <v>170.67010440546571</v>
      </c>
      <c r="F134" s="380">
        <f t="shared" si="60"/>
        <v>170.67072459569192</v>
      </c>
      <c r="G134" s="110">
        <f t="shared" si="61"/>
        <v>0.70817728047129203</v>
      </c>
      <c r="I134" s="375">
        <f t="shared" si="34"/>
        <v>170.67072459569192</v>
      </c>
      <c r="J134" s="85">
        <v>2022</v>
      </c>
      <c r="K134" s="193">
        <f t="shared" si="35"/>
        <v>44681</v>
      </c>
      <c r="L134" s="430">
        <f t="shared" si="36"/>
        <v>3.5119568641794885E-3</v>
      </c>
      <c r="M134" s="846"/>
      <c r="N134" s="846"/>
      <c r="O134" s="320">
        <f t="shared" si="37"/>
        <v>1.6920716208676738E-2</v>
      </c>
      <c r="P134" s="165">
        <f>(INDEX(Models!$BJ134:$BT134,,T134)*(1-R134)+INDEX(Models!$BJ134:$BT134,,T134+1)*R134-ERP_i)*Q134*Ramure*Pc/MaxiM</f>
        <v>6.2317947370858147E-6</v>
      </c>
      <c r="Q134" s="301">
        <f t="shared" si="38"/>
        <v>0.5</v>
      </c>
      <c r="R134" s="173">
        <f t="shared" si="39"/>
        <v>6.7189631119362631E-2</v>
      </c>
      <c r="S134" s="801">
        <f t="shared" si="62"/>
        <v>0</v>
      </c>
      <c r="T134" s="172">
        <f t="shared" si="40"/>
        <v>6</v>
      </c>
      <c r="U134" s="247">
        <f t="shared" si="41"/>
        <v>6.7189631119362631E-2</v>
      </c>
      <c r="V134" s="378">
        <f t="shared" si="42"/>
        <v>236.08857591057776</v>
      </c>
      <c r="W134" s="397"/>
      <c r="X134" s="153">
        <f t="shared" si="43"/>
        <v>44681</v>
      </c>
      <c r="Y134" s="380">
        <f t="shared" si="44"/>
        <v>167.19300000000001</v>
      </c>
      <c r="Z134" s="380">
        <f t="shared" si="45"/>
        <v>167.78224400351559</v>
      </c>
      <c r="AA134" s="381">
        <f t="shared" si="46"/>
        <v>170.67010440546571</v>
      </c>
      <c r="AB134" s="193">
        <f t="shared" si="47"/>
        <v>44681</v>
      </c>
      <c r="AC134" s="420">
        <f t="shared" si="48"/>
        <v>1.6920716208676738E-2</v>
      </c>
      <c r="AD134" s="165">
        <f>(INDEX(Models!$BJ134:$BT134,,AH134)*(1-AF134)+INDEX(Models!$BJ134:$BT134,,AH134+1)*AF134-ERP_i)*AE134*Ramure*Pc/MaxiM</f>
        <v>6.2317947370858147E-6</v>
      </c>
      <c r="AE134" s="301">
        <f t="shared" si="49"/>
        <v>0.5</v>
      </c>
      <c r="AF134" s="173">
        <f t="shared" si="50"/>
        <v>6.7189631119362631E-2</v>
      </c>
      <c r="AG134" s="801">
        <f t="shared" si="51"/>
        <v>0</v>
      </c>
      <c r="AH134" s="172">
        <f t="shared" si="52"/>
        <v>6</v>
      </c>
      <c r="AI134" s="221">
        <f t="shared" si="53"/>
        <v>6.7189631119362631E-2</v>
      </c>
      <c r="AJ134" s="261" t="b">
        <f t="shared" si="54"/>
        <v>0</v>
      </c>
      <c r="AK134" s="261" t="b">
        <f t="shared" si="55"/>
        <v>0</v>
      </c>
      <c r="AL134" s="261"/>
      <c r="AM134" s="261"/>
      <c r="AN134" s="75"/>
      <c r="AV134" s="153">
        <f t="shared" si="63"/>
        <v>44316</v>
      </c>
      <c r="AW134" s="608"/>
      <c r="AX134" s="385"/>
      <c r="AY134" s="388"/>
      <c r="AZ134" s="380"/>
      <c r="BA134" s="380"/>
      <c r="BB134" s="110"/>
      <c r="BD134" s="375"/>
      <c r="BE134" s="85"/>
      <c r="BF134" s="193">
        <f t="shared" si="56"/>
        <v>44681</v>
      </c>
      <c r="BG134" s="430"/>
      <c r="BH134" s="846"/>
      <c r="BI134" s="846"/>
      <c r="BJ134" s="320"/>
      <c r="BK134" s="378"/>
    </row>
    <row r="135" spans="1:63" s="6" customFormat="1" ht="11.25" customHeight="1" x14ac:dyDescent="0.2">
      <c r="A135" s="56">
        <f t="shared" si="57"/>
        <v>44682</v>
      </c>
      <c r="B135" s="608">
        <v>199.02100000000002</v>
      </c>
      <c r="C135" s="385"/>
      <c r="D135" s="388">
        <f t="shared" si="58"/>
        <v>199.72515058118836</v>
      </c>
      <c r="E135" s="380">
        <f t="shared" si="59"/>
        <v>203.17668073538385</v>
      </c>
      <c r="F135" s="380">
        <f t="shared" si="60"/>
        <v>203.17769484479672</v>
      </c>
      <c r="G135" s="110">
        <f t="shared" si="61"/>
        <v>0.84122188601508874</v>
      </c>
      <c r="I135" s="375">
        <f t="shared" si="34"/>
        <v>203.17769484479672</v>
      </c>
      <c r="J135" s="85">
        <v>2022</v>
      </c>
      <c r="K135" s="193">
        <f t="shared" si="35"/>
        <v>44682</v>
      </c>
      <c r="L135" s="430">
        <f t="shared" si="36"/>
        <v>3.5255979486775724E-3</v>
      </c>
      <c r="M135" s="846"/>
      <c r="N135" s="846"/>
      <c r="O135" s="320">
        <f t="shared" si="37"/>
        <v>1.698782626875734E-2</v>
      </c>
      <c r="P135" s="165">
        <f>(INDEX(Models!$BJ135:$BT135,,T135)*(1-R135)+INDEX(Models!$BJ135:$BT135,,T135+1)*R135-ERP_i)*Q135*Ramure*Pc/MaxiM</f>
        <v>6.4555089315859738E-6</v>
      </c>
      <c r="Q135" s="301">
        <f t="shared" si="38"/>
        <v>0.5</v>
      </c>
      <c r="R135" s="173">
        <f t="shared" si="39"/>
        <v>6.9944503877422626E-2</v>
      </c>
      <c r="S135" s="801">
        <f t="shared" si="62"/>
        <v>0</v>
      </c>
      <c r="T135" s="172">
        <f t="shared" si="40"/>
        <v>6</v>
      </c>
      <c r="U135" s="247">
        <f t="shared" si="41"/>
        <v>6.9944503877422626E-2</v>
      </c>
      <c r="V135" s="378">
        <f t="shared" si="42"/>
        <v>236.58527183809863</v>
      </c>
      <c r="W135" s="397"/>
      <c r="X135" s="153">
        <f t="shared" si="43"/>
        <v>44682</v>
      </c>
      <c r="Y135" s="380">
        <f t="shared" si="44"/>
        <v>199.02100000000002</v>
      </c>
      <c r="Z135" s="380">
        <f t="shared" si="45"/>
        <v>199.72515058118836</v>
      </c>
      <c r="AA135" s="381">
        <f t="shared" si="46"/>
        <v>203.17668073538385</v>
      </c>
      <c r="AB135" s="193">
        <f t="shared" si="47"/>
        <v>44682</v>
      </c>
      <c r="AC135" s="420">
        <f t="shared" si="48"/>
        <v>1.698782626875734E-2</v>
      </c>
      <c r="AD135" s="165">
        <f>(INDEX(Models!$BJ135:$BT135,,AH135)*(1-AF135)+INDEX(Models!$BJ135:$BT135,,AH135+1)*AF135-ERP_i)*AE135*Ramure*Pc/MaxiM</f>
        <v>6.4555089315859738E-6</v>
      </c>
      <c r="AE135" s="301">
        <f t="shared" si="49"/>
        <v>0.5</v>
      </c>
      <c r="AF135" s="173">
        <f t="shared" si="50"/>
        <v>6.9944503877422626E-2</v>
      </c>
      <c r="AG135" s="801">
        <f t="shared" si="51"/>
        <v>0</v>
      </c>
      <c r="AH135" s="172">
        <f t="shared" si="52"/>
        <v>6</v>
      </c>
      <c r="AI135" s="221">
        <f t="shared" si="53"/>
        <v>6.9944503877422626E-2</v>
      </c>
      <c r="AJ135" s="261" t="b">
        <f t="shared" si="54"/>
        <v>0</v>
      </c>
      <c r="AK135" s="261" t="b">
        <f t="shared" si="55"/>
        <v>0</v>
      </c>
      <c r="AL135" s="261"/>
      <c r="AM135" s="261"/>
      <c r="AN135" s="75"/>
      <c r="AV135" s="153">
        <f t="shared" si="63"/>
        <v>44317</v>
      </c>
      <c r="AW135" s="608"/>
      <c r="AX135" s="385"/>
      <c r="AY135" s="388"/>
      <c r="AZ135" s="380"/>
      <c r="BA135" s="380"/>
      <c r="BB135" s="110"/>
      <c r="BD135" s="375"/>
      <c r="BE135" s="85"/>
      <c r="BF135" s="193">
        <f t="shared" si="56"/>
        <v>44682</v>
      </c>
      <c r="BG135" s="430"/>
      <c r="BH135" s="846"/>
      <c r="BI135" s="846"/>
      <c r="BJ135" s="320"/>
      <c r="BK135" s="378"/>
    </row>
    <row r="136" spans="1:63" s="6" customFormat="1" ht="11.25" customHeight="1" x14ac:dyDescent="0.2">
      <c r="A136" s="56">
        <f t="shared" si="57"/>
        <v>44683</v>
      </c>
      <c r="B136" s="608">
        <v>118.09100000000001</v>
      </c>
      <c r="C136" s="385"/>
      <c r="D136" s="388">
        <f t="shared" si="58"/>
        <v>118.51043674142389</v>
      </c>
      <c r="E136" s="380">
        <f t="shared" si="59"/>
        <v>120.56672272344737</v>
      </c>
      <c r="F136" s="380">
        <f t="shared" si="60"/>
        <v>120.56695071205655</v>
      </c>
      <c r="G136" s="110">
        <f t="shared" si="61"/>
        <v>0.49813552514816589</v>
      </c>
      <c r="I136" s="375">
        <f t="shared" si="34"/>
        <v>120.56695071205655</v>
      </c>
      <c r="J136" s="85">
        <v>2022</v>
      </c>
      <c r="K136" s="193">
        <f t="shared" si="35"/>
        <v>44683</v>
      </c>
      <c r="L136" s="430">
        <f t="shared" si="36"/>
        <v>3.5392388464404734E-3</v>
      </c>
      <c r="M136" s="846"/>
      <c r="N136" s="846"/>
      <c r="O136" s="320">
        <f t="shared" si="37"/>
        <v>1.7055170245774562E-2</v>
      </c>
      <c r="P136" s="165">
        <f>(INDEX(Models!$BJ136:$BT136,,T136)*(1-R136)+INDEX(Models!$BJ136:$BT136,,T136+1)*R136-ERP_i)*Q136*Ramure*Pc/MaxiM</f>
        <v>6.6805978909558257E-6</v>
      </c>
      <c r="Q136" s="301">
        <f t="shared" si="38"/>
        <v>0.5</v>
      </c>
      <c r="R136" s="173">
        <f t="shared" si="39"/>
        <v>7.2776989312857712E-2</v>
      </c>
      <c r="S136" s="801">
        <f t="shared" si="62"/>
        <v>0</v>
      </c>
      <c r="T136" s="172">
        <f t="shared" si="40"/>
        <v>6</v>
      </c>
      <c r="U136" s="247">
        <f t="shared" si="41"/>
        <v>7.2776989312857712E-2</v>
      </c>
      <c r="V136" s="378">
        <f t="shared" si="42"/>
        <v>237.06487175749641</v>
      </c>
      <c r="W136" s="397"/>
      <c r="X136" s="153">
        <f t="shared" si="43"/>
        <v>44683</v>
      </c>
      <c r="Y136" s="380">
        <f t="shared" si="44"/>
        <v>118.09100000000001</v>
      </c>
      <c r="Z136" s="380">
        <f t="shared" si="45"/>
        <v>118.51043674142389</v>
      </c>
      <c r="AA136" s="381">
        <f t="shared" si="46"/>
        <v>120.56672272344737</v>
      </c>
      <c r="AB136" s="193">
        <f t="shared" si="47"/>
        <v>44683</v>
      </c>
      <c r="AC136" s="420">
        <f t="shared" si="48"/>
        <v>1.7055170245774562E-2</v>
      </c>
      <c r="AD136" s="165">
        <f>(INDEX(Models!$BJ136:$BT136,,AH136)*(1-AF136)+INDEX(Models!$BJ136:$BT136,,AH136+1)*AF136-ERP_i)*AE136*Ramure*Pc/MaxiM</f>
        <v>6.6805978909558257E-6</v>
      </c>
      <c r="AE136" s="301">
        <f t="shared" si="49"/>
        <v>0.5</v>
      </c>
      <c r="AF136" s="173">
        <f t="shared" si="50"/>
        <v>7.2776989312857712E-2</v>
      </c>
      <c r="AG136" s="801">
        <f t="shared" si="51"/>
        <v>0</v>
      </c>
      <c r="AH136" s="172">
        <f t="shared" si="52"/>
        <v>6</v>
      </c>
      <c r="AI136" s="221">
        <f t="shared" si="53"/>
        <v>7.2776989312857712E-2</v>
      </c>
      <c r="AJ136" s="261" t="b">
        <f t="shared" si="54"/>
        <v>0</v>
      </c>
      <c r="AK136" s="261" t="b">
        <f t="shared" si="55"/>
        <v>0</v>
      </c>
      <c r="AL136" s="261"/>
      <c r="AM136" s="261"/>
      <c r="AN136" s="75"/>
      <c r="AV136" s="153">
        <f t="shared" si="63"/>
        <v>44318</v>
      </c>
      <c r="AW136" s="608"/>
      <c r="AX136" s="385"/>
      <c r="AY136" s="388"/>
      <c r="AZ136" s="380"/>
      <c r="BA136" s="380"/>
      <c r="BB136" s="110"/>
      <c r="BD136" s="375"/>
      <c r="BE136" s="85"/>
      <c r="BF136" s="193">
        <f t="shared" si="56"/>
        <v>44683</v>
      </c>
      <c r="BG136" s="430"/>
      <c r="BH136" s="846"/>
      <c r="BI136" s="846"/>
      <c r="BJ136" s="320"/>
      <c r="BK136" s="378"/>
    </row>
    <row r="137" spans="1:63" s="6" customFormat="1" ht="11.25" customHeight="1" x14ac:dyDescent="0.2">
      <c r="A137" s="56">
        <f t="shared" si="57"/>
        <v>44684</v>
      </c>
      <c r="B137" s="608">
        <v>134.46700000000001</v>
      </c>
      <c r="C137" s="385"/>
      <c r="D137" s="388">
        <f t="shared" si="58"/>
        <v>134.94644847815135</v>
      </c>
      <c r="E137" s="380">
        <f t="shared" si="59"/>
        <v>137.2973563454145</v>
      </c>
      <c r="F137" s="380">
        <f t="shared" si="60"/>
        <v>137.29771718168283</v>
      </c>
      <c r="G137" s="110">
        <f t="shared" si="61"/>
        <v>0.56610788041512272</v>
      </c>
      <c r="I137" s="375">
        <f t="shared" si="34"/>
        <v>137.29771718168283</v>
      </c>
      <c r="J137" s="85">
        <v>2022</v>
      </c>
      <c r="K137" s="193">
        <f t="shared" si="35"/>
        <v>44684</v>
      </c>
      <c r="L137" s="430">
        <f t="shared" si="36"/>
        <v>3.5528795574710781E-3</v>
      </c>
      <c r="M137" s="846"/>
      <c r="N137" s="846"/>
      <c r="O137" s="320">
        <f t="shared" si="37"/>
        <v>1.7122746787263009E-2</v>
      </c>
      <c r="P137" s="165">
        <f>(INDEX(Models!$BJ137:$BT137,,T137)*(1-R137)+INDEX(Models!$BJ137:$BT137,,T137+1)*R137-ERP_i)*Q137*Ramure*Pc/MaxiM</f>
        <v>6.9132651116330814E-6</v>
      </c>
      <c r="Q137" s="301">
        <f t="shared" si="38"/>
        <v>0.5</v>
      </c>
      <c r="R137" s="173">
        <f t="shared" si="39"/>
        <v>7.5687920578421483E-2</v>
      </c>
      <c r="S137" s="801">
        <f t="shared" si="62"/>
        <v>0</v>
      </c>
      <c r="T137" s="172">
        <f t="shared" si="40"/>
        <v>6</v>
      </c>
      <c r="U137" s="247">
        <f t="shared" si="41"/>
        <v>7.5687920578421483E-2</v>
      </c>
      <c r="V137" s="378">
        <f t="shared" si="42"/>
        <v>237.52791374435176</v>
      </c>
      <c r="W137" s="397"/>
      <c r="X137" s="153">
        <f t="shared" si="43"/>
        <v>44684</v>
      </c>
      <c r="Y137" s="380">
        <f t="shared" si="44"/>
        <v>134.46700000000001</v>
      </c>
      <c r="Z137" s="380">
        <f t="shared" si="45"/>
        <v>134.94644847815135</v>
      </c>
      <c r="AA137" s="381">
        <f t="shared" si="46"/>
        <v>137.2973563454145</v>
      </c>
      <c r="AB137" s="193">
        <f t="shared" si="47"/>
        <v>44684</v>
      </c>
      <c r="AC137" s="420">
        <f t="shared" si="48"/>
        <v>1.7122746787263009E-2</v>
      </c>
      <c r="AD137" s="165">
        <f>(INDEX(Models!$BJ137:$BT137,,AH137)*(1-AF137)+INDEX(Models!$BJ137:$BT137,,AH137+1)*AF137-ERP_i)*AE137*Ramure*Pc/MaxiM</f>
        <v>6.9132651116330814E-6</v>
      </c>
      <c r="AE137" s="301">
        <f t="shared" si="49"/>
        <v>0.5</v>
      </c>
      <c r="AF137" s="173">
        <f t="shared" si="50"/>
        <v>7.5687920578421483E-2</v>
      </c>
      <c r="AG137" s="801">
        <f t="shared" si="51"/>
        <v>0</v>
      </c>
      <c r="AH137" s="172">
        <f t="shared" si="52"/>
        <v>6</v>
      </c>
      <c r="AI137" s="221">
        <f t="shared" si="53"/>
        <v>7.5687920578421483E-2</v>
      </c>
      <c r="AJ137" s="261" t="b">
        <f t="shared" si="54"/>
        <v>0</v>
      </c>
      <c r="AK137" s="261" t="b">
        <f t="shared" si="55"/>
        <v>0</v>
      </c>
      <c r="AL137" s="261"/>
      <c r="AM137" s="261"/>
      <c r="AN137" s="75"/>
      <c r="AV137" s="153">
        <f t="shared" si="63"/>
        <v>44319</v>
      </c>
      <c r="AW137" s="608"/>
      <c r="AX137" s="385"/>
      <c r="AY137" s="388"/>
      <c r="AZ137" s="380"/>
      <c r="BA137" s="380"/>
      <c r="BB137" s="110"/>
      <c r="BD137" s="375"/>
      <c r="BE137" s="85"/>
      <c r="BF137" s="193">
        <f t="shared" si="56"/>
        <v>44684</v>
      </c>
      <c r="BG137" s="430"/>
      <c r="BH137" s="846"/>
      <c r="BI137" s="846"/>
      <c r="BJ137" s="320"/>
      <c r="BK137" s="378"/>
    </row>
    <row r="138" spans="1:63" s="6" customFormat="1" ht="11.25" customHeight="1" x14ac:dyDescent="0.2">
      <c r="A138" s="56">
        <f t="shared" si="57"/>
        <v>44685</v>
      </c>
      <c r="B138" s="608">
        <v>78.924999999999997</v>
      </c>
      <c r="C138" s="385"/>
      <c r="D138" s="388">
        <f t="shared" si="58"/>
        <v>79.207495121979377</v>
      </c>
      <c r="E138" s="380">
        <f t="shared" si="59"/>
        <v>80.59293227293027</v>
      </c>
      <c r="F138" s="380">
        <f t="shared" si="60"/>
        <v>80.592958342597413</v>
      </c>
      <c r="G138" s="110">
        <f t="shared" si="61"/>
        <v>0.33165030667400558</v>
      </c>
      <c r="I138" s="375">
        <f t="shared" si="34"/>
        <v>80.592958342597413</v>
      </c>
      <c r="J138" s="85">
        <v>2022</v>
      </c>
      <c r="K138" s="193">
        <f t="shared" si="35"/>
        <v>44685</v>
      </c>
      <c r="L138" s="430">
        <f t="shared" si="36"/>
        <v>3.566520081771718E-3</v>
      </c>
      <c r="M138" s="846"/>
      <c r="N138" s="846"/>
      <c r="O138" s="320">
        <f t="shared" si="37"/>
        <v>1.7190553958988115E-2</v>
      </c>
      <c r="P138" s="165">
        <f>(INDEX(Models!$BJ138:$BT138,,T138)*(1-R138)+INDEX(Models!$BJ138:$BT138,,T138+1)*R138-ERP_i)*Q138*Ramure*Pc/MaxiM</f>
        <v>7.1536456542565834E-6</v>
      </c>
      <c r="Q138" s="301">
        <f t="shared" si="38"/>
        <v>0.5</v>
      </c>
      <c r="R138" s="173">
        <f t="shared" si="39"/>
        <v>7.8678041494711887E-2</v>
      </c>
      <c r="S138" s="801">
        <f t="shared" si="62"/>
        <v>0</v>
      </c>
      <c r="T138" s="172">
        <f t="shared" si="40"/>
        <v>6</v>
      </c>
      <c r="U138" s="247">
        <f t="shared" si="41"/>
        <v>7.8678041494711887E-2</v>
      </c>
      <c r="V138" s="378">
        <f t="shared" si="42"/>
        <v>237.97493727647321</v>
      </c>
      <c r="W138" s="397"/>
      <c r="X138" s="153">
        <f t="shared" si="43"/>
        <v>44685</v>
      </c>
      <c r="Y138" s="380">
        <f t="shared" si="44"/>
        <v>78.924999999999997</v>
      </c>
      <c r="Z138" s="380">
        <f t="shared" si="45"/>
        <v>79.207495121979377</v>
      </c>
      <c r="AA138" s="381">
        <f t="shared" si="46"/>
        <v>80.59293227293027</v>
      </c>
      <c r="AB138" s="193">
        <f t="shared" si="47"/>
        <v>44685</v>
      </c>
      <c r="AC138" s="420">
        <f t="shared" si="48"/>
        <v>1.7190553958988115E-2</v>
      </c>
      <c r="AD138" s="165">
        <f>(INDEX(Models!$BJ138:$BT138,,AH138)*(1-AF138)+INDEX(Models!$BJ138:$BT138,,AH138+1)*AF138-ERP_i)*AE138*Ramure*Pc/MaxiM</f>
        <v>7.1536456542565834E-6</v>
      </c>
      <c r="AE138" s="301">
        <f t="shared" si="49"/>
        <v>0.5</v>
      </c>
      <c r="AF138" s="173">
        <f t="shared" si="50"/>
        <v>7.8678041494711887E-2</v>
      </c>
      <c r="AG138" s="801">
        <f t="shared" si="51"/>
        <v>0</v>
      </c>
      <c r="AH138" s="172">
        <f t="shared" si="52"/>
        <v>6</v>
      </c>
      <c r="AI138" s="221">
        <f t="shared" si="53"/>
        <v>7.8678041494711887E-2</v>
      </c>
      <c r="AJ138" s="261" t="b">
        <f t="shared" si="54"/>
        <v>0</v>
      </c>
      <c r="AK138" s="261" t="b">
        <f t="shared" si="55"/>
        <v>0</v>
      </c>
      <c r="AL138" s="261"/>
      <c r="AM138" s="261"/>
      <c r="AN138" s="75"/>
      <c r="AV138" s="153">
        <f t="shared" si="63"/>
        <v>44320</v>
      </c>
      <c r="AW138" s="608"/>
      <c r="AX138" s="385"/>
      <c r="AY138" s="388"/>
      <c r="AZ138" s="380"/>
      <c r="BA138" s="380"/>
      <c r="BB138" s="110"/>
      <c r="BD138" s="375"/>
      <c r="BE138" s="85"/>
      <c r="BF138" s="193">
        <f t="shared" si="56"/>
        <v>44685</v>
      </c>
      <c r="BG138" s="430"/>
      <c r="BH138" s="846"/>
      <c r="BI138" s="846"/>
      <c r="BJ138" s="320"/>
      <c r="BK138" s="378"/>
    </row>
    <row r="139" spans="1:63" s="6" customFormat="1" ht="11.25" customHeight="1" x14ac:dyDescent="0.2">
      <c r="A139" s="56">
        <f t="shared" si="57"/>
        <v>44686</v>
      </c>
      <c r="B139" s="608">
        <v>166.274</v>
      </c>
      <c r="C139" s="385"/>
      <c r="D139" s="388">
        <f t="shared" si="58"/>
        <v>166.87142647618973</v>
      </c>
      <c r="E139" s="380">
        <f t="shared" si="59"/>
        <v>169.80196890719401</v>
      </c>
      <c r="F139" s="380">
        <f t="shared" si="60"/>
        <v>169.80268251285483</v>
      </c>
      <c r="G139" s="110">
        <f t="shared" si="61"/>
        <v>0.69743685971076241</v>
      </c>
      <c r="I139" s="375">
        <f t="shared" si="34"/>
        <v>169.80268251285483</v>
      </c>
      <c r="J139" s="85">
        <v>2022</v>
      </c>
      <c r="K139" s="193">
        <f t="shared" si="35"/>
        <v>44686</v>
      </c>
      <c r="L139" s="430">
        <f t="shared" si="36"/>
        <v>3.5801604193451686E-3</v>
      </c>
      <c r="M139" s="846"/>
      <c r="N139" s="846"/>
      <c r="O139" s="320">
        <f t="shared" si="37"/>
        <v>1.7258589225228518E-2</v>
      </c>
      <c r="P139" s="165">
        <f>(INDEX(Models!$BJ139:$BT139,,T139)*(1-R139)+INDEX(Models!$BJ139:$BT139,,T139+1)*R139-ERP_i)*Q139*Ramure*Pc/MaxiM</f>
        <v>7.4018656620558385E-6</v>
      </c>
      <c r="Q139" s="301">
        <f t="shared" si="38"/>
        <v>0.5</v>
      </c>
      <c r="R139" s="173">
        <f t="shared" si="39"/>
        <v>8.1747999561288281E-2</v>
      </c>
      <c r="S139" s="801">
        <f t="shared" si="62"/>
        <v>0</v>
      </c>
      <c r="T139" s="172">
        <f t="shared" si="40"/>
        <v>6</v>
      </c>
      <c r="U139" s="247">
        <f t="shared" si="41"/>
        <v>8.1747999561288281E-2</v>
      </c>
      <c r="V139" s="378">
        <f t="shared" si="42"/>
        <v>238.40648184995055</v>
      </c>
      <c r="W139" s="397"/>
      <c r="X139" s="153">
        <f t="shared" si="43"/>
        <v>44686</v>
      </c>
      <c r="Y139" s="380">
        <f t="shared" si="44"/>
        <v>166.274</v>
      </c>
      <c r="Z139" s="380">
        <f t="shared" si="45"/>
        <v>166.87142647618973</v>
      </c>
      <c r="AA139" s="381">
        <f t="shared" si="46"/>
        <v>169.80196890719401</v>
      </c>
      <c r="AB139" s="193">
        <f t="shared" si="47"/>
        <v>44686</v>
      </c>
      <c r="AC139" s="420">
        <f t="shared" si="48"/>
        <v>1.7258589225228518E-2</v>
      </c>
      <c r="AD139" s="165">
        <f>(INDEX(Models!$BJ139:$BT139,,AH139)*(1-AF139)+INDEX(Models!$BJ139:$BT139,,AH139+1)*AF139-ERP_i)*AE139*Ramure*Pc/MaxiM</f>
        <v>7.4018656620558385E-6</v>
      </c>
      <c r="AE139" s="301">
        <f t="shared" si="49"/>
        <v>0.5</v>
      </c>
      <c r="AF139" s="173">
        <f t="shared" si="50"/>
        <v>8.1747999561288281E-2</v>
      </c>
      <c r="AG139" s="801">
        <f t="shared" si="51"/>
        <v>0</v>
      </c>
      <c r="AH139" s="172">
        <f t="shared" si="52"/>
        <v>6</v>
      </c>
      <c r="AI139" s="221">
        <f t="shared" si="53"/>
        <v>8.1747999561288281E-2</v>
      </c>
      <c r="AJ139" s="261" t="b">
        <f t="shared" si="54"/>
        <v>0</v>
      </c>
      <c r="AK139" s="261" t="b">
        <f t="shared" si="55"/>
        <v>0</v>
      </c>
      <c r="AL139" s="261"/>
      <c r="AM139" s="261"/>
      <c r="AN139" s="75"/>
      <c r="AV139" s="153">
        <f t="shared" si="63"/>
        <v>44321</v>
      </c>
      <c r="AW139" s="608"/>
      <c r="AX139" s="385"/>
      <c r="AY139" s="388"/>
      <c r="AZ139" s="380"/>
      <c r="BA139" s="380"/>
      <c r="BB139" s="110"/>
      <c r="BD139" s="375"/>
      <c r="BE139" s="85"/>
      <c r="BF139" s="193">
        <f t="shared" si="56"/>
        <v>44686</v>
      </c>
      <c r="BG139" s="430"/>
      <c r="BH139" s="846"/>
      <c r="BI139" s="846"/>
      <c r="BJ139" s="320"/>
      <c r="BK139" s="378"/>
    </row>
    <row r="140" spans="1:63" s="6" customFormat="1" ht="11.25" customHeight="1" x14ac:dyDescent="0.2">
      <c r="A140" s="56">
        <f t="shared" si="57"/>
        <v>44687</v>
      </c>
      <c r="B140" s="608">
        <v>154.684</v>
      </c>
      <c r="C140" s="385"/>
      <c r="D140" s="388">
        <f t="shared" si="58"/>
        <v>155.24190845913841</v>
      </c>
      <c r="E140" s="380">
        <f t="shared" si="59"/>
        <v>157.97919009910149</v>
      </c>
      <c r="F140" s="380">
        <f t="shared" si="60"/>
        <v>157.97979101946427</v>
      </c>
      <c r="G140" s="110">
        <f t="shared" si="61"/>
        <v>0.64769032917562264</v>
      </c>
      <c r="I140" s="375">
        <f t="shared" si="34"/>
        <v>157.97979101946427</v>
      </c>
      <c r="J140" s="85">
        <v>2022</v>
      </c>
      <c r="K140" s="193">
        <f t="shared" si="35"/>
        <v>44687</v>
      </c>
      <c r="L140" s="430">
        <f t="shared" si="36"/>
        <v>3.5938005701937614E-3</v>
      </c>
      <c r="M140" s="846"/>
      <c r="N140" s="846"/>
      <c r="O140" s="320">
        <f t="shared" si="37"/>
        <v>1.7326849430269624E-2</v>
      </c>
      <c r="P140" s="165">
        <f>(INDEX(Models!$BJ140:$BT140,,T140)*(1-R140)+INDEX(Models!$BJ140:$BT140,,T140+1)*R140-ERP_i)*Q140*Ramure*Pc/MaxiM</f>
        <v>7.6580411631277348E-6</v>
      </c>
      <c r="Q140" s="301">
        <f t="shared" si="38"/>
        <v>0.5</v>
      </c>
      <c r="R140" s="173">
        <f t="shared" si="39"/>
        <v>8.4898338922629657E-2</v>
      </c>
      <c r="S140" s="801">
        <f t="shared" si="62"/>
        <v>0</v>
      </c>
      <c r="T140" s="172">
        <f t="shared" si="40"/>
        <v>6</v>
      </c>
      <c r="U140" s="247">
        <f t="shared" si="41"/>
        <v>8.4898338922629657E-2</v>
      </c>
      <c r="V140" s="378">
        <f t="shared" si="42"/>
        <v>238.82308695587943</v>
      </c>
      <c r="W140" s="397"/>
      <c r="X140" s="153">
        <f t="shared" si="43"/>
        <v>44687</v>
      </c>
      <c r="Y140" s="380">
        <f t="shared" si="44"/>
        <v>154.684</v>
      </c>
      <c r="Z140" s="380">
        <f t="shared" si="45"/>
        <v>155.24190845913841</v>
      </c>
      <c r="AA140" s="381">
        <f t="shared" si="46"/>
        <v>157.97919009910149</v>
      </c>
      <c r="AB140" s="193">
        <f t="shared" si="47"/>
        <v>44687</v>
      </c>
      <c r="AC140" s="420">
        <f t="shared" si="48"/>
        <v>1.7326849430269624E-2</v>
      </c>
      <c r="AD140" s="165">
        <f>(INDEX(Models!$BJ140:$BT140,,AH140)*(1-AF140)+INDEX(Models!$BJ140:$BT140,,AH140+1)*AF140-ERP_i)*AE140*Ramure*Pc/MaxiM</f>
        <v>7.6580411631277348E-6</v>
      </c>
      <c r="AE140" s="301">
        <f t="shared" si="49"/>
        <v>0.5</v>
      </c>
      <c r="AF140" s="173">
        <f t="shared" si="50"/>
        <v>8.4898338922629657E-2</v>
      </c>
      <c r="AG140" s="801">
        <f t="shared" si="51"/>
        <v>0</v>
      </c>
      <c r="AH140" s="172">
        <f t="shared" si="52"/>
        <v>6</v>
      </c>
      <c r="AI140" s="221">
        <f t="shared" si="53"/>
        <v>8.4898338922629657E-2</v>
      </c>
      <c r="AJ140" s="261" t="b">
        <f t="shared" si="54"/>
        <v>0</v>
      </c>
      <c r="AK140" s="261" t="b">
        <f t="shared" si="55"/>
        <v>0</v>
      </c>
      <c r="AL140" s="261"/>
      <c r="AM140" s="261"/>
      <c r="AN140" s="75"/>
      <c r="AV140" s="153">
        <f t="shared" si="63"/>
        <v>44322</v>
      </c>
      <c r="AW140" s="608"/>
      <c r="AX140" s="385"/>
      <c r="AY140" s="388"/>
      <c r="AZ140" s="380"/>
      <c r="BA140" s="380"/>
      <c r="BB140" s="110"/>
      <c r="BD140" s="375"/>
      <c r="BE140" s="85"/>
      <c r="BF140" s="193">
        <f t="shared" si="56"/>
        <v>44687</v>
      </c>
      <c r="BG140" s="430"/>
      <c r="BH140" s="846"/>
      <c r="BI140" s="846"/>
      <c r="BJ140" s="320"/>
      <c r="BK140" s="378"/>
    </row>
    <row r="141" spans="1:63" s="6" customFormat="1" ht="11.25" customHeight="1" x14ac:dyDescent="0.2">
      <c r="A141" s="56">
        <f t="shared" si="57"/>
        <v>44688</v>
      </c>
      <c r="B141" s="608">
        <v>196.17500000000001</v>
      </c>
      <c r="C141" s="385"/>
      <c r="D141" s="388">
        <f t="shared" si="58"/>
        <v>196.88525183809054</v>
      </c>
      <c r="E141" s="380">
        <f t="shared" si="59"/>
        <v>200.37076761974774</v>
      </c>
      <c r="F141" s="380">
        <f t="shared" si="60"/>
        <v>200.37194692994947</v>
      </c>
      <c r="G141" s="110">
        <f t="shared" si="61"/>
        <v>0.82004122033475968</v>
      </c>
      <c r="I141" s="375">
        <f t="shared" si="34"/>
        <v>200.37194692994947</v>
      </c>
      <c r="J141" s="85">
        <v>2022</v>
      </c>
      <c r="K141" s="193">
        <f t="shared" si="35"/>
        <v>44688</v>
      </c>
      <c r="L141" s="430">
        <f t="shared" si="36"/>
        <v>3.60744053432005E-3</v>
      </c>
      <c r="M141" s="846"/>
      <c r="N141" s="846"/>
      <c r="O141" s="320">
        <f t="shared" si="37"/>
        <v>1.7395330781343348E-2</v>
      </c>
      <c r="P141" s="165">
        <f>(INDEX(Models!$BJ141:$BT141,,T141)*(1-R141)+INDEX(Models!$BJ141:$BT141,,T141+1)*R141-ERP_i)*Q141*Ramure*Pc/MaxiM</f>
        <v>7.9222768282743063E-6</v>
      </c>
      <c r="Q141" s="301">
        <f t="shared" si="38"/>
        <v>0.5</v>
      </c>
      <c r="R141" s="173">
        <f t="shared" si="39"/>
        <v>8.8129493327781985E-2</v>
      </c>
      <c r="S141" s="801">
        <f t="shared" si="62"/>
        <v>0</v>
      </c>
      <c r="T141" s="172">
        <f t="shared" si="40"/>
        <v>6</v>
      </c>
      <c r="U141" s="247">
        <f t="shared" si="41"/>
        <v>8.8129493327781985E-2</v>
      </c>
      <c r="V141" s="378">
        <f t="shared" si="42"/>
        <v>239.22529208170428</v>
      </c>
      <c r="W141" s="397"/>
      <c r="X141" s="153">
        <f t="shared" si="43"/>
        <v>44688</v>
      </c>
      <c r="Y141" s="380">
        <f t="shared" si="44"/>
        <v>196.17500000000001</v>
      </c>
      <c r="Z141" s="380">
        <f t="shared" si="45"/>
        <v>196.88525183809054</v>
      </c>
      <c r="AA141" s="381">
        <f t="shared" si="46"/>
        <v>200.37076761974774</v>
      </c>
      <c r="AB141" s="193">
        <f t="shared" si="47"/>
        <v>44688</v>
      </c>
      <c r="AC141" s="420">
        <f t="shared" si="48"/>
        <v>1.7395330781343348E-2</v>
      </c>
      <c r="AD141" s="165">
        <f>(INDEX(Models!$BJ141:$BT141,,AH141)*(1-AF141)+INDEX(Models!$BJ141:$BT141,,AH141+1)*AF141-ERP_i)*AE141*Ramure*Pc/MaxiM</f>
        <v>7.9222768282743063E-6</v>
      </c>
      <c r="AE141" s="301">
        <f t="shared" si="49"/>
        <v>0.5</v>
      </c>
      <c r="AF141" s="173">
        <f t="shared" si="50"/>
        <v>8.8129493327781985E-2</v>
      </c>
      <c r="AG141" s="801">
        <f t="shared" si="51"/>
        <v>0</v>
      </c>
      <c r="AH141" s="172">
        <f t="shared" si="52"/>
        <v>6</v>
      </c>
      <c r="AI141" s="221">
        <f t="shared" si="53"/>
        <v>8.8129493327781985E-2</v>
      </c>
      <c r="AJ141" s="261" t="b">
        <f t="shared" si="54"/>
        <v>0</v>
      </c>
      <c r="AK141" s="261" t="b">
        <f t="shared" si="55"/>
        <v>0</v>
      </c>
      <c r="AL141" s="261"/>
      <c r="AM141" s="261"/>
      <c r="AN141" s="75"/>
      <c r="AV141" s="153">
        <f t="shared" si="63"/>
        <v>44323</v>
      </c>
      <c r="AW141" s="608"/>
      <c r="AX141" s="385"/>
      <c r="AY141" s="388"/>
      <c r="AZ141" s="380"/>
      <c r="BA141" s="380"/>
      <c r="BB141" s="110"/>
      <c r="BD141" s="375"/>
      <c r="BE141" s="85"/>
      <c r="BF141" s="193">
        <f t="shared" si="56"/>
        <v>44688</v>
      </c>
      <c r="BG141" s="430"/>
      <c r="BH141" s="846"/>
      <c r="BI141" s="846"/>
      <c r="BJ141" s="320"/>
      <c r="BK141" s="378"/>
    </row>
    <row r="142" spans="1:63" s="6" customFormat="1" ht="11.25" customHeight="1" x14ac:dyDescent="0.2">
      <c r="A142" s="56">
        <f t="shared" si="57"/>
        <v>44689</v>
      </c>
      <c r="B142" s="608">
        <v>214.322</v>
      </c>
      <c r="C142" s="385"/>
      <c r="D142" s="388">
        <f t="shared" si="58"/>
        <v>215.1008976254262</v>
      </c>
      <c r="E142" s="380">
        <f t="shared" si="59"/>
        <v>218.92419609838493</v>
      </c>
      <c r="F142" s="380">
        <f t="shared" si="60"/>
        <v>218.92571868618484</v>
      </c>
      <c r="G142" s="110">
        <f t="shared" si="61"/>
        <v>0.89444714911970369</v>
      </c>
      <c r="I142" s="375">
        <f t="shared" si="34"/>
        <v>218.92571868618484</v>
      </c>
      <c r="J142" s="85">
        <v>2022</v>
      </c>
      <c r="K142" s="193">
        <f t="shared" si="35"/>
        <v>44689</v>
      </c>
      <c r="L142" s="430">
        <f t="shared" si="36"/>
        <v>3.6210803117268098E-3</v>
      </c>
      <c r="M142" s="846"/>
      <c r="N142" s="846"/>
      <c r="O142" s="320">
        <f t="shared" si="37"/>
        <v>1.7464028833252002E-2</v>
      </c>
      <c r="P142" s="165">
        <f>(INDEX(Models!$BJ142:$BT142,,T142)*(1-R142)+INDEX(Models!$BJ142:$BT142,,T142+1)*R142-ERP_i)*Q142*Ramure*Pc/MaxiM</f>
        <v>8.1897292802975492E-6</v>
      </c>
      <c r="Q142" s="301">
        <f t="shared" si="38"/>
        <v>0.5</v>
      </c>
      <c r="R142" s="173">
        <f t="shared" si="39"/>
        <v>9.1441779125914932E-2</v>
      </c>
      <c r="S142" s="801">
        <f t="shared" si="62"/>
        <v>0</v>
      </c>
      <c r="T142" s="172">
        <f t="shared" si="40"/>
        <v>6</v>
      </c>
      <c r="U142" s="247">
        <f t="shared" si="41"/>
        <v>9.1441779125914932E-2</v>
      </c>
      <c r="V142" s="378">
        <f t="shared" si="42"/>
        <v>239.61363792116853</v>
      </c>
      <c r="W142" s="397"/>
      <c r="X142" s="153">
        <f t="shared" si="43"/>
        <v>44689</v>
      </c>
      <c r="Y142" s="380">
        <f t="shared" si="44"/>
        <v>214.322</v>
      </c>
      <c r="Z142" s="380">
        <f t="shared" si="45"/>
        <v>215.1008976254262</v>
      </c>
      <c r="AA142" s="381">
        <f t="shared" si="46"/>
        <v>218.92419609838493</v>
      </c>
      <c r="AB142" s="193">
        <f t="shared" si="47"/>
        <v>44689</v>
      </c>
      <c r="AC142" s="420">
        <f t="shared" si="48"/>
        <v>1.7464028833252002E-2</v>
      </c>
      <c r="AD142" s="165">
        <f>(INDEX(Models!$BJ142:$BT142,,AH142)*(1-AF142)+INDEX(Models!$BJ142:$BT142,,AH142+1)*AF142-ERP_i)*AE142*Ramure*Pc/MaxiM</f>
        <v>8.1897292802975492E-6</v>
      </c>
      <c r="AE142" s="301">
        <f t="shared" si="49"/>
        <v>0.5</v>
      </c>
      <c r="AF142" s="173">
        <f t="shared" si="50"/>
        <v>9.1441779125914932E-2</v>
      </c>
      <c r="AG142" s="801">
        <f t="shared" si="51"/>
        <v>0</v>
      </c>
      <c r="AH142" s="172">
        <f t="shared" si="52"/>
        <v>6</v>
      </c>
      <c r="AI142" s="221">
        <f t="shared" si="53"/>
        <v>9.1441779125914932E-2</v>
      </c>
      <c r="AJ142" s="261" t="b">
        <f t="shared" si="54"/>
        <v>0</v>
      </c>
      <c r="AK142" s="261" t="b">
        <f t="shared" si="55"/>
        <v>0</v>
      </c>
      <c r="AL142" s="261"/>
      <c r="AM142" s="261"/>
      <c r="AN142" s="75"/>
      <c r="AV142" s="153">
        <f t="shared" si="63"/>
        <v>44324</v>
      </c>
      <c r="AW142" s="608"/>
      <c r="AX142" s="385"/>
      <c r="AY142" s="388"/>
      <c r="AZ142" s="380"/>
      <c r="BA142" s="380"/>
      <c r="BB142" s="110"/>
      <c r="BD142" s="375"/>
      <c r="BE142" s="85"/>
      <c r="BF142" s="193">
        <f t="shared" si="56"/>
        <v>44689</v>
      </c>
      <c r="BG142" s="430"/>
      <c r="BH142" s="846"/>
      <c r="BI142" s="846"/>
      <c r="BJ142" s="320"/>
      <c r="BK142" s="378"/>
    </row>
    <row r="143" spans="1:63" s="6" customFormat="1" ht="11.25" customHeight="1" x14ac:dyDescent="0.2">
      <c r="A143" s="56">
        <f t="shared" si="57"/>
        <v>44690</v>
      </c>
      <c r="B143" s="608">
        <v>231.101</v>
      </c>
      <c r="C143" s="385"/>
      <c r="D143" s="388">
        <f t="shared" si="58"/>
        <v>231.9440516608187</v>
      </c>
      <c r="E143" s="380">
        <f t="shared" si="59"/>
        <v>236.08328537831258</v>
      </c>
      <c r="F143" s="380">
        <f t="shared" si="60"/>
        <v>236.08517663735407</v>
      </c>
      <c r="G143" s="110">
        <f t="shared" si="61"/>
        <v>0.96296588453513166</v>
      </c>
      <c r="I143" s="375">
        <f t="shared" ref="I143:I206" si="64">Wh_hp</f>
        <v>236.08517663735407</v>
      </c>
      <c r="J143" s="85">
        <v>2022</v>
      </c>
      <c r="K143" s="193">
        <f t="shared" ref="K143:K206" si="65">t</f>
        <v>44690</v>
      </c>
      <c r="L143" s="430">
        <f t="shared" ref="L143:L206" si="66">IF(t&lt;T0,0,IF(t&lt;Tvie,1-EXP((T0-t)*PertePVj)+Pspv_21,1-EXP((T0-t)*PertePVj)+Pspv))</f>
        <v>3.6347199024164834E-3</v>
      </c>
      <c r="M143" s="846"/>
      <c r="N143" s="846"/>
      <c r="O143" s="320">
        <f t="shared" ref="O143:O206" si="67">IF(t&lt;T0,0,IF(t&lt;Tnet,Salim_i*(1-EXP((T0-t)/Tau_ij)),Resal+(Salim-Resal)*(1-EXP((Tnet-t)/(Tau_j)))))*Salcycl</f>
        <v>1.7532938474915567E-2</v>
      </c>
      <c r="P143" s="165">
        <f>(INDEX(Models!$BJ143:$BT143,,T143)*(1-R143)+INDEX(Models!$BJ143:$BT143,,T143+1)*R143-ERP_i)*Q143*Ramure*Pc/MaxiM</f>
        <v>8.4584127710711796E-6</v>
      </c>
      <c r="Q143" s="301">
        <f t="shared" ref="Q143:Q206" si="68">IF(OR(t&lt;Ttai,Notai),Dd+PousD*Croivg,Dens+PousD*(Croivg-Croi_tai))</f>
        <v>0.5</v>
      </c>
      <c r="R143" s="173">
        <f t="shared" ref="R143:R206" si="69">(Hp_vg-S143)/(INDEX(Echel_vg,T143+1)-S143)</f>
        <v>9.483538834326033E-2</v>
      </c>
      <c r="S143" s="801">
        <f t="shared" si="62"/>
        <v>0</v>
      </c>
      <c r="T143" s="172">
        <f t="shared" ref="T143:T206" si="70">MIN(MATCH(Hp_vg,Echel_vg),10)</f>
        <v>6</v>
      </c>
      <c r="U143" s="247">
        <f t="shared" ref="U143:U206" si="71">IF(OR(t&lt;Ttai,Notai),Hdd+PousH*Croivg,Hdtf+PousH*(Croivg-Croi_tai))</f>
        <v>9.483538834326033E-2</v>
      </c>
      <c r="V143" s="378">
        <f t="shared" ref="V143:V206" si="72">MaxiM*(1-Ppv)*(1-Pvg)*(1-Psa)</f>
        <v>239.98866449385685</v>
      </c>
      <c r="W143" s="397"/>
      <c r="X143" s="153">
        <f t="shared" ref="X143:X206" si="73">t</f>
        <v>44690</v>
      </c>
      <c r="Y143" s="380">
        <f t="shared" ref="Y143:Y206" si="74">Wh_pvt_s*(1-Ppv)</f>
        <v>231.101</v>
      </c>
      <c r="Z143" s="380">
        <f t="shared" ref="Z143:Z206" si="75">Wh_sa_s*(1-Psa_s)</f>
        <v>231.9440516608187</v>
      </c>
      <c r="AA143" s="381">
        <f t="shared" ref="AA143:AA206" si="76">Wh_hp*(1-Pvg_s*MEDIAN((-Sdif+Wh/Env_an)/Csdif,0,1))</f>
        <v>236.08328537831258</v>
      </c>
      <c r="AB143" s="193">
        <f t="shared" ref="AB143:AB206" si="77">t</f>
        <v>44690</v>
      </c>
      <c r="AC143" s="420">
        <f t="shared" ref="AC143:AC206" si="78">IF(t&lt;T0,0,IF(OR(t&lt;Tnet,NoTnet),Salim_i*(1-EXP((T0-t)/Tau_ij)),Resal_s+(Salim-Resal_s)*(1-EXP((Tnet_s-t)/Tau_j))))*Salcycl</f>
        <v>1.7532938474915567E-2</v>
      </c>
      <c r="AD143" s="165">
        <f>(INDEX(Models!$BJ143:$BT143,,AH143)*(1-AF143)+INDEX(Models!$BJ143:$BT143,,AH143+1)*AF143-ERP_i)*AE143*Ramure*Pc/MaxiM</f>
        <v>8.4584127710711796E-6</v>
      </c>
      <c r="AE143" s="301">
        <f t="shared" ref="AE143:AE206" si="79">Dd+PousD*Croivg</f>
        <v>0.5</v>
      </c>
      <c r="AF143" s="173">
        <f t="shared" ref="AF143:AF206" si="80">(Hp_vg_s-AG143)/(INDEX(Echel_vg,AH143+1)-AG143)</f>
        <v>9.483538834326033E-2</v>
      </c>
      <c r="AG143" s="801">
        <f t="shared" ref="AG143:AG206" si="81">INDEX(Echel_vg,AH143)</f>
        <v>0</v>
      </c>
      <c r="AH143" s="172">
        <f t="shared" ref="AH143:AH206" si="82">MIN(MATCH(Hp_vg_s,Echel_vg),10)</f>
        <v>6</v>
      </c>
      <c r="AI143" s="221">
        <f t="shared" ref="AI143:AI206" si="83">Hdd+PousH*Croivg</f>
        <v>9.483538834326033E-2</v>
      </c>
      <c r="AJ143" s="261" t="b">
        <f t="shared" ref="AJ143:AJ206" si="84">t&lt;Tnet</f>
        <v>0</v>
      </c>
      <c r="AK143" s="261" t="b">
        <f t="shared" ref="AK143:AK206" si="85">t&lt;Ttai</f>
        <v>0</v>
      </c>
      <c r="AL143" s="261"/>
      <c r="AM143" s="261"/>
      <c r="AN143" s="75"/>
      <c r="AV143" s="153">
        <f t="shared" si="63"/>
        <v>44325</v>
      </c>
      <c r="AW143" s="608"/>
      <c r="AX143" s="385"/>
      <c r="AY143" s="388"/>
      <c r="AZ143" s="380"/>
      <c r="BA143" s="380"/>
      <c r="BB143" s="110"/>
      <c r="BD143" s="375"/>
      <c r="BE143" s="85"/>
      <c r="BF143" s="193">
        <f t="shared" ref="BF143:BF206" si="86">t</f>
        <v>44690</v>
      </c>
      <c r="BG143" s="430"/>
      <c r="BH143" s="846"/>
      <c r="BI143" s="846"/>
      <c r="BJ143" s="320"/>
      <c r="BK143" s="378"/>
    </row>
    <row r="144" spans="1:63" s="6" customFormat="1" ht="11.25" x14ac:dyDescent="0.2">
      <c r="A144" s="56">
        <f t="shared" ref="A144:A200" si="87">A143+1</f>
        <v>44691</v>
      </c>
      <c r="B144" s="608">
        <v>221.17099999999999</v>
      </c>
      <c r="C144" s="385"/>
      <c r="D144" s="388">
        <f t="shared" ref="D144:D200" si="88">Wh/(1-Ppv)</f>
        <v>221.98086595815928</v>
      </c>
      <c r="E144" s="380">
        <f t="shared" ref="E144:E200" si="89">Wh_pvt/(1-Psa)</f>
        <v>225.95819427705601</v>
      </c>
      <c r="F144" s="380">
        <f t="shared" ref="F144:F200" si="90">Wh_sa/(1-Pvg*MEDIAN((-Sdif+Wh/Env_an)/Csdif,0,1))</f>
        <v>225.95994154835185</v>
      </c>
      <c r="G144" s="110">
        <f t="shared" ref="G144:G200" si="91">+Wh_hp/MaxiM</f>
        <v>0.92019946395919139</v>
      </c>
      <c r="I144" s="375">
        <f t="shared" si="64"/>
        <v>225.95994154835185</v>
      </c>
      <c r="J144" s="85">
        <v>2022</v>
      </c>
      <c r="K144" s="193">
        <f t="shared" si="65"/>
        <v>44691</v>
      </c>
      <c r="L144" s="430">
        <f t="shared" si="66"/>
        <v>3.6483593063915132E-3</v>
      </c>
      <c r="M144" s="846"/>
      <c r="N144" s="846"/>
      <c r="O144" s="320">
        <f t="shared" si="67"/>
        <v>1.7602053918079865E-2</v>
      </c>
      <c r="P144" s="165">
        <f>(INDEX(Models!$BJ144:$BT144,,T144)*(1-R144)+INDEX(Models!$BJ144:$BT144,,T144+1)*R144-ERP_i)*Q144*Ramure*Pc/MaxiM</f>
        <v>8.7276013545172988E-6</v>
      </c>
      <c r="Q144" s="301">
        <f t="shared" si="68"/>
        <v>0.5</v>
      </c>
      <c r="R144" s="173">
        <f t="shared" si="69"/>
        <v>9.8310381889978565E-2</v>
      </c>
      <c r="S144" s="801">
        <f t="shared" ref="S144:S207" si="92">INDEX(Echel_vg,T144)</f>
        <v>0</v>
      </c>
      <c r="T144" s="172">
        <f t="shared" si="70"/>
        <v>6</v>
      </c>
      <c r="U144" s="247">
        <f t="shared" si="71"/>
        <v>9.8310381889978565E-2</v>
      </c>
      <c r="V144" s="378">
        <f t="shared" si="72"/>
        <v>240.35091152349219</v>
      </c>
      <c r="W144" s="397"/>
      <c r="X144" s="153">
        <f t="shared" si="73"/>
        <v>44691</v>
      </c>
      <c r="Y144" s="380">
        <f t="shared" si="74"/>
        <v>221.17099999999999</v>
      </c>
      <c r="Z144" s="380">
        <f t="shared" si="75"/>
        <v>221.98086595815928</v>
      </c>
      <c r="AA144" s="381">
        <f t="shared" si="76"/>
        <v>225.95819427705601</v>
      </c>
      <c r="AB144" s="193">
        <f t="shared" si="77"/>
        <v>44691</v>
      </c>
      <c r="AC144" s="420">
        <f t="shared" si="78"/>
        <v>1.7602053918079865E-2</v>
      </c>
      <c r="AD144" s="165">
        <f>(INDEX(Models!$BJ144:$BT144,,AH144)*(1-AF144)+INDEX(Models!$BJ144:$BT144,,AH144+1)*AF144-ERP_i)*AE144*Ramure*Pc/MaxiM</f>
        <v>8.7276013545172988E-6</v>
      </c>
      <c r="AE144" s="301">
        <f t="shared" si="79"/>
        <v>0.5</v>
      </c>
      <c r="AF144" s="173">
        <f t="shared" si="80"/>
        <v>9.8310381889978565E-2</v>
      </c>
      <c r="AG144" s="801">
        <f t="shared" si="81"/>
        <v>0</v>
      </c>
      <c r="AH144" s="172">
        <f t="shared" si="82"/>
        <v>6</v>
      </c>
      <c r="AI144" s="221">
        <f t="shared" si="83"/>
        <v>9.8310381889978565E-2</v>
      </c>
      <c r="AJ144" s="261" t="b">
        <f t="shared" si="84"/>
        <v>0</v>
      </c>
      <c r="AK144" s="261" t="b">
        <f t="shared" si="85"/>
        <v>0</v>
      </c>
      <c r="AL144" s="261"/>
      <c r="AM144" s="261"/>
      <c r="AN144" s="75"/>
      <c r="AV144" s="153">
        <f t="shared" ref="AV144:AV207" si="93">AV143+1</f>
        <v>44326</v>
      </c>
      <c r="AW144" s="608"/>
      <c r="AX144" s="385"/>
      <c r="AY144" s="388"/>
      <c r="AZ144" s="380"/>
      <c r="BA144" s="380"/>
      <c r="BB144" s="110"/>
      <c r="BD144" s="375"/>
      <c r="BE144" s="85"/>
      <c r="BF144" s="193">
        <f t="shared" si="86"/>
        <v>44691</v>
      </c>
      <c r="BG144" s="430"/>
      <c r="BH144" s="846"/>
      <c r="BI144" s="846"/>
      <c r="BJ144" s="320"/>
      <c r="BK144" s="378"/>
    </row>
    <row r="145" spans="1:63" s="6" customFormat="1" ht="11.25" customHeight="1" x14ac:dyDescent="0.2">
      <c r="A145" s="56">
        <f t="shared" si="87"/>
        <v>44692</v>
      </c>
      <c r="B145" s="608">
        <v>238.22400000000002</v>
      </c>
      <c r="C145" s="385"/>
      <c r="D145" s="388">
        <f t="shared" si="88"/>
        <v>239.09958231745298</v>
      </c>
      <c r="E145" s="380">
        <f t="shared" si="89"/>
        <v>243.40080772990703</v>
      </c>
      <c r="F145" s="380">
        <f t="shared" si="90"/>
        <v>243.40296531394188</v>
      </c>
      <c r="G145" s="110">
        <f t="shared" si="91"/>
        <v>0.98970942738926027</v>
      </c>
      <c r="I145" s="375">
        <f t="shared" si="64"/>
        <v>243.40296531394188</v>
      </c>
      <c r="J145" s="85">
        <v>2022</v>
      </c>
      <c r="K145" s="193">
        <f t="shared" si="65"/>
        <v>44692</v>
      </c>
      <c r="L145" s="430">
        <f t="shared" si="66"/>
        <v>3.6619985236546748E-3</v>
      </c>
      <c r="M145" s="846"/>
      <c r="N145" s="846"/>
      <c r="O145" s="320">
        <f t="shared" si="67"/>
        <v>1.7671368688418478E-2</v>
      </c>
      <c r="P145" s="165">
        <f>(INDEX(Models!$BJ145:$BT145,,T145)*(1-R145)+INDEX(Models!$BJ145:$BT145,,T145+1)*R145-ERP_i)*Q145*Ramure*Pc/MaxiM</f>
        <v>8.9965013694518637E-6</v>
      </c>
      <c r="Q145" s="301">
        <f t="shared" si="68"/>
        <v>0.5</v>
      </c>
      <c r="R145" s="173">
        <f t="shared" si="69"/>
        <v>0.10186668294834282</v>
      </c>
      <c r="S145" s="801">
        <f t="shared" si="92"/>
        <v>0</v>
      </c>
      <c r="T145" s="172">
        <f t="shared" si="70"/>
        <v>6</v>
      </c>
      <c r="U145" s="247">
        <f t="shared" si="71"/>
        <v>0.10186668294834282</v>
      </c>
      <c r="V145" s="378">
        <f t="shared" si="72"/>
        <v>240.70091877571829</v>
      </c>
      <c r="W145" s="397"/>
      <c r="X145" s="153">
        <f t="shared" si="73"/>
        <v>44692</v>
      </c>
      <c r="Y145" s="380">
        <f t="shared" si="74"/>
        <v>238.22400000000002</v>
      </c>
      <c r="Z145" s="380">
        <f t="shared" si="75"/>
        <v>239.09958231745298</v>
      </c>
      <c r="AA145" s="381">
        <f t="shared" si="76"/>
        <v>243.40080772990703</v>
      </c>
      <c r="AB145" s="193">
        <f t="shared" si="77"/>
        <v>44692</v>
      </c>
      <c r="AC145" s="420">
        <f t="shared" si="78"/>
        <v>1.7671368688418478E-2</v>
      </c>
      <c r="AD145" s="165">
        <f>(INDEX(Models!$BJ145:$BT145,,AH145)*(1-AF145)+INDEX(Models!$BJ145:$BT145,,AH145+1)*AF145-ERP_i)*AE145*Ramure*Pc/MaxiM</f>
        <v>8.9965013694518637E-6</v>
      </c>
      <c r="AE145" s="301">
        <f t="shared" si="79"/>
        <v>0.5</v>
      </c>
      <c r="AF145" s="173">
        <f t="shared" si="80"/>
        <v>0.10186668294834282</v>
      </c>
      <c r="AG145" s="801">
        <f t="shared" si="81"/>
        <v>0</v>
      </c>
      <c r="AH145" s="172">
        <f t="shared" si="82"/>
        <v>6</v>
      </c>
      <c r="AI145" s="221">
        <f t="shared" si="83"/>
        <v>0.10186668294834282</v>
      </c>
      <c r="AJ145" s="261" t="b">
        <f t="shared" si="84"/>
        <v>0</v>
      </c>
      <c r="AK145" s="261" t="b">
        <f t="shared" si="85"/>
        <v>0</v>
      </c>
      <c r="AL145" s="261"/>
      <c r="AM145" s="261"/>
      <c r="AN145" s="75"/>
      <c r="AV145" s="153">
        <f t="shared" si="93"/>
        <v>44327</v>
      </c>
      <c r="AW145" s="608"/>
      <c r="AX145" s="385"/>
      <c r="AY145" s="388"/>
      <c r="AZ145" s="380"/>
      <c r="BA145" s="380"/>
      <c r="BB145" s="110"/>
      <c r="BD145" s="375"/>
      <c r="BE145" s="85"/>
      <c r="BF145" s="193">
        <f t="shared" si="86"/>
        <v>44692</v>
      </c>
      <c r="BG145" s="430"/>
      <c r="BH145" s="846"/>
      <c r="BI145" s="846"/>
      <c r="BJ145" s="320"/>
      <c r="BK145" s="378"/>
    </row>
    <row r="146" spans="1:63" s="6" customFormat="1" ht="11.25" customHeight="1" x14ac:dyDescent="0.2">
      <c r="A146" s="56">
        <f t="shared" si="87"/>
        <v>44693</v>
      </c>
      <c r="B146" s="608">
        <v>178.93100000000001</v>
      </c>
      <c r="C146" s="385"/>
      <c r="D146" s="388">
        <f t="shared" si="88"/>
        <v>179.591111835063</v>
      </c>
      <c r="E146" s="380">
        <f t="shared" si="89"/>
        <v>182.83476058141397</v>
      </c>
      <c r="F146" s="380">
        <f t="shared" si="90"/>
        <v>182.83583092034419</v>
      </c>
      <c r="G146" s="110">
        <f t="shared" si="91"/>
        <v>0.74232892609961842</v>
      </c>
      <c r="I146" s="375">
        <f t="shared" si="64"/>
        <v>182.83583092034419</v>
      </c>
      <c r="J146" s="85">
        <v>2022</v>
      </c>
      <c r="K146" s="193">
        <f t="shared" si="65"/>
        <v>44693</v>
      </c>
      <c r="L146" s="430">
        <f t="shared" si="66"/>
        <v>3.6756375542082997E-3</v>
      </c>
      <c r="M146" s="846"/>
      <c r="N146" s="846"/>
      <c r="O146" s="320">
        <f t="shared" si="67"/>
        <v>1.774087561925404E-2</v>
      </c>
      <c r="P146" s="165">
        <f>(INDEX(Models!$BJ146:$BT146,,T146)*(1-R146)+INDEX(Models!$BJ146:$BT146,,T146+1)*R146-ERP_i)*Q146*Ramure*Pc/MaxiM</f>
        <v>9.2642491332507298E-6</v>
      </c>
      <c r="Q146" s="301">
        <f t="shared" si="68"/>
        <v>0.5</v>
      </c>
      <c r="R146" s="173">
        <f t="shared" si="69"/>
        <v>0.10550407059617156</v>
      </c>
      <c r="S146" s="801">
        <f t="shared" si="92"/>
        <v>0</v>
      </c>
      <c r="T146" s="172">
        <f t="shared" si="70"/>
        <v>6</v>
      </c>
      <c r="U146" s="247">
        <f t="shared" si="71"/>
        <v>0.10550407059617156</v>
      </c>
      <c r="V146" s="378">
        <f t="shared" si="72"/>
        <v>241.03922604077593</v>
      </c>
      <c r="W146" s="397"/>
      <c r="X146" s="153">
        <f t="shared" si="73"/>
        <v>44693</v>
      </c>
      <c r="Y146" s="380">
        <f t="shared" si="74"/>
        <v>178.93100000000001</v>
      </c>
      <c r="Z146" s="380">
        <f t="shared" si="75"/>
        <v>179.591111835063</v>
      </c>
      <c r="AA146" s="381">
        <f t="shared" si="76"/>
        <v>182.83476058141397</v>
      </c>
      <c r="AB146" s="193">
        <f t="shared" si="77"/>
        <v>44693</v>
      </c>
      <c r="AC146" s="420">
        <f t="shared" si="78"/>
        <v>1.774087561925404E-2</v>
      </c>
      <c r="AD146" s="165">
        <f>(INDEX(Models!$BJ146:$BT146,,AH146)*(1-AF146)+INDEX(Models!$BJ146:$BT146,,AH146+1)*AF146-ERP_i)*AE146*Ramure*Pc/MaxiM</f>
        <v>9.2642491332507298E-6</v>
      </c>
      <c r="AE146" s="301">
        <f t="shared" si="79"/>
        <v>0.5</v>
      </c>
      <c r="AF146" s="173">
        <f t="shared" si="80"/>
        <v>0.10550407059617156</v>
      </c>
      <c r="AG146" s="801">
        <f t="shared" si="81"/>
        <v>0</v>
      </c>
      <c r="AH146" s="172">
        <f t="shared" si="82"/>
        <v>6</v>
      </c>
      <c r="AI146" s="221">
        <f t="shared" si="83"/>
        <v>0.10550407059617156</v>
      </c>
      <c r="AJ146" s="261" t="b">
        <f t="shared" si="84"/>
        <v>0</v>
      </c>
      <c r="AK146" s="261" t="b">
        <f t="shared" si="85"/>
        <v>0</v>
      </c>
      <c r="AL146" s="261"/>
      <c r="AM146" s="261"/>
      <c r="AN146" s="75"/>
      <c r="AV146" s="153">
        <f t="shared" si="93"/>
        <v>44328</v>
      </c>
      <c r="AW146" s="608"/>
      <c r="AX146" s="385"/>
      <c r="AY146" s="388"/>
      <c r="AZ146" s="380"/>
      <c r="BA146" s="380"/>
      <c r="BB146" s="110"/>
      <c r="BD146" s="375"/>
      <c r="BE146" s="85"/>
      <c r="BF146" s="193">
        <f t="shared" si="86"/>
        <v>44693</v>
      </c>
      <c r="BG146" s="430"/>
      <c r="BH146" s="846"/>
      <c r="BI146" s="846"/>
      <c r="BJ146" s="320"/>
      <c r="BK146" s="378"/>
    </row>
    <row r="147" spans="1:63" s="6" customFormat="1" ht="11.25" customHeight="1" x14ac:dyDescent="0.2">
      <c r="A147" s="56">
        <f t="shared" si="87"/>
        <v>44694</v>
      </c>
      <c r="B147" s="608">
        <v>170.024</v>
      </c>
      <c r="C147" s="385"/>
      <c r="D147" s="388">
        <f t="shared" si="88"/>
        <v>170.65358825539403</v>
      </c>
      <c r="E147" s="380">
        <f t="shared" si="89"/>
        <v>173.74814113786556</v>
      </c>
      <c r="F147" s="380">
        <f t="shared" si="90"/>
        <v>173.74909777889465</v>
      </c>
      <c r="G147" s="110">
        <f t="shared" si="91"/>
        <v>0.7044200631682811</v>
      </c>
      <c r="I147" s="375">
        <f t="shared" si="64"/>
        <v>173.74909777889465</v>
      </c>
      <c r="J147" s="85">
        <v>2022</v>
      </c>
      <c r="K147" s="193">
        <f t="shared" si="65"/>
        <v>44694</v>
      </c>
      <c r="L147" s="430">
        <f t="shared" si="66"/>
        <v>3.6892763980550525E-3</v>
      </c>
      <c r="M147" s="846"/>
      <c r="N147" s="846"/>
      <c r="O147" s="320">
        <f t="shared" si="67"/>
        <v>1.7810566848114207E-2</v>
      </c>
      <c r="P147" s="165">
        <f>(INDEX(Models!$BJ147:$BT147,,T147)*(1-R147)+INDEX(Models!$BJ147:$BT147,,T147+1)*R147-ERP_i)*Q147*Ramure*Pc/MaxiM</f>
        <v>9.5299088864560123E-6</v>
      </c>
      <c r="Q147" s="301">
        <f t="shared" si="68"/>
        <v>0.5</v>
      </c>
      <c r="R147" s="173">
        <f t="shared" si="69"/>
        <v>0.10922217372162367</v>
      </c>
      <c r="S147" s="801">
        <f t="shared" si="92"/>
        <v>0</v>
      </c>
      <c r="T147" s="172">
        <f t="shared" si="70"/>
        <v>6</v>
      </c>
      <c r="U147" s="247">
        <f t="shared" si="71"/>
        <v>0.10922217372162367</v>
      </c>
      <c r="V147" s="378">
        <f t="shared" si="72"/>
        <v>241.36637314018239</v>
      </c>
      <c r="W147" s="397"/>
      <c r="X147" s="153">
        <f t="shared" si="73"/>
        <v>44694</v>
      </c>
      <c r="Y147" s="380">
        <f t="shared" si="74"/>
        <v>170.024</v>
      </c>
      <c r="Z147" s="380">
        <f t="shared" si="75"/>
        <v>170.65358825539403</v>
      </c>
      <c r="AA147" s="381">
        <f t="shared" si="76"/>
        <v>173.74814113786556</v>
      </c>
      <c r="AB147" s="193">
        <f t="shared" si="77"/>
        <v>44694</v>
      </c>
      <c r="AC147" s="420">
        <f t="shared" si="78"/>
        <v>1.7810566848114207E-2</v>
      </c>
      <c r="AD147" s="165">
        <f>(INDEX(Models!$BJ147:$BT147,,AH147)*(1-AF147)+INDEX(Models!$BJ147:$BT147,,AH147+1)*AF147-ERP_i)*AE147*Ramure*Pc/MaxiM</f>
        <v>9.5299088864560123E-6</v>
      </c>
      <c r="AE147" s="301">
        <f t="shared" si="79"/>
        <v>0.5</v>
      </c>
      <c r="AF147" s="173">
        <f t="shared" si="80"/>
        <v>0.10922217372162367</v>
      </c>
      <c r="AG147" s="801">
        <f t="shared" si="81"/>
        <v>0</v>
      </c>
      <c r="AH147" s="172">
        <f t="shared" si="82"/>
        <v>6</v>
      </c>
      <c r="AI147" s="221">
        <f t="shared" si="83"/>
        <v>0.10922217372162367</v>
      </c>
      <c r="AJ147" s="261" t="b">
        <f t="shared" si="84"/>
        <v>0</v>
      </c>
      <c r="AK147" s="261" t="b">
        <f t="shared" si="85"/>
        <v>0</v>
      </c>
      <c r="AL147" s="261"/>
      <c r="AM147" s="261"/>
      <c r="AN147" s="75"/>
      <c r="AV147" s="153">
        <f t="shared" si="93"/>
        <v>44329</v>
      </c>
      <c r="AW147" s="608"/>
      <c r="AX147" s="385"/>
      <c r="AY147" s="388"/>
      <c r="AZ147" s="380"/>
      <c r="BA147" s="380"/>
      <c r="BB147" s="110"/>
      <c r="BD147" s="375"/>
      <c r="BE147" s="85"/>
      <c r="BF147" s="193">
        <f t="shared" si="86"/>
        <v>44694</v>
      </c>
      <c r="BG147" s="430"/>
      <c r="BH147" s="846"/>
      <c r="BI147" s="846"/>
      <c r="BJ147" s="320"/>
      <c r="BK147" s="378"/>
    </row>
    <row r="148" spans="1:63" s="6" customFormat="1" ht="11.25" customHeight="1" x14ac:dyDescent="0.2">
      <c r="A148" s="56">
        <f t="shared" si="87"/>
        <v>44695</v>
      </c>
      <c r="B148" s="608">
        <v>209.77600000000001</v>
      </c>
      <c r="C148" s="385"/>
      <c r="D148" s="388">
        <f t="shared" si="88"/>
        <v>210.55566975950973</v>
      </c>
      <c r="E148" s="380">
        <f t="shared" si="89"/>
        <v>214.38903877833121</v>
      </c>
      <c r="F148" s="380">
        <f t="shared" si="90"/>
        <v>214.39074224471946</v>
      </c>
      <c r="G148" s="110">
        <f t="shared" si="91"/>
        <v>0.86797871354137435</v>
      </c>
      <c r="I148" s="375">
        <f t="shared" si="64"/>
        <v>214.39074224471946</v>
      </c>
      <c r="J148" s="85">
        <v>2022</v>
      </c>
      <c r="K148" s="193">
        <f t="shared" si="65"/>
        <v>44695</v>
      </c>
      <c r="L148" s="430">
        <f t="shared" si="66"/>
        <v>3.7029150551975976E-3</v>
      </c>
      <c r="M148" s="846"/>
      <c r="N148" s="846"/>
      <c r="O148" s="320">
        <f t="shared" si="67"/>
        <v>1.7880433816324925E-2</v>
      </c>
      <c r="P148" s="165">
        <f>(INDEX(Models!$BJ148:$BT148,,T148)*(1-R148)+INDEX(Models!$BJ148:$BT148,,T148+1)*R148-ERP_i)*Q148*Ramure*Pc/MaxiM</f>
        <v>9.7924710313381071E-6</v>
      </c>
      <c r="Q148" s="301">
        <f t="shared" si="68"/>
        <v>0.5</v>
      </c>
      <c r="R148" s="173">
        <f t="shared" si="69"/>
        <v>0.11302046528722604</v>
      </c>
      <c r="S148" s="801">
        <f t="shared" si="92"/>
        <v>0</v>
      </c>
      <c r="T148" s="172">
        <f t="shared" si="70"/>
        <v>6</v>
      </c>
      <c r="U148" s="247">
        <f t="shared" si="71"/>
        <v>0.11302046528722604</v>
      </c>
      <c r="V148" s="378">
        <f t="shared" si="72"/>
        <v>241.68289993547202</v>
      </c>
      <c r="W148" s="397"/>
      <c r="X148" s="153">
        <f t="shared" si="73"/>
        <v>44695</v>
      </c>
      <c r="Y148" s="380">
        <f t="shared" si="74"/>
        <v>209.77600000000001</v>
      </c>
      <c r="Z148" s="380">
        <f t="shared" si="75"/>
        <v>210.55566975950973</v>
      </c>
      <c r="AA148" s="381">
        <f t="shared" si="76"/>
        <v>214.38903877833121</v>
      </c>
      <c r="AB148" s="193">
        <f t="shared" si="77"/>
        <v>44695</v>
      </c>
      <c r="AC148" s="420">
        <f t="shared" si="78"/>
        <v>1.7880433816324925E-2</v>
      </c>
      <c r="AD148" s="165">
        <f>(INDEX(Models!$BJ148:$BT148,,AH148)*(1-AF148)+INDEX(Models!$BJ148:$BT148,,AH148+1)*AF148-ERP_i)*AE148*Ramure*Pc/MaxiM</f>
        <v>9.7924710313381071E-6</v>
      </c>
      <c r="AE148" s="301">
        <f t="shared" si="79"/>
        <v>0.5</v>
      </c>
      <c r="AF148" s="173">
        <f t="shared" si="80"/>
        <v>0.11302046528722604</v>
      </c>
      <c r="AG148" s="801">
        <f t="shared" si="81"/>
        <v>0</v>
      </c>
      <c r="AH148" s="172">
        <f t="shared" si="82"/>
        <v>6</v>
      </c>
      <c r="AI148" s="221">
        <f t="shared" si="83"/>
        <v>0.11302046528722604</v>
      </c>
      <c r="AJ148" s="261" t="b">
        <f t="shared" si="84"/>
        <v>0</v>
      </c>
      <c r="AK148" s="261" t="b">
        <f t="shared" si="85"/>
        <v>0</v>
      </c>
      <c r="AL148" s="261"/>
      <c r="AM148" s="261"/>
      <c r="AN148" s="75"/>
      <c r="AV148" s="153">
        <f t="shared" si="93"/>
        <v>44330</v>
      </c>
      <c r="AW148" s="608"/>
      <c r="AX148" s="385"/>
      <c r="AY148" s="388"/>
      <c r="AZ148" s="380"/>
      <c r="BA148" s="380"/>
      <c r="BB148" s="110"/>
      <c r="BD148" s="375"/>
      <c r="BE148" s="85"/>
      <c r="BF148" s="193">
        <f t="shared" si="86"/>
        <v>44695</v>
      </c>
      <c r="BG148" s="430"/>
      <c r="BH148" s="846"/>
      <c r="BI148" s="846"/>
      <c r="BJ148" s="320"/>
      <c r="BK148" s="378"/>
    </row>
    <row r="149" spans="1:63" s="6" customFormat="1" ht="11.25" customHeight="1" x14ac:dyDescent="0.2">
      <c r="A149" s="56">
        <f t="shared" si="87"/>
        <v>44696</v>
      </c>
      <c r="B149" s="608">
        <v>220.721</v>
      </c>
      <c r="C149" s="385"/>
      <c r="D149" s="388">
        <f t="shared" si="88"/>
        <v>221.54438155234371</v>
      </c>
      <c r="E149" s="380">
        <f t="shared" si="89"/>
        <v>225.59389742479144</v>
      </c>
      <c r="F149" s="380">
        <f t="shared" si="90"/>
        <v>225.59588021543425</v>
      </c>
      <c r="G149" s="110">
        <f t="shared" si="91"/>
        <v>0.91211865905094913</v>
      </c>
      <c r="I149" s="375">
        <f t="shared" si="64"/>
        <v>225.59588021543425</v>
      </c>
      <c r="J149" s="85">
        <v>2022</v>
      </c>
      <c r="K149" s="193">
        <f t="shared" si="65"/>
        <v>44696</v>
      </c>
      <c r="L149" s="430">
        <f t="shared" si="66"/>
        <v>3.7165535256382665E-3</v>
      </c>
      <c r="M149" s="846"/>
      <c r="N149" s="846"/>
      <c r="O149" s="320">
        <f t="shared" si="67"/>
        <v>1.7950467271827468E-2</v>
      </c>
      <c r="P149" s="165">
        <f>(INDEX(Models!$BJ149:$BT149,,T149)*(1-R149)+INDEX(Models!$BJ149:$BT149,,T149+1)*R149-ERP_i)*Q149*Ramure*Pc/MaxiM</f>
        <v>1.0050954374978106E-5</v>
      </c>
      <c r="Q149" s="301">
        <f t="shared" si="68"/>
        <v>0.5</v>
      </c>
      <c r="R149" s="173">
        <f t="shared" si="69"/>
        <v>0.11689825700226567</v>
      </c>
      <c r="S149" s="801">
        <f t="shared" si="92"/>
        <v>0</v>
      </c>
      <c r="T149" s="172">
        <f t="shared" si="70"/>
        <v>6</v>
      </c>
      <c r="U149" s="247">
        <f t="shared" si="71"/>
        <v>0.11689825700226567</v>
      </c>
      <c r="V149" s="378">
        <f t="shared" si="72"/>
        <v>241.98685038985511</v>
      </c>
      <c r="W149" s="397"/>
      <c r="X149" s="153">
        <f t="shared" si="73"/>
        <v>44696</v>
      </c>
      <c r="Y149" s="380">
        <f t="shared" si="74"/>
        <v>220.721</v>
      </c>
      <c r="Z149" s="380">
        <f t="shared" si="75"/>
        <v>221.54438155234371</v>
      </c>
      <c r="AA149" s="381">
        <f t="shared" si="76"/>
        <v>225.59389742479144</v>
      </c>
      <c r="AB149" s="193">
        <f t="shared" si="77"/>
        <v>44696</v>
      </c>
      <c r="AC149" s="420">
        <f t="shared" si="78"/>
        <v>1.7950467271827468E-2</v>
      </c>
      <c r="AD149" s="165">
        <f>(INDEX(Models!$BJ149:$BT149,,AH149)*(1-AF149)+INDEX(Models!$BJ149:$BT149,,AH149+1)*AF149-ERP_i)*AE149*Ramure*Pc/MaxiM</f>
        <v>1.0050954374978106E-5</v>
      </c>
      <c r="AE149" s="301">
        <f t="shared" si="79"/>
        <v>0.5</v>
      </c>
      <c r="AF149" s="173">
        <f t="shared" si="80"/>
        <v>0.11689825700226567</v>
      </c>
      <c r="AG149" s="801">
        <f t="shared" si="81"/>
        <v>0</v>
      </c>
      <c r="AH149" s="172">
        <f t="shared" si="82"/>
        <v>6</v>
      </c>
      <c r="AI149" s="221">
        <f t="shared" si="83"/>
        <v>0.11689825700226567</v>
      </c>
      <c r="AJ149" s="261" t="b">
        <f t="shared" si="84"/>
        <v>0</v>
      </c>
      <c r="AK149" s="261" t="b">
        <f t="shared" si="85"/>
        <v>0</v>
      </c>
      <c r="AL149" s="261"/>
      <c r="AM149" s="261"/>
      <c r="AN149" s="75"/>
      <c r="AV149" s="153">
        <f t="shared" si="93"/>
        <v>44331</v>
      </c>
      <c r="AW149" s="608"/>
      <c r="AX149" s="385"/>
      <c r="AY149" s="388"/>
      <c r="AZ149" s="380"/>
      <c r="BA149" s="380"/>
      <c r="BB149" s="110"/>
      <c r="BD149" s="375"/>
      <c r="BE149" s="85"/>
      <c r="BF149" s="193">
        <f t="shared" si="86"/>
        <v>44696</v>
      </c>
      <c r="BG149" s="430"/>
      <c r="BH149" s="846"/>
      <c r="BI149" s="846"/>
      <c r="BJ149" s="320"/>
      <c r="BK149" s="378"/>
    </row>
    <row r="150" spans="1:63" s="6" customFormat="1" ht="11.25" customHeight="1" x14ac:dyDescent="0.2">
      <c r="A150" s="56">
        <f t="shared" si="87"/>
        <v>44697</v>
      </c>
      <c r="B150" s="608">
        <v>213.45099999999999</v>
      </c>
      <c r="C150" s="385"/>
      <c r="D150" s="388">
        <f t="shared" si="88"/>
        <v>214.25019432001054</v>
      </c>
      <c r="E150" s="380">
        <f t="shared" si="89"/>
        <v>218.18197695029835</v>
      </c>
      <c r="F150" s="380">
        <f t="shared" si="90"/>
        <v>218.18384203188552</v>
      </c>
      <c r="G150" s="110">
        <f t="shared" si="91"/>
        <v>0.88102159455408591</v>
      </c>
      <c r="I150" s="375">
        <f t="shared" si="64"/>
        <v>218.18384203188552</v>
      </c>
      <c r="J150" s="85">
        <v>2022</v>
      </c>
      <c r="K150" s="193">
        <f t="shared" si="65"/>
        <v>44697</v>
      </c>
      <c r="L150" s="430">
        <f t="shared" si="66"/>
        <v>3.7301918093798347E-3</v>
      </c>
      <c r="M150" s="846"/>
      <c r="N150" s="846"/>
      <c r="O150" s="320">
        <f t="shared" si="67"/>
        <v>1.8020657275387521E-2</v>
      </c>
      <c r="P150" s="165">
        <f>(INDEX(Models!$BJ150:$BT150,,T150)*(1-R150)+INDEX(Models!$BJ150:$BT150,,T150+1)*R150-ERP_i)*Q150*Ramure*Pc/MaxiM</f>
        <v>1.0298639661671457E-5</v>
      </c>
      <c r="Q150" s="301">
        <f t="shared" si="68"/>
        <v>0.5</v>
      </c>
      <c r="R150" s="173">
        <f t="shared" si="69"/>
        <v>0.12085469446339178</v>
      </c>
      <c r="S150" s="801">
        <f t="shared" si="92"/>
        <v>0</v>
      </c>
      <c r="T150" s="172">
        <f t="shared" si="70"/>
        <v>6</v>
      </c>
      <c r="U150" s="247">
        <f t="shared" si="71"/>
        <v>0.12085469446339178</v>
      </c>
      <c r="V150" s="378">
        <f t="shared" si="72"/>
        <v>242.27627073563326</v>
      </c>
      <c r="W150" s="397"/>
      <c r="X150" s="153">
        <f t="shared" si="73"/>
        <v>44697</v>
      </c>
      <c r="Y150" s="380">
        <f t="shared" si="74"/>
        <v>213.45099999999999</v>
      </c>
      <c r="Z150" s="380">
        <f t="shared" si="75"/>
        <v>214.25019432001054</v>
      </c>
      <c r="AA150" s="381">
        <f t="shared" si="76"/>
        <v>218.18197695029835</v>
      </c>
      <c r="AB150" s="193">
        <f t="shared" si="77"/>
        <v>44697</v>
      </c>
      <c r="AC150" s="420">
        <f t="shared" si="78"/>
        <v>1.8020657275387521E-2</v>
      </c>
      <c r="AD150" s="165">
        <f>(INDEX(Models!$BJ150:$BT150,,AH150)*(1-AF150)+INDEX(Models!$BJ150:$BT150,,AH150+1)*AF150-ERP_i)*AE150*Ramure*Pc/MaxiM</f>
        <v>1.0298639661671457E-5</v>
      </c>
      <c r="AE150" s="301">
        <f t="shared" si="79"/>
        <v>0.5</v>
      </c>
      <c r="AF150" s="173">
        <f t="shared" si="80"/>
        <v>0.12085469446339178</v>
      </c>
      <c r="AG150" s="801">
        <f t="shared" si="81"/>
        <v>0</v>
      </c>
      <c r="AH150" s="172">
        <f t="shared" si="82"/>
        <v>6</v>
      </c>
      <c r="AI150" s="221">
        <f t="shared" si="83"/>
        <v>0.12085469446339178</v>
      </c>
      <c r="AJ150" s="261" t="b">
        <f t="shared" si="84"/>
        <v>0</v>
      </c>
      <c r="AK150" s="261" t="b">
        <f t="shared" si="85"/>
        <v>0</v>
      </c>
      <c r="AL150" s="261"/>
      <c r="AM150" s="261"/>
      <c r="AN150" s="75"/>
      <c r="AV150" s="153">
        <f t="shared" si="93"/>
        <v>44332</v>
      </c>
      <c r="AW150" s="608"/>
      <c r="AX150" s="385"/>
      <c r="AY150" s="388"/>
      <c r="AZ150" s="380"/>
      <c r="BA150" s="380"/>
      <c r="BB150" s="110"/>
      <c r="BD150" s="375"/>
      <c r="BE150" s="85"/>
      <c r="BF150" s="193">
        <f t="shared" si="86"/>
        <v>44697</v>
      </c>
      <c r="BG150" s="430"/>
      <c r="BH150" s="846"/>
      <c r="BI150" s="846"/>
      <c r="BJ150" s="320"/>
      <c r="BK150" s="378"/>
    </row>
    <row r="151" spans="1:63" s="6" customFormat="1" ht="11.25" customHeight="1" x14ac:dyDescent="0.2">
      <c r="A151" s="56">
        <f t="shared" si="87"/>
        <v>44698</v>
      </c>
      <c r="B151" s="608">
        <v>232.697</v>
      </c>
      <c r="C151" s="385"/>
      <c r="D151" s="388">
        <f t="shared" si="88"/>
        <v>233.57145178648526</v>
      </c>
      <c r="E151" s="380">
        <f t="shared" si="89"/>
        <v>237.87484397372546</v>
      </c>
      <c r="F151" s="380">
        <f t="shared" si="90"/>
        <v>237.87720454038168</v>
      </c>
      <c r="G151" s="110">
        <f t="shared" si="91"/>
        <v>0.95937012915776188</v>
      </c>
      <c r="I151" s="375">
        <f t="shared" si="64"/>
        <v>237.87720454038168</v>
      </c>
      <c r="J151" s="85">
        <v>2022</v>
      </c>
      <c r="K151" s="193">
        <f t="shared" si="65"/>
        <v>44698</v>
      </c>
      <c r="L151" s="430">
        <f t="shared" si="66"/>
        <v>3.7438299064246339E-3</v>
      </c>
      <c r="M151" s="846"/>
      <c r="N151" s="846"/>
      <c r="O151" s="320">
        <f t="shared" si="67"/>
        <v>1.8090993210343555E-2</v>
      </c>
      <c r="P151" s="165">
        <f>(INDEX(Models!$BJ151:$BT151,,T151)*(1-R151)+INDEX(Models!$BJ151:$BT151,,T151+1)*R151-ERP_i)*Q151*Ramure*Pc/MaxiM</f>
        <v>1.0534934188936607E-5</v>
      </c>
      <c r="Q151" s="301">
        <f t="shared" si="68"/>
        <v>0.5</v>
      </c>
      <c r="R151" s="173">
        <f t="shared" si="69"/>
        <v>0.12488875282336559</v>
      </c>
      <c r="S151" s="801">
        <f t="shared" si="92"/>
        <v>0</v>
      </c>
      <c r="T151" s="172">
        <f t="shared" si="70"/>
        <v>6</v>
      </c>
      <c r="U151" s="247">
        <f t="shared" si="71"/>
        <v>0.12488875282336559</v>
      </c>
      <c r="V151" s="378">
        <f t="shared" si="72"/>
        <v>242.55170203846072</v>
      </c>
      <c r="W151" s="397"/>
      <c r="X151" s="153">
        <f t="shared" si="73"/>
        <v>44698</v>
      </c>
      <c r="Y151" s="380">
        <f t="shared" si="74"/>
        <v>232.697</v>
      </c>
      <c r="Z151" s="380">
        <f t="shared" si="75"/>
        <v>233.57145178648526</v>
      </c>
      <c r="AA151" s="381">
        <f t="shared" si="76"/>
        <v>237.87484397372546</v>
      </c>
      <c r="AB151" s="193">
        <f t="shared" si="77"/>
        <v>44698</v>
      </c>
      <c r="AC151" s="420">
        <f t="shared" si="78"/>
        <v>1.8090993210343555E-2</v>
      </c>
      <c r="AD151" s="165">
        <f>(INDEX(Models!$BJ151:$BT151,,AH151)*(1-AF151)+INDEX(Models!$BJ151:$BT151,,AH151+1)*AF151-ERP_i)*AE151*Ramure*Pc/MaxiM</f>
        <v>1.0534934188936607E-5</v>
      </c>
      <c r="AE151" s="301">
        <f t="shared" si="79"/>
        <v>0.5</v>
      </c>
      <c r="AF151" s="173">
        <f t="shared" si="80"/>
        <v>0.12488875282336559</v>
      </c>
      <c r="AG151" s="801">
        <f t="shared" si="81"/>
        <v>0</v>
      </c>
      <c r="AH151" s="172">
        <f t="shared" si="82"/>
        <v>6</v>
      </c>
      <c r="AI151" s="221">
        <f t="shared" si="83"/>
        <v>0.12488875282336559</v>
      </c>
      <c r="AJ151" s="261" t="b">
        <f t="shared" si="84"/>
        <v>0</v>
      </c>
      <c r="AK151" s="261" t="b">
        <f t="shared" si="85"/>
        <v>0</v>
      </c>
      <c r="AL151" s="261"/>
      <c r="AM151" s="261"/>
      <c r="AN151" s="75"/>
      <c r="AV151" s="153">
        <f t="shared" si="93"/>
        <v>44333</v>
      </c>
      <c r="AW151" s="608"/>
      <c r="AX151" s="385"/>
      <c r="AY151" s="388"/>
      <c r="AZ151" s="380"/>
      <c r="BA151" s="380"/>
      <c r="BB151" s="110"/>
      <c r="BD151" s="375"/>
      <c r="BE151" s="85"/>
      <c r="BF151" s="193">
        <f t="shared" si="86"/>
        <v>44698</v>
      </c>
      <c r="BG151" s="430"/>
      <c r="BH151" s="846"/>
      <c r="BI151" s="846"/>
      <c r="BJ151" s="320"/>
      <c r="BK151" s="378"/>
    </row>
    <row r="152" spans="1:63" s="6" customFormat="1" ht="11.25" customHeight="1" x14ac:dyDescent="0.2">
      <c r="A152" s="56">
        <f t="shared" si="87"/>
        <v>44699</v>
      </c>
      <c r="B152" s="608">
        <v>223.49200000000002</v>
      </c>
      <c r="C152" s="385"/>
      <c r="D152" s="388">
        <f t="shared" si="88"/>
        <v>224.33493128447998</v>
      </c>
      <c r="E152" s="380">
        <f t="shared" si="89"/>
        <v>228.48454507786121</v>
      </c>
      <c r="F152" s="380">
        <f t="shared" si="90"/>
        <v>228.48672372776667</v>
      </c>
      <c r="G152" s="110">
        <f t="shared" si="91"/>
        <v>0.92042475308882576</v>
      </c>
      <c r="I152" s="375">
        <f t="shared" si="64"/>
        <v>228.48672372776667</v>
      </c>
      <c r="J152" s="85">
        <v>2022</v>
      </c>
      <c r="K152" s="193">
        <f t="shared" si="65"/>
        <v>44699</v>
      </c>
      <c r="L152" s="430">
        <f t="shared" si="66"/>
        <v>3.7574678167754394E-3</v>
      </c>
      <c r="M152" s="846"/>
      <c r="N152" s="846"/>
      <c r="O152" s="320">
        <f t="shared" si="67"/>
        <v>1.8161463796018098E-2</v>
      </c>
      <c r="P152" s="165">
        <f>(INDEX(Models!$BJ152:$BT152,,T152)*(1-R152)+INDEX(Models!$BJ152:$BT152,,T152+1)*R152-ERP_i)*Q152*Ramure*Pc/MaxiM</f>
        <v>1.0758076118430675E-5</v>
      </c>
      <c r="Q152" s="301">
        <f t="shared" si="68"/>
        <v>0.5</v>
      </c>
      <c r="R152" s="173">
        <f t="shared" si="69"/>
        <v>0.12899923304732269</v>
      </c>
      <c r="S152" s="801">
        <f t="shared" si="92"/>
        <v>0</v>
      </c>
      <c r="T152" s="172">
        <f t="shared" si="70"/>
        <v>6</v>
      </c>
      <c r="U152" s="247">
        <f t="shared" si="71"/>
        <v>0.12899923304732269</v>
      </c>
      <c r="V152" s="378">
        <f t="shared" si="72"/>
        <v>242.81368566851091</v>
      </c>
      <c r="W152" s="397"/>
      <c r="X152" s="153">
        <f t="shared" si="73"/>
        <v>44699</v>
      </c>
      <c r="Y152" s="380">
        <f t="shared" si="74"/>
        <v>223.49200000000002</v>
      </c>
      <c r="Z152" s="380">
        <f t="shared" si="75"/>
        <v>224.33493128447998</v>
      </c>
      <c r="AA152" s="381">
        <f t="shared" si="76"/>
        <v>228.48454507786121</v>
      </c>
      <c r="AB152" s="193">
        <f t="shared" si="77"/>
        <v>44699</v>
      </c>
      <c r="AC152" s="420">
        <f t="shared" si="78"/>
        <v>1.8161463796018098E-2</v>
      </c>
      <c r="AD152" s="165">
        <f>(INDEX(Models!$BJ152:$BT152,,AH152)*(1-AF152)+INDEX(Models!$BJ152:$BT152,,AH152+1)*AF152-ERP_i)*AE152*Ramure*Pc/MaxiM</f>
        <v>1.0758076118430675E-5</v>
      </c>
      <c r="AE152" s="301">
        <f t="shared" si="79"/>
        <v>0.5</v>
      </c>
      <c r="AF152" s="173">
        <f t="shared" si="80"/>
        <v>0.12899923304732269</v>
      </c>
      <c r="AG152" s="801">
        <f t="shared" si="81"/>
        <v>0</v>
      </c>
      <c r="AH152" s="172">
        <f t="shared" si="82"/>
        <v>6</v>
      </c>
      <c r="AI152" s="221">
        <f t="shared" si="83"/>
        <v>0.12899923304732269</v>
      </c>
      <c r="AJ152" s="261" t="b">
        <f t="shared" si="84"/>
        <v>0</v>
      </c>
      <c r="AK152" s="261" t="b">
        <f t="shared" si="85"/>
        <v>0</v>
      </c>
      <c r="AL152" s="261"/>
      <c r="AM152" s="261"/>
      <c r="AN152" s="75"/>
      <c r="AV152" s="153">
        <f t="shared" si="93"/>
        <v>44334</v>
      </c>
      <c r="AW152" s="608"/>
      <c r="AX152" s="385"/>
      <c r="AY152" s="388"/>
      <c r="AZ152" s="380"/>
      <c r="BA152" s="380"/>
      <c r="BB152" s="110"/>
      <c r="BD152" s="375"/>
      <c r="BE152" s="85"/>
      <c r="BF152" s="193">
        <f t="shared" si="86"/>
        <v>44699</v>
      </c>
      <c r="BG152" s="430"/>
      <c r="BH152" s="846"/>
      <c r="BI152" s="846"/>
      <c r="BJ152" s="320"/>
      <c r="BK152" s="378"/>
    </row>
    <row r="153" spans="1:63" s="6" customFormat="1" ht="11.25" customHeight="1" x14ac:dyDescent="0.2">
      <c r="A153" s="56">
        <f t="shared" si="87"/>
        <v>44700</v>
      </c>
      <c r="B153" s="608">
        <v>228.13800000000001</v>
      </c>
      <c r="C153" s="385"/>
      <c r="D153" s="388">
        <f t="shared" si="88"/>
        <v>229.00158916165586</v>
      </c>
      <c r="E153" s="380">
        <f t="shared" si="89"/>
        <v>233.25429478412082</v>
      </c>
      <c r="F153" s="380">
        <f t="shared" si="90"/>
        <v>233.25662834485334</v>
      </c>
      <c r="G153" s="110">
        <f t="shared" si="91"/>
        <v>0.93859617868328127</v>
      </c>
      <c r="I153" s="375">
        <f t="shared" si="64"/>
        <v>233.25662834485334</v>
      </c>
      <c r="J153" s="85">
        <v>2022</v>
      </c>
      <c r="K153" s="193">
        <f t="shared" si="65"/>
        <v>44700</v>
      </c>
      <c r="L153" s="430">
        <f t="shared" si="66"/>
        <v>3.7711055404345828E-3</v>
      </c>
      <c r="M153" s="846"/>
      <c r="N153" s="846"/>
      <c r="O153" s="320">
        <f t="shared" si="67"/>
        <v>1.8232057104890079E-2</v>
      </c>
      <c r="P153" s="165">
        <f>(INDEX(Models!$BJ153:$BT153,,T153)*(1-R153)+INDEX(Models!$BJ153:$BT153,,T153+1)*R153-ERP_i)*Q153*Ramure*Pc/MaxiM</f>
        <v>1.0966201585368752E-5</v>
      </c>
      <c r="Q153" s="301">
        <f t="shared" si="68"/>
        <v>0.5</v>
      </c>
      <c r="R153" s="173">
        <f t="shared" si="69"/>
        <v>0.13318475881461916</v>
      </c>
      <c r="S153" s="801">
        <f t="shared" si="92"/>
        <v>0</v>
      </c>
      <c r="T153" s="172">
        <f t="shared" si="70"/>
        <v>6</v>
      </c>
      <c r="U153" s="247">
        <f t="shared" si="71"/>
        <v>0.13318475881461916</v>
      </c>
      <c r="V153" s="378">
        <f t="shared" si="72"/>
        <v>243.06276301186227</v>
      </c>
      <c r="W153" s="397"/>
      <c r="X153" s="153">
        <f t="shared" si="73"/>
        <v>44700</v>
      </c>
      <c r="Y153" s="380">
        <f t="shared" si="74"/>
        <v>228.13800000000001</v>
      </c>
      <c r="Z153" s="380">
        <f t="shared" si="75"/>
        <v>229.00158916165586</v>
      </c>
      <c r="AA153" s="381">
        <f t="shared" si="76"/>
        <v>233.25429478412082</v>
      </c>
      <c r="AB153" s="193">
        <f t="shared" si="77"/>
        <v>44700</v>
      </c>
      <c r="AC153" s="420">
        <f t="shared" si="78"/>
        <v>1.8232057104890079E-2</v>
      </c>
      <c r="AD153" s="165">
        <f>(INDEX(Models!$BJ153:$BT153,,AH153)*(1-AF153)+INDEX(Models!$BJ153:$BT153,,AH153+1)*AF153-ERP_i)*AE153*Ramure*Pc/MaxiM</f>
        <v>1.0966201585368752E-5</v>
      </c>
      <c r="AE153" s="301">
        <f t="shared" si="79"/>
        <v>0.5</v>
      </c>
      <c r="AF153" s="173">
        <f t="shared" si="80"/>
        <v>0.13318475881461916</v>
      </c>
      <c r="AG153" s="801">
        <f t="shared" si="81"/>
        <v>0</v>
      </c>
      <c r="AH153" s="172">
        <f t="shared" si="82"/>
        <v>6</v>
      </c>
      <c r="AI153" s="221">
        <f t="shared" si="83"/>
        <v>0.13318475881461916</v>
      </c>
      <c r="AJ153" s="261" t="b">
        <f t="shared" si="84"/>
        <v>0</v>
      </c>
      <c r="AK153" s="261" t="b">
        <f t="shared" si="85"/>
        <v>0</v>
      </c>
      <c r="AL153" s="261"/>
      <c r="AM153" s="261"/>
      <c r="AN153" s="75"/>
      <c r="AV153" s="153">
        <f t="shared" si="93"/>
        <v>44335</v>
      </c>
      <c r="AW153" s="608"/>
      <c r="AX153" s="385"/>
      <c r="AY153" s="388"/>
      <c r="AZ153" s="380"/>
      <c r="BA153" s="380"/>
      <c r="BB153" s="110"/>
      <c r="BD153" s="375"/>
      <c r="BE153" s="85"/>
      <c r="BF153" s="193">
        <f t="shared" si="86"/>
        <v>44700</v>
      </c>
      <c r="BG153" s="430"/>
      <c r="BH153" s="846"/>
      <c r="BI153" s="846"/>
      <c r="BJ153" s="320"/>
      <c r="BK153" s="378"/>
    </row>
    <row r="154" spans="1:63" s="6" customFormat="1" ht="11.25" customHeight="1" x14ac:dyDescent="0.2">
      <c r="A154" s="56">
        <f t="shared" si="87"/>
        <v>44701</v>
      </c>
      <c r="B154" s="608">
        <v>204.624</v>
      </c>
      <c r="C154" s="385"/>
      <c r="D154" s="388">
        <f t="shared" si="88"/>
        <v>205.40139149454831</v>
      </c>
      <c r="E154" s="380">
        <f t="shared" si="89"/>
        <v>209.23089446258925</v>
      </c>
      <c r="F154" s="380">
        <f t="shared" si="90"/>
        <v>209.23269880862148</v>
      </c>
      <c r="G154" s="110">
        <f t="shared" si="91"/>
        <v>0.84103544050671852</v>
      </c>
      <c r="I154" s="375">
        <f t="shared" si="64"/>
        <v>209.23269880862148</v>
      </c>
      <c r="J154" s="85">
        <v>2022</v>
      </c>
      <c r="K154" s="193">
        <f t="shared" si="65"/>
        <v>44701</v>
      </c>
      <c r="L154" s="430">
        <f t="shared" si="66"/>
        <v>3.7847430774048396E-3</v>
      </c>
      <c r="M154" s="846"/>
      <c r="N154" s="846"/>
      <c r="O154" s="320">
        <f t="shared" si="67"/>
        <v>1.8302760583598473E-2</v>
      </c>
      <c r="P154" s="165">
        <f>(INDEX(Models!$BJ154:$BT154,,T154)*(1-R154)+INDEX(Models!$BJ154:$BT154,,T154+1)*R154-ERP_i)*Q154*Ramure*Pc/MaxiM</f>
        <v>1.1157345636736778E-5</v>
      </c>
      <c r="Q154" s="301">
        <f t="shared" si="68"/>
        <v>0.5</v>
      </c>
      <c r="R154" s="173">
        <f t="shared" si="69"/>
        <v>0.13744377412227984</v>
      </c>
      <c r="S154" s="801">
        <f t="shared" si="92"/>
        <v>0</v>
      </c>
      <c r="T154" s="172">
        <f t="shared" si="70"/>
        <v>6</v>
      </c>
      <c r="U154" s="247">
        <f t="shared" si="71"/>
        <v>0.13744377412227984</v>
      </c>
      <c r="V154" s="378">
        <f t="shared" si="72"/>
        <v>243.29947548209807</v>
      </c>
      <c r="W154" s="397"/>
      <c r="X154" s="153">
        <f t="shared" si="73"/>
        <v>44701</v>
      </c>
      <c r="Y154" s="380">
        <f t="shared" si="74"/>
        <v>204.624</v>
      </c>
      <c r="Z154" s="380">
        <f t="shared" si="75"/>
        <v>205.40139149454831</v>
      </c>
      <c r="AA154" s="381">
        <f t="shared" si="76"/>
        <v>209.23089446258925</v>
      </c>
      <c r="AB154" s="193">
        <f t="shared" si="77"/>
        <v>44701</v>
      </c>
      <c r="AC154" s="420">
        <f t="shared" si="78"/>
        <v>1.8302760583598473E-2</v>
      </c>
      <c r="AD154" s="165">
        <f>(INDEX(Models!$BJ154:$BT154,,AH154)*(1-AF154)+INDEX(Models!$BJ154:$BT154,,AH154+1)*AF154-ERP_i)*AE154*Ramure*Pc/MaxiM</f>
        <v>1.1157345636736778E-5</v>
      </c>
      <c r="AE154" s="301">
        <f t="shared" si="79"/>
        <v>0.5</v>
      </c>
      <c r="AF154" s="173">
        <f t="shared" si="80"/>
        <v>0.13744377412227984</v>
      </c>
      <c r="AG154" s="801">
        <f t="shared" si="81"/>
        <v>0</v>
      </c>
      <c r="AH154" s="172">
        <f t="shared" si="82"/>
        <v>6</v>
      </c>
      <c r="AI154" s="221">
        <f t="shared" si="83"/>
        <v>0.13744377412227984</v>
      </c>
      <c r="AJ154" s="261" t="b">
        <f t="shared" si="84"/>
        <v>0</v>
      </c>
      <c r="AK154" s="261" t="b">
        <f t="shared" si="85"/>
        <v>0</v>
      </c>
      <c r="AL154" s="261"/>
      <c r="AM154" s="261"/>
      <c r="AN154" s="75"/>
      <c r="AV154" s="153">
        <f t="shared" si="93"/>
        <v>44336</v>
      </c>
      <c r="AW154" s="608"/>
      <c r="AX154" s="385"/>
      <c r="AY154" s="388"/>
      <c r="AZ154" s="380"/>
      <c r="BA154" s="380"/>
      <c r="BB154" s="110"/>
      <c r="BD154" s="375"/>
      <c r="BE154" s="85"/>
      <c r="BF154" s="193">
        <f t="shared" si="86"/>
        <v>44701</v>
      </c>
      <c r="BG154" s="430"/>
      <c r="BH154" s="846"/>
      <c r="BI154" s="846"/>
      <c r="BJ154" s="320"/>
      <c r="BK154" s="378"/>
    </row>
    <row r="155" spans="1:63" s="6" customFormat="1" ht="11.25" x14ac:dyDescent="0.2">
      <c r="A155" s="56">
        <f t="shared" si="87"/>
        <v>44702</v>
      </c>
      <c r="B155" s="608">
        <v>212.01599999999999</v>
      </c>
      <c r="C155" s="385"/>
      <c r="D155" s="388">
        <f t="shared" si="88"/>
        <v>212.82438798987556</v>
      </c>
      <c r="E155" s="380">
        <f t="shared" si="89"/>
        <v>216.80792157916514</v>
      </c>
      <c r="F155" s="380">
        <f t="shared" si="90"/>
        <v>216.80992389695143</v>
      </c>
      <c r="G155" s="110">
        <f t="shared" si="91"/>
        <v>0.87061332221658427</v>
      </c>
      <c r="I155" s="375">
        <f t="shared" si="64"/>
        <v>216.80992389695143</v>
      </c>
      <c r="J155" s="85">
        <v>2022</v>
      </c>
      <c r="K155" s="193">
        <f t="shared" si="65"/>
        <v>44702</v>
      </c>
      <c r="L155" s="430">
        <f t="shared" si="66"/>
        <v>3.7983804276886524E-3</v>
      </c>
      <c r="M155" s="846"/>
      <c r="N155" s="846"/>
      <c r="O155" s="320">
        <f t="shared" si="67"/>
        <v>1.8373561077818078E-2</v>
      </c>
      <c r="P155" s="165">
        <f>(INDEX(Models!$BJ155:$BT155,,T155)*(1-R155)+INDEX(Models!$BJ155:$BT155,,T155+1)*R155-ERP_i)*Q155*Ramure*Pc/MaxiM</f>
        <v>1.1329443908052274E-5</v>
      </c>
      <c r="Q155" s="301">
        <f t="shared" si="68"/>
        <v>0.5</v>
      </c>
      <c r="R155" s="173">
        <f t="shared" si="69"/>
        <v>0.1417745416432227</v>
      </c>
      <c r="S155" s="801">
        <f t="shared" si="92"/>
        <v>0</v>
      </c>
      <c r="T155" s="172">
        <f t="shared" si="70"/>
        <v>6</v>
      </c>
      <c r="U155" s="247">
        <f t="shared" si="71"/>
        <v>0.1417745416432227</v>
      </c>
      <c r="V155" s="378">
        <f t="shared" si="72"/>
        <v>243.52436449846545</v>
      </c>
      <c r="W155" s="397"/>
      <c r="X155" s="153">
        <f t="shared" si="73"/>
        <v>44702</v>
      </c>
      <c r="Y155" s="380">
        <f t="shared" si="74"/>
        <v>212.01599999999999</v>
      </c>
      <c r="Z155" s="380">
        <f t="shared" si="75"/>
        <v>212.82438798987556</v>
      </c>
      <c r="AA155" s="381">
        <f t="shared" si="76"/>
        <v>216.80792157916514</v>
      </c>
      <c r="AB155" s="193">
        <f t="shared" si="77"/>
        <v>44702</v>
      </c>
      <c r="AC155" s="420">
        <f t="shared" si="78"/>
        <v>1.8373561077818078E-2</v>
      </c>
      <c r="AD155" s="165">
        <f>(INDEX(Models!$BJ155:$BT155,,AH155)*(1-AF155)+INDEX(Models!$BJ155:$BT155,,AH155+1)*AF155-ERP_i)*AE155*Ramure*Pc/MaxiM</f>
        <v>1.1329443908052274E-5</v>
      </c>
      <c r="AE155" s="301">
        <f t="shared" si="79"/>
        <v>0.5</v>
      </c>
      <c r="AF155" s="173">
        <f t="shared" si="80"/>
        <v>0.1417745416432227</v>
      </c>
      <c r="AG155" s="801">
        <f t="shared" si="81"/>
        <v>0</v>
      </c>
      <c r="AH155" s="172">
        <f t="shared" si="82"/>
        <v>6</v>
      </c>
      <c r="AI155" s="221">
        <f t="shared" si="83"/>
        <v>0.1417745416432227</v>
      </c>
      <c r="AJ155" s="261" t="b">
        <f t="shared" si="84"/>
        <v>0</v>
      </c>
      <c r="AK155" s="261" t="b">
        <f t="shared" si="85"/>
        <v>0</v>
      </c>
      <c r="AL155" s="261"/>
      <c r="AM155" s="261"/>
      <c r="AN155" s="75"/>
      <c r="AV155" s="153">
        <f t="shared" si="93"/>
        <v>44337</v>
      </c>
      <c r="AW155" s="608"/>
      <c r="AX155" s="385"/>
      <c r="AY155" s="388"/>
      <c r="AZ155" s="380"/>
      <c r="BA155" s="380"/>
      <c r="BB155" s="110"/>
      <c r="BD155" s="375"/>
      <c r="BE155" s="85"/>
      <c r="BF155" s="193">
        <f t="shared" si="86"/>
        <v>44702</v>
      </c>
      <c r="BG155" s="430"/>
      <c r="BH155" s="846"/>
      <c r="BI155" s="846"/>
      <c r="BJ155" s="320"/>
      <c r="BK155" s="378"/>
    </row>
    <row r="156" spans="1:63" s="18" customFormat="1" ht="11.25" customHeight="1" x14ac:dyDescent="0.2">
      <c r="A156" s="56">
        <f t="shared" si="87"/>
        <v>44703</v>
      </c>
      <c r="B156" s="608">
        <v>157.89400000000001</v>
      </c>
      <c r="C156" s="385"/>
      <c r="D156" s="388">
        <f t="shared" si="88"/>
        <v>158.49819791865346</v>
      </c>
      <c r="E156" s="380">
        <f t="shared" si="89"/>
        <v>161.47654311447607</v>
      </c>
      <c r="F156" s="380">
        <f t="shared" si="90"/>
        <v>161.47746440788973</v>
      </c>
      <c r="G156" s="110">
        <f t="shared" si="91"/>
        <v>0.64779848295033549</v>
      </c>
      <c r="I156" s="375">
        <f t="shared" si="64"/>
        <v>161.47746440788973</v>
      </c>
      <c r="J156" s="85">
        <v>2022</v>
      </c>
      <c r="K156" s="193">
        <f t="shared" si="65"/>
        <v>44703</v>
      </c>
      <c r="L156" s="430">
        <f t="shared" si="66"/>
        <v>3.8120175912885745E-3</v>
      </c>
      <c r="M156" s="846"/>
      <c r="N156" s="846"/>
      <c r="O156" s="320">
        <f t="shared" si="67"/>
        <v>1.8444444861017126E-2</v>
      </c>
      <c r="P156" s="165">
        <f>(INDEX(Models!$BJ156:$BT156,,T156)*(1-R156)+INDEX(Models!$BJ156:$BT156,,T156+1)*R156-ERP_i)*Q156*Ramure*Pc/MaxiM</f>
        <v>1.1482903848506766E-5</v>
      </c>
      <c r="Q156" s="301">
        <f t="shared" si="68"/>
        <v>0.5</v>
      </c>
      <c r="R156" s="173">
        <f t="shared" si="69"/>
        <v>0.14617514188877828</v>
      </c>
      <c r="S156" s="801">
        <f t="shared" si="92"/>
        <v>0</v>
      </c>
      <c r="T156" s="172">
        <f t="shared" si="70"/>
        <v>6</v>
      </c>
      <c r="U156" s="247">
        <f t="shared" si="71"/>
        <v>0.14617514188877828</v>
      </c>
      <c r="V156" s="378">
        <f t="shared" si="72"/>
        <v>243.73797086153181</v>
      </c>
      <c r="W156" s="397"/>
      <c r="X156" s="153">
        <f t="shared" si="73"/>
        <v>44703</v>
      </c>
      <c r="Y156" s="380">
        <f t="shared" si="74"/>
        <v>157.89400000000001</v>
      </c>
      <c r="Z156" s="380">
        <f t="shared" si="75"/>
        <v>158.49819791865346</v>
      </c>
      <c r="AA156" s="381">
        <f t="shared" si="76"/>
        <v>161.47654311447607</v>
      </c>
      <c r="AB156" s="193">
        <f t="shared" si="77"/>
        <v>44703</v>
      </c>
      <c r="AC156" s="420">
        <f t="shared" si="78"/>
        <v>1.8444444861017126E-2</v>
      </c>
      <c r="AD156" s="165">
        <f>(INDEX(Models!$BJ156:$BT156,,AH156)*(1-AF156)+INDEX(Models!$BJ156:$BT156,,AH156+1)*AF156-ERP_i)*AE156*Ramure*Pc/MaxiM</f>
        <v>1.1482903848506766E-5</v>
      </c>
      <c r="AE156" s="301">
        <f t="shared" si="79"/>
        <v>0.5</v>
      </c>
      <c r="AF156" s="173">
        <f t="shared" si="80"/>
        <v>0.14617514188877828</v>
      </c>
      <c r="AG156" s="801">
        <f t="shared" si="81"/>
        <v>0</v>
      </c>
      <c r="AH156" s="172">
        <f t="shared" si="82"/>
        <v>6</v>
      </c>
      <c r="AI156" s="221">
        <f t="shared" si="83"/>
        <v>0.14617514188877828</v>
      </c>
      <c r="AJ156" s="261" t="b">
        <f t="shared" si="84"/>
        <v>0</v>
      </c>
      <c r="AK156" s="261" t="b">
        <f t="shared" si="85"/>
        <v>0</v>
      </c>
      <c r="AL156" s="261"/>
      <c r="AM156" s="261"/>
      <c r="AN156" s="261"/>
      <c r="AV156" s="153">
        <f t="shared" si="93"/>
        <v>44338</v>
      </c>
      <c r="AW156" s="608"/>
      <c r="AX156" s="385"/>
      <c r="AY156" s="388"/>
      <c r="AZ156" s="380"/>
      <c r="BA156" s="380"/>
      <c r="BB156" s="110"/>
      <c r="BD156" s="375"/>
      <c r="BE156" s="85"/>
      <c r="BF156" s="193">
        <f t="shared" si="86"/>
        <v>44703</v>
      </c>
      <c r="BG156" s="430"/>
      <c r="BH156" s="846"/>
      <c r="BI156" s="846"/>
      <c r="BJ156" s="320"/>
      <c r="BK156" s="378"/>
    </row>
    <row r="157" spans="1:63" s="18" customFormat="1" ht="11.25" customHeight="1" x14ac:dyDescent="0.2">
      <c r="A157" s="56">
        <f t="shared" si="87"/>
        <v>44704</v>
      </c>
      <c r="B157" s="608">
        <v>74.64</v>
      </c>
      <c r="C157" s="385"/>
      <c r="D157" s="388">
        <f t="shared" si="88"/>
        <v>74.926643455817171</v>
      </c>
      <c r="E157" s="380">
        <f t="shared" si="89"/>
        <v>76.340110968344632</v>
      </c>
      <c r="F157" s="380">
        <f t="shared" si="90"/>
        <v>76.340118544005392</v>
      </c>
      <c r="G157" s="110">
        <f t="shared" si="91"/>
        <v>0.30597230728940022</v>
      </c>
      <c r="I157" s="375">
        <f t="shared" si="64"/>
        <v>76.340118544005392</v>
      </c>
      <c r="J157" s="85">
        <v>2022</v>
      </c>
      <c r="K157" s="193">
        <f t="shared" si="65"/>
        <v>44704</v>
      </c>
      <c r="L157" s="430">
        <f t="shared" si="66"/>
        <v>3.8256545682071597E-3</v>
      </c>
      <c r="M157" s="846"/>
      <c r="N157" s="846"/>
      <c r="O157" s="320">
        <f t="shared" si="67"/>
        <v>1.8515397667074079E-2</v>
      </c>
      <c r="P157" s="165">
        <f>(INDEX(Models!$BJ157:$BT157,,T157)*(1-R157)+INDEX(Models!$BJ157:$BT157,,T157+1)*R157-ERP_i)*Q157*Ramure*Pc/MaxiM</f>
        <v>1.1624311157442334E-5</v>
      </c>
      <c r="Q157" s="301">
        <f t="shared" si="68"/>
        <v>0.5</v>
      </c>
      <c r="R157" s="173">
        <f t="shared" si="69"/>
        <v>0.15064347322055063</v>
      </c>
      <c r="S157" s="801">
        <f t="shared" si="92"/>
        <v>0</v>
      </c>
      <c r="T157" s="172">
        <f t="shared" si="70"/>
        <v>6</v>
      </c>
      <c r="U157" s="247">
        <f t="shared" si="71"/>
        <v>0.15064347322055063</v>
      </c>
      <c r="V157" s="378">
        <f t="shared" si="72"/>
        <v>243.94083382742775</v>
      </c>
      <c r="W157" s="397"/>
      <c r="X157" s="153">
        <f t="shared" si="73"/>
        <v>44704</v>
      </c>
      <c r="Y157" s="380">
        <f t="shared" si="74"/>
        <v>74.64</v>
      </c>
      <c r="Z157" s="380">
        <f t="shared" si="75"/>
        <v>74.926643455817171</v>
      </c>
      <c r="AA157" s="381">
        <f t="shared" si="76"/>
        <v>76.340110968344632</v>
      </c>
      <c r="AB157" s="193">
        <f t="shared" si="77"/>
        <v>44704</v>
      </c>
      <c r="AC157" s="420">
        <f t="shared" si="78"/>
        <v>1.8515397667074079E-2</v>
      </c>
      <c r="AD157" s="165">
        <f>(INDEX(Models!$BJ157:$BT157,,AH157)*(1-AF157)+INDEX(Models!$BJ157:$BT157,,AH157+1)*AF157-ERP_i)*AE157*Ramure*Pc/MaxiM</f>
        <v>1.1624311157442334E-5</v>
      </c>
      <c r="AE157" s="301">
        <f t="shared" si="79"/>
        <v>0.5</v>
      </c>
      <c r="AF157" s="173">
        <f t="shared" si="80"/>
        <v>0.15064347322055063</v>
      </c>
      <c r="AG157" s="801">
        <f t="shared" si="81"/>
        <v>0</v>
      </c>
      <c r="AH157" s="172">
        <f t="shared" si="82"/>
        <v>6</v>
      </c>
      <c r="AI157" s="221">
        <f t="shared" si="83"/>
        <v>0.15064347322055063</v>
      </c>
      <c r="AJ157" s="261" t="b">
        <f t="shared" si="84"/>
        <v>0</v>
      </c>
      <c r="AK157" s="261" t="b">
        <f t="shared" si="85"/>
        <v>0</v>
      </c>
      <c r="AL157" s="261"/>
      <c r="AM157" s="261"/>
      <c r="AN157" s="261"/>
      <c r="AV157" s="153">
        <f t="shared" si="93"/>
        <v>44339</v>
      </c>
      <c r="AW157" s="608"/>
      <c r="AX157" s="385"/>
      <c r="AY157" s="388"/>
      <c r="AZ157" s="380"/>
      <c r="BA157" s="380"/>
      <c r="BB157" s="110"/>
      <c r="BD157" s="375"/>
      <c r="BE157" s="85"/>
      <c r="BF157" s="193">
        <f t="shared" si="86"/>
        <v>44704</v>
      </c>
      <c r="BG157" s="430"/>
      <c r="BH157" s="846"/>
      <c r="BI157" s="846"/>
      <c r="BJ157" s="320"/>
      <c r="BK157" s="378"/>
    </row>
    <row r="158" spans="1:63" s="6" customFormat="1" ht="11.25" customHeight="1" x14ac:dyDescent="0.2">
      <c r="A158" s="56">
        <f t="shared" si="87"/>
        <v>44705</v>
      </c>
      <c r="B158" s="608">
        <v>69.710000000000008</v>
      </c>
      <c r="C158" s="385"/>
      <c r="D158" s="388">
        <f t="shared" si="88"/>
        <v>69.978668497237081</v>
      </c>
      <c r="E158" s="380">
        <f t="shared" si="89"/>
        <v>71.303952619231396</v>
      </c>
      <c r="F158" s="380">
        <f t="shared" si="90"/>
        <v>71.303952619231396</v>
      </c>
      <c r="G158" s="110">
        <f t="shared" si="91"/>
        <v>0.28553714382483614</v>
      </c>
      <c r="I158" s="375">
        <f t="shared" si="64"/>
        <v>71.303952619231396</v>
      </c>
      <c r="J158" s="85">
        <v>2022</v>
      </c>
      <c r="K158" s="193">
        <f t="shared" si="65"/>
        <v>44705</v>
      </c>
      <c r="L158" s="430">
        <f t="shared" si="66"/>
        <v>3.8392913584470723E-3</v>
      </c>
      <c r="M158" s="846"/>
      <c r="N158" s="846"/>
      <c r="O158" s="320">
        <f t="shared" si="67"/>
        <v>1.8586404726697831E-2</v>
      </c>
      <c r="P158" s="165">
        <f>(INDEX(Models!$BJ158:$BT158,,T158)*(1-R158)+INDEX(Models!$BJ158:$BT158,,T158+1)*R158-ERP_i)*Q158*Ramure*Pc/MaxiM</f>
        <v>1.1752482780101002E-5</v>
      </c>
      <c r="Q158" s="301">
        <f t="shared" si="68"/>
        <v>0.5</v>
      </c>
      <c r="R158" s="173">
        <f t="shared" si="69"/>
        <v>0.15517725275138014</v>
      </c>
      <c r="S158" s="801">
        <f t="shared" si="92"/>
        <v>0</v>
      </c>
      <c r="T158" s="172">
        <f t="shared" si="70"/>
        <v>6</v>
      </c>
      <c r="U158" s="247">
        <f t="shared" si="71"/>
        <v>0.15517725275138014</v>
      </c>
      <c r="V158" s="378">
        <f t="shared" si="72"/>
        <v>244.13349451022304</v>
      </c>
      <c r="W158" s="397"/>
      <c r="X158" s="153">
        <f t="shared" si="73"/>
        <v>44705</v>
      </c>
      <c r="Y158" s="380">
        <f t="shared" si="74"/>
        <v>69.710000000000008</v>
      </c>
      <c r="Z158" s="380">
        <f t="shared" si="75"/>
        <v>69.978668497237081</v>
      </c>
      <c r="AA158" s="381">
        <f t="shared" si="76"/>
        <v>71.303952619231396</v>
      </c>
      <c r="AB158" s="193">
        <f t="shared" si="77"/>
        <v>44705</v>
      </c>
      <c r="AC158" s="420">
        <f t="shared" si="78"/>
        <v>1.8586404726697831E-2</v>
      </c>
      <c r="AD158" s="165">
        <f>(INDEX(Models!$BJ158:$BT158,,AH158)*(1-AF158)+INDEX(Models!$BJ158:$BT158,,AH158+1)*AF158-ERP_i)*AE158*Ramure*Pc/MaxiM</f>
        <v>1.1752482780101002E-5</v>
      </c>
      <c r="AE158" s="301">
        <f t="shared" si="79"/>
        <v>0.5</v>
      </c>
      <c r="AF158" s="173">
        <f t="shared" si="80"/>
        <v>0.15517725275138014</v>
      </c>
      <c r="AG158" s="801">
        <f t="shared" si="81"/>
        <v>0</v>
      </c>
      <c r="AH158" s="172">
        <f t="shared" si="82"/>
        <v>6</v>
      </c>
      <c r="AI158" s="221">
        <f t="shared" si="83"/>
        <v>0.15517725275138014</v>
      </c>
      <c r="AJ158" s="261" t="b">
        <f t="shared" si="84"/>
        <v>0</v>
      </c>
      <c r="AK158" s="261" t="b">
        <f t="shared" si="85"/>
        <v>0</v>
      </c>
      <c r="AL158" s="261"/>
      <c r="AM158" s="261"/>
      <c r="AN158" s="75"/>
      <c r="AV158" s="153">
        <f t="shared" si="93"/>
        <v>44340</v>
      </c>
      <c r="AW158" s="608"/>
      <c r="AX158" s="385"/>
      <c r="AY158" s="388"/>
      <c r="AZ158" s="380"/>
      <c r="BA158" s="380"/>
      <c r="BB158" s="110"/>
      <c r="BD158" s="375"/>
      <c r="BE158" s="85"/>
      <c r="BF158" s="193">
        <f t="shared" si="86"/>
        <v>44705</v>
      </c>
      <c r="BG158" s="430"/>
      <c r="BH158" s="846"/>
      <c r="BI158" s="846"/>
      <c r="BJ158" s="320"/>
      <c r="BK158" s="378"/>
    </row>
    <row r="159" spans="1:63" s="6" customFormat="1" ht="11.25" customHeight="1" x14ac:dyDescent="0.2">
      <c r="A159" s="56">
        <f t="shared" si="87"/>
        <v>44706</v>
      </c>
      <c r="B159" s="608">
        <v>172.97900000000001</v>
      </c>
      <c r="C159" s="385"/>
      <c r="D159" s="388">
        <f t="shared" si="88"/>
        <v>173.64805344065024</v>
      </c>
      <c r="E159" s="380">
        <f t="shared" si="89"/>
        <v>176.94947965269398</v>
      </c>
      <c r="F159" s="380">
        <f t="shared" si="90"/>
        <v>176.95070353905541</v>
      </c>
      <c r="G159" s="110">
        <f t="shared" si="91"/>
        <v>0.7080084565615804</v>
      </c>
      <c r="I159" s="375">
        <f t="shared" si="64"/>
        <v>176.95070353905541</v>
      </c>
      <c r="J159" s="85">
        <v>2022</v>
      </c>
      <c r="K159" s="193">
        <f t="shared" si="65"/>
        <v>44706</v>
      </c>
      <c r="L159" s="430">
        <f t="shared" si="66"/>
        <v>3.8529279620107548E-3</v>
      </c>
      <c r="M159" s="846"/>
      <c r="N159" s="846"/>
      <c r="O159" s="320">
        <f t="shared" si="67"/>
        <v>1.8657450807561395E-2</v>
      </c>
      <c r="P159" s="165">
        <f>(INDEX(Models!$BJ159:$BT159,,T159)*(1-R159)+INDEX(Models!$BJ159:$BT159,,T159+1)*R159-ERP_i)*Q159*Ramure*Pc/MaxiM</f>
        <v>1.1866262372334602E-5</v>
      </c>
      <c r="Q159" s="301">
        <f t="shared" si="68"/>
        <v>0.5</v>
      </c>
      <c r="R159" s="173">
        <f t="shared" si="69"/>
        <v>0.15977401816909723</v>
      </c>
      <c r="S159" s="801">
        <f t="shared" si="92"/>
        <v>0</v>
      </c>
      <c r="T159" s="172">
        <f t="shared" si="70"/>
        <v>6</v>
      </c>
      <c r="U159" s="247">
        <f t="shared" si="71"/>
        <v>0.15977401816909723</v>
      </c>
      <c r="V159" s="378">
        <f t="shared" si="72"/>
        <v>244.31649395243466</v>
      </c>
      <c r="W159" s="397"/>
      <c r="X159" s="153">
        <f t="shared" si="73"/>
        <v>44706</v>
      </c>
      <c r="Y159" s="380">
        <f t="shared" si="74"/>
        <v>172.97900000000001</v>
      </c>
      <c r="Z159" s="380">
        <f t="shared" si="75"/>
        <v>173.64805344065024</v>
      </c>
      <c r="AA159" s="381">
        <f t="shared" si="76"/>
        <v>176.94947965269398</v>
      </c>
      <c r="AB159" s="193">
        <f t="shared" si="77"/>
        <v>44706</v>
      </c>
      <c r="AC159" s="420">
        <f t="shared" si="78"/>
        <v>1.8657450807561395E-2</v>
      </c>
      <c r="AD159" s="165">
        <f>(INDEX(Models!$BJ159:$BT159,,AH159)*(1-AF159)+INDEX(Models!$BJ159:$BT159,,AH159+1)*AF159-ERP_i)*AE159*Ramure*Pc/MaxiM</f>
        <v>1.1866262372334602E-5</v>
      </c>
      <c r="AE159" s="301">
        <f t="shared" si="79"/>
        <v>0.5</v>
      </c>
      <c r="AF159" s="173">
        <f t="shared" si="80"/>
        <v>0.15977401816909723</v>
      </c>
      <c r="AG159" s="801">
        <f t="shared" si="81"/>
        <v>0</v>
      </c>
      <c r="AH159" s="172">
        <f t="shared" si="82"/>
        <v>6</v>
      </c>
      <c r="AI159" s="221">
        <f t="shared" si="83"/>
        <v>0.15977401816909723</v>
      </c>
      <c r="AJ159" s="261" t="b">
        <f t="shared" si="84"/>
        <v>0</v>
      </c>
      <c r="AK159" s="261" t="b">
        <f t="shared" si="85"/>
        <v>0</v>
      </c>
      <c r="AL159" s="261"/>
      <c r="AM159" s="261"/>
      <c r="AN159" s="75"/>
      <c r="AV159" s="153">
        <f t="shared" si="93"/>
        <v>44341</v>
      </c>
      <c r="AW159" s="608"/>
      <c r="AX159" s="385"/>
      <c r="AY159" s="388"/>
      <c r="AZ159" s="380"/>
      <c r="BA159" s="380"/>
      <c r="BB159" s="110"/>
      <c r="BD159" s="375"/>
      <c r="BE159" s="85"/>
      <c r="BF159" s="193">
        <f t="shared" si="86"/>
        <v>44706</v>
      </c>
      <c r="BG159" s="430"/>
      <c r="BH159" s="846"/>
      <c r="BI159" s="846"/>
      <c r="BJ159" s="320"/>
      <c r="BK159" s="378"/>
    </row>
    <row r="160" spans="1:63" s="6" customFormat="1" ht="11.25" customHeight="1" x14ac:dyDescent="0.2">
      <c r="A160" s="56">
        <f t="shared" si="87"/>
        <v>44707</v>
      </c>
      <c r="B160" s="608">
        <v>111.242</v>
      </c>
      <c r="C160" s="385"/>
      <c r="D160" s="388">
        <f t="shared" si="88"/>
        <v>111.67379391360303</v>
      </c>
      <c r="E160" s="380">
        <f t="shared" si="89"/>
        <v>113.80519684824391</v>
      </c>
      <c r="F160" s="380">
        <f t="shared" si="90"/>
        <v>113.80549834136734</v>
      </c>
      <c r="G160" s="110">
        <f t="shared" si="91"/>
        <v>0.45499118151558665</v>
      </c>
      <c r="I160" s="375">
        <f t="shared" si="64"/>
        <v>113.80549834136734</v>
      </c>
      <c r="J160" s="85">
        <v>2022</v>
      </c>
      <c r="K160" s="193">
        <f t="shared" si="65"/>
        <v>44707</v>
      </c>
      <c r="L160" s="430">
        <f t="shared" si="66"/>
        <v>3.8665643789006499E-3</v>
      </c>
      <c r="M160" s="846"/>
      <c r="N160" s="846"/>
      <c r="O160" s="320">
        <f t="shared" si="67"/>
        <v>1.8728520258025145E-2</v>
      </c>
      <c r="P160" s="165">
        <f>(INDEX(Models!$BJ160:$BT160,,T160)*(1-R160)+INDEX(Models!$BJ160:$BT160,,T160+1)*R160-ERP_i)*Q160*Ramure*Pc/MaxiM</f>
        <v>1.1964466584906495E-5</v>
      </c>
      <c r="Q160" s="301">
        <f t="shared" si="68"/>
        <v>0.5</v>
      </c>
      <c r="R160" s="173">
        <f t="shared" si="69"/>
        <v>0.16443113050992955</v>
      </c>
      <c r="S160" s="801">
        <f t="shared" si="92"/>
        <v>0</v>
      </c>
      <c r="T160" s="172">
        <f t="shared" si="70"/>
        <v>6</v>
      </c>
      <c r="U160" s="247">
        <f t="shared" si="71"/>
        <v>0.16443113050992955</v>
      </c>
      <c r="V160" s="378">
        <f t="shared" si="72"/>
        <v>244.4903731483966</v>
      </c>
      <c r="W160" s="397"/>
      <c r="X160" s="153">
        <f t="shared" si="73"/>
        <v>44707</v>
      </c>
      <c r="Y160" s="380">
        <f t="shared" si="74"/>
        <v>111.242</v>
      </c>
      <c r="Z160" s="380">
        <f t="shared" si="75"/>
        <v>111.67379391360303</v>
      </c>
      <c r="AA160" s="381">
        <f t="shared" si="76"/>
        <v>113.80519684824391</v>
      </c>
      <c r="AB160" s="193">
        <f t="shared" si="77"/>
        <v>44707</v>
      </c>
      <c r="AC160" s="420">
        <f t="shared" si="78"/>
        <v>1.8728520258025145E-2</v>
      </c>
      <c r="AD160" s="165">
        <f>(INDEX(Models!$BJ160:$BT160,,AH160)*(1-AF160)+INDEX(Models!$BJ160:$BT160,,AH160+1)*AF160-ERP_i)*AE160*Ramure*Pc/MaxiM</f>
        <v>1.1964466584906495E-5</v>
      </c>
      <c r="AE160" s="301">
        <f t="shared" si="79"/>
        <v>0.5</v>
      </c>
      <c r="AF160" s="173">
        <f t="shared" si="80"/>
        <v>0.16443113050992955</v>
      </c>
      <c r="AG160" s="801">
        <f t="shared" si="81"/>
        <v>0</v>
      </c>
      <c r="AH160" s="172">
        <f t="shared" si="82"/>
        <v>6</v>
      </c>
      <c r="AI160" s="221">
        <f t="shared" si="83"/>
        <v>0.16443113050992955</v>
      </c>
      <c r="AJ160" s="261" t="b">
        <f t="shared" si="84"/>
        <v>0</v>
      </c>
      <c r="AK160" s="261" t="b">
        <f t="shared" si="85"/>
        <v>0</v>
      </c>
      <c r="AL160" s="261"/>
      <c r="AM160" s="261"/>
      <c r="AN160" s="75"/>
      <c r="AV160" s="153">
        <f t="shared" si="93"/>
        <v>44342</v>
      </c>
      <c r="AW160" s="608"/>
      <c r="AX160" s="385"/>
      <c r="AY160" s="388"/>
      <c r="AZ160" s="380"/>
      <c r="BA160" s="380"/>
      <c r="BB160" s="110"/>
      <c r="BD160" s="375"/>
      <c r="BE160" s="85"/>
      <c r="BF160" s="193">
        <f t="shared" si="86"/>
        <v>44707</v>
      </c>
      <c r="BG160" s="430"/>
      <c r="BH160" s="846"/>
      <c r="BI160" s="846"/>
      <c r="BJ160" s="320"/>
      <c r="BK160" s="378"/>
    </row>
    <row r="161" spans="1:63" s="6" customFormat="1" ht="11.25" customHeight="1" x14ac:dyDescent="0.2">
      <c r="A161" s="56">
        <f t="shared" si="87"/>
        <v>44708</v>
      </c>
      <c r="B161" s="608">
        <v>187.29</v>
      </c>
      <c r="C161" s="385"/>
      <c r="D161" s="388">
        <f t="shared" si="88"/>
        <v>188.01955358635215</v>
      </c>
      <c r="E161" s="380">
        <f t="shared" si="89"/>
        <v>191.62196939778019</v>
      </c>
      <c r="F161" s="380">
        <f t="shared" si="90"/>
        <v>191.62350448293552</v>
      </c>
      <c r="G161" s="110">
        <f t="shared" si="91"/>
        <v>0.76552177181350833</v>
      </c>
      <c r="I161" s="375">
        <f t="shared" si="64"/>
        <v>191.62350448293552</v>
      </c>
      <c r="J161" s="85">
        <v>2022</v>
      </c>
      <c r="K161" s="193">
        <f t="shared" si="65"/>
        <v>44708</v>
      </c>
      <c r="L161" s="430">
        <f t="shared" si="66"/>
        <v>3.8802006091196439E-3</v>
      </c>
      <c r="M161" s="846"/>
      <c r="N161" s="846"/>
      <c r="O161" s="320">
        <f t="shared" si="67"/>
        <v>1.8799597054291538E-2</v>
      </c>
      <c r="P161" s="165">
        <f>(INDEX(Models!$BJ161:$BT161,,T161)*(1-R161)+INDEX(Models!$BJ161:$BT161,,T161+1)*R161-ERP_i)*Q161*Ramure*Pc/MaxiM</f>
        <v>1.2045888938926003E-5</v>
      </c>
      <c r="Q161" s="301">
        <f t="shared" si="68"/>
        <v>0.5</v>
      </c>
      <c r="R161" s="173">
        <f t="shared" si="69"/>
        <v>0.1691457779009054</v>
      </c>
      <c r="S161" s="801">
        <f t="shared" si="92"/>
        <v>0</v>
      </c>
      <c r="T161" s="172">
        <f t="shared" si="70"/>
        <v>6</v>
      </c>
      <c r="U161" s="247">
        <f t="shared" si="71"/>
        <v>0.1691457779009054</v>
      </c>
      <c r="V161" s="378">
        <f t="shared" si="72"/>
        <v>244.65567301295079</v>
      </c>
      <c r="W161" s="397"/>
      <c r="X161" s="153">
        <f t="shared" si="73"/>
        <v>44708</v>
      </c>
      <c r="Y161" s="380">
        <f t="shared" si="74"/>
        <v>187.29</v>
      </c>
      <c r="Z161" s="380">
        <f t="shared" si="75"/>
        <v>188.01955358635215</v>
      </c>
      <c r="AA161" s="381">
        <f t="shared" si="76"/>
        <v>191.62196939778019</v>
      </c>
      <c r="AB161" s="193">
        <f t="shared" si="77"/>
        <v>44708</v>
      </c>
      <c r="AC161" s="420">
        <f t="shared" si="78"/>
        <v>1.8799597054291538E-2</v>
      </c>
      <c r="AD161" s="165">
        <f>(INDEX(Models!$BJ161:$BT161,,AH161)*(1-AF161)+INDEX(Models!$BJ161:$BT161,,AH161+1)*AF161-ERP_i)*AE161*Ramure*Pc/MaxiM</f>
        <v>1.2045888938926003E-5</v>
      </c>
      <c r="AE161" s="301">
        <f t="shared" si="79"/>
        <v>0.5</v>
      </c>
      <c r="AF161" s="173">
        <f t="shared" si="80"/>
        <v>0.1691457779009054</v>
      </c>
      <c r="AG161" s="801">
        <f t="shared" si="81"/>
        <v>0</v>
      </c>
      <c r="AH161" s="172">
        <f t="shared" si="82"/>
        <v>6</v>
      </c>
      <c r="AI161" s="221">
        <f t="shared" si="83"/>
        <v>0.1691457779009054</v>
      </c>
      <c r="AJ161" s="261" t="b">
        <f t="shared" si="84"/>
        <v>0</v>
      </c>
      <c r="AK161" s="261" t="b">
        <f t="shared" si="85"/>
        <v>0</v>
      </c>
      <c r="AL161" s="261"/>
      <c r="AM161" s="261"/>
      <c r="AN161" s="75"/>
      <c r="AV161" s="153">
        <f t="shared" si="93"/>
        <v>44343</v>
      </c>
      <c r="AW161" s="608"/>
      <c r="AX161" s="385"/>
      <c r="AY161" s="388"/>
      <c r="AZ161" s="380"/>
      <c r="BA161" s="380"/>
      <c r="BB161" s="110"/>
      <c r="BD161" s="375"/>
      <c r="BE161" s="85"/>
      <c r="BF161" s="193">
        <f t="shared" si="86"/>
        <v>44708</v>
      </c>
      <c r="BG161" s="430"/>
      <c r="BH161" s="846"/>
      <c r="BI161" s="846"/>
      <c r="BJ161" s="320"/>
      <c r="BK161" s="378"/>
    </row>
    <row r="162" spans="1:63" s="6" customFormat="1" ht="11.25" customHeight="1" x14ac:dyDescent="0.2">
      <c r="A162" s="56">
        <f t="shared" si="87"/>
        <v>44709</v>
      </c>
      <c r="B162" s="608">
        <v>230.428</v>
      </c>
      <c r="C162" s="385"/>
      <c r="D162" s="388">
        <f t="shared" si="88"/>
        <v>231.32875639044968</v>
      </c>
      <c r="E162" s="380">
        <f t="shared" si="89"/>
        <v>235.7780448540675</v>
      </c>
      <c r="F162" s="380">
        <f t="shared" si="90"/>
        <v>235.7806603297476</v>
      </c>
      <c r="G162" s="110">
        <f t="shared" si="91"/>
        <v>0.94124016100819452</v>
      </c>
      <c r="I162" s="375">
        <f t="shared" si="64"/>
        <v>235.7806603297476</v>
      </c>
      <c r="J162" s="85">
        <v>2022</v>
      </c>
      <c r="K162" s="193">
        <f t="shared" si="65"/>
        <v>44709</v>
      </c>
      <c r="L162" s="430">
        <f t="shared" si="66"/>
        <v>3.8938366526699575E-3</v>
      </c>
      <c r="M162" s="846"/>
      <c r="N162" s="846"/>
      <c r="O162" s="320">
        <f t="shared" si="67"/>
        <v>1.8870664850799263E-2</v>
      </c>
      <c r="P162" s="165">
        <f>(INDEX(Models!$BJ162:$BT162,,T162)*(1-R162)+INDEX(Models!$BJ162:$BT162,,T162+1)*R162-ERP_i)*Q162*Ramure*Pc/MaxiM</f>
        <v>1.2109304051589284E-5</v>
      </c>
      <c r="Q162" s="301">
        <f t="shared" si="68"/>
        <v>0.5</v>
      </c>
      <c r="R162" s="173">
        <f t="shared" si="69"/>
        <v>0.17391498028244778</v>
      </c>
      <c r="S162" s="801">
        <f t="shared" si="92"/>
        <v>0</v>
      </c>
      <c r="T162" s="172">
        <f t="shared" si="70"/>
        <v>6</v>
      </c>
      <c r="U162" s="247">
        <f t="shared" si="71"/>
        <v>0.17391498028244778</v>
      </c>
      <c r="V162" s="378">
        <f t="shared" si="72"/>
        <v>244.81293438156882</v>
      </c>
      <c r="W162" s="397"/>
      <c r="X162" s="153">
        <f t="shared" si="73"/>
        <v>44709</v>
      </c>
      <c r="Y162" s="380">
        <f t="shared" si="74"/>
        <v>230.428</v>
      </c>
      <c r="Z162" s="380">
        <f t="shared" si="75"/>
        <v>231.32875639044968</v>
      </c>
      <c r="AA162" s="381">
        <f t="shared" si="76"/>
        <v>235.7780448540675</v>
      </c>
      <c r="AB162" s="193">
        <f t="shared" si="77"/>
        <v>44709</v>
      </c>
      <c r="AC162" s="420">
        <f t="shared" si="78"/>
        <v>1.8870664850799263E-2</v>
      </c>
      <c r="AD162" s="165">
        <f>(INDEX(Models!$BJ162:$BT162,,AH162)*(1-AF162)+INDEX(Models!$BJ162:$BT162,,AH162+1)*AF162-ERP_i)*AE162*Ramure*Pc/MaxiM</f>
        <v>1.2109304051589284E-5</v>
      </c>
      <c r="AE162" s="301">
        <f t="shared" si="79"/>
        <v>0.5</v>
      </c>
      <c r="AF162" s="173">
        <f t="shared" si="80"/>
        <v>0.17391498028244778</v>
      </c>
      <c r="AG162" s="801">
        <f t="shared" si="81"/>
        <v>0</v>
      </c>
      <c r="AH162" s="172">
        <f t="shared" si="82"/>
        <v>6</v>
      </c>
      <c r="AI162" s="221">
        <f t="shared" si="83"/>
        <v>0.17391498028244778</v>
      </c>
      <c r="AJ162" s="261" t="b">
        <f t="shared" si="84"/>
        <v>0</v>
      </c>
      <c r="AK162" s="261" t="b">
        <f t="shared" si="85"/>
        <v>0</v>
      </c>
      <c r="AL162" s="261"/>
      <c r="AM162" s="261"/>
      <c r="AN162" s="75"/>
      <c r="AV162" s="153">
        <f t="shared" si="93"/>
        <v>44344</v>
      </c>
      <c r="AW162" s="608"/>
      <c r="AX162" s="385"/>
      <c r="AY162" s="388"/>
      <c r="AZ162" s="380"/>
      <c r="BA162" s="380"/>
      <c r="BB162" s="110"/>
      <c r="BD162" s="375"/>
      <c r="BE162" s="85"/>
      <c r="BF162" s="193">
        <f t="shared" si="86"/>
        <v>44709</v>
      </c>
      <c r="BG162" s="430"/>
      <c r="BH162" s="846"/>
      <c r="BI162" s="846"/>
      <c r="BJ162" s="320"/>
      <c r="BK162" s="378"/>
    </row>
    <row r="163" spans="1:63" s="6" customFormat="1" ht="11.25" x14ac:dyDescent="0.2">
      <c r="A163" s="56">
        <f t="shared" si="87"/>
        <v>44710</v>
      </c>
      <c r="B163" s="608">
        <v>251.012</v>
      </c>
      <c r="C163" s="385"/>
      <c r="D163" s="388">
        <f t="shared" si="88"/>
        <v>251.99667006076166</v>
      </c>
      <c r="E163" s="380">
        <f t="shared" si="89"/>
        <v>256.86207625727752</v>
      </c>
      <c r="F163" s="380">
        <f t="shared" si="90"/>
        <v>256.86519806358928</v>
      </c>
      <c r="G163" s="110">
        <f t="shared" si="91"/>
        <v>1.024695533351327</v>
      </c>
      <c r="I163" s="375">
        <f t="shared" si="64"/>
        <v>256.86519806358928</v>
      </c>
      <c r="J163" s="85">
        <v>2022</v>
      </c>
      <c r="K163" s="193">
        <f t="shared" si="65"/>
        <v>44710</v>
      </c>
      <c r="L163" s="430">
        <f t="shared" si="66"/>
        <v>3.9074725095543661E-3</v>
      </c>
      <c r="M163" s="846"/>
      <c r="N163" s="846"/>
      <c r="O163" s="320">
        <f t="shared" si="67"/>
        <v>1.8941707033632248E-2</v>
      </c>
      <c r="P163" s="165">
        <f>(INDEX(Models!$BJ163:$BT163,,T163)*(1-R163)+INDEX(Models!$BJ163:$BT163,,T163+1)*R163-ERP_i)*Q163*Ramure*Pc/MaxiM</f>
        <v>1.215348102934373E-5</v>
      </c>
      <c r="Q163" s="301">
        <f t="shared" si="68"/>
        <v>0.5</v>
      </c>
      <c r="R163" s="173">
        <f t="shared" si="69"/>
        <v>0.17873559511366977</v>
      </c>
      <c r="S163" s="801">
        <f t="shared" si="92"/>
        <v>0</v>
      </c>
      <c r="T163" s="172">
        <f t="shared" si="70"/>
        <v>6</v>
      </c>
      <c r="U163" s="247">
        <f t="shared" si="71"/>
        <v>0.17873559511366977</v>
      </c>
      <c r="V163" s="378">
        <f t="shared" si="72"/>
        <v>244.9625199195028</v>
      </c>
      <c r="W163" s="397"/>
      <c r="X163" s="153">
        <f t="shared" si="73"/>
        <v>44710</v>
      </c>
      <c r="Y163" s="380">
        <f t="shared" si="74"/>
        <v>251.012</v>
      </c>
      <c r="Z163" s="380">
        <f t="shared" si="75"/>
        <v>251.99667006076166</v>
      </c>
      <c r="AA163" s="381">
        <f t="shared" si="76"/>
        <v>256.86207625727752</v>
      </c>
      <c r="AB163" s="193">
        <f t="shared" si="77"/>
        <v>44710</v>
      </c>
      <c r="AC163" s="420">
        <f t="shared" si="78"/>
        <v>1.8941707033632248E-2</v>
      </c>
      <c r="AD163" s="165">
        <f>(INDEX(Models!$BJ163:$BT163,,AH163)*(1-AF163)+INDEX(Models!$BJ163:$BT163,,AH163+1)*AF163-ERP_i)*AE163*Ramure*Pc/MaxiM</f>
        <v>1.215348102934373E-5</v>
      </c>
      <c r="AE163" s="301">
        <f t="shared" si="79"/>
        <v>0.5</v>
      </c>
      <c r="AF163" s="173">
        <f t="shared" si="80"/>
        <v>0.17873559511366977</v>
      </c>
      <c r="AG163" s="801">
        <f t="shared" si="81"/>
        <v>0</v>
      </c>
      <c r="AH163" s="172">
        <f t="shared" si="82"/>
        <v>6</v>
      </c>
      <c r="AI163" s="221">
        <f t="shared" si="83"/>
        <v>0.17873559511366977</v>
      </c>
      <c r="AJ163" s="261" t="b">
        <f t="shared" si="84"/>
        <v>0</v>
      </c>
      <c r="AK163" s="261" t="b">
        <f t="shared" si="85"/>
        <v>0</v>
      </c>
      <c r="AL163" s="261"/>
      <c r="AM163" s="261"/>
      <c r="AN163" s="75"/>
      <c r="AV163" s="153">
        <f t="shared" si="93"/>
        <v>44345</v>
      </c>
      <c r="AW163" s="608"/>
      <c r="AX163" s="385"/>
      <c r="AY163" s="388"/>
      <c r="AZ163" s="380"/>
      <c r="BA163" s="380"/>
      <c r="BB163" s="110"/>
      <c r="BD163" s="375"/>
      <c r="BE163" s="85"/>
      <c r="BF163" s="193">
        <f t="shared" si="86"/>
        <v>44710</v>
      </c>
      <c r="BG163" s="430"/>
      <c r="BH163" s="846"/>
      <c r="BI163" s="846"/>
      <c r="BJ163" s="320"/>
      <c r="BK163" s="378"/>
    </row>
    <row r="164" spans="1:63" s="6" customFormat="1" ht="11.25" x14ac:dyDescent="0.2">
      <c r="A164" s="56">
        <f t="shared" si="87"/>
        <v>44711</v>
      </c>
      <c r="B164" s="608">
        <v>211.59100000000001</v>
      </c>
      <c r="C164" s="385"/>
      <c r="D164" s="388">
        <f t="shared" si="88"/>
        <v>212.42393723788356</v>
      </c>
      <c r="E164" s="380">
        <f t="shared" si="89"/>
        <v>216.54096715147463</v>
      </c>
      <c r="F164" s="380">
        <f t="shared" si="90"/>
        <v>216.54308989818958</v>
      </c>
      <c r="G164" s="110">
        <f t="shared" si="91"/>
        <v>0.86326795371141207</v>
      </c>
      <c r="I164" s="375">
        <f t="shared" si="64"/>
        <v>216.54308989818958</v>
      </c>
      <c r="J164" s="85">
        <v>2022</v>
      </c>
      <c r="K164" s="193">
        <f t="shared" si="65"/>
        <v>44711</v>
      </c>
      <c r="L164" s="430">
        <f t="shared" si="66"/>
        <v>3.9211081797753122E-3</v>
      </c>
      <c r="M164" s="846"/>
      <c r="N164" s="846"/>
      <c r="O164" s="320">
        <f t="shared" si="67"/>
        <v>1.901270677668648E-2</v>
      </c>
      <c r="P164" s="165">
        <f>(INDEX(Models!$BJ164:$BT164,,T164)*(1-R164)+INDEX(Models!$BJ164:$BT164,,T164+1)*R164-ERP_i)*Q164*Ramure*Pc/MaxiM</f>
        <v>1.2182467478012553E-5</v>
      </c>
      <c r="Q164" s="301">
        <f t="shared" si="68"/>
        <v>0.5</v>
      </c>
      <c r="R164" s="173">
        <f t="shared" si="69"/>
        <v>0.18360432405375732</v>
      </c>
      <c r="S164" s="801">
        <f t="shared" si="92"/>
        <v>0</v>
      </c>
      <c r="T164" s="172">
        <f t="shared" si="70"/>
        <v>6</v>
      </c>
      <c r="U164" s="247">
        <f t="shared" si="71"/>
        <v>0.18360432405375732</v>
      </c>
      <c r="V164" s="378">
        <f t="shared" si="72"/>
        <v>245.10407873576185</v>
      </c>
      <c r="W164" s="397"/>
      <c r="X164" s="153">
        <f t="shared" si="73"/>
        <v>44711</v>
      </c>
      <c r="Y164" s="380">
        <f t="shared" si="74"/>
        <v>211.59100000000001</v>
      </c>
      <c r="Z164" s="380">
        <f t="shared" si="75"/>
        <v>212.42393723788356</v>
      </c>
      <c r="AA164" s="381">
        <f t="shared" si="76"/>
        <v>216.54096715147463</v>
      </c>
      <c r="AB164" s="193">
        <f t="shared" si="77"/>
        <v>44711</v>
      </c>
      <c r="AC164" s="420">
        <f t="shared" si="78"/>
        <v>1.901270677668648E-2</v>
      </c>
      <c r="AD164" s="165">
        <f>(INDEX(Models!$BJ164:$BT164,,AH164)*(1-AF164)+INDEX(Models!$BJ164:$BT164,,AH164+1)*AF164-ERP_i)*AE164*Ramure*Pc/MaxiM</f>
        <v>1.2182467478012553E-5</v>
      </c>
      <c r="AE164" s="301">
        <f t="shared" si="79"/>
        <v>0.5</v>
      </c>
      <c r="AF164" s="173">
        <f t="shared" si="80"/>
        <v>0.18360432405375732</v>
      </c>
      <c r="AG164" s="801">
        <f t="shared" si="81"/>
        <v>0</v>
      </c>
      <c r="AH164" s="172">
        <f t="shared" si="82"/>
        <v>6</v>
      </c>
      <c r="AI164" s="221">
        <f t="shared" si="83"/>
        <v>0.18360432405375732</v>
      </c>
      <c r="AJ164" s="261" t="b">
        <f t="shared" si="84"/>
        <v>0</v>
      </c>
      <c r="AK164" s="261" t="b">
        <f t="shared" si="85"/>
        <v>0</v>
      </c>
      <c r="AL164" s="261"/>
      <c r="AM164" s="261"/>
      <c r="AN164" s="75"/>
      <c r="AV164" s="153">
        <f t="shared" si="93"/>
        <v>44346</v>
      </c>
      <c r="AW164" s="608"/>
      <c r="AX164" s="385"/>
      <c r="AY164" s="388"/>
      <c r="AZ164" s="380"/>
      <c r="BA164" s="380"/>
      <c r="BB164" s="110"/>
      <c r="BD164" s="375"/>
      <c r="BE164" s="85"/>
      <c r="BF164" s="193">
        <f t="shared" si="86"/>
        <v>44711</v>
      </c>
      <c r="BG164" s="430"/>
      <c r="BH164" s="846"/>
      <c r="BI164" s="846"/>
      <c r="BJ164" s="320"/>
      <c r="BK164" s="378"/>
    </row>
    <row r="165" spans="1:63" s="6" customFormat="1" ht="11.25" x14ac:dyDescent="0.2">
      <c r="A165" s="56">
        <f t="shared" si="87"/>
        <v>44712</v>
      </c>
      <c r="B165" s="608">
        <v>231.88300000000001</v>
      </c>
      <c r="C165" s="385"/>
      <c r="D165" s="388">
        <f t="shared" si="88"/>
        <v>232.7990044074229</v>
      </c>
      <c r="E165" s="380">
        <f t="shared" si="89"/>
        <v>237.32808992249389</v>
      </c>
      <c r="F165" s="380">
        <f t="shared" si="90"/>
        <v>237.33076111913962</v>
      </c>
      <c r="G165" s="110">
        <f t="shared" si="91"/>
        <v>0.94554534273716995</v>
      </c>
      <c r="I165" s="375">
        <f t="shared" si="64"/>
        <v>237.33076111913962</v>
      </c>
      <c r="J165" s="85">
        <v>2022</v>
      </c>
      <c r="K165" s="193">
        <f t="shared" si="65"/>
        <v>44712</v>
      </c>
      <c r="L165" s="430">
        <f t="shared" si="66"/>
        <v>3.9347436633353494E-3</v>
      </c>
      <c r="M165" s="846"/>
      <c r="N165" s="846"/>
      <c r="O165" s="320">
        <f t="shared" si="67"/>
        <v>1.9083647100307816E-2</v>
      </c>
      <c r="P165" s="165">
        <f>(INDEX(Models!$BJ165:$BT165,,T165)*(1-R165)+INDEX(Models!$BJ165:$BT165,,T165+1)*R165-ERP_i)*Q165*Ramure*Pc/MaxiM</f>
        <v>1.2204570838123451E-5</v>
      </c>
      <c r="Q165" s="301">
        <f t="shared" si="68"/>
        <v>0.5</v>
      </c>
      <c r="R165" s="173">
        <f t="shared" si="69"/>
        <v>0.18851772060338398</v>
      </c>
      <c r="S165" s="801">
        <f t="shared" si="92"/>
        <v>0</v>
      </c>
      <c r="T165" s="172">
        <f t="shared" si="70"/>
        <v>6</v>
      </c>
      <c r="U165" s="247">
        <f t="shared" si="71"/>
        <v>0.18851772060338398</v>
      </c>
      <c r="V165" s="378">
        <f t="shared" si="72"/>
        <v>245.23708104253112</v>
      </c>
      <c r="W165" s="397"/>
      <c r="X165" s="153">
        <f t="shared" si="73"/>
        <v>44712</v>
      </c>
      <c r="Y165" s="380">
        <f t="shared" si="74"/>
        <v>231.88300000000001</v>
      </c>
      <c r="Z165" s="380">
        <f t="shared" si="75"/>
        <v>232.7990044074229</v>
      </c>
      <c r="AA165" s="381">
        <f t="shared" si="76"/>
        <v>237.32808992249389</v>
      </c>
      <c r="AB165" s="193">
        <f t="shared" si="77"/>
        <v>44712</v>
      </c>
      <c r="AC165" s="420">
        <f t="shared" si="78"/>
        <v>1.9083647100307816E-2</v>
      </c>
      <c r="AD165" s="165">
        <f>(INDEX(Models!$BJ165:$BT165,,AH165)*(1-AF165)+INDEX(Models!$BJ165:$BT165,,AH165+1)*AF165-ERP_i)*AE165*Ramure*Pc/MaxiM</f>
        <v>1.2204570838123451E-5</v>
      </c>
      <c r="AE165" s="301">
        <f t="shared" si="79"/>
        <v>0.5</v>
      </c>
      <c r="AF165" s="173">
        <f t="shared" si="80"/>
        <v>0.18851772060338398</v>
      </c>
      <c r="AG165" s="801">
        <f t="shared" si="81"/>
        <v>0</v>
      </c>
      <c r="AH165" s="172">
        <f t="shared" si="82"/>
        <v>6</v>
      </c>
      <c r="AI165" s="221">
        <f t="shared" si="83"/>
        <v>0.18851772060338398</v>
      </c>
      <c r="AJ165" s="261" t="b">
        <f t="shared" si="84"/>
        <v>0</v>
      </c>
      <c r="AK165" s="261" t="b">
        <f t="shared" si="85"/>
        <v>0</v>
      </c>
      <c r="AL165" s="261"/>
      <c r="AM165" s="261"/>
      <c r="AN165" s="75"/>
      <c r="AV165" s="153">
        <f t="shared" si="93"/>
        <v>44347</v>
      </c>
      <c r="AW165" s="608"/>
      <c r="AX165" s="385"/>
      <c r="AY165" s="388"/>
      <c r="AZ165" s="380"/>
      <c r="BA165" s="380"/>
      <c r="BB165" s="110"/>
      <c r="BD165" s="375"/>
      <c r="BE165" s="85"/>
      <c r="BF165" s="193">
        <f t="shared" si="86"/>
        <v>44712</v>
      </c>
      <c r="BG165" s="430"/>
      <c r="BH165" s="846"/>
      <c r="BI165" s="846"/>
      <c r="BJ165" s="320"/>
      <c r="BK165" s="378"/>
    </row>
    <row r="166" spans="1:63" s="6" customFormat="1" ht="11.25" customHeight="1" x14ac:dyDescent="0.2">
      <c r="A166" s="56">
        <f t="shared" si="87"/>
        <v>44713</v>
      </c>
      <c r="B166" s="608">
        <v>242.08</v>
      </c>
      <c r="C166" s="385"/>
      <c r="D166" s="388">
        <f t="shared" si="88"/>
        <v>243.03961249246944</v>
      </c>
      <c r="E166" s="380">
        <f t="shared" si="89"/>
        <v>247.78582886018765</v>
      </c>
      <c r="F166" s="380">
        <f t="shared" si="90"/>
        <v>247.7887989555031</v>
      </c>
      <c r="G166" s="110">
        <f t="shared" si="91"/>
        <v>0.98662763925908858</v>
      </c>
      <c r="I166" s="375">
        <f t="shared" si="64"/>
        <v>247.7887989555031</v>
      </c>
      <c r="J166" s="85">
        <v>2022</v>
      </c>
      <c r="K166" s="193">
        <f t="shared" si="65"/>
        <v>44713</v>
      </c>
      <c r="L166" s="430">
        <f t="shared" si="66"/>
        <v>3.9483789602370312E-3</v>
      </c>
      <c r="M166" s="846"/>
      <c r="N166" s="846"/>
      <c r="O166" s="320">
        <f t="shared" si="67"/>
        <v>1.9154510932084961E-2</v>
      </c>
      <c r="P166" s="165">
        <f>(INDEX(Models!$BJ166:$BT166,,T166)*(1-R166)+INDEX(Models!$BJ166:$BT166,,T166+1)*R166-ERP_i)*Q166*Ramure*Pc/MaxiM</f>
        <v>1.2219834642603838E-5</v>
      </c>
      <c r="Q166" s="301">
        <f t="shared" si="68"/>
        <v>0.5</v>
      </c>
      <c r="R166" s="173">
        <f t="shared" si="69"/>
        <v>0.19347219868046633</v>
      </c>
      <c r="S166" s="801">
        <f t="shared" si="92"/>
        <v>0</v>
      </c>
      <c r="T166" s="172">
        <f t="shared" si="70"/>
        <v>6</v>
      </c>
      <c r="U166" s="247">
        <f t="shared" si="71"/>
        <v>0.19347219868046633</v>
      </c>
      <c r="V166" s="378">
        <f t="shared" si="72"/>
        <v>245.36099928329472</v>
      </c>
      <c r="W166" s="397"/>
      <c r="X166" s="153">
        <f t="shared" si="73"/>
        <v>44713</v>
      </c>
      <c r="Y166" s="380">
        <f t="shared" si="74"/>
        <v>242.08</v>
      </c>
      <c r="Z166" s="380">
        <f t="shared" si="75"/>
        <v>243.03961249246944</v>
      </c>
      <c r="AA166" s="381">
        <f t="shared" si="76"/>
        <v>247.78582886018765</v>
      </c>
      <c r="AB166" s="193">
        <f t="shared" si="77"/>
        <v>44713</v>
      </c>
      <c r="AC166" s="420">
        <f t="shared" si="78"/>
        <v>1.9154510932084961E-2</v>
      </c>
      <c r="AD166" s="165">
        <f>(INDEX(Models!$BJ166:$BT166,,AH166)*(1-AF166)+INDEX(Models!$BJ166:$BT166,,AH166+1)*AF166-ERP_i)*AE166*Ramure*Pc/MaxiM</f>
        <v>1.2219834642603838E-5</v>
      </c>
      <c r="AE166" s="301">
        <f t="shared" si="79"/>
        <v>0.5</v>
      </c>
      <c r="AF166" s="173">
        <f t="shared" si="80"/>
        <v>0.19347219868046633</v>
      </c>
      <c r="AG166" s="801">
        <f t="shared" si="81"/>
        <v>0</v>
      </c>
      <c r="AH166" s="172">
        <f t="shared" si="82"/>
        <v>6</v>
      </c>
      <c r="AI166" s="221">
        <f t="shared" si="83"/>
        <v>0.19347219868046633</v>
      </c>
      <c r="AJ166" s="261" t="b">
        <f t="shared" si="84"/>
        <v>0</v>
      </c>
      <c r="AK166" s="261" t="b">
        <f t="shared" si="85"/>
        <v>0</v>
      </c>
      <c r="AL166" s="261"/>
      <c r="AM166" s="261"/>
      <c r="AN166" s="75"/>
      <c r="AV166" s="153">
        <f t="shared" si="93"/>
        <v>44348</v>
      </c>
      <c r="AW166" s="608"/>
      <c r="AX166" s="385"/>
      <c r="AY166" s="388"/>
      <c r="AZ166" s="380"/>
      <c r="BA166" s="380"/>
      <c r="BB166" s="110"/>
      <c r="BD166" s="375"/>
      <c r="BE166" s="85"/>
      <c r="BF166" s="193">
        <f t="shared" si="86"/>
        <v>44713</v>
      </c>
      <c r="BG166" s="430"/>
      <c r="BH166" s="846"/>
      <c r="BI166" s="846"/>
      <c r="BJ166" s="320"/>
      <c r="BK166" s="378"/>
    </row>
    <row r="167" spans="1:63" s="6" customFormat="1" ht="11.25" customHeight="1" x14ac:dyDescent="0.2">
      <c r="A167" s="56">
        <f t="shared" si="87"/>
        <v>44714</v>
      </c>
      <c r="B167" s="608">
        <v>170.273</v>
      </c>
      <c r="C167" s="385"/>
      <c r="D167" s="388">
        <f t="shared" si="88"/>
        <v>170.95030752376255</v>
      </c>
      <c r="E167" s="380">
        <f t="shared" si="89"/>
        <v>174.30129900534155</v>
      </c>
      <c r="F167" s="380">
        <f t="shared" si="90"/>
        <v>174.30249761857024</v>
      </c>
      <c r="G167" s="110">
        <f t="shared" si="91"/>
        <v>0.6936424337457564</v>
      </c>
      <c r="I167" s="375">
        <f t="shared" si="64"/>
        <v>174.30249761857024</v>
      </c>
      <c r="J167" s="85">
        <v>2022</v>
      </c>
      <c r="K167" s="193">
        <f t="shared" si="65"/>
        <v>44714</v>
      </c>
      <c r="L167" s="430">
        <f t="shared" si="66"/>
        <v>3.962014070483022E-3</v>
      </c>
      <c r="M167" s="846"/>
      <c r="N167" s="846"/>
      <c r="O167" s="320">
        <f t="shared" si="67"/>
        <v>1.922528116945545E-2</v>
      </c>
      <c r="P167" s="165">
        <f>(INDEX(Models!$BJ167:$BT167,,T167)*(1-R167)+INDEX(Models!$BJ167:$BT167,,T167+1)*R167-ERP_i)*Q167*Ramure*Pc/MaxiM</f>
        <v>1.2228339635609042E-5</v>
      </c>
      <c r="Q167" s="301">
        <f t="shared" si="68"/>
        <v>0.5</v>
      </c>
      <c r="R167" s="173">
        <f t="shared" si="69"/>
        <v>0.19846404209487889</v>
      </c>
      <c r="S167" s="801">
        <f t="shared" si="92"/>
        <v>0</v>
      </c>
      <c r="T167" s="172">
        <f t="shared" si="70"/>
        <v>6</v>
      </c>
      <c r="U167" s="247">
        <f t="shared" si="71"/>
        <v>0.19846404209487889</v>
      </c>
      <c r="V167" s="378">
        <f t="shared" si="72"/>
        <v>245.47530609113034</v>
      </c>
      <c r="W167" s="397"/>
      <c r="X167" s="153">
        <f t="shared" si="73"/>
        <v>44714</v>
      </c>
      <c r="Y167" s="380">
        <f t="shared" si="74"/>
        <v>170.273</v>
      </c>
      <c r="Z167" s="380">
        <f t="shared" si="75"/>
        <v>170.95030752376255</v>
      </c>
      <c r="AA167" s="381">
        <f t="shared" si="76"/>
        <v>174.30129900534155</v>
      </c>
      <c r="AB167" s="193">
        <f t="shared" si="77"/>
        <v>44714</v>
      </c>
      <c r="AC167" s="420">
        <f t="shared" si="78"/>
        <v>1.922528116945545E-2</v>
      </c>
      <c r="AD167" s="165">
        <f>(INDEX(Models!$BJ167:$BT167,,AH167)*(1-AF167)+INDEX(Models!$BJ167:$BT167,,AH167+1)*AF167-ERP_i)*AE167*Ramure*Pc/MaxiM</f>
        <v>1.2228339635609042E-5</v>
      </c>
      <c r="AE167" s="301">
        <f t="shared" si="79"/>
        <v>0.5</v>
      </c>
      <c r="AF167" s="173">
        <f t="shared" si="80"/>
        <v>0.19846404209487889</v>
      </c>
      <c r="AG167" s="801">
        <f t="shared" si="81"/>
        <v>0</v>
      </c>
      <c r="AH167" s="172">
        <f t="shared" si="82"/>
        <v>6</v>
      </c>
      <c r="AI167" s="221">
        <f t="shared" si="83"/>
        <v>0.19846404209487889</v>
      </c>
      <c r="AJ167" s="261" t="b">
        <f t="shared" si="84"/>
        <v>0</v>
      </c>
      <c r="AK167" s="261" t="b">
        <f t="shared" si="85"/>
        <v>0</v>
      </c>
      <c r="AL167" s="261"/>
      <c r="AM167" s="261"/>
      <c r="AN167" s="75"/>
      <c r="AV167" s="153">
        <f t="shared" si="93"/>
        <v>44349</v>
      </c>
      <c r="AW167" s="608"/>
      <c r="AX167" s="385"/>
      <c r="AY167" s="388"/>
      <c r="AZ167" s="380"/>
      <c r="BA167" s="380"/>
      <c r="BB167" s="110"/>
      <c r="BD167" s="375"/>
      <c r="BE167" s="85"/>
      <c r="BF167" s="193">
        <f t="shared" si="86"/>
        <v>44714</v>
      </c>
      <c r="BG167" s="430"/>
      <c r="BH167" s="846"/>
      <c r="BI167" s="846"/>
      <c r="BJ167" s="320"/>
      <c r="BK167" s="378"/>
    </row>
    <row r="168" spans="1:63" s="6" customFormat="1" ht="11.25" customHeight="1" x14ac:dyDescent="0.2">
      <c r="A168" s="56">
        <f t="shared" si="87"/>
        <v>44715</v>
      </c>
      <c r="B168" s="608">
        <v>233.93299999999999</v>
      </c>
      <c r="C168" s="385"/>
      <c r="D168" s="388">
        <f t="shared" si="88"/>
        <v>234.86674774943188</v>
      </c>
      <c r="E168" s="380">
        <f t="shared" si="89"/>
        <v>239.48789192078297</v>
      </c>
      <c r="F168" s="380">
        <f t="shared" si="90"/>
        <v>239.49062250139852</v>
      </c>
      <c r="G168" s="110">
        <f t="shared" si="91"/>
        <v>0.95257474945020537</v>
      </c>
      <c r="I168" s="375">
        <f t="shared" si="64"/>
        <v>239.49062250139852</v>
      </c>
      <c r="J168" s="85">
        <v>2022</v>
      </c>
      <c r="K168" s="193">
        <f t="shared" si="65"/>
        <v>44715</v>
      </c>
      <c r="L168" s="430">
        <f t="shared" si="66"/>
        <v>3.9756489940758755E-3</v>
      </c>
      <c r="M168" s="846"/>
      <c r="N168" s="846"/>
      <c r="O168" s="320">
        <f t="shared" si="67"/>
        <v>1.929594074375857E-2</v>
      </c>
      <c r="P168" s="165">
        <f>(INDEX(Models!$BJ168:$BT168,,T168)*(1-R168)+INDEX(Models!$BJ168:$BT168,,T168+1)*R168-ERP_i)*Q168*Ramure*Pc/MaxiM</f>
        <v>1.2230205078030759E-5</v>
      </c>
      <c r="Q168" s="301">
        <f t="shared" si="68"/>
        <v>0.5</v>
      </c>
      <c r="R168" s="173">
        <f t="shared" si="69"/>
        <v>0.2034894148771508</v>
      </c>
      <c r="S168" s="801">
        <f t="shared" si="92"/>
        <v>0</v>
      </c>
      <c r="T168" s="172">
        <f t="shared" si="70"/>
        <v>6</v>
      </c>
      <c r="U168" s="247">
        <f t="shared" si="71"/>
        <v>0.2034894148771508</v>
      </c>
      <c r="V168" s="378">
        <f t="shared" si="72"/>
        <v>245.57947426064985</v>
      </c>
      <c r="W168" s="397"/>
      <c r="X168" s="153">
        <f t="shared" si="73"/>
        <v>44715</v>
      </c>
      <c r="Y168" s="380">
        <f t="shared" si="74"/>
        <v>233.93299999999999</v>
      </c>
      <c r="Z168" s="380">
        <f t="shared" si="75"/>
        <v>234.86674774943188</v>
      </c>
      <c r="AA168" s="381">
        <f t="shared" si="76"/>
        <v>239.48789192078297</v>
      </c>
      <c r="AB168" s="193">
        <f t="shared" si="77"/>
        <v>44715</v>
      </c>
      <c r="AC168" s="420">
        <f t="shared" si="78"/>
        <v>1.929594074375857E-2</v>
      </c>
      <c r="AD168" s="165">
        <f>(INDEX(Models!$BJ168:$BT168,,AH168)*(1-AF168)+INDEX(Models!$BJ168:$BT168,,AH168+1)*AF168-ERP_i)*AE168*Ramure*Pc/MaxiM</f>
        <v>1.2230205078030759E-5</v>
      </c>
      <c r="AE168" s="301">
        <f t="shared" si="79"/>
        <v>0.5</v>
      </c>
      <c r="AF168" s="173">
        <f t="shared" si="80"/>
        <v>0.2034894148771508</v>
      </c>
      <c r="AG168" s="801">
        <f t="shared" si="81"/>
        <v>0</v>
      </c>
      <c r="AH168" s="172">
        <f t="shared" si="82"/>
        <v>6</v>
      </c>
      <c r="AI168" s="221">
        <f t="shared" si="83"/>
        <v>0.2034894148771508</v>
      </c>
      <c r="AJ168" s="261" t="b">
        <f t="shared" si="84"/>
        <v>0</v>
      </c>
      <c r="AK168" s="261" t="b">
        <f t="shared" si="85"/>
        <v>0</v>
      </c>
      <c r="AL168" s="261"/>
      <c r="AM168" s="261"/>
      <c r="AN168" s="75"/>
      <c r="AV168" s="153">
        <f t="shared" si="93"/>
        <v>44350</v>
      </c>
      <c r="AW168" s="608"/>
      <c r="AX168" s="385"/>
      <c r="AY168" s="388"/>
      <c r="AZ168" s="380"/>
      <c r="BA168" s="380"/>
      <c r="BB168" s="110"/>
      <c r="BD168" s="375"/>
      <c r="BE168" s="85"/>
      <c r="BF168" s="193">
        <f t="shared" si="86"/>
        <v>44715</v>
      </c>
      <c r="BG168" s="430"/>
      <c r="BH168" s="846"/>
      <c r="BI168" s="846"/>
      <c r="BJ168" s="320"/>
      <c r="BK168" s="378"/>
    </row>
    <row r="169" spans="1:63" s="18" customFormat="1" ht="11.25" customHeight="1" x14ac:dyDescent="0.2">
      <c r="A169" s="56">
        <f t="shared" si="87"/>
        <v>44716</v>
      </c>
      <c r="B169" s="608">
        <v>101.923</v>
      </c>
      <c r="C169" s="385"/>
      <c r="D169" s="388">
        <f t="shared" si="88"/>
        <v>102.33122830424922</v>
      </c>
      <c r="E169" s="380">
        <f t="shared" si="89"/>
        <v>104.3521615913654</v>
      </c>
      <c r="F169" s="380">
        <f t="shared" si="90"/>
        <v>104.35237094994316</v>
      </c>
      <c r="G169" s="110">
        <f t="shared" si="91"/>
        <v>0.41486841476182929</v>
      </c>
      <c r="I169" s="375">
        <f t="shared" si="64"/>
        <v>104.35237094994316</v>
      </c>
      <c r="J169" s="85">
        <v>2022</v>
      </c>
      <c r="K169" s="193">
        <f t="shared" si="65"/>
        <v>44716</v>
      </c>
      <c r="L169" s="430">
        <f t="shared" si="66"/>
        <v>3.989283731017923E-3</v>
      </c>
      <c r="M169" s="846"/>
      <c r="N169" s="846"/>
      <c r="O169" s="320">
        <f t="shared" si="67"/>
        <v>1.9366472685347802E-2</v>
      </c>
      <c r="P169" s="165">
        <f>(INDEX(Models!$BJ169:$BT169,,T169)*(1-R169)+INDEX(Models!$BJ169:$BT169,,T169+1)*R169-ERP_i)*Q169*Ramure*Pc/MaxiM</f>
        <v>1.2225589842268145E-5</v>
      </c>
      <c r="Q169" s="301">
        <f t="shared" si="68"/>
        <v>0.5</v>
      </c>
      <c r="R169" s="173">
        <f t="shared" si="69"/>
        <v>0.20854437240681059</v>
      </c>
      <c r="S169" s="801">
        <f t="shared" si="92"/>
        <v>0</v>
      </c>
      <c r="T169" s="172">
        <f t="shared" si="70"/>
        <v>6</v>
      </c>
      <c r="U169" s="247">
        <f t="shared" si="71"/>
        <v>0.20854437240681059</v>
      </c>
      <c r="V169" s="378">
        <f t="shared" si="72"/>
        <v>245.67297674912948</v>
      </c>
      <c r="W169" s="397"/>
      <c r="X169" s="153">
        <f t="shared" si="73"/>
        <v>44716</v>
      </c>
      <c r="Y169" s="380">
        <f t="shared" si="74"/>
        <v>101.923</v>
      </c>
      <c r="Z169" s="380">
        <f t="shared" si="75"/>
        <v>102.33122830424922</v>
      </c>
      <c r="AA169" s="381">
        <f t="shared" si="76"/>
        <v>104.3521615913654</v>
      </c>
      <c r="AB169" s="193">
        <f t="shared" si="77"/>
        <v>44716</v>
      </c>
      <c r="AC169" s="420">
        <f t="shared" si="78"/>
        <v>1.9366472685347802E-2</v>
      </c>
      <c r="AD169" s="165">
        <f>(INDEX(Models!$BJ169:$BT169,,AH169)*(1-AF169)+INDEX(Models!$BJ169:$BT169,,AH169+1)*AF169-ERP_i)*AE169*Ramure*Pc/MaxiM</f>
        <v>1.2225589842268145E-5</v>
      </c>
      <c r="AE169" s="301">
        <f t="shared" si="79"/>
        <v>0.5</v>
      </c>
      <c r="AF169" s="173">
        <f t="shared" si="80"/>
        <v>0.20854437240681059</v>
      </c>
      <c r="AG169" s="801">
        <f t="shared" si="81"/>
        <v>0</v>
      </c>
      <c r="AH169" s="172">
        <f t="shared" si="82"/>
        <v>6</v>
      </c>
      <c r="AI169" s="221">
        <f t="shared" si="83"/>
        <v>0.20854437240681059</v>
      </c>
      <c r="AJ169" s="261" t="b">
        <f t="shared" si="84"/>
        <v>0</v>
      </c>
      <c r="AK169" s="261" t="b">
        <f t="shared" si="85"/>
        <v>0</v>
      </c>
      <c r="AL169" s="261"/>
      <c r="AM169" s="261"/>
      <c r="AN169" s="261"/>
      <c r="AV169" s="153">
        <f t="shared" si="93"/>
        <v>44351</v>
      </c>
      <c r="AW169" s="608"/>
      <c r="AX169" s="385"/>
      <c r="AY169" s="388"/>
      <c r="AZ169" s="380"/>
      <c r="BA169" s="380"/>
      <c r="BB169" s="110"/>
      <c r="BD169" s="375"/>
      <c r="BE169" s="85"/>
      <c r="BF169" s="193">
        <f t="shared" si="86"/>
        <v>44716</v>
      </c>
      <c r="BG169" s="430"/>
      <c r="BH169" s="846"/>
      <c r="BI169" s="846"/>
      <c r="BJ169" s="320"/>
      <c r="BK169" s="378"/>
    </row>
    <row r="170" spans="1:63" s="18" customFormat="1" ht="11.25" customHeight="1" x14ac:dyDescent="0.2">
      <c r="A170" s="56">
        <f t="shared" si="87"/>
        <v>44717</v>
      </c>
      <c r="B170" s="608">
        <v>132.05500000000001</v>
      </c>
      <c r="C170" s="385"/>
      <c r="D170" s="388">
        <f t="shared" si="88"/>
        <v>132.58572984182493</v>
      </c>
      <c r="E170" s="380">
        <f t="shared" si="89"/>
        <v>135.21386278850807</v>
      </c>
      <c r="F170" s="380">
        <f t="shared" si="90"/>
        <v>135.21442308270213</v>
      </c>
      <c r="G170" s="110">
        <f t="shared" si="91"/>
        <v>0.53733913925440724</v>
      </c>
      <c r="I170" s="375">
        <f t="shared" si="64"/>
        <v>135.21442308270213</v>
      </c>
      <c r="J170" s="85">
        <v>2022</v>
      </c>
      <c r="K170" s="193">
        <f t="shared" si="65"/>
        <v>44717</v>
      </c>
      <c r="L170" s="430">
        <f t="shared" si="66"/>
        <v>4.0029182813119402E-3</v>
      </c>
      <c r="M170" s="846"/>
      <c r="N170" s="846"/>
      <c r="O170" s="320">
        <f t="shared" si="67"/>
        <v>1.9436860189357114E-2</v>
      </c>
      <c r="P170" s="165">
        <f>(INDEX(Models!$BJ170:$BT170,,T170)*(1-R170)+INDEX(Models!$BJ170:$BT170,,T170+1)*R170-ERP_i)*Q170*Ramure*Pc/MaxiM</f>
        <v>1.2221199610422176E-5</v>
      </c>
      <c r="Q170" s="301">
        <f t="shared" si="68"/>
        <v>0.5</v>
      </c>
      <c r="R170" s="173">
        <f t="shared" si="69"/>
        <v>0.21362487327708254</v>
      </c>
      <c r="S170" s="801">
        <f t="shared" si="92"/>
        <v>0</v>
      </c>
      <c r="T170" s="172">
        <f t="shared" si="70"/>
        <v>6</v>
      </c>
      <c r="U170" s="247">
        <f t="shared" si="71"/>
        <v>0.21362487327708254</v>
      </c>
      <c r="V170" s="378">
        <f t="shared" si="72"/>
        <v>245.75528503404166</v>
      </c>
      <c r="W170" s="397"/>
      <c r="X170" s="153">
        <f t="shared" si="73"/>
        <v>44717</v>
      </c>
      <c r="Y170" s="380">
        <f t="shared" si="74"/>
        <v>132.05500000000001</v>
      </c>
      <c r="Z170" s="380">
        <f t="shared" si="75"/>
        <v>132.58572984182493</v>
      </c>
      <c r="AA170" s="381">
        <f t="shared" si="76"/>
        <v>135.21386278850807</v>
      </c>
      <c r="AB170" s="193">
        <f t="shared" si="77"/>
        <v>44717</v>
      </c>
      <c r="AC170" s="420">
        <f t="shared" si="78"/>
        <v>1.9436860189357114E-2</v>
      </c>
      <c r="AD170" s="165">
        <f>(INDEX(Models!$BJ170:$BT170,,AH170)*(1-AF170)+INDEX(Models!$BJ170:$BT170,,AH170+1)*AF170-ERP_i)*AE170*Ramure*Pc/MaxiM</f>
        <v>1.2221199610422176E-5</v>
      </c>
      <c r="AE170" s="301">
        <f t="shared" si="79"/>
        <v>0.5</v>
      </c>
      <c r="AF170" s="173">
        <f t="shared" si="80"/>
        <v>0.21362487327708254</v>
      </c>
      <c r="AG170" s="801">
        <f t="shared" si="81"/>
        <v>0</v>
      </c>
      <c r="AH170" s="172">
        <f t="shared" si="82"/>
        <v>6</v>
      </c>
      <c r="AI170" s="221">
        <f t="shared" si="83"/>
        <v>0.21362487327708254</v>
      </c>
      <c r="AJ170" s="261" t="b">
        <f t="shared" si="84"/>
        <v>0</v>
      </c>
      <c r="AK170" s="261" t="b">
        <f t="shared" si="85"/>
        <v>0</v>
      </c>
      <c r="AL170" s="261"/>
      <c r="AM170" s="261"/>
      <c r="AN170" s="261"/>
      <c r="AV170" s="153">
        <f t="shared" si="93"/>
        <v>44352</v>
      </c>
      <c r="AW170" s="608"/>
      <c r="AX170" s="385"/>
      <c r="AY170" s="388"/>
      <c r="AZ170" s="380"/>
      <c r="BA170" s="380"/>
      <c r="BB170" s="110"/>
      <c r="BD170" s="375"/>
      <c r="BE170" s="85"/>
      <c r="BF170" s="193">
        <f t="shared" si="86"/>
        <v>44717</v>
      </c>
      <c r="BG170" s="430"/>
      <c r="BH170" s="846"/>
      <c r="BI170" s="846"/>
      <c r="BJ170" s="320"/>
      <c r="BK170" s="378"/>
    </row>
    <row r="171" spans="1:63" s="6" customFormat="1" ht="11.25" customHeight="1" x14ac:dyDescent="0.2">
      <c r="A171" s="56">
        <f t="shared" si="87"/>
        <v>44718</v>
      </c>
      <c r="B171" s="608">
        <v>194.03900000000002</v>
      </c>
      <c r="C171" s="385"/>
      <c r="D171" s="388">
        <f t="shared" si="88"/>
        <v>194.82151085471872</v>
      </c>
      <c r="E171" s="380">
        <f t="shared" si="89"/>
        <v>198.69752061275062</v>
      </c>
      <c r="F171" s="380">
        <f t="shared" si="90"/>
        <v>198.6992170848427</v>
      </c>
      <c r="G171" s="110">
        <f t="shared" si="91"/>
        <v>0.78933223841180733</v>
      </c>
      <c r="I171" s="375">
        <f t="shared" si="64"/>
        <v>198.6992170848427</v>
      </c>
      <c r="J171" s="85">
        <v>2022</v>
      </c>
      <c r="K171" s="193">
        <f t="shared" si="65"/>
        <v>44718</v>
      </c>
      <c r="L171" s="430">
        <f t="shared" si="66"/>
        <v>4.0165526449604805E-3</v>
      </c>
      <c r="M171" s="846"/>
      <c r="N171" s="846"/>
      <c r="O171" s="320">
        <f t="shared" si="67"/>
        <v>1.9507086681700491E-2</v>
      </c>
      <c r="P171" s="165">
        <f>(INDEX(Models!$BJ171:$BT171,,T171)*(1-R171)+INDEX(Models!$BJ171:$BT171,,T171+1)*R171-ERP_i)*Q171*Ramure*Pc/MaxiM</f>
        <v>1.2213558014506125E-5</v>
      </c>
      <c r="Q171" s="301">
        <f t="shared" si="68"/>
        <v>0.5</v>
      </c>
      <c r="R171" s="173">
        <f t="shared" si="69"/>
        <v>0.2187267918242225</v>
      </c>
      <c r="S171" s="801">
        <f t="shared" si="92"/>
        <v>0</v>
      </c>
      <c r="T171" s="172">
        <f t="shared" si="70"/>
        <v>6</v>
      </c>
      <c r="U171" s="247">
        <f t="shared" si="71"/>
        <v>0.2187267918242225</v>
      </c>
      <c r="V171" s="378">
        <f t="shared" si="72"/>
        <v>245.82587322344298</v>
      </c>
      <c r="W171" s="397"/>
      <c r="X171" s="153">
        <f t="shared" si="73"/>
        <v>44718</v>
      </c>
      <c r="Y171" s="380">
        <f t="shared" si="74"/>
        <v>194.03900000000002</v>
      </c>
      <c r="Z171" s="380">
        <f t="shared" si="75"/>
        <v>194.82151085471872</v>
      </c>
      <c r="AA171" s="381">
        <f t="shared" si="76"/>
        <v>198.69752061275062</v>
      </c>
      <c r="AB171" s="193">
        <f t="shared" si="77"/>
        <v>44718</v>
      </c>
      <c r="AC171" s="420">
        <f t="shared" si="78"/>
        <v>1.9507086681700491E-2</v>
      </c>
      <c r="AD171" s="165">
        <f>(INDEX(Models!$BJ171:$BT171,,AH171)*(1-AF171)+INDEX(Models!$BJ171:$BT171,,AH171+1)*AF171-ERP_i)*AE171*Ramure*Pc/MaxiM</f>
        <v>1.2213558014506125E-5</v>
      </c>
      <c r="AE171" s="301">
        <f t="shared" si="79"/>
        <v>0.5</v>
      </c>
      <c r="AF171" s="173">
        <f t="shared" si="80"/>
        <v>0.2187267918242225</v>
      </c>
      <c r="AG171" s="801">
        <f t="shared" si="81"/>
        <v>0</v>
      </c>
      <c r="AH171" s="172">
        <f t="shared" si="82"/>
        <v>6</v>
      </c>
      <c r="AI171" s="221">
        <f t="shared" si="83"/>
        <v>0.2187267918242225</v>
      </c>
      <c r="AJ171" s="261" t="b">
        <f t="shared" si="84"/>
        <v>0</v>
      </c>
      <c r="AK171" s="261" t="b">
        <f t="shared" si="85"/>
        <v>0</v>
      </c>
      <c r="AL171" s="261"/>
      <c r="AM171" s="261"/>
      <c r="AN171" s="75"/>
      <c r="AV171" s="153">
        <f t="shared" si="93"/>
        <v>44353</v>
      </c>
      <c r="AW171" s="608"/>
      <c r="AX171" s="385"/>
      <c r="AY171" s="388"/>
      <c r="AZ171" s="380"/>
      <c r="BA171" s="380"/>
      <c r="BB171" s="110"/>
      <c r="BD171" s="375"/>
      <c r="BE171" s="85"/>
      <c r="BF171" s="193">
        <f t="shared" si="86"/>
        <v>44718</v>
      </c>
      <c r="BG171" s="430"/>
      <c r="BH171" s="846"/>
      <c r="BI171" s="846"/>
      <c r="BJ171" s="320"/>
      <c r="BK171" s="378"/>
    </row>
    <row r="172" spans="1:63" s="6" customFormat="1" ht="11.25" customHeight="1" x14ac:dyDescent="0.2">
      <c r="A172" s="56">
        <f t="shared" si="87"/>
        <v>44719</v>
      </c>
      <c r="B172" s="608">
        <v>120.911</v>
      </c>
      <c r="C172" s="385"/>
      <c r="D172" s="388">
        <f t="shared" si="88"/>
        <v>121.40026575121371</v>
      </c>
      <c r="E172" s="380">
        <f t="shared" si="89"/>
        <v>123.82439271322227</v>
      </c>
      <c r="F172" s="380">
        <f t="shared" si="90"/>
        <v>123.82480660988531</v>
      </c>
      <c r="G172" s="110">
        <f t="shared" si="91"/>
        <v>0.49173522131191016</v>
      </c>
      <c r="I172" s="375">
        <f t="shared" si="64"/>
        <v>123.82480660988531</v>
      </c>
      <c r="J172" s="85">
        <v>2022</v>
      </c>
      <c r="K172" s="193">
        <f t="shared" si="65"/>
        <v>44719</v>
      </c>
      <c r="L172" s="430">
        <f t="shared" si="66"/>
        <v>4.0301868219659864E-3</v>
      </c>
      <c r="M172" s="846"/>
      <c r="N172" s="846"/>
      <c r="O172" s="320">
        <f t="shared" si="67"/>
        <v>1.9577135884872421E-2</v>
      </c>
      <c r="P172" s="165">
        <f>(INDEX(Models!$BJ172:$BT172,,T172)*(1-R172)+INDEX(Models!$BJ172:$BT172,,T172+1)*R172-ERP_i)*Q172*Ramure*Pc/MaxiM</f>
        <v>1.2203110351726134E-5</v>
      </c>
      <c r="Q172" s="301">
        <f t="shared" si="68"/>
        <v>0.5</v>
      </c>
      <c r="R172" s="173">
        <f t="shared" si="69"/>
        <v>0.22384593124204849</v>
      </c>
      <c r="S172" s="801">
        <f t="shared" si="92"/>
        <v>0</v>
      </c>
      <c r="T172" s="172">
        <f t="shared" si="70"/>
        <v>6</v>
      </c>
      <c r="U172" s="247">
        <f t="shared" si="71"/>
        <v>0.22384593124204849</v>
      </c>
      <c r="V172" s="378">
        <f t="shared" si="72"/>
        <v>245.8842145586836</v>
      </c>
      <c r="W172" s="397"/>
      <c r="X172" s="153">
        <f t="shared" si="73"/>
        <v>44719</v>
      </c>
      <c r="Y172" s="380">
        <f t="shared" si="74"/>
        <v>120.911</v>
      </c>
      <c r="Z172" s="380">
        <f t="shared" si="75"/>
        <v>121.40026575121371</v>
      </c>
      <c r="AA172" s="381">
        <f t="shared" si="76"/>
        <v>123.82439271322227</v>
      </c>
      <c r="AB172" s="193">
        <f t="shared" si="77"/>
        <v>44719</v>
      </c>
      <c r="AC172" s="420">
        <f t="shared" si="78"/>
        <v>1.9577135884872421E-2</v>
      </c>
      <c r="AD172" s="165">
        <f>(INDEX(Models!$BJ172:$BT172,,AH172)*(1-AF172)+INDEX(Models!$BJ172:$BT172,,AH172+1)*AF172-ERP_i)*AE172*Ramure*Pc/MaxiM</f>
        <v>1.2203110351726134E-5</v>
      </c>
      <c r="AE172" s="301">
        <f t="shared" si="79"/>
        <v>0.5</v>
      </c>
      <c r="AF172" s="173">
        <f t="shared" si="80"/>
        <v>0.22384593124204849</v>
      </c>
      <c r="AG172" s="801">
        <f t="shared" si="81"/>
        <v>0</v>
      </c>
      <c r="AH172" s="172">
        <f t="shared" si="82"/>
        <v>6</v>
      </c>
      <c r="AI172" s="221">
        <f t="shared" si="83"/>
        <v>0.22384593124204849</v>
      </c>
      <c r="AJ172" s="261" t="b">
        <f t="shared" si="84"/>
        <v>0</v>
      </c>
      <c r="AK172" s="261" t="b">
        <f t="shared" si="85"/>
        <v>0</v>
      </c>
      <c r="AL172" s="261"/>
      <c r="AM172" s="261"/>
      <c r="AN172" s="75"/>
      <c r="AV172" s="153">
        <f t="shared" si="93"/>
        <v>44354</v>
      </c>
      <c r="AW172" s="608"/>
      <c r="AX172" s="385"/>
      <c r="AY172" s="388"/>
      <c r="AZ172" s="380"/>
      <c r="BA172" s="380"/>
      <c r="BB172" s="110"/>
      <c r="BD172" s="375"/>
      <c r="BE172" s="85"/>
      <c r="BF172" s="193">
        <f t="shared" si="86"/>
        <v>44719</v>
      </c>
      <c r="BG172" s="430"/>
      <c r="BH172" s="846"/>
      <c r="BI172" s="846"/>
      <c r="BJ172" s="320"/>
      <c r="BK172" s="378"/>
    </row>
    <row r="173" spans="1:63" s="6" customFormat="1" ht="11.25" customHeight="1" x14ac:dyDescent="0.2">
      <c r="A173" s="56">
        <f t="shared" si="87"/>
        <v>44720</v>
      </c>
      <c r="B173" s="608">
        <v>92.120999999999995</v>
      </c>
      <c r="C173" s="385"/>
      <c r="D173" s="388">
        <f t="shared" si="88"/>
        <v>92.495033340861013</v>
      </c>
      <c r="E173" s="380">
        <f t="shared" si="89"/>
        <v>94.348701513682258</v>
      </c>
      <c r="F173" s="380">
        <f t="shared" si="90"/>
        <v>94.348824057543851</v>
      </c>
      <c r="G173" s="110">
        <f t="shared" si="91"/>
        <v>0.3745784499072386</v>
      </c>
      <c r="I173" s="375">
        <f t="shared" si="64"/>
        <v>94.348824057543851</v>
      </c>
      <c r="J173" s="85">
        <v>2022</v>
      </c>
      <c r="K173" s="193">
        <f t="shared" si="65"/>
        <v>44720</v>
      </c>
      <c r="L173" s="430">
        <f t="shared" si="66"/>
        <v>4.0438208123310115E-3</v>
      </c>
      <c r="M173" s="846"/>
      <c r="N173" s="846"/>
      <c r="O173" s="320">
        <f t="shared" si="67"/>
        <v>1.9646991883109595E-2</v>
      </c>
      <c r="P173" s="165">
        <f>(INDEX(Models!$BJ173:$BT173,,T173)*(1-R173)+INDEX(Models!$BJ173:$BT173,,T173+1)*R173-ERP_i)*Q173*Ramure*Pc/MaxiM</f>
        <v>1.2190345103836321E-5</v>
      </c>
      <c r="Q173" s="301">
        <f t="shared" si="68"/>
        <v>0.5</v>
      </c>
      <c r="R173" s="173">
        <f t="shared" si="69"/>
        <v>0.22897803719531498</v>
      </c>
      <c r="S173" s="801">
        <f t="shared" si="92"/>
        <v>0</v>
      </c>
      <c r="T173" s="172">
        <f t="shared" si="70"/>
        <v>6</v>
      </c>
      <c r="U173" s="247">
        <f t="shared" si="71"/>
        <v>0.22897803719531498</v>
      </c>
      <c r="V173" s="378">
        <f t="shared" si="72"/>
        <v>245.92978235936098</v>
      </c>
      <c r="W173" s="397"/>
      <c r="X173" s="153">
        <f t="shared" si="73"/>
        <v>44720</v>
      </c>
      <c r="Y173" s="380">
        <f t="shared" si="74"/>
        <v>92.120999999999995</v>
      </c>
      <c r="Z173" s="380">
        <f t="shared" si="75"/>
        <v>92.495033340861013</v>
      </c>
      <c r="AA173" s="381">
        <f t="shared" si="76"/>
        <v>94.348701513682258</v>
      </c>
      <c r="AB173" s="193">
        <f t="shared" si="77"/>
        <v>44720</v>
      </c>
      <c r="AC173" s="420">
        <f t="shared" si="78"/>
        <v>1.9646991883109595E-2</v>
      </c>
      <c r="AD173" s="165">
        <f>(INDEX(Models!$BJ173:$BT173,,AH173)*(1-AF173)+INDEX(Models!$BJ173:$BT173,,AH173+1)*AF173-ERP_i)*AE173*Ramure*Pc/MaxiM</f>
        <v>1.2190345103836321E-5</v>
      </c>
      <c r="AE173" s="301">
        <f t="shared" si="79"/>
        <v>0.5</v>
      </c>
      <c r="AF173" s="173">
        <f t="shared" si="80"/>
        <v>0.22897803719531498</v>
      </c>
      <c r="AG173" s="801">
        <f t="shared" si="81"/>
        <v>0</v>
      </c>
      <c r="AH173" s="172">
        <f t="shared" si="82"/>
        <v>6</v>
      </c>
      <c r="AI173" s="221">
        <f t="shared" si="83"/>
        <v>0.22897803719531498</v>
      </c>
      <c r="AJ173" s="261" t="b">
        <f t="shared" si="84"/>
        <v>0</v>
      </c>
      <c r="AK173" s="261" t="b">
        <f t="shared" si="85"/>
        <v>0</v>
      </c>
      <c r="AL173" s="261"/>
      <c r="AM173" s="261"/>
      <c r="AN173" s="75"/>
      <c r="AV173" s="153">
        <f t="shared" si="93"/>
        <v>44355</v>
      </c>
      <c r="AW173" s="608"/>
      <c r="AX173" s="385"/>
      <c r="AY173" s="388"/>
      <c r="AZ173" s="380"/>
      <c r="BA173" s="380"/>
      <c r="BB173" s="110"/>
      <c r="BD173" s="375"/>
      <c r="BE173" s="85"/>
      <c r="BF173" s="193">
        <f t="shared" si="86"/>
        <v>44720</v>
      </c>
      <c r="BG173" s="430"/>
      <c r="BH173" s="846"/>
      <c r="BI173" s="846"/>
      <c r="BJ173" s="320"/>
      <c r="BK173" s="378"/>
    </row>
    <row r="174" spans="1:63" s="6" customFormat="1" ht="11.25" customHeight="1" x14ac:dyDescent="0.2">
      <c r="A174" s="56">
        <f t="shared" si="87"/>
        <v>44721</v>
      </c>
      <c r="B174" s="608">
        <v>195.43100000000001</v>
      </c>
      <c r="C174" s="385"/>
      <c r="D174" s="388">
        <f t="shared" si="88"/>
        <v>196.22718288900913</v>
      </c>
      <c r="E174" s="380">
        <f t="shared" si="89"/>
        <v>200.17394024332052</v>
      </c>
      <c r="F174" s="380">
        <f t="shared" si="90"/>
        <v>200.17566222023561</v>
      </c>
      <c r="G174" s="110">
        <f t="shared" si="91"/>
        <v>0.79455469506241994</v>
      </c>
      <c r="I174" s="375">
        <f t="shared" si="64"/>
        <v>200.17566222023561</v>
      </c>
      <c r="J174" s="85">
        <v>2022</v>
      </c>
      <c r="K174" s="193">
        <f t="shared" si="65"/>
        <v>44721</v>
      </c>
      <c r="L174" s="430">
        <f t="shared" si="66"/>
        <v>4.0574546160582203E-3</v>
      </c>
      <c r="M174" s="846"/>
      <c r="N174" s="846"/>
      <c r="O174" s="320">
        <f t="shared" si="67"/>
        <v>1.9716639186469109E-2</v>
      </c>
      <c r="P174" s="165">
        <f>(INDEX(Models!$BJ174:$BT174,,T174)*(1-R174)+INDEX(Models!$BJ174:$BT174,,T174+1)*R174-ERP_i)*Q174*Ramure*Pc/MaxiM</f>
        <v>1.2175793348838487E-5</v>
      </c>
      <c r="Q174" s="301">
        <f t="shared" si="68"/>
        <v>0.5</v>
      </c>
      <c r="R174" s="173">
        <f t="shared" si="69"/>
        <v>0.23411881183962086</v>
      </c>
      <c r="S174" s="801">
        <f t="shared" si="92"/>
        <v>0</v>
      </c>
      <c r="T174" s="172">
        <f t="shared" si="70"/>
        <v>6</v>
      </c>
      <c r="U174" s="247">
        <f t="shared" si="71"/>
        <v>0.23411881183962086</v>
      </c>
      <c r="V174" s="378">
        <f t="shared" si="72"/>
        <v>245.962049991963</v>
      </c>
      <c r="W174" s="397"/>
      <c r="X174" s="153">
        <f t="shared" si="73"/>
        <v>44721</v>
      </c>
      <c r="Y174" s="380">
        <f t="shared" si="74"/>
        <v>195.43100000000001</v>
      </c>
      <c r="Z174" s="380">
        <f t="shared" si="75"/>
        <v>196.22718288900913</v>
      </c>
      <c r="AA174" s="381">
        <f t="shared" si="76"/>
        <v>200.17394024332052</v>
      </c>
      <c r="AB174" s="193">
        <f t="shared" si="77"/>
        <v>44721</v>
      </c>
      <c r="AC174" s="420">
        <f t="shared" si="78"/>
        <v>1.9716639186469109E-2</v>
      </c>
      <c r="AD174" s="165">
        <f>(INDEX(Models!$BJ174:$BT174,,AH174)*(1-AF174)+INDEX(Models!$BJ174:$BT174,,AH174+1)*AF174-ERP_i)*AE174*Ramure*Pc/MaxiM</f>
        <v>1.2175793348838487E-5</v>
      </c>
      <c r="AE174" s="301">
        <f t="shared" si="79"/>
        <v>0.5</v>
      </c>
      <c r="AF174" s="173">
        <f t="shared" si="80"/>
        <v>0.23411881183962086</v>
      </c>
      <c r="AG174" s="801">
        <f t="shared" si="81"/>
        <v>0</v>
      </c>
      <c r="AH174" s="172">
        <f t="shared" si="82"/>
        <v>6</v>
      </c>
      <c r="AI174" s="221">
        <f t="shared" si="83"/>
        <v>0.23411881183962086</v>
      </c>
      <c r="AJ174" s="261" t="b">
        <f t="shared" si="84"/>
        <v>0</v>
      </c>
      <c r="AK174" s="261" t="b">
        <f t="shared" si="85"/>
        <v>0</v>
      </c>
      <c r="AL174" s="261"/>
      <c r="AM174" s="261"/>
      <c r="AN174" s="75"/>
      <c r="AV174" s="153">
        <f t="shared" si="93"/>
        <v>44356</v>
      </c>
      <c r="AW174" s="608"/>
      <c r="AX174" s="385"/>
      <c r="AY174" s="388"/>
      <c r="AZ174" s="380"/>
      <c r="BA174" s="380"/>
      <c r="BB174" s="110"/>
      <c r="BD174" s="375"/>
      <c r="BE174" s="85"/>
      <c r="BF174" s="193">
        <f t="shared" si="86"/>
        <v>44721</v>
      </c>
      <c r="BG174" s="430"/>
      <c r="BH174" s="846"/>
      <c r="BI174" s="846"/>
      <c r="BJ174" s="320"/>
      <c r="BK174" s="378"/>
    </row>
    <row r="175" spans="1:63" s="6" customFormat="1" ht="11.25" customHeight="1" x14ac:dyDescent="0.2">
      <c r="A175" s="56">
        <f t="shared" si="87"/>
        <v>44722</v>
      </c>
      <c r="B175" s="608">
        <v>247.06300000000002</v>
      </c>
      <c r="C175" s="385"/>
      <c r="D175" s="388">
        <f t="shared" si="88"/>
        <v>248.07292677314928</v>
      </c>
      <c r="E175" s="380">
        <f t="shared" si="89"/>
        <v>253.08039128692542</v>
      </c>
      <c r="F175" s="380">
        <f t="shared" si="90"/>
        <v>253.08346878897103</v>
      </c>
      <c r="G175" s="110">
        <f t="shared" si="91"/>
        <v>1.0044007926630025</v>
      </c>
      <c r="I175" s="375">
        <f t="shared" si="64"/>
        <v>253.08346878897103</v>
      </c>
      <c r="J175" s="85">
        <v>2022</v>
      </c>
      <c r="K175" s="193">
        <f t="shared" si="65"/>
        <v>44722</v>
      </c>
      <c r="L175" s="430">
        <f t="shared" si="66"/>
        <v>4.0710882331500553E-3</v>
      </c>
      <c r="M175" s="846"/>
      <c r="N175" s="846"/>
      <c r="O175" s="320">
        <f t="shared" si="67"/>
        <v>1.9786062793379421E-2</v>
      </c>
      <c r="P175" s="165">
        <f>(INDEX(Models!$BJ175:$BT175,,T175)*(1-R175)+INDEX(Models!$BJ175:$BT175,,T175+1)*R175-ERP_i)*Q175*Ramure*Pc/MaxiM</f>
        <v>1.2160027916224361E-5</v>
      </c>
      <c r="Q175" s="301">
        <f t="shared" si="68"/>
        <v>0.5</v>
      </c>
      <c r="R175" s="173">
        <f t="shared" si="69"/>
        <v>0.23926392815063238</v>
      </c>
      <c r="S175" s="801">
        <f t="shared" si="92"/>
        <v>0</v>
      </c>
      <c r="T175" s="172">
        <f t="shared" si="70"/>
        <v>6</v>
      </c>
      <c r="U175" s="247">
        <f t="shared" si="71"/>
        <v>0.23926392815063238</v>
      </c>
      <c r="V175" s="378">
        <f t="shared" si="72"/>
        <v>245.98049086057904</v>
      </c>
      <c r="W175" s="397"/>
      <c r="X175" s="153">
        <f t="shared" si="73"/>
        <v>44722</v>
      </c>
      <c r="Y175" s="380">
        <f t="shared" si="74"/>
        <v>247.06300000000002</v>
      </c>
      <c r="Z175" s="380">
        <f t="shared" si="75"/>
        <v>248.07292677314928</v>
      </c>
      <c r="AA175" s="381">
        <f t="shared" si="76"/>
        <v>253.08039128692542</v>
      </c>
      <c r="AB175" s="193">
        <f t="shared" si="77"/>
        <v>44722</v>
      </c>
      <c r="AC175" s="420">
        <f t="shared" si="78"/>
        <v>1.9786062793379421E-2</v>
      </c>
      <c r="AD175" s="165">
        <f>(INDEX(Models!$BJ175:$BT175,,AH175)*(1-AF175)+INDEX(Models!$BJ175:$BT175,,AH175+1)*AF175-ERP_i)*AE175*Ramure*Pc/MaxiM</f>
        <v>1.2160027916224361E-5</v>
      </c>
      <c r="AE175" s="301">
        <f t="shared" si="79"/>
        <v>0.5</v>
      </c>
      <c r="AF175" s="173">
        <f t="shared" si="80"/>
        <v>0.23926392815063238</v>
      </c>
      <c r="AG175" s="801">
        <f t="shared" si="81"/>
        <v>0</v>
      </c>
      <c r="AH175" s="172">
        <f t="shared" si="82"/>
        <v>6</v>
      </c>
      <c r="AI175" s="221">
        <f t="shared" si="83"/>
        <v>0.23926392815063238</v>
      </c>
      <c r="AJ175" s="261" t="b">
        <f t="shared" si="84"/>
        <v>0</v>
      </c>
      <c r="AK175" s="261" t="b">
        <f t="shared" si="85"/>
        <v>0</v>
      </c>
      <c r="AL175" s="261"/>
      <c r="AM175" s="261"/>
      <c r="AN175" s="75"/>
      <c r="AV175" s="153">
        <f t="shared" si="93"/>
        <v>44357</v>
      </c>
      <c r="AW175" s="608"/>
      <c r="AX175" s="385"/>
      <c r="AY175" s="388"/>
      <c r="AZ175" s="380"/>
      <c r="BA175" s="380"/>
      <c r="BB175" s="110"/>
      <c r="BD175" s="375"/>
      <c r="BE175" s="85"/>
      <c r="BF175" s="193">
        <f t="shared" si="86"/>
        <v>44722</v>
      </c>
      <c r="BG175" s="430"/>
      <c r="BH175" s="846"/>
      <c r="BI175" s="846"/>
      <c r="BJ175" s="320"/>
      <c r="BK175" s="378"/>
    </row>
    <row r="176" spans="1:63" s="6" customFormat="1" ht="11.25" customHeight="1" x14ac:dyDescent="0.2">
      <c r="A176" s="56">
        <f t="shared" si="87"/>
        <v>44723</v>
      </c>
      <c r="B176" s="608">
        <v>234.66</v>
      </c>
      <c r="C176" s="385"/>
      <c r="D176" s="388">
        <f t="shared" si="88"/>
        <v>235.62245213466716</v>
      </c>
      <c r="E176" s="380">
        <f t="shared" si="89"/>
        <v>240.39556577155457</v>
      </c>
      <c r="F176" s="380">
        <f t="shared" si="90"/>
        <v>240.39829308903109</v>
      </c>
      <c r="G176" s="110">
        <f t="shared" si="91"/>
        <v>0.95396148051766905</v>
      </c>
      <c r="I176" s="375">
        <f t="shared" si="64"/>
        <v>240.39829308903109</v>
      </c>
      <c r="J176" s="85">
        <v>2022</v>
      </c>
      <c r="K176" s="193">
        <f t="shared" si="65"/>
        <v>44723</v>
      </c>
      <c r="L176" s="430">
        <f t="shared" si="66"/>
        <v>4.08472166360907E-3</v>
      </c>
      <c r="M176" s="846"/>
      <c r="N176" s="846"/>
      <c r="O176" s="320">
        <f t="shared" si="67"/>
        <v>1.9855248251223014E-2</v>
      </c>
      <c r="P176" s="165">
        <f>(INDEX(Models!$BJ176:$BT176,,T176)*(1-R176)+INDEX(Models!$BJ176:$BT176,,T176+1)*R176-ERP_i)*Q176*Ramure*Pc/MaxiM</f>
        <v>1.2143662296190963E-5</v>
      </c>
      <c r="Q176" s="301">
        <f t="shared" si="68"/>
        <v>0.5</v>
      </c>
      <c r="R176" s="173">
        <f t="shared" si="69"/>
        <v>0.24440904446164391</v>
      </c>
      <c r="S176" s="801">
        <f t="shared" si="92"/>
        <v>0</v>
      </c>
      <c r="T176" s="172">
        <f t="shared" si="70"/>
        <v>6</v>
      </c>
      <c r="U176" s="247">
        <f t="shared" si="71"/>
        <v>0.24440904446164391</v>
      </c>
      <c r="V176" s="378">
        <f t="shared" si="72"/>
        <v>245.98457838707469</v>
      </c>
      <c r="W176" s="397"/>
      <c r="X176" s="153">
        <f t="shared" si="73"/>
        <v>44723</v>
      </c>
      <c r="Y176" s="380">
        <f t="shared" si="74"/>
        <v>234.66</v>
      </c>
      <c r="Z176" s="380">
        <f t="shared" si="75"/>
        <v>235.62245213466716</v>
      </c>
      <c r="AA176" s="381">
        <f t="shared" si="76"/>
        <v>240.39556577155457</v>
      </c>
      <c r="AB176" s="193">
        <f t="shared" si="77"/>
        <v>44723</v>
      </c>
      <c r="AC176" s="420">
        <f t="shared" si="78"/>
        <v>1.9855248251223014E-2</v>
      </c>
      <c r="AD176" s="165">
        <f>(INDEX(Models!$BJ176:$BT176,,AH176)*(1-AF176)+INDEX(Models!$BJ176:$BT176,,AH176+1)*AF176-ERP_i)*AE176*Ramure*Pc/MaxiM</f>
        <v>1.2143662296190963E-5</v>
      </c>
      <c r="AE176" s="301">
        <f t="shared" si="79"/>
        <v>0.5</v>
      </c>
      <c r="AF176" s="173">
        <f t="shared" si="80"/>
        <v>0.24440904446164391</v>
      </c>
      <c r="AG176" s="801">
        <f t="shared" si="81"/>
        <v>0</v>
      </c>
      <c r="AH176" s="172">
        <f t="shared" si="82"/>
        <v>6</v>
      </c>
      <c r="AI176" s="221">
        <f t="shared" si="83"/>
        <v>0.24440904446164391</v>
      </c>
      <c r="AJ176" s="261" t="b">
        <f t="shared" si="84"/>
        <v>0</v>
      </c>
      <c r="AK176" s="261" t="b">
        <f t="shared" si="85"/>
        <v>0</v>
      </c>
      <c r="AL176" s="261"/>
      <c r="AM176" s="261"/>
      <c r="AN176" s="75"/>
      <c r="AV176" s="153">
        <f t="shared" si="93"/>
        <v>44358</v>
      </c>
      <c r="AW176" s="608"/>
      <c r="AX176" s="385"/>
      <c r="AY176" s="388"/>
      <c r="AZ176" s="380"/>
      <c r="BA176" s="380"/>
      <c r="BB176" s="110"/>
      <c r="BD176" s="375"/>
      <c r="BE176" s="85"/>
      <c r="BF176" s="193">
        <f t="shared" si="86"/>
        <v>44723</v>
      </c>
      <c r="BG176" s="430"/>
      <c r="BH176" s="846"/>
      <c r="BI176" s="846"/>
      <c r="BJ176" s="320"/>
      <c r="BK176" s="378"/>
    </row>
    <row r="177" spans="1:63" s="6" customFormat="1" ht="11.25" customHeight="1" x14ac:dyDescent="0.2">
      <c r="A177" s="56">
        <f t="shared" si="87"/>
        <v>44724</v>
      </c>
      <c r="B177" s="608">
        <v>185.25900000000001</v>
      </c>
      <c r="C177" s="385"/>
      <c r="D177" s="388">
        <f t="shared" si="88"/>
        <v>186.02138164234231</v>
      </c>
      <c r="E177" s="380">
        <f t="shared" si="89"/>
        <v>189.80305214321388</v>
      </c>
      <c r="F177" s="380">
        <f t="shared" si="90"/>
        <v>189.8045422952159</v>
      </c>
      <c r="G177" s="110">
        <f t="shared" si="91"/>
        <v>0.75316185853477691</v>
      </c>
      <c r="I177" s="375">
        <f t="shared" si="64"/>
        <v>189.8045422952159</v>
      </c>
      <c r="J177" s="85">
        <v>2022</v>
      </c>
      <c r="K177" s="193">
        <f t="shared" si="65"/>
        <v>44724</v>
      </c>
      <c r="L177" s="430">
        <f t="shared" si="66"/>
        <v>4.0983549074379289E-3</v>
      </c>
      <c r="M177" s="846"/>
      <c r="N177" s="846"/>
      <c r="O177" s="320">
        <f t="shared" si="67"/>
        <v>1.992418171451811E-2</v>
      </c>
      <c r="P177" s="165">
        <f>(INDEX(Models!$BJ177:$BT177,,T177)*(1-R177)+INDEX(Models!$BJ177:$BT177,,T177+1)*R177-ERP_i)*Q177*Ramure*Pc/MaxiM</f>
        <v>1.2127340546426639E-5</v>
      </c>
      <c r="Q177" s="301">
        <f t="shared" si="68"/>
        <v>0.5</v>
      </c>
      <c r="R177" s="173">
        <f t="shared" si="69"/>
        <v>0.24954981910594981</v>
      </c>
      <c r="S177" s="801">
        <f t="shared" si="92"/>
        <v>0</v>
      </c>
      <c r="T177" s="172">
        <f t="shared" si="70"/>
        <v>6</v>
      </c>
      <c r="U177" s="247">
        <f t="shared" si="71"/>
        <v>0.24954981910594981</v>
      </c>
      <c r="V177" s="378">
        <f t="shared" si="72"/>
        <v>245.97396384388995</v>
      </c>
      <c r="W177" s="397"/>
      <c r="X177" s="153">
        <f t="shared" si="73"/>
        <v>44724</v>
      </c>
      <c r="Y177" s="380">
        <f t="shared" si="74"/>
        <v>185.25900000000001</v>
      </c>
      <c r="Z177" s="380">
        <f t="shared" si="75"/>
        <v>186.02138164234231</v>
      </c>
      <c r="AA177" s="381">
        <f t="shared" si="76"/>
        <v>189.80305214321388</v>
      </c>
      <c r="AB177" s="193">
        <f t="shared" si="77"/>
        <v>44724</v>
      </c>
      <c r="AC177" s="420">
        <f t="shared" si="78"/>
        <v>1.992418171451811E-2</v>
      </c>
      <c r="AD177" s="165">
        <f>(INDEX(Models!$BJ177:$BT177,,AH177)*(1-AF177)+INDEX(Models!$BJ177:$BT177,,AH177+1)*AF177-ERP_i)*AE177*Ramure*Pc/MaxiM</f>
        <v>1.2127340546426639E-5</v>
      </c>
      <c r="AE177" s="301">
        <f t="shared" si="79"/>
        <v>0.5</v>
      </c>
      <c r="AF177" s="173">
        <f t="shared" si="80"/>
        <v>0.24954981910594981</v>
      </c>
      <c r="AG177" s="801">
        <f t="shared" si="81"/>
        <v>0</v>
      </c>
      <c r="AH177" s="172">
        <f t="shared" si="82"/>
        <v>6</v>
      </c>
      <c r="AI177" s="221">
        <f t="shared" si="83"/>
        <v>0.24954981910594981</v>
      </c>
      <c r="AJ177" s="261" t="b">
        <f t="shared" si="84"/>
        <v>0</v>
      </c>
      <c r="AK177" s="261" t="b">
        <f t="shared" si="85"/>
        <v>0</v>
      </c>
      <c r="AL177" s="261"/>
      <c r="AM177" s="261"/>
      <c r="AN177" s="75"/>
      <c r="AV177" s="153">
        <f t="shared" si="93"/>
        <v>44359</v>
      </c>
      <c r="AW177" s="608"/>
      <c r="AX177" s="385"/>
      <c r="AY177" s="388"/>
      <c r="AZ177" s="380"/>
      <c r="BA177" s="380"/>
      <c r="BB177" s="110"/>
      <c r="BD177" s="375"/>
      <c r="BE177" s="85"/>
      <c r="BF177" s="193">
        <f t="shared" si="86"/>
        <v>44724</v>
      </c>
      <c r="BG177" s="430"/>
      <c r="BH177" s="846"/>
      <c r="BI177" s="846"/>
      <c r="BJ177" s="320"/>
      <c r="BK177" s="378"/>
    </row>
    <row r="178" spans="1:63" s="6" customFormat="1" ht="11.25" customHeight="1" x14ac:dyDescent="0.2">
      <c r="A178" s="56">
        <f t="shared" si="87"/>
        <v>44725</v>
      </c>
      <c r="B178" s="608">
        <v>227.84900000000002</v>
      </c>
      <c r="C178" s="385"/>
      <c r="D178" s="388">
        <f t="shared" si="88"/>
        <v>228.78978082518563</v>
      </c>
      <c r="E178" s="380">
        <f t="shared" si="89"/>
        <v>233.45725674067847</v>
      </c>
      <c r="F178" s="380">
        <f t="shared" si="90"/>
        <v>233.45979077270493</v>
      </c>
      <c r="G178" s="110">
        <f t="shared" si="91"/>
        <v>0.92640630551443315</v>
      </c>
      <c r="I178" s="375">
        <f t="shared" si="64"/>
        <v>233.45979077270493</v>
      </c>
      <c r="J178" s="85">
        <v>2022</v>
      </c>
      <c r="K178" s="193">
        <f t="shared" si="65"/>
        <v>44725</v>
      </c>
      <c r="L178" s="430">
        <f t="shared" si="66"/>
        <v>4.1119879646391855E-3</v>
      </c>
      <c r="M178" s="846"/>
      <c r="N178" s="846"/>
      <c r="O178" s="320">
        <f t="shared" si="67"/>
        <v>1.9992850000278336E-2</v>
      </c>
      <c r="P178" s="165">
        <f>(INDEX(Models!$BJ178:$BT178,,T178)*(1-R178)+INDEX(Models!$BJ178:$BT178,,T178+1)*R178-ERP_i)*Q178*Ramure*Pc/MaxiM</f>
        <v>1.2129449974374715E-5</v>
      </c>
      <c r="Q178" s="301">
        <f t="shared" si="68"/>
        <v>0.5</v>
      </c>
      <c r="R178" s="173">
        <f t="shared" si="69"/>
        <v>0.25468192505921633</v>
      </c>
      <c r="S178" s="801">
        <f t="shared" si="92"/>
        <v>0</v>
      </c>
      <c r="T178" s="172">
        <f t="shared" si="70"/>
        <v>6</v>
      </c>
      <c r="U178" s="247">
        <f t="shared" si="71"/>
        <v>0.25468192505921633</v>
      </c>
      <c r="V178" s="378">
        <f t="shared" si="72"/>
        <v>245.94900540789087</v>
      </c>
      <c r="W178" s="397"/>
      <c r="X178" s="153">
        <f t="shared" si="73"/>
        <v>44725</v>
      </c>
      <c r="Y178" s="380">
        <f t="shared" si="74"/>
        <v>227.84900000000002</v>
      </c>
      <c r="Z178" s="380">
        <f t="shared" si="75"/>
        <v>228.78978082518563</v>
      </c>
      <c r="AA178" s="381">
        <f t="shared" si="76"/>
        <v>233.45725674067847</v>
      </c>
      <c r="AB178" s="193">
        <f t="shared" si="77"/>
        <v>44725</v>
      </c>
      <c r="AC178" s="420">
        <f t="shared" si="78"/>
        <v>1.9992850000278336E-2</v>
      </c>
      <c r="AD178" s="165">
        <f>(INDEX(Models!$BJ178:$BT178,,AH178)*(1-AF178)+INDEX(Models!$BJ178:$BT178,,AH178+1)*AF178-ERP_i)*AE178*Ramure*Pc/MaxiM</f>
        <v>1.2129449974374715E-5</v>
      </c>
      <c r="AE178" s="301">
        <f t="shared" si="79"/>
        <v>0.5</v>
      </c>
      <c r="AF178" s="173">
        <f t="shared" si="80"/>
        <v>0.25468192505921633</v>
      </c>
      <c r="AG178" s="801">
        <f t="shared" si="81"/>
        <v>0</v>
      </c>
      <c r="AH178" s="172">
        <f t="shared" si="82"/>
        <v>6</v>
      </c>
      <c r="AI178" s="221">
        <f t="shared" si="83"/>
        <v>0.25468192505921633</v>
      </c>
      <c r="AJ178" s="261" t="b">
        <f t="shared" si="84"/>
        <v>0</v>
      </c>
      <c r="AK178" s="261" t="b">
        <f t="shared" si="85"/>
        <v>0</v>
      </c>
      <c r="AL178" s="261"/>
      <c r="AM178" s="261"/>
      <c r="AN178" s="75"/>
      <c r="AV178" s="153">
        <f t="shared" si="93"/>
        <v>44360</v>
      </c>
      <c r="AW178" s="608"/>
      <c r="AX178" s="385"/>
      <c r="AY178" s="388"/>
      <c r="AZ178" s="380"/>
      <c r="BA178" s="380"/>
      <c r="BB178" s="110"/>
      <c r="BD178" s="375"/>
      <c r="BE178" s="85"/>
      <c r="BF178" s="193">
        <f t="shared" si="86"/>
        <v>44725</v>
      </c>
      <c r="BG178" s="430"/>
      <c r="BH178" s="846"/>
      <c r="BI178" s="846"/>
      <c r="BJ178" s="320"/>
      <c r="BK178" s="378"/>
    </row>
    <row r="179" spans="1:63" s="6" customFormat="1" ht="11.25" x14ac:dyDescent="0.2">
      <c r="A179" s="56">
        <f t="shared" si="87"/>
        <v>44726</v>
      </c>
      <c r="B179" s="608">
        <v>205.71899999999999</v>
      </c>
      <c r="C179" s="385"/>
      <c r="D179" s="388">
        <f t="shared" si="88"/>
        <v>206.57123458937807</v>
      </c>
      <c r="E179" s="380">
        <f t="shared" si="89"/>
        <v>210.80014706666029</v>
      </c>
      <c r="F179" s="380">
        <f t="shared" si="90"/>
        <v>210.80210938162338</v>
      </c>
      <c r="G179" s="110">
        <f t="shared" si="91"/>
        <v>0.83655895235861488</v>
      </c>
      <c r="I179" s="375">
        <f t="shared" si="64"/>
        <v>210.80210938162338</v>
      </c>
      <c r="J179" s="85">
        <v>2022</v>
      </c>
      <c r="K179" s="193">
        <f t="shared" si="65"/>
        <v>44726</v>
      </c>
      <c r="L179" s="430">
        <f t="shared" si="66"/>
        <v>4.1256208352152823E-3</v>
      </c>
      <c r="M179" s="846"/>
      <c r="N179" s="846"/>
      <c r="O179" s="320">
        <f t="shared" si="67"/>
        <v>2.0061240640144928E-2</v>
      </c>
      <c r="P179" s="165">
        <f>(INDEX(Models!$BJ179:$BT179,,T179)*(1-R179)+INDEX(Models!$BJ179:$BT179,,T179+1)*R179-ERP_i)*Q179*Ramure*Pc/MaxiM</f>
        <v>1.2144298623582975E-5</v>
      </c>
      <c r="Q179" s="301">
        <f t="shared" si="68"/>
        <v>0.5</v>
      </c>
      <c r="R179" s="173">
        <f t="shared" si="69"/>
        <v>0.25980106447704227</v>
      </c>
      <c r="S179" s="801">
        <f t="shared" si="92"/>
        <v>0</v>
      </c>
      <c r="T179" s="172">
        <f t="shared" si="70"/>
        <v>6</v>
      </c>
      <c r="U179" s="247">
        <f t="shared" si="71"/>
        <v>0.25980106447704227</v>
      </c>
      <c r="V179" s="378">
        <f t="shared" si="72"/>
        <v>245.9102446981189</v>
      </c>
      <c r="W179" s="397"/>
      <c r="X179" s="153">
        <f t="shared" si="73"/>
        <v>44726</v>
      </c>
      <c r="Y179" s="380">
        <f t="shared" si="74"/>
        <v>205.71899999999999</v>
      </c>
      <c r="Z179" s="380">
        <f t="shared" si="75"/>
        <v>206.57123458937807</v>
      </c>
      <c r="AA179" s="381">
        <f t="shared" si="76"/>
        <v>210.80014706666029</v>
      </c>
      <c r="AB179" s="193">
        <f t="shared" si="77"/>
        <v>44726</v>
      </c>
      <c r="AC179" s="420">
        <f t="shared" si="78"/>
        <v>2.0061240640144928E-2</v>
      </c>
      <c r="AD179" s="165">
        <f>(INDEX(Models!$BJ179:$BT179,,AH179)*(1-AF179)+INDEX(Models!$BJ179:$BT179,,AH179+1)*AF179-ERP_i)*AE179*Ramure*Pc/MaxiM</f>
        <v>1.2144298623582975E-5</v>
      </c>
      <c r="AE179" s="301">
        <f t="shared" si="79"/>
        <v>0.5</v>
      </c>
      <c r="AF179" s="173">
        <f t="shared" si="80"/>
        <v>0.25980106447704227</v>
      </c>
      <c r="AG179" s="801">
        <f t="shared" si="81"/>
        <v>0</v>
      </c>
      <c r="AH179" s="172">
        <f t="shared" si="82"/>
        <v>6</v>
      </c>
      <c r="AI179" s="221">
        <f t="shared" si="83"/>
        <v>0.25980106447704227</v>
      </c>
      <c r="AJ179" s="261" t="b">
        <f t="shared" si="84"/>
        <v>0</v>
      </c>
      <c r="AK179" s="261" t="b">
        <f t="shared" si="85"/>
        <v>0</v>
      </c>
      <c r="AL179" s="261"/>
      <c r="AM179" s="261"/>
      <c r="AN179" s="75"/>
      <c r="AV179" s="153">
        <f t="shared" si="93"/>
        <v>44361</v>
      </c>
      <c r="AW179" s="608"/>
      <c r="AX179" s="385"/>
      <c r="AY179" s="388"/>
      <c r="AZ179" s="380"/>
      <c r="BA179" s="380"/>
      <c r="BB179" s="110"/>
      <c r="BD179" s="375"/>
      <c r="BE179" s="85"/>
      <c r="BF179" s="193">
        <f t="shared" si="86"/>
        <v>44726</v>
      </c>
      <c r="BG179" s="430"/>
      <c r="BH179" s="846"/>
      <c r="BI179" s="846"/>
      <c r="BJ179" s="320"/>
      <c r="BK179" s="378"/>
    </row>
    <row r="180" spans="1:63" s="6" customFormat="1" ht="11.25" customHeight="1" x14ac:dyDescent="0.2">
      <c r="A180" s="56">
        <f t="shared" si="87"/>
        <v>44727</v>
      </c>
      <c r="B180" s="608">
        <v>230.929</v>
      </c>
      <c r="C180" s="385"/>
      <c r="D180" s="388">
        <f t="shared" si="88"/>
        <v>231.88884672486191</v>
      </c>
      <c r="E180" s="380">
        <f t="shared" si="89"/>
        <v>236.65250593516313</v>
      </c>
      <c r="F180" s="380">
        <f t="shared" si="90"/>
        <v>236.65513691987971</v>
      </c>
      <c r="G180" s="110">
        <f t="shared" si="91"/>
        <v>0.93927612041025965</v>
      </c>
      <c r="I180" s="375">
        <f t="shared" si="64"/>
        <v>236.65513691987971</v>
      </c>
      <c r="J180" s="85">
        <v>2022</v>
      </c>
      <c r="K180" s="193">
        <f t="shared" si="65"/>
        <v>44727</v>
      </c>
      <c r="L180" s="430">
        <f t="shared" si="66"/>
        <v>4.139253519168884E-3</v>
      </c>
      <c r="M180" s="846"/>
      <c r="N180" s="846"/>
      <c r="O180" s="320">
        <f t="shared" si="67"/>
        <v>2.0129341928905493E-2</v>
      </c>
      <c r="P180" s="165">
        <f>(INDEX(Models!$BJ180:$BT180,,T180)*(1-R180)+INDEX(Models!$BJ180:$BT180,,T180+1)*R180-ERP_i)*Q180*Ramure*Pc/MaxiM</f>
        <v>1.2173382649394835E-5</v>
      </c>
      <c r="Q180" s="301">
        <f t="shared" si="68"/>
        <v>0.5</v>
      </c>
      <c r="R180" s="173">
        <f t="shared" si="69"/>
        <v>0.2649029830241823</v>
      </c>
      <c r="S180" s="801">
        <f t="shared" si="92"/>
        <v>0</v>
      </c>
      <c r="T180" s="172">
        <f t="shared" si="70"/>
        <v>6</v>
      </c>
      <c r="U180" s="247">
        <f t="shared" si="71"/>
        <v>0.2649029830241823</v>
      </c>
      <c r="V180" s="378">
        <f t="shared" si="72"/>
        <v>245.8582211527179</v>
      </c>
      <c r="W180" s="397"/>
      <c r="X180" s="153">
        <f t="shared" si="73"/>
        <v>44727</v>
      </c>
      <c r="Y180" s="380">
        <f t="shared" si="74"/>
        <v>230.929</v>
      </c>
      <c r="Z180" s="380">
        <f t="shared" si="75"/>
        <v>231.88884672486191</v>
      </c>
      <c r="AA180" s="381">
        <f t="shared" si="76"/>
        <v>236.65250593516313</v>
      </c>
      <c r="AB180" s="193">
        <f t="shared" si="77"/>
        <v>44727</v>
      </c>
      <c r="AC180" s="420">
        <f t="shared" si="78"/>
        <v>2.0129341928905493E-2</v>
      </c>
      <c r="AD180" s="165">
        <f>(INDEX(Models!$BJ180:$BT180,,AH180)*(1-AF180)+INDEX(Models!$BJ180:$BT180,,AH180+1)*AF180-ERP_i)*AE180*Ramure*Pc/MaxiM</f>
        <v>1.2173382649394835E-5</v>
      </c>
      <c r="AE180" s="301">
        <f t="shared" si="79"/>
        <v>0.5</v>
      </c>
      <c r="AF180" s="173">
        <f t="shared" si="80"/>
        <v>0.2649029830241823</v>
      </c>
      <c r="AG180" s="801">
        <f t="shared" si="81"/>
        <v>0</v>
      </c>
      <c r="AH180" s="172">
        <f t="shared" si="82"/>
        <v>6</v>
      </c>
      <c r="AI180" s="221">
        <f t="shared" si="83"/>
        <v>0.2649029830241823</v>
      </c>
      <c r="AJ180" s="261" t="b">
        <f t="shared" si="84"/>
        <v>0</v>
      </c>
      <c r="AK180" s="261" t="b">
        <f t="shared" si="85"/>
        <v>0</v>
      </c>
      <c r="AL180" s="261"/>
      <c r="AM180" s="261"/>
      <c r="AN180" s="75"/>
      <c r="AV180" s="153">
        <f t="shared" si="93"/>
        <v>44362</v>
      </c>
      <c r="AW180" s="608"/>
      <c r="AX180" s="385"/>
      <c r="AY180" s="388"/>
      <c r="AZ180" s="380"/>
      <c r="BA180" s="380"/>
      <c r="BB180" s="110"/>
      <c r="BD180" s="375"/>
      <c r="BE180" s="85"/>
      <c r="BF180" s="193">
        <f t="shared" si="86"/>
        <v>44727</v>
      </c>
      <c r="BG180" s="430"/>
      <c r="BH180" s="846"/>
      <c r="BI180" s="846"/>
      <c r="BJ180" s="320"/>
      <c r="BK180" s="378"/>
    </row>
    <row r="181" spans="1:63" s="6" customFormat="1" ht="11.25" x14ac:dyDescent="0.2">
      <c r="A181" s="56">
        <f t="shared" si="87"/>
        <v>44728</v>
      </c>
      <c r="B181" s="608">
        <v>218.01</v>
      </c>
      <c r="C181" s="385"/>
      <c r="D181" s="388">
        <f t="shared" si="88"/>
        <v>218.91914626125299</v>
      </c>
      <c r="E181" s="380">
        <f t="shared" si="89"/>
        <v>223.43183089364561</v>
      </c>
      <c r="F181" s="380">
        <f t="shared" si="90"/>
        <v>223.43412002799909</v>
      </c>
      <c r="G181" s="110">
        <f t="shared" si="91"/>
        <v>0.88696240174539209</v>
      </c>
      <c r="I181" s="375">
        <f t="shared" si="64"/>
        <v>223.43412002799909</v>
      </c>
      <c r="J181" s="85">
        <v>2022</v>
      </c>
      <c r="K181" s="193">
        <f t="shared" si="65"/>
        <v>44728</v>
      </c>
      <c r="L181" s="430">
        <f t="shared" si="66"/>
        <v>4.1528860165024328E-3</v>
      </c>
      <c r="M181" s="846"/>
      <c r="N181" s="846"/>
      <c r="O181" s="320">
        <f t="shared" si="67"/>
        <v>2.0197142969036807E-2</v>
      </c>
      <c r="P181" s="165">
        <f>(INDEX(Models!$BJ181:$BT181,,T181)*(1-R181)+INDEX(Models!$BJ181:$BT181,,T181+1)*R181-ERP_i)*Q181*Ramure*Pc/MaxiM</f>
        <v>1.2218228735379098E-5</v>
      </c>
      <c r="Q181" s="301">
        <f t="shared" si="68"/>
        <v>0.5</v>
      </c>
      <c r="R181" s="173">
        <f t="shared" si="69"/>
        <v>0.2699834838944542</v>
      </c>
      <c r="S181" s="801">
        <f t="shared" si="92"/>
        <v>0</v>
      </c>
      <c r="T181" s="172">
        <f t="shared" si="70"/>
        <v>6</v>
      </c>
      <c r="U181" s="247">
        <f t="shared" si="71"/>
        <v>0.2699834838944542</v>
      </c>
      <c r="V181" s="378">
        <f t="shared" si="72"/>
        <v>245.79347380850299</v>
      </c>
      <c r="W181" s="397"/>
      <c r="X181" s="153">
        <f t="shared" si="73"/>
        <v>44728</v>
      </c>
      <c r="Y181" s="380">
        <f t="shared" si="74"/>
        <v>218.01</v>
      </c>
      <c r="Z181" s="380">
        <f t="shared" si="75"/>
        <v>218.91914626125299</v>
      </c>
      <c r="AA181" s="381">
        <f t="shared" si="76"/>
        <v>223.43183089364561</v>
      </c>
      <c r="AB181" s="193">
        <f t="shared" si="77"/>
        <v>44728</v>
      </c>
      <c r="AC181" s="420">
        <f t="shared" si="78"/>
        <v>2.0197142969036807E-2</v>
      </c>
      <c r="AD181" s="165">
        <f>(INDEX(Models!$BJ181:$BT181,,AH181)*(1-AF181)+INDEX(Models!$BJ181:$BT181,,AH181+1)*AF181-ERP_i)*AE181*Ramure*Pc/MaxiM</f>
        <v>1.2218228735379098E-5</v>
      </c>
      <c r="AE181" s="301">
        <f t="shared" si="79"/>
        <v>0.5</v>
      </c>
      <c r="AF181" s="173">
        <f t="shared" si="80"/>
        <v>0.2699834838944542</v>
      </c>
      <c r="AG181" s="801">
        <f t="shared" si="81"/>
        <v>0</v>
      </c>
      <c r="AH181" s="172">
        <f t="shared" si="82"/>
        <v>6</v>
      </c>
      <c r="AI181" s="221">
        <f t="shared" si="83"/>
        <v>0.2699834838944542</v>
      </c>
      <c r="AJ181" s="261" t="b">
        <f t="shared" si="84"/>
        <v>0</v>
      </c>
      <c r="AK181" s="261" t="b">
        <f t="shared" si="85"/>
        <v>0</v>
      </c>
      <c r="AL181" s="261"/>
      <c r="AM181" s="261"/>
      <c r="AN181" s="75"/>
      <c r="AV181" s="153">
        <f t="shared" si="93"/>
        <v>44363</v>
      </c>
      <c r="AW181" s="608"/>
      <c r="AX181" s="385"/>
      <c r="AY181" s="388"/>
      <c r="AZ181" s="380"/>
      <c r="BA181" s="380"/>
      <c r="BB181" s="110"/>
      <c r="BD181" s="375"/>
      <c r="BE181" s="85"/>
      <c r="BF181" s="193">
        <f t="shared" si="86"/>
        <v>44728</v>
      </c>
      <c r="BG181" s="430"/>
      <c r="BH181" s="846"/>
      <c r="BI181" s="846"/>
      <c r="BJ181" s="320"/>
      <c r="BK181" s="378"/>
    </row>
    <row r="182" spans="1:63" s="6" customFormat="1" ht="11.25" x14ac:dyDescent="0.2">
      <c r="A182" s="56">
        <f t="shared" si="87"/>
        <v>44729</v>
      </c>
      <c r="B182" s="608">
        <v>224.81200000000001</v>
      </c>
      <c r="C182" s="385"/>
      <c r="D182" s="388">
        <f t="shared" si="88"/>
        <v>225.75260235512994</v>
      </c>
      <c r="E182" s="380">
        <f t="shared" si="89"/>
        <v>230.42202019328056</v>
      </c>
      <c r="F182" s="380">
        <f t="shared" si="90"/>
        <v>230.42450598250218</v>
      </c>
      <c r="G182" s="110">
        <f t="shared" si="91"/>
        <v>0.91492279391709896</v>
      </c>
      <c r="I182" s="375">
        <f t="shared" si="64"/>
        <v>230.42450598250218</v>
      </c>
      <c r="J182" s="85">
        <v>2022</v>
      </c>
      <c r="K182" s="193">
        <f t="shared" si="65"/>
        <v>44729</v>
      </c>
      <c r="L182" s="430">
        <f t="shared" si="66"/>
        <v>4.1665183272184825E-3</v>
      </c>
      <c r="M182" s="846"/>
      <c r="N182" s="846"/>
      <c r="O182" s="320">
        <f t="shared" si="67"/>
        <v>2.0264633710935551E-2</v>
      </c>
      <c r="P182" s="165">
        <f>(INDEX(Models!$BJ182:$BT182,,T182)*(1-R182)+INDEX(Models!$BJ182:$BT182,,T182+1)*R182-ERP_i)*Q182*Ramure*Pc/MaxiM</f>
        <v>1.2280388869902311E-5</v>
      </c>
      <c r="Q182" s="301">
        <f t="shared" si="68"/>
        <v>0.5</v>
      </c>
      <c r="R182" s="173">
        <f t="shared" si="69"/>
        <v>0.27503844142411399</v>
      </c>
      <c r="S182" s="801">
        <f t="shared" si="92"/>
        <v>0</v>
      </c>
      <c r="T182" s="172">
        <f t="shared" si="70"/>
        <v>6</v>
      </c>
      <c r="U182" s="247">
        <f t="shared" si="71"/>
        <v>0.27503844142411399</v>
      </c>
      <c r="V182" s="378">
        <f t="shared" si="72"/>
        <v>245.71654128032807</v>
      </c>
      <c r="W182" s="397"/>
      <c r="X182" s="153">
        <f t="shared" si="73"/>
        <v>44729</v>
      </c>
      <c r="Y182" s="380">
        <f t="shared" si="74"/>
        <v>224.81200000000001</v>
      </c>
      <c r="Z182" s="380">
        <f t="shared" si="75"/>
        <v>225.75260235512994</v>
      </c>
      <c r="AA182" s="381">
        <f t="shared" si="76"/>
        <v>230.42202019328056</v>
      </c>
      <c r="AB182" s="193">
        <f t="shared" si="77"/>
        <v>44729</v>
      </c>
      <c r="AC182" s="420">
        <f t="shared" si="78"/>
        <v>2.0264633710935551E-2</v>
      </c>
      <c r="AD182" s="165">
        <f>(INDEX(Models!$BJ182:$BT182,,AH182)*(1-AF182)+INDEX(Models!$BJ182:$BT182,,AH182+1)*AF182-ERP_i)*AE182*Ramure*Pc/MaxiM</f>
        <v>1.2280388869902311E-5</v>
      </c>
      <c r="AE182" s="301">
        <f t="shared" si="79"/>
        <v>0.5</v>
      </c>
      <c r="AF182" s="173">
        <f t="shared" si="80"/>
        <v>0.27503844142411399</v>
      </c>
      <c r="AG182" s="801">
        <f t="shared" si="81"/>
        <v>0</v>
      </c>
      <c r="AH182" s="172">
        <f t="shared" si="82"/>
        <v>6</v>
      </c>
      <c r="AI182" s="221">
        <f t="shared" si="83"/>
        <v>0.27503844142411399</v>
      </c>
      <c r="AJ182" s="261" t="b">
        <f t="shared" si="84"/>
        <v>0</v>
      </c>
      <c r="AK182" s="261" t="b">
        <f t="shared" si="85"/>
        <v>0</v>
      </c>
      <c r="AL182" s="261"/>
      <c r="AM182" s="261"/>
      <c r="AN182" s="75"/>
      <c r="AV182" s="153">
        <f t="shared" si="93"/>
        <v>44364</v>
      </c>
      <c r="AW182" s="608"/>
      <c r="AX182" s="385"/>
      <c r="AY182" s="388"/>
      <c r="AZ182" s="380"/>
      <c r="BA182" s="380"/>
      <c r="BB182" s="110"/>
      <c r="BD182" s="375"/>
      <c r="BE182" s="85"/>
      <c r="BF182" s="193">
        <f t="shared" si="86"/>
        <v>44729</v>
      </c>
      <c r="BG182" s="430"/>
      <c r="BH182" s="846"/>
      <c r="BI182" s="846"/>
      <c r="BJ182" s="320"/>
      <c r="BK182" s="378"/>
    </row>
    <row r="183" spans="1:63" s="6" customFormat="1" ht="11.25" x14ac:dyDescent="0.2">
      <c r="A183" s="56">
        <f t="shared" si="87"/>
        <v>44730</v>
      </c>
      <c r="B183" s="608">
        <v>231.77199999999999</v>
      </c>
      <c r="C183" s="385"/>
      <c r="D183" s="388">
        <f t="shared" si="88"/>
        <v>232.7449087352922</v>
      </c>
      <c r="E183" s="380">
        <f t="shared" si="89"/>
        <v>237.57524223042427</v>
      </c>
      <c r="F183" s="380">
        <f t="shared" si="90"/>
        <v>237.57794236873499</v>
      </c>
      <c r="G183" s="110">
        <f t="shared" si="91"/>
        <v>0.94358869998473671</v>
      </c>
      <c r="I183" s="375">
        <f t="shared" si="64"/>
        <v>237.57794236873499</v>
      </c>
      <c r="J183" s="85">
        <v>2022</v>
      </c>
      <c r="K183" s="193">
        <f t="shared" si="65"/>
        <v>44730</v>
      </c>
      <c r="L183" s="430">
        <f t="shared" si="66"/>
        <v>4.1801504513198084E-3</v>
      </c>
      <c r="M183" s="846"/>
      <c r="N183" s="846"/>
      <c r="O183" s="320">
        <f t="shared" si="67"/>
        <v>2.0331804988531273E-2</v>
      </c>
      <c r="P183" s="165">
        <f>(INDEX(Models!$BJ183:$BT183,,T183)*(1-R183)+INDEX(Models!$BJ183:$BT183,,T183+1)*R183-ERP_i)*Q183*Ramure*Pc/MaxiM</f>
        <v>1.2361435003650472E-5</v>
      </c>
      <c r="Q183" s="301">
        <f t="shared" si="68"/>
        <v>0.5</v>
      </c>
      <c r="R183" s="173">
        <f t="shared" si="69"/>
        <v>0.28006381420638593</v>
      </c>
      <c r="S183" s="801">
        <f t="shared" si="92"/>
        <v>0</v>
      </c>
      <c r="T183" s="172">
        <f t="shared" si="70"/>
        <v>6</v>
      </c>
      <c r="U183" s="247">
        <f t="shared" si="71"/>
        <v>0.28006381420638593</v>
      </c>
      <c r="V183" s="378">
        <f t="shared" si="72"/>
        <v>245.62796175791286</v>
      </c>
      <c r="W183" s="397"/>
      <c r="X183" s="153">
        <f t="shared" si="73"/>
        <v>44730</v>
      </c>
      <c r="Y183" s="380">
        <f t="shared" si="74"/>
        <v>231.77199999999999</v>
      </c>
      <c r="Z183" s="380">
        <f t="shared" si="75"/>
        <v>232.7449087352922</v>
      </c>
      <c r="AA183" s="381">
        <f t="shared" si="76"/>
        <v>237.57524223042427</v>
      </c>
      <c r="AB183" s="193">
        <f t="shared" si="77"/>
        <v>44730</v>
      </c>
      <c r="AC183" s="420">
        <f t="shared" si="78"/>
        <v>2.0331804988531273E-2</v>
      </c>
      <c r="AD183" s="165">
        <f>(INDEX(Models!$BJ183:$BT183,,AH183)*(1-AF183)+INDEX(Models!$BJ183:$BT183,,AH183+1)*AF183-ERP_i)*AE183*Ramure*Pc/MaxiM</f>
        <v>1.2361435003650472E-5</v>
      </c>
      <c r="AE183" s="301">
        <f t="shared" si="79"/>
        <v>0.5</v>
      </c>
      <c r="AF183" s="173">
        <f t="shared" si="80"/>
        <v>0.28006381420638593</v>
      </c>
      <c r="AG183" s="801">
        <f t="shared" si="81"/>
        <v>0</v>
      </c>
      <c r="AH183" s="172">
        <f t="shared" si="82"/>
        <v>6</v>
      </c>
      <c r="AI183" s="221">
        <f t="shared" si="83"/>
        <v>0.28006381420638593</v>
      </c>
      <c r="AJ183" s="261" t="b">
        <f t="shared" si="84"/>
        <v>0</v>
      </c>
      <c r="AK183" s="261" t="b">
        <f t="shared" si="85"/>
        <v>0</v>
      </c>
      <c r="AL183" s="261"/>
      <c r="AM183" s="261"/>
      <c r="AN183" s="75"/>
      <c r="AV183" s="153">
        <f t="shared" si="93"/>
        <v>44365</v>
      </c>
      <c r="AW183" s="608"/>
      <c r="AX183" s="385"/>
      <c r="AY183" s="388"/>
      <c r="AZ183" s="380"/>
      <c r="BA183" s="380"/>
      <c r="BB183" s="110"/>
      <c r="BD183" s="375"/>
      <c r="BE183" s="85"/>
      <c r="BF183" s="193">
        <f t="shared" si="86"/>
        <v>44730</v>
      </c>
      <c r="BG183" s="430"/>
      <c r="BH183" s="846"/>
      <c r="BI183" s="846"/>
      <c r="BJ183" s="320"/>
      <c r="BK183" s="378"/>
    </row>
    <row r="184" spans="1:63" s="6" customFormat="1" ht="11.25" x14ac:dyDescent="0.2">
      <c r="A184" s="56">
        <f t="shared" si="87"/>
        <v>44731</v>
      </c>
      <c r="B184" s="608">
        <v>236.17500000000001</v>
      </c>
      <c r="C184" s="385"/>
      <c r="D184" s="388">
        <f t="shared" si="88"/>
        <v>237.16963785037706</v>
      </c>
      <c r="E184" s="380">
        <f t="shared" si="89"/>
        <v>242.10832038902572</v>
      </c>
      <c r="F184" s="380">
        <f t="shared" si="90"/>
        <v>242.11117824883087</v>
      </c>
      <c r="G184" s="110">
        <f t="shared" si="91"/>
        <v>0.96190488156249898</v>
      </c>
      <c r="I184" s="375">
        <f t="shared" si="64"/>
        <v>242.11117824883087</v>
      </c>
      <c r="J184" s="85">
        <v>2022</v>
      </c>
      <c r="K184" s="193">
        <f t="shared" si="65"/>
        <v>44731</v>
      </c>
      <c r="L184" s="430">
        <f t="shared" si="66"/>
        <v>4.1937823888086312E-3</v>
      </c>
      <c r="M184" s="846"/>
      <c r="N184" s="846"/>
      <c r="O184" s="320">
        <f t="shared" si="67"/>
        <v>2.0398648550008877E-2</v>
      </c>
      <c r="P184" s="165">
        <f>(INDEX(Models!$BJ184:$BT184,,T184)*(1-R184)+INDEX(Models!$BJ184:$BT184,,T184+1)*R184-ERP_i)*Q184*Ramure*Pc/MaxiM</f>
        <v>1.2483262593100537E-5</v>
      </c>
      <c r="Q184" s="301">
        <f t="shared" si="68"/>
        <v>0.5</v>
      </c>
      <c r="R184" s="173">
        <f t="shared" si="69"/>
        <v>0.28505565762079843</v>
      </c>
      <c r="S184" s="801">
        <f t="shared" si="92"/>
        <v>0</v>
      </c>
      <c r="T184" s="172">
        <f t="shared" si="70"/>
        <v>6</v>
      </c>
      <c r="U184" s="247">
        <f t="shared" si="71"/>
        <v>0.28505565762079843</v>
      </c>
      <c r="V184" s="378">
        <f t="shared" si="72"/>
        <v>245.52826800253504</v>
      </c>
      <c r="W184" s="397"/>
      <c r="X184" s="153">
        <f t="shared" si="73"/>
        <v>44731</v>
      </c>
      <c r="Y184" s="380">
        <f t="shared" si="74"/>
        <v>236.17500000000001</v>
      </c>
      <c r="Z184" s="380">
        <f t="shared" si="75"/>
        <v>237.16963785037706</v>
      </c>
      <c r="AA184" s="381">
        <f t="shared" si="76"/>
        <v>242.10832038902572</v>
      </c>
      <c r="AB184" s="193">
        <f t="shared" si="77"/>
        <v>44731</v>
      </c>
      <c r="AC184" s="420">
        <f t="shared" si="78"/>
        <v>2.0398648550008877E-2</v>
      </c>
      <c r="AD184" s="165">
        <f>(INDEX(Models!$BJ184:$BT184,,AH184)*(1-AF184)+INDEX(Models!$BJ184:$BT184,,AH184+1)*AF184-ERP_i)*AE184*Ramure*Pc/MaxiM</f>
        <v>1.2483262593100537E-5</v>
      </c>
      <c r="AE184" s="301">
        <f t="shared" si="79"/>
        <v>0.5</v>
      </c>
      <c r="AF184" s="173">
        <f t="shared" si="80"/>
        <v>0.28505565762079843</v>
      </c>
      <c r="AG184" s="801">
        <f t="shared" si="81"/>
        <v>0</v>
      </c>
      <c r="AH184" s="172">
        <f t="shared" si="82"/>
        <v>6</v>
      </c>
      <c r="AI184" s="221">
        <f t="shared" si="83"/>
        <v>0.28505565762079843</v>
      </c>
      <c r="AJ184" s="261" t="b">
        <f t="shared" si="84"/>
        <v>0</v>
      </c>
      <c r="AK184" s="261" t="b">
        <f t="shared" si="85"/>
        <v>0</v>
      </c>
      <c r="AL184" s="261"/>
      <c r="AM184" s="261"/>
      <c r="AN184" s="75"/>
      <c r="AV184" s="153">
        <f t="shared" si="93"/>
        <v>44366</v>
      </c>
      <c r="AW184" s="608"/>
      <c r="AX184" s="385"/>
      <c r="AY184" s="388"/>
      <c r="AZ184" s="380"/>
      <c r="BA184" s="380"/>
      <c r="BB184" s="110"/>
      <c r="BD184" s="375"/>
      <c r="BE184" s="85"/>
      <c r="BF184" s="193">
        <f t="shared" si="86"/>
        <v>44731</v>
      </c>
      <c r="BG184" s="430"/>
      <c r="BH184" s="846"/>
      <c r="BI184" s="846"/>
      <c r="BJ184" s="320"/>
      <c r="BK184" s="378"/>
    </row>
    <row r="185" spans="1:63" s="6" customFormat="1" ht="11.25" x14ac:dyDescent="0.2">
      <c r="A185" s="56">
        <f t="shared" si="87"/>
        <v>44732</v>
      </c>
      <c r="B185" s="608">
        <v>127.188</v>
      </c>
      <c r="C185" s="385"/>
      <c r="D185" s="388">
        <f t="shared" si="88"/>
        <v>127.72539362714404</v>
      </c>
      <c r="E185" s="380">
        <f t="shared" si="89"/>
        <v>130.39392580139122</v>
      </c>
      <c r="F185" s="380">
        <f t="shared" si="90"/>
        <v>130.39443966361594</v>
      </c>
      <c r="G185" s="110">
        <f t="shared" si="91"/>
        <v>0.51824598843780234</v>
      </c>
      <c r="I185" s="375">
        <f t="shared" si="64"/>
        <v>130.39443966361594</v>
      </c>
      <c r="J185" s="85">
        <v>2022</v>
      </c>
      <c r="K185" s="193">
        <f t="shared" si="65"/>
        <v>44732</v>
      </c>
      <c r="L185" s="430">
        <f t="shared" si="66"/>
        <v>4.2074141396878373E-3</v>
      </c>
      <c r="M185" s="846"/>
      <c r="N185" s="846"/>
      <c r="O185" s="320">
        <f t="shared" si="67"/>
        <v>2.0465157083403747E-2</v>
      </c>
      <c r="P185" s="165">
        <f>(INDEX(Models!$BJ185:$BT185,,T185)*(1-R185)+INDEX(Models!$BJ185:$BT185,,T185+1)*R185-ERP_i)*Q185*Ramure*Pc/MaxiM</f>
        <v>1.2639515299961374E-5</v>
      </c>
      <c r="Q185" s="301">
        <f t="shared" si="68"/>
        <v>0.5</v>
      </c>
      <c r="R185" s="173">
        <f t="shared" si="69"/>
        <v>0.29001013569788076</v>
      </c>
      <c r="S185" s="801">
        <f t="shared" si="92"/>
        <v>0</v>
      </c>
      <c r="T185" s="172">
        <f t="shared" si="70"/>
        <v>6</v>
      </c>
      <c r="U185" s="247">
        <f t="shared" si="71"/>
        <v>0.29001013569788076</v>
      </c>
      <c r="V185" s="378">
        <f t="shared" si="72"/>
        <v>245.41799929904496</v>
      </c>
      <c r="W185" s="397"/>
      <c r="X185" s="153">
        <f t="shared" si="73"/>
        <v>44732</v>
      </c>
      <c r="Y185" s="380">
        <f t="shared" si="74"/>
        <v>127.188</v>
      </c>
      <c r="Z185" s="380">
        <f t="shared" si="75"/>
        <v>127.72539362714404</v>
      </c>
      <c r="AA185" s="381">
        <f t="shared" si="76"/>
        <v>130.39392580139122</v>
      </c>
      <c r="AB185" s="193">
        <f t="shared" si="77"/>
        <v>44732</v>
      </c>
      <c r="AC185" s="420">
        <f t="shared" si="78"/>
        <v>2.0465157083403747E-2</v>
      </c>
      <c r="AD185" s="165">
        <f>(INDEX(Models!$BJ185:$BT185,,AH185)*(1-AF185)+INDEX(Models!$BJ185:$BT185,,AH185+1)*AF185-ERP_i)*AE185*Ramure*Pc/MaxiM</f>
        <v>1.2639515299961374E-5</v>
      </c>
      <c r="AE185" s="301">
        <f t="shared" si="79"/>
        <v>0.5</v>
      </c>
      <c r="AF185" s="173">
        <f t="shared" si="80"/>
        <v>0.29001013569788076</v>
      </c>
      <c r="AG185" s="801">
        <f t="shared" si="81"/>
        <v>0</v>
      </c>
      <c r="AH185" s="172">
        <f t="shared" si="82"/>
        <v>6</v>
      </c>
      <c r="AI185" s="221">
        <f t="shared" si="83"/>
        <v>0.29001013569788076</v>
      </c>
      <c r="AJ185" s="261" t="b">
        <f t="shared" si="84"/>
        <v>0</v>
      </c>
      <c r="AK185" s="261" t="b">
        <f t="shared" si="85"/>
        <v>0</v>
      </c>
      <c r="AL185" s="261"/>
      <c r="AM185" s="261"/>
      <c r="AN185" s="75"/>
      <c r="AV185" s="153">
        <f t="shared" si="93"/>
        <v>44367</v>
      </c>
      <c r="AW185" s="608"/>
      <c r="AX185" s="385"/>
      <c r="AY185" s="388"/>
      <c r="AZ185" s="380"/>
      <c r="BA185" s="380"/>
      <c r="BB185" s="110"/>
      <c r="BD185" s="375"/>
      <c r="BE185" s="85"/>
      <c r="BF185" s="193">
        <f t="shared" si="86"/>
        <v>44732</v>
      </c>
      <c r="BG185" s="430"/>
      <c r="BH185" s="846"/>
      <c r="BI185" s="846"/>
      <c r="BJ185" s="320"/>
      <c r="BK185" s="378"/>
    </row>
    <row r="186" spans="1:63" s="6" customFormat="1" ht="11.25" x14ac:dyDescent="0.2">
      <c r="A186" s="56">
        <f t="shared" si="87"/>
        <v>44733</v>
      </c>
      <c r="B186" s="608">
        <v>90.716000000000008</v>
      </c>
      <c r="C186" s="385"/>
      <c r="D186" s="388">
        <f t="shared" si="88"/>
        <v>91.100539541058211</v>
      </c>
      <c r="E186" s="380">
        <f t="shared" si="89"/>
        <v>93.010161320452127</v>
      </c>
      <c r="F186" s="380">
        <f t="shared" si="90"/>
        <v>93.010280369136851</v>
      </c>
      <c r="G186" s="110">
        <f t="shared" si="91"/>
        <v>0.36981575785095455</v>
      </c>
      <c r="I186" s="375">
        <f t="shared" si="64"/>
        <v>93.010280369136851</v>
      </c>
      <c r="J186" s="85">
        <v>2022</v>
      </c>
      <c r="K186" s="193">
        <f t="shared" si="65"/>
        <v>44733</v>
      </c>
      <c r="L186" s="430">
        <f t="shared" si="66"/>
        <v>4.2210457039597582E-3</v>
      </c>
      <c r="M186" s="846"/>
      <c r="N186" s="846"/>
      <c r="O186" s="320">
        <f t="shared" si="67"/>
        <v>2.0531324236871307E-2</v>
      </c>
      <c r="P186" s="165">
        <f>(INDEX(Models!$BJ186:$BT186,,T186)*(1-R186)+INDEX(Models!$BJ186:$BT186,,T186+1)*R186-ERP_i)*Q186*Ramure*Pc/MaxiM</f>
        <v>1.283251130729954E-5</v>
      </c>
      <c r="Q186" s="301">
        <f t="shared" si="68"/>
        <v>0.5</v>
      </c>
      <c r="R186" s="173">
        <f t="shared" si="69"/>
        <v>0.29492353224750745</v>
      </c>
      <c r="S186" s="801">
        <f t="shared" si="92"/>
        <v>0</v>
      </c>
      <c r="T186" s="172">
        <f t="shared" si="70"/>
        <v>6</v>
      </c>
      <c r="U186" s="247">
        <f t="shared" si="71"/>
        <v>0.29492353224750745</v>
      </c>
      <c r="V186" s="378">
        <f t="shared" si="72"/>
        <v>245.29769235317329</v>
      </c>
      <c r="W186" s="397"/>
      <c r="X186" s="153">
        <f t="shared" si="73"/>
        <v>44733</v>
      </c>
      <c r="Y186" s="380">
        <f t="shared" si="74"/>
        <v>90.716000000000008</v>
      </c>
      <c r="Z186" s="380">
        <f t="shared" si="75"/>
        <v>91.100539541058211</v>
      </c>
      <c r="AA186" s="381">
        <f t="shared" si="76"/>
        <v>93.010161320452127</v>
      </c>
      <c r="AB186" s="193">
        <f t="shared" si="77"/>
        <v>44733</v>
      </c>
      <c r="AC186" s="420">
        <f t="shared" si="78"/>
        <v>2.0531324236871307E-2</v>
      </c>
      <c r="AD186" s="165">
        <f>(INDEX(Models!$BJ186:$BT186,,AH186)*(1-AF186)+INDEX(Models!$BJ186:$BT186,,AH186+1)*AF186-ERP_i)*AE186*Ramure*Pc/MaxiM</f>
        <v>1.283251130729954E-5</v>
      </c>
      <c r="AE186" s="301">
        <f t="shared" si="79"/>
        <v>0.5</v>
      </c>
      <c r="AF186" s="173">
        <f t="shared" si="80"/>
        <v>0.29492353224750745</v>
      </c>
      <c r="AG186" s="801">
        <f t="shared" si="81"/>
        <v>0</v>
      </c>
      <c r="AH186" s="172">
        <f t="shared" si="82"/>
        <v>6</v>
      </c>
      <c r="AI186" s="221">
        <f t="shared" si="83"/>
        <v>0.29492353224750745</v>
      </c>
      <c r="AJ186" s="261" t="b">
        <f t="shared" si="84"/>
        <v>0</v>
      </c>
      <c r="AK186" s="261" t="b">
        <f t="shared" si="85"/>
        <v>0</v>
      </c>
      <c r="AL186" s="261"/>
      <c r="AM186" s="261"/>
      <c r="AN186" s="75"/>
      <c r="AV186" s="153">
        <f t="shared" si="93"/>
        <v>44368</v>
      </c>
      <c r="AW186" s="608"/>
      <c r="AX186" s="385"/>
      <c r="AY186" s="388"/>
      <c r="AZ186" s="380"/>
      <c r="BA186" s="380"/>
      <c r="BB186" s="110"/>
      <c r="BD186" s="375"/>
      <c r="BE186" s="85"/>
      <c r="BF186" s="193">
        <f t="shared" si="86"/>
        <v>44733</v>
      </c>
      <c r="BG186" s="430"/>
      <c r="BH186" s="846"/>
      <c r="BI186" s="846"/>
      <c r="BJ186" s="320"/>
      <c r="BK186" s="378"/>
    </row>
    <row r="187" spans="1:63" s="6" customFormat="1" ht="11.25" x14ac:dyDescent="0.2">
      <c r="A187" s="56">
        <f t="shared" si="87"/>
        <v>44734</v>
      </c>
      <c r="B187" s="608">
        <v>179.31700000000001</v>
      </c>
      <c r="C187" s="385"/>
      <c r="D187" s="388">
        <f t="shared" si="88"/>
        <v>180.07957886549073</v>
      </c>
      <c r="E187" s="380">
        <f t="shared" si="89"/>
        <v>183.86670804436099</v>
      </c>
      <c r="F187" s="380">
        <f t="shared" si="90"/>
        <v>183.86818847597502</v>
      </c>
      <c r="G187" s="110">
        <f t="shared" si="91"/>
        <v>0.73140126907115555</v>
      </c>
      <c r="I187" s="375">
        <f t="shared" si="64"/>
        <v>183.86818847597502</v>
      </c>
      <c r="J187" s="85">
        <v>2022</v>
      </c>
      <c r="K187" s="193">
        <f t="shared" si="65"/>
        <v>44734</v>
      </c>
      <c r="L187" s="430">
        <f t="shared" si="66"/>
        <v>4.2346770816269474E-3</v>
      </c>
      <c r="M187" s="846"/>
      <c r="N187" s="846"/>
      <c r="O187" s="320">
        <f t="shared" si="67"/>
        <v>2.0597144633473095E-2</v>
      </c>
      <c r="P187" s="165">
        <f>(INDEX(Models!$BJ187:$BT187,,T187)*(1-R187)+INDEX(Models!$BJ187:$BT187,,T187+1)*R187-ERP_i)*Q187*Ramure*Pc/MaxiM</f>
        <v>1.3064556877904621E-5</v>
      </c>
      <c r="Q187" s="301">
        <f t="shared" si="68"/>
        <v>0.5</v>
      </c>
      <c r="R187" s="173">
        <f t="shared" si="69"/>
        <v>0.29979226118759505</v>
      </c>
      <c r="S187" s="801">
        <f t="shared" si="92"/>
        <v>0</v>
      </c>
      <c r="T187" s="172">
        <f t="shared" si="70"/>
        <v>6</v>
      </c>
      <c r="U187" s="247">
        <f t="shared" si="71"/>
        <v>0.29979226118759505</v>
      </c>
      <c r="V187" s="378">
        <f t="shared" si="72"/>
        <v>245.16788343919785</v>
      </c>
      <c r="W187" s="397"/>
      <c r="X187" s="153">
        <f t="shared" si="73"/>
        <v>44734</v>
      </c>
      <c r="Y187" s="380">
        <f t="shared" si="74"/>
        <v>179.31700000000001</v>
      </c>
      <c r="Z187" s="380">
        <f t="shared" si="75"/>
        <v>180.07957886549073</v>
      </c>
      <c r="AA187" s="381">
        <f t="shared" si="76"/>
        <v>183.86670804436099</v>
      </c>
      <c r="AB187" s="193">
        <f t="shared" si="77"/>
        <v>44734</v>
      </c>
      <c r="AC187" s="420">
        <f t="shared" si="78"/>
        <v>2.0597144633473095E-2</v>
      </c>
      <c r="AD187" s="165">
        <f>(INDEX(Models!$BJ187:$BT187,,AH187)*(1-AF187)+INDEX(Models!$BJ187:$BT187,,AH187+1)*AF187-ERP_i)*AE187*Ramure*Pc/MaxiM</f>
        <v>1.3064556877904621E-5</v>
      </c>
      <c r="AE187" s="301">
        <f t="shared" si="79"/>
        <v>0.5</v>
      </c>
      <c r="AF187" s="173">
        <f t="shared" si="80"/>
        <v>0.29979226118759505</v>
      </c>
      <c r="AG187" s="801">
        <f t="shared" si="81"/>
        <v>0</v>
      </c>
      <c r="AH187" s="172">
        <f t="shared" si="82"/>
        <v>6</v>
      </c>
      <c r="AI187" s="221">
        <f t="shared" si="83"/>
        <v>0.29979226118759505</v>
      </c>
      <c r="AJ187" s="261" t="b">
        <f t="shared" si="84"/>
        <v>0</v>
      </c>
      <c r="AK187" s="261" t="b">
        <f t="shared" si="85"/>
        <v>0</v>
      </c>
      <c r="AL187" s="261"/>
      <c r="AM187" s="261"/>
      <c r="AN187" s="75"/>
      <c r="AV187" s="153">
        <f t="shared" si="93"/>
        <v>44369</v>
      </c>
      <c r="AW187" s="608"/>
      <c r="AX187" s="385"/>
      <c r="AY187" s="388"/>
      <c r="AZ187" s="380"/>
      <c r="BA187" s="380"/>
      <c r="BB187" s="110"/>
      <c r="BD187" s="375"/>
      <c r="BE187" s="85"/>
      <c r="BF187" s="193">
        <f t="shared" si="86"/>
        <v>44734</v>
      </c>
      <c r="BG187" s="430"/>
      <c r="BH187" s="846"/>
      <c r="BI187" s="846"/>
      <c r="BJ187" s="320"/>
      <c r="BK187" s="378"/>
    </row>
    <row r="188" spans="1:63" s="6" customFormat="1" ht="11.25" customHeight="1" x14ac:dyDescent="0.2">
      <c r="A188" s="56">
        <f t="shared" si="87"/>
        <v>44735</v>
      </c>
      <c r="B188" s="608">
        <v>175.45000000000002</v>
      </c>
      <c r="C188" s="385"/>
      <c r="D188" s="388">
        <f t="shared" si="88"/>
        <v>176.19854573950144</v>
      </c>
      <c r="E188" s="380">
        <f t="shared" si="89"/>
        <v>179.91608227848965</v>
      </c>
      <c r="F188" s="380">
        <f t="shared" si="90"/>
        <v>179.91750851894366</v>
      </c>
      <c r="G188" s="110">
        <f t="shared" si="91"/>
        <v>0.7160335024111274</v>
      </c>
      <c r="I188" s="375">
        <f t="shared" si="64"/>
        <v>179.91750851894366</v>
      </c>
      <c r="J188" s="85">
        <v>2022</v>
      </c>
      <c r="K188" s="193">
        <f t="shared" si="65"/>
        <v>44735</v>
      </c>
      <c r="L188" s="430">
        <f t="shared" si="66"/>
        <v>4.2483082726920696E-3</v>
      </c>
      <c r="M188" s="846"/>
      <c r="N188" s="846"/>
      <c r="O188" s="320">
        <f t="shared" si="67"/>
        <v>2.0662613880363955E-2</v>
      </c>
      <c r="P188" s="165">
        <f>(INDEX(Models!$BJ188:$BT188,,T188)*(1-R188)+INDEX(Models!$BJ188:$BT188,,T188+1)*R188-ERP_i)*Q188*Ramure*Pc/MaxiM</f>
        <v>1.3337824941351033E-5</v>
      </c>
      <c r="Q188" s="301">
        <f t="shared" si="68"/>
        <v>0.5</v>
      </c>
      <c r="R188" s="173">
        <f t="shared" si="69"/>
        <v>0.30461287601881698</v>
      </c>
      <c r="S188" s="801">
        <f t="shared" si="92"/>
        <v>0</v>
      </c>
      <c r="T188" s="172">
        <f t="shared" si="70"/>
        <v>6</v>
      </c>
      <c r="U188" s="247">
        <f t="shared" si="71"/>
        <v>0.30461287601881698</v>
      </c>
      <c r="V188" s="378">
        <f t="shared" si="72"/>
        <v>245.02910842293414</v>
      </c>
      <c r="W188" s="397"/>
      <c r="X188" s="153">
        <f t="shared" si="73"/>
        <v>44735</v>
      </c>
      <c r="Y188" s="380">
        <f t="shared" si="74"/>
        <v>175.45000000000002</v>
      </c>
      <c r="Z188" s="380">
        <f t="shared" si="75"/>
        <v>176.19854573950144</v>
      </c>
      <c r="AA188" s="381">
        <f t="shared" si="76"/>
        <v>179.91608227848965</v>
      </c>
      <c r="AB188" s="193">
        <f t="shared" si="77"/>
        <v>44735</v>
      </c>
      <c r="AC188" s="420">
        <f t="shared" si="78"/>
        <v>2.0662613880363955E-2</v>
      </c>
      <c r="AD188" s="165">
        <f>(INDEX(Models!$BJ188:$BT188,,AH188)*(1-AF188)+INDEX(Models!$BJ188:$BT188,,AH188+1)*AF188-ERP_i)*AE188*Ramure*Pc/MaxiM</f>
        <v>1.3337824941351033E-5</v>
      </c>
      <c r="AE188" s="301">
        <f t="shared" si="79"/>
        <v>0.5</v>
      </c>
      <c r="AF188" s="173">
        <f t="shared" si="80"/>
        <v>0.30461287601881698</v>
      </c>
      <c r="AG188" s="801">
        <f t="shared" si="81"/>
        <v>0</v>
      </c>
      <c r="AH188" s="172">
        <f t="shared" si="82"/>
        <v>6</v>
      </c>
      <c r="AI188" s="221">
        <f t="shared" si="83"/>
        <v>0.30461287601881698</v>
      </c>
      <c r="AJ188" s="261" t="b">
        <f t="shared" si="84"/>
        <v>0</v>
      </c>
      <c r="AK188" s="261" t="b">
        <f t="shared" si="85"/>
        <v>0</v>
      </c>
      <c r="AL188" s="261"/>
      <c r="AM188" s="261"/>
      <c r="AN188" s="75"/>
      <c r="AV188" s="153">
        <f t="shared" si="93"/>
        <v>44370</v>
      </c>
      <c r="AW188" s="608"/>
      <c r="AX188" s="385"/>
      <c r="AY188" s="388"/>
      <c r="AZ188" s="380"/>
      <c r="BA188" s="380"/>
      <c r="BB188" s="110"/>
      <c r="BD188" s="375"/>
      <c r="BE188" s="85"/>
      <c r="BF188" s="193">
        <f t="shared" si="86"/>
        <v>44735</v>
      </c>
      <c r="BG188" s="430"/>
      <c r="BH188" s="846"/>
      <c r="BI188" s="846"/>
      <c r="BJ188" s="320"/>
      <c r="BK188" s="378"/>
    </row>
    <row r="189" spans="1:63" s="6" customFormat="1" ht="11.25" x14ac:dyDescent="0.2">
      <c r="A189" s="56">
        <f t="shared" si="87"/>
        <v>44736</v>
      </c>
      <c r="B189" s="608">
        <v>175.31200000000001</v>
      </c>
      <c r="C189" s="385"/>
      <c r="D189" s="388">
        <f t="shared" si="88"/>
        <v>176.06236711764808</v>
      </c>
      <c r="E189" s="380">
        <f t="shared" si="89"/>
        <v>179.78898438629827</v>
      </c>
      <c r="F189" s="380">
        <f t="shared" si="90"/>
        <v>179.79044298559464</v>
      </c>
      <c r="G189" s="110">
        <f t="shared" si="91"/>
        <v>0.71590030339195443</v>
      </c>
      <c r="I189" s="375">
        <f t="shared" si="64"/>
        <v>179.79044298559464</v>
      </c>
      <c r="J189" s="85">
        <v>2022</v>
      </c>
      <c r="K189" s="193">
        <f t="shared" si="65"/>
        <v>44736</v>
      </c>
      <c r="L189" s="430">
        <f t="shared" si="66"/>
        <v>4.2619392771576781E-3</v>
      </c>
      <c r="M189" s="846"/>
      <c r="N189" s="846"/>
      <c r="O189" s="320">
        <f t="shared" si="67"/>
        <v>2.0727728572308406E-2</v>
      </c>
      <c r="P189" s="165">
        <f>(INDEX(Models!$BJ189:$BT189,,T189)*(1-R189)+INDEX(Models!$BJ189:$BT189,,T189+1)*R189-ERP_i)*Q189*Ramure*Pc/MaxiM</f>
        <v>1.3654445152459775E-5</v>
      </c>
      <c r="Q189" s="301">
        <f t="shared" si="68"/>
        <v>0.5</v>
      </c>
      <c r="R189" s="173">
        <f t="shared" si="69"/>
        <v>0.30938207840035936</v>
      </c>
      <c r="S189" s="801">
        <f t="shared" si="92"/>
        <v>0</v>
      </c>
      <c r="T189" s="172">
        <f t="shared" si="70"/>
        <v>6</v>
      </c>
      <c r="U189" s="247">
        <f t="shared" si="71"/>
        <v>0.30938207840035936</v>
      </c>
      <c r="V189" s="378">
        <f t="shared" si="72"/>
        <v>244.88190274553637</v>
      </c>
      <c r="W189" s="397"/>
      <c r="X189" s="153">
        <f t="shared" si="73"/>
        <v>44736</v>
      </c>
      <c r="Y189" s="380">
        <f t="shared" si="74"/>
        <v>175.31200000000001</v>
      </c>
      <c r="Z189" s="380">
        <f t="shared" si="75"/>
        <v>176.06236711764808</v>
      </c>
      <c r="AA189" s="381">
        <f t="shared" si="76"/>
        <v>179.78898438629827</v>
      </c>
      <c r="AB189" s="193">
        <f t="shared" si="77"/>
        <v>44736</v>
      </c>
      <c r="AC189" s="420">
        <f t="shared" si="78"/>
        <v>2.0727728572308406E-2</v>
      </c>
      <c r="AD189" s="165">
        <f>(INDEX(Models!$BJ189:$BT189,,AH189)*(1-AF189)+INDEX(Models!$BJ189:$BT189,,AH189+1)*AF189-ERP_i)*AE189*Ramure*Pc/MaxiM</f>
        <v>1.3654445152459775E-5</v>
      </c>
      <c r="AE189" s="301">
        <f t="shared" si="79"/>
        <v>0.5</v>
      </c>
      <c r="AF189" s="173">
        <f t="shared" si="80"/>
        <v>0.30938207840035936</v>
      </c>
      <c r="AG189" s="801">
        <f t="shared" si="81"/>
        <v>0</v>
      </c>
      <c r="AH189" s="172">
        <f t="shared" si="82"/>
        <v>6</v>
      </c>
      <c r="AI189" s="221">
        <f t="shared" si="83"/>
        <v>0.30938207840035936</v>
      </c>
      <c r="AJ189" s="261" t="b">
        <f t="shared" si="84"/>
        <v>0</v>
      </c>
      <c r="AK189" s="261" t="b">
        <f t="shared" si="85"/>
        <v>0</v>
      </c>
      <c r="AL189" s="261"/>
      <c r="AM189" s="261"/>
      <c r="AN189" s="75"/>
      <c r="AV189" s="153">
        <f t="shared" si="93"/>
        <v>44371</v>
      </c>
      <c r="AW189" s="608"/>
      <c r="AX189" s="385"/>
      <c r="AY189" s="388"/>
      <c r="AZ189" s="380"/>
      <c r="BA189" s="380"/>
      <c r="BB189" s="110"/>
      <c r="BD189" s="375"/>
      <c r="BE189" s="85"/>
      <c r="BF189" s="193">
        <f t="shared" si="86"/>
        <v>44736</v>
      </c>
      <c r="BG189" s="430"/>
      <c r="BH189" s="846"/>
      <c r="BI189" s="846"/>
      <c r="BJ189" s="320"/>
      <c r="BK189" s="378"/>
    </row>
    <row r="190" spans="1:63" s="6" customFormat="1" ht="11.25" x14ac:dyDescent="0.2">
      <c r="A190" s="56">
        <f t="shared" si="87"/>
        <v>44737</v>
      </c>
      <c r="B190" s="608">
        <v>149.53800000000001</v>
      </c>
      <c r="C190" s="385"/>
      <c r="D190" s="388">
        <f t="shared" si="88"/>
        <v>150.18010556823543</v>
      </c>
      <c r="E190" s="380">
        <f t="shared" si="89"/>
        <v>153.36902900097195</v>
      </c>
      <c r="F190" s="380">
        <f t="shared" si="90"/>
        <v>153.36998421899938</v>
      </c>
      <c r="G190" s="110">
        <f t="shared" si="91"/>
        <v>0.61103579369756522</v>
      </c>
      <c r="I190" s="375">
        <f t="shared" si="64"/>
        <v>153.36998421899938</v>
      </c>
      <c r="J190" s="85">
        <v>2022</v>
      </c>
      <c r="K190" s="193">
        <f t="shared" si="65"/>
        <v>44737</v>
      </c>
      <c r="L190" s="430">
        <f t="shared" si="66"/>
        <v>4.2755700950262154E-3</v>
      </c>
      <c r="M190" s="846"/>
      <c r="N190" s="846"/>
      <c r="O190" s="320">
        <f t="shared" si="67"/>
        <v>2.079248628949916E-2</v>
      </c>
      <c r="P190" s="165">
        <f>(INDEX(Models!$BJ190:$BT190,,T190)*(1-R190)+INDEX(Models!$BJ190:$BT190,,T190+1)*R190-ERP_i)*Q190*Ramure*Pc/MaxiM</f>
        <v>1.4016615568749678E-5</v>
      </c>
      <c r="Q190" s="301">
        <f t="shared" si="68"/>
        <v>0.5</v>
      </c>
      <c r="R190" s="173">
        <f t="shared" si="69"/>
        <v>0.31409672579133524</v>
      </c>
      <c r="S190" s="801">
        <f t="shared" si="92"/>
        <v>0</v>
      </c>
      <c r="T190" s="172">
        <f t="shared" si="70"/>
        <v>6</v>
      </c>
      <c r="U190" s="247">
        <f t="shared" si="71"/>
        <v>0.31409672579133524</v>
      </c>
      <c r="V190" s="378">
        <f t="shared" si="72"/>
        <v>244.72680139223922</v>
      </c>
      <c r="W190" s="397"/>
      <c r="X190" s="153">
        <f t="shared" si="73"/>
        <v>44737</v>
      </c>
      <c r="Y190" s="380">
        <f t="shared" si="74"/>
        <v>149.53800000000001</v>
      </c>
      <c r="Z190" s="380">
        <f t="shared" si="75"/>
        <v>150.18010556823543</v>
      </c>
      <c r="AA190" s="381">
        <f t="shared" si="76"/>
        <v>153.36902900097195</v>
      </c>
      <c r="AB190" s="193">
        <f t="shared" si="77"/>
        <v>44737</v>
      </c>
      <c r="AC190" s="420">
        <f t="shared" si="78"/>
        <v>2.079248628949916E-2</v>
      </c>
      <c r="AD190" s="165">
        <f>(INDEX(Models!$BJ190:$BT190,,AH190)*(1-AF190)+INDEX(Models!$BJ190:$BT190,,AH190+1)*AF190-ERP_i)*AE190*Ramure*Pc/MaxiM</f>
        <v>1.4016615568749678E-5</v>
      </c>
      <c r="AE190" s="301">
        <f t="shared" si="79"/>
        <v>0.5</v>
      </c>
      <c r="AF190" s="173">
        <f t="shared" si="80"/>
        <v>0.31409672579133524</v>
      </c>
      <c r="AG190" s="801">
        <f t="shared" si="81"/>
        <v>0</v>
      </c>
      <c r="AH190" s="172">
        <f t="shared" si="82"/>
        <v>6</v>
      </c>
      <c r="AI190" s="221">
        <f t="shared" si="83"/>
        <v>0.31409672579133524</v>
      </c>
      <c r="AJ190" s="261" t="b">
        <f t="shared" si="84"/>
        <v>0</v>
      </c>
      <c r="AK190" s="261" t="b">
        <f t="shared" si="85"/>
        <v>0</v>
      </c>
      <c r="AL190" s="261"/>
      <c r="AM190" s="261"/>
      <c r="AN190" s="75"/>
      <c r="AV190" s="153">
        <f t="shared" si="93"/>
        <v>44372</v>
      </c>
      <c r="AW190" s="608"/>
      <c r="AX190" s="385"/>
      <c r="AY190" s="388"/>
      <c r="AZ190" s="380"/>
      <c r="BA190" s="380"/>
      <c r="BB190" s="110"/>
      <c r="BD190" s="375"/>
      <c r="BE190" s="85"/>
      <c r="BF190" s="193">
        <f t="shared" si="86"/>
        <v>44737</v>
      </c>
      <c r="BG190" s="430"/>
      <c r="BH190" s="846"/>
      <c r="BI190" s="846"/>
      <c r="BJ190" s="320"/>
      <c r="BK190" s="378"/>
    </row>
    <row r="191" spans="1:63" s="6" customFormat="1" ht="11.25" x14ac:dyDescent="0.2">
      <c r="A191" s="56">
        <f t="shared" si="87"/>
        <v>44738</v>
      </c>
      <c r="B191" s="608">
        <v>49.731000000000002</v>
      </c>
      <c r="C191" s="385"/>
      <c r="D191" s="388">
        <f t="shared" si="88"/>
        <v>49.945225095755951</v>
      </c>
      <c r="E191" s="380">
        <f t="shared" si="89"/>
        <v>51.009116400553765</v>
      </c>
      <c r="F191" s="380">
        <f t="shared" si="90"/>
        <v>51.009116400553765</v>
      </c>
      <c r="G191" s="110">
        <f t="shared" si="91"/>
        <v>0.20334151780771065</v>
      </c>
      <c r="I191" s="375">
        <f t="shared" si="64"/>
        <v>51.009116400553765</v>
      </c>
      <c r="J191" s="85">
        <v>2022</v>
      </c>
      <c r="K191" s="193">
        <f t="shared" si="65"/>
        <v>44738</v>
      </c>
      <c r="L191" s="430">
        <f t="shared" si="66"/>
        <v>4.2892007263003462E-3</v>
      </c>
      <c r="M191" s="846"/>
      <c r="N191" s="846"/>
      <c r="O191" s="320">
        <f t="shared" si="67"/>
        <v>2.0856885589695572E-2</v>
      </c>
      <c r="P191" s="165">
        <f>(INDEX(Models!$BJ191:$BT191,,T191)*(1-R191)+INDEX(Models!$BJ191:$BT191,,T191+1)*R191-ERP_i)*Q191*Ramure*Pc/MaxiM</f>
        <v>1.442643129360448E-5</v>
      </c>
      <c r="Q191" s="301">
        <f t="shared" si="68"/>
        <v>0.5</v>
      </c>
      <c r="R191" s="173">
        <f t="shared" si="69"/>
        <v>0.31875383813216751</v>
      </c>
      <c r="S191" s="801">
        <f t="shared" si="92"/>
        <v>0</v>
      </c>
      <c r="T191" s="172">
        <f t="shared" si="70"/>
        <v>6</v>
      </c>
      <c r="U191" s="247">
        <f t="shared" si="71"/>
        <v>0.31875383813216751</v>
      </c>
      <c r="V191" s="378">
        <f t="shared" si="72"/>
        <v>244.56531600286689</v>
      </c>
      <c r="W191" s="397"/>
      <c r="X191" s="153">
        <f t="shared" si="73"/>
        <v>44738</v>
      </c>
      <c r="Y191" s="380">
        <f t="shared" si="74"/>
        <v>49.731000000000002</v>
      </c>
      <c r="Z191" s="380">
        <f t="shared" si="75"/>
        <v>49.945225095755951</v>
      </c>
      <c r="AA191" s="381">
        <f t="shared" si="76"/>
        <v>51.009116400553765</v>
      </c>
      <c r="AB191" s="193">
        <f t="shared" si="77"/>
        <v>44738</v>
      </c>
      <c r="AC191" s="420">
        <f t="shared" si="78"/>
        <v>2.0856885589695572E-2</v>
      </c>
      <c r="AD191" s="165">
        <f>(INDEX(Models!$BJ191:$BT191,,AH191)*(1-AF191)+INDEX(Models!$BJ191:$BT191,,AH191+1)*AF191-ERP_i)*AE191*Ramure*Pc/MaxiM</f>
        <v>1.442643129360448E-5</v>
      </c>
      <c r="AE191" s="301">
        <f t="shared" si="79"/>
        <v>0.5</v>
      </c>
      <c r="AF191" s="173">
        <f t="shared" si="80"/>
        <v>0.31875383813216751</v>
      </c>
      <c r="AG191" s="801">
        <f t="shared" si="81"/>
        <v>0</v>
      </c>
      <c r="AH191" s="172">
        <f t="shared" si="82"/>
        <v>6</v>
      </c>
      <c r="AI191" s="221">
        <f t="shared" si="83"/>
        <v>0.31875383813216751</v>
      </c>
      <c r="AJ191" s="261" t="b">
        <f t="shared" si="84"/>
        <v>0</v>
      </c>
      <c r="AK191" s="261" t="b">
        <f t="shared" si="85"/>
        <v>0</v>
      </c>
      <c r="AL191" s="261"/>
      <c r="AM191" s="261"/>
      <c r="AN191" s="75"/>
      <c r="AV191" s="153">
        <f t="shared" si="93"/>
        <v>44373</v>
      </c>
      <c r="AW191" s="608"/>
      <c r="AX191" s="385"/>
      <c r="AY191" s="388"/>
      <c r="AZ191" s="380"/>
      <c r="BA191" s="380"/>
      <c r="BB191" s="110"/>
      <c r="BD191" s="375"/>
      <c r="BE191" s="85"/>
      <c r="BF191" s="193">
        <f t="shared" si="86"/>
        <v>44738</v>
      </c>
      <c r="BG191" s="430"/>
      <c r="BH191" s="846"/>
      <c r="BI191" s="846"/>
      <c r="BJ191" s="320"/>
      <c r="BK191" s="378"/>
    </row>
    <row r="192" spans="1:63" s="6" customFormat="1" ht="11.25" customHeight="1" x14ac:dyDescent="0.2">
      <c r="A192" s="56">
        <f t="shared" si="87"/>
        <v>44739</v>
      </c>
      <c r="B192" s="608">
        <v>58.100999999999999</v>
      </c>
      <c r="C192" s="385"/>
      <c r="D192" s="388">
        <f t="shared" si="88"/>
        <v>58.352079145036903</v>
      </c>
      <c r="E192" s="380">
        <f t="shared" si="89"/>
        <v>59.59894424699322</v>
      </c>
      <c r="F192" s="380">
        <f t="shared" si="90"/>
        <v>59.59894424699322</v>
      </c>
      <c r="G192" s="110">
        <f t="shared" si="91"/>
        <v>0.23772764448275457</v>
      </c>
      <c r="I192" s="375">
        <f t="shared" si="64"/>
        <v>59.59894424699322</v>
      </c>
      <c r="J192" s="85">
        <v>2022</v>
      </c>
      <c r="K192" s="193">
        <f t="shared" si="65"/>
        <v>44739</v>
      </c>
      <c r="L192" s="430">
        <f t="shared" si="66"/>
        <v>4.3028311709825129E-3</v>
      </c>
      <c r="M192" s="846"/>
      <c r="N192" s="846"/>
      <c r="O192" s="320">
        <f t="shared" si="67"/>
        <v>2.0920925994745626E-2</v>
      </c>
      <c r="P192" s="165">
        <f>(INDEX(Models!$BJ192:$BT192,,T192)*(1-R192)+INDEX(Models!$BJ192:$BT192,,T192+1)*R192-ERP_i)*Q192*Ramure*Pc/MaxiM</f>
        <v>1.4896449874089137E-5</v>
      </c>
      <c r="Q192" s="301">
        <f t="shared" si="68"/>
        <v>0.5</v>
      </c>
      <c r="R192" s="173">
        <f t="shared" si="69"/>
        <v>0.32335060354988465</v>
      </c>
      <c r="S192" s="801">
        <f t="shared" si="92"/>
        <v>0</v>
      </c>
      <c r="T192" s="172">
        <f t="shared" si="70"/>
        <v>6</v>
      </c>
      <c r="U192" s="247">
        <f t="shared" si="71"/>
        <v>0.32335060354988465</v>
      </c>
      <c r="V192" s="378">
        <f t="shared" si="72"/>
        <v>244.39788913813351</v>
      </c>
      <c r="W192" s="397"/>
      <c r="X192" s="153">
        <f t="shared" si="73"/>
        <v>44739</v>
      </c>
      <c r="Y192" s="380">
        <f t="shared" si="74"/>
        <v>58.100999999999999</v>
      </c>
      <c r="Z192" s="380">
        <f t="shared" si="75"/>
        <v>58.352079145036903</v>
      </c>
      <c r="AA192" s="381">
        <f t="shared" si="76"/>
        <v>59.59894424699322</v>
      </c>
      <c r="AB192" s="193">
        <f t="shared" si="77"/>
        <v>44739</v>
      </c>
      <c r="AC192" s="420">
        <f t="shared" si="78"/>
        <v>2.0920925994745626E-2</v>
      </c>
      <c r="AD192" s="165">
        <f>(INDEX(Models!$BJ192:$BT192,,AH192)*(1-AF192)+INDEX(Models!$BJ192:$BT192,,AH192+1)*AF192-ERP_i)*AE192*Ramure*Pc/MaxiM</f>
        <v>1.4896449874089137E-5</v>
      </c>
      <c r="AE192" s="301">
        <f t="shared" si="79"/>
        <v>0.5</v>
      </c>
      <c r="AF192" s="173">
        <f t="shared" si="80"/>
        <v>0.32335060354988465</v>
      </c>
      <c r="AG192" s="801">
        <f t="shared" si="81"/>
        <v>0</v>
      </c>
      <c r="AH192" s="172">
        <f t="shared" si="82"/>
        <v>6</v>
      </c>
      <c r="AI192" s="221">
        <f t="shared" si="83"/>
        <v>0.32335060354988465</v>
      </c>
      <c r="AJ192" s="261" t="b">
        <f t="shared" si="84"/>
        <v>0</v>
      </c>
      <c r="AK192" s="261" t="b">
        <f t="shared" si="85"/>
        <v>0</v>
      </c>
      <c r="AL192" s="261"/>
      <c r="AM192" s="261"/>
      <c r="AN192" s="75"/>
      <c r="AV192" s="153">
        <f t="shared" si="93"/>
        <v>44374</v>
      </c>
      <c r="AW192" s="608"/>
      <c r="AX192" s="385"/>
      <c r="AY192" s="388"/>
      <c r="AZ192" s="380"/>
      <c r="BA192" s="380"/>
      <c r="BB192" s="110"/>
      <c r="BD192" s="375"/>
      <c r="BE192" s="85"/>
      <c r="BF192" s="193">
        <f t="shared" si="86"/>
        <v>44739</v>
      </c>
      <c r="BG192" s="430"/>
      <c r="BH192" s="846"/>
      <c r="BI192" s="846"/>
      <c r="BJ192" s="320"/>
      <c r="BK192" s="378"/>
    </row>
    <row r="193" spans="1:63" s="6" customFormat="1" ht="11.25" x14ac:dyDescent="0.2">
      <c r="A193" s="56">
        <f t="shared" si="87"/>
        <v>44740</v>
      </c>
      <c r="B193" s="608">
        <v>254.03800000000001</v>
      </c>
      <c r="C193" s="385"/>
      <c r="D193" s="388">
        <f t="shared" si="88"/>
        <v>255.13929894292849</v>
      </c>
      <c r="E193" s="380">
        <f t="shared" si="89"/>
        <v>260.60805685016965</v>
      </c>
      <c r="F193" s="380">
        <f t="shared" si="90"/>
        <v>260.61207165828807</v>
      </c>
      <c r="G193" s="110">
        <f t="shared" si="91"/>
        <v>1.0401867145003136</v>
      </c>
      <c r="I193" s="375">
        <f t="shared" si="64"/>
        <v>260.61207165828807</v>
      </c>
      <c r="J193" s="85">
        <v>2022</v>
      </c>
      <c r="K193" s="193">
        <f t="shared" si="65"/>
        <v>44740</v>
      </c>
      <c r="L193" s="430">
        <f t="shared" si="66"/>
        <v>4.31646142907538E-3</v>
      </c>
      <c r="M193" s="846"/>
      <c r="N193" s="846"/>
      <c r="O193" s="320">
        <f t="shared" si="67"/>
        <v>2.0984607971599536E-2</v>
      </c>
      <c r="P193" s="165">
        <f>(INDEX(Models!$BJ193:$BT193,,T193)*(1-R193)+INDEX(Models!$BJ193:$BT193,,T193+1)*R193-ERP_i)*Q193*Ramure*Pc/MaxiM</f>
        <v>1.5405303725496358E-5</v>
      </c>
      <c r="Q193" s="301">
        <f t="shared" si="68"/>
        <v>0.5</v>
      </c>
      <c r="R193" s="173">
        <f t="shared" si="69"/>
        <v>0.32788438308071416</v>
      </c>
      <c r="S193" s="801">
        <f t="shared" si="92"/>
        <v>0</v>
      </c>
      <c r="T193" s="172">
        <f t="shared" si="70"/>
        <v>6</v>
      </c>
      <c r="U193" s="247">
        <f t="shared" si="71"/>
        <v>0.32788438308071416</v>
      </c>
      <c r="V193" s="378">
        <f t="shared" si="72"/>
        <v>244.22346147925487</v>
      </c>
      <c r="W193" s="397"/>
      <c r="X193" s="153">
        <f t="shared" si="73"/>
        <v>44740</v>
      </c>
      <c r="Y193" s="380">
        <f t="shared" si="74"/>
        <v>254.03800000000004</v>
      </c>
      <c r="Z193" s="380">
        <f t="shared" si="75"/>
        <v>255.13929894292852</v>
      </c>
      <c r="AA193" s="381">
        <f t="shared" si="76"/>
        <v>260.60805685016965</v>
      </c>
      <c r="AB193" s="193">
        <f t="shared" si="77"/>
        <v>44740</v>
      </c>
      <c r="AC193" s="420">
        <f t="shared" si="78"/>
        <v>2.0984607971599536E-2</v>
      </c>
      <c r="AD193" s="165">
        <f>(INDEX(Models!$BJ193:$BT193,,AH193)*(1-AF193)+INDEX(Models!$BJ193:$BT193,,AH193+1)*AF193-ERP_i)*AE193*Ramure*Pc/MaxiM</f>
        <v>1.5405303725496358E-5</v>
      </c>
      <c r="AE193" s="301">
        <f t="shared" si="79"/>
        <v>0.5</v>
      </c>
      <c r="AF193" s="173">
        <f t="shared" si="80"/>
        <v>0.32788438308071416</v>
      </c>
      <c r="AG193" s="801">
        <f t="shared" si="81"/>
        <v>0</v>
      </c>
      <c r="AH193" s="172">
        <f t="shared" si="82"/>
        <v>6</v>
      </c>
      <c r="AI193" s="221">
        <f t="shared" si="83"/>
        <v>0.32788438308071416</v>
      </c>
      <c r="AJ193" s="261" t="b">
        <f t="shared" si="84"/>
        <v>0</v>
      </c>
      <c r="AK193" s="261" t="b">
        <f t="shared" si="85"/>
        <v>0</v>
      </c>
      <c r="AL193" s="261"/>
      <c r="AM193" s="261"/>
      <c r="AN193" s="75"/>
      <c r="AV193" s="153">
        <f t="shared" si="93"/>
        <v>44375</v>
      </c>
      <c r="AW193" s="608"/>
      <c r="AX193" s="385"/>
      <c r="AY193" s="388"/>
      <c r="AZ193" s="380"/>
      <c r="BA193" s="380"/>
      <c r="BB193" s="110"/>
      <c r="BD193" s="375"/>
      <c r="BE193" s="85"/>
      <c r="BF193" s="193">
        <f t="shared" si="86"/>
        <v>44740</v>
      </c>
      <c r="BG193" s="430"/>
      <c r="BH193" s="846"/>
      <c r="BI193" s="846"/>
      <c r="BJ193" s="320"/>
      <c r="BK193" s="378"/>
    </row>
    <row r="194" spans="1:63" s="6" customFormat="1" ht="11.25" customHeight="1" x14ac:dyDescent="0.2">
      <c r="A194" s="56">
        <f t="shared" si="87"/>
        <v>44741</v>
      </c>
      <c r="B194" s="608">
        <v>241.18899999999999</v>
      </c>
      <c r="C194" s="385"/>
      <c r="D194" s="388">
        <f t="shared" si="88"/>
        <v>242.23791232527827</v>
      </c>
      <c r="E194" s="380">
        <f t="shared" si="89"/>
        <v>247.44614212301897</v>
      </c>
      <c r="F194" s="380">
        <f t="shared" si="90"/>
        <v>247.45002413127429</v>
      </c>
      <c r="G194" s="110">
        <f t="shared" si="91"/>
        <v>0.98831330449804156</v>
      </c>
      <c r="I194" s="375">
        <f t="shared" si="64"/>
        <v>247.45002413127429</v>
      </c>
      <c r="J194" s="85">
        <v>2022</v>
      </c>
      <c r="K194" s="193">
        <f t="shared" si="65"/>
        <v>44741</v>
      </c>
      <c r="L194" s="430">
        <f t="shared" si="66"/>
        <v>4.3300915005815011E-3</v>
      </c>
      <c r="M194" s="846"/>
      <c r="N194" s="846"/>
      <c r="O194" s="320">
        <f t="shared" si="67"/>
        <v>2.1047932907967481E-2</v>
      </c>
      <c r="P194" s="165">
        <f>(INDEX(Models!$BJ194:$BT194,,T194)*(1-R194)+INDEX(Models!$BJ194:$BT194,,T194+1)*R194-ERP_i)*Q194*Ramure*Pc/MaxiM</f>
        <v>1.5954406892002794E-5</v>
      </c>
      <c r="Q194" s="301">
        <f t="shared" si="68"/>
        <v>0.5</v>
      </c>
      <c r="R194" s="173">
        <f t="shared" si="69"/>
        <v>0.33235271441248648</v>
      </c>
      <c r="S194" s="801">
        <f t="shared" si="92"/>
        <v>0</v>
      </c>
      <c r="T194" s="172">
        <f t="shared" si="70"/>
        <v>6</v>
      </c>
      <c r="U194" s="247">
        <f t="shared" si="71"/>
        <v>0.33235271441248648</v>
      </c>
      <c r="V194" s="378">
        <f t="shared" si="72"/>
        <v>244.04096824239841</v>
      </c>
      <c r="W194" s="397"/>
      <c r="X194" s="153">
        <f t="shared" si="73"/>
        <v>44741</v>
      </c>
      <c r="Y194" s="380">
        <f t="shared" si="74"/>
        <v>241.18899999999999</v>
      </c>
      <c r="Z194" s="380">
        <f t="shared" si="75"/>
        <v>242.23791232527827</v>
      </c>
      <c r="AA194" s="381">
        <f t="shared" si="76"/>
        <v>247.44614212301897</v>
      </c>
      <c r="AB194" s="193">
        <f t="shared" si="77"/>
        <v>44741</v>
      </c>
      <c r="AC194" s="420">
        <f t="shared" si="78"/>
        <v>2.1047932907967481E-2</v>
      </c>
      <c r="AD194" s="165">
        <f>(INDEX(Models!$BJ194:$BT194,,AH194)*(1-AF194)+INDEX(Models!$BJ194:$BT194,,AH194+1)*AF194-ERP_i)*AE194*Ramure*Pc/MaxiM</f>
        <v>1.5954406892002794E-5</v>
      </c>
      <c r="AE194" s="301">
        <f t="shared" si="79"/>
        <v>0.5</v>
      </c>
      <c r="AF194" s="173">
        <f t="shared" si="80"/>
        <v>0.33235271441248648</v>
      </c>
      <c r="AG194" s="801">
        <f t="shared" si="81"/>
        <v>0</v>
      </c>
      <c r="AH194" s="172">
        <f t="shared" si="82"/>
        <v>6</v>
      </c>
      <c r="AI194" s="221">
        <f t="shared" si="83"/>
        <v>0.33235271441248648</v>
      </c>
      <c r="AJ194" s="261" t="b">
        <f t="shared" si="84"/>
        <v>0</v>
      </c>
      <c r="AK194" s="261" t="b">
        <f t="shared" si="85"/>
        <v>0</v>
      </c>
      <c r="AL194" s="261"/>
      <c r="AM194" s="261"/>
      <c r="AN194" s="75"/>
      <c r="AV194" s="153">
        <f t="shared" si="93"/>
        <v>44376</v>
      </c>
      <c r="AW194" s="608"/>
      <c r="AX194" s="385"/>
      <c r="AY194" s="388"/>
      <c r="AZ194" s="380"/>
      <c r="BA194" s="380"/>
      <c r="BB194" s="110"/>
      <c r="BD194" s="375"/>
      <c r="BE194" s="85"/>
      <c r="BF194" s="193">
        <f t="shared" si="86"/>
        <v>44741</v>
      </c>
      <c r="BG194" s="430"/>
      <c r="BH194" s="846"/>
      <c r="BI194" s="846"/>
      <c r="BJ194" s="320"/>
      <c r="BK194" s="378"/>
    </row>
    <row r="195" spans="1:63" s="6" customFormat="1" ht="11.25" customHeight="1" x14ac:dyDescent="0.2">
      <c r="A195" s="56">
        <f t="shared" si="87"/>
        <v>44742</v>
      </c>
      <c r="B195" s="608">
        <v>56.317</v>
      </c>
      <c r="C195" s="385"/>
      <c r="D195" s="388">
        <f t="shared" si="88"/>
        <v>56.562692577369972</v>
      </c>
      <c r="E195" s="380">
        <f t="shared" si="89"/>
        <v>57.782534053656292</v>
      </c>
      <c r="F195" s="380">
        <f t="shared" si="90"/>
        <v>57.782534053656292</v>
      </c>
      <c r="G195" s="110">
        <f t="shared" si="91"/>
        <v>0.23094615360132448</v>
      </c>
      <c r="I195" s="375">
        <f t="shared" si="64"/>
        <v>57.782534053656292</v>
      </c>
      <c r="J195" s="85">
        <v>2022</v>
      </c>
      <c r="K195" s="193">
        <f t="shared" si="65"/>
        <v>44742</v>
      </c>
      <c r="L195" s="430">
        <f t="shared" si="66"/>
        <v>4.3437213855033185E-3</v>
      </c>
      <c r="M195" s="846"/>
      <c r="N195" s="846"/>
      <c r="O195" s="320">
        <f t="shared" si="67"/>
        <v>2.1110903082817128E-2</v>
      </c>
      <c r="P195" s="165">
        <f>(INDEX(Models!$BJ195:$BT195,,T195)*(1-R195)+INDEX(Models!$BJ195:$BT195,,T195+1)*R195-ERP_i)*Q195*Ramure*Pc/MaxiM</f>
        <v>1.654514173470816E-5</v>
      </c>
      <c r="Q195" s="301">
        <f t="shared" si="68"/>
        <v>0.5</v>
      </c>
      <c r="R195" s="173">
        <f t="shared" si="69"/>
        <v>0.33675331465804209</v>
      </c>
      <c r="S195" s="801">
        <f t="shared" si="92"/>
        <v>0</v>
      </c>
      <c r="T195" s="172">
        <f t="shared" si="70"/>
        <v>6</v>
      </c>
      <c r="U195" s="247">
        <f t="shared" si="71"/>
        <v>0.33675331465804209</v>
      </c>
      <c r="V195" s="378">
        <f t="shared" si="72"/>
        <v>243.84934474583062</v>
      </c>
      <c r="W195" s="397"/>
      <c r="X195" s="153">
        <f t="shared" si="73"/>
        <v>44742</v>
      </c>
      <c r="Y195" s="380">
        <f t="shared" si="74"/>
        <v>56.317</v>
      </c>
      <c r="Z195" s="380">
        <f t="shared" si="75"/>
        <v>56.562692577369972</v>
      </c>
      <c r="AA195" s="381">
        <f t="shared" si="76"/>
        <v>57.782534053656292</v>
      </c>
      <c r="AB195" s="193">
        <f t="shared" si="77"/>
        <v>44742</v>
      </c>
      <c r="AC195" s="420">
        <f t="shared" si="78"/>
        <v>2.1110903082817128E-2</v>
      </c>
      <c r="AD195" s="165">
        <f>(INDEX(Models!$BJ195:$BT195,,AH195)*(1-AF195)+INDEX(Models!$BJ195:$BT195,,AH195+1)*AF195-ERP_i)*AE195*Ramure*Pc/MaxiM</f>
        <v>1.654514173470816E-5</v>
      </c>
      <c r="AE195" s="301">
        <f t="shared" si="79"/>
        <v>0.5</v>
      </c>
      <c r="AF195" s="173">
        <f t="shared" si="80"/>
        <v>0.33675331465804209</v>
      </c>
      <c r="AG195" s="801">
        <f t="shared" si="81"/>
        <v>0</v>
      </c>
      <c r="AH195" s="172">
        <f t="shared" si="82"/>
        <v>6</v>
      </c>
      <c r="AI195" s="221">
        <f t="shared" si="83"/>
        <v>0.33675331465804209</v>
      </c>
      <c r="AJ195" s="261" t="b">
        <f t="shared" si="84"/>
        <v>0</v>
      </c>
      <c r="AK195" s="261" t="b">
        <f t="shared" si="85"/>
        <v>0</v>
      </c>
      <c r="AL195" s="261"/>
      <c r="AM195" s="261"/>
      <c r="AN195" s="75"/>
      <c r="AV195" s="153">
        <f t="shared" si="93"/>
        <v>44377</v>
      </c>
      <c r="AW195" s="608"/>
      <c r="AX195" s="385"/>
      <c r="AY195" s="388"/>
      <c r="AZ195" s="380"/>
      <c r="BA195" s="380"/>
      <c r="BB195" s="110"/>
      <c r="BD195" s="375"/>
      <c r="BE195" s="85"/>
      <c r="BF195" s="193">
        <f t="shared" si="86"/>
        <v>44742</v>
      </c>
      <c r="BG195" s="430"/>
      <c r="BH195" s="846"/>
      <c r="BI195" s="846"/>
      <c r="BJ195" s="320"/>
      <c r="BK195" s="378"/>
    </row>
    <row r="196" spans="1:63" s="6" customFormat="1" ht="11.25" customHeight="1" x14ac:dyDescent="0.2">
      <c r="A196" s="56">
        <f t="shared" si="87"/>
        <v>44743</v>
      </c>
      <c r="B196" s="608">
        <v>215.964</v>
      </c>
      <c r="C196" s="385"/>
      <c r="D196" s="388">
        <f t="shared" si="88"/>
        <v>216.90914931687144</v>
      </c>
      <c r="E196" s="380">
        <f t="shared" si="89"/>
        <v>221.60122770535699</v>
      </c>
      <c r="F196" s="380">
        <f t="shared" si="90"/>
        <v>221.60441669383138</v>
      </c>
      <c r="G196" s="110">
        <f t="shared" si="91"/>
        <v>0.88637631977960674</v>
      </c>
      <c r="I196" s="375">
        <f t="shared" si="64"/>
        <v>221.60441669383138</v>
      </c>
      <c r="J196" s="85">
        <v>2022</v>
      </c>
      <c r="K196" s="193">
        <f t="shared" si="65"/>
        <v>44743</v>
      </c>
      <c r="L196" s="430">
        <f t="shared" si="66"/>
        <v>4.357351083843497E-3</v>
      </c>
      <c r="M196" s="846"/>
      <c r="N196" s="846"/>
      <c r="O196" s="320">
        <f t="shared" si="67"/>
        <v>2.1173521631947721E-2</v>
      </c>
      <c r="P196" s="165">
        <f>(INDEX(Models!$BJ196:$BT196,,T196)*(1-R196)+INDEX(Models!$BJ196:$BT196,,T196+1)*R196-ERP_i)*Q196*Ramure*Pc/MaxiM</f>
        <v>1.7178859341884419E-5</v>
      </c>
      <c r="Q196" s="301">
        <f t="shared" si="68"/>
        <v>0.5</v>
      </c>
      <c r="R196" s="173">
        <f t="shared" si="69"/>
        <v>0.34108408217898495</v>
      </c>
      <c r="S196" s="801">
        <f t="shared" si="92"/>
        <v>0</v>
      </c>
      <c r="T196" s="172">
        <f t="shared" si="70"/>
        <v>6</v>
      </c>
      <c r="U196" s="247">
        <f t="shared" si="71"/>
        <v>0.34108408217898495</v>
      </c>
      <c r="V196" s="378">
        <f t="shared" si="72"/>
        <v>243.64752642552872</v>
      </c>
      <c r="W196" s="397"/>
      <c r="X196" s="153">
        <f t="shared" si="73"/>
        <v>44743</v>
      </c>
      <c r="Y196" s="380">
        <f t="shared" si="74"/>
        <v>215.964</v>
      </c>
      <c r="Z196" s="380">
        <f t="shared" si="75"/>
        <v>216.90914931687144</v>
      </c>
      <c r="AA196" s="381">
        <f t="shared" si="76"/>
        <v>221.60122770535699</v>
      </c>
      <c r="AB196" s="193">
        <f t="shared" si="77"/>
        <v>44743</v>
      </c>
      <c r="AC196" s="420">
        <f t="shared" si="78"/>
        <v>2.1173521631947721E-2</v>
      </c>
      <c r="AD196" s="165">
        <f>(INDEX(Models!$BJ196:$BT196,,AH196)*(1-AF196)+INDEX(Models!$BJ196:$BT196,,AH196+1)*AF196-ERP_i)*AE196*Ramure*Pc/MaxiM</f>
        <v>1.7178859341884419E-5</v>
      </c>
      <c r="AE196" s="301">
        <f t="shared" si="79"/>
        <v>0.5</v>
      </c>
      <c r="AF196" s="173">
        <f t="shared" si="80"/>
        <v>0.34108408217898495</v>
      </c>
      <c r="AG196" s="801">
        <f t="shared" si="81"/>
        <v>0</v>
      </c>
      <c r="AH196" s="172">
        <f t="shared" si="82"/>
        <v>6</v>
      </c>
      <c r="AI196" s="221">
        <f t="shared" si="83"/>
        <v>0.34108408217898495</v>
      </c>
      <c r="AJ196" s="261" t="b">
        <f t="shared" si="84"/>
        <v>0</v>
      </c>
      <c r="AK196" s="261" t="b">
        <f t="shared" si="85"/>
        <v>0</v>
      </c>
      <c r="AL196" s="261"/>
      <c r="AM196" s="261"/>
      <c r="AN196" s="75"/>
      <c r="AV196" s="153">
        <f t="shared" si="93"/>
        <v>44378</v>
      </c>
      <c r="AW196" s="608"/>
      <c r="AX196" s="385"/>
      <c r="AY196" s="388"/>
      <c r="AZ196" s="380"/>
      <c r="BA196" s="380"/>
      <c r="BB196" s="110"/>
      <c r="BD196" s="375"/>
      <c r="BE196" s="85"/>
      <c r="BF196" s="193">
        <f t="shared" si="86"/>
        <v>44743</v>
      </c>
      <c r="BG196" s="430"/>
      <c r="BH196" s="846"/>
      <c r="BI196" s="846"/>
      <c r="BJ196" s="320"/>
      <c r="BK196" s="378"/>
    </row>
    <row r="197" spans="1:63" s="6" customFormat="1" ht="11.25" customHeight="1" x14ac:dyDescent="0.2">
      <c r="A197" s="56">
        <f t="shared" si="87"/>
        <v>44744</v>
      </c>
      <c r="B197" s="608">
        <v>238.66900000000001</v>
      </c>
      <c r="C197" s="385"/>
      <c r="D197" s="388">
        <f t="shared" si="88"/>
        <v>239.71679747018266</v>
      </c>
      <c r="E197" s="380">
        <f t="shared" si="89"/>
        <v>244.91782150949425</v>
      </c>
      <c r="F197" s="380">
        <f t="shared" si="90"/>
        <v>244.92207274501186</v>
      </c>
      <c r="G197" s="110">
        <f t="shared" si="91"/>
        <v>0.98042360868948641</v>
      </c>
      <c r="I197" s="375">
        <f t="shared" si="64"/>
        <v>244.92207274501186</v>
      </c>
      <c r="J197" s="85">
        <v>2022</v>
      </c>
      <c r="K197" s="193">
        <f t="shared" si="65"/>
        <v>44744</v>
      </c>
      <c r="L197" s="430">
        <f t="shared" si="66"/>
        <v>4.37098059560459E-3</v>
      </c>
      <c r="M197" s="846"/>
      <c r="N197" s="846"/>
      <c r="O197" s="320">
        <f t="shared" si="67"/>
        <v>2.1235792508917072E-2</v>
      </c>
      <c r="P197" s="165">
        <f>(INDEX(Models!$BJ197:$BT197,,T197)*(1-R197)+INDEX(Models!$BJ197:$BT197,,T197+1)*R197-ERP_i)*Q197*Ramure*Pc/MaxiM</f>
        <v>1.7856880523988832E-5</v>
      </c>
      <c r="Q197" s="301">
        <f t="shared" si="68"/>
        <v>0.5</v>
      </c>
      <c r="R197" s="173">
        <f t="shared" si="69"/>
        <v>0.3453430974866456</v>
      </c>
      <c r="S197" s="801">
        <f t="shared" si="92"/>
        <v>0</v>
      </c>
      <c r="T197" s="172">
        <f t="shared" si="70"/>
        <v>6</v>
      </c>
      <c r="U197" s="247">
        <f t="shared" si="71"/>
        <v>0.3453430974866456</v>
      </c>
      <c r="V197" s="378">
        <f t="shared" si="72"/>
        <v>243.43444884087262</v>
      </c>
      <c r="W197" s="397"/>
      <c r="X197" s="153">
        <f t="shared" si="73"/>
        <v>44744</v>
      </c>
      <c r="Y197" s="380">
        <f t="shared" si="74"/>
        <v>238.66900000000001</v>
      </c>
      <c r="Z197" s="380">
        <f t="shared" si="75"/>
        <v>239.71679747018266</v>
      </c>
      <c r="AA197" s="381">
        <f t="shared" si="76"/>
        <v>244.91782150949425</v>
      </c>
      <c r="AB197" s="193">
        <f t="shared" si="77"/>
        <v>44744</v>
      </c>
      <c r="AC197" s="420">
        <f t="shared" si="78"/>
        <v>2.1235792508917072E-2</v>
      </c>
      <c r="AD197" s="165">
        <f>(INDEX(Models!$BJ197:$BT197,,AH197)*(1-AF197)+INDEX(Models!$BJ197:$BT197,,AH197+1)*AF197-ERP_i)*AE197*Ramure*Pc/MaxiM</f>
        <v>1.7856880523988832E-5</v>
      </c>
      <c r="AE197" s="301">
        <f t="shared" si="79"/>
        <v>0.5</v>
      </c>
      <c r="AF197" s="173">
        <f t="shared" si="80"/>
        <v>0.3453430974866456</v>
      </c>
      <c r="AG197" s="801">
        <f t="shared" si="81"/>
        <v>0</v>
      </c>
      <c r="AH197" s="172">
        <f t="shared" si="82"/>
        <v>6</v>
      </c>
      <c r="AI197" s="221">
        <f t="shared" si="83"/>
        <v>0.3453430974866456</v>
      </c>
      <c r="AJ197" s="261" t="b">
        <f t="shared" si="84"/>
        <v>0</v>
      </c>
      <c r="AK197" s="261" t="b">
        <f t="shared" si="85"/>
        <v>0</v>
      </c>
      <c r="AL197" s="261"/>
      <c r="AM197" s="261"/>
      <c r="AN197" s="75"/>
      <c r="AV197" s="153">
        <f t="shared" si="93"/>
        <v>44379</v>
      </c>
      <c r="AW197" s="608"/>
      <c r="AX197" s="385"/>
      <c r="AY197" s="388"/>
      <c r="AZ197" s="380"/>
      <c r="BA197" s="380"/>
      <c r="BB197" s="110"/>
      <c r="BD197" s="375"/>
      <c r="BE197" s="85"/>
      <c r="BF197" s="193">
        <f t="shared" si="86"/>
        <v>44744</v>
      </c>
      <c r="BG197" s="430"/>
      <c r="BH197" s="846"/>
      <c r="BI197" s="846"/>
      <c r="BJ197" s="320"/>
      <c r="BK197" s="378"/>
    </row>
    <row r="198" spans="1:63" s="6" customFormat="1" ht="11.25" customHeight="1" x14ac:dyDescent="0.2">
      <c r="A198" s="56">
        <f t="shared" si="87"/>
        <v>44745</v>
      </c>
      <c r="B198" s="608">
        <v>197.67400000000001</v>
      </c>
      <c r="C198" s="385"/>
      <c r="D198" s="388">
        <f t="shared" si="88"/>
        <v>198.54454036138705</v>
      </c>
      <c r="E198" s="380">
        <f t="shared" si="89"/>
        <v>202.8651046475332</v>
      </c>
      <c r="F198" s="380">
        <f t="shared" si="90"/>
        <v>202.86786743464688</v>
      </c>
      <c r="G198" s="110">
        <f t="shared" si="91"/>
        <v>0.81277000608474037</v>
      </c>
      <c r="I198" s="375">
        <f t="shared" si="64"/>
        <v>202.86786743464688</v>
      </c>
      <c r="J198" s="85">
        <v>2022</v>
      </c>
      <c r="K198" s="193">
        <f t="shared" si="65"/>
        <v>44745</v>
      </c>
      <c r="L198" s="430">
        <f t="shared" si="66"/>
        <v>4.3846099207890399E-3</v>
      </c>
      <c r="M198" s="846"/>
      <c r="N198" s="846"/>
      <c r="O198" s="320">
        <f t="shared" si="67"/>
        <v>2.129772044163479E-2</v>
      </c>
      <c r="P198" s="165">
        <f>(INDEX(Models!$BJ198:$BT198,,T198)*(1-R198)+INDEX(Models!$BJ198:$BT198,,T198+1)*R198-ERP_i)*Q198*Ramure*Pc/MaxiM</f>
        <v>1.8591145984041077E-5</v>
      </c>
      <c r="Q198" s="301">
        <f t="shared" si="68"/>
        <v>0.5</v>
      </c>
      <c r="R198" s="173">
        <f t="shared" si="69"/>
        <v>0.34952862325394207</v>
      </c>
      <c r="S198" s="801">
        <f t="shared" si="92"/>
        <v>0</v>
      </c>
      <c r="T198" s="172">
        <f t="shared" si="70"/>
        <v>6</v>
      </c>
      <c r="U198" s="247">
        <f t="shared" si="71"/>
        <v>0.34952862325394207</v>
      </c>
      <c r="V198" s="378">
        <f t="shared" si="72"/>
        <v>243.20904508556328</v>
      </c>
      <c r="W198" s="397"/>
      <c r="X198" s="153">
        <f t="shared" si="73"/>
        <v>44745</v>
      </c>
      <c r="Y198" s="380">
        <f t="shared" si="74"/>
        <v>197.67400000000001</v>
      </c>
      <c r="Z198" s="380">
        <f t="shared" si="75"/>
        <v>198.54454036138705</v>
      </c>
      <c r="AA198" s="381">
        <f t="shared" si="76"/>
        <v>202.8651046475332</v>
      </c>
      <c r="AB198" s="193">
        <f t="shared" si="77"/>
        <v>44745</v>
      </c>
      <c r="AC198" s="420">
        <f t="shared" si="78"/>
        <v>2.129772044163479E-2</v>
      </c>
      <c r="AD198" s="165">
        <f>(INDEX(Models!$BJ198:$BT198,,AH198)*(1-AF198)+INDEX(Models!$BJ198:$BT198,,AH198+1)*AF198-ERP_i)*AE198*Ramure*Pc/MaxiM</f>
        <v>1.8591145984041077E-5</v>
      </c>
      <c r="AE198" s="301">
        <f t="shared" si="79"/>
        <v>0.5</v>
      </c>
      <c r="AF198" s="173">
        <f t="shared" si="80"/>
        <v>0.34952862325394207</v>
      </c>
      <c r="AG198" s="801">
        <f t="shared" si="81"/>
        <v>0</v>
      </c>
      <c r="AH198" s="172">
        <f t="shared" si="82"/>
        <v>6</v>
      </c>
      <c r="AI198" s="221">
        <f t="shared" si="83"/>
        <v>0.34952862325394207</v>
      </c>
      <c r="AJ198" s="261" t="b">
        <f t="shared" si="84"/>
        <v>0</v>
      </c>
      <c r="AK198" s="261" t="b">
        <f t="shared" si="85"/>
        <v>0</v>
      </c>
      <c r="AL198" s="261"/>
      <c r="AM198" s="261"/>
      <c r="AN198" s="75"/>
      <c r="AV198" s="153">
        <f t="shared" si="93"/>
        <v>44380</v>
      </c>
      <c r="AW198" s="608"/>
      <c r="AX198" s="385"/>
      <c r="AY198" s="388"/>
      <c r="AZ198" s="380"/>
      <c r="BA198" s="380"/>
      <c r="BB198" s="110"/>
      <c r="BD198" s="375"/>
      <c r="BE198" s="85"/>
      <c r="BF198" s="193">
        <f t="shared" si="86"/>
        <v>44745</v>
      </c>
      <c r="BG198" s="430"/>
      <c r="BH198" s="846"/>
      <c r="BI198" s="846"/>
      <c r="BJ198" s="320"/>
      <c r="BK198" s="378"/>
    </row>
    <row r="199" spans="1:63" s="6" customFormat="1" ht="11.25" customHeight="1" x14ac:dyDescent="0.2">
      <c r="A199" s="56">
        <f t="shared" si="87"/>
        <v>44746</v>
      </c>
      <c r="B199" s="608">
        <v>192.83799999999999</v>
      </c>
      <c r="C199" s="385"/>
      <c r="D199" s="388">
        <f t="shared" si="88"/>
        <v>193.68989445922151</v>
      </c>
      <c r="E199" s="380">
        <f t="shared" si="89"/>
        <v>197.917270979579</v>
      </c>
      <c r="F199" s="380">
        <f t="shared" si="90"/>
        <v>197.91997286853493</v>
      </c>
      <c r="G199" s="110">
        <f t="shared" si="91"/>
        <v>0.79366463152950595</v>
      </c>
      <c r="I199" s="375">
        <f t="shared" si="64"/>
        <v>197.91997286853493</v>
      </c>
      <c r="J199" s="85">
        <v>2022</v>
      </c>
      <c r="K199" s="193">
        <f t="shared" si="65"/>
        <v>44746</v>
      </c>
      <c r="L199" s="430">
        <f t="shared" si="66"/>
        <v>4.3982390593995113E-3</v>
      </c>
      <c r="M199" s="846"/>
      <c r="N199" s="846"/>
      <c r="O199" s="320">
        <f t="shared" si="67"/>
        <v>2.1359310884968979E-2</v>
      </c>
      <c r="P199" s="165">
        <f>(INDEX(Models!$BJ199:$BT199,,T199)*(1-R199)+INDEX(Models!$BJ199:$BT199,,T199+1)*R199-ERP_i)*Q199*Ramure*Pc/MaxiM</f>
        <v>1.9357083172855442E-5</v>
      </c>
      <c r="Q199" s="301">
        <f t="shared" si="68"/>
        <v>0.5</v>
      </c>
      <c r="R199" s="173">
        <f t="shared" si="69"/>
        <v>0.35363910347789917</v>
      </c>
      <c r="S199" s="801">
        <f t="shared" si="92"/>
        <v>0</v>
      </c>
      <c r="T199" s="172">
        <f t="shared" si="70"/>
        <v>6</v>
      </c>
      <c r="U199" s="247">
        <f t="shared" si="71"/>
        <v>0.35363910347789917</v>
      </c>
      <c r="V199" s="378">
        <f t="shared" si="72"/>
        <v>242.97025727976927</v>
      </c>
      <c r="W199" s="397"/>
      <c r="X199" s="153">
        <f t="shared" si="73"/>
        <v>44746</v>
      </c>
      <c r="Y199" s="380">
        <f t="shared" si="74"/>
        <v>192.83799999999999</v>
      </c>
      <c r="Z199" s="380">
        <f t="shared" si="75"/>
        <v>193.68989445922151</v>
      </c>
      <c r="AA199" s="381">
        <f t="shared" si="76"/>
        <v>197.917270979579</v>
      </c>
      <c r="AB199" s="193">
        <f t="shared" si="77"/>
        <v>44746</v>
      </c>
      <c r="AC199" s="420">
        <f t="shared" si="78"/>
        <v>2.1359310884968979E-2</v>
      </c>
      <c r="AD199" s="165">
        <f>(INDEX(Models!$BJ199:$BT199,,AH199)*(1-AF199)+INDEX(Models!$BJ199:$BT199,,AH199+1)*AF199-ERP_i)*AE199*Ramure*Pc/MaxiM</f>
        <v>1.9357083172855442E-5</v>
      </c>
      <c r="AE199" s="301">
        <f t="shared" si="79"/>
        <v>0.5</v>
      </c>
      <c r="AF199" s="173">
        <f t="shared" si="80"/>
        <v>0.35363910347789917</v>
      </c>
      <c r="AG199" s="801">
        <f t="shared" si="81"/>
        <v>0</v>
      </c>
      <c r="AH199" s="172">
        <f t="shared" si="82"/>
        <v>6</v>
      </c>
      <c r="AI199" s="221">
        <f t="shared" si="83"/>
        <v>0.35363910347789917</v>
      </c>
      <c r="AJ199" s="261" t="b">
        <f t="shared" si="84"/>
        <v>0</v>
      </c>
      <c r="AK199" s="261" t="b">
        <f t="shared" si="85"/>
        <v>0</v>
      </c>
      <c r="AL199" s="261"/>
      <c r="AM199" s="261"/>
      <c r="AN199" s="75"/>
      <c r="AV199" s="153">
        <f t="shared" si="93"/>
        <v>44381</v>
      </c>
      <c r="AW199" s="608"/>
      <c r="AX199" s="385"/>
      <c r="AY199" s="388"/>
      <c r="AZ199" s="380"/>
      <c r="BA199" s="380"/>
      <c r="BB199" s="110"/>
      <c r="BD199" s="375"/>
      <c r="BE199" s="85"/>
      <c r="BF199" s="193">
        <f t="shared" si="86"/>
        <v>44746</v>
      </c>
      <c r="BG199" s="430"/>
      <c r="BH199" s="846"/>
      <c r="BI199" s="846"/>
      <c r="BJ199" s="320"/>
      <c r="BK199" s="378"/>
    </row>
    <row r="200" spans="1:63" s="6" customFormat="1" ht="11.25" customHeight="1" x14ac:dyDescent="0.2">
      <c r="A200" s="56">
        <f t="shared" si="87"/>
        <v>44747</v>
      </c>
      <c r="B200" s="608">
        <v>231.96700000000001</v>
      </c>
      <c r="C200" s="385"/>
      <c r="D200" s="388">
        <f t="shared" si="88"/>
        <v>232.99494293556435</v>
      </c>
      <c r="E200" s="380">
        <f t="shared" si="89"/>
        <v>238.09507515231621</v>
      </c>
      <c r="F200" s="380">
        <f t="shared" si="90"/>
        <v>238.09957047491525</v>
      </c>
      <c r="G200" s="110">
        <f t="shared" si="91"/>
        <v>0.95570843239864955</v>
      </c>
      <c r="I200" s="375">
        <f t="shared" si="64"/>
        <v>238.09957047491525</v>
      </c>
      <c r="J200" s="85">
        <v>2022</v>
      </c>
      <c r="K200" s="193">
        <f t="shared" si="65"/>
        <v>44747</v>
      </c>
      <c r="L200" s="430">
        <f t="shared" si="66"/>
        <v>4.4118680114384468E-3</v>
      </c>
      <c r="M200" s="846"/>
      <c r="N200" s="846"/>
      <c r="O200" s="320">
        <f t="shared" si="67"/>
        <v>2.1420569969744924E-2</v>
      </c>
      <c r="P200" s="165">
        <f>(INDEX(Models!$BJ200:$BT200,,T200)*(1-R200)+INDEX(Models!$BJ200:$BT200,,T200+1)*R200-ERP_i)*Q200*Ramure*Pc/MaxiM</f>
        <v>2.0155274424490154E-5</v>
      </c>
      <c r="Q200" s="301">
        <f t="shared" si="68"/>
        <v>0.5</v>
      </c>
      <c r="R200" s="173">
        <f t="shared" si="69"/>
        <v>0.35767316183787301</v>
      </c>
      <c r="S200" s="801">
        <f t="shared" si="92"/>
        <v>0</v>
      </c>
      <c r="T200" s="172">
        <f t="shared" si="70"/>
        <v>6</v>
      </c>
      <c r="U200" s="247">
        <f t="shared" si="71"/>
        <v>0.35767316183787301</v>
      </c>
      <c r="V200" s="378">
        <f t="shared" si="72"/>
        <v>242.71702154314792</v>
      </c>
      <c r="W200" s="397"/>
      <c r="X200" s="153">
        <f t="shared" si="73"/>
        <v>44747</v>
      </c>
      <c r="Y200" s="380">
        <f t="shared" si="74"/>
        <v>231.96700000000001</v>
      </c>
      <c r="Z200" s="380">
        <f t="shared" si="75"/>
        <v>232.99494293556435</v>
      </c>
      <c r="AA200" s="381">
        <f t="shared" si="76"/>
        <v>238.09507515231621</v>
      </c>
      <c r="AB200" s="193">
        <f t="shared" si="77"/>
        <v>44747</v>
      </c>
      <c r="AC200" s="420">
        <f t="shared" si="78"/>
        <v>2.1420569969744924E-2</v>
      </c>
      <c r="AD200" s="165">
        <f>(INDEX(Models!$BJ200:$BT200,,AH200)*(1-AF200)+INDEX(Models!$BJ200:$BT200,,AH200+1)*AF200-ERP_i)*AE200*Ramure*Pc/MaxiM</f>
        <v>2.0155274424490154E-5</v>
      </c>
      <c r="AE200" s="301">
        <f t="shared" si="79"/>
        <v>0.5</v>
      </c>
      <c r="AF200" s="173">
        <f t="shared" si="80"/>
        <v>0.35767316183787301</v>
      </c>
      <c r="AG200" s="801">
        <f t="shared" si="81"/>
        <v>0</v>
      </c>
      <c r="AH200" s="172">
        <f t="shared" si="82"/>
        <v>6</v>
      </c>
      <c r="AI200" s="221">
        <f t="shared" si="83"/>
        <v>0.35767316183787301</v>
      </c>
      <c r="AJ200" s="261" t="b">
        <f t="shared" si="84"/>
        <v>0</v>
      </c>
      <c r="AK200" s="261" t="b">
        <f t="shared" si="85"/>
        <v>0</v>
      </c>
      <c r="AL200" s="261"/>
      <c r="AM200" s="261"/>
      <c r="AN200" s="75"/>
      <c r="AV200" s="153">
        <f t="shared" si="93"/>
        <v>44382</v>
      </c>
      <c r="AW200" s="608"/>
      <c r="AX200" s="385"/>
      <c r="AY200" s="388"/>
      <c r="AZ200" s="380"/>
      <c r="BA200" s="380"/>
      <c r="BB200" s="110"/>
      <c r="BD200" s="375"/>
      <c r="BE200" s="85"/>
      <c r="BF200" s="193">
        <f t="shared" si="86"/>
        <v>44747</v>
      </c>
      <c r="BG200" s="430"/>
      <c r="BH200" s="846"/>
      <c r="BI200" s="846"/>
      <c r="BJ200" s="320"/>
      <c r="BK200" s="378"/>
    </row>
    <row r="201" spans="1:63" s="6" customFormat="1" ht="11.25" customHeight="1" x14ac:dyDescent="0.2">
      <c r="A201" s="56">
        <f t="shared" ref="A201:A207" si="94">A200+1</f>
        <v>44748</v>
      </c>
      <c r="B201" s="608">
        <v>184.143</v>
      </c>
      <c r="C201" s="385"/>
      <c r="D201" s="388">
        <f t="shared" ref="D201:D206" si="95">Wh/(1-Ppv)</f>
        <v>184.96154672890077</v>
      </c>
      <c r="E201" s="380">
        <f t="shared" ref="E201:E232" si="96">Wh_pvt/(1-Psa)</f>
        <v>189.02202418224402</v>
      </c>
      <c r="F201" s="380">
        <f t="shared" ref="F201:F228" si="97">Wh_sa/(1-Pvg*MEDIAN((-Sdif+Wh/Env_an)/Csdif,0,1))</f>
        <v>189.02462826970424</v>
      </c>
      <c r="G201" s="110">
        <f t="shared" ref="G201:G232" si="98">+Wh_hp/MaxiM</f>
        <v>0.7595091075422673</v>
      </c>
      <c r="I201" s="375">
        <f t="shared" si="64"/>
        <v>189.02462826970424</v>
      </c>
      <c r="J201" s="85">
        <v>2022</v>
      </c>
      <c r="K201" s="193">
        <f t="shared" si="65"/>
        <v>44748</v>
      </c>
      <c r="L201" s="430">
        <f t="shared" si="66"/>
        <v>4.4254967769086218E-3</v>
      </c>
      <c r="M201" s="846"/>
      <c r="N201" s="846"/>
      <c r="O201" s="320">
        <f t="shared" si="67"/>
        <v>2.1481504448541779E-2</v>
      </c>
      <c r="P201" s="165">
        <f>(INDEX(Models!$BJ201:$BT201,,T201)*(1-R201)+INDEX(Models!$BJ201:$BT201,,T201+1)*R201-ERP_i)*Q201*Ramure*Pc/MaxiM</f>
        <v>2.0986301818145711E-5</v>
      </c>
      <c r="Q201" s="301">
        <f t="shared" si="68"/>
        <v>0.5</v>
      </c>
      <c r="R201" s="173">
        <f t="shared" si="69"/>
        <v>0.36162959929899913</v>
      </c>
      <c r="S201" s="801">
        <f t="shared" si="92"/>
        <v>0</v>
      </c>
      <c r="T201" s="172">
        <f t="shared" si="70"/>
        <v>6</v>
      </c>
      <c r="U201" s="247">
        <f t="shared" si="71"/>
        <v>0.36162959929899913</v>
      </c>
      <c r="V201" s="378">
        <f t="shared" si="72"/>
        <v>242.44827416616772</v>
      </c>
      <c r="W201" s="397"/>
      <c r="X201" s="153">
        <f t="shared" si="73"/>
        <v>44748</v>
      </c>
      <c r="Y201" s="380">
        <f t="shared" si="74"/>
        <v>184.143</v>
      </c>
      <c r="Z201" s="380">
        <f t="shared" si="75"/>
        <v>184.96154672890077</v>
      </c>
      <c r="AA201" s="381">
        <f t="shared" si="76"/>
        <v>189.02202418224402</v>
      </c>
      <c r="AB201" s="193">
        <f t="shared" si="77"/>
        <v>44748</v>
      </c>
      <c r="AC201" s="420">
        <f t="shared" si="78"/>
        <v>2.1481504448541779E-2</v>
      </c>
      <c r="AD201" s="165">
        <f>(INDEX(Models!$BJ201:$BT201,,AH201)*(1-AF201)+INDEX(Models!$BJ201:$BT201,,AH201+1)*AF201-ERP_i)*AE201*Ramure*Pc/MaxiM</f>
        <v>2.0986301818145711E-5</v>
      </c>
      <c r="AE201" s="301">
        <f t="shared" si="79"/>
        <v>0.5</v>
      </c>
      <c r="AF201" s="173">
        <f t="shared" si="80"/>
        <v>0.36162959929899913</v>
      </c>
      <c r="AG201" s="801">
        <f t="shared" si="81"/>
        <v>0</v>
      </c>
      <c r="AH201" s="172">
        <f t="shared" si="82"/>
        <v>6</v>
      </c>
      <c r="AI201" s="221">
        <f t="shared" si="83"/>
        <v>0.36162959929899913</v>
      </c>
      <c r="AJ201" s="261" t="b">
        <f t="shared" si="84"/>
        <v>0</v>
      </c>
      <c r="AK201" s="261" t="b">
        <f t="shared" si="85"/>
        <v>0</v>
      </c>
      <c r="AL201" s="261"/>
      <c r="AM201" s="261"/>
      <c r="AN201" s="75"/>
      <c r="AV201" s="153">
        <f t="shared" si="93"/>
        <v>44383</v>
      </c>
      <c r="AW201" s="608"/>
      <c r="AX201" s="385"/>
      <c r="AY201" s="388"/>
      <c r="AZ201" s="380"/>
      <c r="BA201" s="380"/>
      <c r="BB201" s="110"/>
      <c r="BD201" s="375"/>
      <c r="BE201" s="85"/>
      <c r="BF201" s="193">
        <f t="shared" si="86"/>
        <v>44748</v>
      </c>
      <c r="BG201" s="430"/>
      <c r="BH201" s="846"/>
      <c r="BI201" s="846"/>
      <c r="BJ201" s="320"/>
      <c r="BK201" s="378"/>
    </row>
    <row r="202" spans="1:63" s="6" customFormat="1" ht="11.25" customHeight="1" x14ac:dyDescent="0.2">
      <c r="A202" s="56">
        <f t="shared" si="94"/>
        <v>44749</v>
      </c>
      <c r="B202" s="608">
        <v>228.84399999999999</v>
      </c>
      <c r="C202" s="385"/>
      <c r="D202" s="388">
        <f t="shared" si="95"/>
        <v>229.86439687255546</v>
      </c>
      <c r="E202" s="380">
        <f t="shared" si="96"/>
        <v>234.92518375704768</v>
      </c>
      <c r="F202" s="380">
        <f t="shared" si="97"/>
        <v>234.92991381410164</v>
      </c>
      <c r="G202" s="110">
        <f t="shared" si="98"/>
        <v>0.94499842195068173</v>
      </c>
      <c r="I202" s="375">
        <f t="shared" si="64"/>
        <v>234.92991381410164</v>
      </c>
      <c r="J202" s="85">
        <v>2022</v>
      </c>
      <c r="K202" s="193">
        <f t="shared" si="65"/>
        <v>44749</v>
      </c>
      <c r="L202" s="430">
        <f t="shared" si="66"/>
        <v>4.4391253558123678E-3</v>
      </c>
      <c r="M202" s="846"/>
      <c r="N202" s="846"/>
      <c r="O202" s="320">
        <f t="shared" si="67"/>
        <v>2.1542121638716851E-2</v>
      </c>
      <c r="P202" s="165">
        <f>(INDEX(Models!$BJ202:$BT202,,T202)*(1-R202)+INDEX(Models!$BJ202:$BT202,,T202+1)*R202-ERP_i)*Q202*Ramure*Pc/MaxiM</f>
        <v>2.1850750360541059E-5</v>
      </c>
      <c r="Q202" s="301">
        <f t="shared" si="68"/>
        <v>0.5</v>
      </c>
      <c r="R202" s="173">
        <f t="shared" si="69"/>
        <v>0.36550739101403873</v>
      </c>
      <c r="S202" s="801">
        <f t="shared" si="92"/>
        <v>0</v>
      </c>
      <c r="T202" s="172">
        <f t="shared" si="70"/>
        <v>6</v>
      </c>
      <c r="U202" s="247">
        <f t="shared" si="71"/>
        <v>0.36550739101403873</v>
      </c>
      <c r="V202" s="378">
        <f t="shared" si="72"/>
        <v>242.16295158506384</v>
      </c>
      <c r="W202" s="397"/>
      <c r="X202" s="153">
        <f t="shared" si="73"/>
        <v>44749</v>
      </c>
      <c r="Y202" s="380">
        <f t="shared" si="74"/>
        <v>228.84399999999999</v>
      </c>
      <c r="Z202" s="380">
        <f t="shared" si="75"/>
        <v>229.86439687255546</v>
      </c>
      <c r="AA202" s="381">
        <f t="shared" si="76"/>
        <v>234.92518375704768</v>
      </c>
      <c r="AB202" s="193">
        <f t="shared" si="77"/>
        <v>44749</v>
      </c>
      <c r="AC202" s="420">
        <f t="shared" si="78"/>
        <v>2.1542121638716851E-2</v>
      </c>
      <c r="AD202" s="165">
        <f>(INDEX(Models!$BJ202:$BT202,,AH202)*(1-AF202)+INDEX(Models!$BJ202:$BT202,,AH202+1)*AF202-ERP_i)*AE202*Ramure*Pc/MaxiM</f>
        <v>2.1850750360541059E-5</v>
      </c>
      <c r="AE202" s="301">
        <f t="shared" si="79"/>
        <v>0.5</v>
      </c>
      <c r="AF202" s="173">
        <f t="shared" si="80"/>
        <v>0.36550739101403873</v>
      </c>
      <c r="AG202" s="801">
        <f t="shared" si="81"/>
        <v>0</v>
      </c>
      <c r="AH202" s="172">
        <f t="shared" si="82"/>
        <v>6</v>
      </c>
      <c r="AI202" s="221">
        <f t="shared" si="83"/>
        <v>0.36550739101403873</v>
      </c>
      <c r="AJ202" s="261" t="b">
        <f t="shared" si="84"/>
        <v>0</v>
      </c>
      <c r="AK202" s="261" t="b">
        <f t="shared" si="85"/>
        <v>0</v>
      </c>
      <c r="AL202" s="261"/>
      <c r="AM202" s="261"/>
      <c r="AN202" s="75"/>
      <c r="AV202" s="153">
        <f t="shared" si="93"/>
        <v>44384</v>
      </c>
      <c r="AW202" s="608"/>
      <c r="AX202" s="385"/>
      <c r="AY202" s="388"/>
      <c r="AZ202" s="380"/>
      <c r="BA202" s="380"/>
      <c r="BB202" s="110"/>
      <c r="BD202" s="375"/>
      <c r="BE202" s="85"/>
      <c r="BF202" s="193">
        <f t="shared" si="86"/>
        <v>44749</v>
      </c>
      <c r="BG202" s="430"/>
      <c r="BH202" s="846"/>
      <c r="BI202" s="846"/>
      <c r="BJ202" s="320"/>
      <c r="BK202" s="378"/>
    </row>
    <row r="203" spans="1:63" s="6" customFormat="1" ht="11.25" customHeight="1" x14ac:dyDescent="0.2">
      <c r="A203" s="56">
        <f t="shared" si="94"/>
        <v>44750</v>
      </c>
      <c r="B203" s="608">
        <v>242.691</v>
      </c>
      <c r="C203" s="385"/>
      <c r="D203" s="388">
        <f t="shared" si="95"/>
        <v>243.77647661998097</v>
      </c>
      <c r="E203" s="380">
        <f t="shared" si="96"/>
        <v>249.15891447000783</v>
      </c>
      <c r="F203" s="380">
        <f t="shared" si="97"/>
        <v>249.16458276776109</v>
      </c>
      <c r="G203" s="110">
        <f t="shared" si="98"/>
        <v>1.0034359116923777</v>
      </c>
      <c r="I203" s="375">
        <f t="shared" si="64"/>
        <v>249.16458276776109</v>
      </c>
      <c r="J203" s="85">
        <v>2022</v>
      </c>
      <c r="K203" s="193">
        <f t="shared" si="65"/>
        <v>44750</v>
      </c>
      <c r="L203" s="430">
        <f t="shared" si="66"/>
        <v>4.4527537481522383E-3</v>
      </c>
      <c r="M203" s="846"/>
      <c r="N203" s="846"/>
      <c r="O203" s="320">
        <f t="shared" si="67"/>
        <v>2.160242936310738E-2</v>
      </c>
      <c r="P203" s="165">
        <f>(INDEX(Models!$BJ203:$BT203,,T203)*(1-R203)+INDEX(Models!$BJ203:$BT203,,T203+1)*R203-ERP_i)*Q203*Ramure*Pc/MaxiM</f>
        <v>2.2749211345717679E-5</v>
      </c>
      <c r="Q203" s="301">
        <f t="shared" si="68"/>
        <v>0.5</v>
      </c>
      <c r="R203" s="173">
        <f t="shared" si="69"/>
        <v>0.36930568257964114</v>
      </c>
      <c r="S203" s="801">
        <f t="shared" si="92"/>
        <v>0</v>
      </c>
      <c r="T203" s="172">
        <f t="shared" si="70"/>
        <v>6</v>
      </c>
      <c r="U203" s="247">
        <f t="shared" si="71"/>
        <v>0.36930568257964114</v>
      </c>
      <c r="V203" s="378">
        <f t="shared" si="72"/>
        <v>241.85999043095993</v>
      </c>
      <c r="W203" s="397"/>
      <c r="X203" s="153">
        <f t="shared" si="73"/>
        <v>44750</v>
      </c>
      <c r="Y203" s="380">
        <f t="shared" si="74"/>
        <v>242.691</v>
      </c>
      <c r="Z203" s="380">
        <f t="shared" si="75"/>
        <v>243.77647661998097</v>
      </c>
      <c r="AA203" s="381">
        <f t="shared" si="76"/>
        <v>249.15891447000783</v>
      </c>
      <c r="AB203" s="193">
        <f t="shared" si="77"/>
        <v>44750</v>
      </c>
      <c r="AC203" s="420">
        <f t="shared" si="78"/>
        <v>2.160242936310738E-2</v>
      </c>
      <c r="AD203" s="165">
        <f>(INDEX(Models!$BJ203:$BT203,,AH203)*(1-AF203)+INDEX(Models!$BJ203:$BT203,,AH203+1)*AF203-ERP_i)*AE203*Ramure*Pc/MaxiM</f>
        <v>2.2749211345717679E-5</v>
      </c>
      <c r="AE203" s="301">
        <f t="shared" si="79"/>
        <v>0.5</v>
      </c>
      <c r="AF203" s="173">
        <f t="shared" si="80"/>
        <v>0.36930568257964114</v>
      </c>
      <c r="AG203" s="801">
        <f t="shared" si="81"/>
        <v>0</v>
      </c>
      <c r="AH203" s="172">
        <f t="shared" si="82"/>
        <v>6</v>
      </c>
      <c r="AI203" s="221">
        <f t="shared" si="83"/>
        <v>0.36930568257964114</v>
      </c>
      <c r="AJ203" s="261" t="b">
        <f t="shared" si="84"/>
        <v>0</v>
      </c>
      <c r="AK203" s="261" t="b">
        <f t="shared" si="85"/>
        <v>0</v>
      </c>
      <c r="AL203" s="261"/>
      <c r="AM203" s="261"/>
      <c r="AN203" s="75"/>
      <c r="AV203" s="153">
        <f t="shared" si="93"/>
        <v>44385</v>
      </c>
      <c r="AW203" s="608"/>
      <c r="AX203" s="385"/>
      <c r="AY203" s="388"/>
      <c r="AZ203" s="380"/>
      <c r="BA203" s="380"/>
      <c r="BB203" s="110"/>
      <c r="BD203" s="375"/>
      <c r="BE203" s="85"/>
      <c r="BF203" s="193">
        <f t="shared" si="86"/>
        <v>44750</v>
      </c>
      <c r="BG203" s="430"/>
      <c r="BH203" s="846"/>
      <c r="BI203" s="846"/>
      <c r="BJ203" s="320"/>
      <c r="BK203" s="378"/>
    </row>
    <row r="204" spans="1:63" s="6" customFormat="1" ht="11.25" customHeight="1" x14ac:dyDescent="0.2">
      <c r="A204" s="56">
        <f t="shared" si="94"/>
        <v>44751</v>
      </c>
      <c r="B204" s="608">
        <v>240.155</v>
      </c>
      <c r="C204" s="385"/>
      <c r="D204" s="388">
        <f t="shared" si="95"/>
        <v>241.23243619974537</v>
      </c>
      <c r="E204" s="380">
        <f t="shared" si="96"/>
        <v>246.57382589507196</v>
      </c>
      <c r="F204" s="380">
        <f t="shared" si="97"/>
        <v>246.57961768675807</v>
      </c>
      <c r="G204" s="110">
        <f t="shared" si="98"/>
        <v>0.99427265196273418</v>
      </c>
      <c r="I204" s="375">
        <f t="shared" si="64"/>
        <v>246.57961768675807</v>
      </c>
      <c r="J204" s="85">
        <v>2022</v>
      </c>
      <c r="K204" s="193">
        <f t="shared" si="65"/>
        <v>44751</v>
      </c>
      <c r="L204" s="430">
        <f t="shared" si="66"/>
        <v>4.466381953931009E-3</v>
      </c>
      <c r="M204" s="846"/>
      <c r="N204" s="846"/>
      <c r="O204" s="320">
        <f t="shared" si="67"/>
        <v>2.1662435888874829E-2</v>
      </c>
      <c r="P204" s="165">
        <f>(INDEX(Models!$BJ204:$BT204,,T204)*(1-R204)+INDEX(Models!$BJ204:$BT204,,T204+1)*R204-ERP_i)*Q204*Ramure*Pc/MaxiM</f>
        <v>2.3682285883089094E-5</v>
      </c>
      <c r="Q204" s="301">
        <f t="shared" si="68"/>
        <v>0.5</v>
      </c>
      <c r="R204" s="173">
        <f t="shared" si="69"/>
        <v>0.3730237857050932</v>
      </c>
      <c r="S204" s="801">
        <f t="shared" si="92"/>
        <v>0</v>
      </c>
      <c r="T204" s="172">
        <f t="shared" si="70"/>
        <v>6</v>
      </c>
      <c r="U204" s="247">
        <f t="shared" si="71"/>
        <v>0.3730237857050932</v>
      </c>
      <c r="V204" s="378">
        <f t="shared" si="72"/>
        <v>241.53832753254727</v>
      </c>
      <c r="W204" s="397"/>
      <c r="X204" s="153">
        <f t="shared" si="73"/>
        <v>44751</v>
      </c>
      <c r="Y204" s="380">
        <f t="shared" si="74"/>
        <v>240.155</v>
      </c>
      <c r="Z204" s="380">
        <f t="shared" si="75"/>
        <v>241.23243619974537</v>
      </c>
      <c r="AA204" s="381">
        <f t="shared" si="76"/>
        <v>246.57382589507196</v>
      </c>
      <c r="AB204" s="193">
        <f t="shared" si="77"/>
        <v>44751</v>
      </c>
      <c r="AC204" s="420">
        <f t="shared" si="78"/>
        <v>2.1662435888874829E-2</v>
      </c>
      <c r="AD204" s="165">
        <f>(INDEX(Models!$BJ204:$BT204,,AH204)*(1-AF204)+INDEX(Models!$BJ204:$BT204,,AH204+1)*AF204-ERP_i)*AE204*Ramure*Pc/MaxiM</f>
        <v>2.3682285883089094E-5</v>
      </c>
      <c r="AE204" s="301">
        <f t="shared" si="79"/>
        <v>0.5</v>
      </c>
      <c r="AF204" s="173">
        <f t="shared" si="80"/>
        <v>0.3730237857050932</v>
      </c>
      <c r="AG204" s="801">
        <f t="shared" si="81"/>
        <v>0</v>
      </c>
      <c r="AH204" s="172">
        <f t="shared" si="82"/>
        <v>6</v>
      </c>
      <c r="AI204" s="221">
        <f t="shared" si="83"/>
        <v>0.3730237857050932</v>
      </c>
      <c r="AJ204" s="261" t="b">
        <f t="shared" si="84"/>
        <v>0</v>
      </c>
      <c r="AK204" s="261" t="b">
        <f t="shared" si="85"/>
        <v>0</v>
      </c>
      <c r="AL204" s="261"/>
      <c r="AM204" s="261"/>
      <c r="AN204" s="75"/>
      <c r="AV204" s="153">
        <f t="shared" si="93"/>
        <v>44386</v>
      </c>
      <c r="AW204" s="608"/>
      <c r="AX204" s="385"/>
      <c r="AY204" s="388"/>
      <c r="AZ204" s="380"/>
      <c r="BA204" s="380"/>
      <c r="BB204" s="110"/>
      <c r="BD204" s="375"/>
      <c r="BE204" s="85"/>
      <c r="BF204" s="193">
        <f t="shared" si="86"/>
        <v>44751</v>
      </c>
      <c r="BG204" s="430"/>
      <c r="BH204" s="846"/>
      <c r="BI204" s="846"/>
      <c r="BJ204" s="320"/>
      <c r="BK204" s="378"/>
    </row>
    <row r="205" spans="1:63" s="6" customFormat="1" ht="11.25" customHeight="1" x14ac:dyDescent="0.2">
      <c r="A205" s="56">
        <f t="shared" si="94"/>
        <v>44752</v>
      </c>
      <c r="B205" s="608">
        <v>238.226</v>
      </c>
      <c r="C205" s="385"/>
      <c r="D205" s="388">
        <f t="shared" si="95"/>
        <v>239.2980576849844</v>
      </c>
      <c r="E205" s="380">
        <f t="shared" si="96"/>
        <v>244.61154635357852</v>
      </c>
      <c r="F205" s="380">
        <f t="shared" si="97"/>
        <v>244.61747019264928</v>
      </c>
      <c r="G205" s="110">
        <f t="shared" si="98"/>
        <v>0.98768079607013681</v>
      </c>
      <c r="I205" s="375">
        <f t="shared" si="64"/>
        <v>244.61747019264928</v>
      </c>
      <c r="J205" s="85">
        <v>2022</v>
      </c>
      <c r="K205" s="193">
        <f t="shared" si="65"/>
        <v>44752</v>
      </c>
      <c r="L205" s="430">
        <f t="shared" si="66"/>
        <v>4.4800099731510112E-3</v>
      </c>
      <c r="M205" s="846"/>
      <c r="N205" s="846"/>
      <c r="O205" s="320">
        <f t="shared" si="67"/>
        <v>2.172214986496843E-2</v>
      </c>
      <c r="P205" s="165">
        <f>(INDEX(Models!$BJ205:$BT205,,T205)*(1-R205)+INDEX(Models!$BJ205:$BT205,,T205+1)*R205-ERP_i)*Q205*Ramure*Pc/MaxiM</f>
        <v>2.4650552303561985E-5</v>
      </c>
      <c r="Q205" s="301">
        <f t="shared" si="68"/>
        <v>0.5</v>
      </c>
      <c r="R205" s="173">
        <f t="shared" si="69"/>
        <v>0.37666117335292193</v>
      </c>
      <c r="S205" s="801">
        <f t="shared" si="92"/>
        <v>0</v>
      </c>
      <c r="T205" s="172">
        <f t="shared" si="70"/>
        <v>6</v>
      </c>
      <c r="U205" s="247">
        <f t="shared" si="71"/>
        <v>0.37666117335292193</v>
      </c>
      <c r="V205" s="378">
        <f t="shared" si="72"/>
        <v>241.19725482297403</v>
      </c>
      <c r="W205" s="397"/>
      <c r="X205" s="153">
        <f t="shared" si="73"/>
        <v>44752</v>
      </c>
      <c r="Y205" s="380">
        <f t="shared" si="74"/>
        <v>238.226</v>
      </c>
      <c r="Z205" s="380">
        <f t="shared" si="75"/>
        <v>239.2980576849844</v>
      </c>
      <c r="AA205" s="381">
        <f t="shared" si="76"/>
        <v>244.61154635357852</v>
      </c>
      <c r="AB205" s="193">
        <f t="shared" si="77"/>
        <v>44752</v>
      </c>
      <c r="AC205" s="420">
        <f t="shared" si="78"/>
        <v>2.172214986496843E-2</v>
      </c>
      <c r="AD205" s="165">
        <f>(INDEX(Models!$BJ205:$BT205,,AH205)*(1-AF205)+INDEX(Models!$BJ205:$BT205,,AH205+1)*AF205-ERP_i)*AE205*Ramure*Pc/MaxiM</f>
        <v>2.4650552303561985E-5</v>
      </c>
      <c r="AE205" s="301">
        <f t="shared" si="79"/>
        <v>0.5</v>
      </c>
      <c r="AF205" s="173">
        <f t="shared" si="80"/>
        <v>0.37666117335292193</v>
      </c>
      <c r="AG205" s="801">
        <f t="shared" si="81"/>
        <v>0</v>
      </c>
      <c r="AH205" s="172">
        <f t="shared" si="82"/>
        <v>6</v>
      </c>
      <c r="AI205" s="221">
        <f t="shared" si="83"/>
        <v>0.37666117335292193</v>
      </c>
      <c r="AJ205" s="261" t="b">
        <f t="shared" si="84"/>
        <v>0</v>
      </c>
      <c r="AK205" s="261" t="b">
        <f t="shared" si="85"/>
        <v>0</v>
      </c>
      <c r="AL205" s="261"/>
      <c r="AM205" s="261"/>
      <c r="AN205" s="75"/>
      <c r="AV205" s="153">
        <f t="shared" si="93"/>
        <v>44387</v>
      </c>
      <c r="AW205" s="608"/>
      <c r="AX205" s="385"/>
      <c r="AY205" s="388"/>
      <c r="AZ205" s="380"/>
      <c r="BA205" s="380"/>
      <c r="BB205" s="110"/>
      <c r="BD205" s="375"/>
      <c r="BE205" s="85"/>
      <c r="BF205" s="193">
        <f t="shared" si="86"/>
        <v>44752</v>
      </c>
      <c r="BG205" s="430"/>
      <c r="BH205" s="846"/>
      <c r="BI205" s="846"/>
      <c r="BJ205" s="320"/>
      <c r="BK205" s="378"/>
    </row>
    <row r="206" spans="1:63" s="6" customFormat="1" ht="11.25" customHeight="1" x14ac:dyDescent="0.2">
      <c r="A206" s="56">
        <f t="shared" si="94"/>
        <v>44753</v>
      </c>
      <c r="B206" s="608">
        <v>231.77600000000001</v>
      </c>
      <c r="C206" s="385"/>
      <c r="D206" s="388">
        <f t="shared" si="95"/>
        <v>232.82221872409227</v>
      </c>
      <c r="E206" s="380">
        <f t="shared" si="96"/>
        <v>238.00637365391512</v>
      </c>
      <c r="F206" s="380">
        <f t="shared" si="97"/>
        <v>238.01215341902494</v>
      </c>
      <c r="G206" s="110">
        <f t="shared" si="98"/>
        <v>0.96237379020388003</v>
      </c>
      <c r="I206" s="375">
        <f t="shared" si="64"/>
        <v>238.01215341902494</v>
      </c>
      <c r="J206" s="85">
        <v>2022</v>
      </c>
      <c r="K206" s="193">
        <f t="shared" si="65"/>
        <v>44753</v>
      </c>
      <c r="L206" s="430">
        <f t="shared" si="66"/>
        <v>4.4936378058147985E-3</v>
      </c>
      <c r="M206" s="846"/>
      <c r="N206" s="846"/>
      <c r="O206" s="320">
        <f t="shared" si="67"/>
        <v>2.1781580258691334E-2</v>
      </c>
      <c r="P206" s="165">
        <f>(INDEX(Models!$BJ206:$BT206,,T206)*(1-R206)+INDEX(Models!$BJ206:$BT206,,T206+1)*R206-ERP_i)*Q206*Ramure*Pc/MaxiM</f>
        <v>2.566286182892253E-5</v>
      </c>
      <c r="Q206" s="301">
        <f t="shared" si="68"/>
        <v>0.5</v>
      </c>
      <c r="R206" s="173">
        <f t="shared" si="69"/>
        <v>0.38021747441128623</v>
      </c>
      <c r="S206" s="801">
        <f t="shared" si="92"/>
        <v>0</v>
      </c>
      <c r="T206" s="172">
        <f t="shared" si="70"/>
        <v>6</v>
      </c>
      <c r="U206" s="247">
        <f t="shared" si="71"/>
        <v>0.38021747441128623</v>
      </c>
      <c r="V206" s="378">
        <f t="shared" si="72"/>
        <v>240.83748190734534</v>
      </c>
      <c r="W206" s="397"/>
      <c r="X206" s="153">
        <f t="shared" si="73"/>
        <v>44753</v>
      </c>
      <c r="Y206" s="380">
        <f t="shared" si="74"/>
        <v>231.77600000000001</v>
      </c>
      <c r="Z206" s="380">
        <f t="shared" si="75"/>
        <v>232.82221872409227</v>
      </c>
      <c r="AA206" s="381">
        <f t="shared" si="76"/>
        <v>238.00637365391512</v>
      </c>
      <c r="AB206" s="193">
        <f t="shared" si="77"/>
        <v>44753</v>
      </c>
      <c r="AC206" s="420">
        <f t="shared" si="78"/>
        <v>2.1781580258691334E-2</v>
      </c>
      <c r="AD206" s="165">
        <f>(INDEX(Models!$BJ206:$BT206,,AH206)*(1-AF206)+INDEX(Models!$BJ206:$BT206,,AH206+1)*AF206-ERP_i)*AE206*Ramure*Pc/MaxiM</f>
        <v>2.566286182892253E-5</v>
      </c>
      <c r="AE206" s="301">
        <f t="shared" si="79"/>
        <v>0.5</v>
      </c>
      <c r="AF206" s="173">
        <f t="shared" si="80"/>
        <v>0.38021747441128623</v>
      </c>
      <c r="AG206" s="801">
        <f t="shared" si="81"/>
        <v>0</v>
      </c>
      <c r="AH206" s="172">
        <f t="shared" si="82"/>
        <v>6</v>
      </c>
      <c r="AI206" s="221">
        <f t="shared" si="83"/>
        <v>0.38021747441128623</v>
      </c>
      <c r="AJ206" s="261" t="b">
        <f t="shared" si="84"/>
        <v>0</v>
      </c>
      <c r="AK206" s="261" t="b">
        <f t="shared" si="85"/>
        <v>0</v>
      </c>
      <c r="AL206" s="261"/>
      <c r="AM206" s="261"/>
      <c r="AN206" s="75"/>
      <c r="AV206" s="153">
        <f t="shared" si="93"/>
        <v>44388</v>
      </c>
      <c r="AW206" s="608"/>
      <c r="AX206" s="385"/>
      <c r="AY206" s="388"/>
      <c r="AZ206" s="380"/>
      <c r="BA206" s="380"/>
      <c r="BB206" s="110"/>
      <c r="BD206" s="375"/>
      <c r="BE206" s="85"/>
      <c r="BF206" s="193">
        <f t="shared" si="86"/>
        <v>44753</v>
      </c>
      <c r="BG206" s="430"/>
      <c r="BH206" s="846"/>
      <c r="BI206" s="846"/>
      <c r="BJ206" s="320"/>
      <c r="BK206" s="378"/>
    </row>
    <row r="207" spans="1:63" s="6" customFormat="1" ht="11.25" customHeight="1" x14ac:dyDescent="0.2">
      <c r="A207" s="56">
        <f t="shared" si="94"/>
        <v>44754</v>
      </c>
      <c r="B207" s="608">
        <v>229.06</v>
      </c>
      <c r="C207" s="385"/>
      <c r="D207" s="388">
        <f t="shared" ref="D207:D270" si="99">Wh/(1-Ppv)</f>
        <v>230.09710874885155</v>
      </c>
      <c r="E207" s="380">
        <f t="shared" si="96"/>
        <v>235.23481020520808</v>
      </c>
      <c r="F207" s="380">
        <f t="shared" si="97"/>
        <v>235.24066730819968</v>
      </c>
      <c r="G207" s="110">
        <f t="shared" si="98"/>
        <v>0.95258883545406936</v>
      </c>
      <c r="I207" s="375">
        <f t="shared" ref="I207:I270" si="100">Wh_hp</f>
        <v>235.24066730819968</v>
      </c>
      <c r="J207" s="85">
        <v>2022</v>
      </c>
      <c r="K207" s="193">
        <f t="shared" ref="K207:K270" si="101">t</f>
        <v>44754</v>
      </c>
      <c r="L207" s="430">
        <f t="shared" ref="L207:L270" si="102">IF(t&lt;T0,0,IF(t&lt;Tvie,1-EXP((T0-t)*PertePVj)+Pspv_21,1-EXP((T0-t)*PertePVj)+Pspv))</f>
        <v>4.5072654519251465E-3</v>
      </c>
      <c r="M207" s="846"/>
      <c r="N207" s="846"/>
      <c r="O207" s="320">
        <f t="shared" ref="O207:O270" si="103">IF(t&lt;T0,0,IF(t&lt;Tnet,Salim_i*(1-EXP((T0-t)/Tau_ij)),Resal+(Salim-Resal)*(1-EXP((Tnet-t)/(Tau_j)))))*Salcycl</f>
        <v>2.1840736291855026E-2</v>
      </c>
      <c r="P207" s="165">
        <f>(INDEX(Models!$BJ207:$BT207,,T207)*(1-R207)+INDEX(Models!$BJ207:$BT207,,T207+1)*R207-ERP_i)*Q207*Ramure*Pc/MaxiM</f>
        <v>2.6707160217978658E-5</v>
      </c>
      <c r="Q207" s="301">
        <f t="shared" ref="Q207:Q270" si="104">IF(OR(t&lt;Ttai,Notai),Dd+PousD*Croivg,Dens+PousD*(Croivg-Croi_tai))</f>
        <v>0.5</v>
      </c>
      <c r="R207" s="173">
        <f t="shared" ref="R207:R270" si="105">(Hp_vg-S207)/(INDEX(Echel_vg,T207+1)-S207)</f>
        <v>0.38369246795800444</v>
      </c>
      <c r="S207" s="801">
        <f t="shared" si="92"/>
        <v>0</v>
      </c>
      <c r="T207" s="172">
        <f t="shared" ref="T207:T270" si="106">MIN(MATCH(Hp_vg,Echel_vg),10)</f>
        <v>6</v>
      </c>
      <c r="U207" s="247">
        <f t="shared" ref="U207:U270" si="107">IF(OR(t&lt;Ttai,Notai),Hdd+PousH*Croivg,Hdtf+PousH*(Croivg-Croi_tai))</f>
        <v>0.38369246795800444</v>
      </c>
      <c r="V207" s="378">
        <f t="shared" ref="V207:V270" si="108">MaxiM*(1-Ppv)*(1-Pvg)*(1-Psa)</f>
        <v>240.46007798631308</v>
      </c>
      <c r="W207" s="397"/>
      <c r="X207" s="153">
        <f t="shared" ref="X207:X270" si="109">t</f>
        <v>44754</v>
      </c>
      <c r="Y207" s="380">
        <f t="shared" ref="Y207:Y270" si="110">Wh_pvt_s*(1-Ppv)</f>
        <v>229.06</v>
      </c>
      <c r="Z207" s="380">
        <f t="shared" ref="Z207:Z270" si="111">Wh_sa_s*(1-Psa_s)</f>
        <v>230.09710874885155</v>
      </c>
      <c r="AA207" s="381">
        <f t="shared" ref="AA207:AA270" si="112">Wh_hp*(1-Pvg_s*MEDIAN((-Sdif+Wh/Env_an)/Csdif,0,1))</f>
        <v>235.23481020520808</v>
      </c>
      <c r="AB207" s="193">
        <f t="shared" ref="AB207:AB270" si="113">t</f>
        <v>44754</v>
      </c>
      <c r="AC207" s="420">
        <f t="shared" ref="AC207:AC270" si="114">IF(t&lt;T0,0,IF(OR(t&lt;Tnet,NoTnet),Salim_i*(1-EXP((T0-t)/Tau_ij)),Resal_s+(Salim-Resal_s)*(1-EXP((Tnet_s-t)/Tau_j))))*Salcycl</f>
        <v>2.1840736291855026E-2</v>
      </c>
      <c r="AD207" s="165">
        <f>(INDEX(Models!$BJ207:$BT207,,AH207)*(1-AF207)+INDEX(Models!$BJ207:$BT207,,AH207+1)*AF207-ERP_i)*AE207*Ramure*Pc/MaxiM</f>
        <v>2.6707160217978658E-5</v>
      </c>
      <c r="AE207" s="301">
        <f t="shared" ref="AE207:AE270" si="115">Dd+PousD*Croivg</f>
        <v>0.5</v>
      </c>
      <c r="AF207" s="173">
        <f t="shared" ref="AF207:AF270" si="116">(Hp_vg_s-AG207)/(INDEX(Echel_vg,AH207+1)-AG207)</f>
        <v>0.38369246795800444</v>
      </c>
      <c r="AG207" s="801">
        <f t="shared" ref="AG207:AG270" si="117">INDEX(Echel_vg,AH207)</f>
        <v>0</v>
      </c>
      <c r="AH207" s="172">
        <f t="shared" ref="AH207:AH270" si="118">MIN(MATCH(Hp_vg_s,Echel_vg),10)</f>
        <v>6</v>
      </c>
      <c r="AI207" s="221">
        <f t="shared" ref="AI207:AI270" si="119">Hdd+PousH*Croivg</f>
        <v>0.38369246795800444</v>
      </c>
      <c r="AJ207" s="261" t="b">
        <f t="shared" ref="AJ207:AJ270" si="120">t&lt;Tnet</f>
        <v>0</v>
      </c>
      <c r="AK207" s="261" t="b">
        <f t="shared" ref="AK207:AK270" si="121">t&lt;Ttai</f>
        <v>0</v>
      </c>
      <c r="AL207" s="261"/>
      <c r="AM207" s="261"/>
      <c r="AN207" s="75"/>
      <c r="AV207" s="153">
        <f t="shared" si="93"/>
        <v>44389</v>
      </c>
      <c r="AW207" s="608"/>
      <c r="AX207" s="385"/>
      <c r="AY207" s="388"/>
      <c r="AZ207" s="380"/>
      <c r="BA207" s="380"/>
      <c r="BB207" s="110"/>
      <c r="BD207" s="375"/>
      <c r="BE207" s="85"/>
      <c r="BF207" s="193">
        <f t="shared" ref="BF207:BF270" si="122">t</f>
        <v>44754</v>
      </c>
      <c r="BG207" s="430"/>
      <c r="BH207" s="846"/>
      <c r="BI207" s="846"/>
      <c r="BJ207" s="320"/>
      <c r="BK207" s="378"/>
    </row>
    <row r="208" spans="1:63" s="6" customFormat="1" ht="11.25" customHeight="1" x14ac:dyDescent="0.2">
      <c r="A208" s="56">
        <f t="shared" ref="A208:A271" si="123">A207+1</f>
        <v>44755</v>
      </c>
      <c r="B208" s="608">
        <v>229.19499999999999</v>
      </c>
      <c r="C208" s="385"/>
      <c r="D208" s="388">
        <f t="shared" si="99"/>
        <v>230.23587172043031</v>
      </c>
      <c r="E208" s="380">
        <f t="shared" si="96"/>
        <v>235.39084348061479</v>
      </c>
      <c r="F208" s="380">
        <f t="shared" si="97"/>
        <v>235.39696058537044</v>
      </c>
      <c r="G208" s="110">
        <f t="shared" si="98"/>
        <v>0.95471447046772384</v>
      </c>
      <c r="I208" s="375">
        <f t="shared" si="100"/>
        <v>235.39696058537044</v>
      </c>
      <c r="J208" s="85">
        <v>2022</v>
      </c>
      <c r="K208" s="193">
        <f t="shared" si="101"/>
        <v>44755</v>
      </c>
      <c r="L208" s="430">
        <f t="shared" si="102"/>
        <v>4.5208929114843865E-3</v>
      </c>
      <c r="M208" s="846"/>
      <c r="N208" s="846"/>
      <c r="O208" s="320">
        <f t="shared" si="103"/>
        <v>2.1899627377005421E-2</v>
      </c>
      <c r="P208" s="165">
        <f>(INDEX(Models!$BJ208:$BT208,,T208)*(1-R208)+INDEX(Models!$BJ208:$BT208,,T208+1)*R208-ERP_i)*Q208*Ramure*Pc/MaxiM</f>
        <v>2.7783696665358849E-5</v>
      </c>
      <c r="Q208" s="301">
        <f t="shared" si="104"/>
        <v>0.5</v>
      </c>
      <c r="R208" s="173">
        <f t="shared" si="105"/>
        <v>0.38708607717534987</v>
      </c>
      <c r="S208" s="801">
        <f t="shared" ref="S208:S271" si="124">INDEX(Echel_vg,T208)</f>
        <v>0</v>
      </c>
      <c r="T208" s="172">
        <f t="shared" si="106"/>
        <v>6</v>
      </c>
      <c r="U208" s="247">
        <f t="shared" si="107"/>
        <v>0.38708607717534987</v>
      </c>
      <c r="V208" s="378">
        <f t="shared" si="108"/>
        <v>240.06610890811206</v>
      </c>
      <c r="W208" s="397"/>
      <c r="X208" s="153">
        <f t="shared" si="109"/>
        <v>44755</v>
      </c>
      <c r="Y208" s="380">
        <f t="shared" si="110"/>
        <v>229.19499999999999</v>
      </c>
      <c r="Z208" s="380">
        <f t="shared" si="111"/>
        <v>230.23587172043031</v>
      </c>
      <c r="AA208" s="381">
        <f t="shared" si="112"/>
        <v>235.39084348061479</v>
      </c>
      <c r="AB208" s="193">
        <f t="shared" si="113"/>
        <v>44755</v>
      </c>
      <c r="AC208" s="420">
        <f t="shared" si="114"/>
        <v>2.1899627377005421E-2</v>
      </c>
      <c r="AD208" s="165">
        <f>(INDEX(Models!$BJ208:$BT208,,AH208)*(1-AF208)+INDEX(Models!$BJ208:$BT208,,AH208+1)*AF208-ERP_i)*AE208*Ramure*Pc/MaxiM</f>
        <v>2.7783696665358849E-5</v>
      </c>
      <c r="AE208" s="301">
        <f t="shared" si="115"/>
        <v>0.5</v>
      </c>
      <c r="AF208" s="173">
        <f t="shared" si="116"/>
        <v>0.38708607717534987</v>
      </c>
      <c r="AG208" s="801">
        <f t="shared" si="117"/>
        <v>0</v>
      </c>
      <c r="AH208" s="172">
        <f t="shared" si="118"/>
        <v>6</v>
      </c>
      <c r="AI208" s="221">
        <f t="shared" si="119"/>
        <v>0.38708607717534987</v>
      </c>
      <c r="AJ208" s="261" t="b">
        <f t="shared" si="120"/>
        <v>0</v>
      </c>
      <c r="AK208" s="261" t="b">
        <f t="shared" si="121"/>
        <v>0</v>
      </c>
      <c r="AL208" s="261"/>
      <c r="AM208" s="261"/>
      <c r="AN208" s="75"/>
      <c r="AV208" s="153">
        <f t="shared" ref="AV208:AV271" si="125">AV207+1</f>
        <v>44390</v>
      </c>
      <c r="AW208" s="608"/>
      <c r="AX208" s="385"/>
      <c r="AY208" s="388"/>
      <c r="AZ208" s="380"/>
      <c r="BA208" s="380"/>
      <c r="BB208" s="110"/>
      <c r="BD208" s="375"/>
      <c r="BE208" s="85"/>
      <c r="BF208" s="193">
        <f t="shared" si="122"/>
        <v>44755</v>
      </c>
      <c r="BG208" s="430"/>
      <c r="BH208" s="846"/>
      <c r="BI208" s="846"/>
      <c r="BJ208" s="320"/>
      <c r="BK208" s="378"/>
    </row>
    <row r="209" spans="1:63" s="6" customFormat="1" ht="11.25" customHeight="1" x14ac:dyDescent="0.2">
      <c r="A209" s="56">
        <f t="shared" si="123"/>
        <v>44756</v>
      </c>
      <c r="B209" s="608">
        <v>226.72</v>
      </c>
      <c r="C209" s="385"/>
      <c r="D209" s="388">
        <f t="shared" si="99"/>
        <v>227.75274943940724</v>
      </c>
      <c r="E209" s="380">
        <f t="shared" si="96"/>
        <v>232.86608417205809</v>
      </c>
      <c r="F209" s="380">
        <f t="shared" si="97"/>
        <v>232.87229363523201</v>
      </c>
      <c r="G209" s="110">
        <f t="shared" si="98"/>
        <v>0.94601799759213823</v>
      </c>
      <c r="I209" s="375">
        <f t="shared" si="100"/>
        <v>232.87229363523201</v>
      </c>
      <c r="J209" s="85">
        <v>2022</v>
      </c>
      <c r="K209" s="193">
        <f t="shared" si="101"/>
        <v>44756</v>
      </c>
      <c r="L209" s="430">
        <f t="shared" si="102"/>
        <v>4.5345201844950722E-3</v>
      </c>
      <c r="M209" s="846"/>
      <c r="N209" s="846"/>
      <c r="O209" s="320">
        <f t="shared" si="103"/>
        <v>2.1958263054197093E-2</v>
      </c>
      <c r="P209" s="165">
        <f>(INDEX(Models!$BJ209:$BT209,,T209)*(1-R209)+INDEX(Models!$BJ209:$BT209,,T209+1)*R209-ERP_i)*Q209*Ramure*Pc/MaxiM</f>
        <v>2.8892707489008957E-5</v>
      </c>
      <c r="Q209" s="301">
        <f t="shared" si="104"/>
        <v>0.5</v>
      </c>
      <c r="R209" s="173">
        <f t="shared" si="105"/>
        <v>0.39039836297348279</v>
      </c>
      <c r="S209" s="801">
        <f t="shared" si="124"/>
        <v>0</v>
      </c>
      <c r="T209" s="172">
        <f t="shared" si="106"/>
        <v>6</v>
      </c>
      <c r="U209" s="247">
        <f t="shared" si="107"/>
        <v>0.39039836297348279</v>
      </c>
      <c r="V209" s="378">
        <f t="shared" si="108"/>
        <v>239.65664017305647</v>
      </c>
      <c r="W209" s="397"/>
      <c r="X209" s="153">
        <f t="shared" si="109"/>
        <v>44756</v>
      </c>
      <c r="Y209" s="380">
        <f t="shared" si="110"/>
        <v>226.72</v>
      </c>
      <c r="Z209" s="380">
        <f t="shared" si="111"/>
        <v>227.75274943940724</v>
      </c>
      <c r="AA209" s="381">
        <f t="shared" si="112"/>
        <v>232.86608417205809</v>
      </c>
      <c r="AB209" s="193">
        <f t="shared" si="113"/>
        <v>44756</v>
      </c>
      <c r="AC209" s="420">
        <f t="shared" si="114"/>
        <v>2.1958263054197093E-2</v>
      </c>
      <c r="AD209" s="165">
        <f>(INDEX(Models!$BJ209:$BT209,,AH209)*(1-AF209)+INDEX(Models!$BJ209:$BT209,,AH209+1)*AF209-ERP_i)*AE209*Ramure*Pc/MaxiM</f>
        <v>2.8892707489008957E-5</v>
      </c>
      <c r="AE209" s="301">
        <f t="shared" si="115"/>
        <v>0.5</v>
      </c>
      <c r="AF209" s="173">
        <f t="shared" si="116"/>
        <v>0.39039836297348279</v>
      </c>
      <c r="AG209" s="801">
        <f t="shared" si="117"/>
        <v>0</v>
      </c>
      <c r="AH209" s="172">
        <f t="shared" si="118"/>
        <v>6</v>
      </c>
      <c r="AI209" s="221">
        <f t="shared" si="119"/>
        <v>0.39039836297348279</v>
      </c>
      <c r="AJ209" s="261" t="b">
        <f t="shared" si="120"/>
        <v>0</v>
      </c>
      <c r="AK209" s="261" t="b">
        <f t="shared" si="121"/>
        <v>0</v>
      </c>
      <c r="AL209" s="261"/>
      <c r="AM209" s="261"/>
      <c r="AN209" s="75"/>
      <c r="AV209" s="153">
        <f t="shared" si="125"/>
        <v>44391</v>
      </c>
      <c r="AW209" s="608"/>
      <c r="AX209" s="385"/>
      <c r="AY209" s="388"/>
      <c r="AZ209" s="380"/>
      <c r="BA209" s="380"/>
      <c r="BB209" s="110"/>
      <c r="BD209" s="375"/>
      <c r="BE209" s="85"/>
      <c r="BF209" s="193">
        <f t="shared" si="122"/>
        <v>44756</v>
      </c>
      <c r="BG209" s="430"/>
      <c r="BH209" s="846"/>
      <c r="BI209" s="846"/>
      <c r="BJ209" s="320"/>
      <c r="BK209" s="378"/>
    </row>
    <row r="210" spans="1:63" s="6" customFormat="1" ht="11.25" x14ac:dyDescent="0.2">
      <c r="A210" s="56">
        <f t="shared" si="123"/>
        <v>44757</v>
      </c>
      <c r="B210" s="608">
        <v>217.47800000000001</v>
      </c>
      <c r="C210" s="385"/>
      <c r="D210" s="388">
        <f t="shared" si="99"/>
        <v>218.47164119870001</v>
      </c>
      <c r="E210" s="380">
        <f t="shared" si="96"/>
        <v>223.3899399749088</v>
      </c>
      <c r="F210" s="380">
        <f t="shared" si="97"/>
        <v>223.39577791236005</v>
      </c>
      <c r="G210" s="110">
        <f t="shared" si="98"/>
        <v>0.90906100159636005</v>
      </c>
      <c r="I210" s="375">
        <f t="shared" si="100"/>
        <v>223.39577791236005</v>
      </c>
      <c r="J210" s="85">
        <v>2022</v>
      </c>
      <c r="K210" s="193">
        <f t="shared" si="101"/>
        <v>44757</v>
      </c>
      <c r="L210" s="430">
        <f t="shared" si="102"/>
        <v>4.5481472709599791E-3</v>
      </c>
      <c r="M210" s="846"/>
      <c r="N210" s="846"/>
      <c r="O210" s="320">
        <f t="shared" si="103"/>
        <v>2.2016652928780928E-2</v>
      </c>
      <c r="P210" s="165">
        <f>(INDEX(Models!$BJ210:$BT210,,T210)*(1-R210)+INDEX(Models!$BJ210:$BT210,,T210+1)*R210-ERP_i)*Q210*Ramure*Pc/MaxiM</f>
        <v>3.0034416233114931E-5</v>
      </c>
      <c r="Q210" s="301">
        <f t="shared" si="104"/>
        <v>0.5</v>
      </c>
      <c r="R210" s="173">
        <f t="shared" si="105"/>
        <v>0.39362951737863516</v>
      </c>
      <c r="S210" s="801">
        <f t="shared" si="124"/>
        <v>0</v>
      </c>
      <c r="T210" s="172">
        <f t="shared" si="106"/>
        <v>6</v>
      </c>
      <c r="U210" s="247">
        <f t="shared" si="107"/>
        <v>0.39362951737863516</v>
      </c>
      <c r="V210" s="378">
        <f t="shared" si="108"/>
        <v>239.23273692416367</v>
      </c>
      <c r="W210" s="397"/>
      <c r="X210" s="153">
        <f t="shared" si="109"/>
        <v>44757</v>
      </c>
      <c r="Y210" s="380">
        <f t="shared" si="110"/>
        <v>217.47800000000001</v>
      </c>
      <c r="Z210" s="380">
        <f t="shared" si="111"/>
        <v>218.47164119870001</v>
      </c>
      <c r="AA210" s="381">
        <f t="shared" si="112"/>
        <v>223.3899399749088</v>
      </c>
      <c r="AB210" s="193">
        <f t="shared" si="113"/>
        <v>44757</v>
      </c>
      <c r="AC210" s="420">
        <f t="shared" si="114"/>
        <v>2.2016652928780928E-2</v>
      </c>
      <c r="AD210" s="165">
        <f>(INDEX(Models!$BJ210:$BT210,,AH210)*(1-AF210)+INDEX(Models!$BJ210:$BT210,,AH210+1)*AF210-ERP_i)*AE210*Ramure*Pc/MaxiM</f>
        <v>3.0034416233114931E-5</v>
      </c>
      <c r="AE210" s="301">
        <f t="shared" si="115"/>
        <v>0.5</v>
      </c>
      <c r="AF210" s="173">
        <f t="shared" si="116"/>
        <v>0.39362951737863516</v>
      </c>
      <c r="AG210" s="801">
        <f t="shared" si="117"/>
        <v>0</v>
      </c>
      <c r="AH210" s="172">
        <f t="shared" si="118"/>
        <v>6</v>
      </c>
      <c r="AI210" s="221">
        <f t="shared" si="119"/>
        <v>0.39362951737863516</v>
      </c>
      <c r="AJ210" s="261" t="b">
        <f t="shared" si="120"/>
        <v>0</v>
      </c>
      <c r="AK210" s="261" t="b">
        <f t="shared" si="121"/>
        <v>0</v>
      </c>
      <c r="AL210" s="261"/>
      <c r="AM210" s="261"/>
      <c r="AN210" s="75"/>
      <c r="AV210" s="153">
        <f t="shared" si="125"/>
        <v>44392</v>
      </c>
      <c r="AW210" s="608"/>
      <c r="AX210" s="385"/>
      <c r="AY210" s="388"/>
      <c r="AZ210" s="380"/>
      <c r="BA210" s="380"/>
      <c r="BB210" s="110"/>
      <c r="BD210" s="375"/>
      <c r="BE210" s="85"/>
      <c r="BF210" s="193">
        <f t="shared" si="122"/>
        <v>44757</v>
      </c>
      <c r="BG210" s="430"/>
      <c r="BH210" s="846"/>
      <c r="BI210" s="846"/>
      <c r="BJ210" s="320"/>
      <c r="BK210" s="378"/>
    </row>
    <row r="211" spans="1:63" s="6" customFormat="1" ht="11.25" x14ac:dyDescent="0.2">
      <c r="A211" s="56">
        <f t="shared" si="123"/>
        <v>44758</v>
      </c>
      <c r="B211" s="608">
        <v>223.21100000000001</v>
      </c>
      <c r="C211" s="385"/>
      <c r="D211" s="388">
        <f t="shared" si="99"/>
        <v>224.23390443348057</v>
      </c>
      <c r="E211" s="380">
        <f t="shared" si="96"/>
        <v>229.29555956761754</v>
      </c>
      <c r="F211" s="380">
        <f t="shared" si="97"/>
        <v>229.30204866300306</v>
      </c>
      <c r="G211" s="110">
        <f t="shared" si="98"/>
        <v>0.9347344658902399</v>
      </c>
      <c r="I211" s="375">
        <f t="shared" si="100"/>
        <v>229.30204866300306</v>
      </c>
      <c r="J211" s="85">
        <v>2022</v>
      </c>
      <c r="K211" s="193">
        <f t="shared" si="101"/>
        <v>44758</v>
      </c>
      <c r="L211" s="430">
        <f t="shared" si="102"/>
        <v>4.5617741708814386E-3</v>
      </c>
      <c r="M211" s="846"/>
      <c r="N211" s="846"/>
      <c r="O211" s="320">
        <f t="shared" si="103"/>
        <v>2.2074806610654578E-2</v>
      </c>
      <c r="P211" s="165">
        <f>(INDEX(Models!$BJ211:$BT211,,T211)*(1-R211)+INDEX(Models!$BJ211:$BT211,,T211+1)*R211-ERP_i)*Q211*Ramure*Pc/MaxiM</f>
        <v>3.1209033630149411E-5</v>
      </c>
      <c r="Q211" s="301">
        <f t="shared" si="104"/>
        <v>0.5</v>
      </c>
      <c r="R211" s="173">
        <f t="shared" si="105"/>
        <v>0.39677985673997657</v>
      </c>
      <c r="S211" s="801">
        <f t="shared" si="124"/>
        <v>0</v>
      </c>
      <c r="T211" s="172">
        <f t="shared" si="106"/>
        <v>6</v>
      </c>
      <c r="U211" s="247">
        <f t="shared" si="107"/>
        <v>0.39677985673997657</v>
      </c>
      <c r="V211" s="378">
        <f t="shared" si="108"/>
        <v>238.79546400612347</v>
      </c>
      <c r="W211" s="397"/>
      <c r="X211" s="153">
        <f t="shared" si="109"/>
        <v>44758</v>
      </c>
      <c r="Y211" s="380">
        <f t="shared" si="110"/>
        <v>223.21100000000001</v>
      </c>
      <c r="Z211" s="380">
        <f t="shared" si="111"/>
        <v>224.23390443348057</v>
      </c>
      <c r="AA211" s="381">
        <f t="shared" si="112"/>
        <v>229.29555956761754</v>
      </c>
      <c r="AB211" s="193">
        <f t="shared" si="113"/>
        <v>44758</v>
      </c>
      <c r="AC211" s="420">
        <f t="shared" si="114"/>
        <v>2.2074806610654578E-2</v>
      </c>
      <c r="AD211" s="165">
        <f>(INDEX(Models!$BJ211:$BT211,,AH211)*(1-AF211)+INDEX(Models!$BJ211:$BT211,,AH211+1)*AF211-ERP_i)*AE211*Ramure*Pc/MaxiM</f>
        <v>3.1209033630149411E-5</v>
      </c>
      <c r="AE211" s="301">
        <f t="shared" si="115"/>
        <v>0.5</v>
      </c>
      <c r="AF211" s="173">
        <f t="shared" si="116"/>
        <v>0.39677985673997657</v>
      </c>
      <c r="AG211" s="801">
        <f t="shared" si="117"/>
        <v>0</v>
      </c>
      <c r="AH211" s="172">
        <f t="shared" si="118"/>
        <v>6</v>
      </c>
      <c r="AI211" s="221">
        <f t="shared" si="119"/>
        <v>0.39677985673997657</v>
      </c>
      <c r="AJ211" s="261" t="b">
        <f t="shared" si="120"/>
        <v>0</v>
      </c>
      <c r="AK211" s="261" t="b">
        <f t="shared" si="121"/>
        <v>0</v>
      </c>
      <c r="AL211" s="261"/>
      <c r="AM211" s="261"/>
      <c r="AN211" s="75"/>
      <c r="AV211" s="153">
        <f t="shared" si="125"/>
        <v>44393</v>
      </c>
      <c r="AW211" s="608"/>
      <c r="AX211" s="385"/>
      <c r="AY211" s="388"/>
      <c r="AZ211" s="380"/>
      <c r="BA211" s="380"/>
      <c r="BB211" s="110"/>
      <c r="BD211" s="375"/>
      <c r="BE211" s="85"/>
      <c r="BF211" s="193">
        <f t="shared" si="122"/>
        <v>44758</v>
      </c>
      <c r="BG211" s="430"/>
      <c r="BH211" s="846"/>
      <c r="BI211" s="846"/>
      <c r="BJ211" s="320"/>
      <c r="BK211" s="378"/>
    </row>
    <row r="212" spans="1:63" s="6" customFormat="1" ht="11.25" x14ac:dyDescent="0.2">
      <c r="A212" s="56">
        <f t="shared" si="123"/>
        <v>44759</v>
      </c>
      <c r="B212" s="608">
        <v>222.48000000000002</v>
      </c>
      <c r="C212" s="385"/>
      <c r="D212" s="388">
        <f t="shared" si="99"/>
        <v>223.50261405799586</v>
      </c>
      <c r="E212" s="380">
        <f t="shared" si="96"/>
        <v>228.56130044467085</v>
      </c>
      <c r="F212" s="380">
        <f t="shared" si="97"/>
        <v>228.56800088470703</v>
      </c>
      <c r="G212" s="110">
        <f t="shared" si="98"/>
        <v>0.93343045961812776</v>
      </c>
      <c r="I212" s="375">
        <f t="shared" si="100"/>
        <v>228.56800088470703</v>
      </c>
      <c r="J212" s="85">
        <v>2022</v>
      </c>
      <c r="K212" s="193">
        <f t="shared" si="101"/>
        <v>44759</v>
      </c>
      <c r="L212" s="430">
        <f t="shared" si="102"/>
        <v>4.5754008842621152E-3</v>
      </c>
      <c r="M212" s="846"/>
      <c r="N212" s="846"/>
      <c r="O212" s="320">
        <f t="shared" si="103"/>
        <v>2.2132733655405332E-2</v>
      </c>
      <c r="P212" s="165">
        <f>(INDEX(Models!$BJ212:$BT212,,T212)*(1-R212)+INDEX(Models!$BJ212:$BT212,,T212+1)*R212-ERP_i)*Q212*Ramure*Pc/MaxiM</f>
        <v>3.2395524823478036E-5</v>
      </c>
      <c r="Q212" s="301">
        <f t="shared" si="104"/>
        <v>0.5</v>
      </c>
      <c r="R212" s="173">
        <f t="shared" si="105"/>
        <v>0.39984981480655291</v>
      </c>
      <c r="S212" s="801">
        <f t="shared" si="124"/>
        <v>0</v>
      </c>
      <c r="T212" s="172">
        <f t="shared" si="106"/>
        <v>6</v>
      </c>
      <c r="U212" s="247">
        <f t="shared" si="107"/>
        <v>0.39984981480655291</v>
      </c>
      <c r="V212" s="378">
        <f t="shared" si="108"/>
        <v>238.34589101118036</v>
      </c>
      <c r="W212" s="397"/>
      <c r="X212" s="153">
        <f t="shared" si="109"/>
        <v>44759</v>
      </c>
      <c r="Y212" s="380">
        <f t="shared" si="110"/>
        <v>222.48000000000002</v>
      </c>
      <c r="Z212" s="380">
        <f t="shared" si="111"/>
        <v>223.50261405799586</v>
      </c>
      <c r="AA212" s="381">
        <f t="shared" si="112"/>
        <v>228.56130044467085</v>
      </c>
      <c r="AB212" s="193">
        <f t="shared" si="113"/>
        <v>44759</v>
      </c>
      <c r="AC212" s="420">
        <f t="shared" si="114"/>
        <v>2.2132733655405332E-2</v>
      </c>
      <c r="AD212" s="165">
        <f>(INDEX(Models!$BJ212:$BT212,,AH212)*(1-AF212)+INDEX(Models!$BJ212:$BT212,,AH212+1)*AF212-ERP_i)*AE212*Ramure*Pc/MaxiM</f>
        <v>3.2395524823478036E-5</v>
      </c>
      <c r="AE212" s="301">
        <f t="shared" si="115"/>
        <v>0.5</v>
      </c>
      <c r="AF212" s="173">
        <f t="shared" si="116"/>
        <v>0.39984981480655291</v>
      </c>
      <c r="AG212" s="801">
        <f t="shared" si="117"/>
        <v>0</v>
      </c>
      <c r="AH212" s="172">
        <f t="shared" si="118"/>
        <v>6</v>
      </c>
      <c r="AI212" s="221">
        <f t="shared" si="119"/>
        <v>0.39984981480655291</v>
      </c>
      <c r="AJ212" s="261" t="b">
        <f t="shared" si="120"/>
        <v>0</v>
      </c>
      <c r="AK212" s="261" t="b">
        <f t="shared" si="121"/>
        <v>0</v>
      </c>
      <c r="AL212" s="261"/>
      <c r="AM212" s="261"/>
      <c r="AN212" s="75"/>
      <c r="AV212" s="153">
        <f t="shared" si="125"/>
        <v>44394</v>
      </c>
      <c r="AW212" s="608"/>
      <c r="AX212" s="385"/>
      <c r="AY212" s="388"/>
      <c r="AZ212" s="380"/>
      <c r="BA212" s="380"/>
      <c r="BB212" s="110"/>
      <c r="BD212" s="375"/>
      <c r="BE212" s="85"/>
      <c r="BF212" s="193">
        <f t="shared" si="122"/>
        <v>44759</v>
      </c>
      <c r="BG212" s="430"/>
      <c r="BH212" s="846"/>
      <c r="BI212" s="846"/>
      <c r="BJ212" s="320"/>
      <c r="BK212" s="378"/>
    </row>
    <row r="213" spans="1:63" s="6" customFormat="1" ht="11.25" customHeight="1" x14ac:dyDescent="0.2">
      <c r="A213" s="56">
        <f t="shared" si="123"/>
        <v>44760</v>
      </c>
      <c r="B213" s="608">
        <v>226.13800000000001</v>
      </c>
      <c r="C213" s="385"/>
      <c r="D213" s="388">
        <f t="shared" si="99"/>
        <v>227.18053771484287</v>
      </c>
      <c r="E213" s="380">
        <f t="shared" si="96"/>
        <v>232.33618060537302</v>
      </c>
      <c r="F213" s="380">
        <f t="shared" si="97"/>
        <v>232.34343250983852</v>
      </c>
      <c r="G213" s="110">
        <f t="shared" si="98"/>
        <v>0.95061640374008716</v>
      </c>
      <c r="I213" s="375">
        <f t="shared" si="100"/>
        <v>232.34343250983852</v>
      </c>
      <c r="J213" s="85">
        <v>2022</v>
      </c>
      <c r="K213" s="193">
        <f t="shared" si="101"/>
        <v>44760</v>
      </c>
      <c r="L213" s="430">
        <f t="shared" si="102"/>
        <v>4.5890274111044516E-3</v>
      </c>
      <c r="M213" s="846"/>
      <c r="N213" s="846"/>
      <c r="O213" s="320">
        <f t="shared" si="103"/>
        <v>2.2190443507750918E-2</v>
      </c>
      <c r="P213" s="165">
        <f>(INDEX(Models!$BJ213:$BT213,,T213)*(1-R213)+INDEX(Models!$BJ213:$BT213,,T213+1)*R213-ERP_i)*Q213*Ramure*Pc/MaxiM</f>
        <v>3.3580967240344893E-5</v>
      </c>
      <c r="Q213" s="301">
        <f t="shared" si="104"/>
        <v>0.5</v>
      </c>
      <c r="R213" s="173">
        <f t="shared" si="105"/>
        <v>0.40283993572284332</v>
      </c>
      <c r="S213" s="801">
        <f t="shared" si="124"/>
        <v>0</v>
      </c>
      <c r="T213" s="172">
        <f t="shared" si="106"/>
        <v>6</v>
      </c>
      <c r="U213" s="247">
        <f t="shared" si="107"/>
        <v>0.40283993572284332</v>
      </c>
      <c r="V213" s="378">
        <f t="shared" si="108"/>
        <v>237.88508527863681</v>
      </c>
      <c r="W213" s="397"/>
      <c r="X213" s="153">
        <f t="shared" si="109"/>
        <v>44760</v>
      </c>
      <c r="Y213" s="380">
        <f t="shared" si="110"/>
        <v>226.13800000000001</v>
      </c>
      <c r="Z213" s="380">
        <f t="shared" si="111"/>
        <v>227.18053771484287</v>
      </c>
      <c r="AA213" s="381">
        <f t="shared" si="112"/>
        <v>232.33618060537302</v>
      </c>
      <c r="AB213" s="193">
        <f t="shared" si="113"/>
        <v>44760</v>
      </c>
      <c r="AC213" s="420">
        <f t="shared" si="114"/>
        <v>2.2190443507750918E-2</v>
      </c>
      <c r="AD213" s="165">
        <f>(INDEX(Models!$BJ213:$BT213,,AH213)*(1-AF213)+INDEX(Models!$BJ213:$BT213,,AH213+1)*AF213-ERP_i)*AE213*Ramure*Pc/MaxiM</f>
        <v>3.3580967240344893E-5</v>
      </c>
      <c r="AE213" s="301">
        <f t="shared" si="115"/>
        <v>0.5</v>
      </c>
      <c r="AF213" s="173">
        <f t="shared" si="116"/>
        <v>0.40283993572284332</v>
      </c>
      <c r="AG213" s="801">
        <f t="shared" si="117"/>
        <v>0</v>
      </c>
      <c r="AH213" s="172">
        <f t="shared" si="118"/>
        <v>6</v>
      </c>
      <c r="AI213" s="221">
        <f t="shared" si="119"/>
        <v>0.40283993572284332</v>
      </c>
      <c r="AJ213" s="261" t="b">
        <f t="shared" si="120"/>
        <v>0</v>
      </c>
      <c r="AK213" s="261" t="b">
        <f t="shared" si="121"/>
        <v>0</v>
      </c>
      <c r="AL213" s="261"/>
      <c r="AM213" s="261"/>
      <c r="AN213" s="75"/>
      <c r="AV213" s="153">
        <f t="shared" si="125"/>
        <v>44395</v>
      </c>
      <c r="AW213" s="608"/>
      <c r="AX213" s="385"/>
      <c r="AY213" s="388"/>
      <c r="AZ213" s="380"/>
      <c r="BA213" s="380"/>
      <c r="BB213" s="110"/>
      <c r="BD213" s="375"/>
      <c r="BE213" s="85"/>
      <c r="BF213" s="193">
        <f t="shared" si="122"/>
        <v>44760</v>
      </c>
      <c r="BG213" s="430"/>
      <c r="BH213" s="846"/>
      <c r="BI213" s="846"/>
      <c r="BJ213" s="320"/>
      <c r="BK213" s="378"/>
    </row>
    <row r="214" spans="1:63" s="6" customFormat="1" ht="11.25" customHeight="1" x14ac:dyDescent="0.2">
      <c r="A214" s="56">
        <f t="shared" si="123"/>
        <v>44761</v>
      </c>
      <c r="B214" s="608">
        <v>160.053</v>
      </c>
      <c r="C214" s="385"/>
      <c r="D214" s="388">
        <f t="shared" si="99"/>
        <v>160.7930748491554</v>
      </c>
      <c r="E214" s="380">
        <f t="shared" si="96"/>
        <v>164.45178928595888</v>
      </c>
      <c r="F214" s="380">
        <f t="shared" si="97"/>
        <v>164.45484514625312</v>
      </c>
      <c r="G214" s="110">
        <f t="shared" si="98"/>
        <v>0.67414025724766125</v>
      </c>
      <c r="I214" s="375">
        <f t="shared" si="100"/>
        <v>164.45484514625312</v>
      </c>
      <c r="J214" s="85">
        <v>2022</v>
      </c>
      <c r="K214" s="193">
        <f t="shared" si="101"/>
        <v>44761</v>
      </c>
      <c r="L214" s="430">
        <f t="shared" si="102"/>
        <v>4.6026537514111121E-3</v>
      </c>
      <c r="M214" s="846"/>
      <c r="N214" s="846"/>
      <c r="O214" s="320">
        <f t="shared" si="103"/>
        <v>2.2247945447656254E-2</v>
      </c>
      <c r="P214" s="165">
        <f>(INDEX(Models!$BJ214:$BT214,,T214)*(1-R214)+INDEX(Models!$BJ214:$BT214,,T214+1)*R214-ERP_i)*Q214*Ramure*Pc/MaxiM</f>
        <v>3.4764641732780605E-5</v>
      </c>
      <c r="Q214" s="301">
        <f t="shared" si="104"/>
        <v>0.5</v>
      </c>
      <c r="R214" s="173">
        <f t="shared" si="105"/>
        <v>0.40575086698840707</v>
      </c>
      <c r="S214" s="801">
        <f t="shared" si="124"/>
        <v>0</v>
      </c>
      <c r="T214" s="172">
        <f t="shared" si="106"/>
        <v>6</v>
      </c>
      <c r="U214" s="247">
        <f t="shared" si="107"/>
        <v>0.40575086698840707</v>
      </c>
      <c r="V214" s="378">
        <f t="shared" si="108"/>
        <v>237.41411095426884</v>
      </c>
      <c r="W214" s="397"/>
      <c r="X214" s="153">
        <f t="shared" si="109"/>
        <v>44761</v>
      </c>
      <c r="Y214" s="380">
        <f t="shared" si="110"/>
        <v>160.053</v>
      </c>
      <c r="Z214" s="380">
        <f t="shared" si="111"/>
        <v>160.7930748491554</v>
      </c>
      <c r="AA214" s="381">
        <f t="shared" si="112"/>
        <v>164.45178928595888</v>
      </c>
      <c r="AB214" s="193">
        <f t="shared" si="113"/>
        <v>44761</v>
      </c>
      <c r="AC214" s="420">
        <f t="shared" si="114"/>
        <v>2.2247945447656254E-2</v>
      </c>
      <c r="AD214" s="165">
        <f>(INDEX(Models!$BJ214:$BT214,,AH214)*(1-AF214)+INDEX(Models!$BJ214:$BT214,,AH214+1)*AF214-ERP_i)*AE214*Ramure*Pc/MaxiM</f>
        <v>3.4764641732780605E-5</v>
      </c>
      <c r="AE214" s="301">
        <f t="shared" si="115"/>
        <v>0.5</v>
      </c>
      <c r="AF214" s="173">
        <f t="shared" si="116"/>
        <v>0.40575086698840707</v>
      </c>
      <c r="AG214" s="801">
        <f t="shared" si="117"/>
        <v>0</v>
      </c>
      <c r="AH214" s="172">
        <f t="shared" si="118"/>
        <v>6</v>
      </c>
      <c r="AI214" s="221">
        <f t="shared" si="119"/>
        <v>0.40575086698840707</v>
      </c>
      <c r="AJ214" s="261" t="b">
        <f t="shared" si="120"/>
        <v>0</v>
      </c>
      <c r="AK214" s="261" t="b">
        <f t="shared" si="121"/>
        <v>0</v>
      </c>
      <c r="AL214" s="261"/>
      <c r="AM214" s="261"/>
      <c r="AN214" s="75"/>
      <c r="AV214" s="153">
        <f t="shared" si="125"/>
        <v>44396</v>
      </c>
      <c r="AW214" s="608"/>
      <c r="AX214" s="385"/>
      <c r="AY214" s="388"/>
      <c r="AZ214" s="380"/>
      <c r="BA214" s="380"/>
      <c r="BB214" s="110"/>
      <c r="BD214" s="375"/>
      <c r="BE214" s="85"/>
      <c r="BF214" s="193">
        <f t="shared" si="122"/>
        <v>44761</v>
      </c>
      <c r="BG214" s="430"/>
      <c r="BH214" s="846"/>
      <c r="BI214" s="846"/>
      <c r="BJ214" s="320"/>
      <c r="BK214" s="378"/>
    </row>
    <row r="215" spans="1:63" s="6" customFormat="1" ht="11.25" customHeight="1" x14ac:dyDescent="0.2">
      <c r="A215" s="56">
        <f t="shared" si="123"/>
        <v>44762</v>
      </c>
      <c r="B215" s="608">
        <v>164.11</v>
      </c>
      <c r="C215" s="385"/>
      <c r="D215" s="388">
        <f t="shared" si="99"/>
        <v>164.87109110481302</v>
      </c>
      <c r="E215" s="380">
        <f t="shared" si="96"/>
        <v>168.63248049406081</v>
      </c>
      <c r="F215" s="380">
        <f t="shared" si="97"/>
        <v>168.63588062194077</v>
      </c>
      <c r="G215" s="110">
        <f t="shared" si="98"/>
        <v>0.69262911883527656</v>
      </c>
      <c r="I215" s="375">
        <f t="shared" si="100"/>
        <v>168.63588062194077</v>
      </c>
      <c r="J215" s="85">
        <v>2022</v>
      </c>
      <c r="K215" s="193">
        <f t="shared" si="101"/>
        <v>44762</v>
      </c>
      <c r="L215" s="430">
        <f t="shared" si="102"/>
        <v>4.6162799051846504E-3</v>
      </c>
      <c r="M215" s="846"/>
      <c r="N215" s="846"/>
      <c r="O215" s="320">
        <f t="shared" si="103"/>
        <v>2.2305248539472688E-2</v>
      </c>
      <c r="P215" s="165">
        <f>(INDEX(Models!$BJ215:$BT215,,T215)*(1-R215)+INDEX(Models!$BJ215:$BT215,,T215+1)*R215-ERP_i)*Q215*Ramure*Pc/MaxiM</f>
        <v>3.5945845951076505E-5</v>
      </c>
      <c r="Q215" s="301">
        <f t="shared" si="104"/>
        <v>0.5</v>
      </c>
      <c r="R215" s="173">
        <f t="shared" si="105"/>
        <v>0.40858335242384219</v>
      </c>
      <c r="S215" s="801">
        <f t="shared" si="124"/>
        <v>0</v>
      </c>
      <c r="T215" s="172">
        <f t="shared" si="106"/>
        <v>6</v>
      </c>
      <c r="U215" s="247">
        <f t="shared" si="107"/>
        <v>0.40858335242384219</v>
      </c>
      <c r="V215" s="378">
        <f t="shared" si="108"/>
        <v>236.93403191824117</v>
      </c>
      <c r="W215" s="397"/>
      <c r="X215" s="153">
        <f t="shared" si="109"/>
        <v>44762</v>
      </c>
      <c r="Y215" s="380">
        <f t="shared" si="110"/>
        <v>164.11</v>
      </c>
      <c r="Z215" s="380">
        <f t="shared" si="111"/>
        <v>164.87109110481302</v>
      </c>
      <c r="AA215" s="381">
        <f t="shared" si="112"/>
        <v>168.63248049406081</v>
      </c>
      <c r="AB215" s="193">
        <f t="shared" si="113"/>
        <v>44762</v>
      </c>
      <c r="AC215" s="420">
        <f t="shared" si="114"/>
        <v>2.2305248539472688E-2</v>
      </c>
      <c r="AD215" s="165">
        <f>(INDEX(Models!$BJ215:$BT215,,AH215)*(1-AF215)+INDEX(Models!$BJ215:$BT215,,AH215+1)*AF215-ERP_i)*AE215*Ramure*Pc/MaxiM</f>
        <v>3.5945845951076505E-5</v>
      </c>
      <c r="AE215" s="301">
        <f t="shared" si="115"/>
        <v>0.5</v>
      </c>
      <c r="AF215" s="173">
        <f t="shared" si="116"/>
        <v>0.40858335242384219</v>
      </c>
      <c r="AG215" s="801">
        <f t="shared" si="117"/>
        <v>0</v>
      </c>
      <c r="AH215" s="172">
        <f t="shared" si="118"/>
        <v>6</v>
      </c>
      <c r="AI215" s="221">
        <f t="shared" si="119"/>
        <v>0.40858335242384219</v>
      </c>
      <c r="AJ215" s="261" t="b">
        <f t="shared" si="120"/>
        <v>0</v>
      </c>
      <c r="AK215" s="261" t="b">
        <f t="shared" si="121"/>
        <v>0</v>
      </c>
      <c r="AL215" s="261"/>
      <c r="AM215" s="261"/>
      <c r="AN215" s="75"/>
      <c r="AV215" s="153">
        <f t="shared" si="125"/>
        <v>44397</v>
      </c>
      <c r="AW215" s="608"/>
      <c r="AX215" s="385"/>
      <c r="AY215" s="388"/>
      <c r="AZ215" s="380"/>
      <c r="BA215" s="380"/>
      <c r="BB215" s="110"/>
      <c r="BD215" s="375"/>
      <c r="BE215" s="85"/>
      <c r="BF215" s="193">
        <f t="shared" si="122"/>
        <v>44762</v>
      </c>
      <c r="BG215" s="430"/>
      <c r="BH215" s="846"/>
      <c r="BI215" s="846"/>
      <c r="BJ215" s="320"/>
      <c r="BK215" s="378"/>
    </row>
    <row r="216" spans="1:63" s="6" customFormat="1" ht="11.25" customHeight="1" x14ac:dyDescent="0.2">
      <c r="A216" s="56">
        <f t="shared" si="123"/>
        <v>44763</v>
      </c>
      <c r="B216" s="608">
        <v>219.233</v>
      </c>
      <c r="C216" s="385"/>
      <c r="D216" s="388">
        <f t="shared" si="99"/>
        <v>220.25274949832061</v>
      </c>
      <c r="E216" s="380">
        <f t="shared" si="96"/>
        <v>225.29078345968156</v>
      </c>
      <c r="F216" s="380">
        <f t="shared" si="97"/>
        <v>225.29827757588035</v>
      </c>
      <c r="G216" s="110">
        <f t="shared" si="98"/>
        <v>0.92719790279908176</v>
      </c>
      <c r="I216" s="375">
        <f t="shared" si="100"/>
        <v>225.29827757588035</v>
      </c>
      <c r="J216" s="85">
        <v>2022</v>
      </c>
      <c r="K216" s="193">
        <f t="shared" si="101"/>
        <v>44763</v>
      </c>
      <c r="L216" s="430">
        <f t="shared" si="102"/>
        <v>4.6299058724276199E-3</v>
      </c>
      <c r="M216" s="846"/>
      <c r="N216" s="846"/>
      <c r="O216" s="320">
        <f t="shared" si="103"/>
        <v>2.2362361584412377E-2</v>
      </c>
      <c r="P216" s="165">
        <f>(INDEX(Models!$BJ216:$BT216,,T216)*(1-R216)+INDEX(Models!$BJ216:$BT216,,T216+1)*R216-ERP_i)*Q216*Ramure*Pc/MaxiM</f>
        <v>3.7123893222647082E-5</v>
      </c>
      <c r="Q216" s="301">
        <f t="shared" si="104"/>
        <v>0.5</v>
      </c>
      <c r="R216" s="173">
        <f t="shared" si="105"/>
        <v>0.41133822518190216</v>
      </c>
      <c r="S216" s="801">
        <f t="shared" si="124"/>
        <v>0</v>
      </c>
      <c r="T216" s="172">
        <f t="shared" si="106"/>
        <v>6</v>
      </c>
      <c r="U216" s="247">
        <f t="shared" si="107"/>
        <v>0.41133822518190216</v>
      </c>
      <c r="V216" s="378">
        <f t="shared" si="108"/>
        <v>236.44591181006095</v>
      </c>
      <c r="W216" s="397"/>
      <c r="X216" s="153">
        <f t="shared" si="109"/>
        <v>44763</v>
      </c>
      <c r="Y216" s="380">
        <f t="shared" si="110"/>
        <v>219.233</v>
      </c>
      <c r="Z216" s="380">
        <f t="shared" si="111"/>
        <v>220.25274949832061</v>
      </c>
      <c r="AA216" s="381">
        <f t="shared" si="112"/>
        <v>225.29078345968156</v>
      </c>
      <c r="AB216" s="193">
        <f t="shared" si="113"/>
        <v>44763</v>
      </c>
      <c r="AC216" s="420">
        <f t="shared" si="114"/>
        <v>2.2362361584412377E-2</v>
      </c>
      <c r="AD216" s="165">
        <f>(INDEX(Models!$BJ216:$BT216,,AH216)*(1-AF216)+INDEX(Models!$BJ216:$BT216,,AH216+1)*AF216-ERP_i)*AE216*Ramure*Pc/MaxiM</f>
        <v>3.7123893222647082E-5</v>
      </c>
      <c r="AE216" s="301">
        <f t="shared" si="115"/>
        <v>0.5</v>
      </c>
      <c r="AF216" s="173">
        <f t="shared" si="116"/>
        <v>0.41133822518190216</v>
      </c>
      <c r="AG216" s="801">
        <f t="shared" si="117"/>
        <v>0</v>
      </c>
      <c r="AH216" s="172">
        <f t="shared" si="118"/>
        <v>6</v>
      </c>
      <c r="AI216" s="221">
        <f t="shared" si="119"/>
        <v>0.41133822518190216</v>
      </c>
      <c r="AJ216" s="261" t="b">
        <f t="shared" si="120"/>
        <v>0</v>
      </c>
      <c r="AK216" s="261" t="b">
        <f t="shared" si="121"/>
        <v>0</v>
      </c>
      <c r="AL216" s="261"/>
      <c r="AM216" s="261"/>
      <c r="AN216" s="75"/>
      <c r="AV216" s="153">
        <f t="shared" si="125"/>
        <v>44398</v>
      </c>
      <c r="AW216" s="608"/>
      <c r="AX216" s="385"/>
      <c r="AY216" s="388"/>
      <c r="AZ216" s="380"/>
      <c r="BA216" s="380"/>
      <c r="BB216" s="110"/>
      <c r="BD216" s="375"/>
      <c r="BE216" s="85"/>
      <c r="BF216" s="193">
        <f t="shared" si="122"/>
        <v>44763</v>
      </c>
      <c r="BG216" s="430"/>
      <c r="BH216" s="846"/>
      <c r="BI216" s="846"/>
      <c r="BJ216" s="320"/>
      <c r="BK216" s="378"/>
    </row>
    <row r="217" spans="1:63" s="6" customFormat="1" ht="11.25" customHeight="1" x14ac:dyDescent="0.2">
      <c r="A217" s="56">
        <f t="shared" si="123"/>
        <v>44764</v>
      </c>
      <c r="B217" s="608">
        <v>166.31100000000001</v>
      </c>
      <c r="C217" s="385"/>
      <c r="D217" s="388">
        <f t="shared" si="99"/>
        <v>167.08687318445664</v>
      </c>
      <c r="E217" s="380">
        <f t="shared" si="96"/>
        <v>170.91875074980854</v>
      </c>
      <c r="F217" s="380">
        <f t="shared" si="97"/>
        <v>170.9225367239975</v>
      </c>
      <c r="G217" s="110">
        <f t="shared" si="98"/>
        <v>0.70484314732525966</v>
      </c>
      <c r="I217" s="375">
        <f t="shared" si="100"/>
        <v>170.9225367239975</v>
      </c>
      <c r="J217" s="85">
        <v>2022</v>
      </c>
      <c r="K217" s="193">
        <f t="shared" si="101"/>
        <v>44764</v>
      </c>
      <c r="L217" s="430">
        <f t="shared" si="102"/>
        <v>4.6435316531424631E-3</v>
      </c>
      <c r="M217" s="846"/>
      <c r="N217" s="846"/>
      <c r="O217" s="320">
        <f t="shared" si="103"/>
        <v>2.2419293076632794E-2</v>
      </c>
      <c r="P217" s="165">
        <f>(INDEX(Models!$BJ217:$BT217,,T217)*(1-R217)+INDEX(Models!$BJ217:$BT217,,T217+1)*R217-ERP_i)*Q217*Ramure*Pc/MaxiM</f>
        <v>3.8298111271977687E-5</v>
      </c>
      <c r="Q217" s="301">
        <f t="shared" si="104"/>
        <v>0.5</v>
      </c>
      <c r="R217" s="173">
        <f t="shared" si="105"/>
        <v>0.41401640083918129</v>
      </c>
      <c r="S217" s="801">
        <f t="shared" si="124"/>
        <v>0</v>
      </c>
      <c r="T217" s="172">
        <f t="shared" si="106"/>
        <v>6</v>
      </c>
      <c r="U217" s="247">
        <f t="shared" si="107"/>
        <v>0.41401640083918129</v>
      </c>
      <c r="V217" s="378">
        <f t="shared" si="108"/>
        <v>235.95081402437884</v>
      </c>
      <c r="W217" s="397"/>
      <c r="X217" s="153">
        <f t="shared" si="109"/>
        <v>44764</v>
      </c>
      <c r="Y217" s="380">
        <f t="shared" si="110"/>
        <v>166.31100000000001</v>
      </c>
      <c r="Z217" s="380">
        <f t="shared" si="111"/>
        <v>167.08687318445664</v>
      </c>
      <c r="AA217" s="381">
        <f t="shared" si="112"/>
        <v>170.91875074980854</v>
      </c>
      <c r="AB217" s="193">
        <f t="shared" si="113"/>
        <v>44764</v>
      </c>
      <c r="AC217" s="420">
        <f t="shared" si="114"/>
        <v>2.2419293076632794E-2</v>
      </c>
      <c r="AD217" s="165">
        <f>(INDEX(Models!$BJ217:$BT217,,AH217)*(1-AF217)+INDEX(Models!$BJ217:$BT217,,AH217+1)*AF217-ERP_i)*AE217*Ramure*Pc/MaxiM</f>
        <v>3.8298111271977687E-5</v>
      </c>
      <c r="AE217" s="301">
        <f t="shared" si="115"/>
        <v>0.5</v>
      </c>
      <c r="AF217" s="173">
        <f t="shared" si="116"/>
        <v>0.41401640083918129</v>
      </c>
      <c r="AG217" s="801">
        <f t="shared" si="117"/>
        <v>0</v>
      </c>
      <c r="AH217" s="172">
        <f t="shared" si="118"/>
        <v>6</v>
      </c>
      <c r="AI217" s="221">
        <f t="shared" si="119"/>
        <v>0.41401640083918129</v>
      </c>
      <c r="AJ217" s="261" t="b">
        <f t="shared" si="120"/>
        <v>0</v>
      </c>
      <c r="AK217" s="261" t="b">
        <f t="shared" si="121"/>
        <v>0</v>
      </c>
      <c r="AL217" s="261"/>
      <c r="AM217" s="261"/>
      <c r="AN217" s="75"/>
      <c r="AV217" s="153">
        <f t="shared" si="125"/>
        <v>44399</v>
      </c>
      <c r="AW217" s="608"/>
      <c r="AX217" s="385"/>
      <c r="AY217" s="388"/>
      <c r="AZ217" s="380"/>
      <c r="BA217" s="380"/>
      <c r="BB217" s="110"/>
      <c r="BD217" s="375"/>
      <c r="BE217" s="85"/>
      <c r="BF217" s="193">
        <f t="shared" si="122"/>
        <v>44764</v>
      </c>
      <c r="BG217" s="430"/>
      <c r="BH217" s="846"/>
      <c r="BI217" s="846"/>
      <c r="BJ217" s="320"/>
      <c r="BK217" s="378"/>
    </row>
    <row r="218" spans="1:63" s="6" customFormat="1" ht="11.25" x14ac:dyDescent="0.2">
      <c r="A218" s="56">
        <f t="shared" si="123"/>
        <v>44765</v>
      </c>
      <c r="B218" s="608">
        <v>191.40200000000002</v>
      </c>
      <c r="C218" s="385"/>
      <c r="D218" s="388">
        <f t="shared" si="99"/>
        <v>192.29755997508221</v>
      </c>
      <c r="E218" s="380">
        <f t="shared" si="96"/>
        <v>196.71902688818966</v>
      </c>
      <c r="F218" s="380">
        <f t="shared" si="97"/>
        <v>196.7247161303259</v>
      </c>
      <c r="G218" s="110">
        <f t="shared" si="98"/>
        <v>0.81291205012531365</v>
      </c>
      <c r="I218" s="375">
        <f t="shared" si="100"/>
        <v>196.7247161303259</v>
      </c>
      <c r="J218" s="85">
        <v>2022</v>
      </c>
      <c r="K218" s="193">
        <f t="shared" si="101"/>
        <v>44765</v>
      </c>
      <c r="L218" s="430">
        <f t="shared" si="102"/>
        <v>4.6571572473318446E-3</v>
      </c>
      <c r="M218" s="846"/>
      <c r="N218" s="846"/>
      <c r="O218" s="320">
        <f t="shared" si="103"/>
        <v>2.2476051163167386E-2</v>
      </c>
      <c r="P218" s="165">
        <f>(INDEX(Models!$BJ218:$BT218,,T218)*(1-R218)+INDEX(Models!$BJ218:$BT218,,T218+1)*R218-ERP_i)*Q218*Ramure*Pc/MaxiM</f>
        <v>3.9467840800935887E-5</v>
      </c>
      <c r="Q218" s="301">
        <f t="shared" si="104"/>
        <v>0.5</v>
      </c>
      <c r="R218" s="173">
        <f t="shared" si="105"/>
        <v>0.41661887060031338</v>
      </c>
      <c r="S218" s="801">
        <f t="shared" si="124"/>
        <v>0</v>
      </c>
      <c r="T218" s="172">
        <f t="shared" si="106"/>
        <v>6</v>
      </c>
      <c r="U218" s="247">
        <f t="shared" si="107"/>
        <v>0.41661887060031338</v>
      </c>
      <c r="V218" s="378">
        <f t="shared" si="108"/>
        <v>235.44980173269568</v>
      </c>
      <c r="W218" s="397"/>
      <c r="X218" s="153">
        <f t="shared" si="109"/>
        <v>44765</v>
      </c>
      <c r="Y218" s="380">
        <f t="shared" si="110"/>
        <v>191.40200000000002</v>
      </c>
      <c r="Z218" s="380">
        <f t="shared" si="111"/>
        <v>192.29755997508221</v>
      </c>
      <c r="AA218" s="381">
        <f t="shared" si="112"/>
        <v>196.71902688818966</v>
      </c>
      <c r="AB218" s="193">
        <f t="shared" si="113"/>
        <v>44765</v>
      </c>
      <c r="AC218" s="420">
        <f t="shared" si="114"/>
        <v>2.2476051163167386E-2</v>
      </c>
      <c r="AD218" s="165">
        <f>(INDEX(Models!$BJ218:$BT218,,AH218)*(1-AF218)+INDEX(Models!$BJ218:$BT218,,AH218+1)*AF218-ERP_i)*AE218*Ramure*Pc/MaxiM</f>
        <v>3.9467840800935887E-5</v>
      </c>
      <c r="AE218" s="301">
        <f t="shared" si="115"/>
        <v>0.5</v>
      </c>
      <c r="AF218" s="173">
        <f t="shared" si="116"/>
        <v>0.41661887060031338</v>
      </c>
      <c r="AG218" s="801">
        <f t="shared" si="117"/>
        <v>0</v>
      </c>
      <c r="AH218" s="172">
        <f t="shared" si="118"/>
        <v>6</v>
      </c>
      <c r="AI218" s="221">
        <f t="shared" si="119"/>
        <v>0.41661887060031338</v>
      </c>
      <c r="AJ218" s="261" t="b">
        <f t="shared" si="120"/>
        <v>0</v>
      </c>
      <c r="AK218" s="261" t="b">
        <f t="shared" si="121"/>
        <v>0</v>
      </c>
      <c r="AL218" s="261"/>
      <c r="AM218" s="261"/>
      <c r="AN218" s="75"/>
      <c r="AV218" s="153">
        <f t="shared" si="125"/>
        <v>44400</v>
      </c>
      <c r="AW218" s="608"/>
      <c r="AX218" s="385"/>
      <c r="AY218" s="388"/>
      <c r="AZ218" s="380"/>
      <c r="BA218" s="380"/>
      <c r="BB218" s="110"/>
      <c r="BD218" s="375"/>
      <c r="BE218" s="85"/>
      <c r="BF218" s="193">
        <f t="shared" si="122"/>
        <v>44765</v>
      </c>
      <c r="BG218" s="430"/>
      <c r="BH218" s="846"/>
      <c r="BI218" s="846"/>
      <c r="BJ218" s="320"/>
      <c r="BK218" s="378"/>
    </row>
    <row r="219" spans="1:63" s="6" customFormat="1" ht="11.25" customHeight="1" x14ac:dyDescent="0.2">
      <c r="A219" s="56">
        <f t="shared" si="123"/>
        <v>44766</v>
      </c>
      <c r="B219" s="608">
        <v>222.12800000000001</v>
      </c>
      <c r="C219" s="385"/>
      <c r="D219" s="388">
        <f t="shared" si="99"/>
        <v>223.17038034160899</v>
      </c>
      <c r="E219" s="380">
        <f t="shared" si="96"/>
        <v>228.31491904276535</v>
      </c>
      <c r="F219" s="380">
        <f t="shared" si="97"/>
        <v>228.32347365293612</v>
      </c>
      <c r="G219" s="110">
        <f t="shared" si="98"/>
        <v>0.94545878849388509</v>
      </c>
      <c r="I219" s="375">
        <f t="shared" si="100"/>
        <v>228.32347365293612</v>
      </c>
      <c r="J219" s="85">
        <v>2022</v>
      </c>
      <c r="K219" s="193">
        <f t="shared" si="101"/>
        <v>44766</v>
      </c>
      <c r="L219" s="430">
        <f t="shared" si="102"/>
        <v>4.6707826549983178E-3</v>
      </c>
      <c r="M219" s="846"/>
      <c r="N219" s="846"/>
      <c r="O219" s="320">
        <f t="shared" si="103"/>
        <v>2.2532643607896377E-2</v>
      </c>
      <c r="P219" s="165">
        <f>(INDEX(Models!$BJ219:$BT219,,T219)*(1-R219)+INDEX(Models!$BJ219:$BT219,,T219+1)*R219-ERP_i)*Q219*Ramure*Pc/MaxiM</f>
        <v>4.0632839081565344E-5</v>
      </c>
      <c r="Q219" s="301">
        <f t="shared" si="104"/>
        <v>0.5</v>
      </c>
      <c r="R219" s="173">
        <f t="shared" si="105"/>
        <v>0.41914669464319065</v>
      </c>
      <c r="S219" s="801">
        <f t="shared" si="124"/>
        <v>0</v>
      </c>
      <c r="T219" s="172">
        <f t="shared" si="106"/>
        <v>6</v>
      </c>
      <c r="U219" s="247">
        <f t="shared" si="107"/>
        <v>0.41914669464319065</v>
      </c>
      <c r="V219" s="378">
        <f t="shared" si="108"/>
        <v>234.94127874170454</v>
      </c>
      <c r="W219" s="397"/>
      <c r="X219" s="153">
        <f t="shared" si="109"/>
        <v>44766</v>
      </c>
      <c r="Y219" s="380">
        <f t="shared" si="110"/>
        <v>222.12800000000001</v>
      </c>
      <c r="Z219" s="380">
        <f t="shared" si="111"/>
        <v>223.17038034160899</v>
      </c>
      <c r="AA219" s="381">
        <f t="shared" si="112"/>
        <v>228.31491904276535</v>
      </c>
      <c r="AB219" s="193">
        <f t="shared" si="113"/>
        <v>44766</v>
      </c>
      <c r="AC219" s="420">
        <f t="shared" si="114"/>
        <v>2.2532643607896377E-2</v>
      </c>
      <c r="AD219" s="165">
        <f>(INDEX(Models!$BJ219:$BT219,,AH219)*(1-AF219)+INDEX(Models!$BJ219:$BT219,,AH219+1)*AF219-ERP_i)*AE219*Ramure*Pc/MaxiM</f>
        <v>4.0632839081565344E-5</v>
      </c>
      <c r="AE219" s="301">
        <f t="shared" si="115"/>
        <v>0.5</v>
      </c>
      <c r="AF219" s="173">
        <f t="shared" si="116"/>
        <v>0.41914669464319065</v>
      </c>
      <c r="AG219" s="801">
        <f t="shared" si="117"/>
        <v>0</v>
      </c>
      <c r="AH219" s="172">
        <f t="shared" si="118"/>
        <v>6</v>
      </c>
      <c r="AI219" s="221">
        <f t="shared" si="119"/>
        <v>0.41914669464319065</v>
      </c>
      <c r="AJ219" s="261" t="b">
        <f t="shared" si="120"/>
        <v>0</v>
      </c>
      <c r="AK219" s="261" t="b">
        <f t="shared" si="121"/>
        <v>0</v>
      </c>
      <c r="AL219" s="261"/>
      <c r="AM219" s="261"/>
      <c r="AN219" s="75"/>
      <c r="AV219" s="153">
        <f t="shared" si="125"/>
        <v>44401</v>
      </c>
      <c r="AW219" s="608"/>
      <c r="AX219" s="385"/>
      <c r="AY219" s="388"/>
      <c r="AZ219" s="380"/>
      <c r="BA219" s="380"/>
      <c r="BB219" s="110"/>
      <c r="BD219" s="375"/>
      <c r="BE219" s="85"/>
      <c r="BF219" s="193">
        <f t="shared" si="122"/>
        <v>44766</v>
      </c>
      <c r="BG219" s="430"/>
      <c r="BH219" s="846"/>
      <c r="BI219" s="846"/>
      <c r="BJ219" s="320"/>
      <c r="BK219" s="378"/>
    </row>
    <row r="220" spans="1:63" s="6" customFormat="1" ht="11.25" customHeight="1" x14ac:dyDescent="0.2">
      <c r="A220" s="56">
        <f t="shared" si="123"/>
        <v>44767</v>
      </c>
      <c r="B220" s="608">
        <v>119.58800000000001</v>
      </c>
      <c r="C220" s="385"/>
      <c r="D220" s="388">
        <f t="shared" si="99"/>
        <v>120.15083552023633</v>
      </c>
      <c r="E220" s="380">
        <f t="shared" si="96"/>
        <v>122.92765794436042</v>
      </c>
      <c r="F220" s="380">
        <f t="shared" si="97"/>
        <v>122.92919914878539</v>
      </c>
      <c r="G220" s="110">
        <f t="shared" si="98"/>
        <v>0.51012286232237858</v>
      </c>
      <c r="I220" s="375">
        <f t="shared" si="100"/>
        <v>122.92919914878539</v>
      </c>
      <c r="J220" s="85">
        <v>2022</v>
      </c>
      <c r="K220" s="193">
        <f t="shared" si="101"/>
        <v>44767</v>
      </c>
      <c r="L220" s="430">
        <f t="shared" si="102"/>
        <v>4.6844078761443253E-3</v>
      </c>
      <c r="M220" s="846"/>
      <c r="N220" s="846"/>
      <c r="O220" s="320">
        <f t="shared" si="103"/>
        <v>2.2589077759709201E-2</v>
      </c>
      <c r="P220" s="165">
        <f>(INDEX(Models!$BJ220:$BT220,,T220)*(1-R220)+INDEX(Models!$BJ220:$BT220,,T220+1)*R220-ERP_i)*Q220*Ramure*Pc/MaxiM</f>
        <v>4.1763713868219671E-5</v>
      </c>
      <c r="Q220" s="301">
        <f t="shared" si="104"/>
        <v>0.5</v>
      </c>
      <c r="R220" s="173">
        <f t="shared" si="105"/>
        <v>0.42160099563032566</v>
      </c>
      <c r="S220" s="801">
        <f t="shared" si="124"/>
        <v>0</v>
      </c>
      <c r="T220" s="172">
        <f t="shared" si="106"/>
        <v>6</v>
      </c>
      <c r="U220" s="247">
        <f t="shared" si="107"/>
        <v>0.42160099563032566</v>
      </c>
      <c r="V220" s="378">
        <f t="shared" si="108"/>
        <v>234.42294722381661</v>
      </c>
      <c r="W220" s="397"/>
      <c r="X220" s="153">
        <f t="shared" si="109"/>
        <v>44767</v>
      </c>
      <c r="Y220" s="380">
        <f t="shared" si="110"/>
        <v>119.58800000000001</v>
      </c>
      <c r="Z220" s="380">
        <f t="shared" si="111"/>
        <v>120.15083552023633</v>
      </c>
      <c r="AA220" s="381">
        <f t="shared" si="112"/>
        <v>122.92765794436042</v>
      </c>
      <c r="AB220" s="193">
        <f t="shared" si="113"/>
        <v>44767</v>
      </c>
      <c r="AC220" s="420">
        <f t="shared" si="114"/>
        <v>2.2589077759709201E-2</v>
      </c>
      <c r="AD220" s="165">
        <f>(INDEX(Models!$BJ220:$BT220,,AH220)*(1-AF220)+INDEX(Models!$BJ220:$BT220,,AH220+1)*AF220-ERP_i)*AE220*Ramure*Pc/MaxiM</f>
        <v>4.1763713868219671E-5</v>
      </c>
      <c r="AE220" s="301">
        <f t="shared" si="115"/>
        <v>0.5</v>
      </c>
      <c r="AF220" s="173">
        <f t="shared" si="116"/>
        <v>0.42160099563032566</v>
      </c>
      <c r="AG220" s="801">
        <f t="shared" si="117"/>
        <v>0</v>
      </c>
      <c r="AH220" s="172">
        <f t="shared" si="118"/>
        <v>6</v>
      </c>
      <c r="AI220" s="221">
        <f t="shared" si="119"/>
        <v>0.42160099563032566</v>
      </c>
      <c r="AJ220" s="261" t="b">
        <f t="shared" si="120"/>
        <v>0</v>
      </c>
      <c r="AK220" s="261" t="b">
        <f t="shared" si="121"/>
        <v>0</v>
      </c>
      <c r="AL220" s="261"/>
      <c r="AM220" s="261"/>
      <c r="AN220" s="75"/>
      <c r="AV220" s="153">
        <f t="shared" si="125"/>
        <v>44402</v>
      </c>
      <c r="AW220" s="608"/>
      <c r="AX220" s="385"/>
      <c r="AY220" s="388"/>
      <c r="AZ220" s="380"/>
      <c r="BA220" s="380"/>
      <c r="BB220" s="110"/>
      <c r="BD220" s="375"/>
      <c r="BE220" s="85"/>
      <c r="BF220" s="193">
        <f t="shared" si="122"/>
        <v>44767</v>
      </c>
      <c r="BG220" s="430"/>
      <c r="BH220" s="846"/>
      <c r="BI220" s="846"/>
      <c r="BJ220" s="320"/>
      <c r="BK220" s="378"/>
    </row>
    <row r="221" spans="1:63" s="6" customFormat="1" ht="11.25" customHeight="1" x14ac:dyDescent="0.2">
      <c r="A221" s="56">
        <f t="shared" si="123"/>
        <v>44768</v>
      </c>
      <c r="B221" s="608">
        <v>213.38400000000001</v>
      </c>
      <c r="C221" s="385"/>
      <c r="D221" s="388">
        <f t="shared" si="99"/>
        <v>214.39121699321473</v>
      </c>
      <c r="E221" s="380">
        <f t="shared" si="96"/>
        <v>219.35867323285069</v>
      </c>
      <c r="F221" s="380">
        <f t="shared" si="97"/>
        <v>219.36689548137969</v>
      </c>
      <c r="G221" s="110">
        <f t="shared" si="98"/>
        <v>0.91230264835731678</v>
      </c>
      <c r="I221" s="375">
        <f t="shared" si="100"/>
        <v>219.36689548137969</v>
      </c>
      <c r="J221" s="85">
        <v>2022</v>
      </c>
      <c r="K221" s="193">
        <f t="shared" si="101"/>
        <v>44768</v>
      </c>
      <c r="L221" s="430">
        <f t="shared" si="102"/>
        <v>4.6980329107725316E-3</v>
      </c>
      <c r="M221" s="846"/>
      <c r="N221" s="846"/>
      <c r="O221" s="320">
        <f t="shared" si="103"/>
        <v>2.2645360524965349E-2</v>
      </c>
      <c r="P221" s="165">
        <f>(INDEX(Models!$BJ221:$BT221,,T221)*(1-R221)+INDEX(Models!$BJ221:$BT221,,T221+1)*R221-ERP_i)*Q221*Ramure*Pc/MaxiM</f>
        <v>4.2849715148803887E-5</v>
      </c>
      <c r="Q221" s="301">
        <f t="shared" si="104"/>
        <v>0.5</v>
      </c>
      <c r="R221" s="173">
        <f t="shared" si="105"/>
        <v>0.42398295240818457</v>
      </c>
      <c r="S221" s="801">
        <f t="shared" si="124"/>
        <v>0</v>
      </c>
      <c r="T221" s="172">
        <f t="shared" si="106"/>
        <v>6</v>
      </c>
      <c r="U221" s="247">
        <f t="shared" si="107"/>
        <v>0.42398295240818457</v>
      </c>
      <c r="V221" s="378">
        <f t="shared" si="108"/>
        <v>233.89480990434413</v>
      </c>
      <c r="W221" s="397"/>
      <c r="X221" s="153">
        <f t="shared" si="109"/>
        <v>44768</v>
      </c>
      <c r="Y221" s="380">
        <f t="shared" si="110"/>
        <v>213.38400000000001</v>
      </c>
      <c r="Z221" s="380">
        <f t="shared" si="111"/>
        <v>214.39121699321473</v>
      </c>
      <c r="AA221" s="381">
        <f t="shared" si="112"/>
        <v>219.35867323285069</v>
      </c>
      <c r="AB221" s="193">
        <f t="shared" si="113"/>
        <v>44768</v>
      </c>
      <c r="AC221" s="420">
        <f t="shared" si="114"/>
        <v>2.2645360524965349E-2</v>
      </c>
      <c r="AD221" s="165">
        <f>(INDEX(Models!$BJ221:$BT221,,AH221)*(1-AF221)+INDEX(Models!$BJ221:$BT221,,AH221+1)*AF221-ERP_i)*AE221*Ramure*Pc/MaxiM</f>
        <v>4.2849715148803887E-5</v>
      </c>
      <c r="AE221" s="301">
        <f t="shared" si="115"/>
        <v>0.5</v>
      </c>
      <c r="AF221" s="173">
        <f t="shared" si="116"/>
        <v>0.42398295240818457</v>
      </c>
      <c r="AG221" s="801">
        <f t="shared" si="117"/>
        <v>0</v>
      </c>
      <c r="AH221" s="172">
        <f t="shared" si="118"/>
        <v>6</v>
      </c>
      <c r="AI221" s="221">
        <f t="shared" si="119"/>
        <v>0.42398295240818457</v>
      </c>
      <c r="AJ221" s="261" t="b">
        <f t="shared" si="120"/>
        <v>0</v>
      </c>
      <c r="AK221" s="261" t="b">
        <f t="shared" si="121"/>
        <v>0</v>
      </c>
      <c r="AL221" s="261"/>
      <c r="AM221" s="261"/>
      <c r="AN221" s="75"/>
      <c r="AV221" s="153">
        <f t="shared" si="125"/>
        <v>44403</v>
      </c>
      <c r="AW221" s="608"/>
      <c r="AX221" s="385"/>
      <c r="AY221" s="388"/>
      <c r="AZ221" s="380"/>
      <c r="BA221" s="380"/>
      <c r="BB221" s="110"/>
      <c r="BD221" s="375"/>
      <c r="BE221" s="85"/>
      <c r="BF221" s="193">
        <f t="shared" si="122"/>
        <v>44768</v>
      </c>
      <c r="BG221" s="430"/>
      <c r="BH221" s="846"/>
      <c r="BI221" s="846"/>
      <c r="BJ221" s="320"/>
      <c r="BK221" s="378"/>
    </row>
    <row r="222" spans="1:63" s="6" customFormat="1" ht="11.25" customHeight="1" x14ac:dyDescent="0.2">
      <c r="A222" s="56">
        <f t="shared" si="123"/>
        <v>44769</v>
      </c>
      <c r="B222" s="608">
        <v>234.173</v>
      </c>
      <c r="C222" s="385"/>
      <c r="D222" s="388">
        <f t="shared" si="99"/>
        <v>235.28156621698901</v>
      </c>
      <c r="E222" s="380">
        <f t="shared" si="96"/>
        <v>240.74688114060166</v>
      </c>
      <c r="F222" s="380">
        <f t="shared" si="97"/>
        <v>240.75744789111329</v>
      </c>
      <c r="G222" s="110">
        <f t="shared" si="98"/>
        <v>1.0034973585030091</v>
      </c>
      <c r="I222" s="375">
        <f t="shared" si="100"/>
        <v>240.75744789111329</v>
      </c>
      <c r="J222" s="85">
        <v>2022</v>
      </c>
      <c r="K222" s="193">
        <f t="shared" si="101"/>
        <v>44769</v>
      </c>
      <c r="L222" s="430">
        <f t="shared" si="102"/>
        <v>4.7116577588854902E-3</v>
      </c>
      <c r="M222" s="846"/>
      <c r="N222" s="846"/>
      <c r="O222" s="320">
        <f t="shared" si="103"/>
        <v>2.2701498344316225E-2</v>
      </c>
      <c r="P222" s="165">
        <f>(INDEX(Models!$BJ222:$BT222,,T222)*(1-R222)+INDEX(Models!$BJ222:$BT222,,T222+1)*R222-ERP_i)*Q222*Ramure*Pc/MaxiM</f>
        <v>4.3889610079274262E-5</v>
      </c>
      <c r="Q222" s="301">
        <f t="shared" si="104"/>
        <v>0.5</v>
      </c>
      <c r="R222" s="173">
        <f t="shared" si="105"/>
        <v>0.42629379391315042</v>
      </c>
      <c r="S222" s="801">
        <f t="shared" si="124"/>
        <v>0</v>
      </c>
      <c r="T222" s="172">
        <f t="shared" si="106"/>
        <v>6</v>
      </c>
      <c r="U222" s="247">
        <f t="shared" si="107"/>
        <v>0.42629379391315042</v>
      </c>
      <c r="V222" s="378">
        <f t="shared" si="108"/>
        <v>233.35686737564819</v>
      </c>
      <c r="W222" s="397"/>
      <c r="X222" s="153">
        <f t="shared" si="109"/>
        <v>44769</v>
      </c>
      <c r="Y222" s="380">
        <f t="shared" si="110"/>
        <v>234.173</v>
      </c>
      <c r="Z222" s="380">
        <f t="shared" si="111"/>
        <v>235.28156621698901</v>
      </c>
      <c r="AA222" s="381">
        <f t="shared" si="112"/>
        <v>240.74688114060166</v>
      </c>
      <c r="AB222" s="193">
        <f t="shared" si="113"/>
        <v>44769</v>
      </c>
      <c r="AC222" s="420">
        <f t="shared" si="114"/>
        <v>2.2701498344316225E-2</v>
      </c>
      <c r="AD222" s="165">
        <f>(INDEX(Models!$BJ222:$BT222,,AH222)*(1-AF222)+INDEX(Models!$BJ222:$BT222,,AH222+1)*AF222-ERP_i)*AE222*Ramure*Pc/MaxiM</f>
        <v>4.3889610079274262E-5</v>
      </c>
      <c r="AE222" s="301">
        <f t="shared" si="115"/>
        <v>0.5</v>
      </c>
      <c r="AF222" s="173">
        <f t="shared" si="116"/>
        <v>0.42629379391315042</v>
      </c>
      <c r="AG222" s="801">
        <f t="shared" si="117"/>
        <v>0</v>
      </c>
      <c r="AH222" s="172">
        <f t="shared" si="118"/>
        <v>6</v>
      </c>
      <c r="AI222" s="221">
        <f t="shared" si="119"/>
        <v>0.42629379391315042</v>
      </c>
      <c r="AJ222" s="261" t="b">
        <f t="shared" si="120"/>
        <v>0</v>
      </c>
      <c r="AK222" s="261" t="b">
        <f t="shared" si="121"/>
        <v>0</v>
      </c>
      <c r="AL222" s="261"/>
      <c r="AM222" s="261"/>
      <c r="AN222" s="75"/>
      <c r="AV222" s="153">
        <f t="shared" si="125"/>
        <v>44404</v>
      </c>
      <c r="AW222" s="608"/>
      <c r="AX222" s="385"/>
      <c r="AY222" s="388"/>
      <c r="AZ222" s="380"/>
      <c r="BA222" s="380"/>
      <c r="BB222" s="110"/>
      <c r="BD222" s="375"/>
      <c r="BE222" s="85"/>
      <c r="BF222" s="193">
        <f t="shared" si="122"/>
        <v>44769</v>
      </c>
      <c r="BG222" s="430"/>
      <c r="BH222" s="846"/>
      <c r="BI222" s="846"/>
      <c r="BJ222" s="320"/>
      <c r="BK222" s="378"/>
    </row>
    <row r="223" spans="1:63" s="6" customFormat="1" ht="11.25" customHeight="1" x14ac:dyDescent="0.2">
      <c r="A223" s="56">
        <f t="shared" si="123"/>
        <v>44770</v>
      </c>
      <c r="B223" s="608">
        <v>189.15800000000002</v>
      </c>
      <c r="C223" s="385"/>
      <c r="D223" s="388">
        <f t="shared" si="99"/>
        <v>190.05606859986156</v>
      </c>
      <c r="E223" s="380">
        <f t="shared" si="96"/>
        <v>194.48199198278525</v>
      </c>
      <c r="F223" s="380">
        <f t="shared" si="97"/>
        <v>194.48838294022485</v>
      </c>
      <c r="G223" s="110">
        <f t="shared" si="98"/>
        <v>0.81249276501572787</v>
      </c>
      <c r="I223" s="375">
        <f t="shared" si="100"/>
        <v>194.48838294022485</v>
      </c>
      <c r="J223" s="85">
        <v>2022</v>
      </c>
      <c r="K223" s="193">
        <f t="shared" si="101"/>
        <v>44770</v>
      </c>
      <c r="L223" s="430">
        <f t="shared" si="102"/>
        <v>4.7252824204856436E-3</v>
      </c>
      <c r="M223" s="846"/>
      <c r="N223" s="846"/>
      <c r="O223" s="320">
        <f t="shared" si="103"/>
        <v>2.2757497173905152E-2</v>
      </c>
      <c r="P223" s="165">
        <f>(INDEX(Models!$BJ223:$BT223,,T223)*(1-R223)+INDEX(Models!$BJ223:$BT223,,T223+1)*R223-ERP_i)*Q223*Ramure*Pc/MaxiM</f>
        <v>4.488221519133656E-5</v>
      </c>
      <c r="Q223" s="301">
        <f t="shared" si="104"/>
        <v>0.5</v>
      </c>
      <c r="R223" s="173">
        <f t="shared" si="105"/>
        <v>0.42853479329973193</v>
      </c>
      <c r="S223" s="801">
        <f t="shared" si="124"/>
        <v>0</v>
      </c>
      <c r="T223" s="172">
        <f t="shared" si="106"/>
        <v>6</v>
      </c>
      <c r="U223" s="247">
        <f t="shared" si="107"/>
        <v>0.42853479329973193</v>
      </c>
      <c r="V223" s="378">
        <f t="shared" si="108"/>
        <v>232.80912032577865</v>
      </c>
      <c r="W223" s="397"/>
      <c r="X223" s="153">
        <f t="shared" si="109"/>
        <v>44770</v>
      </c>
      <c r="Y223" s="380">
        <f t="shared" si="110"/>
        <v>189.15800000000002</v>
      </c>
      <c r="Z223" s="380">
        <f t="shared" si="111"/>
        <v>190.05606859986156</v>
      </c>
      <c r="AA223" s="381">
        <f t="shared" si="112"/>
        <v>194.48199198278525</v>
      </c>
      <c r="AB223" s="193">
        <f t="shared" si="113"/>
        <v>44770</v>
      </c>
      <c r="AC223" s="420">
        <f t="shared" si="114"/>
        <v>2.2757497173905152E-2</v>
      </c>
      <c r="AD223" s="165">
        <f>(INDEX(Models!$BJ223:$BT223,,AH223)*(1-AF223)+INDEX(Models!$BJ223:$BT223,,AH223+1)*AF223-ERP_i)*AE223*Ramure*Pc/MaxiM</f>
        <v>4.488221519133656E-5</v>
      </c>
      <c r="AE223" s="301">
        <f t="shared" si="115"/>
        <v>0.5</v>
      </c>
      <c r="AF223" s="173">
        <f t="shared" si="116"/>
        <v>0.42853479329973193</v>
      </c>
      <c r="AG223" s="801">
        <f t="shared" si="117"/>
        <v>0</v>
      </c>
      <c r="AH223" s="172">
        <f t="shared" si="118"/>
        <v>6</v>
      </c>
      <c r="AI223" s="221">
        <f t="shared" si="119"/>
        <v>0.42853479329973193</v>
      </c>
      <c r="AJ223" s="261" t="b">
        <f t="shared" si="120"/>
        <v>0</v>
      </c>
      <c r="AK223" s="261" t="b">
        <f t="shared" si="121"/>
        <v>0</v>
      </c>
      <c r="AL223" s="261"/>
      <c r="AM223" s="261"/>
      <c r="AN223" s="75"/>
      <c r="AV223" s="153">
        <f t="shared" si="125"/>
        <v>44405</v>
      </c>
      <c r="AW223" s="608"/>
      <c r="AX223" s="385"/>
      <c r="AY223" s="388"/>
      <c r="AZ223" s="380"/>
      <c r="BA223" s="380"/>
      <c r="BB223" s="110"/>
      <c r="BD223" s="375"/>
      <c r="BE223" s="85"/>
      <c r="BF223" s="193">
        <f t="shared" si="122"/>
        <v>44770</v>
      </c>
      <c r="BG223" s="430"/>
      <c r="BH223" s="846"/>
      <c r="BI223" s="846"/>
      <c r="BJ223" s="320"/>
      <c r="BK223" s="378"/>
    </row>
    <row r="224" spans="1:63" s="6" customFormat="1" ht="11.25" customHeight="1" x14ac:dyDescent="0.2">
      <c r="A224" s="56">
        <f t="shared" si="123"/>
        <v>44771</v>
      </c>
      <c r="B224" s="608">
        <v>114.901</v>
      </c>
      <c r="C224" s="385"/>
      <c r="D224" s="388">
        <f t="shared" si="99"/>
        <v>115.44809778668241</v>
      </c>
      <c r="E224" s="380">
        <f t="shared" si="96"/>
        <v>118.14334473361713</v>
      </c>
      <c r="F224" s="380">
        <f t="shared" si="97"/>
        <v>118.14485084617337</v>
      </c>
      <c r="G224" s="110">
        <f t="shared" si="98"/>
        <v>0.49471010864971809</v>
      </c>
      <c r="I224" s="375">
        <f t="shared" si="100"/>
        <v>118.14485084617337</v>
      </c>
      <c r="J224" s="85">
        <v>2022</v>
      </c>
      <c r="K224" s="193">
        <f t="shared" si="101"/>
        <v>44771</v>
      </c>
      <c r="L224" s="430">
        <f t="shared" si="102"/>
        <v>4.7389068955757674E-3</v>
      </c>
      <c r="M224" s="846"/>
      <c r="N224" s="846"/>
      <c r="O224" s="320">
        <f t="shared" si="103"/>
        <v>2.2813362470918648E-2</v>
      </c>
      <c r="P224" s="165">
        <f>(INDEX(Models!$BJ224:$BT224,,T224)*(1-R224)+INDEX(Models!$BJ224:$BT224,,T224+1)*R224-ERP_i)*Q224*Ramure*Pc/MaxiM</f>
        <v>4.582639263511638E-5</v>
      </c>
      <c r="Q224" s="301">
        <f t="shared" si="104"/>
        <v>0.5</v>
      </c>
      <c r="R224" s="173">
        <f t="shared" si="105"/>
        <v>0.43070726230376533</v>
      </c>
      <c r="S224" s="801">
        <f t="shared" si="124"/>
        <v>0</v>
      </c>
      <c r="T224" s="172">
        <f t="shared" si="106"/>
        <v>6</v>
      </c>
      <c r="U224" s="247">
        <f t="shared" si="107"/>
        <v>0.43070726230376533</v>
      </c>
      <c r="V224" s="378">
        <f t="shared" si="108"/>
        <v>232.25156956404882</v>
      </c>
      <c r="W224" s="397"/>
      <c r="X224" s="153">
        <f t="shared" si="109"/>
        <v>44771</v>
      </c>
      <c r="Y224" s="380">
        <f t="shared" si="110"/>
        <v>114.901</v>
      </c>
      <c r="Z224" s="380">
        <f t="shared" si="111"/>
        <v>115.44809778668241</v>
      </c>
      <c r="AA224" s="381">
        <f t="shared" si="112"/>
        <v>118.14334473361713</v>
      </c>
      <c r="AB224" s="193">
        <f t="shared" si="113"/>
        <v>44771</v>
      </c>
      <c r="AC224" s="420">
        <f t="shared" si="114"/>
        <v>2.2813362470918648E-2</v>
      </c>
      <c r="AD224" s="165">
        <f>(INDEX(Models!$BJ224:$BT224,,AH224)*(1-AF224)+INDEX(Models!$BJ224:$BT224,,AH224+1)*AF224-ERP_i)*AE224*Ramure*Pc/MaxiM</f>
        <v>4.582639263511638E-5</v>
      </c>
      <c r="AE224" s="301">
        <f t="shared" si="115"/>
        <v>0.5</v>
      </c>
      <c r="AF224" s="173">
        <f t="shared" si="116"/>
        <v>0.43070726230376533</v>
      </c>
      <c r="AG224" s="801">
        <f t="shared" si="117"/>
        <v>0</v>
      </c>
      <c r="AH224" s="172">
        <f t="shared" si="118"/>
        <v>6</v>
      </c>
      <c r="AI224" s="221">
        <f t="shared" si="119"/>
        <v>0.43070726230376533</v>
      </c>
      <c r="AJ224" s="261" t="b">
        <f t="shared" si="120"/>
        <v>0</v>
      </c>
      <c r="AK224" s="261" t="b">
        <f t="shared" si="121"/>
        <v>0</v>
      </c>
      <c r="AL224" s="261"/>
      <c r="AM224" s="261"/>
      <c r="AN224" s="75"/>
      <c r="AV224" s="153">
        <f t="shared" si="125"/>
        <v>44406</v>
      </c>
      <c r="AW224" s="608"/>
      <c r="AX224" s="385"/>
      <c r="AY224" s="388"/>
      <c r="AZ224" s="380"/>
      <c r="BA224" s="380"/>
      <c r="BB224" s="110"/>
      <c r="BD224" s="375"/>
      <c r="BE224" s="85"/>
      <c r="BF224" s="193">
        <f t="shared" si="122"/>
        <v>44771</v>
      </c>
      <c r="BG224" s="430"/>
      <c r="BH224" s="846"/>
      <c r="BI224" s="846"/>
      <c r="BJ224" s="320"/>
      <c r="BK224" s="378"/>
    </row>
    <row r="225" spans="1:63" s="6" customFormat="1" ht="11.25" customHeight="1" x14ac:dyDescent="0.2">
      <c r="A225" s="56">
        <f t="shared" si="123"/>
        <v>44772</v>
      </c>
      <c r="B225" s="608">
        <v>198.88400000000001</v>
      </c>
      <c r="C225" s="385"/>
      <c r="D225" s="388">
        <f t="shared" si="99"/>
        <v>199.83371596677833</v>
      </c>
      <c r="E225" s="380">
        <f t="shared" si="96"/>
        <v>204.51069124902153</v>
      </c>
      <c r="F225" s="380">
        <f t="shared" si="97"/>
        <v>204.51831402539628</v>
      </c>
      <c r="G225" s="110">
        <f t="shared" si="98"/>
        <v>0.85841894658869555</v>
      </c>
      <c r="I225" s="375">
        <f t="shared" si="100"/>
        <v>204.51831402539628</v>
      </c>
      <c r="J225" s="85">
        <v>2022</v>
      </c>
      <c r="K225" s="193">
        <f t="shared" si="101"/>
        <v>44772</v>
      </c>
      <c r="L225" s="430">
        <f t="shared" si="102"/>
        <v>4.752531184158082E-3</v>
      </c>
      <c r="M225" s="846"/>
      <c r="N225" s="846"/>
      <c r="O225" s="320">
        <f t="shared" si="103"/>
        <v>2.2869099183417872E-2</v>
      </c>
      <c r="P225" s="165">
        <f>(INDEX(Models!$BJ225:$BT225,,T225)*(1-R225)+INDEX(Models!$BJ225:$BT225,,T225+1)*R225-ERP_i)*Q225*Ramure*Pc/MaxiM</f>
        <v>4.6721046478927188E-5</v>
      </c>
      <c r="Q225" s="301">
        <f t="shared" si="104"/>
        <v>0.5</v>
      </c>
      <c r="R225" s="173">
        <f t="shared" si="105"/>
        <v>0.43281254585064777</v>
      </c>
      <c r="S225" s="801">
        <f t="shared" si="124"/>
        <v>0</v>
      </c>
      <c r="T225" s="172">
        <f t="shared" si="106"/>
        <v>6</v>
      </c>
      <c r="U225" s="247">
        <f t="shared" si="107"/>
        <v>0.43281254585064777</v>
      </c>
      <c r="V225" s="378">
        <f t="shared" si="108"/>
        <v>231.68421599586682</v>
      </c>
      <c r="W225" s="397"/>
      <c r="X225" s="153">
        <f t="shared" si="109"/>
        <v>44772</v>
      </c>
      <c r="Y225" s="380">
        <f t="shared" si="110"/>
        <v>198.88400000000001</v>
      </c>
      <c r="Z225" s="380">
        <f t="shared" si="111"/>
        <v>199.83371596677833</v>
      </c>
      <c r="AA225" s="381">
        <f t="shared" si="112"/>
        <v>204.51069124902153</v>
      </c>
      <c r="AB225" s="193">
        <f t="shared" si="113"/>
        <v>44772</v>
      </c>
      <c r="AC225" s="420">
        <f t="shared" si="114"/>
        <v>2.2869099183417872E-2</v>
      </c>
      <c r="AD225" s="165">
        <f>(INDEX(Models!$BJ225:$BT225,,AH225)*(1-AF225)+INDEX(Models!$BJ225:$BT225,,AH225+1)*AF225-ERP_i)*AE225*Ramure*Pc/MaxiM</f>
        <v>4.6721046478927188E-5</v>
      </c>
      <c r="AE225" s="301">
        <f t="shared" si="115"/>
        <v>0.5</v>
      </c>
      <c r="AF225" s="173">
        <f t="shared" si="116"/>
        <v>0.43281254585064777</v>
      </c>
      <c r="AG225" s="801">
        <f t="shared" si="117"/>
        <v>0</v>
      </c>
      <c r="AH225" s="172">
        <f t="shared" si="118"/>
        <v>6</v>
      </c>
      <c r="AI225" s="221">
        <f t="shared" si="119"/>
        <v>0.43281254585064777</v>
      </c>
      <c r="AJ225" s="261" t="b">
        <f t="shared" si="120"/>
        <v>0</v>
      </c>
      <c r="AK225" s="261" t="b">
        <f t="shared" si="121"/>
        <v>0</v>
      </c>
      <c r="AL225" s="261"/>
      <c r="AM225" s="261"/>
      <c r="AN225" s="75"/>
      <c r="AV225" s="153">
        <f t="shared" si="125"/>
        <v>44407</v>
      </c>
      <c r="AW225" s="608"/>
      <c r="AX225" s="385"/>
      <c r="AY225" s="388"/>
      <c r="AZ225" s="380"/>
      <c r="BA225" s="380"/>
      <c r="BB225" s="110"/>
      <c r="BD225" s="375"/>
      <c r="BE225" s="85"/>
      <c r="BF225" s="193">
        <f t="shared" si="122"/>
        <v>44772</v>
      </c>
      <c r="BG225" s="430"/>
      <c r="BH225" s="846"/>
      <c r="BI225" s="846"/>
      <c r="BJ225" s="320"/>
      <c r="BK225" s="378"/>
    </row>
    <row r="226" spans="1:63" s="6" customFormat="1" ht="11.25" customHeight="1" x14ac:dyDescent="0.2">
      <c r="A226" s="56">
        <f t="shared" si="123"/>
        <v>44773</v>
      </c>
      <c r="B226" s="608">
        <v>227.6</v>
      </c>
      <c r="C226" s="385"/>
      <c r="D226" s="388">
        <f t="shared" si="99"/>
        <v>228.68997191856872</v>
      </c>
      <c r="E226" s="380">
        <f t="shared" si="96"/>
        <v>234.05562976302537</v>
      </c>
      <c r="F226" s="380">
        <f t="shared" si="97"/>
        <v>234.06652052001985</v>
      </c>
      <c r="G226" s="110">
        <f t="shared" si="98"/>
        <v>0.98482393142838187</v>
      </c>
      <c r="I226" s="375">
        <f t="shared" si="100"/>
        <v>234.06652052001985</v>
      </c>
      <c r="J226" s="85">
        <v>2022</v>
      </c>
      <c r="K226" s="193">
        <f t="shared" si="101"/>
        <v>44773</v>
      </c>
      <c r="L226" s="430">
        <f t="shared" si="102"/>
        <v>4.7661552862354739E-3</v>
      </c>
      <c r="M226" s="846"/>
      <c r="N226" s="846"/>
      <c r="O226" s="320">
        <f t="shared" si="103"/>
        <v>2.2924711744337047E-2</v>
      </c>
      <c r="P226" s="165">
        <f>(INDEX(Models!$BJ226:$BT226,,T226)*(1-R226)+INDEX(Models!$BJ226:$BT226,,T226+1)*R226-ERP_i)*Q226*Ramure*Pc/MaxiM</f>
        <v>4.7559495166947447E-5</v>
      </c>
      <c r="Q226" s="301">
        <f t="shared" si="104"/>
        <v>0.5</v>
      </c>
      <c r="R226" s="173">
        <f t="shared" si="105"/>
        <v>0.43485201691612085</v>
      </c>
      <c r="S226" s="801">
        <f t="shared" si="124"/>
        <v>0</v>
      </c>
      <c r="T226" s="172">
        <f t="shared" si="106"/>
        <v>6</v>
      </c>
      <c r="U226" s="247">
        <f t="shared" si="107"/>
        <v>0.43485201691612085</v>
      </c>
      <c r="V226" s="378">
        <f t="shared" si="108"/>
        <v>231.10706194716724</v>
      </c>
      <c r="W226" s="397"/>
      <c r="X226" s="153">
        <f t="shared" si="109"/>
        <v>44773</v>
      </c>
      <c r="Y226" s="380">
        <f t="shared" si="110"/>
        <v>227.6</v>
      </c>
      <c r="Z226" s="380">
        <f t="shared" si="111"/>
        <v>228.68997191856872</v>
      </c>
      <c r="AA226" s="381">
        <f t="shared" si="112"/>
        <v>234.05562976302537</v>
      </c>
      <c r="AB226" s="193">
        <f t="shared" si="113"/>
        <v>44773</v>
      </c>
      <c r="AC226" s="420">
        <f t="shared" si="114"/>
        <v>2.2924711744337047E-2</v>
      </c>
      <c r="AD226" s="165">
        <f>(INDEX(Models!$BJ226:$BT226,,AH226)*(1-AF226)+INDEX(Models!$BJ226:$BT226,,AH226+1)*AF226-ERP_i)*AE226*Ramure*Pc/MaxiM</f>
        <v>4.7559495166947447E-5</v>
      </c>
      <c r="AE226" s="301">
        <f t="shared" si="115"/>
        <v>0.5</v>
      </c>
      <c r="AF226" s="173">
        <f t="shared" si="116"/>
        <v>0.43485201691612085</v>
      </c>
      <c r="AG226" s="801">
        <f t="shared" si="117"/>
        <v>0</v>
      </c>
      <c r="AH226" s="172">
        <f t="shared" si="118"/>
        <v>6</v>
      </c>
      <c r="AI226" s="221">
        <f t="shared" si="119"/>
        <v>0.43485201691612085</v>
      </c>
      <c r="AJ226" s="261" t="b">
        <f t="shared" si="120"/>
        <v>0</v>
      </c>
      <c r="AK226" s="261" t="b">
        <f t="shared" si="121"/>
        <v>0</v>
      </c>
      <c r="AL226" s="261"/>
      <c r="AM226" s="261"/>
      <c r="AN226" s="75"/>
      <c r="AV226" s="153">
        <f t="shared" si="125"/>
        <v>44408</v>
      </c>
      <c r="AW226" s="608"/>
      <c r="AX226" s="385"/>
      <c r="AY226" s="388"/>
      <c r="AZ226" s="380"/>
      <c r="BA226" s="380"/>
      <c r="BB226" s="110"/>
      <c r="BD226" s="375"/>
      <c r="BE226" s="85"/>
      <c r="BF226" s="193">
        <f t="shared" si="122"/>
        <v>44773</v>
      </c>
      <c r="BG226" s="430"/>
      <c r="BH226" s="846"/>
      <c r="BI226" s="846"/>
      <c r="BJ226" s="320"/>
      <c r="BK226" s="378"/>
    </row>
    <row r="227" spans="1:63" s="6" customFormat="1" ht="11.25" customHeight="1" x14ac:dyDescent="0.2">
      <c r="A227" s="56">
        <f t="shared" si="123"/>
        <v>44774</v>
      </c>
      <c r="B227" s="608">
        <v>226.49700000000001</v>
      </c>
      <c r="C227" s="385"/>
      <c r="D227" s="388">
        <f t="shared" si="99"/>
        <v>227.58480511815179</v>
      </c>
      <c r="E227" s="380">
        <f t="shared" si="96"/>
        <v>232.93776243438549</v>
      </c>
      <c r="F227" s="380">
        <f t="shared" si="97"/>
        <v>232.94874797360882</v>
      </c>
      <c r="G227" s="110">
        <f t="shared" si="98"/>
        <v>0.98254652784808316</v>
      </c>
      <c r="I227" s="375">
        <f t="shared" si="100"/>
        <v>232.94874797360882</v>
      </c>
      <c r="J227" s="85">
        <v>2022</v>
      </c>
      <c r="K227" s="193">
        <f t="shared" si="101"/>
        <v>44774</v>
      </c>
      <c r="L227" s="430">
        <f t="shared" si="102"/>
        <v>4.7797792018102747E-3</v>
      </c>
      <c r="M227" s="846"/>
      <c r="N227" s="846"/>
      <c r="O227" s="320">
        <f t="shared" si="103"/>
        <v>2.298020406949482E-2</v>
      </c>
      <c r="P227" s="165">
        <f>(INDEX(Models!$BJ227:$BT227,,T227)*(1-R227)+INDEX(Models!$BJ227:$BT227,,T227+1)*R227-ERP_i)*Q227*Ramure*Pc/MaxiM</f>
        <v>4.8364424332976186E-5</v>
      </c>
      <c r="Q227" s="301">
        <f t="shared" si="104"/>
        <v>0.5</v>
      </c>
      <c r="R227" s="173">
        <f t="shared" si="105"/>
        <v>0.43682707164479007</v>
      </c>
      <c r="S227" s="801">
        <f t="shared" si="124"/>
        <v>0</v>
      </c>
      <c r="T227" s="172">
        <f t="shared" si="106"/>
        <v>6</v>
      </c>
      <c r="U227" s="247">
        <f t="shared" si="107"/>
        <v>0.43682707164479007</v>
      </c>
      <c r="V227" s="378">
        <f t="shared" si="108"/>
        <v>230.52010307330346</v>
      </c>
      <c r="W227" s="397"/>
      <c r="X227" s="153">
        <f t="shared" si="109"/>
        <v>44774</v>
      </c>
      <c r="Y227" s="380">
        <f t="shared" si="110"/>
        <v>226.49700000000001</v>
      </c>
      <c r="Z227" s="380">
        <f t="shared" si="111"/>
        <v>227.58480511815179</v>
      </c>
      <c r="AA227" s="381">
        <f t="shared" si="112"/>
        <v>232.93776243438549</v>
      </c>
      <c r="AB227" s="193">
        <f t="shared" si="113"/>
        <v>44774</v>
      </c>
      <c r="AC227" s="420">
        <f t="shared" si="114"/>
        <v>2.298020406949482E-2</v>
      </c>
      <c r="AD227" s="165">
        <f>(INDEX(Models!$BJ227:$BT227,,AH227)*(1-AF227)+INDEX(Models!$BJ227:$BT227,,AH227+1)*AF227-ERP_i)*AE227*Ramure*Pc/MaxiM</f>
        <v>4.8364424332976186E-5</v>
      </c>
      <c r="AE227" s="301">
        <f t="shared" si="115"/>
        <v>0.5</v>
      </c>
      <c r="AF227" s="173">
        <f t="shared" si="116"/>
        <v>0.43682707164479007</v>
      </c>
      <c r="AG227" s="801">
        <f t="shared" si="117"/>
        <v>0</v>
      </c>
      <c r="AH227" s="172">
        <f t="shared" si="118"/>
        <v>6</v>
      </c>
      <c r="AI227" s="221">
        <f t="shared" si="119"/>
        <v>0.43682707164479007</v>
      </c>
      <c r="AJ227" s="261" t="b">
        <f t="shared" si="120"/>
        <v>0</v>
      </c>
      <c r="AK227" s="261" t="b">
        <f t="shared" si="121"/>
        <v>0</v>
      </c>
      <c r="AL227" s="261"/>
      <c r="AM227" s="261"/>
      <c r="AN227" s="75"/>
      <c r="AV227" s="153">
        <f t="shared" si="125"/>
        <v>44409</v>
      </c>
      <c r="AW227" s="608"/>
      <c r="AX227" s="385"/>
      <c r="AY227" s="388"/>
      <c r="AZ227" s="380"/>
      <c r="BA227" s="380"/>
      <c r="BB227" s="110"/>
      <c r="BD227" s="375"/>
      <c r="BE227" s="85"/>
      <c r="BF227" s="193">
        <f t="shared" si="122"/>
        <v>44774</v>
      </c>
      <c r="BG227" s="430"/>
      <c r="BH227" s="846"/>
      <c r="BI227" s="846"/>
      <c r="BJ227" s="320"/>
      <c r="BK227" s="378"/>
    </row>
    <row r="228" spans="1:63" s="6" customFormat="1" ht="11.25" customHeight="1" x14ac:dyDescent="0.2">
      <c r="A228" s="56">
        <f t="shared" si="123"/>
        <v>44775</v>
      </c>
      <c r="B228" s="608">
        <v>226.55700000000002</v>
      </c>
      <c r="C228" s="385"/>
      <c r="D228" s="388">
        <f t="shared" si="99"/>
        <v>227.64820959508384</v>
      </c>
      <c r="E228" s="380">
        <f t="shared" si="96"/>
        <v>233.01586509406664</v>
      </c>
      <c r="F228" s="380">
        <f t="shared" si="97"/>
        <v>233.02707544021914</v>
      </c>
      <c r="G228" s="110">
        <f t="shared" si="98"/>
        <v>0.98535784402590665</v>
      </c>
      <c r="I228" s="375">
        <f t="shared" si="100"/>
        <v>233.02707544021914</v>
      </c>
      <c r="J228" s="85">
        <v>2022</v>
      </c>
      <c r="K228" s="193">
        <f t="shared" si="101"/>
        <v>44775</v>
      </c>
      <c r="L228" s="430">
        <f t="shared" si="102"/>
        <v>4.7934029308851489E-3</v>
      </c>
      <c r="M228" s="846"/>
      <c r="N228" s="846"/>
      <c r="O228" s="320">
        <f t="shared" si="103"/>
        <v>2.3035579559425839E-2</v>
      </c>
      <c r="P228" s="165">
        <f>(INDEX(Models!$BJ228:$BT228,,T228)*(1-R228)+INDEX(Models!$BJ228:$BT228,,T228+1)*R228-ERP_i)*Q228*Ramure*Pc/MaxiM</f>
        <v>4.9135191025875683E-5</v>
      </c>
      <c r="Q228" s="301">
        <f t="shared" si="104"/>
        <v>0.5</v>
      </c>
      <c r="R228" s="173">
        <f t="shared" si="105"/>
        <v>0.43873912472942689</v>
      </c>
      <c r="S228" s="801">
        <f t="shared" si="124"/>
        <v>0</v>
      </c>
      <c r="T228" s="172">
        <f t="shared" si="106"/>
        <v>6</v>
      </c>
      <c r="U228" s="247">
        <f t="shared" si="107"/>
        <v>0.43873912472942689</v>
      </c>
      <c r="V228" s="378">
        <f t="shared" si="108"/>
        <v>229.9233405691289</v>
      </c>
      <c r="W228" s="397"/>
      <c r="X228" s="153">
        <f t="shared" si="109"/>
        <v>44775</v>
      </c>
      <c r="Y228" s="380">
        <f t="shared" si="110"/>
        <v>226.55700000000002</v>
      </c>
      <c r="Z228" s="380">
        <f t="shared" si="111"/>
        <v>227.64820959508384</v>
      </c>
      <c r="AA228" s="381">
        <f t="shared" si="112"/>
        <v>233.01586509406664</v>
      </c>
      <c r="AB228" s="193">
        <f t="shared" si="113"/>
        <v>44775</v>
      </c>
      <c r="AC228" s="420">
        <f t="shared" si="114"/>
        <v>2.3035579559425839E-2</v>
      </c>
      <c r="AD228" s="165">
        <f>(INDEX(Models!$BJ228:$BT228,,AH228)*(1-AF228)+INDEX(Models!$BJ228:$BT228,,AH228+1)*AF228-ERP_i)*AE228*Ramure*Pc/MaxiM</f>
        <v>4.9135191025875683E-5</v>
      </c>
      <c r="AE228" s="301">
        <f t="shared" si="115"/>
        <v>0.5</v>
      </c>
      <c r="AF228" s="173">
        <f t="shared" si="116"/>
        <v>0.43873912472942689</v>
      </c>
      <c r="AG228" s="801">
        <f t="shared" si="117"/>
        <v>0</v>
      </c>
      <c r="AH228" s="172">
        <f t="shared" si="118"/>
        <v>6</v>
      </c>
      <c r="AI228" s="221">
        <f t="shared" si="119"/>
        <v>0.43873912472942689</v>
      </c>
      <c r="AJ228" s="261" t="b">
        <f t="shared" si="120"/>
        <v>0</v>
      </c>
      <c r="AK228" s="261" t="b">
        <f t="shared" si="121"/>
        <v>0</v>
      </c>
      <c r="AL228" s="261"/>
      <c r="AM228" s="261"/>
      <c r="AN228" s="75"/>
      <c r="AV228" s="153">
        <f t="shared" si="125"/>
        <v>44410</v>
      </c>
      <c r="AW228" s="608"/>
      <c r="AX228" s="385"/>
      <c r="AY228" s="388"/>
      <c r="AZ228" s="380"/>
      <c r="BA228" s="380"/>
      <c r="BB228" s="110"/>
      <c r="BD228" s="375"/>
      <c r="BE228" s="85"/>
      <c r="BF228" s="193">
        <f t="shared" si="122"/>
        <v>44775</v>
      </c>
      <c r="BG228" s="430"/>
      <c r="BH228" s="846"/>
      <c r="BI228" s="846"/>
      <c r="BJ228" s="320"/>
      <c r="BK228" s="378"/>
    </row>
    <row r="229" spans="1:63" s="6" customFormat="1" ht="11.25" customHeight="1" x14ac:dyDescent="0.2">
      <c r="A229" s="56">
        <f t="shared" si="123"/>
        <v>44776</v>
      </c>
      <c r="B229" s="608">
        <v>215.11199999999999</v>
      </c>
      <c r="C229" s="385"/>
      <c r="D229" s="388">
        <f t="shared" si="99"/>
        <v>216.15104378976395</v>
      </c>
      <c r="E229" s="380">
        <f t="shared" si="96"/>
        <v>221.26012620683491</v>
      </c>
      <c r="F229" s="380">
        <f t="shared" ref="F229:F260" si="126">Wh_sa/(1-Pvg*MEDIAN((-Sdif+Wh/Env_an)/Csdif,0,1))</f>
        <v>221.2701847087576</v>
      </c>
      <c r="G229" s="110">
        <f t="shared" si="98"/>
        <v>0.93805195862221324</v>
      </c>
      <c r="I229" s="375">
        <f t="shared" si="100"/>
        <v>221.2701847087576</v>
      </c>
      <c r="J229" s="85">
        <v>2022</v>
      </c>
      <c r="K229" s="193">
        <f t="shared" si="101"/>
        <v>44776</v>
      </c>
      <c r="L229" s="430">
        <f t="shared" si="102"/>
        <v>4.807026473462539E-3</v>
      </c>
      <c r="M229" s="846"/>
      <c r="N229" s="846"/>
      <c r="O229" s="320">
        <f t="shared" si="103"/>
        <v>2.3090841104804256E-2</v>
      </c>
      <c r="P229" s="165">
        <f>(INDEX(Models!$BJ229:$BT229,,T229)*(1-R229)+INDEX(Models!$BJ229:$BT229,,T229+1)*R229-ERP_i)*Q229*Ramure*Pc/MaxiM</f>
        <v>4.9871172728095631E-5</v>
      </c>
      <c r="Q229" s="301">
        <f t="shared" si="104"/>
        <v>0.5</v>
      </c>
      <c r="R229" s="173">
        <f t="shared" si="105"/>
        <v>0.44058960505214984</v>
      </c>
      <c r="S229" s="801">
        <f t="shared" si="124"/>
        <v>0</v>
      </c>
      <c r="T229" s="172">
        <f t="shared" si="106"/>
        <v>6</v>
      </c>
      <c r="U229" s="247">
        <f t="shared" si="107"/>
        <v>0.44058960505214984</v>
      </c>
      <c r="V229" s="378">
        <f t="shared" si="108"/>
        <v>229.31677574469924</v>
      </c>
      <c r="W229" s="397"/>
      <c r="X229" s="153">
        <f t="shared" si="109"/>
        <v>44776</v>
      </c>
      <c r="Y229" s="380">
        <f t="shared" si="110"/>
        <v>215.11199999999999</v>
      </c>
      <c r="Z229" s="380">
        <f t="shared" si="111"/>
        <v>216.15104378976395</v>
      </c>
      <c r="AA229" s="381">
        <f t="shared" si="112"/>
        <v>221.26012620683491</v>
      </c>
      <c r="AB229" s="193">
        <f t="shared" si="113"/>
        <v>44776</v>
      </c>
      <c r="AC229" s="420">
        <f t="shared" si="114"/>
        <v>2.3090841104804256E-2</v>
      </c>
      <c r="AD229" s="165">
        <f>(INDEX(Models!$BJ229:$BT229,,AH229)*(1-AF229)+INDEX(Models!$BJ229:$BT229,,AH229+1)*AF229-ERP_i)*AE229*Ramure*Pc/MaxiM</f>
        <v>4.9871172728095631E-5</v>
      </c>
      <c r="AE229" s="301">
        <f t="shared" si="115"/>
        <v>0.5</v>
      </c>
      <c r="AF229" s="173">
        <f t="shared" si="116"/>
        <v>0.44058960505214984</v>
      </c>
      <c r="AG229" s="801">
        <f t="shared" si="117"/>
        <v>0</v>
      </c>
      <c r="AH229" s="172">
        <f t="shared" si="118"/>
        <v>6</v>
      </c>
      <c r="AI229" s="221">
        <f t="shared" si="119"/>
        <v>0.44058960505214984</v>
      </c>
      <c r="AJ229" s="261" t="b">
        <f t="shared" si="120"/>
        <v>0</v>
      </c>
      <c r="AK229" s="261" t="b">
        <f t="shared" si="121"/>
        <v>0</v>
      </c>
      <c r="AL229" s="261"/>
      <c r="AM229" s="261"/>
      <c r="AN229" s="75"/>
      <c r="AV229" s="153">
        <f t="shared" si="125"/>
        <v>44411</v>
      </c>
      <c r="AW229" s="608"/>
      <c r="AX229" s="385"/>
      <c r="AY229" s="388"/>
      <c r="AZ229" s="380"/>
      <c r="BA229" s="380"/>
      <c r="BB229" s="110"/>
      <c r="BD229" s="375"/>
      <c r="BE229" s="85"/>
      <c r="BF229" s="193">
        <f t="shared" si="122"/>
        <v>44776</v>
      </c>
      <c r="BG229" s="430"/>
      <c r="BH229" s="846"/>
      <c r="BI229" s="846"/>
      <c r="BJ229" s="320"/>
      <c r="BK229" s="378"/>
    </row>
    <row r="230" spans="1:63" s="6" customFormat="1" ht="11.25" customHeight="1" x14ac:dyDescent="0.2">
      <c r="A230" s="56">
        <f t="shared" si="123"/>
        <v>44777</v>
      </c>
      <c r="B230" s="608">
        <v>204.143</v>
      </c>
      <c r="C230" s="385"/>
      <c r="D230" s="388">
        <f t="shared" si="99"/>
        <v>205.13186890888991</v>
      </c>
      <c r="E230" s="380">
        <f t="shared" si="96"/>
        <v>209.99234997138728</v>
      </c>
      <c r="F230" s="380">
        <f t="shared" si="126"/>
        <v>210.00134100981151</v>
      </c>
      <c r="G230" s="110">
        <f t="shared" si="98"/>
        <v>0.89261499907723674</v>
      </c>
      <c r="I230" s="375">
        <f t="shared" si="100"/>
        <v>210.00134100981151</v>
      </c>
      <c r="J230" s="85">
        <v>2022</v>
      </c>
      <c r="K230" s="193">
        <f t="shared" si="101"/>
        <v>44777</v>
      </c>
      <c r="L230" s="430">
        <f t="shared" si="102"/>
        <v>4.8206498295451095E-3</v>
      </c>
      <c r="M230" s="846"/>
      <c r="N230" s="846"/>
      <c r="O230" s="320">
        <f t="shared" si="103"/>
        <v>2.3145991095197695E-2</v>
      </c>
      <c r="P230" s="165">
        <f>(INDEX(Models!$BJ230:$BT230,,T230)*(1-R230)+INDEX(Models!$BJ230:$BT230,,T230+1)*R230-ERP_i)*Q230*Ramure*Pc/MaxiM</f>
        <v>5.057176504737376E-5</v>
      </c>
      <c r="Q230" s="301">
        <f t="shared" si="104"/>
        <v>0.5</v>
      </c>
      <c r="R230" s="173">
        <f t="shared" si="105"/>
        <v>0.44237995158682664</v>
      </c>
      <c r="S230" s="801">
        <f t="shared" si="124"/>
        <v>0</v>
      </c>
      <c r="T230" s="172">
        <f t="shared" si="106"/>
        <v>6</v>
      </c>
      <c r="U230" s="247">
        <f t="shared" si="107"/>
        <v>0.44237995158682664</v>
      </c>
      <c r="V230" s="378">
        <f t="shared" si="108"/>
        <v>228.70041001962403</v>
      </c>
      <c r="W230" s="397"/>
      <c r="X230" s="153">
        <f t="shared" si="109"/>
        <v>44777</v>
      </c>
      <c r="Y230" s="380">
        <f t="shared" si="110"/>
        <v>204.143</v>
      </c>
      <c r="Z230" s="380">
        <f t="shared" si="111"/>
        <v>205.13186890888991</v>
      </c>
      <c r="AA230" s="381">
        <f t="shared" si="112"/>
        <v>209.99234997138728</v>
      </c>
      <c r="AB230" s="193">
        <f t="shared" si="113"/>
        <v>44777</v>
      </c>
      <c r="AC230" s="420">
        <f t="shared" si="114"/>
        <v>2.3145991095197695E-2</v>
      </c>
      <c r="AD230" s="165">
        <f>(INDEX(Models!$BJ230:$BT230,,AH230)*(1-AF230)+INDEX(Models!$BJ230:$BT230,,AH230+1)*AF230-ERP_i)*AE230*Ramure*Pc/MaxiM</f>
        <v>5.057176504737376E-5</v>
      </c>
      <c r="AE230" s="301">
        <f t="shared" si="115"/>
        <v>0.5</v>
      </c>
      <c r="AF230" s="173">
        <f t="shared" si="116"/>
        <v>0.44237995158682664</v>
      </c>
      <c r="AG230" s="801">
        <f t="shared" si="117"/>
        <v>0</v>
      </c>
      <c r="AH230" s="172">
        <f t="shared" si="118"/>
        <v>6</v>
      </c>
      <c r="AI230" s="221">
        <f t="shared" si="119"/>
        <v>0.44237995158682664</v>
      </c>
      <c r="AJ230" s="261" t="b">
        <f t="shared" si="120"/>
        <v>0</v>
      </c>
      <c r="AK230" s="261" t="b">
        <f t="shared" si="121"/>
        <v>0</v>
      </c>
      <c r="AL230" s="261"/>
      <c r="AM230" s="261"/>
      <c r="AN230" s="75"/>
      <c r="AV230" s="153">
        <f t="shared" si="125"/>
        <v>44412</v>
      </c>
      <c r="AW230" s="608"/>
      <c r="AX230" s="385"/>
      <c r="AY230" s="388"/>
      <c r="AZ230" s="380"/>
      <c r="BA230" s="380"/>
      <c r="BB230" s="110"/>
      <c r="BD230" s="375"/>
      <c r="BE230" s="85"/>
      <c r="BF230" s="193">
        <f t="shared" si="122"/>
        <v>44777</v>
      </c>
      <c r="BG230" s="430"/>
      <c r="BH230" s="846"/>
      <c r="BI230" s="846"/>
      <c r="BJ230" s="320"/>
      <c r="BK230" s="378"/>
    </row>
    <row r="231" spans="1:63" s="6" customFormat="1" ht="11.25" customHeight="1" x14ac:dyDescent="0.2">
      <c r="A231" s="56">
        <f t="shared" si="123"/>
        <v>44778</v>
      </c>
      <c r="B231" s="608">
        <v>189.941</v>
      </c>
      <c r="C231" s="385"/>
      <c r="D231" s="388">
        <f t="shared" si="99"/>
        <v>190.86368716939845</v>
      </c>
      <c r="E231" s="380">
        <f t="shared" si="96"/>
        <v>195.39710146191538</v>
      </c>
      <c r="F231" s="380">
        <f t="shared" si="126"/>
        <v>195.40472194340191</v>
      </c>
      <c r="G231" s="110">
        <f t="shared" si="98"/>
        <v>0.83279317881848702</v>
      </c>
      <c r="I231" s="375">
        <f t="shared" si="100"/>
        <v>195.40472194340191</v>
      </c>
      <c r="J231" s="85">
        <v>2022</v>
      </c>
      <c r="K231" s="193">
        <f t="shared" si="101"/>
        <v>44778</v>
      </c>
      <c r="L231" s="430">
        <f t="shared" si="102"/>
        <v>4.8342729991354139E-3</v>
      </c>
      <c r="M231" s="846"/>
      <c r="N231" s="846"/>
      <c r="O231" s="320">
        <f t="shared" si="103"/>
        <v>2.3201031430860507E-2</v>
      </c>
      <c r="P231" s="165">
        <f>(INDEX(Models!$BJ231:$BT231,,T231)*(1-R231)+INDEX(Models!$BJ231:$BT231,,T231+1)*R231-ERP_i)*Q231*Ramure*Pc/MaxiM</f>
        <v>5.1236379555653294E-5</v>
      </c>
      <c r="Q231" s="301">
        <f t="shared" si="104"/>
        <v>0.5</v>
      </c>
      <c r="R231" s="173">
        <f t="shared" si="105"/>
        <v>0.44411160956046897</v>
      </c>
      <c r="S231" s="801">
        <f t="shared" si="124"/>
        <v>0</v>
      </c>
      <c r="T231" s="172">
        <f t="shared" si="106"/>
        <v>6</v>
      </c>
      <c r="U231" s="247">
        <f t="shared" si="107"/>
        <v>0.44411160956046897</v>
      </c>
      <c r="V231" s="378">
        <f t="shared" si="108"/>
        <v>228.07424490969336</v>
      </c>
      <c r="W231" s="397"/>
      <c r="X231" s="153">
        <f t="shared" si="109"/>
        <v>44778</v>
      </c>
      <c r="Y231" s="380">
        <f t="shared" si="110"/>
        <v>189.941</v>
      </c>
      <c r="Z231" s="380">
        <f t="shared" si="111"/>
        <v>190.86368716939845</v>
      </c>
      <c r="AA231" s="381">
        <f t="shared" si="112"/>
        <v>195.39710146191538</v>
      </c>
      <c r="AB231" s="193">
        <f t="shared" si="113"/>
        <v>44778</v>
      </c>
      <c r="AC231" s="420">
        <f t="shared" si="114"/>
        <v>2.3201031430860507E-2</v>
      </c>
      <c r="AD231" s="165">
        <f>(INDEX(Models!$BJ231:$BT231,,AH231)*(1-AF231)+INDEX(Models!$BJ231:$BT231,,AH231+1)*AF231-ERP_i)*AE231*Ramure*Pc/MaxiM</f>
        <v>5.1236379555653294E-5</v>
      </c>
      <c r="AE231" s="301">
        <f t="shared" si="115"/>
        <v>0.5</v>
      </c>
      <c r="AF231" s="173">
        <f t="shared" si="116"/>
        <v>0.44411160956046897</v>
      </c>
      <c r="AG231" s="801">
        <f t="shared" si="117"/>
        <v>0</v>
      </c>
      <c r="AH231" s="172">
        <f t="shared" si="118"/>
        <v>6</v>
      </c>
      <c r="AI231" s="221">
        <f t="shared" si="119"/>
        <v>0.44411160956046897</v>
      </c>
      <c r="AJ231" s="261" t="b">
        <f t="shared" si="120"/>
        <v>0</v>
      </c>
      <c r="AK231" s="261" t="b">
        <f t="shared" si="121"/>
        <v>0</v>
      </c>
      <c r="AL231" s="261"/>
      <c r="AM231" s="261"/>
      <c r="AN231" s="75"/>
      <c r="AV231" s="153">
        <f t="shared" si="125"/>
        <v>44413</v>
      </c>
      <c r="AW231" s="608"/>
      <c r="AX231" s="385"/>
      <c r="AY231" s="388"/>
      <c r="AZ231" s="380"/>
      <c r="BA231" s="380"/>
      <c r="BB231" s="110"/>
      <c r="BD231" s="375"/>
      <c r="BE231" s="85"/>
      <c r="BF231" s="193">
        <f t="shared" si="122"/>
        <v>44778</v>
      </c>
      <c r="BG231" s="430"/>
      <c r="BH231" s="846"/>
      <c r="BI231" s="846"/>
      <c r="BJ231" s="320"/>
      <c r="BK231" s="378"/>
    </row>
    <row r="232" spans="1:63" s="6" customFormat="1" ht="11.25" customHeight="1" x14ac:dyDescent="0.2">
      <c r="A232" s="56">
        <f t="shared" si="123"/>
        <v>44779</v>
      </c>
      <c r="B232" s="608">
        <v>203.732</v>
      </c>
      <c r="C232" s="385"/>
      <c r="D232" s="388">
        <f t="shared" si="99"/>
        <v>204.72448299859423</v>
      </c>
      <c r="E232" s="380">
        <f t="shared" si="96"/>
        <v>209.59890755002502</v>
      </c>
      <c r="F232" s="380">
        <f t="shared" si="126"/>
        <v>209.60816001041005</v>
      </c>
      <c r="G232" s="110">
        <f t="shared" si="98"/>
        <v>0.89576136755444635</v>
      </c>
      <c r="I232" s="375">
        <f t="shared" si="100"/>
        <v>209.60816001041005</v>
      </c>
      <c r="J232" s="85">
        <v>2022</v>
      </c>
      <c r="K232" s="193">
        <f t="shared" si="101"/>
        <v>44779</v>
      </c>
      <c r="L232" s="430">
        <f t="shared" si="102"/>
        <v>4.8478959822360057E-3</v>
      </c>
      <c r="M232" s="846"/>
      <c r="N232" s="846"/>
      <c r="O232" s="320">
        <f t="shared" si="103"/>
        <v>2.3255963537249888E-2</v>
      </c>
      <c r="P232" s="165">
        <f>(INDEX(Models!$BJ232:$BT232,,T232)*(1-R232)+INDEX(Models!$BJ232:$BT232,,T232+1)*R232-ERP_i)*Q232*Ramure*Pc/MaxiM</f>
        <v>5.1864441771339145E-5</v>
      </c>
      <c r="Q232" s="301">
        <f t="shared" si="104"/>
        <v>0.5</v>
      </c>
      <c r="R232" s="173">
        <f t="shared" si="105"/>
        <v>0.44578602687000052</v>
      </c>
      <c r="S232" s="801">
        <f t="shared" si="124"/>
        <v>0</v>
      </c>
      <c r="T232" s="172">
        <f t="shared" si="106"/>
        <v>6</v>
      </c>
      <c r="U232" s="247">
        <f t="shared" si="107"/>
        <v>0.44578602687000052</v>
      </c>
      <c r="V232" s="378">
        <f t="shared" si="108"/>
        <v>227.43828204715243</v>
      </c>
      <c r="W232" s="397"/>
      <c r="X232" s="153">
        <f t="shared" si="109"/>
        <v>44779</v>
      </c>
      <c r="Y232" s="380">
        <f t="shared" si="110"/>
        <v>203.732</v>
      </c>
      <c r="Z232" s="380">
        <f t="shared" si="111"/>
        <v>204.72448299859423</v>
      </c>
      <c r="AA232" s="381">
        <f t="shared" si="112"/>
        <v>209.59890755002502</v>
      </c>
      <c r="AB232" s="193">
        <f t="shared" si="113"/>
        <v>44779</v>
      </c>
      <c r="AC232" s="420">
        <f t="shared" si="114"/>
        <v>2.3255963537249888E-2</v>
      </c>
      <c r="AD232" s="165">
        <f>(INDEX(Models!$BJ232:$BT232,,AH232)*(1-AF232)+INDEX(Models!$BJ232:$BT232,,AH232+1)*AF232-ERP_i)*AE232*Ramure*Pc/MaxiM</f>
        <v>5.1864441771339145E-5</v>
      </c>
      <c r="AE232" s="301">
        <f t="shared" si="115"/>
        <v>0.5</v>
      </c>
      <c r="AF232" s="173">
        <f t="shared" si="116"/>
        <v>0.44578602687000052</v>
      </c>
      <c r="AG232" s="801">
        <f t="shared" si="117"/>
        <v>0</v>
      </c>
      <c r="AH232" s="172">
        <f t="shared" si="118"/>
        <v>6</v>
      </c>
      <c r="AI232" s="221">
        <f t="shared" si="119"/>
        <v>0.44578602687000052</v>
      </c>
      <c r="AJ232" s="261" t="b">
        <f t="shared" si="120"/>
        <v>0</v>
      </c>
      <c r="AK232" s="261" t="b">
        <f t="shared" si="121"/>
        <v>0</v>
      </c>
      <c r="AL232" s="261"/>
      <c r="AM232" s="261"/>
      <c r="AN232" s="75"/>
      <c r="AV232" s="153">
        <f t="shared" si="125"/>
        <v>44414</v>
      </c>
      <c r="AW232" s="608"/>
      <c r="AX232" s="385"/>
      <c r="AY232" s="388"/>
      <c r="AZ232" s="380"/>
      <c r="BA232" s="380"/>
      <c r="BB232" s="110"/>
      <c r="BD232" s="375"/>
      <c r="BE232" s="85"/>
      <c r="BF232" s="193">
        <f t="shared" si="122"/>
        <v>44779</v>
      </c>
      <c r="BG232" s="430"/>
      <c r="BH232" s="846"/>
      <c r="BI232" s="846"/>
      <c r="BJ232" s="320"/>
      <c r="BK232" s="378"/>
    </row>
    <row r="233" spans="1:63" s="6" customFormat="1" ht="11.25" customHeight="1" x14ac:dyDescent="0.2">
      <c r="A233" s="56">
        <f t="shared" si="123"/>
        <v>44780</v>
      </c>
      <c r="B233" s="608">
        <v>217.72200000000001</v>
      </c>
      <c r="C233" s="385"/>
      <c r="D233" s="388">
        <f t="shared" si="99"/>
        <v>218.78563045097982</v>
      </c>
      <c r="E233" s="380">
        <f t="shared" ref="E233:E296" si="127">Wh_pvt/(1-Psa)</f>
        <v>224.00742001492893</v>
      </c>
      <c r="F233" s="380">
        <f t="shared" si="126"/>
        <v>224.01849945723848</v>
      </c>
      <c r="G233" s="110">
        <f t="shared" ref="G233:G296" si="128">+Wh_hp/MaxiM</f>
        <v>0.95999744270455845</v>
      </c>
      <c r="I233" s="375">
        <f t="shared" si="100"/>
        <v>224.01849945723848</v>
      </c>
      <c r="J233" s="85">
        <v>2022</v>
      </c>
      <c r="K233" s="193">
        <f t="shared" si="101"/>
        <v>44780</v>
      </c>
      <c r="L233" s="430">
        <f t="shared" si="102"/>
        <v>4.8615187788493275E-3</v>
      </c>
      <c r="M233" s="846"/>
      <c r="N233" s="846"/>
      <c r="O233" s="320">
        <f t="shared" si="103"/>
        <v>2.3310788381925483E-2</v>
      </c>
      <c r="P233" s="165">
        <f>(INDEX(Models!$BJ233:$BT233,,T233)*(1-R233)+INDEX(Models!$BJ233:$BT233,,T233+1)*R233-ERP_i)*Q233*Ramure*Pc/MaxiM</f>
        <v>5.2455123064545884E-5</v>
      </c>
      <c r="Q233" s="301">
        <f t="shared" si="104"/>
        <v>0.5</v>
      </c>
      <c r="R233" s="173">
        <f t="shared" si="105"/>
        <v>0.44740465074956409</v>
      </c>
      <c r="S233" s="801">
        <f t="shared" si="124"/>
        <v>0</v>
      </c>
      <c r="T233" s="172">
        <f t="shared" si="106"/>
        <v>6</v>
      </c>
      <c r="U233" s="247">
        <f t="shared" si="107"/>
        <v>0.44740465074956409</v>
      </c>
      <c r="V233" s="378">
        <f t="shared" si="108"/>
        <v>226.79367431635828</v>
      </c>
      <c r="W233" s="397"/>
      <c r="X233" s="153">
        <f t="shared" si="109"/>
        <v>44780</v>
      </c>
      <c r="Y233" s="380">
        <f t="shared" si="110"/>
        <v>217.72200000000001</v>
      </c>
      <c r="Z233" s="380">
        <f t="shared" si="111"/>
        <v>218.78563045097982</v>
      </c>
      <c r="AA233" s="381">
        <f t="shared" si="112"/>
        <v>224.00742001492893</v>
      </c>
      <c r="AB233" s="193">
        <f t="shared" si="113"/>
        <v>44780</v>
      </c>
      <c r="AC233" s="420">
        <f t="shared" si="114"/>
        <v>2.3310788381925483E-2</v>
      </c>
      <c r="AD233" s="165">
        <f>(INDEX(Models!$BJ233:$BT233,,AH233)*(1-AF233)+INDEX(Models!$BJ233:$BT233,,AH233+1)*AF233-ERP_i)*AE233*Ramure*Pc/MaxiM</f>
        <v>5.2455123064545884E-5</v>
      </c>
      <c r="AE233" s="301">
        <f t="shared" si="115"/>
        <v>0.5</v>
      </c>
      <c r="AF233" s="173">
        <f t="shared" si="116"/>
        <v>0.44740465074956409</v>
      </c>
      <c r="AG233" s="801">
        <f t="shared" si="117"/>
        <v>0</v>
      </c>
      <c r="AH233" s="172">
        <f t="shared" si="118"/>
        <v>6</v>
      </c>
      <c r="AI233" s="221">
        <f t="shared" si="119"/>
        <v>0.44740465074956409</v>
      </c>
      <c r="AJ233" s="261" t="b">
        <f t="shared" si="120"/>
        <v>0</v>
      </c>
      <c r="AK233" s="261" t="b">
        <f t="shared" si="121"/>
        <v>0</v>
      </c>
      <c r="AL233" s="261"/>
      <c r="AM233" s="261"/>
      <c r="AN233" s="75"/>
      <c r="AV233" s="153">
        <f t="shared" si="125"/>
        <v>44415</v>
      </c>
      <c r="AW233" s="608"/>
      <c r="AX233" s="385"/>
      <c r="AY233" s="388"/>
      <c r="AZ233" s="380"/>
      <c r="BA233" s="380"/>
      <c r="BB233" s="110"/>
      <c r="BD233" s="375"/>
      <c r="BE233" s="85"/>
      <c r="BF233" s="193">
        <f t="shared" si="122"/>
        <v>44780</v>
      </c>
      <c r="BG233" s="430"/>
      <c r="BH233" s="846"/>
      <c r="BI233" s="846"/>
      <c r="BJ233" s="320"/>
      <c r="BK233" s="378"/>
    </row>
    <row r="234" spans="1:63" s="6" customFormat="1" ht="11.25" customHeight="1" x14ac:dyDescent="0.2">
      <c r="A234" s="56">
        <f t="shared" si="123"/>
        <v>44781</v>
      </c>
      <c r="B234" s="608">
        <v>221.542</v>
      </c>
      <c r="C234" s="385"/>
      <c r="D234" s="388">
        <f t="shared" si="99"/>
        <v>222.62733975837412</v>
      </c>
      <c r="E234" s="380">
        <f t="shared" si="127"/>
        <v>227.95359086596409</v>
      </c>
      <c r="F234" s="380">
        <f t="shared" si="126"/>
        <v>227.96532559207185</v>
      </c>
      <c r="G234" s="110">
        <f t="shared" si="128"/>
        <v>0.97966067590452099</v>
      </c>
      <c r="I234" s="375">
        <f t="shared" si="100"/>
        <v>227.96532559207185</v>
      </c>
      <c r="J234" s="85">
        <v>2022</v>
      </c>
      <c r="K234" s="193">
        <f t="shared" si="101"/>
        <v>44781</v>
      </c>
      <c r="L234" s="430">
        <f t="shared" si="102"/>
        <v>4.8751413889780437E-3</v>
      </c>
      <c r="M234" s="846"/>
      <c r="N234" s="846"/>
      <c r="O234" s="320">
        <f t="shared" si="103"/>
        <v>2.3365506493476421E-2</v>
      </c>
      <c r="P234" s="165">
        <f>(INDEX(Models!$BJ234:$BT234,,T234)*(1-R234)+INDEX(Models!$BJ234:$BT234,,T234+1)*R234-ERP_i)*Q234*Ramure*Pc/MaxiM</f>
        <v>5.3016261045716844E-5</v>
      </c>
      <c r="Q234" s="301">
        <f t="shared" si="104"/>
        <v>0.5</v>
      </c>
      <c r="R234" s="173">
        <f t="shared" si="105"/>
        <v>0.44896892468248562</v>
      </c>
      <c r="S234" s="801">
        <f t="shared" si="124"/>
        <v>0</v>
      </c>
      <c r="T234" s="172">
        <f t="shared" si="106"/>
        <v>6</v>
      </c>
      <c r="U234" s="247">
        <f t="shared" si="107"/>
        <v>0.44896892468248562</v>
      </c>
      <c r="V234" s="378">
        <f t="shared" si="108"/>
        <v>226.14121826300445</v>
      </c>
      <c r="W234" s="397"/>
      <c r="X234" s="153">
        <f t="shared" si="109"/>
        <v>44781</v>
      </c>
      <c r="Y234" s="380">
        <f t="shared" si="110"/>
        <v>221.542</v>
      </c>
      <c r="Z234" s="380">
        <f t="shared" si="111"/>
        <v>222.62733975837412</v>
      </c>
      <c r="AA234" s="381">
        <f t="shared" si="112"/>
        <v>227.95359086596409</v>
      </c>
      <c r="AB234" s="193">
        <f t="shared" si="113"/>
        <v>44781</v>
      </c>
      <c r="AC234" s="420">
        <f t="shared" si="114"/>
        <v>2.3365506493476421E-2</v>
      </c>
      <c r="AD234" s="165">
        <f>(INDEX(Models!$BJ234:$BT234,,AH234)*(1-AF234)+INDEX(Models!$BJ234:$BT234,,AH234+1)*AF234-ERP_i)*AE234*Ramure*Pc/MaxiM</f>
        <v>5.3016261045716844E-5</v>
      </c>
      <c r="AE234" s="301">
        <f t="shared" si="115"/>
        <v>0.5</v>
      </c>
      <c r="AF234" s="173">
        <f t="shared" si="116"/>
        <v>0.44896892468248562</v>
      </c>
      <c r="AG234" s="801">
        <f t="shared" si="117"/>
        <v>0</v>
      </c>
      <c r="AH234" s="172">
        <f t="shared" si="118"/>
        <v>6</v>
      </c>
      <c r="AI234" s="221">
        <f t="shared" si="119"/>
        <v>0.44896892468248562</v>
      </c>
      <c r="AJ234" s="261" t="b">
        <f t="shared" si="120"/>
        <v>0</v>
      </c>
      <c r="AK234" s="261" t="b">
        <f t="shared" si="121"/>
        <v>0</v>
      </c>
      <c r="AL234" s="261"/>
      <c r="AM234" s="261"/>
      <c r="AN234" s="75"/>
      <c r="AV234" s="153">
        <f t="shared" si="125"/>
        <v>44416</v>
      </c>
      <c r="AW234" s="608"/>
      <c r="AX234" s="385"/>
      <c r="AY234" s="388"/>
      <c r="AZ234" s="380"/>
      <c r="BA234" s="380"/>
      <c r="BB234" s="110"/>
      <c r="BD234" s="375"/>
      <c r="BE234" s="85"/>
      <c r="BF234" s="193">
        <f t="shared" si="122"/>
        <v>44781</v>
      </c>
      <c r="BG234" s="430"/>
      <c r="BH234" s="846"/>
      <c r="BI234" s="846"/>
      <c r="BJ234" s="320"/>
      <c r="BK234" s="378"/>
    </row>
    <row r="235" spans="1:63" s="6" customFormat="1" ht="11.25" customHeight="1" x14ac:dyDescent="0.2">
      <c r="A235" s="56">
        <f t="shared" si="123"/>
        <v>44782</v>
      </c>
      <c r="B235" s="608">
        <v>211.14000000000001</v>
      </c>
      <c r="C235" s="385"/>
      <c r="D235" s="388">
        <f t="shared" si="99"/>
        <v>212.17728463096483</v>
      </c>
      <c r="E235" s="380">
        <f t="shared" si="127"/>
        <v>217.26567230992475</v>
      </c>
      <c r="F235" s="380">
        <f t="shared" si="126"/>
        <v>217.27625624973561</v>
      </c>
      <c r="G235" s="110">
        <f t="shared" si="128"/>
        <v>0.93639621808491968</v>
      </c>
      <c r="I235" s="375">
        <f t="shared" si="100"/>
        <v>217.27625624973561</v>
      </c>
      <c r="J235" s="85">
        <v>2022</v>
      </c>
      <c r="K235" s="193">
        <f t="shared" si="101"/>
        <v>44782</v>
      </c>
      <c r="L235" s="430">
        <f t="shared" si="102"/>
        <v>4.8887638126245969E-3</v>
      </c>
      <c r="M235" s="846"/>
      <c r="N235" s="846"/>
      <c r="O235" s="320">
        <f t="shared" si="103"/>
        <v>2.3420117982105571E-2</v>
      </c>
      <c r="P235" s="165">
        <f>(INDEX(Models!$BJ235:$BT235,,T235)*(1-R235)+INDEX(Models!$BJ235:$BT235,,T235+1)*R235-ERP_i)*Q235*Ramure*Pc/MaxiM</f>
        <v>5.357996564077212E-5</v>
      </c>
      <c r="Q235" s="301">
        <f t="shared" si="104"/>
        <v>0.5</v>
      </c>
      <c r="R235" s="173">
        <f t="shared" si="105"/>
        <v>0.45048028555111391</v>
      </c>
      <c r="S235" s="801">
        <f t="shared" si="124"/>
        <v>0</v>
      </c>
      <c r="T235" s="172">
        <f t="shared" si="106"/>
        <v>6</v>
      </c>
      <c r="U235" s="247">
        <f t="shared" si="107"/>
        <v>0.45048028555111391</v>
      </c>
      <c r="V235" s="378">
        <f t="shared" si="108"/>
        <v>225.48037682049991</v>
      </c>
      <c r="W235" s="397"/>
      <c r="X235" s="153">
        <f t="shared" si="109"/>
        <v>44782</v>
      </c>
      <c r="Y235" s="380">
        <f t="shared" si="110"/>
        <v>211.14000000000001</v>
      </c>
      <c r="Z235" s="380">
        <f t="shared" si="111"/>
        <v>212.17728463096483</v>
      </c>
      <c r="AA235" s="381">
        <f t="shared" si="112"/>
        <v>217.26567230992475</v>
      </c>
      <c r="AB235" s="193">
        <f t="shared" si="113"/>
        <v>44782</v>
      </c>
      <c r="AC235" s="420">
        <f t="shared" si="114"/>
        <v>2.3420117982105571E-2</v>
      </c>
      <c r="AD235" s="165">
        <f>(INDEX(Models!$BJ235:$BT235,,AH235)*(1-AF235)+INDEX(Models!$BJ235:$BT235,,AH235+1)*AF235-ERP_i)*AE235*Ramure*Pc/MaxiM</f>
        <v>5.357996564077212E-5</v>
      </c>
      <c r="AE235" s="301">
        <f t="shared" si="115"/>
        <v>0.5</v>
      </c>
      <c r="AF235" s="173">
        <f t="shared" si="116"/>
        <v>0.45048028555111391</v>
      </c>
      <c r="AG235" s="801">
        <f t="shared" si="117"/>
        <v>0</v>
      </c>
      <c r="AH235" s="172">
        <f t="shared" si="118"/>
        <v>6</v>
      </c>
      <c r="AI235" s="221">
        <f t="shared" si="119"/>
        <v>0.45048028555111391</v>
      </c>
      <c r="AJ235" s="261" t="b">
        <f t="shared" si="120"/>
        <v>0</v>
      </c>
      <c r="AK235" s="261" t="b">
        <f t="shared" si="121"/>
        <v>0</v>
      </c>
      <c r="AL235" s="261"/>
      <c r="AM235" s="261"/>
      <c r="AN235" s="75"/>
      <c r="AV235" s="153">
        <f t="shared" si="125"/>
        <v>44417</v>
      </c>
      <c r="AW235" s="608"/>
      <c r="AX235" s="385"/>
      <c r="AY235" s="388"/>
      <c r="AZ235" s="380"/>
      <c r="BA235" s="380"/>
      <c r="BB235" s="110"/>
      <c r="BD235" s="375"/>
      <c r="BE235" s="85"/>
      <c r="BF235" s="193">
        <f t="shared" si="122"/>
        <v>44782</v>
      </c>
      <c r="BG235" s="430"/>
      <c r="BH235" s="846"/>
      <c r="BI235" s="846"/>
      <c r="BJ235" s="320"/>
      <c r="BK235" s="378"/>
    </row>
    <row r="236" spans="1:63" s="6" customFormat="1" ht="11.25" customHeight="1" x14ac:dyDescent="0.2">
      <c r="A236" s="56">
        <f t="shared" si="123"/>
        <v>44783</v>
      </c>
      <c r="B236" s="608">
        <v>205.251</v>
      </c>
      <c r="C236" s="385"/>
      <c r="D236" s="388">
        <f t="shared" si="99"/>
        <v>206.26217681823337</v>
      </c>
      <c r="E236" s="380">
        <f t="shared" si="127"/>
        <v>211.22049829290981</v>
      </c>
      <c r="F236" s="380">
        <f t="shared" si="126"/>
        <v>211.23051410692491</v>
      </c>
      <c r="G236" s="110">
        <f t="shared" si="128"/>
        <v>0.91298897814175173</v>
      </c>
      <c r="I236" s="375">
        <f t="shared" si="100"/>
        <v>211.23051410692491</v>
      </c>
      <c r="J236" s="85">
        <v>2022</v>
      </c>
      <c r="K236" s="193">
        <f t="shared" si="101"/>
        <v>44783</v>
      </c>
      <c r="L236" s="430">
        <f t="shared" si="102"/>
        <v>4.9023860497916516E-3</v>
      </c>
      <c r="M236" s="846"/>
      <c r="N236" s="846"/>
      <c r="O236" s="320">
        <f t="shared" si="103"/>
        <v>2.3474622561492627E-2</v>
      </c>
      <c r="P236" s="165">
        <f>(INDEX(Models!$BJ236:$BT236,,T236)*(1-R236)+INDEX(Models!$BJ236:$BT236,,T236+1)*R236-ERP_i)*Q236*Ramure*Pc/MaxiM</f>
        <v>5.4146528290562019E-5</v>
      </c>
      <c r="Q236" s="301">
        <f t="shared" si="104"/>
        <v>0.5</v>
      </c>
      <c r="R236" s="173">
        <f t="shared" si="105"/>
        <v>0.45194016101701107</v>
      </c>
      <c r="S236" s="801">
        <f t="shared" si="124"/>
        <v>0</v>
      </c>
      <c r="T236" s="172">
        <f t="shared" si="106"/>
        <v>6</v>
      </c>
      <c r="U236" s="247">
        <f t="shared" si="107"/>
        <v>0.45194016101701107</v>
      </c>
      <c r="V236" s="378">
        <f t="shared" si="108"/>
        <v>224.81062039707459</v>
      </c>
      <c r="W236" s="397"/>
      <c r="X236" s="153">
        <f t="shared" si="109"/>
        <v>44783</v>
      </c>
      <c r="Y236" s="380">
        <f t="shared" si="110"/>
        <v>205.251</v>
      </c>
      <c r="Z236" s="380">
        <f t="shared" si="111"/>
        <v>206.26217681823337</v>
      </c>
      <c r="AA236" s="381">
        <f t="shared" si="112"/>
        <v>211.22049829290981</v>
      </c>
      <c r="AB236" s="193">
        <f t="shared" si="113"/>
        <v>44783</v>
      </c>
      <c r="AC236" s="420">
        <f t="shared" si="114"/>
        <v>2.3474622561492627E-2</v>
      </c>
      <c r="AD236" s="165">
        <f>(INDEX(Models!$BJ236:$BT236,,AH236)*(1-AF236)+INDEX(Models!$BJ236:$BT236,,AH236+1)*AF236-ERP_i)*AE236*Ramure*Pc/MaxiM</f>
        <v>5.4146528290562019E-5</v>
      </c>
      <c r="AE236" s="301">
        <f t="shared" si="115"/>
        <v>0.5</v>
      </c>
      <c r="AF236" s="173">
        <f t="shared" si="116"/>
        <v>0.45194016101701107</v>
      </c>
      <c r="AG236" s="801">
        <f t="shared" si="117"/>
        <v>0</v>
      </c>
      <c r="AH236" s="172">
        <f t="shared" si="118"/>
        <v>6</v>
      </c>
      <c r="AI236" s="221">
        <f t="shared" si="119"/>
        <v>0.45194016101701107</v>
      </c>
      <c r="AJ236" s="261" t="b">
        <f t="shared" si="120"/>
        <v>0</v>
      </c>
      <c r="AK236" s="261" t="b">
        <f t="shared" si="121"/>
        <v>0</v>
      </c>
      <c r="AL236" s="261"/>
      <c r="AM236" s="261"/>
      <c r="AN236" s="75"/>
      <c r="AV236" s="153">
        <f t="shared" si="125"/>
        <v>44418</v>
      </c>
      <c r="AW236" s="608"/>
      <c r="AX236" s="385"/>
      <c r="AY236" s="388"/>
      <c r="AZ236" s="380"/>
      <c r="BA236" s="380"/>
      <c r="BB236" s="110"/>
      <c r="BD236" s="375"/>
      <c r="BE236" s="85"/>
      <c r="BF236" s="193">
        <f t="shared" si="122"/>
        <v>44783</v>
      </c>
      <c r="BG236" s="430"/>
      <c r="BH236" s="846"/>
      <c r="BI236" s="846"/>
      <c r="BJ236" s="320"/>
      <c r="BK236" s="378"/>
    </row>
    <row r="237" spans="1:63" s="6" customFormat="1" ht="11.25" customHeight="1" x14ac:dyDescent="0.2">
      <c r="A237" s="56">
        <f t="shared" si="123"/>
        <v>44784</v>
      </c>
      <c r="B237" s="608">
        <v>190.49</v>
      </c>
      <c r="C237" s="385"/>
      <c r="D237" s="388">
        <f t="shared" si="99"/>
        <v>191.43107672385841</v>
      </c>
      <c r="E237" s="380">
        <f t="shared" si="127"/>
        <v>196.04379501361527</v>
      </c>
      <c r="F237" s="380">
        <f t="shared" si="126"/>
        <v>196.05222207585885</v>
      </c>
      <c r="G237" s="110">
        <f t="shared" si="128"/>
        <v>0.84989318006351366</v>
      </c>
      <c r="I237" s="375">
        <f t="shared" si="100"/>
        <v>196.05222207585885</v>
      </c>
      <c r="J237" s="85">
        <v>2022</v>
      </c>
      <c r="K237" s="193">
        <f t="shared" si="101"/>
        <v>44784</v>
      </c>
      <c r="L237" s="430">
        <f t="shared" si="102"/>
        <v>4.9160081004816503E-3</v>
      </c>
      <c r="M237" s="846"/>
      <c r="N237" s="846"/>
      <c r="O237" s="320">
        <f t="shared" si="103"/>
        <v>2.3529019571552942E-2</v>
      </c>
      <c r="P237" s="165">
        <f>(INDEX(Models!$BJ237:$BT237,,T237)*(1-R237)+INDEX(Models!$BJ237:$BT237,,T237+1)*R237-ERP_i)*Q237*Ramure*Pc/MaxiM</f>
        <v>5.4716242254705807E-5</v>
      </c>
      <c r="Q237" s="301">
        <f t="shared" si="104"/>
        <v>0.5</v>
      </c>
      <c r="R237" s="173">
        <f t="shared" si="105"/>
        <v>0.45334996712335357</v>
      </c>
      <c r="S237" s="801">
        <f t="shared" si="124"/>
        <v>0</v>
      </c>
      <c r="T237" s="172">
        <f t="shared" si="106"/>
        <v>6</v>
      </c>
      <c r="U237" s="247">
        <f t="shared" si="107"/>
        <v>0.45334996712335357</v>
      </c>
      <c r="V237" s="378">
        <f t="shared" si="108"/>
        <v>224.13141963289593</v>
      </c>
      <c r="W237" s="397"/>
      <c r="X237" s="153">
        <f t="shared" si="109"/>
        <v>44784</v>
      </c>
      <c r="Y237" s="380">
        <f t="shared" si="110"/>
        <v>190.49</v>
      </c>
      <c r="Z237" s="380">
        <f t="shared" si="111"/>
        <v>191.43107672385841</v>
      </c>
      <c r="AA237" s="381">
        <f t="shared" si="112"/>
        <v>196.04379501361527</v>
      </c>
      <c r="AB237" s="193">
        <f t="shared" si="113"/>
        <v>44784</v>
      </c>
      <c r="AC237" s="420">
        <f t="shared" si="114"/>
        <v>2.3529019571552942E-2</v>
      </c>
      <c r="AD237" s="165">
        <f>(INDEX(Models!$BJ237:$BT237,,AH237)*(1-AF237)+INDEX(Models!$BJ237:$BT237,,AH237+1)*AF237-ERP_i)*AE237*Ramure*Pc/MaxiM</f>
        <v>5.4716242254705807E-5</v>
      </c>
      <c r="AE237" s="301">
        <f t="shared" si="115"/>
        <v>0.5</v>
      </c>
      <c r="AF237" s="173">
        <f t="shared" si="116"/>
        <v>0.45334996712335357</v>
      </c>
      <c r="AG237" s="801">
        <f t="shared" si="117"/>
        <v>0</v>
      </c>
      <c r="AH237" s="172">
        <f t="shared" si="118"/>
        <v>6</v>
      </c>
      <c r="AI237" s="221">
        <f t="shared" si="119"/>
        <v>0.45334996712335357</v>
      </c>
      <c r="AJ237" s="261" t="b">
        <f t="shared" si="120"/>
        <v>0</v>
      </c>
      <c r="AK237" s="261" t="b">
        <f t="shared" si="121"/>
        <v>0</v>
      </c>
      <c r="AL237" s="261"/>
      <c r="AM237" s="261"/>
      <c r="AN237" s="75"/>
      <c r="AV237" s="153">
        <f t="shared" si="125"/>
        <v>44419</v>
      </c>
      <c r="AW237" s="608"/>
      <c r="AX237" s="385"/>
      <c r="AY237" s="388"/>
      <c r="AZ237" s="380"/>
      <c r="BA237" s="380"/>
      <c r="BB237" s="110"/>
      <c r="BD237" s="375"/>
      <c r="BE237" s="85"/>
      <c r="BF237" s="193">
        <f t="shared" si="122"/>
        <v>44784</v>
      </c>
      <c r="BG237" s="430"/>
      <c r="BH237" s="846"/>
      <c r="BI237" s="846"/>
      <c r="BJ237" s="320"/>
      <c r="BK237" s="378"/>
    </row>
    <row r="238" spans="1:63" s="6" customFormat="1" ht="11.25" customHeight="1" x14ac:dyDescent="0.2">
      <c r="A238" s="56">
        <f t="shared" si="123"/>
        <v>44785</v>
      </c>
      <c r="B238" s="608">
        <v>199.57</v>
      </c>
      <c r="C238" s="385"/>
      <c r="D238" s="388">
        <f t="shared" si="99"/>
        <v>200.55868007899758</v>
      </c>
      <c r="E238" s="380">
        <f t="shared" si="127"/>
        <v>205.40275655114345</v>
      </c>
      <c r="F238" s="380">
        <f t="shared" si="126"/>
        <v>205.41238028032569</v>
      </c>
      <c r="G238" s="110">
        <f t="shared" si="128"/>
        <v>0.89315391310548975</v>
      </c>
      <c r="I238" s="375">
        <f t="shared" si="100"/>
        <v>205.41238028032569</v>
      </c>
      <c r="J238" s="85">
        <v>2022</v>
      </c>
      <c r="K238" s="193">
        <f t="shared" si="101"/>
        <v>44785</v>
      </c>
      <c r="L238" s="430">
        <f t="shared" si="102"/>
        <v>4.9296299646973685E-3</v>
      </c>
      <c r="M238" s="846"/>
      <c r="N238" s="846"/>
      <c r="O238" s="320">
        <f t="shared" si="103"/>
        <v>2.3583308001710032E-2</v>
      </c>
      <c r="P238" s="165">
        <f>(INDEX(Models!$BJ238:$BT238,,T238)*(1-R238)+INDEX(Models!$BJ238:$BT238,,T238+1)*R238-ERP_i)*Q238*Ramure*Pc/MaxiM</f>
        <v>5.5289402867298744E-5</v>
      </c>
      <c r="Q238" s="301">
        <f t="shared" si="104"/>
        <v>0.5</v>
      </c>
      <c r="R238" s="173">
        <f t="shared" si="105"/>
        <v>0.45471110611091964</v>
      </c>
      <c r="S238" s="801">
        <f t="shared" si="124"/>
        <v>0</v>
      </c>
      <c r="T238" s="172">
        <f t="shared" si="106"/>
        <v>6</v>
      </c>
      <c r="U238" s="247">
        <f t="shared" si="107"/>
        <v>0.45471110611091964</v>
      </c>
      <c r="V238" s="378">
        <f t="shared" si="108"/>
        <v>223.44224539106179</v>
      </c>
      <c r="W238" s="397"/>
      <c r="X238" s="153">
        <f t="shared" si="109"/>
        <v>44785</v>
      </c>
      <c r="Y238" s="380">
        <f t="shared" si="110"/>
        <v>199.57</v>
      </c>
      <c r="Z238" s="380">
        <f t="shared" si="111"/>
        <v>200.55868007899758</v>
      </c>
      <c r="AA238" s="381">
        <f t="shared" si="112"/>
        <v>205.40275655114345</v>
      </c>
      <c r="AB238" s="193">
        <f t="shared" si="113"/>
        <v>44785</v>
      </c>
      <c r="AC238" s="420">
        <f t="shared" si="114"/>
        <v>2.3583308001710032E-2</v>
      </c>
      <c r="AD238" s="165">
        <f>(INDEX(Models!$BJ238:$BT238,,AH238)*(1-AF238)+INDEX(Models!$BJ238:$BT238,,AH238+1)*AF238-ERP_i)*AE238*Ramure*Pc/MaxiM</f>
        <v>5.5289402867298744E-5</v>
      </c>
      <c r="AE238" s="301">
        <f t="shared" si="115"/>
        <v>0.5</v>
      </c>
      <c r="AF238" s="173">
        <f t="shared" si="116"/>
        <v>0.45471110611091964</v>
      </c>
      <c r="AG238" s="801">
        <f t="shared" si="117"/>
        <v>0</v>
      </c>
      <c r="AH238" s="172">
        <f t="shared" si="118"/>
        <v>6</v>
      </c>
      <c r="AI238" s="221">
        <f t="shared" si="119"/>
        <v>0.45471110611091964</v>
      </c>
      <c r="AJ238" s="261" t="b">
        <f t="shared" si="120"/>
        <v>0</v>
      </c>
      <c r="AK238" s="261" t="b">
        <f t="shared" si="121"/>
        <v>0</v>
      </c>
      <c r="AL238" s="261"/>
      <c r="AM238" s="261"/>
      <c r="AN238" s="75"/>
      <c r="AV238" s="153">
        <f t="shared" si="125"/>
        <v>44420</v>
      </c>
      <c r="AW238" s="608"/>
      <c r="AX238" s="385"/>
      <c r="AY238" s="388"/>
      <c r="AZ238" s="380"/>
      <c r="BA238" s="380"/>
      <c r="BB238" s="110"/>
      <c r="BD238" s="375"/>
      <c r="BE238" s="85"/>
      <c r="BF238" s="193">
        <f t="shared" si="122"/>
        <v>44785</v>
      </c>
      <c r="BG238" s="430"/>
      <c r="BH238" s="846"/>
      <c r="BI238" s="846"/>
      <c r="BJ238" s="320"/>
      <c r="BK238" s="378"/>
    </row>
    <row r="239" spans="1:63" s="6" customFormat="1" ht="11.25" customHeight="1" x14ac:dyDescent="0.2">
      <c r="A239" s="56">
        <f t="shared" si="123"/>
        <v>44786</v>
      </c>
      <c r="B239" s="608">
        <v>138.726</v>
      </c>
      <c r="C239" s="385"/>
      <c r="D239" s="388">
        <f t="shared" si="99"/>
        <v>139.41516423960866</v>
      </c>
      <c r="E239" s="380">
        <f t="shared" si="127"/>
        <v>142.79036967722666</v>
      </c>
      <c r="F239" s="380">
        <f t="shared" si="126"/>
        <v>142.79404848596596</v>
      </c>
      <c r="G239" s="110">
        <f t="shared" si="128"/>
        <v>0.62278990752640229</v>
      </c>
      <c r="I239" s="375">
        <f t="shared" si="100"/>
        <v>142.79404848596596</v>
      </c>
      <c r="J239" s="85">
        <v>2022</v>
      </c>
      <c r="K239" s="193">
        <f t="shared" si="101"/>
        <v>44786</v>
      </c>
      <c r="L239" s="430">
        <f t="shared" si="102"/>
        <v>4.9432516424411377E-3</v>
      </c>
      <c r="M239" s="846"/>
      <c r="N239" s="846"/>
      <c r="O239" s="320">
        <f t="shared" si="103"/>
        <v>2.363748651430465E-2</v>
      </c>
      <c r="P239" s="165">
        <f>(INDEX(Models!$BJ239:$BT239,,T239)*(1-R239)+INDEX(Models!$BJ239:$BT239,,T239+1)*R239-ERP_i)*Q239*Ramure*Pc/MaxiM</f>
        <v>5.5866307852345975E-5</v>
      </c>
      <c r="Q239" s="301">
        <f t="shared" si="104"/>
        <v>0.5</v>
      </c>
      <c r="R239" s="173">
        <f t="shared" si="105"/>
        <v>0.45602496443866325</v>
      </c>
      <c r="S239" s="801">
        <f t="shared" si="124"/>
        <v>0</v>
      </c>
      <c r="T239" s="172">
        <f t="shared" si="106"/>
        <v>6</v>
      </c>
      <c r="U239" s="247">
        <f t="shared" si="107"/>
        <v>0.45602496443866325</v>
      </c>
      <c r="V239" s="378">
        <f t="shared" si="108"/>
        <v>222.74256873783503</v>
      </c>
      <c r="W239" s="397"/>
      <c r="X239" s="153">
        <f t="shared" si="109"/>
        <v>44786</v>
      </c>
      <c r="Y239" s="380">
        <f t="shared" si="110"/>
        <v>138.726</v>
      </c>
      <c r="Z239" s="380">
        <f t="shared" si="111"/>
        <v>139.41516423960866</v>
      </c>
      <c r="AA239" s="381">
        <f t="shared" si="112"/>
        <v>142.79036967722666</v>
      </c>
      <c r="AB239" s="193">
        <f t="shared" si="113"/>
        <v>44786</v>
      </c>
      <c r="AC239" s="420">
        <f t="shared" si="114"/>
        <v>2.363748651430465E-2</v>
      </c>
      <c r="AD239" s="165">
        <f>(INDEX(Models!$BJ239:$BT239,,AH239)*(1-AF239)+INDEX(Models!$BJ239:$BT239,,AH239+1)*AF239-ERP_i)*AE239*Ramure*Pc/MaxiM</f>
        <v>5.5866307852345975E-5</v>
      </c>
      <c r="AE239" s="301">
        <f t="shared" si="115"/>
        <v>0.5</v>
      </c>
      <c r="AF239" s="173">
        <f t="shared" si="116"/>
        <v>0.45602496443866325</v>
      </c>
      <c r="AG239" s="801">
        <f t="shared" si="117"/>
        <v>0</v>
      </c>
      <c r="AH239" s="172">
        <f t="shared" si="118"/>
        <v>6</v>
      </c>
      <c r="AI239" s="221">
        <f t="shared" si="119"/>
        <v>0.45602496443866325</v>
      </c>
      <c r="AJ239" s="261" t="b">
        <f t="shared" si="120"/>
        <v>0</v>
      </c>
      <c r="AK239" s="261" t="b">
        <f t="shared" si="121"/>
        <v>0</v>
      </c>
      <c r="AL239" s="261"/>
      <c r="AM239" s="261"/>
      <c r="AN239" s="75"/>
      <c r="AV239" s="153">
        <f t="shared" si="125"/>
        <v>44421</v>
      </c>
      <c r="AW239" s="608"/>
      <c r="AX239" s="385"/>
      <c r="AY239" s="388"/>
      <c r="AZ239" s="380"/>
      <c r="BA239" s="380"/>
      <c r="BB239" s="110"/>
      <c r="BD239" s="375"/>
      <c r="BE239" s="85"/>
      <c r="BF239" s="193">
        <f t="shared" si="122"/>
        <v>44786</v>
      </c>
      <c r="BG239" s="430"/>
      <c r="BH239" s="846"/>
      <c r="BI239" s="846"/>
      <c r="BJ239" s="320"/>
      <c r="BK239" s="378"/>
    </row>
    <row r="240" spans="1:63" s="6" customFormat="1" ht="11.25" customHeight="1" x14ac:dyDescent="0.2">
      <c r="A240" s="56">
        <f t="shared" si="123"/>
        <v>44787</v>
      </c>
      <c r="B240" s="608">
        <v>152.16400000000002</v>
      </c>
      <c r="C240" s="385"/>
      <c r="D240" s="388">
        <f t="shared" si="99"/>
        <v>152.92201502784519</v>
      </c>
      <c r="E240" s="380">
        <f t="shared" si="127"/>
        <v>156.63289155288223</v>
      </c>
      <c r="F240" s="380">
        <f t="shared" si="126"/>
        <v>156.63775376535247</v>
      </c>
      <c r="G240" s="110">
        <f t="shared" si="128"/>
        <v>0.68530765505768776</v>
      </c>
      <c r="I240" s="375">
        <f t="shared" si="100"/>
        <v>156.63775376535247</v>
      </c>
      <c r="J240" s="85">
        <v>2022</v>
      </c>
      <c r="K240" s="193">
        <f t="shared" si="101"/>
        <v>44787</v>
      </c>
      <c r="L240" s="430">
        <f t="shared" si="102"/>
        <v>4.9568731337155114E-3</v>
      </c>
      <c r="M240" s="846"/>
      <c r="N240" s="846"/>
      <c r="O240" s="320">
        <f t="shared" si="103"/>
        <v>2.3691553467773272E-2</v>
      </c>
      <c r="P240" s="165">
        <f>(INDEX(Models!$BJ240:$BT240,,T240)*(1-R240)+INDEX(Models!$BJ240:$BT240,,T240+1)*R240-ERP_i)*Q240*Ramure*Pc/MaxiM</f>
        <v>5.6390806670214384E-5</v>
      </c>
      <c r="Q240" s="301">
        <f t="shared" si="104"/>
        <v>0.5</v>
      </c>
      <c r="R240" s="173">
        <f t="shared" si="105"/>
        <v>0.45729291099961217</v>
      </c>
      <c r="S240" s="801">
        <f t="shared" si="124"/>
        <v>0</v>
      </c>
      <c r="T240" s="172">
        <f t="shared" si="106"/>
        <v>6</v>
      </c>
      <c r="U240" s="247">
        <f t="shared" si="107"/>
        <v>0.45729291099961217</v>
      </c>
      <c r="V240" s="378">
        <f t="shared" si="108"/>
        <v>222.03187349316281</v>
      </c>
      <c r="W240" s="397"/>
      <c r="X240" s="153">
        <f t="shared" si="109"/>
        <v>44787</v>
      </c>
      <c r="Y240" s="380">
        <f t="shared" si="110"/>
        <v>152.16400000000002</v>
      </c>
      <c r="Z240" s="380">
        <f t="shared" si="111"/>
        <v>152.92201502784519</v>
      </c>
      <c r="AA240" s="381">
        <f t="shared" si="112"/>
        <v>156.63289155288223</v>
      </c>
      <c r="AB240" s="193">
        <f t="shared" si="113"/>
        <v>44787</v>
      </c>
      <c r="AC240" s="420">
        <f t="shared" si="114"/>
        <v>2.3691553467773272E-2</v>
      </c>
      <c r="AD240" s="165">
        <f>(INDEX(Models!$BJ240:$BT240,,AH240)*(1-AF240)+INDEX(Models!$BJ240:$BT240,,AH240+1)*AF240-ERP_i)*AE240*Ramure*Pc/MaxiM</f>
        <v>5.6390806670214384E-5</v>
      </c>
      <c r="AE240" s="301">
        <f t="shared" si="115"/>
        <v>0.5</v>
      </c>
      <c r="AF240" s="173">
        <f t="shared" si="116"/>
        <v>0.45729291099961217</v>
      </c>
      <c r="AG240" s="801">
        <f t="shared" si="117"/>
        <v>0</v>
      </c>
      <c r="AH240" s="172">
        <f t="shared" si="118"/>
        <v>6</v>
      </c>
      <c r="AI240" s="221">
        <f t="shared" si="119"/>
        <v>0.45729291099961217</v>
      </c>
      <c r="AJ240" s="261" t="b">
        <f t="shared" si="120"/>
        <v>0</v>
      </c>
      <c r="AK240" s="261" t="b">
        <f t="shared" si="121"/>
        <v>0</v>
      </c>
      <c r="AL240" s="261"/>
      <c r="AM240" s="261"/>
      <c r="AN240" s="75"/>
      <c r="AV240" s="153">
        <f t="shared" si="125"/>
        <v>44422</v>
      </c>
      <c r="AW240" s="608"/>
      <c r="AX240" s="385"/>
      <c r="AY240" s="388"/>
      <c r="AZ240" s="380"/>
      <c r="BA240" s="380"/>
      <c r="BB240" s="110"/>
      <c r="BD240" s="375"/>
      <c r="BE240" s="85"/>
      <c r="BF240" s="193">
        <f t="shared" si="122"/>
        <v>44787</v>
      </c>
      <c r="BG240" s="430"/>
      <c r="BH240" s="846"/>
      <c r="BI240" s="846"/>
      <c r="BJ240" s="320"/>
      <c r="BK240" s="378"/>
    </row>
    <row r="241" spans="1:63" s="6" customFormat="1" ht="11.25" customHeight="1" x14ac:dyDescent="0.2">
      <c r="A241" s="56">
        <f t="shared" si="123"/>
        <v>44788</v>
      </c>
      <c r="B241" s="608">
        <v>156.636</v>
      </c>
      <c r="C241" s="385"/>
      <c r="D241" s="388">
        <f t="shared" si="99"/>
        <v>157.4184475179087</v>
      </c>
      <c r="E241" s="380">
        <f t="shared" si="127"/>
        <v>161.2473475275589</v>
      </c>
      <c r="F241" s="380">
        <f t="shared" si="126"/>
        <v>161.2526894058478</v>
      </c>
      <c r="G241" s="110">
        <f t="shared" si="128"/>
        <v>0.70775176513657445</v>
      </c>
      <c r="I241" s="375">
        <f t="shared" si="100"/>
        <v>161.2526894058478</v>
      </c>
      <c r="J241" s="85">
        <v>2022</v>
      </c>
      <c r="K241" s="193">
        <f t="shared" si="101"/>
        <v>44788</v>
      </c>
      <c r="L241" s="430">
        <f t="shared" si="102"/>
        <v>4.9704944385231542E-3</v>
      </c>
      <c r="M241" s="846"/>
      <c r="N241" s="846"/>
      <c r="O241" s="320">
        <f t="shared" si="103"/>
        <v>2.3745506939243103E-2</v>
      </c>
      <c r="P241" s="165">
        <f>(INDEX(Models!$BJ241:$BT241,,T241)*(1-R241)+INDEX(Models!$BJ241:$BT241,,T241+1)*R241-ERP_i)*Q241*Ramure*Pc/MaxiM</f>
        <v>5.6868440019823893E-5</v>
      </c>
      <c r="Q241" s="301">
        <f t="shared" si="104"/>
        <v>0.5</v>
      </c>
      <c r="R241" s="173">
        <f t="shared" si="105"/>
        <v>0.45851629552265238</v>
      </c>
      <c r="S241" s="801">
        <f t="shared" si="124"/>
        <v>0</v>
      </c>
      <c r="T241" s="172">
        <f t="shared" si="106"/>
        <v>6</v>
      </c>
      <c r="U241" s="247">
        <f t="shared" si="107"/>
        <v>0.45851629552265238</v>
      </c>
      <c r="V241" s="378">
        <f t="shared" si="108"/>
        <v>221.30962985461028</v>
      </c>
      <c r="W241" s="397"/>
      <c r="X241" s="153">
        <f t="shared" si="109"/>
        <v>44788</v>
      </c>
      <c r="Y241" s="380">
        <f t="shared" si="110"/>
        <v>156.636</v>
      </c>
      <c r="Z241" s="380">
        <f t="shared" si="111"/>
        <v>157.4184475179087</v>
      </c>
      <c r="AA241" s="381">
        <f t="shared" si="112"/>
        <v>161.2473475275589</v>
      </c>
      <c r="AB241" s="193">
        <f t="shared" si="113"/>
        <v>44788</v>
      </c>
      <c r="AC241" s="420">
        <f t="shared" si="114"/>
        <v>2.3745506939243103E-2</v>
      </c>
      <c r="AD241" s="165">
        <f>(INDEX(Models!$BJ241:$BT241,,AH241)*(1-AF241)+INDEX(Models!$BJ241:$BT241,,AH241+1)*AF241-ERP_i)*AE241*Ramure*Pc/MaxiM</f>
        <v>5.6868440019823893E-5</v>
      </c>
      <c r="AE241" s="301">
        <f t="shared" si="115"/>
        <v>0.5</v>
      </c>
      <c r="AF241" s="173">
        <f t="shared" si="116"/>
        <v>0.45851629552265238</v>
      </c>
      <c r="AG241" s="801">
        <f t="shared" si="117"/>
        <v>0</v>
      </c>
      <c r="AH241" s="172">
        <f t="shared" si="118"/>
        <v>6</v>
      </c>
      <c r="AI241" s="221">
        <f t="shared" si="119"/>
        <v>0.45851629552265238</v>
      </c>
      <c r="AJ241" s="261" t="b">
        <f t="shared" si="120"/>
        <v>0</v>
      </c>
      <c r="AK241" s="261" t="b">
        <f t="shared" si="121"/>
        <v>0</v>
      </c>
      <c r="AL241" s="261"/>
      <c r="AM241" s="261"/>
      <c r="AN241" s="75"/>
      <c r="AV241" s="153">
        <f t="shared" si="125"/>
        <v>44423</v>
      </c>
      <c r="AW241" s="608"/>
      <c r="AX241" s="385"/>
      <c r="AY241" s="388"/>
      <c r="AZ241" s="380"/>
      <c r="BA241" s="380"/>
      <c r="BB241" s="110"/>
      <c r="BD241" s="375"/>
      <c r="BE241" s="85"/>
      <c r="BF241" s="193">
        <f t="shared" si="122"/>
        <v>44788</v>
      </c>
      <c r="BG241" s="430"/>
      <c r="BH241" s="846"/>
      <c r="BI241" s="846"/>
      <c r="BJ241" s="320"/>
      <c r="BK241" s="378"/>
    </row>
    <row r="242" spans="1:63" s="6" customFormat="1" ht="11.25" customHeight="1" x14ac:dyDescent="0.2">
      <c r="A242" s="56">
        <f t="shared" si="123"/>
        <v>44789</v>
      </c>
      <c r="B242" s="608">
        <v>140.91200000000001</v>
      </c>
      <c r="C242" s="385"/>
      <c r="D242" s="388">
        <f t="shared" si="99"/>
        <v>141.61783967786832</v>
      </c>
      <c r="E242" s="380">
        <f t="shared" si="127"/>
        <v>145.07042063094178</v>
      </c>
      <c r="F242" s="380">
        <f t="shared" si="126"/>
        <v>145.07444437533258</v>
      </c>
      <c r="G242" s="110">
        <f t="shared" si="128"/>
        <v>0.63881961397379727</v>
      </c>
      <c r="I242" s="375">
        <f t="shared" si="100"/>
        <v>145.07444437533258</v>
      </c>
      <c r="J242" s="85">
        <v>2022</v>
      </c>
      <c r="K242" s="193">
        <f t="shared" si="101"/>
        <v>44789</v>
      </c>
      <c r="L242" s="430">
        <f t="shared" si="102"/>
        <v>4.9841155568666196E-3</v>
      </c>
      <c r="M242" s="846"/>
      <c r="N242" s="846"/>
      <c r="O242" s="320">
        <f t="shared" si="103"/>
        <v>2.3799344746209778E-2</v>
      </c>
      <c r="P242" s="165">
        <f>(INDEX(Models!$BJ242:$BT242,,T242)*(1-R242)+INDEX(Models!$BJ242:$BT242,,T242+1)*R242-ERP_i)*Q242*Ramure*Pc/MaxiM</f>
        <v>5.7298698485162382E-5</v>
      </c>
      <c r="Q242" s="301">
        <f t="shared" si="104"/>
        <v>0.5</v>
      </c>
      <c r="R242" s="173">
        <f t="shared" si="105"/>
        <v>0.45969644715067115</v>
      </c>
      <c r="S242" s="801">
        <f t="shared" si="124"/>
        <v>0</v>
      </c>
      <c r="T242" s="172">
        <f t="shared" si="106"/>
        <v>6</v>
      </c>
      <c r="U242" s="247">
        <f t="shared" si="107"/>
        <v>0.45969644715067115</v>
      </c>
      <c r="V242" s="378">
        <f t="shared" si="108"/>
        <v>220.57530956153042</v>
      </c>
      <c r="W242" s="397"/>
      <c r="X242" s="153">
        <f t="shared" si="109"/>
        <v>44789</v>
      </c>
      <c r="Y242" s="380">
        <f t="shared" si="110"/>
        <v>140.91200000000001</v>
      </c>
      <c r="Z242" s="380">
        <f t="shared" si="111"/>
        <v>141.61783967786832</v>
      </c>
      <c r="AA242" s="381">
        <f t="shared" si="112"/>
        <v>145.07042063094178</v>
      </c>
      <c r="AB242" s="193">
        <f t="shared" si="113"/>
        <v>44789</v>
      </c>
      <c r="AC242" s="420">
        <f t="shared" si="114"/>
        <v>2.3799344746209778E-2</v>
      </c>
      <c r="AD242" s="165">
        <f>(INDEX(Models!$BJ242:$BT242,,AH242)*(1-AF242)+INDEX(Models!$BJ242:$BT242,,AH242+1)*AF242-ERP_i)*AE242*Ramure*Pc/MaxiM</f>
        <v>5.7298698485162382E-5</v>
      </c>
      <c r="AE242" s="301">
        <f t="shared" si="115"/>
        <v>0.5</v>
      </c>
      <c r="AF242" s="173">
        <f t="shared" si="116"/>
        <v>0.45969644715067115</v>
      </c>
      <c r="AG242" s="801">
        <f t="shared" si="117"/>
        <v>0</v>
      </c>
      <c r="AH242" s="172">
        <f t="shared" si="118"/>
        <v>6</v>
      </c>
      <c r="AI242" s="221">
        <f t="shared" si="119"/>
        <v>0.45969644715067115</v>
      </c>
      <c r="AJ242" s="261" t="b">
        <f t="shared" si="120"/>
        <v>0</v>
      </c>
      <c r="AK242" s="261" t="b">
        <f t="shared" si="121"/>
        <v>0</v>
      </c>
      <c r="AL242" s="261"/>
      <c r="AM242" s="261"/>
      <c r="AN242" s="75"/>
      <c r="AV242" s="153">
        <f t="shared" si="125"/>
        <v>44424</v>
      </c>
      <c r="AW242" s="608"/>
      <c r="AX242" s="385"/>
      <c r="AY242" s="388"/>
      <c r="AZ242" s="380"/>
      <c r="BA242" s="380"/>
      <c r="BB242" s="110"/>
      <c r="BD242" s="375"/>
      <c r="BE242" s="85"/>
      <c r="BF242" s="193">
        <f t="shared" si="122"/>
        <v>44789</v>
      </c>
      <c r="BG242" s="430">
        <f t="shared" ref="BG242:BG273" si="129">IF(AV242&lt;T0,0,1-EXP((T0-AV242)*PertePVj)+Pspv_21)</f>
        <v>1.0638297872340385E-2</v>
      </c>
      <c r="BH242" s="846"/>
      <c r="BI242" s="846"/>
      <c r="BJ242" s="320">
        <f t="shared" ref="BJ242:BJ270" si="130">IF(AV242&lt;T0,0,Salim_i*(1-EXP((T0-AV242)/Tau_ij)))*Salcycl</f>
        <v>0</v>
      </c>
      <c r="BK242" s="378"/>
    </row>
    <row r="243" spans="1:63" s="6" customFormat="1" ht="11.25" x14ac:dyDescent="0.2">
      <c r="A243" s="56">
        <f t="shared" si="123"/>
        <v>44790</v>
      </c>
      <c r="B243" s="608">
        <v>108.52500000000001</v>
      </c>
      <c r="C243" s="385"/>
      <c r="D243" s="388">
        <f t="shared" si="99"/>
        <v>109.07010363677709</v>
      </c>
      <c r="E243" s="380">
        <f t="shared" si="127"/>
        <v>111.7353337561016</v>
      </c>
      <c r="F243" s="380">
        <f t="shared" si="126"/>
        <v>111.73711703322597</v>
      </c>
      <c r="G243" s="110">
        <f t="shared" si="128"/>
        <v>0.49365996266823392</v>
      </c>
      <c r="I243" s="375">
        <f t="shared" si="100"/>
        <v>111.73711703322597</v>
      </c>
      <c r="J243" s="85">
        <v>2022</v>
      </c>
      <c r="K243" s="193">
        <f t="shared" si="101"/>
        <v>44790</v>
      </c>
      <c r="L243" s="430">
        <f t="shared" si="102"/>
        <v>4.99773648874835E-3</v>
      </c>
      <c r="M243" s="846"/>
      <c r="N243" s="846"/>
      <c r="O243" s="320">
        <f t="shared" si="103"/>
        <v>2.3853064466986124E-2</v>
      </c>
      <c r="P243" s="165">
        <f>(INDEX(Models!$BJ243:$BT243,,T243)*(1-R243)+INDEX(Models!$BJ243:$BT243,,T243+1)*R243-ERP_i)*Q243*Ramure*Pc/MaxiM</f>
        <v>5.7681080140389231E-5</v>
      </c>
      <c r="Q243" s="301">
        <f t="shared" si="104"/>
        <v>0.5</v>
      </c>
      <c r="R243" s="173">
        <f t="shared" si="105"/>
        <v>0.46083467318552379</v>
      </c>
      <c r="S243" s="801">
        <f t="shared" si="124"/>
        <v>0</v>
      </c>
      <c r="T243" s="172">
        <f t="shared" si="106"/>
        <v>6</v>
      </c>
      <c r="U243" s="247">
        <f t="shared" si="107"/>
        <v>0.46083467318552379</v>
      </c>
      <c r="V243" s="378">
        <f t="shared" si="108"/>
        <v>219.82838453225187</v>
      </c>
      <c r="W243" s="397"/>
      <c r="X243" s="153">
        <f t="shared" si="109"/>
        <v>44790</v>
      </c>
      <c r="Y243" s="380">
        <f t="shared" si="110"/>
        <v>108.52500000000001</v>
      </c>
      <c r="Z243" s="380">
        <f t="shared" si="111"/>
        <v>109.07010363677709</v>
      </c>
      <c r="AA243" s="381">
        <f t="shared" si="112"/>
        <v>111.7353337561016</v>
      </c>
      <c r="AB243" s="193">
        <f t="shared" si="113"/>
        <v>44790</v>
      </c>
      <c r="AC243" s="420">
        <f t="shared" si="114"/>
        <v>2.3853064466986124E-2</v>
      </c>
      <c r="AD243" s="165">
        <f>(INDEX(Models!$BJ243:$BT243,,AH243)*(1-AF243)+INDEX(Models!$BJ243:$BT243,,AH243+1)*AF243-ERP_i)*AE243*Ramure*Pc/MaxiM</f>
        <v>5.7681080140389231E-5</v>
      </c>
      <c r="AE243" s="301">
        <f t="shared" si="115"/>
        <v>0.5</v>
      </c>
      <c r="AF243" s="173">
        <f t="shared" si="116"/>
        <v>0.46083467318552379</v>
      </c>
      <c r="AG243" s="801">
        <f t="shared" si="117"/>
        <v>0</v>
      </c>
      <c r="AH243" s="172">
        <f t="shared" si="118"/>
        <v>6</v>
      </c>
      <c r="AI243" s="221">
        <f t="shared" si="119"/>
        <v>0.46083467318552379</v>
      </c>
      <c r="AJ243" s="261" t="b">
        <f t="shared" si="120"/>
        <v>0</v>
      </c>
      <c r="AK243" s="261" t="b">
        <f t="shared" si="121"/>
        <v>0</v>
      </c>
      <c r="AL243" s="261"/>
      <c r="AM243" s="261"/>
      <c r="AN243" s="75"/>
      <c r="AV243" s="153">
        <f t="shared" si="125"/>
        <v>44425</v>
      </c>
      <c r="AW243" s="608"/>
      <c r="AX243" s="385"/>
      <c r="AY243" s="388"/>
      <c r="AZ243" s="380"/>
      <c r="BA243" s="380"/>
      <c r="BB243" s="110"/>
      <c r="BD243" s="375"/>
      <c r="BE243" s="85"/>
      <c r="BF243" s="193">
        <f t="shared" si="122"/>
        <v>44790</v>
      </c>
      <c r="BG243" s="430">
        <f t="shared" si="129"/>
        <v>1.0651987032578636E-2</v>
      </c>
      <c r="BH243" s="846"/>
      <c r="BI243" s="846"/>
      <c r="BJ243" s="320">
        <f t="shared" si="130"/>
        <v>7.6634750767374469E-5</v>
      </c>
      <c r="BK243" s="378"/>
    </row>
    <row r="244" spans="1:63" s="6" customFormat="1" ht="11.25" x14ac:dyDescent="0.2">
      <c r="A244" s="56">
        <f t="shared" si="123"/>
        <v>44791</v>
      </c>
      <c r="B244" s="608">
        <v>133.25800000000001</v>
      </c>
      <c r="C244" s="385"/>
      <c r="D244" s="388">
        <f t="shared" si="99"/>
        <v>133.92916689940785</v>
      </c>
      <c r="E244" s="380">
        <f t="shared" si="127"/>
        <v>137.20938550211056</v>
      </c>
      <c r="F244" s="380">
        <f t="shared" si="126"/>
        <v>137.21289143208358</v>
      </c>
      <c r="G244" s="110">
        <f t="shared" si="128"/>
        <v>0.60827448542352525</v>
      </c>
      <c r="I244" s="375">
        <f t="shared" si="100"/>
        <v>137.21289143208358</v>
      </c>
      <c r="J244" s="85">
        <v>2022</v>
      </c>
      <c r="K244" s="193">
        <f t="shared" si="101"/>
        <v>44791</v>
      </c>
      <c r="L244" s="430">
        <f t="shared" si="102"/>
        <v>5.011357234170899E-3</v>
      </c>
      <c r="M244" s="846"/>
      <c r="N244" s="846"/>
      <c r="O244" s="320">
        <f t="shared" si="103"/>
        <v>2.3906663459638076E-2</v>
      </c>
      <c r="P244" s="165">
        <f>(INDEX(Models!$BJ244:$BT244,,T244)*(1-R244)+INDEX(Models!$BJ244:$BT244,,T244+1)*R244-ERP_i)*Q244*Ramure*Pc/MaxiM</f>
        <v>5.8015088551196858E-5</v>
      </c>
      <c r="Q244" s="301">
        <f t="shared" si="104"/>
        <v>0.5</v>
      </c>
      <c r="R244" s="173">
        <f t="shared" si="105"/>
        <v>0.46193225799033738</v>
      </c>
      <c r="S244" s="801">
        <f t="shared" si="124"/>
        <v>0</v>
      </c>
      <c r="T244" s="172">
        <f t="shared" si="106"/>
        <v>6</v>
      </c>
      <c r="U244" s="247">
        <f t="shared" si="107"/>
        <v>0.46193225799033738</v>
      </c>
      <c r="V244" s="378">
        <f t="shared" si="108"/>
        <v>219.06832685979651</v>
      </c>
      <c r="W244" s="397"/>
      <c r="X244" s="153">
        <f t="shared" si="109"/>
        <v>44791</v>
      </c>
      <c r="Y244" s="380">
        <f t="shared" si="110"/>
        <v>133.25800000000001</v>
      </c>
      <c r="Z244" s="380">
        <f t="shared" si="111"/>
        <v>133.92916689940785</v>
      </c>
      <c r="AA244" s="381">
        <f t="shared" si="112"/>
        <v>137.20938550211056</v>
      </c>
      <c r="AB244" s="193">
        <f t="shared" si="113"/>
        <v>44791</v>
      </c>
      <c r="AC244" s="420">
        <f t="shared" si="114"/>
        <v>2.3906663459638076E-2</v>
      </c>
      <c r="AD244" s="165">
        <f>(INDEX(Models!$BJ244:$BT244,,AH244)*(1-AF244)+INDEX(Models!$BJ244:$BT244,,AH244+1)*AF244-ERP_i)*AE244*Ramure*Pc/MaxiM</f>
        <v>5.8015088551196858E-5</v>
      </c>
      <c r="AE244" s="301">
        <f t="shared" si="115"/>
        <v>0.5</v>
      </c>
      <c r="AF244" s="173">
        <f t="shared" si="116"/>
        <v>0.46193225799033738</v>
      </c>
      <c r="AG244" s="801">
        <f t="shared" si="117"/>
        <v>0</v>
      </c>
      <c r="AH244" s="172">
        <f t="shared" si="118"/>
        <v>6</v>
      </c>
      <c r="AI244" s="221">
        <f t="shared" si="119"/>
        <v>0.46193225799033738</v>
      </c>
      <c r="AJ244" s="261" t="b">
        <f t="shared" si="120"/>
        <v>0</v>
      </c>
      <c r="AK244" s="261" t="b">
        <f t="shared" si="121"/>
        <v>0</v>
      </c>
      <c r="AL244" s="261"/>
      <c r="AM244" s="261"/>
      <c r="AN244" s="75"/>
      <c r="AV244" s="153">
        <f t="shared" si="125"/>
        <v>44426</v>
      </c>
      <c r="AW244" s="608"/>
      <c r="AX244" s="385"/>
      <c r="AY244" s="388"/>
      <c r="AZ244" s="380"/>
      <c r="BA244" s="380"/>
      <c r="BB244" s="110"/>
      <c r="BD244" s="375"/>
      <c r="BE244" s="85"/>
      <c r="BF244" s="193">
        <f t="shared" si="122"/>
        <v>44791</v>
      </c>
      <c r="BG244" s="430">
        <f t="shared" si="129"/>
        <v>1.0665676005423785E-2</v>
      </c>
      <c r="BH244" s="846"/>
      <c r="BI244" s="846"/>
      <c r="BJ244" s="320">
        <f t="shared" si="130"/>
        <v>1.5319146011935275E-4</v>
      </c>
      <c r="BK244" s="378"/>
    </row>
    <row r="245" spans="1:63" s="6" customFormat="1" ht="11.25" customHeight="1" x14ac:dyDescent="0.2">
      <c r="A245" s="56">
        <f t="shared" si="123"/>
        <v>44792</v>
      </c>
      <c r="B245" s="608">
        <v>143.779</v>
      </c>
      <c r="C245" s="385"/>
      <c r="D245" s="388">
        <f t="shared" si="99"/>
        <v>144.50513509484585</v>
      </c>
      <c r="E245" s="380">
        <f t="shared" si="127"/>
        <v>148.05249339806849</v>
      </c>
      <c r="F245" s="380">
        <f t="shared" si="126"/>
        <v>148.05691589601781</v>
      </c>
      <c r="G245" s="110">
        <f t="shared" si="128"/>
        <v>0.65862786550744779</v>
      </c>
      <c r="I245" s="375">
        <f t="shared" si="100"/>
        <v>148.05691589601781</v>
      </c>
      <c r="J245" s="85">
        <v>2022</v>
      </c>
      <c r="K245" s="193">
        <f t="shared" si="101"/>
        <v>44792</v>
      </c>
      <c r="L245" s="430">
        <f t="shared" si="102"/>
        <v>5.0249777931370421E-3</v>
      </c>
      <c r="M245" s="846"/>
      <c r="N245" s="846"/>
      <c r="O245" s="320">
        <f t="shared" si="103"/>
        <v>2.3960138879153315E-2</v>
      </c>
      <c r="P245" s="165">
        <f>(INDEX(Models!$BJ245:$BT245,,T245)*(1-R245)+INDEX(Models!$BJ245:$BT245,,T245+1)*R245-ERP_i)*Q245*Ramure*Pc/MaxiM</f>
        <v>5.8300230801260347E-5</v>
      </c>
      <c r="Q245" s="301">
        <f t="shared" si="104"/>
        <v>0.5</v>
      </c>
      <c r="R245" s="173">
        <f t="shared" si="105"/>
        <v>0.46299046203977673</v>
      </c>
      <c r="S245" s="801">
        <f t="shared" si="124"/>
        <v>0</v>
      </c>
      <c r="T245" s="172">
        <f t="shared" si="106"/>
        <v>6</v>
      </c>
      <c r="U245" s="247">
        <f t="shared" si="107"/>
        <v>0.46299046203977673</v>
      </c>
      <c r="V245" s="378">
        <f t="shared" si="108"/>
        <v>218.29460879816776</v>
      </c>
      <c r="W245" s="397"/>
      <c r="X245" s="153">
        <f t="shared" si="109"/>
        <v>44792</v>
      </c>
      <c r="Y245" s="380">
        <f t="shared" si="110"/>
        <v>143.779</v>
      </c>
      <c r="Z245" s="380">
        <f t="shared" si="111"/>
        <v>144.50513509484585</v>
      </c>
      <c r="AA245" s="381">
        <f t="shared" si="112"/>
        <v>148.05249339806849</v>
      </c>
      <c r="AB245" s="193">
        <f t="shared" si="113"/>
        <v>44792</v>
      </c>
      <c r="AC245" s="420">
        <f t="shared" si="114"/>
        <v>2.3960138879153315E-2</v>
      </c>
      <c r="AD245" s="165">
        <f>(INDEX(Models!$BJ245:$BT245,,AH245)*(1-AF245)+INDEX(Models!$BJ245:$BT245,,AH245+1)*AF245-ERP_i)*AE245*Ramure*Pc/MaxiM</f>
        <v>5.8300230801260347E-5</v>
      </c>
      <c r="AE245" s="301">
        <f t="shared" si="115"/>
        <v>0.5</v>
      </c>
      <c r="AF245" s="173">
        <f t="shared" si="116"/>
        <v>0.46299046203977673</v>
      </c>
      <c r="AG245" s="801">
        <f t="shared" si="117"/>
        <v>0</v>
      </c>
      <c r="AH245" s="172">
        <f t="shared" si="118"/>
        <v>6</v>
      </c>
      <c r="AI245" s="221">
        <f t="shared" si="119"/>
        <v>0.46299046203977673</v>
      </c>
      <c r="AJ245" s="261" t="b">
        <f t="shared" si="120"/>
        <v>0</v>
      </c>
      <c r="AK245" s="261" t="b">
        <f t="shared" si="121"/>
        <v>0</v>
      </c>
      <c r="AL245" s="261"/>
      <c r="AM245" s="261"/>
      <c r="AN245" s="75"/>
      <c r="AV245" s="153">
        <f t="shared" si="125"/>
        <v>44427</v>
      </c>
      <c r="AW245" s="608"/>
      <c r="AX245" s="385"/>
      <c r="AY245" s="388"/>
      <c r="AZ245" s="380"/>
      <c r="BA245" s="380"/>
      <c r="BB245" s="110"/>
      <c r="BD245" s="375"/>
      <c r="BE245" s="85"/>
      <c r="BF245" s="193">
        <f t="shared" si="122"/>
        <v>44792</v>
      </c>
      <c r="BG245" s="430">
        <f t="shared" si="129"/>
        <v>1.0679364790878387E-2</v>
      </c>
      <c r="BH245" s="846"/>
      <c r="BI245" s="846"/>
      <c r="BJ245" s="320">
        <f t="shared" si="130"/>
        <v>2.2966955397234421E-4</v>
      </c>
      <c r="BK245" s="378"/>
    </row>
    <row r="246" spans="1:63" s="6" customFormat="1" ht="11.25" x14ac:dyDescent="0.2">
      <c r="A246" s="56">
        <f t="shared" si="123"/>
        <v>44793</v>
      </c>
      <c r="B246" s="608">
        <v>210.023</v>
      </c>
      <c r="C246" s="385"/>
      <c r="D246" s="388">
        <f t="shared" si="99"/>
        <v>211.08658045708418</v>
      </c>
      <c r="E246" s="380">
        <f t="shared" si="127"/>
        <v>216.28022292853615</v>
      </c>
      <c r="F246" s="380">
        <f t="shared" si="126"/>
        <v>216.29226150112041</v>
      </c>
      <c r="G246" s="110">
        <f t="shared" si="128"/>
        <v>0.96559045312357838</v>
      </c>
      <c r="I246" s="375">
        <f t="shared" si="100"/>
        <v>216.29226150112041</v>
      </c>
      <c r="J246" s="85">
        <v>2022</v>
      </c>
      <c r="K246" s="193">
        <f t="shared" si="101"/>
        <v>44793</v>
      </c>
      <c r="L246" s="430">
        <f t="shared" si="102"/>
        <v>5.0385981656489998E-3</v>
      </c>
      <c r="M246" s="846"/>
      <c r="N246" s="846"/>
      <c r="O246" s="320">
        <f t="shared" si="103"/>
        <v>2.4013487692622158E-2</v>
      </c>
      <c r="P246" s="165">
        <f>(INDEX(Models!$BJ246:$BT246,,T246)*(1-R246)+INDEX(Models!$BJ246:$BT246,,T246+1)*R246-ERP_i)*Q246*Ramure*Pc/MaxiM</f>
        <v>5.8536015520764588E-5</v>
      </c>
      <c r="Q246" s="301">
        <f t="shared" si="104"/>
        <v>0.5</v>
      </c>
      <c r="R246" s="173">
        <f t="shared" si="105"/>
        <v>0.46401052110906199</v>
      </c>
      <c r="S246" s="801">
        <f t="shared" si="124"/>
        <v>0</v>
      </c>
      <c r="T246" s="172">
        <f t="shared" si="106"/>
        <v>6</v>
      </c>
      <c r="U246" s="247">
        <f t="shared" si="107"/>
        <v>0.46401052110906199</v>
      </c>
      <c r="V246" s="378">
        <f t="shared" si="108"/>
        <v>217.50670277471073</v>
      </c>
      <c r="W246" s="397"/>
      <c r="X246" s="153">
        <f t="shared" si="109"/>
        <v>44793</v>
      </c>
      <c r="Y246" s="380">
        <f t="shared" si="110"/>
        <v>210.023</v>
      </c>
      <c r="Z246" s="380">
        <f t="shared" si="111"/>
        <v>211.08658045708418</v>
      </c>
      <c r="AA246" s="381">
        <f t="shared" si="112"/>
        <v>216.28022292853615</v>
      </c>
      <c r="AB246" s="193">
        <f t="shared" si="113"/>
        <v>44793</v>
      </c>
      <c r="AC246" s="420">
        <f t="shared" si="114"/>
        <v>2.4013487692622158E-2</v>
      </c>
      <c r="AD246" s="165">
        <f>(INDEX(Models!$BJ246:$BT246,,AH246)*(1-AF246)+INDEX(Models!$BJ246:$BT246,,AH246+1)*AF246-ERP_i)*AE246*Ramure*Pc/MaxiM</f>
        <v>5.8536015520764588E-5</v>
      </c>
      <c r="AE246" s="301">
        <f t="shared" si="115"/>
        <v>0.5</v>
      </c>
      <c r="AF246" s="173">
        <f t="shared" si="116"/>
        <v>0.46401052110906199</v>
      </c>
      <c r="AG246" s="801">
        <f t="shared" si="117"/>
        <v>0</v>
      </c>
      <c r="AH246" s="172">
        <f t="shared" si="118"/>
        <v>6</v>
      </c>
      <c r="AI246" s="221">
        <f t="shared" si="119"/>
        <v>0.46401052110906199</v>
      </c>
      <c r="AJ246" s="261" t="b">
        <f t="shared" si="120"/>
        <v>0</v>
      </c>
      <c r="AK246" s="261" t="b">
        <f t="shared" si="121"/>
        <v>0</v>
      </c>
      <c r="AL246" s="261"/>
      <c r="AM246" s="261"/>
      <c r="AN246" s="75"/>
      <c r="AV246" s="153">
        <f t="shared" si="125"/>
        <v>44428</v>
      </c>
      <c r="AW246" s="608"/>
      <c r="AX246" s="385"/>
      <c r="AY246" s="388"/>
      <c r="AZ246" s="380"/>
      <c r="BA246" s="380"/>
      <c r="BB246" s="110"/>
      <c r="BD246" s="375"/>
      <c r="BE246" s="85"/>
      <c r="BF246" s="193">
        <f t="shared" si="122"/>
        <v>44793</v>
      </c>
      <c r="BG246" s="430">
        <f t="shared" si="129"/>
        <v>1.0693053388944995E-2</v>
      </c>
      <c r="BH246" s="846"/>
      <c r="BI246" s="846"/>
      <c r="BJ246" s="320">
        <f t="shared" si="130"/>
        <v>3.0606842593173102E-4</v>
      </c>
      <c r="BK246" s="378"/>
    </row>
    <row r="247" spans="1:63" s="6" customFormat="1" ht="11.25" customHeight="1" x14ac:dyDescent="0.2">
      <c r="A247" s="56">
        <f t="shared" si="123"/>
        <v>44794</v>
      </c>
      <c r="B247" s="608">
        <v>133.99</v>
      </c>
      <c r="C247" s="385"/>
      <c r="D247" s="388">
        <f t="shared" si="99"/>
        <v>134.67038418641843</v>
      </c>
      <c r="E247" s="380">
        <f t="shared" si="127"/>
        <v>137.99138231054403</v>
      </c>
      <c r="F247" s="380">
        <f t="shared" si="126"/>
        <v>137.99506704811625</v>
      </c>
      <c r="G247" s="110">
        <f t="shared" si="128"/>
        <v>0.61828502846419708</v>
      </c>
      <c r="I247" s="375">
        <f t="shared" si="100"/>
        <v>137.99506704811625</v>
      </c>
      <c r="J247" s="85">
        <v>2022</v>
      </c>
      <c r="K247" s="193">
        <f t="shared" si="101"/>
        <v>44794</v>
      </c>
      <c r="L247" s="430">
        <f t="shared" si="102"/>
        <v>5.0522183517096586E-3</v>
      </c>
      <c r="M247" s="846"/>
      <c r="N247" s="846"/>
      <c r="O247" s="320">
        <f t="shared" si="103"/>
        <v>2.4066706692246947E-2</v>
      </c>
      <c r="P247" s="165">
        <f>(INDEX(Models!$BJ247:$BT247,,T247)*(1-R247)+INDEX(Models!$BJ247:$BT247,,T247+1)*R247-ERP_i)*Q247*Ramure*Pc/MaxiM</f>
        <v>5.8721591358821546E-5</v>
      </c>
      <c r="Q247" s="301">
        <f t="shared" si="104"/>
        <v>0.5</v>
      </c>
      <c r="R247" s="173">
        <f t="shared" si="105"/>
        <v>0.46499364559272621</v>
      </c>
      <c r="S247" s="801">
        <f t="shared" si="124"/>
        <v>0</v>
      </c>
      <c r="T247" s="172">
        <f t="shared" si="106"/>
        <v>6</v>
      </c>
      <c r="U247" s="247">
        <f t="shared" si="107"/>
        <v>0.46499364559272621</v>
      </c>
      <c r="V247" s="378">
        <f t="shared" si="108"/>
        <v>216.705408356231</v>
      </c>
      <c r="W247" s="397"/>
      <c r="X247" s="153">
        <f t="shared" si="109"/>
        <v>44794</v>
      </c>
      <c r="Y247" s="380">
        <f t="shared" si="110"/>
        <v>133.99</v>
      </c>
      <c r="Z247" s="380">
        <f t="shared" si="111"/>
        <v>134.67038418641843</v>
      </c>
      <c r="AA247" s="381">
        <f t="shared" si="112"/>
        <v>137.99138231054403</v>
      </c>
      <c r="AB247" s="193">
        <f t="shared" si="113"/>
        <v>44794</v>
      </c>
      <c r="AC247" s="420">
        <f t="shared" si="114"/>
        <v>2.4066706692246947E-2</v>
      </c>
      <c r="AD247" s="165">
        <f>(INDEX(Models!$BJ247:$BT247,,AH247)*(1-AF247)+INDEX(Models!$BJ247:$BT247,,AH247+1)*AF247-ERP_i)*AE247*Ramure*Pc/MaxiM</f>
        <v>5.8721591358821546E-5</v>
      </c>
      <c r="AE247" s="301">
        <f t="shared" si="115"/>
        <v>0.5</v>
      </c>
      <c r="AF247" s="173">
        <f t="shared" si="116"/>
        <v>0.46499364559272621</v>
      </c>
      <c r="AG247" s="801">
        <f t="shared" si="117"/>
        <v>0</v>
      </c>
      <c r="AH247" s="172">
        <f t="shared" si="118"/>
        <v>6</v>
      </c>
      <c r="AI247" s="221">
        <f t="shared" si="119"/>
        <v>0.46499364559272621</v>
      </c>
      <c r="AJ247" s="261" t="b">
        <f t="shared" si="120"/>
        <v>0</v>
      </c>
      <c r="AK247" s="261" t="b">
        <f t="shared" si="121"/>
        <v>0</v>
      </c>
      <c r="AL247" s="261"/>
      <c r="AM247" s="261"/>
      <c r="AN247" s="75"/>
      <c r="AV247" s="153">
        <f t="shared" si="125"/>
        <v>44429</v>
      </c>
      <c r="AW247" s="608"/>
      <c r="AX247" s="385"/>
      <c r="AY247" s="388"/>
      <c r="AZ247" s="380"/>
      <c r="BA247" s="380"/>
      <c r="BB247" s="110"/>
      <c r="BD247" s="375"/>
      <c r="BE247" s="85"/>
      <c r="BF247" s="193">
        <f t="shared" si="122"/>
        <v>44794</v>
      </c>
      <c r="BG247" s="430">
        <f t="shared" si="129"/>
        <v>1.0706741799626163E-2</v>
      </c>
      <c r="BH247" s="846"/>
      <c r="BI247" s="846"/>
      <c r="BJ247" s="320">
        <f t="shared" si="130"/>
        <v>3.8238743495466569E-4</v>
      </c>
      <c r="BK247" s="378"/>
    </row>
    <row r="248" spans="1:63" s="6" customFormat="1" ht="11.25" customHeight="1" x14ac:dyDescent="0.2">
      <c r="A248" s="56">
        <f t="shared" si="123"/>
        <v>44795</v>
      </c>
      <c r="B248" s="608">
        <v>105.66800000000001</v>
      </c>
      <c r="C248" s="385"/>
      <c r="D248" s="388">
        <f t="shared" si="99"/>
        <v>106.20602254213526</v>
      </c>
      <c r="E248" s="380">
        <f t="shared" si="127"/>
        <v>108.83100377132301</v>
      </c>
      <c r="F248" s="380">
        <f t="shared" si="126"/>
        <v>108.83273565768181</v>
      </c>
      <c r="G248" s="110">
        <f t="shared" si="128"/>
        <v>0.48942768421346761</v>
      </c>
      <c r="I248" s="375">
        <f t="shared" si="100"/>
        <v>108.83273565768181</v>
      </c>
      <c r="J248" s="85">
        <v>2022</v>
      </c>
      <c r="K248" s="193">
        <f t="shared" si="101"/>
        <v>44795</v>
      </c>
      <c r="L248" s="430">
        <f t="shared" si="102"/>
        <v>5.0658383513213501E-3</v>
      </c>
      <c r="M248" s="846"/>
      <c r="N248" s="846"/>
      <c r="O248" s="320">
        <f t="shared" si="103"/>
        <v>2.4119792506034365E-2</v>
      </c>
      <c r="P248" s="165">
        <f>(INDEX(Models!$BJ248:$BT248,,T248)*(1-R248)+INDEX(Models!$BJ248:$BT248,,T248+1)*R248-ERP_i)*Q248*Ramure*Pc/MaxiM</f>
        <v>5.8798509103231762E-5</v>
      </c>
      <c r="Q248" s="301">
        <f t="shared" si="104"/>
        <v>0.5</v>
      </c>
      <c r="R248" s="173">
        <f t="shared" si="105"/>
        <v>0.46594101994434461</v>
      </c>
      <c r="S248" s="801">
        <f t="shared" si="124"/>
        <v>0</v>
      </c>
      <c r="T248" s="172">
        <f t="shared" si="106"/>
        <v>6</v>
      </c>
      <c r="U248" s="247">
        <f t="shared" si="107"/>
        <v>0.46594101994434461</v>
      </c>
      <c r="V248" s="378">
        <f t="shared" si="108"/>
        <v>215.89189116232785</v>
      </c>
      <c r="W248" s="397"/>
      <c r="X248" s="153">
        <f t="shared" si="109"/>
        <v>44795</v>
      </c>
      <c r="Y248" s="380">
        <f t="shared" si="110"/>
        <v>105.66800000000001</v>
      </c>
      <c r="Z248" s="380">
        <f t="shared" si="111"/>
        <v>106.20602254213526</v>
      </c>
      <c r="AA248" s="381">
        <f t="shared" si="112"/>
        <v>108.83100377132301</v>
      </c>
      <c r="AB248" s="193">
        <f t="shared" si="113"/>
        <v>44795</v>
      </c>
      <c r="AC248" s="420">
        <f t="shared" si="114"/>
        <v>2.4119792506034365E-2</v>
      </c>
      <c r="AD248" s="165">
        <f>(INDEX(Models!$BJ248:$BT248,,AH248)*(1-AF248)+INDEX(Models!$BJ248:$BT248,,AH248+1)*AF248-ERP_i)*AE248*Ramure*Pc/MaxiM</f>
        <v>5.8798509103231762E-5</v>
      </c>
      <c r="AE248" s="301">
        <f t="shared" si="115"/>
        <v>0.5</v>
      </c>
      <c r="AF248" s="173">
        <f t="shared" si="116"/>
        <v>0.46594101994434461</v>
      </c>
      <c r="AG248" s="801">
        <f t="shared" si="117"/>
        <v>0</v>
      </c>
      <c r="AH248" s="172">
        <f t="shared" si="118"/>
        <v>6</v>
      </c>
      <c r="AI248" s="221">
        <f t="shared" si="119"/>
        <v>0.46594101994434461</v>
      </c>
      <c r="AJ248" s="261" t="b">
        <f t="shared" si="120"/>
        <v>0</v>
      </c>
      <c r="AK248" s="261" t="b">
        <f t="shared" si="121"/>
        <v>0</v>
      </c>
      <c r="AL248" s="261"/>
      <c r="AM248" s="261"/>
      <c r="AN248" s="75"/>
      <c r="AV248" s="153">
        <f t="shared" si="125"/>
        <v>44430</v>
      </c>
      <c r="AW248" s="608"/>
      <c r="AX248" s="385"/>
      <c r="AY248" s="388"/>
      <c r="AZ248" s="380"/>
      <c r="BA248" s="380"/>
      <c r="BB248" s="110"/>
      <c r="BD248" s="375"/>
      <c r="BE248" s="85"/>
      <c r="BF248" s="193">
        <f t="shared" si="122"/>
        <v>44795</v>
      </c>
      <c r="BG248" s="430">
        <f t="shared" si="129"/>
        <v>1.0720430022924554E-2</v>
      </c>
      <c r="BH248" s="846"/>
      <c r="BI248" s="846"/>
      <c r="BJ248" s="320">
        <f t="shared" si="130"/>
        <v>4.58625903254352E-4</v>
      </c>
      <c r="BK248" s="378"/>
    </row>
    <row r="249" spans="1:63" s="6" customFormat="1" ht="11.25" customHeight="1" x14ac:dyDescent="0.2">
      <c r="A249" s="56">
        <f t="shared" si="123"/>
        <v>44796</v>
      </c>
      <c r="B249" s="608">
        <v>183.39500000000001</v>
      </c>
      <c r="C249" s="385"/>
      <c r="D249" s="388">
        <f t="shared" si="99"/>
        <v>184.33130314271875</v>
      </c>
      <c r="E249" s="380">
        <f t="shared" si="127"/>
        <v>188.89747294628833</v>
      </c>
      <c r="F249" s="380">
        <f t="shared" si="126"/>
        <v>188.9062372791623</v>
      </c>
      <c r="G249" s="110">
        <f t="shared" si="128"/>
        <v>0.85272706874956672</v>
      </c>
      <c r="I249" s="375">
        <f t="shared" si="100"/>
        <v>188.9062372791623</v>
      </c>
      <c r="J249" s="85">
        <v>2022</v>
      </c>
      <c r="K249" s="193">
        <f t="shared" si="101"/>
        <v>44796</v>
      </c>
      <c r="L249" s="430">
        <f t="shared" si="102"/>
        <v>5.0794581644866277E-3</v>
      </c>
      <c r="M249" s="846"/>
      <c r="N249" s="846"/>
      <c r="O249" s="320">
        <f t="shared" si="103"/>
        <v>2.4172741606066656E-2</v>
      </c>
      <c r="P249" s="165">
        <f>(INDEX(Models!$BJ249:$BT249,,T249)*(1-R249)+INDEX(Models!$BJ249:$BT249,,T249+1)*R249-ERP_i)*Q249*Ramure*Pc/MaxiM</f>
        <v>5.8755914500011575E-5</v>
      </c>
      <c r="Q249" s="301">
        <f t="shared" si="104"/>
        <v>0.5</v>
      </c>
      <c r="R249" s="173">
        <f t="shared" si="105"/>
        <v>0.46685380222873091</v>
      </c>
      <c r="S249" s="801">
        <f t="shared" si="124"/>
        <v>0</v>
      </c>
      <c r="T249" s="172">
        <f t="shared" si="106"/>
        <v>6</v>
      </c>
      <c r="U249" s="247">
        <f t="shared" si="107"/>
        <v>0.46685380222873091</v>
      </c>
      <c r="V249" s="378">
        <f t="shared" si="108"/>
        <v>215.06615623333221</v>
      </c>
      <c r="W249" s="397"/>
      <c r="X249" s="153">
        <f t="shared" si="109"/>
        <v>44796</v>
      </c>
      <c r="Y249" s="380">
        <f t="shared" si="110"/>
        <v>183.39500000000001</v>
      </c>
      <c r="Z249" s="380">
        <f t="shared" si="111"/>
        <v>184.33130314271875</v>
      </c>
      <c r="AA249" s="381">
        <f t="shared" si="112"/>
        <v>188.89747294628833</v>
      </c>
      <c r="AB249" s="193">
        <f t="shared" si="113"/>
        <v>44796</v>
      </c>
      <c r="AC249" s="420">
        <f t="shared" si="114"/>
        <v>2.4172741606066656E-2</v>
      </c>
      <c r="AD249" s="165">
        <f>(INDEX(Models!$BJ249:$BT249,,AH249)*(1-AF249)+INDEX(Models!$BJ249:$BT249,,AH249+1)*AF249-ERP_i)*AE249*Ramure*Pc/MaxiM</f>
        <v>5.8755914500011575E-5</v>
      </c>
      <c r="AE249" s="301">
        <f t="shared" si="115"/>
        <v>0.5</v>
      </c>
      <c r="AF249" s="173">
        <f t="shared" si="116"/>
        <v>0.46685380222873091</v>
      </c>
      <c r="AG249" s="801">
        <f t="shared" si="117"/>
        <v>0</v>
      </c>
      <c r="AH249" s="172">
        <f t="shared" si="118"/>
        <v>6</v>
      </c>
      <c r="AI249" s="221">
        <f t="shared" si="119"/>
        <v>0.46685380222873091</v>
      </c>
      <c r="AJ249" s="261" t="b">
        <f t="shared" si="120"/>
        <v>0</v>
      </c>
      <c r="AK249" s="261" t="b">
        <f t="shared" si="121"/>
        <v>0</v>
      </c>
      <c r="AL249" s="261"/>
      <c r="AM249" s="261"/>
      <c r="AN249" s="75"/>
      <c r="AV249" s="153">
        <f t="shared" si="125"/>
        <v>44431</v>
      </c>
      <c r="AW249" s="608"/>
      <c r="AX249" s="385"/>
      <c r="AY249" s="388"/>
      <c r="AZ249" s="380"/>
      <c r="BA249" s="380"/>
      <c r="BB249" s="110"/>
      <c r="BD249" s="375"/>
      <c r="BE249" s="85"/>
      <c r="BF249" s="193">
        <f t="shared" si="122"/>
        <v>44796</v>
      </c>
      <c r="BG249" s="430">
        <f t="shared" si="129"/>
        <v>1.0734118058842612E-2</v>
      </c>
      <c r="BH249" s="846"/>
      <c r="BI249" s="846"/>
      <c r="BJ249" s="320">
        <f t="shared" si="130"/>
        <v>5.3478311438778369E-4</v>
      </c>
      <c r="BK249" s="378"/>
    </row>
    <row r="250" spans="1:63" s="6" customFormat="1" ht="11.25" x14ac:dyDescent="0.2">
      <c r="A250" s="56">
        <f t="shared" si="123"/>
        <v>44797</v>
      </c>
      <c r="B250" s="608">
        <v>195.33700000000002</v>
      </c>
      <c r="C250" s="385"/>
      <c r="D250" s="388">
        <f t="shared" si="99"/>
        <v>196.33695940755194</v>
      </c>
      <c r="E250" s="380">
        <f t="shared" si="127"/>
        <v>201.21141670679185</v>
      </c>
      <c r="F250" s="380">
        <f t="shared" si="126"/>
        <v>201.22172147178324</v>
      </c>
      <c r="G250" s="110">
        <f t="shared" si="128"/>
        <v>0.91181063967637443</v>
      </c>
      <c r="I250" s="375">
        <f t="shared" si="100"/>
        <v>201.22172147178324</v>
      </c>
      <c r="J250" s="85">
        <v>2022</v>
      </c>
      <c r="K250" s="193">
        <f t="shared" si="101"/>
        <v>44797</v>
      </c>
      <c r="L250" s="430">
        <f t="shared" si="102"/>
        <v>5.093077791208156E-3</v>
      </c>
      <c r="M250" s="846"/>
      <c r="N250" s="846"/>
      <c r="O250" s="320">
        <f t="shared" si="103"/>
        <v>2.4225550314289739E-2</v>
      </c>
      <c r="P250" s="165">
        <f>(INDEX(Models!$BJ250:$BT250,,T250)*(1-R250)+INDEX(Models!$BJ250:$BT250,,T250+1)*R250-ERP_i)*Q250*Ramure*Pc/MaxiM</f>
        <v>5.8592154618601049E-5</v>
      </c>
      <c r="Q250" s="301">
        <f t="shared" si="104"/>
        <v>0.5</v>
      </c>
      <c r="R250" s="173">
        <f t="shared" si="105"/>
        <v>0.46773312377839515</v>
      </c>
      <c r="S250" s="801">
        <f t="shared" si="124"/>
        <v>0</v>
      </c>
      <c r="T250" s="172">
        <f t="shared" si="106"/>
        <v>6</v>
      </c>
      <c r="U250" s="247">
        <f t="shared" si="107"/>
        <v>0.46773312377839515</v>
      </c>
      <c r="V250" s="378">
        <f t="shared" si="108"/>
        <v>214.22820661790018</v>
      </c>
      <c r="W250" s="397"/>
      <c r="X250" s="153">
        <f t="shared" si="109"/>
        <v>44797</v>
      </c>
      <c r="Y250" s="380">
        <f t="shared" si="110"/>
        <v>195.33700000000002</v>
      </c>
      <c r="Z250" s="380">
        <f t="shared" si="111"/>
        <v>196.33695940755194</v>
      </c>
      <c r="AA250" s="381">
        <f t="shared" si="112"/>
        <v>201.21141670679185</v>
      </c>
      <c r="AB250" s="193">
        <f t="shared" si="113"/>
        <v>44797</v>
      </c>
      <c r="AC250" s="420">
        <f t="shared" si="114"/>
        <v>2.4225550314289739E-2</v>
      </c>
      <c r="AD250" s="165">
        <f>(INDEX(Models!$BJ250:$BT250,,AH250)*(1-AF250)+INDEX(Models!$BJ250:$BT250,,AH250+1)*AF250-ERP_i)*AE250*Ramure*Pc/MaxiM</f>
        <v>5.8592154618601049E-5</v>
      </c>
      <c r="AE250" s="301">
        <f t="shared" si="115"/>
        <v>0.5</v>
      </c>
      <c r="AF250" s="173">
        <f t="shared" si="116"/>
        <v>0.46773312377839515</v>
      </c>
      <c r="AG250" s="801">
        <f t="shared" si="117"/>
        <v>0</v>
      </c>
      <c r="AH250" s="172">
        <f t="shared" si="118"/>
        <v>6</v>
      </c>
      <c r="AI250" s="221">
        <f t="shared" si="119"/>
        <v>0.46773312377839515</v>
      </c>
      <c r="AJ250" s="261" t="b">
        <f t="shared" si="120"/>
        <v>0</v>
      </c>
      <c r="AK250" s="261" t="b">
        <f t="shared" si="121"/>
        <v>0</v>
      </c>
      <c r="AL250" s="261"/>
      <c r="AM250" s="261"/>
      <c r="AN250" s="75"/>
      <c r="AV250" s="153">
        <f t="shared" si="125"/>
        <v>44432</v>
      </c>
      <c r="AW250" s="608"/>
      <c r="AX250" s="385"/>
      <c r="AY250" s="388"/>
      <c r="AZ250" s="380"/>
      <c r="BA250" s="380"/>
      <c r="BB250" s="110"/>
      <c r="BD250" s="375"/>
      <c r="BE250" s="85"/>
      <c r="BF250" s="193">
        <f t="shared" si="122"/>
        <v>44797</v>
      </c>
      <c r="BG250" s="430">
        <f t="shared" si="129"/>
        <v>1.0747805907383001E-2</v>
      </c>
      <c r="BH250" s="846"/>
      <c r="BI250" s="846"/>
      <c r="BJ250" s="320">
        <f t="shared" si="130"/>
        <v>6.108583114682874E-4</v>
      </c>
      <c r="BK250" s="378"/>
    </row>
    <row r="251" spans="1:63" s="6" customFormat="1" ht="11.25" x14ac:dyDescent="0.2">
      <c r="A251" s="56">
        <f t="shared" si="123"/>
        <v>44798</v>
      </c>
      <c r="B251" s="608">
        <v>136.827</v>
      </c>
      <c r="C251" s="385"/>
      <c r="D251" s="388">
        <f t="shared" si="99"/>
        <v>137.52932060076037</v>
      </c>
      <c r="E251" s="380">
        <f t="shared" si="127"/>
        <v>140.95136819496918</v>
      </c>
      <c r="F251" s="380">
        <f t="shared" si="126"/>
        <v>140.95537461468533</v>
      </c>
      <c r="G251" s="110">
        <f t="shared" si="128"/>
        <v>0.64122300380591191</v>
      </c>
      <c r="I251" s="375">
        <f t="shared" si="100"/>
        <v>140.95537461468533</v>
      </c>
      <c r="J251" s="85">
        <v>2022</v>
      </c>
      <c r="K251" s="193">
        <f t="shared" si="101"/>
        <v>44798</v>
      </c>
      <c r="L251" s="430">
        <f t="shared" si="102"/>
        <v>5.1066972314883774E-3</v>
      </c>
      <c r="M251" s="846"/>
      <c r="N251" s="846"/>
      <c r="O251" s="320">
        <f t="shared" si="103"/>
        <v>2.4278214805799607E-2</v>
      </c>
      <c r="P251" s="165">
        <f>(INDEX(Models!$BJ251:$BT251,,T251)*(1-R251)+INDEX(Models!$BJ251:$BT251,,T251+1)*R251-ERP_i)*Q251*Ramure*Pc/MaxiM</f>
        <v>5.8305584608880821E-5</v>
      </c>
      <c r="Q251" s="301">
        <f t="shared" si="104"/>
        <v>0.5</v>
      </c>
      <c r="R251" s="173">
        <f t="shared" si="105"/>
        <v>0.46858008894635977</v>
      </c>
      <c r="S251" s="801">
        <f t="shared" si="124"/>
        <v>0</v>
      </c>
      <c r="T251" s="172">
        <f t="shared" si="106"/>
        <v>6</v>
      </c>
      <c r="U251" s="247">
        <f t="shared" si="107"/>
        <v>0.46858008894635977</v>
      </c>
      <c r="V251" s="378">
        <f t="shared" si="108"/>
        <v>213.37804534625613</v>
      </c>
      <c r="W251" s="397"/>
      <c r="X251" s="153">
        <f t="shared" si="109"/>
        <v>44798</v>
      </c>
      <c r="Y251" s="380">
        <f t="shared" si="110"/>
        <v>136.827</v>
      </c>
      <c r="Z251" s="380">
        <f t="shared" si="111"/>
        <v>137.52932060076037</v>
      </c>
      <c r="AA251" s="381">
        <f t="shared" si="112"/>
        <v>140.95136819496918</v>
      </c>
      <c r="AB251" s="193">
        <f t="shared" si="113"/>
        <v>44798</v>
      </c>
      <c r="AC251" s="420">
        <f t="shared" si="114"/>
        <v>2.4278214805799607E-2</v>
      </c>
      <c r="AD251" s="165">
        <f>(INDEX(Models!$BJ251:$BT251,,AH251)*(1-AF251)+INDEX(Models!$BJ251:$BT251,,AH251+1)*AF251-ERP_i)*AE251*Ramure*Pc/MaxiM</f>
        <v>5.8305584608880821E-5</v>
      </c>
      <c r="AE251" s="301">
        <f t="shared" si="115"/>
        <v>0.5</v>
      </c>
      <c r="AF251" s="173">
        <f t="shared" si="116"/>
        <v>0.46858008894635977</v>
      </c>
      <c r="AG251" s="801">
        <f t="shared" si="117"/>
        <v>0</v>
      </c>
      <c r="AH251" s="172">
        <f t="shared" si="118"/>
        <v>6</v>
      </c>
      <c r="AI251" s="221">
        <f t="shared" si="119"/>
        <v>0.46858008894635977</v>
      </c>
      <c r="AJ251" s="261" t="b">
        <f t="shared" si="120"/>
        <v>0</v>
      </c>
      <c r="AK251" s="261" t="b">
        <f t="shared" si="121"/>
        <v>0</v>
      </c>
      <c r="AL251" s="261"/>
      <c r="AM251" s="261"/>
      <c r="AN251" s="75"/>
      <c r="AV251" s="153">
        <f t="shared" si="125"/>
        <v>44433</v>
      </c>
      <c r="AW251" s="608"/>
      <c r="AX251" s="385"/>
      <c r="AY251" s="388"/>
      <c r="AZ251" s="380"/>
      <c r="BA251" s="380"/>
      <c r="BB251" s="110"/>
      <c r="BD251" s="375"/>
      <c r="BE251" s="85"/>
      <c r="BF251" s="193">
        <f t="shared" si="122"/>
        <v>44798</v>
      </c>
      <c r="BG251" s="430">
        <f t="shared" si="129"/>
        <v>1.0761493568548275E-2</v>
      </c>
      <c r="BH251" s="846"/>
      <c r="BI251" s="846"/>
      <c r="BJ251" s="320">
        <f t="shared" si="130"/>
        <v>6.8685069544565964E-4</v>
      </c>
      <c r="BK251" s="378"/>
    </row>
    <row r="252" spans="1:63" s="6" customFormat="1" ht="11.25" customHeight="1" x14ac:dyDescent="0.2">
      <c r="A252" s="56">
        <f t="shared" si="123"/>
        <v>44799</v>
      </c>
      <c r="B252" s="608">
        <v>184.749</v>
      </c>
      <c r="C252" s="385"/>
      <c r="D252" s="388">
        <f t="shared" si="99"/>
        <v>185.69984196212181</v>
      </c>
      <c r="E252" s="380">
        <f t="shared" si="127"/>
        <v>190.33072772018613</v>
      </c>
      <c r="F252" s="380">
        <f t="shared" si="126"/>
        <v>190.33969049923974</v>
      </c>
      <c r="G252" s="110">
        <f t="shared" si="128"/>
        <v>0.86933353539181502</v>
      </c>
      <c r="I252" s="375">
        <f t="shared" si="100"/>
        <v>190.33969049923974</v>
      </c>
      <c r="J252" s="85">
        <v>2022</v>
      </c>
      <c r="K252" s="193">
        <f t="shared" si="101"/>
        <v>44799</v>
      </c>
      <c r="L252" s="430">
        <f t="shared" si="102"/>
        <v>5.1203164853299565E-3</v>
      </c>
      <c r="M252" s="846"/>
      <c r="N252" s="846"/>
      <c r="O252" s="320">
        <f t="shared" si="103"/>
        <v>2.4330731109652406E-2</v>
      </c>
      <c r="P252" s="165">
        <f>(INDEX(Models!$BJ252:$BT252,,T252)*(1-R252)+INDEX(Models!$BJ252:$BT252,,T252+1)*R252-ERP_i)*Q252*Ramure*Pc/MaxiM</f>
        <v>5.7894517608138661E-5</v>
      </c>
      <c r="Q252" s="301">
        <f t="shared" si="104"/>
        <v>0.5</v>
      </c>
      <c r="R252" s="173">
        <f t="shared" si="105"/>
        <v>0.46939577494776341</v>
      </c>
      <c r="S252" s="801">
        <f t="shared" si="124"/>
        <v>0</v>
      </c>
      <c r="T252" s="172">
        <f t="shared" si="106"/>
        <v>6</v>
      </c>
      <c r="U252" s="247">
        <f t="shared" si="107"/>
        <v>0.46939577494776341</v>
      </c>
      <c r="V252" s="378">
        <f t="shared" si="108"/>
        <v>212.51567546078232</v>
      </c>
      <c r="W252" s="397"/>
      <c r="X252" s="153">
        <f t="shared" si="109"/>
        <v>44799</v>
      </c>
      <c r="Y252" s="380">
        <f t="shared" si="110"/>
        <v>184.749</v>
      </c>
      <c r="Z252" s="380">
        <f t="shared" si="111"/>
        <v>185.69984196212181</v>
      </c>
      <c r="AA252" s="381">
        <f t="shared" si="112"/>
        <v>190.33072772018613</v>
      </c>
      <c r="AB252" s="193">
        <f t="shared" si="113"/>
        <v>44799</v>
      </c>
      <c r="AC252" s="420">
        <f t="shared" si="114"/>
        <v>2.4330731109652406E-2</v>
      </c>
      <c r="AD252" s="165">
        <f>(INDEX(Models!$BJ252:$BT252,,AH252)*(1-AF252)+INDEX(Models!$BJ252:$BT252,,AH252+1)*AF252-ERP_i)*AE252*Ramure*Pc/MaxiM</f>
        <v>5.7894517608138661E-5</v>
      </c>
      <c r="AE252" s="301">
        <f t="shared" si="115"/>
        <v>0.5</v>
      </c>
      <c r="AF252" s="173">
        <f t="shared" si="116"/>
        <v>0.46939577494776341</v>
      </c>
      <c r="AG252" s="801">
        <f t="shared" si="117"/>
        <v>0</v>
      </c>
      <c r="AH252" s="172">
        <f t="shared" si="118"/>
        <v>6</v>
      </c>
      <c r="AI252" s="221">
        <f t="shared" si="119"/>
        <v>0.46939577494776341</v>
      </c>
      <c r="AJ252" s="261" t="b">
        <f t="shared" si="120"/>
        <v>0</v>
      </c>
      <c r="AK252" s="261" t="b">
        <f t="shared" si="121"/>
        <v>0</v>
      </c>
      <c r="AL252" s="261"/>
      <c r="AM252" s="261"/>
      <c r="AN252" s="75"/>
      <c r="AV252" s="153">
        <f t="shared" si="125"/>
        <v>44434</v>
      </c>
      <c r="AW252" s="608"/>
      <c r="AX252" s="385"/>
      <c r="AY252" s="388"/>
      <c r="AZ252" s="380"/>
      <c r="BA252" s="380"/>
      <c r="BB252" s="110"/>
      <c r="BD252" s="375"/>
      <c r="BE252" s="85"/>
      <c r="BF252" s="193">
        <f t="shared" si="122"/>
        <v>44799</v>
      </c>
      <c r="BG252" s="430">
        <f t="shared" si="129"/>
        <v>1.0775181042340876E-2</v>
      </c>
      <c r="BH252" s="846"/>
      <c r="BI252" s="846"/>
      <c r="BJ252" s="320">
        <f t="shared" si="130"/>
        <v>7.6275942339816246E-4</v>
      </c>
      <c r="BK252" s="378"/>
    </row>
    <row r="253" spans="1:63" s="6" customFormat="1" ht="11.25" customHeight="1" x14ac:dyDescent="0.2">
      <c r="A253" s="56">
        <f t="shared" si="123"/>
        <v>44800</v>
      </c>
      <c r="B253" s="608">
        <v>202.09800000000001</v>
      </c>
      <c r="C253" s="385"/>
      <c r="D253" s="388">
        <f t="shared" si="99"/>
        <v>203.14091235213976</v>
      </c>
      <c r="E253" s="380">
        <f t="shared" si="127"/>
        <v>208.21790944107795</v>
      </c>
      <c r="F253" s="380">
        <f t="shared" si="126"/>
        <v>208.22908354447418</v>
      </c>
      <c r="G253" s="110">
        <f t="shared" si="128"/>
        <v>0.95490551353155251</v>
      </c>
      <c r="I253" s="375">
        <f t="shared" si="100"/>
        <v>208.22908354447418</v>
      </c>
      <c r="J253" s="85">
        <v>2022</v>
      </c>
      <c r="K253" s="193">
        <f t="shared" si="101"/>
        <v>44800</v>
      </c>
      <c r="L253" s="430">
        <f t="shared" si="102"/>
        <v>5.1339355527353359E-3</v>
      </c>
      <c r="M253" s="846"/>
      <c r="N253" s="846"/>
      <c r="O253" s="320">
        <f t="shared" si="103"/>
        <v>2.4383095107267373E-2</v>
      </c>
      <c r="P253" s="165">
        <f>(INDEX(Models!$BJ253:$BT253,,T253)*(1-R253)+INDEX(Models!$BJ253:$BT253,,T253+1)*R253-ERP_i)*Q253*Ramure*Pc/MaxiM</f>
        <v>5.7357254048808195E-5</v>
      </c>
      <c r="Q253" s="301">
        <f t="shared" si="104"/>
        <v>0.5</v>
      </c>
      <c r="R253" s="173">
        <f t="shared" si="105"/>
        <v>0.47018123178301063</v>
      </c>
      <c r="S253" s="801">
        <f t="shared" si="124"/>
        <v>0</v>
      </c>
      <c r="T253" s="172">
        <f t="shared" si="106"/>
        <v>6</v>
      </c>
      <c r="U253" s="247">
        <f t="shared" si="107"/>
        <v>0.47018123178301063</v>
      </c>
      <c r="V253" s="378">
        <f t="shared" si="108"/>
        <v>211.64109998695392</v>
      </c>
      <c r="W253" s="397"/>
      <c r="X253" s="153">
        <f t="shared" si="109"/>
        <v>44800</v>
      </c>
      <c r="Y253" s="380">
        <f t="shared" si="110"/>
        <v>202.09800000000001</v>
      </c>
      <c r="Z253" s="380">
        <f t="shared" si="111"/>
        <v>203.14091235213976</v>
      </c>
      <c r="AA253" s="381">
        <f t="shared" si="112"/>
        <v>208.21790944107795</v>
      </c>
      <c r="AB253" s="193">
        <f t="shared" si="113"/>
        <v>44800</v>
      </c>
      <c r="AC253" s="420">
        <f t="shared" si="114"/>
        <v>2.4383095107267373E-2</v>
      </c>
      <c r="AD253" s="165">
        <f>(INDEX(Models!$BJ253:$BT253,,AH253)*(1-AF253)+INDEX(Models!$BJ253:$BT253,,AH253+1)*AF253-ERP_i)*AE253*Ramure*Pc/MaxiM</f>
        <v>5.7357254048808195E-5</v>
      </c>
      <c r="AE253" s="301">
        <f t="shared" si="115"/>
        <v>0.5</v>
      </c>
      <c r="AF253" s="173">
        <f t="shared" si="116"/>
        <v>0.47018123178301063</v>
      </c>
      <c r="AG253" s="801">
        <f t="shared" si="117"/>
        <v>0</v>
      </c>
      <c r="AH253" s="172">
        <f t="shared" si="118"/>
        <v>6</v>
      </c>
      <c r="AI253" s="221">
        <f t="shared" si="119"/>
        <v>0.47018123178301063</v>
      </c>
      <c r="AJ253" s="261" t="b">
        <f t="shared" si="120"/>
        <v>0</v>
      </c>
      <c r="AK253" s="261" t="b">
        <f t="shared" si="121"/>
        <v>0</v>
      </c>
      <c r="AL253" s="261"/>
      <c r="AM253" s="261"/>
      <c r="AN253" s="75"/>
      <c r="AV253" s="153">
        <f t="shared" si="125"/>
        <v>44435</v>
      </c>
      <c r="AW253" s="608"/>
      <c r="AX253" s="385"/>
      <c r="AY253" s="388"/>
      <c r="AZ253" s="380"/>
      <c r="BA253" s="380"/>
      <c r="BB253" s="110"/>
      <c r="BD253" s="375"/>
      <c r="BE253" s="85"/>
      <c r="BF253" s="193">
        <f t="shared" si="122"/>
        <v>44800</v>
      </c>
      <c r="BG253" s="430">
        <f t="shared" si="129"/>
        <v>1.0788868328763468E-2</v>
      </c>
      <c r="BH253" s="846"/>
      <c r="BI253" s="846"/>
      <c r="BJ253" s="320">
        <f t="shared" si="130"/>
        <v>8.3858360678468571E-4</v>
      </c>
      <c r="BK253" s="378"/>
    </row>
    <row r="254" spans="1:63" s="6" customFormat="1" ht="11.25" x14ac:dyDescent="0.2">
      <c r="A254" s="56">
        <f t="shared" si="123"/>
        <v>44801</v>
      </c>
      <c r="B254" s="608">
        <v>199.029</v>
      </c>
      <c r="C254" s="385"/>
      <c r="D254" s="388">
        <f t="shared" si="99"/>
        <v>200.05881363311937</v>
      </c>
      <c r="E254" s="380">
        <f t="shared" si="127"/>
        <v>205.06975513940327</v>
      </c>
      <c r="F254" s="380">
        <f t="shared" si="126"/>
        <v>205.08046560040967</v>
      </c>
      <c r="G254" s="110">
        <f t="shared" si="128"/>
        <v>0.94436075692296395</v>
      </c>
      <c r="I254" s="375">
        <f t="shared" si="100"/>
        <v>205.08046560040967</v>
      </c>
      <c r="J254" s="85">
        <v>2022</v>
      </c>
      <c r="K254" s="193">
        <f t="shared" si="101"/>
        <v>44801</v>
      </c>
      <c r="L254" s="430">
        <f t="shared" si="102"/>
        <v>5.1475544337071799E-3</v>
      </c>
      <c r="M254" s="846"/>
      <c r="N254" s="846"/>
      <c r="O254" s="320">
        <f t="shared" si="103"/>
        <v>2.4435302528535024E-2</v>
      </c>
      <c r="P254" s="165">
        <f>(INDEX(Models!$BJ254:$BT254,,T254)*(1-R254)+INDEX(Models!$BJ254:$BT254,,T254+1)*R254-ERP_i)*Q254*Ramure*Pc/MaxiM</f>
        <v>5.6734855938073175E-5</v>
      </c>
      <c r="Q254" s="301">
        <f t="shared" si="104"/>
        <v>0.5</v>
      </c>
      <c r="R254" s="173">
        <f t="shared" si="105"/>
        <v>0.47093748223557047</v>
      </c>
      <c r="S254" s="801">
        <f t="shared" si="124"/>
        <v>0</v>
      </c>
      <c r="T254" s="172">
        <f t="shared" si="106"/>
        <v>6</v>
      </c>
      <c r="U254" s="247">
        <f t="shared" si="107"/>
        <v>0.47093748223557047</v>
      </c>
      <c r="V254" s="378">
        <f t="shared" si="108"/>
        <v>210.75431293783706</v>
      </c>
      <c r="W254" s="397"/>
      <c r="X254" s="153">
        <f t="shared" si="109"/>
        <v>44801</v>
      </c>
      <c r="Y254" s="380">
        <f t="shared" si="110"/>
        <v>199.029</v>
      </c>
      <c r="Z254" s="380">
        <f t="shared" si="111"/>
        <v>200.05881363311937</v>
      </c>
      <c r="AA254" s="381">
        <f t="shared" si="112"/>
        <v>205.06975513940327</v>
      </c>
      <c r="AB254" s="193">
        <f t="shared" si="113"/>
        <v>44801</v>
      </c>
      <c r="AC254" s="420">
        <f t="shared" si="114"/>
        <v>2.4435302528535024E-2</v>
      </c>
      <c r="AD254" s="165">
        <f>(INDEX(Models!$BJ254:$BT254,,AH254)*(1-AF254)+INDEX(Models!$BJ254:$BT254,,AH254+1)*AF254-ERP_i)*AE254*Ramure*Pc/MaxiM</f>
        <v>5.6734855938073175E-5</v>
      </c>
      <c r="AE254" s="301">
        <f t="shared" si="115"/>
        <v>0.5</v>
      </c>
      <c r="AF254" s="173">
        <f t="shared" si="116"/>
        <v>0.47093748223557047</v>
      </c>
      <c r="AG254" s="801">
        <f t="shared" si="117"/>
        <v>0</v>
      </c>
      <c r="AH254" s="172">
        <f t="shared" si="118"/>
        <v>6</v>
      </c>
      <c r="AI254" s="221">
        <f t="shared" si="119"/>
        <v>0.47093748223557047</v>
      </c>
      <c r="AJ254" s="261" t="b">
        <f t="shared" si="120"/>
        <v>0</v>
      </c>
      <c r="AK254" s="261" t="b">
        <f t="shared" si="121"/>
        <v>0</v>
      </c>
      <c r="AL254" s="261"/>
      <c r="AM254" s="261"/>
      <c r="AN254" s="75"/>
      <c r="AV254" s="153">
        <f t="shared" si="125"/>
        <v>44436</v>
      </c>
      <c r="AW254" s="608"/>
      <c r="AX254" s="385"/>
      <c r="AY254" s="388"/>
      <c r="AZ254" s="380"/>
      <c r="BA254" s="380"/>
      <c r="BB254" s="110"/>
      <c r="BD254" s="375"/>
      <c r="BE254" s="85"/>
      <c r="BF254" s="193">
        <f t="shared" si="122"/>
        <v>44801</v>
      </c>
      <c r="BG254" s="430">
        <f t="shared" si="129"/>
        <v>1.0802555427818605E-2</v>
      </c>
      <c r="BH254" s="846"/>
      <c r="BI254" s="846"/>
      <c r="BJ254" s="320">
        <f t="shared" si="130"/>
        <v>9.1432230960923654E-4</v>
      </c>
      <c r="BK254" s="378"/>
    </row>
    <row r="255" spans="1:63" s="6" customFormat="1" ht="11.25" x14ac:dyDescent="0.2">
      <c r="A255" s="56">
        <f t="shared" si="123"/>
        <v>44802</v>
      </c>
      <c r="B255" s="608">
        <v>133.97900000000001</v>
      </c>
      <c r="C255" s="385"/>
      <c r="D255" s="388">
        <f t="shared" si="99"/>
        <v>134.67407622327519</v>
      </c>
      <c r="E255" s="380">
        <f t="shared" si="127"/>
        <v>138.05466907859778</v>
      </c>
      <c r="F255" s="380">
        <f t="shared" si="126"/>
        <v>138.05841280962883</v>
      </c>
      <c r="G255" s="110">
        <f t="shared" si="128"/>
        <v>0.63841664048074509</v>
      </c>
      <c r="I255" s="375">
        <f t="shared" si="100"/>
        <v>138.05841280962883</v>
      </c>
      <c r="J255" s="85">
        <v>2022</v>
      </c>
      <c r="K255" s="193">
        <f t="shared" si="101"/>
        <v>44802</v>
      </c>
      <c r="L255" s="430">
        <f t="shared" si="102"/>
        <v>5.1611731282479312E-3</v>
      </c>
      <c r="M255" s="846"/>
      <c r="N255" s="846"/>
      <c r="O255" s="320">
        <f t="shared" si="103"/>
        <v>2.4487348945785699E-2</v>
      </c>
      <c r="P255" s="165">
        <f>(INDEX(Models!$BJ255:$BT255,,T255)*(1-R255)+INDEX(Models!$BJ255:$BT255,,T255+1)*R255-ERP_i)*Q255*Ramure*Pc/MaxiM</f>
        <v>5.6087277219291048E-5</v>
      </c>
      <c r="Q255" s="301">
        <f t="shared" si="104"/>
        <v>0.5</v>
      </c>
      <c r="R255" s="173">
        <f t="shared" si="105"/>
        <v>0.4716655219378651</v>
      </c>
      <c r="S255" s="801">
        <f t="shared" si="124"/>
        <v>0</v>
      </c>
      <c r="T255" s="172">
        <f t="shared" si="106"/>
        <v>6</v>
      </c>
      <c r="U255" s="247">
        <f t="shared" si="107"/>
        <v>0.4716655219378651</v>
      </c>
      <c r="V255" s="378">
        <f t="shared" si="108"/>
        <v>209.85530450162821</v>
      </c>
      <c r="W255" s="397"/>
      <c r="X255" s="153">
        <f t="shared" si="109"/>
        <v>44802</v>
      </c>
      <c r="Y255" s="380">
        <f t="shared" si="110"/>
        <v>133.97900000000001</v>
      </c>
      <c r="Z255" s="380">
        <f t="shared" si="111"/>
        <v>134.67407622327519</v>
      </c>
      <c r="AA255" s="381">
        <f t="shared" si="112"/>
        <v>138.05466907859778</v>
      </c>
      <c r="AB255" s="193">
        <f t="shared" si="113"/>
        <v>44802</v>
      </c>
      <c r="AC255" s="420">
        <f t="shared" si="114"/>
        <v>2.4487348945785699E-2</v>
      </c>
      <c r="AD255" s="165">
        <f>(INDEX(Models!$BJ255:$BT255,,AH255)*(1-AF255)+INDEX(Models!$BJ255:$BT255,,AH255+1)*AF255-ERP_i)*AE255*Ramure*Pc/MaxiM</f>
        <v>5.6087277219291048E-5</v>
      </c>
      <c r="AE255" s="301">
        <f t="shared" si="115"/>
        <v>0.5</v>
      </c>
      <c r="AF255" s="173">
        <f t="shared" si="116"/>
        <v>0.4716655219378651</v>
      </c>
      <c r="AG255" s="801">
        <f t="shared" si="117"/>
        <v>0</v>
      </c>
      <c r="AH255" s="172">
        <f t="shared" si="118"/>
        <v>6</v>
      </c>
      <c r="AI255" s="221">
        <f t="shared" si="119"/>
        <v>0.4716655219378651</v>
      </c>
      <c r="AJ255" s="261" t="b">
        <f t="shared" si="120"/>
        <v>0</v>
      </c>
      <c r="AK255" s="261" t="b">
        <f t="shared" si="121"/>
        <v>0</v>
      </c>
      <c r="AL255" s="261"/>
      <c r="AM255" s="261"/>
      <c r="AN255" s="75"/>
      <c r="AV255" s="153">
        <f t="shared" si="125"/>
        <v>44437</v>
      </c>
      <c r="AW255" s="608"/>
      <c r="AX255" s="385"/>
      <c r="AY255" s="388"/>
      <c r="AZ255" s="380"/>
      <c r="BA255" s="380"/>
      <c r="BB255" s="110"/>
      <c r="BD255" s="375"/>
      <c r="BE255" s="85"/>
      <c r="BF255" s="193">
        <f t="shared" si="122"/>
        <v>44802</v>
      </c>
      <c r="BG255" s="430">
        <f t="shared" si="129"/>
        <v>1.0816242339508841E-2</v>
      </c>
      <c r="BH255" s="846"/>
      <c r="BI255" s="846"/>
      <c r="BJ255" s="320">
        <f t="shared" si="130"/>
        <v>9.8997454645583611E-4</v>
      </c>
      <c r="BK255" s="378"/>
    </row>
    <row r="256" spans="1:63" s="6" customFormat="1" ht="11.25" customHeight="1" x14ac:dyDescent="0.2">
      <c r="A256" s="56">
        <f t="shared" si="123"/>
        <v>44803</v>
      </c>
      <c r="B256" s="608">
        <v>198.94400000000002</v>
      </c>
      <c r="C256" s="385"/>
      <c r="D256" s="388">
        <f t="shared" si="99"/>
        <v>199.97884887460526</v>
      </c>
      <c r="E256" s="380">
        <f t="shared" si="127"/>
        <v>205.00962722118979</v>
      </c>
      <c r="F256" s="380">
        <f t="shared" si="126"/>
        <v>205.02021150821608</v>
      </c>
      <c r="G256" s="110">
        <f t="shared" si="128"/>
        <v>0.95213632489493272</v>
      </c>
      <c r="I256" s="375">
        <f t="shared" si="100"/>
        <v>205.02021150821608</v>
      </c>
      <c r="J256" s="85">
        <v>2022</v>
      </c>
      <c r="K256" s="193">
        <f t="shared" si="101"/>
        <v>44803</v>
      </c>
      <c r="L256" s="430">
        <f t="shared" si="102"/>
        <v>5.1747916363602542E-3</v>
      </c>
      <c r="M256" s="846"/>
      <c r="N256" s="846"/>
      <c r="O256" s="320">
        <f t="shared" si="103"/>
        <v>2.4539229765813353E-2</v>
      </c>
      <c r="P256" s="165">
        <f>(INDEX(Models!$BJ256:$BT256,,T256)*(1-R256)+INDEX(Models!$BJ256:$BT256,,T256+1)*R256-ERP_i)*Q256*Ramure*Pc/MaxiM</f>
        <v>5.5414341552308302E-5</v>
      </c>
      <c r="Q256" s="301">
        <f t="shared" si="104"/>
        <v>0.5</v>
      </c>
      <c r="R256" s="173">
        <f t="shared" si="105"/>
        <v>0.47236631949903979</v>
      </c>
      <c r="S256" s="801">
        <f t="shared" si="124"/>
        <v>0</v>
      </c>
      <c r="T256" s="172">
        <f t="shared" si="106"/>
        <v>6</v>
      </c>
      <c r="U256" s="247">
        <f t="shared" si="107"/>
        <v>0.47236631949903979</v>
      </c>
      <c r="V256" s="378">
        <f t="shared" si="108"/>
        <v>208.94407765753982</v>
      </c>
      <c r="W256" s="397"/>
      <c r="X256" s="153">
        <f t="shared" si="109"/>
        <v>44803</v>
      </c>
      <c r="Y256" s="380">
        <f t="shared" si="110"/>
        <v>198.94400000000002</v>
      </c>
      <c r="Z256" s="380">
        <f t="shared" si="111"/>
        <v>199.97884887460526</v>
      </c>
      <c r="AA256" s="381">
        <f t="shared" si="112"/>
        <v>205.00962722118979</v>
      </c>
      <c r="AB256" s="193">
        <f t="shared" si="113"/>
        <v>44803</v>
      </c>
      <c r="AC256" s="420">
        <f t="shared" si="114"/>
        <v>2.4539229765813353E-2</v>
      </c>
      <c r="AD256" s="165">
        <f>(INDEX(Models!$BJ256:$BT256,,AH256)*(1-AF256)+INDEX(Models!$BJ256:$BT256,,AH256+1)*AF256-ERP_i)*AE256*Ramure*Pc/MaxiM</f>
        <v>5.5414341552308302E-5</v>
      </c>
      <c r="AE256" s="301">
        <f t="shared" si="115"/>
        <v>0.5</v>
      </c>
      <c r="AF256" s="173">
        <f t="shared" si="116"/>
        <v>0.47236631949903979</v>
      </c>
      <c r="AG256" s="801">
        <f t="shared" si="117"/>
        <v>0</v>
      </c>
      <c r="AH256" s="172">
        <f t="shared" si="118"/>
        <v>6</v>
      </c>
      <c r="AI256" s="221">
        <f t="shared" si="119"/>
        <v>0.47236631949903979</v>
      </c>
      <c r="AJ256" s="261" t="b">
        <f t="shared" si="120"/>
        <v>0</v>
      </c>
      <c r="AK256" s="261" t="b">
        <f t="shared" si="121"/>
        <v>0</v>
      </c>
      <c r="AL256" s="261"/>
      <c r="AM256" s="261"/>
      <c r="AN256" s="75"/>
      <c r="AV256" s="153">
        <f t="shared" si="125"/>
        <v>44438</v>
      </c>
      <c r="AW256" s="608"/>
      <c r="AX256" s="385"/>
      <c r="AY256" s="388"/>
      <c r="AZ256" s="380"/>
      <c r="BA256" s="380"/>
      <c r="BB256" s="110"/>
      <c r="BD256" s="375"/>
      <c r="BE256" s="85"/>
      <c r="BF256" s="193">
        <f t="shared" si="122"/>
        <v>44803</v>
      </c>
      <c r="BG256" s="430">
        <f t="shared" si="129"/>
        <v>1.0829929063836841E-2</v>
      </c>
      <c r="BH256" s="846"/>
      <c r="BI256" s="846"/>
      <c r="BJ256" s="320">
        <f t="shared" si="130"/>
        <v>1.0655392803582769E-3</v>
      </c>
      <c r="BK256" s="378"/>
    </row>
    <row r="257" spans="1:63" s="6" customFormat="1" ht="11.25" x14ac:dyDescent="0.2">
      <c r="A257" s="56">
        <f t="shared" si="123"/>
        <v>44804</v>
      </c>
      <c r="B257" s="608">
        <v>88.503</v>
      </c>
      <c r="C257" s="385"/>
      <c r="D257" s="388">
        <f t="shared" si="99"/>
        <v>88.964584737364817</v>
      </c>
      <c r="E257" s="380">
        <f t="shared" si="127"/>
        <v>91.207461982614461</v>
      </c>
      <c r="F257" s="380">
        <f t="shared" si="126"/>
        <v>91.208356380608777</v>
      </c>
      <c r="G257" s="110">
        <f t="shared" si="128"/>
        <v>0.42543387654354287</v>
      </c>
      <c r="I257" s="375">
        <f t="shared" si="100"/>
        <v>91.208356380608777</v>
      </c>
      <c r="J257" s="85">
        <v>2022</v>
      </c>
      <c r="K257" s="193">
        <f t="shared" si="101"/>
        <v>44804</v>
      </c>
      <c r="L257" s="430">
        <f t="shared" si="102"/>
        <v>5.1884099580465914E-3</v>
      </c>
      <c r="M257" s="846"/>
      <c r="N257" s="846"/>
      <c r="O257" s="320">
        <f t="shared" si="103"/>
        <v>2.4590940220189098E-2</v>
      </c>
      <c r="P257" s="165">
        <f>(INDEX(Models!$BJ257:$BT257,,T257)*(1-R257)+INDEX(Models!$BJ257:$BT257,,T257+1)*R257-ERP_i)*Q257*Ramure*Pc/MaxiM</f>
        <v>5.4715860319713866E-5</v>
      </c>
      <c r="Q257" s="301">
        <f t="shared" si="104"/>
        <v>0.5</v>
      </c>
      <c r="R257" s="173">
        <f t="shared" si="105"/>
        <v>0.47304081668873998</v>
      </c>
      <c r="S257" s="801">
        <f t="shared" si="124"/>
        <v>0</v>
      </c>
      <c r="T257" s="172">
        <f t="shared" si="106"/>
        <v>6</v>
      </c>
      <c r="U257" s="247">
        <f t="shared" si="107"/>
        <v>0.47304081668873998</v>
      </c>
      <c r="V257" s="378">
        <f t="shared" si="108"/>
        <v>208.02063538348062</v>
      </c>
      <c r="W257" s="397"/>
      <c r="X257" s="153">
        <f t="shared" si="109"/>
        <v>44804</v>
      </c>
      <c r="Y257" s="380">
        <f t="shared" si="110"/>
        <v>88.503</v>
      </c>
      <c r="Z257" s="380">
        <f t="shared" si="111"/>
        <v>88.964584737364817</v>
      </c>
      <c r="AA257" s="381">
        <f t="shared" si="112"/>
        <v>91.207461982614461</v>
      </c>
      <c r="AB257" s="193">
        <f t="shared" si="113"/>
        <v>44804</v>
      </c>
      <c r="AC257" s="420">
        <f t="shared" si="114"/>
        <v>2.4590940220189098E-2</v>
      </c>
      <c r="AD257" s="165">
        <f>(INDEX(Models!$BJ257:$BT257,,AH257)*(1-AF257)+INDEX(Models!$BJ257:$BT257,,AH257+1)*AF257-ERP_i)*AE257*Ramure*Pc/MaxiM</f>
        <v>5.4715860319713866E-5</v>
      </c>
      <c r="AE257" s="301">
        <f t="shared" si="115"/>
        <v>0.5</v>
      </c>
      <c r="AF257" s="173">
        <f t="shared" si="116"/>
        <v>0.47304081668873998</v>
      </c>
      <c r="AG257" s="801">
        <f t="shared" si="117"/>
        <v>0</v>
      </c>
      <c r="AH257" s="172">
        <f t="shared" si="118"/>
        <v>6</v>
      </c>
      <c r="AI257" s="221">
        <f t="shared" si="119"/>
        <v>0.47304081668873998</v>
      </c>
      <c r="AJ257" s="261" t="b">
        <f t="shared" si="120"/>
        <v>0</v>
      </c>
      <c r="AK257" s="261" t="b">
        <f t="shared" si="121"/>
        <v>0</v>
      </c>
      <c r="AL257" s="261"/>
      <c r="AM257" s="261"/>
      <c r="AN257" s="75"/>
      <c r="AV257" s="153">
        <f t="shared" si="125"/>
        <v>44439</v>
      </c>
      <c r="AW257" s="608"/>
      <c r="AX257" s="385"/>
      <c r="AY257" s="388"/>
      <c r="AZ257" s="380"/>
      <c r="BA257" s="380"/>
      <c r="BB257" s="110"/>
      <c r="BD257" s="375"/>
      <c r="BE257" s="85"/>
      <c r="BF257" s="193">
        <f t="shared" si="122"/>
        <v>44804</v>
      </c>
      <c r="BG257" s="430">
        <f t="shared" si="129"/>
        <v>1.0843615600804934E-2</v>
      </c>
      <c r="BH257" s="846"/>
      <c r="BI257" s="846"/>
      <c r="BJ257" s="320">
        <f t="shared" si="130"/>
        <v>1.1410154204764831E-3</v>
      </c>
      <c r="BK257" s="378"/>
    </row>
    <row r="258" spans="1:63" s="6" customFormat="1" ht="11.25" customHeight="1" x14ac:dyDescent="0.2">
      <c r="A258" s="56">
        <f t="shared" si="123"/>
        <v>44805</v>
      </c>
      <c r="B258" s="608">
        <v>176.024</v>
      </c>
      <c r="C258" s="385"/>
      <c r="D258" s="388">
        <f t="shared" si="99"/>
        <v>176.94447010443906</v>
      </c>
      <c r="E258" s="380">
        <f t="shared" si="127"/>
        <v>181.41498438604273</v>
      </c>
      <c r="F258" s="380">
        <f t="shared" si="126"/>
        <v>181.4226808178222</v>
      </c>
      <c r="G258" s="110">
        <f t="shared" si="128"/>
        <v>0.84999869581643128</v>
      </c>
      <c r="I258" s="375">
        <f t="shared" si="100"/>
        <v>181.4226808178222</v>
      </c>
      <c r="J258" s="85">
        <v>2022</v>
      </c>
      <c r="K258" s="193">
        <f t="shared" si="101"/>
        <v>44805</v>
      </c>
      <c r="L258" s="430">
        <f t="shared" si="102"/>
        <v>5.2020280933094964E-3</v>
      </c>
      <c r="M258" s="846"/>
      <c r="N258" s="846"/>
      <c r="O258" s="320">
        <f t="shared" si="103"/>
        <v>2.4642475354134104E-2</v>
      </c>
      <c r="P258" s="165">
        <f>(INDEX(Models!$BJ258:$BT258,,T258)*(1-R258)+INDEX(Models!$BJ258:$BT258,,T258+1)*R258-ERP_i)*Q258*Ramure*Pc/MaxiM</f>
        <v>5.3991632515848968E-5</v>
      </c>
      <c r="Q258" s="301">
        <f t="shared" si="104"/>
        <v>0.5</v>
      </c>
      <c r="R258" s="173">
        <f t="shared" si="105"/>
        <v>0.47368992867136145</v>
      </c>
      <c r="S258" s="801">
        <f t="shared" si="124"/>
        <v>0</v>
      </c>
      <c r="T258" s="172">
        <f t="shared" si="106"/>
        <v>6</v>
      </c>
      <c r="U258" s="247">
        <f t="shared" si="107"/>
        <v>0.47368992867136145</v>
      </c>
      <c r="V258" s="378">
        <f t="shared" si="108"/>
        <v>207.08498067378758</v>
      </c>
      <c r="W258" s="397"/>
      <c r="X258" s="153">
        <f t="shared" si="109"/>
        <v>44805</v>
      </c>
      <c r="Y258" s="380">
        <f t="shared" si="110"/>
        <v>176.024</v>
      </c>
      <c r="Z258" s="380">
        <f t="shared" si="111"/>
        <v>176.94447010443906</v>
      </c>
      <c r="AA258" s="381">
        <f t="shared" si="112"/>
        <v>181.41498438604273</v>
      </c>
      <c r="AB258" s="193">
        <f t="shared" si="113"/>
        <v>44805</v>
      </c>
      <c r="AC258" s="420">
        <f t="shared" si="114"/>
        <v>2.4642475354134104E-2</v>
      </c>
      <c r="AD258" s="165">
        <f>(INDEX(Models!$BJ258:$BT258,,AH258)*(1-AF258)+INDEX(Models!$BJ258:$BT258,,AH258+1)*AF258-ERP_i)*AE258*Ramure*Pc/MaxiM</f>
        <v>5.3991632515848968E-5</v>
      </c>
      <c r="AE258" s="301">
        <f t="shared" si="115"/>
        <v>0.5</v>
      </c>
      <c r="AF258" s="173">
        <f t="shared" si="116"/>
        <v>0.47368992867136145</v>
      </c>
      <c r="AG258" s="801">
        <f t="shared" si="117"/>
        <v>0</v>
      </c>
      <c r="AH258" s="172">
        <f t="shared" si="118"/>
        <v>6</v>
      </c>
      <c r="AI258" s="221">
        <f t="shared" si="119"/>
        <v>0.47368992867136145</v>
      </c>
      <c r="AJ258" s="261" t="b">
        <f t="shared" si="120"/>
        <v>0</v>
      </c>
      <c r="AK258" s="261" t="b">
        <f t="shared" si="121"/>
        <v>0</v>
      </c>
      <c r="AL258" s="261"/>
      <c r="AM258" s="261"/>
      <c r="AN258" s="75"/>
      <c r="AV258" s="153">
        <f t="shared" si="125"/>
        <v>44440</v>
      </c>
      <c r="AW258" s="608"/>
      <c r="AX258" s="385"/>
      <c r="AY258" s="388"/>
      <c r="AZ258" s="380"/>
      <c r="BA258" s="380"/>
      <c r="BB258" s="110"/>
      <c r="BD258" s="375"/>
      <c r="BE258" s="85"/>
      <c r="BF258" s="193">
        <f t="shared" si="122"/>
        <v>44805</v>
      </c>
      <c r="BG258" s="430">
        <f t="shared" si="129"/>
        <v>1.0857301950415899E-2</v>
      </c>
      <c r="BH258" s="846"/>
      <c r="BI258" s="846"/>
      <c r="BJ258" s="320">
        <f t="shared" si="130"/>
        <v>1.2164018195595424E-3</v>
      </c>
      <c r="BK258" s="378"/>
    </row>
    <row r="259" spans="1:63" s="6" customFormat="1" ht="11.25" x14ac:dyDescent="0.2">
      <c r="A259" s="56">
        <f t="shared" si="123"/>
        <v>44806</v>
      </c>
      <c r="B259" s="608">
        <v>173.50300000000001</v>
      </c>
      <c r="C259" s="385"/>
      <c r="D259" s="388">
        <f t="shared" si="99"/>
        <v>174.41267477690124</v>
      </c>
      <c r="E259" s="380">
        <f t="shared" si="127"/>
        <v>178.82863878473202</v>
      </c>
      <c r="F259" s="380">
        <f t="shared" si="126"/>
        <v>178.8360068834514</v>
      </c>
      <c r="G259" s="110">
        <f t="shared" si="128"/>
        <v>0.84167719847680944</v>
      </c>
      <c r="I259" s="375">
        <f t="shared" si="100"/>
        <v>178.8360068834514</v>
      </c>
      <c r="J259" s="85">
        <v>2022</v>
      </c>
      <c r="K259" s="193">
        <f t="shared" si="101"/>
        <v>44806</v>
      </c>
      <c r="L259" s="430">
        <f t="shared" si="102"/>
        <v>5.2156460421516337E-3</v>
      </c>
      <c r="M259" s="846"/>
      <c r="N259" s="846"/>
      <c r="O259" s="320">
        <f t="shared" si="103"/>
        <v>2.4693830014255101E-2</v>
      </c>
      <c r="P259" s="165">
        <f>(INDEX(Models!$BJ259:$BT259,,T259)*(1-R259)+INDEX(Models!$BJ259:$BT259,,T259+1)*R259-ERP_i)*Q259*Ramure*Pc/MaxiM</f>
        <v>5.3241444660415938E-5</v>
      </c>
      <c r="Q259" s="301">
        <f t="shared" si="104"/>
        <v>0.5</v>
      </c>
      <c r="R259" s="173">
        <f t="shared" si="105"/>
        <v>0.47431454428556807</v>
      </c>
      <c r="S259" s="801">
        <f t="shared" si="124"/>
        <v>0</v>
      </c>
      <c r="T259" s="172">
        <f t="shared" si="106"/>
        <v>6</v>
      </c>
      <c r="U259" s="247">
        <f t="shared" si="107"/>
        <v>0.47431454428556807</v>
      </c>
      <c r="V259" s="378">
        <f t="shared" si="108"/>
        <v>206.13711652724308</v>
      </c>
      <c r="W259" s="397"/>
      <c r="X259" s="153">
        <f t="shared" si="109"/>
        <v>44806</v>
      </c>
      <c r="Y259" s="380">
        <f t="shared" si="110"/>
        <v>173.50300000000001</v>
      </c>
      <c r="Z259" s="380">
        <f t="shared" si="111"/>
        <v>174.41267477690124</v>
      </c>
      <c r="AA259" s="381">
        <f t="shared" si="112"/>
        <v>178.82863878473202</v>
      </c>
      <c r="AB259" s="193">
        <f t="shared" si="113"/>
        <v>44806</v>
      </c>
      <c r="AC259" s="420">
        <f t="shared" si="114"/>
        <v>2.4693830014255101E-2</v>
      </c>
      <c r="AD259" s="165">
        <f>(INDEX(Models!$BJ259:$BT259,,AH259)*(1-AF259)+INDEX(Models!$BJ259:$BT259,,AH259+1)*AF259-ERP_i)*AE259*Ramure*Pc/MaxiM</f>
        <v>5.3241444660415938E-5</v>
      </c>
      <c r="AE259" s="301">
        <f t="shared" si="115"/>
        <v>0.5</v>
      </c>
      <c r="AF259" s="173">
        <f t="shared" si="116"/>
        <v>0.47431454428556807</v>
      </c>
      <c r="AG259" s="801">
        <f t="shared" si="117"/>
        <v>0</v>
      </c>
      <c r="AH259" s="172">
        <f t="shared" si="118"/>
        <v>6</v>
      </c>
      <c r="AI259" s="221">
        <f t="shared" si="119"/>
        <v>0.47431454428556807</v>
      </c>
      <c r="AJ259" s="261" t="b">
        <f t="shared" si="120"/>
        <v>0</v>
      </c>
      <c r="AK259" s="261" t="b">
        <f t="shared" si="121"/>
        <v>0</v>
      </c>
      <c r="AL259" s="261"/>
      <c r="AM259" s="261"/>
      <c r="AN259" s="75"/>
      <c r="AV259" s="153">
        <f t="shared" si="125"/>
        <v>44441</v>
      </c>
      <c r="AW259" s="608"/>
      <c r="AX259" s="385"/>
      <c r="AY259" s="388"/>
      <c r="AZ259" s="380"/>
      <c r="BA259" s="380"/>
      <c r="BB259" s="110"/>
      <c r="BD259" s="375"/>
      <c r="BE259" s="85"/>
      <c r="BF259" s="193">
        <f t="shared" si="122"/>
        <v>44806</v>
      </c>
      <c r="BG259" s="430">
        <f t="shared" si="129"/>
        <v>1.0870988112672286E-2</v>
      </c>
      <c r="BH259" s="846"/>
      <c r="BI259" s="846"/>
      <c r="BJ259" s="320">
        <f t="shared" si="130"/>
        <v>1.2916972711841147E-3</v>
      </c>
      <c r="BK259" s="378"/>
    </row>
    <row r="260" spans="1:63" s="6" customFormat="1" ht="11.25" x14ac:dyDescent="0.2">
      <c r="A260" s="56">
        <f t="shared" si="123"/>
        <v>44807</v>
      </c>
      <c r="B260" s="608">
        <v>135.52799999999999</v>
      </c>
      <c r="C260" s="385"/>
      <c r="D260" s="388">
        <f t="shared" si="99"/>
        <v>136.240437186901</v>
      </c>
      <c r="E260" s="380">
        <f t="shared" si="127"/>
        <v>139.69724536066977</v>
      </c>
      <c r="F260" s="380">
        <f t="shared" si="126"/>
        <v>139.70102045088095</v>
      </c>
      <c r="G260" s="110">
        <f t="shared" si="128"/>
        <v>0.66052491940346914</v>
      </c>
      <c r="I260" s="375">
        <f t="shared" si="100"/>
        <v>139.70102045088095</v>
      </c>
      <c r="J260" s="85">
        <v>2022</v>
      </c>
      <c r="K260" s="193">
        <f t="shared" si="101"/>
        <v>44807</v>
      </c>
      <c r="L260" s="430">
        <f t="shared" si="102"/>
        <v>5.2292638045755568E-3</v>
      </c>
      <c r="M260" s="846"/>
      <c r="N260" s="846"/>
      <c r="O260" s="320">
        <f t="shared" si="103"/>
        <v>2.4744998835474593E-2</v>
      </c>
      <c r="P260" s="165">
        <f>(INDEX(Models!$BJ260:$BT260,,T260)*(1-R260)+INDEX(Models!$BJ260:$BT260,,T260+1)*R260-ERP_i)*Q260*Ramure*Pc/MaxiM</f>
        <v>5.2465070731703555E-5</v>
      </c>
      <c r="Q260" s="301">
        <f t="shared" si="104"/>
        <v>0.5</v>
      </c>
      <c r="R260" s="173">
        <f t="shared" si="105"/>
        <v>0.47491552636419354</v>
      </c>
      <c r="S260" s="801">
        <f t="shared" si="124"/>
        <v>0</v>
      </c>
      <c r="T260" s="172">
        <f t="shared" si="106"/>
        <v>6</v>
      </c>
      <c r="U260" s="247">
        <f t="shared" si="107"/>
        <v>0.47491552636419354</v>
      </c>
      <c r="V260" s="378">
        <f t="shared" si="108"/>
        <v>205.17704595807572</v>
      </c>
      <c r="W260" s="397"/>
      <c r="X260" s="153">
        <f t="shared" si="109"/>
        <v>44807</v>
      </c>
      <c r="Y260" s="380">
        <f t="shared" si="110"/>
        <v>135.52799999999999</v>
      </c>
      <c r="Z260" s="380">
        <f t="shared" si="111"/>
        <v>136.240437186901</v>
      </c>
      <c r="AA260" s="381">
        <f t="shared" si="112"/>
        <v>139.69724536066977</v>
      </c>
      <c r="AB260" s="193">
        <f t="shared" si="113"/>
        <v>44807</v>
      </c>
      <c r="AC260" s="420">
        <f t="shared" si="114"/>
        <v>2.4744998835474593E-2</v>
      </c>
      <c r="AD260" s="165">
        <f>(INDEX(Models!$BJ260:$BT260,,AH260)*(1-AF260)+INDEX(Models!$BJ260:$BT260,,AH260+1)*AF260-ERP_i)*AE260*Ramure*Pc/MaxiM</f>
        <v>5.2465070731703555E-5</v>
      </c>
      <c r="AE260" s="301">
        <f t="shared" si="115"/>
        <v>0.5</v>
      </c>
      <c r="AF260" s="173">
        <f t="shared" si="116"/>
        <v>0.47491552636419354</v>
      </c>
      <c r="AG260" s="801">
        <f t="shared" si="117"/>
        <v>0</v>
      </c>
      <c r="AH260" s="172">
        <f t="shared" si="118"/>
        <v>6</v>
      </c>
      <c r="AI260" s="221">
        <f t="shared" si="119"/>
        <v>0.47491552636419354</v>
      </c>
      <c r="AJ260" s="261" t="b">
        <f t="shared" si="120"/>
        <v>0</v>
      </c>
      <c r="AK260" s="261" t="b">
        <f t="shared" si="121"/>
        <v>0</v>
      </c>
      <c r="AL260" s="261"/>
      <c r="AM260" s="261"/>
      <c r="AN260" s="75"/>
      <c r="AV260" s="153">
        <f t="shared" si="125"/>
        <v>44442</v>
      </c>
      <c r="AW260" s="608"/>
      <c r="AX260" s="385"/>
      <c r="AY260" s="388"/>
      <c r="AZ260" s="380"/>
      <c r="BA260" s="380"/>
      <c r="BB260" s="110"/>
      <c r="BD260" s="375"/>
      <c r="BE260" s="85"/>
      <c r="BF260" s="193">
        <f t="shared" si="122"/>
        <v>44807</v>
      </c>
      <c r="BG260" s="430">
        <f t="shared" si="129"/>
        <v>1.088467408757654E-2</v>
      </c>
      <c r="BH260" s="846"/>
      <c r="BI260" s="846"/>
      <c r="BJ260" s="320">
        <f t="shared" si="130"/>
        <v>1.3669005067664E-3</v>
      </c>
      <c r="BK260" s="378"/>
    </row>
    <row r="261" spans="1:63" s="6" customFormat="1" ht="11.25" customHeight="1" x14ac:dyDescent="0.2">
      <c r="A261" s="56">
        <f t="shared" si="123"/>
        <v>44808</v>
      </c>
      <c r="B261" s="608">
        <v>190.91</v>
      </c>
      <c r="C261" s="385"/>
      <c r="D261" s="388">
        <f t="shared" si="99"/>
        <v>191.9161938393126</v>
      </c>
      <c r="E261" s="380">
        <f t="shared" si="127"/>
        <v>196.7959413220043</v>
      </c>
      <c r="F261" s="380">
        <f t="shared" ref="F261:F292" si="131">Wh_sa/(1-Pvg*MEDIAN((-Sdif+Wh/Env_an)/Csdif,0,1))</f>
        <v>196.80516308145275</v>
      </c>
      <c r="G261" s="110">
        <f t="shared" si="128"/>
        <v>0.93489040818710922</v>
      </c>
      <c r="I261" s="375">
        <f t="shared" si="100"/>
        <v>196.80516308145275</v>
      </c>
      <c r="J261" s="85">
        <v>2022</v>
      </c>
      <c r="K261" s="193">
        <f t="shared" si="101"/>
        <v>44808</v>
      </c>
      <c r="L261" s="430">
        <f t="shared" si="102"/>
        <v>5.2428813805835972E-3</v>
      </c>
      <c r="M261" s="846"/>
      <c r="N261" s="846"/>
      <c r="O261" s="320">
        <f t="shared" si="103"/>
        <v>2.4795976227514151E-2</v>
      </c>
      <c r="P261" s="165">
        <f>(INDEX(Models!$BJ261:$BT261,,T261)*(1-R261)+INDEX(Models!$BJ261:$BT261,,T261+1)*R261-ERP_i)*Q261*Ramure*Pc/MaxiM</f>
        <v>5.1662272139271229E-5</v>
      </c>
      <c r="Q261" s="301">
        <f t="shared" si="104"/>
        <v>0.5</v>
      </c>
      <c r="R261" s="173">
        <f t="shared" si="105"/>
        <v>0.47549371208995778</v>
      </c>
      <c r="S261" s="801">
        <f t="shared" si="124"/>
        <v>0</v>
      </c>
      <c r="T261" s="172">
        <f t="shared" si="106"/>
        <v>6</v>
      </c>
      <c r="U261" s="247">
        <f t="shared" si="107"/>
        <v>0.47549371208995778</v>
      </c>
      <c r="V261" s="378">
        <f t="shared" si="108"/>
        <v>204.20477199123144</v>
      </c>
      <c r="W261" s="397"/>
      <c r="X261" s="153">
        <f t="shared" si="109"/>
        <v>44808</v>
      </c>
      <c r="Y261" s="380">
        <f t="shared" si="110"/>
        <v>190.91</v>
      </c>
      <c r="Z261" s="380">
        <f t="shared" si="111"/>
        <v>191.9161938393126</v>
      </c>
      <c r="AA261" s="381">
        <f t="shared" si="112"/>
        <v>196.7959413220043</v>
      </c>
      <c r="AB261" s="193">
        <f t="shared" si="113"/>
        <v>44808</v>
      </c>
      <c r="AC261" s="420">
        <f t="shared" si="114"/>
        <v>2.4795976227514151E-2</v>
      </c>
      <c r="AD261" s="165">
        <f>(INDEX(Models!$BJ261:$BT261,,AH261)*(1-AF261)+INDEX(Models!$BJ261:$BT261,,AH261+1)*AF261-ERP_i)*AE261*Ramure*Pc/MaxiM</f>
        <v>5.1662272139271229E-5</v>
      </c>
      <c r="AE261" s="301">
        <f t="shared" si="115"/>
        <v>0.5</v>
      </c>
      <c r="AF261" s="173">
        <f t="shared" si="116"/>
        <v>0.47549371208995778</v>
      </c>
      <c r="AG261" s="801">
        <f t="shared" si="117"/>
        <v>0</v>
      </c>
      <c r="AH261" s="172">
        <f t="shared" si="118"/>
        <v>6</v>
      </c>
      <c r="AI261" s="221">
        <f t="shared" si="119"/>
        <v>0.47549371208995778</v>
      </c>
      <c r="AJ261" s="261" t="b">
        <f t="shared" si="120"/>
        <v>0</v>
      </c>
      <c r="AK261" s="261" t="b">
        <f t="shared" si="121"/>
        <v>0</v>
      </c>
      <c r="AL261" s="261"/>
      <c r="AM261" s="261"/>
      <c r="AN261" s="75"/>
      <c r="AV261" s="153">
        <f t="shared" si="125"/>
        <v>44443</v>
      </c>
      <c r="AW261" s="608"/>
      <c r="AX261" s="385"/>
      <c r="AY261" s="388"/>
      <c r="AZ261" s="380"/>
      <c r="BA261" s="380"/>
      <c r="BB261" s="110"/>
      <c r="BD261" s="375"/>
      <c r="BE261" s="85"/>
      <c r="BF261" s="193">
        <f t="shared" si="122"/>
        <v>44808</v>
      </c>
      <c r="BG261" s="430">
        <f t="shared" si="129"/>
        <v>1.0898359875131325E-2</v>
      </c>
      <c r="BH261" s="846"/>
      <c r="BI261" s="846"/>
      <c r="BJ261" s="320">
        <f t="shared" si="130"/>
        <v>1.4420101923552462E-3</v>
      </c>
      <c r="BK261" s="378"/>
    </row>
    <row r="262" spans="1:63" s="6" customFormat="1" ht="11.25" x14ac:dyDescent="0.2">
      <c r="A262" s="56">
        <f t="shared" si="123"/>
        <v>44809</v>
      </c>
      <c r="B262" s="608">
        <v>168.608</v>
      </c>
      <c r="C262" s="385"/>
      <c r="D262" s="388">
        <f t="shared" si="99"/>
        <v>169.49897113330877</v>
      </c>
      <c r="E262" s="380">
        <f t="shared" si="127"/>
        <v>173.81777914293733</v>
      </c>
      <c r="F262" s="380">
        <f t="shared" si="131"/>
        <v>173.8244682935279</v>
      </c>
      <c r="G262" s="110">
        <f t="shared" si="128"/>
        <v>0.82967065521717487</v>
      </c>
      <c r="I262" s="375">
        <f t="shared" si="100"/>
        <v>173.8244682935279</v>
      </c>
      <c r="J262" s="85">
        <v>2022</v>
      </c>
      <c r="K262" s="193">
        <f t="shared" si="101"/>
        <v>44809</v>
      </c>
      <c r="L262" s="430">
        <f t="shared" si="102"/>
        <v>5.2564987701785304E-3</v>
      </c>
      <c r="M262" s="846"/>
      <c r="N262" s="846"/>
      <c r="O262" s="320">
        <f t="shared" si="103"/>
        <v>2.4846756361310101E-2</v>
      </c>
      <c r="P262" s="165">
        <f>(INDEX(Models!$BJ262:$BT262,,T262)*(1-R262)+INDEX(Models!$BJ262:$BT262,,T262+1)*R262-ERP_i)*Q262*Ramure*Pc/MaxiM</f>
        <v>5.0856184349269766E-5</v>
      </c>
      <c r="Q262" s="301">
        <f t="shared" si="104"/>
        <v>0.5</v>
      </c>
      <c r="R262" s="173">
        <f t="shared" si="105"/>
        <v>0.47604991338272967</v>
      </c>
      <c r="S262" s="801">
        <f t="shared" si="124"/>
        <v>0</v>
      </c>
      <c r="T262" s="172">
        <f t="shared" si="106"/>
        <v>6</v>
      </c>
      <c r="U262" s="247">
        <f t="shared" si="107"/>
        <v>0.47604991338272967</v>
      </c>
      <c r="V262" s="378">
        <f t="shared" si="108"/>
        <v>203.22029290692427</v>
      </c>
      <c r="W262" s="397"/>
      <c r="X262" s="153">
        <f t="shared" si="109"/>
        <v>44809</v>
      </c>
      <c r="Y262" s="380">
        <f t="shared" si="110"/>
        <v>168.608</v>
      </c>
      <c r="Z262" s="380">
        <f t="shared" si="111"/>
        <v>169.49897113330877</v>
      </c>
      <c r="AA262" s="381">
        <f t="shared" si="112"/>
        <v>173.81777914293733</v>
      </c>
      <c r="AB262" s="193">
        <f t="shared" si="113"/>
        <v>44809</v>
      </c>
      <c r="AC262" s="420">
        <f t="shared" si="114"/>
        <v>2.4846756361310101E-2</v>
      </c>
      <c r="AD262" s="165">
        <f>(INDEX(Models!$BJ262:$BT262,,AH262)*(1-AF262)+INDEX(Models!$BJ262:$BT262,,AH262+1)*AF262-ERP_i)*AE262*Ramure*Pc/MaxiM</f>
        <v>5.0856184349269766E-5</v>
      </c>
      <c r="AE262" s="301">
        <f t="shared" si="115"/>
        <v>0.5</v>
      </c>
      <c r="AF262" s="173">
        <f t="shared" si="116"/>
        <v>0.47604991338272967</v>
      </c>
      <c r="AG262" s="801">
        <f t="shared" si="117"/>
        <v>0</v>
      </c>
      <c r="AH262" s="172">
        <f t="shared" si="118"/>
        <v>6</v>
      </c>
      <c r="AI262" s="221">
        <f t="shared" si="119"/>
        <v>0.47604991338272967</v>
      </c>
      <c r="AJ262" s="261" t="b">
        <f t="shared" si="120"/>
        <v>0</v>
      </c>
      <c r="AK262" s="261" t="b">
        <f t="shared" si="121"/>
        <v>0</v>
      </c>
      <c r="AL262" s="261"/>
      <c r="AM262" s="261"/>
      <c r="AN262" s="75"/>
      <c r="AV262" s="153">
        <f t="shared" si="125"/>
        <v>44444</v>
      </c>
      <c r="AW262" s="608"/>
      <c r="AX262" s="385"/>
      <c r="AY262" s="388"/>
      <c r="AZ262" s="380"/>
      <c r="BA262" s="380"/>
      <c r="BB262" s="110"/>
      <c r="BD262" s="375"/>
      <c r="BE262" s="85"/>
      <c r="BF262" s="193">
        <f t="shared" si="122"/>
        <v>44809</v>
      </c>
      <c r="BG262" s="430">
        <f t="shared" si="129"/>
        <v>1.0912045475339083E-2</v>
      </c>
      <c r="BH262" s="846"/>
      <c r="BI262" s="846"/>
      <c r="BJ262" s="320">
        <f t="shared" si="130"/>
        <v>1.5170249252242154E-3</v>
      </c>
      <c r="BK262" s="378"/>
    </row>
    <row r="263" spans="1:63" s="6" customFormat="1" ht="11.25" x14ac:dyDescent="0.2">
      <c r="A263" s="56">
        <f t="shared" si="123"/>
        <v>44810</v>
      </c>
      <c r="B263" s="608">
        <v>189.084</v>
      </c>
      <c r="C263" s="385"/>
      <c r="D263" s="388">
        <f t="shared" si="99"/>
        <v>190.08577407425778</v>
      </c>
      <c r="E263" s="380">
        <f t="shared" si="127"/>
        <v>194.93924131029078</v>
      </c>
      <c r="F263" s="380">
        <f t="shared" si="131"/>
        <v>194.94810319538493</v>
      </c>
      <c r="G263" s="110">
        <f t="shared" si="128"/>
        <v>0.93502005314348469</v>
      </c>
      <c r="I263" s="375">
        <f t="shared" si="100"/>
        <v>194.94810319538493</v>
      </c>
      <c r="J263" s="85">
        <v>2022</v>
      </c>
      <c r="K263" s="193">
        <f t="shared" si="101"/>
        <v>44810</v>
      </c>
      <c r="L263" s="430">
        <f t="shared" si="102"/>
        <v>5.2701159733627989E-3</v>
      </c>
      <c r="M263" s="846"/>
      <c r="N263" s="846"/>
      <c r="O263" s="320">
        <f t="shared" si="103"/>
        <v>2.4897333155757876E-2</v>
      </c>
      <c r="P263" s="165">
        <f>(INDEX(Models!$BJ263:$BT263,,T263)*(1-R263)+INDEX(Models!$BJ263:$BT263,,T263+1)*R263-ERP_i)*Q263*Ramure*Pc/MaxiM</f>
        <v>5.0108883505912536E-5</v>
      </c>
      <c r="Q263" s="301">
        <f t="shared" si="104"/>
        <v>0.5</v>
      </c>
      <c r="R263" s="173">
        <f t="shared" si="105"/>
        <v>0.47658491731436131</v>
      </c>
      <c r="S263" s="801">
        <f t="shared" si="124"/>
        <v>0</v>
      </c>
      <c r="T263" s="172">
        <f t="shared" si="106"/>
        <v>6</v>
      </c>
      <c r="U263" s="247">
        <f t="shared" si="107"/>
        <v>0.47658491731436131</v>
      </c>
      <c r="V263" s="378">
        <f t="shared" si="108"/>
        <v>202.22359921894045</v>
      </c>
      <c r="W263" s="397"/>
      <c r="X263" s="153">
        <f t="shared" si="109"/>
        <v>44810</v>
      </c>
      <c r="Y263" s="380">
        <f t="shared" si="110"/>
        <v>189.084</v>
      </c>
      <c r="Z263" s="380">
        <f t="shared" si="111"/>
        <v>190.08577407425778</v>
      </c>
      <c r="AA263" s="381">
        <f t="shared" si="112"/>
        <v>194.93924131029078</v>
      </c>
      <c r="AB263" s="193">
        <f t="shared" si="113"/>
        <v>44810</v>
      </c>
      <c r="AC263" s="420">
        <f t="shared" si="114"/>
        <v>2.4897333155757876E-2</v>
      </c>
      <c r="AD263" s="165">
        <f>(INDEX(Models!$BJ263:$BT263,,AH263)*(1-AF263)+INDEX(Models!$BJ263:$BT263,,AH263+1)*AF263-ERP_i)*AE263*Ramure*Pc/MaxiM</f>
        <v>5.0108883505912536E-5</v>
      </c>
      <c r="AE263" s="301">
        <f t="shared" si="115"/>
        <v>0.5</v>
      </c>
      <c r="AF263" s="173">
        <f t="shared" si="116"/>
        <v>0.47658491731436131</v>
      </c>
      <c r="AG263" s="801">
        <f t="shared" si="117"/>
        <v>0</v>
      </c>
      <c r="AH263" s="172">
        <f t="shared" si="118"/>
        <v>6</v>
      </c>
      <c r="AI263" s="221">
        <f t="shared" si="119"/>
        <v>0.47658491731436131</v>
      </c>
      <c r="AJ263" s="261" t="b">
        <f t="shared" si="120"/>
        <v>0</v>
      </c>
      <c r="AK263" s="261" t="b">
        <f t="shared" si="121"/>
        <v>0</v>
      </c>
      <c r="AL263" s="261"/>
      <c r="AM263" s="261"/>
      <c r="AN263" s="75"/>
      <c r="AV263" s="153">
        <f t="shared" si="125"/>
        <v>44445</v>
      </c>
      <c r="AW263" s="608"/>
      <c r="AX263" s="385"/>
      <c r="AY263" s="388"/>
      <c r="AZ263" s="380"/>
      <c r="BA263" s="380"/>
      <c r="BB263" s="110"/>
      <c r="BD263" s="375"/>
      <c r="BE263" s="85"/>
      <c r="BF263" s="193">
        <f t="shared" si="122"/>
        <v>44810</v>
      </c>
      <c r="BG263" s="430">
        <f t="shared" si="129"/>
        <v>1.0925730888202589E-2</v>
      </c>
      <c r="BH263" s="846"/>
      <c r="BI263" s="846"/>
      <c r="BJ263" s="320">
        <f t="shared" si="130"/>
        <v>1.5919432302900693E-3</v>
      </c>
      <c r="BK263" s="378"/>
    </row>
    <row r="264" spans="1:63" s="6" customFormat="1" ht="11.25" customHeight="1" x14ac:dyDescent="0.2">
      <c r="A264" s="56">
        <f t="shared" si="123"/>
        <v>44811</v>
      </c>
      <c r="B264" s="608">
        <v>143.71299999999999</v>
      </c>
      <c r="C264" s="385"/>
      <c r="D264" s="388">
        <f t="shared" si="99"/>
        <v>144.47637458669942</v>
      </c>
      <c r="E264" s="380">
        <f t="shared" si="127"/>
        <v>148.17294890335003</v>
      </c>
      <c r="F264" s="380">
        <f t="shared" si="131"/>
        <v>148.17728238486964</v>
      </c>
      <c r="G264" s="110">
        <f t="shared" si="128"/>
        <v>0.71421275201026002</v>
      </c>
      <c r="I264" s="375">
        <f t="shared" si="100"/>
        <v>148.17728238486964</v>
      </c>
      <c r="J264" s="85">
        <v>2022</v>
      </c>
      <c r="K264" s="193">
        <f t="shared" si="101"/>
        <v>44811</v>
      </c>
      <c r="L264" s="430">
        <f t="shared" si="102"/>
        <v>5.2837329901390673E-3</v>
      </c>
      <c r="M264" s="846"/>
      <c r="N264" s="846"/>
      <c r="O264" s="320">
        <f t="shared" si="103"/>
        <v>2.4947700265193568E-2</v>
      </c>
      <c r="P264" s="165">
        <f>(INDEX(Models!$BJ264:$BT264,,T264)*(1-R264)+INDEX(Models!$BJ264:$BT264,,T264+1)*R264-ERP_i)*Q264*Ramure*Pc/MaxiM</f>
        <v>4.9421371027021383E-5</v>
      </c>
      <c r="Q264" s="301">
        <f t="shared" si="104"/>
        <v>0.5</v>
      </c>
      <c r="R264" s="173">
        <f t="shared" si="105"/>
        <v>0.47709948654739892</v>
      </c>
      <c r="S264" s="801">
        <f t="shared" si="124"/>
        <v>0</v>
      </c>
      <c r="T264" s="172">
        <f t="shared" si="106"/>
        <v>6</v>
      </c>
      <c r="U264" s="247">
        <f t="shared" si="107"/>
        <v>0.47709948654739892</v>
      </c>
      <c r="V264" s="378">
        <f t="shared" si="108"/>
        <v>201.21469399654407</v>
      </c>
      <c r="W264" s="397"/>
      <c r="X264" s="153">
        <f t="shared" si="109"/>
        <v>44811</v>
      </c>
      <c r="Y264" s="380">
        <f t="shared" si="110"/>
        <v>143.71299999999999</v>
      </c>
      <c r="Z264" s="380">
        <f t="shared" si="111"/>
        <v>144.47637458669942</v>
      </c>
      <c r="AA264" s="381">
        <f t="shared" si="112"/>
        <v>148.17294890335003</v>
      </c>
      <c r="AB264" s="193">
        <f t="shared" si="113"/>
        <v>44811</v>
      </c>
      <c r="AC264" s="420">
        <f t="shared" si="114"/>
        <v>2.4947700265193568E-2</v>
      </c>
      <c r="AD264" s="165">
        <f>(INDEX(Models!$BJ264:$BT264,,AH264)*(1-AF264)+INDEX(Models!$BJ264:$BT264,,AH264+1)*AF264-ERP_i)*AE264*Ramure*Pc/MaxiM</f>
        <v>4.9421371027021383E-5</v>
      </c>
      <c r="AE264" s="301">
        <f t="shared" si="115"/>
        <v>0.5</v>
      </c>
      <c r="AF264" s="173">
        <f t="shared" si="116"/>
        <v>0.47709948654739892</v>
      </c>
      <c r="AG264" s="801">
        <f t="shared" si="117"/>
        <v>0</v>
      </c>
      <c r="AH264" s="172">
        <f t="shared" si="118"/>
        <v>6</v>
      </c>
      <c r="AI264" s="221">
        <f t="shared" si="119"/>
        <v>0.47709948654739892</v>
      </c>
      <c r="AJ264" s="261" t="b">
        <f t="shared" si="120"/>
        <v>0</v>
      </c>
      <c r="AK264" s="261" t="b">
        <f t="shared" si="121"/>
        <v>0</v>
      </c>
      <c r="AL264" s="261"/>
      <c r="AM264" s="261"/>
      <c r="AN264" s="75"/>
      <c r="AV264" s="153">
        <f t="shared" si="125"/>
        <v>44446</v>
      </c>
      <c r="AW264" s="608"/>
      <c r="AX264" s="385"/>
      <c r="AY264" s="388"/>
      <c r="AZ264" s="380"/>
      <c r="BA264" s="380"/>
      <c r="BB264" s="110"/>
      <c r="BD264" s="375"/>
      <c r="BE264" s="85"/>
      <c r="BF264" s="193">
        <f t="shared" si="122"/>
        <v>44811</v>
      </c>
      <c r="BG264" s="430">
        <f t="shared" si="129"/>
        <v>1.0939416113724176E-2</v>
      </c>
      <c r="BH264" s="846"/>
      <c r="BI264" s="846"/>
      <c r="BJ264" s="320">
        <f t="shared" si="130"/>
        <v>1.6667635563952284E-3</v>
      </c>
      <c r="BK264" s="378"/>
    </row>
    <row r="265" spans="1:63" s="6" customFormat="1" ht="11.25" x14ac:dyDescent="0.2">
      <c r="A265" s="56">
        <f t="shared" si="123"/>
        <v>44812</v>
      </c>
      <c r="B265" s="608">
        <v>167.06100000000001</v>
      </c>
      <c r="C265" s="385"/>
      <c r="D265" s="388">
        <f t="shared" si="99"/>
        <v>167.95069357647182</v>
      </c>
      <c r="E265" s="380">
        <f t="shared" si="127"/>
        <v>172.25674195738631</v>
      </c>
      <c r="F265" s="380">
        <f t="shared" si="131"/>
        <v>172.26316013998238</v>
      </c>
      <c r="G265" s="110">
        <f t="shared" si="128"/>
        <v>0.83448766104502958</v>
      </c>
      <c r="I265" s="375">
        <f t="shared" si="100"/>
        <v>172.26316013998238</v>
      </c>
      <c r="J265" s="85">
        <v>2022</v>
      </c>
      <c r="K265" s="193">
        <f t="shared" si="101"/>
        <v>44812</v>
      </c>
      <c r="L265" s="430">
        <f t="shared" si="102"/>
        <v>5.297349820509778E-3</v>
      </c>
      <c r="M265" s="846"/>
      <c r="N265" s="846"/>
      <c r="O265" s="320">
        <f t="shared" si="103"/>
        <v>2.4997851068028092E-2</v>
      </c>
      <c r="P265" s="165">
        <f>(INDEX(Models!$BJ265:$BT265,,T265)*(1-R265)+INDEX(Models!$BJ265:$BT265,,T265+1)*R265-ERP_i)*Q265*Ramure*Pc/MaxiM</f>
        <v>4.8794648292183121E-5</v>
      </c>
      <c r="Q265" s="301">
        <f t="shared" si="104"/>
        <v>0.5</v>
      </c>
      <c r="R265" s="173">
        <f t="shared" si="105"/>
        <v>0.47759435979424475</v>
      </c>
      <c r="S265" s="801">
        <f t="shared" si="124"/>
        <v>0</v>
      </c>
      <c r="T265" s="172">
        <f t="shared" si="106"/>
        <v>6</v>
      </c>
      <c r="U265" s="247">
        <f t="shared" si="107"/>
        <v>0.47759435979424475</v>
      </c>
      <c r="V265" s="378">
        <f t="shared" si="108"/>
        <v>200.19358033011838</v>
      </c>
      <c r="W265" s="397"/>
      <c r="X265" s="153">
        <f t="shared" si="109"/>
        <v>44812</v>
      </c>
      <c r="Y265" s="380">
        <f t="shared" si="110"/>
        <v>167.06100000000001</v>
      </c>
      <c r="Z265" s="380">
        <f t="shared" si="111"/>
        <v>167.95069357647182</v>
      </c>
      <c r="AA265" s="381">
        <f t="shared" si="112"/>
        <v>172.25674195738631</v>
      </c>
      <c r="AB265" s="193">
        <f t="shared" si="113"/>
        <v>44812</v>
      </c>
      <c r="AC265" s="420">
        <f t="shared" si="114"/>
        <v>2.4997851068028092E-2</v>
      </c>
      <c r="AD265" s="165">
        <f>(INDEX(Models!$BJ265:$BT265,,AH265)*(1-AF265)+INDEX(Models!$BJ265:$BT265,,AH265+1)*AF265-ERP_i)*AE265*Ramure*Pc/MaxiM</f>
        <v>4.8794648292183121E-5</v>
      </c>
      <c r="AE265" s="301">
        <f t="shared" si="115"/>
        <v>0.5</v>
      </c>
      <c r="AF265" s="173">
        <f t="shared" si="116"/>
        <v>0.47759435979424475</v>
      </c>
      <c r="AG265" s="801">
        <f t="shared" si="117"/>
        <v>0</v>
      </c>
      <c r="AH265" s="172">
        <f t="shared" si="118"/>
        <v>6</v>
      </c>
      <c r="AI265" s="221">
        <f t="shared" si="119"/>
        <v>0.47759435979424475</v>
      </c>
      <c r="AJ265" s="261" t="b">
        <f t="shared" si="120"/>
        <v>0</v>
      </c>
      <c r="AK265" s="261" t="b">
        <f t="shared" si="121"/>
        <v>0</v>
      </c>
      <c r="AL265" s="261"/>
      <c r="AM265" s="261"/>
      <c r="AN265" s="75"/>
      <c r="AV265" s="153">
        <f t="shared" si="125"/>
        <v>44447</v>
      </c>
      <c r="AW265" s="608"/>
      <c r="AX265" s="385"/>
      <c r="AY265" s="388"/>
      <c r="AZ265" s="380"/>
      <c r="BA265" s="380"/>
      <c r="BB265" s="110"/>
      <c r="BD265" s="375"/>
      <c r="BE265" s="85"/>
      <c r="BF265" s="193">
        <f t="shared" si="122"/>
        <v>44812</v>
      </c>
      <c r="BG265" s="430">
        <f t="shared" si="129"/>
        <v>1.0953101151906619E-2</v>
      </c>
      <c r="BH265" s="846"/>
      <c r="BI265" s="846"/>
      <c r="BJ265" s="320">
        <f t="shared" si="130"/>
        <v>1.7414842725011633E-3</v>
      </c>
      <c r="BK265" s="378"/>
    </row>
    <row r="266" spans="1:63" s="6" customFormat="1" ht="11.25" x14ac:dyDescent="0.2">
      <c r="A266" s="56">
        <f t="shared" si="123"/>
        <v>44813</v>
      </c>
      <c r="B266" s="608">
        <v>89.350999999999999</v>
      </c>
      <c r="C266" s="385"/>
      <c r="D266" s="388">
        <f t="shared" si="99"/>
        <v>89.828073887987713</v>
      </c>
      <c r="E266" s="380">
        <f t="shared" si="127"/>
        <v>92.135872837178354</v>
      </c>
      <c r="F266" s="380">
        <f t="shared" si="131"/>
        <v>92.136816423786186</v>
      </c>
      <c r="G266" s="110">
        <f t="shared" si="128"/>
        <v>0.44862165298464562</v>
      </c>
      <c r="I266" s="375">
        <f t="shared" si="100"/>
        <v>92.136816423786186</v>
      </c>
      <c r="J266" s="85">
        <v>2022</v>
      </c>
      <c r="K266" s="193">
        <f t="shared" si="101"/>
        <v>44813</v>
      </c>
      <c r="L266" s="430">
        <f t="shared" si="102"/>
        <v>5.3109664644774845E-3</v>
      </c>
      <c r="M266" s="846"/>
      <c r="N266" s="846"/>
      <c r="O266" s="320">
        <f t="shared" si="103"/>
        <v>2.5047778656951146E-2</v>
      </c>
      <c r="P266" s="165">
        <f>(INDEX(Models!$BJ266:$BT266,,T266)*(1-R266)+INDEX(Models!$BJ266:$BT266,,T266+1)*R266-ERP_i)*Q266*Ramure*Pc/MaxiM</f>
        <v>4.8229717574405876E-5</v>
      </c>
      <c r="Q266" s="301">
        <f t="shared" si="104"/>
        <v>0.5</v>
      </c>
      <c r="R266" s="173">
        <f t="shared" si="105"/>
        <v>0.47807025229359995</v>
      </c>
      <c r="S266" s="801">
        <f t="shared" si="124"/>
        <v>0</v>
      </c>
      <c r="T266" s="172">
        <f t="shared" si="106"/>
        <v>6</v>
      </c>
      <c r="U266" s="247">
        <f t="shared" si="107"/>
        <v>0.47807025229359995</v>
      </c>
      <c r="V266" s="378">
        <f t="shared" si="108"/>
        <v>199.16026133374234</v>
      </c>
      <c r="W266" s="397"/>
      <c r="X266" s="153">
        <f t="shared" si="109"/>
        <v>44813</v>
      </c>
      <c r="Y266" s="380">
        <f t="shared" si="110"/>
        <v>89.350999999999999</v>
      </c>
      <c r="Z266" s="380">
        <f t="shared" si="111"/>
        <v>89.828073887987713</v>
      </c>
      <c r="AA266" s="381">
        <f t="shared" si="112"/>
        <v>92.135872837178354</v>
      </c>
      <c r="AB266" s="193">
        <f t="shared" si="113"/>
        <v>44813</v>
      </c>
      <c r="AC266" s="420">
        <f t="shared" si="114"/>
        <v>2.5047778656951146E-2</v>
      </c>
      <c r="AD266" s="165">
        <f>(INDEX(Models!$BJ266:$BT266,,AH266)*(1-AF266)+INDEX(Models!$BJ266:$BT266,,AH266+1)*AF266-ERP_i)*AE266*Ramure*Pc/MaxiM</f>
        <v>4.8229717574405876E-5</v>
      </c>
      <c r="AE266" s="301">
        <f t="shared" si="115"/>
        <v>0.5</v>
      </c>
      <c r="AF266" s="173">
        <f t="shared" si="116"/>
        <v>0.47807025229359995</v>
      </c>
      <c r="AG266" s="801">
        <f t="shared" si="117"/>
        <v>0</v>
      </c>
      <c r="AH266" s="172">
        <f t="shared" si="118"/>
        <v>6</v>
      </c>
      <c r="AI266" s="221">
        <f t="shared" si="119"/>
        <v>0.47807025229359995</v>
      </c>
      <c r="AJ266" s="261" t="b">
        <f t="shared" si="120"/>
        <v>0</v>
      </c>
      <c r="AK266" s="261" t="b">
        <f t="shared" si="121"/>
        <v>0</v>
      </c>
      <c r="AL266" s="261"/>
      <c r="AM266" s="261"/>
      <c r="AN266" s="75"/>
      <c r="AV266" s="153">
        <f t="shared" si="125"/>
        <v>44448</v>
      </c>
      <c r="AW266" s="608"/>
      <c r="AX266" s="385"/>
      <c r="AY266" s="388"/>
      <c r="AZ266" s="380"/>
      <c r="BA266" s="380"/>
      <c r="BB266" s="110"/>
      <c r="BD266" s="375"/>
      <c r="BE266" s="85"/>
      <c r="BF266" s="193">
        <f t="shared" si="122"/>
        <v>44813</v>
      </c>
      <c r="BG266" s="430">
        <f t="shared" si="129"/>
        <v>1.096678600275236E-2</v>
      </c>
      <c r="BH266" s="846"/>
      <c r="BI266" s="846"/>
      <c r="BJ266" s="320">
        <f t="shared" si="130"/>
        <v>1.8161036638490618E-3</v>
      </c>
      <c r="BK266" s="378"/>
    </row>
    <row r="267" spans="1:63" s="6" customFormat="1" ht="11.25" x14ac:dyDescent="0.2">
      <c r="A267" s="56">
        <f t="shared" si="123"/>
        <v>44814</v>
      </c>
      <c r="B267" s="608">
        <v>185.874</v>
      </c>
      <c r="C267" s="385"/>
      <c r="D267" s="388">
        <f t="shared" si="99"/>
        <v>186.86899948330841</v>
      </c>
      <c r="E267" s="380">
        <f t="shared" si="127"/>
        <v>191.67967550665341</v>
      </c>
      <c r="F267" s="380">
        <f t="shared" si="131"/>
        <v>191.68801678499003</v>
      </c>
      <c r="G267" s="110">
        <f t="shared" si="128"/>
        <v>0.93820993227084526</v>
      </c>
      <c r="I267" s="375">
        <f t="shared" si="100"/>
        <v>191.68801678499003</v>
      </c>
      <c r="J267" s="85">
        <v>2022</v>
      </c>
      <c r="K267" s="193">
        <f t="shared" si="101"/>
        <v>44814</v>
      </c>
      <c r="L267" s="430">
        <f t="shared" si="102"/>
        <v>5.3245829220447405E-3</v>
      </c>
      <c r="M267" s="846"/>
      <c r="N267" s="846"/>
      <c r="O267" s="320">
        <f t="shared" si="103"/>
        <v>2.5097475831119043E-2</v>
      </c>
      <c r="P267" s="165">
        <f>(INDEX(Models!$BJ267:$BT267,,T267)*(1-R267)+INDEX(Models!$BJ267:$BT267,,T267+1)*R267-ERP_i)*Q267*Ramure*Pc/MaxiM</f>
        <v>4.7727582901629904E-5</v>
      </c>
      <c r="Q267" s="301">
        <f t="shared" si="104"/>
        <v>0.5</v>
      </c>
      <c r="R267" s="173">
        <f t="shared" si="105"/>
        <v>0.47852785630126482</v>
      </c>
      <c r="S267" s="801">
        <f t="shared" si="124"/>
        <v>0</v>
      </c>
      <c r="T267" s="172">
        <f t="shared" si="106"/>
        <v>6</v>
      </c>
      <c r="U267" s="247">
        <f t="shared" si="107"/>
        <v>0.47852785630126482</v>
      </c>
      <c r="V267" s="378">
        <f t="shared" si="108"/>
        <v>198.11474014293245</v>
      </c>
      <c r="W267" s="397"/>
      <c r="X267" s="153">
        <f t="shared" si="109"/>
        <v>44814</v>
      </c>
      <c r="Y267" s="380">
        <f t="shared" si="110"/>
        <v>185.874</v>
      </c>
      <c r="Z267" s="380">
        <f t="shared" si="111"/>
        <v>186.86899948330841</v>
      </c>
      <c r="AA267" s="381">
        <f t="shared" si="112"/>
        <v>191.67967550665341</v>
      </c>
      <c r="AB267" s="193">
        <f t="shared" si="113"/>
        <v>44814</v>
      </c>
      <c r="AC267" s="420">
        <f t="shared" si="114"/>
        <v>2.5097475831119043E-2</v>
      </c>
      <c r="AD267" s="165">
        <f>(INDEX(Models!$BJ267:$BT267,,AH267)*(1-AF267)+INDEX(Models!$BJ267:$BT267,,AH267+1)*AF267-ERP_i)*AE267*Ramure*Pc/MaxiM</f>
        <v>4.7727582901629904E-5</v>
      </c>
      <c r="AE267" s="301">
        <f t="shared" si="115"/>
        <v>0.5</v>
      </c>
      <c r="AF267" s="173">
        <f t="shared" si="116"/>
        <v>0.47852785630126482</v>
      </c>
      <c r="AG267" s="801">
        <f t="shared" si="117"/>
        <v>0</v>
      </c>
      <c r="AH267" s="172">
        <f t="shared" si="118"/>
        <v>6</v>
      </c>
      <c r="AI267" s="221">
        <f t="shared" si="119"/>
        <v>0.47852785630126482</v>
      </c>
      <c r="AJ267" s="261" t="b">
        <f t="shared" si="120"/>
        <v>0</v>
      </c>
      <c r="AK267" s="261" t="b">
        <f t="shared" si="121"/>
        <v>0</v>
      </c>
      <c r="AL267" s="261"/>
      <c r="AM267" s="261"/>
      <c r="AN267" s="75"/>
      <c r="AV267" s="153">
        <f t="shared" si="125"/>
        <v>44449</v>
      </c>
      <c r="AW267" s="608"/>
      <c r="AX267" s="385"/>
      <c r="AY267" s="388"/>
      <c r="AZ267" s="380"/>
      <c r="BA267" s="380"/>
      <c r="BB267" s="110"/>
      <c r="BD267" s="375"/>
      <c r="BE267" s="85"/>
      <c r="BF267" s="193">
        <f t="shared" si="122"/>
        <v>44814</v>
      </c>
      <c r="BG267" s="430">
        <f t="shared" si="129"/>
        <v>1.0980470666263953E-2</v>
      </c>
      <c r="BH267" s="846"/>
      <c r="BI267" s="846"/>
      <c r="BJ267" s="320">
        <f t="shared" si="130"/>
        <v>1.8906199281526178E-3</v>
      </c>
      <c r="BK267" s="378"/>
    </row>
    <row r="268" spans="1:63" s="6" customFormat="1" ht="11.25" x14ac:dyDescent="0.2">
      <c r="A268" s="56">
        <f t="shared" si="123"/>
        <v>44815</v>
      </c>
      <c r="B268" s="608">
        <v>189.47</v>
      </c>
      <c r="C268" s="385"/>
      <c r="D268" s="388">
        <f t="shared" si="99"/>
        <v>190.48685678520872</v>
      </c>
      <c r="E268" s="380">
        <f t="shared" si="127"/>
        <v>195.4005825513178</v>
      </c>
      <c r="F268" s="380">
        <f t="shared" si="131"/>
        <v>195.40930696041534</v>
      </c>
      <c r="G268" s="110">
        <f t="shared" si="128"/>
        <v>0.96149581173548293</v>
      </c>
      <c r="I268" s="375">
        <f t="shared" si="100"/>
        <v>195.40930696041534</v>
      </c>
      <c r="J268" s="85">
        <v>2022</v>
      </c>
      <c r="K268" s="193">
        <f t="shared" si="101"/>
        <v>44815</v>
      </c>
      <c r="L268" s="430">
        <f t="shared" si="102"/>
        <v>5.3381991932142103E-3</v>
      </c>
      <c r="M268" s="846"/>
      <c r="N268" s="846"/>
      <c r="O268" s="320">
        <f t="shared" si="103"/>
        <v>2.5146935090731366E-2</v>
      </c>
      <c r="P268" s="165">
        <f>(INDEX(Models!$BJ268:$BT268,,T268)*(1-R268)+INDEX(Models!$BJ268:$BT268,,T268+1)*R268-ERP_i)*Q268*Ramure*Pc/MaxiM</f>
        <v>4.7245459612391615E-5</v>
      </c>
      <c r="Q268" s="301">
        <f t="shared" si="104"/>
        <v>0.5</v>
      </c>
      <c r="R268" s="173">
        <f t="shared" si="105"/>
        <v>0.47896784159260153</v>
      </c>
      <c r="S268" s="801">
        <f t="shared" si="124"/>
        <v>0</v>
      </c>
      <c r="T268" s="172">
        <f t="shared" si="106"/>
        <v>6</v>
      </c>
      <c r="U268" s="247">
        <f t="shared" si="107"/>
        <v>0.47896784159260153</v>
      </c>
      <c r="V268" s="378">
        <f t="shared" si="108"/>
        <v>197.05702854448566</v>
      </c>
      <c r="W268" s="397"/>
      <c r="X268" s="153">
        <f t="shared" si="109"/>
        <v>44815</v>
      </c>
      <c r="Y268" s="380">
        <f t="shared" si="110"/>
        <v>189.47</v>
      </c>
      <c r="Z268" s="380">
        <f t="shared" si="111"/>
        <v>190.48685678520872</v>
      </c>
      <c r="AA268" s="381">
        <f t="shared" si="112"/>
        <v>195.4005825513178</v>
      </c>
      <c r="AB268" s="193">
        <f t="shared" si="113"/>
        <v>44815</v>
      </c>
      <c r="AC268" s="420">
        <f t="shared" si="114"/>
        <v>2.5146935090731366E-2</v>
      </c>
      <c r="AD268" s="165">
        <f>(INDEX(Models!$BJ268:$BT268,,AH268)*(1-AF268)+INDEX(Models!$BJ268:$BT268,,AH268+1)*AF268-ERP_i)*AE268*Ramure*Pc/MaxiM</f>
        <v>4.7245459612391615E-5</v>
      </c>
      <c r="AE268" s="301">
        <f t="shared" si="115"/>
        <v>0.5</v>
      </c>
      <c r="AF268" s="173">
        <f t="shared" si="116"/>
        <v>0.47896784159260153</v>
      </c>
      <c r="AG268" s="801">
        <f t="shared" si="117"/>
        <v>0</v>
      </c>
      <c r="AH268" s="172">
        <f t="shared" si="118"/>
        <v>6</v>
      </c>
      <c r="AI268" s="221">
        <f t="shared" si="119"/>
        <v>0.47896784159260153</v>
      </c>
      <c r="AJ268" s="261" t="b">
        <f t="shared" si="120"/>
        <v>0</v>
      </c>
      <c r="AK268" s="261" t="b">
        <f t="shared" si="121"/>
        <v>0</v>
      </c>
      <c r="AL268" s="261"/>
      <c r="AM268" s="261"/>
      <c r="AN268" s="75"/>
      <c r="AV268" s="153">
        <f t="shared" si="125"/>
        <v>44450</v>
      </c>
      <c r="AW268" s="608"/>
      <c r="AX268" s="385"/>
      <c r="AY268" s="388"/>
      <c r="AZ268" s="380"/>
      <c r="BA268" s="380"/>
      <c r="BB268" s="110"/>
      <c r="BD268" s="375"/>
      <c r="BE268" s="85"/>
      <c r="BF268" s="193">
        <f t="shared" si="122"/>
        <v>44815</v>
      </c>
      <c r="BG268" s="430">
        <f t="shared" si="129"/>
        <v>1.0994155142443951E-2</v>
      </c>
      <c r="BH268" s="846"/>
      <c r="BI268" s="846"/>
      <c r="BJ268" s="320">
        <f t="shared" si="130"/>
        <v>1.9650311718957775E-3</v>
      </c>
      <c r="BK268" s="378"/>
    </row>
    <row r="269" spans="1:63" s="6" customFormat="1" ht="11.25" x14ac:dyDescent="0.2">
      <c r="A269" s="56">
        <f t="shared" si="123"/>
        <v>44816</v>
      </c>
      <c r="B269" s="608">
        <v>131.18600000000001</v>
      </c>
      <c r="C269" s="385"/>
      <c r="D269" s="388">
        <f t="shared" si="99"/>
        <v>131.89186087607891</v>
      </c>
      <c r="E269" s="380">
        <f t="shared" si="127"/>
        <v>135.30092304345155</v>
      </c>
      <c r="F269" s="380">
        <f t="shared" si="131"/>
        <v>135.30425984199042</v>
      </c>
      <c r="G269" s="110">
        <f t="shared" si="128"/>
        <v>0.66934547180100779</v>
      </c>
      <c r="I269" s="375">
        <f t="shared" si="100"/>
        <v>135.30425984199042</v>
      </c>
      <c r="J269" s="85">
        <v>2022</v>
      </c>
      <c r="K269" s="193">
        <f t="shared" si="101"/>
        <v>44816</v>
      </c>
      <c r="L269" s="430">
        <f t="shared" si="102"/>
        <v>5.3518152779883366E-3</v>
      </c>
      <c r="M269" s="846"/>
      <c r="N269" s="846"/>
      <c r="O269" s="320">
        <f t="shared" si="103"/>
        <v>2.5196148634387561E-2</v>
      </c>
      <c r="P269" s="165">
        <f>(INDEX(Models!$BJ269:$BT269,,T269)*(1-R269)+INDEX(Models!$BJ269:$BT269,,T269+1)*R269-ERP_i)*Q269*Ramure*Pc/MaxiM</f>
        <v>4.67375994632435E-5</v>
      </c>
      <c r="Q269" s="301">
        <f t="shared" si="104"/>
        <v>0.5</v>
      </c>
      <c r="R269" s="173">
        <f t="shared" si="105"/>
        <v>0.47939085597418851</v>
      </c>
      <c r="S269" s="801">
        <f t="shared" si="124"/>
        <v>0</v>
      </c>
      <c r="T269" s="172">
        <f t="shared" si="106"/>
        <v>6</v>
      </c>
      <c r="U269" s="247">
        <f t="shared" si="107"/>
        <v>0.47939085597418851</v>
      </c>
      <c r="V269" s="378">
        <f t="shared" si="108"/>
        <v>195.9871387389536</v>
      </c>
      <c r="W269" s="397"/>
      <c r="X269" s="153">
        <f t="shared" si="109"/>
        <v>44816</v>
      </c>
      <c r="Y269" s="380">
        <f t="shared" si="110"/>
        <v>131.18600000000001</v>
      </c>
      <c r="Z269" s="380">
        <f t="shared" si="111"/>
        <v>131.89186087607891</v>
      </c>
      <c r="AA269" s="381">
        <f t="shared" si="112"/>
        <v>135.30092304345155</v>
      </c>
      <c r="AB269" s="193">
        <f t="shared" si="113"/>
        <v>44816</v>
      </c>
      <c r="AC269" s="420">
        <f t="shared" si="114"/>
        <v>2.5196148634387561E-2</v>
      </c>
      <c r="AD269" s="165">
        <f>(INDEX(Models!$BJ269:$BT269,,AH269)*(1-AF269)+INDEX(Models!$BJ269:$BT269,,AH269+1)*AF269-ERP_i)*AE269*Ramure*Pc/MaxiM</f>
        <v>4.67375994632435E-5</v>
      </c>
      <c r="AE269" s="301">
        <f t="shared" si="115"/>
        <v>0.5</v>
      </c>
      <c r="AF269" s="173">
        <f t="shared" si="116"/>
        <v>0.47939085597418851</v>
      </c>
      <c r="AG269" s="801">
        <f t="shared" si="117"/>
        <v>0</v>
      </c>
      <c r="AH269" s="172">
        <f t="shared" si="118"/>
        <v>6</v>
      </c>
      <c r="AI269" s="221">
        <f t="shared" si="119"/>
        <v>0.47939085597418851</v>
      </c>
      <c r="AJ269" s="261" t="b">
        <f t="shared" si="120"/>
        <v>0</v>
      </c>
      <c r="AK269" s="261" t="b">
        <f t="shared" si="121"/>
        <v>0</v>
      </c>
      <c r="AL269" s="261"/>
      <c r="AM269" s="261"/>
      <c r="AN269" s="75"/>
      <c r="AV269" s="153">
        <f t="shared" si="125"/>
        <v>44451</v>
      </c>
      <c r="AW269" s="608"/>
      <c r="AX269" s="385"/>
      <c r="AY269" s="388"/>
      <c r="AZ269" s="380"/>
      <c r="BA269" s="380"/>
      <c r="BB269" s="110"/>
      <c r="BD269" s="375"/>
      <c r="BE269" s="85"/>
      <c r="BF269" s="193">
        <f t="shared" si="122"/>
        <v>44816</v>
      </c>
      <c r="BG269" s="430">
        <f t="shared" si="129"/>
        <v>1.1007839431295019E-2</v>
      </c>
      <c r="BH269" s="846"/>
      <c r="BI269" s="846"/>
      <c r="BJ269" s="320">
        <f t="shared" si="130"/>
        <v>2.0393354068153598E-3</v>
      </c>
      <c r="BK269" s="378"/>
    </row>
    <row r="270" spans="1:63" s="6" customFormat="1" ht="11.25" x14ac:dyDescent="0.2">
      <c r="A270" s="56">
        <f t="shared" si="123"/>
        <v>44817</v>
      </c>
      <c r="B270" s="608">
        <v>47.227000000000004</v>
      </c>
      <c r="C270" s="385"/>
      <c r="D270" s="388">
        <f t="shared" si="99"/>
        <v>47.481760116035488</v>
      </c>
      <c r="E270" s="380">
        <f t="shared" si="127"/>
        <v>48.711486880695645</v>
      </c>
      <c r="F270" s="380">
        <f t="shared" si="131"/>
        <v>48.711486880695645</v>
      </c>
      <c r="G270" s="110">
        <f t="shared" si="128"/>
        <v>0.24229650362124261</v>
      </c>
      <c r="I270" s="375">
        <f t="shared" si="100"/>
        <v>48.711486880695645</v>
      </c>
      <c r="J270" s="85">
        <v>2022</v>
      </c>
      <c r="K270" s="193">
        <f t="shared" si="101"/>
        <v>44817</v>
      </c>
      <c r="L270" s="430">
        <f t="shared" si="102"/>
        <v>5.3654311763696727E-3</v>
      </c>
      <c r="M270" s="846"/>
      <c r="N270" s="846"/>
      <c r="O270" s="320">
        <f t="shared" si="103"/>
        <v>2.5245108359595151E-2</v>
      </c>
      <c r="P270" s="165">
        <f>(INDEX(Models!$BJ270:$BT270,,T270)*(1-R270)+INDEX(Models!$BJ270:$BT270,,T270+1)*R270-ERP_i)*Q270*Ramure*Pc/MaxiM</f>
        <v>4.6203665639644029E-5</v>
      </c>
      <c r="Q270" s="301">
        <f t="shared" si="104"/>
        <v>0.5</v>
      </c>
      <c r="R270" s="173">
        <f t="shared" si="105"/>
        <v>0.47979752580239859</v>
      </c>
      <c r="S270" s="801">
        <f t="shared" si="124"/>
        <v>0</v>
      </c>
      <c r="T270" s="172">
        <f t="shared" si="106"/>
        <v>6</v>
      </c>
      <c r="U270" s="247">
        <f t="shared" si="107"/>
        <v>0.47979752580239859</v>
      </c>
      <c r="V270" s="378">
        <f t="shared" si="108"/>
        <v>194.90507388131599</v>
      </c>
      <c r="W270" s="397"/>
      <c r="X270" s="153">
        <f t="shared" si="109"/>
        <v>44817</v>
      </c>
      <c r="Y270" s="380">
        <f t="shared" si="110"/>
        <v>47.227000000000004</v>
      </c>
      <c r="Z270" s="380">
        <f t="shared" si="111"/>
        <v>47.481760116035488</v>
      </c>
      <c r="AA270" s="381">
        <f t="shared" si="112"/>
        <v>48.711486880695645</v>
      </c>
      <c r="AB270" s="193">
        <f t="shared" si="113"/>
        <v>44817</v>
      </c>
      <c r="AC270" s="420">
        <f t="shared" si="114"/>
        <v>2.5245108359595151E-2</v>
      </c>
      <c r="AD270" s="165">
        <f>(INDEX(Models!$BJ270:$BT270,,AH270)*(1-AF270)+INDEX(Models!$BJ270:$BT270,,AH270+1)*AF270-ERP_i)*AE270*Ramure*Pc/MaxiM</f>
        <v>4.6203665639644029E-5</v>
      </c>
      <c r="AE270" s="301">
        <f t="shared" si="115"/>
        <v>0.5</v>
      </c>
      <c r="AF270" s="173">
        <f t="shared" si="116"/>
        <v>0.47979752580239859</v>
      </c>
      <c r="AG270" s="801">
        <f t="shared" si="117"/>
        <v>0</v>
      </c>
      <c r="AH270" s="172">
        <f t="shared" si="118"/>
        <v>6</v>
      </c>
      <c r="AI270" s="221">
        <f t="shared" si="119"/>
        <v>0.47979752580239859</v>
      </c>
      <c r="AJ270" s="261" t="b">
        <f t="shared" si="120"/>
        <v>0</v>
      </c>
      <c r="AK270" s="261" t="b">
        <f t="shared" si="121"/>
        <v>0</v>
      </c>
      <c r="AL270" s="261"/>
      <c r="AM270" s="261"/>
      <c r="AN270" s="75"/>
      <c r="AV270" s="153">
        <f t="shared" si="125"/>
        <v>44452</v>
      </c>
      <c r="AW270" s="608"/>
      <c r="AX270" s="385"/>
      <c r="AY270" s="388"/>
      <c r="AZ270" s="380"/>
      <c r="BA270" s="380"/>
      <c r="BB270" s="110"/>
      <c r="BD270" s="375"/>
      <c r="BE270" s="85"/>
      <c r="BF270" s="193">
        <f t="shared" si="122"/>
        <v>44817</v>
      </c>
      <c r="BG270" s="430">
        <f t="shared" si="129"/>
        <v>1.1021523532819599E-2</v>
      </c>
      <c r="BH270" s="846"/>
      <c r="BI270" s="846"/>
      <c r="BJ270" s="320">
        <f t="shared" si="130"/>
        <v>2.1135305466544775E-3</v>
      </c>
      <c r="BK270" s="378"/>
    </row>
    <row r="271" spans="1:63" s="6" customFormat="1" ht="11.25" x14ac:dyDescent="0.2">
      <c r="A271" s="56">
        <f t="shared" si="123"/>
        <v>44818</v>
      </c>
      <c r="B271" s="608">
        <v>150.61000000000001</v>
      </c>
      <c r="C271" s="385"/>
      <c r="D271" s="388">
        <f t="shared" ref="D271:D334" si="132">Wh/(1-Ppv)</f>
        <v>151.4245195909271</v>
      </c>
      <c r="E271" s="380">
        <f t="shared" si="127"/>
        <v>155.35401385807785</v>
      </c>
      <c r="F271" s="380">
        <f t="shared" si="131"/>
        <v>155.35884692302292</v>
      </c>
      <c r="G271" s="110">
        <f t="shared" si="128"/>
        <v>0.77708663329108674</v>
      </c>
      <c r="I271" s="375">
        <f t="shared" ref="I271:I334" si="133">Wh_hp</f>
        <v>155.35884692302292</v>
      </c>
      <c r="J271" s="85">
        <v>2022</v>
      </c>
      <c r="K271" s="193">
        <f t="shared" ref="K271:K334" si="134">t</f>
        <v>44818</v>
      </c>
      <c r="L271" s="430">
        <f t="shared" ref="L271:L334" si="135">IF(t&lt;T0,0,IF(t&lt;Tvie,1-EXP((T0-t)*PertePVj)+Pspv_21,1-EXP((T0-t)*PertePVj)+Pspv))</f>
        <v>5.3790468883607723E-3</v>
      </c>
      <c r="M271" s="846"/>
      <c r="N271" s="846"/>
      <c r="O271" s="320">
        <f t="shared" ref="O271:O334" si="136">IF(t&lt;T0,0,IF(t&lt;Tnet,Salim_i*(1-EXP((T0-t)/Tau_ij)),Resal+(Salim-Resal)*(1-EXP((Tnet-t)/(Tau_j)))))*Salcycl</f>
        <v>2.5293805866776702E-2</v>
      </c>
      <c r="P271" s="165">
        <f>(INDEX(Models!$BJ271:$BT271,,T271)*(1-R271)+INDEX(Models!$BJ271:$BT271,,T271+1)*R271-ERP_i)*Q271*Ramure*Pc/MaxiM</f>
        <v>4.5643312081943197E-5</v>
      </c>
      <c r="Q271" s="301">
        <f t="shared" ref="Q271:Q334" si="137">IF(OR(t&lt;Ttai,Notai),Dd+PousD*Croivg,Dens+PousD*(Croivg-Croi_tai))</f>
        <v>0.5</v>
      </c>
      <c r="R271" s="173">
        <f t="shared" ref="R271:R334" si="138">(Hp_vg-S271)/(INDEX(Echel_vg,T271+1)-S271)</f>
        <v>0.48018845650683417</v>
      </c>
      <c r="S271" s="801">
        <f t="shared" si="124"/>
        <v>0</v>
      </c>
      <c r="T271" s="172">
        <f t="shared" ref="T271:T334" si="139">MIN(MATCH(Hp_vg,Echel_vg),10)</f>
        <v>6</v>
      </c>
      <c r="U271" s="247">
        <f t="shared" ref="U271:U334" si="140">IF(OR(t&lt;Ttai,Notai),Hdd+PousH*Croivg,Hdtf+PousH*(Croivg-Croi_tai))</f>
        <v>0.48018845650683417</v>
      </c>
      <c r="V271" s="378">
        <f t="shared" ref="V271:V334" si="141">MaxiM*(1-Ppv)*(1-Pvg)*(1-Psa)</f>
        <v>193.81083713624596</v>
      </c>
      <c r="W271" s="397"/>
      <c r="X271" s="153">
        <f t="shared" ref="X271:X334" si="142">t</f>
        <v>44818</v>
      </c>
      <c r="Y271" s="380">
        <f t="shared" ref="Y271:Y334" si="143">Wh_pvt_s*(1-Ppv)</f>
        <v>150.61000000000001</v>
      </c>
      <c r="Z271" s="380">
        <f t="shared" ref="Z271:Z334" si="144">Wh_sa_s*(1-Psa_s)</f>
        <v>151.4245195909271</v>
      </c>
      <c r="AA271" s="381">
        <f t="shared" ref="AA271:AA334" si="145">Wh_hp*(1-Pvg_s*MEDIAN((-Sdif+Wh/Env_an)/Csdif,0,1))</f>
        <v>155.35401385807785</v>
      </c>
      <c r="AB271" s="193">
        <f t="shared" ref="AB271:AB334" si="146">t</f>
        <v>44818</v>
      </c>
      <c r="AC271" s="420">
        <f t="shared" ref="AC271:AC334" si="147">IF(t&lt;T0,0,IF(OR(t&lt;Tnet,NoTnet),Salim_i*(1-EXP((T0-t)/Tau_ij)),Resal_s+(Salim-Resal_s)*(1-EXP((Tnet_s-t)/Tau_j))))*Salcycl</f>
        <v>2.5293805866776702E-2</v>
      </c>
      <c r="AD271" s="165">
        <f>(INDEX(Models!$BJ271:$BT271,,AH271)*(1-AF271)+INDEX(Models!$BJ271:$BT271,,AH271+1)*AF271-ERP_i)*AE271*Ramure*Pc/MaxiM</f>
        <v>4.5643312081943197E-5</v>
      </c>
      <c r="AE271" s="301">
        <f t="shared" ref="AE271:AE334" si="148">Dd+PousD*Croivg</f>
        <v>0.5</v>
      </c>
      <c r="AF271" s="173">
        <f t="shared" ref="AF271:AF334" si="149">(Hp_vg_s-AG271)/(INDEX(Echel_vg,AH271+1)-AG271)</f>
        <v>0.48018845650683417</v>
      </c>
      <c r="AG271" s="801">
        <f t="shared" ref="AG271:AG334" si="150">INDEX(Echel_vg,AH271)</f>
        <v>0</v>
      </c>
      <c r="AH271" s="172">
        <f t="shared" ref="AH271:AH334" si="151">MIN(MATCH(Hp_vg_s,Echel_vg),10)</f>
        <v>6</v>
      </c>
      <c r="AI271" s="221">
        <f t="shared" ref="AI271:AI334" si="152">Hdd+PousH*Croivg</f>
        <v>0.48018845650683417</v>
      </c>
      <c r="AJ271" s="261" t="b">
        <f t="shared" ref="AJ271:AJ334" si="153">t&lt;Tnet</f>
        <v>0</v>
      </c>
      <c r="AK271" s="261" t="b">
        <f t="shared" ref="AK271:AK334" si="154">t&lt;Ttai</f>
        <v>0</v>
      </c>
      <c r="AL271" s="261"/>
      <c r="AM271" s="261"/>
      <c r="AN271" s="75"/>
      <c r="AV271" s="153">
        <f t="shared" si="125"/>
        <v>44453</v>
      </c>
      <c r="AW271" s="608"/>
      <c r="AX271" s="385"/>
      <c r="AY271" s="388"/>
      <c r="AZ271" s="380"/>
      <c r="BA271" s="380"/>
      <c r="BB271" s="110"/>
      <c r="BD271" s="375"/>
      <c r="BE271" s="85"/>
      <c r="BF271" s="193">
        <f t="shared" ref="BF271:BF334" si="155">t</f>
        <v>44818</v>
      </c>
      <c r="BG271" s="430">
        <f t="shared" si="129"/>
        <v>1.1035207447020468E-2</v>
      </c>
      <c r="BH271" s="846"/>
      <c r="BI271" s="846"/>
      <c r="BJ271" s="320">
        <f t="shared" ref="BJ271:BJ334" si="156">IF(AV271&lt;T0,0,Salim_i*(1-EXP((T0-AV271)/Tau_ij)))*Salcycl</f>
        <v>2.1876144042778378E-3</v>
      </c>
      <c r="BK271" s="378"/>
    </row>
    <row r="272" spans="1:63" s="6" customFormat="1" ht="11.25" x14ac:dyDescent="0.2">
      <c r="A272" s="56">
        <f t="shared" ref="A272:A335" si="157">A271+1</f>
        <v>44819</v>
      </c>
      <c r="B272" s="608">
        <v>168.53100000000001</v>
      </c>
      <c r="C272" s="385"/>
      <c r="D272" s="388">
        <f t="shared" si="132"/>
        <v>169.44475837975776</v>
      </c>
      <c r="E272" s="380">
        <f t="shared" si="127"/>
        <v>173.85051863759648</v>
      </c>
      <c r="F272" s="380">
        <f t="shared" si="131"/>
        <v>173.8569482012538</v>
      </c>
      <c r="G272" s="110">
        <f t="shared" si="128"/>
        <v>0.87454988830403457</v>
      </c>
      <c r="I272" s="375">
        <f t="shared" si="133"/>
        <v>173.8569482012538</v>
      </c>
      <c r="J272" s="85">
        <v>2022</v>
      </c>
      <c r="K272" s="193">
        <f t="shared" si="134"/>
        <v>44819</v>
      </c>
      <c r="L272" s="430">
        <f t="shared" si="135"/>
        <v>5.3926624139641888E-3</v>
      </c>
      <c r="M272" s="846"/>
      <c r="N272" s="846"/>
      <c r="O272" s="320">
        <f t="shared" si="136"/>
        <v>2.5342232467093374E-2</v>
      </c>
      <c r="P272" s="165">
        <f>(INDEX(Models!$BJ272:$BT272,,T272)*(1-R272)+INDEX(Models!$BJ272:$BT272,,T272+1)*R272-ERP_i)*Q272*Ramure*Pc/MaxiM</f>
        <v>4.5056183949981648E-5</v>
      </c>
      <c r="Q272" s="301">
        <f t="shared" si="137"/>
        <v>0.5</v>
      </c>
      <c r="R272" s="173">
        <f t="shared" si="138"/>
        <v>0.48056423311673224</v>
      </c>
      <c r="S272" s="801">
        <f t="shared" ref="S272:S335" si="158">INDEX(Echel_vg,T272)</f>
        <v>0</v>
      </c>
      <c r="T272" s="172">
        <f t="shared" si="139"/>
        <v>6</v>
      </c>
      <c r="U272" s="247">
        <f t="shared" si="140"/>
        <v>0.48056423311673224</v>
      </c>
      <c r="V272" s="378">
        <f t="shared" si="141"/>
        <v>192.70443166212863</v>
      </c>
      <c r="W272" s="397"/>
      <c r="X272" s="153">
        <f t="shared" si="142"/>
        <v>44819</v>
      </c>
      <c r="Y272" s="380">
        <f t="shared" si="143"/>
        <v>168.53100000000001</v>
      </c>
      <c r="Z272" s="380">
        <f t="shared" si="144"/>
        <v>169.44475837975776</v>
      </c>
      <c r="AA272" s="381">
        <f t="shared" si="145"/>
        <v>173.85051863759648</v>
      </c>
      <c r="AB272" s="193">
        <f t="shared" si="146"/>
        <v>44819</v>
      </c>
      <c r="AC272" s="420">
        <f t="shared" si="147"/>
        <v>2.5342232467093374E-2</v>
      </c>
      <c r="AD272" s="165">
        <f>(INDEX(Models!$BJ272:$BT272,,AH272)*(1-AF272)+INDEX(Models!$BJ272:$BT272,,AH272+1)*AF272-ERP_i)*AE272*Ramure*Pc/MaxiM</f>
        <v>4.5056183949981648E-5</v>
      </c>
      <c r="AE272" s="301">
        <f t="shared" si="148"/>
        <v>0.5</v>
      </c>
      <c r="AF272" s="173">
        <f t="shared" si="149"/>
        <v>0.48056423311673224</v>
      </c>
      <c r="AG272" s="801">
        <f t="shared" si="150"/>
        <v>0</v>
      </c>
      <c r="AH272" s="172">
        <f t="shared" si="151"/>
        <v>6</v>
      </c>
      <c r="AI272" s="221">
        <f t="shared" si="152"/>
        <v>0.48056423311673224</v>
      </c>
      <c r="AJ272" s="261" t="b">
        <f t="shared" si="153"/>
        <v>0</v>
      </c>
      <c r="AK272" s="261" t="b">
        <f t="shared" si="154"/>
        <v>0</v>
      </c>
      <c r="AL272" s="261"/>
      <c r="AM272" s="261"/>
      <c r="AN272" s="75"/>
      <c r="AV272" s="153">
        <f t="shared" ref="AV272:AV335" si="159">AV271+1</f>
        <v>44454</v>
      </c>
      <c r="AW272" s="608"/>
      <c r="AX272" s="385"/>
      <c r="AY272" s="388"/>
      <c r="AZ272" s="380"/>
      <c r="BA272" s="380"/>
      <c r="BB272" s="110"/>
      <c r="BD272" s="375"/>
      <c r="BE272" s="85"/>
      <c r="BF272" s="193">
        <f t="shared" si="155"/>
        <v>44819</v>
      </c>
      <c r="BG272" s="430">
        <f t="shared" si="129"/>
        <v>1.1048891173899955E-2</v>
      </c>
      <c r="BH272" s="846"/>
      <c r="BI272" s="846"/>
      <c r="BJ272" s="320">
        <f t="shared" si="156"/>
        <v>2.2615846892435239E-3</v>
      </c>
      <c r="BK272" s="378"/>
    </row>
    <row r="273" spans="1:63" s="6" customFormat="1" ht="11.25" x14ac:dyDescent="0.2">
      <c r="A273" s="56">
        <f t="shared" si="157"/>
        <v>44820</v>
      </c>
      <c r="B273" s="608">
        <v>107.59</v>
      </c>
      <c r="C273" s="385"/>
      <c r="D273" s="388">
        <f t="shared" si="132"/>
        <v>108.17482313979514</v>
      </c>
      <c r="E273" s="380">
        <f t="shared" si="127"/>
        <v>110.99297691148966</v>
      </c>
      <c r="F273" s="380">
        <f t="shared" si="131"/>
        <v>110.99482020790059</v>
      </c>
      <c r="G273" s="110">
        <f t="shared" si="128"/>
        <v>0.56156025738057536</v>
      </c>
      <c r="I273" s="375">
        <f t="shared" si="133"/>
        <v>110.99482020790059</v>
      </c>
      <c r="J273" s="85">
        <v>2022</v>
      </c>
      <c r="K273" s="193">
        <f t="shared" si="134"/>
        <v>44820</v>
      </c>
      <c r="L273" s="430">
        <f t="shared" si="135"/>
        <v>5.4062777531825867E-3</v>
      </c>
      <c r="M273" s="846"/>
      <c r="N273" s="846"/>
      <c r="O273" s="320">
        <f t="shared" si="136"/>
        <v>2.5390379194368581E-2</v>
      </c>
      <c r="P273" s="165">
        <f>(INDEX(Models!$BJ273:$BT273,,T273)*(1-R273)+INDEX(Models!$BJ273:$BT273,,T273+1)*R273-ERP_i)*Q273*Ramure*Pc/MaxiM</f>
        <v>4.4441918170777327E-5</v>
      </c>
      <c r="Q273" s="301">
        <f t="shared" si="137"/>
        <v>0.5</v>
      </c>
      <c r="R273" s="173">
        <f t="shared" si="138"/>
        <v>0.48092542078862788</v>
      </c>
      <c r="S273" s="801">
        <f t="shared" si="158"/>
        <v>0</v>
      </c>
      <c r="T273" s="172">
        <f t="shared" si="139"/>
        <v>6</v>
      </c>
      <c r="U273" s="247">
        <f t="shared" si="140"/>
        <v>0.48092542078862788</v>
      </c>
      <c r="V273" s="378">
        <f t="shared" si="141"/>
        <v>191.58586061365705</v>
      </c>
      <c r="W273" s="397"/>
      <c r="X273" s="153">
        <f t="shared" si="142"/>
        <v>44820</v>
      </c>
      <c r="Y273" s="380">
        <f t="shared" si="143"/>
        <v>107.59</v>
      </c>
      <c r="Z273" s="380">
        <f t="shared" si="144"/>
        <v>108.17482313979514</v>
      </c>
      <c r="AA273" s="381">
        <f t="shared" si="145"/>
        <v>110.99297691148966</v>
      </c>
      <c r="AB273" s="193">
        <f t="shared" si="146"/>
        <v>44820</v>
      </c>
      <c r="AC273" s="420">
        <f t="shared" si="147"/>
        <v>2.5390379194368581E-2</v>
      </c>
      <c r="AD273" s="165">
        <f>(INDEX(Models!$BJ273:$BT273,,AH273)*(1-AF273)+INDEX(Models!$BJ273:$BT273,,AH273+1)*AF273-ERP_i)*AE273*Ramure*Pc/MaxiM</f>
        <v>4.4441918170777327E-5</v>
      </c>
      <c r="AE273" s="301">
        <f t="shared" si="148"/>
        <v>0.5</v>
      </c>
      <c r="AF273" s="173">
        <f t="shared" si="149"/>
        <v>0.48092542078862788</v>
      </c>
      <c r="AG273" s="801">
        <f t="shared" si="150"/>
        <v>0</v>
      </c>
      <c r="AH273" s="172">
        <f t="shared" si="151"/>
        <v>6</v>
      </c>
      <c r="AI273" s="221">
        <f t="shared" si="152"/>
        <v>0.48092542078862788</v>
      </c>
      <c r="AJ273" s="261" t="b">
        <f t="shared" si="153"/>
        <v>0</v>
      </c>
      <c r="AK273" s="261" t="b">
        <f t="shared" si="154"/>
        <v>0</v>
      </c>
      <c r="AL273" s="261"/>
      <c r="AM273" s="261"/>
      <c r="AN273" s="75"/>
      <c r="AV273" s="153">
        <f t="shared" si="159"/>
        <v>44455</v>
      </c>
      <c r="AW273" s="608"/>
      <c r="AX273" s="385"/>
      <c r="AY273" s="388"/>
      <c r="AZ273" s="380"/>
      <c r="BA273" s="380"/>
      <c r="BB273" s="110"/>
      <c r="BD273" s="375"/>
      <c r="BE273" s="85"/>
      <c r="BF273" s="193">
        <f t="shared" si="155"/>
        <v>44820</v>
      </c>
      <c r="BG273" s="430">
        <f t="shared" si="129"/>
        <v>1.1062574713460616E-2</v>
      </c>
      <c r="BH273" s="846"/>
      <c r="BI273" s="846"/>
      <c r="BJ273" s="320">
        <f t="shared" si="156"/>
        <v>2.3354390059285896E-3</v>
      </c>
      <c r="BK273" s="378"/>
    </row>
    <row r="274" spans="1:63" s="6" customFormat="1" ht="11.25" customHeight="1" x14ac:dyDescent="0.2">
      <c r="A274" s="56">
        <f t="shared" si="157"/>
        <v>44821</v>
      </c>
      <c r="B274" s="608">
        <v>195.51599999999999</v>
      </c>
      <c r="C274" s="385"/>
      <c r="D274" s="388">
        <f t="shared" si="132"/>
        <v>196.58145040852395</v>
      </c>
      <c r="E274" s="380">
        <f t="shared" si="127"/>
        <v>201.71266494937313</v>
      </c>
      <c r="F274" s="380">
        <f t="shared" si="131"/>
        <v>201.72150038015275</v>
      </c>
      <c r="G274" s="110">
        <f t="shared" si="128"/>
        <v>1.0265725210341587</v>
      </c>
      <c r="I274" s="375">
        <f t="shared" si="133"/>
        <v>201.72150038015275</v>
      </c>
      <c r="J274" s="85">
        <v>2022</v>
      </c>
      <c r="K274" s="193">
        <f t="shared" si="134"/>
        <v>44821</v>
      </c>
      <c r="L274" s="430">
        <f t="shared" si="135"/>
        <v>5.4198929060184087E-3</v>
      </c>
      <c r="M274" s="846"/>
      <c r="N274" s="846"/>
      <c r="O274" s="320">
        <f t="shared" si="136"/>
        <v>2.5438236821357065E-2</v>
      </c>
      <c r="P274" s="165">
        <f>(INDEX(Models!$BJ274:$BT274,,T274)*(1-R274)+INDEX(Models!$BJ274:$BT274,,T274+1)*R274-ERP_i)*Q274*Ramure*Pc/MaxiM</f>
        <v>4.380014407471797E-5</v>
      </c>
      <c r="Q274" s="301">
        <f t="shared" si="137"/>
        <v>0.5</v>
      </c>
      <c r="R274" s="173">
        <f t="shared" si="138"/>
        <v>0.4812725653337262</v>
      </c>
      <c r="S274" s="801">
        <f t="shared" si="158"/>
        <v>0</v>
      </c>
      <c r="T274" s="172">
        <f t="shared" si="139"/>
        <v>6</v>
      </c>
      <c r="U274" s="247">
        <f t="shared" si="140"/>
        <v>0.4812725653337262</v>
      </c>
      <c r="V274" s="378">
        <f t="shared" si="141"/>
        <v>190.45512712831933</v>
      </c>
      <c r="W274" s="397"/>
      <c r="X274" s="153">
        <f t="shared" si="142"/>
        <v>44821</v>
      </c>
      <c r="Y274" s="380">
        <f t="shared" si="143"/>
        <v>195.51599999999999</v>
      </c>
      <c r="Z274" s="380">
        <f t="shared" si="144"/>
        <v>196.58145040852395</v>
      </c>
      <c r="AA274" s="381">
        <f t="shared" si="145"/>
        <v>201.71266494937313</v>
      </c>
      <c r="AB274" s="193">
        <f t="shared" si="146"/>
        <v>44821</v>
      </c>
      <c r="AC274" s="420">
        <f t="shared" si="147"/>
        <v>2.5438236821357065E-2</v>
      </c>
      <c r="AD274" s="165">
        <f>(INDEX(Models!$BJ274:$BT274,,AH274)*(1-AF274)+INDEX(Models!$BJ274:$BT274,,AH274+1)*AF274-ERP_i)*AE274*Ramure*Pc/MaxiM</f>
        <v>4.380014407471797E-5</v>
      </c>
      <c r="AE274" s="301">
        <f t="shared" si="148"/>
        <v>0.5</v>
      </c>
      <c r="AF274" s="173">
        <f t="shared" si="149"/>
        <v>0.4812725653337262</v>
      </c>
      <c r="AG274" s="801">
        <f t="shared" si="150"/>
        <v>0</v>
      </c>
      <c r="AH274" s="172">
        <f t="shared" si="151"/>
        <v>6</v>
      </c>
      <c r="AI274" s="221">
        <f t="shared" si="152"/>
        <v>0.4812725653337262</v>
      </c>
      <c r="AJ274" s="261" t="b">
        <f t="shared" si="153"/>
        <v>0</v>
      </c>
      <c r="AK274" s="261" t="b">
        <f t="shared" si="154"/>
        <v>0</v>
      </c>
      <c r="AL274" s="261"/>
      <c r="AM274" s="261"/>
      <c r="AN274" s="75"/>
      <c r="AV274" s="153">
        <f t="shared" si="159"/>
        <v>44456</v>
      </c>
      <c r="AW274" s="608"/>
      <c r="AX274" s="385"/>
      <c r="AY274" s="388"/>
      <c r="AZ274" s="380"/>
      <c r="BA274" s="380"/>
      <c r="BB274" s="110"/>
      <c r="BD274" s="375"/>
      <c r="BE274" s="85"/>
      <c r="BF274" s="193">
        <f t="shared" si="155"/>
        <v>44821</v>
      </c>
      <c r="BG274" s="430">
        <f t="shared" ref="BG274:BG305" si="160">IF(AV274&lt;T0,0,1-EXP((T0-AV274)*PertePVj)+Pspv_21)</f>
        <v>1.1076258065705225E-2</v>
      </c>
      <c r="BH274" s="846"/>
      <c r="BI274" s="846"/>
      <c r="BJ274" s="320">
        <f t="shared" si="156"/>
        <v>2.4091748523067252E-3</v>
      </c>
      <c r="BK274" s="378"/>
    </row>
    <row r="275" spans="1:63" s="6" customFormat="1" ht="11.25" x14ac:dyDescent="0.2">
      <c r="A275" s="56">
        <f t="shared" si="157"/>
        <v>44822</v>
      </c>
      <c r="B275" s="608">
        <v>188.81399999999999</v>
      </c>
      <c r="C275" s="385"/>
      <c r="D275" s="388">
        <f t="shared" si="132"/>
        <v>189.84552716641272</v>
      </c>
      <c r="E275" s="380">
        <f t="shared" si="127"/>
        <v>194.81042591673182</v>
      </c>
      <c r="F275" s="380">
        <f t="shared" si="131"/>
        <v>194.81879732421061</v>
      </c>
      <c r="G275" s="110">
        <f t="shared" si="128"/>
        <v>0.99738617048723777</v>
      </c>
      <c r="I275" s="375">
        <f t="shared" si="133"/>
        <v>194.81879732421061</v>
      </c>
      <c r="J275" s="85">
        <v>2022</v>
      </c>
      <c r="K275" s="193">
        <f t="shared" si="134"/>
        <v>44822</v>
      </c>
      <c r="L275" s="430">
        <f t="shared" si="135"/>
        <v>5.4335078724742081E-3</v>
      </c>
      <c r="M275" s="846"/>
      <c r="N275" s="846"/>
      <c r="O275" s="320">
        <f t="shared" si="136"/>
        <v>2.5485795880561605E-2</v>
      </c>
      <c r="P275" s="165">
        <f>(INDEX(Models!$BJ275:$BT275,,T275)*(1-R275)+INDEX(Models!$BJ275:$BT275,,T275+1)*R275-ERP_i)*Q275*Ramure*Pc/MaxiM</f>
        <v>4.3131268685912079E-5</v>
      </c>
      <c r="Q275" s="301">
        <f t="shared" si="137"/>
        <v>0.5</v>
      </c>
      <c r="R275" s="173">
        <f t="shared" si="138"/>
        <v>0.48160619374358404</v>
      </c>
      <c r="S275" s="801">
        <f t="shared" si="158"/>
        <v>0</v>
      </c>
      <c r="T275" s="172">
        <f t="shared" si="139"/>
        <v>6</v>
      </c>
      <c r="U275" s="247">
        <f t="shared" si="140"/>
        <v>0.48160619374358404</v>
      </c>
      <c r="V275" s="378">
        <f t="shared" si="141"/>
        <v>189.30879049493768</v>
      </c>
      <c r="W275" s="397"/>
      <c r="X275" s="153">
        <f t="shared" si="142"/>
        <v>44822</v>
      </c>
      <c r="Y275" s="380">
        <f t="shared" si="143"/>
        <v>188.81399999999999</v>
      </c>
      <c r="Z275" s="380">
        <f t="shared" si="144"/>
        <v>189.84552716641272</v>
      </c>
      <c r="AA275" s="381">
        <f t="shared" si="145"/>
        <v>194.81042591673182</v>
      </c>
      <c r="AB275" s="193">
        <f t="shared" si="146"/>
        <v>44822</v>
      </c>
      <c r="AC275" s="420">
        <f t="shared" si="147"/>
        <v>2.5485795880561605E-2</v>
      </c>
      <c r="AD275" s="165">
        <f>(INDEX(Models!$BJ275:$BT275,,AH275)*(1-AF275)+INDEX(Models!$BJ275:$BT275,,AH275+1)*AF275-ERP_i)*AE275*Ramure*Pc/MaxiM</f>
        <v>4.3131268685912079E-5</v>
      </c>
      <c r="AE275" s="301">
        <f t="shared" si="148"/>
        <v>0.5</v>
      </c>
      <c r="AF275" s="173">
        <f t="shared" si="149"/>
        <v>0.48160619374358404</v>
      </c>
      <c r="AG275" s="801">
        <f t="shared" si="150"/>
        <v>0</v>
      </c>
      <c r="AH275" s="172">
        <f t="shared" si="151"/>
        <v>6</v>
      </c>
      <c r="AI275" s="221">
        <f t="shared" si="152"/>
        <v>0.48160619374358404</v>
      </c>
      <c r="AJ275" s="261" t="b">
        <f t="shared" si="153"/>
        <v>0</v>
      </c>
      <c r="AK275" s="261" t="b">
        <f t="shared" si="154"/>
        <v>0</v>
      </c>
      <c r="AL275" s="261"/>
      <c r="AM275" s="261"/>
      <c r="AN275" s="75"/>
      <c r="AV275" s="153">
        <f t="shared" si="159"/>
        <v>44457</v>
      </c>
      <c r="AW275" s="608"/>
      <c r="AX275" s="385"/>
      <c r="AY275" s="388"/>
      <c r="AZ275" s="380"/>
      <c r="BA275" s="380"/>
      <c r="BB275" s="110"/>
      <c r="BD275" s="375"/>
      <c r="BE275" s="85"/>
      <c r="BF275" s="193">
        <f t="shared" si="155"/>
        <v>44822</v>
      </c>
      <c r="BG275" s="430">
        <f t="shared" si="160"/>
        <v>1.1089941230636224E-2</v>
      </c>
      <c r="BH275" s="846"/>
      <c r="BI275" s="846"/>
      <c r="BJ275" s="320">
        <f t="shared" si="156"/>
        <v>2.482789619475961E-3</v>
      </c>
      <c r="BK275" s="378"/>
    </row>
    <row r="276" spans="1:63" s="6" customFormat="1" ht="11.25" x14ac:dyDescent="0.2">
      <c r="A276" s="56">
        <f t="shared" si="157"/>
        <v>44823</v>
      </c>
      <c r="B276" s="608">
        <v>186.30799999999999</v>
      </c>
      <c r="C276" s="385"/>
      <c r="D276" s="388">
        <f t="shared" si="132"/>
        <v>187.32840077532973</v>
      </c>
      <c r="E276" s="380">
        <f t="shared" si="127"/>
        <v>192.23679175469073</v>
      </c>
      <c r="F276" s="380">
        <f t="shared" si="131"/>
        <v>192.2448463410021</v>
      </c>
      <c r="G276" s="110">
        <f t="shared" si="128"/>
        <v>0.9902385087148674</v>
      </c>
      <c r="I276" s="375">
        <f t="shared" si="133"/>
        <v>192.2448463410021</v>
      </c>
      <c r="J276" s="85">
        <v>2022</v>
      </c>
      <c r="K276" s="193">
        <f t="shared" si="134"/>
        <v>44823</v>
      </c>
      <c r="L276" s="430">
        <f t="shared" si="135"/>
        <v>5.4471226525525385E-3</v>
      </c>
      <c r="M276" s="846"/>
      <c r="N276" s="846"/>
      <c r="O276" s="320">
        <f t="shared" si="136"/>
        <v>2.5533046689753876E-2</v>
      </c>
      <c r="P276" s="165">
        <f>(INDEX(Models!$BJ276:$BT276,,T276)*(1-R276)+INDEX(Models!$BJ276:$BT276,,T276+1)*R276-ERP_i)*Q276*Ramure*Pc/MaxiM</f>
        <v>4.2490028194521311E-5</v>
      </c>
      <c r="Q276" s="301">
        <f t="shared" si="137"/>
        <v>0.5</v>
      </c>
      <c r="R276" s="173">
        <f t="shared" si="138"/>
        <v>0.48192681471284565</v>
      </c>
      <c r="S276" s="801">
        <f t="shared" si="158"/>
        <v>0</v>
      </c>
      <c r="T276" s="172">
        <f t="shared" si="139"/>
        <v>6</v>
      </c>
      <c r="U276" s="247">
        <f t="shared" si="140"/>
        <v>0.48192681471284565</v>
      </c>
      <c r="V276" s="378">
        <f t="shared" si="141"/>
        <v>188.14446011803926</v>
      </c>
      <c r="W276" s="397"/>
      <c r="X276" s="153">
        <f t="shared" si="142"/>
        <v>44823</v>
      </c>
      <c r="Y276" s="380">
        <f t="shared" si="143"/>
        <v>186.30799999999999</v>
      </c>
      <c r="Z276" s="380">
        <f t="shared" si="144"/>
        <v>187.32840077532973</v>
      </c>
      <c r="AA276" s="381">
        <f t="shared" si="145"/>
        <v>192.23679175469073</v>
      </c>
      <c r="AB276" s="193">
        <f t="shared" si="146"/>
        <v>44823</v>
      </c>
      <c r="AC276" s="420">
        <f t="shared" si="147"/>
        <v>2.5533046689753876E-2</v>
      </c>
      <c r="AD276" s="165">
        <f>(INDEX(Models!$BJ276:$BT276,,AH276)*(1-AF276)+INDEX(Models!$BJ276:$BT276,,AH276+1)*AF276-ERP_i)*AE276*Ramure*Pc/MaxiM</f>
        <v>4.2490028194521311E-5</v>
      </c>
      <c r="AE276" s="301">
        <f t="shared" si="148"/>
        <v>0.5</v>
      </c>
      <c r="AF276" s="173">
        <f t="shared" si="149"/>
        <v>0.48192681471284565</v>
      </c>
      <c r="AG276" s="801">
        <f t="shared" si="150"/>
        <v>0</v>
      </c>
      <c r="AH276" s="172">
        <f t="shared" si="151"/>
        <v>6</v>
      </c>
      <c r="AI276" s="221">
        <f t="shared" si="152"/>
        <v>0.48192681471284565</v>
      </c>
      <c r="AJ276" s="261" t="b">
        <f t="shared" si="153"/>
        <v>0</v>
      </c>
      <c r="AK276" s="261" t="b">
        <f t="shared" si="154"/>
        <v>0</v>
      </c>
      <c r="AL276" s="261"/>
      <c r="AM276" s="261"/>
      <c r="AN276" s="75"/>
      <c r="AV276" s="153">
        <f t="shared" si="159"/>
        <v>44458</v>
      </c>
      <c r="AW276" s="608"/>
      <c r="AX276" s="385"/>
      <c r="AY276" s="388"/>
      <c r="AZ276" s="380"/>
      <c r="BA276" s="380"/>
      <c r="BB276" s="110"/>
      <c r="BD276" s="375"/>
      <c r="BE276" s="85"/>
      <c r="BF276" s="193">
        <f t="shared" si="155"/>
        <v>44823</v>
      </c>
      <c r="BG276" s="430">
        <f t="shared" si="160"/>
        <v>1.1103624208256169E-2</v>
      </c>
      <c r="BH276" s="846"/>
      <c r="BI276" s="846"/>
      <c r="BJ276" s="320">
        <f t="shared" si="156"/>
        <v>2.556280592032402E-3</v>
      </c>
      <c r="BK276" s="378"/>
    </row>
    <row r="277" spans="1:63" s="6" customFormat="1" ht="11.25" customHeight="1" x14ac:dyDescent="0.2">
      <c r="A277" s="56">
        <f t="shared" si="157"/>
        <v>44824</v>
      </c>
      <c r="B277" s="608">
        <v>190.54500000000002</v>
      </c>
      <c r="C277" s="385"/>
      <c r="D277" s="388">
        <f t="shared" si="132"/>
        <v>191.59122936223434</v>
      </c>
      <c r="E277" s="380">
        <f t="shared" si="127"/>
        <v>196.62078498836971</v>
      </c>
      <c r="F277" s="380">
        <f t="shared" si="131"/>
        <v>196.62901416079933</v>
      </c>
      <c r="G277" s="110">
        <f t="shared" si="128"/>
        <v>1.0191548690504901</v>
      </c>
      <c r="I277" s="375">
        <f t="shared" si="133"/>
        <v>196.62901416079933</v>
      </c>
      <c r="J277" s="85">
        <v>2022</v>
      </c>
      <c r="K277" s="193">
        <f t="shared" si="134"/>
        <v>44824</v>
      </c>
      <c r="L277" s="430">
        <f t="shared" si="135"/>
        <v>5.4607372462559534E-3</v>
      </c>
      <c r="M277" s="846"/>
      <c r="N277" s="846"/>
      <c r="O277" s="320">
        <f t="shared" si="136"/>
        <v>2.5579979382306137E-2</v>
      </c>
      <c r="P277" s="165">
        <f>(INDEX(Models!$BJ277:$BT277,,T277)*(1-R277)+INDEX(Models!$BJ277:$BT277,,T277+1)*R277-ERP_i)*Q277*Ramure*Pc/MaxiM</f>
        <v>4.1851262209334658E-5</v>
      </c>
      <c r="Q277" s="301">
        <f t="shared" si="137"/>
        <v>0.5</v>
      </c>
      <c r="R277" s="173">
        <f t="shared" si="138"/>
        <v>0.4822349191579044</v>
      </c>
      <c r="S277" s="801">
        <f t="shared" si="158"/>
        <v>0</v>
      </c>
      <c r="T277" s="172">
        <f t="shared" si="139"/>
        <v>6</v>
      </c>
      <c r="U277" s="247">
        <f t="shared" si="140"/>
        <v>0.4822349191579044</v>
      </c>
      <c r="V277" s="378">
        <f t="shared" si="141"/>
        <v>186.96373415506903</v>
      </c>
      <c r="W277" s="397"/>
      <c r="X277" s="153">
        <f t="shared" si="142"/>
        <v>44824</v>
      </c>
      <c r="Y277" s="380">
        <f t="shared" si="143"/>
        <v>190.54500000000002</v>
      </c>
      <c r="Z277" s="380">
        <f t="shared" si="144"/>
        <v>191.59122936223434</v>
      </c>
      <c r="AA277" s="381">
        <f t="shared" si="145"/>
        <v>196.62078498836971</v>
      </c>
      <c r="AB277" s="193">
        <f t="shared" si="146"/>
        <v>44824</v>
      </c>
      <c r="AC277" s="420">
        <f t="shared" si="147"/>
        <v>2.5579979382306137E-2</v>
      </c>
      <c r="AD277" s="165">
        <f>(INDEX(Models!$BJ277:$BT277,,AH277)*(1-AF277)+INDEX(Models!$BJ277:$BT277,,AH277+1)*AF277-ERP_i)*AE277*Ramure*Pc/MaxiM</f>
        <v>4.1851262209334658E-5</v>
      </c>
      <c r="AE277" s="301">
        <f t="shared" si="148"/>
        <v>0.5</v>
      </c>
      <c r="AF277" s="173">
        <f t="shared" si="149"/>
        <v>0.4822349191579044</v>
      </c>
      <c r="AG277" s="801">
        <f t="shared" si="150"/>
        <v>0</v>
      </c>
      <c r="AH277" s="172">
        <f t="shared" si="151"/>
        <v>6</v>
      </c>
      <c r="AI277" s="221">
        <f t="shared" si="152"/>
        <v>0.4822349191579044</v>
      </c>
      <c r="AJ277" s="261" t="b">
        <f t="shared" si="153"/>
        <v>0</v>
      </c>
      <c r="AK277" s="261" t="b">
        <f t="shared" si="154"/>
        <v>0</v>
      </c>
      <c r="AL277" s="261"/>
      <c r="AM277" s="261"/>
      <c r="AN277" s="75"/>
      <c r="AV277" s="153">
        <f t="shared" si="159"/>
        <v>44459</v>
      </c>
      <c r="AW277" s="608"/>
      <c r="AX277" s="385"/>
      <c r="AY277" s="388"/>
      <c r="AZ277" s="380"/>
      <c r="BA277" s="380"/>
      <c r="BB277" s="110"/>
      <c r="BD277" s="375"/>
      <c r="BE277" s="85"/>
      <c r="BF277" s="193">
        <f t="shared" si="155"/>
        <v>44824</v>
      </c>
      <c r="BG277" s="430">
        <f t="shared" si="160"/>
        <v>1.1117306998567611E-2</v>
      </c>
      <c r="BH277" s="846"/>
      <c r="BI277" s="846"/>
      <c r="BJ277" s="320">
        <f t="shared" si="156"/>
        <v>2.629644949382923E-3</v>
      </c>
      <c r="BK277" s="378"/>
    </row>
    <row r="278" spans="1:63" s="6" customFormat="1" ht="11.25" x14ac:dyDescent="0.2">
      <c r="A278" s="56">
        <f t="shared" si="157"/>
        <v>44825</v>
      </c>
      <c r="B278" s="608">
        <v>185.387</v>
      </c>
      <c r="C278" s="385"/>
      <c r="D278" s="388">
        <f t="shared" si="132"/>
        <v>186.40745998681979</v>
      </c>
      <c r="E278" s="380">
        <f t="shared" si="127"/>
        <v>191.31008391119539</v>
      </c>
      <c r="F278" s="380">
        <f t="shared" si="131"/>
        <v>191.3179458974538</v>
      </c>
      <c r="G278" s="110">
        <f t="shared" si="128"/>
        <v>0.99794782978802132</v>
      </c>
      <c r="I278" s="375">
        <f t="shared" si="133"/>
        <v>191.3179458974538</v>
      </c>
      <c r="J278" s="85">
        <v>2022</v>
      </c>
      <c r="K278" s="193">
        <f t="shared" si="134"/>
        <v>44825</v>
      </c>
      <c r="L278" s="430">
        <f t="shared" si="135"/>
        <v>5.4743516535870063E-3</v>
      </c>
      <c r="M278" s="846"/>
      <c r="N278" s="846"/>
      <c r="O278" s="320">
        <f t="shared" si="136"/>
        <v>2.5626583942388328E-2</v>
      </c>
      <c r="P278" s="165">
        <f>(INDEX(Models!$BJ278:$BT278,,T278)*(1-R278)+INDEX(Models!$BJ278:$BT278,,T278+1)*R278-ERP_i)*Q278*Ramure*Pc/MaxiM</f>
        <v>4.1214646081086568E-5</v>
      </c>
      <c r="Q278" s="301">
        <f t="shared" si="137"/>
        <v>0.5</v>
      </c>
      <c r="R278" s="173">
        <f t="shared" si="138"/>
        <v>0.48253098073049205</v>
      </c>
      <c r="S278" s="801">
        <f t="shared" si="158"/>
        <v>0</v>
      </c>
      <c r="T278" s="172">
        <f t="shared" si="139"/>
        <v>6</v>
      </c>
      <c r="U278" s="247">
        <f t="shared" si="140"/>
        <v>0.48253098073049205</v>
      </c>
      <c r="V278" s="378">
        <f t="shared" si="141"/>
        <v>185.76820557831044</v>
      </c>
      <c r="W278" s="397"/>
      <c r="X278" s="153">
        <f t="shared" si="142"/>
        <v>44825</v>
      </c>
      <c r="Y278" s="380">
        <f t="shared" si="143"/>
        <v>185.387</v>
      </c>
      <c r="Z278" s="380">
        <f t="shared" si="144"/>
        <v>186.40745998681979</v>
      </c>
      <c r="AA278" s="381">
        <f t="shared" si="145"/>
        <v>191.31008391119539</v>
      </c>
      <c r="AB278" s="193">
        <f t="shared" si="146"/>
        <v>44825</v>
      </c>
      <c r="AC278" s="420">
        <f t="shared" si="147"/>
        <v>2.5626583942388328E-2</v>
      </c>
      <c r="AD278" s="165">
        <f>(INDEX(Models!$BJ278:$BT278,,AH278)*(1-AF278)+INDEX(Models!$BJ278:$BT278,,AH278+1)*AF278-ERP_i)*AE278*Ramure*Pc/MaxiM</f>
        <v>4.1214646081086568E-5</v>
      </c>
      <c r="AE278" s="301">
        <f t="shared" si="148"/>
        <v>0.5</v>
      </c>
      <c r="AF278" s="173">
        <f t="shared" si="149"/>
        <v>0.48253098073049205</v>
      </c>
      <c r="AG278" s="801">
        <f t="shared" si="150"/>
        <v>0</v>
      </c>
      <c r="AH278" s="172">
        <f t="shared" si="151"/>
        <v>6</v>
      </c>
      <c r="AI278" s="221">
        <f t="shared" si="152"/>
        <v>0.48253098073049205</v>
      </c>
      <c r="AJ278" s="261" t="b">
        <f t="shared" si="153"/>
        <v>0</v>
      </c>
      <c r="AK278" s="261" t="b">
        <f t="shared" si="154"/>
        <v>0</v>
      </c>
      <c r="AL278" s="261"/>
      <c r="AM278" s="261"/>
      <c r="AN278" s="75"/>
      <c r="AV278" s="153">
        <f t="shared" si="159"/>
        <v>44460</v>
      </c>
      <c r="AW278" s="608"/>
      <c r="AX278" s="385"/>
      <c r="AY278" s="388"/>
      <c r="AZ278" s="380"/>
      <c r="BA278" s="380"/>
      <c r="BB278" s="110"/>
      <c r="BD278" s="375"/>
      <c r="BE278" s="85"/>
      <c r="BF278" s="193">
        <f t="shared" si="155"/>
        <v>44825</v>
      </c>
      <c r="BG278" s="430">
        <f t="shared" si="160"/>
        <v>1.1130989601573216E-2</v>
      </c>
      <c r="BH278" s="846"/>
      <c r="BI278" s="846"/>
      <c r="BJ278" s="320">
        <f t="shared" si="156"/>
        <v>2.702879768084527E-3</v>
      </c>
      <c r="BK278" s="378"/>
    </row>
    <row r="279" spans="1:63" s="6" customFormat="1" ht="11.25" x14ac:dyDescent="0.2">
      <c r="A279" s="56">
        <f t="shared" si="157"/>
        <v>44826</v>
      </c>
      <c r="B279" s="608">
        <v>180.07400000000001</v>
      </c>
      <c r="C279" s="385"/>
      <c r="D279" s="388">
        <f t="shared" si="132"/>
        <v>181.06769332193394</v>
      </c>
      <c r="E279" s="380">
        <f t="shared" si="127"/>
        <v>185.83870250097226</v>
      </c>
      <c r="F279" s="380">
        <f t="shared" si="131"/>
        <v>185.84598226608634</v>
      </c>
      <c r="G279" s="110">
        <f t="shared" si="128"/>
        <v>0.97569498486481299</v>
      </c>
      <c r="I279" s="375">
        <f t="shared" si="133"/>
        <v>185.84598226608634</v>
      </c>
      <c r="J279" s="85">
        <v>2022</v>
      </c>
      <c r="K279" s="193">
        <f t="shared" si="134"/>
        <v>44826</v>
      </c>
      <c r="L279" s="430">
        <f t="shared" si="135"/>
        <v>5.4879658745482507E-3</v>
      </c>
      <c r="M279" s="846"/>
      <c r="N279" s="846"/>
      <c r="O279" s="320">
        <f t="shared" si="136"/>
        <v>2.5672850245030972E-2</v>
      </c>
      <c r="P279" s="165">
        <f>(INDEX(Models!$BJ279:$BT279,,T279)*(1-R279)+INDEX(Models!$BJ279:$BT279,,T279+1)*R279-ERP_i)*Q279*Ramure*Pc/MaxiM</f>
        <v>4.0579869960849018E-5</v>
      </c>
      <c r="Q279" s="301">
        <f t="shared" si="137"/>
        <v>0.5</v>
      </c>
      <c r="R279" s="173">
        <f t="shared" si="138"/>
        <v>0.48281545632530221</v>
      </c>
      <c r="S279" s="801">
        <f t="shared" si="158"/>
        <v>0</v>
      </c>
      <c r="T279" s="172">
        <f t="shared" si="139"/>
        <v>6</v>
      </c>
      <c r="U279" s="247">
        <f t="shared" si="140"/>
        <v>0.48281545632530221</v>
      </c>
      <c r="V279" s="378">
        <f t="shared" si="141"/>
        <v>184.55946691839262</v>
      </c>
      <c r="W279" s="397"/>
      <c r="X279" s="153">
        <f t="shared" si="142"/>
        <v>44826</v>
      </c>
      <c r="Y279" s="380">
        <f t="shared" si="143"/>
        <v>180.07400000000001</v>
      </c>
      <c r="Z279" s="380">
        <f t="shared" si="144"/>
        <v>181.06769332193394</v>
      </c>
      <c r="AA279" s="381">
        <f t="shared" si="145"/>
        <v>185.83870250097226</v>
      </c>
      <c r="AB279" s="193">
        <f t="shared" si="146"/>
        <v>44826</v>
      </c>
      <c r="AC279" s="420">
        <f t="shared" si="147"/>
        <v>2.5672850245030972E-2</v>
      </c>
      <c r="AD279" s="165">
        <f>(INDEX(Models!$BJ279:$BT279,,AH279)*(1-AF279)+INDEX(Models!$BJ279:$BT279,,AH279+1)*AF279-ERP_i)*AE279*Ramure*Pc/MaxiM</f>
        <v>4.0579869960849018E-5</v>
      </c>
      <c r="AE279" s="301">
        <f t="shared" si="148"/>
        <v>0.5</v>
      </c>
      <c r="AF279" s="173">
        <f t="shared" si="149"/>
        <v>0.48281545632530221</v>
      </c>
      <c r="AG279" s="801">
        <f t="shared" si="150"/>
        <v>0</v>
      </c>
      <c r="AH279" s="172">
        <f t="shared" si="151"/>
        <v>6</v>
      </c>
      <c r="AI279" s="221">
        <f t="shared" si="152"/>
        <v>0.48281545632530221</v>
      </c>
      <c r="AJ279" s="261" t="b">
        <f t="shared" si="153"/>
        <v>0</v>
      </c>
      <c r="AK279" s="261" t="b">
        <f t="shared" si="154"/>
        <v>0</v>
      </c>
      <c r="AL279" s="261"/>
      <c r="AM279" s="261"/>
      <c r="AN279" s="75"/>
      <c r="AV279" s="153">
        <f t="shared" si="159"/>
        <v>44461</v>
      </c>
      <c r="AW279" s="608"/>
      <c r="AX279" s="385"/>
      <c r="AY279" s="388"/>
      <c r="AZ279" s="380"/>
      <c r="BA279" s="380"/>
      <c r="BB279" s="110"/>
      <c r="BD279" s="375"/>
      <c r="BE279" s="85"/>
      <c r="BF279" s="193">
        <f t="shared" si="155"/>
        <v>44826</v>
      </c>
      <c r="BG279" s="430">
        <f t="shared" si="160"/>
        <v>1.1144672017275425E-2</v>
      </c>
      <c r="BH279" s="846"/>
      <c r="BI279" s="846"/>
      <c r="BJ279" s="320">
        <f t="shared" si="156"/>
        <v>2.7759820252919124E-3</v>
      </c>
      <c r="BK279" s="378"/>
    </row>
    <row r="280" spans="1:63" s="6" customFormat="1" ht="11.25" x14ac:dyDescent="0.2">
      <c r="A280" s="56">
        <f t="shared" si="157"/>
        <v>44827</v>
      </c>
      <c r="B280" s="608">
        <v>115.467</v>
      </c>
      <c r="C280" s="385"/>
      <c r="D280" s="388">
        <f t="shared" si="132"/>
        <v>116.10576514485653</v>
      </c>
      <c r="E280" s="380">
        <f t="shared" si="127"/>
        <v>119.17068844542058</v>
      </c>
      <c r="F280" s="380">
        <f t="shared" si="131"/>
        <v>119.17293135937119</v>
      </c>
      <c r="G280" s="110">
        <f t="shared" si="128"/>
        <v>0.62978684933586304</v>
      </c>
      <c r="I280" s="375">
        <f t="shared" si="133"/>
        <v>119.17293135937119</v>
      </c>
      <c r="J280" s="85">
        <v>2022</v>
      </c>
      <c r="K280" s="193">
        <f t="shared" si="134"/>
        <v>44827</v>
      </c>
      <c r="L280" s="430">
        <f t="shared" si="135"/>
        <v>5.5015799091422402E-3</v>
      </c>
      <c r="M280" s="846"/>
      <c r="N280" s="846"/>
      <c r="O280" s="320">
        <f t="shared" si="136"/>
        <v>2.5718768100997921E-2</v>
      </c>
      <c r="P280" s="165">
        <f>(INDEX(Models!$BJ280:$BT280,,T280)*(1-R280)+INDEX(Models!$BJ280:$BT280,,T280+1)*R280-ERP_i)*Q280*Ramure*Pc/MaxiM</f>
        <v>3.9946816532865153E-5</v>
      </c>
      <c r="Q280" s="301">
        <f t="shared" si="137"/>
        <v>0.5</v>
      </c>
      <c r="R280" s="173">
        <f t="shared" si="138"/>
        <v>0.48308878658086746</v>
      </c>
      <c r="S280" s="801">
        <f t="shared" si="158"/>
        <v>0</v>
      </c>
      <c r="T280" s="172">
        <f t="shared" si="139"/>
        <v>6</v>
      </c>
      <c r="U280" s="247">
        <f t="shared" si="140"/>
        <v>0.48308878658086746</v>
      </c>
      <c r="V280" s="378">
        <f t="shared" si="141"/>
        <v>183.33911021266965</v>
      </c>
      <c r="W280" s="397"/>
      <c r="X280" s="153">
        <f t="shared" si="142"/>
        <v>44827</v>
      </c>
      <c r="Y280" s="380">
        <f t="shared" si="143"/>
        <v>115.467</v>
      </c>
      <c r="Z280" s="380">
        <f t="shared" si="144"/>
        <v>116.10576514485653</v>
      </c>
      <c r="AA280" s="381">
        <f t="shared" si="145"/>
        <v>119.17068844542058</v>
      </c>
      <c r="AB280" s="193">
        <f t="shared" si="146"/>
        <v>44827</v>
      </c>
      <c r="AC280" s="420">
        <f t="shared" si="147"/>
        <v>2.5718768100997921E-2</v>
      </c>
      <c r="AD280" s="165">
        <f>(INDEX(Models!$BJ280:$BT280,,AH280)*(1-AF280)+INDEX(Models!$BJ280:$BT280,,AH280+1)*AF280-ERP_i)*AE280*Ramure*Pc/MaxiM</f>
        <v>3.9946816532865153E-5</v>
      </c>
      <c r="AE280" s="301">
        <f t="shared" si="148"/>
        <v>0.5</v>
      </c>
      <c r="AF280" s="173">
        <f t="shared" si="149"/>
        <v>0.48308878658086746</v>
      </c>
      <c r="AG280" s="801">
        <f t="shared" si="150"/>
        <v>0</v>
      </c>
      <c r="AH280" s="172">
        <f t="shared" si="151"/>
        <v>6</v>
      </c>
      <c r="AI280" s="221">
        <f t="shared" si="152"/>
        <v>0.48308878658086746</v>
      </c>
      <c r="AJ280" s="261" t="b">
        <f t="shared" si="153"/>
        <v>0</v>
      </c>
      <c r="AK280" s="261" t="b">
        <f t="shared" si="154"/>
        <v>0</v>
      </c>
      <c r="AL280" s="261"/>
      <c r="AM280" s="261"/>
      <c r="AN280" s="75"/>
      <c r="AV280" s="153">
        <f t="shared" si="159"/>
        <v>44462</v>
      </c>
      <c r="AW280" s="608"/>
      <c r="AX280" s="385"/>
      <c r="AY280" s="388"/>
      <c r="AZ280" s="380"/>
      <c r="BA280" s="380"/>
      <c r="BB280" s="110"/>
      <c r="BD280" s="375"/>
      <c r="BE280" s="85"/>
      <c r="BF280" s="193">
        <f t="shared" si="155"/>
        <v>44827</v>
      </c>
      <c r="BG280" s="430">
        <f t="shared" si="160"/>
        <v>1.1158354245676905E-2</v>
      </c>
      <c r="BH280" s="846"/>
      <c r="BI280" s="846"/>
      <c r="BJ280" s="320">
        <f t="shared" si="156"/>
        <v>2.848948603386909E-3</v>
      </c>
      <c r="BK280" s="378"/>
    </row>
    <row r="281" spans="1:63" s="6" customFormat="1" ht="11.25" x14ac:dyDescent="0.2">
      <c r="A281" s="56">
        <f t="shared" si="157"/>
        <v>44828</v>
      </c>
      <c r="B281" s="608">
        <v>77.679000000000002</v>
      </c>
      <c r="C281" s="385"/>
      <c r="D281" s="388">
        <f t="shared" si="132"/>
        <v>78.109790629670371</v>
      </c>
      <c r="E281" s="380">
        <f t="shared" si="127"/>
        <v>80.175457354898796</v>
      </c>
      <c r="F281" s="380">
        <f t="shared" si="131"/>
        <v>80.176027230313849</v>
      </c>
      <c r="G281" s="110">
        <f t="shared" si="128"/>
        <v>0.42653913073568211</v>
      </c>
      <c r="I281" s="375">
        <f t="shared" si="133"/>
        <v>80.176027230313849</v>
      </c>
      <c r="J281" s="85">
        <v>2022</v>
      </c>
      <c r="K281" s="193">
        <f t="shared" si="134"/>
        <v>44828</v>
      </c>
      <c r="L281" s="430">
        <f t="shared" si="135"/>
        <v>5.5151937573716392E-3</v>
      </c>
      <c r="M281" s="846"/>
      <c r="N281" s="846"/>
      <c r="O281" s="320">
        <f t="shared" si="136"/>
        <v>2.5764327306356267E-2</v>
      </c>
      <c r="P281" s="165">
        <f>(INDEX(Models!$BJ281:$BT281,,T281)*(1-R281)+INDEX(Models!$BJ281:$BT281,,T281+1)*R281-ERP_i)*Q281*Ramure*Pc/MaxiM</f>
        <v>3.9315285458233459E-5</v>
      </c>
      <c r="Q281" s="301">
        <f t="shared" si="137"/>
        <v>0.5</v>
      </c>
      <c r="R281" s="173">
        <f t="shared" si="138"/>
        <v>0.48335139637300351</v>
      </c>
      <c r="S281" s="801">
        <f t="shared" si="158"/>
        <v>0</v>
      </c>
      <c r="T281" s="172">
        <f t="shared" si="139"/>
        <v>6</v>
      </c>
      <c r="U281" s="247">
        <f t="shared" si="140"/>
        <v>0.48335139637300351</v>
      </c>
      <c r="V281" s="378">
        <f t="shared" si="141"/>
        <v>182.10872705447019</v>
      </c>
      <c r="W281" s="397"/>
      <c r="X281" s="153">
        <f t="shared" si="142"/>
        <v>44828</v>
      </c>
      <c r="Y281" s="380">
        <f t="shared" si="143"/>
        <v>77.679000000000002</v>
      </c>
      <c r="Z281" s="380">
        <f t="shared" si="144"/>
        <v>78.109790629670371</v>
      </c>
      <c r="AA281" s="381">
        <f t="shared" si="145"/>
        <v>80.175457354898796</v>
      </c>
      <c r="AB281" s="193">
        <f t="shared" si="146"/>
        <v>44828</v>
      </c>
      <c r="AC281" s="420">
        <f t="shared" si="147"/>
        <v>2.5764327306356267E-2</v>
      </c>
      <c r="AD281" s="165">
        <f>(INDEX(Models!$BJ281:$BT281,,AH281)*(1-AF281)+INDEX(Models!$BJ281:$BT281,,AH281+1)*AF281-ERP_i)*AE281*Ramure*Pc/MaxiM</f>
        <v>3.9315285458233459E-5</v>
      </c>
      <c r="AE281" s="301">
        <f t="shared" si="148"/>
        <v>0.5</v>
      </c>
      <c r="AF281" s="173">
        <f t="shared" si="149"/>
        <v>0.48335139637300351</v>
      </c>
      <c r="AG281" s="801">
        <f t="shared" si="150"/>
        <v>0</v>
      </c>
      <c r="AH281" s="172">
        <f t="shared" si="151"/>
        <v>6</v>
      </c>
      <c r="AI281" s="221">
        <f t="shared" si="152"/>
        <v>0.48335139637300351</v>
      </c>
      <c r="AJ281" s="261" t="b">
        <f t="shared" si="153"/>
        <v>0</v>
      </c>
      <c r="AK281" s="261" t="b">
        <f t="shared" si="154"/>
        <v>0</v>
      </c>
      <c r="AL281" s="261"/>
      <c r="AM281" s="261"/>
      <c r="AN281" s="75"/>
      <c r="AV281" s="153">
        <f t="shared" si="159"/>
        <v>44463</v>
      </c>
      <c r="AW281" s="608"/>
      <c r="AX281" s="385"/>
      <c r="AY281" s="388"/>
      <c r="AZ281" s="380"/>
      <c r="BA281" s="380"/>
      <c r="BB281" s="110"/>
      <c r="BD281" s="375"/>
      <c r="BE281" s="85"/>
      <c r="BF281" s="193">
        <f t="shared" si="155"/>
        <v>44828</v>
      </c>
      <c r="BG281" s="430">
        <f t="shared" si="160"/>
        <v>1.1172036286780096E-2</v>
      </c>
      <c r="BH281" s="846"/>
      <c r="BI281" s="846"/>
      <c r="BJ281" s="320">
        <f t="shared" si="156"/>
        <v>2.9217762958542682E-3</v>
      </c>
      <c r="BK281" s="378"/>
    </row>
    <row r="282" spans="1:63" s="6" customFormat="1" ht="11.25" x14ac:dyDescent="0.2">
      <c r="A282" s="56">
        <f t="shared" si="157"/>
        <v>44829</v>
      </c>
      <c r="B282" s="608">
        <v>134.91800000000001</v>
      </c>
      <c r="C282" s="385"/>
      <c r="D282" s="388">
        <f t="shared" si="132"/>
        <v>135.66808270219781</v>
      </c>
      <c r="E282" s="380">
        <f t="shared" si="127"/>
        <v>139.26237749871774</v>
      </c>
      <c r="F282" s="380">
        <f t="shared" si="131"/>
        <v>139.26582651103067</v>
      </c>
      <c r="G282" s="110">
        <f t="shared" si="128"/>
        <v>0.7459290660051584</v>
      </c>
      <c r="I282" s="375">
        <f t="shared" si="133"/>
        <v>139.26582651103067</v>
      </c>
      <c r="J282" s="85">
        <v>2022</v>
      </c>
      <c r="K282" s="193">
        <f t="shared" si="134"/>
        <v>44829</v>
      </c>
      <c r="L282" s="430">
        <f t="shared" si="135"/>
        <v>5.5288074192387793E-3</v>
      </c>
      <c r="M282" s="846"/>
      <c r="N282" s="846"/>
      <c r="O282" s="320">
        <f t="shared" si="136"/>
        <v>2.5809517696572724E-2</v>
      </c>
      <c r="P282" s="165">
        <f>(INDEX(Models!$BJ282:$BT282,,T282)*(1-R282)+INDEX(Models!$BJ282:$BT282,,T282+1)*R282-ERP_i)*Q282*Ramure*Pc/MaxiM</f>
        <v>3.8875160277696751E-5</v>
      </c>
      <c r="Q282" s="301">
        <f t="shared" si="137"/>
        <v>0.5</v>
      </c>
      <c r="R282" s="173">
        <f t="shared" si="138"/>
        <v>0.48360369530022179</v>
      </c>
      <c r="S282" s="801">
        <f t="shared" si="158"/>
        <v>0</v>
      </c>
      <c r="T282" s="172">
        <f t="shared" si="139"/>
        <v>6</v>
      </c>
      <c r="U282" s="247">
        <f t="shared" si="140"/>
        <v>0.48360369530022179</v>
      </c>
      <c r="V282" s="378">
        <f t="shared" si="141"/>
        <v>180.86987419859835</v>
      </c>
      <c r="W282" s="397"/>
      <c r="X282" s="153">
        <f t="shared" si="142"/>
        <v>44829</v>
      </c>
      <c r="Y282" s="380">
        <f t="shared" si="143"/>
        <v>134.91800000000001</v>
      </c>
      <c r="Z282" s="380">
        <f t="shared" si="144"/>
        <v>135.66808270219781</v>
      </c>
      <c r="AA282" s="381">
        <f t="shared" si="145"/>
        <v>139.26237749871774</v>
      </c>
      <c r="AB282" s="193">
        <f t="shared" si="146"/>
        <v>44829</v>
      </c>
      <c r="AC282" s="420">
        <f t="shared" si="147"/>
        <v>2.5809517696572724E-2</v>
      </c>
      <c r="AD282" s="165">
        <f>(INDEX(Models!$BJ282:$BT282,,AH282)*(1-AF282)+INDEX(Models!$BJ282:$BT282,,AH282+1)*AF282-ERP_i)*AE282*Ramure*Pc/MaxiM</f>
        <v>3.8875160277696751E-5</v>
      </c>
      <c r="AE282" s="301">
        <f t="shared" si="148"/>
        <v>0.5</v>
      </c>
      <c r="AF282" s="173">
        <f t="shared" si="149"/>
        <v>0.48360369530022179</v>
      </c>
      <c r="AG282" s="801">
        <f t="shared" si="150"/>
        <v>0</v>
      </c>
      <c r="AH282" s="172">
        <f t="shared" si="151"/>
        <v>6</v>
      </c>
      <c r="AI282" s="221">
        <f t="shared" si="152"/>
        <v>0.48360369530022179</v>
      </c>
      <c r="AJ282" s="261" t="b">
        <f t="shared" si="153"/>
        <v>0</v>
      </c>
      <c r="AK282" s="261" t="b">
        <f t="shared" si="154"/>
        <v>0</v>
      </c>
      <c r="AL282" s="261"/>
      <c r="AM282" s="261"/>
      <c r="AN282" s="75"/>
      <c r="AV282" s="153">
        <f t="shared" si="159"/>
        <v>44464</v>
      </c>
      <c r="AW282" s="608"/>
      <c r="AX282" s="385"/>
      <c r="AY282" s="388"/>
      <c r="AZ282" s="380"/>
      <c r="BA282" s="380"/>
      <c r="BB282" s="110"/>
      <c r="BD282" s="375"/>
      <c r="BE282" s="85"/>
      <c r="BF282" s="193">
        <f t="shared" si="155"/>
        <v>44829</v>
      </c>
      <c r="BG282" s="430">
        <f t="shared" si="160"/>
        <v>1.1185718140587664E-2</v>
      </c>
      <c r="BH282" s="846"/>
      <c r="BI282" s="846"/>
      <c r="BJ282" s="320">
        <f t="shared" si="156"/>
        <v>2.9944618144574727E-3</v>
      </c>
      <c r="BK282" s="378"/>
    </row>
    <row r="283" spans="1:63" s="6" customFormat="1" ht="11.25" x14ac:dyDescent="0.2">
      <c r="A283" s="56">
        <f t="shared" si="157"/>
        <v>44830</v>
      </c>
      <c r="B283" s="608">
        <v>136.559</v>
      </c>
      <c r="C283" s="385"/>
      <c r="D283" s="388">
        <f t="shared" si="132"/>
        <v>137.32008571232032</v>
      </c>
      <c r="E283" s="380">
        <f t="shared" si="127"/>
        <v>140.96463170671444</v>
      </c>
      <c r="F283" s="380">
        <f t="shared" si="131"/>
        <v>140.96821646202747</v>
      </c>
      <c r="G283" s="110">
        <f t="shared" si="128"/>
        <v>0.76023854883738284</v>
      </c>
      <c r="I283" s="375">
        <f t="shared" si="133"/>
        <v>140.96821646202747</v>
      </c>
      <c r="J283" s="85">
        <v>2022</v>
      </c>
      <c r="K283" s="193">
        <f t="shared" si="134"/>
        <v>44830</v>
      </c>
      <c r="L283" s="430">
        <f t="shared" si="135"/>
        <v>5.5424208947463249E-3</v>
      </c>
      <c r="M283" s="846"/>
      <c r="N283" s="846"/>
      <c r="O283" s="320">
        <f t="shared" si="136"/>
        <v>2.5854329204908776E-2</v>
      </c>
      <c r="P283" s="165">
        <f>(INDEX(Models!$BJ283:$BT283,,T283)*(1-R283)+INDEX(Models!$BJ283:$BT283,,T283+1)*R283-ERP_i)*Q283*Ramure*Pc/MaxiM</f>
        <v>3.8676205327220206E-5</v>
      </c>
      <c r="Q283" s="301">
        <f t="shared" si="137"/>
        <v>0.5</v>
      </c>
      <c r="R283" s="173">
        <f t="shared" si="138"/>
        <v>0.48384607816059971</v>
      </c>
      <c r="S283" s="801">
        <f t="shared" si="158"/>
        <v>0</v>
      </c>
      <c r="T283" s="172">
        <f t="shared" si="139"/>
        <v>6</v>
      </c>
      <c r="U283" s="247">
        <f t="shared" si="140"/>
        <v>0.48384607816059971</v>
      </c>
      <c r="V283" s="378">
        <f t="shared" si="141"/>
        <v>179.62413404309092</v>
      </c>
      <c r="W283" s="397"/>
      <c r="X283" s="153">
        <f t="shared" si="142"/>
        <v>44830</v>
      </c>
      <c r="Y283" s="380">
        <f t="shared" si="143"/>
        <v>136.559</v>
      </c>
      <c r="Z283" s="380">
        <f t="shared" si="144"/>
        <v>137.32008571232032</v>
      </c>
      <c r="AA283" s="381">
        <f t="shared" si="145"/>
        <v>140.96463170671444</v>
      </c>
      <c r="AB283" s="193">
        <f t="shared" si="146"/>
        <v>44830</v>
      </c>
      <c r="AC283" s="420">
        <f t="shared" si="147"/>
        <v>2.5854329204908776E-2</v>
      </c>
      <c r="AD283" s="165">
        <f>(INDEX(Models!$BJ283:$BT283,,AH283)*(1-AF283)+INDEX(Models!$BJ283:$BT283,,AH283+1)*AF283-ERP_i)*AE283*Ramure*Pc/MaxiM</f>
        <v>3.8676205327220206E-5</v>
      </c>
      <c r="AE283" s="301">
        <f t="shared" si="148"/>
        <v>0.5</v>
      </c>
      <c r="AF283" s="173">
        <f t="shared" si="149"/>
        <v>0.48384607816059971</v>
      </c>
      <c r="AG283" s="801">
        <f t="shared" si="150"/>
        <v>0</v>
      </c>
      <c r="AH283" s="172">
        <f t="shared" si="151"/>
        <v>6</v>
      </c>
      <c r="AI283" s="221">
        <f t="shared" si="152"/>
        <v>0.48384607816059971</v>
      </c>
      <c r="AJ283" s="261" t="b">
        <f t="shared" si="153"/>
        <v>0</v>
      </c>
      <c r="AK283" s="261" t="b">
        <f t="shared" si="154"/>
        <v>0</v>
      </c>
      <c r="AL283" s="261"/>
      <c r="AM283" s="261"/>
      <c r="AN283" s="75"/>
      <c r="AV283" s="153">
        <f t="shared" si="159"/>
        <v>44465</v>
      </c>
      <c r="AW283" s="608"/>
      <c r="AX283" s="385"/>
      <c r="AY283" s="388"/>
      <c r="AZ283" s="380"/>
      <c r="BA283" s="380"/>
      <c r="BB283" s="110"/>
      <c r="BD283" s="375"/>
      <c r="BE283" s="85"/>
      <c r="BF283" s="193">
        <f t="shared" si="155"/>
        <v>44830</v>
      </c>
      <c r="BG283" s="430">
        <f t="shared" si="160"/>
        <v>1.1199399807102162E-2</v>
      </c>
      <c r="BH283" s="846"/>
      <c r="BI283" s="846"/>
      <c r="BJ283" s="320">
        <f t="shared" si="156"/>
        <v>3.0670017977566214E-3</v>
      </c>
      <c r="BK283" s="378"/>
    </row>
    <row r="284" spans="1:63" s="6" customFormat="1" ht="11.25" x14ac:dyDescent="0.2">
      <c r="A284" s="56">
        <f t="shared" si="157"/>
        <v>44831</v>
      </c>
      <c r="B284" s="608">
        <v>62.713999999999999</v>
      </c>
      <c r="C284" s="385"/>
      <c r="D284" s="388">
        <f t="shared" si="132"/>
        <v>63.064387894930761</v>
      </c>
      <c r="E284" s="380">
        <f t="shared" si="127"/>
        <v>64.741101625263681</v>
      </c>
      <c r="F284" s="380">
        <f t="shared" si="131"/>
        <v>64.741286379220085</v>
      </c>
      <c r="G284" s="110">
        <f t="shared" si="128"/>
        <v>0.35157628365231636</v>
      </c>
      <c r="I284" s="375">
        <f t="shared" si="133"/>
        <v>64.741286379220085</v>
      </c>
      <c r="J284" s="85">
        <v>2022</v>
      </c>
      <c r="K284" s="193">
        <f t="shared" si="134"/>
        <v>44831</v>
      </c>
      <c r="L284" s="430">
        <f t="shared" si="135"/>
        <v>5.5560341838968297E-3</v>
      </c>
      <c r="M284" s="846"/>
      <c r="N284" s="846"/>
      <c r="O284" s="320">
        <f t="shared" si="136"/>
        <v>2.589875192483012E-2</v>
      </c>
      <c r="P284" s="165">
        <f>(INDEX(Models!$BJ284:$BT284,,T284)*(1-R284)+INDEX(Models!$BJ284:$BT284,,T284+1)*R284-ERP_i)*Q284*Ramure*Pc/MaxiM</f>
        <v>3.8721684477527443E-5</v>
      </c>
      <c r="Q284" s="301">
        <f t="shared" si="137"/>
        <v>0.5</v>
      </c>
      <c r="R284" s="173">
        <f t="shared" si="138"/>
        <v>0.48407892541966896</v>
      </c>
      <c r="S284" s="801">
        <f t="shared" si="158"/>
        <v>0</v>
      </c>
      <c r="T284" s="172">
        <f t="shared" si="139"/>
        <v>6</v>
      </c>
      <c r="U284" s="247">
        <f t="shared" si="140"/>
        <v>0.48407892541966896</v>
      </c>
      <c r="V284" s="378">
        <f t="shared" si="141"/>
        <v>178.37309706735616</v>
      </c>
      <c r="W284" s="397"/>
      <c r="X284" s="153">
        <f t="shared" si="142"/>
        <v>44831</v>
      </c>
      <c r="Y284" s="380">
        <f t="shared" si="143"/>
        <v>62.713999999999999</v>
      </c>
      <c r="Z284" s="380">
        <f t="shared" si="144"/>
        <v>63.064387894930761</v>
      </c>
      <c r="AA284" s="381">
        <f t="shared" si="145"/>
        <v>64.741101625263681</v>
      </c>
      <c r="AB284" s="193">
        <f t="shared" si="146"/>
        <v>44831</v>
      </c>
      <c r="AC284" s="420">
        <f t="shared" si="147"/>
        <v>2.589875192483012E-2</v>
      </c>
      <c r="AD284" s="165">
        <f>(INDEX(Models!$BJ284:$BT284,,AH284)*(1-AF284)+INDEX(Models!$BJ284:$BT284,,AH284+1)*AF284-ERP_i)*AE284*Ramure*Pc/MaxiM</f>
        <v>3.8721684477527443E-5</v>
      </c>
      <c r="AE284" s="301">
        <f t="shared" si="148"/>
        <v>0.5</v>
      </c>
      <c r="AF284" s="173">
        <f t="shared" si="149"/>
        <v>0.48407892541966896</v>
      </c>
      <c r="AG284" s="801">
        <f t="shared" si="150"/>
        <v>0</v>
      </c>
      <c r="AH284" s="172">
        <f t="shared" si="151"/>
        <v>6</v>
      </c>
      <c r="AI284" s="221">
        <f t="shared" si="152"/>
        <v>0.48407892541966896</v>
      </c>
      <c r="AJ284" s="261" t="b">
        <f t="shared" si="153"/>
        <v>0</v>
      </c>
      <c r="AK284" s="261" t="b">
        <f t="shared" si="154"/>
        <v>0</v>
      </c>
      <c r="AL284" s="261"/>
      <c r="AM284" s="261"/>
      <c r="AN284" s="75"/>
      <c r="AV284" s="153">
        <f t="shared" si="159"/>
        <v>44466</v>
      </c>
      <c r="AW284" s="608"/>
      <c r="AX284" s="385"/>
      <c r="AY284" s="388"/>
      <c r="AZ284" s="380"/>
      <c r="BA284" s="380"/>
      <c r="BB284" s="110"/>
      <c r="BD284" s="375"/>
      <c r="BE284" s="85"/>
      <c r="BF284" s="193">
        <f t="shared" si="155"/>
        <v>44831</v>
      </c>
      <c r="BG284" s="430">
        <f t="shared" si="160"/>
        <v>1.1213081286326143E-2</v>
      </c>
      <c r="BH284" s="846"/>
      <c r="BI284" s="846"/>
      <c r="BJ284" s="320">
        <f t="shared" si="156"/>
        <v>3.1393928209974995E-3</v>
      </c>
      <c r="BK284" s="378"/>
    </row>
    <row r="285" spans="1:63" s="6" customFormat="1" ht="11.25" x14ac:dyDescent="0.2">
      <c r="A285" s="56">
        <f t="shared" si="157"/>
        <v>44832</v>
      </c>
      <c r="B285" s="608">
        <v>62.904000000000003</v>
      </c>
      <c r="C285" s="385"/>
      <c r="D285" s="388">
        <f t="shared" si="132"/>
        <v>63.256315365240198</v>
      </c>
      <c r="E285" s="380">
        <f t="shared" si="127"/>
        <v>64.941066929221492</v>
      </c>
      <c r="F285" s="380">
        <f t="shared" si="131"/>
        <v>64.941266554955206</v>
      </c>
      <c r="G285" s="110">
        <f t="shared" si="128"/>
        <v>0.35513958885899644</v>
      </c>
      <c r="I285" s="375">
        <f t="shared" si="133"/>
        <v>64.941266554955206</v>
      </c>
      <c r="J285" s="85">
        <v>2022</v>
      </c>
      <c r="K285" s="193">
        <f t="shared" si="134"/>
        <v>44832</v>
      </c>
      <c r="L285" s="430">
        <f t="shared" si="135"/>
        <v>5.569647286692847E-3</v>
      </c>
      <c r="M285" s="846"/>
      <c r="N285" s="846"/>
      <c r="O285" s="320">
        <f t="shared" si="136"/>
        <v>2.5942776176090299E-2</v>
      </c>
      <c r="P285" s="165">
        <f>(INDEX(Models!$BJ285:$BT285,,T285)*(1-R285)+INDEX(Models!$BJ285:$BT285,,T285+1)*R285-ERP_i)*Q285*Ramure*Pc/MaxiM</f>
        <v>3.9014833882161201E-5</v>
      </c>
      <c r="Q285" s="301">
        <f t="shared" si="137"/>
        <v>0.5</v>
      </c>
      <c r="R285" s="173">
        <f t="shared" si="138"/>
        <v>0.48430260366895561</v>
      </c>
      <c r="S285" s="801">
        <f t="shared" si="158"/>
        <v>0</v>
      </c>
      <c r="T285" s="172">
        <f t="shared" si="139"/>
        <v>6</v>
      </c>
      <c r="U285" s="247">
        <f t="shared" si="140"/>
        <v>0.48430260366895561</v>
      </c>
      <c r="V285" s="378">
        <f t="shared" si="141"/>
        <v>177.11835329123824</v>
      </c>
      <c r="W285" s="397"/>
      <c r="X285" s="153">
        <f t="shared" si="142"/>
        <v>44832</v>
      </c>
      <c r="Y285" s="380">
        <f t="shared" si="143"/>
        <v>62.904000000000003</v>
      </c>
      <c r="Z285" s="380">
        <f t="shared" si="144"/>
        <v>63.256315365240198</v>
      </c>
      <c r="AA285" s="381">
        <f t="shared" si="145"/>
        <v>64.941066929221492</v>
      </c>
      <c r="AB285" s="193">
        <f t="shared" si="146"/>
        <v>44832</v>
      </c>
      <c r="AC285" s="420">
        <f t="shared" si="147"/>
        <v>2.5942776176090299E-2</v>
      </c>
      <c r="AD285" s="165">
        <f>(INDEX(Models!$BJ285:$BT285,,AH285)*(1-AF285)+INDEX(Models!$BJ285:$BT285,,AH285+1)*AF285-ERP_i)*AE285*Ramure*Pc/MaxiM</f>
        <v>3.9014833882161201E-5</v>
      </c>
      <c r="AE285" s="301">
        <f t="shared" si="148"/>
        <v>0.5</v>
      </c>
      <c r="AF285" s="173">
        <f t="shared" si="149"/>
        <v>0.48430260366895561</v>
      </c>
      <c r="AG285" s="801">
        <f t="shared" si="150"/>
        <v>0</v>
      </c>
      <c r="AH285" s="172">
        <f t="shared" si="151"/>
        <v>6</v>
      </c>
      <c r="AI285" s="221">
        <f t="shared" si="152"/>
        <v>0.48430260366895561</v>
      </c>
      <c r="AJ285" s="261" t="b">
        <f t="shared" si="153"/>
        <v>0</v>
      </c>
      <c r="AK285" s="261" t="b">
        <f t="shared" si="154"/>
        <v>0</v>
      </c>
      <c r="AL285" s="261"/>
      <c r="AM285" s="261"/>
      <c r="AN285" s="75"/>
      <c r="AV285" s="153">
        <f t="shared" si="159"/>
        <v>44467</v>
      </c>
      <c r="AW285" s="608"/>
      <c r="AX285" s="385"/>
      <c r="AY285" s="388"/>
      <c r="AZ285" s="380"/>
      <c r="BA285" s="380"/>
      <c r="BB285" s="110"/>
      <c r="BD285" s="375"/>
      <c r="BE285" s="85"/>
      <c r="BF285" s="193">
        <f t="shared" si="155"/>
        <v>44832</v>
      </c>
      <c r="BG285" s="430">
        <f t="shared" si="160"/>
        <v>1.1226762578262162E-2</v>
      </c>
      <c r="BH285" s="846"/>
      <c r="BI285" s="846"/>
      <c r="BJ285" s="320">
        <f t="shared" si="156"/>
        <v>3.2116314073867367E-3</v>
      </c>
      <c r="BK285" s="378"/>
    </row>
    <row r="286" spans="1:63" s="6" customFormat="1" ht="11.25" x14ac:dyDescent="0.2">
      <c r="A286" s="56">
        <f t="shared" si="157"/>
        <v>44833</v>
      </c>
      <c r="B286" s="608">
        <v>93.611000000000004</v>
      </c>
      <c r="C286" s="385"/>
      <c r="D286" s="388">
        <f t="shared" si="132"/>
        <v>94.136589071421525</v>
      </c>
      <c r="E286" s="380">
        <f t="shared" si="127"/>
        <v>96.648125194270179</v>
      </c>
      <c r="F286" s="380">
        <f t="shared" si="131"/>
        <v>96.649393993788266</v>
      </c>
      <c r="G286" s="110">
        <f t="shared" si="128"/>
        <v>0.53228551926418433</v>
      </c>
      <c r="I286" s="375">
        <f t="shared" si="133"/>
        <v>96.649393993788266</v>
      </c>
      <c r="J286" s="85">
        <v>2022</v>
      </c>
      <c r="K286" s="193">
        <f t="shared" si="134"/>
        <v>44833</v>
      </c>
      <c r="L286" s="430">
        <f t="shared" si="135"/>
        <v>5.5832602031369305E-3</v>
      </c>
      <c r="M286" s="846"/>
      <c r="N286" s="846"/>
      <c r="O286" s="320">
        <f t="shared" si="136"/>
        <v>2.5986392574095796E-2</v>
      </c>
      <c r="P286" s="165">
        <f>(INDEX(Models!$BJ286:$BT286,,T286)*(1-R286)+INDEX(Models!$BJ286:$BT286,,T286+1)*R286-ERP_i)*Q286*Ramure*Pc/MaxiM</f>
        <v>3.9558832793243515E-5</v>
      </c>
      <c r="Q286" s="301">
        <f t="shared" si="137"/>
        <v>0.5</v>
      </c>
      <c r="R286" s="173">
        <f t="shared" si="138"/>
        <v>0.48451746607486584</v>
      </c>
      <c r="S286" s="801">
        <f t="shared" si="158"/>
        <v>0</v>
      </c>
      <c r="T286" s="172">
        <f t="shared" si="139"/>
        <v>6</v>
      </c>
      <c r="U286" s="247">
        <f t="shared" si="140"/>
        <v>0.48451746607486584</v>
      </c>
      <c r="V286" s="378">
        <f t="shared" si="141"/>
        <v>175.86149228131643</v>
      </c>
      <c r="W286" s="397"/>
      <c r="X286" s="153">
        <f t="shared" si="142"/>
        <v>44833</v>
      </c>
      <c r="Y286" s="380">
        <f t="shared" si="143"/>
        <v>93.611000000000004</v>
      </c>
      <c r="Z286" s="380">
        <f t="shared" si="144"/>
        <v>94.136589071421525</v>
      </c>
      <c r="AA286" s="381">
        <f t="shared" si="145"/>
        <v>96.648125194270179</v>
      </c>
      <c r="AB286" s="193">
        <f t="shared" si="146"/>
        <v>44833</v>
      </c>
      <c r="AC286" s="420">
        <f t="shared" si="147"/>
        <v>2.5986392574095796E-2</v>
      </c>
      <c r="AD286" s="165">
        <f>(INDEX(Models!$BJ286:$BT286,,AH286)*(1-AF286)+INDEX(Models!$BJ286:$BT286,,AH286+1)*AF286-ERP_i)*AE286*Ramure*Pc/MaxiM</f>
        <v>3.9558832793243515E-5</v>
      </c>
      <c r="AE286" s="301">
        <f t="shared" si="148"/>
        <v>0.5</v>
      </c>
      <c r="AF286" s="173">
        <f t="shared" si="149"/>
        <v>0.48451746607486584</v>
      </c>
      <c r="AG286" s="801">
        <f t="shared" si="150"/>
        <v>0</v>
      </c>
      <c r="AH286" s="172">
        <f t="shared" si="151"/>
        <v>6</v>
      </c>
      <c r="AI286" s="221">
        <f t="shared" si="152"/>
        <v>0.48451746607486584</v>
      </c>
      <c r="AJ286" s="261" t="b">
        <f t="shared" si="153"/>
        <v>0</v>
      </c>
      <c r="AK286" s="261" t="b">
        <f t="shared" si="154"/>
        <v>0</v>
      </c>
      <c r="AL286" s="261"/>
      <c r="AM286" s="261"/>
      <c r="AN286" s="75"/>
      <c r="AV286" s="153">
        <f t="shared" si="159"/>
        <v>44468</v>
      </c>
      <c r="AW286" s="608"/>
      <c r="AX286" s="385"/>
      <c r="AY286" s="388"/>
      <c r="AZ286" s="380"/>
      <c r="BA286" s="380"/>
      <c r="BB286" s="110"/>
      <c r="BD286" s="375"/>
      <c r="BE286" s="85"/>
      <c r="BF286" s="193">
        <f t="shared" si="155"/>
        <v>44833</v>
      </c>
      <c r="BG286" s="430">
        <f t="shared" si="160"/>
        <v>1.124044368291266E-2</v>
      </c>
      <c r="BH286" s="846"/>
      <c r="BI286" s="846"/>
      <c r="BJ286" s="320">
        <f t="shared" si="156"/>
        <v>3.2837140407533127E-3</v>
      </c>
      <c r="BK286" s="378"/>
    </row>
    <row r="287" spans="1:63" s="6" customFormat="1" ht="11.25" x14ac:dyDescent="0.2">
      <c r="A287" s="56">
        <f t="shared" si="157"/>
        <v>44834</v>
      </c>
      <c r="B287" s="608">
        <v>134.22999999999999</v>
      </c>
      <c r="C287" s="385"/>
      <c r="D287" s="388">
        <f t="shared" si="132"/>
        <v>134.98549667270629</v>
      </c>
      <c r="E287" s="380">
        <f t="shared" si="127"/>
        <v>138.59301635667131</v>
      </c>
      <c r="F287" s="380">
        <f t="shared" si="131"/>
        <v>138.5967620238211</v>
      </c>
      <c r="G287" s="110">
        <f t="shared" si="128"/>
        <v>0.7687574810608746</v>
      </c>
      <c r="I287" s="375">
        <f t="shared" si="133"/>
        <v>138.5967620238211</v>
      </c>
      <c r="J287" s="85">
        <v>2022</v>
      </c>
      <c r="K287" s="193">
        <f t="shared" si="134"/>
        <v>44834</v>
      </c>
      <c r="L287" s="430">
        <f t="shared" si="135"/>
        <v>5.5968729332316336E-3</v>
      </c>
      <c r="M287" s="846"/>
      <c r="N287" s="846"/>
      <c r="O287" s="320">
        <f t="shared" si="136"/>
        <v>2.6029592102108545E-2</v>
      </c>
      <c r="P287" s="165">
        <f>(INDEX(Models!$BJ287:$BT287,,T287)*(1-R287)+INDEX(Models!$BJ287:$BT287,,T287+1)*R287-ERP_i)*Q287*Ramure*Pc/MaxiM</f>
        <v>4.0356772903301796E-5</v>
      </c>
      <c r="Q287" s="301">
        <f t="shared" si="137"/>
        <v>0.5</v>
      </c>
      <c r="R287" s="173">
        <f t="shared" si="138"/>
        <v>0.48472385281767483</v>
      </c>
      <c r="S287" s="801">
        <f t="shared" si="158"/>
        <v>0</v>
      </c>
      <c r="T287" s="172">
        <f t="shared" si="139"/>
        <v>6</v>
      </c>
      <c r="U287" s="247">
        <f t="shared" si="140"/>
        <v>0.48472385281767483</v>
      </c>
      <c r="V287" s="378">
        <f t="shared" si="141"/>
        <v>174.60410314233229</v>
      </c>
      <c r="W287" s="397"/>
      <c r="X287" s="153">
        <f t="shared" si="142"/>
        <v>44834</v>
      </c>
      <c r="Y287" s="380">
        <f t="shared" si="143"/>
        <v>134.22999999999999</v>
      </c>
      <c r="Z287" s="380">
        <f t="shared" si="144"/>
        <v>134.98549667270629</v>
      </c>
      <c r="AA287" s="381">
        <f t="shared" si="145"/>
        <v>138.59301635667131</v>
      </c>
      <c r="AB287" s="193">
        <f t="shared" si="146"/>
        <v>44834</v>
      </c>
      <c r="AC287" s="420">
        <f t="shared" si="147"/>
        <v>2.6029592102108545E-2</v>
      </c>
      <c r="AD287" s="165">
        <f>(INDEX(Models!$BJ287:$BT287,,AH287)*(1-AF287)+INDEX(Models!$BJ287:$BT287,,AH287+1)*AF287-ERP_i)*AE287*Ramure*Pc/MaxiM</f>
        <v>4.0356772903301796E-5</v>
      </c>
      <c r="AE287" s="301">
        <f t="shared" si="148"/>
        <v>0.5</v>
      </c>
      <c r="AF287" s="173">
        <f t="shared" si="149"/>
        <v>0.48472385281767483</v>
      </c>
      <c r="AG287" s="801">
        <f t="shared" si="150"/>
        <v>0</v>
      </c>
      <c r="AH287" s="172">
        <f t="shared" si="151"/>
        <v>6</v>
      </c>
      <c r="AI287" s="221">
        <f t="shared" si="152"/>
        <v>0.48472385281767483</v>
      </c>
      <c r="AJ287" s="261" t="b">
        <f t="shared" si="153"/>
        <v>0</v>
      </c>
      <c r="AK287" s="261" t="b">
        <f t="shared" si="154"/>
        <v>0</v>
      </c>
      <c r="AL287" s="261"/>
      <c r="AM287" s="261"/>
      <c r="AN287" s="75"/>
      <c r="AV287" s="153">
        <f t="shared" si="159"/>
        <v>44469</v>
      </c>
      <c r="AW287" s="608"/>
      <c r="AX287" s="385"/>
      <c r="AY287" s="388"/>
      <c r="AZ287" s="380"/>
      <c r="BA287" s="380"/>
      <c r="BB287" s="110"/>
      <c r="BD287" s="375"/>
      <c r="BE287" s="85"/>
      <c r="BF287" s="193">
        <f t="shared" si="155"/>
        <v>44834</v>
      </c>
      <c r="BG287" s="430">
        <f t="shared" si="160"/>
        <v>1.1254124600280524E-2</v>
      </c>
      <c r="BH287" s="846"/>
      <c r="BI287" s="846"/>
      <c r="BJ287" s="320">
        <f t="shared" si="156"/>
        <v>3.3556371795810673E-3</v>
      </c>
      <c r="BK287" s="378"/>
    </row>
    <row r="288" spans="1:63" s="6" customFormat="1" ht="11.25" x14ac:dyDescent="0.2">
      <c r="A288" s="56">
        <f t="shared" si="157"/>
        <v>44835</v>
      </c>
      <c r="B288" s="608">
        <v>152.15200000000002</v>
      </c>
      <c r="C288" s="385"/>
      <c r="D288" s="388">
        <f t="shared" si="132"/>
        <v>153.01046298037733</v>
      </c>
      <c r="E288" s="380">
        <f t="shared" si="127"/>
        <v>157.10660388712918</v>
      </c>
      <c r="F288" s="380">
        <f t="shared" si="131"/>
        <v>157.11197366226085</v>
      </c>
      <c r="G288" s="110">
        <f t="shared" si="128"/>
        <v>0.87772052325285388</v>
      </c>
      <c r="I288" s="375">
        <f t="shared" si="133"/>
        <v>157.11197366226085</v>
      </c>
      <c r="J288" s="85">
        <v>2022</v>
      </c>
      <c r="K288" s="193">
        <f t="shared" si="134"/>
        <v>44835</v>
      </c>
      <c r="L288" s="430">
        <f t="shared" si="135"/>
        <v>5.6104854769793988E-3</v>
      </c>
      <c r="M288" s="846"/>
      <c r="N288" s="846"/>
      <c r="O288" s="320">
        <f t="shared" si="136"/>
        <v>2.6072366185794841E-2</v>
      </c>
      <c r="P288" s="165">
        <f>(INDEX(Models!$BJ288:$BT288,,T288)*(1-R288)+INDEX(Models!$BJ288:$BT288,,T288+1)*R288-ERP_i)*Q288*Ramure*Pc/MaxiM</f>
        <v>4.1411626275859948E-5</v>
      </c>
      <c r="Q288" s="301">
        <f t="shared" si="137"/>
        <v>0.5</v>
      </c>
      <c r="R288" s="173">
        <f t="shared" si="138"/>
        <v>0.48492209152042309</v>
      </c>
      <c r="S288" s="801">
        <f t="shared" si="158"/>
        <v>0</v>
      </c>
      <c r="T288" s="172">
        <f t="shared" si="139"/>
        <v>6</v>
      </c>
      <c r="U288" s="247">
        <f t="shared" si="140"/>
        <v>0.48492209152042309</v>
      </c>
      <c r="V288" s="378">
        <f t="shared" si="141"/>
        <v>173.34777451691761</v>
      </c>
      <c r="W288" s="397"/>
      <c r="X288" s="153">
        <f t="shared" si="142"/>
        <v>44835</v>
      </c>
      <c r="Y288" s="380">
        <f t="shared" si="143"/>
        <v>152.15200000000002</v>
      </c>
      <c r="Z288" s="380">
        <f t="shared" si="144"/>
        <v>153.01046298037733</v>
      </c>
      <c r="AA288" s="381">
        <f t="shared" si="145"/>
        <v>157.10660388712918</v>
      </c>
      <c r="AB288" s="193">
        <f t="shared" si="146"/>
        <v>44835</v>
      </c>
      <c r="AC288" s="420">
        <f t="shared" si="147"/>
        <v>2.6072366185794841E-2</v>
      </c>
      <c r="AD288" s="165">
        <f>(INDEX(Models!$BJ288:$BT288,,AH288)*(1-AF288)+INDEX(Models!$BJ288:$BT288,,AH288+1)*AF288-ERP_i)*AE288*Ramure*Pc/MaxiM</f>
        <v>4.1411626275859948E-5</v>
      </c>
      <c r="AE288" s="301">
        <f t="shared" si="148"/>
        <v>0.5</v>
      </c>
      <c r="AF288" s="173">
        <f t="shared" si="149"/>
        <v>0.48492209152042309</v>
      </c>
      <c r="AG288" s="801">
        <f t="shared" si="150"/>
        <v>0</v>
      </c>
      <c r="AH288" s="172">
        <f t="shared" si="151"/>
        <v>6</v>
      </c>
      <c r="AI288" s="221">
        <f t="shared" si="152"/>
        <v>0.48492209152042309</v>
      </c>
      <c r="AJ288" s="261" t="b">
        <f t="shared" si="153"/>
        <v>0</v>
      </c>
      <c r="AK288" s="261" t="b">
        <f t="shared" si="154"/>
        <v>0</v>
      </c>
      <c r="AL288" s="261"/>
      <c r="AM288" s="261"/>
      <c r="AN288" s="75"/>
      <c r="AV288" s="153">
        <f t="shared" si="159"/>
        <v>44470</v>
      </c>
      <c r="AW288" s="608"/>
      <c r="AX288" s="385"/>
      <c r="AY288" s="388"/>
      <c r="AZ288" s="380"/>
      <c r="BA288" s="380"/>
      <c r="BB288" s="110"/>
      <c r="BD288" s="375"/>
      <c r="BE288" s="85"/>
      <c r="BF288" s="193">
        <f t="shared" si="155"/>
        <v>44835</v>
      </c>
      <c r="BG288" s="430">
        <f t="shared" si="160"/>
        <v>1.1267805330367975E-2</v>
      </c>
      <c r="BH288" s="846"/>
      <c r="BI288" s="846"/>
      <c r="BJ288" s="320">
        <f t="shared" si="156"/>
        <v>3.4273972723807616E-3</v>
      </c>
      <c r="BK288" s="378"/>
    </row>
    <row r="289" spans="1:63" s="6" customFormat="1" ht="11.25" customHeight="1" x14ac:dyDescent="0.2">
      <c r="A289" s="56">
        <f t="shared" si="157"/>
        <v>44836</v>
      </c>
      <c r="B289" s="608">
        <v>157.51500000000001</v>
      </c>
      <c r="C289" s="385"/>
      <c r="D289" s="388">
        <f t="shared" si="132"/>
        <v>158.40589022416324</v>
      </c>
      <c r="E289" s="380">
        <f t="shared" si="127"/>
        <v>162.65353971895897</v>
      </c>
      <c r="F289" s="380">
        <f t="shared" si="131"/>
        <v>162.65964891476867</v>
      </c>
      <c r="G289" s="110">
        <f t="shared" si="128"/>
        <v>0.91530665257052568</v>
      </c>
      <c r="I289" s="375">
        <f t="shared" si="133"/>
        <v>162.65964891476867</v>
      </c>
      <c r="J289" s="85">
        <v>2022</v>
      </c>
      <c r="K289" s="193">
        <f t="shared" si="134"/>
        <v>44836</v>
      </c>
      <c r="L289" s="430">
        <f t="shared" si="135"/>
        <v>5.6240978343830017E-3</v>
      </c>
      <c r="M289" s="846"/>
      <c r="N289" s="846"/>
      <c r="O289" s="320">
        <f t="shared" si="136"/>
        <v>2.6114706769585355E-2</v>
      </c>
      <c r="P289" s="165">
        <f>(INDEX(Models!$BJ289:$BT289,,T289)*(1-R289)+INDEX(Models!$BJ289:$BT289,,T289+1)*R289-ERP_i)*Q289*Ramure*Pc/MaxiM</f>
        <v>4.2727482433135635E-5</v>
      </c>
      <c r="Q289" s="301">
        <f t="shared" si="137"/>
        <v>0.5</v>
      </c>
      <c r="R289" s="173">
        <f t="shared" si="138"/>
        <v>0.48511249766757947</v>
      </c>
      <c r="S289" s="801">
        <f t="shared" si="158"/>
        <v>0</v>
      </c>
      <c r="T289" s="172">
        <f t="shared" si="139"/>
        <v>6</v>
      </c>
      <c r="U289" s="247">
        <f t="shared" si="140"/>
        <v>0.48511249766757947</v>
      </c>
      <c r="V289" s="378">
        <f t="shared" si="141"/>
        <v>172.08897726239255</v>
      </c>
      <c r="W289" s="397"/>
      <c r="X289" s="153">
        <f t="shared" si="142"/>
        <v>44836</v>
      </c>
      <c r="Y289" s="380">
        <f t="shared" si="143"/>
        <v>157.51500000000001</v>
      </c>
      <c r="Z289" s="380">
        <f t="shared" si="144"/>
        <v>158.40589022416324</v>
      </c>
      <c r="AA289" s="381">
        <f t="shared" si="145"/>
        <v>162.65353971895897</v>
      </c>
      <c r="AB289" s="193">
        <f t="shared" si="146"/>
        <v>44836</v>
      </c>
      <c r="AC289" s="420">
        <f t="shared" si="147"/>
        <v>2.6114706769585355E-2</v>
      </c>
      <c r="AD289" s="165">
        <f>(INDEX(Models!$BJ289:$BT289,,AH289)*(1-AF289)+INDEX(Models!$BJ289:$BT289,,AH289+1)*AF289-ERP_i)*AE289*Ramure*Pc/MaxiM</f>
        <v>4.2727482433135635E-5</v>
      </c>
      <c r="AE289" s="301">
        <f t="shared" si="148"/>
        <v>0.5</v>
      </c>
      <c r="AF289" s="173">
        <f t="shared" si="149"/>
        <v>0.48511249766757947</v>
      </c>
      <c r="AG289" s="801">
        <f t="shared" si="150"/>
        <v>0</v>
      </c>
      <c r="AH289" s="172">
        <f t="shared" si="151"/>
        <v>6</v>
      </c>
      <c r="AI289" s="221">
        <f t="shared" si="152"/>
        <v>0.48511249766757947</v>
      </c>
      <c r="AJ289" s="261" t="b">
        <f t="shared" si="153"/>
        <v>0</v>
      </c>
      <c r="AK289" s="261" t="b">
        <f t="shared" si="154"/>
        <v>0</v>
      </c>
      <c r="AL289" s="261"/>
      <c r="AM289" s="261"/>
      <c r="AN289" s="75"/>
      <c r="AV289" s="153">
        <f t="shared" si="159"/>
        <v>44471</v>
      </c>
      <c r="AW289" s="608"/>
      <c r="AX289" s="385"/>
      <c r="AY289" s="388"/>
      <c r="AZ289" s="380"/>
      <c r="BA289" s="380"/>
      <c r="BB289" s="110"/>
      <c r="BD289" s="375"/>
      <c r="BE289" s="85"/>
      <c r="BF289" s="193">
        <f t="shared" si="155"/>
        <v>44836</v>
      </c>
      <c r="BG289" s="430">
        <f t="shared" si="160"/>
        <v>1.1281485873177788E-2</v>
      </c>
      <c r="BH289" s="846"/>
      <c r="BI289" s="846"/>
      <c r="BJ289" s="320">
        <f t="shared" si="156"/>
        <v>3.4989907743538146E-3</v>
      </c>
      <c r="BK289" s="378"/>
    </row>
    <row r="290" spans="1:63" s="6" customFormat="1" ht="11.25" x14ac:dyDescent="0.2">
      <c r="A290" s="56">
        <f t="shared" si="157"/>
        <v>44837</v>
      </c>
      <c r="B290" s="608">
        <v>147.95000000000002</v>
      </c>
      <c r="C290" s="385"/>
      <c r="D290" s="388">
        <f t="shared" si="132"/>
        <v>148.78882826581258</v>
      </c>
      <c r="E290" s="380">
        <f t="shared" si="127"/>
        <v>152.78516981556024</v>
      </c>
      <c r="F290" s="380">
        <f t="shared" si="131"/>
        <v>152.79064899002728</v>
      </c>
      <c r="G290" s="110">
        <f t="shared" si="128"/>
        <v>0.86609143287975332</v>
      </c>
      <c r="I290" s="375">
        <f t="shared" si="133"/>
        <v>152.79064899002728</v>
      </c>
      <c r="J290" s="85">
        <v>2022</v>
      </c>
      <c r="K290" s="193">
        <f t="shared" si="134"/>
        <v>44837</v>
      </c>
      <c r="L290" s="430">
        <f t="shared" si="135"/>
        <v>5.6377100054447737E-3</v>
      </c>
      <c r="M290" s="846"/>
      <c r="N290" s="846"/>
      <c r="O290" s="320">
        <f t="shared" si="136"/>
        <v>2.6156606394272239E-2</v>
      </c>
      <c r="P290" s="165">
        <f>(INDEX(Models!$BJ290:$BT290,,T290)*(1-R290)+INDEX(Models!$BJ290:$BT290,,T290+1)*R290-ERP_i)*Q290*Ramure*Pc/MaxiM</f>
        <v>4.434290846049449E-5</v>
      </c>
      <c r="Q290" s="301">
        <f t="shared" si="137"/>
        <v>0.5</v>
      </c>
      <c r="R290" s="173">
        <f t="shared" si="138"/>
        <v>0.48529537501336756</v>
      </c>
      <c r="S290" s="801">
        <f t="shared" si="158"/>
        <v>0</v>
      </c>
      <c r="T290" s="172">
        <f t="shared" si="139"/>
        <v>6</v>
      </c>
      <c r="U290" s="247">
        <f t="shared" si="140"/>
        <v>0.48529537501336756</v>
      </c>
      <c r="V290" s="378">
        <f t="shared" si="141"/>
        <v>170.82347127638499</v>
      </c>
      <c r="W290" s="397"/>
      <c r="X290" s="153">
        <f t="shared" si="142"/>
        <v>44837</v>
      </c>
      <c r="Y290" s="380">
        <f t="shared" si="143"/>
        <v>147.95000000000002</v>
      </c>
      <c r="Z290" s="380">
        <f t="shared" si="144"/>
        <v>148.78882826581258</v>
      </c>
      <c r="AA290" s="381">
        <f t="shared" si="145"/>
        <v>152.78516981556024</v>
      </c>
      <c r="AB290" s="193">
        <f t="shared" si="146"/>
        <v>44837</v>
      </c>
      <c r="AC290" s="420">
        <f t="shared" si="147"/>
        <v>2.6156606394272239E-2</v>
      </c>
      <c r="AD290" s="165">
        <f>(INDEX(Models!$BJ290:$BT290,,AH290)*(1-AF290)+INDEX(Models!$BJ290:$BT290,,AH290+1)*AF290-ERP_i)*AE290*Ramure*Pc/MaxiM</f>
        <v>4.434290846049449E-5</v>
      </c>
      <c r="AE290" s="301">
        <f t="shared" si="148"/>
        <v>0.5</v>
      </c>
      <c r="AF290" s="173">
        <f t="shared" si="149"/>
        <v>0.48529537501336756</v>
      </c>
      <c r="AG290" s="801">
        <f t="shared" si="150"/>
        <v>0</v>
      </c>
      <c r="AH290" s="172">
        <f t="shared" si="151"/>
        <v>6</v>
      </c>
      <c r="AI290" s="221">
        <f t="shared" si="152"/>
        <v>0.48529537501336756</v>
      </c>
      <c r="AJ290" s="261" t="b">
        <f t="shared" si="153"/>
        <v>0</v>
      </c>
      <c r="AK290" s="261" t="b">
        <f t="shared" si="154"/>
        <v>0</v>
      </c>
      <c r="AL290" s="261"/>
      <c r="AM290" s="261"/>
      <c r="AN290" s="75"/>
      <c r="AV290" s="153">
        <f t="shared" si="159"/>
        <v>44472</v>
      </c>
      <c r="AW290" s="608"/>
      <c r="AX290" s="385"/>
      <c r="AY290" s="388"/>
      <c r="AZ290" s="380"/>
      <c r="BA290" s="380"/>
      <c r="BB290" s="110"/>
      <c r="BD290" s="375"/>
      <c r="BE290" s="85"/>
      <c r="BF290" s="193">
        <f t="shared" si="155"/>
        <v>44837</v>
      </c>
      <c r="BG290" s="430">
        <f t="shared" si="160"/>
        <v>1.1295166228712405E-2</v>
      </c>
      <c r="BH290" s="846"/>
      <c r="BI290" s="846"/>
      <c r="BJ290" s="320">
        <f t="shared" si="156"/>
        <v>3.5704141652831921E-3</v>
      </c>
      <c r="BK290" s="378"/>
    </row>
    <row r="291" spans="1:63" s="6" customFormat="1" ht="11.25" customHeight="1" x14ac:dyDescent="0.2">
      <c r="A291" s="56">
        <f t="shared" si="157"/>
        <v>44838</v>
      </c>
      <c r="B291" s="608">
        <v>169.29599999999999</v>
      </c>
      <c r="C291" s="385"/>
      <c r="D291" s="388">
        <f t="shared" si="132"/>
        <v>170.25818381821784</v>
      </c>
      <c r="E291" s="380">
        <f t="shared" si="127"/>
        <v>174.83861607080192</v>
      </c>
      <c r="F291" s="380">
        <f t="shared" si="131"/>
        <v>174.84667705924409</v>
      </c>
      <c r="G291" s="110">
        <f t="shared" si="128"/>
        <v>0.99849123467701073</v>
      </c>
      <c r="I291" s="375">
        <f t="shared" si="133"/>
        <v>174.84667705924409</v>
      </c>
      <c r="J291" s="85">
        <v>2022</v>
      </c>
      <c r="K291" s="193">
        <f t="shared" si="134"/>
        <v>44838</v>
      </c>
      <c r="L291" s="430">
        <f t="shared" si="135"/>
        <v>5.6513219901673795E-3</v>
      </c>
      <c r="M291" s="846"/>
      <c r="N291" s="846"/>
      <c r="O291" s="320">
        <f t="shared" si="136"/>
        <v>2.6198058275233679E-2</v>
      </c>
      <c r="P291" s="165">
        <f>(INDEX(Models!$BJ291:$BT291,,T291)*(1-R291)+INDEX(Models!$BJ291:$BT291,,T291+1)*R291-ERP_i)*Q291*Ramure*Pc/MaxiM</f>
        <v>4.6202761430824339E-5</v>
      </c>
      <c r="Q291" s="301">
        <f t="shared" si="137"/>
        <v>0.5</v>
      </c>
      <c r="R291" s="173">
        <f t="shared" si="138"/>
        <v>0.485471015979698</v>
      </c>
      <c r="S291" s="801">
        <f t="shared" si="158"/>
        <v>0</v>
      </c>
      <c r="T291" s="172">
        <f t="shared" si="139"/>
        <v>6</v>
      </c>
      <c r="U291" s="247">
        <f t="shared" si="140"/>
        <v>0.485471015979698</v>
      </c>
      <c r="V291" s="378">
        <f t="shared" si="141"/>
        <v>169.55179701286605</v>
      </c>
      <c r="W291" s="397"/>
      <c r="X291" s="153">
        <f t="shared" si="142"/>
        <v>44838</v>
      </c>
      <c r="Y291" s="380">
        <f t="shared" si="143"/>
        <v>169.29599999999999</v>
      </c>
      <c r="Z291" s="380">
        <f t="shared" si="144"/>
        <v>170.25818381821784</v>
      </c>
      <c r="AA291" s="381">
        <f t="shared" si="145"/>
        <v>174.83861607080192</v>
      </c>
      <c r="AB291" s="193">
        <f t="shared" si="146"/>
        <v>44838</v>
      </c>
      <c r="AC291" s="420">
        <f t="shared" si="147"/>
        <v>2.6198058275233679E-2</v>
      </c>
      <c r="AD291" s="165">
        <f>(INDEX(Models!$BJ291:$BT291,,AH291)*(1-AF291)+INDEX(Models!$BJ291:$BT291,,AH291+1)*AF291-ERP_i)*AE291*Ramure*Pc/MaxiM</f>
        <v>4.6202761430824339E-5</v>
      </c>
      <c r="AE291" s="301">
        <f t="shared" si="148"/>
        <v>0.5</v>
      </c>
      <c r="AF291" s="173">
        <f t="shared" si="149"/>
        <v>0.485471015979698</v>
      </c>
      <c r="AG291" s="801">
        <f t="shared" si="150"/>
        <v>0</v>
      </c>
      <c r="AH291" s="172">
        <f t="shared" si="151"/>
        <v>6</v>
      </c>
      <c r="AI291" s="221">
        <f t="shared" si="152"/>
        <v>0.485471015979698</v>
      </c>
      <c r="AJ291" s="261" t="b">
        <f t="shared" si="153"/>
        <v>0</v>
      </c>
      <c r="AK291" s="261" t="b">
        <f t="shared" si="154"/>
        <v>0</v>
      </c>
      <c r="AL291" s="261"/>
      <c r="AM291" s="261"/>
      <c r="AN291" s="75"/>
      <c r="AV291" s="153">
        <f t="shared" si="159"/>
        <v>44473</v>
      </c>
      <c r="AW291" s="608"/>
      <c r="AX291" s="385"/>
      <c r="AY291" s="388"/>
      <c r="AZ291" s="380"/>
      <c r="BA291" s="380"/>
      <c r="BB291" s="110"/>
      <c r="BD291" s="375"/>
      <c r="BE291" s="85"/>
      <c r="BF291" s="193">
        <f t="shared" si="155"/>
        <v>44838</v>
      </c>
      <c r="BG291" s="430">
        <f t="shared" si="160"/>
        <v>1.1308846396974492E-2</v>
      </c>
      <c r="BH291" s="846"/>
      <c r="BI291" s="846"/>
      <c r="BJ291" s="320">
        <f t="shared" si="156"/>
        <v>3.641663968570275E-3</v>
      </c>
      <c r="BK291" s="378"/>
    </row>
    <row r="292" spans="1:63" s="6" customFormat="1" ht="11.25" x14ac:dyDescent="0.2">
      <c r="A292" s="56">
        <f t="shared" si="157"/>
        <v>44839</v>
      </c>
      <c r="B292" s="608">
        <v>172.05799999999999</v>
      </c>
      <c r="C292" s="385"/>
      <c r="D292" s="388">
        <f t="shared" si="132"/>
        <v>173.03825023044257</v>
      </c>
      <c r="E292" s="380">
        <f t="shared" si="127"/>
        <v>177.70095562395448</v>
      </c>
      <c r="F292" s="380">
        <f t="shared" si="131"/>
        <v>177.70954073163574</v>
      </c>
      <c r="G292" s="110">
        <f t="shared" si="128"/>
        <v>1.022484189466115</v>
      </c>
      <c r="I292" s="375">
        <f t="shared" si="133"/>
        <v>177.70954073163574</v>
      </c>
      <c r="J292" s="85">
        <v>2022</v>
      </c>
      <c r="K292" s="193">
        <f t="shared" si="134"/>
        <v>44839</v>
      </c>
      <c r="L292" s="430">
        <f t="shared" si="135"/>
        <v>5.6649337885533724E-3</v>
      </c>
      <c r="M292" s="846"/>
      <c r="N292" s="846"/>
      <c r="O292" s="320">
        <f t="shared" si="136"/>
        <v>2.6239056380647694E-2</v>
      </c>
      <c r="P292" s="165">
        <f>(INDEX(Models!$BJ292:$BT292,,T292)*(1-R292)+INDEX(Models!$BJ292:$BT292,,T292+1)*R292-ERP_i)*Q292*Ramure*Pc/MaxiM</f>
        <v>4.8309773611022072E-5</v>
      </c>
      <c r="Q292" s="301">
        <f t="shared" si="137"/>
        <v>0.5</v>
      </c>
      <c r="R292" s="173">
        <f t="shared" si="138"/>
        <v>0.48563970204367968</v>
      </c>
      <c r="S292" s="801">
        <f t="shared" si="158"/>
        <v>0</v>
      </c>
      <c r="T292" s="172">
        <f t="shared" si="139"/>
        <v>6</v>
      </c>
      <c r="U292" s="247">
        <f t="shared" si="140"/>
        <v>0.48563970204367968</v>
      </c>
      <c r="V292" s="378">
        <f t="shared" si="141"/>
        <v>168.2744846058101</v>
      </c>
      <c r="W292" s="397"/>
      <c r="X292" s="153">
        <f t="shared" si="142"/>
        <v>44839</v>
      </c>
      <c r="Y292" s="380">
        <f t="shared" si="143"/>
        <v>172.05799999999999</v>
      </c>
      <c r="Z292" s="380">
        <f t="shared" si="144"/>
        <v>173.03825023044257</v>
      </c>
      <c r="AA292" s="381">
        <f t="shared" si="145"/>
        <v>177.70095562395448</v>
      </c>
      <c r="AB292" s="193">
        <f t="shared" si="146"/>
        <v>44839</v>
      </c>
      <c r="AC292" s="420">
        <f t="shared" si="147"/>
        <v>2.6239056380647694E-2</v>
      </c>
      <c r="AD292" s="165">
        <f>(INDEX(Models!$BJ292:$BT292,,AH292)*(1-AF292)+INDEX(Models!$BJ292:$BT292,,AH292+1)*AF292-ERP_i)*AE292*Ramure*Pc/MaxiM</f>
        <v>4.8309773611022072E-5</v>
      </c>
      <c r="AE292" s="301">
        <f t="shared" si="148"/>
        <v>0.5</v>
      </c>
      <c r="AF292" s="173">
        <f t="shared" si="149"/>
        <v>0.48563970204367968</v>
      </c>
      <c r="AG292" s="801">
        <f t="shared" si="150"/>
        <v>0</v>
      </c>
      <c r="AH292" s="172">
        <f t="shared" si="151"/>
        <v>6</v>
      </c>
      <c r="AI292" s="221">
        <f t="shared" si="152"/>
        <v>0.48563970204367968</v>
      </c>
      <c r="AJ292" s="261" t="b">
        <f t="shared" si="153"/>
        <v>0</v>
      </c>
      <c r="AK292" s="261" t="b">
        <f t="shared" si="154"/>
        <v>0</v>
      </c>
      <c r="AL292" s="261"/>
      <c r="AM292" s="261"/>
      <c r="AN292" s="75"/>
      <c r="AV292" s="153">
        <f t="shared" si="159"/>
        <v>44474</v>
      </c>
      <c r="AW292" s="608"/>
      <c r="AX292" s="385"/>
      <c r="AY292" s="388"/>
      <c r="AZ292" s="380"/>
      <c r="BA292" s="380"/>
      <c r="BB292" s="110"/>
      <c r="BD292" s="375"/>
      <c r="BE292" s="85"/>
      <c r="BF292" s="193">
        <f t="shared" si="155"/>
        <v>44839</v>
      </c>
      <c r="BG292" s="430">
        <f t="shared" si="160"/>
        <v>1.1322526377966491E-2</v>
      </c>
      <c r="BH292" s="846"/>
      <c r="BI292" s="846"/>
      <c r="BJ292" s="320">
        <f t="shared" si="156"/>
        <v>3.7127367713202944E-3</v>
      </c>
      <c r="BK292" s="378"/>
    </row>
    <row r="293" spans="1:63" s="6" customFormat="1" ht="11.25" x14ac:dyDescent="0.2">
      <c r="A293" s="56">
        <f t="shared" si="157"/>
        <v>44840</v>
      </c>
      <c r="B293" s="608">
        <v>57.771999999999998</v>
      </c>
      <c r="C293" s="385"/>
      <c r="D293" s="388">
        <f t="shared" si="132"/>
        <v>58.101934472766594</v>
      </c>
      <c r="E293" s="380">
        <f t="shared" si="127"/>
        <v>59.670038960660968</v>
      </c>
      <c r="F293" s="380">
        <f t="shared" ref="F293:F324" si="161">Wh_sa/(1-Pvg*MEDIAN((-Sdif+Wh/Env_an)/Csdif,0,1))</f>
        <v>59.670237446224867</v>
      </c>
      <c r="G293" s="110">
        <f t="shared" si="128"/>
        <v>0.3459401824128216</v>
      </c>
      <c r="I293" s="375">
        <f t="shared" si="133"/>
        <v>59.670237446224867</v>
      </c>
      <c r="J293" s="85">
        <v>2022</v>
      </c>
      <c r="K293" s="193">
        <f t="shared" si="134"/>
        <v>44840</v>
      </c>
      <c r="L293" s="430">
        <f t="shared" si="135"/>
        <v>5.678545400605195E-3</v>
      </c>
      <c r="M293" s="846"/>
      <c r="N293" s="846"/>
      <c r="O293" s="320">
        <f t="shared" si="136"/>
        <v>2.6279595509032368E-2</v>
      </c>
      <c r="P293" s="165">
        <f>(INDEX(Models!$BJ293:$BT293,,T293)*(1-R293)+INDEX(Models!$BJ293:$BT293,,T293+1)*R293-ERP_i)*Q293*Ramure*Pc/MaxiM</f>
        <v>5.0666591089434769E-5</v>
      </c>
      <c r="Q293" s="301">
        <f t="shared" si="137"/>
        <v>0.5</v>
      </c>
      <c r="R293" s="173">
        <f t="shared" si="138"/>
        <v>0.48580170411471885</v>
      </c>
      <c r="S293" s="801">
        <f t="shared" si="158"/>
        <v>0</v>
      </c>
      <c r="T293" s="172">
        <f t="shared" si="139"/>
        <v>6</v>
      </c>
      <c r="U293" s="247">
        <f t="shared" si="140"/>
        <v>0.48580170411471885</v>
      </c>
      <c r="V293" s="378">
        <f t="shared" si="141"/>
        <v>166.99206391404167</v>
      </c>
      <c r="W293" s="397"/>
      <c r="X293" s="153">
        <f t="shared" si="142"/>
        <v>44840</v>
      </c>
      <c r="Y293" s="380">
        <f t="shared" si="143"/>
        <v>57.771999999999998</v>
      </c>
      <c r="Z293" s="380">
        <f t="shared" si="144"/>
        <v>58.101934472766594</v>
      </c>
      <c r="AA293" s="381">
        <f t="shared" si="145"/>
        <v>59.670038960660968</v>
      </c>
      <c r="AB293" s="193">
        <f t="shared" si="146"/>
        <v>44840</v>
      </c>
      <c r="AC293" s="420">
        <f t="shared" si="147"/>
        <v>2.6279595509032368E-2</v>
      </c>
      <c r="AD293" s="165">
        <f>(INDEX(Models!$BJ293:$BT293,,AH293)*(1-AF293)+INDEX(Models!$BJ293:$BT293,,AH293+1)*AF293-ERP_i)*AE293*Ramure*Pc/MaxiM</f>
        <v>5.0666591089434769E-5</v>
      </c>
      <c r="AE293" s="301">
        <f t="shared" si="148"/>
        <v>0.5</v>
      </c>
      <c r="AF293" s="173">
        <f t="shared" si="149"/>
        <v>0.48580170411471885</v>
      </c>
      <c r="AG293" s="801">
        <f t="shared" si="150"/>
        <v>0</v>
      </c>
      <c r="AH293" s="172">
        <f t="shared" si="151"/>
        <v>6</v>
      </c>
      <c r="AI293" s="221">
        <f t="shared" si="152"/>
        <v>0.48580170411471885</v>
      </c>
      <c r="AJ293" s="261" t="b">
        <f t="shared" si="153"/>
        <v>0</v>
      </c>
      <c r="AK293" s="261" t="b">
        <f t="shared" si="154"/>
        <v>0</v>
      </c>
      <c r="AL293" s="261"/>
      <c r="AM293" s="261"/>
      <c r="AN293" s="75"/>
      <c r="AV293" s="153">
        <f t="shared" si="159"/>
        <v>44475</v>
      </c>
      <c r="AW293" s="608"/>
      <c r="AX293" s="385"/>
      <c r="AY293" s="388"/>
      <c r="AZ293" s="380"/>
      <c r="BA293" s="380"/>
      <c r="BB293" s="110"/>
      <c r="BD293" s="375"/>
      <c r="BE293" s="85"/>
      <c r="BF293" s="193">
        <f t="shared" si="155"/>
        <v>44840</v>
      </c>
      <c r="BG293" s="430">
        <f t="shared" si="160"/>
        <v>1.1336206171691066E-2</v>
      </c>
      <c r="BH293" s="846"/>
      <c r="BI293" s="846"/>
      <c r="BJ293" s="320">
        <f t="shared" si="156"/>
        <v>3.783629245362768E-3</v>
      </c>
      <c r="BK293" s="378"/>
    </row>
    <row r="294" spans="1:63" s="6" customFormat="1" ht="11.25" customHeight="1" x14ac:dyDescent="0.2">
      <c r="A294" s="56">
        <f t="shared" si="157"/>
        <v>44841</v>
      </c>
      <c r="B294" s="608">
        <v>118.71600000000001</v>
      </c>
      <c r="C294" s="385"/>
      <c r="D294" s="388">
        <f t="shared" si="132"/>
        <v>119.39561858536406</v>
      </c>
      <c r="E294" s="380">
        <f t="shared" si="127"/>
        <v>122.62301607016904</v>
      </c>
      <c r="F294" s="380">
        <f t="shared" si="161"/>
        <v>122.62690257230749</v>
      </c>
      <c r="G294" s="110">
        <f t="shared" si="128"/>
        <v>0.71641405851078399</v>
      </c>
      <c r="I294" s="375">
        <f t="shared" si="133"/>
        <v>122.62690257230749</v>
      </c>
      <c r="J294" s="85">
        <v>2022</v>
      </c>
      <c r="K294" s="193">
        <f t="shared" si="134"/>
        <v>44841</v>
      </c>
      <c r="L294" s="430">
        <f t="shared" si="135"/>
        <v>5.6921568263256228E-3</v>
      </c>
      <c r="M294" s="846"/>
      <c r="N294" s="846"/>
      <c r="O294" s="320">
        <f t="shared" si="136"/>
        <v>2.6319671365432343E-2</v>
      </c>
      <c r="P294" s="165">
        <f>(INDEX(Models!$BJ294:$BT294,,T294)*(1-R294)+INDEX(Models!$BJ294:$BT294,,T294+1)*R294-ERP_i)*Q294*Ramure*Pc/MaxiM</f>
        <v>5.3275763583970909E-5</v>
      </c>
      <c r="Q294" s="301">
        <f t="shared" si="137"/>
        <v>0.5</v>
      </c>
      <c r="R294" s="173">
        <f t="shared" si="138"/>
        <v>0.48595728290124168</v>
      </c>
      <c r="S294" s="801">
        <f t="shared" si="158"/>
        <v>0</v>
      </c>
      <c r="T294" s="172">
        <f t="shared" si="139"/>
        <v>6</v>
      </c>
      <c r="U294" s="247">
        <f t="shared" si="140"/>
        <v>0.48595728290124168</v>
      </c>
      <c r="V294" s="378">
        <f t="shared" si="141"/>
        <v>165.7050645141172</v>
      </c>
      <c r="W294" s="397"/>
      <c r="X294" s="153">
        <f t="shared" si="142"/>
        <v>44841</v>
      </c>
      <c r="Y294" s="380">
        <f t="shared" si="143"/>
        <v>118.71600000000001</v>
      </c>
      <c r="Z294" s="380">
        <f t="shared" si="144"/>
        <v>119.39561858536406</v>
      </c>
      <c r="AA294" s="381">
        <f t="shared" si="145"/>
        <v>122.62301607016904</v>
      </c>
      <c r="AB294" s="193">
        <f t="shared" si="146"/>
        <v>44841</v>
      </c>
      <c r="AC294" s="420">
        <f t="shared" si="147"/>
        <v>2.6319671365432343E-2</v>
      </c>
      <c r="AD294" s="165">
        <f>(INDEX(Models!$BJ294:$BT294,,AH294)*(1-AF294)+INDEX(Models!$BJ294:$BT294,,AH294+1)*AF294-ERP_i)*AE294*Ramure*Pc/MaxiM</f>
        <v>5.3275763583970909E-5</v>
      </c>
      <c r="AE294" s="301">
        <f t="shared" si="148"/>
        <v>0.5</v>
      </c>
      <c r="AF294" s="173">
        <f t="shared" si="149"/>
        <v>0.48595728290124168</v>
      </c>
      <c r="AG294" s="801">
        <f t="shared" si="150"/>
        <v>0</v>
      </c>
      <c r="AH294" s="172">
        <f t="shared" si="151"/>
        <v>6</v>
      </c>
      <c r="AI294" s="221">
        <f t="shared" si="152"/>
        <v>0.48595728290124168</v>
      </c>
      <c r="AJ294" s="261" t="b">
        <f t="shared" si="153"/>
        <v>0</v>
      </c>
      <c r="AK294" s="261" t="b">
        <f t="shared" si="154"/>
        <v>0</v>
      </c>
      <c r="AL294" s="261"/>
      <c r="AM294" s="261"/>
      <c r="AN294" s="75"/>
      <c r="AV294" s="153">
        <f t="shared" si="159"/>
        <v>44476</v>
      </c>
      <c r="AW294" s="608"/>
      <c r="AX294" s="385"/>
      <c r="AY294" s="388"/>
      <c r="AZ294" s="380"/>
      <c r="BA294" s="380"/>
      <c r="BB294" s="110"/>
      <c r="BD294" s="375"/>
      <c r="BE294" s="85"/>
      <c r="BF294" s="193">
        <f t="shared" si="155"/>
        <v>44841</v>
      </c>
      <c r="BG294" s="430">
        <f t="shared" si="160"/>
        <v>1.1349885778150881E-2</v>
      </c>
      <c r="BH294" s="846"/>
      <c r="BI294" s="846"/>
      <c r="BJ294" s="320">
        <f t="shared" si="156"/>
        <v>3.8543381690781557E-3</v>
      </c>
      <c r="BK294" s="378"/>
    </row>
    <row r="295" spans="1:63" s="6" customFormat="1" ht="11.25" customHeight="1" x14ac:dyDescent="0.2">
      <c r="A295" s="56">
        <f t="shared" si="157"/>
        <v>44842</v>
      </c>
      <c r="B295" s="608">
        <v>66.33</v>
      </c>
      <c r="C295" s="385"/>
      <c r="D295" s="388">
        <f t="shared" si="132"/>
        <v>66.710635413184235</v>
      </c>
      <c r="E295" s="380">
        <f t="shared" si="127"/>
        <v>68.516685966801646</v>
      </c>
      <c r="F295" s="380">
        <f t="shared" si="161"/>
        <v>68.517254335797233</v>
      </c>
      <c r="G295" s="110">
        <f t="shared" si="128"/>
        <v>0.40341345699133691</v>
      </c>
      <c r="I295" s="375">
        <f t="shared" si="133"/>
        <v>68.517254335797233</v>
      </c>
      <c r="J295" s="85">
        <v>2022</v>
      </c>
      <c r="K295" s="193">
        <f t="shared" si="134"/>
        <v>44842</v>
      </c>
      <c r="L295" s="430">
        <f t="shared" si="135"/>
        <v>5.7057680657169874E-3</v>
      </c>
      <c r="M295" s="846"/>
      <c r="N295" s="846"/>
      <c r="O295" s="320">
        <f t="shared" si="136"/>
        <v>2.6359280635559392E-2</v>
      </c>
      <c r="P295" s="165">
        <f>(INDEX(Models!$BJ295:$BT295,,T295)*(1-R295)+INDEX(Models!$BJ295:$BT295,,T295+1)*R295-ERP_i)*Q295*Ramure*Pc/MaxiM</f>
        <v>5.6139734939548881E-5</v>
      </c>
      <c r="Q295" s="301">
        <f t="shared" si="137"/>
        <v>0.5</v>
      </c>
      <c r="R295" s="173">
        <f t="shared" si="138"/>
        <v>0.48610668926710288</v>
      </c>
      <c r="S295" s="801">
        <f t="shared" si="158"/>
        <v>0</v>
      </c>
      <c r="T295" s="172">
        <f t="shared" si="139"/>
        <v>6</v>
      </c>
      <c r="U295" s="247">
        <f t="shared" si="140"/>
        <v>0.48610668926710288</v>
      </c>
      <c r="V295" s="378">
        <f t="shared" si="141"/>
        <v>164.41401569708856</v>
      </c>
      <c r="W295" s="397"/>
      <c r="X295" s="153">
        <f t="shared" si="142"/>
        <v>44842</v>
      </c>
      <c r="Y295" s="380">
        <f t="shared" si="143"/>
        <v>66.33</v>
      </c>
      <c r="Z295" s="380">
        <f t="shared" si="144"/>
        <v>66.710635413184235</v>
      </c>
      <c r="AA295" s="381">
        <f t="shared" si="145"/>
        <v>68.516685966801646</v>
      </c>
      <c r="AB295" s="193">
        <f t="shared" si="146"/>
        <v>44842</v>
      </c>
      <c r="AC295" s="420">
        <f t="shared" si="147"/>
        <v>2.6359280635559392E-2</v>
      </c>
      <c r="AD295" s="165">
        <f>(INDEX(Models!$BJ295:$BT295,,AH295)*(1-AF295)+INDEX(Models!$BJ295:$BT295,,AH295+1)*AF295-ERP_i)*AE295*Ramure*Pc/MaxiM</f>
        <v>5.6139734939548881E-5</v>
      </c>
      <c r="AE295" s="301">
        <f t="shared" si="148"/>
        <v>0.5</v>
      </c>
      <c r="AF295" s="173">
        <f t="shared" si="149"/>
        <v>0.48610668926710288</v>
      </c>
      <c r="AG295" s="801">
        <f t="shared" si="150"/>
        <v>0</v>
      </c>
      <c r="AH295" s="172">
        <f t="shared" si="151"/>
        <v>6</v>
      </c>
      <c r="AI295" s="221">
        <f t="shared" si="152"/>
        <v>0.48610668926710288</v>
      </c>
      <c r="AJ295" s="261" t="b">
        <f t="shared" si="153"/>
        <v>0</v>
      </c>
      <c r="AK295" s="261" t="b">
        <f t="shared" si="154"/>
        <v>0</v>
      </c>
      <c r="AL295" s="261"/>
      <c r="AM295" s="261"/>
      <c r="AN295" s="75"/>
      <c r="AV295" s="153">
        <f t="shared" si="159"/>
        <v>44477</v>
      </c>
      <c r="AW295" s="608"/>
      <c r="AX295" s="385"/>
      <c r="AY295" s="388"/>
      <c r="AZ295" s="380"/>
      <c r="BA295" s="380"/>
      <c r="BB295" s="110"/>
      <c r="BD295" s="375"/>
      <c r="BE295" s="85"/>
      <c r="BF295" s="193">
        <f t="shared" si="155"/>
        <v>44842</v>
      </c>
      <c r="BG295" s="430">
        <f t="shared" si="160"/>
        <v>1.1363565197348158E-2</v>
      </c>
      <c r="BH295" s="846"/>
      <c r="BI295" s="846"/>
      <c r="BJ295" s="320">
        <f t="shared" si="156"/>
        <v>3.9248604498873909E-3</v>
      </c>
      <c r="BK295" s="378"/>
    </row>
    <row r="296" spans="1:63" s="6" customFormat="1" ht="11.25" customHeight="1" x14ac:dyDescent="0.2">
      <c r="A296" s="56">
        <f t="shared" si="157"/>
        <v>44843</v>
      </c>
      <c r="B296" s="608">
        <v>156.41</v>
      </c>
      <c r="C296" s="385"/>
      <c r="D296" s="388">
        <f t="shared" si="132"/>
        <v>157.30971389282013</v>
      </c>
      <c r="E296" s="380">
        <f t="shared" si="127"/>
        <v>161.57503982649212</v>
      </c>
      <c r="F296" s="380">
        <f t="shared" si="161"/>
        <v>161.58402633756273</v>
      </c>
      <c r="G296" s="110">
        <f t="shared" si="128"/>
        <v>0.95886439739352769</v>
      </c>
      <c r="I296" s="375">
        <f t="shared" si="133"/>
        <v>161.58402633756273</v>
      </c>
      <c r="J296" s="85">
        <v>2022</v>
      </c>
      <c r="K296" s="193">
        <f t="shared" si="134"/>
        <v>44843</v>
      </c>
      <c r="L296" s="430">
        <f t="shared" si="135"/>
        <v>5.7193791187818421E-3</v>
      </c>
      <c r="M296" s="846"/>
      <c r="N296" s="846"/>
      <c r="O296" s="320">
        <f t="shared" si="136"/>
        <v>2.6398421057190005E-2</v>
      </c>
      <c r="P296" s="165">
        <f>(INDEX(Models!$BJ296:$BT296,,T296)*(1-R296)+INDEX(Models!$BJ296:$BT296,,T296+1)*R296-ERP_i)*Q296*Ramure*Pc/MaxiM</f>
        <v>5.9087075193935922E-5</v>
      </c>
      <c r="Q296" s="301">
        <f t="shared" si="137"/>
        <v>0.5</v>
      </c>
      <c r="R296" s="173">
        <f t="shared" si="138"/>
        <v>0.48625016457776543</v>
      </c>
      <c r="S296" s="801">
        <f t="shared" si="158"/>
        <v>0</v>
      </c>
      <c r="T296" s="172">
        <f t="shared" si="139"/>
        <v>6</v>
      </c>
      <c r="U296" s="247">
        <f t="shared" si="140"/>
        <v>0.48625016457776543</v>
      </c>
      <c r="V296" s="378">
        <f t="shared" si="141"/>
        <v>163.11947481065411</v>
      </c>
      <c r="W296" s="397"/>
      <c r="X296" s="153">
        <f t="shared" si="142"/>
        <v>44843</v>
      </c>
      <c r="Y296" s="380">
        <f t="shared" si="143"/>
        <v>156.41</v>
      </c>
      <c r="Z296" s="380">
        <f t="shared" si="144"/>
        <v>157.30971389282013</v>
      </c>
      <c r="AA296" s="381">
        <f t="shared" si="145"/>
        <v>161.57503982649212</v>
      </c>
      <c r="AB296" s="193">
        <f t="shared" si="146"/>
        <v>44843</v>
      </c>
      <c r="AC296" s="420">
        <f t="shared" si="147"/>
        <v>2.6398421057190005E-2</v>
      </c>
      <c r="AD296" s="165">
        <f>(INDEX(Models!$BJ296:$BT296,,AH296)*(1-AF296)+INDEX(Models!$BJ296:$BT296,,AH296+1)*AF296-ERP_i)*AE296*Ramure*Pc/MaxiM</f>
        <v>5.9087075193935922E-5</v>
      </c>
      <c r="AE296" s="301">
        <f t="shared" si="148"/>
        <v>0.5</v>
      </c>
      <c r="AF296" s="173">
        <f t="shared" si="149"/>
        <v>0.48625016457776543</v>
      </c>
      <c r="AG296" s="801">
        <f t="shared" si="150"/>
        <v>0</v>
      </c>
      <c r="AH296" s="172">
        <f t="shared" si="151"/>
        <v>6</v>
      </c>
      <c r="AI296" s="221">
        <f t="shared" si="152"/>
        <v>0.48625016457776543</v>
      </c>
      <c r="AJ296" s="261" t="b">
        <f t="shared" si="153"/>
        <v>0</v>
      </c>
      <c r="AK296" s="261" t="b">
        <f t="shared" si="154"/>
        <v>0</v>
      </c>
      <c r="AL296" s="261"/>
      <c r="AM296" s="261"/>
      <c r="AN296" s="75"/>
      <c r="AV296" s="153">
        <f t="shared" si="159"/>
        <v>44478</v>
      </c>
      <c r="AW296" s="608"/>
      <c r="AX296" s="385"/>
      <c r="AY296" s="388"/>
      <c r="AZ296" s="380"/>
      <c r="BA296" s="380"/>
      <c r="BB296" s="110"/>
      <c r="BD296" s="375"/>
      <c r="BE296" s="85"/>
      <c r="BF296" s="193">
        <f t="shared" si="155"/>
        <v>44843</v>
      </c>
      <c r="BG296" s="430">
        <f t="shared" si="160"/>
        <v>1.1377244429285782E-2</v>
      </c>
      <c r="BH296" s="846"/>
      <c r="BI296" s="846"/>
      <c r="BJ296" s="320">
        <f t="shared" si="156"/>
        <v>3.9951931472473187E-3</v>
      </c>
      <c r="BK296" s="378"/>
    </row>
    <row r="297" spans="1:63" s="6" customFormat="1" ht="11.25" customHeight="1" x14ac:dyDescent="0.2">
      <c r="A297" s="56">
        <f t="shared" si="157"/>
        <v>44844</v>
      </c>
      <c r="B297" s="608">
        <v>125.139</v>
      </c>
      <c r="C297" s="385"/>
      <c r="D297" s="388">
        <f t="shared" si="132"/>
        <v>125.86055731465726</v>
      </c>
      <c r="E297" s="380">
        <f t="shared" ref="E297:E360" si="162">Wh_pvt/(1-Psa)</f>
        <v>129.27829954721616</v>
      </c>
      <c r="F297" s="380">
        <f t="shared" si="161"/>
        <v>129.28371187059687</v>
      </c>
      <c r="G297" s="110">
        <f t="shared" ref="G297:G360" si="163">+Wh_hp/MaxiM</f>
        <v>0.77329713114685272</v>
      </c>
      <c r="I297" s="375">
        <f t="shared" si="133"/>
        <v>129.28371187059687</v>
      </c>
      <c r="J297" s="85">
        <v>2022</v>
      </c>
      <c r="K297" s="193">
        <f t="shared" si="134"/>
        <v>44844</v>
      </c>
      <c r="L297" s="430">
        <f t="shared" si="135"/>
        <v>5.7329899855228517E-3</v>
      </c>
      <c r="M297" s="846"/>
      <c r="N297" s="846"/>
      <c r="O297" s="320">
        <f t="shared" si="136"/>
        <v>2.6437091488124308E-2</v>
      </c>
      <c r="P297" s="165">
        <f>(INDEX(Models!$BJ297:$BT297,,T297)*(1-R297)+INDEX(Models!$BJ297:$BT297,,T297+1)*R297-ERP_i)*Q297*Ramure*Pc/MaxiM</f>
        <v>6.1914142861127961E-5</v>
      </c>
      <c r="Q297" s="301">
        <f t="shared" si="137"/>
        <v>0.5</v>
      </c>
      <c r="R297" s="173">
        <f t="shared" si="138"/>
        <v>0.48638794103635652</v>
      </c>
      <c r="S297" s="801">
        <f t="shared" si="158"/>
        <v>0</v>
      </c>
      <c r="T297" s="172">
        <f t="shared" si="139"/>
        <v>6</v>
      </c>
      <c r="U297" s="247">
        <f t="shared" si="140"/>
        <v>0.48638794103635652</v>
      </c>
      <c r="V297" s="378">
        <f t="shared" si="141"/>
        <v>161.82200319937593</v>
      </c>
      <c r="W297" s="397"/>
      <c r="X297" s="153">
        <f t="shared" si="142"/>
        <v>44844</v>
      </c>
      <c r="Y297" s="380">
        <f t="shared" si="143"/>
        <v>125.13900000000001</v>
      </c>
      <c r="Z297" s="380">
        <f t="shared" si="144"/>
        <v>125.86055731465727</v>
      </c>
      <c r="AA297" s="381">
        <f t="shared" si="145"/>
        <v>129.27829954721616</v>
      </c>
      <c r="AB297" s="193">
        <f t="shared" si="146"/>
        <v>44844</v>
      </c>
      <c r="AC297" s="420">
        <f t="shared" si="147"/>
        <v>2.6437091488124308E-2</v>
      </c>
      <c r="AD297" s="165">
        <f>(INDEX(Models!$BJ297:$BT297,,AH297)*(1-AF297)+INDEX(Models!$BJ297:$BT297,,AH297+1)*AF297-ERP_i)*AE297*Ramure*Pc/MaxiM</f>
        <v>6.1914142861127961E-5</v>
      </c>
      <c r="AE297" s="301">
        <f t="shared" si="148"/>
        <v>0.5</v>
      </c>
      <c r="AF297" s="173">
        <f t="shared" si="149"/>
        <v>0.48638794103635652</v>
      </c>
      <c r="AG297" s="801">
        <f t="shared" si="150"/>
        <v>0</v>
      </c>
      <c r="AH297" s="172">
        <f t="shared" si="151"/>
        <v>6</v>
      </c>
      <c r="AI297" s="221">
        <f t="shared" si="152"/>
        <v>0.48638794103635652</v>
      </c>
      <c r="AJ297" s="261" t="b">
        <f t="shared" si="153"/>
        <v>0</v>
      </c>
      <c r="AK297" s="261" t="b">
        <f t="shared" si="154"/>
        <v>0</v>
      </c>
      <c r="AL297" s="261"/>
      <c r="AM297" s="261"/>
      <c r="AN297" s="75"/>
      <c r="AV297" s="153">
        <f t="shared" si="159"/>
        <v>44479</v>
      </c>
      <c r="AW297" s="608"/>
      <c r="AX297" s="385"/>
      <c r="AY297" s="388"/>
      <c r="AZ297" s="380"/>
      <c r="BA297" s="380"/>
      <c r="BB297" s="110"/>
      <c r="BD297" s="375"/>
      <c r="BE297" s="85"/>
      <c r="BF297" s="193">
        <f t="shared" si="155"/>
        <v>44844</v>
      </c>
      <c r="BG297" s="430">
        <f t="shared" si="160"/>
        <v>1.1390923473966308E-2</v>
      </c>
      <c r="BH297" s="846"/>
      <c r="BI297" s="846"/>
      <c r="BJ297" s="320">
        <f t="shared" si="156"/>
        <v>4.0653334959828901E-3</v>
      </c>
      <c r="BK297" s="378"/>
    </row>
    <row r="298" spans="1:63" s="6" customFormat="1" ht="11.25" customHeight="1" x14ac:dyDescent="0.2">
      <c r="A298" s="56">
        <f t="shared" si="157"/>
        <v>44845</v>
      </c>
      <c r="B298" s="608">
        <v>96.34</v>
      </c>
      <c r="C298" s="385"/>
      <c r="D298" s="388">
        <f t="shared" si="132"/>
        <v>96.896827372707733</v>
      </c>
      <c r="E298" s="380">
        <f t="shared" si="162"/>
        <v>99.53196521204643</v>
      </c>
      <c r="F298" s="380">
        <f t="shared" si="161"/>
        <v>99.534723219686853</v>
      </c>
      <c r="G298" s="110">
        <f t="shared" si="163"/>
        <v>0.60014432232781256</v>
      </c>
      <c r="I298" s="375">
        <f t="shared" si="133"/>
        <v>99.534723219686853</v>
      </c>
      <c r="J298" s="85">
        <v>2022</v>
      </c>
      <c r="K298" s="193">
        <f t="shared" si="134"/>
        <v>44845</v>
      </c>
      <c r="L298" s="430">
        <f t="shared" si="135"/>
        <v>5.7466006659425695E-3</v>
      </c>
      <c r="M298" s="846"/>
      <c r="N298" s="846"/>
      <c r="O298" s="320">
        <f t="shared" si="136"/>
        <v>2.6475291970018921E-2</v>
      </c>
      <c r="P298" s="165">
        <f>(INDEX(Models!$BJ298:$BT298,,T298)*(1-R298)+INDEX(Models!$BJ298:$BT298,,T298+1)*R298-ERP_i)*Q298*Ramure*Pc/MaxiM</f>
        <v>6.46184753902123E-5</v>
      </c>
      <c r="Q298" s="301">
        <f t="shared" si="137"/>
        <v>0.5</v>
      </c>
      <c r="R298" s="173">
        <f t="shared" si="138"/>
        <v>0.48652024200972283</v>
      </c>
      <c r="S298" s="801">
        <f t="shared" si="158"/>
        <v>0</v>
      </c>
      <c r="T298" s="172">
        <f t="shared" si="139"/>
        <v>6</v>
      </c>
      <c r="U298" s="247">
        <f t="shared" si="140"/>
        <v>0.48652024200972283</v>
      </c>
      <c r="V298" s="378">
        <f t="shared" si="141"/>
        <v>160.52212852558262</v>
      </c>
      <c r="W298" s="397"/>
      <c r="X298" s="153">
        <f t="shared" si="142"/>
        <v>44845</v>
      </c>
      <c r="Y298" s="380">
        <f t="shared" si="143"/>
        <v>96.34</v>
      </c>
      <c r="Z298" s="380">
        <f t="shared" si="144"/>
        <v>96.896827372707733</v>
      </c>
      <c r="AA298" s="381">
        <f t="shared" si="145"/>
        <v>99.53196521204643</v>
      </c>
      <c r="AB298" s="193">
        <f t="shared" si="146"/>
        <v>44845</v>
      </c>
      <c r="AC298" s="420">
        <f t="shared" si="147"/>
        <v>2.6475291970018921E-2</v>
      </c>
      <c r="AD298" s="165">
        <f>(INDEX(Models!$BJ298:$BT298,,AH298)*(1-AF298)+INDEX(Models!$BJ298:$BT298,,AH298+1)*AF298-ERP_i)*AE298*Ramure*Pc/MaxiM</f>
        <v>6.46184753902123E-5</v>
      </c>
      <c r="AE298" s="301">
        <f t="shared" si="148"/>
        <v>0.5</v>
      </c>
      <c r="AF298" s="173">
        <f t="shared" si="149"/>
        <v>0.48652024200972283</v>
      </c>
      <c r="AG298" s="801">
        <f t="shared" si="150"/>
        <v>0</v>
      </c>
      <c r="AH298" s="172">
        <f t="shared" si="151"/>
        <v>6</v>
      </c>
      <c r="AI298" s="221">
        <f t="shared" si="152"/>
        <v>0.48652024200972283</v>
      </c>
      <c r="AJ298" s="261" t="b">
        <f t="shared" si="153"/>
        <v>0</v>
      </c>
      <c r="AK298" s="261" t="b">
        <f t="shared" si="154"/>
        <v>0</v>
      </c>
      <c r="AL298" s="261"/>
      <c r="AM298" s="261"/>
      <c r="AN298" s="75"/>
      <c r="AV298" s="153">
        <f t="shared" si="159"/>
        <v>44480</v>
      </c>
      <c r="AW298" s="608"/>
      <c r="AX298" s="385"/>
      <c r="AY298" s="388"/>
      <c r="AZ298" s="380"/>
      <c r="BA298" s="380"/>
      <c r="BB298" s="110"/>
      <c r="BD298" s="375"/>
      <c r="BE298" s="85"/>
      <c r="BF298" s="193">
        <f t="shared" si="155"/>
        <v>44845</v>
      </c>
      <c r="BG298" s="430">
        <f t="shared" si="160"/>
        <v>1.1404602331392066E-2</v>
      </c>
      <c r="BH298" s="846"/>
      <c r="BI298" s="846"/>
      <c r="BJ298" s="320">
        <f t="shared" si="156"/>
        <v>4.1352789297758267E-3</v>
      </c>
      <c r="BK298" s="378"/>
    </row>
    <row r="299" spans="1:63" s="6" customFormat="1" ht="11.25" customHeight="1" x14ac:dyDescent="0.2">
      <c r="A299" s="56">
        <f t="shared" si="157"/>
        <v>44846</v>
      </c>
      <c r="B299" s="608">
        <v>121.008</v>
      </c>
      <c r="C299" s="385"/>
      <c r="D299" s="388">
        <f t="shared" si="132"/>
        <v>121.70906994296396</v>
      </c>
      <c r="E299" s="380">
        <f t="shared" si="162"/>
        <v>125.02382971417029</v>
      </c>
      <c r="F299" s="380">
        <f t="shared" si="161"/>
        <v>125.02935085466613</v>
      </c>
      <c r="G299" s="110">
        <f t="shared" si="163"/>
        <v>0.75998570929907849</v>
      </c>
      <c r="I299" s="375">
        <f t="shared" si="133"/>
        <v>125.02935085466613</v>
      </c>
      <c r="J299" s="85">
        <v>2022</v>
      </c>
      <c r="K299" s="193">
        <f t="shared" si="134"/>
        <v>44846</v>
      </c>
      <c r="L299" s="430">
        <f t="shared" si="135"/>
        <v>5.760211160043438E-3</v>
      </c>
      <c r="M299" s="846"/>
      <c r="N299" s="846"/>
      <c r="O299" s="320">
        <f t="shared" si="136"/>
        <v>2.6513023787421496E-2</v>
      </c>
      <c r="P299" s="165">
        <f>(INDEX(Models!$BJ299:$BT299,,T299)*(1-R299)+INDEX(Models!$BJ299:$BT299,,T299+1)*R299-ERP_i)*Q299*Ramure*Pc/MaxiM</f>
        <v>6.7197635383648175E-5</v>
      </c>
      <c r="Q299" s="301">
        <f t="shared" si="137"/>
        <v>0.5</v>
      </c>
      <c r="R299" s="173">
        <f t="shared" si="138"/>
        <v>0.48664728234462429</v>
      </c>
      <c r="S299" s="801">
        <f t="shared" si="158"/>
        <v>0</v>
      </c>
      <c r="T299" s="172">
        <f t="shared" si="139"/>
        <v>6</v>
      </c>
      <c r="U299" s="247">
        <f t="shared" si="140"/>
        <v>0.48664728234462429</v>
      </c>
      <c r="V299" s="378">
        <f t="shared" si="141"/>
        <v>159.22037810378205</v>
      </c>
      <c r="W299" s="397"/>
      <c r="X299" s="153">
        <f t="shared" si="142"/>
        <v>44846</v>
      </c>
      <c r="Y299" s="380">
        <f t="shared" si="143"/>
        <v>121.008</v>
      </c>
      <c r="Z299" s="380">
        <f t="shared" si="144"/>
        <v>121.70906994296396</v>
      </c>
      <c r="AA299" s="381">
        <f t="shared" si="145"/>
        <v>125.02382971417029</v>
      </c>
      <c r="AB299" s="193">
        <f t="shared" si="146"/>
        <v>44846</v>
      </c>
      <c r="AC299" s="420">
        <f t="shared" si="147"/>
        <v>2.6513023787421496E-2</v>
      </c>
      <c r="AD299" s="165">
        <f>(INDEX(Models!$BJ299:$BT299,,AH299)*(1-AF299)+INDEX(Models!$BJ299:$BT299,,AH299+1)*AF299-ERP_i)*AE299*Ramure*Pc/MaxiM</f>
        <v>6.7197635383648175E-5</v>
      </c>
      <c r="AE299" s="301">
        <f t="shared" si="148"/>
        <v>0.5</v>
      </c>
      <c r="AF299" s="173">
        <f t="shared" si="149"/>
        <v>0.48664728234462429</v>
      </c>
      <c r="AG299" s="801">
        <f t="shared" si="150"/>
        <v>0</v>
      </c>
      <c r="AH299" s="172">
        <f t="shared" si="151"/>
        <v>6</v>
      </c>
      <c r="AI299" s="221">
        <f t="shared" si="152"/>
        <v>0.48664728234462429</v>
      </c>
      <c r="AJ299" s="261" t="b">
        <f t="shared" si="153"/>
        <v>0</v>
      </c>
      <c r="AK299" s="261" t="b">
        <f t="shared" si="154"/>
        <v>0</v>
      </c>
      <c r="AL299" s="261"/>
      <c r="AM299" s="261"/>
      <c r="AN299" s="75"/>
      <c r="AV299" s="153">
        <f t="shared" si="159"/>
        <v>44481</v>
      </c>
      <c r="AW299" s="608"/>
      <c r="AX299" s="385"/>
      <c r="AY299" s="388"/>
      <c r="AZ299" s="380"/>
      <c r="BA299" s="380"/>
      <c r="BB299" s="110"/>
      <c r="BD299" s="375"/>
      <c r="BE299" s="85"/>
      <c r="BF299" s="193">
        <f t="shared" si="155"/>
        <v>44846</v>
      </c>
      <c r="BG299" s="430">
        <f t="shared" si="160"/>
        <v>1.1418281001565722E-2</v>
      </c>
      <c r="BH299" s="846"/>
      <c r="BI299" s="846"/>
      <c r="BJ299" s="320">
        <f t="shared" si="156"/>
        <v>4.2050271046201468E-3</v>
      </c>
      <c r="BK299" s="378"/>
    </row>
    <row r="300" spans="1:63" s="6" customFormat="1" ht="11.25" customHeight="1" x14ac:dyDescent="0.2">
      <c r="A300" s="56">
        <f t="shared" si="157"/>
        <v>44847</v>
      </c>
      <c r="B300" s="608">
        <v>93.558999999999997</v>
      </c>
      <c r="C300" s="385"/>
      <c r="D300" s="388">
        <f t="shared" si="132"/>
        <v>94.102330053435168</v>
      </c>
      <c r="E300" s="380">
        <f t="shared" si="162"/>
        <v>96.668917808979813</v>
      </c>
      <c r="F300" s="380">
        <f t="shared" si="161"/>
        <v>96.671730861785207</v>
      </c>
      <c r="G300" s="110">
        <f t="shared" si="163"/>
        <v>0.59243172566708224</v>
      </c>
      <c r="I300" s="375">
        <f t="shared" si="133"/>
        <v>96.671730861785207</v>
      </c>
      <c r="J300" s="85">
        <v>2022</v>
      </c>
      <c r="K300" s="193">
        <f t="shared" si="134"/>
        <v>44847</v>
      </c>
      <c r="L300" s="430">
        <f t="shared" si="135"/>
        <v>5.7738214678281219E-3</v>
      </c>
      <c r="M300" s="846"/>
      <c r="N300" s="846"/>
      <c r="O300" s="320">
        <f t="shared" si="136"/>
        <v>2.6550289521356629E-2</v>
      </c>
      <c r="P300" s="165">
        <f>(INDEX(Models!$BJ300:$BT300,,T300)*(1-R300)+INDEX(Models!$BJ300:$BT300,,T300+1)*R300-ERP_i)*Q300*Ramure*Pc/MaxiM</f>
        <v>6.9649221231805794E-5</v>
      </c>
      <c r="Q300" s="301">
        <f t="shared" si="137"/>
        <v>0.5</v>
      </c>
      <c r="R300" s="173">
        <f t="shared" si="138"/>
        <v>0.48676926867421844</v>
      </c>
      <c r="S300" s="801">
        <f t="shared" si="158"/>
        <v>0</v>
      </c>
      <c r="T300" s="172">
        <f t="shared" si="139"/>
        <v>6</v>
      </c>
      <c r="U300" s="247">
        <f t="shared" si="140"/>
        <v>0.48676926867421844</v>
      </c>
      <c r="V300" s="378">
        <f t="shared" si="141"/>
        <v>157.91727890357151</v>
      </c>
      <c r="W300" s="397"/>
      <c r="X300" s="153">
        <f t="shared" si="142"/>
        <v>44847</v>
      </c>
      <c r="Y300" s="380">
        <f t="shared" si="143"/>
        <v>93.558999999999997</v>
      </c>
      <c r="Z300" s="380">
        <f t="shared" si="144"/>
        <v>94.102330053435168</v>
      </c>
      <c r="AA300" s="381">
        <f t="shared" si="145"/>
        <v>96.668917808979813</v>
      </c>
      <c r="AB300" s="193">
        <f t="shared" si="146"/>
        <v>44847</v>
      </c>
      <c r="AC300" s="420">
        <f t="shared" si="147"/>
        <v>2.6550289521356629E-2</v>
      </c>
      <c r="AD300" s="165">
        <f>(INDEX(Models!$BJ300:$BT300,,AH300)*(1-AF300)+INDEX(Models!$BJ300:$BT300,,AH300+1)*AF300-ERP_i)*AE300*Ramure*Pc/MaxiM</f>
        <v>6.9649221231805794E-5</v>
      </c>
      <c r="AE300" s="301">
        <f t="shared" si="148"/>
        <v>0.5</v>
      </c>
      <c r="AF300" s="173">
        <f t="shared" si="149"/>
        <v>0.48676926867421844</v>
      </c>
      <c r="AG300" s="801">
        <f t="shared" si="150"/>
        <v>0</v>
      </c>
      <c r="AH300" s="172">
        <f t="shared" si="151"/>
        <v>6</v>
      </c>
      <c r="AI300" s="221">
        <f t="shared" si="152"/>
        <v>0.48676926867421844</v>
      </c>
      <c r="AJ300" s="261" t="b">
        <f t="shared" si="153"/>
        <v>0</v>
      </c>
      <c r="AK300" s="261" t="b">
        <f t="shared" si="154"/>
        <v>0</v>
      </c>
      <c r="AL300" s="261"/>
      <c r="AM300" s="261"/>
      <c r="AN300" s="75"/>
      <c r="AV300" s="153">
        <f t="shared" si="159"/>
        <v>44482</v>
      </c>
      <c r="AW300" s="608"/>
      <c r="AX300" s="385"/>
      <c r="AY300" s="388"/>
      <c r="AZ300" s="380"/>
      <c r="BA300" s="380"/>
      <c r="BB300" s="110"/>
      <c r="BD300" s="375"/>
      <c r="BE300" s="85"/>
      <c r="BF300" s="193">
        <f t="shared" si="155"/>
        <v>44847</v>
      </c>
      <c r="BG300" s="430">
        <f t="shared" si="160"/>
        <v>1.143195948448994E-2</v>
      </c>
      <c r="BH300" s="846"/>
      <c r="BI300" s="846"/>
      <c r="BJ300" s="320">
        <f t="shared" si="156"/>
        <v>4.2745759220470759E-3</v>
      </c>
      <c r="BK300" s="378"/>
    </row>
    <row r="301" spans="1:63" s="6" customFormat="1" ht="11.25" customHeight="1" x14ac:dyDescent="0.2">
      <c r="A301" s="56">
        <f t="shared" si="157"/>
        <v>44848</v>
      </c>
      <c r="B301" s="608">
        <v>83.382000000000005</v>
      </c>
      <c r="C301" s="385"/>
      <c r="D301" s="388">
        <f t="shared" si="132"/>
        <v>83.867376705255651</v>
      </c>
      <c r="E301" s="380">
        <f t="shared" si="162"/>
        <v>86.158069315182502</v>
      </c>
      <c r="F301" s="380">
        <f t="shared" si="161"/>
        <v>86.160128113136821</v>
      </c>
      <c r="G301" s="110">
        <f t="shared" si="163"/>
        <v>0.53238109793326915</v>
      </c>
      <c r="I301" s="375">
        <f t="shared" si="133"/>
        <v>86.160128113136821</v>
      </c>
      <c r="J301" s="85">
        <v>2022</v>
      </c>
      <c r="K301" s="193">
        <f t="shared" si="134"/>
        <v>44848</v>
      </c>
      <c r="L301" s="430">
        <f t="shared" si="135"/>
        <v>5.7874315892991746E-3</v>
      </c>
      <c r="M301" s="846"/>
      <c r="N301" s="846"/>
      <c r="O301" s="320">
        <f t="shared" si="136"/>
        <v>2.6587093096841111E-2</v>
      </c>
      <c r="P301" s="165">
        <f>(INDEX(Models!$BJ301:$BT301,,T301)*(1-R301)+INDEX(Models!$BJ301:$BT301,,T301+1)*R301-ERP_i)*Q301*Ramure*Pc/MaxiM</f>
        <v>7.1970877579319303E-5</v>
      </c>
      <c r="Q301" s="301">
        <f t="shared" si="137"/>
        <v>0.5</v>
      </c>
      <c r="R301" s="173">
        <f t="shared" si="138"/>
        <v>0.48688639971499925</v>
      </c>
      <c r="S301" s="801">
        <f t="shared" si="158"/>
        <v>0</v>
      </c>
      <c r="T301" s="172">
        <f t="shared" si="139"/>
        <v>6</v>
      </c>
      <c r="U301" s="247">
        <f t="shared" si="140"/>
        <v>0.48688639971499925</v>
      </c>
      <c r="V301" s="378">
        <f t="shared" si="141"/>
        <v>156.61335754913625</v>
      </c>
      <c r="W301" s="397"/>
      <c r="X301" s="153">
        <f t="shared" si="142"/>
        <v>44848</v>
      </c>
      <c r="Y301" s="380">
        <f t="shared" si="143"/>
        <v>83.382000000000005</v>
      </c>
      <c r="Z301" s="380">
        <f t="shared" si="144"/>
        <v>83.867376705255651</v>
      </c>
      <c r="AA301" s="381">
        <f t="shared" si="145"/>
        <v>86.158069315182502</v>
      </c>
      <c r="AB301" s="193">
        <f t="shared" si="146"/>
        <v>44848</v>
      </c>
      <c r="AC301" s="420">
        <f t="shared" si="147"/>
        <v>2.6587093096841111E-2</v>
      </c>
      <c r="AD301" s="165">
        <f>(INDEX(Models!$BJ301:$BT301,,AH301)*(1-AF301)+INDEX(Models!$BJ301:$BT301,,AH301+1)*AF301-ERP_i)*AE301*Ramure*Pc/MaxiM</f>
        <v>7.1970877579319303E-5</v>
      </c>
      <c r="AE301" s="301">
        <f t="shared" si="148"/>
        <v>0.5</v>
      </c>
      <c r="AF301" s="173">
        <f t="shared" si="149"/>
        <v>0.48688639971499925</v>
      </c>
      <c r="AG301" s="801">
        <f t="shared" si="150"/>
        <v>0</v>
      </c>
      <c r="AH301" s="172">
        <f t="shared" si="151"/>
        <v>6</v>
      </c>
      <c r="AI301" s="221">
        <f t="shared" si="152"/>
        <v>0.48688639971499925</v>
      </c>
      <c r="AJ301" s="261" t="b">
        <f t="shared" si="153"/>
        <v>0</v>
      </c>
      <c r="AK301" s="261" t="b">
        <f t="shared" si="154"/>
        <v>0</v>
      </c>
      <c r="AL301" s="261"/>
      <c r="AM301" s="261"/>
      <c r="AN301" s="75"/>
      <c r="AV301" s="153">
        <f t="shared" si="159"/>
        <v>44483</v>
      </c>
      <c r="AW301" s="608"/>
      <c r="AX301" s="385"/>
      <c r="AY301" s="388"/>
      <c r="AZ301" s="380"/>
      <c r="BA301" s="380"/>
      <c r="BB301" s="110"/>
      <c r="BD301" s="375"/>
      <c r="BE301" s="85"/>
      <c r="BF301" s="193">
        <f t="shared" si="155"/>
        <v>44848</v>
      </c>
      <c r="BG301" s="430">
        <f t="shared" si="160"/>
        <v>1.1445637780167273E-2</v>
      </c>
      <c r="BH301" s="846"/>
      <c r="BI301" s="846"/>
      <c r="BJ301" s="320">
        <f t="shared" si="156"/>
        <v>4.3439235519158112E-3</v>
      </c>
      <c r="BK301" s="378"/>
    </row>
    <row r="302" spans="1:63" s="6" customFormat="1" ht="11.25" customHeight="1" x14ac:dyDescent="0.2">
      <c r="A302" s="56">
        <f t="shared" si="157"/>
        <v>44849</v>
      </c>
      <c r="B302" s="608">
        <v>152.31900000000002</v>
      </c>
      <c r="C302" s="385"/>
      <c r="D302" s="388">
        <f t="shared" si="132"/>
        <v>153.20776460433933</v>
      </c>
      <c r="E302" s="380">
        <f t="shared" si="162"/>
        <v>157.39824737159955</v>
      </c>
      <c r="F302" s="380">
        <f t="shared" si="161"/>
        <v>157.4095998459747</v>
      </c>
      <c r="G302" s="110">
        <f t="shared" si="163"/>
        <v>0.98074517037762832</v>
      </c>
      <c r="I302" s="375">
        <f t="shared" si="133"/>
        <v>157.4095998459747</v>
      </c>
      <c r="J302" s="85">
        <v>2022</v>
      </c>
      <c r="K302" s="193">
        <f t="shared" si="134"/>
        <v>44849</v>
      </c>
      <c r="L302" s="430">
        <f t="shared" si="135"/>
        <v>5.8010415244590385E-3</v>
      </c>
      <c r="M302" s="846"/>
      <c r="N302" s="846"/>
      <c r="O302" s="320">
        <f t="shared" si="136"/>
        <v>2.66234398237419E-2</v>
      </c>
      <c r="P302" s="165">
        <f>(INDEX(Models!$BJ302:$BT302,,T302)*(1-R302)+INDEX(Models!$BJ302:$BT302,,T302+1)*R302-ERP_i)*Q302*Ramure*Pc/MaxiM</f>
        <v>7.4160305504863928E-5</v>
      </c>
      <c r="Q302" s="301">
        <f t="shared" si="137"/>
        <v>0.5</v>
      </c>
      <c r="R302" s="173">
        <f t="shared" si="138"/>
        <v>0.48699886655436525</v>
      </c>
      <c r="S302" s="801">
        <f t="shared" si="158"/>
        <v>0</v>
      </c>
      <c r="T302" s="172">
        <f t="shared" si="139"/>
        <v>6</v>
      </c>
      <c r="U302" s="247">
        <f t="shared" si="140"/>
        <v>0.48699886655436525</v>
      </c>
      <c r="V302" s="378">
        <f t="shared" si="141"/>
        <v>155.30914032708554</v>
      </c>
      <c r="W302" s="397"/>
      <c r="X302" s="153">
        <f t="shared" si="142"/>
        <v>44849</v>
      </c>
      <c r="Y302" s="380">
        <f t="shared" si="143"/>
        <v>152.31900000000002</v>
      </c>
      <c r="Z302" s="380">
        <f t="shared" si="144"/>
        <v>153.20776460433933</v>
      </c>
      <c r="AA302" s="381">
        <f t="shared" si="145"/>
        <v>157.39824737159955</v>
      </c>
      <c r="AB302" s="193">
        <f t="shared" si="146"/>
        <v>44849</v>
      </c>
      <c r="AC302" s="420">
        <f t="shared" si="147"/>
        <v>2.66234398237419E-2</v>
      </c>
      <c r="AD302" s="165">
        <f>(INDEX(Models!$BJ302:$BT302,,AH302)*(1-AF302)+INDEX(Models!$BJ302:$BT302,,AH302+1)*AF302-ERP_i)*AE302*Ramure*Pc/MaxiM</f>
        <v>7.4160305504863928E-5</v>
      </c>
      <c r="AE302" s="301">
        <f t="shared" si="148"/>
        <v>0.5</v>
      </c>
      <c r="AF302" s="173">
        <f t="shared" si="149"/>
        <v>0.48699886655436525</v>
      </c>
      <c r="AG302" s="801">
        <f t="shared" si="150"/>
        <v>0</v>
      </c>
      <c r="AH302" s="172">
        <f t="shared" si="151"/>
        <v>6</v>
      </c>
      <c r="AI302" s="221">
        <f t="shared" si="152"/>
        <v>0.48699886655436525</v>
      </c>
      <c r="AJ302" s="261" t="b">
        <f t="shared" si="153"/>
        <v>0</v>
      </c>
      <c r="AK302" s="261" t="b">
        <f t="shared" si="154"/>
        <v>0</v>
      </c>
      <c r="AL302" s="261"/>
      <c r="AM302" s="261"/>
      <c r="AN302" s="75"/>
      <c r="AV302" s="153">
        <f t="shared" si="159"/>
        <v>44484</v>
      </c>
      <c r="AW302" s="608"/>
      <c r="AX302" s="385"/>
      <c r="AY302" s="388"/>
      <c r="AZ302" s="380"/>
      <c r="BA302" s="380"/>
      <c r="BB302" s="110"/>
      <c r="BD302" s="375"/>
      <c r="BE302" s="85"/>
      <c r="BF302" s="193">
        <f t="shared" si="155"/>
        <v>44849</v>
      </c>
      <c r="BG302" s="430">
        <f t="shared" si="160"/>
        <v>1.1459315888600163E-2</v>
      </c>
      <c r="BH302" s="846"/>
      <c r="BI302" s="846"/>
      <c r="BJ302" s="320">
        <f t="shared" si="156"/>
        <v>4.413068454562909E-3</v>
      </c>
      <c r="BK302" s="378"/>
    </row>
    <row r="303" spans="1:63" s="6" customFormat="1" ht="11.25" customHeight="1" x14ac:dyDescent="0.2">
      <c r="A303" s="56">
        <f t="shared" si="157"/>
        <v>44850</v>
      </c>
      <c r="B303" s="608">
        <v>136.566</v>
      </c>
      <c r="C303" s="385"/>
      <c r="D303" s="388">
        <f t="shared" si="132"/>
        <v>137.36472799051799</v>
      </c>
      <c r="E303" s="380">
        <f t="shared" si="162"/>
        <v>141.12708235856002</v>
      </c>
      <c r="F303" s="380">
        <f t="shared" si="161"/>
        <v>141.13609952426535</v>
      </c>
      <c r="G303" s="110">
        <f t="shared" si="163"/>
        <v>0.88677241639443827</v>
      </c>
      <c r="I303" s="375">
        <f t="shared" si="133"/>
        <v>141.13609952426535</v>
      </c>
      <c r="J303" s="85">
        <v>2022</v>
      </c>
      <c r="K303" s="193">
        <f t="shared" si="134"/>
        <v>44850</v>
      </c>
      <c r="L303" s="430">
        <f t="shared" si="135"/>
        <v>5.8146512733102673E-3</v>
      </c>
      <c r="M303" s="846"/>
      <c r="N303" s="846"/>
      <c r="O303" s="320">
        <f t="shared" si="136"/>
        <v>2.665933643043121E-2</v>
      </c>
      <c r="P303" s="165">
        <f>(INDEX(Models!$BJ303:$BT303,,T303)*(1-R303)+INDEX(Models!$BJ303:$BT303,,T303+1)*R303-ERP_i)*Q303*Ramure*Pc/MaxiM</f>
        <v>7.6217061082488303E-5</v>
      </c>
      <c r="Q303" s="301">
        <f t="shared" si="137"/>
        <v>0.5</v>
      </c>
      <c r="R303" s="173">
        <f t="shared" si="138"/>
        <v>0.48710685292899825</v>
      </c>
      <c r="S303" s="801">
        <f t="shared" si="158"/>
        <v>0</v>
      </c>
      <c r="T303" s="172">
        <f t="shared" si="139"/>
        <v>6</v>
      </c>
      <c r="U303" s="247">
        <f t="shared" si="140"/>
        <v>0.48710685292899825</v>
      </c>
      <c r="V303" s="378">
        <f t="shared" si="141"/>
        <v>154.00153849080999</v>
      </c>
      <c r="W303" s="397"/>
      <c r="X303" s="153">
        <f t="shared" si="142"/>
        <v>44850</v>
      </c>
      <c r="Y303" s="380">
        <f t="shared" si="143"/>
        <v>136.566</v>
      </c>
      <c r="Z303" s="380">
        <f t="shared" si="144"/>
        <v>137.36472799051799</v>
      </c>
      <c r="AA303" s="381">
        <f t="shared" si="145"/>
        <v>141.12708235856002</v>
      </c>
      <c r="AB303" s="193">
        <f t="shared" si="146"/>
        <v>44850</v>
      </c>
      <c r="AC303" s="420">
        <f t="shared" si="147"/>
        <v>2.665933643043121E-2</v>
      </c>
      <c r="AD303" s="165">
        <f>(INDEX(Models!$BJ303:$BT303,,AH303)*(1-AF303)+INDEX(Models!$BJ303:$BT303,,AH303+1)*AF303-ERP_i)*AE303*Ramure*Pc/MaxiM</f>
        <v>7.6217061082488303E-5</v>
      </c>
      <c r="AE303" s="301">
        <f t="shared" si="148"/>
        <v>0.5</v>
      </c>
      <c r="AF303" s="173">
        <f t="shared" si="149"/>
        <v>0.48710685292899825</v>
      </c>
      <c r="AG303" s="801">
        <f t="shared" si="150"/>
        <v>0</v>
      </c>
      <c r="AH303" s="172">
        <f t="shared" si="151"/>
        <v>6</v>
      </c>
      <c r="AI303" s="221">
        <f t="shared" si="152"/>
        <v>0.48710685292899825</v>
      </c>
      <c r="AJ303" s="261" t="b">
        <f t="shared" si="153"/>
        <v>0</v>
      </c>
      <c r="AK303" s="261" t="b">
        <f t="shared" si="154"/>
        <v>0</v>
      </c>
      <c r="AL303" s="261"/>
      <c r="AM303" s="261"/>
      <c r="AN303" s="75"/>
      <c r="AV303" s="153">
        <f t="shared" si="159"/>
        <v>44485</v>
      </c>
      <c r="AW303" s="608"/>
      <c r="AX303" s="385"/>
      <c r="AY303" s="388"/>
      <c r="AZ303" s="380"/>
      <c r="BA303" s="380"/>
      <c r="BB303" s="110"/>
      <c r="BD303" s="375"/>
      <c r="BE303" s="85"/>
      <c r="BF303" s="193">
        <f t="shared" si="155"/>
        <v>44850</v>
      </c>
      <c r="BG303" s="430">
        <f t="shared" si="160"/>
        <v>1.1472993809791165E-2</v>
      </c>
      <c r="BH303" s="846"/>
      <c r="BI303" s="846"/>
      <c r="BJ303" s="320">
        <f t="shared" si="156"/>
        <v>4.482009402100369E-3</v>
      </c>
      <c r="BK303" s="378"/>
    </row>
    <row r="304" spans="1:63" s="6" customFormat="1" ht="11.25" customHeight="1" x14ac:dyDescent="0.2">
      <c r="A304" s="56">
        <f t="shared" si="157"/>
        <v>44851</v>
      </c>
      <c r="B304" s="608">
        <v>87.519000000000005</v>
      </c>
      <c r="C304" s="385"/>
      <c r="D304" s="388">
        <f t="shared" si="132"/>
        <v>88.032073888543749</v>
      </c>
      <c r="E304" s="380">
        <f t="shared" si="162"/>
        <v>90.44652497761416</v>
      </c>
      <c r="F304" s="380">
        <f t="shared" si="161"/>
        <v>90.44932204480186</v>
      </c>
      <c r="G304" s="110">
        <f t="shared" si="163"/>
        <v>0.57316208730062135</v>
      </c>
      <c r="I304" s="375">
        <f t="shared" si="133"/>
        <v>90.44932204480186</v>
      </c>
      <c r="J304" s="85">
        <v>2022</v>
      </c>
      <c r="K304" s="193">
        <f t="shared" si="134"/>
        <v>44851</v>
      </c>
      <c r="L304" s="430">
        <f t="shared" si="135"/>
        <v>5.8282608358555255E-3</v>
      </c>
      <c r="M304" s="846"/>
      <c r="N304" s="846"/>
      <c r="O304" s="320">
        <f t="shared" si="136"/>
        <v>2.6694791089740544E-2</v>
      </c>
      <c r="P304" s="165">
        <f>(INDEX(Models!$BJ304:$BT304,,T304)*(1-R304)+INDEX(Models!$BJ304:$BT304,,T304+1)*R304-ERP_i)*Q304*Ramure*Pc/MaxiM</f>
        <v>7.9237574431053722E-5</v>
      </c>
      <c r="Q304" s="301">
        <f t="shared" si="137"/>
        <v>0.5</v>
      </c>
      <c r="R304" s="173">
        <f t="shared" si="138"/>
        <v>0.48721053549424309</v>
      </c>
      <c r="S304" s="801">
        <f t="shared" si="158"/>
        <v>0</v>
      </c>
      <c r="T304" s="172">
        <f t="shared" si="139"/>
        <v>6</v>
      </c>
      <c r="U304" s="247">
        <f t="shared" si="140"/>
        <v>0.48721053549424309</v>
      </c>
      <c r="V304" s="378">
        <f t="shared" si="141"/>
        <v>152.68764885973499</v>
      </c>
      <c r="W304" s="397"/>
      <c r="X304" s="153">
        <f t="shared" si="142"/>
        <v>44851</v>
      </c>
      <c r="Y304" s="380">
        <f t="shared" si="143"/>
        <v>87.519000000000005</v>
      </c>
      <c r="Z304" s="380">
        <f t="shared" si="144"/>
        <v>88.032073888543749</v>
      </c>
      <c r="AA304" s="381">
        <f t="shared" si="145"/>
        <v>90.44652497761416</v>
      </c>
      <c r="AB304" s="193">
        <f t="shared" si="146"/>
        <v>44851</v>
      </c>
      <c r="AC304" s="420">
        <f t="shared" si="147"/>
        <v>2.6694791089740544E-2</v>
      </c>
      <c r="AD304" s="165">
        <f>(INDEX(Models!$BJ304:$BT304,,AH304)*(1-AF304)+INDEX(Models!$BJ304:$BT304,,AH304+1)*AF304-ERP_i)*AE304*Ramure*Pc/MaxiM</f>
        <v>7.9237574431053722E-5</v>
      </c>
      <c r="AE304" s="301">
        <f t="shared" si="148"/>
        <v>0.5</v>
      </c>
      <c r="AF304" s="173">
        <f t="shared" si="149"/>
        <v>0.48721053549424309</v>
      </c>
      <c r="AG304" s="801">
        <f t="shared" si="150"/>
        <v>0</v>
      </c>
      <c r="AH304" s="172">
        <f t="shared" si="151"/>
        <v>6</v>
      </c>
      <c r="AI304" s="221">
        <f t="shared" si="152"/>
        <v>0.48721053549424309</v>
      </c>
      <c r="AJ304" s="261" t="b">
        <f t="shared" si="153"/>
        <v>0</v>
      </c>
      <c r="AK304" s="261" t="b">
        <f t="shared" si="154"/>
        <v>0</v>
      </c>
      <c r="AL304" s="261"/>
      <c r="AM304" s="261"/>
      <c r="AN304" s="75"/>
      <c r="AV304" s="153">
        <f t="shared" si="159"/>
        <v>44486</v>
      </c>
      <c r="AW304" s="608"/>
      <c r="AX304" s="385"/>
      <c r="AY304" s="388"/>
      <c r="AZ304" s="380"/>
      <c r="BA304" s="380"/>
      <c r="BB304" s="110"/>
      <c r="BD304" s="375"/>
      <c r="BE304" s="85"/>
      <c r="BF304" s="193">
        <f t="shared" si="155"/>
        <v>44851</v>
      </c>
      <c r="BG304" s="430">
        <f t="shared" si="160"/>
        <v>1.1486671543743054E-2</v>
      </c>
      <c r="BH304" s="846"/>
      <c r="BI304" s="846"/>
      <c r="BJ304" s="320">
        <f t="shared" si="156"/>
        <v>4.5507454986533002E-3</v>
      </c>
      <c r="BK304" s="378"/>
    </row>
    <row r="305" spans="1:63" s="6" customFormat="1" ht="11.25" customHeight="1" x14ac:dyDescent="0.2">
      <c r="A305" s="56">
        <f t="shared" si="157"/>
        <v>44852</v>
      </c>
      <c r="B305" s="608">
        <v>139.72399999999999</v>
      </c>
      <c r="C305" s="385"/>
      <c r="D305" s="388">
        <f t="shared" si="132"/>
        <v>140.54504591720152</v>
      </c>
      <c r="E305" s="380">
        <f t="shared" si="162"/>
        <v>144.40496365504418</v>
      </c>
      <c r="F305" s="380">
        <f t="shared" si="161"/>
        <v>144.41565792808763</v>
      </c>
      <c r="G305" s="110">
        <f t="shared" si="163"/>
        <v>0.92306318885630667</v>
      </c>
      <c r="I305" s="375">
        <f t="shared" si="133"/>
        <v>144.41565792808763</v>
      </c>
      <c r="J305" s="85">
        <v>2022</v>
      </c>
      <c r="K305" s="193">
        <f t="shared" si="134"/>
        <v>44852</v>
      </c>
      <c r="L305" s="430">
        <f t="shared" si="135"/>
        <v>5.8418702120972554E-3</v>
      </c>
      <c r="M305" s="846"/>
      <c r="N305" s="846"/>
      <c r="O305" s="320">
        <f t="shared" si="136"/>
        <v>2.672981343676847E-2</v>
      </c>
      <c r="P305" s="165">
        <f>(INDEX(Models!$BJ305:$BT305,,T305)*(1-R305)+INDEX(Models!$BJ305:$BT305,,T305+1)*R305-ERP_i)*Q305*Ramure*Pc/MaxiM</f>
        <v>8.319496598749372E-5</v>
      </c>
      <c r="Q305" s="301">
        <f t="shared" si="137"/>
        <v>0.5</v>
      </c>
      <c r="R305" s="173">
        <f t="shared" si="138"/>
        <v>0.48731008408468357</v>
      </c>
      <c r="S305" s="801">
        <f t="shared" si="158"/>
        <v>0</v>
      </c>
      <c r="T305" s="172">
        <f t="shared" si="139"/>
        <v>6</v>
      </c>
      <c r="U305" s="247">
        <f t="shared" si="140"/>
        <v>0.48731008408468357</v>
      </c>
      <c r="V305" s="378">
        <f t="shared" si="141"/>
        <v>151.36853479264022</v>
      </c>
      <c r="W305" s="397"/>
      <c r="X305" s="153">
        <f t="shared" si="142"/>
        <v>44852</v>
      </c>
      <c r="Y305" s="380">
        <f t="shared" si="143"/>
        <v>139.72399999999999</v>
      </c>
      <c r="Z305" s="380">
        <f t="shared" si="144"/>
        <v>140.54504591720152</v>
      </c>
      <c r="AA305" s="381">
        <f t="shared" si="145"/>
        <v>144.40496365504418</v>
      </c>
      <c r="AB305" s="193">
        <f t="shared" si="146"/>
        <v>44852</v>
      </c>
      <c r="AC305" s="420">
        <f t="shared" si="147"/>
        <v>2.672981343676847E-2</v>
      </c>
      <c r="AD305" s="165">
        <f>(INDEX(Models!$BJ305:$BT305,,AH305)*(1-AF305)+INDEX(Models!$BJ305:$BT305,,AH305+1)*AF305-ERP_i)*AE305*Ramure*Pc/MaxiM</f>
        <v>8.319496598749372E-5</v>
      </c>
      <c r="AE305" s="301">
        <f t="shared" si="148"/>
        <v>0.5</v>
      </c>
      <c r="AF305" s="173">
        <f t="shared" si="149"/>
        <v>0.48731008408468357</v>
      </c>
      <c r="AG305" s="801">
        <f t="shared" si="150"/>
        <v>0</v>
      </c>
      <c r="AH305" s="172">
        <f t="shared" si="151"/>
        <v>6</v>
      </c>
      <c r="AI305" s="221">
        <f t="shared" si="152"/>
        <v>0.48731008408468357</v>
      </c>
      <c r="AJ305" s="261" t="b">
        <f t="shared" si="153"/>
        <v>0</v>
      </c>
      <c r="AK305" s="261" t="b">
        <f t="shared" si="154"/>
        <v>0</v>
      </c>
      <c r="AL305" s="261"/>
      <c r="AM305" s="261"/>
      <c r="AN305" s="75"/>
      <c r="AV305" s="153">
        <f t="shared" si="159"/>
        <v>44487</v>
      </c>
      <c r="AW305" s="608"/>
      <c r="AX305" s="385"/>
      <c r="AY305" s="388"/>
      <c r="AZ305" s="380"/>
      <c r="BA305" s="380"/>
      <c r="BB305" s="110"/>
      <c r="BD305" s="375"/>
      <c r="BE305" s="85"/>
      <c r="BF305" s="193">
        <f t="shared" si="155"/>
        <v>44852</v>
      </c>
      <c r="BG305" s="430">
        <f t="shared" si="160"/>
        <v>1.1500349090458162E-2</v>
      </c>
      <c r="BH305" s="846"/>
      <c r="BI305" s="846"/>
      <c r="BJ305" s="320">
        <f t="shared" si="156"/>
        <v>4.6192761993294681E-3</v>
      </c>
      <c r="BK305" s="378"/>
    </row>
    <row r="306" spans="1:63" s="6" customFormat="1" ht="11.25" customHeight="1" x14ac:dyDescent="0.2">
      <c r="A306" s="56">
        <f t="shared" si="157"/>
        <v>44853</v>
      </c>
      <c r="B306" s="608">
        <v>61.673999999999999</v>
      </c>
      <c r="C306" s="385"/>
      <c r="D306" s="388">
        <f t="shared" si="132"/>
        <v>62.037257885708691</v>
      </c>
      <c r="E306" s="380">
        <f t="shared" si="162"/>
        <v>63.743310268313792</v>
      </c>
      <c r="F306" s="380">
        <f t="shared" si="161"/>
        <v>63.744201053360378</v>
      </c>
      <c r="G306" s="110">
        <f t="shared" si="163"/>
        <v>0.41100552590154565</v>
      </c>
      <c r="I306" s="375">
        <f t="shared" si="133"/>
        <v>63.744201053360378</v>
      </c>
      <c r="J306" s="85">
        <v>2022</v>
      </c>
      <c r="K306" s="193">
        <f t="shared" si="134"/>
        <v>44853</v>
      </c>
      <c r="L306" s="430">
        <f t="shared" si="135"/>
        <v>5.8554794020381218E-3</v>
      </c>
      <c r="M306" s="846"/>
      <c r="N306" s="846"/>
      <c r="O306" s="320">
        <f t="shared" si="136"/>
        <v>2.6764414578154767E-2</v>
      </c>
      <c r="P306" s="165">
        <f>(INDEX(Models!$BJ306:$BT306,,T306)*(1-R306)+INDEX(Models!$BJ306:$BT306,,T306+1)*R306-ERP_i)*Q306*Ramure*Pc/MaxiM</f>
        <v>8.8098089765984043E-5</v>
      </c>
      <c r="Q306" s="301">
        <f t="shared" si="137"/>
        <v>0.5</v>
      </c>
      <c r="R306" s="173">
        <f t="shared" si="138"/>
        <v>0.48740566196611368</v>
      </c>
      <c r="S306" s="801">
        <f t="shared" si="158"/>
        <v>0</v>
      </c>
      <c r="T306" s="172">
        <f t="shared" si="139"/>
        <v>6</v>
      </c>
      <c r="U306" s="247">
        <f t="shared" si="140"/>
        <v>0.48740566196611368</v>
      </c>
      <c r="V306" s="378">
        <f t="shared" si="141"/>
        <v>150.04525375795262</v>
      </c>
      <c r="W306" s="397"/>
      <c r="X306" s="153">
        <f t="shared" si="142"/>
        <v>44853</v>
      </c>
      <c r="Y306" s="380">
        <f t="shared" si="143"/>
        <v>61.673999999999999</v>
      </c>
      <c r="Z306" s="380">
        <f t="shared" si="144"/>
        <v>62.037257885708691</v>
      </c>
      <c r="AA306" s="381">
        <f t="shared" si="145"/>
        <v>63.743310268313792</v>
      </c>
      <c r="AB306" s="193">
        <f t="shared" si="146"/>
        <v>44853</v>
      </c>
      <c r="AC306" s="420">
        <f t="shared" si="147"/>
        <v>2.6764414578154767E-2</v>
      </c>
      <c r="AD306" s="165">
        <f>(INDEX(Models!$BJ306:$BT306,,AH306)*(1-AF306)+INDEX(Models!$BJ306:$BT306,,AH306+1)*AF306-ERP_i)*AE306*Ramure*Pc/MaxiM</f>
        <v>8.8098089765984043E-5</v>
      </c>
      <c r="AE306" s="301">
        <f t="shared" si="148"/>
        <v>0.5</v>
      </c>
      <c r="AF306" s="173">
        <f t="shared" si="149"/>
        <v>0.48740566196611368</v>
      </c>
      <c r="AG306" s="801">
        <f t="shared" si="150"/>
        <v>0</v>
      </c>
      <c r="AH306" s="172">
        <f t="shared" si="151"/>
        <v>6</v>
      </c>
      <c r="AI306" s="221">
        <f t="shared" si="152"/>
        <v>0.48740566196611368</v>
      </c>
      <c r="AJ306" s="261" t="b">
        <f t="shared" si="153"/>
        <v>0</v>
      </c>
      <c r="AK306" s="261" t="b">
        <f t="shared" si="154"/>
        <v>0</v>
      </c>
      <c r="AL306" s="261"/>
      <c r="AM306" s="261"/>
      <c r="AN306" s="75"/>
      <c r="AV306" s="153">
        <f t="shared" si="159"/>
        <v>44488</v>
      </c>
      <c r="AW306" s="608"/>
      <c r="AX306" s="385"/>
      <c r="AY306" s="388"/>
      <c r="AZ306" s="380"/>
      <c r="BA306" s="380"/>
      <c r="BB306" s="110"/>
      <c r="BD306" s="375"/>
      <c r="BE306" s="85"/>
      <c r="BF306" s="193">
        <f t="shared" si="155"/>
        <v>44853</v>
      </c>
      <c r="BG306" s="430">
        <f t="shared" ref="BG306:BG337" si="164">IF(AV306&lt;T0,0,1-EXP((T0-AV306)*PertePVj)+Pspv_21)</f>
        <v>1.1514026449939152E-2</v>
      </c>
      <c r="BH306" s="846"/>
      <c r="BI306" s="846"/>
      <c r="BJ306" s="320">
        <f t="shared" si="156"/>
        <v>4.6876013277179895E-3</v>
      </c>
      <c r="BK306" s="378"/>
    </row>
    <row r="307" spans="1:63" s="6" customFormat="1" ht="11.25" customHeight="1" x14ac:dyDescent="0.2">
      <c r="A307" s="56">
        <f t="shared" si="157"/>
        <v>44854</v>
      </c>
      <c r="B307" s="608">
        <v>39.249000000000002</v>
      </c>
      <c r="C307" s="385"/>
      <c r="D307" s="388">
        <f t="shared" si="132"/>
        <v>39.480715811416758</v>
      </c>
      <c r="E307" s="380">
        <f t="shared" si="162"/>
        <v>40.567878446480144</v>
      </c>
      <c r="F307" s="380">
        <f t="shared" si="161"/>
        <v>40.567878446480144</v>
      </c>
      <c r="G307" s="110">
        <f t="shared" si="163"/>
        <v>0.26388927110923877</v>
      </c>
      <c r="I307" s="375">
        <f t="shared" si="133"/>
        <v>40.567878446480144</v>
      </c>
      <c r="J307" s="85">
        <v>2022</v>
      </c>
      <c r="K307" s="193">
        <f t="shared" si="134"/>
        <v>44854</v>
      </c>
      <c r="L307" s="430">
        <f t="shared" si="135"/>
        <v>5.869088405680567E-3</v>
      </c>
      <c r="M307" s="846"/>
      <c r="N307" s="846"/>
      <c r="O307" s="320">
        <f t="shared" si="136"/>
        <v>2.6798607092496717E-2</v>
      </c>
      <c r="P307" s="165">
        <f>(INDEX(Models!$BJ307:$BT307,,T307)*(1-R307)+INDEX(Models!$BJ307:$BT307,,T307+1)*R307-ERP_i)*Q307*Ramure*Pc/MaxiM</f>
        <v>9.3955514866915857E-5</v>
      </c>
      <c r="Q307" s="301">
        <f t="shared" si="137"/>
        <v>0.5</v>
      </c>
      <c r="R307" s="173">
        <f t="shared" si="138"/>
        <v>0.48749742607910707</v>
      </c>
      <c r="S307" s="801">
        <f t="shared" si="158"/>
        <v>0</v>
      </c>
      <c r="T307" s="172">
        <f t="shared" si="139"/>
        <v>6</v>
      </c>
      <c r="U307" s="247">
        <f t="shared" si="140"/>
        <v>0.48749742607910707</v>
      </c>
      <c r="V307" s="378">
        <f t="shared" si="141"/>
        <v>148.71886293456441</v>
      </c>
      <c r="W307" s="397"/>
      <c r="X307" s="153">
        <f t="shared" si="142"/>
        <v>44854</v>
      </c>
      <c r="Y307" s="380">
        <f t="shared" si="143"/>
        <v>39.249000000000002</v>
      </c>
      <c r="Z307" s="380">
        <f t="shared" si="144"/>
        <v>39.480715811416758</v>
      </c>
      <c r="AA307" s="381">
        <f t="shared" si="145"/>
        <v>40.567878446480144</v>
      </c>
      <c r="AB307" s="193">
        <f t="shared" si="146"/>
        <v>44854</v>
      </c>
      <c r="AC307" s="420">
        <f t="shared" si="147"/>
        <v>2.6798607092496717E-2</v>
      </c>
      <c r="AD307" s="165">
        <f>(INDEX(Models!$BJ307:$BT307,,AH307)*(1-AF307)+INDEX(Models!$BJ307:$BT307,,AH307+1)*AF307-ERP_i)*AE307*Ramure*Pc/MaxiM</f>
        <v>9.3955514866915857E-5</v>
      </c>
      <c r="AE307" s="301">
        <f t="shared" si="148"/>
        <v>0.5</v>
      </c>
      <c r="AF307" s="173">
        <f t="shared" si="149"/>
        <v>0.48749742607910707</v>
      </c>
      <c r="AG307" s="801">
        <f t="shared" si="150"/>
        <v>0</v>
      </c>
      <c r="AH307" s="172">
        <f t="shared" si="151"/>
        <v>6</v>
      </c>
      <c r="AI307" s="221">
        <f t="shared" si="152"/>
        <v>0.48749742607910707</v>
      </c>
      <c r="AJ307" s="261" t="b">
        <f t="shared" si="153"/>
        <v>0</v>
      </c>
      <c r="AK307" s="261" t="b">
        <f t="shared" si="154"/>
        <v>0</v>
      </c>
      <c r="AL307" s="261"/>
      <c r="AM307" s="261"/>
      <c r="AN307" s="75"/>
      <c r="AV307" s="153">
        <f t="shared" si="159"/>
        <v>44489</v>
      </c>
      <c r="AW307" s="608"/>
      <c r="AX307" s="385"/>
      <c r="AY307" s="388"/>
      <c r="AZ307" s="380"/>
      <c r="BA307" s="380"/>
      <c r="BB307" s="110"/>
      <c r="BD307" s="375"/>
      <c r="BE307" s="85"/>
      <c r="BF307" s="193">
        <f t="shared" si="155"/>
        <v>44854</v>
      </c>
      <c r="BG307" s="430">
        <f t="shared" si="164"/>
        <v>1.1527703622188579E-2</v>
      </c>
      <c r="BH307" s="846"/>
      <c r="BI307" s="846"/>
      <c r="BJ307" s="320">
        <f t="shared" si="156"/>
        <v>4.7557210917205332E-3</v>
      </c>
      <c r="BK307" s="378"/>
    </row>
    <row r="308" spans="1:63" s="6" customFormat="1" ht="11.25" customHeight="1" x14ac:dyDescent="0.2">
      <c r="A308" s="56">
        <f t="shared" si="157"/>
        <v>44855</v>
      </c>
      <c r="B308" s="608">
        <v>63.956000000000003</v>
      </c>
      <c r="C308" s="385"/>
      <c r="D308" s="388">
        <f t="shared" si="132"/>
        <v>64.334460150069773</v>
      </c>
      <c r="E308" s="380">
        <f t="shared" si="162"/>
        <v>66.108304964162954</v>
      </c>
      <c r="F308" s="380">
        <f t="shared" si="161"/>
        <v>66.109579565729476</v>
      </c>
      <c r="G308" s="110">
        <f t="shared" si="163"/>
        <v>0.43388700651683931</v>
      </c>
      <c r="I308" s="375">
        <f t="shared" si="133"/>
        <v>66.109579565729476</v>
      </c>
      <c r="J308" s="85">
        <v>2022</v>
      </c>
      <c r="K308" s="193">
        <f t="shared" si="134"/>
        <v>44855</v>
      </c>
      <c r="L308" s="430">
        <f t="shared" si="135"/>
        <v>5.8826972230271446E-3</v>
      </c>
      <c r="M308" s="846"/>
      <c r="N308" s="846"/>
      <c r="O308" s="320">
        <f t="shared" si="136"/>
        <v>2.6832405021650043E-2</v>
      </c>
      <c r="P308" s="165">
        <f>(INDEX(Models!$BJ308:$BT308,,T308)*(1-R308)+INDEX(Models!$BJ308:$BT308,,T308+1)*R308-ERP_i)*Q308*Ramure*Pc/MaxiM</f>
        <v>1.0077550121189066E-4</v>
      </c>
      <c r="Q308" s="301">
        <f t="shared" si="137"/>
        <v>0.5</v>
      </c>
      <c r="R308" s="173">
        <f t="shared" si="138"/>
        <v>0.48758552727439236</v>
      </c>
      <c r="S308" s="801">
        <f t="shared" si="158"/>
        <v>0</v>
      </c>
      <c r="T308" s="172">
        <f t="shared" si="139"/>
        <v>6</v>
      </c>
      <c r="U308" s="247">
        <f t="shared" si="140"/>
        <v>0.48758552727439236</v>
      </c>
      <c r="V308" s="378">
        <f t="shared" si="141"/>
        <v>147.39041921351878</v>
      </c>
      <c r="W308" s="397"/>
      <c r="X308" s="153">
        <f t="shared" si="142"/>
        <v>44855</v>
      </c>
      <c r="Y308" s="380">
        <f t="shared" si="143"/>
        <v>63.95600000000001</v>
      </c>
      <c r="Z308" s="380">
        <f t="shared" si="144"/>
        <v>64.334460150069773</v>
      </c>
      <c r="AA308" s="381">
        <f t="shared" si="145"/>
        <v>66.108304964162954</v>
      </c>
      <c r="AB308" s="193">
        <f t="shared" si="146"/>
        <v>44855</v>
      </c>
      <c r="AC308" s="420">
        <f t="shared" si="147"/>
        <v>2.6832405021650043E-2</v>
      </c>
      <c r="AD308" s="165">
        <f>(INDEX(Models!$BJ308:$BT308,,AH308)*(1-AF308)+INDEX(Models!$BJ308:$BT308,,AH308+1)*AF308-ERP_i)*AE308*Ramure*Pc/MaxiM</f>
        <v>1.0077550121189066E-4</v>
      </c>
      <c r="AE308" s="301">
        <f t="shared" si="148"/>
        <v>0.5</v>
      </c>
      <c r="AF308" s="173">
        <f t="shared" si="149"/>
        <v>0.48758552727439236</v>
      </c>
      <c r="AG308" s="801">
        <f t="shared" si="150"/>
        <v>0</v>
      </c>
      <c r="AH308" s="172">
        <f t="shared" si="151"/>
        <v>6</v>
      </c>
      <c r="AI308" s="221">
        <f t="shared" si="152"/>
        <v>0.48758552727439236</v>
      </c>
      <c r="AJ308" s="261" t="b">
        <f t="shared" si="153"/>
        <v>0</v>
      </c>
      <c r="AK308" s="261" t="b">
        <f t="shared" si="154"/>
        <v>0</v>
      </c>
      <c r="AL308" s="261"/>
      <c r="AM308" s="261"/>
      <c r="AN308" s="75"/>
      <c r="AV308" s="153">
        <f t="shared" si="159"/>
        <v>44490</v>
      </c>
      <c r="AW308" s="608"/>
      <c r="AX308" s="385"/>
      <c r="AY308" s="388"/>
      <c r="AZ308" s="380"/>
      <c r="BA308" s="380"/>
      <c r="BB308" s="110"/>
      <c r="BD308" s="375"/>
      <c r="BE308" s="85"/>
      <c r="BF308" s="193">
        <f t="shared" si="155"/>
        <v>44855</v>
      </c>
      <c r="BG308" s="430">
        <f t="shared" si="164"/>
        <v>1.1541380607208995E-2</v>
      </c>
      <c r="BH308" s="846"/>
      <c r="BI308" s="846"/>
      <c r="BJ308" s="320">
        <f t="shared" si="156"/>
        <v>4.8236360975272268E-3</v>
      </c>
      <c r="BK308" s="378"/>
    </row>
    <row r="309" spans="1:63" s="6" customFormat="1" ht="11.25" customHeight="1" x14ac:dyDescent="0.2">
      <c r="A309" s="56">
        <f t="shared" si="157"/>
        <v>44856</v>
      </c>
      <c r="B309" s="608">
        <v>134.04900000000001</v>
      </c>
      <c r="C309" s="385"/>
      <c r="D309" s="388">
        <f t="shared" si="132"/>
        <v>134.84408194978866</v>
      </c>
      <c r="E309" s="380">
        <f t="shared" si="162"/>
        <v>138.56679300242925</v>
      </c>
      <c r="F309" s="380">
        <f t="shared" si="161"/>
        <v>138.58007051254708</v>
      </c>
      <c r="G309" s="110">
        <f t="shared" si="163"/>
        <v>0.91774881134137143</v>
      </c>
      <c r="I309" s="375">
        <f t="shared" si="133"/>
        <v>138.58007051254708</v>
      </c>
      <c r="J309" s="85">
        <v>2022</v>
      </c>
      <c r="K309" s="193">
        <f t="shared" si="134"/>
        <v>44856</v>
      </c>
      <c r="L309" s="430">
        <f t="shared" si="135"/>
        <v>5.8963058540805191E-3</v>
      </c>
      <c r="M309" s="846"/>
      <c r="N309" s="846"/>
      <c r="O309" s="320">
        <f t="shared" si="136"/>
        <v>2.6865823852727448E-2</v>
      </c>
      <c r="P309" s="165">
        <f>(INDEX(Models!$BJ309:$BT309,,T309)*(1-R309)+INDEX(Models!$BJ309:$BT309,,T309+1)*R309-ERP_i)*Q309*Ramure*Pc/MaxiM</f>
        <v>1.0856597934276596E-4</v>
      </c>
      <c r="Q309" s="301">
        <f t="shared" si="137"/>
        <v>0.5</v>
      </c>
      <c r="R309" s="173">
        <f t="shared" si="138"/>
        <v>0.48767011054023829</v>
      </c>
      <c r="S309" s="801">
        <f t="shared" si="158"/>
        <v>0</v>
      </c>
      <c r="T309" s="172">
        <f t="shared" si="139"/>
        <v>6</v>
      </c>
      <c r="U309" s="247">
        <f t="shared" si="140"/>
        <v>0.48767011054023829</v>
      </c>
      <c r="V309" s="378">
        <f t="shared" si="141"/>
        <v>146.06097921555764</v>
      </c>
      <c r="W309" s="397"/>
      <c r="X309" s="153">
        <f t="shared" si="142"/>
        <v>44856</v>
      </c>
      <c r="Y309" s="380">
        <f t="shared" si="143"/>
        <v>134.04900000000001</v>
      </c>
      <c r="Z309" s="380">
        <f t="shared" si="144"/>
        <v>134.84408194978866</v>
      </c>
      <c r="AA309" s="381">
        <f t="shared" si="145"/>
        <v>138.56679300242925</v>
      </c>
      <c r="AB309" s="193">
        <f t="shared" si="146"/>
        <v>44856</v>
      </c>
      <c r="AC309" s="420">
        <f t="shared" si="147"/>
        <v>2.6865823852727448E-2</v>
      </c>
      <c r="AD309" s="165">
        <f>(INDEX(Models!$BJ309:$BT309,,AH309)*(1-AF309)+INDEX(Models!$BJ309:$BT309,,AH309+1)*AF309-ERP_i)*AE309*Ramure*Pc/MaxiM</f>
        <v>1.0856597934276596E-4</v>
      </c>
      <c r="AE309" s="301">
        <f t="shared" si="148"/>
        <v>0.5</v>
      </c>
      <c r="AF309" s="173">
        <f t="shared" si="149"/>
        <v>0.48767011054023829</v>
      </c>
      <c r="AG309" s="801">
        <f t="shared" si="150"/>
        <v>0</v>
      </c>
      <c r="AH309" s="172">
        <f t="shared" si="151"/>
        <v>6</v>
      </c>
      <c r="AI309" s="221">
        <f t="shared" si="152"/>
        <v>0.48767011054023829</v>
      </c>
      <c r="AJ309" s="261" t="b">
        <f t="shared" si="153"/>
        <v>0</v>
      </c>
      <c r="AK309" s="261" t="b">
        <f t="shared" si="154"/>
        <v>0</v>
      </c>
      <c r="AL309" s="261"/>
      <c r="AM309" s="261"/>
      <c r="AN309" s="75"/>
      <c r="AV309" s="153">
        <f t="shared" si="159"/>
        <v>44491</v>
      </c>
      <c r="AW309" s="608"/>
      <c r="AX309" s="385"/>
      <c r="AY309" s="388"/>
      <c r="AZ309" s="380"/>
      <c r="BA309" s="380"/>
      <c r="BB309" s="110"/>
      <c r="BD309" s="375"/>
      <c r="BE309" s="85"/>
      <c r="BF309" s="193">
        <f t="shared" si="155"/>
        <v>44856</v>
      </c>
      <c r="BG309" s="430">
        <f t="shared" si="164"/>
        <v>1.1555057405002955E-2</v>
      </c>
      <c r="BH309" s="846"/>
      <c r="BI309" s="846"/>
      <c r="BJ309" s="320">
        <f t="shared" si="156"/>
        <v>4.8913473615601862E-3</v>
      </c>
      <c r="BK309" s="378"/>
    </row>
    <row r="310" spans="1:63" s="6" customFormat="1" ht="11.25" customHeight="1" x14ac:dyDescent="0.2">
      <c r="A310" s="56">
        <f t="shared" si="157"/>
        <v>44857</v>
      </c>
      <c r="B310" s="608">
        <v>81.415000000000006</v>
      </c>
      <c r="C310" s="385"/>
      <c r="D310" s="388">
        <f t="shared" si="132"/>
        <v>81.899016166704797</v>
      </c>
      <c r="E310" s="380">
        <f t="shared" si="162"/>
        <v>84.162904064895116</v>
      </c>
      <c r="F310" s="380">
        <f t="shared" si="161"/>
        <v>84.166642562822275</v>
      </c>
      <c r="G310" s="110">
        <f t="shared" si="163"/>
        <v>0.56248299348490771</v>
      </c>
      <c r="I310" s="375">
        <f t="shared" si="133"/>
        <v>84.166642562822275</v>
      </c>
      <c r="J310" s="85">
        <v>2022</v>
      </c>
      <c r="K310" s="193">
        <f t="shared" si="134"/>
        <v>44857</v>
      </c>
      <c r="L310" s="430">
        <f t="shared" si="135"/>
        <v>5.909914298843133E-3</v>
      </c>
      <c r="M310" s="846"/>
      <c r="N310" s="846"/>
      <c r="O310" s="320">
        <f t="shared" si="136"/>
        <v>2.6898880490681679E-2</v>
      </c>
      <c r="P310" s="165">
        <f>(INDEX(Models!$BJ310:$BT310,,T310)*(1-R310)+INDEX(Models!$BJ310:$BT310,,T310+1)*R310-ERP_i)*Q310*Ramure*Pc/MaxiM</f>
        <v>1.1843637910889333E-4</v>
      </c>
      <c r="Q310" s="301">
        <f t="shared" si="137"/>
        <v>0.5</v>
      </c>
      <c r="R310" s="173">
        <f t="shared" si="138"/>
        <v>0.48775131522206006</v>
      </c>
      <c r="S310" s="801">
        <f t="shared" si="158"/>
        <v>0</v>
      </c>
      <c r="T310" s="172">
        <f t="shared" si="139"/>
        <v>6</v>
      </c>
      <c r="U310" s="247">
        <f t="shared" si="140"/>
        <v>0.48775131522206006</v>
      </c>
      <c r="V310" s="378">
        <f t="shared" si="141"/>
        <v>144.73143980074249</v>
      </c>
      <c r="W310" s="397"/>
      <c r="X310" s="153">
        <f t="shared" si="142"/>
        <v>44857</v>
      </c>
      <c r="Y310" s="380">
        <f t="shared" si="143"/>
        <v>81.415000000000006</v>
      </c>
      <c r="Z310" s="380">
        <f t="shared" si="144"/>
        <v>81.899016166704797</v>
      </c>
      <c r="AA310" s="381">
        <f t="shared" si="145"/>
        <v>84.162904064895116</v>
      </c>
      <c r="AB310" s="193">
        <f t="shared" si="146"/>
        <v>44857</v>
      </c>
      <c r="AC310" s="420">
        <f t="shared" si="147"/>
        <v>2.6898880490681679E-2</v>
      </c>
      <c r="AD310" s="165">
        <f>(INDEX(Models!$BJ310:$BT310,,AH310)*(1-AF310)+INDEX(Models!$BJ310:$BT310,,AH310+1)*AF310-ERP_i)*AE310*Ramure*Pc/MaxiM</f>
        <v>1.1843637910889333E-4</v>
      </c>
      <c r="AE310" s="301">
        <f t="shared" si="148"/>
        <v>0.5</v>
      </c>
      <c r="AF310" s="173">
        <f t="shared" si="149"/>
        <v>0.48775131522206006</v>
      </c>
      <c r="AG310" s="801">
        <f t="shared" si="150"/>
        <v>0</v>
      </c>
      <c r="AH310" s="172">
        <f t="shared" si="151"/>
        <v>6</v>
      </c>
      <c r="AI310" s="221">
        <f t="shared" si="152"/>
        <v>0.48775131522206006</v>
      </c>
      <c r="AJ310" s="261" t="b">
        <f t="shared" si="153"/>
        <v>0</v>
      </c>
      <c r="AK310" s="261" t="b">
        <f t="shared" si="154"/>
        <v>0</v>
      </c>
      <c r="AL310" s="261"/>
      <c r="AM310" s="261"/>
      <c r="AN310" s="75"/>
      <c r="AV310" s="153">
        <f t="shared" si="159"/>
        <v>44492</v>
      </c>
      <c r="AW310" s="608"/>
      <c r="AX310" s="385"/>
      <c r="AY310" s="388"/>
      <c r="AZ310" s="380"/>
      <c r="BA310" s="380"/>
      <c r="BB310" s="110"/>
      <c r="BD310" s="375"/>
      <c r="BE310" s="85"/>
      <c r="BF310" s="193">
        <f t="shared" si="155"/>
        <v>44857</v>
      </c>
      <c r="BG310" s="430">
        <f t="shared" si="164"/>
        <v>1.1568734015573123E-2</v>
      </c>
      <c r="BH310" s="846"/>
      <c r="BI310" s="846"/>
      <c r="BJ310" s="320">
        <f t="shared" si="156"/>
        <v>4.9588563202204823E-3</v>
      </c>
      <c r="BK310" s="378"/>
    </row>
    <row r="311" spans="1:63" s="6" customFormat="1" ht="11.25" customHeight="1" x14ac:dyDescent="0.2">
      <c r="A311" s="56">
        <f t="shared" si="157"/>
        <v>44858</v>
      </c>
      <c r="B311" s="608">
        <v>104.726</v>
      </c>
      <c r="C311" s="385"/>
      <c r="D311" s="388">
        <f t="shared" si="132"/>
        <v>105.35004335824695</v>
      </c>
      <c r="E311" s="380">
        <f t="shared" si="162"/>
        <v>108.26581422679035</v>
      </c>
      <c r="F311" s="380">
        <f t="shared" si="161"/>
        <v>108.27450579494256</v>
      </c>
      <c r="G311" s="110">
        <f t="shared" si="163"/>
        <v>0.73025565600548825</v>
      </c>
      <c r="I311" s="375">
        <f t="shared" si="133"/>
        <v>108.27450579494256</v>
      </c>
      <c r="J311" s="85">
        <v>2022</v>
      </c>
      <c r="K311" s="193">
        <f t="shared" si="134"/>
        <v>44858</v>
      </c>
      <c r="L311" s="430">
        <f t="shared" si="135"/>
        <v>5.9235225573175398E-3</v>
      </c>
      <c r="M311" s="846"/>
      <c r="N311" s="846"/>
      <c r="O311" s="320">
        <f t="shared" si="136"/>
        <v>2.6931593221435332E-2</v>
      </c>
      <c r="P311" s="165">
        <f>(INDEX(Models!$BJ311:$BT311,,T311)*(1-R311)+INDEX(Models!$BJ311:$BT311,,T311+1)*R311-ERP_i)*Q311*Ramure*Pc/MaxiM</f>
        <v>1.3058890802055624E-4</v>
      </c>
      <c r="Q311" s="301">
        <f t="shared" si="137"/>
        <v>0.5</v>
      </c>
      <c r="R311" s="173">
        <f t="shared" si="138"/>
        <v>0.48782927523445274</v>
      </c>
      <c r="S311" s="801">
        <f t="shared" si="158"/>
        <v>0</v>
      </c>
      <c r="T311" s="172">
        <f t="shared" si="139"/>
        <v>6</v>
      </c>
      <c r="U311" s="247">
        <f t="shared" si="140"/>
        <v>0.48782927523445274</v>
      </c>
      <c r="V311" s="378">
        <f t="shared" si="141"/>
        <v>143.40283348597396</v>
      </c>
      <c r="W311" s="397"/>
      <c r="X311" s="153">
        <f t="shared" si="142"/>
        <v>44858</v>
      </c>
      <c r="Y311" s="380">
        <f t="shared" si="143"/>
        <v>104.726</v>
      </c>
      <c r="Z311" s="380">
        <f t="shared" si="144"/>
        <v>105.35004335824695</v>
      </c>
      <c r="AA311" s="381">
        <f t="shared" si="145"/>
        <v>108.26581422679035</v>
      </c>
      <c r="AB311" s="193">
        <f t="shared" si="146"/>
        <v>44858</v>
      </c>
      <c r="AC311" s="420">
        <f t="shared" si="147"/>
        <v>2.6931593221435332E-2</v>
      </c>
      <c r="AD311" s="165">
        <f>(INDEX(Models!$BJ311:$BT311,,AH311)*(1-AF311)+INDEX(Models!$BJ311:$BT311,,AH311+1)*AF311-ERP_i)*AE311*Ramure*Pc/MaxiM</f>
        <v>1.3058890802055624E-4</v>
      </c>
      <c r="AE311" s="301">
        <f t="shared" si="148"/>
        <v>0.5</v>
      </c>
      <c r="AF311" s="173">
        <f t="shared" si="149"/>
        <v>0.48782927523445274</v>
      </c>
      <c r="AG311" s="801">
        <f t="shared" si="150"/>
        <v>0</v>
      </c>
      <c r="AH311" s="172">
        <f t="shared" si="151"/>
        <v>6</v>
      </c>
      <c r="AI311" s="221">
        <f t="shared" si="152"/>
        <v>0.48782927523445274</v>
      </c>
      <c r="AJ311" s="261" t="b">
        <f t="shared" si="153"/>
        <v>0</v>
      </c>
      <c r="AK311" s="261" t="b">
        <f t="shared" si="154"/>
        <v>0</v>
      </c>
      <c r="AL311" s="261"/>
      <c r="AM311" s="261"/>
      <c r="AN311" s="75"/>
      <c r="AV311" s="153">
        <f t="shared" si="159"/>
        <v>44493</v>
      </c>
      <c r="AW311" s="608"/>
      <c r="AX311" s="385"/>
      <c r="AY311" s="388"/>
      <c r="AZ311" s="380"/>
      <c r="BA311" s="380"/>
      <c r="BB311" s="110"/>
      <c r="BD311" s="375"/>
      <c r="BE311" s="85"/>
      <c r="BF311" s="193">
        <f t="shared" si="155"/>
        <v>44858</v>
      </c>
      <c r="BG311" s="430">
        <f t="shared" si="164"/>
        <v>1.1582410438921831E-2</v>
      </c>
      <c r="BH311" s="846"/>
      <c r="BI311" s="846"/>
      <c r="BJ311" s="320">
        <f t="shared" si="156"/>
        <v>5.0261648372889765E-3</v>
      </c>
      <c r="BK311" s="378"/>
    </row>
    <row r="312" spans="1:63" s="6" customFormat="1" ht="11.25" customHeight="1" x14ac:dyDescent="0.2">
      <c r="A312" s="56">
        <f t="shared" si="157"/>
        <v>44859</v>
      </c>
      <c r="B312" s="608">
        <v>90.567999999999998</v>
      </c>
      <c r="C312" s="385"/>
      <c r="D312" s="388">
        <f t="shared" si="132"/>
        <v>91.108925592758169</v>
      </c>
      <c r="E312" s="380">
        <f t="shared" si="162"/>
        <v>93.633661936496623</v>
      </c>
      <c r="F312" s="380">
        <f t="shared" si="161"/>
        <v>93.640209590302121</v>
      </c>
      <c r="G312" s="110">
        <f t="shared" si="163"/>
        <v>0.63741276646661393</v>
      </c>
      <c r="I312" s="375">
        <f t="shared" si="133"/>
        <v>93.640209590302121</v>
      </c>
      <c r="J312" s="85">
        <v>2022</v>
      </c>
      <c r="K312" s="193">
        <f t="shared" si="134"/>
        <v>44859</v>
      </c>
      <c r="L312" s="430">
        <f t="shared" si="135"/>
        <v>5.9371306295062931E-3</v>
      </c>
      <c r="M312" s="846"/>
      <c r="N312" s="846"/>
      <c r="O312" s="320">
        <f t="shared" si="136"/>
        <v>2.6963981665597589E-2</v>
      </c>
      <c r="P312" s="165">
        <f>(INDEX(Models!$BJ312:$BT312,,T312)*(1-R312)+INDEX(Models!$BJ312:$BT312,,T312+1)*R312-ERP_i)*Q312*Ramure*Pc/MaxiM</f>
        <v>1.4504348482261551E-4</v>
      </c>
      <c r="Q312" s="301">
        <f t="shared" si="137"/>
        <v>0.5</v>
      </c>
      <c r="R312" s="173">
        <f t="shared" si="138"/>
        <v>0.48790411926586097</v>
      </c>
      <c r="S312" s="801">
        <f t="shared" si="158"/>
        <v>0</v>
      </c>
      <c r="T312" s="172">
        <f t="shared" si="139"/>
        <v>6</v>
      </c>
      <c r="U312" s="247">
        <f t="shared" si="140"/>
        <v>0.48790411926586097</v>
      </c>
      <c r="V312" s="378">
        <f t="shared" si="141"/>
        <v>142.07621940488232</v>
      </c>
      <c r="W312" s="397"/>
      <c r="X312" s="153">
        <f t="shared" si="142"/>
        <v>44859</v>
      </c>
      <c r="Y312" s="380">
        <f t="shared" si="143"/>
        <v>90.567999999999998</v>
      </c>
      <c r="Z312" s="380">
        <f t="shared" si="144"/>
        <v>91.108925592758169</v>
      </c>
      <c r="AA312" s="381">
        <f t="shared" si="145"/>
        <v>93.633661936496623</v>
      </c>
      <c r="AB312" s="193">
        <f t="shared" si="146"/>
        <v>44859</v>
      </c>
      <c r="AC312" s="420">
        <f t="shared" si="147"/>
        <v>2.6963981665597589E-2</v>
      </c>
      <c r="AD312" s="165">
        <f>(INDEX(Models!$BJ312:$BT312,,AH312)*(1-AF312)+INDEX(Models!$BJ312:$BT312,,AH312+1)*AF312-ERP_i)*AE312*Ramure*Pc/MaxiM</f>
        <v>1.4504348482261551E-4</v>
      </c>
      <c r="AE312" s="301">
        <f t="shared" si="148"/>
        <v>0.5</v>
      </c>
      <c r="AF312" s="173">
        <f t="shared" si="149"/>
        <v>0.48790411926586097</v>
      </c>
      <c r="AG312" s="801">
        <f t="shared" si="150"/>
        <v>0</v>
      </c>
      <c r="AH312" s="172">
        <f t="shared" si="151"/>
        <v>6</v>
      </c>
      <c r="AI312" s="221">
        <f t="shared" si="152"/>
        <v>0.48790411926586097</v>
      </c>
      <c r="AJ312" s="261" t="b">
        <f t="shared" si="153"/>
        <v>0</v>
      </c>
      <c r="AK312" s="261" t="b">
        <f t="shared" si="154"/>
        <v>0</v>
      </c>
      <c r="AL312" s="261"/>
      <c r="AM312" s="261"/>
      <c r="AN312" s="75"/>
      <c r="AV312" s="153">
        <f t="shared" si="159"/>
        <v>44494</v>
      </c>
      <c r="AW312" s="608"/>
      <c r="AX312" s="385"/>
      <c r="AY312" s="388"/>
      <c r="AZ312" s="380"/>
      <c r="BA312" s="380"/>
      <c r="BB312" s="110"/>
      <c r="BD312" s="375"/>
      <c r="BE312" s="85"/>
      <c r="BF312" s="193">
        <f t="shared" si="155"/>
        <v>44859</v>
      </c>
      <c r="BG312" s="430">
        <f t="shared" si="164"/>
        <v>1.1596086675051964E-2</v>
      </c>
      <c r="BH312" s="846"/>
      <c r="BI312" s="846"/>
      <c r="BJ312" s="320">
        <f t="shared" si="156"/>
        <v>5.0932752088481779E-3</v>
      </c>
      <c r="BK312" s="378"/>
    </row>
    <row r="313" spans="1:63" s="6" customFormat="1" ht="11.25" customHeight="1" x14ac:dyDescent="0.2">
      <c r="A313" s="56">
        <f t="shared" si="157"/>
        <v>44860</v>
      </c>
      <c r="B313" s="608">
        <v>59.813000000000002</v>
      </c>
      <c r="C313" s="385"/>
      <c r="D313" s="388">
        <f t="shared" si="132"/>
        <v>60.171062257690096</v>
      </c>
      <c r="E313" s="380">
        <f t="shared" si="162"/>
        <v>61.840512869286854</v>
      </c>
      <c r="F313" s="380">
        <f t="shared" si="161"/>
        <v>61.842299177452915</v>
      </c>
      <c r="G313" s="110">
        <f t="shared" si="163"/>
        <v>0.42489463456827631</v>
      </c>
      <c r="I313" s="375">
        <f t="shared" si="133"/>
        <v>61.842299177452915</v>
      </c>
      <c r="J313" s="85">
        <v>2022</v>
      </c>
      <c r="K313" s="193">
        <f t="shared" si="134"/>
        <v>44860</v>
      </c>
      <c r="L313" s="430">
        <f t="shared" si="135"/>
        <v>5.9507385154120573E-3</v>
      </c>
      <c r="M313" s="846"/>
      <c r="N313" s="846"/>
      <c r="O313" s="320">
        <f t="shared" si="136"/>
        <v>2.6996066722886024E-2</v>
      </c>
      <c r="P313" s="165">
        <f>(INDEX(Models!$BJ313:$BT313,,T313)*(1-R313)+INDEX(Models!$BJ313:$BT313,,T313+1)*R313-ERP_i)*Q313*Ramure*Pc/MaxiM</f>
        <v>1.6181866729701478E-4</v>
      </c>
      <c r="Q313" s="301">
        <f t="shared" si="137"/>
        <v>0.5</v>
      </c>
      <c r="R313" s="173">
        <f t="shared" si="138"/>
        <v>0.48797597097609047</v>
      </c>
      <c r="S313" s="801">
        <f t="shared" si="158"/>
        <v>0</v>
      </c>
      <c r="T313" s="172">
        <f t="shared" si="139"/>
        <v>6</v>
      </c>
      <c r="U313" s="247">
        <f t="shared" si="140"/>
        <v>0.48797597097609047</v>
      </c>
      <c r="V313" s="378">
        <f t="shared" si="141"/>
        <v>140.75265662796929</v>
      </c>
      <c r="W313" s="397"/>
      <c r="X313" s="153">
        <f t="shared" si="142"/>
        <v>44860</v>
      </c>
      <c r="Y313" s="380">
        <f t="shared" si="143"/>
        <v>59.813000000000002</v>
      </c>
      <c r="Z313" s="380">
        <f t="shared" si="144"/>
        <v>60.171062257690096</v>
      </c>
      <c r="AA313" s="381">
        <f t="shared" si="145"/>
        <v>61.840512869286854</v>
      </c>
      <c r="AB313" s="193">
        <f t="shared" si="146"/>
        <v>44860</v>
      </c>
      <c r="AC313" s="420">
        <f t="shared" si="147"/>
        <v>2.6996066722886024E-2</v>
      </c>
      <c r="AD313" s="165">
        <f>(INDEX(Models!$BJ313:$BT313,,AH313)*(1-AF313)+INDEX(Models!$BJ313:$BT313,,AH313+1)*AF313-ERP_i)*AE313*Ramure*Pc/MaxiM</f>
        <v>1.6181866729701478E-4</v>
      </c>
      <c r="AE313" s="301">
        <f t="shared" si="148"/>
        <v>0.5</v>
      </c>
      <c r="AF313" s="173">
        <f t="shared" si="149"/>
        <v>0.48797597097609047</v>
      </c>
      <c r="AG313" s="801">
        <f t="shared" si="150"/>
        <v>0</v>
      </c>
      <c r="AH313" s="172">
        <f t="shared" si="151"/>
        <v>6</v>
      </c>
      <c r="AI313" s="221">
        <f t="shared" si="152"/>
        <v>0.48797597097609047</v>
      </c>
      <c r="AJ313" s="261" t="b">
        <f t="shared" si="153"/>
        <v>0</v>
      </c>
      <c r="AK313" s="261" t="b">
        <f t="shared" si="154"/>
        <v>0</v>
      </c>
      <c r="AL313" s="261"/>
      <c r="AM313" s="261"/>
      <c r="AN313" s="75"/>
      <c r="AV313" s="153">
        <f t="shared" si="159"/>
        <v>44495</v>
      </c>
      <c r="AW313" s="608"/>
      <c r="AX313" s="385"/>
      <c r="AY313" s="388"/>
      <c r="AZ313" s="380"/>
      <c r="BA313" s="380"/>
      <c r="BB313" s="110"/>
      <c r="BD313" s="375"/>
      <c r="BE313" s="85"/>
      <c r="BF313" s="193">
        <f t="shared" si="155"/>
        <v>44860</v>
      </c>
      <c r="BG313" s="430">
        <f t="shared" si="164"/>
        <v>1.1609762723965744E-2</v>
      </c>
      <c r="BH313" s="846"/>
      <c r="BI313" s="846"/>
      <c r="BJ313" s="320">
        <f t="shared" si="156"/>
        <v>5.1601901656106695E-3</v>
      </c>
      <c r="BK313" s="378"/>
    </row>
    <row r="314" spans="1:63" s="6" customFormat="1" ht="11.25" customHeight="1" x14ac:dyDescent="0.2">
      <c r="A314" s="56">
        <f t="shared" si="157"/>
        <v>44861</v>
      </c>
      <c r="B314" s="608">
        <v>53.683</v>
      </c>
      <c r="C314" s="385"/>
      <c r="D314" s="388">
        <f t="shared" si="132"/>
        <v>54.005105144461048</v>
      </c>
      <c r="E314" s="380">
        <f t="shared" si="162"/>
        <v>55.505295072148925</v>
      </c>
      <c r="F314" s="380">
        <f t="shared" si="161"/>
        <v>55.506514695537248</v>
      </c>
      <c r="G314" s="110">
        <f>+Wh_hp/MaxiM</f>
        <v>0.38494752195018017</v>
      </c>
      <c r="I314" s="375">
        <f t="shared" si="133"/>
        <v>55.506514695537248</v>
      </c>
      <c r="J314" s="85">
        <v>2022</v>
      </c>
      <c r="K314" s="193">
        <f t="shared" si="134"/>
        <v>44861</v>
      </c>
      <c r="L314" s="430">
        <f t="shared" si="135"/>
        <v>5.964346215037164E-3</v>
      </c>
      <c r="M314" s="846"/>
      <c r="N314" s="846"/>
      <c r="O314" s="320">
        <f t="shared" si="136"/>
        <v>2.7027870507450587E-2</v>
      </c>
      <c r="P314" s="165">
        <f>(INDEX(Models!$BJ314:$BT314,,T314)*(1-R314)+INDEX(Models!$BJ314:$BT314,,T314+1)*R314-ERP_i)*Q314*Ramure*Pc/MaxiM</f>
        <v>1.8093239305121467E-4</v>
      </c>
      <c r="Q314" s="301">
        <f t="shared" si="137"/>
        <v>0.5</v>
      </c>
      <c r="R314" s="173">
        <f t="shared" si="138"/>
        <v>0.48804494918686775</v>
      </c>
      <c r="S314" s="801">
        <f t="shared" si="158"/>
        <v>0</v>
      </c>
      <c r="T314" s="172">
        <f t="shared" si="139"/>
        <v>6</v>
      </c>
      <c r="U314" s="247">
        <f t="shared" si="140"/>
        <v>0.48804494918686775</v>
      </c>
      <c r="V314" s="378">
        <f t="shared" si="141"/>
        <v>139.43320404536237</v>
      </c>
      <c r="W314" s="397"/>
      <c r="X314" s="153">
        <f t="shared" si="142"/>
        <v>44861</v>
      </c>
      <c r="Y314" s="380">
        <f t="shared" si="143"/>
        <v>53.683</v>
      </c>
      <c r="Z314" s="380">
        <f t="shared" si="144"/>
        <v>54.005105144461048</v>
      </c>
      <c r="AA314" s="381">
        <f t="shared" si="145"/>
        <v>55.505295072148925</v>
      </c>
      <c r="AB314" s="193">
        <f t="shared" si="146"/>
        <v>44861</v>
      </c>
      <c r="AC314" s="420">
        <f t="shared" si="147"/>
        <v>2.7027870507450587E-2</v>
      </c>
      <c r="AD314" s="165">
        <f>(INDEX(Models!$BJ314:$BT314,,AH314)*(1-AF314)+INDEX(Models!$BJ314:$BT314,,AH314+1)*AF314-ERP_i)*AE314*Ramure*Pc/MaxiM</f>
        <v>1.8093239305121467E-4</v>
      </c>
      <c r="AE314" s="301">
        <f t="shared" si="148"/>
        <v>0.5</v>
      </c>
      <c r="AF314" s="173">
        <f t="shared" si="149"/>
        <v>0.48804494918686775</v>
      </c>
      <c r="AG314" s="801">
        <f t="shared" si="150"/>
        <v>0</v>
      </c>
      <c r="AH314" s="172">
        <f t="shared" si="151"/>
        <v>6</v>
      </c>
      <c r="AI314" s="221">
        <f t="shared" si="152"/>
        <v>0.48804494918686775</v>
      </c>
      <c r="AJ314" s="261" t="b">
        <f t="shared" si="153"/>
        <v>0</v>
      </c>
      <c r="AK314" s="261" t="b">
        <f t="shared" si="154"/>
        <v>0</v>
      </c>
      <c r="AL314" s="261"/>
      <c r="AM314" s="261"/>
      <c r="AN314" s="75"/>
      <c r="AV314" s="153">
        <f t="shared" si="159"/>
        <v>44496</v>
      </c>
      <c r="AW314" s="608"/>
      <c r="AX314" s="385"/>
      <c r="AY314" s="388"/>
      <c r="AZ314" s="380"/>
      <c r="BA314" s="380"/>
      <c r="BB314" s="110"/>
      <c r="BD314" s="375"/>
      <c r="BE314" s="85"/>
      <c r="BF314" s="193">
        <f t="shared" si="155"/>
        <v>44861</v>
      </c>
      <c r="BG314" s="430">
        <f t="shared" si="164"/>
        <v>1.1623438585666057E-2</v>
      </c>
      <c r="BH314" s="846"/>
      <c r="BI314" s="846"/>
      <c r="BJ314" s="320">
        <f t="shared" si="156"/>
        <v>5.2269128725592499E-3</v>
      </c>
      <c r="BK314" s="378"/>
    </row>
    <row r="315" spans="1:63" s="6" customFormat="1" ht="11.25" customHeight="1" x14ac:dyDescent="0.2">
      <c r="A315" s="56">
        <f t="shared" si="157"/>
        <v>44862</v>
      </c>
      <c r="B315" s="608">
        <v>70.843000000000004</v>
      </c>
      <c r="C315" s="385"/>
      <c r="D315" s="388">
        <f t="shared" si="132"/>
        <v>71.269043041568736</v>
      </c>
      <c r="E315" s="380">
        <f t="shared" si="162"/>
        <v>73.251177136287509</v>
      </c>
      <c r="F315" s="380">
        <f t="shared" si="161"/>
        <v>73.255686968497727</v>
      </c>
      <c r="G315" s="110">
        <f t="shared" si="163"/>
        <v>0.51284083120914892</v>
      </c>
      <c r="I315" s="375">
        <f t="shared" si="133"/>
        <v>73.255686968497727</v>
      </c>
      <c r="J315" s="85">
        <v>2022</v>
      </c>
      <c r="K315" s="193">
        <f t="shared" si="134"/>
        <v>44862</v>
      </c>
      <c r="L315" s="430">
        <f t="shared" si="135"/>
        <v>5.9779537283843887E-3</v>
      </c>
      <c r="M315" s="846"/>
      <c r="N315" s="846"/>
      <c r="O315" s="320">
        <f t="shared" si="136"/>
        <v>2.7059416274374751E-2</v>
      </c>
      <c r="P315" s="165">
        <f>(INDEX(Models!$BJ315:$BT315,,T315)*(1-R315)+INDEX(Models!$BJ315:$BT315,,T315+1)*R315-ERP_i)*Q315*Ramure*Pc/MaxiM</f>
        <v>2.0240197631064924E-4</v>
      </c>
      <c r="Q315" s="301">
        <f t="shared" si="137"/>
        <v>0.5</v>
      </c>
      <c r="R315" s="173">
        <f t="shared" si="138"/>
        <v>0.48811116806564986</v>
      </c>
      <c r="S315" s="801">
        <f t="shared" si="158"/>
        <v>0</v>
      </c>
      <c r="T315" s="172">
        <f t="shared" si="139"/>
        <v>6</v>
      </c>
      <c r="U315" s="247">
        <f t="shared" si="140"/>
        <v>0.48811116806564986</v>
      </c>
      <c r="V315" s="378">
        <f t="shared" si="141"/>
        <v>138.11892035920928</v>
      </c>
      <c r="W315" s="397"/>
      <c r="X315" s="153">
        <f t="shared" si="142"/>
        <v>44862</v>
      </c>
      <c r="Y315" s="380">
        <f t="shared" si="143"/>
        <v>70.843000000000004</v>
      </c>
      <c r="Z315" s="380">
        <f t="shared" si="144"/>
        <v>71.269043041568736</v>
      </c>
      <c r="AA315" s="381">
        <f t="shared" si="145"/>
        <v>73.251177136287509</v>
      </c>
      <c r="AB315" s="193">
        <f t="shared" si="146"/>
        <v>44862</v>
      </c>
      <c r="AC315" s="420">
        <f t="shared" si="147"/>
        <v>2.7059416274374751E-2</v>
      </c>
      <c r="AD315" s="165">
        <f>(INDEX(Models!$BJ315:$BT315,,AH315)*(1-AF315)+INDEX(Models!$BJ315:$BT315,,AH315+1)*AF315-ERP_i)*AE315*Ramure*Pc/MaxiM</f>
        <v>2.0240197631064924E-4</v>
      </c>
      <c r="AE315" s="301">
        <f t="shared" si="148"/>
        <v>0.5</v>
      </c>
      <c r="AF315" s="173">
        <f t="shared" si="149"/>
        <v>0.48811116806564986</v>
      </c>
      <c r="AG315" s="801">
        <f t="shared" si="150"/>
        <v>0</v>
      </c>
      <c r="AH315" s="172">
        <f t="shared" si="151"/>
        <v>6</v>
      </c>
      <c r="AI315" s="221">
        <f t="shared" si="152"/>
        <v>0.48811116806564986</v>
      </c>
      <c r="AJ315" s="261" t="b">
        <f t="shared" si="153"/>
        <v>0</v>
      </c>
      <c r="AK315" s="261" t="b">
        <f t="shared" si="154"/>
        <v>0</v>
      </c>
      <c r="AL315" s="261"/>
      <c r="AM315" s="261"/>
      <c r="AN315" s="75"/>
      <c r="AV315" s="153">
        <f t="shared" si="159"/>
        <v>44497</v>
      </c>
      <c r="AW315" s="608"/>
      <c r="AX315" s="385"/>
      <c r="AY315" s="388"/>
      <c r="AZ315" s="380"/>
      <c r="BA315" s="380"/>
      <c r="BB315" s="110"/>
      <c r="BD315" s="375"/>
      <c r="BE315" s="85"/>
      <c r="BF315" s="193">
        <f t="shared" si="155"/>
        <v>44862</v>
      </c>
      <c r="BG315" s="430">
        <f t="shared" si="164"/>
        <v>1.1637114260155235E-2</v>
      </c>
      <c r="BH315" s="846"/>
      <c r="BI315" s="846"/>
      <c r="BJ315" s="320">
        <f t="shared" si="156"/>
        <v>5.2934469258254973E-3</v>
      </c>
      <c r="BK315" s="378"/>
    </row>
    <row r="316" spans="1:63" s="6" customFormat="1" ht="11.25" customHeight="1" x14ac:dyDescent="0.2">
      <c r="A316" s="56">
        <f t="shared" si="157"/>
        <v>44863</v>
      </c>
      <c r="B316" s="608">
        <v>102.848</v>
      </c>
      <c r="C316" s="385"/>
      <c r="D316" s="388">
        <f t="shared" si="132"/>
        <v>103.46793444651826</v>
      </c>
      <c r="E316" s="380">
        <f t="shared" si="162"/>
        <v>106.34900649033274</v>
      </c>
      <c r="F316" s="380">
        <f t="shared" si="161"/>
        <v>106.36453669934818</v>
      </c>
      <c r="G316" s="110">
        <f t="shared" si="163"/>
        <v>0.75169283886465144</v>
      </c>
      <c r="I316" s="375">
        <f t="shared" si="133"/>
        <v>106.36453669934818</v>
      </c>
      <c r="J316" s="85">
        <v>2022</v>
      </c>
      <c r="K316" s="193">
        <f t="shared" si="134"/>
        <v>44863</v>
      </c>
      <c r="L316" s="430">
        <f t="shared" si="135"/>
        <v>5.9915610554561738E-3</v>
      </c>
      <c r="M316" s="846"/>
      <c r="N316" s="846"/>
      <c r="O316" s="320">
        <f t="shared" si="136"/>
        <v>2.70907283377055E-2</v>
      </c>
      <c r="P316" s="165">
        <f>(INDEX(Models!$BJ316:$BT316,,T316)*(1-R316)+INDEX(Models!$BJ316:$BT316,,T316+1)*R316-ERP_i)*Q316*Ramure*Pc/MaxiM</f>
        <v>2.2624411154293351E-4</v>
      </c>
      <c r="Q316" s="301">
        <f t="shared" si="137"/>
        <v>0.5</v>
      </c>
      <c r="R316" s="173">
        <f t="shared" si="138"/>
        <v>0.48817473730288602</v>
      </c>
      <c r="S316" s="801">
        <f t="shared" si="158"/>
        <v>0</v>
      </c>
      <c r="T316" s="172">
        <f t="shared" si="139"/>
        <v>6</v>
      </c>
      <c r="U316" s="247">
        <f t="shared" si="140"/>
        <v>0.48817473730288602</v>
      </c>
      <c r="V316" s="378">
        <f t="shared" si="141"/>
        <v>136.81086407306731</v>
      </c>
      <c r="W316" s="397"/>
      <c r="X316" s="153">
        <f t="shared" si="142"/>
        <v>44863</v>
      </c>
      <c r="Y316" s="380">
        <f t="shared" si="143"/>
        <v>102.848</v>
      </c>
      <c r="Z316" s="380">
        <f t="shared" si="144"/>
        <v>103.46793444651826</v>
      </c>
      <c r="AA316" s="381">
        <f t="shared" si="145"/>
        <v>106.34900649033274</v>
      </c>
      <c r="AB316" s="193">
        <f t="shared" si="146"/>
        <v>44863</v>
      </c>
      <c r="AC316" s="420">
        <f t="shared" si="147"/>
        <v>2.70907283377055E-2</v>
      </c>
      <c r="AD316" s="165">
        <f>(INDEX(Models!$BJ316:$BT316,,AH316)*(1-AF316)+INDEX(Models!$BJ316:$BT316,,AH316+1)*AF316-ERP_i)*AE316*Ramure*Pc/MaxiM</f>
        <v>2.2624411154293351E-4</v>
      </c>
      <c r="AE316" s="301">
        <f t="shared" si="148"/>
        <v>0.5</v>
      </c>
      <c r="AF316" s="173">
        <f t="shared" si="149"/>
        <v>0.48817473730288602</v>
      </c>
      <c r="AG316" s="801">
        <f t="shared" si="150"/>
        <v>0</v>
      </c>
      <c r="AH316" s="172">
        <f t="shared" si="151"/>
        <v>6</v>
      </c>
      <c r="AI316" s="221">
        <f t="shared" si="152"/>
        <v>0.48817473730288602</v>
      </c>
      <c r="AJ316" s="261" t="b">
        <f t="shared" si="153"/>
        <v>0</v>
      </c>
      <c r="AK316" s="261" t="b">
        <f t="shared" si="154"/>
        <v>0</v>
      </c>
      <c r="AL316" s="261"/>
      <c r="AM316" s="261"/>
      <c r="AN316" s="75"/>
      <c r="AV316" s="153">
        <f t="shared" si="159"/>
        <v>44498</v>
      </c>
      <c r="AW316" s="608"/>
      <c r="AX316" s="385"/>
      <c r="AY316" s="388"/>
      <c r="AZ316" s="380"/>
      <c r="BA316" s="380"/>
      <c r="BB316" s="110"/>
      <c r="BD316" s="375"/>
      <c r="BE316" s="85"/>
      <c r="BF316" s="193">
        <f t="shared" si="155"/>
        <v>44863</v>
      </c>
      <c r="BG316" s="430">
        <f t="shared" si="164"/>
        <v>1.165078974743583E-2</v>
      </c>
      <c r="BH316" s="846"/>
      <c r="BI316" s="846"/>
      <c r="BJ316" s="320">
        <f t="shared" si="156"/>
        <v>5.3597963467556832E-3</v>
      </c>
      <c r="BK316" s="378"/>
    </row>
    <row r="317" spans="1:63" s="6" customFormat="1" ht="11.25" customHeight="1" x14ac:dyDescent="0.2">
      <c r="A317" s="56">
        <f t="shared" si="157"/>
        <v>44864</v>
      </c>
      <c r="B317" s="608">
        <v>85.986999999999995</v>
      </c>
      <c r="C317" s="385"/>
      <c r="D317" s="388">
        <f t="shared" si="132"/>
        <v>86.506485998487904</v>
      </c>
      <c r="E317" s="380">
        <f t="shared" si="162"/>
        <v>88.9181079832275</v>
      </c>
      <c r="F317" s="380">
        <f t="shared" si="161"/>
        <v>88.928840015230989</v>
      </c>
      <c r="G317" s="110">
        <f t="shared" si="163"/>
        <v>0.63449331823948074</v>
      </c>
      <c r="I317" s="375">
        <f t="shared" si="133"/>
        <v>88.928840015230989</v>
      </c>
      <c r="J317" s="85">
        <v>2022</v>
      </c>
      <c r="K317" s="193">
        <f t="shared" si="134"/>
        <v>44864</v>
      </c>
      <c r="L317" s="430">
        <f t="shared" si="135"/>
        <v>6.0051681962550729E-3</v>
      </c>
      <c r="M317" s="846"/>
      <c r="N317" s="846"/>
      <c r="O317" s="320">
        <f t="shared" si="136"/>
        <v>2.7121831980438757E-2</v>
      </c>
      <c r="P317" s="165">
        <f>(INDEX(Models!$BJ317:$BT317,,T317)*(1-R317)+INDEX(Models!$BJ317:$BT317,,T317+1)*R317-ERP_i)*Q317*Ramure*Pc/MaxiM</f>
        <v>2.5248834037116754E-4</v>
      </c>
      <c r="Q317" s="301">
        <f t="shared" si="137"/>
        <v>0.5</v>
      </c>
      <c r="R317" s="173">
        <f t="shared" si="138"/>
        <v>0.4882357622829287</v>
      </c>
      <c r="S317" s="801">
        <f t="shared" si="158"/>
        <v>0</v>
      </c>
      <c r="T317" s="172">
        <f t="shared" si="139"/>
        <v>6</v>
      </c>
      <c r="U317" s="247">
        <f t="shared" si="140"/>
        <v>0.4882357622829287</v>
      </c>
      <c r="V317" s="378">
        <f t="shared" si="141"/>
        <v>135.50286890830972</v>
      </c>
      <c r="W317" s="397"/>
      <c r="X317" s="153">
        <f t="shared" si="142"/>
        <v>44864</v>
      </c>
      <c r="Y317" s="380">
        <f t="shared" si="143"/>
        <v>85.986999999999995</v>
      </c>
      <c r="Z317" s="380">
        <f t="shared" si="144"/>
        <v>86.506485998487904</v>
      </c>
      <c r="AA317" s="381">
        <f t="shared" si="145"/>
        <v>88.9181079832275</v>
      </c>
      <c r="AB317" s="193">
        <f t="shared" si="146"/>
        <v>44864</v>
      </c>
      <c r="AC317" s="420">
        <f t="shared" si="147"/>
        <v>2.7121831980438757E-2</v>
      </c>
      <c r="AD317" s="165">
        <f>(INDEX(Models!$BJ317:$BT317,,AH317)*(1-AF317)+INDEX(Models!$BJ317:$BT317,,AH317+1)*AF317-ERP_i)*AE317*Ramure*Pc/MaxiM</f>
        <v>2.5248834037116754E-4</v>
      </c>
      <c r="AE317" s="301">
        <f t="shared" si="148"/>
        <v>0.5</v>
      </c>
      <c r="AF317" s="173">
        <f t="shared" si="149"/>
        <v>0.4882357622829287</v>
      </c>
      <c r="AG317" s="801">
        <f t="shared" si="150"/>
        <v>0</v>
      </c>
      <c r="AH317" s="172">
        <f t="shared" si="151"/>
        <v>6</v>
      </c>
      <c r="AI317" s="221">
        <f t="shared" si="152"/>
        <v>0.4882357622829287</v>
      </c>
      <c r="AJ317" s="261" t="b">
        <f t="shared" si="153"/>
        <v>0</v>
      </c>
      <c r="AK317" s="261" t="b">
        <f t="shared" si="154"/>
        <v>0</v>
      </c>
      <c r="AL317" s="261"/>
      <c r="AM317" s="261"/>
      <c r="AN317" s="75"/>
      <c r="AV317" s="153">
        <f t="shared" si="159"/>
        <v>44499</v>
      </c>
      <c r="AW317" s="608"/>
      <c r="AX317" s="385"/>
      <c r="AY317" s="388"/>
      <c r="AZ317" s="380"/>
      <c r="BA317" s="380"/>
      <c r="BB317" s="110"/>
      <c r="BD317" s="375"/>
      <c r="BE317" s="85"/>
      <c r="BF317" s="193">
        <f t="shared" si="155"/>
        <v>44864</v>
      </c>
      <c r="BG317" s="430">
        <f t="shared" si="164"/>
        <v>1.1664465047510619E-2</v>
      </c>
      <c r="BH317" s="846"/>
      <c r="BI317" s="846"/>
      <c r="BJ317" s="320">
        <f t="shared" si="156"/>
        <v>5.425965573136478E-3</v>
      </c>
      <c r="BK317" s="378"/>
    </row>
    <row r="318" spans="1:63" s="6" customFormat="1" ht="11.25" customHeight="1" x14ac:dyDescent="0.2">
      <c r="A318" s="56">
        <f t="shared" si="157"/>
        <v>44865</v>
      </c>
      <c r="B318" s="608">
        <v>87.058000000000007</v>
      </c>
      <c r="C318" s="385"/>
      <c r="D318" s="388">
        <f t="shared" si="132"/>
        <v>87.585155356638069</v>
      </c>
      <c r="E318" s="380">
        <f t="shared" si="162"/>
        <v>90.029709863356345</v>
      </c>
      <c r="F318" s="380">
        <f t="shared" si="161"/>
        <v>90.042264193669411</v>
      </c>
      <c r="G318" s="110">
        <f t="shared" si="163"/>
        <v>0.64867724433196294</v>
      </c>
      <c r="I318" s="375">
        <f t="shared" si="133"/>
        <v>90.042264193669411</v>
      </c>
      <c r="J318" s="85">
        <v>2022</v>
      </c>
      <c r="K318" s="193">
        <f t="shared" si="134"/>
        <v>44865</v>
      </c>
      <c r="L318" s="430">
        <f t="shared" si="135"/>
        <v>6.0187751507836396E-3</v>
      </c>
      <c r="M318" s="846"/>
      <c r="N318" s="846"/>
      <c r="O318" s="320">
        <f t="shared" si="136"/>
        <v>2.7152753356958888E-2</v>
      </c>
      <c r="P318" s="165">
        <f>(INDEX(Models!$BJ318:$BT318,,T318)*(1-R318)+INDEX(Models!$BJ318:$BT318,,T318+1)*R318-ERP_i)*Q318*Ramure*Pc/MaxiM</f>
        <v>2.7983891927677425E-4</v>
      </c>
      <c r="Q318" s="301">
        <f t="shared" si="137"/>
        <v>0.5</v>
      </c>
      <c r="R318" s="173">
        <f t="shared" si="138"/>
        <v>0.48829434424878959</v>
      </c>
      <c r="S318" s="801">
        <f t="shared" si="158"/>
        <v>0</v>
      </c>
      <c r="T318" s="172">
        <f t="shared" si="139"/>
        <v>6</v>
      </c>
      <c r="U318" s="247">
        <f t="shared" si="140"/>
        <v>0.48829434424878959</v>
      </c>
      <c r="V318" s="378">
        <f t="shared" si="141"/>
        <v>134.18965299372874</v>
      </c>
      <c r="W318" s="397"/>
      <c r="X318" s="153">
        <f t="shared" si="142"/>
        <v>44865</v>
      </c>
      <c r="Y318" s="380">
        <f t="shared" si="143"/>
        <v>87.058000000000007</v>
      </c>
      <c r="Z318" s="380">
        <f t="shared" si="144"/>
        <v>87.585155356638069</v>
      </c>
      <c r="AA318" s="381">
        <f t="shared" si="145"/>
        <v>90.029709863356345</v>
      </c>
      <c r="AB318" s="193">
        <f t="shared" si="146"/>
        <v>44865</v>
      </c>
      <c r="AC318" s="420">
        <f t="shared" si="147"/>
        <v>2.7152753356958888E-2</v>
      </c>
      <c r="AD318" s="165">
        <f>(INDEX(Models!$BJ318:$BT318,,AH318)*(1-AF318)+INDEX(Models!$BJ318:$BT318,,AH318+1)*AF318-ERP_i)*AE318*Ramure*Pc/MaxiM</f>
        <v>2.7983891927677425E-4</v>
      </c>
      <c r="AE318" s="301">
        <f t="shared" si="148"/>
        <v>0.5</v>
      </c>
      <c r="AF318" s="173">
        <f t="shared" si="149"/>
        <v>0.48829434424878959</v>
      </c>
      <c r="AG318" s="801">
        <f t="shared" si="150"/>
        <v>0</v>
      </c>
      <c r="AH318" s="172">
        <f t="shared" si="151"/>
        <v>6</v>
      </c>
      <c r="AI318" s="221">
        <f t="shared" si="152"/>
        <v>0.48829434424878959</v>
      </c>
      <c r="AJ318" s="261" t="b">
        <f t="shared" si="153"/>
        <v>0</v>
      </c>
      <c r="AK318" s="261" t="b">
        <f t="shared" si="154"/>
        <v>0</v>
      </c>
      <c r="AL318" s="261"/>
      <c r="AM318" s="261"/>
      <c r="AN318" s="75"/>
      <c r="AV318" s="153">
        <f t="shared" si="159"/>
        <v>44500</v>
      </c>
      <c r="AW318" s="608"/>
      <c r="AX318" s="385"/>
      <c r="AY318" s="388"/>
      <c r="AZ318" s="380"/>
      <c r="BA318" s="380"/>
      <c r="BB318" s="110"/>
      <c r="BD318" s="375"/>
      <c r="BE318" s="85"/>
      <c r="BF318" s="193">
        <f t="shared" si="155"/>
        <v>44865</v>
      </c>
      <c r="BG318" s="430">
        <f t="shared" si="164"/>
        <v>1.1678140160381933E-2</v>
      </c>
      <c r="BH318" s="846"/>
      <c r="BI318" s="846"/>
      <c r="BJ318" s="320">
        <f t="shared" si="156"/>
        <v>5.491959447577E-3</v>
      </c>
      <c r="BK318" s="378"/>
    </row>
    <row r="319" spans="1:63" s="6" customFormat="1" ht="11.25" customHeight="1" x14ac:dyDescent="0.2">
      <c r="A319" s="56">
        <f t="shared" si="157"/>
        <v>44866</v>
      </c>
      <c r="B319" s="608">
        <v>86.400999999999996</v>
      </c>
      <c r="C319" s="385"/>
      <c r="D319" s="388">
        <f t="shared" si="132"/>
        <v>86.925367012271124</v>
      </c>
      <c r="E319" s="380">
        <f t="shared" si="162"/>
        <v>89.354332235028437</v>
      </c>
      <c r="F319" s="380">
        <f t="shared" si="161"/>
        <v>89.368067113464861</v>
      </c>
      <c r="G319" s="110">
        <f t="shared" si="163"/>
        <v>0.65015032778442983</v>
      </c>
      <c r="I319" s="375">
        <f t="shared" si="133"/>
        <v>89.368067113464861</v>
      </c>
      <c r="J319" s="85">
        <v>2022</v>
      </c>
      <c r="K319" s="193">
        <f t="shared" si="134"/>
        <v>44866</v>
      </c>
      <c r="L319" s="430">
        <f t="shared" si="135"/>
        <v>6.0323819190444272E-3</v>
      </c>
      <c r="M319" s="846"/>
      <c r="N319" s="846"/>
      <c r="O319" s="320">
        <f t="shared" si="136"/>
        <v>2.718351938849934E-2</v>
      </c>
      <c r="P319" s="165">
        <f>(INDEX(Models!$BJ319:$BT319,,T319)*(1-R319)+INDEX(Models!$BJ319:$BT319,,T319+1)*R319-ERP_i)*Q319*Ramure*Pc/MaxiM</f>
        <v>3.0715824795170407E-4</v>
      </c>
      <c r="Q319" s="301">
        <f t="shared" si="137"/>
        <v>0.5</v>
      </c>
      <c r="R319" s="173">
        <f t="shared" si="138"/>
        <v>0.48835058046093127</v>
      </c>
      <c r="S319" s="801">
        <f t="shared" si="158"/>
        <v>0</v>
      </c>
      <c r="T319" s="172">
        <f t="shared" si="139"/>
        <v>6</v>
      </c>
      <c r="U319" s="247">
        <f t="shared" si="140"/>
        <v>0.48835058046093127</v>
      </c>
      <c r="V319" s="378">
        <f t="shared" si="141"/>
        <v>132.87348227540062</v>
      </c>
      <c r="W319" s="397"/>
      <c r="X319" s="153">
        <f t="shared" si="142"/>
        <v>44866</v>
      </c>
      <c r="Y319" s="380">
        <f t="shared" si="143"/>
        <v>86.400999999999996</v>
      </c>
      <c r="Z319" s="380">
        <f t="shared" si="144"/>
        <v>86.925367012271124</v>
      </c>
      <c r="AA319" s="381">
        <f t="shared" si="145"/>
        <v>89.354332235028437</v>
      </c>
      <c r="AB319" s="193">
        <f t="shared" si="146"/>
        <v>44866</v>
      </c>
      <c r="AC319" s="420">
        <f t="shared" si="147"/>
        <v>2.718351938849934E-2</v>
      </c>
      <c r="AD319" s="165">
        <f>(INDEX(Models!$BJ319:$BT319,,AH319)*(1-AF319)+INDEX(Models!$BJ319:$BT319,,AH319+1)*AF319-ERP_i)*AE319*Ramure*Pc/MaxiM</f>
        <v>3.0715824795170407E-4</v>
      </c>
      <c r="AE319" s="301">
        <f t="shared" si="148"/>
        <v>0.5</v>
      </c>
      <c r="AF319" s="173">
        <f t="shared" si="149"/>
        <v>0.48835058046093127</v>
      </c>
      <c r="AG319" s="801">
        <f t="shared" si="150"/>
        <v>0</v>
      </c>
      <c r="AH319" s="172">
        <f t="shared" si="151"/>
        <v>6</v>
      </c>
      <c r="AI319" s="221">
        <f t="shared" si="152"/>
        <v>0.48835058046093127</v>
      </c>
      <c r="AJ319" s="261" t="b">
        <f t="shared" si="153"/>
        <v>0</v>
      </c>
      <c r="AK319" s="261" t="b">
        <f t="shared" si="154"/>
        <v>0</v>
      </c>
      <c r="AL319" s="261"/>
      <c r="AM319" s="261"/>
      <c r="AN319" s="75"/>
      <c r="AV319" s="153">
        <f t="shared" si="159"/>
        <v>44501</v>
      </c>
      <c r="AW319" s="608"/>
      <c r="AX319" s="385"/>
      <c r="AY319" s="388"/>
      <c r="AZ319" s="380"/>
      <c r="BA319" s="380"/>
      <c r="BB319" s="110"/>
      <c r="BD319" s="375"/>
      <c r="BE319" s="85"/>
      <c r="BF319" s="193">
        <f t="shared" si="155"/>
        <v>44866</v>
      </c>
      <c r="BG319" s="430">
        <f t="shared" si="164"/>
        <v>1.1691815086052437E-2</v>
      </c>
      <c r="BH319" s="846"/>
      <c r="BI319" s="846"/>
      <c r="BJ319" s="320">
        <f t="shared" si="156"/>
        <v>5.5577832030685318E-3</v>
      </c>
      <c r="BK319" s="378"/>
    </row>
    <row r="320" spans="1:63" s="6" customFormat="1" ht="11.25" customHeight="1" x14ac:dyDescent="0.2">
      <c r="A320" s="56">
        <f t="shared" si="157"/>
        <v>44867</v>
      </c>
      <c r="B320" s="608">
        <v>114.764</v>
      </c>
      <c r="C320" s="385"/>
      <c r="D320" s="388">
        <f t="shared" si="132"/>
        <v>115.46208242263336</v>
      </c>
      <c r="E320" s="380">
        <f t="shared" si="162"/>
        <v>118.69219040439006</v>
      </c>
      <c r="F320" s="380">
        <f t="shared" si="161"/>
        <v>118.72465698577568</v>
      </c>
      <c r="G320" s="110">
        <f t="shared" si="163"/>
        <v>0.872302230873782</v>
      </c>
      <c r="I320" s="375">
        <f t="shared" si="133"/>
        <v>118.72465698577568</v>
      </c>
      <c r="J320" s="85">
        <v>2022</v>
      </c>
      <c r="K320" s="193">
        <f t="shared" si="134"/>
        <v>44867</v>
      </c>
      <c r="L320" s="430">
        <f t="shared" si="135"/>
        <v>6.0459885010398784E-3</v>
      </c>
      <c r="M320" s="846"/>
      <c r="N320" s="846"/>
      <c r="O320" s="320">
        <f t="shared" si="136"/>
        <v>2.7214157652256332E-2</v>
      </c>
      <c r="P320" s="165">
        <f>(INDEX(Models!$BJ320:$BT320,,T320)*(1-R320)+INDEX(Models!$BJ320:$BT320,,T320+1)*R320-ERP_i)*Q320*Ramure*Pc/MaxiM</f>
        <v>3.3444742573836907E-4</v>
      </c>
      <c r="Q320" s="301">
        <f t="shared" si="137"/>
        <v>0.5</v>
      </c>
      <c r="R320" s="173">
        <f t="shared" si="138"/>
        <v>0.4884045643502854</v>
      </c>
      <c r="S320" s="801">
        <f t="shared" si="158"/>
        <v>0</v>
      </c>
      <c r="T320" s="172">
        <f t="shared" si="139"/>
        <v>6</v>
      </c>
      <c r="U320" s="247">
        <f t="shared" si="140"/>
        <v>0.4884045643502854</v>
      </c>
      <c r="V320" s="378">
        <f t="shared" si="141"/>
        <v>131.55646631989157</v>
      </c>
      <c r="W320" s="397"/>
      <c r="X320" s="153">
        <f t="shared" si="142"/>
        <v>44867</v>
      </c>
      <c r="Y320" s="380">
        <f t="shared" si="143"/>
        <v>114.764</v>
      </c>
      <c r="Z320" s="380">
        <f t="shared" si="144"/>
        <v>115.46208242263336</v>
      </c>
      <c r="AA320" s="381">
        <f t="shared" si="145"/>
        <v>118.69219040439006</v>
      </c>
      <c r="AB320" s="193">
        <f t="shared" si="146"/>
        <v>44867</v>
      </c>
      <c r="AC320" s="420">
        <f t="shared" si="147"/>
        <v>2.7214157652256332E-2</v>
      </c>
      <c r="AD320" s="165">
        <f>(INDEX(Models!$BJ320:$BT320,,AH320)*(1-AF320)+INDEX(Models!$BJ320:$BT320,,AH320+1)*AF320-ERP_i)*AE320*Ramure*Pc/MaxiM</f>
        <v>3.3444742573836907E-4</v>
      </c>
      <c r="AE320" s="301">
        <f t="shared" si="148"/>
        <v>0.5</v>
      </c>
      <c r="AF320" s="173">
        <f t="shared" si="149"/>
        <v>0.4884045643502854</v>
      </c>
      <c r="AG320" s="801">
        <f t="shared" si="150"/>
        <v>0</v>
      </c>
      <c r="AH320" s="172">
        <f t="shared" si="151"/>
        <v>6</v>
      </c>
      <c r="AI320" s="221">
        <f t="shared" si="152"/>
        <v>0.4884045643502854</v>
      </c>
      <c r="AJ320" s="261" t="b">
        <f t="shared" si="153"/>
        <v>0</v>
      </c>
      <c r="AK320" s="261" t="b">
        <f t="shared" si="154"/>
        <v>0</v>
      </c>
      <c r="AL320" s="261"/>
      <c r="AM320" s="261"/>
      <c r="AN320" s="75"/>
      <c r="AV320" s="153">
        <f t="shared" si="159"/>
        <v>44502</v>
      </c>
      <c r="AW320" s="608"/>
      <c r="AX320" s="385"/>
      <c r="AY320" s="388"/>
      <c r="AZ320" s="380"/>
      <c r="BA320" s="380"/>
      <c r="BB320" s="110"/>
      <c r="BD320" s="375"/>
      <c r="BE320" s="85"/>
      <c r="BF320" s="193">
        <f t="shared" si="155"/>
        <v>44867</v>
      </c>
      <c r="BG320" s="430">
        <f t="shared" si="164"/>
        <v>1.1705489824524795E-2</v>
      </c>
      <c r="BH320" s="846"/>
      <c r="BI320" s="846"/>
      <c r="BJ320" s="320">
        <f t="shared" si="156"/>
        <v>5.6234424457680537E-3</v>
      </c>
      <c r="BK320" s="378"/>
    </row>
    <row r="321" spans="1:63" s="6" customFormat="1" ht="11.25" customHeight="1" x14ac:dyDescent="0.2">
      <c r="A321" s="56">
        <f t="shared" si="157"/>
        <v>44868</v>
      </c>
      <c r="B321" s="608">
        <v>43.825000000000003</v>
      </c>
      <c r="C321" s="385"/>
      <c r="D321" s="388">
        <f t="shared" si="132"/>
        <v>44.092180753481379</v>
      </c>
      <c r="E321" s="380">
        <f t="shared" si="162"/>
        <v>45.327103932692744</v>
      </c>
      <c r="F321" s="380">
        <f t="shared" si="161"/>
        <v>45.327958657850239</v>
      </c>
      <c r="G321" s="110">
        <f t="shared" si="163"/>
        <v>0.33637695055814582</v>
      </c>
      <c r="I321" s="375">
        <f t="shared" si="133"/>
        <v>45.327958657850239</v>
      </c>
      <c r="J321" s="85">
        <v>2022</v>
      </c>
      <c r="K321" s="193">
        <f t="shared" si="134"/>
        <v>44868</v>
      </c>
      <c r="L321" s="430">
        <f t="shared" si="135"/>
        <v>6.0595948967727686E-3</v>
      </c>
      <c r="M321" s="846"/>
      <c r="N321" s="846"/>
      <c r="O321" s="320">
        <f t="shared" si="136"/>
        <v>2.7244696264846893E-2</v>
      </c>
      <c r="P321" s="165">
        <f>(INDEX(Models!$BJ321:$BT321,,T321)*(1-R321)+INDEX(Models!$BJ321:$BT321,,T321+1)*R321-ERP_i)*Q321*Ramure*Pc/MaxiM</f>
        <v>3.6170698839361868E-4</v>
      </c>
      <c r="Q321" s="301">
        <f t="shared" si="137"/>
        <v>0.5</v>
      </c>
      <c r="R321" s="173">
        <f t="shared" si="138"/>
        <v>0.48845638566567862</v>
      </c>
      <c r="S321" s="801">
        <f t="shared" si="158"/>
        <v>0</v>
      </c>
      <c r="T321" s="172">
        <f t="shared" si="139"/>
        <v>6</v>
      </c>
      <c r="U321" s="247">
        <f t="shared" si="140"/>
        <v>0.48845638566567862</v>
      </c>
      <c r="V321" s="378">
        <f t="shared" si="141"/>
        <v>130.24071423406303</v>
      </c>
      <c r="W321" s="397"/>
      <c r="X321" s="153">
        <f t="shared" si="142"/>
        <v>44868</v>
      </c>
      <c r="Y321" s="380">
        <f t="shared" si="143"/>
        <v>43.825000000000003</v>
      </c>
      <c r="Z321" s="380">
        <f t="shared" si="144"/>
        <v>44.092180753481379</v>
      </c>
      <c r="AA321" s="381">
        <f t="shared" si="145"/>
        <v>45.327103932692744</v>
      </c>
      <c r="AB321" s="193">
        <f t="shared" si="146"/>
        <v>44868</v>
      </c>
      <c r="AC321" s="420">
        <f t="shared" si="147"/>
        <v>2.7244696264846893E-2</v>
      </c>
      <c r="AD321" s="165">
        <f>(INDEX(Models!$BJ321:$BT321,,AH321)*(1-AF321)+INDEX(Models!$BJ321:$BT321,,AH321+1)*AF321-ERP_i)*AE321*Ramure*Pc/MaxiM</f>
        <v>3.6170698839361868E-4</v>
      </c>
      <c r="AE321" s="301">
        <f t="shared" si="148"/>
        <v>0.5</v>
      </c>
      <c r="AF321" s="173">
        <f t="shared" si="149"/>
        <v>0.48845638566567862</v>
      </c>
      <c r="AG321" s="801">
        <f t="shared" si="150"/>
        <v>0</v>
      </c>
      <c r="AH321" s="172">
        <f t="shared" si="151"/>
        <v>6</v>
      </c>
      <c r="AI321" s="221">
        <f t="shared" si="152"/>
        <v>0.48845638566567862</v>
      </c>
      <c r="AJ321" s="261" t="b">
        <f t="shared" si="153"/>
        <v>0</v>
      </c>
      <c r="AK321" s="261" t="b">
        <f t="shared" si="154"/>
        <v>0</v>
      </c>
      <c r="AL321" s="261"/>
      <c r="AM321" s="261"/>
      <c r="AN321" s="75"/>
      <c r="AV321" s="153">
        <f t="shared" si="159"/>
        <v>44503</v>
      </c>
      <c r="AW321" s="608"/>
      <c r="AX321" s="385"/>
      <c r="AY321" s="388"/>
      <c r="AZ321" s="380"/>
      <c r="BA321" s="380"/>
      <c r="BB321" s="110"/>
      <c r="BD321" s="375"/>
      <c r="BE321" s="85"/>
      <c r="BF321" s="193">
        <f t="shared" si="155"/>
        <v>44868</v>
      </c>
      <c r="BG321" s="430">
        <f t="shared" si="164"/>
        <v>1.171916437580145E-2</v>
      </c>
      <c r="BH321" s="846"/>
      <c r="BI321" s="846"/>
      <c r="BJ321" s="320">
        <f t="shared" si="156"/>
        <v>5.6889431350769229E-3</v>
      </c>
      <c r="BK321" s="378"/>
    </row>
    <row r="322" spans="1:63" s="6" customFormat="1" ht="11.25" customHeight="1" x14ac:dyDescent="0.2">
      <c r="A322" s="56">
        <f t="shared" si="157"/>
        <v>44869</v>
      </c>
      <c r="B322" s="608">
        <v>51.941000000000003</v>
      </c>
      <c r="C322" s="385"/>
      <c r="D322" s="388">
        <f t="shared" si="132"/>
        <v>52.258375624654249</v>
      </c>
      <c r="E322" s="380">
        <f t="shared" si="162"/>
        <v>53.723698293446915</v>
      </c>
      <c r="F322" s="380">
        <f t="shared" si="161"/>
        <v>53.726769074168885</v>
      </c>
      <c r="G322" s="110">
        <f t="shared" si="163"/>
        <v>0.402733550254608</v>
      </c>
      <c r="I322" s="375">
        <f t="shared" si="133"/>
        <v>53.726769074168885</v>
      </c>
      <c r="J322" s="85">
        <v>2022</v>
      </c>
      <c r="K322" s="193">
        <f t="shared" si="134"/>
        <v>44869</v>
      </c>
      <c r="L322" s="430">
        <f t="shared" si="135"/>
        <v>6.0732011062455404E-3</v>
      </c>
      <c r="M322" s="846"/>
      <c r="N322" s="846"/>
      <c r="O322" s="320">
        <f t="shared" si="136"/>
        <v>2.7275163760857479E-2</v>
      </c>
      <c r="P322" s="165">
        <f>(INDEX(Models!$BJ322:$BT322,,T322)*(1-R322)+INDEX(Models!$BJ322:$BT322,,T322+1)*R322-ERP_i)*Q322*Ramure*Pc/MaxiM</f>
        <v>3.8893686614879824E-4</v>
      </c>
      <c r="Q322" s="301">
        <f t="shared" si="137"/>
        <v>0.5</v>
      </c>
      <c r="R322" s="173">
        <f t="shared" si="138"/>
        <v>0.48850613061585096</v>
      </c>
      <c r="S322" s="801">
        <f t="shared" si="158"/>
        <v>0</v>
      </c>
      <c r="T322" s="172">
        <f t="shared" si="139"/>
        <v>6</v>
      </c>
      <c r="U322" s="247">
        <f t="shared" si="140"/>
        <v>0.48850613061585096</v>
      </c>
      <c r="V322" s="378">
        <f t="shared" si="141"/>
        <v>128.92833469318398</v>
      </c>
      <c r="W322" s="397"/>
      <c r="X322" s="153">
        <f t="shared" si="142"/>
        <v>44869</v>
      </c>
      <c r="Y322" s="380">
        <f t="shared" si="143"/>
        <v>51.941000000000003</v>
      </c>
      <c r="Z322" s="380">
        <f t="shared" si="144"/>
        <v>52.258375624654249</v>
      </c>
      <c r="AA322" s="381">
        <f t="shared" si="145"/>
        <v>53.723698293446915</v>
      </c>
      <c r="AB322" s="193">
        <f t="shared" si="146"/>
        <v>44869</v>
      </c>
      <c r="AC322" s="420">
        <f t="shared" si="147"/>
        <v>2.7275163760857479E-2</v>
      </c>
      <c r="AD322" s="165">
        <f>(INDEX(Models!$BJ322:$BT322,,AH322)*(1-AF322)+INDEX(Models!$BJ322:$BT322,,AH322+1)*AF322-ERP_i)*AE322*Ramure*Pc/MaxiM</f>
        <v>3.8893686614879824E-4</v>
      </c>
      <c r="AE322" s="301">
        <f t="shared" si="148"/>
        <v>0.5</v>
      </c>
      <c r="AF322" s="173">
        <f t="shared" si="149"/>
        <v>0.48850613061585096</v>
      </c>
      <c r="AG322" s="801">
        <f t="shared" si="150"/>
        <v>0</v>
      </c>
      <c r="AH322" s="172">
        <f t="shared" si="151"/>
        <v>6</v>
      </c>
      <c r="AI322" s="221">
        <f t="shared" si="152"/>
        <v>0.48850613061585096</v>
      </c>
      <c r="AJ322" s="261" t="b">
        <f t="shared" si="153"/>
        <v>0</v>
      </c>
      <c r="AK322" s="261" t="b">
        <f t="shared" si="154"/>
        <v>0</v>
      </c>
      <c r="AL322" s="261"/>
      <c r="AM322" s="261"/>
      <c r="AN322" s="75"/>
      <c r="AV322" s="153">
        <f t="shared" si="159"/>
        <v>44504</v>
      </c>
      <c r="AW322" s="608"/>
      <c r="AX322" s="385"/>
      <c r="AY322" s="388"/>
      <c r="AZ322" s="380"/>
      <c r="BA322" s="380"/>
      <c r="BB322" s="110"/>
      <c r="BD322" s="375"/>
      <c r="BE322" s="85"/>
      <c r="BF322" s="193">
        <f t="shared" si="155"/>
        <v>44869</v>
      </c>
      <c r="BG322" s="430">
        <f t="shared" si="164"/>
        <v>1.1732838739884843E-2</v>
      </c>
      <c r="BH322" s="846"/>
      <c r="BI322" s="846"/>
      <c r="BJ322" s="320">
        <f t="shared" si="156"/>
        <v>5.754291561110755E-3</v>
      </c>
      <c r="BK322" s="378"/>
    </row>
    <row r="323" spans="1:63" s="6" customFormat="1" ht="11.25" customHeight="1" x14ac:dyDescent="0.2">
      <c r="A323" s="56">
        <f t="shared" si="157"/>
        <v>44870</v>
      </c>
      <c r="B323" s="608">
        <v>122.15</v>
      </c>
      <c r="C323" s="385"/>
      <c r="D323" s="388">
        <f t="shared" si="132"/>
        <v>122.89805676813313</v>
      </c>
      <c r="E323" s="380">
        <f t="shared" si="162"/>
        <v>126.34806510058038</v>
      </c>
      <c r="F323" s="380">
        <f t="shared" si="161"/>
        <v>126.39744220222137</v>
      </c>
      <c r="G323" s="110">
        <f t="shared" si="163"/>
        <v>0.95710320645991664</v>
      </c>
      <c r="I323" s="375">
        <f t="shared" si="133"/>
        <v>126.39744220222137</v>
      </c>
      <c r="J323" s="85">
        <v>2022</v>
      </c>
      <c r="K323" s="193">
        <f t="shared" si="134"/>
        <v>44870</v>
      </c>
      <c r="L323" s="430">
        <f t="shared" si="135"/>
        <v>6.0868071294606363E-3</v>
      </c>
      <c r="M323" s="846"/>
      <c r="N323" s="846"/>
      <c r="O323" s="320">
        <f t="shared" si="136"/>
        <v>2.7305588967277424E-2</v>
      </c>
      <c r="P323" s="165">
        <f>(INDEX(Models!$BJ323:$BT323,,T323)*(1-R323)+INDEX(Models!$BJ323:$BT323,,T323+1)*R323-ERP_i)*Q323*Ramure*Pc/MaxiM</f>
        <v>4.1613633057692082E-4</v>
      </c>
      <c r="Q323" s="301">
        <f t="shared" si="137"/>
        <v>0.5</v>
      </c>
      <c r="R323" s="173">
        <f t="shared" si="138"/>
        <v>0.48855388200624039</v>
      </c>
      <c r="S323" s="801">
        <f t="shared" si="158"/>
        <v>0</v>
      </c>
      <c r="T323" s="172">
        <f t="shared" si="139"/>
        <v>6</v>
      </c>
      <c r="U323" s="247">
        <f t="shared" si="140"/>
        <v>0.48855388200624039</v>
      </c>
      <c r="V323" s="378">
        <f t="shared" si="141"/>
        <v>127.62143596059282</v>
      </c>
      <c r="W323" s="397"/>
      <c r="X323" s="153">
        <f t="shared" si="142"/>
        <v>44870</v>
      </c>
      <c r="Y323" s="380">
        <f t="shared" si="143"/>
        <v>122.15</v>
      </c>
      <c r="Z323" s="380">
        <f t="shared" si="144"/>
        <v>122.89805676813313</v>
      </c>
      <c r="AA323" s="381">
        <f t="shared" si="145"/>
        <v>126.34806510058038</v>
      </c>
      <c r="AB323" s="193">
        <f t="shared" si="146"/>
        <v>44870</v>
      </c>
      <c r="AC323" s="420">
        <f t="shared" si="147"/>
        <v>2.7305588967277424E-2</v>
      </c>
      <c r="AD323" s="165">
        <f>(INDEX(Models!$BJ323:$BT323,,AH323)*(1-AF323)+INDEX(Models!$BJ323:$BT323,,AH323+1)*AF323-ERP_i)*AE323*Ramure*Pc/MaxiM</f>
        <v>4.1613633057692082E-4</v>
      </c>
      <c r="AE323" s="301">
        <f t="shared" si="148"/>
        <v>0.5</v>
      </c>
      <c r="AF323" s="173">
        <f t="shared" si="149"/>
        <v>0.48855388200624039</v>
      </c>
      <c r="AG323" s="801">
        <f t="shared" si="150"/>
        <v>0</v>
      </c>
      <c r="AH323" s="172">
        <f t="shared" si="151"/>
        <v>6</v>
      </c>
      <c r="AI323" s="221">
        <f t="shared" si="152"/>
        <v>0.48855388200624039</v>
      </c>
      <c r="AJ323" s="261" t="b">
        <f t="shared" si="153"/>
        <v>0</v>
      </c>
      <c r="AK323" s="261" t="b">
        <f t="shared" si="154"/>
        <v>0</v>
      </c>
      <c r="AL323" s="261"/>
      <c r="AM323" s="261"/>
      <c r="AN323" s="75"/>
      <c r="AV323" s="153">
        <f t="shared" si="159"/>
        <v>44505</v>
      </c>
      <c r="AW323" s="608"/>
      <c r="AX323" s="385"/>
      <c r="AY323" s="388"/>
      <c r="AZ323" s="380"/>
      <c r="BA323" s="380"/>
      <c r="BB323" s="110"/>
      <c r="BD323" s="375"/>
      <c r="BE323" s="85"/>
      <c r="BF323" s="193">
        <f t="shared" si="155"/>
        <v>44870</v>
      </c>
      <c r="BG323" s="430">
        <f t="shared" si="164"/>
        <v>1.1746512916777863E-2</v>
      </c>
      <c r="BH323" s="846"/>
      <c r="BI323" s="846"/>
      <c r="BJ323" s="320">
        <f t="shared" si="156"/>
        <v>5.8194943196808362E-3</v>
      </c>
      <c r="BK323" s="378"/>
    </row>
    <row r="324" spans="1:63" s="6" customFormat="1" ht="11.25" customHeight="1" x14ac:dyDescent="0.2">
      <c r="A324" s="56">
        <f t="shared" si="157"/>
        <v>44871</v>
      </c>
      <c r="B324" s="608">
        <v>122.581</v>
      </c>
      <c r="C324" s="385"/>
      <c r="D324" s="388">
        <f t="shared" si="132"/>
        <v>123.3333845784751</v>
      </c>
      <c r="E324" s="380">
        <f t="shared" si="162"/>
        <v>126.79957795228457</v>
      </c>
      <c r="F324" s="380">
        <f t="shared" si="161"/>
        <v>126.85337190072234</v>
      </c>
      <c r="G324" s="110">
        <f t="shared" si="163"/>
        <v>0.97036556076065206</v>
      </c>
      <c r="I324" s="375">
        <f t="shared" si="133"/>
        <v>126.85337190072234</v>
      </c>
      <c r="J324" s="85">
        <v>2022</v>
      </c>
      <c r="K324" s="193">
        <f t="shared" si="134"/>
        <v>44871</v>
      </c>
      <c r="L324" s="430">
        <f t="shared" si="135"/>
        <v>6.1004129664208318E-3</v>
      </c>
      <c r="M324" s="846"/>
      <c r="N324" s="846"/>
      <c r="O324" s="320">
        <f t="shared" si="136"/>
        <v>2.7336000874654327E-2</v>
      </c>
      <c r="P324" s="165">
        <f>(INDEX(Models!$BJ324:$BT324,,T324)*(1-R324)+INDEX(Models!$BJ324:$BT324,,T324+1)*R324-ERP_i)*Q324*Ramure*Pc/MaxiM</f>
        <v>4.4279832507221871E-4</v>
      </c>
      <c r="Q324" s="301">
        <f t="shared" si="137"/>
        <v>0.5</v>
      </c>
      <c r="R324" s="173">
        <f t="shared" si="138"/>
        <v>0.48859971937070956</v>
      </c>
      <c r="S324" s="801">
        <f t="shared" si="158"/>
        <v>0</v>
      </c>
      <c r="T324" s="172">
        <f t="shared" si="139"/>
        <v>6</v>
      </c>
      <c r="U324" s="247">
        <f t="shared" si="140"/>
        <v>0.48859971937070956</v>
      </c>
      <c r="V324" s="378">
        <f t="shared" si="141"/>
        <v>126.32218981213457</v>
      </c>
      <c r="W324" s="397"/>
      <c r="X324" s="153">
        <f t="shared" si="142"/>
        <v>44871</v>
      </c>
      <c r="Y324" s="380">
        <f t="shared" si="143"/>
        <v>122.581</v>
      </c>
      <c r="Z324" s="380">
        <f t="shared" si="144"/>
        <v>123.3333845784751</v>
      </c>
      <c r="AA324" s="381">
        <f t="shared" si="145"/>
        <v>126.79957795228457</v>
      </c>
      <c r="AB324" s="193">
        <f t="shared" si="146"/>
        <v>44871</v>
      </c>
      <c r="AC324" s="420">
        <f t="shared" si="147"/>
        <v>2.7336000874654327E-2</v>
      </c>
      <c r="AD324" s="165">
        <f>(INDEX(Models!$BJ324:$BT324,,AH324)*(1-AF324)+INDEX(Models!$BJ324:$BT324,,AH324+1)*AF324-ERP_i)*AE324*Ramure*Pc/MaxiM</f>
        <v>4.4279832507221871E-4</v>
      </c>
      <c r="AE324" s="301">
        <f t="shared" si="148"/>
        <v>0.5</v>
      </c>
      <c r="AF324" s="173">
        <f t="shared" si="149"/>
        <v>0.48859971937070956</v>
      </c>
      <c r="AG324" s="801">
        <f t="shared" si="150"/>
        <v>0</v>
      </c>
      <c r="AH324" s="172">
        <f t="shared" si="151"/>
        <v>6</v>
      </c>
      <c r="AI324" s="221">
        <f t="shared" si="152"/>
        <v>0.48859971937070956</v>
      </c>
      <c r="AJ324" s="261" t="b">
        <f t="shared" si="153"/>
        <v>0</v>
      </c>
      <c r="AK324" s="261" t="b">
        <f t="shared" si="154"/>
        <v>0</v>
      </c>
      <c r="AL324" s="261"/>
      <c r="AM324" s="261"/>
      <c r="AN324" s="75"/>
      <c r="AV324" s="153">
        <f t="shared" si="159"/>
        <v>44506</v>
      </c>
      <c r="AW324" s="608"/>
      <c r="AX324" s="385"/>
      <c r="AY324" s="388"/>
      <c r="AZ324" s="380"/>
      <c r="BA324" s="380"/>
      <c r="BB324" s="110"/>
      <c r="BD324" s="375"/>
      <c r="BE324" s="85"/>
      <c r="BF324" s="193">
        <f t="shared" si="155"/>
        <v>44871</v>
      </c>
      <c r="BG324" s="430">
        <f t="shared" si="164"/>
        <v>1.1760186906482728E-2</v>
      </c>
      <c r="BH324" s="846"/>
      <c r="BI324" s="846"/>
      <c r="BJ324" s="320">
        <f t="shared" si="156"/>
        <v>5.8845582849309788E-3</v>
      </c>
      <c r="BK324" s="378"/>
    </row>
    <row r="325" spans="1:63" s="6" customFormat="1" ht="11.25" customHeight="1" x14ac:dyDescent="0.2">
      <c r="A325" s="56">
        <f t="shared" si="157"/>
        <v>44872</v>
      </c>
      <c r="B325" s="608">
        <v>118.357</v>
      </c>
      <c r="C325" s="385"/>
      <c r="D325" s="388">
        <f t="shared" si="132"/>
        <v>119.08508844779219</v>
      </c>
      <c r="E325" s="380">
        <f t="shared" si="162"/>
        <v>122.43571673642113</v>
      </c>
      <c r="F325" s="380">
        <f t="shared" ref="F325:F356" si="165">Wh_sa/(1-Pvg*MEDIAN((-Sdif+Wh/Env_an)/Csdif,0,1))</f>
        <v>122.48864217227751</v>
      </c>
      <c r="G325" s="110">
        <f t="shared" si="163"/>
        <v>0.94657346909520601</v>
      </c>
      <c r="I325" s="375">
        <f t="shared" si="133"/>
        <v>122.48864217227751</v>
      </c>
      <c r="J325" s="85">
        <v>2022</v>
      </c>
      <c r="K325" s="193">
        <f t="shared" si="134"/>
        <v>44872</v>
      </c>
      <c r="L325" s="430">
        <f t="shared" si="135"/>
        <v>6.1140186171284583E-3</v>
      </c>
      <c r="M325" s="846"/>
      <c r="N325" s="846"/>
      <c r="O325" s="320">
        <f t="shared" si="136"/>
        <v>2.7366428505843251E-2</v>
      </c>
      <c r="P325" s="165">
        <f>(INDEX(Models!$BJ325:$BT325,,T325)*(1-R325)+INDEX(Models!$BJ325:$BT325,,T325+1)*R325-ERP_i)*Q325*Ramure*Pc/MaxiM</f>
        <v>4.6776323898821274E-4</v>
      </c>
      <c r="Q325" s="301">
        <f t="shared" si="137"/>
        <v>0.5</v>
      </c>
      <c r="R325" s="173">
        <f t="shared" si="138"/>
        <v>0.48864371909838067</v>
      </c>
      <c r="S325" s="801">
        <f t="shared" si="158"/>
        <v>0</v>
      </c>
      <c r="T325" s="172">
        <f t="shared" si="139"/>
        <v>6</v>
      </c>
      <c r="U325" s="247">
        <f t="shared" si="140"/>
        <v>0.48864371909838067</v>
      </c>
      <c r="V325" s="378">
        <f t="shared" si="141"/>
        <v>125.03284658043563</v>
      </c>
      <c r="W325" s="397"/>
      <c r="X325" s="153">
        <f t="shared" si="142"/>
        <v>44872</v>
      </c>
      <c r="Y325" s="380">
        <f t="shared" si="143"/>
        <v>118.357</v>
      </c>
      <c r="Z325" s="380">
        <f t="shared" si="144"/>
        <v>119.08508844779219</v>
      </c>
      <c r="AA325" s="381">
        <f t="shared" si="145"/>
        <v>122.43571673642113</v>
      </c>
      <c r="AB325" s="193">
        <f t="shared" si="146"/>
        <v>44872</v>
      </c>
      <c r="AC325" s="420">
        <f t="shared" si="147"/>
        <v>2.7366428505843251E-2</v>
      </c>
      <c r="AD325" s="165">
        <f>(INDEX(Models!$BJ325:$BT325,,AH325)*(1-AF325)+INDEX(Models!$BJ325:$BT325,,AH325+1)*AF325-ERP_i)*AE325*Ramure*Pc/MaxiM</f>
        <v>4.6776323898821274E-4</v>
      </c>
      <c r="AE325" s="301">
        <f t="shared" si="148"/>
        <v>0.5</v>
      </c>
      <c r="AF325" s="173">
        <f t="shared" si="149"/>
        <v>0.48864371909838067</v>
      </c>
      <c r="AG325" s="801">
        <f t="shared" si="150"/>
        <v>0</v>
      </c>
      <c r="AH325" s="172">
        <f t="shared" si="151"/>
        <v>6</v>
      </c>
      <c r="AI325" s="221">
        <f t="shared" si="152"/>
        <v>0.48864371909838067</v>
      </c>
      <c r="AJ325" s="261" t="b">
        <f t="shared" si="153"/>
        <v>0</v>
      </c>
      <c r="AK325" s="261" t="b">
        <f t="shared" si="154"/>
        <v>0</v>
      </c>
      <c r="AL325" s="261"/>
      <c r="AM325" s="261"/>
      <c r="AN325" s="75"/>
      <c r="AV325" s="153">
        <f t="shared" si="159"/>
        <v>44507</v>
      </c>
      <c r="AW325" s="608"/>
      <c r="AX325" s="385"/>
      <c r="AY325" s="388"/>
      <c r="AZ325" s="380"/>
      <c r="BA325" s="380"/>
      <c r="BB325" s="110"/>
      <c r="BD325" s="375"/>
      <c r="BE325" s="85"/>
      <c r="BF325" s="193">
        <f t="shared" si="155"/>
        <v>44872</v>
      </c>
      <c r="BG325" s="430">
        <f t="shared" si="164"/>
        <v>1.1773860709002215E-2</v>
      </c>
      <c r="BH325" s="846"/>
      <c r="BI325" s="846"/>
      <c r="BJ325" s="320">
        <f t="shared" si="156"/>
        <v>5.9494905797966213E-3</v>
      </c>
      <c r="BK325" s="378"/>
    </row>
    <row r="326" spans="1:63" s="6" customFormat="1" ht="11.25" customHeight="1" x14ac:dyDescent="0.2">
      <c r="A326" s="56">
        <f t="shared" si="157"/>
        <v>44873</v>
      </c>
      <c r="B326" s="608">
        <v>79.227000000000004</v>
      </c>
      <c r="C326" s="385"/>
      <c r="D326" s="388">
        <f t="shared" si="132"/>
        <v>79.715466411658952</v>
      </c>
      <c r="E326" s="380">
        <f t="shared" si="162"/>
        <v>81.960942213586279</v>
      </c>
      <c r="F326" s="380">
        <f t="shared" si="165"/>
        <v>81.980504790373274</v>
      </c>
      <c r="G326" s="110">
        <f t="shared" si="163"/>
        <v>0.64002806776664234</v>
      </c>
      <c r="I326" s="375">
        <f t="shared" si="133"/>
        <v>81.980504790373274</v>
      </c>
      <c r="J326" s="85">
        <v>2022</v>
      </c>
      <c r="K326" s="193">
        <f t="shared" si="134"/>
        <v>44873</v>
      </c>
      <c r="L326" s="430">
        <f t="shared" si="135"/>
        <v>6.1276240815860694E-3</v>
      </c>
      <c r="M326" s="846"/>
      <c r="N326" s="846"/>
      <c r="O326" s="320">
        <f t="shared" si="136"/>
        <v>2.7396900783250158E-2</v>
      </c>
      <c r="P326" s="165">
        <f>(INDEX(Models!$BJ326:$BT326,,T326)*(1-R326)+INDEX(Models!$BJ326:$BT326,,T326+1)*R326-ERP_i)*Q326*Ramure*Pc/MaxiM</f>
        <v>4.9101230274665347E-4</v>
      </c>
      <c r="Q326" s="301">
        <f t="shared" si="137"/>
        <v>0.5</v>
      </c>
      <c r="R326" s="173">
        <f t="shared" si="138"/>
        <v>0.4886859545557467</v>
      </c>
      <c r="S326" s="801">
        <f t="shared" si="158"/>
        <v>0</v>
      </c>
      <c r="T326" s="172">
        <f t="shared" si="139"/>
        <v>6</v>
      </c>
      <c r="U326" s="247">
        <f t="shared" si="140"/>
        <v>0.4886859545557467</v>
      </c>
      <c r="V326" s="378">
        <f t="shared" si="141"/>
        <v>123.75550902703446</v>
      </c>
      <c r="W326" s="397"/>
      <c r="X326" s="153">
        <f t="shared" si="142"/>
        <v>44873</v>
      </c>
      <c r="Y326" s="380">
        <f t="shared" si="143"/>
        <v>79.227000000000004</v>
      </c>
      <c r="Z326" s="380">
        <f t="shared" si="144"/>
        <v>79.715466411658952</v>
      </c>
      <c r="AA326" s="381">
        <f t="shared" si="145"/>
        <v>81.960942213586279</v>
      </c>
      <c r="AB326" s="193">
        <f t="shared" si="146"/>
        <v>44873</v>
      </c>
      <c r="AC326" s="420">
        <f t="shared" si="147"/>
        <v>2.7396900783250158E-2</v>
      </c>
      <c r="AD326" s="165">
        <f>(INDEX(Models!$BJ326:$BT326,,AH326)*(1-AF326)+INDEX(Models!$BJ326:$BT326,,AH326+1)*AF326-ERP_i)*AE326*Ramure*Pc/MaxiM</f>
        <v>4.9101230274665347E-4</v>
      </c>
      <c r="AE326" s="301">
        <f t="shared" si="148"/>
        <v>0.5</v>
      </c>
      <c r="AF326" s="173">
        <f t="shared" si="149"/>
        <v>0.4886859545557467</v>
      </c>
      <c r="AG326" s="801">
        <f t="shared" si="150"/>
        <v>0</v>
      </c>
      <c r="AH326" s="172">
        <f t="shared" si="151"/>
        <v>6</v>
      </c>
      <c r="AI326" s="221">
        <f t="shared" si="152"/>
        <v>0.4886859545557467</v>
      </c>
      <c r="AJ326" s="261" t="b">
        <f t="shared" si="153"/>
        <v>0</v>
      </c>
      <c r="AK326" s="261" t="b">
        <f t="shared" si="154"/>
        <v>0</v>
      </c>
      <c r="AL326" s="261"/>
      <c r="AM326" s="261"/>
      <c r="AN326" s="75"/>
      <c r="AV326" s="153">
        <f t="shared" si="159"/>
        <v>44508</v>
      </c>
      <c r="AW326" s="608"/>
      <c r="AX326" s="385"/>
      <c r="AY326" s="388"/>
      <c r="AZ326" s="380"/>
      <c r="BA326" s="380"/>
      <c r="BB326" s="110"/>
      <c r="BD326" s="375"/>
      <c r="BE326" s="85"/>
      <c r="BF326" s="193">
        <f t="shared" si="155"/>
        <v>44873</v>
      </c>
      <c r="BG326" s="430">
        <f t="shared" si="164"/>
        <v>1.1787534324338877E-2</v>
      </c>
      <c r="BH326" s="846"/>
      <c r="BI326" s="846"/>
      <c r="BJ326" s="320">
        <f t="shared" si="156"/>
        <v>6.0142985444739854E-3</v>
      </c>
      <c r="BK326" s="378"/>
    </row>
    <row r="327" spans="1:63" s="6" customFormat="1" ht="11.25" customHeight="1" x14ac:dyDescent="0.2">
      <c r="A327" s="56">
        <f t="shared" si="157"/>
        <v>44874</v>
      </c>
      <c r="B327" s="608">
        <v>44.701000000000001</v>
      </c>
      <c r="C327" s="385"/>
      <c r="D327" s="388">
        <f t="shared" si="132"/>
        <v>44.977215395710026</v>
      </c>
      <c r="E327" s="380">
        <f t="shared" si="162"/>
        <v>46.245614508673192</v>
      </c>
      <c r="F327" s="380">
        <f t="shared" si="165"/>
        <v>46.247813119200636</v>
      </c>
      <c r="G327" s="110">
        <f t="shared" si="163"/>
        <v>0.3647594264617931</v>
      </c>
      <c r="I327" s="375">
        <f t="shared" si="133"/>
        <v>46.247813119200636</v>
      </c>
      <c r="J327" s="85">
        <v>2022</v>
      </c>
      <c r="K327" s="193">
        <f t="shared" si="134"/>
        <v>44874</v>
      </c>
      <c r="L327" s="430">
        <f t="shared" si="135"/>
        <v>6.1412293597964407E-3</v>
      </c>
      <c r="M327" s="846"/>
      <c r="N327" s="846"/>
      <c r="O327" s="320">
        <f t="shared" si="136"/>
        <v>2.7427446395490732E-2</v>
      </c>
      <c r="P327" s="165">
        <f>(INDEX(Models!$BJ327:$BT327,,T327)*(1-R327)+INDEX(Models!$BJ327:$BT327,,T327+1)*R327-ERP_i)*Q327*Ramure*Pc/MaxiM</f>
        <v>5.125256621443064E-4</v>
      </c>
      <c r="Q327" s="301">
        <f t="shared" si="137"/>
        <v>0.5</v>
      </c>
      <c r="R327" s="173">
        <f t="shared" si="138"/>
        <v>0.48872649620421621</v>
      </c>
      <c r="S327" s="801">
        <f t="shared" si="158"/>
        <v>0</v>
      </c>
      <c r="T327" s="172">
        <f t="shared" si="139"/>
        <v>6</v>
      </c>
      <c r="U327" s="247">
        <f t="shared" si="140"/>
        <v>0.48872649620421621</v>
      </c>
      <c r="V327" s="378">
        <f t="shared" si="141"/>
        <v>122.49227966768589</v>
      </c>
      <c r="W327" s="397"/>
      <c r="X327" s="153">
        <f t="shared" si="142"/>
        <v>44874</v>
      </c>
      <c r="Y327" s="380">
        <f t="shared" si="143"/>
        <v>44.701000000000001</v>
      </c>
      <c r="Z327" s="380">
        <f t="shared" si="144"/>
        <v>44.977215395710026</v>
      </c>
      <c r="AA327" s="381">
        <f t="shared" si="145"/>
        <v>46.245614508673192</v>
      </c>
      <c r="AB327" s="193">
        <f t="shared" si="146"/>
        <v>44874</v>
      </c>
      <c r="AC327" s="420">
        <f t="shared" si="147"/>
        <v>2.7427446395490732E-2</v>
      </c>
      <c r="AD327" s="165">
        <f>(INDEX(Models!$BJ327:$BT327,,AH327)*(1-AF327)+INDEX(Models!$BJ327:$BT327,,AH327+1)*AF327-ERP_i)*AE327*Ramure*Pc/MaxiM</f>
        <v>5.125256621443064E-4</v>
      </c>
      <c r="AE327" s="301">
        <f t="shared" si="148"/>
        <v>0.5</v>
      </c>
      <c r="AF327" s="173">
        <f t="shared" si="149"/>
        <v>0.48872649620421621</v>
      </c>
      <c r="AG327" s="801">
        <f t="shared" si="150"/>
        <v>0</v>
      </c>
      <c r="AH327" s="172">
        <f t="shared" si="151"/>
        <v>6</v>
      </c>
      <c r="AI327" s="221">
        <f t="shared" si="152"/>
        <v>0.48872649620421621</v>
      </c>
      <c r="AJ327" s="261" t="b">
        <f t="shared" si="153"/>
        <v>0</v>
      </c>
      <c r="AK327" s="261" t="b">
        <f t="shared" si="154"/>
        <v>0</v>
      </c>
      <c r="AL327" s="261"/>
      <c r="AM327" s="261"/>
      <c r="AN327" s="75"/>
      <c r="AV327" s="153">
        <f t="shared" si="159"/>
        <v>44509</v>
      </c>
      <c r="AW327" s="608"/>
      <c r="AX327" s="385"/>
      <c r="AY327" s="388"/>
      <c r="AZ327" s="380"/>
      <c r="BA327" s="380"/>
      <c r="BB327" s="110"/>
      <c r="BD327" s="375"/>
      <c r="BE327" s="85"/>
      <c r="BF327" s="193">
        <f t="shared" si="155"/>
        <v>44874</v>
      </c>
      <c r="BG327" s="430">
        <f t="shared" si="164"/>
        <v>1.1801207752495158E-2</v>
      </c>
      <c r="BH327" s="846"/>
      <c r="BI327" s="846"/>
      <c r="BJ327" s="320">
        <f t="shared" si="156"/>
        <v>6.0789897031074108E-3</v>
      </c>
      <c r="BK327" s="378"/>
    </row>
    <row r="328" spans="1:63" s="6" customFormat="1" ht="11.25" customHeight="1" x14ac:dyDescent="0.2">
      <c r="A328" s="56">
        <f t="shared" si="157"/>
        <v>44875</v>
      </c>
      <c r="B328" s="608">
        <v>92.822000000000003</v>
      </c>
      <c r="C328" s="385"/>
      <c r="D328" s="388">
        <f t="shared" si="132"/>
        <v>93.396842101451782</v>
      </c>
      <c r="E328" s="380">
        <f t="shared" si="162"/>
        <v>96.033745685425174</v>
      </c>
      <c r="F328" s="380">
        <f t="shared" si="165"/>
        <v>96.067755850477184</v>
      </c>
      <c r="G328" s="110">
        <f t="shared" si="163"/>
        <v>0.76543567229483023</v>
      </c>
      <c r="I328" s="375">
        <f t="shared" si="133"/>
        <v>96.067755850477184</v>
      </c>
      <c r="J328" s="85">
        <v>2022</v>
      </c>
      <c r="K328" s="193">
        <f t="shared" si="134"/>
        <v>44875</v>
      </c>
      <c r="L328" s="430">
        <f t="shared" si="135"/>
        <v>6.1548344517619036E-3</v>
      </c>
      <c r="M328" s="846"/>
      <c r="N328" s="846"/>
      <c r="O328" s="320">
        <f t="shared" si="136"/>
        <v>2.7458093664398085E-2</v>
      </c>
      <c r="P328" s="165">
        <f>(INDEX(Models!$BJ328:$BT328,,T328)*(1-R328)+INDEX(Models!$BJ328:$BT328,,T328+1)*R328-ERP_i)*Q328*Ramure*Pc/MaxiM</f>
        <v>5.3228239458992239E-4</v>
      </c>
      <c r="Q328" s="301">
        <f t="shared" si="137"/>
        <v>0.5</v>
      </c>
      <c r="R328" s="173">
        <f t="shared" si="138"/>
        <v>0.48876541171325139</v>
      </c>
      <c r="S328" s="801">
        <f t="shared" si="158"/>
        <v>0</v>
      </c>
      <c r="T328" s="172">
        <f t="shared" si="139"/>
        <v>6</v>
      </c>
      <c r="U328" s="247">
        <f t="shared" si="140"/>
        <v>0.48876541171325139</v>
      </c>
      <c r="V328" s="378">
        <f t="shared" si="141"/>
        <v>121.24526080590591</v>
      </c>
      <c r="W328" s="397"/>
      <c r="X328" s="153">
        <f t="shared" si="142"/>
        <v>44875</v>
      </c>
      <c r="Y328" s="380">
        <f t="shared" si="143"/>
        <v>92.822000000000003</v>
      </c>
      <c r="Z328" s="380">
        <f t="shared" si="144"/>
        <v>93.396842101451782</v>
      </c>
      <c r="AA328" s="381">
        <f t="shared" si="145"/>
        <v>96.033745685425174</v>
      </c>
      <c r="AB328" s="193">
        <f t="shared" si="146"/>
        <v>44875</v>
      </c>
      <c r="AC328" s="420">
        <f t="shared" si="147"/>
        <v>2.7458093664398085E-2</v>
      </c>
      <c r="AD328" s="165">
        <f>(INDEX(Models!$BJ328:$BT328,,AH328)*(1-AF328)+INDEX(Models!$BJ328:$BT328,,AH328+1)*AF328-ERP_i)*AE328*Ramure*Pc/MaxiM</f>
        <v>5.3228239458992239E-4</v>
      </c>
      <c r="AE328" s="301">
        <f t="shared" si="148"/>
        <v>0.5</v>
      </c>
      <c r="AF328" s="173">
        <f t="shared" si="149"/>
        <v>0.48876541171325139</v>
      </c>
      <c r="AG328" s="801">
        <f t="shared" si="150"/>
        <v>0</v>
      </c>
      <c r="AH328" s="172">
        <f t="shared" si="151"/>
        <v>6</v>
      </c>
      <c r="AI328" s="221">
        <f t="shared" si="152"/>
        <v>0.48876541171325139</v>
      </c>
      <c r="AJ328" s="261" t="b">
        <f t="shared" si="153"/>
        <v>0</v>
      </c>
      <c r="AK328" s="261" t="b">
        <f t="shared" si="154"/>
        <v>0</v>
      </c>
      <c r="AL328" s="261"/>
      <c r="AM328" s="261"/>
      <c r="AN328" s="75"/>
      <c r="AV328" s="153">
        <f t="shared" si="159"/>
        <v>44510</v>
      </c>
      <c r="AW328" s="608"/>
      <c r="AX328" s="385"/>
      <c r="AY328" s="388"/>
      <c r="AZ328" s="380"/>
      <c r="BA328" s="380"/>
      <c r="BB328" s="110"/>
      <c r="BD328" s="375"/>
      <c r="BE328" s="85"/>
      <c r="BF328" s="193">
        <f t="shared" si="155"/>
        <v>44875</v>
      </c>
      <c r="BG328" s="430">
        <f t="shared" si="164"/>
        <v>1.181488099347372E-2</v>
      </c>
      <c r="BH328" s="846"/>
      <c r="BI328" s="846"/>
      <c r="BJ328" s="320">
        <f t="shared" si="156"/>
        <v>6.1435717289212623E-3</v>
      </c>
      <c r="BK328" s="378"/>
    </row>
    <row r="329" spans="1:63" s="6" customFormat="1" ht="11.25" customHeight="1" x14ac:dyDescent="0.2">
      <c r="A329" s="56">
        <f t="shared" si="157"/>
        <v>44876</v>
      </c>
      <c r="B329" s="608">
        <v>112.947</v>
      </c>
      <c r="C329" s="385"/>
      <c r="D329" s="388">
        <f t="shared" si="132"/>
        <v>113.64803098724239</v>
      </c>
      <c r="E329" s="380">
        <f t="shared" si="162"/>
        <v>116.86039113561918</v>
      </c>
      <c r="F329" s="380">
        <f t="shared" si="165"/>
        <v>116.91931335378777</v>
      </c>
      <c r="G329" s="110">
        <f t="shared" si="163"/>
        <v>0.94105157268537187</v>
      </c>
      <c r="I329" s="375">
        <f t="shared" si="133"/>
        <v>116.91931335378777</v>
      </c>
      <c r="J329" s="85">
        <v>2022</v>
      </c>
      <c r="K329" s="193">
        <f t="shared" si="134"/>
        <v>44876</v>
      </c>
      <c r="L329" s="430">
        <f t="shared" si="135"/>
        <v>6.1684393574851226E-3</v>
      </c>
      <c r="M329" s="846"/>
      <c r="N329" s="846"/>
      <c r="O329" s="320">
        <f t="shared" si="136"/>
        <v>2.7488870413318781E-2</v>
      </c>
      <c r="P329" s="165">
        <f>(INDEX(Models!$BJ329:$BT329,,T329)*(1-R329)+INDEX(Models!$BJ329:$BT329,,T329+1)*R329-ERP_i)*Q329*Ramure*Pc/MaxiM</f>
        <v>5.5026053461915581E-4</v>
      </c>
      <c r="Q329" s="301">
        <f t="shared" si="137"/>
        <v>0.5</v>
      </c>
      <c r="R329" s="173">
        <f t="shared" si="138"/>
        <v>0.4888027660692485</v>
      </c>
      <c r="S329" s="801">
        <f t="shared" si="158"/>
        <v>0</v>
      </c>
      <c r="T329" s="172">
        <f t="shared" si="139"/>
        <v>6</v>
      </c>
      <c r="U329" s="247">
        <f t="shared" si="140"/>
        <v>0.4888027660692485</v>
      </c>
      <c r="V329" s="378">
        <f t="shared" si="141"/>
        <v>120.01655457645917</v>
      </c>
      <c r="W329" s="397"/>
      <c r="X329" s="153">
        <f t="shared" si="142"/>
        <v>44876</v>
      </c>
      <c r="Y329" s="380">
        <f t="shared" si="143"/>
        <v>112.947</v>
      </c>
      <c r="Z329" s="380">
        <f t="shared" si="144"/>
        <v>113.64803098724239</v>
      </c>
      <c r="AA329" s="381">
        <f t="shared" si="145"/>
        <v>116.86039113561918</v>
      </c>
      <c r="AB329" s="193">
        <f t="shared" si="146"/>
        <v>44876</v>
      </c>
      <c r="AC329" s="420">
        <f t="shared" si="147"/>
        <v>2.7488870413318781E-2</v>
      </c>
      <c r="AD329" s="165">
        <f>(INDEX(Models!$BJ329:$BT329,,AH329)*(1-AF329)+INDEX(Models!$BJ329:$BT329,,AH329+1)*AF329-ERP_i)*AE329*Ramure*Pc/MaxiM</f>
        <v>5.5026053461915581E-4</v>
      </c>
      <c r="AE329" s="301">
        <f t="shared" si="148"/>
        <v>0.5</v>
      </c>
      <c r="AF329" s="173">
        <f t="shared" si="149"/>
        <v>0.4888027660692485</v>
      </c>
      <c r="AG329" s="801">
        <f t="shared" si="150"/>
        <v>0</v>
      </c>
      <c r="AH329" s="172">
        <f t="shared" si="151"/>
        <v>6</v>
      </c>
      <c r="AI329" s="221">
        <f t="shared" si="152"/>
        <v>0.4888027660692485</v>
      </c>
      <c r="AJ329" s="261" t="b">
        <f t="shared" si="153"/>
        <v>0</v>
      </c>
      <c r="AK329" s="261" t="b">
        <f t="shared" si="154"/>
        <v>0</v>
      </c>
      <c r="AL329" s="261"/>
      <c r="AM329" s="261"/>
      <c r="AN329" s="75"/>
      <c r="AV329" s="153">
        <f t="shared" si="159"/>
        <v>44511</v>
      </c>
      <c r="AW329" s="608"/>
      <c r="AX329" s="385"/>
      <c r="AY329" s="388"/>
      <c r="AZ329" s="380"/>
      <c r="BA329" s="380"/>
      <c r="BB329" s="110"/>
      <c r="BD329" s="375"/>
      <c r="BE329" s="85"/>
      <c r="BF329" s="193">
        <f t="shared" si="155"/>
        <v>44876</v>
      </c>
      <c r="BG329" s="430">
        <f t="shared" si="164"/>
        <v>1.1828554047277118E-2</v>
      </c>
      <c r="BH329" s="846"/>
      <c r="BI329" s="846"/>
      <c r="BJ329" s="320">
        <f t="shared" si="156"/>
        <v>6.2080524080391167E-3</v>
      </c>
      <c r="BK329" s="378"/>
    </row>
    <row r="330" spans="1:63" s="6" customFormat="1" ht="11.25" customHeight="1" x14ac:dyDescent="0.2">
      <c r="A330" s="56">
        <f t="shared" si="157"/>
        <v>44877</v>
      </c>
      <c r="B330" s="608">
        <v>111.38200000000001</v>
      </c>
      <c r="C330" s="385"/>
      <c r="D330" s="388">
        <f t="shared" si="132"/>
        <v>112.07485167296197</v>
      </c>
      <c r="E330" s="380">
        <f t="shared" si="162"/>
        <v>115.24641027677001</v>
      </c>
      <c r="F330" s="380">
        <f t="shared" si="165"/>
        <v>115.3058916610667</v>
      </c>
      <c r="G330" s="110">
        <f t="shared" si="163"/>
        <v>0.93744627368992273</v>
      </c>
      <c r="I330" s="375">
        <f t="shared" si="133"/>
        <v>115.3058916610667</v>
      </c>
      <c r="J330" s="85">
        <v>2022</v>
      </c>
      <c r="K330" s="193">
        <f t="shared" si="134"/>
        <v>44877</v>
      </c>
      <c r="L330" s="430">
        <f t="shared" si="135"/>
        <v>6.1820440769685403E-3</v>
      </c>
      <c r="M330" s="846"/>
      <c r="N330" s="846"/>
      <c r="O330" s="320">
        <f t="shared" si="136"/>
        <v>2.7519803837632587E-2</v>
      </c>
      <c r="P330" s="165">
        <f>(INDEX(Models!$BJ330:$BT330,,T330)*(1-R330)+INDEX(Models!$BJ330:$BT330,,T330+1)*R330-ERP_i)*Q330*Ramure*Pc/MaxiM</f>
        <v>5.6643711251833345E-4</v>
      </c>
      <c r="Q330" s="301">
        <f t="shared" si="137"/>
        <v>0.5</v>
      </c>
      <c r="R330" s="173">
        <f t="shared" si="138"/>
        <v>0.48883862168031172</v>
      </c>
      <c r="S330" s="801">
        <f t="shared" si="158"/>
        <v>0</v>
      </c>
      <c r="T330" s="172">
        <f t="shared" si="139"/>
        <v>6</v>
      </c>
      <c r="U330" s="247">
        <f t="shared" si="140"/>
        <v>0.48883862168031172</v>
      </c>
      <c r="V330" s="378">
        <f t="shared" si="141"/>
        <v>118.80826297560418</v>
      </c>
      <c r="W330" s="397"/>
      <c r="X330" s="153">
        <f t="shared" si="142"/>
        <v>44877</v>
      </c>
      <c r="Y330" s="380">
        <f t="shared" si="143"/>
        <v>111.38200000000001</v>
      </c>
      <c r="Z330" s="380">
        <f t="shared" si="144"/>
        <v>112.07485167296197</v>
      </c>
      <c r="AA330" s="381">
        <f t="shared" si="145"/>
        <v>115.24641027677001</v>
      </c>
      <c r="AB330" s="193">
        <f t="shared" si="146"/>
        <v>44877</v>
      </c>
      <c r="AC330" s="420">
        <f t="shared" si="147"/>
        <v>2.7519803837632587E-2</v>
      </c>
      <c r="AD330" s="165">
        <f>(INDEX(Models!$BJ330:$BT330,,AH330)*(1-AF330)+INDEX(Models!$BJ330:$BT330,,AH330+1)*AF330-ERP_i)*AE330*Ramure*Pc/MaxiM</f>
        <v>5.6643711251833345E-4</v>
      </c>
      <c r="AE330" s="301">
        <f t="shared" si="148"/>
        <v>0.5</v>
      </c>
      <c r="AF330" s="173">
        <f t="shared" si="149"/>
        <v>0.48883862168031172</v>
      </c>
      <c r="AG330" s="801">
        <f t="shared" si="150"/>
        <v>0</v>
      </c>
      <c r="AH330" s="172">
        <f t="shared" si="151"/>
        <v>6</v>
      </c>
      <c r="AI330" s="221">
        <f t="shared" si="152"/>
        <v>0.48883862168031172</v>
      </c>
      <c r="AJ330" s="261" t="b">
        <f t="shared" si="153"/>
        <v>0</v>
      </c>
      <c r="AK330" s="261" t="b">
        <f t="shared" si="154"/>
        <v>0</v>
      </c>
      <c r="AL330" s="261"/>
      <c r="AM330" s="261"/>
      <c r="AN330" s="75"/>
      <c r="AV330" s="153">
        <f t="shared" si="159"/>
        <v>44512</v>
      </c>
      <c r="AW330" s="608"/>
      <c r="AX330" s="385"/>
      <c r="AY330" s="388"/>
      <c r="AZ330" s="380"/>
      <c r="BA330" s="380"/>
      <c r="BB330" s="110"/>
      <c r="BD330" s="375"/>
      <c r="BE330" s="85"/>
      <c r="BF330" s="193">
        <f t="shared" si="155"/>
        <v>44877</v>
      </c>
      <c r="BG330" s="430">
        <f t="shared" si="164"/>
        <v>1.1842226913907905E-2</v>
      </c>
      <c r="BH330" s="846"/>
      <c r="BI330" s="846"/>
      <c r="BJ330" s="320">
        <f t="shared" si="156"/>
        <v>6.2724396022475794E-3</v>
      </c>
      <c r="BK330" s="378"/>
    </row>
    <row r="331" spans="1:63" s="6" customFormat="1" ht="11.25" customHeight="1" x14ac:dyDescent="0.2">
      <c r="A331" s="56">
        <f t="shared" si="157"/>
        <v>44878</v>
      </c>
      <c r="B331" s="608">
        <v>110.006</v>
      </c>
      <c r="C331" s="385"/>
      <c r="D331" s="388">
        <f t="shared" si="132"/>
        <v>110.69180754356948</v>
      </c>
      <c r="E331" s="380">
        <f t="shared" si="162"/>
        <v>113.82787013037672</v>
      </c>
      <c r="F331" s="380">
        <f t="shared" si="165"/>
        <v>113.88791436897183</v>
      </c>
      <c r="G331" s="110">
        <f t="shared" si="163"/>
        <v>0.93531096238448974</v>
      </c>
      <c r="I331" s="375">
        <f t="shared" si="133"/>
        <v>113.88791436897183</v>
      </c>
      <c r="J331" s="85">
        <v>2022</v>
      </c>
      <c r="K331" s="193">
        <f t="shared" si="134"/>
        <v>44878</v>
      </c>
      <c r="L331" s="430">
        <f t="shared" si="135"/>
        <v>6.1956486102148212E-3</v>
      </c>
      <c r="M331" s="846"/>
      <c r="N331" s="846"/>
      <c r="O331" s="320">
        <f t="shared" si="136"/>
        <v>2.7550920378420839E-2</v>
      </c>
      <c r="P331" s="165">
        <f>(INDEX(Models!$BJ331:$BT331,,T331)*(1-R331)+INDEX(Models!$BJ331:$BT331,,T331+1)*R331-ERP_i)*Q331*Ramure*Pc/MaxiM</f>
        <v>5.8085947806702962E-4</v>
      </c>
      <c r="Q331" s="301">
        <f t="shared" si="137"/>
        <v>0.5</v>
      </c>
      <c r="R331" s="173">
        <f t="shared" si="138"/>
        <v>0.48887303847706243</v>
      </c>
      <c r="S331" s="801">
        <f t="shared" si="158"/>
        <v>0</v>
      </c>
      <c r="T331" s="172">
        <f t="shared" si="139"/>
        <v>6</v>
      </c>
      <c r="U331" s="247">
        <f t="shared" si="140"/>
        <v>0.48887303847706243</v>
      </c>
      <c r="V331" s="378">
        <f t="shared" si="141"/>
        <v>117.60804790146557</v>
      </c>
      <c r="W331" s="397"/>
      <c r="X331" s="153">
        <f t="shared" si="142"/>
        <v>44878</v>
      </c>
      <c r="Y331" s="380">
        <f t="shared" si="143"/>
        <v>110.006</v>
      </c>
      <c r="Z331" s="380">
        <f t="shared" si="144"/>
        <v>110.69180754356948</v>
      </c>
      <c r="AA331" s="381">
        <f t="shared" si="145"/>
        <v>113.82787013037672</v>
      </c>
      <c r="AB331" s="193">
        <f t="shared" si="146"/>
        <v>44878</v>
      </c>
      <c r="AC331" s="420">
        <f t="shared" si="147"/>
        <v>2.7550920378420839E-2</v>
      </c>
      <c r="AD331" s="165">
        <f>(INDEX(Models!$BJ331:$BT331,,AH331)*(1-AF331)+INDEX(Models!$BJ331:$BT331,,AH331+1)*AF331-ERP_i)*AE331*Ramure*Pc/MaxiM</f>
        <v>5.8085947806702962E-4</v>
      </c>
      <c r="AE331" s="301">
        <f t="shared" si="148"/>
        <v>0.5</v>
      </c>
      <c r="AF331" s="173">
        <f t="shared" si="149"/>
        <v>0.48887303847706243</v>
      </c>
      <c r="AG331" s="801">
        <f t="shared" si="150"/>
        <v>0</v>
      </c>
      <c r="AH331" s="172">
        <f t="shared" si="151"/>
        <v>6</v>
      </c>
      <c r="AI331" s="221">
        <f t="shared" si="152"/>
        <v>0.48887303847706243</v>
      </c>
      <c r="AJ331" s="261" t="b">
        <f t="shared" si="153"/>
        <v>0</v>
      </c>
      <c r="AK331" s="261" t="b">
        <f t="shared" si="154"/>
        <v>0</v>
      </c>
      <c r="AL331" s="261"/>
      <c r="AM331" s="261"/>
      <c r="AN331" s="75"/>
      <c r="AV331" s="153">
        <f t="shared" si="159"/>
        <v>44513</v>
      </c>
      <c r="AW331" s="608"/>
      <c r="AX331" s="385"/>
      <c r="AY331" s="388"/>
      <c r="AZ331" s="380"/>
      <c r="BA331" s="380"/>
      <c r="BB331" s="110"/>
      <c r="BD331" s="375"/>
      <c r="BE331" s="85"/>
      <c r="BF331" s="193">
        <f t="shared" si="155"/>
        <v>44878</v>
      </c>
      <c r="BG331" s="430">
        <f t="shared" si="164"/>
        <v>1.1855899593368524E-2</v>
      </c>
      <c r="BH331" s="846"/>
      <c r="BI331" s="846"/>
      <c r="BJ331" s="320">
        <f t="shared" si="156"/>
        <v>6.3367412109742094E-3</v>
      </c>
      <c r="BK331" s="378"/>
    </row>
    <row r="332" spans="1:63" s="6" customFormat="1" ht="11.25" customHeight="1" x14ac:dyDescent="0.2">
      <c r="A332" s="56">
        <f t="shared" si="157"/>
        <v>44879</v>
      </c>
      <c r="B332" s="608">
        <v>41.978000000000002</v>
      </c>
      <c r="C332" s="385"/>
      <c r="D332" s="388">
        <f t="shared" si="132"/>
        <v>42.24028058714984</v>
      </c>
      <c r="E332" s="380">
        <f t="shared" si="162"/>
        <v>43.438409465509096</v>
      </c>
      <c r="F332" s="380">
        <f t="shared" si="165"/>
        <v>43.440643377111911</v>
      </c>
      <c r="G332" s="110">
        <f t="shared" si="163"/>
        <v>0.36042478147277029</v>
      </c>
      <c r="I332" s="375">
        <f t="shared" si="133"/>
        <v>43.440643377111911</v>
      </c>
      <c r="J332" s="85">
        <v>2022</v>
      </c>
      <c r="K332" s="193">
        <f t="shared" si="134"/>
        <v>44879</v>
      </c>
      <c r="L332" s="430">
        <f t="shared" si="135"/>
        <v>6.2092529572265187E-3</v>
      </c>
      <c r="M332" s="846"/>
      <c r="N332" s="846"/>
      <c r="O332" s="320">
        <f t="shared" si="136"/>
        <v>2.7582245600189258E-2</v>
      </c>
      <c r="P332" s="165">
        <f>(INDEX(Models!$BJ332:$BT332,,T332)*(1-R332)+INDEX(Models!$BJ332:$BT332,,T332+1)*R332-ERP_i)*Q332*Ramure*Pc/MaxiM</f>
        <v>5.9381213207378701E-4</v>
      </c>
      <c r="Q332" s="301">
        <f t="shared" si="137"/>
        <v>0.5</v>
      </c>
      <c r="R332" s="173">
        <f t="shared" si="138"/>
        <v>0.4889060740096241</v>
      </c>
      <c r="S332" s="801">
        <f t="shared" si="158"/>
        <v>0</v>
      </c>
      <c r="T332" s="172">
        <f t="shared" si="139"/>
        <v>6</v>
      </c>
      <c r="U332" s="247">
        <f t="shared" si="140"/>
        <v>0.4889060740096241</v>
      </c>
      <c r="V332" s="378">
        <f t="shared" si="141"/>
        <v>116.40495503092093</v>
      </c>
      <c r="W332" s="397"/>
      <c r="X332" s="153">
        <f t="shared" si="142"/>
        <v>44879</v>
      </c>
      <c r="Y332" s="380">
        <f t="shared" si="143"/>
        <v>41.978000000000002</v>
      </c>
      <c r="Z332" s="380">
        <f t="shared" si="144"/>
        <v>42.24028058714984</v>
      </c>
      <c r="AA332" s="381">
        <f t="shared" si="145"/>
        <v>43.438409465509096</v>
      </c>
      <c r="AB332" s="193">
        <f t="shared" si="146"/>
        <v>44879</v>
      </c>
      <c r="AC332" s="420">
        <f t="shared" si="147"/>
        <v>2.7582245600189258E-2</v>
      </c>
      <c r="AD332" s="165">
        <f>(INDEX(Models!$BJ332:$BT332,,AH332)*(1-AF332)+INDEX(Models!$BJ332:$BT332,,AH332+1)*AF332-ERP_i)*AE332*Ramure*Pc/MaxiM</f>
        <v>5.9381213207378701E-4</v>
      </c>
      <c r="AE332" s="301">
        <f t="shared" si="148"/>
        <v>0.5</v>
      </c>
      <c r="AF332" s="173">
        <f t="shared" si="149"/>
        <v>0.4889060740096241</v>
      </c>
      <c r="AG332" s="801">
        <f t="shared" si="150"/>
        <v>0</v>
      </c>
      <c r="AH332" s="172">
        <f t="shared" si="151"/>
        <v>6</v>
      </c>
      <c r="AI332" s="221">
        <f t="shared" si="152"/>
        <v>0.4889060740096241</v>
      </c>
      <c r="AJ332" s="261" t="b">
        <f t="shared" si="153"/>
        <v>0</v>
      </c>
      <c r="AK332" s="261" t="b">
        <f t="shared" si="154"/>
        <v>0</v>
      </c>
      <c r="AL332" s="261"/>
      <c r="AM332" s="261"/>
      <c r="AN332" s="75"/>
      <c r="AV332" s="153">
        <f t="shared" si="159"/>
        <v>44514</v>
      </c>
      <c r="AW332" s="608"/>
      <c r="AX332" s="385"/>
      <c r="AY332" s="388"/>
      <c r="AZ332" s="380"/>
      <c r="BA332" s="380"/>
      <c r="BB332" s="110"/>
      <c r="BD332" s="375"/>
      <c r="BE332" s="85"/>
      <c r="BF332" s="193">
        <f t="shared" si="155"/>
        <v>44879</v>
      </c>
      <c r="BG332" s="430">
        <f t="shared" si="164"/>
        <v>1.186957208566175E-2</v>
      </c>
      <c r="BH332" s="846"/>
      <c r="BI332" s="846"/>
      <c r="BJ332" s="320">
        <f t="shared" si="156"/>
        <v>6.4009651327586962E-3</v>
      </c>
      <c r="BK332" s="378"/>
    </row>
    <row r="333" spans="1:63" s="6" customFormat="1" ht="11.25" customHeight="1" x14ac:dyDescent="0.2">
      <c r="A333" s="56">
        <f t="shared" si="157"/>
        <v>44880</v>
      </c>
      <c r="B333" s="608">
        <v>52.81</v>
      </c>
      <c r="C333" s="385"/>
      <c r="D333" s="388">
        <f t="shared" si="132"/>
        <v>53.140686901742242</v>
      </c>
      <c r="E333" s="380">
        <f t="shared" si="162"/>
        <v>54.649775083561849</v>
      </c>
      <c r="F333" s="380">
        <f t="shared" si="165"/>
        <v>54.6572788100165</v>
      </c>
      <c r="G333" s="110">
        <f t="shared" si="163"/>
        <v>0.45819283395932303</v>
      </c>
      <c r="I333" s="375">
        <f t="shared" si="133"/>
        <v>54.6572788100165</v>
      </c>
      <c r="J333" s="85">
        <v>2022</v>
      </c>
      <c r="K333" s="193">
        <f t="shared" si="134"/>
        <v>44880</v>
      </c>
      <c r="L333" s="430">
        <f t="shared" si="135"/>
        <v>6.2228571180060754E-3</v>
      </c>
      <c r="M333" s="846"/>
      <c r="N333" s="846"/>
      <c r="O333" s="320">
        <f t="shared" si="136"/>
        <v>2.7613804073523568E-2</v>
      </c>
      <c r="P333" s="165">
        <f>(INDEX(Models!$BJ333:$BT333,,T333)*(1-R333)+INDEX(Models!$BJ333:$BT333,,T333+1)*R333-ERP_i)*Q333*Ramure*Pc/MaxiM</f>
        <v>6.0666624660864058E-4</v>
      </c>
      <c r="Q333" s="301">
        <f t="shared" si="137"/>
        <v>0.5</v>
      </c>
      <c r="R333" s="173">
        <f t="shared" si="138"/>
        <v>0.48893778354091921</v>
      </c>
      <c r="S333" s="801">
        <f t="shared" si="158"/>
        <v>0</v>
      </c>
      <c r="T333" s="172">
        <f t="shared" si="139"/>
        <v>6</v>
      </c>
      <c r="U333" s="247">
        <f t="shared" si="140"/>
        <v>0.48893778354091921</v>
      </c>
      <c r="V333" s="378">
        <f t="shared" si="141"/>
        <v>115.20304282195964</v>
      </c>
      <c r="W333" s="397"/>
      <c r="X333" s="153">
        <f t="shared" si="142"/>
        <v>44880</v>
      </c>
      <c r="Y333" s="380">
        <f t="shared" si="143"/>
        <v>52.81</v>
      </c>
      <c r="Z333" s="380">
        <f t="shared" si="144"/>
        <v>53.140686901742242</v>
      </c>
      <c r="AA333" s="381">
        <f t="shared" si="145"/>
        <v>54.649775083561849</v>
      </c>
      <c r="AB333" s="193">
        <f t="shared" si="146"/>
        <v>44880</v>
      </c>
      <c r="AC333" s="420">
        <f t="shared" si="147"/>
        <v>2.7613804073523568E-2</v>
      </c>
      <c r="AD333" s="165">
        <f>(INDEX(Models!$BJ333:$BT333,,AH333)*(1-AF333)+INDEX(Models!$BJ333:$BT333,,AH333+1)*AF333-ERP_i)*AE333*Ramure*Pc/MaxiM</f>
        <v>6.0666624660864058E-4</v>
      </c>
      <c r="AE333" s="301">
        <f t="shared" si="148"/>
        <v>0.5</v>
      </c>
      <c r="AF333" s="173">
        <f t="shared" si="149"/>
        <v>0.48893778354091921</v>
      </c>
      <c r="AG333" s="801">
        <f t="shared" si="150"/>
        <v>0</v>
      </c>
      <c r="AH333" s="172">
        <f t="shared" si="151"/>
        <v>6</v>
      </c>
      <c r="AI333" s="221">
        <f t="shared" si="152"/>
        <v>0.48893778354091921</v>
      </c>
      <c r="AJ333" s="261" t="b">
        <f t="shared" si="153"/>
        <v>0</v>
      </c>
      <c r="AK333" s="261" t="b">
        <f t="shared" si="154"/>
        <v>0</v>
      </c>
      <c r="AL333" s="261"/>
      <c r="AM333" s="261"/>
      <c r="AN333" s="75"/>
      <c r="AV333" s="153">
        <f t="shared" si="159"/>
        <v>44515</v>
      </c>
      <c r="AW333" s="608"/>
      <c r="AX333" s="385"/>
      <c r="AY333" s="388"/>
      <c r="AZ333" s="380"/>
      <c r="BA333" s="380"/>
      <c r="BB333" s="110"/>
      <c r="BD333" s="375"/>
      <c r="BE333" s="85"/>
      <c r="BF333" s="193">
        <f t="shared" si="155"/>
        <v>44880</v>
      </c>
      <c r="BG333" s="430">
        <f t="shared" si="164"/>
        <v>1.1883244390789915E-2</v>
      </c>
      <c r="BH333" s="846"/>
      <c r="BI333" s="846"/>
      <c r="BJ333" s="320">
        <f t="shared" si="156"/>
        <v>6.465119226504318E-3</v>
      </c>
      <c r="BK333" s="378"/>
    </row>
    <row r="334" spans="1:63" s="6" customFormat="1" ht="11.25" customHeight="1" x14ac:dyDescent="0.2">
      <c r="A334" s="56">
        <f t="shared" si="157"/>
        <v>44881</v>
      </c>
      <c r="B334" s="608">
        <v>110.096</v>
      </c>
      <c r="C334" s="385"/>
      <c r="D334" s="388">
        <f t="shared" si="132"/>
        <v>110.78691830557693</v>
      </c>
      <c r="E334" s="380">
        <f t="shared" si="162"/>
        <v>113.93677089382274</v>
      </c>
      <c r="F334" s="380">
        <f t="shared" si="165"/>
        <v>114.00392589977223</v>
      </c>
      <c r="G334" s="110">
        <f t="shared" si="163"/>
        <v>0.96566971449039585</v>
      </c>
      <c r="I334" s="375">
        <f t="shared" si="133"/>
        <v>114.00392589977223</v>
      </c>
      <c r="J334" s="85">
        <v>2022</v>
      </c>
      <c r="K334" s="193">
        <f t="shared" si="134"/>
        <v>44881</v>
      </c>
      <c r="L334" s="430">
        <f t="shared" si="135"/>
        <v>6.2364610925561559E-3</v>
      </c>
      <c r="M334" s="846"/>
      <c r="N334" s="846"/>
      <c r="O334" s="320">
        <f t="shared" si="136"/>
        <v>2.7645619263522405E-2</v>
      </c>
      <c r="P334" s="165">
        <f>(INDEX(Models!$BJ334:$BT334,,T334)*(1-R334)+INDEX(Models!$BJ334:$BT334,,T334+1)*R334-ERP_i)*Q334*Ramure*Pc/MaxiM</f>
        <v>6.1941068440058203E-4</v>
      </c>
      <c r="Q334" s="301">
        <f t="shared" si="137"/>
        <v>0.5</v>
      </c>
      <c r="R334" s="173">
        <f t="shared" si="138"/>
        <v>0.48896822013640878</v>
      </c>
      <c r="S334" s="801">
        <f t="shared" si="158"/>
        <v>0</v>
      </c>
      <c r="T334" s="172">
        <f t="shared" si="139"/>
        <v>6</v>
      </c>
      <c r="U334" s="247">
        <f t="shared" si="140"/>
        <v>0.48896822013640878</v>
      </c>
      <c r="V334" s="378">
        <f t="shared" si="141"/>
        <v>114.00653323580444</v>
      </c>
      <c r="W334" s="397"/>
      <c r="X334" s="153">
        <f t="shared" si="142"/>
        <v>44881</v>
      </c>
      <c r="Y334" s="380">
        <f t="shared" si="143"/>
        <v>110.096</v>
      </c>
      <c r="Z334" s="380">
        <f t="shared" si="144"/>
        <v>110.78691830557693</v>
      </c>
      <c r="AA334" s="381">
        <f t="shared" si="145"/>
        <v>113.93677089382274</v>
      </c>
      <c r="AB334" s="193">
        <f t="shared" si="146"/>
        <v>44881</v>
      </c>
      <c r="AC334" s="420">
        <f t="shared" si="147"/>
        <v>2.7645619263522405E-2</v>
      </c>
      <c r="AD334" s="165">
        <f>(INDEX(Models!$BJ334:$BT334,,AH334)*(1-AF334)+INDEX(Models!$BJ334:$BT334,,AH334+1)*AF334-ERP_i)*AE334*Ramure*Pc/MaxiM</f>
        <v>6.1941068440058203E-4</v>
      </c>
      <c r="AE334" s="301">
        <f t="shared" si="148"/>
        <v>0.5</v>
      </c>
      <c r="AF334" s="173">
        <f t="shared" si="149"/>
        <v>0.48896822013640878</v>
      </c>
      <c r="AG334" s="801">
        <f t="shared" si="150"/>
        <v>0</v>
      </c>
      <c r="AH334" s="172">
        <f t="shared" si="151"/>
        <v>6</v>
      </c>
      <c r="AI334" s="221">
        <f t="shared" si="152"/>
        <v>0.48896822013640878</v>
      </c>
      <c r="AJ334" s="261" t="b">
        <f t="shared" si="153"/>
        <v>0</v>
      </c>
      <c r="AK334" s="261" t="b">
        <f t="shared" si="154"/>
        <v>0</v>
      </c>
      <c r="AL334" s="261"/>
      <c r="AM334" s="261"/>
      <c r="AN334" s="75"/>
      <c r="AV334" s="153">
        <f t="shared" si="159"/>
        <v>44516</v>
      </c>
      <c r="AW334" s="608"/>
      <c r="AX334" s="385"/>
      <c r="AY334" s="388"/>
      <c r="AZ334" s="380"/>
      <c r="BA334" s="380"/>
      <c r="BB334" s="110"/>
      <c r="BD334" s="375"/>
      <c r="BE334" s="85"/>
      <c r="BF334" s="193">
        <f t="shared" si="155"/>
        <v>44881</v>
      </c>
      <c r="BG334" s="430">
        <f t="shared" si="164"/>
        <v>1.1896916508755795E-2</v>
      </c>
      <c r="BH334" s="846"/>
      <c r="BI334" s="846"/>
      <c r="BJ334" s="320">
        <f t="shared" si="156"/>
        <v>6.5292112728008106E-3</v>
      </c>
      <c r="BK334" s="378"/>
    </row>
    <row r="335" spans="1:63" s="6" customFormat="1" ht="11.25" customHeight="1" x14ac:dyDescent="0.2">
      <c r="A335" s="56">
        <f t="shared" si="157"/>
        <v>44882</v>
      </c>
      <c r="B335" s="608">
        <v>65.384</v>
      </c>
      <c r="C335" s="385"/>
      <c r="D335" s="388">
        <f t="shared" ref="D335:D379" si="166">Wh/(1-Ppv)</f>
        <v>65.795224421486296</v>
      </c>
      <c r="E335" s="380">
        <f t="shared" si="162"/>
        <v>67.668123347492838</v>
      </c>
      <c r="F335" s="380">
        <f t="shared" si="165"/>
        <v>67.685207187062332</v>
      </c>
      <c r="G335" s="110">
        <f t="shared" si="163"/>
        <v>0.57932437556711913</v>
      </c>
      <c r="I335" s="375">
        <f t="shared" ref="I335:I380" si="167">Wh_hp</f>
        <v>67.685207187062332</v>
      </c>
      <c r="J335" s="85">
        <v>2022</v>
      </c>
      <c r="K335" s="193">
        <f t="shared" ref="K335:K379" si="168">t</f>
        <v>44882</v>
      </c>
      <c r="L335" s="430">
        <f t="shared" ref="L335:L379" si="169">IF(t&lt;T0,0,IF(t&lt;Tvie,1-EXP((T0-t)*PertePVj)+Pspv_21,1-EXP((T0-t)*PertePVj)+Pspv))</f>
        <v>6.2500648808790915E-3</v>
      </c>
      <c r="M335" s="846"/>
      <c r="N335" s="846"/>
      <c r="O335" s="320">
        <f t="shared" ref="O335:O379" si="170">IF(t&lt;T0,0,IF(t&lt;Tnet,Salim_i*(1-EXP((T0-t)/Tau_ij)),Resal+(Salim-Resal)*(1-EXP((Tnet-t)/(Tau_j)))))*Salcycl</f>
        <v>2.7677713424809222E-2</v>
      </c>
      <c r="P335" s="165">
        <f>(INDEX(Models!$BJ335:$BT335,,T335)*(1-R335)+INDEX(Models!$BJ335:$BT335,,T335+1)*R335-ERP_i)*Q335*Ramure*Pc/MaxiM</f>
        <v>6.3203175230802612E-4</v>
      </c>
      <c r="Q335" s="301">
        <f t="shared" ref="Q335:Q379" si="171">IF(OR(t&lt;Ttai,Notai),Dd+PousD*Croivg,Dens+PousD*(Croivg-Croi_tai))</f>
        <v>0.5</v>
      </c>
      <c r="R335" s="173">
        <f t="shared" ref="R335:R379" si="172">(Hp_vg-S335)/(INDEX(Echel_vg,T335+1)-S335)</f>
        <v>0.48899743475040303</v>
      </c>
      <c r="S335" s="801">
        <f t="shared" si="158"/>
        <v>0</v>
      </c>
      <c r="T335" s="172">
        <f t="shared" ref="T335:T379" si="173">MIN(MATCH(Hp_vg,Echel_vg),10)</f>
        <v>6</v>
      </c>
      <c r="U335" s="247">
        <f t="shared" ref="U335:U379" si="174">IF(OR(t&lt;Ttai,Notai),Hdd+PousH*Croivg,Hdtf+PousH*(Croivg-Croi_tai))</f>
        <v>0.48899743475040303</v>
      </c>
      <c r="V335" s="378">
        <f t="shared" ref="V335:V379" si="175">MaxiM*(1-Ppv)*(1-Pvg)*(1-Psa)</f>
        <v>112.81964774398271</v>
      </c>
      <c r="W335" s="397"/>
      <c r="X335" s="153">
        <f t="shared" ref="X335:X379" si="176">t</f>
        <v>44882</v>
      </c>
      <c r="Y335" s="380">
        <f t="shared" ref="Y335:Y379" si="177">Wh_pvt_s*(1-Ppv)</f>
        <v>65.384</v>
      </c>
      <c r="Z335" s="380">
        <f t="shared" ref="Z335:Z379" si="178">Wh_sa_s*(1-Psa_s)</f>
        <v>65.795224421486296</v>
      </c>
      <c r="AA335" s="381">
        <f t="shared" ref="AA335:AA379" si="179">Wh_hp*(1-Pvg_s*MEDIAN((-Sdif+Wh/Env_an)/Csdif,0,1))</f>
        <v>67.668123347492838</v>
      </c>
      <c r="AB335" s="193">
        <f t="shared" ref="AB335:AB379" si="180">t</f>
        <v>44882</v>
      </c>
      <c r="AC335" s="420">
        <f t="shared" ref="AC335:AC379" si="181">IF(t&lt;T0,0,IF(OR(t&lt;Tnet,NoTnet),Salim_i*(1-EXP((T0-t)/Tau_ij)),Resal_s+(Salim-Resal_s)*(1-EXP((Tnet_s-t)/Tau_j))))*Salcycl</f>
        <v>2.7677713424809222E-2</v>
      </c>
      <c r="AD335" s="165">
        <f>(INDEX(Models!$BJ335:$BT335,,AH335)*(1-AF335)+INDEX(Models!$BJ335:$BT335,,AH335+1)*AF335-ERP_i)*AE335*Ramure*Pc/MaxiM</f>
        <v>6.3203175230802612E-4</v>
      </c>
      <c r="AE335" s="301">
        <f t="shared" ref="AE335:AE379" si="182">Dd+PousD*Croivg</f>
        <v>0.5</v>
      </c>
      <c r="AF335" s="173">
        <f t="shared" ref="AF335:AF379" si="183">(Hp_vg_s-AG335)/(INDEX(Echel_vg,AH335+1)-AG335)</f>
        <v>0.48899743475040303</v>
      </c>
      <c r="AG335" s="801">
        <f t="shared" ref="AG335:AG379" si="184">INDEX(Echel_vg,AH335)</f>
        <v>0</v>
      </c>
      <c r="AH335" s="172">
        <f t="shared" ref="AH335:AH379" si="185">MIN(MATCH(Hp_vg_s,Echel_vg),10)</f>
        <v>6</v>
      </c>
      <c r="AI335" s="221">
        <f t="shared" ref="AI335:AI379" si="186">Hdd+PousH*Croivg</f>
        <v>0.48899743475040303</v>
      </c>
      <c r="AJ335" s="261" t="b">
        <f t="shared" ref="AJ335:AJ380" si="187">t&lt;Tnet</f>
        <v>0</v>
      </c>
      <c r="AK335" s="261" t="b">
        <f t="shared" ref="AK335:AK380" si="188">t&lt;Ttai</f>
        <v>0</v>
      </c>
      <c r="AL335" s="261"/>
      <c r="AM335" s="261"/>
      <c r="AN335" s="75"/>
      <c r="AV335" s="153">
        <f t="shared" si="159"/>
        <v>44517</v>
      </c>
      <c r="AW335" s="608"/>
      <c r="AX335" s="385"/>
      <c r="AY335" s="388"/>
      <c r="AZ335" s="380"/>
      <c r="BA335" s="380"/>
      <c r="BB335" s="110"/>
      <c r="BD335" s="375"/>
      <c r="BE335" s="85"/>
      <c r="BF335" s="193">
        <f t="shared" ref="BF335:BF379" si="189">t</f>
        <v>44882</v>
      </c>
      <c r="BG335" s="430">
        <f t="shared" si="164"/>
        <v>1.1910588439561942E-2</v>
      </c>
      <c r="BH335" s="846"/>
      <c r="BI335" s="846"/>
      <c r="BJ335" s="320">
        <f t="shared" ref="BJ335:BJ379" si="190">IF(AV335&lt;T0,0,Salim_i*(1-EXP((T0-AV335)/Tau_ij)))*Salcycl</f>
        <v>6.5932489356125392E-3</v>
      </c>
      <c r="BK335" s="378"/>
    </row>
    <row r="336" spans="1:63" s="6" customFormat="1" ht="11.25" customHeight="1" x14ac:dyDescent="0.2">
      <c r="A336" s="56">
        <f t="shared" ref="A336:A379" si="191">A335+1</f>
        <v>44883</v>
      </c>
      <c r="B336" s="608">
        <v>51.89</v>
      </c>
      <c r="C336" s="385"/>
      <c r="D336" s="388">
        <f t="shared" si="166"/>
        <v>52.217070418252241</v>
      </c>
      <c r="E336" s="380">
        <f t="shared" si="162"/>
        <v>53.705248631349356</v>
      </c>
      <c r="F336" s="380">
        <f t="shared" si="165"/>
        <v>53.713397448687658</v>
      </c>
      <c r="G336" s="110">
        <f t="shared" si="163"/>
        <v>0.4645409814547557</v>
      </c>
      <c r="I336" s="375">
        <f t="shared" si="167"/>
        <v>53.713397448687658</v>
      </c>
      <c r="J336" s="85">
        <v>2022</v>
      </c>
      <c r="K336" s="193">
        <f t="shared" si="168"/>
        <v>44883</v>
      </c>
      <c r="L336" s="430">
        <f t="shared" si="169"/>
        <v>6.2636684829777689E-3</v>
      </c>
      <c r="M336" s="846"/>
      <c r="N336" s="846"/>
      <c r="O336" s="320">
        <f t="shared" si="170"/>
        <v>2.7710107503876626E-2</v>
      </c>
      <c r="P336" s="165">
        <f>(INDEX(Models!$BJ336:$BT336,,T336)*(1-R336)+INDEX(Models!$BJ336:$BT336,,T336+1)*R336-ERP_i)*Q336*Ramure*Pc/MaxiM</f>
        <v>6.4451304040691608E-4</v>
      </c>
      <c r="Q336" s="301">
        <f t="shared" si="171"/>
        <v>0.5</v>
      </c>
      <c r="R336" s="173">
        <f t="shared" si="172"/>
        <v>0.4890254763090664</v>
      </c>
      <c r="S336" s="801">
        <f t="shared" ref="S336:S379" si="192">INDEX(Echel_vg,T336)</f>
        <v>0</v>
      </c>
      <c r="T336" s="172">
        <f t="shared" si="173"/>
        <v>6</v>
      </c>
      <c r="U336" s="247">
        <f t="shared" si="174"/>
        <v>0.4890254763090664</v>
      </c>
      <c r="V336" s="378">
        <f t="shared" si="175"/>
        <v>111.64660729613938</v>
      </c>
      <c r="W336" s="397"/>
      <c r="X336" s="153">
        <f t="shared" si="176"/>
        <v>44883</v>
      </c>
      <c r="Y336" s="380">
        <f t="shared" si="177"/>
        <v>51.89</v>
      </c>
      <c r="Z336" s="380">
        <f t="shared" si="178"/>
        <v>52.217070418252241</v>
      </c>
      <c r="AA336" s="381">
        <f t="shared" si="179"/>
        <v>53.705248631349356</v>
      </c>
      <c r="AB336" s="193">
        <f t="shared" si="180"/>
        <v>44883</v>
      </c>
      <c r="AC336" s="420">
        <f t="shared" si="181"/>
        <v>2.7710107503876626E-2</v>
      </c>
      <c r="AD336" s="165">
        <f>(INDEX(Models!$BJ336:$BT336,,AH336)*(1-AF336)+INDEX(Models!$BJ336:$BT336,,AH336+1)*AF336-ERP_i)*AE336*Ramure*Pc/MaxiM</f>
        <v>6.4451304040691608E-4</v>
      </c>
      <c r="AE336" s="301">
        <f t="shared" si="182"/>
        <v>0.5</v>
      </c>
      <c r="AF336" s="173">
        <f t="shared" si="183"/>
        <v>0.4890254763090664</v>
      </c>
      <c r="AG336" s="801">
        <f t="shared" si="184"/>
        <v>0</v>
      </c>
      <c r="AH336" s="172">
        <f t="shared" si="185"/>
        <v>6</v>
      </c>
      <c r="AI336" s="221">
        <f t="shared" si="186"/>
        <v>0.4890254763090664</v>
      </c>
      <c r="AJ336" s="261" t="b">
        <f t="shared" si="187"/>
        <v>0</v>
      </c>
      <c r="AK336" s="261" t="b">
        <f t="shared" si="188"/>
        <v>0</v>
      </c>
      <c r="AL336" s="261"/>
      <c r="AM336" s="261"/>
      <c r="AN336" s="75"/>
      <c r="AV336" s="153">
        <f t="shared" ref="AV336:AV379" si="193">AV335+1</f>
        <v>44518</v>
      </c>
      <c r="AW336" s="608"/>
      <c r="AX336" s="385"/>
      <c r="AY336" s="388"/>
      <c r="AZ336" s="380"/>
      <c r="BA336" s="380"/>
      <c r="BB336" s="110"/>
      <c r="BD336" s="375"/>
      <c r="BE336" s="85"/>
      <c r="BF336" s="193">
        <f t="shared" si="189"/>
        <v>44883</v>
      </c>
      <c r="BG336" s="430">
        <f t="shared" si="164"/>
        <v>1.1924260183210689E-2</v>
      </c>
      <c r="BH336" s="846"/>
      <c r="BI336" s="846"/>
      <c r="BJ336" s="320">
        <f t="shared" si="190"/>
        <v>6.6572397246250021E-3</v>
      </c>
      <c r="BK336" s="378"/>
    </row>
    <row r="337" spans="1:63" s="6" customFormat="1" ht="11.25" customHeight="1" x14ac:dyDescent="0.2">
      <c r="A337" s="56">
        <f t="shared" si="191"/>
        <v>44884</v>
      </c>
      <c r="B337" s="608">
        <v>24.675000000000001</v>
      </c>
      <c r="C337" s="385"/>
      <c r="D337" s="388">
        <f t="shared" si="166"/>
        <v>24.830870123248772</v>
      </c>
      <c r="E337" s="380">
        <f t="shared" si="162"/>
        <v>25.539405273460016</v>
      </c>
      <c r="F337" s="380">
        <f t="shared" si="165"/>
        <v>25.539405273460016</v>
      </c>
      <c r="G337" s="110">
        <f t="shared" si="163"/>
        <v>0.22317339397308494</v>
      </c>
      <c r="I337" s="375">
        <f t="shared" si="167"/>
        <v>25.539405273460016</v>
      </c>
      <c r="J337" s="85">
        <v>2022</v>
      </c>
      <c r="K337" s="193">
        <f t="shared" si="168"/>
        <v>44884</v>
      </c>
      <c r="L337" s="430">
        <f t="shared" si="169"/>
        <v>6.2772718988544085E-3</v>
      </c>
      <c r="M337" s="846"/>
      <c r="N337" s="846"/>
      <c r="O337" s="320">
        <f t="shared" si="170"/>
        <v>2.7742821049460239E-2</v>
      </c>
      <c r="P337" s="165">
        <f>(INDEX(Models!$BJ337:$BT337,,T337)*(1-R337)+INDEX(Models!$BJ337:$BT337,,T337+1)*R337-ERP_i)*Q337*Ramure*Pc/MaxiM</f>
        <v>6.5683526816229297E-4</v>
      </c>
      <c r="Q337" s="301">
        <f t="shared" si="171"/>
        <v>0.5</v>
      </c>
      <c r="R337" s="173">
        <f t="shared" si="172"/>
        <v>0.48905239179023691</v>
      </c>
      <c r="S337" s="801">
        <f t="shared" si="192"/>
        <v>0</v>
      </c>
      <c r="T337" s="172">
        <f t="shared" si="173"/>
        <v>6</v>
      </c>
      <c r="U337" s="247">
        <f t="shared" si="174"/>
        <v>0.48905239179023691</v>
      </c>
      <c r="V337" s="378">
        <f t="shared" si="175"/>
        <v>110.49163231676256</v>
      </c>
      <c r="W337" s="397"/>
      <c r="X337" s="153">
        <f t="shared" si="176"/>
        <v>44884</v>
      </c>
      <c r="Y337" s="380">
        <f t="shared" si="177"/>
        <v>24.675000000000001</v>
      </c>
      <c r="Z337" s="380">
        <f t="shared" si="178"/>
        <v>24.830870123248772</v>
      </c>
      <c r="AA337" s="381">
        <f t="shared" si="179"/>
        <v>25.539405273460016</v>
      </c>
      <c r="AB337" s="193">
        <f t="shared" si="180"/>
        <v>44884</v>
      </c>
      <c r="AC337" s="420">
        <f t="shared" si="181"/>
        <v>2.7742821049460239E-2</v>
      </c>
      <c r="AD337" s="165">
        <f>(INDEX(Models!$BJ337:$BT337,,AH337)*(1-AF337)+INDEX(Models!$BJ337:$BT337,,AH337+1)*AF337-ERP_i)*AE337*Ramure*Pc/MaxiM</f>
        <v>6.5683526816229297E-4</v>
      </c>
      <c r="AE337" s="301">
        <f t="shared" si="182"/>
        <v>0.5</v>
      </c>
      <c r="AF337" s="173">
        <f t="shared" si="183"/>
        <v>0.48905239179023691</v>
      </c>
      <c r="AG337" s="801">
        <f t="shared" si="184"/>
        <v>0</v>
      </c>
      <c r="AH337" s="172">
        <f t="shared" si="185"/>
        <v>6</v>
      </c>
      <c r="AI337" s="221">
        <f t="shared" si="186"/>
        <v>0.48905239179023691</v>
      </c>
      <c r="AJ337" s="261" t="b">
        <f t="shared" si="187"/>
        <v>0</v>
      </c>
      <c r="AK337" s="261" t="b">
        <f t="shared" si="188"/>
        <v>0</v>
      </c>
      <c r="AL337" s="261"/>
      <c r="AM337" s="261"/>
      <c r="AN337" s="75"/>
      <c r="AV337" s="153">
        <f t="shared" si="193"/>
        <v>44519</v>
      </c>
      <c r="AW337" s="608"/>
      <c r="AX337" s="385"/>
      <c r="AY337" s="388"/>
      <c r="AZ337" s="380"/>
      <c r="BA337" s="380"/>
      <c r="BB337" s="110"/>
      <c r="BD337" s="375"/>
      <c r="BE337" s="85"/>
      <c r="BF337" s="193">
        <f t="shared" si="189"/>
        <v>44884</v>
      </c>
      <c r="BG337" s="430">
        <f t="shared" si="164"/>
        <v>1.193793173970481E-2</v>
      </c>
      <c r="BH337" s="846"/>
      <c r="BI337" s="846"/>
      <c r="BJ337" s="320">
        <f t="shared" si="190"/>
        <v>6.7211909585393652E-3</v>
      </c>
      <c r="BK337" s="378"/>
    </row>
    <row r="338" spans="1:63" s="6" customFormat="1" ht="11.25" customHeight="1" x14ac:dyDescent="0.2">
      <c r="A338" s="56">
        <f t="shared" si="191"/>
        <v>44885</v>
      </c>
      <c r="B338" s="608">
        <v>72.155000000000001</v>
      </c>
      <c r="C338" s="385"/>
      <c r="D338" s="388">
        <f t="shared" si="166"/>
        <v>72.611791714533638</v>
      </c>
      <c r="E338" s="380">
        <f t="shared" si="162"/>
        <v>74.6862679429004</v>
      </c>
      <c r="F338" s="380">
        <f t="shared" si="165"/>
        <v>74.711901468469961</v>
      </c>
      <c r="G338" s="110">
        <f t="shared" si="163"/>
        <v>0.65958463409343726</v>
      </c>
      <c r="I338" s="375">
        <f t="shared" si="167"/>
        <v>74.711901468469961</v>
      </c>
      <c r="J338" s="85">
        <v>2022</v>
      </c>
      <c r="K338" s="193">
        <f t="shared" si="168"/>
        <v>44885</v>
      </c>
      <c r="L338" s="430">
        <f t="shared" si="169"/>
        <v>6.2908751285117859E-3</v>
      </c>
      <c r="M338" s="846"/>
      <c r="N338" s="846"/>
      <c r="O338" s="320">
        <f t="shared" si="170"/>
        <v>2.7775872131577884E-2</v>
      </c>
      <c r="P338" s="165">
        <f>(INDEX(Models!$BJ338:$BT338,,T338)*(1-R338)+INDEX(Models!$BJ338:$BT338,,T338+1)*R338-ERP_i)*Q338*Ramure*Pc/MaxiM</f>
        <v>6.6750871221845135E-4</v>
      </c>
      <c r="Q338" s="301">
        <f t="shared" si="171"/>
        <v>0.5</v>
      </c>
      <c r="R338" s="173">
        <f t="shared" si="172"/>
        <v>0.48907822630017594</v>
      </c>
      <c r="S338" s="801">
        <f t="shared" si="192"/>
        <v>0</v>
      </c>
      <c r="T338" s="172">
        <f t="shared" si="173"/>
        <v>6</v>
      </c>
      <c r="U338" s="247">
        <f t="shared" si="174"/>
        <v>0.48907822630017594</v>
      </c>
      <c r="V338" s="378">
        <f t="shared" si="175"/>
        <v>109.35910329554119</v>
      </c>
      <c r="W338" s="397"/>
      <c r="X338" s="153">
        <f t="shared" si="176"/>
        <v>44885</v>
      </c>
      <c r="Y338" s="380">
        <f t="shared" si="177"/>
        <v>72.155000000000001</v>
      </c>
      <c r="Z338" s="380">
        <f t="shared" si="178"/>
        <v>72.611791714533638</v>
      </c>
      <c r="AA338" s="381">
        <f t="shared" si="179"/>
        <v>74.6862679429004</v>
      </c>
      <c r="AB338" s="193">
        <f t="shared" si="180"/>
        <v>44885</v>
      </c>
      <c r="AC338" s="420">
        <f t="shared" si="181"/>
        <v>2.7775872131577884E-2</v>
      </c>
      <c r="AD338" s="165">
        <f>(INDEX(Models!$BJ338:$BT338,,AH338)*(1-AF338)+INDEX(Models!$BJ338:$BT338,,AH338+1)*AF338-ERP_i)*AE338*Ramure*Pc/MaxiM</f>
        <v>6.6750871221845135E-4</v>
      </c>
      <c r="AE338" s="301">
        <f t="shared" si="182"/>
        <v>0.5</v>
      </c>
      <c r="AF338" s="173">
        <f t="shared" si="183"/>
        <v>0.48907822630017594</v>
      </c>
      <c r="AG338" s="801">
        <f t="shared" si="184"/>
        <v>0</v>
      </c>
      <c r="AH338" s="172">
        <f t="shared" si="185"/>
        <v>6</v>
      </c>
      <c r="AI338" s="221">
        <f t="shared" si="186"/>
        <v>0.48907822630017594</v>
      </c>
      <c r="AJ338" s="261" t="b">
        <f t="shared" si="187"/>
        <v>0</v>
      </c>
      <c r="AK338" s="261" t="b">
        <f t="shared" si="188"/>
        <v>0</v>
      </c>
      <c r="AL338" s="261"/>
      <c r="AM338" s="261"/>
      <c r="AN338" s="75"/>
      <c r="AV338" s="153">
        <f t="shared" si="193"/>
        <v>44520</v>
      </c>
      <c r="AW338" s="608"/>
      <c r="AX338" s="385"/>
      <c r="AY338" s="388"/>
      <c r="AZ338" s="380"/>
      <c r="BA338" s="380"/>
      <c r="BB338" s="110"/>
      <c r="BD338" s="375"/>
      <c r="BE338" s="85"/>
      <c r="BF338" s="193">
        <f t="shared" si="189"/>
        <v>44885</v>
      </c>
      <c r="BG338" s="430">
        <f t="shared" ref="BG338:BG369" si="194">IF(AV338&lt;T0,0,1-EXP((T0-AV338)*PertePVj)+Pspv_21)</f>
        <v>1.195160310904686E-2</v>
      </c>
      <c r="BH338" s="846"/>
      <c r="BI338" s="846"/>
      <c r="BJ338" s="320">
        <f t="shared" si="190"/>
        <v>6.7851097295989812E-3</v>
      </c>
      <c r="BK338" s="378"/>
    </row>
    <row r="339" spans="1:63" s="6" customFormat="1" ht="11.25" customHeight="1" x14ac:dyDescent="0.2">
      <c r="A339" s="56">
        <f t="shared" si="191"/>
        <v>44886</v>
      </c>
      <c r="B339" s="608">
        <v>14.294</v>
      </c>
      <c r="C339" s="385"/>
      <c r="D339" s="388">
        <f t="shared" si="166"/>
        <v>14.384687951198678</v>
      </c>
      <c r="E339" s="380">
        <f t="shared" si="162"/>
        <v>14.796158423320728</v>
      </c>
      <c r="F339" s="380">
        <f t="shared" si="165"/>
        <v>14.796158423320728</v>
      </c>
      <c r="G339" s="110">
        <f t="shared" si="163"/>
        <v>0.13195291603602252</v>
      </c>
      <c r="I339" s="375">
        <f t="shared" si="167"/>
        <v>14.796158423320728</v>
      </c>
      <c r="J339" s="85">
        <v>2022</v>
      </c>
      <c r="K339" s="193">
        <f t="shared" si="168"/>
        <v>44886</v>
      </c>
      <c r="L339" s="430">
        <f t="shared" si="169"/>
        <v>6.3044781719523435E-3</v>
      </c>
      <c r="M339" s="846"/>
      <c r="N339" s="846"/>
      <c r="O339" s="320">
        <f t="shared" si="170"/>
        <v>2.7809277269802393E-2</v>
      </c>
      <c r="P339" s="165">
        <f>(INDEX(Models!$BJ339:$BT339,,T339)*(1-R339)+INDEX(Models!$BJ339:$BT339,,T339+1)*R339-ERP_i)*Q339*Ramure*Pc/MaxiM</f>
        <v>6.7702301137112205E-4</v>
      </c>
      <c r="Q339" s="301">
        <f t="shared" si="171"/>
        <v>0.5</v>
      </c>
      <c r="R339" s="173">
        <f t="shared" si="172"/>
        <v>0.48910302314736104</v>
      </c>
      <c r="S339" s="801">
        <f t="shared" si="192"/>
        <v>0</v>
      </c>
      <c r="T339" s="172">
        <f t="shared" si="173"/>
        <v>6</v>
      </c>
      <c r="U339" s="247">
        <f t="shared" si="174"/>
        <v>0.48910302314736104</v>
      </c>
      <c r="V339" s="378">
        <f t="shared" si="175"/>
        <v>108.25317895343754</v>
      </c>
      <c r="W339" s="397"/>
      <c r="X339" s="153">
        <f t="shared" si="176"/>
        <v>44886</v>
      </c>
      <c r="Y339" s="380">
        <f t="shared" si="177"/>
        <v>14.294</v>
      </c>
      <c r="Z339" s="380">
        <f t="shared" si="178"/>
        <v>14.384687951198678</v>
      </c>
      <c r="AA339" s="381">
        <f t="shared" si="179"/>
        <v>14.796158423320728</v>
      </c>
      <c r="AB339" s="193">
        <f t="shared" si="180"/>
        <v>44886</v>
      </c>
      <c r="AC339" s="420">
        <f t="shared" si="181"/>
        <v>2.7809277269802393E-2</v>
      </c>
      <c r="AD339" s="165">
        <f>(INDEX(Models!$BJ339:$BT339,,AH339)*(1-AF339)+INDEX(Models!$BJ339:$BT339,,AH339+1)*AF339-ERP_i)*AE339*Ramure*Pc/MaxiM</f>
        <v>6.7702301137112205E-4</v>
      </c>
      <c r="AE339" s="301">
        <f t="shared" si="182"/>
        <v>0.5</v>
      </c>
      <c r="AF339" s="173">
        <f t="shared" si="183"/>
        <v>0.48910302314736104</v>
      </c>
      <c r="AG339" s="801">
        <f t="shared" si="184"/>
        <v>0</v>
      </c>
      <c r="AH339" s="172">
        <f t="shared" si="185"/>
        <v>6</v>
      </c>
      <c r="AI339" s="221">
        <f t="shared" si="186"/>
        <v>0.48910302314736104</v>
      </c>
      <c r="AJ339" s="261" t="b">
        <f t="shared" si="187"/>
        <v>0</v>
      </c>
      <c r="AK339" s="261" t="b">
        <f t="shared" si="188"/>
        <v>0</v>
      </c>
      <c r="AL339" s="261"/>
      <c r="AM339" s="261"/>
      <c r="AN339" s="75"/>
      <c r="AV339" s="153">
        <f t="shared" si="193"/>
        <v>44521</v>
      </c>
      <c r="AW339" s="608"/>
      <c r="AX339" s="385"/>
      <c r="AY339" s="388"/>
      <c r="AZ339" s="380"/>
      <c r="BA339" s="380"/>
      <c r="BB339" s="110"/>
      <c r="BD339" s="375"/>
      <c r="BE339" s="85"/>
      <c r="BF339" s="193">
        <f t="shared" si="189"/>
        <v>44886</v>
      </c>
      <c r="BG339" s="430">
        <f t="shared" si="194"/>
        <v>1.1965274291239281E-2</v>
      </c>
      <c r="BH339" s="846"/>
      <c r="BI339" s="846"/>
      <c r="BJ339" s="320">
        <f t="shared" si="190"/>
        <v>6.8490028696229846E-3</v>
      </c>
      <c r="BK339" s="378"/>
    </row>
    <row r="340" spans="1:63" s="6" customFormat="1" ht="11.25" customHeight="1" x14ac:dyDescent="0.2">
      <c r="A340" s="56">
        <f t="shared" si="191"/>
        <v>44887</v>
      </c>
      <c r="B340" s="608">
        <v>34.704000000000001</v>
      </c>
      <c r="C340" s="385"/>
      <c r="D340" s="388">
        <f t="shared" si="166"/>
        <v>34.924656811652277</v>
      </c>
      <c r="E340" s="380">
        <f t="shared" si="162"/>
        <v>35.924916096022159</v>
      </c>
      <c r="F340" s="380">
        <f t="shared" si="165"/>
        <v>35.925753134499537</v>
      </c>
      <c r="G340" s="110">
        <f t="shared" si="163"/>
        <v>0.32358319197057006</v>
      </c>
      <c r="I340" s="375">
        <f t="shared" si="167"/>
        <v>35.925753134499537</v>
      </c>
      <c r="J340" s="85">
        <v>2022</v>
      </c>
      <c r="K340" s="193">
        <f t="shared" si="168"/>
        <v>44887</v>
      </c>
      <c r="L340" s="430">
        <f t="shared" si="169"/>
        <v>6.3180810291787459E-3</v>
      </c>
      <c r="M340" s="846"/>
      <c r="N340" s="846"/>
      <c r="O340" s="320">
        <f t="shared" si="170"/>
        <v>2.784305137126368E-2</v>
      </c>
      <c r="P340" s="165">
        <f>(INDEX(Models!$BJ340:$BT340,,T340)*(1-R340)+INDEX(Models!$BJ340:$BT340,,T340+1)*R340-ERP_i)*Q340*Ramure*Pc/MaxiM</f>
        <v>6.8533842695434218E-4</v>
      </c>
      <c r="Q340" s="301">
        <f t="shared" si="171"/>
        <v>0.5</v>
      </c>
      <c r="R340" s="173">
        <f t="shared" si="172"/>
        <v>0.48912682391342965</v>
      </c>
      <c r="S340" s="801">
        <f t="shared" si="192"/>
        <v>0</v>
      </c>
      <c r="T340" s="172">
        <f t="shared" si="173"/>
        <v>6</v>
      </c>
      <c r="U340" s="247">
        <f t="shared" si="174"/>
        <v>0.48912682391342965</v>
      </c>
      <c r="V340" s="378">
        <f t="shared" si="175"/>
        <v>107.17807634386902</v>
      </c>
      <c r="W340" s="397"/>
      <c r="X340" s="153">
        <f t="shared" si="176"/>
        <v>44887</v>
      </c>
      <c r="Y340" s="380">
        <f t="shared" si="177"/>
        <v>34.704000000000001</v>
      </c>
      <c r="Z340" s="380">
        <f t="shared" si="178"/>
        <v>34.924656811652277</v>
      </c>
      <c r="AA340" s="381">
        <f t="shared" si="179"/>
        <v>35.924916096022159</v>
      </c>
      <c r="AB340" s="193">
        <f t="shared" si="180"/>
        <v>44887</v>
      </c>
      <c r="AC340" s="420">
        <f t="shared" si="181"/>
        <v>2.784305137126368E-2</v>
      </c>
      <c r="AD340" s="165">
        <f>(INDEX(Models!$BJ340:$BT340,,AH340)*(1-AF340)+INDEX(Models!$BJ340:$BT340,,AH340+1)*AF340-ERP_i)*AE340*Ramure*Pc/MaxiM</f>
        <v>6.8533842695434218E-4</v>
      </c>
      <c r="AE340" s="301">
        <f t="shared" si="182"/>
        <v>0.5</v>
      </c>
      <c r="AF340" s="173">
        <f t="shared" si="183"/>
        <v>0.48912682391342965</v>
      </c>
      <c r="AG340" s="801">
        <f t="shared" si="184"/>
        <v>0</v>
      </c>
      <c r="AH340" s="172">
        <f t="shared" si="185"/>
        <v>6</v>
      </c>
      <c r="AI340" s="221">
        <f t="shared" si="186"/>
        <v>0.48912682391342965</v>
      </c>
      <c r="AJ340" s="261" t="b">
        <f t="shared" si="187"/>
        <v>0</v>
      </c>
      <c r="AK340" s="261" t="b">
        <f t="shared" si="188"/>
        <v>0</v>
      </c>
      <c r="AL340" s="261"/>
      <c r="AM340" s="261"/>
      <c r="AN340" s="75"/>
      <c r="AV340" s="153">
        <f t="shared" si="193"/>
        <v>44522</v>
      </c>
      <c r="AW340" s="608"/>
      <c r="AX340" s="385"/>
      <c r="AY340" s="388"/>
      <c r="AZ340" s="380"/>
      <c r="BA340" s="380"/>
      <c r="BB340" s="110"/>
      <c r="BD340" s="375"/>
      <c r="BE340" s="85"/>
      <c r="BF340" s="193">
        <f t="shared" si="189"/>
        <v>44887</v>
      </c>
      <c r="BG340" s="430">
        <f t="shared" si="194"/>
        <v>1.1978945286284626E-2</v>
      </c>
      <c r="BH340" s="846"/>
      <c r="BI340" s="846"/>
      <c r="BJ340" s="320">
        <f t="shared" si="190"/>
        <v>6.9128769178108829E-3</v>
      </c>
      <c r="BK340" s="378"/>
    </row>
    <row r="341" spans="1:63" s="6" customFormat="1" ht="11.25" customHeight="1" x14ac:dyDescent="0.2">
      <c r="A341" s="56">
        <f t="shared" si="191"/>
        <v>44888</v>
      </c>
      <c r="B341" s="608">
        <v>57.234999999999999</v>
      </c>
      <c r="C341" s="385"/>
      <c r="D341" s="388">
        <f t="shared" si="166"/>
        <v>57.599703101262236</v>
      </c>
      <c r="E341" s="380">
        <f t="shared" si="162"/>
        <v>59.251468596603615</v>
      </c>
      <c r="F341" s="380">
        <f t="shared" si="165"/>
        <v>59.26549414271846</v>
      </c>
      <c r="G341" s="110">
        <f t="shared" si="163"/>
        <v>0.53900490013193703</v>
      </c>
      <c r="I341" s="375">
        <f t="shared" si="167"/>
        <v>59.26549414271846</v>
      </c>
      <c r="J341" s="85">
        <v>2022</v>
      </c>
      <c r="K341" s="193">
        <f t="shared" si="168"/>
        <v>44888</v>
      </c>
      <c r="L341" s="430">
        <f t="shared" si="169"/>
        <v>6.3316837001933246E-3</v>
      </c>
      <c r="M341" s="846"/>
      <c r="N341" s="846"/>
      <c r="O341" s="320">
        <f t="shared" si="170"/>
        <v>2.78772076787994E-2</v>
      </c>
      <c r="P341" s="165">
        <f>(INDEX(Models!$BJ341:$BT341,,T341)*(1-R341)+INDEX(Models!$BJ341:$BT341,,T341+1)*R341-ERP_i)*Q341*Ramure*Pc/MaxiM</f>
        <v>6.9240891553614401E-4</v>
      </c>
      <c r="Q341" s="301">
        <f t="shared" si="171"/>
        <v>0.5</v>
      </c>
      <c r="R341" s="173">
        <f t="shared" si="172"/>
        <v>0.48914966852137937</v>
      </c>
      <c r="S341" s="801">
        <f t="shared" si="192"/>
        <v>0</v>
      </c>
      <c r="T341" s="172">
        <f t="shared" si="173"/>
        <v>6</v>
      </c>
      <c r="U341" s="247">
        <f t="shared" si="174"/>
        <v>0.48914966852137937</v>
      </c>
      <c r="V341" s="378">
        <f t="shared" si="175"/>
        <v>106.13801248222559</v>
      </c>
      <c r="W341" s="397"/>
      <c r="X341" s="153">
        <f t="shared" si="176"/>
        <v>44888</v>
      </c>
      <c r="Y341" s="380">
        <f t="shared" si="177"/>
        <v>57.234999999999999</v>
      </c>
      <c r="Z341" s="380">
        <f t="shared" si="178"/>
        <v>57.599703101262236</v>
      </c>
      <c r="AA341" s="381">
        <f t="shared" si="179"/>
        <v>59.251468596603615</v>
      </c>
      <c r="AB341" s="193">
        <f t="shared" si="180"/>
        <v>44888</v>
      </c>
      <c r="AC341" s="420">
        <f t="shared" si="181"/>
        <v>2.78772076787994E-2</v>
      </c>
      <c r="AD341" s="165">
        <f>(INDEX(Models!$BJ341:$BT341,,AH341)*(1-AF341)+INDEX(Models!$BJ341:$BT341,,AH341+1)*AF341-ERP_i)*AE341*Ramure*Pc/MaxiM</f>
        <v>6.9240891553614401E-4</v>
      </c>
      <c r="AE341" s="301">
        <f t="shared" si="182"/>
        <v>0.5</v>
      </c>
      <c r="AF341" s="173">
        <f t="shared" si="183"/>
        <v>0.48914966852137937</v>
      </c>
      <c r="AG341" s="801">
        <f t="shared" si="184"/>
        <v>0</v>
      </c>
      <c r="AH341" s="172">
        <f t="shared" si="185"/>
        <v>6</v>
      </c>
      <c r="AI341" s="221">
        <f t="shared" si="186"/>
        <v>0.48914966852137937</v>
      </c>
      <c r="AJ341" s="261" t="b">
        <f t="shared" si="187"/>
        <v>0</v>
      </c>
      <c r="AK341" s="261" t="b">
        <f t="shared" si="188"/>
        <v>0</v>
      </c>
      <c r="AL341" s="261"/>
      <c r="AM341" s="261"/>
      <c r="AN341" s="75"/>
      <c r="AV341" s="153">
        <f t="shared" si="193"/>
        <v>44523</v>
      </c>
      <c r="AW341" s="608"/>
      <c r="AX341" s="385"/>
      <c r="AY341" s="388"/>
      <c r="AZ341" s="380"/>
      <c r="BA341" s="380"/>
      <c r="BB341" s="110"/>
      <c r="BD341" s="375"/>
      <c r="BE341" s="85"/>
      <c r="BF341" s="193">
        <f t="shared" si="189"/>
        <v>44888</v>
      </c>
      <c r="BG341" s="430">
        <f t="shared" si="194"/>
        <v>1.1992616094185671E-2</v>
      </c>
      <c r="BH341" s="846"/>
      <c r="BI341" s="846"/>
      <c r="BJ341" s="320">
        <f t="shared" si="190"/>
        <v>6.9767380905681941E-3</v>
      </c>
      <c r="BK341" s="378"/>
    </row>
    <row r="342" spans="1:63" s="6" customFormat="1" ht="11.25" x14ac:dyDescent="0.2">
      <c r="A342" s="56">
        <f t="shared" si="191"/>
        <v>44889</v>
      </c>
      <c r="B342" s="608">
        <v>56.320999999999998</v>
      </c>
      <c r="C342" s="385"/>
      <c r="D342" s="388">
        <f t="shared" si="166"/>
        <v>56.680654976982126</v>
      </c>
      <c r="E342" s="380">
        <f t="shared" si="162"/>
        <v>58.308137586973494</v>
      </c>
      <c r="F342" s="380">
        <f t="shared" si="165"/>
        <v>58.321847918347885</v>
      </c>
      <c r="G342" s="110">
        <f t="shared" si="163"/>
        <v>0.53544234780189326</v>
      </c>
      <c r="I342" s="375">
        <f t="shared" si="167"/>
        <v>58.321847918347885</v>
      </c>
      <c r="J342" s="85">
        <v>2022</v>
      </c>
      <c r="K342" s="193">
        <f t="shared" si="168"/>
        <v>44889</v>
      </c>
      <c r="L342" s="430">
        <f t="shared" si="169"/>
        <v>6.3452861849988551E-3</v>
      </c>
      <c r="M342" s="846"/>
      <c r="N342" s="846"/>
      <c r="O342" s="320">
        <f t="shared" si="170"/>
        <v>2.7911757729592802E-2</v>
      </c>
      <c r="P342" s="165">
        <f>(INDEX(Models!$BJ342:$BT342,,T342)*(1-R342)+INDEX(Models!$BJ342:$BT342,,T342+1)*R342-ERP_i)*Q342*Ramure*Pc/MaxiM</f>
        <v>6.9818844796953829E-4</v>
      </c>
      <c r="Q342" s="301">
        <f t="shared" si="171"/>
        <v>0.5</v>
      </c>
      <c r="R342" s="173">
        <f t="shared" si="172"/>
        <v>0.48917159530112736</v>
      </c>
      <c r="S342" s="801">
        <f t="shared" si="192"/>
        <v>0</v>
      </c>
      <c r="T342" s="172">
        <f t="shared" si="173"/>
        <v>6</v>
      </c>
      <c r="U342" s="247">
        <f t="shared" si="174"/>
        <v>0.48917159530112736</v>
      </c>
      <c r="V342" s="378">
        <f t="shared" si="175"/>
        <v>105.13720365510378</v>
      </c>
      <c r="W342" s="397"/>
      <c r="X342" s="153">
        <f t="shared" si="176"/>
        <v>44889</v>
      </c>
      <c r="Y342" s="380">
        <f t="shared" si="177"/>
        <v>56.320999999999998</v>
      </c>
      <c r="Z342" s="380">
        <f t="shared" si="178"/>
        <v>56.680654976982126</v>
      </c>
      <c r="AA342" s="381">
        <f t="shared" si="179"/>
        <v>58.308137586973494</v>
      </c>
      <c r="AB342" s="193">
        <f t="shared" si="180"/>
        <v>44889</v>
      </c>
      <c r="AC342" s="420">
        <f t="shared" si="181"/>
        <v>2.7911757729592802E-2</v>
      </c>
      <c r="AD342" s="165">
        <f>(INDEX(Models!$BJ342:$BT342,,AH342)*(1-AF342)+INDEX(Models!$BJ342:$BT342,,AH342+1)*AF342-ERP_i)*AE342*Ramure*Pc/MaxiM</f>
        <v>6.9818844796953829E-4</v>
      </c>
      <c r="AE342" s="301">
        <f t="shared" si="182"/>
        <v>0.5</v>
      </c>
      <c r="AF342" s="173">
        <f t="shared" si="183"/>
        <v>0.48917159530112736</v>
      </c>
      <c r="AG342" s="801">
        <f t="shared" si="184"/>
        <v>0</v>
      </c>
      <c r="AH342" s="172">
        <f t="shared" si="185"/>
        <v>6</v>
      </c>
      <c r="AI342" s="221">
        <f t="shared" si="186"/>
        <v>0.48917159530112736</v>
      </c>
      <c r="AJ342" s="261" t="b">
        <f t="shared" si="187"/>
        <v>0</v>
      </c>
      <c r="AK342" s="261" t="b">
        <f t="shared" si="188"/>
        <v>0</v>
      </c>
      <c r="AL342" s="261"/>
      <c r="AM342" s="261"/>
      <c r="AN342" s="75"/>
      <c r="AV342" s="153">
        <f t="shared" si="193"/>
        <v>44524</v>
      </c>
      <c r="AW342" s="608"/>
      <c r="AX342" s="385"/>
      <c r="AY342" s="388"/>
      <c r="AZ342" s="380"/>
      <c r="BA342" s="380"/>
      <c r="BB342" s="110"/>
      <c r="BD342" s="375"/>
      <c r="BE342" s="85"/>
      <c r="BF342" s="193">
        <f t="shared" si="189"/>
        <v>44889</v>
      </c>
      <c r="BG342" s="430">
        <f t="shared" si="194"/>
        <v>1.2006286714944747E-2</v>
      </c>
      <c r="BH342" s="846"/>
      <c r="BI342" s="846"/>
      <c r="BJ342" s="320">
        <f t="shared" si="190"/>
        <v>7.0405922535871192E-3</v>
      </c>
      <c r="BK342" s="378"/>
    </row>
    <row r="343" spans="1:63" s="6" customFormat="1" ht="11.25" customHeight="1" x14ac:dyDescent="0.2">
      <c r="A343" s="56">
        <f t="shared" si="191"/>
        <v>44890</v>
      </c>
      <c r="B343" s="608">
        <v>18.238</v>
      </c>
      <c r="C343" s="385"/>
      <c r="D343" s="388">
        <f t="shared" si="166"/>
        <v>18.354715589582309</v>
      </c>
      <c r="E343" s="380">
        <f t="shared" si="162"/>
        <v>18.882417047930645</v>
      </c>
      <c r="F343" s="380">
        <f t="shared" si="165"/>
        <v>18.882417047930645</v>
      </c>
      <c r="G343" s="110">
        <f t="shared" si="163"/>
        <v>0.17493961370377056</v>
      </c>
      <c r="I343" s="375">
        <f t="shared" si="167"/>
        <v>18.882417047930645</v>
      </c>
      <c r="J343" s="85">
        <v>2022</v>
      </c>
      <c r="K343" s="193">
        <f t="shared" si="168"/>
        <v>44890</v>
      </c>
      <c r="L343" s="430">
        <f t="shared" si="169"/>
        <v>6.3588884835977799E-3</v>
      </c>
      <c r="M343" s="846"/>
      <c r="N343" s="846"/>
      <c r="O343" s="320">
        <f t="shared" si="170"/>
        <v>2.7946711324553026E-2</v>
      </c>
      <c r="P343" s="165">
        <f>(INDEX(Models!$BJ343:$BT343,,T343)*(1-R343)+INDEX(Models!$BJ343:$BT343,,T343+1)*R343-ERP_i)*Q343*Ramure*Pc/MaxiM</f>
        <v>7.026322209704298E-4</v>
      </c>
      <c r="Q343" s="301">
        <f t="shared" si="171"/>
        <v>0.5</v>
      </c>
      <c r="R343" s="173">
        <f t="shared" si="172"/>
        <v>0.48919264105252469</v>
      </c>
      <c r="S343" s="801">
        <f t="shared" si="192"/>
        <v>0</v>
      </c>
      <c r="T343" s="172">
        <f t="shared" si="173"/>
        <v>6</v>
      </c>
      <c r="U343" s="247">
        <f t="shared" si="174"/>
        <v>0.48919264105252469</v>
      </c>
      <c r="V343" s="378">
        <f t="shared" si="175"/>
        <v>104.17986531292497</v>
      </c>
      <c r="W343" s="397"/>
      <c r="X343" s="153">
        <f t="shared" si="176"/>
        <v>44890</v>
      </c>
      <c r="Y343" s="380">
        <f t="shared" si="177"/>
        <v>18.238</v>
      </c>
      <c r="Z343" s="380">
        <f t="shared" si="178"/>
        <v>18.354715589582309</v>
      </c>
      <c r="AA343" s="381">
        <f t="shared" si="179"/>
        <v>18.882417047930645</v>
      </c>
      <c r="AB343" s="193">
        <f t="shared" si="180"/>
        <v>44890</v>
      </c>
      <c r="AC343" s="420">
        <f t="shared" si="181"/>
        <v>2.7946711324553026E-2</v>
      </c>
      <c r="AD343" s="165">
        <f>(INDEX(Models!$BJ343:$BT343,,AH343)*(1-AF343)+INDEX(Models!$BJ343:$BT343,,AH343+1)*AF343-ERP_i)*AE343*Ramure*Pc/MaxiM</f>
        <v>7.026322209704298E-4</v>
      </c>
      <c r="AE343" s="301">
        <f t="shared" si="182"/>
        <v>0.5</v>
      </c>
      <c r="AF343" s="173">
        <f t="shared" si="183"/>
        <v>0.48919264105252469</v>
      </c>
      <c r="AG343" s="801">
        <f t="shared" si="184"/>
        <v>0</v>
      </c>
      <c r="AH343" s="172">
        <f t="shared" si="185"/>
        <v>6</v>
      </c>
      <c r="AI343" s="221">
        <f t="shared" si="186"/>
        <v>0.48919264105252469</v>
      </c>
      <c r="AJ343" s="261" t="b">
        <f t="shared" si="187"/>
        <v>0</v>
      </c>
      <c r="AK343" s="261" t="b">
        <f t="shared" si="188"/>
        <v>0</v>
      </c>
      <c r="AL343" s="261"/>
      <c r="AM343" s="261"/>
      <c r="AN343" s="75"/>
      <c r="AV343" s="153">
        <f t="shared" si="193"/>
        <v>44525</v>
      </c>
      <c r="AW343" s="608"/>
      <c r="AX343" s="385"/>
      <c r="AY343" s="388"/>
      <c r="AZ343" s="380"/>
      <c r="BA343" s="380"/>
      <c r="BB343" s="110"/>
      <c r="BD343" s="375"/>
      <c r="BE343" s="85"/>
      <c r="BF343" s="193">
        <f t="shared" si="189"/>
        <v>44890</v>
      </c>
      <c r="BG343" s="430">
        <f t="shared" si="194"/>
        <v>1.201995714856452E-2</v>
      </c>
      <c r="BH343" s="846"/>
      <c r="BI343" s="846"/>
      <c r="BJ343" s="320">
        <f t="shared" si="190"/>
        <v>7.1044448963977222E-3</v>
      </c>
      <c r="BK343" s="378"/>
    </row>
    <row r="344" spans="1:63" s="6" customFormat="1" ht="11.25" x14ac:dyDescent="0.2">
      <c r="A344" s="56">
        <f t="shared" si="191"/>
        <v>44891</v>
      </c>
      <c r="B344" s="608">
        <v>54.9</v>
      </c>
      <c r="C344" s="385"/>
      <c r="D344" s="388">
        <f t="shared" si="166"/>
        <v>55.252093445892861</v>
      </c>
      <c r="E344" s="380">
        <f t="shared" si="162"/>
        <v>56.842669369133446</v>
      </c>
      <c r="F344" s="380">
        <f t="shared" si="165"/>
        <v>56.855945185650661</v>
      </c>
      <c r="G344" s="110">
        <f t="shared" si="163"/>
        <v>0.53136397366806998</v>
      </c>
      <c r="I344" s="375">
        <f t="shared" si="167"/>
        <v>56.855945185650661</v>
      </c>
      <c r="J344" s="85">
        <v>2022</v>
      </c>
      <c r="K344" s="193">
        <f t="shared" si="168"/>
        <v>44891</v>
      </c>
      <c r="L344" s="430">
        <f t="shared" si="169"/>
        <v>6.3724905959926526E-3</v>
      </c>
      <c r="M344" s="846"/>
      <c r="N344" s="846"/>
      <c r="O344" s="320">
        <f t="shared" si="170"/>
        <v>2.7982076508607737E-2</v>
      </c>
      <c r="P344" s="165">
        <f>(INDEX(Models!$BJ344:$BT344,,T344)*(1-R344)+INDEX(Models!$BJ344:$BT344,,T344+1)*R344-ERP_i)*Q344*Ramure*Pc/MaxiM</f>
        <v>7.0569429474068226E-4</v>
      </c>
      <c r="Q344" s="301">
        <f t="shared" si="171"/>
        <v>0.5</v>
      </c>
      <c r="R344" s="173">
        <f t="shared" si="172"/>
        <v>0.48921284110592306</v>
      </c>
      <c r="S344" s="801">
        <f t="shared" si="192"/>
        <v>0</v>
      </c>
      <c r="T344" s="172">
        <f t="shared" si="173"/>
        <v>6</v>
      </c>
      <c r="U344" s="247">
        <f t="shared" si="174"/>
        <v>0.48921284110592306</v>
      </c>
      <c r="V344" s="378">
        <f t="shared" si="175"/>
        <v>103.27021242107604</v>
      </c>
      <c r="W344" s="397"/>
      <c r="X344" s="153">
        <f t="shared" si="176"/>
        <v>44891</v>
      </c>
      <c r="Y344" s="380">
        <f t="shared" si="177"/>
        <v>54.9</v>
      </c>
      <c r="Z344" s="380">
        <f t="shared" si="178"/>
        <v>55.252093445892861</v>
      </c>
      <c r="AA344" s="381">
        <f t="shared" si="179"/>
        <v>56.842669369133446</v>
      </c>
      <c r="AB344" s="193">
        <f t="shared" si="180"/>
        <v>44891</v>
      </c>
      <c r="AC344" s="420">
        <f t="shared" si="181"/>
        <v>2.7982076508607737E-2</v>
      </c>
      <c r="AD344" s="165">
        <f>(INDEX(Models!$BJ344:$BT344,,AH344)*(1-AF344)+INDEX(Models!$BJ344:$BT344,,AH344+1)*AF344-ERP_i)*AE344*Ramure*Pc/MaxiM</f>
        <v>7.0569429474068226E-4</v>
      </c>
      <c r="AE344" s="301">
        <f t="shared" si="182"/>
        <v>0.5</v>
      </c>
      <c r="AF344" s="173">
        <f t="shared" si="183"/>
        <v>0.48921284110592306</v>
      </c>
      <c r="AG344" s="801">
        <f t="shared" si="184"/>
        <v>0</v>
      </c>
      <c r="AH344" s="172">
        <f t="shared" si="185"/>
        <v>6</v>
      </c>
      <c r="AI344" s="221">
        <f t="shared" si="186"/>
        <v>0.48921284110592306</v>
      </c>
      <c r="AJ344" s="261" t="b">
        <f t="shared" si="187"/>
        <v>0</v>
      </c>
      <c r="AK344" s="261" t="b">
        <f t="shared" si="188"/>
        <v>0</v>
      </c>
      <c r="AL344" s="261"/>
      <c r="AM344" s="261"/>
      <c r="AN344" s="75"/>
      <c r="AV344" s="153">
        <f t="shared" si="193"/>
        <v>44526</v>
      </c>
      <c r="AW344" s="608"/>
      <c r="AX344" s="385"/>
      <c r="AY344" s="388"/>
      <c r="AZ344" s="380"/>
      <c r="BA344" s="380"/>
      <c r="BB344" s="110"/>
      <c r="BD344" s="375"/>
      <c r="BE344" s="85"/>
      <c r="BF344" s="193">
        <f t="shared" si="189"/>
        <v>44891</v>
      </c>
      <c r="BG344" s="430">
        <f t="shared" si="194"/>
        <v>1.2033627395047541E-2</v>
      </c>
      <c r="BH344" s="846"/>
      <c r="BI344" s="846"/>
      <c r="BJ344" s="320">
        <f t="shared" si="190"/>
        <v>7.1683011095844415E-3</v>
      </c>
      <c r="BK344" s="378"/>
    </row>
    <row r="345" spans="1:63" s="6" customFormat="1" ht="11.25" customHeight="1" x14ac:dyDescent="0.2">
      <c r="A345" s="56">
        <f t="shared" si="191"/>
        <v>44892</v>
      </c>
      <c r="B345" s="608">
        <v>59.795999999999999</v>
      </c>
      <c r="C345" s="385"/>
      <c r="D345" s="388">
        <f t="shared" si="166"/>
        <v>60.18031707284166</v>
      </c>
      <c r="E345" s="380">
        <f t="shared" si="162"/>
        <v>61.915044082725927</v>
      </c>
      <c r="F345" s="380">
        <f t="shared" si="165"/>
        <v>61.932817208554482</v>
      </c>
      <c r="G345" s="110">
        <f t="shared" si="163"/>
        <v>0.58371401992304561</v>
      </c>
      <c r="I345" s="375">
        <f t="shared" si="167"/>
        <v>61.932817208554482</v>
      </c>
      <c r="J345" s="85">
        <v>2022</v>
      </c>
      <c r="K345" s="193">
        <f t="shared" si="168"/>
        <v>44892</v>
      </c>
      <c r="L345" s="430">
        <f t="shared" si="169"/>
        <v>6.3860925221860265E-3</v>
      </c>
      <c r="M345" s="846"/>
      <c r="N345" s="846"/>
      <c r="O345" s="320">
        <f t="shared" si="170"/>
        <v>2.8017859561990561E-2</v>
      </c>
      <c r="P345" s="165">
        <f>(INDEX(Models!$BJ345:$BT345,,T345)*(1-R345)+INDEX(Models!$BJ345:$BT345,,T345+1)*R345-ERP_i)*Q345*Ramure*Pc/MaxiM</f>
        <v>7.0743156348192324E-4</v>
      </c>
      <c r="Q345" s="301">
        <f t="shared" si="171"/>
        <v>0.5</v>
      </c>
      <c r="R345" s="173">
        <f t="shared" si="172"/>
        <v>0.48923222938038363</v>
      </c>
      <c r="S345" s="801">
        <f t="shared" si="192"/>
        <v>0</v>
      </c>
      <c r="T345" s="172">
        <f t="shared" si="173"/>
        <v>6</v>
      </c>
      <c r="U345" s="247">
        <f t="shared" si="174"/>
        <v>0.48923222938038363</v>
      </c>
      <c r="V345" s="378">
        <f t="shared" si="175"/>
        <v>102.3974910304016</v>
      </c>
      <c r="W345" s="397"/>
      <c r="X345" s="153">
        <f t="shared" si="176"/>
        <v>44892</v>
      </c>
      <c r="Y345" s="380">
        <f t="shared" si="177"/>
        <v>59.795999999999999</v>
      </c>
      <c r="Z345" s="380">
        <f t="shared" si="178"/>
        <v>60.18031707284166</v>
      </c>
      <c r="AA345" s="381">
        <f t="shared" si="179"/>
        <v>61.915044082725927</v>
      </c>
      <c r="AB345" s="193">
        <f t="shared" si="180"/>
        <v>44892</v>
      </c>
      <c r="AC345" s="420">
        <f t="shared" si="181"/>
        <v>2.8017859561990561E-2</v>
      </c>
      <c r="AD345" s="165">
        <f>(INDEX(Models!$BJ345:$BT345,,AH345)*(1-AF345)+INDEX(Models!$BJ345:$BT345,,AH345+1)*AF345-ERP_i)*AE345*Ramure*Pc/MaxiM</f>
        <v>7.0743156348192324E-4</v>
      </c>
      <c r="AE345" s="301">
        <f t="shared" si="182"/>
        <v>0.5</v>
      </c>
      <c r="AF345" s="173">
        <f t="shared" si="183"/>
        <v>0.48923222938038363</v>
      </c>
      <c r="AG345" s="801">
        <f t="shared" si="184"/>
        <v>0</v>
      </c>
      <c r="AH345" s="172">
        <f t="shared" si="185"/>
        <v>6</v>
      </c>
      <c r="AI345" s="221">
        <f t="shared" si="186"/>
        <v>0.48923222938038363</v>
      </c>
      <c r="AJ345" s="261" t="b">
        <f t="shared" si="187"/>
        <v>0</v>
      </c>
      <c r="AK345" s="261" t="b">
        <f t="shared" si="188"/>
        <v>0</v>
      </c>
      <c r="AL345" s="261"/>
      <c r="AM345" s="261"/>
      <c r="AN345" s="75"/>
      <c r="AV345" s="153">
        <f t="shared" si="193"/>
        <v>44527</v>
      </c>
      <c r="AW345" s="608"/>
      <c r="AX345" s="385"/>
      <c r="AY345" s="388"/>
      <c r="AZ345" s="380"/>
      <c r="BA345" s="380"/>
      <c r="BB345" s="110"/>
      <c r="BD345" s="375"/>
      <c r="BE345" s="85"/>
      <c r="BF345" s="193">
        <f t="shared" si="189"/>
        <v>44892</v>
      </c>
      <c r="BG345" s="430">
        <f t="shared" si="194"/>
        <v>1.2047297454396366E-2</v>
      </c>
      <c r="BH345" s="846"/>
      <c r="BI345" s="846"/>
      <c r="BJ345" s="320">
        <f t="shared" si="190"/>
        <v>7.2321655648405975E-3</v>
      </c>
      <c r="BK345" s="378"/>
    </row>
    <row r="346" spans="1:63" s="6" customFormat="1" ht="11.25" customHeight="1" x14ac:dyDescent="0.2">
      <c r="A346" s="56">
        <f t="shared" si="191"/>
        <v>44893</v>
      </c>
      <c r="B346" s="608">
        <v>38.869999999999997</v>
      </c>
      <c r="C346" s="385"/>
      <c r="D346" s="388">
        <f t="shared" si="166"/>
        <v>39.120358332756581</v>
      </c>
      <c r="E346" s="380">
        <f t="shared" si="162"/>
        <v>40.249521011534405</v>
      </c>
      <c r="F346" s="380">
        <f t="shared" si="165"/>
        <v>40.252888141714507</v>
      </c>
      <c r="G346" s="110">
        <f t="shared" si="163"/>
        <v>0.38253005934720702</v>
      </c>
      <c r="I346" s="375">
        <f t="shared" si="167"/>
        <v>40.252888141714507</v>
      </c>
      <c r="J346" s="85">
        <v>2022</v>
      </c>
      <c r="K346" s="193">
        <f t="shared" si="168"/>
        <v>44893</v>
      </c>
      <c r="L346" s="430">
        <f t="shared" si="169"/>
        <v>6.3996942621804553E-3</v>
      </c>
      <c r="M346" s="846"/>
      <c r="N346" s="846"/>
      <c r="O346" s="320">
        <f t="shared" si="170"/>
        <v>2.8054065002518565E-2</v>
      </c>
      <c r="P346" s="165">
        <f>(INDEX(Models!$BJ346:$BT346,,T346)*(1-R346)+INDEX(Models!$BJ346:$BT346,,T346+1)*R346-ERP_i)*Q346*Ramure*Pc/MaxiM</f>
        <v>7.0744711804932589E-4</v>
      </c>
      <c r="Q346" s="301">
        <f t="shared" si="171"/>
        <v>0.5</v>
      </c>
      <c r="R346" s="173">
        <f t="shared" si="172"/>
        <v>0.48925083843961836</v>
      </c>
      <c r="S346" s="801">
        <f t="shared" si="192"/>
        <v>0</v>
      </c>
      <c r="T346" s="172">
        <f t="shared" si="173"/>
        <v>6</v>
      </c>
      <c r="U346" s="247">
        <f t="shared" si="174"/>
        <v>0.48925083843961836</v>
      </c>
      <c r="V346" s="378">
        <f t="shared" si="175"/>
        <v>101.54953840961562</v>
      </c>
      <c r="W346" s="397"/>
      <c r="X346" s="153">
        <f t="shared" si="176"/>
        <v>44893</v>
      </c>
      <c r="Y346" s="380">
        <f t="shared" si="177"/>
        <v>38.869999999999997</v>
      </c>
      <c r="Z346" s="380">
        <f t="shared" si="178"/>
        <v>39.120358332756581</v>
      </c>
      <c r="AA346" s="381">
        <f t="shared" si="179"/>
        <v>40.249521011534405</v>
      </c>
      <c r="AB346" s="193">
        <f t="shared" si="180"/>
        <v>44893</v>
      </c>
      <c r="AC346" s="420">
        <f t="shared" si="181"/>
        <v>2.8054065002518565E-2</v>
      </c>
      <c r="AD346" s="165">
        <f>(INDEX(Models!$BJ346:$BT346,,AH346)*(1-AF346)+INDEX(Models!$BJ346:$BT346,,AH346+1)*AF346-ERP_i)*AE346*Ramure*Pc/MaxiM</f>
        <v>7.0744711804932589E-4</v>
      </c>
      <c r="AE346" s="301">
        <f t="shared" si="182"/>
        <v>0.5</v>
      </c>
      <c r="AF346" s="173">
        <f t="shared" si="183"/>
        <v>0.48925083843961836</v>
      </c>
      <c r="AG346" s="801">
        <f t="shared" si="184"/>
        <v>0</v>
      </c>
      <c r="AH346" s="172">
        <f t="shared" si="185"/>
        <v>6</v>
      </c>
      <c r="AI346" s="221">
        <f t="shared" si="186"/>
        <v>0.48925083843961836</v>
      </c>
      <c r="AJ346" s="261" t="b">
        <f t="shared" si="187"/>
        <v>0</v>
      </c>
      <c r="AK346" s="261" t="b">
        <f t="shared" si="188"/>
        <v>0</v>
      </c>
      <c r="AL346" s="261"/>
      <c r="AM346" s="261"/>
      <c r="AN346" s="75"/>
      <c r="AV346" s="153">
        <f t="shared" si="193"/>
        <v>44528</v>
      </c>
      <c r="AW346" s="608"/>
      <c r="AX346" s="385"/>
      <c r="AY346" s="388"/>
      <c r="AZ346" s="380"/>
      <c r="BA346" s="380"/>
      <c r="BB346" s="110"/>
      <c r="BD346" s="375"/>
      <c r="BE346" s="85"/>
      <c r="BF346" s="193">
        <f t="shared" si="189"/>
        <v>44893</v>
      </c>
      <c r="BG346" s="430">
        <f t="shared" si="194"/>
        <v>1.2060967326613548E-2</v>
      </c>
      <c r="BH346" s="846"/>
      <c r="BI346" s="846"/>
      <c r="BJ346" s="320">
        <f t="shared" si="190"/>
        <v>7.29604249800912E-3</v>
      </c>
      <c r="BK346" s="378"/>
    </row>
    <row r="347" spans="1:63" s="6" customFormat="1" ht="11.25" customHeight="1" x14ac:dyDescent="0.2">
      <c r="A347" s="56">
        <f t="shared" si="191"/>
        <v>44894</v>
      </c>
      <c r="B347" s="608">
        <v>55.378</v>
      </c>
      <c r="C347" s="385"/>
      <c r="D347" s="388">
        <f t="shared" si="166"/>
        <v>55.73544791491441</v>
      </c>
      <c r="E347" s="380">
        <f t="shared" si="162"/>
        <v>57.346346683296261</v>
      </c>
      <c r="F347" s="380">
        <f t="shared" si="165"/>
        <v>57.360785760520933</v>
      </c>
      <c r="G347" s="110">
        <f t="shared" si="163"/>
        <v>0.5495258701196376</v>
      </c>
      <c r="I347" s="375">
        <f t="shared" si="167"/>
        <v>57.360785760520933</v>
      </c>
      <c r="J347" s="85">
        <v>2022</v>
      </c>
      <c r="K347" s="193">
        <f t="shared" si="168"/>
        <v>44894</v>
      </c>
      <c r="L347" s="430">
        <f t="shared" si="169"/>
        <v>6.4132958159784925E-3</v>
      </c>
      <c r="M347" s="846"/>
      <c r="N347" s="846"/>
      <c r="O347" s="320">
        <f t="shared" si="170"/>
        <v>2.8090695598767226E-2</v>
      </c>
      <c r="P347" s="165">
        <f>(INDEX(Models!$BJ347:$BT347,,T347)*(1-R347)+INDEX(Models!$BJ347:$BT347,,T347+1)*R347-ERP_i)*Q347*Ramure*Pc/MaxiM</f>
        <v>7.054605750909835E-4</v>
      </c>
      <c r="Q347" s="301">
        <f t="shared" si="171"/>
        <v>0.5</v>
      </c>
      <c r="R347" s="173">
        <f t="shared" si="172"/>
        <v>0.48926869954574753</v>
      </c>
      <c r="S347" s="801">
        <f t="shared" si="192"/>
        <v>0</v>
      </c>
      <c r="T347" s="172">
        <f t="shared" si="173"/>
        <v>6</v>
      </c>
      <c r="U347" s="247">
        <f t="shared" si="174"/>
        <v>0.48926869954574753</v>
      </c>
      <c r="V347" s="378">
        <f t="shared" si="175"/>
        <v>100.72840907077985</v>
      </c>
      <c r="W347" s="397"/>
      <c r="X347" s="153">
        <f t="shared" si="176"/>
        <v>44894</v>
      </c>
      <c r="Y347" s="380">
        <f t="shared" si="177"/>
        <v>55.378</v>
      </c>
      <c r="Z347" s="380">
        <f t="shared" si="178"/>
        <v>55.73544791491441</v>
      </c>
      <c r="AA347" s="381">
        <f t="shared" si="179"/>
        <v>57.346346683296261</v>
      </c>
      <c r="AB347" s="193">
        <f t="shared" si="180"/>
        <v>44894</v>
      </c>
      <c r="AC347" s="420">
        <f t="shared" si="181"/>
        <v>2.8090695598767226E-2</v>
      </c>
      <c r="AD347" s="165">
        <f>(INDEX(Models!$BJ347:$BT347,,AH347)*(1-AF347)+INDEX(Models!$BJ347:$BT347,,AH347+1)*AF347-ERP_i)*AE347*Ramure*Pc/MaxiM</f>
        <v>7.054605750909835E-4</v>
      </c>
      <c r="AE347" s="301">
        <f t="shared" si="182"/>
        <v>0.5</v>
      </c>
      <c r="AF347" s="173">
        <f t="shared" si="183"/>
        <v>0.48926869954574753</v>
      </c>
      <c r="AG347" s="801">
        <f t="shared" si="184"/>
        <v>0</v>
      </c>
      <c r="AH347" s="172">
        <f t="shared" si="185"/>
        <v>6</v>
      </c>
      <c r="AI347" s="221">
        <f t="shared" si="186"/>
        <v>0.48926869954574753</v>
      </c>
      <c r="AJ347" s="261" t="b">
        <f t="shared" si="187"/>
        <v>0</v>
      </c>
      <c r="AK347" s="261" t="b">
        <f t="shared" si="188"/>
        <v>0</v>
      </c>
      <c r="AL347" s="261"/>
      <c r="AM347" s="261"/>
      <c r="AN347" s="75"/>
      <c r="AV347" s="153">
        <f t="shared" si="193"/>
        <v>44529</v>
      </c>
      <c r="AW347" s="608"/>
      <c r="AX347" s="385"/>
      <c r="AY347" s="388"/>
      <c r="AZ347" s="380"/>
      <c r="BA347" s="380"/>
      <c r="BB347" s="110"/>
      <c r="BD347" s="375"/>
      <c r="BE347" s="85"/>
      <c r="BF347" s="193">
        <f t="shared" si="189"/>
        <v>44894</v>
      </c>
      <c r="BG347" s="430">
        <f t="shared" si="194"/>
        <v>1.207463701170175E-2</v>
      </c>
      <c r="BH347" s="846"/>
      <c r="BI347" s="846"/>
      <c r="BJ347" s="320">
        <f t="shared" si="190"/>
        <v>7.3599356952323124E-3</v>
      </c>
      <c r="BK347" s="378"/>
    </row>
    <row r="348" spans="1:63" s="6" customFormat="1" ht="11.25" customHeight="1" x14ac:dyDescent="0.2">
      <c r="A348" s="56">
        <f t="shared" si="191"/>
        <v>44895</v>
      </c>
      <c r="B348" s="608">
        <v>21.966000000000001</v>
      </c>
      <c r="C348" s="385"/>
      <c r="D348" s="388">
        <f t="shared" si="166"/>
        <v>22.108086398207039</v>
      </c>
      <c r="E348" s="380">
        <f t="shared" si="162"/>
        <v>22.747934672139031</v>
      </c>
      <c r="F348" s="380">
        <f t="shared" si="165"/>
        <v>22.747934672139031</v>
      </c>
      <c r="G348" s="110">
        <f t="shared" si="163"/>
        <v>0.21964620590091086</v>
      </c>
      <c r="I348" s="375">
        <f t="shared" si="167"/>
        <v>22.747934672139031</v>
      </c>
      <c r="J348" s="85">
        <v>2022</v>
      </c>
      <c r="K348" s="193">
        <f t="shared" si="168"/>
        <v>44895</v>
      </c>
      <c r="L348" s="430">
        <f t="shared" si="169"/>
        <v>6.4268971835825806E-3</v>
      </c>
      <c r="M348" s="846"/>
      <c r="N348" s="846"/>
      <c r="O348" s="320">
        <f t="shared" si="170"/>
        <v>2.8127752393963822E-2</v>
      </c>
      <c r="P348" s="165">
        <f>(INDEX(Models!$BJ348:$BT348,,T348)*(1-R348)+INDEX(Models!$BJ348:$BT348,,T348+1)*R348-ERP_i)*Q348*Ramure*Pc/MaxiM</f>
        <v>7.0143765275466603E-4</v>
      </c>
      <c r="Q348" s="301">
        <f t="shared" si="171"/>
        <v>0.5</v>
      </c>
      <c r="R348" s="173">
        <f t="shared" si="172"/>
        <v>0.4892858427109566</v>
      </c>
      <c r="S348" s="801">
        <f t="shared" si="192"/>
        <v>0</v>
      </c>
      <c r="T348" s="172">
        <f t="shared" si="173"/>
        <v>6</v>
      </c>
      <c r="U348" s="247">
        <f t="shared" si="174"/>
        <v>0.4892858427109566</v>
      </c>
      <c r="V348" s="378">
        <f t="shared" si="175"/>
        <v>99.936131974080993</v>
      </c>
      <c r="W348" s="397"/>
      <c r="X348" s="153">
        <f t="shared" si="176"/>
        <v>44895</v>
      </c>
      <c r="Y348" s="380">
        <f t="shared" si="177"/>
        <v>21.966000000000001</v>
      </c>
      <c r="Z348" s="380">
        <f t="shared" si="178"/>
        <v>22.108086398207039</v>
      </c>
      <c r="AA348" s="381">
        <f t="shared" si="179"/>
        <v>22.747934672139031</v>
      </c>
      <c r="AB348" s="193">
        <f t="shared" si="180"/>
        <v>44895</v>
      </c>
      <c r="AC348" s="420">
        <f t="shared" si="181"/>
        <v>2.8127752393963822E-2</v>
      </c>
      <c r="AD348" s="165">
        <f>(INDEX(Models!$BJ348:$BT348,,AH348)*(1-AF348)+INDEX(Models!$BJ348:$BT348,,AH348+1)*AF348-ERP_i)*AE348*Ramure*Pc/MaxiM</f>
        <v>7.0143765275466603E-4</v>
      </c>
      <c r="AE348" s="301">
        <f t="shared" si="182"/>
        <v>0.5</v>
      </c>
      <c r="AF348" s="173">
        <f t="shared" si="183"/>
        <v>0.4892858427109566</v>
      </c>
      <c r="AG348" s="801">
        <f t="shared" si="184"/>
        <v>0</v>
      </c>
      <c r="AH348" s="172">
        <f t="shared" si="185"/>
        <v>6</v>
      </c>
      <c r="AI348" s="221">
        <f t="shared" si="186"/>
        <v>0.4892858427109566</v>
      </c>
      <c r="AJ348" s="261" t="b">
        <f t="shared" si="187"/>
        <v>0</v>
      </c>
      <c r="AK348" s="261" t="b">
        <f t="shared" si="188"/>
        <v>0</v>
      </c>
      <c r="AL348" s="261"/>
      <c r="AM348" s="261"/>
      <c r="AN348" s="75"/>
      <c r="AV348" s="153">
        <f t="shared" si="193"/>
        <v>44530</v>
      </c>
      <c r="AW348" s="608"/>
      <c r="AX348" s="385"/>
      <c r="AY348" s="388"/>
      <c r="AZ348" s="380"/>
      <c r="BA348" s="380"/>
      <c r="BB348" s="110"/>
      <c r="BD348" s="375"/>
      <c r="BE348" s="85"/>
      <c r="BF348" s="193">
        <f t="shared" si="189"/>
        <v>44895</v>
      </c>
      <c r="BG348" s="430">
        <f t="shared" si="194"/>
        <v>1.2088306509663305E-2</v>
      </c>
      <c r="BH348" s="846"/>
      <c r="BI348" s="846"/>
      <c r="BJ348" s="320">
        <f t="shared" si="190"/>
        <v>7.4238484823067382E-3</v>
      </c>
      <c r="BK348" s="378"/>
    </row>
    <row r="349" spans="1:63" s="6" customFormat="1" ht="11.25" customHeight="1" x14ac:dyDescent="0.2">
      <c r="A349" s="56">
        <f t="shared" si="191"/>
        <v>44896</v>
      </c>
      <c r="B349" s="608">
        <v>16.498000000000001</v>
      </c>
      <c r="C349" s="385"/>
      <c r="D349" s="388">
        <f t="shared" si="166"/>
        <v>16.604944115426246</v>
      </c>
      <c r="E349" s="380">
        <f t="shared" si="162"/>
        <v>17.086180397127045</v>
      </c>
      <c r="F349" s="380">
        <f t="shared" si="165"/>
        <v>17.086180397127045</v>
      </c>
      <c r="G349" s="110">
        <f t="shared" si="163"/>
        <v>0.16623717762696796</v>
      </c>
      <c r="I349" s="375">
        <f t="shared" si="167"/>
        <v>17.086180397127045</v>
      </c>
      <c r="J349" s="85">
        <v>2022</v>
      </c>
      <c r="K349" s="193">
        <f t="shared" si="168"/>
        <v>44896</v>
      </c>
      <c r="L349" s="430">
        <f t="shared" si="169"/>
        <v>6.440498364995495E-3</v>
      </c>
      <c r="M349" s="846"/>
      <c r="N349" s="846"/>
      <c r="O349" s="320">
        <f t="shared" si="170"/>
        <v>2.8165234740335249E-2</v>
      </c>
      <c r="P349" s="165">
        <f>(INDEX(Models!$BJ349:$BT349,,T349)*(1-R349)+INDEX(Models!$BJ349:$BT349,,T349+1)*R349-ERP_i)*Q349*Ramure*Pc/MaxiM</f>
        <v>6.9534363601192245E-4</v>
      </c>
      <c r="Q349" s="301">
        <f t="shared" si="171"/>
        <v>0.5</v>
      </c>
      <c r="R349" s="173">
        <f t="shared" si="172"/>
        <v>0.4893022967471321</v>
      </c>
      <c r="S349" s="801">
        <f t="shared" si="192"/>
        <v>0</v>
      </c>
      <c r="T349" s="172">
        <f t="shared" si="173"/>
        <v>6</v>
      </c>
      <c r="U349" s="247">
        <f t="shared" si="174"/>
        <v>0.4893022967471321</v>
      </c>
      <c r="V349" s="378">
        <f t="shared" si="175"/>
        <v>99.17473609717095</v>
      </c>
      <c r="W349" s="397"/>
      <c r="X349" s="153">
        <f t="shared" si="176"/>
        <v>44896</v>
      </c>
      <c r="Y349" s="380">
        <f t="shared" si="177"/>
        <v>16.498000000000001</v>
      </c>
      <c r="Z349" s="380">
        <f t="shared" si="178"/>
        <v>16.604944115426246</v>
      </c>
      <c r="AA349" s="381">
        <f t="shared" si="179"/>
        <v>17.086180397127045</v>
      </c>
      <c r="AB349" s="193">
        <f t="shared" si="180"/>
        <v>44896</v>
      </c>
      <c r="AC349" s="420">
        <f t="shared" si="181"/>
        <v>2.8165234740335249E-2</v>
      </c>
      <c r="AD349" s="165">
        <f>(INDEX(Models!$BJ349:$BT349,,AH349)*(1-AF349)+INDEX(Models!$BJ349:$BT349,,AH349+1)*AF349-ERP_i)*AE349*Ramure*Pc/MaxiM</f>
        <v>6.9534363601192245E-4</v>
      </c>
      <c r="AE349" s="301">
        <f t="shared" si="182"/>
        <v>0.5</v>
      </c>
      <c r="AF349" s="173">
        <f t="shared" si="183"/>
        <v>0.4893022967471321</v>
      </c>
      <c r="AG349" s="801">
        <f t="shared" si="184"/>
        <v>0</v>
      </c>
      <c r="AH349" s="172">
        <f t="shared" si="185"/>
        <v>6</v>
      </c>
      <c r="AI349" s="221">
        <f t="shared" si="186"/>
        <v>0.4893022967471321</v>
      </c>
      <c r="AJ349" s="261" t="b">
        <f t="shared" si="187"/>
        <v>0</v>
      </c>
      <c r="AK349" s="261" t="b">
        <f t="shared" si="188"/>
        <v>0</v>
      </c>
      <c r="AL349" s="261"/>
      <c r="AM349" s="261"/>
      <c r="AN349" s="75"/>
      <c r="AV349" s="153">
        <f t="shared" si="193"/>
        <v>44531</v>
      </c>
      <c r="AW349" s="608"/>
      <c r="AX349" s="385"/>
      <c r="AY349" s="388"/>
      <c r="AZ349" s="380"/>
      <c r="BA349" s="380"/>
      <c r="BB349" s="110"/>
      <c r="BD349" s="375"/>
      <c r="BE349" s="85"/>
      <c r="BF349" s="193">
        <f t="shared" si="189"/>
        <v>44896</v>
      </c>
      <c r="BG349" s="430">
        <f t="shared" si="194"/>
        <v>1.2101975820500988E-2</v>
      </c>
      <c r="BH349" s="846"/>
      <c r="BI349" s="846"/>
      <c r="BJ349" s="320">
        <f t="shared" si="190"/>
        <v>7.4877837173111129E-3</v>
      </c>
      <c r="BK349" s="378"/>
    </row>
    <row r="350" spans="1:63" s="6" customFormat="1" ht="11.25" customHeight="1" x14ac:dyDescent="0.2">
      <c r="A350" s="56">
        <f t="shared" si="191"/>
        <v>44897</v>
      </c>
      <c r="B350" s="608">
        <v>26.603000000000002</v>
      </c>
      <c r="C350" s="385"/>
      <c r="D350" s="388">
        <f t="shared" si="166"/>
        <v>26.775813762473742</v>
      </c>
      <c r="E350" s="380">
        <f t="shared" si="162"/>
        <v>27.5528918378476</v>
      </c>
      <c r="F350" s="380">
        <f t="shared" si="165"/>
        <v>27.5528918378476</v>
      </c>
      <c r="G350" s="110">
        <f t="shared" si="163"/>
        <v>0.27004299106525592</v>
      </c>
      <c r="I350" s="375">
        <f t="shared" si="167"/>
        <v>27.5528918378476</v>
      </c>
      <c r="J350" s="85">
        <v>2022</v>
      </c>
      <c r="K350" s="193">
        <f t="shared" si="168"/>
        <v>44897</v>
      </c>
      <c r="L350" s="430">
        <f t="shared" si="169"/>
        <v>6.4540993602195673E-3</v>
      </c>
      <c r="M350" s="846"/>
      <c r="N350" s="846"/>
      <c r="O350" s="320">
        <f t="shared" si="170"/>
        <v>2.820314034356413E-2</v>
      </c>
      <c r="P350" s="165">
        <f>(INDEX(Models!$BJ350:$BT350,,T350)*(1-R350)+INDEX(Models!$BJ350:$BT350,,T350+1)*R350-ERP_i)*Q350*Ramure*Pc/MaxiM</f>
        <v>6.8714392210835655E-4</v>
      </c>
      <c r="Q350" s="301">
        <f t="shared" si="171"/>
        <v>0.5</v>
      </c>
      <c r="R350" s="173">
        <f t="shared" si="172"/>
        <v>0.48931808931355403</v>
      </c>
      <c r="S350" s="801">
        <f t="shared" si="192"/>
        <v>0</v>
      </c>
      <c r="T350" s="172">
        <f t="shared" si="173"/>
        <v>6</v>
      </c>
      <c r="U350" s="247">
        <f t="shared" si="174"/>
        <v>0.48931808931355403</v>
      </c>
      <c r="V350" s="378">
        <f t="shared" si="175"/>
        <v>98.446250374318922</v>
      </c>
      <c r="W350" s="397"/>
      <c r="X350" s="153">
        <f t="shared" si="176"/>
        <v>44897</v>
      </c>
      <c r="Y350" s="380">
        <f t="shared" si="177"/>
        <v>26.603000000000002</v>
      </c>
      <c r="Z350" s="380">
        <f t="shared" si="178"/>
        <v>26.775813762473742</v>
      </c>
      <c r="AA350" s="381">
        <f t="shared" si="179"/>
        <v>27.5528918378476</v>
      </c>
      <c r="AB350" s="193">
        <f t="shared" si="180"/>
        <v>44897</v>
      </c>
      <c r="AC350" s="420">
        <f t="shared" si="181"/>
        <v>2.820314034356413E-2</v>
      </c>
      <c r="AD350" s="165">
        <f>(INDEX(Models!$BJ350:$BT350,,AH350)*(1-AF350)+INDEX(Models!$BJ350:$BT350,,AH350+1)*AF350-ERP_i)*AE350*Ramure*Pc/MaxiM</f>
        <v>6.8714392210835655E-4</v>
      </c>
      <c r="AE350" s="301">
        <f t="shared" si="182"/>
        <v>0.5</v>
      </c>
      <c r="AF350" s="173">
        <f t="shared" si="183"/>
        <v>0.48931808931355403</v>
      </c>
      <c r="AG350" s="801">
        <f t="shared" si="184"/>
        <v>0</v>
      </c>
      <c r="AH350" s="172">
        <f t="shared" si="185"/>
        <v>6</v>
      </c>
      <c r="AI350" s="221">
        <f t="shared" si="186"/>
        <v>0.48931808931355403</v>
      </c>
      <c r="AJ350" s="261" t="b">
        <f t="shared" si="187"/>
        <v>0</v>
      </c>
      <c r="AK350" s="261" t="b">
        <f t="shared" si="188"/>
        <v>0</v>
      </c>
      <c r="AL350" s="261"/>
      <c r="AM350" s="261"/>
      <c r="AN350" s="75"/>
      <c r="AV350" s="153">
        <f t="shared" si="193"/>
        <v>44532</v>
      </c>
      <c r="AW350" s="608"/>
      <c r="AX350" s="385"/>
      <c r="AY350" s="388"/>
      <c r="AZ350" s="380"/>
      <c r="BA350" s="380"/>
      <c r="BB350" s="110"/>
      <c r="BD350" s="375"/>
      <c r="BE350" s="85"/>
      <c r="BF350" s="193">
        <f t="shared" si="189"/>
        <v>44897</v>
      </c>
      <c r="BG350" s="430">
        <f t="shared" si="194"/>
        <v>1.2115644944217241E-2</v>
      </c>
      <c r="BH350" s="846"/>
      <c r="BI350" s="846"/>
      <c r="BJ350" s="320">
        <f t="shared" si="190"/>
        <v>7.551743786547294E-3</v>
      </c>
      <c r="BK350" s="378"/>
    </row>
    <row r="351" spans="1:63" s="6" customFormat="1" ht="11.25" customHeight="1" x14ac:dyDescent="0.2">
      <c r="A351" s="56">
        <f t="shared" si="191"/>
        <v>44898</v>
      </c>
      <c r="B351" s="608">
        <v>36.475999999999999</v>
      </c>
      <c r="C351" s="385"/>
      <c r="D351" s="388">
        <f t="shared" si="166"/>
        <v>36.713451597108651</v>
      </c>
      <c r="E351" s="380">
        <f t="shared" si="162"/>
        <v>37.780426193099821</v>
      </c>
      <c r="F351" s="380">
        <f t="shared" si="165"/>
        <v>37.783098286209089</v>
      </c>
      <c r="G351" s="110">
        <f t="shared" si="163"/>
        <v>0.372919516297329</v>
      </c>
      <c r="I351" s="375">
        <f t="shared" si="167"/>
        <v>37.783098286209089</v>
      </c>
      <c r="J351" s="85">
        <v>2022</v>
      </c>
      <c r="K351" s="193">
        <f t="shared" si="168"/>
        <v>44898</v>
      </c>
      <c r="L351" s="430">
        <f t="shared" si="169"/>
        <v>6.4677001692575731E-3</v>
      </c>
      <c r="M351" s="846"/>
      <c r="N351" s="846"/>
      <c r="O351" s="320">
        <f t="shared" si="170"/>
        <v>2.8241465316927557E-2</v>
      </c>
      <c r="P351" s="165">
        <f>(INDEX(Models!$BJ351:$BT351,,T351)*(1-R351)+INDEX(Models!$BJ351:$BT351,,T351+1)*R351-ERP_i)*Q351*Ramure*Pc/MaxiM</f>
        <v>6.7680463042559447E-4</v>
      </c>
      <c r="Q351" s="301">
        <f t="shared" si="171"/>
        <v>0.5</v>
      </c>
      <c r="R351" s="173">
        <f t="shared" si="172"/>
        <v>0.48933324696271663</v>
      </c>
      <c r="S351" s="801">
        <f t="shared" si="192"/>
        <v>0</v>
      </c>
      <c r="T351" s="172">
        <f t="shared" si="173"/>
        <v>6</v>
      </c>
      <c r="U351" s="247">
        <f t="shared" si="174"/>
        <v>0.48933324696271663</v>
      </c>
      <c r="V351" s="378">
        <f t="shared" si="175"/>
        <v>97.752703653772585</v>
      </c>
      <c r="W351" s="397"/>
      <c r="X351" s="153">
        <f t="shared" si="176"/>
        <v>44898</v>
      </c>
      <c r="Y351" s="380">
        <f t="shared" si="177"/>
        <v>36.475999999999999</v>
      </c>
      <c r="Z351" s="380">
        <f t="shared" si="178"/>
        <v>36.713451597108651</v>
      </c>
      <c r="AA351" s="381">
        <f t="shared" si="179"/>
        <v>37.780426193099821</v>
      </c>
      <c r="AB351" s="193">
        <f t="shared" si="180"/>
        <v>44898</v>
      </c>
      <c r="AC351" s="420">
        <f t="shared" si="181"/>
        <v>2.8241465316927557E-2</v>
      </c>
      <c r="AD351" s="165">
        <f>(INDEX(Models!$BJ351:$BT351,,AH351)*(1-AF351)+INDEX(Models!$BJ351:$BT351,,AH351+1)*AF351-ERP_i)*AE351*Ramure*Pc/MaxiM</f>
        <v>6.7680463042559447E-4</v>
      </c>
      <c r="AE351" s="301">
        <f t="shared" si="182"/>
        <v>0.5</v>
      </c>
      <c r="AF351" s="173">
        <f t="shared" si="183"/>
        <v>0.48933324696271663</v>
      </c>
      <c r="AG351" s="801">
        <f t="shared" si="184"/>
        <v>0</v>
      </c>
      <c r="AH351" s="172">
        <f t="shared" si="185"/>
        <v>6</v>
      </c>
      <c r="AI351" s="221">
        <f t="shared" si="186"/>
        <v>0.48933324696271663</v>
      </c>
      <c r="AJ351" s="261" t="b">
        <f t="shared" si="187"/>
        <v>0</v>
      </c>
      <c r="AK351" s="261" t="b">
        <f t="shared" si="188"/>
        <v>0</v>
      </c>
      <c r="AL351" s="261"/>
      <c r="AM351" s="261"/>
      <c r="AN351" s="75"/>
      <c r="AV351" s="153">
        <f t="shared" si="193"/>
        <v>44533</v>
      </c>
      <c r="AW351" s="608"/>
      <c r="AX351" s="385"/>
      <c r="AY351" s="388"/>
      <c r="AZ351" s="380"/>
      <c r="BA351" s="380"/>
      <c r="BB351" s="110"/>
      <c r="BD351" s="375"/>
      <c r="BE351" s="85"/>
      <c r="BF351" s="193">
        <f t="shared" si="189"/>
        <v>44898</v>
      </c>
      <c r="BG351" s="430">
        <f t="shared" si="194"/>
        <v>1.2129313880814729E-2</v>
      </c>
      <c r="BH351" s="846"/>
      <c r="BI351" s="846"/>
      <c r="BJ351" s="320">
        <f t="shared" si="190"/>
        <v>7.6157306038048779E-3</v>
      </c>
      <c r="BK351" s="378"/>
    </row>
    <row r="352" spans="1:63" s="6" customFormat="1" ht="11.25" customHeight="1" x14ac:dyDescent="0.2">
      <c r="A352" s="56">
        <f t="shared" si="191"/>
        <v>44899</v>
      </c>
      <c r="B352" s="608">
        <v>78.260000000000005</v>
      </c>
      <c r="C352" s="385"/>
      <c r="D352" s="388">
        <f t="shared" si="166"/>
        <v>78.770535534353883</v>
      </c>
      <c r="E352" s="380">
        <f t="shared" si="162"/>
        <v>81.063014130653102</v>
      </c>
      <c r="F352" s="380">
        <f t="shared" si="165"/>
        <v>81.102007560946589</v>
      </c>
      <c r="G352" s="110">
        <f t="shared" si="163"/>
        <v>0.8058574193032173</v>
      </c>
      <c r="I352" s="375">
        <f t="shared" si="167"/>
        <v>81.102007560946589</v>
      </c>
      <c r="J352" s="85">
        <v>2022</v>
      </c>
      <c r="K352" s="193">
        <f t="shared" si="168"/>
        <v>44899</v>
      </c>
      <c r="L352" s="430">
        <f t="shared" si="169"/>
        <v>6.4813007921118437E-3</v>
      </c>
      <c r="M352" s="846"/>
      <c r="N352" s="846"/>
      <c r="O352" s="320">
        <f t="shared" si="170"/>
        <v>2.8280204244617899E-2</v>
      </c>
      <c r="P352" s="165">
        <f>(INDEX(Models!$BJ352:$BT352,,T352)*(1-R352)+INDEX(Models!$BJ352:$BT352,,T352+1)*R352-ERP_i)*Q352*Ramure*Pc/MaxiM</f>
        <v>6.6512329556567913E-4</v>
      </c>
      <c r="Q352" s="301">
        <f t="shared" si="171"/>
        <v>0.5</v>
      </c>
      <c r="R352" s="173">
        <f t="shared" si="172"/>
        <v>0.48934779518435162</v>
      </c>
      <c r="S352" s="801">
        <f t="shared" si="192"/>
        <v>0</v>
      </c>
      <c r="T352" s="172">
        <f t="shared" si="173"/>
        <v>6</v>
      </c>
      <c r="U352" s="247">
        <f t="shared" si="174"/>
        <v>0.48934779518435162</v>
      </c>
      <c r="V352" s="378">
        <f t="shared" si="175"/>
        <v>97.096044095591736</v>
      </c>
      <c r="W352" s="397"/>
      <c r="X352" s="153">
        <f t="shared" si="176"/>
        <v>44899</v>
      </c>
      <c r="Y352" s="380">
        <f t="shared" si="177"/>
        <v>78.260000000000005</v>
      </c>
      <c r="Z352" s="380">
        <f t="shared" si="178"/>
        <v>78.770535534353883</v>
      </c>
      <c r="AA352" s="381">
        <f t="shared" si="179"/>
        <v>81.063014130653102</v>
      </c>
      <c r="AB352" s="193">
        <f t="shared" si="180"/>
        <v>44899</v>
      </c>
      <c r="AC352" s="420">
        <f t="shared" si="181"/>
        <v>2.8280204244617899E-2</v>
      </c>
      <c r="AD352" s="165">
        <f>(INDEX(Models!$BJ352:$BT352,,AH352)*(1-AF352)+INDEX(Models!$BJ352:$BT352,,AH352+1)*AF352-ERP_i)*AE352*Ramure*Pc/MaxiM</f>
        <v>6.6512329556567913E-4</v>
      </c>
      <c r="AE352" s="301">
        <f t="shared" si="182"/>
        <v>0.5</v>
      </c>
      <c r="AF352" s="173">
        <f t="shared" si="183"/>
        <v>0.48934779518435162</v>
      </c>
      <c r="AG352" s="801">
        <f t="shared" si="184"/>
        <v>0</v>
      </c>
      <c r="AH352" s="172">
        <f t="shared" si="185"/>
        <v>6</v>
      </c>
      <c r="AI352" s="221">
        <f t="shared" si="186"/>
        <v>0.48934779518435162</v>
      </c>
      <c r="AJ352" s="261" t="b">
        <f t="shared" si="187"/>
        <v>0</v>
      </c>
      <c r="AK352" s="261" t="b">
        <f t="shared" si="188"/>
        <v>0</v>
      </c>
      <c r="AL352" s="261"/>
      <c r="AM352" s="261"/>
      <c r="AN352" s="75"/>
      <c r="AV352" s="153">
        <f t="shared" si="193"/>
        <v>44534</v>
      </c>
      <c r="AW352" s="608"/>
      <c r="AX352" s="385"/>
      <c r="AY352" s="388"/>
      <c r="AZ352" s="380"/>
      <c r="BA352" s="380"/>
      <c r="BB352" s="110"/>
      <c r="BD352" s="375"/>
      <c r="BE352" s="85"/>
      <c r="BF352" s="193">
        <f t="shared" si="189"/>
        <v>44899</v>
      </c>
      <c r="BG352" s="430">
        <f t="shared" si="194"/>
        <v>1.2142982630295895E-2</v>
      </c>
      <c r="BH352" s="846"/>
      <c r="BI352" s="846"/>
      <c r="BJ352" s="320">
        <f t="shared" si="190"/>
        <v>7.6797456129313992E-3</v>
      </c>
      <c r="BK352" s="378"/>
    </row>
    <row r="353" spans="1:63" s="6" customFormat="1" ht="11.25" customHeight="1" x14ac:dyDescent="0.2">
      <c r="A353" s="56">
        <f t="shared" si="191"/>
        <v>44900</v>
      </c>
      <c r="B353" s="608">
        <v>98.212000000000003</v>
      </c>
      <c r="C353" s="385"/>
      <c r="D353" s="388">
        <f t="shared" si="166"/>
        <v>98.854047273104456</v>
      </c>
      <c r="E353" s="380">
        <f t="shared" si="162"/>
        <v>101.73511976276573</v>
      </c>
      <c r="F353" s="380">
        <f t="shared" si="165"/>
        <v>101.80165922756321</v>
      </c>
      <c r="G353" s="110">
        <f t="shared" si="163"/>
        <v>1.0179714021442381</v>
      </c>
      <c r="I353" s="375">
        <f t="shared" si="167"/>
        <v>101.80165922756321</v>
      </c>
      <c r="J353" s="85">
        <v>2022</v>
      </c>
      <c r="K353" s="193">
        <f t="shared" si="168"/>
        <v>44900</v>
      </c>
      <c r="L353" s="430">
        <f t="shared" si="169"/>
        <v>6.4949012287849328E-3</v>
      </c>
      <c r="M353" s="846"/>
      <c r="N353" s="846"/>
      <c r="O353" s="320">
        <f t="shared" si="170"/>
        <v>2.831935025367454E-2</v>
      </c>
      <c r="P353" s="165">
        <f>(INDEX(Models!$BJ353:$BT353,,T353)*(1-R353)+INDEX(Models!$BJ353:$BT353,,T353+1)*R353-ERP_i)*Q353*Ramure*Pc/MaxiM</f>
        <v>6.5361866694854209E-4</v>
      </c>
      <c r="Q353" s="301">
        <f t="shared" si="171"/>
        <v>0.5</v>
      </c>
      <c r="R353" s="173">
        <f t="shared" si="172"/>
        <v>0.48936175844772056</v>
      </c>
      <c r="S353" s="801">
        <f t="shared" si="192"/>
        <v>0</v>
      </c>
      <c r="T353" s="172">
        <f t="shared" si="173"/>
        <v>6</v>
      </c>
      <c r="U353" s="247">
        <f t="shared" si="174"/>
        <v>0.48936175844772056</v>
      </c>
      <c r="V353" s="378">
        <f t="shared" si="175"/>
        <v>96.478152326409045</v>
      </c>
      <c r="W353" s="397"/>
      <c r="X353" s="153">
        <f t="shared" si="176"/>
        <v>44900</v>
      </c>
      <c r="Y353" s="380">
        <f t="shared" si="177"/>
        <v>98.212000000000003</v>
      </c>
      <c r="Z353" s="380">
        <f t="shared" si="178"/>
        <v>98.854047273104456</v>
      </c>
      <c r="AA353" s="381">
        <f t="shared" si="179"/>
        <v>101.73511976276573</v>
      </c>
      <c r="AB353" s="193">
        <f t="shared" si="180"/>
        <v>44900</v>
      </c>
      <c r="AC353" s="420">
        <f t="shared" si="181"/>
        <v>2.831935025367454E-2</v>
      </c>
      <c r="AD353" s="165">
        <f>(INDEX(Models!$BJ353:$BT353,,AH353)*(1-AF353)+INDEX(Models!$BJ353:$BT353,,AH353+1)*AF353-ERP_i)*AE353*Ramure*Pc/MaxiM</f>
        <v>6.5361866694854209E-4</v>
      </c>
      <c r="AE353" s="301">
        <f t="shared" si="182"/>
        <v>0.5</v>
      </c>
      <c r="AF353" s="173">
        <f t="shared" si="183"/>
        <v>0.48936175844772056</v>
      </c>
      <c r="AG353" s="801">
        <f t="shared" si="184"/>
        <v>0</v>
      </c>
      <c r="AH353" s="172">
        <f t="shared" si="185"/>
        <v>6</v>
      </c>
      <c r="AI353" s="221">
        <f t="shared" si="186"/>
        <v>0.48936175844772056</v>
      </c>
      <c r="AJ353" s="261" t="b">
        <f t="shared" si="187"/>
        <v>0</v>
      </c>
      <c r="AK353" s="261" t="b">
        <f t="shared" si="188"/>
        <v>0</v>
      </c>
      <c r="AL353" s="261"/>
      <c r="AM353" s="261"/>
      <c r="AN353" s="75"/>
      <c r="AV353" s="153">
        <f t="shared" si="193"/>
        <v>44535</v>
      </c>
      <c r="AW353" s="608"/>
      <c r="AX353" s="385"/>
      <c r="AY353" s="388"/>
      <c r="AZ353" s="380"/>
      <c r="BA353" s="380"/>
      <c r="BB353" s="110"/>
      <c r="BD353" s="375"/>
      <c r="BE353" s="85"/>
      <c r="BF353" s="193">
        <f t="shared" si="189"/>
        <v>44900</v>
      </c>
      <c r="BG353" s="430">
        <f t="shared" si="194"/>
        <v>1.2156651192663404E-2</v>
      </c>
      <c r="BH353" s="846"/>
      <c r="BI353" s="846"/>
      <c r="BJ353" s="320">
        <f t="shared" si="190"/>
        <v>7.7437897936610042E-3</v>
      </c>
      <c r="BK353" s="378"/>
    </row>
    <row r="354" spans="1:63" s="6" customFormat="1" ht="11.25" x14ac:dyDescent="0.2">
      <c r="A354" s="56">
        <f t="shared" si="191"/>
        <v>44901</v>
      </c>
      <c r="B354" s="608">
        <v>51.038000000000004</v>
      </c>
      <c r="C354" s="385"/>
      <c r="D354" s="388">
        <f t="shared" si="166"/>
        <v>51.372357061931659</v>
      </c>
      <c r="E354" s="380">
        <f t="shared" si="162"/>
        <v>52.871741224755787</v>
      </c>
      <c r="F354" s="380">
        <f t="shared" si="165"/>
        <v>52.883007862036244</v>
      </c>
      <c r="G354" s="110">
        <f t="shared" si="163"/>
        <v>0.53196584667114577</v>
      </c>
      <c r="H354" s="6" t="b">
        <f t="shared" ref="H354:H379" si="195">Wh_hp&gt;=BD354</f>
        <v>1</v>
      </c>
      <c r="I354" s="375">
        <f t="shared" ref="I354:I379" si="196">IF(H354,Wh_hp,BD354)</f>
        <v>52.883007862036244</v>
      </c>
      <c r="J354" s="85">
        <f t="shared" ref="J354:J379" si="197">IF(H354,An,BE354)</f>
        <v>2022</v>
      </c>
      <c r="K354" s="193">
        <f t="shared" si="168"/>
        <v>44901</v>
      </c>
      <c r="L354" s="430">
        <f t="shared" si="169"/>
        <v>6.5085014792795048E-3</v>
      </c>
      <c r="M354" s="846"/>
      <c r="N354" s="846"/>
      <c r="O354" s="320">
        <f t="shared" si="170"/>
        <v>2.8358895093889721E-2</v>
      </c>
      <c r="P354" s="165">
        <f>(INDEX(Models!$BJ354:$BT354,,T354)*(1-R354)+INDEX(Models!$BJ354:$BT354,,T354+1)*R354-ERP_i)*Q354*Ramure*Pc/MaxiM</f>
        <v>6.4228028777984537E-4</v>
      </c>
      <c r="Q354" s="301">
        <f t="shared" si="171"/>
        <v>0.5</v>
      </c>
      <c r="R354" s="173">
        <f t="shared" si="172"/>
        <v>0.48937516024224353</v>
      </c>
      <c r="S354" s="801">
        <f t="shared" si="192"/>
        <v>0</v>
      </c>
      <c r="T354" s="172">
        <f t="shared" si="173"/>
        <v>6</v>
      </c>
      <c r="U354" s="247">
        <f t="shared" si="174"/>
        <v>0.48937516024224353</v>
      </c>
      <c r="V354" s="378">
        <f t="shared" si="175"/>
        <v>95.901059271094624</v>
      </c>
      <c r="W354" s="397"/>
      <c r="X354" s="153">
        <f t="shared" si="176"/>
        <v>44901</v>
      </c>
      <c r="Y354" s="380">
        <f t="shared" si="177"/>
        <v>51.038000000000004</v>
      </c>
      <c r="Z354" s="380">
        <f t="shared" si="178"/>
        <v>51.372357061931659</v>
      </c>
      <c r="AA354" s="381">
        <f t="shared" si="179"/>
        <v>52.871741224755787</v>
      </c>
      <c r="AB354" s="193">
        <f t="shared" si="180"/>
        <v>44901</v>
      </c>
      <c r="AC354" s="420">
        <f t="shared" si="181"/>
        <v>2.8358895093889721E-2</v>
      </c>
      <c r="AD354" s="165">
        <f>(INDEX(Models!$BJ354:$BT354,,AH354)*(1-AF354)+INDEX(Models!$BJ354:$BT354,,AH354+1)*AF354-ERP_i)*AE354*Ramure*Pc/MaxiM</f>
        <v>6.4228028777984537E-4</v>
      </c>
      <c r="AE354" s="301">
        <f t="shared" si="182"/>
        <v>0.5</v>
      </c>
      <c r="AF354" s="173">
        <f t="shared" si="183"/>
        <v>0.48937516024224353</v>
      </c>
      <c r="AG354" s="801">
        <f t="shared" si="184"/>
        <v>0</v>
      </c>
      <c r="AH354" s="172">
        <f t="shared" si="185"/>
        <v>6</v>
      </c>
      <c r="AI354" s="221">
        <f t="shared" si="186"/>
        <v>0.48937516024224353</v>
      </c>
      <c r="AJ354" s="261" t="b">
        <f t="shared" si="187"/>
        <v>0</v>
      </c>
      <c r="AK354" s="261" t="b">
        <f t="shared" si="188"/>
        <v>0</v>
      </c>
      <c r="AL354" s="261"/>
      <c r="AM354" s="261"/>
      <c r="AN354" s="75"/>
      <c r="AV354" s="153">
        <f t="shared" si="193"/>
        <v>44536</v>
      </c>
      <c r="AW354" s="608"/>
      <c r="AX354" s="385"/>
      <c r="AY354" s="388"/>
      <c r="AZ354" s="380"/>
      <c r="BA354" s="380"/>
      <c r="BB354" s="110"/>
      <c r="BD354" s="375"/>
      <c r="BE354" s="85"/>
      <c r="BF354" s="193">
        <f t="shared" si="189"/>
        <v>44901</v>
      </c>
      <c r="BG354" s="430">
        <f t="shared" si="194"/>
        <v>1.2170319567919807E-2</v>
      </c>
      <c r="BH354" s="846"/>
      <c r="BI354" s="846"/>
      <c r="BJ354" s="320">
        <f t="shared" si="190"/>
        <v>7.8078636706261353E-3</v>
      </c>
      <c r="BK354" s="378"/>
    </row>
    <row r="355" spans="1:63" s="6" customFormat="1" ht="11.25" x14ac:dyDescent="0.2">
      <c r="A355" s="56">
        <f t="shared" si="191"/>
        <v>44902</v>
      </c>
      <c r="B355" s="608">
        <v>78.947000000000003</v>
      </c>
      <c r="C355" s="385"/>
      <c r="D355" s="388">
        <f t="shared" si="166"/>
        <v>79.465280629455833</v>
      </c>
      <c r="E355" s="380">
        <f t="shared" si="162"/>
        <v>81.78796302403542</v>
      </c>
      <c r="F355" s="380">
        <f t="shared" si="165"/>
        <v>81.826902027230147</v>
      </c>
      <c r="G355" s="110">
        <f t="shared" si="163"/>
        <v>0.82769625510140188</v>
      </c>
      <c r="H355" s="6" t="b">
        <f t="shared" si="195"/>
        <v>1</v>
      </c>
      <c r="I355" s="375">
        <f t="shared" si="196"/>
        <v>81.826902027230147</v>
      </c>
      <c r="J355" s="85">
        <f t="shared" si="197"/>
        <v>2022</v>
      </c>
      <c r="K355" s="193">
        <f t="shared" si="168"/>
        <v>44902</v>
      </c>
      <c r="L355" s="430">
        <f t="shared" si="169"/>
        <v>6.5221015435981133E-3</v>
      </c>
      <c r="M355" s="846"/>
      <c r="N355" s="846"/>
      <c r="O355" s="320">
        <f t="shared" si="170"/>
        <v>2.8398829224992529E-2</v>
      </c>
      <c r="P355" s="165">
        <f>(INDEX(Models!$BJ355:$BT355,,T355)*(1-R355)+INDEX(Models!$BJ355:$BT355,,T355+1)*R355-ERP_i)*Q355*Ramure*Pc/MaxiM</f>
        <v>6.3109821865688141E-4</v>
      </c>
      <c r="Q355" s="301">
        <f t="shared" si="171"/>
        <v>0.5</v>
      </c>
      <c r="R355" s="173">
        <f t="shared" si="172"/>
        <v>0.48938802311652857</v>
      </c>
      <c r="S355" s="801">
        <f t="shared" si="192"/>
        <v>0</v>
      </c>
      <c r="T355" s="172">
        <f t="shared" si="173"/>
        <v>6</v>
      </c>
      <c r="U355" s="247">
        <f t="shared" si="174"/>
        <v>0.48938802311652857</v>
      </c>
      <c r="V355" s="378">
        <f t="shared" si="175"/>
        <v>95.366795380482642</v>
      </c>
      <c r="W355" s="397"/>
      <c r="X355" s="153">
        <f t="shared" si="176"/>
        <v>44902</v>
      </c>
      <c r="Y355" s="380">
        <f t="shared" si="177"/>
        <v>78.947000000000003</v>
      </c>
      <c r="Z355" s="380">
        <f t="shared" si="178"/>
        <v>79.465280629455833</v>
      </c>
      <c r="AA355" s="381">
        <f t="shared" si="179"/>
        <v>81.78796302403542</v>
      </c>
      <c r="AB355" s="193">
        <f t="shared" si="180"/>
        <v>44902</v>
      </c>
      <c r="AC355" s="420">
        <f t="shared" si="181"/>
        <v>2.8398829224992529E-2</v>
      </c>
      <c r="AD355" s="165">
        <f>(INDEX(Models!$BJ355:$BT355,,AH355)*(1-AF355)+INDEX(Models!$BJ355:$BT355,,AH355+1)*AF355-ERP_i)*AE355*Ramure*Pc/MaxiM</f>
        <v>6.3109821865688141E-4</v>
      </c>
      <c r="AE355" s="301">
        <f t="shared" si="182"/>
        <v>0.5</v>
      </c>
      <c r="AF355" s="173">
        <f t="shared" si="183"/>
        <v>0.48938802311652857</v>
      </c>
      <c r="AG355" s="801">
        <f t="shared" si="184"/>
        <v>0</v>
      </c>
      <c r="AH355" s="172">
        <f t="shared" si="185"/>
        <v>6</v>
      </c>
      <c r="AI355" s="221">
        <f t="shared" si="186"/>
        <v>0.48938802311652857</v>
      </c>
      <c r="AJ355" s="261" t="b">
        <f t="shared" si="187"/>
        <v>0</v>
      </c>
      <c r="AK355" s="261" t="b">
        <f t="shared" si="188"/>
        <v>0</v>
      </c>
      <c r="AL355" s="261"/>
      <c r="AM355" s="261"/>
      <c r="AN355" s="75"/>
      <c r="AV355" s="153">
        <f t="shared" si="193"/>
        <v>44537</v>
      </c>
      <c r="AW355" s="608"/>
      <c r="AX355" s="385"/>
      <c r="AY355" s="388"/>
      <c r="AZ355" s="380"/>
      <c r="BA355" s="380"/>
      <c r="BB355" s="110"/>
      <c r="BD355" s="375"/>
      <c r="BE355" s="85"/>
      <c r="BF355" s="193">
        <f t="shared" si="189"/>
        <v>44902</v>
      </c>
      <c r="BG355" s="430">
        <f t="shared" si="194"/>
        <v>1.2183987756067549E-2</v>
      </c>
      <c r="BH355" s="846"/>
      <c r="BI355" s="846"/>
      <c r="BJ355" s="320">
        <f t="shared" si="190"/>
        <v>7.8719673254489461E-3</v>
      </c>
      <c r="BK355" s="378"/>
    </row>
    <row r="356" spans="1:63" s="6" customFormat="1" ht="11.25" customHeight="1" x14ac:dyDescent="0.2">
      <c r="A356" s="56">
        <f t="shared" si="191"/>
        <v>44903</v>
      </c>
      <c r="B356" s="608">
        <v>14.939</v>
      </c>
      <c r="C356" s="385"/>
      <c r="D356" s="388">
        <f t="shared" si="166"/>
        <v>15.037279166829801</v>
      </c>
      <c r="E356" s="380">
        <f t="shared" si="162"/>
        <v>15.477444404663771</v>
      </c>
      <c r="F356" s="380">
        <f t="shared" si="165"/>
        <v>15.477444404663771</v>
      </c>
      <c r="G356" s="110">
        <f t="shared" si="163"/>
        <v>0.15735821548566942</v>
      </c>
      <c r="H356" s="6" t="b">
        <f t="shared" si="195"/>
        <v>1</v>
      </c>
      <c r="I356" s="375">
        <f t="shared" si="196"/>
        <v>15.477444404663771</v>
      </c>
      <c r="J356" s="85">
        <f t="shared" si="197"/>
        <v>2022</v>
      </c>
      <c r="K356" s="193">
        <f t="shared" si="168"/>
        <v>44903</v>
      </c>
      <c r="L356" s="430">
        <f t="shared" si="169"/>
        <v>6.5357014217433118E-3</v>
      </c>
      <c r="M356" s="846"/>
      <c r="N356" s="846"/>
      <c r="O356" s="320">
        <f t="shared" si="170"/>
        <v>2.8439141910361902E-2</v>
      </c>
      <c r="P356" s="165">
        <f>(INDEX(Models!$BJ356:$BT356,,T356)*(1-R356)+INDEX(Models!$BJ356:$BT356,,T356+1)*R356-ERP_i)*Q356*Ramure*Pc/MaxiM</f>
        <v>6.2006311899042408E-4</v>
      </c>
      <c r="Q356" s="301">
        <f t="shared" si="171"/>
        <v>0.5</v>
      </c>
      <c r="R356" s="173">
        <f t="shared" si="172"/>
        <v>0.48940036871586262</v>
      </c>
      <c r="S356" s="801">
        <f t="shared" si="192"/>
        <v>0</v>
      </c>
      <c r="T356" s="172">
        <f t="shared" si="173"/>
        <v>6</v>
      </c>
      <c r="U356" s="247">
        <f t="shared" si="174"/>
        <v>0.48940036871586262</v>
      </c>
      <c r="V356" s="378">
        <f t="shared" si="175"/>
        <v>94.877390614696253</v>
      </c>
      <c r="W356" s="397"/>
      <c r="X356" s="153">
        <f t="shared" si="176"/>
        <v>44903</v>
      </c>
      <c r="Y356" s="380">
        <f t="shared" si="177"/>
        <v>14.939</v>
      </c>
      <c r="Z356" s="380">
        <f t="shared" si="178"/>
        <v>15.037279166829801</v>
      </c>
      <c r="AA356" s="381">
        <f t="shared" si="179"/>
        <v>15.477444404663771</v>
      </c>
      <c r="AB356" s="193">
        <f t="shared" si="180"/>
        <v>44903</v>
      </c>
      <c r="AC356" s="420">
        <f t="shared" si="181"/>
        <v>2.8439141910361902E-2</v>
      </c>
      <c r="AD356" s="165">
        <f>(INDEX(Models!$BJ356:$BT356,,AH356)*(1-AF356)+INDEX(Models!$BJ356:$BT356,,AH356+1)*AF356-ERP_i)*AE356*Ramure*Pc/MaxiM</f>
        <v>6.2006311899042408E-4</v>
      </c>
      <c r="AE356" s="301">
        <f t="shared" si="182"/>
        <v>0.5</v>
      </c>
      <c r="AF356" s="173">
        <f t="shared" si="183"/>
        <v>0.48940036871586262</v>
      </c>
      <c r="AG356" s="801">
        <f t="shared" si="184"/>
        <v>0</v>
      </c>
      <c r="AH356" s="172">
        <f t="shared" si="185"/>
        <v>6</v>
      </c>
      <c r="AI356" s="221">
        <f t="shared" si="186"/>
        <v>0.48940036871586262</v>
      </c>
      <c r="AJ356" s="261" t="b">
        <f t="shared" si="187"/>
        <v>0</v>
      </c>
      <c r="AK356" s="261" t="b">
        <f t="shared" si="188"/>
        <v>0</v>
      </c>
      <c r="AL356" s="261"/>
      <c r="AM356" s="261"/>
      <c r="AN356" s="75"/>
      <c r="AV356" s="153">
        <f t="shared" si="193"/>
        <v>44538</v>
      </c>
      <c r="AW356" s="608"/>
      <c r="AX356" s="385"/>
      <c r="AY356" s="388"/>
      <c r="AZ356" s="380"/>
      <c r="BA356" s="380"/>
      <c r="BB356" s="110"/>
      <c r="BD356" s="375"/>
      <c r="BE356" s="85"/>
      <c r="BF356" s="193">
        <f t="shared" si="189"/>
        <v>44903</v>
      </c>
      <c r="BG356" s="430">
        <f t="shared" si="194"/>
        <v>1.2197655757109294E-2</v>
      </c>
      <c r="BH356" s="846"/>
      <c r="BI356" s="846"/>
      <c r="BJ356" s="320">
        <f t="shared" si="190"/>
        <v>7.9361004117826182E-3</v>
      </c>
      <c r="BK356" s="378"/>
    </row>
    <row r="357" spans="1:63" s="6" customFormat="1" ht="11.25" x14ac:dyDescent="0.2">
      <c r="A357" s="56">
        <f t="shared" si="191"/>
        <v>44904</v>
      </c>
      <c r="B357" s="608">
        <v>28.716000000000001</v>
      </c>
      <c r="C357" s="385"/>
      <c r="D357" s="388">
        <f t="shared" si="166"/>
        <v>28.905309576199752</v>
      </c>
      <c r="E357" s="380">
        <f t="shared" si="162"/>
        <v>29.752660017178766</v>
      </c>
      <c r="F357" s="380">
        <f t="shared" ref="F357:F379" si="198">Wh_sa/(1-Pvg*MEDIAN((-Sdif+Wh/Env_an)/Csdif,0,1))</f>
        <v>29.752765723166412</v>
      </c>
      <c r="G357" s="110">
        <f t="shared" si="163"/>
        <v>0.30389841995518041</v>
      </c>
      <c r="H357" s="6" t="b">
        <f t="shared" si="195"/>
        <v>1</v>
      </c>
      <c r="I357" s="375">
        <f t="shared" si="196"/>
        <v>29.752765723166412</v>
      </c>
      <c r="J357" s="85">
        <f t="shared" si="197"/>
        <v>2022</v>
      </c>
      <c r="K357" s="193">
        <f t="shared" si="168"/>
        <v>44904</v>
      </c>
      <c r="L357" s="430">
        <f t="shared" si="169"/>
        <v>6.5493011137174317E-3</v>
      </c>
      <c r="M357" s="846"/>
      <c r="N357" s="846"/>
      <c r="O357" s="320">
        <f t="shared" si="170"/>
        <v>2.8479821316472729E-2</v>
      </c>
      <c r="P357" s="165">
        <f>(INDEX(Models!$BJ357:$BT357,,T357)*(1-R357)+INDEX(Models!$BJ357:$BT357,,T357+1)*R357-ERP_i)*Q357*Ramure*Pc/MaxiM</f>
        <v>6.0916632546876074E-4</v>
      </c>
      <c r="Q357" s="301">
        <f t="shared" si="171"/>
        <v>0.5</v>
      </c>
      <c r="R357" s="173">
        <f t="shared" si="172"/>
        <v>0.48941221781822269</v>
      </c>
      <c r="S357" s="801">
        <f t="shared" si="192"/>
        <v>0</v>
      </c>
      <c r="T357" s="172">
        <f t="shared" si="173"/>
        <v>6</v>
      </c>
      <c r="U357" s="247">
        <f t="shared" si="174"/>
        <v>0.48941221781822269</v>
      </c>
      <c r="V357" s="378">
        <f t="shared" si="175"/>
        <v>94.434874471534599</v>
      </c>
      <c r="W357" s="397"/>
      <c r="X357" s="153">
        <f t="shared" si="176"/>
        <v>44904</v>
      </c>
      <c r="Y357" s="380">
        <f t="shared" si="177"/>
        <v>28.716000000000001</v>
      </c>
      <c r="Z357" s="380">
        <f t="shared" si="178"/>
        <v>28.905309576199752</v>
      </c>
      <c r="AA357" s="381">
        <f t="shared" si="179"/>
        <v>29.752660017178766</v>
      </c>
      <c r="AB357" s="193">
        <f t="shared" si="180"/>
        <v>44904</v>
      </c>
      <c r="AC357" s="420">
        <f t="shared" si="181"/>
        <v>2.8479821316472729E-2</v>
      </c>
      <c r="AD357" s="165">
        <f>(INDEX(Models!$BJ357:$BT357,,AH357)*(1-AF357)+INDEX(Models!$BJ357:$BT357,,AH357+1)*AF357-ERP_i)*AE357*Ramure*Pc/MaxiM</f>
        <v>6.0916632546876074E-4</v>
      </c>
      <c r="AE357" s="301">
        <f t="shared" si="182"/>
        <v>0.5</v>
      </c>
      <c r="AF357" s="173">
        <f t="shared" si="183"/>
        <v>0.48941221781822269</v>
      </c>
      <c r="AG357" s="801">
        <f t="shared" si="184"/>
        <v>0</v>
      </c>
      <c r="AH357" s="172">
        <f t="shared" si="185"/>
        <v>6</v>
      </c>
      <c r="AI357" s="221">
        <f t="shared" si="186"/>
        <v>0.48941221781822269</v>
      </c>
      <c r="AJ357" s="261" t="b">
        <f t="shared" si="187"/>
        <v>0</v>
      </c>
      <c r="AK357" s="261" t="b">
        <f t="shared" si="188"/>
        <v>0</v>
      </c>
      <c r="AL357" s="261"/>
      <c r="AM357" s="261"/>
      <c r="AN357" s="75"/>
      <c r="AV357" s="153">
        <f t="shared" si="193"/>
        <v>44539</v>
      </c>
      <c r="AW357" s="608"/>
      <c r="AX357" s="385"/>
      <c r="AY357" s="388"/>
      <c r="AZ357" s="380"/>
      <c r="BA357" s="380"/>
      <c r="BB357" s="110"/>
      <c r="BD357" s="375"/>
      <c r="BE357" s="85"/>
      <c r="BF357" s="193">
        <f t="shared" si="189"/>
        <v>44904</v>
      </c>
      <c r="BG357" s="430">
        <f t="shared" si="194"/>
        <v>1.2211323571047594E-2</v>
      </c>
      <c r="BH357" s="846"/>
      <c r="BI357" s="846"/>
      <c r="BJ357" s="320">
        <f t="shared" si="190"/>
        <v>8.0002621731470446E-3</v>
      </c>
      <c r="BK357" s="378"/>
    </row>
    <row r="358" spans="1:63" s="6" customFormat="1" ht="11.25" customHeight="1" x14ac:dyDescent="0.2">
      <c r="A358" s="56">
        <f t="shared" si="191"/>
        <v>44905</v>
      </c>
      <c r="B358" s="608">
        <v>69.215000000000003</v>
      </c>
      <c r="C358" s="385"/>
      <c r="D358" s="388">
        <f t="shared" si="166"/>
        <v>69.672252066249172</v>
      </c>
      <c r="E358" s="380">
        <f t="shared" si="162"/>
        <v>71.717702224887745</v>
      </c>
      <c r="F358" s="380">
        <f t="shared" si="198"/>
        <v>71.744443051435056</v>
      </c>
      <c r="G358" s="110">
        <f t="shared" si="163"/>
        <v>0.73584044155318007</v>
      </c>
      <c r="H358" s="6" t="b">
        <f t="shared" si="195"/>
        <v>1</v>
      </c>
      <c r="I358" s="375">
        <f t="shared" si="196"/>
        <v>71.744443051435056</v>
      </c>
      <c r="J358" s="85">
        <f t="shared" si="197"/>
        <v>2022</v>
      </c>
      <c r="K358" s="193">
        <f t="shared" si="168"/>
        <v>44905</v>
      </c>
      <c r="L358" s="430">
        <f t="shared" si="169"/>
        <v>6.5629006195233597E-3</v>
      </c>
      <c r="M358" s="846"/>
      <c r="N358" s="846"/>
      <c r="O358" s="320">
        <f t="shared" si="170"/>
        <v>2.8520854617240646E-2</v>
      </c>
      <c r="P358" s="165">
        <f>(INDEX(Models!$BJ358:$BT358,,T358)*(1-R358)+INDEX(Models!$BJ358:$BT358,,T358+1)*R358-ERP_i)*Q358*Ramure*Pc/MaxiM</f>
        <v>5.9839992732809712E-4</v>
      </c>
      <c r="Q358" s="301">
        <f t="shared" si="171"/>
        <v>0.5</v>
      </c>
      <c r="R358" s="173">
        <f t="shared" si="172"/>
        <v>0.48942359036886723</v>
      </c>
      <c r="S358" s="801">
        <f t="shared" si="192"/>
        <v>0</v>
      </c>
      <c r="T358" s="172">
        <f t="shared" si="173"/>
        <v>6</v>
      </c>
      <c r="U358" s="247">
        <f t="shared" si="174"/>
        <v>0.48942359036886723</v>
      </c>
      <c r="V358" s="378">
        <f t="shared" si="175"/>
        <v>94.04127588167411</v>
      </c>
      <c r="W358" s="397"/>
      <c r="X358" s="153">
        <f t="shared" si="176"/>
        <v>44905</v>
      </c>
      <c r="Y358" s="380">
        <f t="shared" si="177"/>
        <v>69.215000000000003</v>
      </c>
      <c r="Z358" s="380">
        <f t="shared" si="178"/>
        <v>69.672252066249172</v>
      </c>
      <c r="AA358" s="381">
        <f t="shared" si="179"/>
        <v>71.717702224887745</v>
      </c>
      <c r="AB358" s="193">
        <f t="shared" si="180"/>
        <v>44905</v>
      </c>
      <c r="AC358" s="420">
        <f t="shared" si="181"/>
        <v>2.8520854617240646E-2</v>
      </c>
      <c r="AD358" s="165">
        <f>(INDEX(Models!$BJ358:$BT358,,AH358)*(1-AF358)+INDEX(Models!$BJ358:$BT358,,AH358+1)*AF358-ERP_i)*AE358*Ramure*Pc/MaxiM</f>
        <v>5.9839992732809712E-4</v>
      </c>
      <c r="AE358" s="301">
        <f t="shared" si="182"/>
        <v>0.5</v>
      </c>
      <c r="AF358" s="173">
        <f t="shared" si="183"/>
        <v>0.48942359036886723</v>
      </c>
      <c r="AG358" s="801">
        <f t="shared" si="184"/>
        <v>0</v>
      </c>
      <c r="AH358" s="172">
        <f t="shared" si="185"/>
        <v>6</v>
      </c>
      <c r="AI358" s="221">
        <f t="shared" si="186"/>
        <v>0.48942359036886723</v>
      </c>
      <c r="AJ358" s="261" t="b">
        <f t="shared" si="187"/>
        <v>0</v>
      </c>
      <c r="AK358" s="261" t="b">
        <f t="shared" si="188"/>
        <v>0</v>
      </c>
      <c r="AL358" s="261"/>
      <c r="AM358" s="261"/>
      <c r="AN358" s="75"/>
      <c r="AV358" s="153">
        <f t="shared" si="193"/>
        <v>44540</v>
      </c>
      <c r="AW358" s="608"/>
      <c r="AX358" s="385"/>
      <c r="AY358" s="388"/>
      <c r="AZ358" s="380"/>
      <c r="BA358" s="380"/>
      <c r="BB358" s="110"/>
      <c r="BD358" s="375"/>
      <c r="BE358" s="85"/>
      <c r="BF358" s="193">
        <f t="shared" si="189"/>
        <v>44905</v>
      </c>
      <c r="BG358" s="430">
        <f t="shared" si="194"/>
        <v>1.2224991197885005E-2</v>
      </c>
      <c r="BH358" s="846"/>
      <c r="BI358" s="846"/>
      <c r="BJ358" s="320">
        <f t="shared" si="190"/>
        <v>8.0644514633795676E-3</v>
      </c>
      <c r="BK358" s="378"/>
    </row>
    <row r="359" spans="1:63" s="6" customFormat="1" ht="11.25" customHeight="1" x14ac:dyDescent="0.2">
      <c r="A359" s="56">
        <f t="shared" si="191"/>
        <v>44906</v>
      </c>
      <c r="B359" s="608">
        <v>65.155000000000001</v>
      </c>
      <c r="C359" s="385"/>
      <c r="D359" s="388">
        <f t="shared" si="166"/>
        <v>65.586328485293492</v>
      </c>
      <c r="E359" s="380">
        <f t="shared" si="162"/>
        <v>67.514698710116576</v>
      </c>
      <c r="F359" s="380">
        <f t="shared" si="198"/>
        <v>67.53712274687156</v>
      </c>
      <c r="G359" s="110">
        <f t="shared" si="163"/>
        <v>0.6952306674473886</v>
      </c>
      <c r="H359" s="6" t="b">
        <f t="shared" si="195"/>
        <v>1</v>
      </c>
      <c r="I359" s="375">
        <f t="shared" si="196"/>
        <v>67.53712274687156</v>
      </c>
      <c r="J359" s="85">
        <f t="shared" si="197"/>
        <v>2022</v>
      </c>
      <c r="K359" s="193">
        <f t="shared" si="168"/>
        <v>44906</v>
      </c>
      <c r="L359" s="430">
        <f t="shared" si="169"/>
        <v>6.5764999391634271E-3</v>
      </c>
      <c r="M359" s="846"/>
      <c r="N359" s="846"/>
      <c r="O359" s="320">
        <f t="shared" si="170"/>
        <v>2.8562228102398959E-2</v>
      </c>
      <c r="P359" s="165">
        <f>(INDEX(Models!$BJ359:$BT359,,T359)*(1-R359)+INDEX(Models!$BJ359:$BT359,,T359+1)*R359-ERP_i)*Q359*Ramure*Pc/MaxiM</f>
        <v>5.8779134083436436E-4</v>
      </c>
      <c r="Q359" s="301">
        <f t="shared" si="171"/>
        <v>0.5</v>
      </c>
      <c r="R359" s="173">
        <f t="shared" si="172"/>
        <v>0.48943450551355855</v>
      </c>
      <c r="S359" s="801">
        <f t="shared" si="192"/>
        <v>0</v>
      </c>
      <c r="T359" s="172">
        <f t="shared" si="173"/>
        <v>6</v>
      </c>
      <c r="U359" s="247">
        <f t="shared" si="174"/>
        <v>0.48943450551355855</v>
      </c>
      <c r="V359" s="378">
        <f t="shared" si="175"/>
        <v>93.693119538464188</v>
      </c>
      <c r="W359" s="397"/>
      <c r="X359" s="153">
        <f t="shared" si="176"/>
        <v>44906</v>
      </c>
      <c r="Y359" s="380">
        <f t="shared" si="177"/>
        <v>65.155000000000001</v>
      </c>
      <c r="Z359" s="380">
        <f t="shared" si="178"/>
        <v>65.586328485293492</v>
      </c>
      <c r="AA359" s="381">
        <f t="shared" si="179"/>
        <v>67.514698710116576</v>
      </c>
      <c r="AB359" s="193">
        <f t="shared" si="180"/>
        <v>44906</v>
      </c>
      <c r="AC359" s="420">
        <f t="shared" si="181"/>
        <v>2.8562228102398959E-2</v>
      </c>
      <c r="AD359" s="165">
        <f>(INDEX(Models!$BJ359:$BT359,,AH359)*(1-AF359)+INDEX(Models!$BJ359:$BT359,,AH359+1)*AF359-ERP_i)*AE359*Ramure*Pc/MaxiM</f>
        <v>5.8779134083436436E-4</v>
      </c>
      <c r="AE359" s="301">
        <f t="shared" si="182"/>
        <v>0.5</v>
      </c>
      <c r="AF359" s="173">
        <f t="shared" si="183"/>
        <v>0.48943450551355855</v>
      </c>
      <c r="AG359" s="801">
        <f t="shared" si="184"/>
        <v>0</v>
      </c>
      <c r="AH359" s="172">
        <f t="shared" si="185"/>
        <v>6</v>
      </c>
      <c r="AI359" s="221">
        <f t="shared" si="186"/>
        <v>0.48943450551355855</v>
      </c>
      <c r="AJ359" s="261" t="b">
        <f t="shared" si="187"/>
        <v>0</v>
      </c>
      <c r="AK359" s="261" t="b">
        <f t="shared" si="188"/>
        <v>0</v>
      </c>
      <c r="AL359" s="261"/>
      <c r="AM359" s="261"/>
      <c r="AN359" s="75"/>
      <c r="AV359" s="153">
        <f t="shared" si="193"/>
        <v>44541</v>
      </c>
      <c r="AW359" s="608"/>
      <c r="AX359" s="385"/>
      <c r="AY359" s="388"/>
      <c r="AZ359" s="380"/>
      <c r="BA359" s="380"/>
      <c r="BB359" s="110"/>
      <c r="BD359" s="375"/>
      <c r="BE359" s="85"/>
      <c r="BF359" s="193">
        <f t="shared" si="189"/>
        <v>44906</v>
      </c>
      <c r="BG359" s="430">
        <f t="shared" si="194"/>
        <v>1.2238658637624078E-2</v>
      </c>
      <c r="BH359" s="846"/>
      <c r="BI359" s="846"/>
      <c r="BJ359" s="320">
        <f t="shared" si="190"/>
        <v>8.1286667694991013E-3</v>
      </c>
      <c r="BK359" s="378"/>
    </row>
    <row r="360" spans="1:63" s="6" customFormat="1" ht="11.25" customHeight="1" x14ac:dyDescent="0.2">
      <c r="A360" s="56">
        <f t="shared" si="191"/>
        <v>44907</v>
      </c>
      <c r="B360" s="608">
        <v>22.722000000000001</v>
      </c>
      <c r="C360" s="385"/>
      <c r="D360" s="388">
        <f t="shared" si="166"/>
        <v>22.872733580356655</v>
      </c>
      <c r="E360" s="380">
        <f t="shared" si="162"/>
        <v>23.546248768046997</v>
      </c>
      <c r="F360" s="380">
        <f t="shared" si="198"/>
        <v>23.546248768046997</v>
      </c>
      <c r="G360" s="110">
        <f t="shared" si="163"/>
        <v>0.24317298982350385</v>
      </c>
      <c r="H360" s="6" t="b">
        <f t="shared" si="195"/>
        <v>1</v>
      </c>
      <c r="I360" s="375">
        <f t="shared" si="196"/>
        <v>23.546248768046997</v>
      </c>
      <c r="J360" s="85">
        <f t="shared" si="197"/>
        <v>2022</v>
      </c>
      <c r="K360" s="193">
        <f t="shared" si="168"/>
        <v>44907</v>
      </c>
      <c r="L360" s="430">
        <f t="shared" si="169"/>
        <v>6.5900990726401876E-3</v>
      </c>
      <c r="M360" s="846"/>
      <c r="N360" s="846"/>
      <c r="O360" s="320">
        <f t="shared" si="170"/>
        <v>2.8603927289017804E-2</v>
      </c>
      <c r="P360" s="165">
        <f>(INDEX(Models!$BJ360:$BT360,,T360)*(1-R360)+INDEX(Models!$BJ360:$BT360,,T360+1)*R360-ERP_i)*Q360*Ramure*Pc/MaxiM</f>
        <v>5.7737441163898187E-4</v>
      </c>
      <c r="Q360" s="301">
        <f t="shared" si="171"/>
        <v>0.5</v>
      </c>
      <c r="R360" s="173">
        <f t="shared" si="172"/>
        <v>0.48944498163047329</v>
      </c>
      <c r="S360" s="801">
        <f t="shared" si="192"/>
        <v>0</v>
      </c>
      <c r="T360" s="172">
        <f t="shared" si="173"/>
        <v>6</v>
      </c>
      <c r="U360" s="247">
        <f t="shared" si="174"/>
        <v>0.48944498163047329</v>
      </c>
      <c r="V360" s="378">
        <f t="shared" si="175"/>
        <v>93.385704206297575</v>
      </c>
      <c r="W360" s="397"/>
      <c r="X360" s="153">
        <f t="shared" si="176"/>
        <v>44907</v>
      </c>
      <c r="Y360" s="380">
        <f t="shared" si="177"/>
        <v>22.722000000000001</v>
      </c>
      <c r="Z360" s="380">
        <f t="shared" si="178"/>
        <v>22.872733580356655</v>
      </c>
      <c r="AA360" s="381">
        <f t="shared" si="179"/>
        <v>23.546248768046997</v>
      </c>
      <c r="AB360" s="193">
        <f t="shared" si="180"/>
        <v>44907</v>
      </c>
      <c r="AC360" s="420">
        <f t="shared" si="181"/>
        <v>2.8603927289017804E-2</v>
      </c>
      <c r="AD360" s="165">
        <f>(INDEX(Models!$BJ360:$BT360,,AH360)*(1-AF360)+INDEX(Models!$BJ360:$BT360,,AH360+1)*AF360-ERP_i)*AE360*Ramure*Pc/MaxiM</f>
        <v>5.7737441163898187E-4</v>
      </c>
      <c r="AE360" s="301">
        <f t="shared" si="182"/>
        <v>0.5</v>
      </c>
      <c r="AF360" s="173">
        <f t="shared" si="183"/>
        <v>0.48944498163047329</v>
      </c>
      <c r="AG360" s="801">
        <f t="shared" si="184"/>
        <v>0</v>
      </c>
      <c r="AH360" s="172">
        <f t="shared" si="185"/>
        <v>6</v>
      </c>
      <c r="AI360" s="221">
        <f t="shared" si="186"/>
        <v>0.48944498163047329</v>
      </c>
      <c r="AJ360" s="261" t="b">
        <f t="shared" si="187"/>
        <v>0</v>
      </c>
      <c r="AK360" s="261" t="b">
        <f t="shared" si="188"/>
        <v>0</v>
      </c>
      <c r="AL360" s="261"/>
      <c r="AM360" s="261"/>
      <c r="AN360" s="75"/>
      <c r="AV360" s="153">
        <f t="shared" si="193"/>
        <v>44542</v>
      </c>
      <c r="AW360" s="608"/>
      <c r="AX360" s="385"/>
      <c r="AY360" s="388"/>
      <c r="AZ360" s="380"/>
      <c r="BA360" s="380"/>
      <c r="BB360" s="110"/>
      <c r="BD360" s="375"/>
      <c r="BE360" s="85"/>
      <c r="BF360" s="193">
        <f t="shared" si="189"/>
        <v>44907</v>
      </c>
      <c r="BG360" s="430">
        <f t="shared" si="194"/>
        <v>1.2252325890267368E-2</v>
      </c>
      <c r="BH360" s="846"/>
      <c r="BI360" s="846"/>
      <c r="BJ360" s="320">
        <f t="shared" si="190"/>
        <v>8.1929062367617454E-3</v>
      </c>
      <c r="BK360" s="378"/>
    </row>
    <row r="361" spans="1:63" s="6" customFormat="1" ht="11.25" customHeight="1" x14ac:dyDescent="0.2">
      <c r="A361" s="56">
        <f t="shared" si="191"/>
        <v>44908</v>
      </c>
      <c r="B361" s="608">
        <v>23.666</v>
      </c>
      <c r="C361" s="385"/>
      <c r="D361" s="388">
        <f t="shared" si="166"/>
        <v>23.82332202448185</v>
      </c>
      <c r="E361" s="380">
        <f t="shared" ref="E361:E379" si="199">Wh_pvt/(1-Psa)</f>
        <v>24.525889099355748</v>
      </c>
      <c r="F361" s="380">
        <f t="shared" si="198"/>
        <v>24.525889099355748</v>
      </c>
      <c r="G361" s="110">
        <f t="shared" ref="G361:G379" si="200">+Wh_hp/MaxiM</f>
        <v>0.25400317929102423</v>
      </c>
      <c r="H361" s="6" t="b">
        <f t="shared" si="195"/>
        <v>1</v>
      </c>
      <c r="I361" s="375">
        <f t="shared" si="196"/>
        <v>24.525889099355748</v>
      </c>
      <c r="J361" s="85">
        <f t="shared" si="197"/>
        <v>2022</v>
      </c>
      <c r="K361" s="193">
        <f t="shared" si="168"/>
        <v>44908</v>
      </c>
      <c r="L361" s="430">
        <f t="shared" si="169"/>
        <v>6.6036980199561945E-3</v>
      </c>
      <c r="M361" s="846"/>
      <c r="N361" s="846"/>
      <c r="O361" s="320">
        <f t="shared" si="170"/>
        <v>2.8645937035259292E-2</v>
      </c>
      <c r="P361" s="165">
        <f>(INDEX(Models!$BJ361:$BT361,,T361)*(1-R361)+INDEX(Models!$BJ361:$BT361,,T361+1)*R361-ERP_i)*Q361*Ramure*Pc/MaxiM</f>
        <v>5.6802576093481765E-4</v>
      </c>
      <c r="Q361" s="301">
        <f t="shared" si="171"/>
        <v>0.5</v>
      </c>
      <c r="R361" s="173">
        <f t="shared" si="172"/>
        <v>0.48945503636084919</v>
      </c>
      <c r="S361" s="801">
        <f t="shared" si="192"/>
        <v>0</v>
      </c>
      <c r="T361" s="172">
        <f t="shared" si="173"/>
        <v>6</v>
      </c>
      <c r="U361" s="247">
        <f t="shared" si="174"/>
        <v>0.48945503636084919</v>
      </c>
      <c r="V361" s="378">
        <f t="shared" si="175"/>
        <v>93.119137990165839</v>
      </c>
      <c r="W361" s="397"/>
      <c r="X361" s="153">
        <f t="shared" si="176"/>
        <v>44908</v>
      </c>
      <c r="Y361" s="380">
        <f t="shared" si="177"/>
        <v>23.666</v>
      </c>
      <c r="Z361" s="380">
        <f t="shared" si="178"/>
        <v>23.82332202448185</v>
      </c>
      <c r="AA361" s="381">
        <f t="shared" si="179"/>
        <v>24.525889099355748</v>
      </c>
      <c r="AB361" s="193">
        <f t="shared" si="180"/>
        <v>44908</v>
      </c>
      <c r="AC361" s="420">
        <f t="shared" si="181"/>
        <v>2.8645937035259292E-2</v>
      </c>
      <c r="AD361" s="165">
        <f>(INDEX(Models!$BJ361:$BT361,,AH361)*(1-AF361)+INDEX(Models!$BJ361:$BT361,,AH361+1)*AF361-ERP_i)*AE361*Ramure*Pc/MaxiM</f>
        <v>5.6802576093481765E-4</v>
      </c>
      <c r="AE361" s="301">
        <f t="shared" si="182"/>
        <v>0.5</v>
      </c>
      <c r="AF361" s="173">
        <f t="shared" si="183"/>
        <v>0.48945503636084919</v>
      </c>
      <c r="AG361" s="801">
        <f t="shared" si="184"/>
        <v>0</v>
      </c>
      <c r="AH361" s="172">
        <f t="shared" si="185"/>
        <v>6</v>
      </c>
      <c r="AI361" s="221">
        <f t="shared" si="186"/>
        <v>0.48945503636084919</v>
      </c>
      <c r="AJ361" s="261" t="b">
        <f t="shared" si="187"/>
        <v>0</v>
      </c>
      <c r="AK361" s="261" t="b">
        <f t="shared" si="188"/>
        <v>0</v>
      </c>
      <c r="AL361" s="261"/>
      <c r="AM361" s="261"/>
      <c r="AN361" s="75"/>
      <c r="AV361" s="153">
        <f t="shared" si="193"/>
        <v>44543</v>
      </c>
      <c r="AW361" s="608"/>
      <c r="AX361" s="385"/>
      <c r="AY361" s="388"/>
      <c r="AZ361" s="380"/>
      <c r="BA361" s="380"/>
      <c r="BB361" s="110"/>
      <c r="BD361" s="375"/>
      <c r="BE361" s="85"/>
      <c r="BF361" s="193">
        <f t="shared" si="189"/>
        <v>44908</v>
      </c>
      <c r="BG361" s="430">
        <f t="shared" si="194"/>
        <v>1.2265992955817429E-2</v>
      </c>
      <c r="BH361" s="846"/>
      <c r="BI361" s="846"/>
      <c r="BJ361" s="320">
        <f t="shared" si="190"/>
        <v>8.2571676956679999E-3</v>
      </c>
      <c r="BK361" s="378"/>
    </row>
    <row r="362" spans="1:63" s="6" customFormat="1" ht="11.25" customHeight="1" x14ac:dyDescent="0.2">
      <c r="A362" s="56">
        <f t="shared" si="191"/>
        <v>44909</v>
      </c>
      <c r="B362" s="1176">
        <v>69.454000000000008</v>
      </c>
      <c r="C362" s="385"/>
      <c r="D362" s="388">
        <f t="shared" si="166"/>
        <v>69.916659284429116</v>
      </c>
      <c r="E362" s="380">
        <f t="shared" si="199"/>
        <v>71.98168732518134</v>
      </c>
      <c r="F362" s="380">
        <f t="shared" si="198"/>
        <v>72.007464364847081</v>
      </c>
      <c r="G362" s="110">
        <f t="shared" si="200"/>
        <v>0.74752160580805749</v>
      </c>
      <c r="H362" s="6" t="b">
        <f t="shared" si="195"/>
        <v>1</v>
      </c>
      <c r="I362" s="375">
        <f t="shared" si="196"/>
        <v>72.007464364847081</v>
      </c>
      <c r="J362" s="85">
        <f t="shared" si="197"/>
        <v>2022</v>
      </c>
      <c r="K362" s="193">
        <f t="shared" si="168"/>
        <v>44909</v>
      </c>
      <c r="L362" s="430">
        <f t="shared" si="169"/>
        <v>6.6172967811141126E-3</v>
      </c>
      <c r="M362" s="846"/>
      <c r="N362" s="846"/>
      <c r="O362" s="320">
        <f t="shared" si="170"/>
        <v>2.8688241655455356E-2</v>
      </c>
      <c r="P362" s="165">
        <f>(INDEX(Models!$BJ362:$BT362,,T362)*(1-R362)+INDEX(Models!$BJ362:$BT362,,T362+1)*R362-ERP_i)*Q362*Ramure*Pc/MaxiM</f>
        <v>5.5974874235475644E-4</v>
      </c>
      <c r="Q362" s="301">
        <f t="shared" si="171"/>
        <v>0.5</v>
      </c>
      <c r="R362" s="173">
        <f t="shared" si="172"/>
        <v>0.48946468663841852</v>
      </c>
      <c r="S362" s="801">
        <f t="shared" si="192"/>
        <v>0</v>
      </c>
      <c r="T362" s="172">
        <f t="shared" si="173"/>
        <v>6</v>
      </c>
      <c r="U362" s="247">
        <f t="shared" si="174"/>
        <v>0.48946468663841852</v>
      </c>
      <c r="V362" s="378">
        <f t="shared" si="175"/>
        <v>92.893610847101428</v>
      </c>
      <c r="W362" s="397"/>
      <c r="X362" s="153">
        <f t="shared" si="176"/>
        <v>44909</v>
      </c>
      <c r="Y362" s="380">
        <f t="shared" si="177"/>
        <v>69.454000000000008</v>
      </c>
      <c r="Z362" s="380">
        <f t="shared" si="178"/>
        <v>69.916659284429116</v>
      </c>
      <c r="AA362" s="381">
        <f t="shared" si="179"/>
        <v>71.98168732518134</v>
      </c>
      <c r="AB362" s="193">
        <f t="shared" si="180"/>
        <v>44909</v>
      </c>
      <c r="AC362" s="420">
        <f t="shared" si="181"/>
        <v>2.8688241655455356E-2</v>
      </c>
      <c r="AD362" s="165">
        <f>(INDEX(Models!$BJ362:$BT362,,AH362)*(1-AF362)+INDEX(Models!$BJ362:$BT362,,AH362+1)*AF362-ERP_i)*AE362*Ramure*Pc/MaxiM</f>
        <v>5.5974874235475644E-4</v>
      </c>
      <c r="AE362" s="301">
        <f t="shared" si="182"/>
        <v>0.5</v>
      </c>
      <c r="AF362" s="173">
        <f t="shared" si="183"/>
        <v>0.48946468663841852</v>
      </c>
      <c r="AG362" s="801">
        <f t="shared" si="184"/>
        <v>0</v>
      </c>
      <c r="AH362" s="172">
        <f t="shared" si="185"/>
        <v>6</v>
      </c>
      <c r="AI362" s="221">
        <f t="shared" si="186"/>
        <v>0.48946468663841852</v>
      </c>
      <c r="AJ362" s="261" t="b">
        <f t="shared" si="187"/>
        <v>0</v>
      </c>
      <c r="AK362" s="261" t="b">
        <f t="shared" si="188"/>
        <v>0</v>
      </c>
      <c r="AL362" s="261"/>
      <c r="AM362" s="261"/>
      <c r="AN362" s="75"/>
      <c r="AV362" s="56">
        <f t="shared" si="193"/>
        <v>44544</v>
      </c>
      <c r="AW362" s="608">
        <v>0.157</v>
      </c>
      <c r="AX362" s="385"/>
      <c r="AY362" s="388">
        <f t="shared" ref="AY362:AY379" si="201">AW362/(1-BG362)</f>
        <v>0.15895187495446131</v>
      </c>
      <c r="AZ362" s="380">
        <f t="shared" ref="AZ362:AZ379" si="202">AY362/(1-BJ362)</f>
        <v>0.16028568405013274</v>
      </c>
      <c r="BA362" s="380">
        <f t="shared" ref="BA362:BA379" si="203">AZ362</f>
        <v>0.16028568405013274</v>
      </c>
      <c r="BB362" s="110">
        <f t="shared" ref="BB362:BB379" si="204">+BA362/MaxiM</f>
        <v>1.6639526608256876E-3</v>
      </c>
      <c r="BD362" s="375">
        <f t="shared" ref="BD362:BD380" si="205">BA362</f>
        <v>0.16028568405013274</v>
      </c>
      <c r="BE362" s="85">
        <v>2021</v>
      </c>
      <c r="BF362" s="193">
        <f t="shared" si="189"/>
        <v>44909</v>
      </c>
      <c r="BG362" s="430">
        <f t="shared" si="194"/>
        <v>1.2279659834276924E-2</v>
      </c>
      <c r="BH362" s="846"/>
      <c r="BI362" s="846"/>
      <c r="BJ362" s="320">
        <f t="shared" si="190"/>
        <v>8.3214486906656622E-3</v>
      </c>
      <c r="BK362" s="378">
        <f t="shared" ref="BK362:BK379" si="206">MaxiM*(1-BG362)*(1-BJ362)</f>
        <v>94.353645807503554</v>
      </c>
    </row>
    <row r="363" spans="1:63" s="6" customFormat="1" ht="11.25" x14ac:dyDescent="0.2">
      <c r="A363" s="56">
        <f t="shared" si="191"/>
        <v>44910</v>
      </c>
      <c r="B363" s="1176">
        <v>34.569000000000003</v>
      </c>
      <c r="C363" s="385"/>
      <c r="D363" s="388">
        <f t="shared" si="166"/>
        <v>34.799753524036532</v>
      </c>
      <c r="E363" s="380">
        <f t="shared" si="199"/>
        <v>35.829154698862816</v>
      </c>
      <c r="F363" s="380">
        <f t="shared" si="198"/>
        <v>35.831215855446146</v>
      </c>
      <c r="G363" s="110">
        <f t="shared" si="200"/>
        <v>0.37269057111126558</v>
      </c>
      <c r="H363" s="6" t="b">
        <f t="shared" si="195"/>
        <v>0</v>
      </c>
      <c r="I363" s="375">
        <f t="shared" si="196"/>
        <v>91.83152399747874</v>
      </c>
      <c r="J363" s="85">
        <f t="shared" si="197"/>
        <v>2021</v>
      </c>
      <c r="K363" s="193">
        <f t="shared" si="168"/>
        <v>44910</v>
      </c>
      <c r="L363" s="430">
        <f t="shared" si="169"/>
        <v>6.6308953561163841E-3</v>
      </c>
      <c r="M363" s="846"/>
      <c r="N363" s="846"/>
      <c r="O363" s="320">
        <f t="shared" si="170"/>
        <v>2.8730825035594751E-2</v>
      </c>
      <c r="P363" s="165">
        <f>(INDEX(Models!$BJ363:$BT363,,T363)*(1-R363)+INDEX(Models!$BJ363:$BT363,,T363+1)*R363-ERP_i)*Q363*Ramure*Pc/MaxiM</f>
        <v>5.5254536739405419E-4</v>
      </c>
      <c r="Q363" s="301">
        <f t="shared" si="171"/>
        <v>0.5</v>
      </c>
      <c r="R363" s="173">
        <f t="shared" si="172"/>
        <v>0.48947394871767502</v>
      </c>
      <c r="S363" s="801">
        <f t="shared" si="192"/>
        <v>0</v>
      </c>
      <c r="T363" s="172">
        <f t="shared" si="173"/>
        <v>6</v>
      </c>
      <c r="U363" s="247">
        <f t="shared" si="174"/>
        <v>0.48947394871767502</v>
      </c>
      <c r="V363" s="378">
        <f t="shared" si="175"/>
        <v>92.709312501673949</v>
      </c>
      <c r="W363" s="397"/>
      <c r="X363" s="153">
        <f t="shared" si="176"/>
        <v>44910</v>
      </c>
      <c r="Y363" s="380">
        <f t="shared" si="177"/>
        <v>34.569000000000003</v>
      </c>
      <c r="Z363" s="380">
        <f t="shared" si="178"/>
        <v>34.799753524036532</v>
      </c>
      <c r="AA363" s="381">
        <f t="shared" si="179"/>
        <v>35.829154698862816</v>
      </c>
      <c r="AB363" s="193">
        <f t="shared" si="180"/>
        <v>44910</v>
      </c>
      <c r="AC363" s="420">
        <f t="shared" si="181"/>
        <v>2.8730825035594751E-2</v>
      </c>
      <c r="AD363" s="165">
        <f>(INDEX(Models!$BJ363:$BT363,,AH363)*(1-AF363)+INDEX(Models!$BJ363:$BT363,,AH363+1)*AF363-ERP_i)*AE363*Ramure*Pc/MaxiM</f>
        <v>5.5254536739405419E-4</v>
      </c>
      <c r="AE363" s="301">
        <f t="shared" si="182"/>
        <v>0.5</v>
      </c>
      <c r="AF363" s="173">
        <f t="shared" si="183"/>
        <v>0.48947394871767502</v>
      </c>
      <c r="AG363" s="801">
        <f t="shared" si="184"/>
        <v>0</v>
      </c>
      <c r="AH363" s="172">
        <f t="shared" si="185"/>
        <v>6</v>
      </c>
      <c r="AI363" s="221">
        <f t="shared" si="186"/>
        <v>0.48947394871767502</v>
      </c>
      <c r="AJ363" s="261" t="b">
        <f t="shared" si="187"/>
        <v>0</v>
      </c>
      <c r="AK363" s="261" t="b">
        <f t="shared" si="188"/>
        <v>0</v>
      </c>
      <c r="AL363" s="261"/>
      <c r="AM363" s="261"/>
      <c r="AN363" s="75"/>
      <c r="AV363" s="56">
        <f t="shared" si="193"/>
        <v>44545</v>
      </c>
      <c r="AW363" s="608">
        <v>89.941999999999993</v>
      </c>
      <c r="AX363" s="385"/>
      <c r="AY363" s="388">
        <f t="shared" si="201"/>
        <v>91.061448115583232</v>
      </c>
      <c r="AZ363" s="380">
        <f t="shared" si="202"/>
        <v>91.83152399747874</v>
      </c>
      <c r="BA363" s="380">
        <f t="shared" si="203"/>
        <v>91.83152399747874</v>
      </c>
      <c r="BB363" s="110">
        <f t="shared" si="204"/>
        <v>0.95516555348585164</v>
      </c>
      <c r="BD363" s="375">
        <f t="shared" si="205"/>
        <v>91.83152399747874</v>
      </c>
      <c r="BE363" s="85">
        <v>2021</v>
      </c>
      <c r="BF363" s="193">
        <f t="shared" si="189"/>
        <v>44910</v>
      </c>
      <c r="BG363" s="430">
        <f t="shared" si="194"/>
        <v>1.2293326525648185E-2</v>
      </c>
      <c r="BH363" s="846"/>
      <c r="BI363" s="846"/>
      <c r="BJ363" s="320">
        <f t="shared" si="190"/>
        <v>8.3857465102795369E-3</v>
      </c>
      <c r="BK363" s="378">
        <f t="shared" si="206"/>
        <v>94.163781002946578</v>
      </c>
    </row>
    <row r="364" spans="1:63" s="6" customFormat="1" ht="11.25" customHeight="1" x14ac:dyDescent="0.2">
      <c r="A364" s="56">
        <f t="shared" si="191"/>
        <v>44911</v>
      </c>
      <c r="B364" s="1176">
        <v>21.068999999999999</v>
      </c>
      <c r="C364" s="385"/>
      <c r="D364" s="388">
        <f t="shared" si="166"/>
        <v>21.209929242180831</v>
      </c>
      <c r="E364" s="380">
        <f t="shared" si="199"/>
        <v>21.838297215977189</v>
      </c>
      <c r="F364" s="380">
        <f t="shared" si="198"/>
        <v>21.838297215977189</v>
      </c>
      <c r="G364" s="110">
        <f t="shared" si="200"/>
        <v>0.22748513688981389</v>
      </c>
      <c r="H364" s="6" t="b">
        <f t="shared" si="195"/>
        <v>0</v>
      </c>
      <c r="I364" s="375">
        <f t="shared" si="196"/>
        <v>96.573538746410236</v>
      </c>
      <c r="J364" s="85">
        <f t="shared" si="197"/>
        <v>2021</v>
      </c>
      <c r="K364" s="193">
        <f t="shared" si="168"/>
        <v>44911</v>
      </c>
      <c r="L364" s="430">
        <f t="shared" si="169"/>
        <v>6.6444937449655628E-3</v>
      </c>
      <c r="M364" s="846"/>
      <c r="N364" s="846"/>
      <c r="O364" s="320">
        <f t="shared" si="170"/>
        <v>2.8773670748314405E-2</v>
      </c>
      <c r="P364" s="165">
        <f>(INDEX(Models!$BJ364:$BT364,,T364)*(1-R364)+INDEX(Models!$BJ364:$BT364,,T364+1)*R364-ERP_i)*Q364*Ramure*Pc/MaxiM</f>
        <v>5.4641621579347617E-4</v>
      </c>
      <c r="Q364" s="301">
        <f t="shared" si="171"/>
        <v>0.5</v>
      </c>
      <c r="R364" s="173">
        <f t="shared" si="172"/>
        <v>0.48948283820102023</v>
      </c>
      <c r="S364" s="801">
        <f t="shared" si="192"/>
        <v>0</v>
      </c>
      <c r="T364" s="172">
        <f t="shared" si="173"/>
        <v>6</v>
      </c>
      <c r="U364" s="247">
        <f t="shared" si="174"/>
        <v>0.48948283820102023</v>
      </c>
      <c r="V364" s="378">
        <f t="shared" si="175"/>
        <v>92.566432447623953</v>
      </c>
      <c r="W364" s="397"/>
      <c r="X364" s="153">
        <f t="shared" si="176"/>
        <v>44911</v>
      </c>
      <c r="Y364" s="380">
        <f t="shared" si="177"/>
        <v>21.068999999999999</v>
      </c>
      <c r="Z364" s="380">
        <f t="shared" si="178"/>
        <v>21.209929242180831</v>
      </c>
      <c r="AA364" s="381">
        <f t="shared" si="179"/>
        <v>21.838297215977189</v>
      </c>
      <c r="AB364" s="193">
        <f t="shared" si="180"/>
        <v>44911</v>
      </c>
      <c r="AC364" s="420">
        <f t="shared" si="181"/>
        <v>2.8773670748314405E-2</v>
      </c>
      <c r="AD364" s="165">
        <f>(INDEX(Models!$BJ364:$BT364,,AH364)*(1-AF364)+INDEX(Models!$BJ364:$BT364,,AH364+1)*AF364-ERP_i)*AE364*Ramure*Pc/MaxiM</f>
        <v>5.4641621579347617E-4</v>
      </c>
      <c r="AE364" s="301">
        <f t="shared" si="182"/>
        <v>0.5</v>
      </c>
      <c r="AF364" s="173">
        <f t="shared" si="183"/>
        <v>0.48948283820102023</v>
      </c>
      <c r="AG364" s="801">
        <f t="shared" si="184"/>
        <v>0</v>
      </c>
      <c r="AH364" s="172">
        <f t="shared" si="185"/>
        <v>6</v>
      </c>
      <c r="AI364" s="221">
        <f t="shared" si="186"/>
        <v>0.48948283820102023</v>
      </c>
      <c r="AJ364" s="261" t="b">
        <f t="shared" si="187"/>
        <v>0</v>
      </c>
      <c r="AK364" s="261" t="b">
        <f t="shared" si="188"/>
        <v>0</v>
      </c>
      <c r="AL364" s="261"/>
      <c r="AM364" s="261"/>
      <c r="AN364" s="75"/>
      <c r="AV364" s="56">
        <f t="shared" si="193"/>
        <v>44546</v>
      </c>
      <c r="AW364" s="608">
        <v>94.578999999999994</v>
      </c>
      <c r="AX364" s="385"/>
      <c r="AY364" s="388">
        <f t="shared" si="201"/>
        <v>95.757486721647297</v>
      </c>
      <c r="AZ364" s="380">
        <f t="shared" si="202"/>
        <v>96.573538746410236</v>
      </c>
      <c r="BA364" s="380">
        <f t="shared" si="203"/>
        <v>96.573538746410236</v>
      </c>
      <c r="BB364" s="110">
        <f t="shared" si="204"/>
        <v>1.0059870723614859</v>
      </c>
      <c r="BD364" s="375">
        <f t="shared" si="205"/>
        <v>96.573538746410236</v>
      </c>
      <c r="BE364" s="85">
        <v>2021</v>
      </c>
      <c r="BF364" s="193">
        <f t="shared" si="189"/>
        <v>44911</v>
      </c>
      <c r="BG364" s="430">
        <f t="shared" si="194"/>
        <v>1.2306993029933988E-2</v>
      </c>
      <c r="BH364" s="846"/>
      <c r="BI364" s="846"/>
      <c r="BJ364" s="320">
        <f t="shared" si="190"/>
        <v>8.4500582183882379E-3</v>
      </c>
      <c r="BK364" s="378">
        <f t="shared" si="206"/>
        <v>94.016118694231565</v>
      </c>
    </row>
    <row r="365" spans="1:63" s="6" customFormat="1" ht="11.25" customHeight="1" x14ac:dyDescent="0.2">
      <c r="A365" s="56">
        <f t="shared" si="191"/>
        <v>44912</v>
      </c>
      <c r="B365" s="1176">
        <v>13.072000000000001</v>
      </c>
      <c r="C365" s="385"/>
      <c r="D365" s="388">
        <f t="shared" si="166"/>
        <v>13.159617946282482</v>
      </c>
      <c r="E365" s="380">
        <f t="shared" si="199"/>
        <v>13.550087597927286</v>
      </c>
      <c r="F365" s="380">
        <f t="shared" si="198"/>
        <v>13.550087597927286</v>
      </c>
      <c r="G365" s="110">
        <f t="shared" si="200"/>
        <v>0.14129563331573086</v>
      </c>
      <c r="H365" s="6" t="b">
        <f t="shared" si="195"/>
        <v>0</v>
      </c>
      <c r="I365" s="375">
        <f t="shared" si="196"/>
        <v>97.364376896272645</v>
      </c>
      <c r="J365" s="85">
        <f t="shared" si="197"/>
        <v>2021</v>
      </c>
      <c r="K365" s="193">
        <f t="shared" si="168"/>
        <v>44912</v>
      </c>
      <c r="L365" s="430">
        <f t="shared" si="169"/>
        <v>6.658091947664313E-3</v>
      </c>
      <c r="M365" s="846"/>
      <c r="N365" s="846"/>
      <c r="O365" s="320">
        <f t="shared" si="170"/>
        <v>2.8816762166506721E-2</v>
      </c>
      <c r="P365" s="165">
        <f>(INDEX(Models!$BJ365:$BT365,,T365)*(1-R365)+INDEX(Models!$BJ365:$BT365,,T365+1)*R365-ERP_i)*Q365*Ramure*Pc/MaxiM</f>
        <v>5.4136034906914258E-4</v>
      </c>
      <c r="Q365" s="301">
        <f t="shared" si="171"/>
        <v>0.5</v>
      </c>
      <c r="R365" s="173">
        <f t="shared" si="172"/>
        <v>0.48949137006483268</v>
      </c>
      <c r="S365" s="801">
        <f t="shared" si="192"/>
        <v>0</v>
      </c>
      <c r="T365" s="172">
        <f t="shared" si="173"/>
        <v>6</v>
      </c>
      <c r="U365" s="247">
        <f t="shared" si="174"/>
        <v>0.48949137006483268</v>
      </c>
      <c r="V365" s="378">
        <f t="shared" si="175"/>
        <v>92.465159969401626</v>
      </c>
      <c r="W365" s="397"/>
      <c r="X365" s="153">
        <f t="shared" si="176"/>
        <v>44912</v>
      </c>
      <c r="Y365" s="380">
        <f t="shared" si="177"/>
        <v>13.072000000000001</v>
      </c>
      <c r="Z365" s="380">
        <f t="shared" si="178"/>
        <v>13.159617946282482</v>
      </c>
      <c r="AA365" s="381">
        <f t="shared" si="179"/>
        <v>13.550087597927286</v>
      </c>
      <c r="AB365" s="193">
        <f t="shared" si="180"/>
        <v>44912</v>
      </c>
      <c r="AC365" s="420">
        <f t="shared" si="181"/>
        <v>2.8816762166506721E-2</v>
      </c>
      <c r="AD365" s="165">
        <f>(INDEX(Models!$BJ365:$BT365,,AH365)*(1-AF365)+INDEX(Models!$BJ365:$BT365,,AH365+1)*AF365-ERP_i)*AE365*Ramure*Pc/MaxiM</f>
        <v>5.4136034906914258E-4</v>
      </c>
      <c r="AE365" s="301">
        <f t="shared" si="182"/>
        <v>0.5</v>
      </c>
      <c r="AF365" s="173">
        <f t="shared" si="183"/>
        <v>0.48949137006483268</v>
      </c>
      <c r="AG365" s="801">
        <f t="shared" si="184"/>
        <v>0</v>
      </c>
      <c r="AH365" s="172">
        <f t="shared" si="185"/>
        <v>6</v>
      </c>
      <c r="AI365" s="221">
        <f t="shared" si="186"/>
        <v>0.48949137006483268</v>
      </c>
      <c r="AJ365" s="261" t="b">
        <f t="shared" si="187"/>
        <v>0</v>
      </c>
      <c r="AK365" s="261" t="b">
        <f t="shared" si="188"/>
        <v>0</v>
      </c>
      <c r="AL365" s="261"/>
      <c r="AM365" s="261"/>
      <c r="AN365" s="75"/>
      <c r="AV365" s="56">
        <f t="shared" si="193"/>
        <v>44547</v>
      </c>
      <c r="AW365" s="608">
        <v>95.346000000000004</v>
      </c>
      <c r="AX365" s="385"/>
      <c r="AY365" s="388">
        <f t="shared" si="201"/>
        <v>96.535379526087496</v>
      </c>
      <c r="AZ365" s="380">
        <f t="shared" si="202"/>
        <v>97.364376896272645</v>
      </c>
      <c r="BA365" s="380">
        <f t="shared" si="203"/>
        <v>97.364376896272645</v>
      </c>
      <c r="BB365" s="110">
        <f t="shared" si="204"/>
        <v>1.0152820929404727</v>
      </c>
      <c r="BD365" s="375">
        <f t="shared" si="205"/>
        <v>97.364376896272645</v>
      </c>
      <c r="BE365" s="85">
        <v>2021</v>
      </c>
      <c r="BF365" s="193">
        <f t="shared" si="189"/>
        <v>44912</v>
      </c>
      <c r="BG365" s="430">
        <f t="shared" si="194"/>
        <v>1.2320659347136886E-2</v>
      </c>
      <c r="BH365" s="846"/>
      <c r="BI365" s="846"/>
      <c r="BJ365" s="320">
        <f t="shared" si="190"/>
        <v>8.5143806863605259E-3</v>
      </c>
      <c r="BK365" s="378">
        <f t="shared" si="206"/>
        <v>93.910845727474339</v>
      </c>
    </row>
    <row r="366" spans="1:63" s="6" customFormat="1" ht="11.25" customHeight="1" x14ac:dyDescent="0.2">
      <c r="A366" s="56">
        <f t="shared" si="191"/>
        <v>44913</v>
      </c>
      <c r="B366" s="1176">
        <v>71.201000000000008</v>
      </c>
      <c r="C366" s="385"/>
      <c r="D366" s="388">
        <f t="shared" si="166"/>
        <v>71.679221543011252</v>
      </c>
      <c r="E366" s="380">
        <f t="shared" si="199"/>
        <v>73.809365938789369</v>
      </c>
      <c r="F366" s="380">
        <f t="shared" si="198"/>
        <v>73.83605586420731</v>
      </c>
      <c r="G366" s="110">
        <f t="shared" si="200"/>
        <v>0.77039060872607357</v>
      </c>
      <c r="H366" s="6" t="b">
        <f t="shared" si="195"/>
        <v>0</v>
      </c>
      <c r="I366" s="375">
        <f t="shared" si="196"/>
        <v>98.158403846650032</v>
      </c>
      <c r="J366" s="85">
        <f t="shared" si="197"/>
        <v>2021</v>
      </c>
      <c r="K366" s="193">
        <f t="shared" si="168"/>
        <v>44913</v>
      </c>
      <c r="L366" s="430">
        <f t="shared" si="169"/>
        <v>6.6716899642149663E-3</v>
      </c>
      <c r="M366" s="846"/>
      <c r="N366" s="846"/>
      <c r="O366" s="320">
        <f t="shared" si="170"/>
        <v>2.8860082574678422E-2</v>
      </c>
      <c r="P366" s="165">
        <f>(INDEX(Models!$BJ366:$BT366,,T366)*(1-R366)+INDEX(Models!$BJ366:$BT366,,T366+1)*R366-ERP_i)*Q366*Ramure*Pc/MaxiM</f>
        <v>5.3776536552416969E-4</v>
      </c>
      <c r="Q366" s="301">
        <f t="shared" si="171"/>
        <v>0.5</v>
      </c>
      <c r="R366" s="173">
        <f t="shared" si="172"/>
        <v>0.48949955868450196</v>
      </c>
      <c r="S366" s="801">
        <f t="shared" si="192"/>
        <v>0</v>
      </c>
      <c r="T366" s="172">
        <f t="shared" si="173"/>
        <v>6</v>
      </c>
      <c r="U366" s="247">
        <f t="shared" si="174"/>
        <v>0.48949955868450196</v>
      </c>
      <c r="V366" s="378">
        <f t="shared" si="175"/>
        <v>92.405648044328302</v>
      </c>
      <c r="W366" s="397"/>
      <c r="X366" s="153">
        <f t="shared" si="176"/>
        <v>44913</v>
      </c>
      <c r="Y366" s="380">
        <f t="shared" si="177"/>
        <v>71.201000000000008</v>
      </c>
      <c r="Z366" s="380">
        <f t="shared" si="178"/>
        <v>71.679221543011252</v>
      </c>
      <c r="AA366" s="381">
        <f t="shared" si="179"/>
        <v>73.809365938789369</v>
      </c>
      <c r="AB366" s="193">
        <f t="shared" si="180"/>
        <v>44913</v>
      </c>
      <c r="AC366" s="420">
        <f t="shared" si="181"/>
        <v>2.8860082574678422E-2</v>
      </c>
      <c r="AD366" s="165">
        <f>(INDEX(Models!$BJ366:$BT366,,AH366)*(1-AF366)+INDEX(Models!$BJ366:$BT366,,AH366+1)*AF366-ERP_i)*AE366*Ramure*Pc/MaxiM</f>
        <v>5.3776536552416969E-4</v>
      </c>
      <c r="AE366" s="301">
        <f t="shared" si="182"/>
        <v>0.5</v>
      </c>
      <c r="AF366" s="173">
        <f t="shared" si="183"/>
        <v>0.48949955868450196</v>
      </c>
      <c r="AG366" s="801">
        <f t="shared" si="184"/>
        <v>0</v>
      </c>
      <c r="AH366" s="172">
        <f t="shared" si="185"/>
        <v>6</v>
      </c>
      <c r="AI366" s="221">
        <f t="shared" si="186"/>
        <v>0.48949955868450196</v>
      </c>
      <c r="AJ366" s="261" t="b">
        <f t="shared" si="187"/>
        <v>0</v>
      </c>
      <c r="AK366" s="261" t="b">
        <f t="shared" si="188"/>
        <v>0</v>
      </c>
      <c r="AL366" s="261"/>
      <c r="AM366" s="261"/>
      <c r="AN366" s="75"/>
      <c r="AV366" s="56">
        <f t="shared" si="193"/>
        <v>44548</v>
      </c>
      <c r="AW366" s="608">
        <v>96.116</v>
      </c>
      <c r="AX366" s="385"/>
      <c r="AY366" s="388">
        <f t="shared" si="201"/>
        <v>97.316331304563278</v>
      </c>
      <c r="AZ366" s="380">
        <f t="shared" si="202"/>
        <v>98.158403846650032</v>
      </c>
      <c r="BA366" s="380">
        <f t="shared" si="203"/>
        <v>98.158403846650032</v>
      </c>
      <c r="BB366" s="110">
        <f t="shared" si="204"/>
        <v>1.0241651129100751</v>
      </c>
      <c r="BD366" s="375">
        <f t="shared" si="205"/>
        <v>98.158403846650032</v>
      </c>
      <c r="BE366" s="85">
        <v>2021</v>
      </c>
      <c r="BF366" s="193">
        <f t="shared" si="189"/>
        <v>44913</v>
      </c>
      <c r="BG366" s="430">
        <f t="shared" si="194"/>
        <v>1.2334325477259322E-2</v>
      </c>
      <c r="BH366" s="846"/>
      <c r="BI366" s="846"/>
      <c r="BJ366" s="320">
        <f t="shared" si="190"/>
        <v>8.5787106257585073E-3</v>
      </c>
      <c r="BK366" s="378">
        <f t="shared" si="206"/>
        <v>93.848148885773739</v>
      </c>
    </row>
    <row r="367" spans="1:63" s="6" customFormat="1" ht="11.25" customHeight="1" x14ac:dyDescent="0.2">
      <c r="A367" s="56">
        <f t="shared" si="191"/>
        <v>44914</v>
      </c>
      <c r="B367" s="1176">
        <v>68.438000000000002</v>
      </c>
      <c r="C367" s="385"/>
      <c r="D367" s="388">
        <f t="shared" si="166"/>
        <v>68.898607016554109</v>
      </c>
      <c r="E367" s="380">
        <f t="shared" si="199"/>
        <v>70.949298236985257</v>
      </c>
      <c r="F367" s="380">
        <f t="shared" si="198"/>
        <v>70.973197462767644</v>
      </c>
      <c r="G367" s="110">
        <f t="shared" si="200"/>
        <v>0.74061913197299489</v>
      </c>
      <c r="H367" s="6" t="b">
        <f t="shared" si="195"/>
        <v>0</v>
      </c>
      <c r="I367" s="375">
        <f t="shared" si="196"/>
        <v>96.560601713863988</v>
      </c>
      <c r="J367" s="85">
        <f t="shared" si="197"/>
        <v>2021</v>
      </c>
      <c r="K367" s="193">
        <f t="shared" si="168"/>
        <v>44914</v>
      </c>
      <c r="L367" s="430">
        <f t="shared" si="169"/>
        <v>6.6852877946201872E-3</v>
      </c>
      <c r="M367" s="846"/>
      <c r="N367" s="846"/>
      <c r="O367" s="320">
        <f t="shared" si="170"/>
        <v>2.8903615277228217E-2</v>
      </c>
      <c r="P367" s="165">
        <f>(INDEX(Models!$BJ367:$BT367,,T367)*(1-R367)+INDEX(Models!$BJ367:$BT367,,T367+1)*R367-ERP_i)*Q367*Ramure*Pc/MaxiM</f>
        <v>5.3478537656009861E-4</v>
      </c>
      <c r="Q367" s="301">
        <f t="shared" si="171"/>
        <v>0.5</v>
      </c>
      <c r="R367" s="173">
        <f t="shared" si="172"/>
        <v>0.48950741785846819</v>
      </c>
      <c r="S367" s="801">
        <f t="shared" si="192"/>
        <v>0</v>
      </c>
      <c r="T367" s="172">
        <f t="shared" si="173"/>
        <v>6</v>
      </c>
      <c r="U367" s="247">
        <f t="shared" si="174"/>
        <v>0.48950741785846819</v>
      </c>
      <c r="V367" s="378">
        <f t="shared" si="175"/>
        <v>92.388163325091824</v>
      </c>
      <c r="W367" s="397"/>
      <c r="X367" s="153">
        <f t="shared" si="176"/>
        <v>44914</v>
      </c>
      <c r="Y367" s="380">
        <f t="shared" si="177"/>
        <v>68.438000000000002</v>
      </c>
      <c r="Z367" s="380">
        <f t="shared" si="178"/>
        <v>68.898607016554109</v>
      </c>
      <c r="AA367" s="381">
        <f t="shared" si="179"/>
        <v>70.949298236985257</v>
      </c>
      <c r="AB367" s="193">
        <f t="shared" si="180"/>
        <v>44914</v>
      </c>
      <c r="AC367" s="420">
        <f t="shared" si="181"/>
        <v>2.8903615277228217E-2</v>
      </c>
      <c r="AD367" s="165">
        <f>(INDEX(Models!$BJ367:$BT367,,AH367)*(1-AF367)+INDEX(Models!$BJ367:$BT367,,AH367+1)*AF367-ERP_i)*AE367*Ramure*Pc/MaxiM</f>
        <v>5.3478537656009861E-4</v>
      </c>
      <c r="AE367" s="301">
        <f t="shared" si="182"/>
        <v>0.5</v>
      </c>
      <c r="AF367" s="173">
        <f t="shared" si="183"/>
        <v>0.48950741785846819</v>
      </c>
      <c r="AG367" s="801">
        <f t="shared" si="184"/>
        <v>0</v>
      </c>
      <c r="AH367" s="172">
        <f t="shared" si="185"/>
        <v>6</v>
      </c>
      <c r="AI367" s="221">
        <f t="shared" si="186"/>
        <v>0.48950741785846819</v>
      </c>
      <c r="AJ367" s="261" t="b">
        <f t="shared" si="187"/>
        <v>0</v>
      </c>
      <c r="AK367" s="261" t="b">
        <f t="shared" si="188"/>
        <v>0</v>
      </c>
      <c r="AL367" s="261"/>
      <c r="AM367" s="261"/>
      <c r="AN367" s="75"/>
      <c r="AV367" s="56">
        <f t="shared" si="193"/>
        <v>44549</v>
      </c>
      <c r="AW367" s="608">
        <v>94.543999999999997</v>
      </c>
      <c r="AX367" s="385"/>
      <c r="AY367" s="388">
        <f t="shared" si="201"/>
        <v>95.726024124590253</v>
      </c>
      <c r="AZ367" s="380">
        <f t="shared" si="202"/>
        <v>96.560601713863988</v>
      </c>
      <c r="BA367" s="380">
        <f t="shared" si="203"/>
        <v>96.560601713863988</v>
      </c>
      <c r="BB367" s="110">
        <f t="shared" si="204"/>
        <v>1.0076286764680205</v>
      </c>
      <c r="BD367" s="375">
        <f t="shared" si="205"/>
        <v>96.560601713863988</v>
      </c>
      <c r="BE367" s="85">
        <v>2021</v>
      </c>
      <c r="BF367" s="193">
        <f t="shared" si="189"/>
        <v>44914</v>
      </c>
      <c r="BG367" s="430">
        <f t="shared" si="194"/>
        <v>1.2347991420303961E-2</v>
      </c>
      <c r="BH367" s="846"/>
      <c r="BI367" s="846"/>
      <c r="BJ367" s="320">
        <f t="shared" si="190"/>
        <v>8.6430446213127086E-3</v>
      </c>
      <c r="BK367" s="378">
        <f t="shared" si="206"/>
        <v>93.828214904918482</v>
      </c>
    </row>
    <row r="368" spans="1:63" s="6" customFormat="1" ht="11.25" customHeight="1" x14ac:dyDescent="0.2">
      <c r="A368" s="56">
        <f t="shared" si="191"/>
        <v>44915</v>
      </c>
      <c r="B368" s="1176">
        <v>17.891999999999999</v>
      </c>
      <c r="C368" s="385"/>
      <c r="D368" s="388">
        <f t="shared" si="166"/>
        <v>18.012664777795447</v>
      </c>
      <c r="E368" s="380">
        <f t="shared" si="199"/>
        <v>18.54962721226871</v>
      </c>
      <c r="F368" s="380">
        <f t="shared" si="198"/>
        <v>18.54962721226871</v>
      </c>
      <c r="G368" s="110">
        <f t="shared" si="200"/>
        <v>0.19350626506466523</v>
      </c>
      <c r="H368" s="6" t="b">
        <f t="shared" si="195"/>
        <v>0</v>
      </c>
      <c r="I368" s="375">
        <f t="shared" si="196"/>
        <v>98.669245392496961</v>
      </c>
      <c r="J368" s="85">
        <f t="shared" si="197"/>
        <v>2021</v>
      </c>
      <c r="K368" s="193">
        <f t="shared" si="168"/>
        <v>44915</v>
      </c>
      <c r="L368" s="430">
        <f t="shared" si="169"/>
        <v>6.6988854388826402E-3</v>
      </c>
      <c r="M368" s="846"/>
      <c r="N368" s="846"/>
      <c r="O368" s="320">
        <f t="shared" si="170"/>
        <v>2.8947343702849054E-2</v>
      </c>
      <c r="P368" s="165">
        <f>(INDEX(Models!$BJ368:$BT368,,T368)*(1-R368)+INDEX(Models!$BJ368:$BT368,,T368+1)*R368-ERP_i)*Q368*Ramure*Pc/MaxiM</f>
        <v>5.3241611140968862E-4</v>
      </c>
      <c r="Q368" s="301">
        <f t="shared" si="171"/>
        <v>0.5</v>
      </c>
      <c r="R368" s="173">
        <f t="shared" si="172"/>
        <v>0.48951496083130652</v>
      </c>
      <c r="S368" s="801">
        <f t="shared" si="192"/>
        <v>0</v>
      </c>
      <c r="T368" s="172">
        <f t="shared" si="173"/>
        <v>6</v>
      </c>
      <c r="U368" s="247">
        <f t="shared" si="174"/>
        <v>0.48951496083130652</v>
      </c>
      <c r="V368" s="378">
        <f t="shared" si="175"/>
        <v>92.412894254140838</v>
      </c>
      <c r="W368" s="397"/>
      <c r="X368" s="153">
        <f t="shared" si="176"/>
        <v>44915</v>
      </c>
      <c r="Y368" s="380">
        <f t="shared" si="177"/>
        <v>17.891999999999999</v>
      </c>
      <c r="Z368" s="380">
        <f t="shared" si="178"/>
        <v>18.012664777795447</v>
      </c>
      <c r="AA368" s="381">
        <f t="shared" si="179"/>
        <v>18.54962721226871</v>
      </c>
      <c r="AB368" s="193">
        <f t="shared" si="180"/>
        <v>44915</v>
      </c>
      <c r="AC368" s="420">
        <f t="shared" si="181"/>
        <v>2.8947343702849054E-2</v>
      </c>
      <c r="AD368" s="165">
        <f>(INDEX(Models!$BJ368:$BT368,,AH368)*(1-AF368)+INDEX(Models!$BJ368:$BT368,,AH368+1)*AF368-ERP_i)*AE368*Ramure*Pc/MaxiM</f>
        <v>5.3241611140968862E-4</v>
      </c>
      <c r="AE368" s="301">
        <f t="shared" si="182"/>
        <v>0.5</v>
      </c>
      <c r="AF368" s="173">
        <f t="shared" si="183"/>
        <v>0.48951496083130652</v>
      </c>
      <c r="AG368" s="801">
        <f t="shared" si="184"/>
        <v>0</v>
      </c>
      <c r="AH368" s="172">
        <f t="shared" si="185"/>
        <v>6</v>
      </c>
      <c r="AI368" s="221">
        <f t="shared" si="186"/>
        <v>0.48951496083130652</v>
      </c>
      <c r="AJ368" s="261" t="b">
        <f t="shared" si="187"/>
        <v>0</v>
      </c>
      <c r="AK368" s="261" t="b">
        <f t="shared" si="188"/>
        <v>0</v>
      </c>
      <c r="AL368" s="261"/>
      <c r="AM368" s="261"/>
      <c r="AN368" s="75"/>
      <c r="AV368" s="56">
        <f t="shared" si="193"/>
        <v>44550</v>
      </c>
      <c r="AW368" s="608">
        <v>96.600999999999999</v>
      </c>
      <c r="AX368" s="385"/>
      <c r="AY368" s="388">
        <f t="shared" si="201"/>
        <v>97.810094861051084</v>
      </c>
      <c r="AZ368" s="380">
        <f t="shared" si="202"/>
        <v>98.669245392496961</v>
      </c>
      <c r="BA368" s="380">
        <f t="shared" si="203"/>
        <v>98.669245392496961</v>
      </c>
      <c r="BB368" s="110">
        <f t="shared" si="204"/>
        <v>1.0292992378856456</v>
      </c>
      <c r="BD368" s="375">
        <f t="shared" si="205"/>
        <v>98.669245392496961</v>
      </c>
      <c r="BE368" s="85">
        <v>2021</v>
      </c>
      <c r="BF368" s="193">
        <f t="shared" si="189"/>
        <v>44915</v>
      </c>
      <c r="BG368" s="430">
        <f t="shared" si="194"/>
        <v>1.2361657176273244E-2</v>
      </c>
      <c r="BH368" s="846"/>
      <c r="BI368" s="846"/>
      <c r="BJ368" s="320">
        <f t="shared" si="190"/>
        <v>8.7073791638747466E-3</v>
      </c>
      <c r="BK368" s="378">
        <f t="shared" si="206"/>
        <v>93.851230472524961</v>
      </c>
    </row>
    <row r="369" spans="1:63" s="18" customFormat="1" ht="11.25" customHeight="1" x14ac:dyDescent="0.2">
      <c r="A369" s="56">
        <f t="shared" si="191"/>
        <v>44916</v>
      </c>
      <c r="B369" s="1176">
        <v>84.542000000000002</v>
      </c>
      <c r="C369" s="385"/>
      <c r="D369" s="388">
        <f t="shared" si="166"/>
        <v>85.113321716328116</v>
      </c>
      <c r="E369" s="380">
        <f t="shared" si="199"/>
        <v>87.65453642738791</v>
      </c>
      <c r="F369" s="380">
        <f t="shared" si="198"/>
        <v>87.695365898496206</v>
      </c>
      <c r="G369" s="110">
        <f t="shared" si="200"/>
        <v>0.91410542591131172</v>
      </c>
      <c r="H369" s="18" t="b">
        <f t="shared" si="195"/>
        <v>1</v>
      </c>
      <c r="I369" s="375">
        <f t="shared" si="196"/>
        <v>87.695365898496206</v>
      </c>
      <c r="J369" s="85">
        <f t="shared" si="197"/>
        <v>2022</v>
      </c>
      <c r="K369" s="193">
        <f t="shared" si="168"/>
        <v>44916</v>
      </c>
      <c r="L369" s="430">
        <f t="shared" si="169"/>
        <v>6.7124828970046568E-3</v>
      </c>
      <c r="M369" s="846"/>
      <c r="N369" s="846"/>
      <c r="O369" s="320">
        <f t="shared" si="170"/>
        <v>2.8991251504306488E-2</v>
      </c>
      <c r="P369" s="165">
        <f>(INDEX(Models!$BJ369:$BT369,,T369)*(1-R369)+INDEX(Models!$BJ369:$BT369,,T369+1)*R369-ERP_i)*Q369*Ramure*Pc/MaxiM</f>
        <v>5.3065239725418902E-4</v>
      </c>
      <c r="Q369" s="301">
        <f t="shared" si="171"/>
        <v>0.5</v>
      </c>
      <c r="R369" s="173">
        <f t="shared" si="172"/>
        <v>0.48952220031589344</v>
      </c>
      <c r="S369" s="801">
        <f t="shared" si="192"/>
        <v>0</v>
      </c>
      <c r="T369" s="172">
        <f t="shared" si="173"/>
        <v>6</v>
      </c>
      <c r="U369" s="247">
        <f t="shared" si="174"/>
        <v>0.48952220031589344</v>
      </c>
      <c r="V369" s="378">
        <f t="shared" si="175"/>
        <v>92.480029046881029</v>
      </c>
      <c r="W369" s="397"/>
      <c r="X369" s="153">
        <f t="shared" si="176"/>
        <v>44916</v>
      </c>
      <c r="Y369" s="380">
        <f t="shared" si="177"/>
        <v>84.542000000000002</v>
      </c>
      <c r="Z369" s="380">
        <f t="shared" si="178"/>
        <v>85.113321716328116</v>
      </c>
      <c r="AA369" s="381">
        <f t="shared" si="179"/>
        <v>87.65453642738791</v>
      </c>
      <c r="AB369" s="193">
        <f t="shared" si="180"/>
        <v>44916</v>
      </c>
      <c r="AC369" s="420">
        <f t="shared" si="181"/>
        <v>2.8991251504306488E-2</v>
      </c>
      <c r="AD369" s="165">
        <f>(INDEX(Models!$BJ369:$BT369,,AH369)*(1-AF369)+INDEX(Models!$BJ369:$BT369,,AH369+1)*AF369-ERP_i)*AE369*Ramure*Pc/MaxiM</f>
        <v>5.3065239725418902E-4</v>
      </c>
      <c r="AE369" s="301">
        <f t="shared" si="182"/>
        <v>0.5</v>
      </c>
      <c r="AF369" s="173">
        <f t="shared" si="183"/>
        <v>0.48952220031589344</v>
      </c>
      <c r="AG369" s="801">
        <f t="shared" si="184"/>
        <v>0</v>
      </c>
      <c r="AH369" s="172">
        <f t="shared" si="185"/>
        <v>6</v>
      </c>
      <c r="AI369" s="221">
        <f t="shared" si="186"/>
        <v>0.48952220031589344</v>
      </c>
      <c r="AJ369" s="261" t="b">
        <f t="shared" si="187"/>
        <v>0</v>
      </c>
      <c r="AK369" s="261" t="b">
        <f t="shared" si="188"/>
        <v>0</v>
      </c>
      <c r="AL369" s="261"/>
      <c r="AM369" s="261"/>
      <c r="AN369" s="261"/>
      <c r="AV369" s="56">
        <f t="shared" si="193"/>
        <v>44551</v>
      </c>
      <c r="AW369" s="608">
        <v>70.882000000000005</v>
      </c>
      <c r="AX369" s="385"/>
      <c r="AY369" s="388">
        <f t="shared" si="201"/>
        <v>71.77017913021507</v>
      </c>
      <c r="AZ369" s="380">
        <f t="shared" si="202"/>
        <v>72.405297451379226</v>
      </c>
      <c r="BA369" s="380">
        <f t="shared" si="203"/>
        <v>72.405297451379226</v>
      </c>
      <c r="BB369" s="110">
        <f t="shared" si="204"/>
        <v>0.75472716929690331</v>
      </c>
      <c r="BD369" s="375">
        <f t="shared" si="205"/>
        <v>72.405297451379226</v>
      </c>
      <c r="BE369" s="85">
        <v>2021</v>
      </c>
      <c r="BF369" s="193">
        <f t="shared" si="189"/>
        <v>44916</v>
      </c>
      <c r="BG369" s="430">
        <f t="shared" si="194"/>
        <v>1.2375322745169837E-2</v>
      </c>
      <c r="BH369" s="846"/>
      <c r="BI369" s="846"/>
      <c r="BJ369" s="320">
        <f t="shared" si="190"/>
        <v>8.7717106830566792E-3</v>
      </c>
      <c r="BK369" s="378">
        <f t="shared" si="206"/>
        <v>93.917382179354959</v>
      </c>
    </row>
    <row r="370" spans="1:63" s="18" customFormat="1" ht="11.25" customHeight="1" x14ac:dyDescent="0.2">
      <c r="A370" s="56">
        <f t="shared" si="191"/>
        <v>44917</v>
      </c>
      <c r="B370" s="1176">
        <v>70.421999999999997</v>
      </c>
      <c r="C370" s="385"/>
      <c r="D370" s="388">
        <f t="shared" si="166"/>
        <v>70.898871493556513</v>
      </c>
      <c r="E370" s="380">
        <f t="shared" si="199"/>
        <v>73.019001769733094</v>
      </c>
      <c r="F370" s="380">
        <f>Wh_sa/(1-Pvg*MEDIAN((-Sdif+Wh/Env_an)/Csdif,0,1))</f>
        <v>73.044449634423486</v>
      </c>
      <c r="G370" s="110">
        <f t="shared" si="200"/>
        <v>0.76044311333441661</v>
      </c>
      <c r="H370" s="18" t="b">
        <f t="shared" si="195"/>
        <v>0</v>
      </c>
      <c r="I370" s="375">
        <f t="shared" si="196"/>
        <v>94.664901862942699</v>
      </c>
      <c r="J370" s="85">
        <f t="shared" si="197"/>
        <v>2021</v>
      </c>
      <c r="K370" s="193">
        <f t="shared" si="168"/>
        <v>44917</v>
      </c>
      <c r="L370" s="430">
        <f t="shared" si="169"/>
        <v>6.7260801689890126E-3</v>
      </c>
      <c r="M370" s="846"/>
      <c r="N370" s="846"/>
      <c r="O370" s="320">
        <f t="shared" si="170"/>
        <v>2.9035322652896031E-2</v>
      </c>
      <c r="P370" s="165">
        <f>(INDEX(Models!$BJ370:$BT370,,T370)*(1-R370)+INDEX(Models!$BJ370:$BT370,,T370+1)*R370-ERP_i)*Q370*Ramure*Pc/MaxiM</f>
        <v>5.2948814356032904E-4</v>
      </c>
      <c r="Q370" s="301">
        <f t="shared" si="171"/>
        <v>0.5</v>
      </c>
      <c r="R370" s="173">
        <f t="shared" si="172"/>
        <v>0.4895291485146907</v>
      </c>
      <c r="S370" s="801">
        <f t="shared" si="192"/>
        <v>0</v>
      </c>
      <c r="T370" s="172">
        <f t="shared" si="173"/>
        <v>6</v>
      </c>
      <c r="U370" s="247">
        <f t="shared" si="174"/>
        <v>0.4895291485146907</v>
      </c>
      <c r="V370" s="378">
        <f t="shared" si="175"/>
        <v>92.589755813912063</v>
      </c>
      <c r="W370" s="397"/>
      <c r="X370" s="153">
        <f t="shared" si="176"/>
        <v>44917</v>
      </c>
      <c r="Y370" s="380">
        <f t="shared" si="177"/>
        <v>70.421999999999997</v>
      </c>
      <c r="Z370" s="380">
        <f t="shared" si="178"/>
        <v>70.898871493556513</v>
      </c>
      <c r="AA370" s="381">
        <f t="shared" si="179"/>
        <v>73.019001769733094</v>
      </c>
      <c r="AB370" s="193">
        <f t="shared" si="180"/>
        <v>44917</v>
      </c>
      <c r="AC370" s="420">
        <f t="shared" si="181"/>
        <v>2.9035322652896031E-2</v>
      </c>
      <c r="AD370" s="165">
        <f>(INDEX(Models!$BJ370:$BT370,,AH370)*(1-AF370)+INDEX(Models!$BJ370:$BT370,,AH370+1)*AF370-ERP_i)*AE370*Ramure*Pc/MaxiM</f>
        <v>5.2948814356032904E-4</v>
      </c>
      <c r="AE370" s="301">
        <f t="shared" si="182"/>
        <v>0.5</v>
      </c>
      <c r="AF370" s="173">
        <f t="shared" si="183"/>
        <v>0.4895291485146907</v>
      </c>
      <c r="AG370" s="801">
        <f t="shared" si="184"/>
        <v>0</v>
      </c>
      <c r="AH370" s="172">
        <f t="shared" si="185"/>
        <v>6</v>
      </c>
      <c r="AI370" s="221">
        <f t="shared" si="186"/>
        <v>0.4895291485146907</v>
      </c>
      <c r="AJ370" s="261" t="b">
        <f t="shared" si="187"/>
        <v>0</v>
      </c>
      <c r="AK370" s="261" t="b">
        <f t="shared" si="188"/>
        <v>0</v>
      </c>
      <c r="AL370" s="261"/>
      <c r="AM370" s="261"/>
      <c r="AN370" s="261"/>
      <c r="AV370" s="56">
        <f t="shared" si="193"/>
        <v>44552</v>
      </c>
      <c r="AW370" s="608">
        <v>92.665999999999997</v>
      </c>
      <c r="AX370" s="385"/>
      <c r="AY370" s="388">
        <f t="shared" si="201"/>
        <v>93.828439421973414</v>
      </c>
      <c r="AZ370" s="380">
        <f t="shared" si="202"/>
        <v>94.664901862942699</v>
      </c>
      <c r="BA370" s="380">
        <f t="shared" si="203"/>
        <v>94.664901862942699</v>
      </c>
      <c r="BB370" s="110">
        <f t="shared" si="204"/>
        <v>0.98552693676848357</v>
      </c>
      <c r="BD370" s="375">
        <f t="shared" si="205"/>
        <v>94.664901862942699</v>
      </c>
      <c r="BE370" s="85">
        <v>2021</v>
      </c>
      <c r="BF370" s="193">
        <f t="shared" si="189"/>
        <v>44917</v>
      </c>
      <c r="BG370" s="430">
        <f t="shared" ref="BG370:BG379" si="207">IF(AV370&lt;T0,0,1-EXP((T0-AV370)*PertePVj)+Pspv_21)</f>
        <v>1.2388988126996292E-2</v>
      </c>
      <c r="BH370" s="846"/>
      <c r="BI370" s="846"/>
      <c r="BJ370" s="320">
        <f t="shared" si="190"/>
        <v>8.8360355792722889E-3</v>
      </c>
      <c r="BK370" s="378">
        <f t="shared" si="206"/>
        <v>94.026856641635121</v>
      </c>
    </row>
    <row r="371" spans="1:63" s="6" customFormat="1" ht="11.25" customHeight="1" x14ac:dyDescent="0.2">
      <c r="A371" s="56">
        <f t="shared" si="191"/>
        <v>44918</v>
      </c>
      <c r="B371" s="1176">
        <v>72.233000000000004</v>
      </c>
      <c r="C371" s="385"/>
      <c r="D371" s="388">
        <f t="shared" si="166"/>
        <v>72.723130428046531</v>
      </c>
      <c r="E371" s="380">
        <f t="shared" si="199"/>
        <v>74.901223672242082</v>
      </c>
      <c r="F371" s="380">
        <f t="shared" si="198"/>
        <v>74.928334057656301</v>
      </c>
      <c r="G371" s="110">
        <f t="shared" si="200"/>
        <v>0.77872723519690046</v>
      </c>
      <c r="H371" s="6" t="b">
        <f t="shared" si="195"/>
        <v>1</v>
      </c>
      <c r="I371" s="375">
        <f t="shared" si="196"/>
        <v>74.928334057656301</v>
      </c>
      <c r="J371" s="85">
        <f t="shared" si="197"/>
        <v>2022</v>
      </c>
      <c r="K371" s="193">
        <f t="shared" si="168"/>
        <v>44918</v>
      </c>
      <c r="L371" s="430">
        <f t="shared" si="169"/>
        <v>6.739677254838039E-3</v>
      </c>
      <c r="M371" s="846"/>
      <c r="N371" s="846"/>
      <c r="O371" s="320">
        <f t="shared" si="170"/>
        <v>2.9079541526939635E-2</v>
      </c>
      <c r="P371" s="165">
        <f>(INDEX(Models!$BJ371:$BT371,,T371)*(1-R371)+INDEX(Models!$BJ371:$BT371,,T371+1)*R371-ERP_i)*Q371*Ramure*Pc/MaxiM</f>
        <v>5.28909577034226E-4</v>
      </c>
      <c r="Q371" s="301">
        <f t="shared" si="171"/>
        <v>0.5</v>
      </c>
      <c r="R371" s="173">
        <f t="shared" si="172"/>
        <v>0.4895291485146907</v>
      </c>
      <c r="S371" s="801">
        <f t="shared" si="192"/>
        <v>0</v>
      </c>
      <c r="T371" s="172">
        <f t="shared" si="173"/>
        <v>6</v>
      </c>
      <c r="U371" s="247">
        <f t="shared" si="174"/>
        <v>0.4895291485146907</v>
      </c>
      <c r="V371" s="378">
        <f t="shared" si="175"/>
        <v>92.742263026130743</v>
      </c>
      <c r="W371" s="397"/>
      <c r="X371" s="153">
        <f t="shared" si="176"/>
        <v>44918</v>
      </c>
      <c r="Y371" s="380">
        <f t="shared" si="177"/>
        <v>72.233000000000004</v>
      </c>
      <c r="Z371" s="380">
        <f t="shared" si="178"/>
        <v>72.723130428046531</v>
      </c>
      <c r="AA371" s="381">
        <f t="shared" si="179"/>
        <v>74.901223672242082</v>
      </c>
      <c r="AB371" s="193">
        <f t="shared" si="180"/>
        <v>44918</v>
      </c>
      <c r="AC371" s="420">
        <f t="shared" si="181"/>
        <v>2.9079541526939635E-2</v>
      </c>
      <c r="AD371" s="165">
        <f>(INDEX(Models!$BJ371:$BT371,,AH371)*(1-AF371)+INDEX(Models!$BJ371:$BT371,,AH371+1)*AF371-ERP_i)*AE371*Ramure*Pc/MaxiM</f>
        <v>5.28909577034226E-4</v>
      </c>
      <c r="AE371" s="301">
        <f t="shared" si="182"/>
        <v>0.5</v>
      </c>
      <c r="AF371" s="173">
        <f t="shared" si="183"/>
        <v>0.4895291485146907</v>
      </c>
      <c r="AG371" s="801">
        <f t="shared" si="184"/>
        <v>0</v>
      </c>
      <c r="AH371" s="172">
        <f t="shared" si="185"/>
        <v>6</v>
      </c>
      <c r="AI371" s="221">
        <f t="shared" si="186"/>
        <v>0.4895291485146907</v>
      </c>
      <c r="AJ371" s="261" t="b">
        <f t="shared" si="187"/>
        <v>0</v>
      </c>
      <c r="AK371" s="261" t="b">
        <f t="shared" si="188"/>
        <v>0</v>
      </c>
      <c r="AL371" s="261"/>
      <c r="AM371" s="261"/>
      <c r="AN371" s="75"/>
      <c r="AV371" s="56">
        <f t="shared" si="193"/>
        <v>44553</v>
      </c>
      <c r="AW371" s="608">
        <v>32.118000000000002</v>
      </c>
      <c r="AX371" s="385"/>
      <c r="AY371" s="388">
        <f t="shared" si="201"/>
        <v>32.52135104253567</v>
      </c>
      <c r="AZ371" s="380">
        <f t="shared" si="202"/>
        <v>32.813401811714861</v>
      </c>
      <c r="BA371" s="380">
        <f t="shared" si="203"/>
        <v>32.813401811714861</v>
      </c>
      <c r="BB371" s="110">
        <f t="shared" si="204"/>
        <v>0.34102839722259465</v>
      </c>
      <c r="BD371" s="375">
        <f t="shared" si="205"/>
        <v>32.813401811714861</v>
      </c>
      <c r="BE371" s="85">
        <v>2021</v>
      </c>
      <c r="BF371" s="193">
        <f t="shared" si="189"/>
        <v>44918</v>
      </c>
      <c r="BG371" s="430">
        <f t="shared" si="207"/>
        <v>1.2402653321755053E-2</v>
      </c>
      <c r="BH371" s="846"/>
      <c r="BI371" s="846"/>
      <c r="BJ371" s="320">
        <f t="shared" si="190"/>
        <v>8.9003502549048329E-3</v>
      </c>
      <c r="BK371" s="378">
        <f t="shared" si="206"/>
        <v>94.17984033463371</v>
      </c>
    </row>
    <row r="372" spans="1:63" s="6" customFormat="1" ht="11.25" customHeight="1" x14ac:dyDescent="0.2">
      <c r="A372" s="56">
        <f t="shared" si="191"/>
        <v>44919</v>
      </c>
      <c r="B372" s="1176">
        <v>87.688000000000002</v>
      </c>
      <c r="C372" s="385"/>
      <c r="D372" s="388">
        <f t="shared" si="166"/>
        <v>88.284207456471108</v>
      </c>
      <c r="E372" s="380">
        <f t="shared" si="199"/>
        <v>90.932516331769492</v>
      </c>
      <c r="F372" s="380">
        <f t="shared" si="198"/>
        <v>90.976752342658557</v>
      </c>
      <c r="G372" s="110">
        <f t="shared" si="200"/>
        <v>0.9434730999446006</v>
      </c>
      <c r="H372" s="6" t="b">
        <f t="shared" si="195"/>
        <v>1</v>
      </c>
      <c r="I372" s="375">
        <f t="shared" si="196"/>
        <v>90.976752342658557</v>
      </c>
      <c r="J372" s="85">
        <f t="shared" si="197"/>
        <v>2022</v>
      </c>
      <c r="K372" s="193">
        <f t="shared" si="168"/>
        <v>44919</v>
      </c>
      <c r="L372" s="430">
        <f t="shared" si="169"/>
        <v>6.7532741545544006E-3</v>
      </c>
      <c r="M372" s="846"/>
      <c r="N372" s="846"/>
      <c r="O372" s="320">
        <f t="shared" si="170"/>
        <v>2.912389299374446E-2</v>
      </c>
      <c r="P372" s="165">
        <f>(INDEX(Models!$BJ372:$BT372,,T372)*(1-R372)+INDEX(Models!$BJ372:$BT372,,T372+1)*R372-ERP_i)*Q372*Ramure*Pc/MaxiM</f>
        <v>5.2891511620223536E-4</v>
      </c>
      <c r="Q372" s="301">
        <f t="shared" si="171"/>
        <v>0.5</v>
      </c>
      <c r="R372" s="173">
        <f t="shared" si="172"/>
        <v>0.4895291485146907</v>
      </c>
      <c r="S372" s="801">
        <f t="shared" si="192"/>
        <v>0</v>
      </c>
      <c r="T372" s="172">
        <f t="shared" si="173"/>
        <v>6</v>
      </c>
      <c r="U372" s="247">
        <f t="shared" si="174"/>
        <v>0.4895291485146907</v>
      </c>
      <c r="V372" s="378">
        <f t="shared" si="175"/>
        <v>92.937737793167969</v>
      </c>
      <c r="W372" s="397"/>
      <c r="X372" s="153">
        <f t="shared" si="176"/>
        <v>44919</v>
      </c>
      <c r="Y372" s="380">
        <f t="shared" si="177"/>
        <v>87.688000000000002</v>
      </c>
      <c r="Z372" s="380">
        <f t="shared" si="178"/>
        <v>88.284207456471108</v>
      </c>
      <c r="AA372" s="381">
        <f t="shared" si="179"/>
        <v>90.932516331769492</v>
      </c>
      <c r="AB372" s="193">
        <f t="shared" si="180"/>
        <v>44919</v>
      </c>
      <c r="AC372" s="420">
        <f t="shared" si="181"/>
        <v>2.912389299374446E-2</v>
      </c>
      <c r="AD372" s="165">
        <f>(INDEX(Models!$BJ372:$BT372,,AH372)*(1-AF372)+INDEX(Models!$BJ372:$BT372,,AH372+1)*AF372-ERP_i)*AE372*Ramure*Pc/MaxiM</f>
        <v>5.2891511620223536E-4</v>
      </c>
      <c r="AE372" s="301">
        <f t="shared" si="182"/>
        <v>0.5</v>
      </c>
      <c r="AF372" s="173">
        <f t="shared" si="183"/>
        <v>0.4895291485146907</v>
      </c>
      <c r="AG372" s="801">
        <f t="shared" si="184"/>
        <v>0</v>
      </c>
      <c r="AH372" s="172">
        <f t="shared" si="185"/>
        <v>6</v>
      </c>
      <c r="AI372" s="221">
        <f t="shared" si="186"/>
        <v>0.4895291485146907</v>
      </c>
      <c r="AJ372" s="261" t="b">
        <f t="shared" si="187"/>
        <v>0</v>
      </c>
      <c r="AK372" s="261" t="b">
        <f t="shared" si="188"/>
        <v>0</v>
      </c>
      <c r="AL372" s="261"/>
      <c r="AM372" s="261"/>
      <c r="AN372" s="75"/>
      <c r="AV372" s="56">
        <f t="shared" si="193"/>
        <v>44554</v>
      </c>
      <c r="AW372" s="608">
        <v>57.265999999999998</v>
      </c>
      <c r="AX372" s="385"/>
      <c r="AY372" s="388">
        <f t="shared" si="201"/>
        <v>57.985972290602724</v>
      </c>
      <c r="AZ372" s="380">
        <f t="shared" si="202"/>
        <v>58.510498497917816</v>
      </c>
      <c r="BA372" s="380">
        <f t="shared" si="203"/>
        <v>58.510498497917816</v>
      </c>
      <c r="BB372" s="110">
        <f t="shared" si="204"/>
        <v>0.60678228201876538</v>
      </c>
      <c r="BD372" s="375">
        <f t="shared" si="205"/>
        <v>58.510498497917816</v>
      </c>
      <c r="BE372" s="85">
        <v>2021</v>
      </c>
      <c r="BF372" s="193">
        <f t="shared" si="189"/>
        <v>44919</v>
      </c>
      <c r="BG372" s="430">
        <f t="shared" si="207"/>
        <v>1.2416318329448894E-2</v>
      </c>
      <c r="BH372" s="846"/>
      <c r="BI372" s="846"/>
      <c r="BJ372" s="320">
        <f t="shared" si="190"/>
        <v>8.9646511443370932E-3</v>
      </c>
      <c r="BK372" s="378">
        <f t="shared" si="206"/>
        <v>94.376519712269683</v>
      </c>
    </row>
    <row r="373" spans="1:63" s="6" customFormat="1" ht="11.25" customHeight="1" x14ac:dyDescent="0.2">
      <c r="A373" s="56">
        <f t="shared" si="191"/>
        <v>44920</v>
      </c>
      <c r="B373" s="1176">
        <v>49.402999999999999</v>
      </c>
      <c r="C373" s="385"/>
      <c r="D373" s="388">
        <f t="shared" si="166"/>
        <v>49.739581323853891</v>
      </c>
      <c r="E373" s="380">
        <f t="shared" si="199"/>
        <v>51.233993003303262</v>
      </c>
      <c r="F373" s="380">
        <f t="shared" si="198"/>
        <v>51.242914990757299</v>
      </c>
      <c r="G373" s="110">
        <f t="shared" si="200"/>
        <v>0.52999952183388732</v>
      </c>
      <c r="H373" s="6" t="b">
        <f t="shared" si="195"/>
        <v>1</v>
      </c>
      <c r="I373" s="375">
        <f t="shared" si="196"/>
        <v>51.242914990757299</v>
      </c>
      <c r="J373" s="85">
        <f t="shared" si="197"/>
        <v>2022</v>
      </c>
      <c r="K373" s="193">
        <f t="shared" si="168"/>
        <v>44920</v>
      </c>
      <c r="L373" s="430">
        <f t="shared" si="169"/>
        <v>6.7668708681405398E-3</v>
      </c>
      <c r="M373" s="846"/>
      <c r="N373" s="846"/>
      <c r="O373" s="320">
        <f t="shared" si="170"/>
        <v>2.9168362484513356E-2</v>
      </c>
      <c r="P373" s="165">
        <f>(INDEX(Models!$BJ373:$BT373,,T373)*(1-R373)+INDEX(Models!$BJ373:$BT373,,T373+1)*R373-ERP_i)*Q373*Ramure*Pc/MaxiM</f>
        <v>5.2947226095091996E-4</v>
      </c>
      <c r="Q373" s="301">
        <f t="shared" si="171"/>
        <v>0.5</v>
      </c>
      <c r="R373" s="173">
        <f t="shared" si="172"/>
        <v>0.4895291485146907</v>
      </c>
      <c r="S373" s="801">
        <f t="shared" si="192"/>
        <v>0</v>
      </c>
      <c r="T373" s="172">
        <f t="shared" si="173"/>
        <v>6</v>
      </c>
      <c r="U373" s="247">
        <f t="shared" si="174"/>
        <v>0.4895291485146907</v>
      </c>
      <c r="V373" s="378">
        <f t="shared" si="175"/>
        <v>93.180161541751772</v>
      </c>
      <c r="W373" s="397"/>
      <c r="X373" s="153">
        <f t="shared" si="176"/>
        <v>44920</v>
      </c>
      <c r="Y373" s="380">
        <f t="shared" si="177"/>
        <v>49.402999999999999</v>
      </c>
      <c r="Z373" s="380">
        <f t="shared" si="178"/>
        <v>49.739581323853891</v>
      </c>
      <c r="AA373" s="381">
        <f t="shared" si="179"/>
        <v>51.233993003303262</v>
      </c>
      <c r="AB373" s="193">
        <f t="shared" si="180"/>
        <v>44920</v>
      </c>
      <c r="AC373" s="420">
        <f t="shared" si="181"/>
        <v>2.9168362484513356E-2</v>
      </c>
      <c r="AD373" s="165">
        <f>(INDEX(Models!$BJ373:$BT373,,AH373)*(1-AF373)+INDEX(Models!$BJ373:$BT373,,AH373+1)*AF373-ERP_i)*AE373*Ramure*Pc/MaxiM</f>
        <v>5.2947226095091996E-4</v>
      </c>
      <c r="AE373" s="301">
        <f t="shared" si="182"/>
        <v>0.5</v>
      </c>
      <c r="AF373" s="173">
        <f t="shared" si="183"/>
        <v>0.4895291485146907</v>
      </c>
      <c r="AG373" s="801">
        <f t="shared" si="184"/>
        <v>0</v>
      </c>
      <c r="AH373" s="172">
        <f t="shared" si="185"/>
        <v>6</v>
      </c>
      <c r="AI373" s="221">
        <f t="shared" si="186"/>
        <v>0.4895291485146907</v>
      </c>
      <c r="AJ373" s="261" t="b">
        <f t="shared" si="187"/>
        <v>0</v>
      </c>
      <c r="AK373" s="261" t="b">
        <f t="shared" si="188"/>
        <v>0</v>
      </c>
      <c r="AL373" s="261"/>
      <c r="AM373" s="261"/>
      <c r="AN373" s="75"/>
      <c r="AV373" s="56">
        <f t="shared" si="193"/>
        <v>44555</v>
      </c>
      <c r="AW373" s="608">
        <v>42.027999999999999</v>
      </c>
      <c r="AX373" s="385"/>
      <c r="AY373" s="388">
        <f t="shared" si="201"/>
        <v>42.556982576342186</v>
      </c>
      <c r="AZ373" s="380">
        <f t="shared" si="202"/>
        <v>42.944727720468755</v>
      </c>
      <c r="BA373" s="380">
        <f t="shared" si="203"/>
        <v>42.944727720468755</v>
      </c>
      <c r="BB373" s="110">
        <f t="shared" si="204"/>
        <v>0.44417233409224038</v>
      </c>
      <c r="BD373" s="375">
        <f t="shared" si="205"/>
        <v>42.944727720468755</v>
      </c>
      <c r="BE373" s="85">
        <v>2021</v>
      </c>
      <c r="BF373" s="193">
        <f t="shared" si="189"/>
        <v>44920</v>
      </c>
      <c r="BG373" s="430">
        <f t="shared" si="207"/>
        <v>1.2429983150080148E-2</v>
      </c>
      <c r="BH373" s="846"/>
      <c r="BI373" s="846"/>
      <c r="BJ373" s="320">
        <f t="shared" si="190"/>
        <v>9.0289347425938325E-3</v>
      </c>
      <c r="BK373" s="378">
        <f t="shared" si="206"/>
        <v>94.620931503744046</v>
      </c>
    </row>
    <row r="374" spans="1:63" s="6" customFormat="1" ht="11.25" customHeight="1" x14ac:dyDescent="0.2">
      <c r="A374" s="56">
        <f t="shared" si="191"/>
        <v>44921</v>
      </c>
      <c r="B374" s="1176">
        <v>84.411000000000001</v>
      </c>
      <c r="C374" s="385"/>
      <c r="D374" s="388">
        <f t="shared" si="166"/>
        <v>84.987253300042468</v>
      </c>
      <c r="E374" s="380">
        <f t="shared" si="199"/>
        <v>87.544690753573846</v>
      </c>
      <c r="F374" s="380">
        <f t="shared" si="198"/>
        <v>87.584724087627364</v>
      </c>
      <c r="G374" s="110">
        <f t="shared" si="200"/>
        <v>0.9029939174643612</v>
      </c>
      <c r="H374" s="6" t="b">
        <f t="shared" si="195"/>
        <v>1</v>
      </c>
      <c r="I374" s="375">
        <f t="shared" si="196"/>
        <v>87.584724087627364</v>
      </c>
      <c r="J374" s="85">
        <f t="shared" si="197"/>
        <v>2022</v>
      </c>
      <c r="K374" s="193">
        <f t="shared" si="168"/>
        <v>44921</v>
      </c>
      <c r="L374" s="430">
        <f t="shared" si="169"/>
        <v>6.7804673955992323E-3</v>
      </c>
      <c r="M374" s="846"/>
      <c r="N374" s="846"/>
      <c r="O374" s="320">
        <f t="shared" si="170"/>
        <v>2.9212936061767721E-2</v>
      </c>
      <c r="P374" s="165">
        <f>(INDEX(Models!$BJ374:$BT374,,T374)*(1-R374)+INDEX(Models!$BJ374:$BT374,,T374+1)*R374-ERP_i)*Q374*Ramure*Pc/MaxiM</f>
        <v>5.3055534652622183E-4</v>
      </c>
      <c r="Q374" s="301">
        <f t="shared" si="171"/>
        <v>0.5</v>
      </c>
      <c r="R374" s="173">
        <f t="shared" si="172"/>
        <v>0.4895291485146907</v>
      </c>
      <c r="S374" s="801">
        <f t="shared" si="192"/>
        <v>0</v>
      </c>
      <c r="T374" s="172">
        <f t="shared" si="173"/>
        <v>6</v>
      </c>
      <c r="U374" s="247">
        <f t="shared" si="174"/>
        <v>0.4895291485146907</v>
      </c>
      <c r="V374" s="378">
        <f t="shared" si="175"/>
        <v>93.472163553274044</v>
      </c>
      <c r="W374" s="397"/>
      <c r="X374" s="153">
        <f t="shared" si="176"/>
        <v>44921</v>
      </c>
      <c r="Y374" s="380">
        <f t="shared" si="177"/>
        <v>84.411000000000001</v>
      </c>
      <c r="Z374" s="380">
        <f t="shared" si="178"/>
        <v>84.987253300042468</v>
      </c>
      <c r="AA374" s="381">
        <f t="shared" si="179"/>
        <v>87.544690753573846</v>
      </c>
      <c r="AB374" s="193">
        <f t="shared" si="180"/>
        <v>44921</v>
      </c>
      <c r="AC374" s="420">
        <f t="shared" si="181"/>
        <v>2.9212936061767721E-2</v>
      </c>
      <c r="AD374" s="165">
        <f>(INDEX(Models!$BJ374:$BT374,,AH374)*(1-AF374)+INDEX(Models!$BJ374:$BT374,,AH374+1)*AF374-ERP_i)*AE374*Ramure*Pc/MaxiM</f>
        <v>5.3055534652622183E-4</v>
      </c>
      <c r="AE374" s="301">
        <f t="shared" si="182"/>
        <v>0.5</v>
      </c>
      <c r="AF374" s="173">
        <f t="shared" si="183"/>
        <v>0.4895291485146907</v>
      </c>
      <c r="AG374" s="801">
        <f t="shared" si="184"/>
        <v>0</v>
      </c>
      <c r="AH374" s="172">
        <f t="shared" si="185"/>
        <v>6</v>
      </c>
      <c r="AI374" s="221">
        <f t="shared" si="186"/>
        <v>0.4895291485146907</v>
      </c>
      <c r="AJ374" s="261" t="b">
        <f t="shared" si="187"/>
        <v>0</v>
      </c>
      <c r="AK374" s="261" t="b">
        <f t="shared" si="188"/>
        <v>0</v>
      </c>
      <c r="AL374" s="261"/>
      <c r="AM374" s="261"/>
      <c r="AN374" s="75"/>
      <c r="AV374" s="56">
        <f t="shared" si="193"/>
        <v>44556</v>
      </c>
      <c r="AW374" s="608">
        <v>47.93</v>
      </c>
      <c r="AX374" s="385"/>
      <c r="AY374" s="388">
        <f t="shared" si="201"/>
        <v>48.533939245524451</v>
      </c>
      <c r="AZ374" s="380">
        <f t="shared" si="202"/>
        <v>48.979317862748772</v>
      </c>
      <c r="BA374" s="380">
        <f t="shared" si="203"/>
        <v>48.979317862748772</v>
      </c>
      <c r="BB374" s="110">
        <f t="shared" si="204"/>
        <v>0.50497420152133055</v>
      </c>
      <c r="BD374" s="375">
        <f t="shared" si="205"/>
        <v>48.979317862748772</v>
      </c>
      <c r="BE374" s="85">
        <v>2021</v>
      </c>
      <c r="BF374" s="193">
        <f t="shared" si="189"/>
        <v>44921</v>
      </c>
      <c r="BG374" s="430">
        <f t="shared" si="207"/>
        <v>1.244364778365159E-2</v>
      </c>
      <c r="BH374" s="846"/>
      <c r="BI374" s="846"/>
      <c r="BJ374" s="320">
        <f t="shared" si="190"/>
        <v>9.0931976323633274E-3</v>
      </c>
      <c r="BK374" s="378">
        <f t="shared" si="206"/>
        <v>94.915739963748209</v>
      </c>
    </row>
    <row r="375" spans="1:63" s="6" customFormat="1" ht="11.25" customHeight="1" x14ac:dyDescent="0.2">
      <c r="A375" s="56">
        <f t="shared" si="191"/>
        <v>44922</v>
      </c>
      <c r="B375" s="1176">
        <v>26.163</v>
      </c>
      <c r="C375" s="385"/>
      <c r="D375" s="388">
        <f t="shared" si="166"/>
        <v>26.341969016454097</v>
      </c>
      <c r="E375" s="380">
        <f t="shared" si="199"/>
        <v>27.135900347455674</v>
      </c>
      <c r="F375" s="380">
        <f t="shared" si="198"/>
        <v>27.135900347455674</v>
      </c>
      <c r="G375" s="110">
        <f t="shared" si="200"/>
        <v>0.27873943493759568</v>
      </c>
      <c r="H375" s="6" t="b">
        <f t="shared" si="195"/>
        <v>0</v>
      </c>
      <c r="I375" s="375">
        <f t="shared" si="196"/>
        <v>41.855930622746683</v>
      </c>
      <c r="J375" s="85">
        <f t="shared" si="197"/>
        <v>2021</v>
      </c>
      <c r="K375" s="193">
        <f t="shared" si="168"/>
        <v>44922</v>
      </c>
      <c r="L375" s="430">
        <f t="shared" si="169"/>
        <v>6.7940637369328094E-3</v>
      </c>
      <c r="M375" s="846"/>
      <c r="N375" s="846"/>
      <c r="O375" s="320">
        <f t="shared" si="170"/>
        <v>2.9257600478917532E-2</v>
      </c>
      <c r="P375" s="165">
        <f>(INDEX(Models!$BJ375:$BT375,,T375)*(1-R375)+INDEX(Models!$BJ375:$BT375,,T375+1)*R375-ERP_i)*Q375*Ramure*Pc/MaxiM</f>
        <v>5.3298488557795138E-4</v>
      </c>
      <c r="Q375" s="301">
        <f t="shared" si="171"/>
        <v>0.5</v>
      </c>
      <c r="R375" s="173">
        <f t="shared" si="172"/>
        <v>0.4895291485146907</v>
      </c>
      <c r="S375" s="801">
        <f t="shared" si="192"/>
        <v>0</v>
      </c>
      <c r="T375" s="172">
        <f t="shared" si="173"/>
        <v>6</v>
      </c>
      <c r="U375" s="247">
        <f t="shared" si="174"/>
        <v>0.4895291485146907</v>
      </c>
      <c r="V375" s="378">
        <f t="shared" si="175"/>
        <v>93.81182652642201</v>
      </c>
      <c r="W375" s="397"/>
      <c r="X375" s="153">
        <f t="shared" si="176"/>
        <v>44922</v>
      </c>
      <c r="Y375" s="380">
        <f t="shared" si="177"/>
        <v>26.163</v>
      </c>
      <c r="Z375" s="380">
        <f t="shared" si="178"/>
        <v>26.341969016454097</v>
      </c>
      <c r="AA375" s="381">
        <f t="shared" si="179"/>
        <v>27.135900347455674</v>
      </c>
      <c r="AB375" s="193">
        <f t="shared" si="180"/>
        <v>44922</v>
      </c>
      <c r="AC375" s="420">
        <f t="shared" si="181"/>
        <v>2.9257600478917532E-2</v>
      </c>
      <c r="AD375" s="165">
        <f>(INDEX(Models!$BJ375:$BT375,,AH375)*(1-AF375)+INDEX(Models!$BJ375:$BT375,,AH375+1)*AF375-ERP_i)*AE375*Ramure*Pc/MaxiM</f>
        <v>5.3298488557795138E-4</v>
      </c>
      <c r="AE375" s="301">
        <f t="shared" si="182"/>
        <v>0.5</v>
      </c>
      <c r="AF375" s="173">
        <f t="shared" si="183"/>
        <v>0.4895291485146907</v>
      </c>
      <c r="AG375" s="801">
        <f t="shared" si="184"/>
        <v>0</v>
      </c>
      <c r="AH375" s="172">
        <f t="shared" si="185"/>
        <v>6</v>
      </c>
      <c r="AI375" s="221">
        <f t="shared" si="186"/>
        <v>0.4895291485146907</v>
      </c>
      <c r="AJ375" s="261" t="b">
        <f t="shared" si="187"/>
        <v>0</v>
      </c>
      <c r="AK375" s="261" t="b">
        <f t="shared" si="188"/>
        <v>0</v>
      </c>
      <c r="AL375" s="261"/>
      <c r="AM375" s="261"/>
      <c r="AN375" s="75"/>
      <c r="AV375" s="56">
        <f t="shared" si="193"/>
        <v>44557</v>
      </c>
      <c r="AW375" s="608">
        <v>40.956000000000003</v>
      </c>
      <c r="AX375" s="385"/>
      <c r="AY375" s="388">
        <f t="shared" si="201"/>
        <v>41.472637595536099</v>
      </c>
      <c r="AZ375" s="380">
        <f t="shared" si="202"/>
        <v>41.855930622746683</v>
      </c>
      <c r="BA375" s="380">
        <f t="shared" si="203"/>
        <v>41.855930622746683</v>
      </c>
      <c r="BB375" s="110">
        <f t="shared" si="204"/>
        <v>0.42994329656231711</v>
      </c>
      <c r="BD375" s="375">
        <f t="shared" si="205"/>
        <v>41.855930622746683</v>
      </c>
      <c r="BE375" s="85">
        <v>2021</v>
      </c>
      <c r="BF375" s="193">
        <f t="shared" si="189"/>
        <v>44922</v>
      </c>
      <c r="BG375" s="430">
        <f t="shared" si="207"/>
        <v>1.2457312230165551E-2</v>
      </c>
      <c r="BH375" s="846"/>
      <c r="BI375" s="846"/>
      <c r="BJ375" s="320">
        <f t="shared" si="190"/>
        <v>9.1574365091832768E-3</v>
      </c>
      <c r="BK375" s="378">
        <f t="shared" si="206"/>
        <v>95.259073295177501</v>
      </c>
    </row>
    <row r="376" spans="1:63" s="6" customFormat="1" ht="11.25" customHeight="1" x14ac:dyDescent="0.2">
      <c r="A376" s="56">
        <f t="shared" si="191"/>
        <v>44923</v>
      </c>
      <c r="B376" s="1176">
        <v>68.661000000000001</v>
      </c>
      <c r="C376" s="385"/>
      <c r="D376" s="388">
        <f t="shared" si="166"/>
        <v>69.13162458798638</v>
      </c>
      <c r="E376" s="380">
        <f t="shared" si="199"/>
        <v>71.218493323804239</v>
      </c>
      <c r="F376" s="380">
        <f t="shared" si="198"/>
        <v>71.241906609353137</v>
      </c>
      <c r="G376" s="110">
        <f t="shared" si="200"/>
        <v>0.72875442259457035</v>
      </c>
      <c r="H376" s="6" t="b">
        <f t="shared" si="195"/>
        <v>1</v>
      </c>
      <c r="I376" s="375">
        <f t="shared" si="196"/>
        <v>71.241906609353137</v>
      </c>
      <c r="J376" s="85">
        <f t="shared" si="197"/>
        <v>2022</v>
      </c>
      <c r="K376" s="193">
        <f t="shared" si="168"/>
        <v>44923</v>
      </c>
      <c r="L376" s="430">
        <f t="shared" si="169"/>
        <v>6.8076598921438247E-3</v>
      </c>
      <c r="M376" s="846"/>
      <c r="N376" s="846"/>
      <c r="O376" s="320">
        <f t="shared" si="170"/>
        <v>2.9302343231689055E-2</v>
      </c>
      <c r="P376" s="165">
        <f>(INDEX(Models!$BJ376:$BT376,,T376)*(1-R376)+INDEX(Models!$BJ376:$BT376,,T376+1)*R376-ERP_i)*Q376*Ramure*Pc/MaxiM</f>
        <v>5.3636800640935716E-4</v>
      </c>
      <c r="Q376" s="301">
        <f t="shared" si="171"/>
        <v>0.5</v>
      </c>
      <c r="R376" s="173">
        <f t="shared" si="172"/>
        <v>0.4895291485146907</v>
      </c>
      <c r="S376" s="801">
        <f t="shared" si="192"/>
        <v>0</v>
      </c>
      <c r="T376" s="172">
        <f t="shared" si="173"/>
        <v>6</v>
      </c>
      <c r="U376" s="247">
        <f t="shared" si="174"/>
        <v>0.4895291485146907</v>
      </c>
      <c r="V376" s="378">
        <f t="shared" si="175"/>
        <v>94.197346462705653</v>
      </c>
      <c r="W376" s="397"/>
      <c r="X376" s="153">
        <f t="shared" si="176"/>
        <v>44923</v>
      </c>
      <c r="Y376" s="380">
        <f t="shared" si="177"/>
        <v>68.661000000000001</v>
      </c>
      <c r="Z376" s="380">
        <f t="shared" si="178"/>
        <v>69.13162458798638</v>
      </c>
      <c r="AA376" s="381">
        <f t="shared" si="179"/>
        <v>71.218493323804239</v>
      </c>
      <c r="AB376" s="193">
        <f t="shared" si="180"/>
        <v>44923</v>
      </c>
      <c r="AC376" s="420">
        <f t="shared" si="181"/>
        <v>2.9302343231689055E-2</v>
      </c>
      <c r="AD376" s="165">
        <f>(INDEX(Models!$BJ376:$BT376,,AH376)*(1-AF376)+INDEX(Models!$BJ376:$BT376,,AH376+1)*AF376-ERP_i)*AE376*Ramure*Pc/MaxiM</f>
        <v>5.3636800640935716E-4</v>
      </c>
      <c r="AE376" s="301">
        <f t="shared" si="182"/>
        <v>0.5</v>
      </c>
      <c r="AF376" s="173">
        <f t="shared" si="183"/>
        <v>0.4895291485146907</v>
      </c>
      <c r="AG376" s="801">
        <f t="shared" si="184"/>
        <v>0</v>
      </c>
      <c r="AH376" s="172">
        <f t="shared" si="185"/>
        <v>6</v>
      </c>
      <c r="AI376" s="221">
        <f t="shared" si="186"/>
        <v>0.4895291485146907</v>
      </c>
      <c r="AJ376" s="261" t="b">
        <f t="shared" si="187"/>
        <v>0</v>
      </c>
      <c r="AK376" s="261" t="b">
        <f t="shared" si="188"/>
        <v>0</v>
      </c>
      <c r="AL376" s="261"/>
      <c r="AM376" s="261"/>
      <c r="AN376" s="75"/>
      <c r="AV376" s="56">
        <f t="shared" si="193"/>
        <v>44558</v>
      </c>
      <c r="AW376" s="608">
        <v>17.408000000000001</v>
      </c>
      <c r="AX376" s="385"/>
      <c r="AY376" s="388">
        <f t="shared" si="201"/>
        <v>17.627836332465129</v>
      </c>
      <c r="AZ376" s="380">
        <f t="shared" si="202"/>
        <v>17.791907040077618</v>
      </c>
      <c r="BA376" s="380">
        <f t="shared" si="203"/>
        <v>17.791907040077618</v>
      </c>
      <c r="BB376" s="110">
        <f t="shared" si="204"/>
        <v>0.18199865162151313</v>
      </c>
      <c r="BD376" s="375">
        <f t="shared" si="205"/>
        <v>17.791907040077618</v>
      </c>
      <c r="BE376" s="85">
        <v>2021</v>
      </c>
      <c r="BF376" s="193">
        <f t="shared" si="189"/>
        <v>44923</v>
      </c>
      <c r="BG376" s="430">
        <f t="shared" si="207"/>
        <v>1.2470976489624808E-2</v>
      </c>
      <c r="BH376" s="846"/>
      <c r="BI376" s="846"/>
      <c r="BJ376" s="320">
        <f t="shared" si="190"/>
        <v>9.2216482045968783E-3</v>
      </c>
      <c r="BK376" s="378">
        <f t="shared" si="206"/>
        <v>95.649060280962516</v>
      </c>
    </row>
    <row r="377" spans="1:63" s="6" customFormat="1" ht="11.25" customHeight="1" x14ac:dyDescent="0.2">
      <c r="A377" s="56">
        <f t="shared" si="191"/>
        <v>44924</v>
      </c>
      <c r="B377" s="1176">
        <v>42.462000000000003</v>
      </c>
      <c r="C377" s="385"/>
      <c r="D377" s="388">
        <f t="shared" si="166"/>
        <v>42.753633472916228</v>
      </c>
      <c r="E377" s="380">
        <f t="shared" si="199"/>
        <v>44.046265961604455</v>
      </c>
      <c r="F377" s="380">
        <f t="shared" si="198"/>
        <v>44.051326696562526</v>
      </c>
      <c r="G377" s="110">
        <f t="shared" si="200"/>
        <v>0.44853973202019987</v>
      </c>
      <c r="H377" s="6" t="b">
        <f t="shared" si="195"/>
        <v>1</v>
      </c>
      <c r="I377" s="375">
        <f t="shared" si="196"/>
        <v>44.051326696562526</v>
      </c>
      <c r="J377" s="85">
        <f t="shared" si="197"/>
        <v>2022</v>
      </c>
      <c r="K377" s="193">
        <f t="shared" si="168"/>
        <v>44924</v>
      </c>
      <c r="L377" s="430">
        <f t="shared" si="169"/>
        <v>6.8212558612350538E-3</v>
      </c>
      <c r="M377" s="846"/>
      <c r="N377" s="846"/>
      <c r="O377" s="320">
        <f t="shared" si="170"/>
        <v>2.934715260119948E-2</v>
      </c>
      <c r="P377" s="165">
        <f>(INDEX(Models!$BJ377:$BT377,,T377)*(1-R377)+INDEX(Models!$BJ377:$BT377,,T377+1)*R377-ERP_i)*Q377*Ramure*Pc/MaxiM</f>
        <v>5.4069411493407006E-4</v>
      </c>
      <c r="Q377" s="301">
        <f t="shared" si="171"/>
        <v>0.5</v>
      </c>
      <c r="R377" s="173">
        <f t="shared" si="172"/>
        <v>0.4895291485146907</v>
      </c>
      <c r="S377" s="801">
        <f t="shared" si="192"/>
        <v>0</v>
      </c>
      <c r="T377" s="172">
        <f t="shared" si="173"/>
        <v>6</v>
      </c>
      <c r="U377" s="247">
        <f t="shared" si="174"/>
        <v>0.4895291485146907</v>
      </c>
      <c r="V377" s="378">
        <f t="shared" si="175"/>
        <v>94.62688383645839</v>
      </c>
      <c r="W377" s="397"/>
      <c r="X377" s="153">
        <f t="shared" si="176"/>
        <v>44924</v>
      </c>
      <c r="Y377" s="380">
        <f t="shared" si="177"/>
        <v>42.462000000000003</v>
      </c>
      <c r="Z377" s="380">
        <f t="shared" si="178"/>
        <v>42.753633472916228</v>
      </c>
      <c r="AA377" s="381">
        <f t="shared" si="179"/>
        <v>44.046265961604455</v>
      </c>
      <c r="AB377" s="193">
        <f t="shared" si="180"/>
        <v>44924</v>
      </c>
      <c r="AC377" s="420">
        <f t="shared" si="181"/>
        <v>2.934715260119948E-2</v>
      </c>
      <c r="AD377" s="165">
        <f>(INDEX(Models!$BJ377:$BT377,,AH377)*(1-AF377)+INDEX(Models!$BJ377:$BT377,,AH377+1)*AF377-ERP_i)*AE377*Ramure*Pc/MaxiM</f>
        <v>5.4069411493407006E-4</v>
      </c>
      <c r="AE377" s="301">
        <f t="shared" si="182"/>
        <v>0.5</v>
      </c>
      <c r="AF377" s="173">
        <f t="shared" si="183"/>
        <v>0.4895291485146907</v>
      </c>
      <c r="AG377" s="801">
        <f t="shared" si="184"/>
        <v>0</v>
      </c>
      <c r="AH377" s="172">
        <f t="shared" si="185"/>
        <v>6</v>
      </c>
      <c r="AI377" s="221">
        <f t="shared" si="186"/>
        <v>0.4895291485146907</v>
      </c>
      <c r="AJ377" s="261" t="b">
        <f t="shared" si="187"/>
        <v>0</v>
      </c>
      <c r="AK377" s="261" t="b">
        <f t="shared" si="188"/>
        <v>0</v>
      </c>
      <c r="AL377" s="261"/>
      <c r="AM377" s="261"/>
      <c r="AN377" s="75"/>
      <c r="AV377" s="56">
        <f t="shared" si="193"/>
        <v>44559</v>
      </c>
      <c r="AW377" s="608">
        <v>19.262</v>
      </c>
      <c r="AX377" s="385"/>
      <c r="AY377" s="388">
        <f t="shared" si="201"/>
        <v>19.50551939866811</v>
      </c>
      <c r="AZ377" s="380">
        <f t="shared" si="202"/>
        <v>19.688341989598822</v>
      </c>
      <c r="BA377" s="380">
        <f t="shared" si="203"/>
        <v>19.688341989598822</v>
      </c>
      <c r="BB377" s="110">
        <f t="shared" si="204"/>
        <v>0.20047077584670833</v>
      </c>
      <c r="BD377" s="375">
        <f t="shared" si="205"/>
        <v>19.688341989598822</v>
      </c>
      <c r="BE377" s="85">
        <v>2021</v>
      </c>
      <c r="BF377" s="193">
        <f t="shared" si="189"/>
        <v>44924</v>
      </c>
      <c r="BG377" s="430">
        <f t="shared" si="207"/>
        <v>1.2484640562031801E-2</v>
      </c>
      <c r="BH377" s="846"/>
      <c r="BI377" s="846"/>
      <c r="BJ377" s="320">
        <f t="shared" si="190"/>
        <v>9.2858297071076214E-3</v>
      </c>
      <c r="BK377" s="378">
        <f t="shared" si="206"/>
        <v>96.083830267254768</v>
      </c>
    </row>
    <row r="378" spans="1:63" s="6" customFormat="1" ht="11.25" x14ac:dyDescent="0.2">
      <c r="A378" s="56">
        <f t="shared" si="191"/>
        <v>44925</v>
      </c>
      <c r="B378" s="1176">
        <v>60.808</v>
      </c>
      <c r="C378" s="385"/>
      <c r="D378" s="388">
        <f t="shared" si="166"/>
        <v>61.22647386556919</v>
      </c>
      <c r="E378" s="380">
        <f t="shared" si="199"/>
        <v>63.080538158939767</v>
      </c>
      <c r="F378" s="380">
        <f t="shared" si="198"/>
        <v>63.097241529907826</v>
      </c>
      <c r="G378" s="110">
        <f t="shared" si="200"/>
        <v>0.63924069330506805</v>
      </c>
      <c r="H378" s="6" t="b">
        <f t="shared" si="195"/>
        <v>0</v>
      </c>
      <c r="I378" s="375">
        <f t="shared" si="196"/>
        <v>76.342020804358668</v>
      </c>
      <c r="J378" s="85">
        <f t="shared" si="197"/>
        <v>2021</v>
      </c>
      <c r="K378" s="193">
        <f t="shared" si="168"/>
        <v>44925</v>
      </c>
      <c r="L378" s="430">
        <f t="shared" si="169"/>
        <v>6.834851644208717E-3</v>
      </c>
      <c r="M378" s="846"/>
      <c r="N378" s="846"/>
      <c r="O378" s="320">
        <f t="shared" si="170"/>
        <v>2.9392017688546278E-2</v>
      </c>
      <c r="P378" s="165">
        <f>(INDEX(Models!$BJ378:$BT378,,T378)*(1-R378)+INDEX(Models!$BJ378:$BT378,,T378+1)*R378-ERP_i)*Q378*Ramure*Pc/MaxiM</f>
        <v>5.4595097221840649E-4</v>
      </c>
      <c r="Q378" s="301">
        <f t="shared" si="171"/>
        <v>0.5</v>
      </c>
      <c r="R378" s="173">
        <f t="shared" si="172"/>
        <v>0.4895291485146907</v>
      </c>
      <c r="S378" s="801">
        <f t="shared" si="192"/>
        <v>0</v>
      </c>
      <c r="T378" s="172">
        <f t="shared" si="173"/>
        <v>6</v>
      </c>
      <c r="U378" s="247">
        <f t="shared" si="174"/>
        <v>0.4895291485146907</v>
      </c>
      <c r="V378" s="378">
        <f t="shared" si="175"/>
        <v>95.098599439834473</v>
      </c>
      <c r="W378" s="397"/>
      <c r="X378" s="153">
        <f t="shared" si="176"/>
        <v>44925</v>
      </c>
      <c r="Y378" s="380">
        <f t="shared" si="177"/>
        <v>60.808</v>
      </c>
      <c r="Z378" s="380">
        <f t="shared" si="178"/>
        <v>61.22647386556919</v>
      </c>
      <c r="AA378" s="381">
        <f t="shared" si="179"/>
        <v>63.080538158939767</v>
      </c>
      <c r="AB378" s="193">
        <f t="shared" si="180"/>
        <v>44925</v>
      </c>
      <c r="AC378" s="420">
        <f t="shared" si="181"/>
        <v>2.9392017688546278E-2</v>
      </c>
      <c r="AD378" s="165">
        <f>(INDEX(Models!$BJ378:$BT378,,AH378)*(1-AF378)+INDEX(Models!$BJ378:$BT378,,AH378+1)*AF378-ERP_i)*AE378*Ramure*Pc/MaxiM</f>
        <v>5.4595097221840649E-4</v>
      </c>
      <c r="AE378" s="301">
        <f t="shared" si="182"/>
        <v>0.5</v>
      </c>
      <c r="AF378" s="173">
        <f t="shared" si="183"/>
        <v>0.4895291485146907</v>
      </c>
      <c r="AG378" s="801">
        <f t="shared" si="184"/>
        <v>0</v>
      </c>
      <c r="AH378" s="172">
        <f t="shared" si="185"/>
        <v>6</v>
      </c>
      <c r="AI378" s="221">
        <f t="shared" si="186"/>
        <v>0.4895291485146907</v>
      </c>
      <c r="AJ378" s="261" t="b">
        <f t="shared" si="187"/>
        <v>0</v>
      </c>
      <c r="AK378" s="261" t="b">
        <f t="shared" si="188"/>
        <v>0</v>
      </c>
      <c r="AL378" s="261"/>
      <c r="AM378" s="261"/>
      <c r="AN378" s="75"/>
      <c r="AV378" s="56">
        <f t="shared" si="193"/>
        <v>44560</v>
      </c>
      <c r="AW378" s="608">
        <v>74.683000000000007</v>
      </c>
      <c r="AX378" s="385"/>
      <c r="AY378" s="388">
        <f t="shared" si="201"/>
        <v>75.628224575560893</v>
      </c>
      <c r="AZ378" s="380">
        <f t="shared" si="202"/>
        <v>76.342020804358668</v>
      </c>
      <c r="BA378" s="380">
        <f t="shared" si="203"/>
        <v>76.342020804358668</v>
      </c>
      <c r="BB378" s="110">
        <f t="shared" si="204"/>
        <v>0.77342408517425798</v>
      </c>
      <c r="BD378" s="375">
        <f t="shared" si="205"/>
        <v>76.342020804358668</v>
      </c>
      <c r="BE378" s="85">
        <v>2021</v>
      </c>
      <c r="BF378" s="193">
        <f t="shared" si="189"/>
        <v>44925</v>
      </c>
      <c r="BG378" s="430">
        <f t="shared" si="207"/>
        <v>1.2498304447389197E-2</v>
      </c>
      <c r="BH378" s="846"/>
      <c r="BI378" s="846"/>
      <c r="BJ378" s="320">
        <f t="shared" si="190"/>
        <v>9.3499781807849184E-3</v>
      </c>
      <c r="BK378" s="378">
        <f t="shared" si="206"/>
        <v>96.5615131873911</v>
      </c>
    </row>
    <row r="379" spans="1:63" s="18" customFormat="1" ht="12.75" x14ac:dyDescent="0.2">
      <c r="A379" s="56">
        <f t="shared" si="191"/>
        <v>44926</v>
      </c>
      <c r="B379" s="1176">
        <v>48.673000000000002</v>
      </c>
      <c r="C379" s="385"/>
      <c r="D379" s="388">
        <f t="shared" si="166"/>
        <v>49.00863303771564</v>
      </c>
      <c r="E379" s="380">
        <f t="shared" si="199"/>
        <v>50.495052278247819</v>
      </c>
      <c r="F379" s="380">
        <f t="shared" si="198"/>
        <v>50.503380686028969</v>
      </c>
      <c r="G379" s="110">
        <f t="shared" si="200"/>
        <v>0.50887790881131534</v>
      </c>
      <c r="H379" s="18" t="b">
        <f t="shared" si="195"/>
        <v>0</v>
      </c>
      <c r="I379" s="375">
        <f t="shared" si="196"/>
        <v>98.426511979974805</v>
      </c>
      <c r="J379" s="85">
        <f t="shared" si="197"/>
        <v>2021</v>
      </c>
      <c r="K379" s="193">
        <f t="shared" si="168"/>
        <v>44926</v>
      </c>
      <c r="L379" s="430">
        <f t="shared" si="169"/>
        <v>6.8484472410675901E-3</v>
      </c>
      <c r="M379" s="846"/>
      <c r="N379" s="846"/>
      <c r="O379" s="320">
        <f t="shared" si="170"/>
        <v>2.9436928440858216E-2</v>
      </c>
      <c r="P379" s="165">
        <f>(INDEX(Models!$BJ379:$BT379,,T379)*(1-R379)+INDEX(Models!$BJ379:$BT379,,T379+1)*R379-ERP_i)*Q379*Ramure*Pc/MaxiM</f>
        <v>5.5212489864228838E-4</v>
      </c>
      <c r="Q379" s="302">
        <f t="shared" si="171"/>
        <v>0.5</v>
      </c>
      <c r="R379" s="173">
        <f t="shared" si="172"/>
        <v>0.4895291485146907</v>
      </c>
      <c r="S379" s="801">
        <f t="shared" si="192"/>
        <v>0</v>
      </c>
      <c r="T379" s="172">
        <f t="shared" si="173"/>
        <v>6</v>
      </c>
      <c r="U379" s="303">
        <f t="shared" si="174"/>
        <v>0.4895291485146907</v>
      </c>
      <c r="V379" s="378">
        <f t="shared" si="175"/>
        <v>95.610654416936484</v>
      </c>
      <c r="W379" s="397"/>
      <c r="X379" s="153">
        <f t="shared" si="176"/>
        <v>44926</v>
      </c>
      <c r="Y379" s="380">
        <f t="shared" si="177"/>
        <v>48.673000000000002</v>
      </c>
      <c r="Z379" s="380">
        <f t="shared" si="178"/>
        <v>49.00863303771564</v>
      </c>
      <c r="AA379" s="381">
        <f t="shared" si="179"/>
        <v>50.495052278247819</v>
      </c>
      <c r="AB379" s="193">
        <f t="shared" si="180"/>
        <v>44926</v>
      </c>
      <c r="AC379" s="420">
        <f t="shared" si="181"/>
        <v>2.9436928440858216E-2</v>
      </c>
      <c r="AD379" s="165">
        <f>(INDEX(Models!$BJ379:$BT379,,AH379)*(1-AF379)+INDEX(Models!$BJ379:$BT379,,AH379+1)*AF379-ERP_i)*AE379*Ramure*Pc/MaxiM</f>
        <v>5.5212489864228838E-4</v>
      </c>
      <c r="AE379" s="302">
        <f t="shared" si="182"/>
        <v>0.5</v>
      </c>
      <c r="AF379" s="173">
        <f t="shared" si="183"/>
        <v>0.4895291485146907</v>
      </c>
      <c r="AG379" s="801">
        <f t="shared" si="184"/>
        <v>0</v>
      </c>
      <c r="AH379" s="172">
        <f t="shared" si="185"/>
        <v>6</v>
      </c>
      <c r="AI379" s="218">
        <f t="shared" si="186"/>
        <v>0.4895291485146907</v>
      </c>
      <c r="AJ379" s="261" t="b">
        <f t="shared" si="187"/>
        <v>0</v>
      </c>
      <c r="AK379" s="261" t="b">
        <f t="shared" si="188"/>
        <v>0</v>
      </c>
      <c r="AL379" s="261"/>
      <c r="AM379" s="261"/>
      <c r="AN379" s="261"/>
      <c r="AV379" s="56">
        <f t="shared" si="193"/>
        <v>44561</v>
      </c>
      <c r="AW379" s="608">
        <v>96.28</v>
      </c>
      <c r="AX379" s="385"/>
      <c r="AY379" s="388">
        <f t="shared" si="201"/>
        <v>97.499915841213635</v>
      </c>
      <c r="AZ379" s="380">
        <f t="shared" si="202"/>
        <v>98.426511979974805</v>
      </c>
      <c r="BA379" s="380">
        <f t="shared" si="203"/>
        <v>98.426511979974805</v>
      </c>
      <c r="BB379" s="110">
        <f t="shared" si="204"/>
        <v>0.99175692612232047</v>
      </c>
      <c r="BD379" s="375">
        <f t="shared" si="205"/>
        <v>98.426511979974805</v>
      </c>
      <c r="BE379" s="85">
        <v>2021</v>
      </c>
      <c r="BF379" s="193">
        <f t="shared" si="189"/>
        <v>44926</v>
      </c>
      <c r="BG379" s="430">
        <f t="shared" si="207"/>
        <v>1.2511968145699326E-2</v>
      </c>
      <c r="BH379" s="846"/>
      <c r="BI379" s="846"/>
      <c r="BJ379" s="320">
        <f t="shared" si="190"/>
        <v>9.4140909813982057E-3</v>
      </c>
      <c r="BK379" s="378">
        <f t="shared" si="206"/>
        <v>97.080239586978294</v>
      </c>
    </row>
    <row r="380" spans="1:63" s="18" customFormat="1" ht="12" thickBot="1" x14ac:dyDescent="0.25">
      <c r="A380" s="103"/>
      <c r="B380" s="1161">
        <f>179.98*0.05</f>
        <v>8.9990000000000006</v>
      </c>
      <c r="C380" s="845"/>
      <c r="D380" s="389"/>
      <c r="E380" s="390"/>
      <c r="F380" s="390"/>
      <c r="G380" s="97"/>
      <c r="I380" s="376">
        <f t="shared" si="167"/>
        <v>0</v>
      </c>
      <c r="J380" s="147">
        <v>2022</v>
      </c>
      <c r="K380" s="195"/>
      <c r="L380" s="462"/>
      <c r="M380" s="847"/>
      <c r="N380" s="847"/>
      <c r="O380" s="463"/>
      <c r="P380" s="224"/>
      <c r="Q380" s="225"/>
      <c r="R380" s="225"/>
      <c r="S380" s="225"/>
      <c r="T380" s="225"/>
      <c r="U380" s="304"/>
      <c r="V380" s="379"/>
      <c r="W380" s="58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87"/>
        <v>1</v>
      </c>
      <c r="AK380" s="261" t="b">
        <f t="shared" si="188"/>
        <v>1</v>
      </c>
      <c r="AL380" s="261"/>
      <c r="AM380" s="261"/>
      <c r="AN380" s="261"/>
      <c r="AV380" s="103"/>
      <c r="AW380" s="611"/>
      <c r="AX380" s="845"/>
      <c r="AY380" s="389"/>
      <c r="AZ380" s="390"/>
      <c r="BA380" s="390"/>
      <c r="BB380" s="97"/>
      <c r="BD380" s="376">
        <f t="shared" si="205"/>
        <v>0</v>
      </c>
      <c r="BE380" s="147">
        <v>2021</v>
      </c>
      <c r="BF380" s="195"/>
      <c r="BG380" s="462"/>
      <c r="BH380" s="847"/>
      <c r="BI380" s="847"/>
      <c r="BJ380" s="463"/>
      <c r="BK380" s="379"/>
    </row>
    <row r="381" spans="1:63" s="104" customFormat="1" ht="11.25" customHeight="1" x14ac:dyDescent="0.2">
      <c r="A381" s="111" t="s">
        <v>7</v>
      </c>
      <c r="B381" s="370">
        <f>MIN(B15:B380)</f>
        <v>7.4850000000000003</v>
      </c>
      <c r="C381" s="370"/>
      <c r="D381" s="368">
        <f>MIN(D15:D380)</f>
        <v>7.580887575483322</v>
      </c>
      <c r="E381" s="368">
        <f>MIN(E15:E380)</f>
        <v>7.65787086076881</v>
      </c>
      <c r="F381" s="369">
        <f>MIN(F15:F380)</f>
        <v>7.65787086076881</v>
      </c>
      <c r="G381" s="125">
        <f>+MIN(G15:G380)</f>
        <v>7.1864241204881246E-2</v>
      </c>
      <c r="H381" s="93"/>
      <c r="I381" s="369">
        <f>MIN(I15:I380)</f>
        <v>0</v>
      </c>
      <c r="J381" s="161">
        <f>MIN(J15:J380)</f>
        <v>2021</v>
      </c>
      <c r="K381" s="196" t="s">
        <v>7</v>
      </c>
      <c r="L381" s="142">
        <f t="shared" ref="L381:T381" si="208">MIN(L15:L380)</f>
        <v>2.5293078750181497E-3</v>
      </c>
      <c r="M381" s="837"/>
      <c r="N381" s="837"/>
      <c r="O381" s="47">
        <f t="shared" si="208"/>
        <v>9.4781656699833641E-3</v>
      </c>
      <c r="P381" s="164">
        <f t="shared" si="208"/>
        <v>1.2784121479255911E-9</v>
      </c>
      <c r="Q381" s="306">
        <f t="shared" si="208"/>
        <v>0.5</v>
      </c>
      <c r="R381" s="307">
        <f t="shared" si="208"/>
        <v>0</v>
      </c>
      <c r="S381" s="801">
        <f t="shared" si="208"/>
        <v>-1</v>
      </c>
      <c r="T381" s="172">
        <f t="shared" si="208"/>
        <v>5</v>
      </c>
      <c r="U381" s="248">
        <f>+MIN(U15:U380)</f>
        <v>-1.0469578449138236E-2</v>
      </c>
      <c r="V381" s="368">
        <f>MIN(V15:V380)</f>
        <v>92.388163325091824</v>
      </c>
      <c r="W381" s="58"/>
      <c r="X381" s="112" t="s">
        <v>7</v>
      </c>
      <c r="Y381" s="368">
        <f>MIN(Y15:Y380)</f>
        <v>7.4850000000000003</v>
      </c>
      <c r="Z381" s="368">
        <f>MIN(Z15:Z380)</f>
        <v>7.580887575483322</v>
      </c>
      <c r="AA381" s="368">
        <f>MIN(AA15:AA380)</f>
        <v>7.65787086076881</v>
      </c>
      <c r="AB381" s="196" t="s">
        <v>7</v>
      </c>
      <c r="AC381" s="47">
        <f t="shared" ref="AC381:AH381" si="209">MIN(AC15:AC380)</f>
        <v>9.4781656699833641E-3</v>
      </c>
      <c r="AD381" s="164">
        <f t="shared" si="209"/>
        <v>1.2784121479255911E-9</v>
      </c>
      <c r="AE381" s="306">
        <f t="shared" si="209"/>
        <v>0.5</v>
      </c>
      <c r="AF381" s="307">
        <f t="shared" si="209"/>
        <v>0</v>
      </c>
      <c r="AG381" s="801">
        <f t="shared" si="209"/>
        <v>-1</v>
      </c>
      <c r="AH381" s="172">
        <f t="shared" si="209"/>
        <v>5</v>
      </c>
      <c r="AI381" s="222">
        <f>MIN(AI15:AI380)</f>
        <v>-1.0469578449138236E-2</v>
      </c>
      <c r="AJ381" s="261"/>
      <c r="AK381" s="261"/>
      <c r="AL381" s="261"/>
      <c r="AM381" s="261"/>
      <c r="AN381" s="100"/>
      <c r="AV381" s="111" t="s">
        <v>7</v>
      </c>
      <c r="AW381" s="370">
        <f>MIN(AW15:AW380)</f>
        <v>0.157</v>
      </c>
      <c r="AX381" s="370"/>
      <c r="AY381" s="368">
        <f>MIN(AY15:AY380)</f>
        <v>0.15895187495446131</v>
      </c>
      <c r="AZ381" s="368">
        <f>MIN(AZ15:AZ380)</f>
        <v>0.16028568405013274</v>
      </c>
      <c r="BA381" s="369">
        <f>MIN(BA15:BA380)</f>
        <v>0.16028568405013274</v>
      </c>
      <c r="BB381" s="125">
        <f>+MIN(BB15:BB380)</f>
        <v>1.6639526608256876E-3</v>
      </c>
      <c r="BC381" s="93"/>
      <c r="BD381" s="369">
        <f>MIN(BD15:BD380)</f>
        <v>0</v>
      </c>
      <c r="BE381" s="161">
        <f>MIN(BE15:BE380)</f>
        <v>2021</v>
      </c>
      <c r="BF381" s="196" t="s">
        <v>7</v>
      </c>
      <c r="BG381" s="142">
        <f t="shared" ref="BG381" si="210">MIN(BG15:BG380)</f>
        <v>1.0638297872340385E-2</v>
      </c>
      <c r="BH381" s="837"/>
      <c r="BI381" s="837"/>
      <c r="BJ381" s="47">
        <f t="shared" ref="BJ381" si="211">MIN(BJ15:BJ380)</f>
        <v>0</v>
      </c>
      <c r="BK381" s="368">
        <f>MIN(BK15:BK380)</f>
        <v>93.828214904918482</v>
      </c>
    </row>
    <row r="382" spans="1:63" s="58" customFormat="1" ht="11.25" x14ac:dyDescent="0.2">
      <c r="A382" s="112" t="s">
        <v>8</v>
      </c>
      <c r="B382" s="370">
        <f>AVERAGE(B15:B380)</f>
        <v>127.86357650273227</v>
      </c>
      <c r="C382" s="370"/>
      <c r="D382" s="370">
        <f>AVERAGE(D15:D380)</f>
        <v>128.84508119995766</v>
      </c>
      <c r="E382" s="370">
        <f>AVERAGE(E15:E380)</f>
        <v>131.53075575592536</v>
      </c>
      <c r="F382" s="371">
        <f>AVERAGE(F15:F380)</f>
        <v>131.53628428869368</v>
      </c>
      <c r="G382" s="126">
        <f>AVERAGE(G15:G380)</f>
        <v>0.68244141102058975</v>
      </c>
      <c r="H382" s="94"/>
      <c r="I382" s="371">
        <f>AVERAGE(I15:I380)</f>
        <v>132.38478515800543</v>
      </c>
      <c r="J382" s="162">
        <f>AVERAGE(J15:J380)</f>
        <v>2021.9726775956285</v>
      </c>
      <c r="K382" s="196" t="s">
        <v>8</v>
      </c>
      <c r="L382" s="143">
        <f t="shared" ref="L382:V382" si="212">AVERAGE(L15:L380)</f>
        <v>5.7398079224373413E-3</v>
      </c>
      <c r="M382" s="835"/>
      <c r="N382" s="835"/>
      <c r="O382" s="48">
        <f t="shared" si="212"/>
        <v>2.0483822804664244E-2</v>
      </c>
      <c r="P382" s="165">
        <f t="shared" si="212"/>
        <v>1.1877183866635707E-4</v>
      </c>
      <c r="Q382" s="308">
        <f t="shared" si="212"/>
        <v>0.5</v>
      </c>
      <c r="R382" s="173">
        <f t="shared" si="212"/>
        <v>0.4557153884130194</v>
      </c>
      <c r="S382" s="801">
        <f t="shared" si="212"/>
        <v>-0.18630136986301371</v>
      </c>
      <c r="T382" s="172">
        <f t="shared" si="212"/>
        <v>5.8136986301369866</v>
      </c>
      <c r="U382" s="247">
        <f t="shared" si="212"/>
        <v>0.26941401855000546</v>
      </c>
      <c r="V382" s="370">
        <f t="shared" si="212"/>
        <v>181.97286804113031</v>
      </c>
      <c r="X382" s="112" t="s">
        <v>8</v>
      </c>
      <c r="Y382" s="370">
        <f>AVERAGE(Y15:Y380)</f>
        <v>128.18923287671234</v>
      </c>
      <c r="Z382" s="370">
        <f>AVERAGE(Z15:Z380)</f>
        <v>128.84508119995766</v>
      </c>
      <c r="AA382" s="370">
        <f>AVERAGE(AA15:AA380)</f>
        <v>131.53075575592536</v>
      </c>
      <c r="AB382" s="196" t="s">
        <v>8</v>
      </c>
      <c r="AC382" s="48">
        <f t="shared" ref="AC382:AH382" si="213">AVERAGE(AC15:AC380)</f>
        <v>2.0483822804664244E-2</v>
      </c>
      <c r="AD382" s="165">
        <f t="shared" si="213"/>
        <v>1.1877183866635707E-4</v>
      </c>
      <c r="AE382" s="308">
        <f t="shared" si="213"/>
        <v>0.5</v>
      </c>
      <c r="AF382" s="173">
        <f t="shared" si="213"/>
        <v>0.4557153884130194</v>
      </c>
      <c r="AG382" s="801">
        <f t="shared" si="213"/>
        <v>-0.18630136986301371</v>
      </c>
      <c r="AH382" s="172">
        <f t="shared" si="213"/>
        <v>5.8136986301369866</v>
      </c>
      <c r="AI382" s="221">
        <f>AVERAGE(AI15:AI380)</f>
        <v>0.26941401855000546</v>
      </c>
      <c r="AJ382" s="261"/>
      <c r="AK382" s="261"/>
      <c r="AL382" s="261"/>
      <c r="AM382" s="261"/>
      <c r="AN382" s="75"/>
      <c r="AV382" s="112" t="s">
        <v>8</v>
      </c>
      <c r="AW382" s="370">
        <f>AVERAGE(AW15:AW380)</f>
        <v>64.37577777777777</v>
      </c>
      <c r="AX382" s="370"/>
      <c r="AY382" s="370">
        <f>AVERAGE(AY15:AY380)</f>
        <v>65.183150776617467</v>
      </c>
      <c r="AZ382" s="370">
        <f>AVERAGE(AZ15:AZ380)</f>
        <v>65.763379662286184</v>
      </c>
      <c r="BA382" s="371">
        <f>AVERAGE(BA15:BA380)</f>
        <v>65.763379662286184</v>
      </c>
      <c r="BB382" s="126">
        <f>AVERAGE(BB15:BB380)</f>
        <v>0.68077759749776723</v>
      </c>
      <c r="BC382" s="94"/>
      <c r="BD382" s="371">
        <f>AVERAGE(BD15:BD380)</f>
        <v>62.302149153744807</v>
      </c>
      <c r="BE382" s="162">
        <f>AVERAGE(BE15:BE380)</f>
        <v>2021</v>
      </c>
      <c r="BF382" s="196" t="s">
        <v>8</v>
      </c>
      <c r="BG382" s="143">
        <f t="shared" ref="BG382" si="214">AVERAGE(BG15:BG380)</f>
        <v>1.1575423699348678E-2</v>
      </c>
      <c r="BH382" s="835"/>
      <c r="BI382" s="835"/>
      <c r="BJ382" s="48">
        <f t="shared" ref="BJ382:BK382" si="215">AVERAGE(BJ15:BJ380)</f>
        <v>4.8802778418583328E-3</v>
      </c>
      <c r="BK382" s="370">
        <f t="shared" si="215"/>
        <v>94.702387358251286</v>
      </c>
    </row>
    <row r="383" spans="1:63" s="58" customFormat="1" ht="11.25" x14ac:dyDescent="0.2">
      <c r="A383" s="112" t="s">
        <v>9</v>
      </c>
      <c r="B383" s="372">
        <f>MAX(B15:B380)</f>
        <v>254.03800000000001</v>
      </c>
      <c r="C383" s="372"/>
      <c r="D383" s="372">
        <f>MAX(D15:D380)</f>
        <v>255.13929894292849</v>
      </c>
      <c r="E383" s="372">
        <f>MAX(E15:E380)</f>
        <v>260.60805685016965</v>
      </c>
      <c r="F383" s="373">
        <f>MAX(F15:F380)</f>
        <v>260.61207165828807</v>
      </c>
      <c r="G383" s="127">
        <f>+MAX(G15:G380)</f>
        <v>1.0401867145003136</v>
      </c>
      <c r="H383" s="94"/>
      <c r="I383" s="373">
        <f>MAX(I15:I380)</f>
        <v>260.61207165828807</v>
      </c>
      <c r="J383" s="163">
        <f>MAX(J15:J380)</f>
        <v>2022</v>
      </c>
      <c r="K383" s="196" t="s">
        <v>9</v>
      </c>
      <c r="L383" s="144">
        <f t="shared" ref="L383:T383" si="216">MAX(L15:L380)</f>
        <v>1.3153951024299393E-2</v>
      </c>
      <c r="M383" s="838"/>
      <c r="N383" s="838"/>
      <c r="O383" s="49">
        <f t="shared" si="216"/>
        <v>2.9436928440858216E-2</v>
      </c>
      <c r="P383" s="166">
        <f t="shared" si="216"/>
        <v>7.0744711804932589E-4</v>
      </c>
      <c r="Q383" s="309">
        <f t="shared" si="216"/>
        <v>0.5</v>
      </c>
      <c r="R383" s="310">
        <f t="shared" si="216"/>
        <v>0.99956001470866329</v>
      </c>
      <c r="S383" s="802">
        <f t="shared" si="216"/>
        <v>0</v>
      </c>
      <c r="T383" s="229">
        <f t="shared" si="216"/>
        <v>6</v>
      </c>
      <c r="U383" s="249">
        <f>+MAX(U15:U380)</f>
        <v>0.4895291485146907</v>
      </c>
      <c r="V383" s="372">
        <f>MAX(V15:V380)</f>
        <v>245.98457838707469</v>
      </c>
      <c r="X383" s="112" t="s">
        <v>9</v>
      </c>
      <c r="Y383" s="372">
        <f>MAX(Y15:Y380)</f>
        <v>254.03800000000004</v>
      </c>
      <c r="Z383" s="372">
        <f>MAX(Z15:Z380)</f>
        <v>255.13929894292852</v>
      </c>
      <c r="AA383" s="372">
        <f>MAX(AA15:AA380)</f>
        <v>260.60805685016965</v>
      </c>
      <c r="AB383" s="196" t="s">
        <v>9</v>
      </c>
      <c r="AC383" s="49">
        <f t="shared" ref="AC383:AH383" si="217">MAX(AC15:AC380)</f>
        <v>2.9436928440858216E-2</v>
      </c>
      <c r="AD383" s="166">
        <f t="shared" si="217"/>
        <v>7.0744711804932589E-4</v>
      </c>
      <c r="AE383" s="309">
        <f t="shared" si="217"/>
        <v>0.5</v>
      </c>
      <c r="AF383" s="310">
        <f t="shared" si="217"/>
        <v>0.99956001470866329</v>
      </c>
      <c r="AG383" s="802">
        <f t="shared" si="217"/>
        <v>0</v>
      </c>
      <c r="AH383" s="229">
        <f t="shared" si="217"/>
        <v>6</v>
      </c>
      <c r="AI383" s="223">
        <f>MAX(AI15:AI380)</f>
        <v>0.4895291485146907</v>
      </c>
      <c r="AJ383" s="261"/>
      <c r="AK383" s="261"/>
      <c r="AL383" s="261"/>
      <c r="AM383" s="261"/>
      <c r="AN383" s="75"/>
      <c r="AV383" s="112" t="s">
        <v>9</v>
      </c>
      <c r="AW383" s="372">
        <f>MAX(AW15:AW380)</f>
        <v>96.600999999999999</v>
      </c>
      <c r="AX383" s="372"/>
      <c r="AY383" s="372">
        <f>MAX(AY15:AY380)</f>
        <v>97.810094861051084</v>
      </c>
      <c r="AZ383" s="372">
        <f>MAX(AZ15:AZ380)</f>
        <v>98.669245392496961</v>
      </c>
      <c r="BA383" s="373">
        <f>MAX(BA15:BA380)</f>
        <v>98.669245392496961</v>
      </c>
      <c r="BB383" s="127">
        <f>+MAX(BB15:BB380)</f>
        <v>1.0292992378856456</v>
      </c>
      <c r="BC383" s="94"/>
      <c r="BD383" s="373">
        <f>MAX(BD15:BD380)</f>
        <v>98.669245392496961</v>
      </c>
      <c r="BE383" s="163">
        <f>MAX(BE15:BE380)</f>
        <v>2021</v>
      </c>
      <c r="BF383" s="196" t="s">
        <v>9</v>
      </c>
      <c r="BG383" s="144">
        <f t="shared" ref="BG383" si="218">MAX(BG15:BG380)</f>
        <v>1.2511968145699326E-2</v>
      </c>
      <c r="BH383" s="838"/>
      <c r="BI383" s="838"/>
      <c r="BJ383" s="49">
        <f t="shared" ref="BJ383" si="219">MAX(BJ15:BJ380)</f>
        <v>9.4140909813982057E-3</v>
      </c>
      <c r="BK383" s="372">
        <f>MAX(BK15:BK380)</f>
        <v>97.080239586978294</v>
      </c>
    </row>
    <row r="384" spans="1:63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  <c r="AV384" s="400" t="s">
        <v>69</v>
      </c>
      <c r="AW384" s="400" t="s">
        <v>6</v>
      </c>
      <c r="AX384" s="400"/>
      <c r="AY384" s="400" t="s">
        <v>6</v>
      </c>
      <c r="AZ384" s="400" t="s">
        <v>6</v>
      </c>
      <c r="BA384" s="400" t="s">
        <v>6</v>
      </c>
      <c r="BB384" s="400" t="s">
        <v>71</v>
      </c>
      <c r="BC384" s="399"/>
      <c r="BD384" s="400" t="s">
        <v>6</v>
      </c>
      <c r="BE384" s="400" t="s">
        <v>118</v>
      </c>
      <c r="BF384" s="401"/>
      <c r="BG384" s="400" t="s">
        <v>70</v>
      </c>
      <c r="BH384" s="402"/>
      <c r="BI384" s="402"/>
      <c r="BJ384" s="402" t="s">
        <v>70</v>
      </c>
      <c r="BK384" s="400" t="s">
        <v>6</v>
      </c>
    </row>
    <row r="385" spans="6:53" x14ac:dyDescent="0.25">
      <c r="F385" s="398"/>
      <c r="BA385" s="398"/>
    </row>
  </sheetData>
  <sheetProtection sheet="1" objects="1" scenarios="1" formatCells="0" formatColumns="0" formatRows="0"/>
  <mergeCells count="10">
    <mergeCell ref="BE1:BF1"/>
    <mergeCell ref="X9:Y9"/>
    <mergeCell ref="X8:Y8"/>
    <mergeCell ref="J1:K1"/>
    <mergeCell ref="H9:J9"/>
    <mergeCell ref="E5:F5"/>
    <mergeCell ref="E3:F3"/>
    <mergeCell ref="E4:I4"/>
    <mergeCell ref="E6:F6"/>
    <mergeCell ref="BC9:BE9"/>
  </mergeCells>
  <conditionalFormatting sqref="G12">
    <cfRule type="cellIs" dxfId="21" priority="7" stopIfTrue="1" operator="lessThan">
      <formula>0.01</formula>
    </cfRule>
    <cfRule type="cellIs" dxfId="20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B12">
    <cfRule type="cellIs" dxfId="19" priority="2" stopIfTrue="1" operator="lessThan">
      <formula>0.01</formula>
    </cfRule>
    <cfRule type="cellIs" dxfId="18" priority="3" stopIfTrue="1" operator="greaterThan">
      <formula>0.05</formula>
    </cfRule>
  </conditionalFormatting>
  <conditionalFormatting sqref="BB15:BB379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'2022'!An+1</f>
        <v>2023</v>
      </c>
      <c r="K1" s="1270"/>
      <c r="L1" s="113" t="str">
        <f>"Calcul pertes et enveloppes en "&amp;TEXT(An,0)</f>
        <v>Calcul pertes et enveloppes en 2023</v>
      </c>
      <c r="M1" s="239"/>
      <c r="N1" s="239"/>
      <c r="V1" s="450"/>
      <c r="W1" s="448"/>
      <c r="X1" s="479" t="str">
        <f>"Prévision sans nettoyage ni taille végétation en "&amp;TEXT(An,0)</f>
        <v>Prévision sans nettoyage ni taille végétation en 2023</v>
      </c>
      <c r="Y1" s="480"/>
      <c r="Z1" s="481"/>
      <c r="AA1" s="482"/>
      <c r="AB1" s="483"/>
      <c r="AC1" s="484"/>
      <c r="AD1" s="484"/>
      <c r="AE1" s="484"/>
      <c r="AF1" s="484"/>
      <c r="AG1" s="484"/>
      <c r="AH1" s="484"/>
      <c r="AI1" s="484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71">
        <f>Tmaj</f>
        <v>44926</v>
      </c>
      <c r="F3" s="1271"/>
      <c r="G3" s="464"/>
      <c r="H3" s="75"/>
      <c r="I3" s="6"/>
      <c r="J3" s="34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 t="s">
        <v>96</v>
      </c>
      <c r="Y3" s="495"/>
      <c r="Z3" s="496"/>
      <c r="AA3" s="490"/>
      <c r="AB3" s="490"/>
      <c r="AC3" s="422"/>
      <c r="AD3" s="422"/>
      <c r="AE3" s="422"/>
      <c r="AF3" s="422"/>
      <c r="AG3" s="422"/>
      <c r="AH3" s="422"/>
      <c r="AI3" s="422"/>
      <c r="AJ3" s="823">
        <f>AL11-AJ11</f>
        <v>0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9" t="str">
        <f>Station</f>
        <v>Hangar Goussaud Espanès</v>
      </c>
      <c r="F4" s="1200"/>
      <c r="G4" s="1200"/>
      <c r="H4" s="1200"/>
      <c r="I4" s="1201"/>
      <c r="J4" s="154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22"/>
      <c r="AD4" s="422"/>
      <c r="AE4" s="422"/>
      <c r="AF4" s="422"/>
      <c r="AG4" s="422"/>
      <c r="AH4" s="422"/>
      <c r="AI4" s="422"/>
      <c r="AJ4" s="823">
        <f>AL12-AJ12</f>
        <v>0</v>
      </c>
      <c r="AK4" s="824">
        <f>AM12-AK12</f>
        <v>0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72">
        <f>T0</f>
        <v>44424</v>
      </c>
      <c r="F5" s="1272"/>
      <c r="G5" s="34"/>
      <c r="H5" s="329"/>
      <c r="I5" s="154"/>
      <c r="K5" s="188"/>
      <c r="L5" s="498"/>
      <c r="M5" s="497"/>
      <c r="N5" s="497"/>
      <c r="O5" s="422"/>
      <c r="P5" s="500"/>
      <c r="Q5" s="500"/>
      <c r="R5" s="487"/>
      <c r="S5" s="491"/>
      <c r="T5" s="491"/>
      <c r="U5" s="505"/>
      <c r="V5" s="499"/>
      <c r="W5" s="500"/>
      <c r="X5" s="501"/>
      <c r="Y5" s="502"/>
      <c r="Z5" s="232">
        <f>Wh_Psa_s-Wh_Psa</f>
        <v>0</v>
      </c>
      <c r="AA5" s="233">
        <f>Wh_Pvg_s-Wh_Pvg</f>
        <v>0</v>
      </c>
      <c r="AB5" s="506" t="s">
        <v>6</v>
      </c>
      <c r="AC5" s="500"/>
      <c r="AD5" s="500"/>
      <c r="AE5" s="500"/>
      <c r="AF5" s="500"/>
      <c r="AG5" s="500"/>
      <c r="AH5" s="500"/>
      <c r="AI5" s="500"/>
      <c r="AJ5" s="508">
        <f>SUMIF(AJ15:AJ380,"VRAI",Wh)</f>
        <v>0</v>
      </c>
      <c r="AK5" s="508">
        <f>SUMIF(AK15:AK380,"VRAI",Wh)</f>
        <v>0</v>
      </c>
      <c r="AL5" s="508">
        <f>SUMIF(AJ15:AJ380,"VRAI",Wh_s)</f>
        <v>0</v>
      </c>
      <c r="AM5" s="508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73">
        <f>Tservice</f>
        <v>44536</v>
      </c>
      <c r="F6" s="1273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2"/>
      <c r="W6" s="454"/>
      <c r="X6" s="489"/>
      <c r="Y6" s="490"/>
      <c r="Z6" s="454"/>
      <c r="AA6" s="454"/>
      <c r="AB6" s="508"/>
      <c r="AC6" s="523"/>
      <c r="AD6" s="454"/>
      <c r="AE6" s="454"/>
      <c r="AF6" s="454"/>
      <c r="AG6" s="454"/>
      <c r="AH6" s="454"/>
      <c r="AI6" s="454"/>
      <c r="AJ6" s="508">
        <f>SUMIF(AJ15:AJ380,"FAUX",Wh)</f>
        <v>45754.411547150055</v>
      </c>
      <c r="AK6" s="508">
        <f>SUMIF(AK15:AK380,"FAUX",Wh)</f>
        <v>45754.411547150055</v>
      </c>
      <c r="AL6" s="508">
        <f>SUMIF(AJ15:AJ380,"FAUX",Wh_s)</f>
        <v>45754.411547150055</v>
      </c>
      <c r="AM6" s="508">
        <f>SUMIF(AK15:AK380,"FAUX",Wh_s)</f>
        <v>45754.411547150055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AND(YEAR(Tnet)=An,Resal_2023="I")</f>
        <v>1</v>
      </c>
      <c r="F7" s="316" t="b">
        <f>YEAR(Tnet)=An</f>
        <v>1</v>
      </c>
      <c r="H7" s="330"/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2"/>
      <c r="W7" s="510"/>
      <c r="X7" s="511"/>
      <c r="Y7" s="244"/>
      <c r="Z7" s="510"/>
      <c r="AA7" s="510"/>
      <c r="AB7" s="510"/>
      <c r="AC7" s="523"/>
      <c r="AD7" s="244"/>
      <c r="AE7" s="244"/>
      <c r="AF7" s="485"/>
      <c r="AG7" s="485"/>
      <c r="AH7" s="485"/>
      <c r="AI7" s="510"/>
      <c r="AJ7" s="508">
        <f>SUMIF(AJ15:AJ380,"VRAI",Wh_pvt)</f>
        <v>0</v>
      </c>
      <c r="AK7" s="508">
        <f>SUMIF(AK15:AK380,"VRAI",Wh_sa)</f>
        <v>0</v>
      </c>
      <c r="AL7" s="508">
        <f>SUMIF(AJ15:AJ380,"VRAI",Wh_pvt_s)</f>
        <v>0</v>
      </c>
      <c r="AM7" s="508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AND(YEAR(Tnet)=An,Resal_2023&lt;&gt;"I")</f>
        <v>0</v>
      </c>
      <c r="F8" s="317" t="b">
        <f>YEAR(Ttai)=An</f>
        <v>0</v>
      </c>
      <c r="H8" s="331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0"/>
      <c r="W8" s="399"/>
      <c r="X8" s="1267" t="s">
        <v>102</v>
      </c>
      <c r="Y8" s="1268"/>
      <c r="Z8" s="490"/>
      <c r="AA8" s="490"/>
      <c r="AB8" s="454"/>
      <c r="AC8" s="512" t="s">
        <v>61</v>
      </c>
      <c r="AD8" s="454"/>
      <c r="AE8" s="454"/>
      <c r="AF8" s="454"/>
      <c r="AG8" s="454"/>
      <c r="AH8" s="454"/>
      <c r="AI8" s="454"/>
      <c r="AJ8" s="508">
        <f>SUMIF(AJ15:AJ380,"FAUX",Wh_pvt)</f>
        <v>46182.073153927617</v>
      </c>
      <c r="AK8" s="508">
        <f>SUMIF(AK15:AK380,"FAUX",Wh_sa)</f>
        <v>48003.20540259558</v>
      </c>
      <c r="AL8" s="508">
        <f>SUMIF(AJ15:AJ380,"FAUX",Wh_pvt_s)</f>
        <v>46182.073153927617</v>
      </c>
      <c r="AM8" s="508">
        <f>SUMIF(AK15:AK380,"FAUX",Wh_sa_s)</f>
        <v>48003.20540259558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46182.073153927617</v>
      </c>
      <c r="E9" s="180">
        <f>SUM(E$15:E$380)</f>
        <v>48003.20540259558</v>
      </c>
      <c r="F9" s="180">
        <f>SUM(F$15:F$380)</f>
        <v>48008.830877037304</v>
      </c>
      <c r="H9" s="1260">
        <f>+SUM(Wh)</f>
        <v>45754.411547150055</v>
      </c>
      <c r="I9" s="1261"/>
      <c r="J9" s="1262"/>
      <c r="K9" s="187"/>
      <c r="L9" s="114"/>
      <c r="M9" s="114"/>
      <c r="N9" s="114"/>
      <c r="O9" s="219">
        <f>Tnet_2023</f>
        <v>44927</v>
      </c>
      <c r="P9" s="240" t="s">
        <v>91</v>
      </c>
      <c r="Q9" s="241"/>
      <c r="R9" s="241"/>
      <c r="S9" s="241"/>
      <c r="T9" s="241"/>
      <c r="U9" s="242"/>
      <c r="V9" s="454"/>
      <c r="W9" s="513"/>
      <c r="X9" s="1265">
        <f>+SUM(Wh_s)</f>
        <v>45754.411547150055</v>
      </c>
      <c r="Y9" s="1266"/>
      <c r="Z9" s="508">
        <f>SUM(Z$15:Z$380)</f>
        <v>46182.073153927617</v>
      </c>
      <c r="AA9" s="508">
        <f>SUM(AA$15:AA$380)</f>
        <v>48003.20540259558</v>
      </c>
      <c r="AB9" s="508">
        <f>F9</f>
        <v>48008.830877037304</v>
      </c>
      <c r="AC9" s="321">
        <f>IF(An_Tnet,Tnet,'2022'!Tnet_s)</f>
        <v>44927</v>
      </c>
      <c r="AD9" s="312" t="s">
        <v>91</v>
      </c>
      <c r="AE9" s="312"/>
      <c r="AF9" s="312"/>
      <c r="AG9" s="312"/>
      <c r="AH9" s="312"/>
      <c r="AI9" s="313"/>
      <c r="AJ9" s="508">
        <f>SUMIF(AJ15:AJ380,"VRAI",Wh_sa)</f>
        <v>0</v>
      </c>
      <c r="AK9" s="508">
        <f>SUMIF(AK15:AK380,"VRAI",Wh_hp)</f>
        <v>0</v>
      </c>
      <c r="AL9" s="508">
        <f>SUMIF(AJ15:AJ380,"VRAI",Wh_sa_s)</f>
        <v>0</v>
      </c>
      <c r="AM9" s="508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H10" s="28"/>
      <c r="K10" s="189"/>
      <c r="L10" s="114"/>
      <c r="M10" s="114"/>
      <c r="N10" s="114"/>
      <c r="O10" s="198">
        <f>IF(Inflex,'2022'!Resal+('2022'!Salim-'2022'!Resal)*(1-EXP(('2022'!Tnet-Tnet)/('2022'!Tau_j))),IF(An_Tnet,Resal_2023,'2022'!Resal))</f>
        <v>2.9465013212189649E-2</v>
      </c>
      <c r="P10" s="416" t="b">
        <f>NOT(Acti_tai)</f>
        <v>1</v>
      </c>
      <c r="Q10" s="253">
        <f>IF(Acti_tai,'2022'!PousD,Dens-Dd)</f>
        <v>0</v>
      </c>
      <c r="R10" s="270"/>
      <c r="S10" s="271"/>
      <c r="T10" s="272"/>
      <c r="U10" s="262">
        <f>IF(Acti_tai,'2022'!PousH,Hdtf-Hdd)</f>
        <v>0.49999999999999994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IF(OR(Inflex,GainD),'2022'!Resal_s+('2022'!Salim-'2022'!Resal_s)*(1-EXP(('2022'!Tnet_s-Tnet)/('2022'!Tau_j))),IF(Acti_net,'2022'!Resal+('2022'!Salim-'2022'!Resal)*(1-EXP(('2022'!Tnet-Tnet)/'2022'!Tau_j)),'2022'!Resal_s))</f>
        <v>2.9465013212189649E-2</v>
      </c>
      <c r="AD10" s="422"/>
      <c r="AE10" s="422"/>
      <c r="AF10" s="256"/>
      <c r="AG10" s="257"/>
      <c r="AH10" s="258"/>
      <c r="AI10" s="515"/>
      <c r="AJ10" s="508">
        <f>SUMIF(AJ15:AJ380,"FAUX",Wh_sa)</f>
        <v>48003.20540259558</v>
      </c>
      <c r="AK10" s="508">
        <f>SUMIF(AK15:AK380,"FAUX",Wh_hp)</f>
        <v>48008.830877037304</v>
      </c>
      <c r="AL10" s="508">
        <f>SUMIF(AJ15:AJ380,"FAUX",Wh_sa_s)</f>
        <v>48003.20540259558</v>
      </c>
      <c r="AM10" s="508">
        <f>SUMIF(AK15:AK380,"FAUX",Wh_hp)</f>
        <v>48008.830877037304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427.66160677756125</v>
      </c>
      <c r="E11" s="51">
        <f>(E$9-D$9)*Prod_an/D$9</f>
        <v>1804.2679485092444</v>
      </c>
      <c r="F11" s="182">
        <f>(F$9-E$9)*Prod_an/E$9</f>
        <v>5.3619392829272767</v>
      </c>
      <c r="G11" s="181" t="s">
        <v>6</v>
      </c>
      <c r="H11" s="330"/>
      <c r="K11" s="190"/>
      <c r="L11" s="178">
        <f>Tvie_2023</f>
        <v>44609</v>
      </c>
      <c r="M11" s="834"/>
      <c r="N11" s="834"/>
      <c r="O11" s="198">
        <f>IF(An_Tnet,Salim_2023,'2022'!Salim)</f>
        <v>0.08</v>
      </c>
      <c r="P11" s="252">
        <f>Ttai_2023</f>
        <v>44562</v>
      </c>
      <c r="Q11" s="268">
        <f>Dens_2023</f>
        <v>0.5</v>
      </c>
      <c r="R11" s="273"/>
      <c r="S11" s="226"/>
      <c r="T11" s="226"/>
      <c r="U11" s="262">
        <f>Htf_2023</f>
        <v>0.98952914851469065</v>
      </c>
      <c r="V11" s="422"/>
      <c r="W11" s="511"/>
      <c r="X11" s="518" t="s">
        <v>43</v>
      </c>
      <c r="Y11" s="50">
        <f>Z$9-Prod_an_s</f>
        <v>427.66160677756125</v>
      </c>
      <c r="Z11" s="51">
        <f>(AA$9-Z$9)*Prod_an_s/Z$9</f>
        <v>1804.2679485092444</v>
      </c>
      <c r="AA11" s="182">
        <f>(AB$9-AA$9)*Prod_an_s/AA$9</f>
        <v>5.3619392829272767</v>
      </c>
      <c r="AB11" s="519" t="s">
        <v>6</v>
      </c>
      <c r="AC11" s="321"/>
      <c r="AD11" s="422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0</v>
      </c>
      <c r="AK11" s="824">
        <f>IF($AK7=0,0,($AK9-$AK7)*$AK5/$AK7)</f>
        <v>0</v>
      </c>
      <c r="AL11" s="823">
        <f>IF($AL7=0,0,($AL9-$AL7)*$AL5/$AL7)</f>
        <v>0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H12" s="28"/>
      <c r="K12" s="187"/>
      <c r="L12" s="200">
        <f>Pspv_2023</f>
        <v>0</v>
      </c>
      <c r="M12" s="208"/>
      <c r="N12" s="208"/>
      <c r="O12" s="201">
        <f>IF(An_Tnet,Tau_2023*365,'2022'!Tau_j)</f>
        <v>1095</v>
      </c>
      <c r="P12" s="277">
        <f>INDEX(Croivg,MIN(MAX(Ttai-$A$15,0)+1,366))</f>
        <v>2.3909964587625958E-6</v>
      </c>
      <c r="Q12" s="276">
        <f>'2022'!Df</f>
        <v>0.5</v>
      </c>
      <c r="R12" s="274"/>
      <c r="S12" s="275"/>
      <c r="T12" s="275"/>
      <c r="U12" s="263">
        <f>'2022'!Hdf</f>
        <v>0.4895291485146907</v>
      </c>
      <c r="V12" s="510"/>
      <c r="W12" s="497"/>
      <c r="X12" s="498"/>
      <c r="Y12" s="497"/>
      <c r="Z12" s="422"/>
      <c r="AA12" s="422"/>
      <c r="AB12" s="524"/>
      <c r="AC12" s="314" t="b">
        <f>NOT(An_Tnet)</f>
        <v>0</v>
      </c>
      <c r="AD12" s="422"/>
      <c r="AE12" s="292">
        <f>'2022'!Df_s</f>
        <v>0.5</v>
      </c>
      <c r="AF12" s="199"/>
      <c r="AG12" s="199"/>
      <c r="AH12" s="199"/>
      <c r="AI12" s="293">
        <f>'2022'!Hdf_s</f>
        <v>0.4895291485146907</v>
      </c>
      <c r="AJ12" s="823">
        <f>IF($AJ8=0,0,($AJ10-$AJ8)*$AJ6/$AJ8)</f>
        <v>1804.2679485092444</v>
      </c>
      <c r="AK12" s="824">
        <f>IF($AK8=0,0,($AK10-$AK8)*$AK6/$AK8)</f>
        <v>5.3619392829272767</v>
      </c>
      <c r="AL12" s="823">
        <f>IF($AL8=0,0,($AL10-$AL8)*$AL6/$AL8)</f>
        <v>1804.2679485092444</v>
      </c>
      <c r="AM12" s="824">
        <f>IF($AM8=0,0,($AM10-$AM8)*$AM6/$AM8)</f>
        <v>5.3619392829272767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722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1804.2679485092444</v>
      </c>
      <c r="AK13" s="73">
        <f>+AK11+AK12</f>
        <v>5.3619392829272767</v>
      </c>
      <c r="AL13" s="73">
        <f>+AL11+AL12</f>
        <v>1804.2679485092444</v>
      </c>
      <c r="AM13" s="73">
        <f>+AM11+AM12</f>
        <v>5.3619392829272767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411" t="s">
        <v>188</v>
      </c>
      <c r="C14" s="384"/>
      <c r="D14" s="53" t="s">
        <v>30</v>
      </c>
      <c r="E14" s="158" t="s">
        <v>29</v>
      </c>
      <c r="F14" s="158" t="str">
        <f>"Hors pertes "&amp; TEXT(An,0)</f>
        <v>Hors pertes 2023</v>
      </c>
      <c r="G14" s="107" t="s">
        <v>42</v>
      </c>
      <c r="H14" s="408" t="s">
        <v>117</v>
      </c>
      <c r="I14" s="410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2023</v>
      </c>
      <c r="W14" s="828" t="s">
        <v>116</v>
      </c>
      <c r="X14" s="254" t="s">
        <v>2</v>
      </c>
      <c r="Y14" s="107" t="str">
        <f>"Wh / Jour "&amp; TEXT(An,0)</f>
        <v>Wh / Jour 2023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326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56">
        <f>DATE(An,1,1)</f>
        <v>44927</v>
      </c>
      <c r="B15" s="405">
        <f>'2022'!Wh/'2022'!Env_an*'2023'!Env_an</f>
        <v>96.27531708757364</v>
      </c>
      <c r="C15" s="385"/>
      <c r="D15" s="388">
        <f t="shared" ref="D15:D78" si="0">Wh/(1-Ppv)</f>
        <v>96.94052711935602</v>
      </c>
      <c r="E15" s="380">
        <f t="shared" ref="E15:E79" si="1">Wh_pvt/(1-Psa)</f>
        <v>99.885334121052821</v>
      </c>
      <c r="F15" s="380">
        <f t="shared" ref="F15:F78" si="2">Wh_sa/(1-Pvg*MEDIAN((-Sdif+Wh/Env_an)/Csdif,0,1))</f>
        <v>99.941221484103295</v>
      </c>
      <c r="G15" s="110">
        <f>+Wh_hp/MaxiM</f>
        <v>1.0011866221014729</v>
      </c>
      <c r="H15" s="409" t="b">
        <f>Wh_hp&gt;='2022'!Maxi_hp</f>
        <v>1</v>
      </c>
      <c r="I15" s="391">
        <f>IF(H15,Wh_hp,'2022'!Maxi_hp)</f>
        <v>99.941221484103295</v>
      </c>
      <c r="J15" s="84">
        <f>IF(H15,An,'2022'!An_max)</f>
        <v>2023</v>
      </c>
      <c r="K15" s="193">
        <f t="shared" ref="K15:K78" si="3">t</f>
        <v>44927</v>
      </c>
      <c r="L15" s="142">
        <f>IF(t&lt;Tvie,1-EXP((T0-t)*PertePVj)+'2022'!Pspv,1-EXP((T0-t)*PertePVj)+Pspv)</f>
        <v>6.8620426518142263E-3</v>
      </c>
      <c r="M15" s="837"/>
      <c r="N15" s="837"/>
      <c r="O15" s="417">
        <f>IF(t&lt;Tnet,'2022'!Resal+('2022'!Salim-'2022'!Resal)*(1-EXP(('2022'!Tnet-t)/('2022'!Tau_j))),Resal+(Salim-Resal)*(1-EXP((Tnet-t)/(Tau_j))))*Salcycl</f>
        <v>2.9481875668833833E-2</v>
      </c>
      <c r="P15" s="298">
        <f>(INDEX(Models!$BJ15:$BT15,,T15)*(1-R15)+INDEX(Models!$BJ15:$BT15,,T15+1)*R15-ERP_i)*Q15*Ramure*Pc/MaxiM</f>
        <v>5.592023213301557E-4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0.48953034401292006</v>
      </c>
      <c r="S15" s="800">
        <f t="shared" ref="S15:S78" si="6">INDEX(Echel_vg,T15)</f>
        <v>0</v>
      </c>
      <c r="T15" s="245">
        <f t="shared" ref="T15:T78" si="7">MIN(MATCH(Hp_vg,Echel_vg),10)</f>
        <v>6</v>
      </c>
      <c r="U15" s="246">
        <f>IF(OR(t&lt;Ttai,Notai),Hdd+PousH*Croivg,Hdtf+PousH*(Croivg-Croi_tai))</f>
        <v>0.48953034401292006</v>
      </c>
      <c r="V15" s="377">
        <f t="shared" ref="V15:V78" si="8">MaxiM*(1-Ppv)*(1-Pvg)*(1-Psa)</f>
        <v>96.161210070399719</v>
      </c>
      <c r="W15" s="397">
        <f t="shared" ref="W15:W78" si="9">Wh*(A15&gt;Tmaj)</f>
        <v>96.27531708757364</v>
      </c>
      <c r="X15" s="418">
        <f t="shared" ref="X15:X78" si="10">t</f>
        <v>44927</v>
      </c>
      <c r="Y15" s="380">
        <f t="shared" ref="Y15:Y78" si="11">Wh_pvt_s*(1-Ppv)</f>
        <v>96.27531708757364</v>
      </c>
      <c r="Z15" s="380">
        <f t="shared" ref="Z15:Z78" si="12">Wh_sa_s*(1-Psa_s)</f>
        <v>96.94052711935602</v>
      </c>
      <c r="AA15" s="381">
        <f t="shared" ref="AA15:AA78" si="13">Wh_hp*(1-Pvg_s*MEDIAN((-Sdif+Wh/Env_an)/Csdif,0,1))</f>
        <v>99.885334121052821</v>
      </c>
      <c r="AB15" s="419">
        <f t="shared" ref="AB15:AB78" si="14">t</f>
        <v>44927</v>
      </c>
      <c r="AC15" s="420">
        <f>IF(OR(t&lt;Tnet,NoTnet),'2022'!Resal_s+('2022'!Salim-'2022'!Resal_s)*(1-EXP(('2022'!Tnet_s-t)/'2022'!Tau_j)),Resal_s+(Salim-Resal_s)*(1-EXP((Tnet_s-t)/Tau_j)))*Salcycl</f>
        <v>2.9481875668833833E-2</v>
      </c>
      <c r="AD15" s="227">
        <f>(INDEX(Models!$BJ15:$BT15,,AH15)*(1-AF15)+INDEX(Models!$BJ15:$BT15,,AH15+1)*AF15-ERP_i)*AE15*Ramure*Pc/MaxiM</f>
        <v>5.592023213301557E-4</v>
      </c>
      <c r="AE15" s="299">
        <f t="shared" ref="AE15:AE78" si="15">IF(OR(t&lt;Ttai,Notai),Dd_s+PousD*Croivg,Dens_s+PousD*(Croivg-Croi_tai))</f>
        <v>0.5</v>
      </c>
      <c r="AF15" s="300">
        <f t="shared" ref="AF15:AF78" si="16">(Hp_vg_s-AG15)/(INDEX(Echel_vg,AH15+1)-AG15)</f>
        <v>0.48953034401292006</v>
      </c>
      <c r="AG15" s="245">
        <f t="shared" ref="AG15:AG78" si="17">INDEX(Echel_vg,AH15)</f>
        <v>0</v>
      </c>
      <c r="AH15" s="245">
        <f t="shared" ref="AH15:AH78" si="18">MIN(MATCH(Hp_vg_s,Echel_vg),10)</f>
        <v>6</v>
      </c>
      <c r="AI15" s="220">
        <f>IF(OR(t&lt;Ttai,Notai),Hdd_s+PousH*Croivg,Hdtai_s+PousH*(Croivg-Croi_tai))</f>
        <v>0.48953034401292006</v>
      </c>
      <c r="AJ15" s="261" t="b">
        <f t="shared" ref="AJ15:AJ78" si="19">t&lt;Tnet</f>
        <v>0</v>
      </c>
      <c r="AK15" s="261" t="b">
        <f t="shared" ref="AK15:AK78" si="20">t&lt;Ttai</f>
        <v>0</v>
      </c>
      <c r="AL15" s="261"/>
      <c r="AM15" s="261"/>
      <c r="AN15" s="75"/>
    </row>
    <row r="16" spans="1:40" s="6" customFormat="1" ht="11.25" customHeight="1" x14ac:dyDescent="0.2">
      <c r="A16" s="56">
        <f t="shared" ref="A16:A79" si="21">A15+1</f>
        <v>44928</v>
      </c>
      <c r="B16" s="406">
        <f>'2022'!Wh/'2022'!Env_an*'2023'!Env_an</f>
        <v>70.40053383974697</v>
      </c>
      <c r="C16" s="385"/>
      <c r="D16" s="388">
        <f t="shared" si="0"/>
        <v>70.887933600997329</v>
      </c>
      <c r="E16" s="380">
        <f t="shared" si="1"/>
        <v>73.044713991441213</v>
      </c>
      <c r="F16" s="380">
        <f t="shared" si="2"/>
        <v>73.069998077031713</v>
      </c>
      <c r="G16" s="110">
        <f>+Wh_hp/MaxiM</f>
        <v>0.7275049453493192</v>
      </c>
      <c r="H16" s="409" t="b">
        <f>Wh_hp&gt;='2022'!Maxi_hp</f>
        <v>0</v>
      </c>
      <c r="I16" s="385">
        <f>IF(H16,Wh_hp,'2022'!Maxi_hp)</f>
        <v>73.086107014148709</v>
      </c>
      <c r="J16" s="85">
        <f>IF(H16,An,'2022'!An_max)</f>
        <v>2022</v>
      </c>
      <c r="K16" s="193">
        <f t="shared" si="3"/>
        <v>44928</v>
      </c>
      <c r="L16" s="143">
        <f>IF(t&lt;Tvie,1-EXP((T0-t)*PertePVj)+'2022'!Pspv,1-EXP((T0-t)*PertePVj)+Pspv)</f>
        <v>6.8756378764510684E-3</v>
      </c>
      <c r="M16" s="835"/>
      <c r="N16" s="835"/>
      <c r="O16" s="48">
        <f>IF(t&lt;Tnet,'2022'!Resal+('2022'!Salim-'2022'!Resal)*(1-EXP(('2022'!Tnet-t)/('2022'!Tau_j))),Resal+(Salim-Resal)*(1-EXP((Tnet-t)/(Tau_j))))*Salcycl</f>
        <v>2.9526851055869736E-2</v>
      </c>
      <c r="P16" s="165">
        <f>(INDEX(Models!$BJ16:$BT16,,T16)*(1-R16)+INDEX(Models!$BJ16:$BT16,,T16+1)*R16-ERP_i)*Q16*Ramure*Pc/MaxiM</f>
        <v>5.6637247863571038E-4</v>
      </c>
      <c r="Q16" s="301">
        <f t="shared" si="4"/>
        <v>0.5</v>
      </c>
      <c r="R16" s="173">
        <f t="shared" si="5"/>
        <v>0.4895595586269143</v>
      </c>
      <c r="S16" s="801">
        <f t="shared" si="6"/>
        <v>0</v>
      </c>
      <c r="T16" s="172">
        <f t="shared" si="7"/>
        <v>6</v>
      </c>
      <c r="U16" s="247">
        <f t="shared" ref="U16:U78" si="22">IF(OR(t&lt;Ttai,Notai),Hdd+PousH*Croivg,Hdtf+PousH*(Croivg-Croi_tai))</f>
        <v>0.4895595586269143</v>
      </c>
      <c r="V16" s="378">
        <f t="shared" si="8"/>
        <v>96.748505117437404</v>
      </c>
      <c r="W16" s="397">
        <f t="shared" si="9"/>
        <v>70.40053383974697</v>
      </c>
      <c r="X16" s="153">
        <f t="shared" si="10"/>
        <v>44928</v>
      </c>
      <c r="Y16" s="380">
        <f t="shared" si="11"/>
        <v>70.40053383974697</v>
      </c>
      <c r="Z16" s="380">
        <f t="shared" si="12"/>
        <v>70.887933600997329</v>
      </c>
      <c r="AA16" s="381">
        <f t="shared" si="13"/>
        <v>73.044713991441213</v>
      </c>
      <c r="AB16" s="193">
        <f t="shared" si="14"/>
        <v>44928</v>
      </c>
      <c r="AC16" s="420">
        <f>IF(OR(t&lt;Tnet,NoTnet),'2022'!Resal_s+('2022'!Salim-'2022'!Resal_s)*(1-EXP(('2022'!Tnet_s-t)/'2022'!Tau_j)),Resal_s+(Salim-Resal_s)*(1-EXP((Tnet_s-t)/Tau_j)))*Salcycl</f>
        <v>2.9526851055869736E-2</v>
      </c>
      <c r="AD16" s="227">
        <f>(INDEX(Models!$BJ16:$BT16,,AH16)*(1-AF16)+INDEX(Models!$BJ16:$BT16,,AH16+1)*AF16-ERP_i)*AE16*Ramure*Pc/MaxiM</f>
        <v>5.6637247863571038E-4</v>
      </c>
      <c r="AE16" s="301">
        <f t="shared" si="15"/>
        <v>0.5</v>
      </c>
      <c r="AF16" s="173">
        <f t="shared" si="16"/>
        <v>0.4895595586269143</v>
      </c>
      <c r="AG16" s="172">
        <f t="shared" si="17"/>
        <v>0</v>
      </c>
      <c r="AH16" s="172">
        <f t="shared" si="18"/>
        <v>6</v>
      </c>
      <c r="AI16" s="221">
        <f t="shared" ref="AI16:AI78" si="23">IF(OR(t&lt;Ttai,Notai),Hdd_s+PousH*Croivg,Hdtai_s+PousH*(Croivg-Croi_tai))</f>
        <v>0.4895595586269143</v>
      </c>
      <c r="AJ16" s="261" t="b">
        <f t="shared" si="19"/>
        <v>0</v>
      </c>
      <c r="AK16" s="261" t="b">
        <f t="shared" si="20"/>
        <v>0</v>
      </c>
      <c r="AL16" s="261"/>
      <c r="AM16" s="261"/>
      <c r="AN16" s="75"/>
    </row>
    <row r="17" spans="1:40" s="6" customFormat="1" ht="11.25" customHeight="1" x14ac:dyDescent="0.2">
      <c r="A17" s="56">
        <f t="shared" si="21"/>
        <v>44929</v>
      </c>
      <c r="B17" s="406">
        <f>'2022'!Wh/'2022'!Env_an*'2023'!Env_an</f>
        <v>73.316612479476987</v>
      </c>
      <c r="C17" s="385"/>
      <c r="D17" s="388">
        <f t="shared" si="0"/>
        <v>73.825211556890125</v>
      </c>
      <c r="E17" s="380">
        <f>Wh_pvt/(1-Psa)</f>
        <v>76.074886472283495</v>
      </c>
      <c r="F17" s="380">
        <f t="shared" si="2"/>
        <v>76.103134044138358</v>
      </c>
      <c r="G17" s="110">
        <f t="shared" ref="G17:G79" si="24">+Wh_hp/MaxiM</f>
        <v>0.75281128809861619</v>
      </c>
      <c r="H17" s="409" t="b">
        <f>Wh_hp&gt;='2022'!Maxi_hp</f>
        <v>0</v>
      </c>
      <c r="I17" s="385">
        <f>IF(H17,Wh_hp,'2022'!Maxi_hp)</f>
        <v>76.118546681586153</v>
      </c>
      <c r="J17" s="85">
        <f>IF(H17,An,'2022'!An_max)</f>
        <v>2022</v>
      </c>
      <c r="K17" s="193">
        <f t="shared" si="3"/>
        <v>44929</v>
      </c>
      <c r="L17" s="143">
        <f>IF(t&lt;Tvie,1-EXP((T0-t)*PertePVj)+'2022'!Pspv,1-EXP((T0-t)*PertePVj)+Pspv)</f>
        <v>6.8892329149806697E-3</v>
      </c>
      <c r="M17" s="835"/>
      <c r="N17" s="835"/>
      <c r="O17" s="48">
        <f>IF(t&lt;Tnet,'2022'!Resal+('2022'!Salim-'2022'!Resal)*(1-EXP(('2022'!Tnet-t)/('2022'!Tau_j))),Resal+(Salim-Resal)*(1-EXP((Tnet-t)/(Tau_j))))*Salcycl</f>
        <v>2.9571847158956974E-2</v>
      </c>
      <c r="P17" s="165">
        <f>(INDEX(Models!$BJ17:$BT17,,T17)*(1-R17)+INDEX(Models!$BJ17:$BT17,,T17+1)*R17-ERP_i)*Q17*Ramure*Pc/MaxiM</f>
        <v>5.7360530042151723E-4</v>
      </c>
      <c r="Q17" s="301">
        <f t="shared" si="4"/>
        <v>0.5</v>
      </c>
      <c r="R17" s="173">
        <f t="shared" si="5"/>
        <v>0.48958999522240393</v>
      </c>
      <c r="S17" s="801">
        <f t="shared" si="6"/>
        <v>0</v>
      </c>
      <c r="T17" s="172">
        <f t="shared" si="7"/>
        <v>6</v>
      </c>
      <c r="U17" s="247">
        <f t="shared" si="22"/>
        <v>0.48958999522240393</v>
      </c>
      <c r="V17" s="378">
        <f t="shared" si="8"/>
        <v>97.370704471351104</v>
      </c>
      <c r="W17" s="397">
        <f t="shared" si="9"/>
        <v>73.316612479476987</v>
      </c>
      <c r="X17" s="153">
        <f t="shared" si="10"/>
        <v>44929</v>
      </c>
      <c r="Y17" s="380">
        <f t="shared" si="11"/>
        <v>73.316612479476987</v>
      </c>
      <c r="Z17" s="380">
        <f t="shared" si="12"/>
        <v>73.825211556890125</v>
      </c>
      <c r="AA17" s="381">
        <f t="shared" si="13"/>
        <v>76.074886472283495</v>
      </c>
      <c r="AB17" s="193">
        <f t="shared" si="14"/>
        <v>44929</v>
      </c>
      <c r="AC17" s="420">
        <f>IF(OR(t&lt;Tnet,NoTnet),'2022'!Resal_s+('2022'!Salim-'2022'!Resal_s)*(1-EXP(('2022'!Tnet_s-t)/'2022'!Tau_j)),Resal_s+(Salim-Resal_s)*(1-EXP((Tnet_s-t)/Tau_j)))*Salcycl</f>
        <v>2.9571847158956974E-2</v>
      </c>
      <c r="AD17" s="227">
        <f>(INDEX(Models!$BJ17:$BT17,,AH17)*(1-AF17)+INDEX(Models!$BJ17:$BT17,,AH17+1)*AF17-ERP_i)*AE17*Ramure*Pc/MaxiM</f>
        <v>5.7360530042151723E-4</v>
      </c>
      <c r="AE17" s="301">
        <f t="shared" si="15"/>
        <v>0.5</v>
      </c>
      <c r="AF17" s="173">
        <f t="shared" si="16"/>
        <v>0.48958999522240393</v>
      </c>
      <c r="AG17" s="172">
        <f t="shared" si="17"/>
        <v>0</v>
      </c>
      <c r="AH17" s="172">
        <f t="shared" si="18"/>
        <v>6</v>
      </c>
      <c r="AI17" s="221">
        <f t="shared" si="23"/>
        <v>0.48958999522240393</v>
      </c>
      <c r="AJ17" s="261" t="b">
        <f t="shared" si="19"/>
        <v>0</v>
      </c>
      <c r="AK17" s="261" t="b">
        <f t="shared" si="20"/>
        <v>0</v>
      </c>
      <c r="AL17" s="261"/>
      <c r="AM17" s="261"/>
      <c r="AN17" s="75"/>
    </row>
    <row r="18" spans="1:40" s="6" customFormat="1" ht="11.25" customHeight="1" x14ac:dyDescent="0.2">
      <c r="A18" s="56">
        <f t="shared" si="21"/>
        <v>44930</v>
      </c>
      <c r="B18" s="406">
        <f>'2022'!Wh/'2022'!Env_an*'2023'!Env_an</f>
        <v>78.739334403333942</v>
      </c>
      <c r="C18" s="385"/>
      <c r="D18" s="388">
        <f t="shared" si="0"/>
        <v>79.286636398650742</v>
      </c>
      <c r="E18" s="380">
        <f>Wh_pvt/(1-Psa)</f>
        <v>81.706526956294951</v>
      </c>
      <c r="F18" s="380">
        <f t="shared" si="2"/>
        <v>81.740663984312263</v>
      </c>
      <c r="G18" s="110">
        <f>+Wh_hp/MaxiM</f>
        <v>0.80311852497123737</v>
      </c>
      <c r="H18" s="409" t="b">
        <f>Wh_hp&gt;='2022'!Maxi_hp</f>
        <v>0</v>
      </c>
      <c r="I18" s="385">
        <f>IF(H18,Wh_hp,'2022'!Maxi_hp)</f>
        <v>81.754015578877613</v>
      </c>
      <c r="J18" s="85">
        <f>IF(H18,An,'2022'!An_max)</f>
        <v>2022</v>
      </c>
      <c r="K18" s="193">
        <f>t</f>
        <v>44930</v>
      </c>
      <c r="L18" s="143">
        <f>IF(t&lt;Tvie,1-EXP((T0-t)*PertePVj)+'2022'!Pspv,1-EXP((T0-t)*PertePVj)+Pspv)</f>
        <v>6.9028277674055838E-3</v>
      </c>
      <c r="M18" s="835"/>
      <c r="N18" s="835"/>
      <c r="O18" s="48">
        <f>IF(t&lt;Tnet,'2022'!Resal+('2022'!Salim-'2022'!Resal)*(1-EXP(('2022'!Tnet-t)/('2022'!Tau_j))),Resal+(Salim-Resal)*(1-EXP((Tnet-t)/(Tau_j))))*Salcycl</f>
        <v>2.9616857401595489E-2</v>
      </c>
      <c r="P18" s="165">
        <f>(INDEX(Models!$BJ18:$BT18,,T18)*(1-R18)+INDEX(Models!$BJ18:$BT18,,T18+1)*R18-ERP_i)*Q18*Ramure*Pc/MaxiM</f>
        <v>5.8090088300010432E-4</v>
      </c>
      <c r="Q18" s="301">
        <f>IF(OR(t&lt;Ttai,Notai),Dd+PousD*Croivg,Dens+PousD*(Croivg-Croi_tai))</f>
        <v>0.5</v>
      </c>
      <c r="R18" s="173">
        <f t="shared" si="5"/>
        <v>0.48962170475369904</v>
      </c>
      <c r="S18" s="801">
        <f t="shared" si="6"/>
        <v>0</v>
      </c>
      <c r="T18" s="172">
        <f t="shared" si="7"/>
        <v>6</v>
      </c>
      <c r="U18" s="247">
        <f t="shared" si="22"/>
        <v>0.48962170475369904</v>
      </c>
      <c r="V18" s="378">
        <f t="shared" si="8"/>
        <v>98.025970551058322</v>
      </c>
      <c r="W18" s="397">
        <f t="shared" si="9"/>
        <v>78.739334403333942</v>
      </c>
      <c r="X18" s="153">
        <f t="shared" si="10"/>
        <v>44930</v>
      </c>
      <c r="Y18" s="380">
        <f t="shared" si="11"/>
        <v>78.739334403333942</v>
      </c>
      <c r="Z18" s="380">
        <f>Wh_sa_s*(1-Psa_s)</f>
        <v>79.286636398650742</v>
      </c>
      <c r="AA18" s="381">
        <f t="shared" si="13"/>
        <v>81.706526956294951</v>
      </c>
      <c r="AB18" s="193">
        <f>t</f>
        <v>44930</v>
      </c>
      <c r="AC18" s="420">
        <f>IF(OR(t&lt;Tnet,NoTnet),'2022'!Resal_s+('2022'!Salim-'2022'!Resal_s)*(1-EXP(('2022'!Tnet_s-t)/'2022'!Tau_j)),Resal_s+(Salim-Resal_s)*(1-EXP((Tnet_s-t)/Tau_j)))*Salcycl</f>
        <v>2.9616857401595489E-2</v>
      </c>
      <c r="AD18" s="227">
        <f>(INDEX(Models!$BJ18:$BT18,,AH18)*(1-AF18)+INDEX(Models!$BJ18:$BT18,,AH18+1)*AF18-ERP_i)*AE18*Ramure*Pc/MaxiM</f>
        <v>5.8090088300010432E-4</v>
      </c>
      <c r="AE18" s="301">
        <f t="shared" si="15"/>
        <v>0.5</v>
      </c>
      <c r="AF18" s="173">
        <f t="shared" si="16"/>
        <v>0.48962170475369904</v>
      </c>
      <c r="AG18" s="172">
        <f t="shared" si="17"/>
        <v>0</v>
      </c>
      <c r="AH18" s="172">
        <f t="shared" si="18"/>
        <v>6</v>
      </c>
      <c r="AI18" s="221">
        <f t="shared" si="23"/>
        <v>0.48962170475369904</v>
      </c>
      <c r="AJ18" s="261" t="b">
        <f t="shared" si="19"/>
        <v>0</v>
      </c>
      <c r="AK18" s="261" t="b">
        <f t="shared" si="20"/>
        <v>0</v>
      </c>
      <c r="AL18" s="261"/>
      <c r="AM18" s="261"/>
      <c r="AN18" s="75"/>
    </row>
    <row r="19" spans="1:40" s="6" customFormat="1" ht="11.25" customHeight="1" x14ac:dyDescent="0.2">
      <c r="A19" s="56">
        <f t="shared" si="21"/>
        <v>44931</v>
      </c>
      <c r="B19" s="406">
        <f>'2022'!Wh/'2022'!Env_an*'2023'!Env_an</f>
        <v>59.206332655917095</v>
      </c>
      <c r="C19" s="385"/>
      <c r="D19" s="388">
        <f t="shared" si="0"/>
        <v>59.618680636138173</v>
      </c>
      <c r="E19" s="380">
        <f>Wh_pvt/(1-Psa)</f>
        <v>61.441140119282821</v>
      </c>
      <c r="F19" s="380">
        <f t="shared" si="2"/>
        <v>61.45662296716305</v>
      </c>
      <c r="G19" s="110">
        <f>+Wh_hp/MaxiM</f>
        <v>0.59958399551940833</v>
      </c>
      <c r="H19" s="409" t="b">
        <f>Wh_hp&gt;='2022'!Maxi_hp</f>
        <v>0</v>
      </c>
      <c r="I19" s="385">
        <f>IF(H19,Wh_hp,'2022'!Maxi_hp)</f>
        <v>61.477299806338095</v>
      </c>
      <c r="J19" s="85">
        <f>IF(H19,An,'2022'!An_max)</f>
        <v>2022</v>
      </c>
      <c r="K19" s="193">
        <f t="shared" si="3"/>
        <v>44931</v>
      </c>
      <c r="L19" s="143">
        <f>IF(t&lt;Tvie,1-EXP((T0-t)*PertePVj)+'2022'!Pspv,1-EXP((T0-t)*PertePVj)+Pspv)</f>
        <v>6.9164224337284752E-3</v>
      </c>
      <c r="M19" s="835"/>
      <c r="N19" s="835"/>
      <c r="O19" s="48">
        <f>IF(t&lt;Tnet,'2022'!Resal+('2022'!Salim-'2022'!Resal)*(1-EXP(('2022'!Tnet-t)/('2022'!Tau_j))),Resal+(Salim-Resal)*(1-EXP((Tnet-t)/(Tau_j))))*Salcycl</f>
        <v>2.9661876059046011E-2</v>
      </c>
      <c r="P19" s="165">
        <f>(INDEX(Models!$BJ19:$BT19,,T19)*(1-R19)+INDEX(Models!$BJ19:$BT19,,T19+1)*R19-ERP_i)*Q19*Ramure*Pc/MaxiM</f>
        <v>5.8825981013148061E-4</v>
      </c>
      <c r="Q19" s="301">
        <f t="shared" si="4"/>
        <v>0.5</v>
      </c>
      <c r="R19" s="173">
        <f t="shared" si="5"/>
        <v>0.48965474028626071</v>
      </c>
      <c r="S19" s="801">
        <f t="shared" si="6"/>
        <v>0</v>
      </c>
      <c r="T19" s="172">
        <f t="shared" si="7"/>
        <v>6</v>
      </c>
      <c r="U19" s="247">
        <f t="shared" si="22"/>
        <v>0.48965474028626071</v>
      </c>
      <c r="V19" s="378">
        <f t="shared" si="8"/>
        <v>98.712466149139885</v>
      </c>
      <c r="W19" s="397">
        <f t="shared" si="9"/>
        <v>59.206332655917095</v>
      </c>
      <c r="X19" s="153">
        <f t="shared" si="10"/>
        <v>44931</v>
      </c>
      <c r="Y19" s="380">
        <f t="shared" si="11"/>
        <v>59.206332655917095</v>
      </c>
      <c r="Z19" s="380">
        <f t="shared" si="12"/>
        <v>59.618680636138173</v>
      </c>
      <c r="AA19" s="381">
        <f t="shared" si="13"/>
        <v>61.441140119282821</v>
      </c>
      <c r="AB19" s="193">
        <f t="shared" si="14"/>
        <v>44931</v>
      </c>
      <c r="AC19" s="420">
        <f>IF(OR(t&lt;Tnet,NoTnet),'2022'!Resal_s+('2022'!Salim-'2022'!Resal_s)*(1-EXP(('2022'!Tnet_s-t)/'2022'!Tau_j)),Resal_s+(Salim-Resal_s)*(1-EXP((Tnet_s-t)/Tau_j)))*Salcycl</f>
        <v>2.9661876059046011E-2</v>
      </c>
      <c r="AD19" s="227">
        <f>(INDEX(Models!$BJ19:$BT19,,AH19)*(1-AF19)+INDEX(Models!$BJ19:$BT19,,AH19+1)*AF19-ERP_i)*AE19*Ramure*Pc/MaxiM</f>
        <v>5.8825981013148061E-4</v>
      </c>
      <c r="AE19" s="301">
        <f t="shared" si="15"/>
        <v>0.5</v>
      </c>
      <c r="AF19" s="173">
        <f t="shared" si="16"/>
        <v>0.48965474028626071</v>
      </c>
      <c r="AG19" s="172">
        <f t="shared" si="17"/>
        <v>0</v>
      </c>
      <c r="AH19" s="172">
        <f t="shared" si="18"/>
        <v>6</v>
      </c>
      <c r="AI19" s="221">
        <f t="shared" si="23"/>
        <v>0.48965474028626071</v>
      </c>
      <c r="AJ19" s="261" t="b">
        <f t="shared" si="19"/>
        <v>0</v>
      </c>
      <c r="AK19" s="261" t="b">
        <f t="shared" si="20"/>
        <v>0</v>
      </c>
      <c r="AL19" s="261"/>
      <c r="AM19" s="261"/>
      <c r="AN19" s="75"/>
    </row>
    <row r="20" spans="1:40" s="6" customFormat="1" ht="11.25" customHeight="1" x14ac:dyDescent="0.2">
      <c r="A20" s="56">
        <f t="shared" si="21"/>
        <v>44932</v>
      </c>
      <c r="B20" s="406">
        <f>'2022'!Wh/'2022'!Env_an*'2023'!Env_an</f>
        <v>101.41310792895383</v>
      </c>
      <c r="C20" s="385"/>
      <c r="D20" s="388">
        <f t="shared" si="0"/>
        <v>102.12080684767463</v>
      </c>
      <c r="E20" s="380">
        <f t="shared" si="1"/>
        <v>105.24738005665525</v>
      </c>
      <c r="F20" s="380">
        <f t="shared" si="2"/>
        <v>105.31011151518356</v>
      </c>
      <c r="G20" s="110">
        <f t="shared" si="24"/>
        <v>1.0199616450883788</v>
      </c>
      <c r="H20" s="409" t="b">
        <f>Wh_hp&gt;='2022'!Maxi_hp</f>
        <v>1</v>
      </c>
      <c r="I20" s="385">
        <f>IF(H20,Wh_hp,'2022'!Maxi_hp)</f>
        <v>105.31011151518356</v>
      </c>
      <c r="J20" s="85">
        <f>IF(H20,An,'2022'!An_max)</f>
        <v>2023</v>
      </c>
      <c r="K20" s="193">
        <f t="shared" si="3"/>
        <v>44932</v>
      </c>
      <c r="L20" s="143">
        <f>IF(t&lt;Tvie,1-EXP((T0-t)*PertePVj)+'2022'!Pspv,1-EXP((T0-t)*PertePVj)+Pspv)</f>
        <v>6.9300169139517864E-3</v>
      </c>
      <c r="M20" s="835"/>
      <c r="N20" s="835"/>
      <c r="O20" s="48">
        <f>IF(t&lt;Tnet,'2022'!Resal+('2022'!Salim-'2022'!Resal)*(1-EXP(('2022'!Tnet-t)/('2022'!Tau_j))),Resal+(Salim-Resal)*(1-EXP((Tnet-t)/(Tau_j))))*Salcycl</f>
        <v>2.9706898236303573E-2</v>
      </c>
      <c r="P20" s="165">
        <f>(INDEX(Models!$BJ20:$BT20,,T20)*(1-R20)+INDEX(Models!$BJ20:$BT20,,T20+1)*R20-ERP_i)*Q20*Ramure*Pc/MaxiM</f>
        <v>5.9568314595581629E-4</v>
      </c>
      <c r="Q20" s="301">
        <f t="shared" si="4"/>
        <v>0.5</v>
      </c>
      <c r="R20" s="173">
        <f t="shared" si="5"/>
        <v>0.48968915708301142</v>
      </c>
      <c r="S20" s="801">
        <f t="shared" si="6"/>
        <v>0</v>
      </c>
      <c r="T20" s="172">
        <f t="shared" si="7"/>
        <v>6</v>
      </c>
      <c r="U20" s="247">
        <f t="shared" si="22"/>
        <v>0.48968915708301142</v>
      </c>
      <c r="V20" s="378">
        <f t="shared" si="8"/>
        <v>99.428354406568374</v>
      </c>
      <c r="W20" s="397">
        <f t="shared" si="9"/>
        <v>101.41310792895383</v>
      </c>
      <c r="X20" s="153">
        <f t="shared" si="10"/>
        <v>44932</v>
      </c>
      <c r="Y20" s="380">
        <f t="shared" si="11"/>
        <v>101.41310792895383</v>
      </c>
      <c r="Z20" s="380">
        <f t="shared" si="12"/>
        <v>102.12080684767463</v>
      </c>
      <c r="AA20" s="381">
        <f t="shared" si="13"/>
        <v>105.24738005665525</v>
      </c>
      <c r="AB20" s="193">
        <f t="shared" si="14"/>
        <v>44932</v>
      </c>
      <c r="AC20" s="420">
        <f>IF(OR(t&lt;Tnet,NoTnet),'2022'!Resal_s+('2022'!Salim-'2022'!Resal_s)*(1-EXP(('2022'!Tnet_s-t)/'2022'!Tau_j)),Resal_s+(Salim-Resal_s)*(1-EXP((Tnet_s-t)/Tau_j)))*Salcycl</f>
        <v>2.9706898236303573E-2</v>
      </c>
      <c r="AD20" s="227">
        <f>(INDEX(Models!$BJ20:$BT20,,AH20)*(1-AF20)+INDEX(Models!$BJ20:$BT20,,AH20+1)*AF20-ERP_i)*AE20*Ramure*Pc/MaxiM</f>
        <v>5.9568314595581629E-4</v>
      </c>
      <c r="AE20" s="301">
        <f>IF(OR(t&lt;Ttai,Notai),Dd_s+PousD*Croivg,Dens_s+PousD*(Croivg-Croi_tai))</f>
        <v>0.5</v>
      </c>
      <c r="AF20" s="173">
        <f t="shared" si="16"/>
        <v>0.48968915708301142</v>
      </c>
      <c r="AG20" s="172">
        <f t="shared" si="17"/>
        <v>0</v>
      </c>
      <c r="AH20" s="172">
        <f t="shared" si="18"/>
        <v>6</v>
      </c>
      <c r="AI20" s="221">
        <f>IF(OR(t&lt;Ttai,Notai),Hdd_s+PousH*Croivg,Hdtai_s+PousH*(Croivg-Croi_tai))</f>
        <v>0.48968915708301142</v>
      </c>
      <c r="AJ20" s="261" t="b">
        <f t="shared" si="19"/>
        <v>0</v>
      </c>
      <c r="AK20" s="261" t="b">
        <f t="shared" si="20"/>
        <v>0</v>
      </c>
      <c r="AL20" s="261"/>
      <c r="AM20" s="261"/>
      <c r="AN20" s="75"/>
    </row>
    <row r="21" spans="1:40" s="6" customFormat="1" ht="11.25" customHeight="1" x14ac:dyDescent="0.2">
      <c r="A21" s="56">
        <f t="shared" si="21"/>
        <v>44933</v>
      </c>
      <c r="B21" s="406">
        <f>'2022'!Wh/'2022'!Env_an*'2023'!Env_an</f>
        <v>38.363356081380147</v>
      </c>
      <c r="C21" s="385"/>
      <c r="D21" s="388">
        <f t="shared" si="0"/>
        <v>38.631598884379699</v>
      </c>
      <c r="E21" s="380">
        <f t="shared" si="1"/>
        <v>39.816207498167614</v>
      </c>
      <c r="F21" s="380">
        <f t="shared" si="2"/>
        <v>39.819054481029553</v>
      </c>
      <c r="G21" s="110">
        <f t="shared" si="24"/>
        <v>0.38277198026956732</v>
      </c>
      <c r="H21" s="409" t="b">
        <f>Wh_hp&gt;='2022'!Maxi_hp</f>
        <v>0</v>
      </c>
      <c r="I21" s="385">
        <f>IF(H21,Wh_hp,'2022'!Maxi_hp)</f>
        <v>39.840230222025987</v>
      </c>
      <c r="J21" s="85">
        <f>IF(H21,An,'2022'!An_max)</f>
        <v>2022</v>
      </c>
      <c r="K21" s="193">
        <f t="shared" si="3"/>
        <v>44933</v>
      </c>
      <c r="L21" s="143">
        <f>IF(t&lt;Tvie,1-EXP((T0-t)*PertePVj)+'2022'!Pspv,1-EXP((T0-t)*PertePVj)+Pspv)</f>
        <v>6.943611208078071E-3</v>
      </c>
      <c r="M21" s="835"/>
      <c r="N21" s="835"/>
      <c r="O21" s="48">
        <f>IF(t&lt;Tnet,'2022'!Resal+('2022'!Salim-'2022'!Resal)*(1-EXP(('2022'!Tnet-t)/('2022'!Tau_j))),Resal+(Salim-Resal)*(1-EXP((Tnet-t)/(Tau_j))))*Salcycl</f>
        <v>2.9751919839237067E-2</v>
      </c>
      <c r="P21" s="165">
        <f>(INDEX(Models!$BJ21:$BT21,,T21)*(1-R21)+INDEX(Models!$BJ21:$BT21,,T21+1)*R21-ERP_i)*Q21*Ramure*Pc/MaxiM</f>
        <v>6.0317242536044654E-4</v>
      </c>
      <c r="Q21" s="301">
        <f t="shared" si="4"/>
        <v>0.5</v>
      </c>
      <c r="R21" s="173">
        <f t="shared" si="5"/>
        <v>0.48972501269407459</v>
      </c>
      <c r="S21" s="801">
        <f t="shared" si="6"/>
        <v>0</v>
      </c>
      <c r="T21" s="172">
        <f t="shared" si="7"/>
        <v>6</v>
      </c>
      <c r="U21" s="247">
        <f t="shared" si="22"/>
        <v>0.48972501269407459</v>
      </c>
      <c r="V21" s="378">
        <f t="shared" si="8"/>
        <v>100.17179883632716</v>
      </c>
      <c r="W21" s="397">
        <f t="shared" si="9"/>
        <v>38.363356081380147</v>
      </c>
      <c r="X21" s="153">
        <f t="shared" si="10"/>
        <v>44933</v>
      </c>
      <c r="Y21" s="380">
        <f t="shared" si="11"/>
        <v>38.363356081380147</v>
      </c>
      <c r="Z21" s="380">
        <f t="shared" si="12"/>
        <v>38.631598884379699</v>
      </c>
      <c r="AA21" s="381">
        <f t="shared" si="13"/>
        <v>39.816207498167614</v>
      </c>
      <c r="AB21" s="193">
        <f t="shared" si="14"/>
        <v>44933</v>
      </c>
      <c r="AC21" s="420">
        <f>IF(OR(t&lt;Tnet,NoTnet),'2022'!Resal_s+('2022'!Salim-'2022'!Resal_s)*(1-EXP(('2022'!Tnet_s-t)/'2022'!Tau_j)),Resal_s+(Salim-Resal_s)*(1-EXP((Tnet_s-t)/Tau_j)))*Salcycl</f>
        <v>2.9751919839237067E-2</v>
      </c>
      <c r="AD21" s="227">
        <f>(INDEX(Models!$BJ21:$BT21,,AH21)*(1-AF21)+INDEX(Models!$BJ21:$BT21,,AH21+1)*AF21-ERP_i)*AE21*Ramure*Pc/MaxiM</f>
        <v>6.0317242536044654E-4</v>
      </c>
      <c r="AE21" s="301">
        <f t="shared" si="15"/>
        <v>0.5</v>
      </c>
      <c r="AF21" s="173">
        <f t="shared" si="16"/>
        <v>0.48972501269407459</v>
      </c>
      <c r="AG21" s="172">
        <f t="shared" si="17"/>
        <v>0</v>
      </c>
      <c r="AH21" s="172">
        <f t="shared" si="18"/>
        <v>6</v>
      </c>
      <c r="AI21" s="221">
        <f t="shared" si="23"/>
        <v>0.48972501269407459</v>
      </c>
      <c r="AJ21" s="261" t="b">
        <f t="shared" si="19"/>
        <v>0</v>
      </c>
      <c r="AK21" s="261" t="b">
        <f t="shared" si="20"/>
        <v>0</v>
      </c>
      <c r="AL21" s="261"/>
      <c r="AM21" s="261"/>
      <c r="AN21" s="75"/>
    </row>
    <row r="22" spans="1:40" s="6" customFormat="1" ht="11.25" customHeight="1" x14ac:dyDescent="0.2">
      <c r="A22" s="56">
        <f t="shared" si="21"/>
        <v>44934</v>
      </c>
      <c r="B22" s="406">
        <f>'2022'!Wh/'2022'!Env_an*'2023'!Env_an</f>
        <v>25.685500140753383</v>
      </c>
      <c r="C22" s="385"/>
      <c r="D22" s="388">
        <f t="shared" si="0"/>
        <v>25.865451396714182</v>
      </c>
      <c r="E22" s="380">
        <f t="shared" si="1"/>
        <v>26.659832768528741</v>
      </c>
      <c r="F22" s="380">
        <f t="shared" si="2"/>
        <v>26.659832768528741</v>
      </c>
      <c r="G22" s="110">
        <f t="shared" si="24"/>
        <v>0.25430521366346492</v>
      </c>
      <c r="H22" s="409" t="b">
        <f>Wh_hp&gt;='2022'!Maxi_hp</f>
        <v>0</v>
      </c>
      <c r="I22" s="385">
        <f>IF(H22,Wh_hp,'2022'!Maxi_hp)</f>
        <v>26.676117567913273</v>
      </c>
      <c r="J22" s="85">
        <f>IF(H22,An,'2022'!An_max)</f>
        <v>2022</v>
      </c>
      <c r="K22" s="193">
        <f t="shared" si="3"/>
        <v>44934</v>
      </c>
      <c r="L22" s="143">
        <f>IF(t&lt;Tvie,1-EXP((T0-t)*PertePVj)+'2022'!Pspv,1-EXP((T0-t)*PertePVj)+Pspv)</f>
        <v>6.9572053161097713E-3</v>
      </c>
      <c r="M22" s="835"/>
      <c r="N22" s="835"/>
      <c r="O22" s="48">
        <f>IF(t&lt;Tnet,'2022'!Resal+('2022'!Salim-'2022'!Resal)*(1-EXP(('2022'!Tnet-t)/('2022'!Tau_j))),Resal+(Salim-Resal)*(1-EXP((Tnet-t)/(Tau_j))))*Salcycl</f>
        <v>2.9796937539394708E-2</v>
      </c>
      <c r="P22" s="165">
        <f>(INDEX(Models!$BJ22:$BT22,,T22)*(1-R22)+INDEX(Models!$BJ22:$BT22,,T22+1)*R22-ERP_i)*Q22*Ramure*Pc/MaxiM</f>
        <v>6.1072964249067911E-4</v>
      </c>
      <c r="Q22" s="301">
        <f t="shared" si="4"/>
        <v>0.5</v>
      </c>
      <c r="R22" s="173">
        <f t="shared" si="5"/>
        <v>0.48976236705007176</v>
      </c>
      <c r="S22" s="801">
        <f t="shared" si="6"/>
        <v>0</v>
      </c>
      <c r="T22" s="172">
        <f t="shared" si="7"/>
        <v>6</v>
      </c>
      <c r="U22" s="247">
        <f t="shared" si="22"/>
        <v>0.48976236705007176</v>
      </c>
      <c r="V22" s="378">
        <f t="shared" si="8"/>
        <v>100.94096331979021</v>
      </c>
      <c r="W22" s="397">
        <f t="shared" si="9"/>
        <v>25.685500140753383</v>
      </c>
      <c r="X22" s="153">
        <f t="shared" si="10"/>
        <v>44934</v>
      </c>
      <c r="Y22" s="380">
        <f t="shared" si="11"/>
        <v>25.685500140753383</v>
      </c>
      <c r="Z22" s="380">
        <f t="shared" si="12"/>
        <v>25.865451396714182</v>
      </c>
      <c r="AA22" s="381">
        <f t="shared" si="13"/>
        <v>26.659832768528741</v>
      </c>
      <c r="AB22" s="193">
        <f t="shared" si="14"/>
        <v>44934</v>
      </c>
      <c r="AC22" s="420">
        <f>IF(OR(t&lt;Tnet,NoTnet),'2022'!Resal_s+('2022'!Salim-'2022'!Resal_s)*(1-EXP(('2022'!Tnet_s-t)/'2022'!Tau_j)),Resal_s+(Salim-Resal_s)*(1-EXP((Tnet_s-t)/Tau_j)))*Salcycl</f>
        <v>2.9796937539394708E-2</v>
      </c>
      <c r="AD22" s="227">
        <f>(INDEX(Models!$BJ22:$BT22,,AH22)*(1-AF22)+INDEX(Models!$BJ22:$BT22,,AH22+1)*AF22-ERP_i)*AE22*Ramure*Pc/MaxiM</f>
        <v>6.1072964249067911E-4</v>
      </c>
      <c r="AE22" s="301">
        <f t="shared" si="15"/>
        <v>0.5</v>
      </c>
      <c r="AF22" s="173">
        <f t="shared" si="16"/>
        <v>0.48976236705007176</v>
      </c>
      <c r="AG22" s="172">
        <f t="shared" si="17"/>
        <v>0</v>
      </c>
      <c r="AH22" s="172">
        <f t="shared" si="18"/>
        <v>6</v>
      </c>
      <c r="AI22" s="221">
        <f t="shared" si="23"/>
        <v>0.48976236705007176</v>
      </c>
      <c r="AJ22" s="261" t="b">
        <f t="shared" si="19"/>
        <v>0</v>
      </c>
      <c r="AK22" s="261" t="b">
        <f t="shared" si="20"/>
        <v>0</v>
      </c>
      <c r="AL22" s="261"/>
      <c r="AM22" s="261"/>
      <c r="AN22" s="75"/>
    </row>
    <row r="23" spans="1:40" s="6" customFormat="1" ht="11.25" customHeight="1" x14ac:dyDescent="0.2">
      <c r="A23" s="56">
        <f t="shared" si="21"/>
        <v>44935</v>
      </c>
      <c r="B23" s="406">
        <f>'2022'!Wh/'2022'!Env_an*'2023'!Env_an</f>
        <v>8.0195396213559587</v>
      </c>
      <c r="C23" s="385"/>
      <c r="D23" s="388">
        <f t="shared" si="0"/>
        <v>8.0758346433343284</v>
      </c>
      <c r="E23" s="380">
        <f t="shared" si="1"/>
        <v>8.3242463769565287</v>
      </c>
      <c r="F23" s="380">
        <f t="shared" si="2"/>
        <v>8.3242463769565287</v>
      </c>
      <c r="G23" s="110">
        <f t="shared" si="24"/>
        <v>7.8771919856518102E-2</v>
      </c>
      <c r="H23" s="409" t="b">
        <f>Wh_hp&gt;='2022'!Maxi_hp</f>
        <v>0</v>
      </c>
      <c r="I23" s="385">
        <f>IF(H23,Wh_hp,'2022'!Maxi_hp)</f>
        <v>8.3293938096908722</v>
      </c>
      <c r="J23" s="85">
        <f>IF(H23,An,'2022'!An_max)</f>
        <v>2022</v>
      </c>
      <c r="K23" s="193">
        <f t="shared" si="3"/>
        <v>44935</v>
      </c>
      <c r="L23" s="143">
        <f>IF(t&lt;Tvie,1-EXP((T0-t)*PertePVj)+'2022'!Pspv,1-EXP((T0-t)*PertePVj)+Pspv)</f>
        <v>6.9707992380496631E-3</v>
      </c>
      <c r="M23" s="835"/>
      <c r="N23" s="835"/>
      <c r="O23" s="48">
        <f>IF(t&lt;Tnet,'2022'!Resal+('2022'!Salim-'2022'!Resal)*(1-EXP(('2022'!Tnet-t)/('2022'!Tau_j))),Resal+(Salim-Resal)*(1-EXP((Tnet-t)/(Tau_j))))*Salcycl</f>
        <v>2.9841948733024374E-2</v>
      </c>
      <c r="P23" s="165">
        <f>(INDEX(Models!$BJ23:$BT23,,T23)*(1-R23)+INDEX(Models!$BJ23:$BT23,,T23+1)*R23-ERP_i)*Q23*Ramure*Pc/MaxiM</f>
        <v>6.1829572780313822E-4</v>
      </c>
      <c r="Q23" s="301">
        <f t="shared" si="4"/>
        <v>0.5</v>
      </c>
      <c r="R23" s="173">
        <f t="shared" si="5"/>
        <v>0.48980128255910688</v>
      </c>
      <c r="S23" s="801">
        <f t="shared" si="6"/>
        <v>0</v>
      </c>
      <c r="T23" s="172">
        <f t="shared" si="7"/>
        <v>6</v>
      </c>
      <c r="U23" s="247">
        <f t="shared" si="22"/>
        <v>0.48980128255910688</v>
      </c>
      <c r="V23" s="378">
        <f t="shared" si="8"/>
        <v>101.74413914079494</v>
      </c>
      <c r="W23" s="397">
        <f t="shared" si="9"/>
        <v>8.0195396213559587</v>
      </c>
      <c r="X23" s="153">
        <f t="shared" si="10"/>
        <v>44935</v>
      </c>
      <c r="Y23" s="380">
        <f t="shared" si="11"/>
        <v>8.0195396213559587</v>
      </c>
      <c r="Z23" s="380">
        <f t="shared" si="12"/>
        <v>8.0758346433343284</v>
      </c>
      <c r="AA23" s="381">
        <f t="shared" si="13"/>
        <v>8.3242463769565287</v>
      </c>
      <c r="AB23" s="193">
        <f t="shared" si="14"/>
        <v>44935</v>
      </c>
      <c r="AC23" s="420">
        <f>IF(OR(t&lt;Tnet,NoTnet),'2022'!Resal_s+('2022'!Salim-'2022'!Resal_s)*(1-EXP(('2022'!Tnet_s-t)/'2022'!Tau_j)),Resal_s+(Salim-Resal_s)*(1-EXP((Tnet_s-t)/Tau_j)))*Salcycl</f>
        <v>2.9841948733024374E-2</v>
      </c>
      <c r="AD23" s="227">
        <f>(INDEX(Models!$BJ23:$BT23,,AH23)*(1-AF23)+INDEX(Models!$BJ23:$BT23,,AH23+1)*AF23-ERP_i)*AE23*Ramure*Pc/MaxiM</f>
        <v>6.1829572780313822E-4</v>
      </c>
      <c r="AE23" s="301">
        <f t="shared" si="15"/>
        <v>0.5</v>
      </c>
      <c r="AF23" s="173">
        <f t="shared" si="16"/>
        <v>0.48980128255910688</v>
      </c>
      <c r="AG23" s="172">
        <f t="shared" si="17"/>
        <v>0</v>
      </c>
      <c r="AH23" s="172">
        <f t="shared" si="18"/>
        <v>6</v>
      </c>
      <c r="AI23" s="221">
        <f t="shared" si="23"/>
        <v>0.48980128255910688</v>
      </c>
      <c r="AJ23" s="261" t="b">
        <f t="shared" si="19"/>
        <v>0</v>
      </c>
      <c r="AK23" s="261" t="b">
        <f t="shared" si="20"/>
        <v>0</v>
      </c>
      <c r="AL23" s="261"/>
      <c r="AM23" s="261"/>
      <c r="AN23" s="75"/>
    </row>
    <row r="24" spans="1:40" s="6" customFormat="1" ht="11.25" customHeight="1" x14ac:dyDescent="0.2">
      <c r="A24" s="56">
        <f t="shared" si="21"/>
        <v>44936</v>
      </c>
      <c r="B24" s="406">
        <f>'2022'!Wh/'2022'!Env_an*'2023'!Env_an</f>
        <v>7.3725095889848751</v>
      </c>
      <c r="C24" s="385"/>
      <c r="D24" s="388">
        <f t="shared" si="0"/>
        <v>7.4243642666042211</v>
      </c>
      <c r="E24" s="380">
        <f t="shared" si="1"/>
        <v>7.6530918515577566</v>
      </c>
      <c r="F24" s="380">
        <f t="shared" si="2"/>
        <v>7.6530918515577566</v>
      </c>
      <c r="G24" s="110">
        <f t="shared" si="24"/>
        <v>7.1819393246890351E-2</v>
      </c>
      <c r="H24" s="409" t="b">
        <f>Wh_hp&gt;='2022'!Maxi_hp</f>
        <v>0</v>
      </c>
      <c r="I24" s="385">
        <f>IF(H24,Wh_hp,'2022'!Maxi_hp)</f>
        <v>7.65787086076881</v>
      </c>
      <c r="J24" s="85">
        <f>IF(H24,An,'2022'!An_max)</f>
        <v>2022</v>
      </c>
      <c r="K24" s="193">
        <f t="shared" si="3"/>
        <v>44936</v>
      </c>
      <c r="L24" s="143">
        <f>IF(t&lt;Tvie,1-EXP((T0-t)*PertePVj)+'2022'!Pspv,1-EXP((T0-t)*PertePVj)+Pspv)</f>
        <v>6.9843929739001887E-3</v>
      </c>
      <c r="M24" s="835"/>
      <c r="N24" s="835"/>
      <c r="O24" s="48">
        <f>IF(t&lt;Tnet,'2022'!Resal+('2022'!Salim-'2022'!Resal)*(1-EXP(('2022'!Tnet-t)/('2022'!Tau_j))),Resal+(Salim-Resal)*(1-EXP((Tnet-t)/(Tau_j))))*Salcycl</f>
        <v>2.9886951494901892E-2</v>
      </c>
      <c r="P24" s="165">
        <f>(INDEX(Models!$BJ24:$BT24,,T24)*(1-R24)+INDEX(Models!$BJ24:$BT24,,T24+1)*R24-ERP_i)*Q24*Ramure*Pc/MaxiM</f>
        <v>6.2442341446616748E-4</v>
      </c>
      <c r="Q24" s="301">
        <f t="shared" si="4"/>
        <v>0.5</v>
      </c>
      <c r="R24" s="173">
        <f t="shared" si="5"/>
        <v>0.48984182420757644</v>
      </c>
      <c r="S24" s="801">
        <f t="shared" si="6"/>
        <v>0</v>
      </c>
      <c r="T24" s="172">
        <f t="shared" si="7"/>
        <v>6</v>
      </c>
      <c r="U24" s="247">
        <f t="shared" si="22"/>
        <v>0.48984182420757644</v>
      </c>
      <c r="V24" s="378">
        <f t="shared" si="8"/>
        <v>102.58936602326634</v>
      </c>
      <c r="W24" s="397">
        <f t="shared" si="9"/>
        <v>7.3725095889848751</v>
      </c>
      <c r="X24" s="153">
        <f t="shared" si="10"/>
        <v>44936</v>
      </c>
      <c r="Y24" s="380">
        <f t="shared" si="11"/>
        <v>7.3725095889848751</v>
      </c>
      <c r="Z24" s="380">
        <f t="shared" si="12"/>
        <v>7.4243642666042211</v>
      </c>
      <c r="AA24" s="381">
        <f t="shared" si="13"/>
        <v>7.6530918515577566</v>
      </c>
      <c r="AB24" s="193">
        <f t="shared" si="14"/>
        <v>44936</v>
      </c>
      <c r="AC24" s="420">
        <f>IF(OR(t&lt;Tnet,NoTnet),'2022'!Resal_s+('2022'!Salim-'2022'!Resal_s)*(1-EXP(('2022'!Tnet_s-t)/'2022'!Tau_j)),Resal_s+(Salim-Resal_s)*(1-EXP((Tnet_s-t)/Tau_j)))*Salcycl</f>
        <v>2.9886951494901892E-2</v>
      </c>
      <c r="AD24" s="227">
        <f>(INDEX(Models!$BJ24:$BT24,,AH24)*(1-AF24)+INDEX(Models!$BJ24:$BT24,,AH24+1)*AF24-ERP_i)*AE24*Ramure*Pc/MaxiM</f>
        <v>6.2442341446616748E-4</v>
      </c>
      <c r="AE24" s="301">
        <f t="shared" si="15"/>
        <v>0.5</v>
      </c>
      <c r="AF24" s="173">
        <f t="shared" si="16"/>
        <v>0.48984182420757644</v>
      </c>
      <c r="AG24" s="172">
        <f t="shared" si="17"/>
        <v>0</v>
      </c>
      <c r="AH24" s="172">
        <f t="shared" si="18"/>
        <v>6</v>
      </c>
      <c r="AI24" s="221">
        <f t="shared" si="23"/>
        <v>0.48984182420757644</v>
      </c>
      <c r="AJ24" s="261" t="b">
        <f t="shared" si="19"/>
        <v>0</v>
      </c>
      <c r="AK24" s="261" t="b">
        <f t="shared" si="20"/>
        <v>0</v>
      </c>
      <c r="AL24" s="261"/>
      <c r="AM24" s="261"/>
      <c r="AN24" s="75"/>
    </row>
    <row r="25" spans="1:40" s="6" customFormat="1" ht="11.25" customHeight="1" x14ac:dyDescent="0.2">
      <c r="A25" s="56">
        <f t="shared" si="21"/>
        <v>44937</v>
      </c>
      <c r="B25" s="406">
        <f>'2022'!Wh/'2022'!Env_an*'2023'!Env_an</f>
        <v>98.845223913561071</v>
      </c>
      <c r="C25" s="385"/>
      <c r="D25" s="388">
        <f t="shared" si="0"/>
        <v>99.541816201882867</v>
      </c>
      <c r="E25" s="380">
        <f t="shared" si="1"/>
        <v>102.61322970109356</v>
      </c>
      <c r="F25" s="380">
        <f t="shared" si="2"/>
        <v>102.67362736538637</v>
      </c>
      <c r="G25" s="110">
        <f t="shared" si="24"/>
        <v>0.9552251854249979</v>
      </c>
      <c r="H25" s="409" t="b">
        <f>Wh_hp&gt;='2022'!Maxi_hp</f>
        <v>0</v>
      </c>
      <c r="I25" s="385">
        <f>IF(H25,Wh_hp,'2022'!Maxi_hp)</f>
        <v>102.67775078920764</v>
      </c>
      <c r="J25" s="85">
        <f>IF(H25,An,'2022'!An_max)</f>
        <v>2022</v>
      </c>
      <c r="K25" s="193">
        <f t="shared" si="3"/>
        <v>44937</v>
      </c>
      <c r="L25" s="143">
        <f>IF(t&lt;Tvie,1-EXP((T0-t)*PertePVj)+'2022'!Pspv,1-EXP((T0-t)*PertePVj)+Pspv)</f>
        <v>6.9979865236637906E-3</v>
      </c>
      <c r="M25" s="835"/>
      <c r="N25" s="835"/>
      <c r="O25" s="48">
        <f>IF(t&lt;Tnet,'2022'!Resal+('2022'!Salim-'2022'!Resal)*(1-EXP(('2022'!Tnet-t)/('2022'!Tau_j))),Resal+(Salim-Resal)*(1-EXP((Tnet-t)/(Tau_j))))*Salcycl</f>
        <v>2.9931944527597003E-2</v>
      </c>
      <c r="P25" s="165">
        <f>(INDEX(Models!$BJ25:$BT25,,T25)*(1-R25)+INDEX(Models!$BJ25:$BT25,,T25+1)*R25-ERP_i)*Q25*Ramure*Pc/MaxiM</f>
        <v>6.2841023965763741E-4</v>
      </c>
      <c r="Q25" s="301">
        <f t="shared" si="4"/>
        <v>0.5</v>
      </c>
      <c r="R25" s="173">
        <f t="shared" si="5"/>
        <v>0.48988405966494242</v>
      </c>
      <c r="S25" s="801">
        <f t="shared" si="6"/>
        <v>0</v>
      </c>
      <c r="T25" s="172">
        <f t="shared" si="7"/>
        <v>6</v>
      </c>
      <c r="U25" s="247">
        <f t="shared" si="22"/>
        <v>0.48988405966494242</v>
      </c>
      <c r="V25" s="378">
        <f t="shared" si="8"/>
        <v>103.47429417048342</v>
      </c>
      <c r="W25" s="397">
        <f t="shared" si="9"/>
        <v>98.845223913561071</v>
      </c>
      <c r="X25" s="153">
        <f t="shared" si="10"/>
        <v>44937</v>
      </c>
      <c r="Y25" s="380">
        <f t="shared" si="11"/>
        <v>98.845223913561071</v>
      </c>
      <c r="Z25" s="380">
        <f t="shared" si="12"/>
        <v>99.541816201882867</v>
      </c>
      <c r="AA25" s="381">
        <f t="shared" si="13"/>
        <v>102.61322970109356</v>
      </c>
      <c r="AB25" s="193">
        <f t="shared" si="14"/>
        <v>44937</v>
      </c>
      <c r="AC25" s="420">
        <f>IF(OR(t&lt;Tnet,NoTnet),'2022'!Resal_s+('2022'!Salim-'2022'!Resal_s)*(1-EXP(('2022'!Tnet_s-t)/'2022'!Tau_j)),Resal_s+(Salim-Resal_s)*(1-EXP((Tnet_s-t)/Tau_j)))*Salcycl</f>
        <v>2.9931944527597003E-2</v>
      </c>
      <c r="AD25" s="227">
        <f>(INDEX(Models!$BJ25:$BT25,,AH25)*(1-AF25)+INDEX(Models!$BJ25:$BT25,,AH25+1)*AF25-ERP_i)*AE25*Ramure*Pc/MaxiM</f>
        <v>6.2841023965763741E-4</v>
      </c>
      <c r="AE25" s="301">
        <f t="shared" si="15"/>
        <v>0.5</v>
      </c>
      <c r="AF25" s="173">
        <f t="shared" si="16"/>
        <v>0.48988405966494242</v>
      </c>
      <c r="AG25" s="172">
        <f t="shared" si="17"/>
        <v>0</v>
      </c>
      <c r="AH25" s="172">
        <f t="shared" si="18"/>
        <v>6</v>
      </c>
      <c r="AI25" s="221">
        <f t="shared" si="23"/>
        <v>0.48988405966494242</v>
      </c>
      <c r="AJ25" s="261" t="b">
        <f t="shared" si="19"/>
        <v>0</v>
      </c>
      <c r="AK25" s="261" t="b">
        <f t="shared" si="20"/>
        <v>0</v>
      </c>
      <c r="AL25" s="261"/>
      <c r="AM25" s="261"/>
      <c r="AN25" s="75"/>
    </row>
    <row r="26" spans="1:40" s="6" customFormat="1" ht="11.25" customHeight="1" x14ac:dyDescent="0.2">
      <c r="A26" s="56">
        <f t="shared" si="21"/>
        <v>44938</v>
      </c>
      <c r="B26" s="406">
        <f>'2022'!Wh/'2022'!Env_an*'2023'!Env_an</f>
        <v>84.748498723723785</v>
      </c>
      <c r="C26" s="385"/>
      <c r="D26" s="388">
        <f t="shared" si="0"/>
        <v>85.346915439465931</v>
      </c>
      <c r="E26" s="380">
        <f t="shared" si="1"/>
        <v>87.984417922052828</v>
      </c>
      <c r="F26" s="380">
        <f t="shared" si="2"/>
        <v>88.024984096673393</v>
      </c>
      <c r="G26" s="110">
        <f t="shared" si="24"/>
        <v>0.81165682648525939</v>
      </c>
      <c r="H26" s="409" t="b">
        <f>Wh_hp&gt;='2022'!Maxi_hp</f>
        <v>0</v>
      </c>
      <c r="I26" s="385">
        <f>IF(H26,Wh_hp,'2022'!Maxi_hp)</f>
        <v>88.039900443053</v>
      </c>
      <c r="J26" s="85">
        <f>IF(H26,An,'2022'!An_max)</f>
        <v>2022</v>
      </c>
      <c r="K26" s="193">
        <f t="shared" si="3"/>
        <v>44938</v>
      </c>
      <c r="L26" s="143">
        <f>IF(t&lt;Tvie,1-EXP((T0-t)*PertePVj)+'2022'!Pspv,1-EXP((T0-t)*PertePVj)+Pspv)</f>
        <v>7.0115798873432444E-3</v>
      </c>
      <c r="M26" s="835"/>
      <c r="N26" s="835"/>
      <c r="O26" s="48">
        <f>IF(t&lt;Tnet,'2022'!Resal+('2022'!Salim-'2022'!Resal)*(1-EXP(('2022'!Tnet-t)/('2022'!Tau_j))),Resal+(Salim-Resal)*(1-EXP((Tnet-t)/(Tau_j))))*Salcycl</f>
        <v>2.9976927106837453E-2</v>
      </c>
      <c r="P26" s="165">
        <f>(INDEX(Models!$BJ26:$BT26,,T26)*(1-R26)+INDEX(Models!$BJ26:$BT26,,T26+1)*R26-ERP_i)*Q26*Ramure*Pc/MaxiM</f>
        <v>6.3031922786141979E-4</v>
      </c>
      <c r="Q26" s="301">
        <f t="shared" si="4"/>
        <v>0.5</v>
      </c>
      <c r="R26" s="173">
        <f t="shared" si="5"/>
        <v>0.48992805939261352</v>
      </c>
      <c r="S26" s="801">
        <f t="shared" si="6"/>
        <v>0</v>
      </c>
      <c r="T26" s="172">
        <f t="shared" si="7"/>
        <v>6</v>
      </c>
      <c r="U26" s="247">
        <f t="shared" si="22"/>
        <v>0.48992805939261352</v>
      </c>
      <c r="V26" s="378">
        <f t="shared" si="8"/>
        <v>104.39649731273059</v>
      </c>
      <c r="W26" s="397">
        <f t="shared" si="9"/>
        <v>84.748498723723785</v>
      </c>
      <c r="X26" s="153">
        <f t="shared" si="10"/>
        <v>44938</v>
      </c>
      <c r="Y26" s="380">
        <f t="shared" si="11"/>
        <v>84.748498723723785</v>
      </c>
      <c r="Z26" s="380">
        <f t="shared" si="12"/>
        <v>85.346915439465931</v>
      </c>
      <c r="AA26" s="381">
        <f t="shared" si="13"/>
        <v>87.984417922052828</v>
      </c>
      <c r="AB26" s="193">
        <f t="shared" si="14"/>
        <v>44938</v>
      </c>
      <c r="AC26" s="420">
        <f>IF(OR(t&lt;Tnet,NoTnet),'2022'!Resal_s+('2022'!Salim-'2022'!Resal_s)*(1-EXP(('2022'!Tnet_s-t)/'2022'!Tau_j)),Resal_s+(Salim-Resal_s)*(1-EXP((Tnet_s-t)/Tau_j)))*Salcycl</f>
        <v>2.9976927106837453E-2</v>
      </c>
      <c r="AD26" s="227">
        <f>(INDEX(Models!$BJ26:$BT26,,AH26)*(1-AF26)+INDEX(Models!$BJ26:$BT26,,AH26+1)*AF26-ERP_i)*AE26*Ramure*Pc/MaxiM</f>
        <v>6.3031922786141979E-4</v>
      </c>
      <c r="AE26" s="301">
        <f t="shared" si="15"/>
        <v>0.5</v>
      </c>
      <c r="AF26" s="173">
        <f t="shared" si="16"/>
        <v>0.48992805939261352</v>
      </c>
      <c r="AG26" s="172">
        <f t="shared" si="17"/>
        <v>0</v>
      </c>
      <c r="AH26" s="172">
        <f t="shared" si="18"/>
        <v>6</v>
      </c>
      <c r="AI26" s="221">
        <f t="shared" si="23"/>
        <v>0.48992805939261352</v>
      </c>
      <c r="AJ26" s="261" t="b">
        <f t="shared" si="19"/>
        <v>0</v>
      </c>
      <c r="AK26" s="261" t="b">
        <f t="shared" si="20"/>
        <v>0</v>
      </c>
      <c r="AL26" s="261"/>
      <c r="AM26" s="261"/>
      <c r="AN26" s="75"/>
    </row>
    <row r="27" spans="1:40" s="6" customFormat="1" ht="11.25" customHeight="1" x14ac:dyDescent="0.2">
      <c r="A27" s="56">
        <f t="shared" si="21"/>
        <v>44939</v>
      </c>
      <c r="B27" s="406">
        <f>'2022'!Wh/'2022'!Env_an*'2023'!Env_an</f>
        <v>27.194399052491111</v>
      </c>
      <c r="C27" s="385"/>
      <c r="D27" s="388">
        <f t="shared" si="0"/>
        <v>27.38679603432649</v>
      </c>
      <c r="E27" s="380">
        <f t="shared" si="1"/>
        <v>28.234447774398141</v>
      </c>
      <c r="F27" s="380">
        <f t="shared" si="2"/>
        <v>28.234447774398141</v>
      </c>
      <c r="G27" s="110">
        <f t="shared" si="24"/>
        <v>0.25796245861352274</v>
      </c>
      <c r="H27" s="409" t="b">
        <f>Wh_hp&gt;='2022'!Maxi_hp</f>
        <v>0</v>
      </c>
      <c r="I27" s="385">
        <f>IF(H27,Wh_hp,'2022'!Maxi_hp)</f>
        <v>28.252238664990184</v>
      </c>
      <c r="J27" s="85">
        <f>IF(H27,An,'2022'!An_max)</f>
        <v>2022</v>
      </c>
      <c r="K27" s="193">
        <f t="shared" si="3"/>
        <v>44939</v>
      </c>
      <c r="L27" s="143">
        <f>IF(t&lt;Tvie,1-EXP((T0-t)*PertePVj)+'2022'!Pspv,1-EXP((T0-t)*PertePVj)+Pspv)</f>
        <v>7.0251730649408817E-3</v>
      </c>
      <c r="M27" s="835"/>
      <c r="N27" s="835"/>
      <c r="O27" s="48">
        <f>IF(t&lt;Tnet,'2022'!Resal+('2022'!Salim-'2022'!Resal)*(1-EXP(('2022'!Tnet-t)/('2022'!Tau_j))),Resal+(Salim-Resal)*(1-EXP((Tnet-t)/(Tau_j))))*Salcycl</f>
        <v>3.0021899023655329E-2</v>
      </c>
      <c r="P27" s="165">
        <f>(INDEX(Models!$BJ27:$BT27,,T27)*(1-R27)+INDEX(Models!$BJ27:$BT27,,T27+1)*R27-ERP_i)*Q27*Ramure*Pc/MaxiM</f>
        <v>6.3021592614736284E-4</v>
      </c>
      <c r="Q27" s="301">
        <f t="shared" si="4"/>
        <v>0.5</v>
      </c>
      <c r="R27" s="173">
        <f t="shared" si="5"/>
        <v>0.48997389675708264</v>
      </c>
      <c r="S27" s="801">
        <f t="shared" si="6"/>
        <v>0</v>
      </c>
      <c r="T27" s="172">
        <f t="shared" si="7"/>
        <v>6</v>
      </c>
      <c r="U27" s="247">
        <f t="shared" si="22"/>
        <v>0.48997389675708264</v>
      </c>
      <c r="V27" s="378">
        <f t="shared" si="8"/>
        <v>105.35354971873244</v>
      </c>
      <c r="W27" s="397">
        <f t="shared" si="9"/>
        <v>27.194399052491111</v>
      </c>
      <c r="X27" s="153">
        <f t="shared" si="10"/>
        <v>44939</v>
      </c>
      <c r="Y27" s="380">
        <f t="shared" si="11"/>
        <v>27.194399052491111</v>
      </c>
      <c r="Z27" s="380">
        <f t="shared" si="12"/>
        <v>27.38679603432649</v>
      </c>
      <c r="AA27" s="381">
        <f t="shared" si="13"/>
        <v>28.234447774398141</v>
      </c>
      <c r="AB27" s="193">
        <f t="shared" si="14"/>
        <v>44939</v>
      </c>
      <c r="AC27" s="420">
        <f>IF(OR(t&lt;Tnet,NoTnet),'2022'!Resal_s+('2022'!Salim-'2022'!Resal_s)*(1-EXP(('2022'!Tnet_s-t)/'2022'!Tau_j)),Resal_s+(Salim-Resal_s)*(1-EXP((Tnet_s-t)/Tau_j)))*Salcycl</f>
        <v>3.0021899023655329E-2</v>
      </c>
      <c r="AD27" s="227">
        <f>(INDEX(Models!$BJ27:$BT27,,AH27)*(1-AF27)+INDEX(Models!$BJ27:$BT27,,AH27+1)*AF27-ERP_i)*AE27*Ramure*Pc/MaxiM</f>
        <v>6.3021592614736284E-4</v>
      </c>
      <c r="AE27" s="301">
        <f t="shared" si="15"/>
        <v>0.5</v>
      </c>
      <c r="AF27" s="173">
        <f t="shared" si="16"/>
        <v>0.48997389675708264</v>
      </c>
      <c r="AG27" s="172">
        <f t="shared" si="17"/>
        <v>0</v>
      </c>
      <c r="AH27" s="296">
        <f t="shared" si="18"/>
        <v>6</v>
      </c>
      <c r="AI27" s="221">
        <f t="shared" si="23"/>
        <v>0.48997389675708264</v>
      </c>
      <c r="AJ27" s="261" t="b">
        <f t="shared" si="19"/>
        <v>0</v>
      </c>
      <c r="AK27" s="261" t="b">
        <f t="shared" si="20"/>
        <v>0</v>
      </c>
      <c r="AL27" s="261"/>
      <c r="AM27" s="261"/>
      <c r="AN27" s="75"/>
    </row>
    <row r="28" spans="1:40" s="6" customFormat="1" ht="11.25" customHeight="1" x14ac:dyDescent="0.2">
      <c r="A28" s="56">
        <f t="shared" si="21"/>
        <v>44940</v>
      </c>
      <c r="B28" s="406">
        <f>'2022'!Wh/'2022'!Env_an*'2023'!Env_an</f>
        <v>108.45667989316554</v>
      </c>
      <c r="C28" s="385"/>
      <c r="D28" s="388">
        <f t="shared" si="0"/>
        <v>109.22549258285781</v>
      </c>
      <c r="E28" s="380">
        <f t="shared" si="1"/>
        <v>112.61136271915402</v>
      </c>
      <c r="F28" s="380">
        <f t="shared" si="2"/>
        <v>112.68214599647807</v>
      </c>
      <c r="G28" s="110">
        <f t="shared" si="24"/>
        <v>1.0198758094816887</v>
      </c>
      <c r="H28" s="409" t="b">
        <f>Wh_hp&gt;='2022'!Maxi_hp</f>
        <v>1</v>
      </c>
      <c r="I28" s="385">
        <f>IF(H28,Wh_hp,'2022'!Maxi_hp)</f>
        <v>112.68214599647807</v>
      </c>
      <c r="J28" s="85">
        <f>IF(H28,An,'2022'!An_max)</f>
        <v>2023</v>
      </c>
      <c r="K28" s="193">
        <f t="shared" si="3"/>
        <v>44940</v>
      </c>
      <c r="L28" s="143">
        <f>IF(t&lt;Tvie,1-EXP((T0-t)*PertePVj)+'2022'!Pspv,1-EXP((T0-t)*PertePVj)+Pspv)</f>
        <v>7.0387660564593668E-3</v>
      </c>
      <c r="M28" s="835"/>
      <c r="N28" s="835"/>
      <c r="O28" s="48">
        <f>IF(t&lt;Tnet,'2022'!Resal+('2022'!Salim-'2022'!Resal)*(1-EXP(('2022'!Tnet-t)/('2022'!Tau_j))),Resal+(Salim-Resal)*(1-EXP((Tnet-t)/(Tau_j))))*Salcycl</f>
        <v>3.0066860524016151E-2</v>
      </c>
      <c r="P28" s="165">
        <f>(INDEX(Models!$BJ28:$BT28,,T28)*(1-R28)+INDEX(Models!$BJ28:$BT28,,T28+1)*R28-ERP_i)*Q28*Ramure*Pc/MaxiM</f>
        <v>6.2816763647957012E-4</v>
      </c>
      <c r="Q28" s="301">
        <f t="shared" si="4"/>
        <v>0.5</v>
      </c>
      <c r="R28" s="173">
        <f t="shared" si="5"/>
        <v>0.49002164814747212</v>
      </c>
      <c r="S28" s="801">
        <f t="shared" si="6"/>
        <v>0</v>
      </c>
      <c r="T28" s="172">
        <f t="shared" si="7"/>
        <v>6</v>
      </c>
      <c r="U28" s="247">
        <f t="shared" si="22"/>
        <v>0.49002164814747212</v>
      </c>
      <c r="V28" s="378">
        <f t="shared" si="8"/>
        <v>106.3430261653959</v>
      </c>
      <c r="W28" s="397">
        <f t="shared" si="9"/>
        <v>108.45667989316554</v>
      </c>
      <c r="X28" s="153">
        <f t="shared" si="10"/>
        <v>44940</v>
      </c>
      <c r="Y28" s="380">
        <f t="shared" si="11"/>
        <v>108.45667989316554</v>
      </c>
      <c r="Z28" s="380">
        <f t="shared" si="12"/>
        <v>109.22549258285781</v>
      </c>
      <c r="AA28" s="381">
        <f t="shared" si="13"/>
        <v>112.61136271915402</v>
      </c>
      <c r="AB28" s="193">
        <f t="shared" si="14"/>
        <v>44940</v>
      </c>
      <c r="AC28" s="420">
        <f>IF(OR(t&lt;Tnet,NoTnet),'2022'!Resal_s+('2022'!Salim-'2022'!Resal_s)*(1-EXP(('2022'!Tnet_s-t)/'2022'!Tau_j)),Resal_s+(Salim-Resal_s)*(1-EXP((Tnet_s-t)/Tau_j)))*Salcycl</f>
        <v>3.0066860524016151E-2</v>
      </c>
      <c r="AD28" s="227">
        <f>(INDEX(Models!$BJ28:$BT28,,AH28)*(1-AF28)+INDEX(Models!$BJ28:$BT28,,AH28+1)*AF28-ERP_i)*AE28*Ramure*Pc/MaxiM</f>
        <v>6.2816763647957012E-4</v>
      </c>
      <c r="AE28" s="301">
        <f t="shared" si="15"/>
        <v>0.5</v>
      </c>
      <c r="AF28" s="173">
        <f t="shared" si="16"/>
        <v>0.49002164814747212</v>
      </c>
      <c r="AG28" s="172">
        <f t="shared" si="17"/>
        <v>0</v>
      </c>
      <c r="AH28" s="172">
        <f t="shared" si="18"/>
        <v>6</v>
      </c>
      <c r="AI28" s="221">
        <f t="shared" si="23"/>
        <v>0.49002164814747212</v>
      </c>
      <c r="AJ28" s="261" t="b">
        <f t="shared" si="19"/>
        <v>0</v>
      </c>
      <c r="AK28" s="261" t="b">
        <f t="shared" si="20"/>
        <v>0</v>
      </c>
      <c r="AL28" s="261"/>
      <c r="AM28" s="261"/>
      <c r="AN28" s="75"/>
    </row>
    <row r="29" spans="1:40" s="6" customFormat="1" ht="11.25" customHeight="1" x14ac:dyDescent="0.2">
      <c r="A29" s="56">
        <f t="shared" si="21"/>
        <v>44941</v>
      </c>
      <c r="B29" s="406">
        <f>'2022'!Wh/'2022'!Env_an*'2023'!Env_an</f>
        <v>110.1198604111715</v>
      </c>
      <c r="C29" s="385"/>
      <c r="D29" s="388">
        <f t="shared" si="0"/>
        <v>110.90198097953491</v>
      </c>
      <c r="E29" s="380">
        <f t="shared" si="1"/>
        <v>114.34511975697667</v>
      </c>
      <c r="F29" s="380">
        <f t="shared" si="2"/>
        <v>114.4165434492556</v>
      </c>
      <c r="G29" s="110">
        <f t="shared" si="24"/>
        <v>1.025682695128749</v>
      </c>
      <c r="H29" s="409" t="b">
        <f>Wh_hp&gt;='2022'!Maxi_hp</f>
        <v>1</v>
      </c>
      <c r="I29" s="385">
        <f>IF(H29,Wh_hp,'2022'!Maxi_hp)</f>
        <v>114.4165434492556</v>
      </c>
      <c r="J29" s="85">
        <f>IF(H29,An,'2022'!An_max)</f>
        <v>2023</v>
      </c>
      <c r="K29" s="193">
        <f t="shared" si="3"/>
        <v>44941</v>
      </c>
      <c r="L29" s="143">
        <f>IF(t&lt;Tvie,1-EXP((T0-t)*PertePVj)+'2022'!Pspv,1-EXP((T0-t)*PertePVj)+Pspv)</f>
        <v>7.0523588619011424E-3</v>
      </c>
      <c r="M29" s="835"/>
      <c r="N29" s="835"/>
      <c r="O29" s="48">
        <f>IF(t&lt;Tnet,'2022'!Resal+('2022'!Salim-'2022'!Resal)*(1-EXP(('2022'!Tnet-t)/('2022'!Tau_j))),Resal+(Salim-Resal)*(1-EXP((Tnet-t)/(Tau_j))))*Salcycl</f>
        <v>3.0111812246640952E-2</v>
      </c>
      <c r="P29" s="165">
        <f>(INDEX(Models!$BJ29:$BT29,,T29)*(1-R29)+INDEX(Models!$BJ29:$BT29,,T29+1)*R29-ERP_i)*Q29*Ramure*Pc/MaxiM</f>
        <v>6.2424270237282007E-4</v>
      </c>
      <c r="Q29" s="301">
        <f t="shared" si="4"/>
        <v>0.5</v>
      </c>
      <c r="R29" s="173">
        <f t="shared" si="5"/>
        <v>0.49007139309764447</v>
      </c>
      <c r="S29" s="801">
        <f t="shared" si="6"/>
        <v>0</v>
      </c>
      <c r="T29" s="172">
        <f t="shared" si="7"/>
        <v>6</v>
      </c>
      <c r="U29" s="247">
        <f t="shared" si="22"/>
        <v>0.49007139309764447</v>
      </c>
      <c r="V29" s="378">
        <f t="shared" si="8"/>
        <v>107.3625020039445</v>
      </c>
      <c r="W29" s="397">
        <f t="shared" si="9"/>
        <v>110.1198604111715</v>
      </c>
      <c r="X29" s="153">
        <f t="shared" si="10"/>
        <v>44941</v>
      </c>
      <c r="Y29" s="380">
        <f t="shared" si="11"/>
        <v>110.1198604111715</v>
      </c>
      <c r="Z29" s="380">
        <f t="shared" si="12"/>
        <v>110.90198097953491</v>
      </c>
      <c r="AA29" s="381">
        <f t="shared" si="13"/>
        <v>114.34511975697667</v>
      </c>
      <c r="AB29" s="193">
        <f t="shared" si="14"/>
        <v>44941</v>
      </c>
      <c r="AC29" s="420">
        <f>IF(OR(t&lt;Tnet,NoTnet),'2022'!Resal_s+('2022'!Salim-'2022'!Resal_s)*(1-EXP(('2022'!Tnet_s-t)/'2022'!Tau_j)),Resal_s+(Salim-Resal_s)*(1-EXP((Tnet_s-t)/Tau_j)))*Salcycl</f>
        <v>3.0111812246640952E-2</v>
      </c>
      <c r="AD29" s="227">
        <f>(INDEX(Models!$BJ29:$BT29,,AH29)*(1-AF29)+INDEX(Models!$BJ29:$BT29,,AH29+1)*AF29-ERP_i)*AE29*Ramure*Pc/MaxiM</f>
        <v>6.2424270237282007E-4</v>
      </c>
      <c r="AE29" s="301">
        <f t="shared" si="15"/>
        <v>0.5</v>
      </c>
      <c r="AF29" s="173">
        <f t="shared" si="16"/>
        <v>0.49007139309764447</v>
      </c>
      <c r="AG29" s="172">
        <f t="shared" si="17"/>
        <v>0</v>
      </c>
      <c r="AH29" s="172">
        <f t="shared" si="18"/>
        <v>6</v>
      </c>
      <c r="AI29" s="221">
        <f t="shared" si="23"/>
        <v>0.49007139309764447</v>
      </c>
      <c r="AJ29" s="261" t="b">
        <f t="shared" si="19"/>
        <v>0</v>
      </c>
      <c r="AK29" s="261" t="b">
        <f t="shared" si="20"/>
        <v>0</v>
      </c>
      <c r="AL29" s="261"/>
      <c r="AM29" s="261"/>
      <c r="AN29" s="75"/>
    </row>
    <row r="30" spans="1:40" s="6" customFormat="1" ht="11.25" customHeight="1" x14ac:dyDescent="0.2">
      <c r="A30" s="56">
        <f t="shared" si="21"/>
        <v>44942</v>
      </c>
      <c r="B30" s="406">
        <f>'2022'!Wh/'2022'!Env_an*'2023'!Env_an</f>
        <v>109.51464080050603</v>
      </c>
      <c r="C30" s="385"/>
      <c r="D30" s="388">
        <f t="shared" si="0"/>
        <v>110.29397265999798</v>
      </c>
      <c r="E30" s="380">
        <f t="shared" si="1"/>
        <v>113.7235045423897</v>
      </c>
      <c r="F30" s="380">
        <f t="shared" si="2"/>
        <v>113.79391184138986</v>
      </c>
      <c r="G30" s="110">
        <f t="shared" si="24"/>
        <v>1.0101938567944704</v>
      </c>
      <c r="H30" s="409" t="b">
        <f>Wh_hp&gt;='2022'!Maxi_hp</f>
        <v>1</v>
      </c>
      <c r="I30" s="385">
        <f>IF(H30,Wh_hp,'2022'!Maxi_hp)</f>
        <v>113.79391184138986</v>
      </c>
      <c r="J30" s="85">
        <f>IF(H30,An,'2022'!An_max)</f>
        <v>2023</v>
      </c>
      <c r="K30" s="193">
        <f t="shared" si="3"/>
        <v>44942</v>
      </c>
      <c r="L30" s="143">
        <f>IF(t&lt;Tvie,1-EXP((T0-t)*PertePVj)+'2022'!Pspv,1-EXP((T0-t)*PertePVj)+Pspv)</f>
        <v>7.0659514812688728E-3</v>
      </c>
      <c r="M30" s="835"/>
      <c r="N30" s="835"/>
      <c r="O30" s="48">
        <f>IF(t&lt;Tnet,'2022'!Resal+('2022'!Salim-'2022'!Resal)*(1-EXP(('2022'!Tnet-t)/('2022'!Tau_j))),Resal+(Salim-Resal)*(1-EXP((Tnet-t)/(Tau_j))))*Salcycl</f>
        <v>3.0156755159733827E-2</v>
      </c>
      <c r="P30" s="165">
        <f>(INDEX(Models!$BJ30:$BT30,,T30)*(1-R30)+INDEX(Models!$BJ30:$BT30,,T30+1)*R30-ERP_i)*Q30*Ramure*Pc/MaxiM</f>
        <v>6.1872641392528131E-4</v>
      </c>
      <c r="Q30" s="301">
        <f t="shared" si="4"/>
        <v>0.5</v>
      </c>
      <c r="R30" s="173">
        <f t="shared" si="5"/>
        <v>0.49012321441303774</v>
      </c>
      <c r="S30" s="801">
        <f t="shared" si="6"/>
        <v>0</v>
      </c>
      <c r="T30" s="172">
        <f t="shared" si="7"/>
        <v>6</v>
      </c>
      <c r="U30" s="247">
        <f t="shared" si="22"/>
        <v>0.49012321441303774</v>
      </c>
      <c r="V30" s="378">
        <f t="shared" si="8"/>
        <v>108.40952958080344</v>
      </c>
      <c r="W30" s="397">
        <f t="shared" si="9"/>
        <v>109.51464080050603</v>
      </c>
      <c r="X30" s="153">
        <f t="shared" si="10"/>
        <v>44942</v>
      </c>
      <c r="Y30" s="380">
        <f t="shared" si="11"/>
        <v>109.51464080050603</v>
      </c>
      <c r="Z30" s="380">
        <f t="shared" si="12"/>
        <v>110.29397265999798</v>
      </c>
      <c r="AA30" s="381">
        <f t="shared" si="13"/>
        <v>113.7235045423897</v>
      </c>
      <c r="AB30" s="193">
        <f t="shared" si="14"/>
        <v>44942</v>
      </c>
      <c r="AC30" s="420">
        <f>IF(OR(t&lt;Tnet,NoTnet),'2022'!Resal_s+('2022'!Salim-'2022'!Resal_s)*(1-EXP(('2022'!Tnet_s-t)/'2022'!Tau_j)),Resal_s+(Salim-Resal_s)*(1-EXP((Tnet_s-t)/Tau_j)))*Salcycl</f>
        <v>3.0156755159733827E-2</v>
      </c>
      <c r="AD30" s="227">
        <f>(INDEX(Models!$BJ30:$BT30,,AH30)*(1-AF30)+INDEX(Models!$BJ30:$BT30,,AH30+1)*AF30-ERP_i)*AE30*Ramure*Pc/MaxiM</f>
        <v>6.1872641392528131E-4</v>
      </c>
      <c r="AE30" s="301">
        <f t="shared" si="15"/>
        <v>0.5</v>
      </c>
      <c r="AF30" s="173">
        <f t="shared" si="16"/>
        <v>0.49012321441303774</v>
      </c>
      <c r="AG30" s="172">
        <f t="shared" si="17"/>
        <v>0</v>
      </c>
      <c r="AH30" s="172">
        <f t="shared" si="18"/>
        <v>6</v>
      </c>
      <c r="AI30" s="221">
        <f t="shared" si="23"/>
        <v>0.49012321441303774</v>
      </c>
      <c r="AJ30" s="261" t="b">
        <f t="shared" si="19"/>
        <v>0</v>
      </c>
      <c r="AK30" s="261" t="b">
        <f t="shared" si="20"/>
        <v>0</v>
      </c>
      <c r="AL30" s="261"/>
      <c r="AM30" s="261"/>
      <c r="AN30" s="75"/>
    </row>
    <row r="31" spans="1:40" s="6" customFormat="1" ht="11.25" x14ac:dyDescent="0.2">
      <c r="A31" s="56">
        <f t="shared" si="21"/>
        <v>44943</v>
      </c>
      <c r="B31" s="406">
        <f>'2022'!Wh/'2022'!Env_an*'2023'!Env_an</f>
        <v>85.999858237196733</v>
      </c>
      <c r="C31" s="385"/>
      <c r="D31" s="388">
        <f t="shared" si="0"/>
        <v>86.613039050730322</v>
      </c>
      <c r="E31" s="380">
        <f t="shared" si="1"/>
        <v>89.310362992018852</v>
      </c>
      <c r="F31" s="380">
        <f t="shared" si="2"/>
        <v>89.348294959091419</v>
      </c>
      <c r="G31" s="110">
        <f t="shared" si="24"/>
        <v>0.78537115241036948</v>
      </c>
      <c r="H31" s="409" t="b">
        <f>Wh_hp&gt;='2022'!Maxi_hp</f>
        <v>0</v>
      </c>
      <c r="I31" s="385">
        <f>IF(H31,Wh_hp,'2022'!Maxi_hp)</f>
        <v>89.36504341458523</v>
      </c>
      <c r="J31" s="85">
        <f>IF(H31,An,'2022'!An_max)</f>
        <v>2022</v>
      </c>
      <c r="K31" s="193">
        <f t="shared" si="3"/>
        <v>44943</v>
      </c>
      <c r="L31" s="143">
        <f>IF(t&lt;Tvie,1-EXP((T0-t)*PertePVj)+'2022'!Pspv,1-EXP((T0-t)*PertePVj)+Pspv)</f>
        <v>7.0795439145651118E-3</v>
      </c>
      <c r="M31" s="835"/>
      <c r="N31" s="835"/>
      <c r="O31" s="48">
        <f>IF(t&lt;Tnet,'2022'!Resal+('2022'!Salim-'2022'!Resal)*(1-EXP(('2022'!Tnet-t)/('2022'!Tau_j))),Resal+(Salim-Resal)*(1-EXP((Tnet-t)/(Tau_j))))*Salcycl</f>
        <v>3.0201690497322992E-2</v>
      </c>
      <c r="P31" s="165">
        <f>(INDEX(Models!$BJ31:$BT31,,T31)*(1-R31)+INDEX(Models!$BJ31:$BT31,,T31+1)*R31-ERP_i)*Q31*Ramure*Pc/MaxiM</f>
        <v>6.1208441605556971E-4</v>
      </c>
      <c r="Q31" s="301">
        <f t="shared" si="4"/>
        <v>0.5</v>
      </c>
      <c r="R31" s="173">
        <f t="shared" si="5"/>
        <v>0.49017719830239187</v>
      </c>
      <c r="S31" s="801">
        <f t="shared" si="6"/>
        <v>0</v>
      </c>
      <c r="T31" s="172">
        <f t="shared" si="7"/>
        <v>6</v>
      </c>
      <c r="U31" s="247">
        <f t="shared" si="22"/>
        <v>0.49017719830239187</v>
      </c>
      <c r="V31" s="378">
        <f t="shared" si="8"/>
        <v>109.48164109447401</v>
      </c>
      <c r="W31" s="397">
        <f t="shared" si="9"/>
        <v>85.999858237196733</v>
      </c>
      <c r="X31" s="153">
        <f t="shared" si="10"/>
        <v>44943</v>
      </c>
      <c r="Y31" s="380">
        <f t="shared" si="11"/>
        <v>85.999858237196733</v>
      </c>
      <c r="Z31" s="380">
        <f t="shared" si="12"/>
        <v>86.613039050730322</v>
      </c>
      <c r="AA31" s="381">
        <f t="shared" si="13"/>
        <v>89.310362992018852</v>
      </c>
      <c r="AB31" s="193">
        <f t="shared" si="14"/>
        <v>44943</v>
      </c>
      <c r="AC31" s="420">
        <f>IF(OR(t&lt;Tnet,NoTnet),'2022'!Resal_s+('2022'!Salim-'2022'!Resal_s)*(1-EXP(('2022'!Tnet_s-t)/'2022'!Tau_j)),Resal_s+(Salim-Resal_s)*(1-EXP((Tnet_s-t)/Tau_j)))*Salcycl</f>
        <v>3.0201690497322992E-2</v>
      </c>
      <c r="AD31" s="227">
        <f>(INDEX(Models!$BJ31:$BT31,,AH31)*(1-AF31)+INDEX(Models!$BJ31:$BT31,,AH31+1)*AF31-ERP_i)*AE31*Ramure*Pc/MaxiM</f>
        <v>6.1208441605556971E-4</v>
      </c>
      <c r="AE31" s="301">
        <f t="shared" si="15"/>
        <v>0.5</v>
      </c>
      <c r="AF31" s="173">
        <f t="shared" si="16"/>
        <v>0.49017719830239187</v>
      </c>
      <c r="AG31" s="172">
        <f t="shared" si="17"/>
        <v>0</v>
      </c>
      <c r="AH31" s="172">
        <f t="shared" si="18"/>
        <v>6</v>
      </c>
      <c r="AI31" s="221">
        <f t="shared" si="23"/>
        <v>0.49017719830239187</v>
      </c>
      <c r="AJ31" s="261" t="b">
        <f t="shared" si="19"/>
        <v>0</v>
      </c>
      <c r="AK31" s="261" t="b">
        <f t="shared" si="20"/>
        <v>0</v>
      </c>
      <c r="AL31" s="261"/>
      <c r="AM31" s="261"/>
      <c r="AN31" s="75"/>
    </row>
    <row r="32" spans="1:40" s="6" customFormat="1" ht="11.25" customHeight="1" x14ac:dyDescent="0.2">
      <c r="A32" s="56">
        <f t="shared" si="21"/>
        <v>44944</v>
      </c>
      <c r="B32" s="406">
        <f>'2022'!Wh/'2022'!Env_an*'2023'!Env_an</f>
        <v>22.52505091838632</v>
      </c>
      <c r="C32" s="385"/>
      <c r="D32" s="388">
        <f t="shared" si="0"/>
        <v>22.685965561072742</v>
      </c>
      <c r="E32" s="380">
        <f t="shared" si="1"/>
        <v>23.393541102129532</v>
      </c>
      <c r="F32" s="380">
        <f t="shared" si="2"/>
        <v>23.393541102129532</v>
      </c>
      <c r="G32" s="110">
        <f t="shared" si="24"/>
        <v>0.20358263421525746</v>
      </c>
      <c r="H32" s="409" t="b">
        <f>Wh_hp&gt;='2022'!Maxi_hp</f>
        <v>0</v>
      </c>
      <c r="I32" s="385">
        <f>IF(H32,Wh_hp,'2022'!Maxi_hp)</f>
        <v>23.40767107813555</v>
      </c>
      <c r="J32" s="85">
        <f>IF(H32,An,'2022'!An_max)</f>
        <v>2022</v>
      </c>
      <c r="K32" s="193">
        <f t="shared" si="3"/>
        <v>44944</v>
      </c>
      <c r="L32" s="143">
        <f>IF(t&lt;Tvie,1-EXP((T0-t)*PertePVj)+'2022'!Pspv,1-EXP((T0-t)*PertePVj)+Pspv)</f>
        <v>7.0931361617923017E-3</v>
      </c>
      <c r="M32" s="835"/>
      <c r="N32" s="835"/>
      <c r="O32" s="48">
        <f>IF(t&lt;Tnet,'2022'!Resal+('2022'!Salim-'2022'!Resal)*(1-EXP(('2022'!Tnet-t)/('2022'!Tau_j))),Resal+(Salim-Resal)*(1-EXP((Tnet-t)/(Tau_j))))*Salcycl</f>
        <v>3.0246619695911657E-2</v>
      </c>
      <c r="P32" s="165">
        <f>(INDEX(Models!$BJ32:$BT32,,T32)*(1-R32)+INDEX(Models!$BJ32:$BT32,,T32+1)*R32-ERP_i)*Q32*Ramure*Pc/MaxiM</f>
        <v>6.0436620097186497E-4</v>
      </c>
      <c r="Q32" s="301">
        <f t="shared" si="4"/>
        <v>0.5</v>
      </c>
      <c r="R32" s="173">
        <f t="shared" si="5"/>
        <v>0.49023343451453355</v>
      </c>
      <c r="S32" s="801">
        <f t="shared" si="6"/>
        <v>0</v>
      </c>
      <c r="T32" s="172">
        <f t="shared" si="7"/>
        <v>6</v>
      </c>
      <c r="U32" s="247">
        <f t="shared" si="22"/>
        <v>0.49023343451453355</v>
      </c>
      <c r="V32" s="378">
        <f t="shared" si="8"/>
        <v>110.57641348295789</v>
      </c>
      <c r="W32" s="397">
        <f t="shared" si="9"/>
        <v>22.52505091838632</v>
      </c>
      <c r="X32" s="153">
        <f t="shared" si="10"/>
        <v>44944</v>
      </c>
      <c r="Y32" s="380">
        <f t="shared" si="11"/>
        <v>22.52505091838632</v>
      </c>
      <c r="Z32" s="380">
        <f t="shared" si="12"/>
        <v>22.685965561072742</v>
      </c>
      <c r="AA32" s="381">
        <f t="shared" si="13"/>
        <v>23.393541102129532</v>
      </c>
      <c r="AB32" s="193">
        <f t="shared" si="14"/>
        <v>44944</v>
      </c>
      <c r="AC32" s="420">
        <f>IF(OR(t&lt;Tnet,NoTnet),'2022'!Resal_s+('2022'!Salim-'2022'!Resal_s)*(1-EXP(('2022'!Tnet_s-t)/'2022'!Tau_j)),Resal_s+(Salim-Resal_s)*(1-EXP((Tnet_s-t)/Tau_j)))*Salcycl</f>
        <v>3.0246619695911657E-2</v>
      </c>
      <c r="AD32" s="227">
        <f>(INDEX(Models!$BJ32:$BT32,,AH32)*(1-AF32)+INDEX(Models!$BJ32:$BT32,,AH32+1)*AF32-ERP_i)*AE32*Ramure*Pc/MaxiM</f>
        <v>6.0436620097186497E-4</v>
      </c>
      <c r="AE32" s="301">
        <f t="shared" si="15"/>
        <v>0.5</v>
      </c>
      <c r="AF32" s="173">
        <f t="shared" si="16"/>
        <v>0.49023343451453355</v>
      </c>
      <c r="AG32" s="172">
        <f t="shared" si="17"/>
        <v>0</v>
      </c>
      <c r="AH32" s="172">
        <f t="shared" si="18"/>
        <v>6</v>
      </c>
      <c r="AI32" s="221">
        <f t="shared" si="23"/>
        <v>0.49023343451453355</v>
      </c>
      <c r="AJ32" s="261" t="b">
        <f t="shared" si="19"/>
        <v>0</v>
      </c>
      <c r="AK32" s="261" t="b">
        <f t="shared" si="20"/>
        <v>0</v>
      </c>
      <c r="AL32" s="261"/>
      <c r="AM32" s="261"/>
      <c r="AN32" s="75"/>
    </row>
    <row r="33" spans="1:40" s="6" customFormat="1" ht="11.25" customHeight="1" x14ac:dyDescent="0.2">
      <c r="A33" s="56">
        <f t="shared" si="21"/>
        <v>44945</v>
      </c>
      <c r="B33" s="406">
        <f>'2022'!Wh/'2022'!Env_an*'2023'!Env_an</f>
        <v>46.00000368202722</v>
      </c>
      <c r="C33" s="385"/>
      <c r="D33" s="388">
        <f t="shared" si="0"/>
        <v>46.329253092528219</v>
      </c>
      <c r="E33" s="380">
        <f t="shared" si="1"/>
        <v>47.776476343726571</v>
      </c>
      <c r="F33" s="380">
        <f t="shared" si="2"/>
        <v>47.781023699621286</v>
      </c>
      <c r="G33" s="110">
        <f t="shared" si="24"/>
        <v>0.4116428914829604</v>
      </c>
      <c r="H33" s="409" t="b">
        <f>Wh_hp&gt;='2022'!Maxi_hp</f>
        <v>0</v>
      </c>
      <c r="I33" s="385">
        <f>IF(H33,Wh_hp,'2022'!Maxi_hp)</f>
        <v>47.804919366126292</v>
      </c>
      <c r="J33" s="85">
        <f>IF(H33,An,'2022'!An_max)</f>
        <v>2022</v>
      </c>
      <c r="K33" s="193">
        <f t="shared" si="3"/>
        <v>44945</v>
      </c>
      <c r="L33" s="143">
        <f>IF(t&lt;Tvie,1-EXP((T0-t)*PertePVj)+'2022'!Pspv,1-EXP((T0-t)*PertePVj)+Pspv)</f>
        <v>7.106728222952996E-3</v>
      </c>
      <c r="M33" s="835"/>
      <c r="N33" s="835"/>
      <c r="O33" s="48">
        <f>IF(t&lt;Tnet,'2022'!Resal+('2022'!Salim-'2022'!Resal)*(1-EXP(('2022'!Tnet-t)/('2022'!Tau_j))),Resal+(Salim-Resal)*(1-EXP((Tnet-t)/(Tau_j))))*Salcycl</f>
        <v>3.0291544332117313E-2</v>
      </c>
      <c r="P33" s="165">
        <f>(INDEX(Models!$BJ33:$BT33,,T33)*(1-R33)+INDEX(Models!$BJ33:$BT33,,T33+1)*R33-ERP_i)*Q33*Ramure*Pc/MaxiM</f>
        <v>5.956201054491641E-4</v>
      </c>
      <c r="Q33" s="301">
        <f t="shared" si="4"/>
        <v>0.5</v>
      </c>
      <c r="R33" s="173">
        <f t="shared" si="5"/>
        <v>0.49029201648039444</v>
      </c>
      <c r="S33" s="801">
        <f t="shared" si="6"/>
        <v>0</v>
      </c>
      <c r="T33" s="172">
        <f t="shared" si="7"/>
        <v>6</v>
      </c>
      <c r="U33" s="247">
        <f t="shared" si="22"/>
        <v>0.49029201648039444</v>
      </c>
      <c r="V33" s="378">
        <f t="shared" si="8"/>
        <v>111.69142421755167</v>
      </c>
      <c r="W33" s="397">
        <f t="shared" si="9"/>
        <v>46.00000368202722</v>
      </c>
      <c r="X33" s="153">
        <f t="shared" si="10"/>
        <v>44945</v>
      </c>
      <c r="Y33" s="380">
        <f t="shared" si="11"/>
        <v>46.00000368202722</v>
      </c>
      <c r="Z33" s="380">
        <f t="shared" si="12"/>
        <v>46.329253092528219</v>
      </c>
      <c r="AA33" s="381">
        <f t="shared" si="13"/>
        <v>47.776476343726571</v>
      </c>
      <c r="AB33" s="193">
        <f t="shared" si="14"/>
        <v>44945</v>
      </c>
      <c r="AC33" s="420">
        <f>IF(OR(t&lt;Tnet,NoTnet),'2022'!Resal_s+('2022'!Salim-'2022'!Resal_s)*(1-EXP(('2022'!Tnet_s-t)/'2022'!Tau_j)),Resal_s+(Salim-Resal_s)*(1-EXP((Tnet_s-t)/Tau_j)))*Salcycl</f>
        <v>3.0291544332117313E-2</v>
      </c>
      <c r="AD33" s="227">
        <f>(INDEX(Models!$BJ33:$BT33,,AH33)*(1-AF33)+INDEX(Models!$BJ33:$BT33,,AH33+1)*AF33-ERP_i)*AE33*Ramure*Pc/MaxiM</f>
        <v>5.956201054491641E-4</v>
      </c>
      <c r="AE33" s="301">
        <f t="shared" si="15"/>
        <v>0.5</v>
      </c>
      <c r="AF33" s="173">
        <f t="shared" si="16"/>
        <v>0.49029201648039444</v>
      </c>
      <c r="AG33" s="172">
        <f t="shared" si="17"/>
        <v>0</v>
      </c>
      <c r="AH33" s="172">
        <f t="shared" si="18"/>
        <v>6</v>
      </c>
      <c r="AI33" s="221">
        <f t="shared" si="23"/>
        <v>0.49029201648039444</v>
      </c>
      <c r="AJ33" s="261" t="b">
        <f t="shared" si="19"/>
        <v>0</v>
      </c>
      <c r="AK33" s="261" t="b">
        <f t="shared" si="20"/>
        <v>0</v>
      </c>
      <c r="AL33" s="261"/>
      <c r="AM33" s="261"/>
      <c r="AN33" s="75"/>
    </row>
    <row r="34" spans="1:40" s="6" customFormat="1" ht="11.25" customHeight="1" x14ac:dyDescent="0.2">
      <c r="A34" s="56">
        <f t="shared" si="21"/>
        <v>44946</v>
      </c>
      <c r="B34" s="406">
        <f>'2022'!Wh/'2022'!Env_an*'2023'!Env_an</f>
        <v>23.707503688751359</v>
      </c>
      <c r="C34" s="385"/>
      <c r="D34" s="388">
        <f t="shared" si="0"/>
        <v>23.877519269094666</v>
      </c>
      <c r="E34" s="380">
        <f t="shared" si="1"/>
        <v>24.624540815845744</v>
      </c>
      <c r="F34" s="380">
        <f t="shared" si="2"/>
        <v>24.624540815845744</v>
      </c>
      <c r="G34" s="110">
        <f t="shared" si="24"/>
        <v>0.21000461643449869</v>
      </c>
      <c r="H34" s="409" t="b">
        <f>Wh_hp&gt;='2022'!Maxi_hp</f>
        <v>0</v>
      </c>
      <c r="I34" s="385">
        <f>IF(H34,Wh_hp,'2022'!Maxi_hp)</f>
        <v>24.638956934020555</v>
      </c>
      <c r="J34" s="85">
        <f>IF(H34,An,'2022'!An_max)</f>
        <v>2022</v>
      </c>
      <c r="K34" s="193">
        <f t="shared" si="3"/>
        <v>44946</v>
      </c>
      <c r="L34" s="143">
        <f>IF(t&lt;Tvie,1-EXP((T0-t)*PertePVj)+'2022'!Pspv,1-EXP((T0-t)*PertePVj)+Pspv)</f>
        <v>7.1203200980498593E-3</v>
      </c>
      <c r="M34" s="835"/>
      <c r="N34" s="835"/>
      <c r="O34" s="48">
        <f>IF(t&lt;Tnet,'2022'!Resal+('2022'!Salim-'2022'!Resal)*(1-EXP(('2022'!Tnet-t)/('2022'!Tau_j))),Resal+(Salim-Resal)*(1-EXP((Tnet-t)/(Tau_j))))*Salcycl</f>
        <v>3.0336466061952925E-2</v>
      </c>
      <c r="P34" s="165">
        <f>(INDEX(Models!$BJ34:$BT34,,T34)*(1-R34)+INDEX(Models!$BJ34:$BT34,,T34+1)*R34-ERP_i)*Q34*Ramure*Pc/MaxiM</f>
        <v>5.8589579402791873E-4</v>
      </c>
      <c r="Q34" s="301">
        <f t="shared" si="4"/>
        <v>0.5</v>
      </c>
      <c r="R34" s="173">
        <f t="shared" si="5"/>
        <v>0.49035304146043707</v>
      </c>
      <c r="S34" s="801">
        <f t="shared" si="6"/>
        <v>0</v>
      </c>
      <c r="T34" s="172">
        <f t="shared" si="7"/>
        <v>6</v>
      </c>
      <c r="U34" s="247">
        <f t="shared" si="22"/>
        <v>0.49035304146043707</v>
      </c>
      <c r="V34" s="378">
        <f t="shared" si="8"/>
        <v>112.8242510299451</v>
      </c>
      <c r="W34" s="397">
        <f t="shared" si="9"/>
        <v>23.707503688751359</v>
      </c>
      <c r="X34" s="153">
        <f t="shared" si="10"/>
        <v>44946</v>
      </c>
      <c r="Y34" s="380">
        <f t="shared" si="11"/>
        <v>23.707503688751359</v>
      </c>
      <c r="Z34" s="380">
        <f t="shared" si="12"/>
        <v>23.877519269094666</v>
      </c>
      <c r="AA34" s="381">
        <f t="shared" si="13"/>
        <v>24.624540815845744</v>
      </c>
      <c r="AB34" s="193">
        <f t="shared" si="14"/>
        <v>44946</v>
      </c>
      <c r="AC34" s="420">
        <f>IF(OR(t&lt;Tnet,NoTnet),'2022'!Resal_s+('2022'!Salim-'2022'!Resal_s)*(1-EXP(('2022'!Tnet_s-t)/'2022'!Tau_j)),Resal_s+(Salim-Resal_s)*(1-EXP((Tnet_s-t)/Tau_j)))*Salcycl</f>
        <v>3.0336466061952925E-2</v>
      </c>
      <c r="AD34" s="227">
        <f>(INDEX(Models!$BJ34:$BT34,,AH34)*(1-AF34)+INDEX(Models!$BJ34:$BT34,,AH34+1)*AF34-ERP_i)*AE34*Ramure*Pc/MaxiM</f>
        <v>5.8589579402791873E-4</v>
      </c>
      <c r="AE34" s="301">
        <f t="shared" si="15"/>
        <v>0.5</v>
      </c>
      <c r="AF34" s="173">
        <f t="shared" si="16"/>
        <v>0.49035304146043707</v>
      </c>
      <c r="AG34" s="172">
        <f t="shared" si="17"/>
        <v>0</v>
      </c>
      <c r="AH34" s="172">
        <f t="shared" si="18"/>
        <v>6</v>
      </c>
      <c r="AI34" s="221">
        <f t="shared" si="23"/>
        <v>0.49035304146043707</v>
      </c>
      <c r="AJ34" s="261" t="b">
        <f t="shared" si="19"/>
        <v>0</v>
      </c>
      <c r="AK34" s="261" t="b">
        <f t="shared" si="20"/>
        <v>0</v>
      </c>
      <c r="AL34" s="261"/>
      <c r="AM34" s="261"/>
      <c r="AN34" s="75"/>
    </row>
    <row r="35" spans="1:40" s="6" customFormat="1" ht="11.25" customHeight="1" x14ac:dyDescent="0.2">
      <c r="A35" s="56">
        <f t="shared" si="21"/>
        <v>44947</v>
      </c>
      <c r="B35" s="406">
        <f>'2022'!Wh/'2022'!Env_an*'2023'!Env_an</f>
        <v>59.517727006761817</v>
      </c>
      <c r="C35" s="385"/>
      <c r="D35" s="388">
        <f t="shared" si="0"/>
        <v>59.945372002672897</v>
      </c>
      <c r="E35" s="380">
        <f t="shared" si="1"/>
        <v>61.823660531996431</v>
      </c>
      <c r="F35" s="380">
        <f t="shared" si="2"/>
        <v>61.834952072362896</v>
      </c>
      <c r="G35" s="110">
        <f t="shared" si="24"/>
        <v>0.52200634887178432</v>
      </c>
      <c r="H35" s="409" t="b">
        <f>Wh_hp&gt;='2022'!Maxi_hp</f>
        <v>0</v>
      </c>
      <c r="I35" s="385">
        <f>IF(H35,Wh_hp,'2022'!Maxi_hp)</f>
        <v>61.859209054823204</v>
      </c>
      <c r="J35" s="85">
        <f>IF(H35,An,'2022'!An_max)</f>
        <v>2022</v>
      </c>
      <c r="K35" s="193">
        <f t="shared" si="3"/>
        <v>44947</v>
      </c>
      <c r="L35" s="143">
        <f>IF(t&lt;Tvie,1-EXP((T0-t)*PertePVj)+'2022'!Pspv,1-EXP((T0-t)*PertePVj)+Pspv)</f>
        <v>7.1339117870853341E-3</v>
      </c>
      <c r="M35" s="835"/>
      <c r="N35" s="835"/>
      <c r="O35" s="48">
        <f>IF(t&lt;Tnet,'2022'!Resal+('2022'!Salim-'2022'!Resal)*(1-EXP(('2022'!Tnet-t)/('2022'!Tau_j))),Resal+(Salim-Resal)*(1-EXP((Tnet-t)/(Tau_j))))*Salcycl</f>
        <v>3.038138656237346E-2</v>
      </c>
      <c r="P35" s="165">
        <f>(INDEX(Models!$BJ35:$BT35,,T35)*(1-R35)+INDEX(Models!$BJ35:$BT35,,T35+1)*R35-ERP_i)*Q35*Ramure*Pc/MaxiM</f>
        <v>5.7524230699031197E-4</v>
      </c>
      <c r="Q35" s="301">
        <f t="shared" si="4"/>
        <v>0.5</v>
      </c>
      <c r="R35" s="173">
        <f t="shared" si="5"/>
        <v>0.49041661069767328</v>
      </c>
      <c r="S35" s="801">
        <f t="shared" si="6"/>
        <v>0</v>
      </c>
      <c r="T35" s="172">
        <f t="shared" si="7"/>
        <v>6</v>
      </c>
      <c r="U35" s="247">
        <f t="shared" si="22"/>
        <v>0.49041661069767328</v>
      </c>
      <c r="V35" s="378">
        <f t="shared" si="8"/>
        <v>113.97247207782355</v>
      </c>
      <c r="W35" s="397">
        <f t="shared" si="9"/>
        <v>59.517727006761817</v>
      </c>
      <c r="X35" s="153">
        <f t="shared" si="10"/>
        <v>44947</v>
      </c>
      <c r="Y35" s="380">
        <f t="shared" si="11"/>
        <v>59.517727006761817</v>
      </c>
      <c r="Z35" s="380">
        <f t="shared" si="12"/>
        <v>59.945372002672897</v>
      </c>
      <c r="AA35" s="381">
        <f t="shared" si="13"/>
        <v>61.823660531996431</v>
      </c>
      <c r="AB35" s="193">
        <f t="shared" si="14"/>
        <v>44947</v>
      </c>
      <c r="AC35" s="420">
        <f>IF(OR(t&lt;Tnet,NoTnet),'2022'!Resal_s+('2022'!Salim-'2022'!Resal_s)*(1-EXP(('2022'!Tnet_s-t)/'2022'!Tau_j)),Resal_s+(Salim-Resal_s)*(1-EXP((Tnet_s-t)/Tau_j)))*Salcycl</f>
        <v>3.038138656237346E-2</v>
      </c>
      <c r="AD35" s="227">
        <f>(INDEX(Models!$BJ35:$BT35,,AH35)*(1-AF35)+INDEX(Models!$BJ35:$BT35,,AH35+1)*AF35-ERP_i)*AE35*Ramure*Pc/MaxiM</f>
        <v>5.7524230699031197E-4</v>
      </c>
      <c r="AE35" s="301">
        <f t="shared" si="15"/>
        <v>0.5</v>
      </c>
      <c r="AF35" s="173">
        <f t="shared" si="16"/>
        <v>0.49041661069767328</v>
      </c>
      <c r="AG35" s="172">
        <f t="shared" si="17"/>
        <v>0</v>
      </c>
      <c r="AH35" s="172">
        <f t="shared" si="18"/>
        <v>6</v>
      </c>
      <c r="AI35" s="221">
        <f t="shared" si="23"/>
        <v>0.49041661069767328</v>
      </c>
      <c r="AJ35" s="261" t="b">
        <f t="shared" si="19"/>
        <v>0</v>
      </c>
      <c r="AK35" s="261" t="b">
        <f t="shared" si="20"/>
        <v>0</v>
      </c>
      <c r="AL35" s="261"/>
      <c r="AM35" s="261"/>
      <c r="AN35" s="75"/>
    </row>
    <row r="36" spans="1:40" s="6" customFormat="1" ht="11.25" customHeight="1" x14ac:dyDescent="0.2">
      <c r="A36" s="56">
        <f t="shared" si="21"/>
        <v>44948</v>
      </c>
      <c r="B36" s="406">
        <f>'2022'!Wh/'2022'!Env_an*'2023'!Env_an</f>
        <v>114.30188236568011</v>
      </c>
      <c r="C36" s="385"/>
      <c r="D36" s="388">
        <f t="shared" si="0"/>
        <v>115.12473680073086</v>
      </c>
      <c r="E36" s="380">
        <f t="shared" si="1"/>
        <v>118.73747987220942</v>
      </c>
      <c r="F36" s="380">
        <f t="shared" si="2"/>
        <v>118.80375890108199</v>
      </c>
      <c r="G36" s="110">
        <f t="shared" si="24"/>
        <v>0.9927697139967524</v>
      </c>
      <c r="H36" s="409" t="b">
        <f>Wh_hp&gt;='2022'!Maxi_hp</f>
        <v>0</v>
      </c>
      <c r="I36" s="385">
        <f>IF(H36,Wh_hp,'2022'!Maxi_hp)</f>
        <v>118.80444939274724</v>
      </c>
      <c r="J36" s="85">
        <f>IF(H36,An,'2022'!An_max)</f>
        <v>2022</v>
      </c>
      <c r="K36" s="193">
        <f t="shared" si="3"/>
        <v>44948</v>
      </c>
      <c r="L36" s="143">
        <f>IF(t&lt;Tvie,1-EXP((T0-t)*PertePVj)+'2022'!Pspv,1-EXP((T0-t)*PertePVj)+Pspv)</f>
        <v>7.1475032900619739E-3</v>
      </c>
      <c r="M36" s="835"/>
      <c r="N36" s="835"/>
      <c r="O36" s="48">
        <f>IF(t&lt;Tnet,'2022'!Resal+('2022'!Salim-'2022'!Resal)*(1-EXP(('2022'!Tnet-t)/('2022'!Tau_j))),Resal+(Salim-Resal)*(1-EXP((Tnet-t)/(Tau_j))))*Salcycl</f>
        <v>3.0426307475674538E-2</v>
      </c>
      <c r="P36" s="165">
        <f>(INDEX(Models!$BJ36:$BT36,,T36)*(1-R36)+INDEX(Models!$BJ36:$BT36,,T36+1)*R36-ERP_i)*Q36*Ramure*Pc/MaxiM</f>
        <v>5.6370446997230743E-4</v>
      </c>
      <c r="Q36" s="301">
        <f t="shared" si="4"/>
        <v>0.5</v>
      </c>
      <c r="R36" s="173">
        <f t="shared" si="5"/>
        <v>0.49048282957645534</v>
      </c>
      <c r="S36" s="801">
        <f t="shared" si="6"/>
        <v>0</v>
      </c>
      <c r="T36" s="172">
        <f t="shared" si="7"/>
        <v>6</v>
      </c>
      <c r="U36" s="247">
        <f t="shared" si="22"/>
        <v>0.49048282957645534</v>
      </c>
      <c r="V36" s="378">
        <f t="shared" si="8"/>
        <v>115.13366634085155</v>
      </c>
      <c r="W36" s="397">
        <f t="shared" si="9"/>
        <v>114.30188236568011</v>
      </c>
      <c r="X36" s="153">
        <f t="shared" si="10"/>
        <v>44948</v>
      </c>
      <c r="Y36" s="380">
        <f t="shared" si="11"/>
        <v>114.30188236568011</v>
      </c>
      <c r="Z36" s="380">
        <f t="shared" si="12"/>
        <v>115.12473680073086</v>
      </c>
      <c r="AA36" s="381">
        <f t="shared" si="13"/>
        <v>118.73747987220942</v>
      </c>
      <c r="AB36" s="193">
        <f t="shared" si="14"/>
        <v>44948</v>
      </c>
      <c r="AC36" s="420">
        <f>IF(OR(t&lt;Tnet,NoTnet),'2022'!Resal_s+('2022'!Salim-'2022'!Resal_s)*(1-EXP(('2022'!Tnet_s-t)/'2022'!Tau_j)),Resal_s+(Salim-Resal_s)*(1-EXP((Tnet_s-t)/Tau_j)))*Salcycl</f>
        <v>3.0426307475674538E-2</v>
      </c>
      <c r="AD36" s="227">
        <f>(INDEX(Models!$BJ36:$BT36,,AH36)*(1-AF36)+INDEX(Models!$BJ36:$BT36,,AH36+1)*AF36-ERP_i)*AE36*Ramure*Pc/MaxiM</f>
        <v>5.6370446997230743E-4</v>
      </c>
      <c r="AE36" s="301">
        <f t="shared" si="15"/>
        <v>0.5</v>
      </c>
      <c r="AF36" s="173">
        <f t="shared" si="16"/>
        <v>0.49048282957645534</v>
      </c>
      <c r="AG36" s="172">
        <f t="shared" si="17"/>
        <v>0</v>
      </c>
      <c r="AH36" s="172">
        <f t="shared" si="18"/>
        <v>6</v>
      </c>
      <c r="AI36" s="221">
        <f t="shared" si="23"/>
        <v>0.49048282957645534</v>
      </c>
      <c r="AJ36" s="261" t="b">
        <f t="shared" si="19"/>
        <v>0</v>
      </c>
      <c r="AK36" s="261" t="b">
        <f t="shared" si="20"/>
        <v>0</v>
      </c>
      <c r="AL36" s="261"/>
      <c r="AM36" s="261"/>
      <c r="AN36" s="75"/>
    </row>
    <row r="37" spans="1:40" s="6" customFormat="1" ht="11.25" customHeight="1" x14ac:dyDescent="0.2">
      <c r="A37" s="56">
        <f t="shared" si="21"/>
        <v>44949</v>
      </c>
      <c r="B37" s="406">
        <f>'2022'!Wh/'2022'!Env_an*'2023'!Env_an</f>
        <v>116.18028574111858</v>
      </c>
      <c r="C37" s="385"/>
      <c r="D37" s="388">
        <f t="shared" si="0"/>
        <v>117.01826460469772</v>
      </c>
      <c r="E37" s="380">
        <f t="shared" si="1"/>
        <v>120.69602085951615</v>
      </c>
      <c r="F37" s="380">
        <f t="shared" si="2"/>
        <v>120.76248324735842</v>
      </c>
      <c r="G37" s="110">
        <f t="shared" si="24"/>
        <v>0.9988325838099209</v>
      </c>
      <c r="H37" s="409" t="b">
        <f>Wh_hp&gt;='2022'!Maxi_hp</f>
        <v>0</v>
      </c>
      <c r="I37" s="385">
        <f>IF(H37,Wh_hp,'2022'!Maxi_hp)</f>
        <v>120.76259406342568</v>
      </c>
      <c r="J37" s="85">
        <f>IF(H37,An,'2022'!An_max)</f>
        <v>2022</v>
      </c>
      <c r="K37" s="193">
        <f t="shared" si="3"/>
        <v>44949</v>
      </c>
      <c r="L37" s="143">
        <f>IF(t&lt;Tvie,1-EXP((T0-t)*PertePVj)+'2022'!Pspv,1-EXP((T0-t)*PertePVj)+Pspv)</f>
        <v>7.1610946069824433E-3</v>
      </c>
      <c r="M37" s="835"/>
      <c r="N37" s="835"/>
      <c r="O37" s="48">
        <f>IF(t&lt;Tnet,'2022'!Resal+('2022'!Salim-'2022'!Resal)*(1-EXP(('2022'!Tnet-t)/('2022'!Tau_j))),Resal+(Salim-Resal)*(1-EXP((Tnet-t)/(Tau_j))))*Salcycl</f>
        <v>3.0471230357288638E-2</v>
      </c>
      <c r="P37" s="165">
        <f>(INDEX(Models!$BJ37:$BT37,,T37)*(1-R37)+INDEX(Models!$BJ37:$BT37,,T37+1)*R37-ERP_i)*Q37*Ramure*Pc/MaxiM</f>
        <v>5.5127491225715841E-4</v>
      </c>
      <c r="Q37" s="301">
        <f t="shared" si="4"/>
        <v>0.5</v>
      </c>
      <c r="R37" s="173">
        <f t="shared" si="5"/>
        <v>0.49055180778723267</v>
      </c>
      <c r="S37" s="801">
        <f t="shared" si="6"/>
        <v>0</v>
      </c>
      <c r="T37" s="172">
        <f t="shared" si="7"/>
        <v>6</v>
      </c>
      <c r="U37" s="247">
        <f t="shared" si="22"/>
        <v>0.49055180778723267</v>
      </c>
      <c r="V37" s="378">
        <f t="shared" si="8"/>
        <v>116.31596809662945</v>
      </c>
      <c r="W37" s="397">
        <f t="shared" si="9"/>
        <v>116.18028574111858</v>
      </c>
      <c r="X37" s="153">
        <f t="shared" si="10"/>
        <v>44949</v>
      </c>
      <c r="Y37" s="380">
        <f t="shared" si="11"/>
        <v>116.18028574111858</v>
      </c>
      <c r="Z37" s="380">
        <f t="shared" si="12"/>
        <v>117.01826460469772</v>
      </c>
      <c r="AA37" s="381">
        <f t="shared" si="13"/>
        <v>120.69602085951615</v>
      </c>
      <c r="AB37" s="193">
        <f t="shared" si="14"/>
        <v>44949</v>
      </c>
      <c r="AC37" s="420">
        <f>IF(OR(t&lt;Tnet,NoTnet),'2022'!Resal_s+('2022'!Salim-'2022'!Resal_s)*(1-EXP(('2022'!Tnet_s-t)/'2022'!Tau_j)),Resal_s+(Salim-Resal_s)*(1-EXP((Tnet_s-t)/Tau_j)))*Salcycl</f>
        <v>3.0471230357288638E-2</v>
      </c>
      <c r="AD37" s="227">
        <f>(INDEX(Models!$BJ37:$BT37,,AH37)*(1-AF37)+INDEX(Models!$BJ37:$BT37,,AH37+1)*AF37-ERP_i)*AE37*Ramure*Pc/MaxiM</f>
        <v>5.5127491225715841E-4</v>
      </c>
      <c r="AE37" s="301">
        <f t="shared" si="15"/>
        <v>0.5</v>
      </c>
      <c r="AF37" s="173">
        <f t="shared" si="16"/>
        <v>0.49055180778723267</v>
      </c>
      <c r="AG37" s="172">
        <f t="shared" si="17"/>
        <v>0</v>
      </c>
      <c r="AH37" s="172">
        <f t="shared" si="18"/>
        <v>6</v>
      </c>
      <c r="AI37" s="221">
        <f t="shared" si="23"/>
        <v>0.49055180778723267</v>
      </c>
      <c r="AJ37" s="261" t="b">
        <f t="shared" si="19"/>
        <v>0</v>
      </c>
      <c r="AK37" s="261" t="b">
        <f t="shared" si="20"/>
        <v>0</v>
      </c>
      <c r="AL37" s="261"/>
      <c r="AM37" s="261"/>
      <c r="AN37" s="75"/>
    </row>
    <row r="38" spans="1:40" s="6" customFormat="1" ht="11.25" customHeight="1" x14ac:dyDescent="0.2">
      <c r="A38" s="56">
        <f t="shared" si="21"/>
        <v>44950</v>
      </c>
      <c r="B38" s="406">
        <f>'2022'!Wh/'2022'!Env_an*'2023'!Env_an</f>
        <v>117.61261180522396</v>
      </c>
      <c r="C38" s="385"/>
      <c r="D38" s="388">
        <f t="shared" si="0"/>
        <v>118.46254332528925</v>
      </c>
      <c r="E38" s="380">
        <f t="shared" si="1"/>
        <v>122.19135381688903</v>
      </c>
      <c r="F38" s="380">
        <f t="shared" si="2"/>
        <v>122.25706830537692</v>
      </c>
      <c r="G38" s="110">
        <f t="shared" si="24"/>
        <v>1.000721756393286</v>
      </c>
      <c r="H38" s="409" t="b">
        <f>Wh_hp&gt;='2022'!Maxi_hp</f>
        <v>1</v>
      </c>
      <c r="I38" s="385">
        <f>IF(H38,Wh_hp,'2022'!Maxi_hp)</f>
        <v>122.25706830537692</v>
      </c>
      <c r="J38" s="85">
        <f>IF(H38,An,'2022'!An_max)</f>
        <v>2023</v>
      </c>
      <c r="K38" s="193">
        <f t="shared" si="3"/>
        <v>44950</v>
      </c>
      <c r="L38" s="143">
        <f>IF(t&lt;Tvie,1-EXP((T0-t)*PertePVj)+'2022'!Pspv,1-EXP((T0-t)*PertePVj)+Pspv)</f>
        <v>7.1746857378490736E-3</v>
      </c>
      <c r="M38" s="835"/>
      <c r="N38" s="835"/>
      <c r="O38" s="48">
        <f>IF(t&lt;Tnet,'2022'!Resal+('2022'!Salim-'2022'!Resal)*(1-EXP(('2022'!Tnet-t)/('2022'!Tau_j))),Resal+(Salim-Resal)*(1-EXP((Tnet-t)/(Tau_j))))*Salcycl</f>
        <v>3.0516156627478235E-2</v>
      </c>
      <c r="P38" s="165">
        <f>(INDEX(Models!$BJ38:$BT38,,T38)*(1-R38)+INDEX(Models!$BJ38:$BT38,,T38+1)*R38-ERP_i)*Q38*Ramure*Pc/MaxiM</f>
        <v>5.3751075008389782E-4</v>
      </c>
      <c r="Q38" s="301">
        <f t="shared" si="4"/>
        <v>0.5</v>
      </c>
      <c r="R38" s="173">
        <f t="shared" si="5"/>
        <v>0.49062365949746212</v>
      </c>
      <c r="S38" s="801">
        <f t="shared" si="6"/>
        <v>0</v>
      </c>
      <c r="T38" s="172">
        <f t="shared" si="7"/>
        <v>6</v>
      </c>
      <c r="U38" s="247">
        <f t="shared" si="22"/>
        <v>0.49062365949746212</v>
      </c>
      <c r="V38" s="378">
        <f t="shared" si="8"/>
        <v>117.527785374741</v>
      </c>
      <c r="W38" s="397">
        <f t="shared" si="9"/>
        <v>117.61261180522396</v>
      </c>
      <c r="X38" s="153">
        <f t="shared" si="10"/>
        <v>44950</v>
      </c>
      <c r="Y38" s="380">
        <f t="shared" si="11"/>
        <v>117.61261180522396</v>
      </c>
      <c r="Z38" s="380">
        <f t="shared" si="12"/>
        <v>118.46254332528925</v>
      </c>
      <c r="AA38" s="381">
        <f t="shared" si="13"/>
        <v>122.19135381688903</v>
      </c>
      <c r="AB38" s="193">
        <f t="shared" si="14"/>
        <v>44950</v>
      </c>
      <c r="AC38" s="420">
        <f>IF(OR(t&lt;Tnet,NoTnet),'2022'!Resal_s+('2022'!Salim-'2022'!Resal_s)*(1-EXP(('2022'!Tnet_s-t)/'2022'!Tau_j)),Resal_s+(Salim-Resal_s)*(1-EXP((Tnet_s-t)/Tau_j)))*Salcycl</f>
        <v>3.0516156627478235E-2</v>
      </c>
      <c r="AD38" s="227">
        <f>(INDEX(Models!$BJ38:$BT38,,AH38)*(1-AF38)+INDEX(Models!$BJ38:$BT38,,AH38+1)*AF38-ERP_i)*AE38*Ramure*Pc/MaxiM</f>
        <v>5.3751075008389782E-4</v>
      </c>
      <c r="AE38" s="301">
        <f t="shared" si="15"/>
        <v>0.5</v>
      </c>
      <c r="AF38" s="173">
        <f t="shared" si="16"/>
        <v>0.49062365949746212</v>
      </c>
      <c r="AG38" s="172">
        <f t="shared" si="17"/>
        <v>0</v>
      </c>
      <c r="AH38" s="172">
        <f t="shared" si="18"/>
        <v>6</v>
      </c>
      <c r="AI38" s="221">
        <f t="shared" si="23"/>
        <v>0.49062365949746212</v>
      </c>
      <c r="AJ38" s="261" t="b">
        <f t="shared" si="19"/>
        <v>0</v>
      </c>
      <c r="AK38" s="261" t="b">
        <f t="shared" si="20"/>
        <v>0</v>
      </c>
      <c r="AL38" s="261"/>
      <c r="AM38" s="261"/>
      <c r="AN38" s="75"/>
    </row>
    <row r="39" spans="1:40" s="6" customFormat="1" ht="11.25" customHeight="1" x14ac:dyDescent="0.2">
      <c r="A39" s="56">
        <f t="shared" si="21"/>
        <v>44951</v>
      </c>
      <c r="B39" s="406">
        <f>'2022'!Wh/'2022'!Env_an*'2023'!Env_an</f>
        <v>116.52257696467882</v>
      </c>
      <c r="C39" s="385"/>
      <c r="D39" s="388">
        <f t="shared" si="0"/>
        <v>117.36623795631225</v>
      </c>
      <c r="E39" s="380">
        <f t="shared" si="1"/>
        <v>121.06615119972953</v>
      </c>
      <c r="F39" s="380">
        <f t="shared" si="2"/>
        <v>121.12787038526086</v>
      </c>
      <c r="G39" s="110">
        <f t="shared" si="24"/>
        <v>0.98108934518379953</v>
      </c>
      <c r="H39" s="409" t="b">
        <f>Wh_hp&gt;='2022'!Maxi_hp</f>
        <v>0</v>
      </c>
      <c r="I39" s="385">
        <f>IF(H39,Wh_hp,'2022'!Maxi_hp)</f>
        <v>121.12958041502201</v>
      </c>
      <c r="J39" s="85">
        <f>IF(H39,An,'2022'!An_max)</f>
        <v>2022</v>
      </c>
      <c r="K39" s="193">
        <f t="shared" si="3"/>
        <v>44951</v>
      </c>
      <c r="L39" s="143">
        <f>IF(t&lt;Tvie,1-EXP((T0-t)*PertePVj)+'2022'!Pspv,1-EXP((T0-t)*PertePVj)+Pspv)</f>
        <v>7.1882766826646405E-3</v>
      </c>
      <c r="M39" s="835"/>
      <c r="N39" s="835"/>
      <c r="O39" s="48">
        <f>IF(t&lt;Tnet,'2022'!Resal+('2022'!Salim-'2022'!Resal)*(1-EXP(('2022'!Tnet-t)/('2022'!Tau_j))),Resal+(Salim-Resal)*(1-EXP((Tnet-t)/(Tau_j))))*Salcycl</f>
        <v>3.0561087527374374E-2</v>
      </c>
      <c r="P39" s="165">
        <f>(INDEX(Models!$BJ39:$BT39,,T39)*(1-R39)+INDEX(Models!$BJ39:$BT39,,T39+1)*R39-ERP_i)*Q39*Ramure*Pc/MaxiM</f>
        <v>5.2367423859187316E-4</v>
      </c>
      <c r="Q39" s="301">
        <f t="shared" si="4"/>
        <v>0.5</v>
      </c>
      <c r="R39" s="173">
        <f t="shared" si="5"/>
        <v>0.49069850352887034</v>
      </c>
      <c r="S39" s="801">
        <f t="shared" si="6"/>
        <v>0</v>
      </c>
      <c r="T39" s="172">
        <f t="shared" si="7"/>
        <v>6</v>
      </c>
      <c r="U39" s="247">
        <f t="shared" si="22"/>
        <v>0.49069850352887034</v>
      </c>
      <c r="V39" s="378">
        <f t="shared" si="8"/>
        <v>118.76688850127422</v>
      </c>
      <c r="W39" s="397">
        <f t="shared" si="9"/>
        <v>116.52257696467882</v>
      </c>
      <c r="X39" s="153">
        <f t="shared" si="10"/>
        <v>44951</v>
      </c>
      <c r="Y39" s="380">
        <f t="shared" si="11"/>
        <v>116.52257696467882</v>
      </c>
      <c r="Z39" s="380">
        <f t="shared" si="12"/>
        <v>117.36623795631225</v>
      </c>
      <c r="AA39" s="381">
        <f t="shared" si="13"/>
        <v>121.06615119972953</v>
      </c>
      <c r="AB39" s="193">
        <f t="shared" si="14"/>
        <v>44951</v>
      </c>
      <c r="AC39" s="420">
        <f>IF(OR(t&lt;Tnet,NoTnet),'2022'!Resal_s+('2022'!Salim-'2022'!Resal_s)*(1-EXP(('2022'!Tnet_s-t)/'2022'!Tau_j)),Resal_s+(Salim-Resal_s)*(1-EXP((Tnet_s-t)/Tau_j)))*Salcycl</f>
        <v>3.0561087527374374E-2</v>
      </c>
      <c r="AD39" s="227">
        <f>(INDEX(Models!$BJ39:$BT39,,AH39)*(1-AF39)+INDEX(Models!$BJ39:$BT39,,AH39+1)*AF39-ERP_i)*AE39*Ramure*Pc/MaxiM</f>
        <v>5.2367423859187316E-4</v>
      </c>
      <c r="AE39" s="301">
        <f t="shared" si="15"/>
        <v>0.5</v>
      </c>
      <c r="AF39" s="173">
        <f t="shared" si="16"/>
        <v>0.49069850352887034</v>
      </c>
      <c r="AG39" s="172">
        <f t="shared" si="17"/>
        <v>0</v>
      </c>
      <c r="AH39" s="172">
        <f t="shared" si="18"/>
        <v>6</v>
      </c>
      <c r="AI39" s="221">
        <f t="shared" si="23"/>
        <v>0.49069850352887034</v>
      </c>
      <c r="AJ39" s="261" t="b">
        <f t="shared" si="19"/>
        <v>0</v>
      </c>
      <c r="AK39" s="261" t="b">
        <f t="shared" si="20"/>
        <v>0</v>
      </c>
      <c r="AL39" s="261"/>
      <c r="AM39" s="261"/>
      <c r="AN39" s="75"/>
    </row>
    <row r="40" spans="1:40" s="6" customFormat="1" ht="11.25" x14ac:dyDescent="0.2">
      <c r="A40" s="56">
        <f t="shared" si="21"/>
        <v>44952</v>
      </c>
      <c r="B40" s="406">
        <f>'2022'!Wh/'2022'!Env_an*'2023'!Env_an</f>
        <v>118.57085962312377</v>
      </c>
      <c r="C40" s="385"/>
      <c r="D40" s="388">
        <f t="shared" si="0"/>
        <v>119.43098575090126</v>
      </c>
      <c r="E40" s="380">
        <f t="shared" si="1"/>
        <v>123.20169994611902</v>
      </c>
      <c r="F40" s="380">
        <f t="shared" si="2"/>
        <v>123.26344583535817</v>
      </c>
      <c r="G40" s="110">
        <f t="shared" si="24"/>
        <v>0.98782497672117464</v>
      </c>
      <c r="H40" s="409" t="b">
        <f>Wh_hp&gt;='2022'!Maxi_hp</f>
        <v>0</v>
      </c>
      <c r="I40" s="385">
        <f>IF(H40,Wh_hp,'2022'!Maxi_hp)</f>
        <v>123.264536354387</v>
      </c>
      <c r="J40" s="85">
        <f>IF(H40,An,'2022'!An_max)</f>
        <v>2022</v>
      </c>
      <c r="K40" s="193">
        <f t="shared" si="3"/>
        <v>44952</v>
      </c>
      <c r="L40" s="143">
        <f>IF(t&lt;Tvie,1-EXP((T0-t)*PertePVj)+'2022'!Pspv,1-EXP((T0-t)*PertePVj)+Pspv)</f>
        <v>7.2018674414315864E-3</v>
      </c>
      <c r="M40" s="835"/>
      <c r="N40" s="835"/>
      <c r="O40" s="48">
        <f>IF(t&lt;Tnet,'2022'!Resal+('2022'!Salim-'2022'!Resal)*(1-EXP(('2022'!Tnet-t)/('2022'!Tau_j))),Resal+(Salim-Resal)*(1-EXP((Tnet-t)/(Tau_j))))*Salcycl</f>
        <v>3.0606024079755805E-2</v>
      </c>
      <c r="P40" s="165">
        <f>(INDEX(Models!$BJ40:$BT40,,T40)*(1-R40)+INDEX(Models!$BJ40:$BT40,,T40+1)*R40-ERP_i)*Q40*Ramure*Pc/MaxiM</f>
        <v>5.0978648076166456E-4</v>
      </c>
      <c r="Q40" s="301">
        <f t="shared" si="4"/>
        <v>0.5</v>
      </c>
      <c r="R40" s="173">
        <f t="shared" si="5"/>
        <v>0.49077646354126303</v>
      </c>
      <c r="S40" s="801">
        <f t="shared" si="6"/>
        <v>0</v>
      </c>
      <c r="T40" s="172">
        <f t="shared" si="7"/>
        <v>6</v>
      </c>
      <c r="U40" s="247">
        <f t="shared" si="22"/>
        <v>0.49077646354126303</v>
      </c>
      <c r="V40" s="378">
        <f t="shared" si="8"/>
        <v>120.03119107069439</v>
      </c>
      <c r="W40" s="397">
        <f t="shared" si="9"/>
        <v>118.57085962312377</v>
      </c>
      <c r="X40" s="153">
        <f t="shared" si="10"/>
        <v>44952</v>
      </c>
      <c r="Y40" s="380">
        <f t="shared" si="11"/>
        <v>118.57085962312377</v>
      </c>
      <c r="Z40" s="380">
        <f t="shared" si="12"/>
        <v>119.43098575090126</v>
      </c>
      <c r="AA40" s="381">
        <f t="shared" si="13"/>
        <v>123.20169994611902</v>
      </c>
      <c r="AB40" s="193">
        <f t="shared" si="14"/>
        <v>44952</v>
      </c>
      <c r="AC40" s="420">
        <f>IF(OR(t&lt;Tnet,NoTnet),'2022'!Resal_s+('2022'!Salim-'2022'!Resal_s)*(1-EXP(('2022'!Tnet_s-t)/'2022'!Tau_j)),Resal_s+(Salim-Resal_s)*(1-EXP((Tnet_s-t)/Tau_j)))*Salcycl</f>
        <v>3.0606024079755805E-2</v>
      </c>
      <c r="AD40" s="227">
        <f>(INDEX(Models!$BJ40:$BT40,,AH40)*(1-AF40)+INDEX(Models!$BJ40:$BT40,,AH40+1)*AF40-ERP_i)*AE40*Ramure*Pc/MaxiM</f>
        <v>5.0978648076166456E-4</v>
      </c>
      <c r="AE40" s="301">
        <f t="shared" si="15"/>
        <v>0.5</v>
      </c>
      <c r="AF40" s="173">
        <f t="shared" si="16"/>
        <v>0.49077646354126303</v>
      </c>
      <c r="AG40" s="172">
        <f t="shared" si="17"/>
        <v>0</v>
      </c>
      <c r="AH40" s="172">
        <f t="shared" si="18"/>
        <v>6</v>
      </c>
      <c r="AI40" s="221">
        <f t="shared" si="23"/>
        <v>0.49077646354126303</v>
      </c>
      <c r="AJ40" s="261" t="b">
        <f t="shared" si="19"/>
        <v>0</v>
      </c>
      <c r="AK40" s="261" t="b">
        <f t="shared" si="20"/>
        <v>0</v>
      </c>
      <c r="AL40" s="261"/>
      <c r="AM40" s="261"/>
      <c r="AN40" s="75"/>
    </row>
    <row r="41" spans="1:40" s="6" customFormat="1" ht="11.25" customHeight="1" x14ac:dyDescent="0.2">
      <c r="A41" s="56">
        <f t="shared" si="21"/>
        <v>44953</v>
      </c>
      <c r="B41" s="406">
        <f>'2022'!Wh/'2022'!Env_an*'2023'!Env_an</f>
        <v>120.50003596782054</v>
      </c>
      <c r="C41" s="385"/>
      <c r="D41" s="388">
        <f t="shared" si="0"/>
        <v>121.37581808716185</v>
      </c>
      <c r="E41" s="380">
        <f t="shared" si="1"/>
        <v>125.21374031642206</v>
      </c>
      <c r="F41" s="380">
        <f t="shared" si="2"/>
        <v>125.27526137503955</v>
      </c>
      <c r="G41" s="110">
        <f t="shared" si="24"/>
        <v>0.99324796496175582</v>
      </c>
      <c r="H41" s="409" t="b">
        <f>Wh_hp&gt;='2022'!Maxi_hp</f>
        <v>0</v>
      </c>
      <c r="I41" s="385">
        <f>IF(H41,Wh_hp,'2022'!Maxi_hp)</f>
        <v>125.27585917077172</v>
      </c>
      <c r="J41" s="85">
        <f>IF(H41,An,'2022'!An_max)</f>
        <v>2022</v>
      </c>
      <c r="K41" s="193">
        <f t="shared" si="3"/>
        <v>44953</v>
      </c>
      <c r="L41" s="143">
        <f>IF(t&lt;Tvie,1-EXP((T0-t)*PertePVj)+'2022'!Pspv,1-EXP((T0-t)*PertePVj)+Pspv)</f>
        <v>7.2154580141523539E-3</v>
      </c>
      <c r="M41" s="835"/>
      <c r="N41" s="835"/>
      <c r="O41" s="48">
        <f>IF(t&lt;Tnet,'2022'!Resal+('2022'!Salim-'2022'!Resal)*(1-EXP(('2022'!Tnet-t)/('2022'!Tau_j))),Resal+(Salim-Resal)*(1-EXP((Tnet-t)/(Tau_j))))*Salcycl</f>
        <v>3.0650967054906116E-2</v>
      </c>
      <c r="P41" s="165">
        <f>(INDEX(Models!$BJ41:$BT41,,T41)*(1-R41)+INDEX(Models!$BJ41:$BT41,,T41+1)*R41-ERP_i)*Q41*Ramure*Pc/MaxiM</f>
        <v>4.958666992712573E-4</v>
      </c>
      <c r="Q41" s="301">
        <f t="shared" si="4"/>
        <v>0.5</v>
      </c>
      <c r="R41" s="173">
        <f t="shared" si="5"/>
        <v>0.4908576682230848</v>
      </c>
      <c r="S41" s="801">
        <f t="shared" si="6"/>
        <v>0</v>
      </c>
      <c r="T41" s="172">
        <f t="shared" si="7"/>
        <v>6</v>
      </c>
      <c r="U41" s="247">
        <f t="shared" si="22"/>
        <v>0.4908576682230848</v>
      </c>
      <c r="V41" s="378">
        <f t="shared" si="8"/>
        <v>121.31860722376592</v>
      </c>
      <c r="W41" s="397">
        <f t="shared" si="9"/>
        <v>120.50003596782054</v>
      </c>
      <c r="X41" s="153">
        <f t="shared" si="10"/>
        <v>44953</v>
      </c>
      <c r="Y41" s="380">
        <f t="shared" si="11"/>
        <v>120.50003596782054</v>
      </c>
      <c r="Z41" s="380">
        <f t="shared" si="12"/>
        <v>121.37581808716185</v>
      </c>
      <c r="AA41" s="381">
        <f t="shared" si="13"/>
        <v>125.21374031642206</v>
      </c>
      <c r="AB41" s="193">
        <f t="shared" si="14"/>
        <v>44953</v>
      </c>
      <c r="AC41" s="420">
        <f>IF(OR(t&lt;Tnet,NoTnet),'2022'!Resal_s+('2022'!Salim-'2022'!Resal_s)*(1-EXP(('2022'!Tnet_s-t)/'2022'!Tau_j)),Resal_s+(Salim-Resal_s)*(1-EXP((Tnet_s-t)/Tau_j)))*Salcycl</f>
        <v>3.0650967054906116E-2</v>
      </c>
      <c r="AD41" s="227">
        <f>(INDEX(Models!$BJ41:$BT41,,AH41)*(1-AF41)+INDEX(Models!$BJ41:$BT41,,AH41+1)*AF41-ERP_i)*AE41*Ramure*Pc/MaxiM</f>
        <v>4.958666992712573E-4</v>
      </c>
      <c r="AE41" s="301">
        <f t="shared" si="15"/>
        <v>0.5</v>
      </c>
      <c r="AF41" s="173">
        <f t="shared" si="16"/>
        <v>0.4908576682230848</v>
      </c>
      <c r="AG41" s="172">
        <f t="shared" si="17"/>
        <v>0</v>
      </c>
      <c r="AH41" s="172">
        <f t="shared" si="18"/>
        <v>6</v>
      </c>
      <c r="AI41" s="221">
        <f t="shared" si="23"/>
        <v>0.4908576682230848</v>
      </c>
      <c r="AJ41" s="261" t="b">
        <f t="shared" si="19"/>
        <v>0</v>
      </c>
      <c r="AK41" s="261" t="b">
        <f t="shared" si="20"/>
        <v>0</v>
      </c>
      <c r="AL41" s="261"/>
      <c r="AM41" s="261"/>
      <c r="AN41" s="75"/>
    </row>
    <row r="42" spans="1:40" s="6" customFormat="1" ht="11.25" x14ac:dyDescent="0.2">
      <c r="A42" s="56">
        <f t="shared" si="21"/>
        <v>44954</v>
      </c>
      <c r="B42" s="406">
        <f>'2022'!Wh/'2022'!Env_an*'2023'!Env_an</f>
        <v>18.668896011036775</v>
      </c>
      <c r="C42" s="385"/>
      <c r="D42" s="388">
        <f t="shared" si="0"/>
        <v>18.804837088519399</v>
      </c>
      <c r="E42" s="380">
        <f t="shared" si="1"/>
        <v>19.40034857708407</v>
      </c>
      <c r="F42" s="380">
        <f t="shared" si="2"/>
        <v>19.40034857708407</v>
      </c>
      <c r="G42" s="110">
        <f t="shared" si="24"/>
        <v>0.15216788314572738</v>
      </c>
      <c r="H42" s="409" t="b">
        <f>Wh_hp&gt;='2022'!Maxi_hp</f>
        <v>0</v>
      </c>
      <c r="I42" s="385">
        <f>IF(H42,Wh_hp,'2022'!Maxi_hp)</f>
        <v>19.409681636189191</v>
      </c>
      <c r="J42" s="85">
        <f>IF(H42,An,'2022'!An_max)</f>
        <v>2022</v>
      </c>
      <c r="K42" s="193">
        <f t="shared" si="3"/>
        <v>44954</v>
      </c>
      <c r="L42" s="143">
        <f>IF(t&lt;Tvie,1-EXP((T0-t)*PertePVj)+'2022'!Pspv,1-EXP((T0-t)*PertePVj)+Pspv)</f>
        <v>7.2290484008297184E-3</v>
      </c>
      <c r="M42" s="835"/>
      <c r="N42" s="835"/>
      <c r="O42" s="48">
        <f>IF(t&lt;Tnet,'2022'!Resal+('2022'!Salim-'2022'!Resal)*(1-EXP(('2022'!Tnet-t)/('2022'!Tau_j))),Resal+(Salim-Resal)*(1-EXP((Tnet-t)/(Tau_j))))*Salcycl</f>
        <v>3.0695916941827332E-2</v>
      </c>
      <c r="P42" s="165">
        <f>(INDEX(Models!$BJ42:$BT42,,T42)*(1-R42)+INDEX(Models!$BJ42:$BT42,,T42+1)*R42-ERP_i)*Q42*Ramure*Pc/MaxiM</f>
        <v>4.8193228387485333E-4</v>
      </c>
      <c r="Q42" s="301">
        <f t="shared" si="4"/>
        <v>0.5</v>
      </c>
      <c r="R42" s="173">
        <f t="shared" si="5"/>
        <v>0.49094225148893073</v>
      </c>
      <c r="S42" s="801">
        <f t="shared" si="6"/>
        <v>0</v>
      </c>
      <c r="T42" s="172">
        <f t="shared" si="7"/>
        <v>6</v>
      </c>
      <c r="U42" s="247">
        <f t="shared" si="22"/>
        <v>0.49094225148893073</v>
      </c>
      <c r="V42" s="378">
        <f t="shared" si="8"/>
        <v>122.62705165895377</v>
      </c>
      <c r="W42" s="397">
        <f t="shared" si="9"/>
        <v>18.668896011036775</v>
      </c>
      <c r="X42" s="153">
        <f t="shared" si="10"/>
        <v>44954</v>
      </c>
      <c r="Y42" s="380">
        <f t="shared" si="11"/>
        <v>18.668896011036775</v>
      </c>
      <c r="Z42" s="380">
        <f t="shared" si="12"/>
        <v>18.804837088519399</v>
      </c>
      <c r="AA42" s="381">
        <f t="shared" si="13"/>
        <v>19.40034857708407</v>
      </c>
      <c r="AB42" s="193">
        <f t="shared" si="14"/>
        <v>44954</v>
      </c>
      <c r="AC42" s="420">
        <f>IF(OR(t&lt;Tnet,NoTnet),'2022'!Resal_s+('2022'!Salim-'2022'!Resal_s)*(1-EXP(('2022'!Tnet_s-t)/'2022'!Tau_j)),Resal_s+(Salim-Resal_s)*(1-EXP((Tnet_s-t)/Tau_j)))*Salcycl</f>
        <v>3.0695916941827332E-2</v>
      </c>
      <c r="AD42" s="227">
        <f>(INDEX(Models!$BJ42:$BT42,,AH42)*(1-AF42)+INDEX(Models!$BJ42:$BT42,,AH42+1)*AF42-ERP_i)*AE42*Ramure*Pc/MaxiM</f>
        <v>4.8193228387485333E-4</v>
      </c>
      <c r="AE42" s="301">
        <f t="shared" si="15"/>
        <v>0.5</v>
      </c>
      <c r="AF42" s="173">
        <f t="shared" si="16"/>
        <v>0.49094225148893073</v>
      </c>
      <c r="AG42" s="172">
        <f t="shared" si="17"/>
        <v>0</v>
      </c>
      <c r="AH42" s="172">
        <f t="shared" si="18"/>
        <v>6</v>
      </c>
      <c r="AI42" s="221">
        <f t="shared" si="23"/>
        <v>0.49094225148893073</v>
      </c>
      <c r="AJ42" s="261" t="b">
        <f t="shared" si="19"/>
        <v>0</v>
      </c>
      <c r="AK42" s="261" t="b">
        <f t="shared" si="20"/>
        <v>0</v>
      </c>
      <c r="AL42" s="261"/>
      <c r="AM42" s="261"/>
      <c r="AN42" s="75"/>
    </row>
    <row r="43" spans="1:40" s="6" customFormat="1" ht="11.25" customHeight="1" x14ac:dyDescent="0.2">
      <c r="A43" s="56">
        <f t="shared" si="21"/>
        <v>44955</v>
      </c>
      <c r="B43" s="406">
        <f>'2022'!Wh/'2022'!Env_an*'2023'!Env_an</f>
        <v>29.260183681166129</v>
      </c>
      <c r="C43" s="385"/>
      <c r="D43" s="388">
        <f t="shared" si="0"/>
        <v>29.473650681316759</v>
      </c>
      <c r="E43" s="380">
        <f t="shared" si="1"/>
        <v>30.408432470138997</v>
      </c>
      <c r="F43" s="380">
        <f t="shared" si="2"/>
        <v>30.408432470138997</v>
      </c>
      <c r="G43" s="110">
        <f t="shared" si="24"/>
        <v>0.23594548160353165</v>
      </c>
      <c r="H43" s="409" t="b">
        <f>Wh_hp&gt;='2022'!Maxi_hp</f>
        <v>0</v>
      </c>
      <c r="I43" s="385">
        <f>IF(H43,Wh_hp,'2022'!Maxi_hp)</f>
        <v>30.422636176591364</v>
      </c>
      <c r="J43" s="85">
        <f>IF(H43,An,'2022'!An_max)</f>
        <v>2022</v>
      </c>
      <c r="K43" s="193">
        <f t="shared" si="3"/>
        <v>44955</v>
      </c>
      <c r="L43" s="143">
        <f>IF(t&lt;Tvie,1-EXP((T0-t)*PertePVj)+'2022'!Pspv,1-EXP((T0-t)*PertePVj)+Pspv)</f>
        <v>7.2426386014660116E-3</v>
      </c>
      <c r="M43" s="835"/>
      <c r="N43" s="835"/>
      <c r="O43" s="48">
        <f>IF(t&lt;Tnet,'2022'!Resal+('2022'!Salim-'2022'!Resal)*(1-EXP(('2022'!Tnet-t)/('2022'!Tau_j))),Resal+(Salim-Resal)*(1-EXP((Tnet-t)/(Tau_j))))*Salcycl</f>
        <v>3.0740873925026981E-2</v>
      </c>
      <c r="P43" s="165">
        <f>(INDEX(Models!$BJ43:$BT43,,T43)*(1-R43)+INDEX(Models!$BJ43:$BT43,,T43+1)*R43-ERP_i)*Q43*Ramure*Pc/MaxiM</f>
        <v>4.6799884944112656E-4</v>
      </c>
      <c r="Q43" s="301">
        <f t="shared" si="4"/>
        <v>0.5</v>
      </c>
      <c r="R43" s="173">
        <f t="shared" si="5"/>
        <v>0.49103035268421602</v>
      </c>
      <c r="S43" s="801">
        <f t="shared" si="6"/>
        <v>0</v>
      </c>
      <c r="T43" s="172">
        <f t="shared" si="7"/>
        <v>6</v>
      </c>
      <c r="U43" s="247">
        <f t="shared" si="22"/>
        <v>0.49103035268421602</v>
      </c>
      <c r="V43" s="378">
        <f t="shared" si="8"/>
        <v>123.95443960233541</v>
      </c>
      <c r="W43" s="397">
        <f t="shared" si="9"/>
        <v>29.260183681166129</v>
      </c>
      <c r="X43" s="153">
        <f t="shared" si="10"/>
        <v>44955</v>
      </c>
      <c r="Y43" s="380">
        <f t="shared" si="11"/>
        <v>29.260183681166129</v>
      </c>
      <c r="Z43" s="380">
        <f t="shared" si="12"/>
        <v>29.473650681316759</v>
      </c>
      <c r="AA43" s="381">
        <f t="shared" si="13"/>
        <v>30.408432470138997</v>
      </c>
      <c r="AB43" s="193">
        <f t="shared" si="14"/>
        <v>44955</v>
      </c>
      <c r="AC43" s="420">
        <f>IF(OR(t&lt;Tnet,NoTnet),'2022'!Resal_s+('2022'!Salim-'2022'!Resal_s)*(1-EXP(('2022'!Tnet_s-t)/'2022'!Tau_j)),Resal_s+(Salim-Resal_s)*(1-EXP((Tnet_s-t)/Tau_j)))*Salcycl</f>
        <v>3.0740873925026981E-2</v>
      </c>
      <c r="AD43" s="227">
        <f>(INDEX(Models!$BJ43:$BT43,,AH43)*(1-AF43)+INDEX(Models!$BJ43:$BT43,,AH43+1)*AF43-ERP_i)*AE43*Ramure*Pc/MaxiM</f>
        <v>4.6799884944112656E-4</v>
      </c>
      <c r="AE43" s="301">
        <f t="shared" si="15"/>
        <v>0.5</v>
      </c>
      <c r="AF43" s="173">
        <f t="shared" si="16"/>
        <v>0.49103035268421602</v>
      </c>
      <c r="AG43" s="172">
        <f t="shared" si="17"/>
        <v>0</v>
      </c>
      <c r="AH43" s="172">
        <f t="shared" si="18"/>
        <v>6</v>
      </c>
      <c r="AI43" s="221">
        <f t="shared" si="23"/>
        <v>0.49103035268421602</v>
      </c>
      <c r="AJ43" s="261" t="b">
        <f t="shared" si="19"/>
        <v>0</v>
      </c>
      <c r="AK43" s="261" t="b">
        <f t="shared" si="20"/>
        <v>0</v>
      </c>
      <c r="AL43" s="261"/>
      <c r="AM43" s="261"/>
      <c r="AN43" s="75"/>
    </row>
    <row r="44" spans="1:40" s="6" customFormat="1" ht="11.25" x14ac:dyDescent="0.2">
      <c r="A44" s="56">
        <f t="shared" si="21"/>
        <v>44956</v>
      </c>
      <c r="B44" s="406">
        <f>'2022'!Wh/'2022'!Env_an*'2023'!Env_an</f>
        <v>26.361820803776883</v>
      </c>
      <c r="C44" s="385"/>
      <c r="D44" s="388">
        <f t="shared" si="0"/>
        <v>26.554506372804681</v>
      </c>
      <c r="E44" s="380">
        <f t="shared" si="1"/>
        <v>27.397976020455289</v>
      </c>
      <c r="F44" s="380">
        <f t="shared" si="2"/>
        <v>27.397976020455289</v>
      </c>
      <c r="G44" s="110">
        <f t="shared" si="24"/>
        <v>0.21029630143313807</v>
      </c>
      <c r="H44" s="409" t="b">
        <f>Wh_hp&gt;='2022'!Maxi_hp</f>
        <v>0</v>
      </c>
      <c r="I44" s="385">
        <f>IF(H44,Wh_hp,'2022'!Maxi_hp)</f>
        <v>27.410360787722297</v>
      </c>
      <c r="J44" s="85">
        <f>IF(H44,An,'2022'!An_max)</f>
        <v>2022</v>
      </c>
      <c r="K44" s="193">
        <f t="shared" si="3"/>
        <v>44956</v>
      </c>
      <c r="L44" s="143">
        <f>IF(t&lt;Tvie,1-EXP((T0-t)*PertePVj)+'2022'!Pspv,1-EXP((T0-t)*PertePVj)+Pspv)</f>
        <v>7.2562286160638978E-3</v>
      </c>
      <c r="M44" s="835"/>
      <c r="N44" s="835"/>
      <c r="O44" s="48">
        <f>IF(t&lt;Tnet,'2022'!Resal+('2022'!Salim-'2022'!Resal)*(1-EXP(('2022'!Tnet-t)/('2022'!Tau_j))),Resal+(Salim-Resal)*(1-EXP((Tnet-t)/(Tau_j))))*Salcycl</f>
        <v>3.0785837867033487E-2</v>
      </c>
      <c r="P44" s="165">
        <f>(INDEX(Models!$BJ44:$BT44,,T44)*(1-R44)+INDEX(Models!$BJ44:$BT44,,T44+1)*R44-ERP_i)*Q44*Ramure*Pc/MaxiM</f>
        <v>4.5297678614789538E-4</v>
      </c>
      <c r="Q44" s="301">
        <f t="shared" si="4"/>
        <v>0.5</v>
      </c>
      <c r="R44" s="173">
        <f t="shared" si="5"/>
        <v>0.49112211679720946</v>
      </c>
      <c r="S44" s="801">
        <f t="shared" si="6"/>
        <v>0</v>
      </c>
      <c r="T44" s="172">
        <f t="shared" si="7"/>
        <v>6</v>
      </c>
      <c r="U44" s="247">
        <f t="shared" si="22"/>
        <v>0.49112211679720946</v>
      </c>
      <c r="V44" s="378">
        <f t="shared" si="8"/>
        <v>125.29882518780248</v>
      </c>
      <c r="W44" s="397">
        <f t="shared" si="9"/>
        <v>26.361820803776883</v>
      </c>
      <c r="X44" s="153">
        <f t="shared" si="10"/>
        <v>44956</v>
      </c>
      <c r="Y44" s="380">
        <f t="shared" si="11"/>
        <v>26.361820803776883</v>
      </c>
      <c r="Z44" s="380">
        <f t="shared" si="12"/>
        <v>26.554506372804681</v>
      </c>
      <c r="AA44" s="381">
        <f t="shared" si="13"/>
        <v>27.397976020455289</v>
      </c>
      <c r="AB44" s="193">
        <f t="shared" si="14"/>
        <v>44956</v>
      </c>
      <c r="AC44" s="420">
        <f>IF(OR(t&lt;Tnet,NoTnet),'2022'!Resal_s+('2022'!Salim-'2022'!Resal_s)*(1-EXP(('2022'!Tnet_s-t)/'2022'!Tau_j)),Resal_s+(Salim-Resal_s)*(1-EXP((Tnet_s-t)/Tau_j)))*Salcycl</f>
        <v>3.0785837867033487E-2</v>
      </c>
      <c r="AD44" s="227">
        <f>(INDEX(Models!$BJ44:$BT44,,AH44)*(1-AF44)+INDEX(Models!$BJ44:$BT44,,AH44+1)*AF44-ERP_i)*AE44*Ramure*Pc/MaxiM</f>
        <v>4.5297678614789538E-4</v>
      </c>
      <c r="AE44" s="301">
        <f t="shared" si="15"/>
        <v>0.5</v>
      </c>
      <c r="AF44" s="173">
        <f t="shared" si="16"/>
        <v>0.49112211679720946</v>
      </c>
      <c r="AG44" s="172">
        <f t="shared" si="17"/>
        <v>0</v>
      </c>
      <c r="AH44" s="172">
        <f t="shared" si="18"/>
        <v>6</v>
      </c>
      <c r="AI44" s="221">
        <f t="shared" si="23"/>
        <v>0.49112211679720946</v>
      </c>
      <c r="AJ44" s="261" t="b">
        <f t="shared" si="19"/>
        <v>0</v>
      </c>
      <c r="AK44" s="261" t="b">
        <f t="shared" si="20"/>
        <v>0</v>
      </c>
      <c r="AL44" s="261"/>
      <c r="AM44" s="261"/>
      <c r="AN44" s="75"/>
    </row>
    <row r="45" spans="1:40" s="6" customFormat="1" ht="11.25" x14ac:dyDescent="0.2">
      <c r="A45" s="56">
        <f t="shared" si="21"/>
        <v>44957</v>
      </c>
      <c r="B45" s="406">
        <f>'2022'!Wh/'2022'!Env_an*'2023'!Env_an</f>
        <v>26.199106344999436</v>
      </c>
      <c r="C45" s="385"/>
      <c r="D45" s="388">
        <f t="shared" si="0"/>
        <v>26.390963860846472</v>
      </c>
      <c r="E45" s="380">
        <f t="shared" si="1"/>
        <v>27.230502255716186</v>
      </c>
      <c r="F45" s="380">
        <f t="shared" si="2"/>
        <v>27.230502255716186</v>
      </c>
      <c r="G45" s="110">
        <f t="shared" si="24"/>
        <v>0.20675862397804384</v>
      </c>
      <c r="H45" s="409" t="b">
        <f>Wh_hp&gt;='2022'!Maxi_hp</f>
        <v>0</v>
      </c>
      <c r="I45" s="385">
        <f>IF(H45,Wh_hp,'2022'!Maxi_hp)</f>
        <v>27.242367789857944</v>
      </c>
      <c r="J45" s="85">
        <f>IF(H45,An,'2022'!An_max)</f>
        <v>2022</v>
      </c>
      <c r="K45" s="193">
        <f t="shared" si="3"/>
        <v>44957</v>
      </c>
      <c r="L45" s="143">
        <f>IF(t&lt;Tvie,1-EXP((T0-t)*PertePVj)+'2022'!Pspv,1-EXP((T0-t)*PertePVj)+Pspv)</f>
        <v>7.2698184446259306E-3</v>
      </c>
      <c r="M45" s="835"/>
      <c r="N45" s="835"/>
      <c r="O45" s="48">
        <f>IF(t&lt;Tnet,'2022'!Resal+('2022'!Salim-'2022'!Resal)*(1-EXP(('2022'!Tnet-t)/('2022'!Tau_j))),Resal+(Salim-Resal)*(1-EXP((Tnet-t)/(Tau_j))))*Salcycl</f>
        <v>3.0830808296731932E-2</v>
      </c>
      <c r="P45" s="165">
        <f>(INDEX(Models!$BJ45:$BT45,,T45)*(1-R45)+INDEX(Models!$BJ45:$BT45,,T45+1)*R45-ERP_i)*Q45*Ramure*Pc/MaxiM</f>
        <v>4.3672787143184388E-4</v>
      </c>
      <c r="Q45" s="301">
        <f t="shared" si="4"/>
        <v>0.5</v>
      </c>
      <c r="R45" s="173">
        <f t="shared" si="5"/>
        <v>0.49121769467863952</v>
      </c>
      <c r="S45" s="801">
        <f t="shared" si="6"/>
        <v>0</v>
      </c>
      <c r="T45" s="172">
        <f t="shared" si="7"/>
        <v>6</v>
      </c>
      <c r="U45" s="247">
        <f t="shared" si="22"/>
        <v>0.49121769467863952</v>
      </c>
      <c r="V45" s="378">
        <f t="shared" si="8"/>
        <v>126.65814833355095</v>
      </c>
      <c r="W45" s="397">
        <f t="shared" si="9"/>
        <v>26.199106344999436</v>
      </c>
      <c r="X45" s="153">
        <f t="shared" si="10"/>
        <v>44957</v>
      </c>
      <c r="Y45" s="380">
        <f t="shared" si="11"/>
        <v>26.199106344999436</v>
      </c>
      <c r="Z45" s="380">
        <f t="shared" si="12"/>
        <v>26.390963860846472</v>
      </c>
      <c r="AA45" s="381">
        <f t="shared" si="13"/>
        <v>27.230502255716186</v>
      </c>
      <c r="AB45" s="193">
        <f t="shared" si="14"/>
        <v>44957</v>
      </c>
      <c r="AC45" s="420">
        <f>IF(OR(t&lt;Tnet,NoTnet),'2022'!Resal_s+('2022'!Salim-'2022'!Resal_s)*(1-EXP(('2022'!Tnet_s-t)/'2022'!Tau_j)),Resal_s+(Salim-Resal_s)*(1-EXP((Tnet_s-t)/Tau_j)))*Salcycl</f>
        <v>3.0830808296731932E-2</v>
      </c>
      <c r="AD45" s="227">
        <f>(INDEX(Models!$BJ45:$BT45,,AH45)*(1-AF45)+INDEX(Models!$BJ45:$BT45,,AH45+1)*AF45-ERP_i)*AE45*Ramure*Pc/MaxiM</f>
        <v>4.3672787143184388E-4</v>
      </c>
      <c r="AE45" s="301">
        <f t="shared" si="15"/>
        <v>0.5</v>
      </c>
      <c r="AF45" s="173">
        <f t="shared" si="16"/>
        <v>0.49121769467863952</v>
      </c>
      <c r="AG45" s="172">
        <f t="shared" si="17"/>
        <v>0</v>
      </c>
      <c r="AH45" s="172">
        <f t="shared" si="18"/>
        <v>6</v>
      </c>
      <c r="AI45" s="221">
        <f t="shared" si="23"/>
        <v>0.49121769467863952</v>
      </c>
      <c r="AJ45" s="261" t="b">
        <f t="shared" si="19"/>
        <v>0</v>
      </c>
      <c r="AK45" s="261" t="b">
        <f t="shared" si="20"/>
        <v>0</v>
      </c>
      <c r="AL45" s="261"/>
      <c r="AM45" s="261"/>
      <c r="AN45" s="75"/>
    </row>
    <row r="46" spans="1:40" s="6" customFormat="1" ht="11.25" x14ac:dyDescent="0.2">
      <c r="A46" s="56">
        <f t="shared" si="21"/>
        <v>44958</v>
      </c>
      <c r="B46" s="406">
        <f>'2022'!Wh/'2022'!Env_an*'2023'!Env_an</f>
        <v>57.108024639045617</v>
      </c>
      <c r="C46" s="385"/>
      <c r="D46" s="388">
        <f t="shared" si="0"/>
        <v>57.527017382680512</v>
      </c>
      <c r="E46" s="380">
        <f t="shared" si="1"/>
        <v>59.359797698662746</v>
      </c>
      <c r="F46" s="380">
        <f t="shared" si="2"/>
        <v>59.364991244140391</v>
      </c>
      <c r="G46" s="110">
        <f t="shared" si="24"/>
        <v>0.44590274267967128</v>
      </c>
      <c r="H46" s="409" t="b">
        <f>Wh_hp&gt;='2022'!Maxi_hp</f>
        <v>0</v>
      </c>
      <c r="I46" s="385">
        <f>IF(H46,Wh_hp,'2022'!Maxi_hp)</f>
        <v>59.384641801308028</v>
      </c>
      <c r="J46" s="85">
        <f>IF(H46,An,'2022'!An_max)</f>
        <v>2022</v>
      </c>
      <c r="K46" s="193">
        <f t="shared" si="3"/>
        <v>44958</v>
      </c>
      <c r="L46" s="143">
        <f>IF(t&lt;Tvie,1-EXP((T0-t)*PertePVj)+'2022'!Pspv,1-EXP((T0-t)*PertePVj)+Pspv)</f>
        <v>7.2834080871545526E-3</v>
      </c>
      <c r="M46" s="835"/>
      <c r="N46" s="835"/>
      <c r="O46" s="48">
        <f>IF(t&lt;Tnet,'2022'!Resal+('2022'!Salim-'2022'!Resal)*(1-EXP(('2022'!Tnet-t)/('2022'!Tau_j))),Resal+(Salim-Resal)*(1-EXP((Tnet-t)/(Tau_j))))*Salcycl</f>
        <v>3.0875784403549704E-2</v>
      </c>
      <c r="P46" s="165">
        <f>(INDEX(Models!$BJ46:$BT46,,T46)*(1-R46)+INDEX(Models!$BJ46:$BT46,,T46+1)*R46-ERP_i)*Q46*Ramure*Pc/MaxiM</f>
        <v>4.193027783042433E-4</v>
      </c>
      <c r="Q46" s="301">
        <f t="shared" si="4"/>
        <v>0.5</v>
      </c>
      <c r="R46" s="173">
        <f t="shared" si="5"/>
        <v>0.49131724326908</v>
      </c>
      <c r="S46" s="801">
        <f t="shared" si="6"/>
        <v>0</v>
      </c>
      <c r="T46" s="172">
        <f t="shared" si="7"/>
        <v>6</v>
      </c>
      <c r="U46" s="247">
        <f t="shared" si="22"/>
        <v>0.49131724326908</v>
      </c>
      <c r="V46" s="378">
        <f t="shared" si="8"/>
        <v>128.03032602898455</v>
      </c>
      <c r="W46" s="397">
        <f t="shared" si="9"/>
        <v>57.108024639045617</v>
      </c>
      <c r="X46" s="153">
        <f t="shared" si="10"/>
        <v>44958</v>
      </c>
      <c r="Y46" s="380">
        <f t="shared" si="11"/>
        <v>57.108024639045617</v>
      </c>
      <c r="Z46" s="380">
        <f t="shared" si="12"/>
        <v>57.527017382680512</v>
      </c>
      <c r="AA46" s="381">
        <f t="shared" si="13"/>
        <v>59.359797698662746</v>
      </c>
      <c r="AB46" s="193">
        <f t="shared" si="14"/>
        <v>44958</v>
      </c>
      <c r="AC46" s="420">
        <f>IF(OR(t&lt;Tnet,NoTnet),'2022'!Resal_s+('2022'!Salim-'2022'!Resal_s)*(1-EXP(('2022'!Tnet_s-t)/'2022'!Tau_j)),Resal_s+(Salim-Resal_s)*(1-EXP((Tnet_s-t)/Tau_j)))*Salcycl</f>
        <v>3.0875784403549704E-2</v>
      </c>
      <c r="AD46" s="227">
        <f>(INDEX(Models!$BJ46:$BT46,,AH46)*(1-AF46)+INDEX(Models!$BJ46:$BT46,,AH46+1)*AF46-ERP_i)*AE46*Ramure*Pc/MaxiM</f>
        <v>4.193027783042433E-4</v>
      </c>
      <c r="AE46" s="301">
        <f t="shared" si="15"/>
        <v>0.5</v>
      </c>
      <c r="AF46" s="173">
        <f t="shared" si="16"/>
        <v>0.49131724326908</v>
      </c>
      <c r="AG46" s="172">
        <f t="shared" si="17"/>
        <v>0</v>
      </c>
      <c r="AH46" s="172">
        <f t="shared" si="18"/>
        <v>6</v>
      </c>
      <c r="AI46" s="221">
        <f t="shared" si="23"/>
        <v>0.49131724326908</v>
      </c>
      <c r="AJ46" s="261" t="b">
        <f t="shared" si="19"/>
        <v>0</v>
      </c>
      <c r="AK46" s="261" t="b">
        <f t="shared" si="20"/>
        <v>0</v>
      </c>
      <c r="AL46" s="261"/>
      <c r="AM46" s="261"/>
      <c r="AN46" s="75"/>
    </row>
    <row r="47" spans="1:40" s="6" customFormat="1" ht="11.25" x14ac:dyDescent="0.2">
      <c r="A47" s="56">
        <f t="shared" si="21"/>
        <v>44959</v>
      </c>
      <c r="B47" s="406">
        <f>'2022'!Wh/'2022'!Env_an*'2023'!Env_an</f>
        <v>25.470624235051428</v>
      </c>
      <c r="C47" s="385"/>
      <c r="D47" s="388">
        <f t="shared" si="0"/>
        <v>25.657849499827069</v>
      </c>
      <c r="E47" s="380">
        <f t="shared" si="1"/>
        <v>26.476523873529164</v>
      </c>
      <c r="F47" s="380">
        <f t="shared" si="2"/>
        <v>26.476523873529164</v>
      </c>
      <c r="G47" s="110">
        <f t="shared" si="24"/>
        <v>0.19673728779380784</v>
      </c>
      <c r="H47" s="409" t="b">
        <f>Wh_hp&gt;='2022'!Maxi_hp</f>
        <v>0</v>
      </c>
      <c r="I47" s="385">
        <f>IF(H47,Wh_hp,'2022'!Maxi_hp)</f>
        <v>26.487106634612363</v>
      </c>
      <c r="J47" s="85">
        <f>IF(H47,An,'2022'!An_max)</f>
        <v>2022</v>
      </c>
      <c r="K47" s="193">
        <f t="shared" si="3"/>
        <v>44959</v>
      </c>
      <c r="L47" s="143">
        <f>IF(t&lt;Tvie,1-EXP((T0-t)*PertePVj)+'2022'!Pspv,1-EXP((T0-t)*PertePVj)+Pspv)</f>
        <v>7.2969975436524281E-3</v>
      </c>
      <c r="M47" s="835"/>
      <c r="N47" s="835"/>
      <c r="O47" s="48">
        <f>IF(t&lt;Tnet,'2022'!Resal+('2022'!Salim-'2022'!Resal)*(1-EXP(('2022'!Tnet-t)/('2022'!Tau_j))),Resal+(Salim-Resal)*(1-EXP((Tnet-t)/(Tau_j))))*Salcycl</f>
        <v>3.0920765037459972E-2</v>
      </c>
      <c r="P47" s="165">
        <f>(INDEX(Models!$BJ47:$BT47,,T47)*(1-R47)+INDEX(Models!$BJ47:$BT47,,T47+1)*R47-ERP_i)*Q47*Ramure*Pc/MaxiM</f>
        <v>4.0074939816783702E-4</v>
      </c>
      <c r="Q47" s="301">
        <f t="shared" si="4"/>
        <v>0.5</v>
      </c>
      <c r="R47" s="173">
        <f t="shared" si="5"/>
        <v>0.4914209258343249</v>
      </c>
      <c r="S47" s="801">
        <f t="shared" si="6"/>
        <v>0</v>
      </c>
      <c r="T47" s="172">
        <f t="shared" si="7"/>
        <v>6</v>
      </c>
      <c r="U47" s="247">
        <f t="shared" si="22"/>
        <v>0.4914209258343249</v>
      </c>
      <c r="V47" s="378">
        <f t="shared" si="8"/>
        <v>129.41327586259231</v>
      </c>
      <c r="W47" s="397">
        <f t="shared" si="9"/>
        <v>25.470624235051428</v>
      </c>
      <c r="X47" s="153">
        <f t="shared" si="10"/>
        <v>44959</v>
      </c>
      <c r="Y47" s="380">
        <f t="shared" si="11"/>
        <v>25.470624235051428</v>
      </c>
      <c r="Z47" s="380">
        <f t="shared" si="12"/>
        <v>25.657849499827069</v>
      </c>
      <c r="AA47" s="381">
        <f t="shared" si="13"/>
        <v>26.476523873529164</v>
      </c>
      <c r="AB47" s="193">
        <f t="shared" si="14"/>
        <v>44959</v>
      </c>
      <c r="AC47" s="420">
        <f>IF(OR(t&lt;Tnet,NoTnet),'2022'!Resal_s+('2022'!Salim-'2022'!Resal_s)*(1-EXP(('2022'!Tnet_s-t)/'2022'!Tau_j)),Resal_s+(Salim-Resal_s)*(1-EXP((Tnet_s-t)/Tau_j)))*Salcycl</f>
        <v>3.0920765037459972E-2</v>
      </c>
      <c r="AD47" s="227">
        <f>(INDEX(Models!$BJ47:$BT47,,AH47)*(1-AF47)+INDEX(Models!$BJ47:$BT47,,AH47+1)*AF47-ERP_i)*AE47*Ramure*Pc/MaxiM</f>
        <v>4.0074939816783702E-4</v>
      </c>
      <c r="AE47" s="301">
        <f t="shared" si="15"/>
        <v>0.5</v>
      </c>
      <c r="AF47" s="173">
        <f t="shared" si="16"/>
        <v>0.4914209258343249</v>
      </c>
      <c r="AG47" s="172">
        <f t="shared" si="17"/>
        <v>0</v>
      </c>
      <c r="AH47" s="172">
        <f t="shared" si="18"/>
        <v>6</v>
      </c>
      <c r="AI47" s="221">
        <f t="shared" si="23"/>
        <v>0.4914209258343249</v>
      </c>
      <c r="AJ47" s="261" t="b">
        <f t="shared" si="19"/>
        <v>0</v>
      </c>
      <c r="AK47" s="261" t="b">
        <f t="shared" si="20"/>
        <v>0</v>
      </c>
      <c r="AL47" s="261"/>
      <c r="AM47" s="261"/>
      <c r="AN47" s="75"/>
    </row>
    <row r="48" spans="1:40" s="6" customFormat="1" ht="11.25" x14ac:dyDescent="0.2">
      <c r="A48" s="56">
        <f t="shared" si="21"/>
        <v>44960</v>
      </c>
      <c r="B48" s="406">
        <f>'2022'!Wh/'2022'!Env_an*'2023'!Env_an</f>
        <v>57.170309662787524</v>
      </c>
      <c r="C48" s="385"/>
      <c r="D48" s="388">
        <f t="shared" si="0"/>
        <v>57.591336125272612</v>
      </c>
      <c r="E48" s="380">
        <f t="shared" si="1"/>
        <v>59.431682676732741</v>
      </c>
      <c r="F48" s="380">
        <f t="shared" si="2"/>
        <v>59.436118087911403</v>
      </c>
      <c r="G48" s="110">
        <f t="shared" si="24"/>
        <v>0.43693148622355343</v>
      </c>
      <c r="H48" s="409" t="b">
        <f>Wh_hp&gt;='2022'!Maxi_hp</f>
        <v>0</v>
      </c>
      <c r="I48" s="385">
        <f>IF(H48,Wh_hp,'2022'!Maxi_hp)</f>
        <v>59.454283525557202</v>
      </c>
      <c r="J48" s="85">
        <f>IF(H48,An,'2022'!An_max)</f>
        <v>2022</v>
      </c>
      <c r="K48" s="193">
        <f t="shared" si="3"/>
        <v>44960</v>
      </c>
      <c r="L48" s="143">
        <f>IF(t&lt;Tvie,1-EXP((T0-t)*PertePVj)+'2022'!Pspv,1-EXP((T0-t)*PertePVj)+Pspv)</f>
        <v>7.3105868141219998E-3</v>
      </c>
      <c r="M48" s="835"/>
      <c r="N48" s="835"/>
      <c r="O48" s="48">
        <f>IF(t&lt;Tnet,'2022'!Resal+('2022'!Salim-'2022'!Resal)*(1-EXP(('2022'!Tnet-t)/('2022'!Tau_j))),Resal+(Salim-Resal)*(1-EXP((Tnet-t)/(Tau_j))))*Salcycl</f>
        <v>3.0965748714710646E-2</v>
      </c>
      <c r="P48" s="165">
        <f>(INDEX(Models!$BJ48:$BT48,,T48)*(1-R48)+INDEX(Models!$BJ48:$BT48,,T48+1)*R48-ERP_i)*Q48*Ramure*Pc/MaxiM</f>
        <v>3.8111275933218564E-4</v>
      </c>
      <c r="Q48" s="301">
        <f t="shared" si="4"/>
        <v>0.5</v>
      </c>
      <c r="R48" s="173">
        <f t="shared" si="5"/>
        <v>0.49152891220895789</v>
      </c>
      <c r="S48" s="801">
        <f t="shared" si="6"/>
        <v>0</v>
      </c>
      <c r="T48" s="172">
        <f t="shared" si="7"/>
        <v>6</v>
      </c>
      <c r="U48" s="247">
        <f t="shared" si="22"/>
        <v>0.49152891220895789</v>
      </c>
      <c r="V48" s="378">
        <f t="shared" si="8"/>
        <v>130.80491598395932</v>
      </c>
      <c r="W48" s="397">
        <f t="shared" si="9"/>
        <v>57.170309662787524</v>
      </c>
      <c r="X48" s="153">
        <f t="shared" si="10"/>
        <v>44960</v>
      </c>
      <c r="Y48" s="380">
        <f t="shared" si="11"/>
        <v>57.170309662787524</v>
      </c>
      <c r="Z48" s="380">
        <f t="shared" si="12"/>
        <v>57.591336125272612</v>
      </c>
      <c r="AA48" s="381">
        <f t="shared" si="13"/>
        <v>59.431682676732741</v>
      </c>
      <c r="AB48" s="193">
        <f t="shared" si="14"/>
        <v>44960</v>
      </c>
      <c r="AC48" s="420">
        <f>IF(OR(t&lt;Tnet,NoTnet),'2022'!Resal_s+('2022'!Salim-'2022'!Resal_s)*(1-EXP(('2022'!Tnet_s-t)/'2022'!Tau_j)),Resal_s+(Salim-Resal_s)*(1-EXP((Tnet_s-t)/Tau_j)))*Salcycl</f>
        <v>3.0965748714710646E-2</v>
      </c>
      <c r="AD48" s="227">
        <f>(INDEX(Models!$BJ48:$BT48,,AH48)*(1-AF48)+INDEX(Models!$BJ48:$BT48,,AH48+1)*AF48-ERP_i)*AE48*Ramure*Pc/MaxiM</f>
        <v>3.8111275933218564E-4</v>
      </c>
      <c r="AE48" s="301">
        <f t="shared" si="15"/>
        <v>0.5</v>
      </c>
      <c r="AF48" s="173">
        <f t="shared" si="16"/>
        <v>0.49152891220895789</v>
      </c>
      <c r="AG48" s="172">
        <f t="shared" si="17"/>
        <v>0</v>
      </c>
      <c r="AH48" s="172">
        <f t="shared" si="18"/>
        <v>6</v>
      </c>
      <c r="AI48" s="221">
        <f t="shared" si="23"/>
        <v>0.49152891220895789</v>
      </c>
      <c r="AJ48" s="261" t="b">
        <f t="shared" si="19"/>
        <v>0</v>
      </c>
      <c r="AK48" s="261" t="b">
        <f t="shared" si="20"/>
        <v>0</v>
      </c>
      <c r="AL48" s="261"/>
      <c r="AM48" s="261"/>
      <c r="AN48" s="75"/>
    </row>
    <row r="49" spans="1:40" s="6" customFormat="1" ht="11.25" x14ac:dyDescent="0.2">
      <c r="A49" s="56">
        <f t="shared" si="21"/>
        <v>44961</v>
      </c>
      <c r="B49" s="406">
        <f>'2022'!Wh/'2022'!Env_an*'2023'!Env_an</f>
        <v>52.013498455877965</v>
      </c>
      <c r="C49" s="385"/>
      <c r="D49" s="388">
        <f t="shared" si="0"/>
        <v>52.397265243122412</v>
      </c>
      <c r="E49" s="380">
        <f t="shared" si="1"/>
        <v>54.074144122735653</v>
      </c>
      <c r="F49" s="380">
        <f t="shared" si="2"/>
        <v>54.076745804426587</v>
      </c>
      <c r="G49" s="110">
        <f t="shared" si="24"/>
        <v>0.39331322021522541</v>
      </c>
      <c r="H49" s="409" t="b">
        <f>Wh_hp&gt;='2022'!Maxi_hp</f>
        <v>0</v>
      </c>
      <c r="I49" s="385">
        <f>IF(H49,Wh_hp,'2022'!Maxi_hp)</f>
        <v>54.093584600989601</v>
      </c>
      <c r="J49" s="85">
        <f>IF(H49,An,'2022'!An_max)</f>
        <v>2022</v>
      </c>
      <c r="K49" s="193">
        <f t="shared" si="3"/>
        <v>44961</v>
      </c>
      <c r="L49" s="143">
        <f>IF(t&lt;Tvie,1-EXP((T0-t)*PertePVj)+'2022'!Pspv,1-EXP((T0-t)*PertePVj)+Pspv)</f>
        <v>7.3241758985659322E-3</v>
      </c>
      <c r="M49" s="835"/>
      <c r="N49" s="835"/>
      <c r="O49" s="48">
        <f>IF(t&lt;Tnet,'2022'!Resal+('2022'!Salim-'2022'!Resal)*(1-EXP(('2022'!Tnet-t)/('2022'!Tau_j))),Resal+(Salim-Resal)*(1-EXP((Tnet-t)/(Tau_j))))*Salcycl</f>
        <v>3.1010733629128207E-2</v>
      </c>
      <c r="P49" s="165">
        <f>(INDEX(Models!$BJ49:$BT49,,T49)*(1-R49)+INDEX(Models!$BJ49:$BT49,,T49+1)*R49-ERP_i)*Q49*Ramure*Pc/MaxiM</f>
        <v>3.604349717319896E-4</v>
      </c>
      <c r="Q49" s="301">
        <f t="shared" si="4"/>
        <v>0.5</v>
      </c>
      <c r="R49" s="173">
        <f t="shared" si="5"/>
        <v>0.49164137904832383</v>
      </c>
      <c r="S49" s="801">
        <f t="shared" si="6"/>
        <v>0</v>
      </c>
      <c r="T49" s="172">
        <f t="shared" si="7"/>
        <v>6</v>
      </c>
      <c r="U49" s="247">
        <f t="shared" si="22"/>
        <v>0.49164137904832383</v>
      </c>
      <c r="V49" s="378">
        <f t="shared" si="8"/>
        <v>132.20316514901404</v>
      </c>
      <c r="W49" s="397">
        <f t="shared" si="9"/>
        <v>52.013498455877965</v>
      </c>
      <c r="X49" s="153">
        <f t="shared" si="10"/>
        <v>44961</v>
      </c>
      <c r="Y49" s="380">
        <f t="shared" si="11"/>
        <v>52.013498455877965</v>
      </c>
      <c r="Z49" s="380">
        <f t="shared" si="12"/>
        <v>52.397265243122412</v>
      </c>
      <c r="AA49" s="381">
        <f t="shared" si="13"/>
        <v>54.074144122735653</v>
      </c>
      <c r="AB49" s="193">
        <f t="shared" si="14"/>
        <v>44961</v>
      </c>
      <c r="AC49" s="420">
        <f>IF(OR(t&lt;Tnet,NoTnet),'2022'!Resal_s+('2022'!Salim-'2022'!Resal_s)*(1-EXP(('2022'!Tnet_s-t)/'2022'!Tau_j)),Resal_s+(Salim-Resal_s)*(1-EXP((Tnet_s-t)/Tau_j)))*Salcycl</f>
        <v>3.1010733629128207E-2</v>
      </c>
      <c r="AD49" s="227">
        <f>(INDEX(Models!$BJ49:$BT49,,AH49)*(1-AF49)+INDEX(Models!$BJ49:$BT49,,AH49+1)*AF49-ERP_i)*AE49*Ramure*Pc/MaxiM</f>
        <v>3.604349717319896E-4</v>
      </c>
      <c r="AE49" s="301">
        <f t="shared" si="15"/>
        <v>0.5</v>
      </c>
      <c r="AF49" s="173">
        <f t="shared" si="16"/>
        <v>0.49164137904832383</v>
      </c>
      <c r="AG49" s="172">
        <f t="shared" si="17"/>
        <v>0</v>
      </c>
      <c r="AH49" s="172">
        <f t="shared" si="18"/>
        <v>6</v>
      </c>
      <c r="AI49" s="221">
        <f t="shared" si="23"/>
        <v>0.49164137904832383</v>
      </c>
      <c r="AJ49" s="261" t="b">
        <f t="shared" si="19"/>
        <v>0</v>
      </c>
      <c r="AK49" s="261" t="b">
        <f t="shared" si="20"/>
        <v>0</v>
      </c>
      <c r="AL49" s="261"/>
      <c r="AM49" s="261"/>
      <c r="AN49" s="75"/>
    </row>
    <row r="50" spans="1:40" s="6" customFormat="1" ht="11.25" x14ac:dyDescent="0.2">
      <c r="A50" s="56">
        <f t="shared" si="21"/>
        <v>44962</v>
      </c>
      <c r="B50" s="406">
        <f>'2022'!Wh/'2022'!Env_an*'2023'!Env_an</f>
        <v>43.600568521463003</v>
      </c>
      <c r="C50" s="385"/>
      <c r="D50" s="388">
        <f t="shared" si="0"/>
        <v>43.92286416793732</v>
      </c>
      <c r="E50" s="380">
        <f t="shared" si="1"/>
        <v>45.330639716725621</v>
      </c>
      <c r="F50" s="380">
        <f t="shared" si="2"/>
        <v>45.331217483218104</v>
      </c>
      <c r="G50" s="110">
        <f t="shared" si="24"/>
        <v>0.32623065451755623</v>
      </c>
      <c r="H50" s="409" t="b">
        <f>Wh_hp&gt;='2022'!Maxi_hp</f>
        <v>0</v>
      </c>
      <c r="I50" s="385">
        <f>IF(H50,Wh_hp,'2022'!Maxi_hp)</f>
        <v>45.345948475362562</v>
      </c>
      <c r="J50" s="85">
        <f>IF(H50,An,'2022'!An_max)</f>
        <v>2022</v>
      </c>
      <c r="K50" s="193">
        <f t="shared" si="3"/>
        <v>44962</v>
      </c>
      <c r="L50" s="143">
        <f>IF(t&lt;Tvie,1-EXP((T0-t)*PertePVj)+'2022'!Pspv,1-EXP((T0-t)*PertePVj)+Pspv)</f>
        <v>7.3377647969866677E-3</v>
      </c>
      <c r="M50" s="835"/>
      <c r="N50" s="835"/>
      <c r="O50" s="48">
        <f>IF(t&lt;Tnet,'2022'!Resal+('2022'!Salim-'2022'!Resal)*(1-EXP(('2022'!Tnet-t)/('2022'!Tau_j))),Resal+(Salim-Resal)*(1-EXP((Tnet-t)/(Tau_j))))*Salcycl</f>
        <v>3.1055717668790658E-2</v>
      </c>
      <c r="P50" s="165">
        <f>(INDEX(Models!$BJ50:$BT50,,T50)*(1-R50)+INDEX(Models!$BJ50:$BT50,,T50+1)*R50-ERP_i)*Q50*Ramure*Pc/MaxiM</f>
        <v>3.3875519449444615E-4</v>
      </c>
      <c r="Q50" s="301">
        <f t="shared" si="4"/>
        <v>0.5</v>
      </c>
      <c r="R50" s="173">
        <f t="shared" si="5"/>
        <v>0.49175851008910471</v>
      </c>
      <c r="S50" s="801">
        <f t="shared" si="6"/>
        <v>0</v>
      </c>
      <c r="T50" s="172">
        <f t="shared" si="7"/>
        <v>6</v>
      </c>
      <c r="U50" s="247">
        <f t="shared" si="22"/>
        <v>0.49175851008910471</v>
      </c>
      <c r="V50" s="378">
        <f t="shared" si="8"/>
        <v>133.60594268581283</v>
      </c>
      <c r="W50" s="397">
        <f t="shared" si="9"/>
        <v>43.600568521463003</v>
      </c>
      <c r="X50" s="153">
        <f t="shared" si="10"/>
        <v>44962</v>
      </c>
      <c r="Y50" s="380">
        <f t="shared" si="11"/>
        <v>43.600568521463003</v>
      </c>
      <c r="Z50" s="380">
        <f t="shared" si="12"/>
        <v>43.92286416793732</v>
      </c>
      <c r="AA50" s="381">
        <f t="shared" si="13"/>
        <v>45.330639716725621</v>
      </c>
      <c r="AB50" s="193">
        <f t="shared" si="14"/>
        <v>44962</v>
      </c>
      <c r="AC50" s="420">
        <f>IF(OR(t&lt;Tnet,NoTnet),'2022'!Resal_s+('2022'!Salim-'2022'!Resal_s)*(1-EXP(('2022'!Tnet_s-t)/'2022'!Tau_j)),Resal_s+(Salim-Resal_s)*(1-EXP((Tnet_s-t)/Tau_j)))*Salcycl</f>
        <v>3.1055717668790658E-2</v>
      </c>
      <c r="AD50" s="227">
        <f>(INDEX(Models!$BJ50:$BT50,,AH50)*(1-AF50)+INDEX(Models!$BJ50:$BT50,,AH50+1)*AF50-ERP_i)*AE50*Ramure*Pc/MaxiM</f>
        <v>3.3875519449444615E-4</v>
      </c>
      <c r="AE50" s="301">
        <f t="shared" si="15"/>
        <v>0.5</v>
      </c>
      <c r="AF50" s="173">
        <f t="shared" si="16"/>
        <v>0.49175851008910471</v>
      </c>
      <c r="AG50" s="172">
        <f t="shared" si="17"/>
        <v>0</v>
      </c>
      <c r="AH50" s="172">
        <f t="shared" si="18"/>
        <v>6</v>
      </c>
      <c r="AI50" s="221">
        <f t="shared" si="23"/>
        <v>0.49175851008910471</v>
      </c>
      <c r="AJ50" s="261" t="b">
        <f t="shared" si="19"/>
        <v>0</v>
      </c>
      <c r="AK50" s="261" t="b">
        <f t="shared" si="20"/>
        <v>0</v>
      </c>
      <c r="AL50" s="261"/>
      <c r="AM50" s="261"/>
      <c r="AN50" s="75"/>
    </row>
    <row r="51" spans="1:40" s="6" customFormat="1" ht="11.25" x14ac:dyDescent="0.2">
      <c r="A51" s="56">
        <f t="shared" si="21"/>
        <v>44963</v>
      </c>
      <c r="B51" s="406">
        <f>'2022'!Wh/'2022'!Env_an*'2023'!Env_an</f>
        <v>92.498020808047528</v>
      </c>
      <c r="C51" s="385"/>
      <c r="D51" s="388">
        <f t="shared" si="0"/>
        <v>93.183042293023689</v>
      </c>
      <c r="E51" s="380">
        <f t="shared" si="1"/>
        <v>96.174124744213913</v>
      </c>
      <c r="F51" s="380">
        <f t="shared" si="2"/>
        <v>96.190849341715818</v>
      </c>
      <c r="G51" s="110">
        <f t="shared" si="24"/>
        <v>0.68495572298690499</v>
      </c>
      <c r="H51" s="409" t="b">
        <f>Wh_hp&gt;='2022'!Maxi_hp</f>
        <v>0</v>
      </c>
      <c r="I51" s="385">
        <f>IF(H51,Wh_hp,'2022'!Maxi_hp)</f>
        <v>96.204482022680693</v>
      </c>
      <c r="J51" s="85">
        <f>IF(H51,An,'2022'!An_max)</f>
        <v>2022</v>
      </c>
      <c r="K51" s="193">
        <f t="shared" si="3"/>
        <v>44963</v>
      </c>
      <c r="L51" s="143">
        <f>IF(t&lt;Tvie,1-EXP((T0-t)*PertePVj)+'2022'!Pspv,1-EXP((T0-t)*PertePVj)+Pspv)</f>
        <v>7.3513535093868709E-3</v>
      </c>
      <c r="M51" s="835"/>
      <c r="N51" s="835"/>
      <c r="O51" s="48">
        <f>IF(t&lt;Tnet,'2022'!Resal+('2022'!Salim-'2022'!Resal)*(1-EXP(('2022'!Tnet-t)/('2022'!Tau_j))),Resal+(Salim-Resal)*(1-EXP((Tnet-t)/(Tau_j))))*Salcycl</f>
        <v>3.1100698437811124E-2</v>
      </c>
      <c r="P51" s="165">
        <f>(INDEX(Models!$BJ51:$BT51,,T51)*(1-R51)+INDEX(Models!$BJ51:$BT51,,T51+1)*R51-ERP_i)*Q51*Ramure*Pc/MaxiM</f>
        <v>3.1608163256406223E-4</v>
      </c>
      <c r="Q51" s="301">
        <f t="shared" si="4"/>
        <v>0.5</v>
      </c>
      <c r="R51" s="173">
        <f t="shared" si="5"/>
        <v>0.49188049641869885</v>
      </c>
      <c r="S51" s="801">
        <f t="shared" si="6"/>
        <v>0</v>
      </c>
      <c r="T51" s="172">
        <f t="shared" si="7"/>
        <v>6</v>
      </c>
      <c r="U51" s="247">
        <f t="shared" si="22"/>
        <v>0.49188049641869885</v>
      </c>
      <c r="V51" s="378">
        <f t="shared" si="8"/>
        <v>135.02312780340912</v>
      </c>
      <c r="W51" s="397">
        <f t="shared" si="9"/>
        <v>92.498020808047528</v>
      </c>
      <c r="X51" s="153">
        <f t="shared" si="10"/>
        <v>44963</v>
      </c>
      <c r="Y51" s="380">
        <f t="shared" si="11"/>
        <v>92.498020808047528</v>
      </c>
      <c r="Z51" s="380">
        <f t="shared" si="12"/>
        <v>93.183042293023689</v>
      </c>
      <c r="AA51" s="381">
        <f t="shared" si="13"/>
        <v>96.174124744213913</v>
      </c>
      <c r="AB51" s="193">
        <f t="shared" si="14"/>
        <v>44963</v>
      </c>
      <c r="AC51" s="420">
        <f>IF(OR(t&lt;Tnet,NoTnet),'2022'!Resal_s+('2022'!Salim-'2022'!Resal_s)*(1-EXP(('2022'!Tnet_s-t)/'2022'!Tau_j)),Resal_s+(Salim-Resal_s)*(1-EXP((Tnet_s-t)/Tau_j)))*Salcycl</f>
        <v>3.1100698437811124E-2</v>
      </c>
      <c r="AD51" s="227">
        <f>(INDEX(Models!$BJ51:$BT51,,AH51)*(1-AF51)+INDEX(Models!$BJ51:$BT51,,AH51+1)*AF51-ERP_i)*AE51*Ramure*Pc/MaxiM</f>
        <v>3.1608163256406223E-4</v>
      </c>
      <c r="AE51" s="301">
        <f t="shared" si="15"/>
        <v>0.5</v>
      </c>
      <c r="AF51" s="173">
        <f t="shared" si="16"/>
        <v>0.49188049641869885</v>
      </c>
      <c r="AG51" s="172">
        <f t="shared" si="17"/>
        <v>0</v>
      </c>
      <c r="AH51" s="172">
        <f t="shared" si="18"/>
        <v>6</v>
      </c>
      <c r="AI51" s="221">
        <f t="shared" si="23"/>
        <v>0.49188049641869885</v>
      </c>
      <c r="AJ51" s="261" t="b">
        <f t="shared" si="19"/>
        <v>0</v>
      </c>
      <c r="AK51" s="261" t="b">
        <f t="shared" si="20"/>
        <v>0</v>
      </c>
      <c r="AL51" s="261"/>
      <c r="AM51" s="261"/>
      <c r="AN51" s="75"/>
    </row>
    <row r="52" spans="1:40" s="6" customFormat="1" ht="11.25" x14ac:dyDescent="0.2">
      <c r="A52" s="56">
        <f t="shared" si="21"/>
        <v>44964</v>
      </c>
      <c r="B52" s="406">
        <f>'2022'!Wh/'2022'!Env_an*'2023'!Env_an</f>
        <v>41.794131963694007</v>
      </c>
      <c r="C52" s="385"/>
      <c r="D52" s="388">
        <f t="shared" si="0"/>
        <v>42.104227156159972</v>
      </c>
      <c r="E52" s="380">
        <f t="shared" si="1"/>
        <v>43.457747976239631</v>
      </c>
      <c r="F52" s="380">
        <f t="shared" si="2"/>
        <v>43.457862058092324</v>
      </c>
      <c r="G52" s="110">
        <f t="shared" si="24"/>
        <v>0.30617634769346508</v>
      </c>
      <c r="H52" s="409" t="b">
        <f>Wh_hp&gt;='2022'!Maxi_hp</f>
        <v>0</v>
      </c>
      <c r="I52" s="385">
        <f>IF(H52,Wh_hp,'2022'!Maxi_hp)</f>
        <v>43.470447620371786</v>
      </c>
      <c r="J52" s="85">
        <f>IF(H52,An,'2022'!An_max)</f>
        <v>2022</v>
      </c>
      <c r="K52" s="193">
        <f t="shared" si="3"/>
        <v>44964</v>
      </c>
      <c r="L52" s="143">
        <f>IF(t&lt;Tvie,1-EXP((T0-t)*PertePVj)+'2022'!Pspv,1-EXP((T0-t)*PertePVj)+Pspv)</f>
        <v>7.3649420357689843E-3</v>
      </c>
      <c r="M52" s="835"/>
      <c r="N52" s="835"/>
      <c r="O52" s="48">
        <f>IF(t&lt;Tnet,'2022'!Resal+('2022'!Salim-'2022'!Resal)*(1-EXP(('2022'!Tnet-t)/('2022'!Tau_j))),Resal+(Salim-Resal)*(1-EXP((Tnet-t)/(Tau_j))))*Salcycl</f>
        <v>3.1145673282925206E-2</v>
      </c>
      <c r="P52" s="165">
        <f>(INDEX(Models!$BJ52:$BT52,,T52)*(1-R52)+INDEX(Models!$BJ52:$BT52,,T52+1)*R52-ERP_i)*Q52*Ramure*Pc/MaxiM</f>
        <v>2.9329157960493658E-4</v>
      </c>
      <c r="Q52" s="301">
        <f t="shared" si="4"/>
        <v>0.5</v>
      </c>
      <c r="R52" s="173">
        <f t="shared" si="5"/>
        <v>0.49200753675360032</v>
      </c>
      <c r="S52" s="801">
        <f t="shared" si="6"/>
        <v>0</v>
      </c>
      <c r="T52" s="172">
        <f t="shared" si="7"/>
        <v>6</v>
      </c>
      <c r="U52" s="247">
        <f t="shared" si="22"/>
        <v>0.49200753675360032</v>
      </c>
      <c r="V52" s="378">
        <f t="shared" si="8"/>
        <v>136.46378661823945</v>
      </c>
      <c r="W52" s="397">
        <f t="shared" si="9"/>
        <v>41.794131963694007</v>
      </c>
      <c r="X52" s="153">
        <f t="shared" si="10"/>
        <v>44964</v>
      </c>
      <c r="Y52" s="380">
        <f t="shared" si="11"/>
        <v>41.794131963694007</v>
      </c>
      <c r="Z52" s="380">
        <f t="shared" si="12"/>
        <v>42.104227156159972</v>
      </c>
      <c r="AA52" s="381">
        <f t="shared" si="13"/>
        <v>43.457747976239631</v>
      </c>
      <c r="AB52" s="193">
        <f t="shared" si="14"/>
        <v>44964</v>
      </c>
      <c r="AC52" s="420">
        <f>IF(OR(t&lt;Tnet,NoTnet),'2022'!Resal_s+('2022'!Salim-'2022'!Resal_s)*(1-EXP(('2022'!Tnet_s-t)/'2022'!Tau_j)),Resal_s+(Salim-Resal_s)*(1-EXP((Tnet_s-t)/Tau_j)))*Salcycl</f>
        <v>3.1145673282925206E-2</v>
      </c>
      <c r="AD52" s="227">
        <f>(INDEX(Models!$BJ52:$BT52,,AH52)*(1-AF52)+INDEX(Models!$BJ52:$BT52,,AH52+1)*AF52-ERP_i)*AE52*Ramure*Pc/MaxiM</f>
        <v>2.9329157960493658E-4</v>
      </c>
      <c r="AE52" s="301">
        <f t="shared" si="15"/>
        <v>0.5</v>
      </c>
      <c r="AF52" s="173">
        <f t="shared" si="16"/>
        <v>0.49200753675360032</v>
      </c>
      <c r="AG52" s="172">
        <f t="shared" si="17"/>
        <v>0</v>
      </c>
      <c r="AH52" s="172">
        <f t="shared" si="18"/>
        <v>6</v>
      </c>
      <c r="AI52" s="221">
        <f t="shared" si="23"/>
        <v>0.49200753675360032</v>
      </c>
      <c r="AJ52" s="261" t="b">
        <f t="shared" si="19"/>
        <v>0</v>
      </c>
      <c r="AK52" s="261" t="b">
        <f t="shared" si="20"/>
        <v>0</v>
      </c>
      <c r="AL52" s="261"/>
      <c r="AM52" s="261"/>
      <c r="AN52" s="75"/>
    </row>
    <row r="53" spans="1:40" s="6" customFormat="1" ht="11.25" x14ac:dyDescent="0.2">
      <c r="A53" s="56">
        <f t="shared" si="21"/>
        <v>44965</v>
      </c>
      <c r="B53" s="406">
        <f>'2022'!Wh/'2022'!Env_an*'2023'!Env_an</f>
        <v>139.84535462718472</v>
      </c>
      <c r="C53" s="385"/>
      <c r="D53" s="388">
        <f t="shared" si="0"/>
        <v>140.8848779788901</v>
      </c>
      <c r="E53" s="380">
        <f t="shared" si="1"/>
        <v>145.42064073437822</v>
      </c>
      <c r="F53" s="380">
        <f t="shared" si="2"/>
        <v>145.46002837728113</v>
      </c>
      <c r="G53" s="110">
        <f t="shared" si="24"/>
        <v>1.0139250594819573</v>
      </c>
      <c r="H53" s="409" t="b">
        <f>Wh_hp&gt;='2022'!Maxi_hp</f>
        <v>1</v>
      </c>
      <c r="I53" s="385">
        <f>IF(H53,Wh_hp,'2022'!Maxi_hp)</f>
        <v>145.46002837728113</v>
      </c>
      <c r="J53" s="85">
        <f>IF(H53,An,'2022'!An_max)</f>
        <v>2023</v>
      </c>
      <c r="K53" s="193">
        <f t="shared" si="3"/>
        <v>44965</v>
      </c>
      <c r="L53" s="143">
        <f>IF(t&lt;Tvie,1-EXP((T0-t)*PertePVj)+'2022'!Pspv,1-EXP((T0-t)*PertePVj)+Pspv)</f>
        <v>7.3785303761355614E-3</v>
      </c>
      <c r="M53" s="835"/>
      <c r="N53" s="835"/>
      <c r="O53" s="48">
        <f>IF(t&lt;Tnet,'2022'!Resal+('2022'!Salim-'2022'!Resal)*(1-EXP(('2022'!Tnet-t)/('2022'!Tau_j))),Resal+(Salim-Resal)*(1-EXP((Tnet-t)/(Tau_j))))*Salcycl</f>
        <v>3.1190639324530544E-2</v>
      </c>
      <c r="P53" s="165">
        <f>(INDEX(Models!$BJ53:$BT53,,T53)*(1-R53)+INDEX(Models!$BJ53:$BT53,,T53+1)*R53-ERP_i)*Q53*Ramure*Pc/MaxiM</f>
        <v>2.7077983788611706E-4</v>
      </c>
      <c r="Q53" s="301">
        <f t="shared" si="4"/>
        <v>0.5</v>
      </c>
      <c r="R53" s="173">
        <f t="shared" si="5"/>
        <v>0.49213983772696657</v>
      </c>
      <c r="S53" s="801">
        <f t="shared" si="6"/>
        <v>0</v>
      </c>
      <c r="T53" s="172">
        <f t="shared" si="7"/>
        <v>6</v>
      </c>
      <c r="U53" s="247">
        <f t="shared" si="22"/>
        <v>0.49213983772696657</v>
      </c>
      <c r="V53" s="378">
        <f t="shared" si="8"/>
        <v>137.92474435796626</v>
      </c>
      <c r="W53" s="397">
        <f t="shared" si="9"/>
        <v>139.84535462718472</v>
      </c>
      <c r="X53" s="153">
        <f t="shared" si="10"/>
        <v>44965</v>
      </c>
      <c r="Y53" s="380">
        <f t="shared" si="11"/>
        <v>139.84535462718472</v>
      </c>
      <c r="Z53" s="380">
        <f t="shared" si="12"/>
        <v>140.8848779788901</v>
      </c>
      <c r="AA53" s="381">
        <f t="shared" si="13"/>
        <v>145.42064073437822</v>
      </c>
      <c r="AB53" s="193">
        <f t="shared" si="14"/>
        <v>44965</v>
      </c>
      <c r="AC53" s="420">
        <f>IF(OR(t&lt;Tnet,NoTnet),'2022'!Resal_s+('2022'!Salim-'2022'!Resal_s)*(1-EXP(('2022'!Tnet_s-t)/'2022'!Tau_j)),Resal_s+(Salim-Resal_s)*(1-EXP((Tnet_s-t)/Tau_j)))*Salcycl</f>
        <v>3.1190639324530544E-2</v>
      </c>
      <c r="AD53" s="227">
        <f>(INDEX(Models!$BJ53:$BT53,,AH53)*(1-AF53)+INDEX(Models!$BJ53:$BT53,,AH53+1)*AF53-ERP_i)*AE53*Ramure*Pc/MaxiM</f>
        <v>2.7077983788611706E-4</v>
      </c>
      <c r="AE53" s="301">
        <f t="shared" si="15"/>
        <v>0.5</v>
      </c>
      <c r="AF53" s="173">
        <f t="shared" si="16"/>
        <v>0.49213983772696657</v>
      </c>
      <c r="AG53" s="172">
        <f t="shared" si="17"/>
        <v>0</v>
      </c>
      <c r="AH53" s="172">
        <f t="shared" si="18"/>
        <v>6</v>
      </c>
      <c r="AI53" s="221">
        <f t="shared" si="23"/>
        <v>0.49213983772696657</v>
      </c>
      <c r="AJ53" s="261" t="b">
        <f t="shared" si="19"/>
        <v>0</v>
      </c>
      <c r="AK53" s="261" t="b">
        <f t="shared" si="20"/>
        <v>0</v>
      </c>
      <c r="AL53" s="261"/>
      <c r="AM53" s="261"/>
      <c r="AN53" s="75"/>
    </row>
    <row r="54" spans="1:40" s="6" customFormat="1" ht="11.25" x14ac:dyDescent="0.2">
      <c r="A54" s="56">
        <f t="shared" si="21"/>
        <v>44966</v>
      </c>
      <c r="B54" s="406">
        <f>'2022'!Wh/'2022'!Env_an*'2023'!Env_an</f>
        <v>139.17254310894876</v>
      </c>
      <c r="C54" s="385"/>
      <c r="D54" s="388">
        <f t="shared" si="0"/>
        <v>140.20898454172067</v>
      </c>
      <c r="E54" s="380">
        <f t="shared" si="1"/>
        <v>144.72970270149165</v>
      </c>
      <c r="F54" s="380">
        <f t="shared" si="2"/>
        <v>144.76559951243701</v>
      </c>
      <c r="G54" s="110">
        <f t="shared" si="24"/>
        <v>0.99834711217288585</v>
      </c>
      <c r="H54" s="409" t="b">
        <f>Wh_hp&gt;='2022'!Maxi_hp</f>
        <v>0</v>
      </c>
      <c r="I54" s="385">
        <f>IF(H54,Wh_hp,'2022'!Maxi_hp)</f>
        <v>144.76568409319361</v>
      </c>
      <c r="J54" s="85">
        <f>IF(H54,An,'2022'!An_max)</f>
        <v>2022</v>
      </c>
      <c r="K54" s="193">
        <f t="shared" si="3"/>
        <v>44966</v>
      </c>
      <c r="L54" s="143">
        <f>IF(t&lt;Tvie,1-EXP((T0-t)*PertePVj)+'2022'!Pspv,1-EXP((T0-t)*PertePVj)+Pspv)</f>
        <v>7.3921185304891557E-3</v>
      </c>
      <c r="M54" s="835"/>
      <c r="N54" s="835"/>
      <c r="O54" s="48">
        <f>IF(t&lt;Tnet,'2022'!Resal+('2022'!Salim-'2022'!Resal)*(1-EXP(('2022'!Tnet-t)/('2022'!Tau_j))),Resal+(Salim-Resal)*(1-EXP((Tnet-t)/(Tau_j))))*Salcycl</f>
        <v>3.1235593491787061E-2</v>
      </c>
      <c r="P54" s="165">
        <f>(INDEX(Models!$BJ54:$BT54,,T54)*(1-R54)+INDEX(Models!$BJ54:$BT54,,T54+1)*R54-ERP_i)*Q54*Ramure*Pc/MaxiM</f>
        <v>2.485517519528901E-4</v>
      </c>
      <c r="Q54" s="301">
        <f t="shared" si="4"/>
        <v>0.5</v>
      </c>
      <c r="R54" s="173">
        <f t="shared" si="5"/>
        <v>0.49227761418555771</v>
      </c>
      <c r="S54" s="801">
        <f t="shared" si="6"/>
        <v>0</v>
      </c>
      <c r="T54" s="172">
        <f t="shared" si="7"/>
        <v>6</v>
      </c>
      <c r="U54" s="247">
        <f t="shared" si="22"/>
        <v>0.49227761418555771</v>
      </c>
      <c r="V54" s="378">
        <f t="shared" si="8"/>
        <v>139.40287875901322</v>
      </c>
      <c r="W54" s="397">
        <f t="shared" si="9"/>
        <v>139.17254310894876</v>
      </c>
      <c r="X54" s="153">
        <f t="shared" si="10"/>
        <v>44966</v>
      </c>
      <c r="Y54" s="380">
        <f t="shared" si="11"/>
        <v>139.17254310894876</v>
      </c>
      <c r="Z54" s="380">
        <f t="shared" si="12"/>
        <v>140.20898454172067</v>
      </c>
      <c r="AA54" s="381">
        <f t="shared" si="13"/>
        <v>144.72970270149165</v>
      </c>
      <c r="AB54" s="193">
        <f t="shared" si="14"/>
        <v>44966</v>
      </c>
      <c r="AC54" s="420">
        <f>IF(OR(t&lt;Tnet,NoTnet),'2022'!Resal_s+('2022'!Salim-'2022'!Resal_s)*(1-EXP(('2022'!Tnet_s-t)/'2022'!Tau_j)),Resal_s+(Salim-Resal_s)*(1-EXP((Tnet_s-t)/Tau_j)))*Salcycl</f>
        <v>3.1235593491787061E-2</v>
      </c>
      <c r="AD54" s="227">
        <f>(INDEX(Models!$BJ54:$BT54,,AH54)*(1-AF54)+INDEX(Models!$BJ54:$BT54,,AH54+1)*AF54-ERP_i)*AE54*Ramure*Pc/MaxiM</f>
        <v>2.485517519528901E-4</v>
      </c>
      <c r="AE54" s="301">
        <f t="shared" si="15"/>
        <v>0.5</v>
      </c>
      <c r="AF54" s="173">
        <f t="shared" si="16"/>
        <v>0.49227761418555771</v>
      </c>
      <c r="AG54" s="172">
        <f t="shared" si="17"/>
        <v>0</v>
      </c>
      <c r="AH54" s="172">
        <f t="shared" si="18"/>
        <v>6</v>
      </c>
      <c r="AI54" s="221">
        <f t="shared" si="23"/>
        <v>0.49227761418555771</v>
      </c>
      <c r="AJ54" s="261" t="b">
        <f t="shared" si="19"/>
        <v>0</v>
      </c>
      <c r="AK54" s="261" t="b">
        <f t="shared" si="20"/>
        <v>0</v>
      </c>
      <c r="AL54" s="261"/>
      <c r="AM54" s="261"/>
      <c r="AN54" s="75"/>
    </row>
    <row r="55" spans="1:40" s="6" customFormat="1" ht="11.25" customHeight="1" x14ac:dyDescent="0.2">
      <c r="A55" s="56">
        <f t="shared" si="21"/>
        <v>44967</v>
      </c>
      <c r="B55" s="406">
        <f>'2022'!Wh/'2022'!Env_an*'2023'!Env_an</f>
        <v>130.71204295885443</v>
      </c>
      <c r="C55" s="385"/>
      <c r="D55" s="388">
        <f t="shared" si="0"/>
        <v>131.68728030643334</v>
      </c>
      <c r="E55" s="380">
        <f t="shared" si="1"/>
        <v>135.93954156265923</v>
      </c>
      <c r="F55" s="380">
        <f t="shared" si="2"/>
        <v>135.96717187223672</v>
      </c>
      <c r="G55" s="110">
        <f t="shared" si="24"/>
        <v>0.92770446536889328</v>
      </c>
      <c r="H55" s="409" t="b">
        <f>Wh_hp&gt;='2022'!Maxi_hp</f>
        <v>0</v>
      </c>
      <c r="I55" s="385">
        <f>IF(H55,Wh_hp,'2022'!Maxi_hp)</f>
        <v>135.97033911419149</v>
      </c>
      <c r="J55" s="85">
        <f>IF(H55,An,'2022'!An_max)</f>
        <v>2022</v>
      </c>
      <c r="K55" s="193">
        <f t="shared" si="3"/>
        <v>44967</v>
      </c>
      <c r="L55" s="143">
        <f>IF(t&lt;Tvie,1-EXP((T0-t)*PertePVj)+'2022'!Pspv,1-EXP((T0-t)*PertePVj)+Pspv)</f>
        <v>7.4057064988323207E-3</v>
      </c>
      <c r="M55" s="835"/>
      <c r="N55" s="835"/>
      <c r="O55" s="48">
        <f>IF(t&lt;Tnet,'2022'!Resal+('2022'!Salim-'2022'!Resal)*(1-EXP(('2022'!Tnet-t)/('2022'!Tau_j))),Resal+(Salim-Resal)*(1-EXP((Tnet-t)/(Tau_j))))*Salcycl</f>
        <v>3.1280532561351125E-2</v>
      </c>
      <c r="P55" s="165">
        <f>(INDEX(Models!$BJ55:$BT55,,T55)*(1-R55)+INDEX(Models!$BJ55:$BT55,,T55+1)*R55-ERP_i)*Q55*Ramure*Pc/MaxiM</f>
        <v>2.2661021754340053E-4</v>
      </c>
      <c r="Q55" s="301">
        <f t="shared" si="4"/>
        <v>0.5</v>
      </c>
      <c r="R55" s="173">
        <f t="shared" si="5"/>
        <v>0.49242108949622021</v>
      </c>
      <c r="S55" s="801">
        <f t="shared" si="6"/>
        <v>0</v>
      </c>
      <c r="T55" s="172">
        <f t="shared" si="7"/>
        <v>6</v>
      </c>
      <c r="U55" s="247">
        <f t="shared" si="22"/>
        <v>0.49242108949622021</v>
      </c>
      <c r="V55" s="378">
        <f t="shared" si="8"/>
        <v>140.89506834415656</v>
      </c>
      <c r="W55" s="397">
        <f t="shared" si="9"/>
        <v>130.71204295885443</v>
      </c>
      <c r="X55" s="153">
        <f t="shared" si="10"/>
        <v>44967</v>
      </c>
      <c r="Y55" s="380">
        <f t="shared" si="11"/>
        <v>130.71204295885443</v>
      </c>
      <c r="Z55" s="380">
        <f t="shared" si="12"/>
        <v>131.68728030643334</v>
      </c>
      <c r="AA55" s="381">
        <f t="shared" si="13"/>
        <v>135.93954156265923</v>
      </c>
      <c r="AB55" s="193">
        <f t="shared" si="14"/>
        <v>44967</v>
      </c>
      <c r="AC55" s="420">
        <f>IF(OR(t&lt;Tnet,NoTnet),'2022'!Resal_s+('2022'!Salim-'2022'!Resal_s)*(1-EXP(('2022'!Tnet_s-t)/'2022'!Tau_j)),Resal_s+(Salim-Resal_s)*(1-EXP((Tnet_s-t)/Tau_j)))*Salcycl</f>
        <v>3.1280532561351125E-2</v>
      </c>
      <c r="AD55" s="227">
        <f>(INDEX(Models!$BJ55:$BT55,,AH55)*(1-AF55)+INDEX(Models!$BJ55:$BT55,,AH55+1)*AF55-ERP_i)*AE55*Ramure*Pc/MaxiM</f>
        <v>2.2661021754340053E-4</v>
      </c>
      <c r="AE55" s="301">
        <f t="shared" si="15"/>
        <v>0.5</v>
      </c>
      <c r="AF55" s="173">
        <f t="shared" si="16"/>
        <v>0.49242108949622021</v>
      </c>
      <c r="AG55" s="172">
        <f t="shared" si="17"/>
        <v>0</v>
      </c>
      <c r="AH55" s="172">
        <f t="shared" si="18"/>
        <v>6</v>
      </c>
      <c r="AI55" s="221">
        <f t="shared" si="23"/>
        <v>0.49242108949622021</v>
      </c>
      <c r="AJ55" s="261" t="b">
        <f t="shared" si="19"/>
        <v>0</v>
      </c>
      <c r="AK55" s="261" t="b">
        <f t="shared" si="20"/>
        <v>0</v>
      </c>
      <c r="AL55" s="261"/>
      <c r="AM55" s="261"/>
      <c r="AN55" s="75"/>
    </row>
    <row r="56" spans="1:40" s="6" customFormat="1" ht="11.25" customHeight="1" x14ac:dyDescent="0.2">
      <c r="A56" s="56">
        <f t="shared" si="21"/>
        <v>44968</v>
      </c>
      <c r="B56" s="406">
        <f>'2022'!Wh/'2022'!Env_an*'2023'!Env_an</f>
        <v>65.193879569262819</v>
      </c>
      <c r="C56" s="385"/>
      <c r="D56" s="388">
        <f t="shared" si="0"/>
        <v>65.681187629019092</v>
      </c>
      <c r="E56" s="380">
        <f t="shared" si="1"/>
        <v>67.805216773732127</v>
      </c>
      <c r="F56" s="380">
        <f t="shared" si="2"/>
        <v>67.80835027274999</v>
      </c>
      <c r="G56" s="110">
        <f t="shared" si="24"/>
        <v>0.4577553183051562</v>
      </c>
      <c r="H56" s="409" t="b">
        <f>Wh_hp&gt;='2022'!Maxi_hp</f>
        <v>0</v>
      </c>
      <c r="I56" s="385">
        <f>IF(H56,Wh_hp,'2022'!Maxi_hp)</f>
        <v>67.819064186061496</v>
      </c>
      <c r="J56" s="85">
        <f>IF(H56,An,'2022'!An_max)</f>
        <v>2022</v>
      </c>
      <c r="K56" s="193">
        <f t="shared" si="3"/>
        <v>44968</v>
      </c>
      <c r="L56" s="143">
        <f>IF(t&lt;Tvie,1-EXP((T0-t)*PertePVj)+'2022'!Pspv,1-EXP((T0-t)*PertePVj)+Pspv)</f>
        <v>7.4192942811676099E-3</v>
      </c>
      <c r="M56" s="835"/>
      <c r="N56" s="835"/>
      <c r="O56" s="48">
        <f>IF(t&lt;Tnet,'2022'!Resal+('2022'!Salim-'2022'!Resal)*(1-EXP(('2022'!Tnet-t)/('2022'!Tau_j))),Resal+(Salim-Resal)*(1-EXP((Tnet-t)/(Tau_j))))*Salcycl</f>
        <v>3.1325453199286715E-2</v>
      </c>
      <c r="P56" s="165">
        <f>(INDEX(Models!$BJ56:$BT56,,T56)*(1-R56)+INDEX(Models!$BJ56:$BT56,,T56+1)*R56-ERP_i)*Q56*Ramure*Pc/MaxiM</f>
        <v>2.0495587549522543E-4</v>
      </c>
      <c r="Q56" s="301">
        <f t="shared" si="4"/>
        <v>0.5</v>
      </c>
      <c r="R56" s="173">
        <f t="shared" si="5"/>
        <v>0.4925704958620814</v>
      </c>
      <c r="S56" s="801">
        <f t="shared" si="6"/>
        <v>0</v>
      </c>
      <c r="T56" s="172">
        <f t="shared" si="7"/>
        <v>6</v>
      </c>
      <c r="U56" s="247">
        <f t="shared" si="22"/>
        <v>0.4925704958620814</v>
      </c>
      <c r="V56" s="378">
        <f t="shared" si="8"/>
        <v>142.39819243411742</v>
      </c>
      <c r="W56" s="397">
        <f t="shared" si="9"/>
        <v>65.193879569262819</v>
      </c>
      <c r="X56" s="153">
        <f t="shared" si="10"/>
        <v>44968</v>
      </c>
      <c r="Y56" s="380">
        <f t="shared" si="11"/>
        <v>65.193879569262819</v>
      </c>
      <c r="Z56" s="380">
        <f t="shared" si="12"/>
        <v>65.681187629019092</v>
      </c>
      <c r="AA56" s="381">
        <f t="shared" si="13"/>
        <v>67.805216773732127</v>
      </c>
      <c r="AB56" s="193">
        <f t="shared" si="14"/>
        <v>44968</v>
      </c>
      <c r="AC56" s="420">
        <f>IF(OR(t&lt;Tnet,NoTnet),'2022'!Resal_s+('2022'!Salim-'2022'!Resal_s)*(1-EXP(('2022'!Tnet_s-t)/'2022'!Tau_j)),Resal_s+(Salim-Resal_s)*(1-EXP((Tnet_s-t)/Tau_j)))*Salcycl</f>
        <v>3.1325453199286715E-2</v>
      </c>
      <c r="AD56" s="227">
        <f>(INDEX(Models!$BJ56:$BT56,,AH56)*(1-AF56)+INDEX(Models!$BJ56:$BT56,,AH56+1)*AF56-ERP_i)*AE56*Ramure*Pc/MaxiM</f>
        <v>2.0495587549522543E-4</v>
      </c>
      <c r="AE56" s="301">
        <f t="shared" si="15"/>
        <v>0.5</v>
      </c>
      <c r="AF56" s="173">
        <f t="shared" si="16"/>
        <v>0.4925704958620814</v>
      </c>
      <c r="AG56" s="172">
        <f t="shared" si="17"/>
        <v>0</v>
      </c>
      <c r="AH56" s="172">
        <f t="shared" si="18"/>
        <v>6</v>
      </c>
      <c r="AI56" s="221">
        <f t="shared" si="23"/>
        <v>0.4925704958620814</v>
      </c>
      <c r="AJ56" s="261" t="b">
        <f t="shared" si="19"/>
        <v>0</v>
      </c>
      <c r="AK56" s="261" t="b">
        <f t="shared" si="20"/>
        <v>0</v>
      </c>
      <c r="AL56" s="261"/>
      <c r="AM56" s="261"/>
      <c r="AN56" s="75"/>
    </row>
    <row r="57" spans="1:40" s="6" customFormat="1" ht="11.25" customHeight="1" x14ac:dyDescent="0.2">
      <c r="A57" s="56">
        <f t="shared" si="21"/>
        <v>44969</v>
      </c>
      <c r="B57" s="406">
        <f>'2022'!Wh/'2022'!Env_an*'2023'!Env_an</f>
        <v>109.18251022802556</v>
      </c>
      <c r="C57" s="385"/>
      <c r="D57" s="388">
        <f t="shared" si="0"/>
        <v>110.00012818735175</v>
      </c>
      <c r="E57" s="380">
        <f t="shared" si="1"/>
        <v>113.56262779600145</v>
      </c>
      <c r="F57" s="380">
        <f t="shared" si="2"/>
        <v>113.57629098705729</v>
      </c>
      <c r="G57" s="110">
        <f t="shared" si="24"/>
        <v>0.75864261450068804</v>
      </c>
      <c r="H57" s="409" t="b">
        <f>Wh_hp&gt;='2022'!Maxi_hp</f>
        <v>0</v>
      </c>
      <c r="I57" s="385">
        <f>IF(H57,Wh_hp,'2022'!Maxi_hp)</f>
        <v>113.58344330581436</v>
      </c>
      <c r="J57" s="85">
        <f>IF(H57,An,'2022'!An_max)</f>
        <v>2022</v>
      </c>
      <c r="K57" s="193">
        <f t="shared" si="3"/>
        <v>44969</v>
      </c>
      <c r="L57" s="143">
        <f>IF(t&lt;Tvie,1-EXP((T0-t)*PertePVj)+'2022'!Pspv,1-EXP((T0-t)*PertePVj)+Pspv)</f>
        <v>7.4328818774976879E-3</v>
      </c>
      <c r="M57" s="835"/>
      <c r="N57" s="835"/>
      <c r="O57" s="48">
        <f>IF(t&lt;Tnet,'2022'!Resal+('2022'!Salim-'2022'!Resal)*(1-EXP(('2022'!Tnet-t)/('2022'!Tau_j))),Resal+(Salim-Resal)*(1-EXP((Tnet-t)/(Tau_j))))*Salcycl</f>
        <v>3.137035200567214E-2</v>
      </c>
      <c r="P57" s="165">
        <f>(INDEX(Models!$BJ57:$BT57,,T57)*(1-R57)+INDEX(Models!$BJ57:$BT57,,T57+1)*R57-ERP_i)*Q57*Ramure*Pc/MaxiM</f>
        <v>1.8358729586204366E-4</v>
      </c>
      <c r="Q57" s="301">
        <f t="shared" si="4"/>
        <v>0.5</v>
      </c>
      <c r="R57" s="173">
        <f t="shared" si="5"/>
        <v>0.49272607464860424</v>
      </c>
      <c r="S57" s="801">
        <f t="shared" si="6"/>
        <v>0</v>
      </c>
      <c r="T57" s="172">
        <f t="shared" si="7"/>
        <v>6</v>
      </c>
      <c r="U57" s="247">
        <f t="shared" si="22"/>
        <v>0.49272607464860424</v>
      </c>
      <c r="V57" s="378">
        <f t="shared" si="8"/>
        <v>143.9091311359648</v>
      </c>
      <c r="W57" s="397">
        <f t="shared" si="9"/>
        <v>109.18251022802556</v>
      </c>
      <c r="X57" s="153">
        <f t="shared" si="10"/>
        <v>44969</v>
      </c>
      <c r="Y57" s="380">
        <f t="shared" si="11"/>
        <v>109.18251022802556</v>
      </c>
      <c r="Z57" s="380">
        <f t="shared" si="12"/>
        <v>110.00012818735175</v>
      </c>
      <c r="AA57" s="381">
        <f t="shared" si="13"/>
        <v>113.56262779600145</v>
      </c>
      <c r="AB57" s="193">
        <f t="shared" si="14"/>
        <v>44969</v>
      </c>
      <c r="AC57" s="420">
        <f>IF(OR(t&lt;Tnet,NoTnet),'2022'!Resal_s+('2022'!Salim-'2022'!Resal_s)*(1-EXP(('2022'!Tnet_s-t)/'2022'!Tau_j)),Resal_s+(Salim-Resal_s)*(1-EXP((Tnet_s-t)/Tau_j)))*Salcycl</f>
        <v>3.137035200567214E-2</v>
      </c>
      <c r="AD57" s="227">
        <f>(INDEX(Models!$BJ57:$BT57,,AH57)*(1-AF57)+INDEX(Models!$BJ57:$BT57,,AH57+1)*AF57-ERP_i)*AE57*Ramure*Pc/MaxiM</f>
        <v>1.8358729586204366E-4</v>
      </c>
      <c r="AE57" s="301">
        <f t="shared" si="15"/>
        <v>0.5</v>
      </c>
      <c r="AF57" s="173">
        <f t="shared" si="16"/>
        <v>0.49272607464860424</v>
      </c>
      <c r="AG57" s="172">
        <f t="shared" si="17"/>
        <v>0</v>
      </c>
      <c r="AH57" s="172">
        <f t="shared" si="18"/>
        <v>6</v>
      </c>
      <c r="AI57" s="221">
        <f t="shared" si="23"/>
        <v>0.49272607464860424</v>
      </c>
      <c r="AJ57" s="261" t="b">
        <f t="shared" si="19"/>
        <v>0</v>
      </c>
      <c r="AK57" s="261" t="b">
        <f t="shared" si="20"/>
        <v>0</v>
      </c>
      <c r="AL57" s="261"/>
      <c r="AM57" s="261"/>
      <c r="AN57" s="75"/>
    </row>
    <row r="58" spans="1:40" s="6" customFormat="1" ht="11.25" customHeight="1" x14ac:dyDescent="0.2">
      <c r="A58" s="56">
        <f t="shared" si="21"/>
        <v>44970</v>
      </c>
      <c r="B58" s="406">
        <f>'2022'!Wh/'2022'!Env_an*'2023'!Env_an</f>
        <v>133.20766215164494</v>
      </c>
      <c r="C58" s="385"/>
      <c r="D58" s="388">
        <f t="shared" si="0"/>
        <v>134.20703068384233</v>
      </c>
      <c r="E58" s="380">
        <f t="shared" si="1"/>
        <v>138.55992188358536</v>
      </c>
      <c r="F58" s="380">
        <f t="shared" si="2"/>
        <v>138.57983894233735</v>
      </c>
      <c r="G58" s="110">
        <f t="shared" si="24"/>
        <v>0.91597301223546779</v>
      </c>
      <c r="H58" s="409" t="b">
        <f>Wh_hp&gt;='2022'!Maxi_hp</f>
        <v>0</v>
      </c>
      <c r="I58" s="385">
        <f>IF(H58,Wh_hp,'2022'!Maxi_hp)</f>
        <v>138.58254094560056</v>
      </c>
      <c r="J58" s="85">
        <f>IF(H58,An,'2022'!An_max)</f>
        <v>2022</v>
      </c>
      <c r="K58" s="193">
        <f t="shared" si="3"/>
        <v>44970</v>
      </c>
      <c r="L58" s="143">
        <f>IF(t&lt;Tvie,1-EXP((T0-t)*PertePVj)+'2022'!Pspv,1-EXP((T0-t)*PertePVj)+Pspv)</f>
        <v>7.4464692878248862E-3</v>
      </c>
      <c r="M58" s="835"/>
      <c r="N58" s="835"/>
      <c r="O58" s="48">
        <f>IF(t&lt;Tnet,'2022'!Resal+('2022'!Salim-'2022'!Resal)*(1-EXP(('2022'!Tnet-t)/('2022'!Tau_j))),Resal+(Salim-Resal)*(1-EXP((Tnet-t)/(Tau_j))))*Salcycl</f>
        <v>3.1415225561401638E-2</v>
      </c>
      <c r="P58" s="165">
        <f>(INDEX(Models!$BJ58:$BT58,,T58)*(1-R58)+INDEX(Models!$BJ58:$BT58,,T58+1)*R58-ERP_i)*Q58*Ramure*Pc/MaxiM</f>
        <v>1.6332356351004602E-4</v>
      </c>
      <c r="Q58" s="301">
        <f t="shared" si="4"/>
        <v>0.5</v>
      </c>
      <c r="R58" s="173">
        <f t="shared" si="5"/>
        <v>0.49288807671964341</v>
      </c>
      <c r="S58" s="801">
        <f t="shared" si="6"/>
        <v>0</v>
      </c>
      <c r="T58" s="172">
        <f t="shared" si="7"/>
        <v>6</v>
      </c>
      <c r="U58" s="247">
        <f t="shared" si="22"/>
        <v>0.49288807671964341</v>
      </c>
      <c r="V58" s="378">
        <f t="shared" si="8"/>
        <v>145.42464570713892</v>
      </c>
      <c r="W58" s="397">
        <f t="shared" si="9"/>
        <v>133.20766215164494</v>
      </c>
      <c r="X58" s="153">
        <f t="shared" si="10"/>
        <v>44970</v>
      </c>
      <c r="Y58" s="380">
        <f t="shared" si="11"/>
        <v>133.20766215164494</v>
      </c>
      <c r="Z58" s="380">
        <f t="shared" si="12"/>
        <v>134.20703068384233</v>
      </c>
      <c r="AA58" s="381">
        <f t="shared" si="13"/>
        <v>138.55992188358536</v>
      </c>
      <c r="AB58" s="193">
        <f t="shared" si="14"/>
        <v>44970</v>
      </c>
      <c r="AC58" s="420">
        <f>IF(OR(t&lt;Tnet,NoTnet),'2022'!Resal_s+('2022'!Salim-'2022'!Resal_s)*(1-EXP(('2022'!Tnet_s-t)/'2022'!Tau_j)),Resal_s+(Salim-Resal_s)*(1-EXP((Tnet_s-t)/Tau_j)))*Salcycl</f>
        <v>3.1415225561401638E-2</v>
      </c>
      <c r="AD58" s="227">
        <f>(INDEX(Models!$BJ58:$BT58,,AH58)*(1-AF58)+INDEX(Models!$BJ58:$BT58,,AH58+1)*AF58-ERP_i)*AE58*Ramure*Pc/MaxiM</f>
        <v>1.6332356351004602E-4</v>
      </c>
      <c r="AE58" s="301">
        <f t="shared" si="15"/>
        <v>0.5</v>
      </c>
      <c r="AF58" s="173">
        <f t="shared" si="16"/>
        <v>0.49288807671964341</v>
      </c>
      <c r="AG58" s="172">
        <f t="shared" si="17"/>
        <v>0</v>
      </c>
      <c r="AH58" s="172">
        <f t="shared" si="18"/>
        <v>6</v>
      </c>
      <c r="AI58" s="221">
        <f t="shared" si="23"/>
        <v>0.49288807671964341</v>
      </c>
      <c r="AJ58" s="261" t="b">
        <f t="shared" si="19"/>
        <v>0</v>
      </c>
      <c r="AK58" s="261" t="b">
        <f t="shared" si="20"/>
        <v>0</v>
      </c>
      <c r="AL58" s="261"/>
      <c r="AM58" s="261"/>
      <c r="AN58" s="75"/>
    </row>
    <row r="59" spans="1:40" s="6" customFormat="1" ht="11.25" x14ac:dyDescent="0.2">
      <c r="A59" s="56">
        <f t="shared" si="21"/>
        <v>44971</v>
      </c>
      <c r="B59" s="406">
        <f>'2022'!Wh/'2022'!Env_an*'2023'!Env_an</f>
        <v>75.951862514289232</v>
      </c>
      <c r="C59" s="385"/>
      <c r="D59" s="388">
        <f t="shared" si="0"/>
        <v>76.522726377529523</v>
      </c>
      <c r="E59" s="380">
        <f t="shared" si="1"/>
        <v>79.008334137747141</v>
      </c>
      <c r="F59" s="380">
        <f t="shared" si="2"/>
        <v>79.011885807223493</v>
      </c>
      <c r="G59" s="110">
        <f t="shared" si="24"/>
        <v>0.51683335307266032</v>
      </c>
      <c r="H59" s="409" t="b">
        <f>Wh_hp&gt;='2022'!Maxi_hp</f>
        <v>0</v>
      </c>
      <c r="I59" s="385">
        <f>IF(H59,Wh_hp,'2022'!Maxi_hp)</f>
        <v>79.019753092234637</v>
      </c>
      <c r="J59" s="85">
        <f>IF(H59,An,'2022'!An_max)</f>
        <v>2022</v>
      </c>
      <c r="K59" s="193">
        <f t="shared" si="3"/>
        <v>44971</v>
      </c>
      <c r="L59" s="143">
        <f>IF(t&lt;Tvie,1-EXP((T0-t)*PertePVj)+'2022'!Pspv,1-EXP((T0-t)*PertePVj)+Pspv)</f>
        <v>7.4600565121517581E-3</v>
      </c>
      <c r="M59" s="835"/>
      <c r="N59" s="835"/>
      <c r="O59" s="48">
        <f>IF(t&lt;Tnet,'2022'!Resal+('2022'!Salim-'2022'!Resal)*(1-EXP(('2022'!Tnet-t)/('2022'!Tau_j))),Resal+(Salim-Resal)*(1-EXP((Tnet-t)/(Tau_j))))*Salcycl</f>
        <v>3.1460070476667393E-2</v>
      </c>
      <c r="P59" s="165">
        <f>(INDEX(Models!$BJ59:$BT59,,T59)*(1-R59)+INDEX(Models!$BJ59:$BT59,,T59+1)*R59-ERP_i)*Q59*Ramure*Pc/MaxiM</f>
        <v>1.4508029068636185E-4</v>
      </c>
      <c r="Q59" s="301">
        <f t="shared" si="4"/>
        <v>0.5</v>
      </c>
      <c r="R59" s="173">
        <f t="shared" si="5"/>
        <v>0.49305676278362515</v>
      </c>
      <c r="S59" s="801">
        <f t="shared" si="6"/>
        <v>0</v>
      </c>
      <c r="T59" s="172">
        <f t="shared" si="7"/>
        <v>6</v>
      </c>
      <c r="U59" s="247">
        <f t="shared" si="22"/>
        <v>0.49305676278362515</v>
      </c>
      <c r="V59" s="378">
        <f t="shared" si="8"/>
        <v>146.9414787585925</v>
      </c>
      <c r="W59" s="397">
        <f t="shared" si="9"/>
        <v>75.951862514289232</v>
      </c>
      <c r="X59" s="153">
        <f t="shared" si="10"/>
        <v>44971</v>
      </c>
      <c r="Y59" s="380">
        <f t="shared" si="11"/>
        <v>75.951862514289232</v>
      </c>
      <c r="Z59" s="380">
        <f t="shared" si="12"/>
        <v>76.522726377529523</v>
      </c>
      <c r="AA59" s="381">
        <f t="shared" si="13"/>
        <v>79.008334137747141</v>
      </c>
      <c r="AB59" s="193">
        <f t="shared" si="14"/>
        <v>44971</v>
      </c>
      <c r="AC59" s="420">
        <f>IF(OR(t&lt;Tnet,NoTnet),'2022'!Resal_s+('2022'!Salim-'2022'!Resal_s)*(1-EXP(('2022'!Tnet_s-t)/'2022'!Tau_j)),Resal_s+(Salim-Resal_s)*(1-EXP((Tnet_s-t)/Tau_j)))*Salcycl</f>
        <v>3.1460070476667393E-2</v>
      </c>
      <c r="AD59" s="227">
        <f>(INDEX(Models!$BJ59:$BT59,,AH59)*(1-AF59)+INDEX(Models!$BJ59:$BT59,,AH59+1)*AF59-ERP_i)*AE59*Ramure*Pc/MaxiM</f>
        <v>1.4508029068636185E-4</v>
      </c>
      <c r="AE59" s="301">
        <f t="shared" si="15"/>
        <v>0.5</v>
      </c>
      <c r="AF59" s="173">
        <f t="shared" si="16"/>
        <v>0.49305676278362515</v>
      </c>
      <c r="AG59" s="172">
        <f t="shared" si="17"/>
        <v>0</v>
      </c>
      <c r="AH59" s="172">
        <f t="shared" si="18"/>
        <v>6</v>
      </c>
      <c r="AI59" s="221">
        <f t="shared" si="23"/>
        <v>0.49305676278362515</v>
      </c>
      <c r="AJ59" s="261" t="b">
        <f t="shared" si="19"/>
        <v>0</v>
      </c>
      <c r="AK59" s="261" t="b">
        <f t="shared" si="20"/>
        <v>0</v>
      </c>
      <c r="AL59" s="261"/>
      <c r="AM59" s="261"/>
      <c r="AN59" s="75"/>
    </row>
    <row r="60" spans="1:40" s="6" customFormat="1" ht="11.25" x14ac:dyDescent="0.2">
      <c r="A60" s="56">
        <f t="shared" si="21"/>
        <v>44972</v>
      </c>
      <c r="B60" s="406">
        <f>'2022'!Wh/'2022'!Env_an*'2023'!Env_an</f>
        <v>80.193497678870727</v>
      </c>
      <c r="C60" s="385"/>
      <c r="D60" s="388">
        <f t="shared" si="0"/>
        <v>80.797348259586968</v>
      </c>
      <c r="E60" s="380">
        <f t="shared" si="1"/>
        <v>83.425664082459505</v>
      </c>
      <c r="F60" s="380">
        <f t="shared" si="2"/>
        <v>83.429351109545507</v>
      </c>
      <c r="G60" s="110">
        <f t="shared" si="24"/>
        <v>0.54013603861251025</v>
      </c>
      <c r="H60" s="409" t="b">
        <f>Wh_hp&gt;='2022'!Maxi_hp</f>
        <v>0</v>
      </c>
      <c r="I60" s="385">
        <f>IF(H60,Wh_hp,'2022'!Maxi_hp)</f>
        <v>83.436368101478877</v>
      </c>
      <c r="J60" s="85">
        <f>IF(H60,An,'2022'!An_max)</f>
        <v>2022</v>
      </c>
      <c r="K60" s="193">
        <f t="shared" si="3"/>
        <v>44972</v>
      </c>
      <c r="L60" s="143">
        <f>IF(t&lt;Tvie,1-EXP((T0-t)*PertePVj)+'2022'!Pspv,1-EXP((T0-t)*PertePVj)+Pspv)</f>
        <v>7.4736435504810794E-3</v>
      </c>
      <c r="M60" s="835"/>
      <c r="N60" s="835"/>
      <c r="O60" s="48">
        <f>IF(t&lt;Tnet,'2022'!Resal+('2022'!Salim-'2022'!Resal)*(1-EXP(('2022'!Tnet-t)/('2022'!Tau_j))),Resal+(Salim-Resal)*(1-EXP((Tnet-t)/(Tau_j))))*Salcycl</f>
        <v>3.150488344060004E-2</v>
      </c>
      <c r="P60" s="165">
        <f>(INDEX(Models!$BJ60:$BT60,,T60)*(1-R60)+INDEX(Models!$BJ60:$BT60,,T60+1)*R60-ERP_i)*Q60*Ramure*Pc/MaxiM</f>
        <v>1.2879989506806816E-4</v>
      </c>
      <c r="Q60" s="301">
        <f t="shared" si="4"/>
        <v>0.5</v>
      </c>
      <c r="R60" s="173">
        <f t="shared" si="5"/>
        <v>0.49323240374995558</v>
      </c>
      <c r="S60" s="801">
        <f t="shared" si="6"/>
        <v>0</v>
      </c>
      <c r="T60" s="172">
        <f t="shared" si="7"/>
        <v>6</v>
      </c>
      <c r="U60" s="247">
        <f t="shared" si="22"/>
        <v>0.49323240374995558</v>
      </c>
      <c r="V60" s="378">
        <f t="shared" si="8"/>
        <v>148.45651235309393</v>
      </c>
      <c r="W60" s="397">
        <f t="shared" si="9"/>
        <v>80.193497678870727</v>
      </c>
      <c r="X60" s="153">
        <f t="shared" si="10"/>
        <v>44972</v>
      </c>
      <c r="Y60" s="380">
        <f t="shared" si="11"/>
        <v>80.193497678870727</v>
      </c>
      <c r="Z60" s="380">
        <f t="shared" si="12"/>
        <v>80.797348259586968</v>
      </c>
      <c r="AA60" s="381">
        <f t="shared" si="13"/>
        <v>83.425664082459505</v>
      </c>
      <c r="AB60" s="193">
        <f t="shared" si="14"/>
        <v>44972</v>
      </c>
      <c r="AC60" s="420">
        <f>IF(OR(t&lt;Tnet,NoTnet),'2022'!Resal_s+('2022'!Salim-'2022'!Resal_s)*(1-EXP(('2022'!Tnet_s-t)/'2022'!Tau_j)),Resal_s+(Salim-Resal_s)*(1-EXP((Tnet_s-t)/Tau_j)))*Salcycl</f>
        <v>3.150488344060004E-2</v>
      </c>
      <c r="AD60" s="227">
        <f>(INDEX(Models!$BJ60:$BT60,,AH60)*(1-AF60)+INDEX(Models!$BJ60:$BT60,,AH60+1)*AF60-ERP_i)*AE60*Ramure*Pc/MaxiM</f>
        <v>1.2879989506806816E-4</v>
      </c>
      <c r="AE60" s="301">
        <f t="shared" si="15"/>
        <v>0.5</v>
      </c>
      <c r="AF60" s="173">
        <f t="shared" si="16"/>
        <v>0.49323240374995558</v>
      </c>
      <c r="AG60" s="172">
        <f t="shared" si="17"/>
        <v>0</v>
      </c>
      <c r="AH60" s="172">
        <f t="shared" si="18"/>
        <v>6</v>
      </c>
      <c r="AI60" s="221">
        <f t="shared" si="23"/>
        <v>0.49323240374995558</v>
      </c>
      <c r="AJ60" s="261" t="b">
        <f t="shared" si="19"/>
        <v>0</v>
      </c>
      <c r="AK60" s="261" t="b">
        <f t="shared" si="20"/>
        <v>0</v>
      </c>
      <c r="AL60" s="261"/>
      <c r="AM60" s="261"/>
      <c r="AN60" s="75"/>
    </row>
    <row r="61" spans="1:40" s="6" customFormat="1" ht="11.25" customHeight="1" x14ac:dyDescent="0.2">
      <c r="A61" s="56">
        <f t="shared" si="21"/>
        <v>44973</v>
      </c>
      <c r="B61" s="406">
        <f>'2022'!Wh/'2022'!Env_an*'2023'!Env_an</f>
        <v>30.973561513507317</v>
      </c>
      <c r="C61" s="385"/>
      <c r="D61" s="388">
        <f t="shared" si="0"/>
        <v>31.207217138453601</v>
      </c>
      <c r="E61" s="380">
        <f t="shared" si="1"/>
        <v>32.223869299718189</v>
      </c>
      <c r="F61" s="380">
        <f t="shared" si="2"/>
        <v>32.223869299718189</v>
      </c>
      <c r="G61" s="110">
        <f t="shared" si="24"/>
        <v>0.20651272541283647</v>
      </c>
      <c r="H61" s="409" t="b">
        <f>Wh_hp&gt;='2022'!Maxi_hp</f>
        <v>0</v>
      </c>
      <c r="I61" s="385">
        <f>IF(H61,Wh_hp,'2022'!Maxi_hp)</f>
        <v>32.227533516382081</v>
      </c>
      <c r="J61" s="85">
        <f>IF(H61,An,'2022'!An_max)</f>
        <v>2022</v>
      </c>
      <c r="K61" s="193">
        <f t="shared" si="3"/>
        <v>44973</v>
      </c>
      <c r="L61" s="143">
        <f>IF(t&lt;Tvie,1-EXP((T0-t)*PertePVj)+'2022'!Pspv,1-EXP((T0-t)*PertePVj)+Pspv)</f>
        <v>7.4872304028151815E-3</v>
      </c>
      <c r="M61" s="835"/>
      <c r="N61" s="835"/>
      <c r="O61" s="48">
        <f>IF(t&lt;Tnet,'2022'!Resal+('2022'!Salim-'2022'!Resal)*(1-EXP(('2022'!Tnet-t)/('2022'!Tau_j))),Resal+(Salim-Resal)*(1-EXP((Tnet-t)/(Tau_j))))*Salcycl</f>
        <v>3.1549661271543177E-2</v>
      </c>
      <c r="P61" s="165">
        <f>(INDEX(Models!$BJ61:$BT61,,T61)*(1-R61)+INDEX(Models!$BJ61:$BT61,,T61+1)*R61-ERP_i)*Q61*Ramure*Pc/MaxiM</f>
        <v>1.1442600562165019E-4</v>
      </c>
      <c r="Q61" s="301">
        <f t="shared" si="4"/>
        <v>0.5</v>
      </c>
      <c r="R61" s="173">
        <f t="shared" si="5"/>
        <v>0.49341528109574367</v>
      </c>
      <c r="S61" s="801">
        <f t="shared" si="6"/>
        <v>0</v>
      </c>
      <c r="T61" s="172">
        <f t="shared" si="7"/>
        <v>6</v>
      </c>
      <c r="U61" s="247">
        <f t="shared" si="22"/>
        <v>0.49341528109574367</v>
      </c>
      <c r="V61" s="378">
        <f t="shared" si="8"/>
        <v>149.96662927512943</v>
      </c>
      <c r="W61" s="397">
        <f t="shared" si="9"/>
        <v>30.973561513507317</v>
      </c>
      <c r="X61" s="153">
        <f t="shared" si="10"/>
        <v>44973</v>
      </c>
      <c r="Y61" s="380">
        <f t="shared" si="11"/>
        <v>30.973561513507317</v>
      </c>
      <c r="Z61" s="380">
        <f t="shared" si="12"/>
        <v>31.207217138453601</v>
      </c>
      <c r="AA61" s="381">
        <f t="shared" si="13"/>
        <v>32.223869299718189</v>
      </c>
      <c r="AB61" s="193">
        <f t="shared" si="14"/>
        <v>44973</v>
      </c>
      <c r="AC61" s="420">
        <f>IF(OR(t&lt;Tnet,NoTnet),'2022'!Resal_s+('2022'!Salim-'2022'!Resal_s)*(1-EXP(('2022'!Tnet_s-t)/'2022'!Tau_j)),Resal_s+(Salim-Resal_s)*(1-EXP((Tnet_s-t)/Tau_j)))*Salcycl</f>
        <v>3.1549661271543177E-2</v>
      </c>
      <c r="AD61" s="227">
        <f>(INDEX(Models!$BJ61:$BT61,,AH61)*(1-AF61)+INDEX(Models!$BJ61:$BT61,,AH61+1)*AF61-ERP_i)*AE61*Ramure*Pc/MaxiM</f>
        <v>1.1442600562165019E-4</v>
      </c>
      <c r="AE61" s="301">
        <f t="shared" si="15"/>
        <v>0.5</v>
      </c>
      <c r="AF61" s="173">
        <f t="shared" si="16"/>
        <v>0.49341528109574367</v>
      </c>
      <c r="AG61" s="172">
        <f t="shared" si="17"/>
        <v>0</v>
      </c>
      <c r="AH61" s="172">
        <f t="shared" si="18"/>
        <v>6</v>
      </c>
      <c r="AI61" s="221">
        <f t="shared" si="23"/>
        <v>0.49341528109574367</v>
      </c>
      <c r="AJ61" s="261" t="b">
        <f t="shared" si="19"/>
        <v>0</v>
      </c>
      <c r="AK61" s="261" t="b">
        <f t="shared" si="20"/>
        <v>0</v>
      </c>
      <c r="AL61" s="261"/>
      <c r="AM61" s="261"/>
      <c r="AN61" s="75"/>
    </row>
    <row r="62" spans="1:40" s="6" customFormat="1" ht="11.25" x14ac:dyDescent="0.2">
      <c r="A62" s="56">
        <f t="shared" si="21"/>
        <v>44974</v>
      </c>
      <c r="B62" s="406">
        <f>'2022'!Wh/'2022'!Env_an*'2023'!Env_an</f>
        <v>45.630557606728551</v>
      </c>
      <c r="C62" s="385"/>
      <c r="D62" s="388">
        <f t="shared" si="0"/>
        <v>45.975410752462111</v>
      </c>
      <c r="E62" s="380">
        <f t="shared" si="1"/>
        <v>47.475366518318062</v>
      </c>
      <c r="F62" s="380">
        <f t="shared" si="2"/>
        <v>47.475375185195652</v>
      </c>
      <c r="G62" s="110">
        <f t="shared" si="24"/>
        <v>0.301223368848756</v>
      </c>
      <c r="H62" s="409" t="b">
        <f>Wh_hp&gt;='2022'!Maxi_hp</f>
        <v>0</v>
      </c>
      <c r="I62" s="385">
        <f>IF(H62,Wh_hp,'2022'!Maxi_hp)</f>
        <v>47.480172549184005</v>
      </c>
      <c r="J62" s="85">
        <f>IF(H62,An,'2022'!An_max)</f>
        <v>2022</v>
      </c>
      <c r="K62" s="193">
        <f t="shared" si="3"/>
        <v>44974</v>
      </c>
      <c r="L62" s="143">
        <f>IF(t&lt;Tvie,1-EXP((T0-t)*PertePVj)+'2022'!Pspv,1-EXP((T0-t)*PertePVj)+Pspv)</f>
        <v>7.5008170691567289E-3</v>
      </c>
      <c r="M62" s="835"/>
      <c r="N62" s="835"/>
      <c r="O62" s="48">
        <f>IF(t&lt;Tnet,'2022'!Resal+('2022'!Salim-'2022'!Resal)*(1-EXP(('2022'!Tnet-t)/('2022'!Tau_j))),Resal+(Salim-Resal)*(1-EXP((Tnet-t)/(Tau_j))))*Salcycl</f>
        <v>3.1594400967440664E-2</v>
      </c>
      <c r="P62" s="165">
        <f>(INDEX(Models!$BJ62:$BT62,,T62)*(1-R62)+INDEX(Models!$BJ62:$BT62,,T62+1)*R62-ERP_i)*Q62*Ramure*Pc/MaxiM</f>
        <v>1.0190378919488998E-4</v>
      </c>
      <c r="Q62" s="301">
        <f t="shared" si="4"/>
        <v>0.5</v>
      </c>
      <c r="R62" s="173">
        <f t="shared" si="5"/>
        <v>0.49360568724289999</v>
      </c>
      <c r="S62" s="801">
        <f t="shared" si="6"/>
        <v>0</v>
      </c>
      <c r="T62" s="172">
        <f t="shared" si="7"/>
        <v>6</v>
      </c>
      <c r="U62" s="247">
        <f t="shared" si="22"/>
        <v>0.49360568724289999</v>
      </c>
      <c r="V62" s="378">
        <f t="shared" si="8"/>
        <v>151.46871301397351</v>
      </c>
      <c r="W62" s="397">
        <f t="shared" si="9"/>
        <v>45.630557606728551</v>
      </c>
      <c r="X62" s="153">
        <f t="shared" si="10"/>
        <v>44974</v>
      </c>
      <c r="Y62" s="380">
        <f t="shared" si="11"/>
        <v>45.630557606728551</v>
      </c>
      <c r="Z62" s="380">
        <f t="shared" si="12"/>
        <v>45.975410752462111</v>
      </c>
      <c r="AA62" s="381">
        <f t="shared" si="13"/>
        <v>47.475366518318062</v>
      </c>
      <c r="AB62" s="193">
        <f t="shared" si="14"/>
        <v>44974</v>
      </c>
      <c r="AC62" s="420">
        <f>IF(OR(t&lt;Tnet,NoTnet),'2022'!Resal_s+('2022'!Salim-'2022'!Resal_s)*(1-EXP(('2022'!Tnet_s-t)/'2022'!Tau_j)),Resal_s+(Salim-Resal_s)*(1-EXP((Tnet_s-t)/Tau_j)))*Salcycl</f>
        <v>3.1594400967440664E-2</v>
      </c>
      <c r="AD62" s="227">
        <f>(INDEX(Models!$BJ62:$BT62,,AH62)*(1-AF62)+INDEX(Models!$BJ62:$BT62,,AH62+1)*AF62-ERP_i)*AE62*Ramure*Pc/MaxiM</f>
        <v>1.0190378919488998E-4</v>
      </c>
      <c r="AE62" s="301">
        <f t="shared" si="15"/>
        <v>0.5</v>
      </c>
      <c r="AF62" s="173">
        <f t="shared" si="16"/>
        <v>0.49360568724289999</v>
      </c>
      <c r="AG62" s="172">
        <f t="shared" si="17"/>
        <v>0</v>
      </c>
      <c r="AH62" s="172">
        <f t="shared" si="18"/>
        <v>6</v>
      </c>
      <c r="AI62" s="221">
        <f t="shared" si="23"/>
        <v>0.49360568724289999</v>
      </c>
      <c r="AJ62" s="261" t="b">
        <f t="shared" si="19"/>
        <v>0</v>
      </c>
      <c r="AK62" s="261" t="b">
        <f t="shared" si="20"/>
        <v>0</v>
      </c>
      <c r="AL62" s="261"/>
      <c r="AM62" s="261"/>
      <c r="AN62" s="75"/>
    </row>
    <row r="63" spans="1:40" s="6" customFormat="1" ht="11.25" customHeight="1" x14ac:dyDescent="0.2">
      <c r="A63" s="56">
        <f t="shared" si="21"/>
        <v>44975</v>
      </c>
      <c r="B63" s="406">
        <f>'2022'!Wh/'2022'!Env_an*'2023'!Env_an</f>
        <v>129.73320003440764</v>
      </c>
      <c r="C63" s="385"/>
      <c r="D63" s="388">
        <f t="shared" si="0"/>
        <v>130.71544866583776</v>
      </c>
      <c r="E63" s="380">
        <f t="shared" si="1"/>
        <v>134.98629347062388</v>
      </c>
      <c r="F63" s="380">
        <f t="shared" si="2"/>
        <v>134.99593232089759</v>
      </c>
      <c r="G63" s="110">
        <f t="shared" si="24"/>
        <v>0.84813632702147068</v>
      </c>
      <c r="H63" s="409" t="b">
        <f>Wh_hp&gt;='2022'!Maxi_hp</f>
        <v>0</v>
      </c>
      <c r="I63" s="385">
        <f>IF(H63,Wh_hp,'2022'!Maxi_hp)</f>
        <v>134.99858380946762</v>
      </c>
      <c r="J63" s="85">
        <f>IF(H63,An,'2022'!An_max)</f>
        <v>2022</v>
      </c>
      <c r="K63" s="193">
        <f t="shared" si="3"/>
        <v>44975</v>
      </c>
      <c r="L63" s="143">
        <f>IF(t&lt;Tvie,1-EXP((T0-t)*PertePVj)+'2022'!Pspv,1-EXP((T0-t)*PertePVj)+Pspv)</f>
        <v>7.514403549508164E-3</v>
      </c>
      <c r="M63" s="835"/>
      <c r="N63" s="835"/>
      <c r="O63" s="48">
        <f>IF(t&lt;Tnet,'2022'!Resal+('2022'!Salim-'2022'!Resal)*(1-EXP(('2022'!Tnet-t)/('2022'!Tau_j))),Resal+(Salim-Resal)*(1-EXP((Tnet-t)/(Tau_j))))*Salcycl</f>
        <v>3.1639099755824768E-2</v>
      </c>
      <c r="P63" s="165">
        <f>(INDEX(Models!$BJ63:$BT63,,T63)*(1-R63)+INDEX(Models!$BJ63:$BT63,,T63+1)*R63-ERP_i)*Q63*Ramure*Pc/MaxiM</f>
        <v>9.1180236404120446E-5</v>
      </c>
      <c r="Q63" s="301">
        <f t="shared" si="4"/>
        <v>0.5</v>
      </c>
      <c r="R63" s="173">
        <f t="shared" si="5"/>
        <v>0.49380392594564826</v>
      </c>
      <c r="S63" s="801">
        <f t="shared" si="6"/>
        <v>0</v>
      </c>
      <c r="T63" s="172">
        <f t="shared" si="7"/>
        <v>6</v>
      </c>
      <c r="U63" s="247">
        <f t="shared" si="22"/>
        <v>0.49380392594564826</v>
      </c>
      <c r="V63" s="378">
        <f t="shared" si="8"/>
        <v>152.95964775925532</v>
      </c>
      <c r="W63" s="397">
        <f t="shared" si="9"/>
        <v>129.73320003440764</v>
      </c>
      <c r="X63" s="153">
        <f t="shared" si="10"/>
        <v>44975</v>
      </c>
      <c r="Y63" s="380">
        <f t="shared" si="11"/>
        <v>129.73320003440764</v>
      </c>
      <c r="Z63" s="380">
        <f t="shared" si="12"/>
        <v>130.71544866583776</v>
      </c>
      <c r="AA63" s="381">
        <f t="shared" si="13"/>
        <v>134.98629347062388</v>
      </c>
      <c r="AB63" s="193">
        <f t="shared" si="14"/>
        <v>44975</v>
      </c>
      <c r="AC63" s="420">
        <f>IF(OR(t&lt;Tnet,NoTnet),'2022'!Resal_s+('2022'!Salim-'2022'!Resal_s)*(1-EXP(('2022'!Tnet_s-t)/'2022'!Tau_j)),Resal_s+(Salim-Resal_s)*(1-EXP((Tnet_s-t)/Tau_j)))*Salcycl</f>
        <v>3.1639099755824768E-2</v>
      </c>
      <c r="AD63" s="227">
        <f>(INDEX(Models!$BJ63:$BT63,,AH63)*(1-AF63)+INDEX(Models!$BJ63:$BT63,,AH63+1)*AF63-ERP_i)*AE63*Ramure*Pc/MaxiM</f>
        <v>9.1180236404120446E-5</v>
      </c>
      <c r="AE63" s="301">
        <f t="shared" si="15"/>
        <v>0.5</v>
      </c>
      <c r="AF63" s="173">
        <f t="shared" si="16"/>
        <v>0.49380392594564826</v>
      </c>
      <c r="AG63" s="172">
        <f t="shared" si="17"/>
        <v>0</v>
      </c>
      <c r="AH63" s="172">
        <f t="shared" si="18"/>
        <v>6</v>
      </c>
      <c r="AI63" s="221">
        <f t="shared" si="23"/>
        <v>0.49380392594564826</v>
      </c>
      <c r="AJ63" s="261" t="b">
        <f t="shared" si="19"/>
        <v>0</v>
      </c>
      <c r="AK63" s="261" t="b">
        <f t="shared" si="20"/>
        <v>0</v>
      </c>
      <c r="AL63" s="261"/>
      <c r="AM63" s="261"/>
      <c r="AN63" s="75"/>
    </row>
    <row r="64" spans="1:40" s="6" customFormat="1" ht="11.25" x14ac:dyDescent="0.2">
      <c r="A64" s="56">
        <f t="shared" si="21"/>
        <v>44976</v>
      </c>
      <c r="B64" s="406">
        <f>'2022'!Wh/'2022'!Env_an*'2023'!Env_an</f>
        <v>73.944887938739654</v>
      </c>
      <c r="C64" s="385"/>
      <c r="D64" s="388">
        <f t="shared" si="0"/>
        <v>74.505766592961379</v>
      </c>
      <c r="E64" s="380">
        <f t="shared" si="1"/>
        <v>76.943629716712138</v>
      </c>
      <c r="F64" s="380">
        <f t="shared" si="2"/>
        <v>76.945245408942242</v>
      </c>
      <c r="G64" s="110">
        <f t="shared" si="24"/>
        <v>0.4787757356071487</v>
      </c>
      <c r="H64" s="409" t="b">
        <f>Wh_hp&gt;='2022'!Maxi_hp</f>
        <v>0</v>
      </c>
      <c r="I64" s="385">
        <f>IF(H64,Wh_hp,'2022'!Maxi_hp)</f>
        <v>76.949920298124354</v>
      </c>
      <c r="J64" s="85">
        <f>IF(H64,An,'2022'!An_max)</f>
        <v>2022</v>
      </c>
      <c r="K64" s="193">
        <f t="shared" si="3"/>
        <v>44976</v>
      </c>
      <c r="L64" s="143">
        <f>IF(t&lt;Tvie,1-EXP((T0-t)*PertePVj)+'2022'!Pspv,1-EXP((T0-t)*PertePVj)+Pspv)</f>
        <v>7.5279898438721515E-3</v>
      </c>
      <c r="M64" s="835"/>
      <c r="N64" s="835"/>
      <c r="O64" s="48">
        <f>IF(t&lt;Tnet,'2022'!Resal+('2022'!Salim-'2022'!Resal)*(1-EXP(('2022'!Tnet-t)/('2022'!Tau_j))),Resal+(Salim-Resal)*(1-EXP((Tnet-t)/(Tau_j))))*Salcycl</f>
        <v>3.1683755142906285E-2</v>
      </c>
      <c r="P64" s="165">
        <f>(INDEX(Models!$BJ64:$BT64,,T64)*(1-R64)+INDEX(Models!$BJ64:$BT64,,T64+1)*R64-ERP_i)*Q64*Ramure*Pc/MaxiM</f>
        <v>8.2204411747376674E-5</v>
      </c>
      <c r="Q64" s="301">
        <f t="shared" si="4"/>
        <v>0.5</v>
      </c>
      <c r="R64" s="173">
        <f t="shared" si="5"/>
        <v>0.49401031268845724</v>
      </c>
      <c r="S64" s="801">
        <f t="shared" si="6"/>
        <v>0</v>
      </c>
      <c r="T64" s="172">
        <f t="shared" si="7"/>
        <v>6</v>
      </c>
      <c r="U64" s="247">
        <f t="shared" si="22"/>
        <v>0.49401031268845724</v>
      </c>
      <c r="V64" s="378">
        <f t="shared" si="8"/>
        <v>154.43631838360318</v>
      </c>
      <c r="W64" s="397">
        <f t="shared" si="9"/>
        <v>73.944887938739654</v>
      </c>
      <c r="X64" s="153">
        <f t="shared" si="10"/>
        <v>44976</v>
      </c>
      <c r="Y64" s="380">
        <f t="shared" si="11"/>
        <v>73.944887938739654</v>
      </c>
      <c r="Z64" s="380">
        <f t="shared" si="12"/>
        <v>74.505766592961379</v>
      </c>
      <c r="AA64" s="381">
        <f t="shared" si="13"/>
        <v>76.943629716712138</v>
      </c>
      <c r="AB64" s="193">
        <f t="shared" si="14"/>
        <v>44976</v>
      </c>
      <c r="AC64" s="420">
        <f>IF(OR(t&lt;Tnet,NoTnet),'2022'!Resal_s+('2022'!Salim-'2022'!Resal_s)*(1-EXP(('2022'!Tnet_s-t)/'2022'!Tau_j)),Resal_s+(Salim-Resal_s)*(1-EXP((Tnet_s-t)/Tau_j)))*Salcycl</f>
        <v>3.1683755142906285E-2</v>
      </c>
      <c r="AD64" s="227">
        <f>(INDEX(Models!$BJ64:$BT64,,AH64)*(1-AF64)+INDEX(Models!$BJ64:$BT64,,AH64+1)*AF64-ERP_i)*AE64*Ramure*Pc/MaxiM</f>
        <v>8.2204411747376674E-5</v>
      </c>
      <c r="AE64" s="301">
        <f t="shared" si="15"/>
        <v>0.5</v>
      </c>
      <c r="AF64" s="173">
        <f t="shared" si="16"/>
        <v>0.49401031268845724</v>
      </c>
      <c r="AG64" s="172">
        <f t="shared" si="17"/>
        <v>0</v>
      </c>
      <c r="AH64" s="172">
        <f t="shared" si="18"/>
        <v>6</v>
      </c>
      <c r="AI64" s="221">
        <f t="shared" si="23"/>
        <v>0.49401031268845724</v>
      </c>
      <c r="AJ64" s="261" t="b">
        <f t="shared" si="19"/>
        <v>0</v>
      </c>
      <c r="AK64" s="261" t="b">
        <f t="shared" si="20"/>
        <v>0</v>
      </c>
      <c r="AL64" s="261"/>
      <c r="AM64" s="261"/>
      <c r="AN64" s="75"/>
    </row>
    <row r="65" spans="1:40" s="6" customFormat="1" ht="11.25" customHeight="1" x14ac:dyDescent="0.2">
      <c r="A65" s="56">
        <f t="shared" si="21"/>
        <v>44977</v>
      </c>
      <c r="B65" s="406">
        <f>'2022'!Wh/'2022'!Env_an*'2023'!Env_an</f>
        <v>93.032135064179386</v>
      </c>
      <c r="C65" s="385"/>
      <c r="D65" s="388">
        <f t="shared" si="0"/>
        <v>93.739075421161871</v>
      </c>
      <c r="E65" s="380">
        <f t="shared" si="1"/>
        <v>96.81072131934765</v>
      </c>
      <c r="F65" s="380">
        <f t="shared" si="2"/>
        <v>96.813795942627195</v>
      </c>
      <c r="G65" s="110">
        <f t="shared" si="24"/>
        <v>0.59669065736439619</v>
      </c>
      <c r="H65" s="409" t="b">
        <f>Wh_hp&gt;='2022'!Maxi_hp</f>
        <v>0</v>
      </c>
      <c r="I65" s="385">
        <f>IF(H65,Wh_hp,'2022'!Maxi_hp)</f>
        <v>96.817942431119334</v>
      </c>
      <c r="J65" s="85">
        <f>IF(H65,An,'2022'!An_max)</f>
        <v>2022</v>
      </c>
      <c r="K65" s="193">
        <f t="shared" si="3"/>
        <v>44977</v>
      </c>
      <c r="L65" s="143">
        <f>IF(t&lt;Tvie,1-EXP((T0-t)*PertePVj)+'2022'!Pspv,1-EXP((T0-t)*PertePVj)+Pspv)</f>
        <v>7.5415759522511339E-3</v>
      </c>
      <c r="M65" s="835"/>
      <c r="N65" s="835"/>
      <c r="O65" s="48">
        <f>IF(t&lt;Tnet,'2022'!Resal+('2022'!Salim-'2022'!Resal)*(1-EXP(('2022'!Tnet-t)/('2022'!Tau_j))),Resal+(Salim-Resal)*(1-EXP((Tnet-t)/(Tau_j))))*Salcycl</f>
        <v>3.1728364961287676E-2</v>
      </c>
      <c r="P65" s="165">
        <f>(INDEX(Models!$BJ65:$BT65,,T65)*(1-R65)+INDEX(Models!$BJ65:$BT65,,T65+1)*R65-ERP_i)*Q65*Ramure*Pc/MaxiM</f>
        <v>7.4922304904146892E-5</v>
      </c>
      <c r="Q65" s="301">
        <f t="shared" si="4"/>
        <v>0.5</v>
      </c>
      <c r="R65" s="173">
        <f t="shared" si="5"/>
        <v>0.49422517509436753</v>
      </c>
      <c r="S65" s="801">
        <f t="shared" si="6"/>
        <v>0</v>
      </c>
      <c r="T65" s="172">
        <f t="shared" si="7"/>
        <v>6</v>
      </c>
      <c r="U65" s="247">
        <f t="shared" si="22"/>
        <v>0.49422517509436753</v>
      </c>
      <c r="V65" s="378">
        <f t="shared" si="8"/>
        <v>155.906780391767</v>
      </c>
      <c r="W65" s="397">
        <f t="shared" si="9"/>
        <v>93.032135064179386</v>
      </c>
      <c r="X65" s="153">
        <f t="shared" si="10"/>
        <v>44977</v>
      </c>
      <c r="Y65" s="380">
        <f t="shared" si="11"/>
        <v>93.032135064179386</v>
      </c>
      <c r="Z65" s="380">
        <f t="shared" si="12"/>
        <v>93.739075421161871</v>
      </c>
      <c r="AA65" s="381">
        <f t="shared" si="13"/>
        <v>96.81072131934765</v>
      </c>
      <c r="AB65" s="193">
        <f t="shared" si="14"/>
        <v>44977</v>
      </c>
      <c r="AC65" s="420">
        <f>IF(OR(t&lt;Tnet,NoTnet),'2022'!Resal_s+('2022'!Salim-'2022'!Resal_s)*(1-EXP(('2022'!Tnet_s-t)/'2022'!Tau_j)),Resal_s+(Salim-Resal_s)*(1-EXP((Tnet_s-t)/Tau_j)))*Salcycl</f>
        <v>3.1728364961287676E-2</v>
      </c>
      <c r="AD65" s="227">
        <f>(INDEX(Models!$BJ65:$BT65,,AH65)*(1-AF65)+INDEX(Models!$BJ65:$BT65,,AH65+1)*AF65-ERP_i)*AE65*Ramure*Pc/MaxiM</f>
        <v>7.4922304904146892E-5</v>
      </c>
      <c r="AE65" s="301">
        <f t="shared" si="15"/>
        <v>0.5</v>
      </c>
      <c r="AF65" s="173">
        <f t="shared" si="16"/>
        <v>0.49422517509436753</v>
      </c>
      <c r="AG65" s="172">
        <f t="shared" si="17"/>
        <v>0</v>
      </c>
      <c r="AH65" s="172">
        <f t="shared" si="18"/>
        <v>6</v>
      </c>
      <c r="AI65" s="221">
        <f t="shared" si="23"/>
        <v>0.49422517509436753</v>
      </c>
      <c r="AJ65" s="261" t="b">
        <f t="shared" si="19"/>
        <v>0</v>
      </c>
      <c r="AK65" s="261" t="b">
        <f t="shared" si="20"/>
        <v>0</v>
      </c>
      <c r="AL65" s="261"/>
      <c r="AM65" s="261"/>
      <c r="AN65" s="75"/>
    </row>
    <row r="66" spans="1:40" s="6" customFormat="1" ht="11.25" customHeight="1" x14ac:dyDescent="0.2">
      <c r="A66" s="56">
        <f t="shared" si="21"/>
        <v>44978</v>
      </c>
      <c r="B66" s="406">
        <f>'2022'!Wh/'2022'!Env_an*'2023'!Env_an</f>
        <v>101.23701916381442</v>
      </c>
      <c r="C66" s="385"/>
      <c r="D66" s="388">
        <f t="shared" si="0"/>
        <v>102.00770387908203</v>
      </c>
      <c r="E66" s="380">
        <f t="shared" si="1"/>
        <v>105.35514526238953</v>
      </c>
      <c r="F66" s="380">
        <f t="shared" si="2"/>
        <v>105.35871840533218</v>
      </c>
      <c r="G66" s="110">
        <f t="shared" si="24"/>
        <v>0.64324156242425834</v>
      </c>
      <c r="H66" s="409" t="b">
        <f>Wh_hp&gt;='2022'!Maxi_hp</f>
        <v>0</v>
      </c>
      <c r="I66" s="385">
        <f>IF(H66,Wh_hp,'2022'!Maxi_hp)</f>
        <v>105.36240150019904</v>
      </c>
      <c r="J66" s="85">
        <f>IF(H66,An,'2022'!An_max)</f>
        <v>2022</v>
      </c>
      <c r="K66" s="193">
        <f t="shared" si="3"/>
        <v>44978</v>
      </c>
      <c r="L66" s="143">
        <f>IF(t&lt;Tvie,1-EXP((T0-t)*PertePVj)+'2022'!Pspv,1-EXP((T0-t)*PertePVj)+Pspv)</f>
        <v>7.5551618746477756E-3</v>
      </c>
      <c r="M66" s="835"/>
      <c r="N66" s="835"/>
      <c r="O66" s="48">
        <f>IF(t&lt;Tnet,'2022'!Resal+('2022'!Salim-'2022'!Resal)*(1-EXP(('2022'!Tnet-t)/('2022'!Tau_j))),Resal+(Salim-Resal)*(1-EXP((Tnet-t)/(Tau_j))))*Salcycl</f>
        <v>3.1772927415843012E-2</v>
      </c>
      <c r="P66" s="165">
        <f>(INDEX(Models!$BJ66:$BT66,,T66)*(1-R66)+INDEX(Models!$BJ66:$BT66,,T66+1)*R66-ERP_i)*Q66*Ramure*Pc/MaxiM</f>
        <v>6.915910985971973E-5</v>
      </c>
      <c r="Q66" s="301">
        <f t="shared" si="4"/>
        <v>0.5</v>
      </c>
      <c r="R66" s="173">
        <f t="shared" si="5"/>
        <v>0.49444885334365413</v>
      </c>
      <c r="S66" s="801">
        <f t="shared" si="6"/>
        <v>0</v>
      </c>
      <c r="T66" s="172">
        <f t="shared" si="7"/>
        <v>6</v>
      </c>
      <c r="U66" s="247">
        <f t="shared" si="22"/>
        <v>0.49444885334365413</v>
      </c>
      <c r="V66" s="378">
        <f t="shared" si="8"/>
        <v>157.38014589493793</v>
      </c>
      <c r="W66" s="397">
        <f t="shared" si="9"/>
        <v>101.23701916381442</v>
      </c>
      <c r="X66" s="153">
        <f t="shared" si="10"/>
        <v>44978</v>
      </c>
      <c r="Y66" s="380">
        <f t="shared" si="11"/>
        <v>101.23701916381442</v>
      </c>
      <c r="Z66" s="380">
        <f t="shared" si="12"/>
        <v>102.00770387908203</v>
      </c>
      <c r="AA66" s="381">
        <f t="shared" si="13"/>
        <v>105.35514526238953</v>
      </c>
      <c r="AB66" s="193">
        <f t="shared" si="14"/>
        <v>44978</v>
      </c>
      <c r="AC66" s="420">
        <f>IF(OR(t&lt;Tnet,NoTnet),'2022'!Resal_s+('2022'!Salim-'2022'!Resal_s)*(1-EXP(('2022'!Tnet_s-t)/'2022'!Tau_j)),Resal_s+(Salim-Resal_s)*(1-EXP((Tnet_s-t)/Tau_j)))*Salcycl</f>
        <v>3.1772927415843012E-2</v>
      </c>
      <c r="AD66" s="227">
        <f>(INDEX(Models!$BJ66:$BT66,,AH66)*(1-AF66)+INDEX(Models!$BJ66:$BT66,,AH66+1)*AF66-ERP_i)*AE66*Ramure*Pc/MaxiM</f>
        <v>6.915910985971973E-5</v>
      </c>
      <c r="AE66" s="301">
        <f t="shared" si="15"/>
        <v>0.5</v>
      </c>
      <c r="AF66" s="173">
        <f t="shared" si="16"/>
        <v>0.49444885334365413</v>
      </c>
      <c r="AG66" s="172">
        <f t="shared" si="17"/>
        <v>0</v>
      </c>
      <c r="AH66" s="172">
        <f t="shared" si="18"/>
        <v>6</v>
      </c>
      <c r="AI66" s="221">
        <f t="shared" si="23"/>
        <v>0.49444885334365413</v>
      </c>
      <c r="AJ66" s="261" t="b">
        <f t="shared" si="19"/>
        <v>0</v>
      </c>
      <c r="AK66" s="261" t="b">
        <f t="shared" si="20"/>
        <v>0</v>
      </c>
      <c r="AL66" s="261"/>
      <c r="AM66" s="261"/>
      <c r="AN66" s="75"/>
    </row>
    <row r="67" spans="1:40" s="6" customFormat="1" ht="11.25" customHeight="1" x14ac:dyDescent="0.2">
      <c r="A67" s="56">
        <f t="shared" si="21"/>
        <v>44979</v>
      </c>
      <c r="B67" s="406">
        <f>'2022'!Wh/'2022'!Env_an*'2023'!Env_an</f>
        <v>135.52647419360801</v>
      </c>
      <c r="C67" s="385"/>
      <c r="D67" s="388">
        <f t="shared" si="0"/>
        <v>136.56006284301793</v>
      </c>
      <c r="E67" s="380">
        <f t="shared" si="1"/>
        <v>141.04784432599814</v>
      </c>
      <c r="F67" s="380">
        <f t="shared" si="2"/>
        <v>141.05499249918412</v>
      </c>
      <c r="G67" s="110">
        <f t="shared" si="24"/>
        <v>0.85313444698978624</v>
      </c>
      <c r="H67" s="409" t="b">
        <f>Wh_hp&gt;='2022'!Maxi_hp</f>
        <v>0</v>
      </c>
      <c r="I67" s="385">
        <f>IF(H67,Wh_hp,'2022'!Maxi_hp)</f>
        <v>141.0568740138535</v>
      </c>
      <c r="J67" s="85">
        <f>IF(H67,An,'2022'!An_max)</f>
        <v>2022</v>
      </c>
      <c r="K67" s="193">
        <f t="shared" si="3"/>
        <v>44979</v>
      </c>
      <c r="L67" s="143">
        <f>IF(t&lt;Tvie,1-EXP((T0-t)*PertePVj)+'2022'!Pspv,1-EXP((T0-t)*PertePVj)+Pspv)</f>
        <v>7.5687476110645191E-3</v>
      </c>
      <c r="M67" s="835"/>
      <c r="N67" s="835"/>
      <c r="O67" s="48">
        <f>IF(t&lt;Tnet,'2022'!Resal+('2022'!Salim-'2022'!Resal)*(1-EXP(('2022'!Tnet-t)/('2022'!Tau_j))),Resal+(Salim-Resal)*(1-EXP((Tnet-t)/(Tau_j))))*Salcycl</f>
        <v>3.1817441127336914E-2</v>
      </c>
      <c r="P67" s="165">
        <f>(INDEX(Models!$BJ67:$BT67,,T67)*(1-R67)+INDEX(Models!$BJ67:$BT67,,T67+1)*R67-ERP_i)*Q67*Ramure*Pc/MaxiM</f>
        <v>6.4130544294936106E-5</v>
      </c>
      <c r="Q67" s="301">
        <f t="shared" si="4"/>
        <v>0.5</v>
      </c>
      <c r="R67" s="173">
        <f t="shared" si="5"/>
        <v>0.49468170060272343</v>
      </c>
      <c r="S67" s="801">
        <f t="shared" si="6"/>
        <v>0</v>
      </c>
      <c r="T67" s="172">
        <f t="shared" si="7"/>
        <v>6</v>
      </c>
      <c r="U67" s="247">
        <f t="shared" si="22"/>
        <v>0.49468170060272343</v>
      </c>
      <c r="V67" s="378">
        <f t="shared" si="8"/>
        <v>158.85497438307115</v>
      </c>
      <c r="W67" s="397">
        <f t="shared" si="9"/>
        <v>135.52647419360801</v>
      </c>
      <c r="X67" s="153">
        <f t="shared" si="10"/>
        <v>44979</v>
      </c>
      <c r="Y67" s="380">
        <f t="shared" si="11"/>
        <v>135.52647419360801</v>
      </c>
      <c r="Z67" s="380">
        <f t="shared" si="12"/>
        <v>136.56006284301793</v>
      </c>
      <c r="AA67" s="381">
        <f t="shared" si="13"/>
        <v>141.04784432599814</v>
      </c>
      <c r="AB67" s="193">
        <f t="shared" si="14"/>
        <v>44979</v>
      </c>
      <c r="AC67" s="420">
        <f>IF(OR(t&lt;Tnet,NoTnet),'2022'!Resal_s+('2022'!Salim-'2022'!Resal_s)*(1-EXP(('2022'!Tnet_s-t)/'2022'!Tau_j)),Resal_s+(Salim-Resal_s)*(1-EXP((Tnet_s-t)/Tau_j)))*Salcycl</f>
        <v>3.1817441127336914E-2</v>
      </c>
      <c r="AD67" s="227">
        <f>(INDEX(Models!$BJ67:$BT67,,AH67)*(1-AF67)+INDEX(Models!$BJ67:$BT67,,AH67+1)*AF67-ERP_i)*AE67*Ramure*Pc/MaxiM</f>
        <v>6.4130544294936106E-5</v>
      </c>
      <c r="AE67" s="301">
        <f t="shared" si="15"/>
        <v>0.5</v>
      </c>
      <c r="AF67" s="173">
        <f t="shared" si="16"/>
        <v>0.49468170060272343</v>
      </c>
      <c r="AG67" s="172">
        <f t="shared" si="17"/>
        <v>0</v>
      </c>
      <c r="AH67" s="172">
        <f t="shared" si="18"/>
        <v>6</v>
      </c>
      <c r="AI67" s="221">
        <f t="shared" si="23"/>
        <v>0.49468170060272343</v>
      </c>
      <c r="AJ67" s="261" t="b">
        <f t="shared" si="19"/>
        <v>0</v>
      </c>
      <c r="AK67" s="261" t="b">
        <f t="shared" si="20"/>
        <v>0</v>
      </c>
      <c r="AL67" s="261"/>
      <c r="AM67" s="261"/>
      <c r="AN67" s="75"/>
    </row>
    <row r="68" spans="1:40" s="6" customFormat="1" ht="11.25" customHeight="1" x14ac:dyDescent="0.2">
      <c r="A68" s="56">
        <f t="shared" si="21"/>
        <v>44980</v>
      </c>
      <c r="B68" s="406">
        <f>'2022'!Wh/'2022'!Env_an*'2023'!Env_an</f>
        <v>140.04605345736024</v>
      </c>
      <c r="C68" s="385"/>
      <c r="D68" s="388">
        <f t="shared" si="0"/>
        <v>141.1160423045462</v>
      </c>
      <c r="E68" s="380">
        <f t="shared" si="1"/>
        <v>145.76024129059712</v>
      </c>
      <c r="F68" s="380">
        <f t="shared" si="2"/>
        <v>145.76738487199464</v>
      </c>
      <c r="G68" s="110">
        <f t="shared" si="24"/>
        <v>0.87347841846462704</v>
      </c>
      <c r="H68" s="409" t="b">
        <f>Wh_hp&gt;='2022'!Maxi_hp</f>
        <v>0</v>
      </c>
      <c r="I68" s="385">
        <f>IF(H68,Wh_hp,'2022'!Maxi_hp)</f>
        <v>145.76894661808049</v>
      </c>
      <c r="J68" s="85">
        <f>IF(H68,An,'2022'!An_max)</f>
        <v>2022</v>
      </c>
      <c r="K68" s="193">
        <f t="shared" si="3"/>
        <v>44980</v>
      </c>
      <c r="L68" s="143">
        <f>IF(t&lt;Tvie,1-EXP((T0-t)*PertePVj)+'2022'!Pspv,1-EXP((T0-t)*PertePVj)+Pspv)</f>
        <v>7.582333161503918E-3</v>
      </c>
      <c r="M68" s="835"/>
      <c r="N68" s="835"/>
      <c r="O68" s="48">
        <f>IF(t&lt;Tnet,'2022'!Resal+('2022'!Salim-'2022'!Resal)*(1-EXP(('2022'!Tnet-t)/('2022'!Tau_j))),Resal+(Salim-Resal)*(1-EXP((Tnet-t)/(Tau_j))))*Salcycl</f>
        <v>3.1861905173386398E-2</v>
      </c>
      <c r="P68" s="165">
        <f>(INDEX(Models!$BJ68:$BT68,,T68)*(1-R68)+INDEX(Models!$BJ68:$BT68,,T68+1)*R68-ERP_i)*Q68*Ramure*Pc/MaxiM</f>
        <v>5.9817663418990099E-5</v>
      </c>
      <c r="Q68" s="301">
        <f t="shared" si="4"/>
        <v>0.5</v>
      </c>
      <c r="R68" s="173">
        <f t="shared" si="5"/>
        <v>0.49492408346310129</v>
      </c>
      <c r="S68" s="801">
        <f t="shared" si="6"/>
        <v>0</v>
      </c>
      <c r="T68" s="172">
        <f t="shared" si="7"/>
        <v>6</v>
      </c>
      <c r="U68" s="247">
        <f t="shared" si="22"/>
        <v>0.49492408346310129</v>
      </c>
      <c r="V68" s="378">
        <f t="shared" si="8"/>
        <v>160.32970751509527</v>
      </c>
      <c r="W68" s="397">
        <f t="shared" si="9"/>
        <v>140.04605345736024</v>
      </c>
      <c r="X68" s="153">
        <f t="shared" si="10"/>
        <v>44980</v>
      </c>
      <c r="Y68" s="380">
        <f t="shared" si="11"/>
        <v>140.04605345736024</v>
      </c>
      <c r="Z68" s="380">
        <f t="shared" si="12"/>
        <v>141.1160423045462</v>
      </c>
      <c r="AA68" s="381">
        <f t="shared" si="13"/>
        <v>145.76024129059712</v>
      </c>
      <c r="AB68" s="193">
        <f t="shared" si="14"/>
        <v>44980</v>
      </c>
      <c r="AC68" s="420">
        <f>IF(OR(t&lt;Tnet,NoTnet),'2022'!Resal_s+('2022'!Salim-'2022'!Resal_s)*(1-EXP(('2022'!Tnet_s-t)/'2022'!Tau_j)),Resal_s+(Salim-Resal_s)*(1-EXP((Tnet_s-t)/Tau_j)))*Salcycl</f>
        <v>3.1861905173386398E-2</v>
      </c>
      <c r="AD68" s="227">
        <f>(INDEX(Models!$BJ68:$BT68,,AH68)*(1-AF68)+INDEX(Models!$BJ68:$BT68,,AH68+1)*AF68-ERP_i)*AE68*Ramure*Pc/MaxiM</f>
        <v>5.9817663418990099E-5</v>
      </c>
      <c r="AE68" s="301">
        <f t="shared" si="15"/>
        <v>0.5</v>
      </c>
      <c r="AF68" s="173">
        <f t="shared" si="16"/>
        <v>0.49492408346310129</v>
      </c>
      <c r="AG68" s="172">
        <f t="shared" si="17"/>
        <v>0</v>
      </c>
      <c r="AH68" s="172">
        <f t="shared" si="18"/>
        <v>6</v>
      </c>
      <c r="AI68" s="221">
        <f t="shared" si="23"/>
        <v>0.49492408346310129</v>
      </c>
      <c r="AJ68" s="261" t="b">
        <f t="shared" si="19"/>
        <v>0</v>
      </c>
      <c r="AK68" s="261" t="b">
        <f t="shared" si="20"/>
        <v>0</v>
      </c>
      <c r="AL68" s="261"/>
      <c r="AM68" s="261"/>
      <c r="AN68" s="75"/>
    </row>
    <row r="69" spans="1:40" s="6" customFormat="1" ht="11.25" customHeight="1" x14ac:dyDescent="0.2">
      <c r="A69" s="56">
        <f t="shared" si="21"/>
        <v>44981</v>
      </c>
      <c r="B69" s="406">
        <f>'2022'!Wh/'2022'!Env_an*'2023'!Env_an</f>
        <v>88.770016055607485</v>
      </c>
      <c r="C69" s="385"/>
      <c r="D69" s="388">
        <f t="shared" si="0"/>
        <v>89.449466918511817</v>
      </c>
      <c r="E69" s="380">
        <f t="shared" si="1"/>
        <v>92.397532063006281</v>
      </c>
      <c r="F69" s="380">
        <f t="shared" si="2"/>
        <v>92.399376573467293</v>
      </c>
      <c r="G69" s="110">
        <f t="shared" si="24"/>
        <v>0.54861106231833934</v>
      </c>
      <c r="H69" s="409" t="b">
        <f>Wh_hp&gt;='2022'!Maxi_hp</f>
        <v>0</v>
      </c>
      <c r="I69" s="385">
        <f>IF(H69,Wh_hp,'2022'!Maxi_hp)</f>
        <v>92.402693718208255</v>
      </c>
      <c r="J69" s="85">
        <f>IF(H69,An,'2022'!An_max)</f>
        <v>2022</v>
      </c>
      <c r="K69" s="193">
        <f t="shared" si="3"/>
        <v>44981</v>
      </c>
      <c r="L69" s="143">
        <f>IF(t&lt;Tvie,1-EXP((T0-t)*PertePVj)+'2022'!Pspv,1-EXP((T0-t)*PertePVj)+Pspv)</f>
        <v>7.5959185259685258E-3</v>
      </c>
      <c r="M69" s="835"/>
      <c r="N69" s="835"/>
      <c r="O69" s="48">
        <f>IF(t&lt;Tnet,'2022'!Resal+('2022'!Salim-'2022'!Resal)*(1-EXP(('2022'!Tnet-t)/('2022'!Tau_j))),Resal+(Salim-Resal)*(1-EXP((Tnet-t)/(Tau_j))))*Salcycl</f>
        <v>3.1906319126404438E-2</v>
      </c>
      <c r="P69" s="165">
        <f>(INDEX(Models!$BJ69:$BT69,,T69)*(1-R69)+INDEX(Models!$BJ69:$BT69,,T69+1)*R69-ERP_i)*Q69*Ramure*Pc/MaxiM</f>
        <v>5.6202410253153567E-5</v>
      </c>
      <c r="Q69" s="301">
        <f t="shared" si="4"/>
        <v>0.5</v>
      </c>
      <c r="R69" s="173">
        <f t="shared" si="5"/>
        <v>0.49517638239031958</v>
      </c>
      <c r="S69" s="801">
        <f t="shared" si="6"/>
        <v>0</v>
      </c>
      <c r="T69" s="172">
        <f t="shared" si="7"/>
        <v>6</v>
      </c>
      <c r="U69" s="247">
        <f t="shared" si="22"/>
        <v>0.49517638239031958</v>
      </c>
      <c r="V69" s="378">
        <f t="shared" si="8"/>
        <v>161.80278718267016</v>
      </c>
      <c r="W69" s="397">
        <f t="shared" si="9"/>
        <v>88.770016055607485</v>
      </c>
      <c r="X69" s="153">
        <f t="shared" si="10"/>
        <v>44981</v>
      </c>
      <c r="Y69" s="380">
        <f t="shared" si="11"/>
        <v>88.770016055607485</v>
      </c>
      <c r="Z69" s="380">
        <f t="shared" si="12"/>
        <v>89.449466918511817</v>
      </c>
      <c r="AA69" s="381">
        <f t="shared" si="13"/>
        <v>92.397532063006281</v>
      </c>
      <c r="AB69" s="193">
        <f t="shared" si="14"/>
        <v>44981</v>
      </c>
      <c r="AC69" s="420">
        <f>IF(OR(t&lt;Tnet,NoTnet),'2022'!Resal_s+('2022'!Salim-'2022'!Resal_s)*(1-EXP(('2022'!Tnet_s-t)/'2022'!Tau_j)),Resal_s+(Salim-Resal_s)*(1-EXP((Tnet_s-t)/Tau_j)))*Salcycl</f>
        <v>3.1906319126404438E-2</v>
      </c>
      <c r="AD69" s="227">
        <f>(INDEX(Models!$BJ69:$BT69,,AH69)*(1-AF69)+INDEX(Models!$BJ69:$BT69,,AH69+1)*AF69-ERP_i)*AE69*Ramure*Pc/MaxiM</f>
        <v>5.6202410253153567E-5</v>
      </c>
      <c r="AE69" s="301">
        <f t="shared" si="15"/>
        <v>0.5</v>
      </c>
      <c r="AF69" s="173">
        <f t="shared" si="16"/>
        <v>0.49517638239031958</v>
      </c>
      <c r="AG69" s="172">
        <f t="shared" si="17"/>
        <v>0</v>
      </c>
      <c r="AH69" s="172">
        <f t="shared" si="18"/>
        <v>6</v>
      </c>
      <c r="AI69" s="221">
        <f t="shared" si="23"/>
        <v>0.49517638239031958</v>
      </c>
      <c r="AJ69" s="261" t="b">
        <f t="shared" si="19"/>
        <v>0</v>
      </c>
      <c r="AK69" s="261" t="b">
        <f t="shared" si="20"/>
        <v>0</v>
      </c>
      <c r="AL69" s="261"/>
      <c r="AM69" s="261"/>
      <c r="AN69" s="75"/>
    </row>
    <row r="70" spans="1:40" s="6" customFormat="1" ht="11.25" customHeight="1" x14ac:dyDescent="0.2">
      <c r="A70" s="56">
        <f t="shared" si="21"/>
        <v>44982</v>
      </c>
      <c r="B70" s="406">
        <f>'2022'!Wh/'2022'!Env_an*'2023'!Env_an</f>
        <v>125.73280082433284</v>
      </c>
      <c r="C70" s="385"/>
      <c r="D70" s="388">
        <f t="shared" si="0"/>
        <v>126.69690136461057</v>
      </c>
      <c r="E70" s="380">
        <f t="shared" si="1"/>
        <v>130.87856078323583</v>
      </c>
      <c r="F70" s="380">
        <f t="shared" si="2"/>
        <v>130.88324263484827</v>
      </c>
      <c r="G70" s="110">
        <f t="shared" si="24"/>
        <v>0.77006526587471646</v>
      </c>
      <c r="H70" s="409" t="b">
        <f>Wh_hp&gt;='2022'!Maxi_hp</f>
        <v>0</v>
      </c>
      <c r="I70" s="385">
        <f>IF(H70,Wh_hp,'2022'!Maxi_hp)</f>
        <v>130.88551017631676</v>
      </c>
      <c r="J70" s="85">
        <f>IF(H70,An,'2022'!An_max)</f>
        <v>2022</v>
      </c>
      <c r="K70" s="193">
        <f t="shared" si="3"/>
        <v>44982</v>
      </c>
      <c r="L70" s="143">
        <f>IF(t&lt;Tvie,1-EXP((T0-t)*PertePVj)+'2022'!Pspv,1-EXP((T0-t)*PertePVj)+Pspv)</f>
        <v>7.609503704460896E-3</v>
      </c>
      <c r="M70" s="835"/>
      <c r="N70" s="835"/>
      <c r="O70" s="48">
        <f>IF(t&lt;Tnet,'2022'!Resal+('2022'!Salim-'2022'!Resal)*(1-EXP(('2022'!Tnet-t)/('2022'!Tau_j))),Resal+(Salim-Resal)*(1-EXP((Tnet-t)/(Tau_j))))*Salcycl</f>
        <v>3.1950683088202918E-2</v>
      </c>
      <c r="P70" s="165">
        <f>(INDEX(Models!$BJ70:$BT70,,T70)*(1-R70)+INDEX(Models!$BJ70:$BT70,,T70+1)*R70-ERP_i)*Q70*Ramure*Pc/MaxiM</f>
        <v>5.3267342330675963E-5</v>
      </c>
      <c r="Q70" s="301">
        <f t="shared" si="4"/>
        <v>0.5</v>
      </c>
      <c r="R70" s="173">
        <f t="shared" si="5"/>
        <v>0.49543899218245563</v>
      </c>
      <c r="S70" s="801">
        <f t="shared" si="6"/>
        <v>0</v>
      </c>
      <c r="T70" s="172">
        <f t="shared" si="7"/>
        <v>6</v>
      </c>
      <c r="U70" s="247">
        <f t="shared" si="22"/>
        <v>0.49543899218245563</v>
      </c>
      <c r="V70" s="378">
        <f t="shared" si="8"/>
        <v>163.27265555182342</v>
      </c>
      <c r="W70" s="397">
        <f t="shared" si="9"/>
        <v>125.73280082433284</v>
      </c>
      <c r="X70" s="153">
        <f t="shared" si="10"/>
        <v>44982</v>
      </c>
      <c r="Y70" s="380">
        <f t="shared" si="11"/>
        <v>125.73280082433283</v>
      </c>
      <c r="Z70" s="380">
        <f t="shared" si="12"/>
        <v>126.69690136461055</v>
      </c>
      <c r="AA70" s="381">
        <f t="shared" si="13"/>
        <v>130.87856078323583</v>
      </c>
      <c r="AB70" s="193">
        <f t="shared" si="14"/>
        <v>44982</v>
      </c>
      <c r="AC70" s="420">
        <f>IF(OR(t&lt;Tnet,NoTnet),'2022'!Resal_s+('2022'!Salim-'2022'!Resal_s)*(1-EXP(('2022'!Tnet_s-t)/'2022'!Tau_j)),Resal_s+(Salim-Resal_s)*(1-EXP((Tnet_s-t)/Tau_j)))*Salcycl</f>
        <v>3.1950683088202918E-2</v>
      </c>
      <c r="AD70" s="227">
        <f>(INDEX(Models!$BJ70:$BT70,,AH70)*(1-AF70)+INDEX(Models!$BJ70:$BT70,,AH70+1)*AF70-ERP_i)*AE70*Ramure*Pc/MaxiM</f>
        <v>5.3267342330675963E-5</v>
      </c>
      <c r="AE70" s="301">
        <f t="shared" si="15"/>
        <v>0.5</v>
      </c>
      <c r="AF70" s="173">
        <f t="shared" si="16"/>
        <v>0.49543899218245563</v>
      </c>
      <c r="AG70" s="172">
        <f t="shared" si="17"/>
        <v>0</v>
      </c>
      <c r="AH70" s="172">
        <f t="shared" si="18"/>
        <v>6</v>
      </c>
      <c r="AI70" s="221">
        <f t="shared" si="23"/>
        <v>0.49543899218245563</v>
      </c>
      <c r="AJ70" s="261" t="b">
        <f t="shared" si="19"/>
        <v>0</v>
      </c>
      <c r="AK70" s="261" t="b">
        <f t="shared" si="20"/>
        <v>0</v>
      </c>
      <c r="AL70" s="261"/>
      <c r="AM70" s="261"/>
      <c r="AN70" s="75"/>
    </row>
    <row r="71" spans="1:40" s="6" customFormat="1" ht="11.25" x14ac:dyDescent="0.2">
      <c r="A71" s="56">
        <f t="shared" si="21"/>
        <v>44983</v>
      </c>
      <c r="B71" s="406">
        <f>'2022'!Wh/'2022'!Env_an*'2023'!Env_an</f>
        <v>166.84508124229211</v>
      </c>
      <c r="C71" s="385"/>
      <c r="D71" s="388">
        <f t="shared" si="0"/>
        <v>168.12672618835944</v>
      </c>
      <c r="E71" s="380">
        <f t="shared" si="1"/>
        <v>173.68373695645116</v>
      </c>
      <c r="F71" s="380">
        <f t="shared" si="2"/>
        <v>173.69259452617038</v>
      </c>
      <c r="G71" s="110">
        <f t="shared" si="24"/>
        <v>1.0127920050517858</v>
      </c>
      <c r="H71" s="409" t="b">
        <f>Wh_hp&gt;='2022'!Maxi_hp</f>
        <v>1</v>
      </c>
      <c r="I71" s="385">
        <f>IF(H71,Wh_hp,'2022'!Maxi_hp)</f>
        <v>173.69259452617038</v>
      </c>
      <c r="J71" s="85">
        <f>IF(H71,An,'2022'!An_max)</f>
        <v>2023</v>
      </c>
      <c r="K71" s="193">
        <f t="shared" si="3"/>
        <v>44983</v>
      </c>
      <c r="L71" s="143">
        <f>IF(t&lt;Tvie,1-EXP((T0-t)*PertePVj)+'2022'!Pspv,1-EXP((T0-t)*PertePVj)+Pspv)</f>
        <v>7.623088696983582E-3</v>
      </c>
      <c r="M71" s="835"/>
      <c r="N71" s="835"/>
      <c r="O71" s="48">
        <f>IF(t&lt;Tnet,'2022'!Resal+('2022'!Salim-'2022'!Resal)*(1-EXP(('2022'!Tnet-t)/('2022'!Tau_j))),Resal+(Salim-Resal)*(1-EXP((Tnet-t)/(Tau_j))))*Salcycl</f>
        <v>3.199499772097289E-2</v>
      </c>
      <c r="P71" s="165">
        <f>(INDEX(Models!$BJ71:$BT71,,T71)*(1-R71)+INDEX(Models!$BJ71:$BT71,,T71+1)*R71-ERP_i)*Q71*Ramure*Pc/MaxiM</f>
        <v>5.0995667048370847E-5</v>
      </c>
      <c r="Q71" s="301">
        <f t="shared" si="4"/>
        <v>0.5</v>
      </c>
      <c r="R71" s="173">
        <f t="shared" si="5"/>
        <v>0.49571232243802094</v>
      </c>
      <c r="S71" s="801">
        <f t="shared" si="6"/>
        <v>0</v>
      </c>
      <c r="T71" s="172">
        <f t="shared" si="7"/>
        <v>6</v>
      </c>
      <c r="U71" s="247">
        <f t="shared" si="22"/>
        <v>0.49571232243802094</v>
      </c>
      <c r="V71" s="378">
        <f t="shared" si="8"/>
        <v>164.73775504750458</v>
      </c>
      <c r="W71" s="397">
        <f t="shared" si="9"/>
        <v>166.84508124229211</v>
      </c>
      <c r="X71" s="153">
        <f t="shared" si="10"/>
        <v>44983</v>
      </c>
      <c r="Y71" s="380">
        <f t="shared" si="11"/>
        <v>166.84508124229211</v>
      </c>
      <c r="Z71" s="380">
        <f t="shared" si="12"/>
        <v>168.12672618835944</v>
      </c>
      <c r="AA71" s="381">
        <f t="shared" si="13"/>
        <v>173.68373695645116</v>
      </c>
      <c r="AB71" s="193">
        <f t="shared" si="14"/>
        <v>44983</v>
      </c>
      <c r="AC71" s="420">
        <f>IF(OR(t&lt;Tnet,NoTnet),'2022'!Resal_s+('2022'!Salim-'2022'!Resal_s)*(1-EXP(('2022'!Tnet_s-t)/'2022'!Tau_j)),Resal_s+(Salim-Resal_s)*(1-EXP((Tnet_s-t)/Tau_j)))*Salcycl</f>
        <v>3.199499772097289E-2</v>
      </c>
      <c r="AD71" s="227">
        <f>(INDEX(Models!$BJ71:$BT71,,AH71)*(1-AF71)+INDEX(Models!$BJ71:$BT71,,AH71+1)*AF71-ERP_i)*AE71*Ramure*Pc/MaxiM</f>
        <v>5.0995667048370847E-5</v>
      </c>
      <c r="AE71" s="301">
        <f t="shared" si="15"/>
        <v>0.5</v>
      </c>
      <c r="AF71" s="173">
        <f t="shared" si="16"/>
        <v>0.49571232243802094</v>
      </c>
      <c r="AG71" s="172">
        <f t="shared" si="17"/>
        <v>0</v>
      </c>
      <c r="AH71" s="172">
        <f t="shared" si="18"/>
        <v>6</v>
      </c>
      <c r="AI71" s="221">
        <f t="shared" si="23"/>
        <v>0.49571232243802094</v>
      </c>
      <c r="AJ71" s="261" t="b">
        <f t="shared" si="19"/>
        <v>0</v>
      </c>
      <c r="AK71" s="261" t="b">
        <f t="shared" si="20"/>
        <v>0</v>
      </c>
      <c r="AL71" s="261"/>
      <c r="AM71" s="261"/>
      <c r="AN71" s="75"/>
    </row>
    <row r="72" spans="1:40" s="6" customFormat="1" ht="11.25" customHeight="1" x14ac:dyDescent="0.2">
      <c r="A72" s="56">
        <f t="shared" si="21"/>
        <v>44984</v>
      </c>
      <c r="B72" s="406">
        <f>'2022'!Wh/'2022'!Env_an*'2023'!Env_an</f>
        <v>111.0102229301697</v>
      </c>
      <c r="C72" s="385"/>
      <c r="D72" s="388">
        <f t="shared" si="0"/>
        <v>111.86449555939491</v>
      </c>
      <c r="E72" s="380">
        <f t="shared" si="1"/>
        <v>115.56718307952826</v>
      </c>
      <c r="F72" s="380">
        <f t="shared" si="2"/>
        <v>115.57018373632722</v>
      </c>
      <c r="G72" s="110">
        <f t="shared" si="24"/>
        <v>0.667929862983899</v>
      </c>
      <c r="H72" s="409" t="b">
        <f>Wh_hp&gt;='2022'!Maxi_hp</f>
        <v>0</v>
      </c>
      <c r="I72" s="385">
        <f>IF(H72,Wh_hp,'2022'!Maxi_hp)</f>
        <v>115.57286305662481</v>
      </c>
      <c r="J72" s="85">
        <f>IF(H72,An,'2022'!An_max)</f>
        <v>2022</v>
      </c>
      <c r="K72" s="193">
        <f t="shared" si="3"/>
        <v>44984</v>
      </c>
      <c r="L72" s="143">
        <f>IF(t&lt;Tvie,1-EXP((T0-t)*PertePVj)+'2022'!Pspv,1-EXP((T0-t)*PertePVj)+Pspv)</f>
        <v>7.6366735035391375E-3</v>
      </c>
      <c r="M72" s="835"/>
      <c r="N72" s="835"/>
      <c r="O72" s="48">
        <f>IF(t&lt;Tnet,'2022'!Resal+('2022'!Salim-'2022'!Resal)*(1-EXP(('2022'!Tnet-t)/('2022'!Tau_j))),Resal+(Salim-Resal)*(1-EXP((Tnet-t)/(Tau_j))))*Salcycl</f>
        <v>3.2039264274403317E-2</v>
      </c>
      <c r="P72" s="165">
        <f>(INDEX(Models!$BJ72:$BT72,,T72)*(1-R72)+INDEX(Models!$BJ72:$BT72,,T72+1)*R72-ERP_i)*Q72*Ramure*Pc/MaxiM</f>
        <v>4.9395234250545662E-5</v>
      </c>
      <c r="Q72" s="301">
        <f t="shared" si="4"/>
        <v>0.5</v>
      </c>
      <c r="R72" s="173">
        <f t="shared" si="5"/>
        <v>0.49599679803283103</v>
      </c>
      <c r="S72" s="801">
        <f t="shared" si="6"/>
        <v>0</v>
      </c>
      <c r="T72" s="172">
        <f t="shared" si="7"/>
        <v>6</v>
      </c>
      <c r="U72" s="247">
        <f t="shared" si="22"/>
        <v>0.49599679803283103</v>
      </c>
      <c r="V72" s="378">
        <f t="shared" si="8"/>
        <v>166.19652436713028</v>
      </c>
      <c r="W72" s="397">
        <f t="shared" si="9"/>
        <v>111.0102229301697</v>
      </c>
      <c r="X72" s="153">
        <f t="shared" si="10"/>
        <v>44984</v>
      </c>
      <c r="Y72" s="380">
        <f t="shared" si="11"/>
        <v>111.0102229301697</v>
      </c>
      <c r="Z72" s="380">
        <f t="shared" si="12"/>
        <v>111.86449555939491</v>
      </c>
      <c r="AA72" s="381">
        <f t="shared" si="13"/>
        <v>115.56718307952826</v>
      </c>
      <c r="AB72" s="193">
        <f t="shared" si="14"/>
        <v>44984</v>
      </c>
      <c r="AC72" s="420">
        <f>IF(OR(t&lt;Tnet,NoTnet),'2022'!Resal_s+('2022'!Salim-'2022'!Resal_s)*(1-EXP(('2022'!Tnet_s-t)/'2022'!Tau_j)),Resal_s+(Salim-Resal_s)*(1-EXP((Tnet_s-t)/Tau_j)))*Salcycl</f>
        <v>3.2039264274403317E-2</v>
      </c>
      <c r="AD72" s="227">
        <f>(INDEX(Models!$BJ72:$BT72,,AH72)*(1-AF72)+INDEX(Models!$BJ72:$BT72,,AH72+1)*AF72-ERP_i)*AE72*Ramure*Pc/MaxiM</f>
        <v>4.9395234250545662E-5</v>
      </c>
      <c r="AE72" s="301">
        <f t="shared" si="15"/>
        <v>0.5</v>
      </c>
      <c r="AF72" s="173">
        <f t="shared" si="16"/>
        <v>0.49599679803283103</v>
      </c>
      <c r="AG72" s="172">
        <f t="shared" si="17"/>
        <v>0</v>
      </c>
      <c r="AH72" s="172">
        <f t="shared" si="18"/>
        <v>6</v>
      </c>
      <c r="AI72" s="221">
        <f t="shared" si="23"/>
        <v>0.49599679803283103</v>
      </c>
      <c r="AJ72" s="261" t="b">
        <f t="shared" si="19"/>
        <v>0</v>
      </c>
      <c r="AK72" s="261" t="b">
        <f t="shared" si="20"/>
        <v>0</v>
      </c>
      <c r="AL72" s="261"/>
      <c r="AM72" s="261"/>
      <c r="AN72" s="75"/>
    </row>
    <row r="73" spans="1:40" s="6" customFormat="1" ht="11.25" customHeight="1" x14ac:dyDescent="0.2">
      <c r="A73" s="56">
        <f t="shared" si="21"/>
        <v>44985</v>
      </c>
      <c r="B73" s="406">
        <f>'2022'!Wh/'2022'!Env_an*'2023'!Env_an</f>
        <v>150.60327696611898</v>
      </c>
      <c r="C73" s="385"/>
      <c r="D73" s="388">
        <f t="shared" si="0"/>
        <v>151.76431313563793</v>
      </c>
      <c r="E73" s="380">
        <f t="shared" si="1"/>
        <v>156.79483790427</v>
      </c>
      <c r="F73" s="380">
        <f t="shared" si="2"/>
        <v>156.80123511302295</v>
      </c>
      <c r="G73" s="110">
        <f t="shared" si="24"/>
        <v>0.89832659946348126</v>
      </c>
      <c r="H73" s="409" t="b">
        <f>Wh_hp&gt;='2022'!Maxi_hp</f>
        <v>0</v>
      </c>
      <c r="I73" s="385">
        <f>IF(H73,Wh_hp,'2022'!Maxi_hp)</f>
        <v>156.80231017233547</v>
      </c>
      <c r="J73" s="85">
        <f>IF(H73,An,'2022'!An_max)</f>
        <v>2022</v>
      </c>
      <c r="K73" s="193">
        <f t="shared" si="3"/>
        <v>44985</v>
      </c>
      <c r="L73" s="143">
        <f>IF(t&lt;Tvie,1-EXP((T0-t)*PertePVj)+'2022'!Pspv,1-EXP((T0-t)*PertePVj)+Pspv)</f>
        <v>7.650258124130116E-3</v>
      </c>
      <c r="M73" s="835"/>
      <c r="N73" s="835"/>
      <c r="O73" s="48">
        <f>IF(t&lt;Tnet,'2022'!Resal+('2022'!Salim-'2022'!Resal)*(1-EXP(('2022'!Tnet-t)/('2022'!Tau_j))),Resal+(Salim-Resal)*(1-EXP((Tnet-t)/(Tau_j))))*Salcycl</f>
        <v>3.2083484608743287E-2</v>
      </c>
      <c r="P73" s="165">
        <f>(INDEX(Models!$BJ73:$BT73,,T73)*(1-R73)+INDEX(Models!$BJ73:$BT73,,T73+1)*R73-ERP_i)*Q73*Ramure*Pc/MaxiM</f>
        <v>4.7730529546786391E-5</v>
      </c>
      <c r="Q73" s="301">
        <f t="shared" si="4"/>
        <v>0.5</v>
      </c>
      <c r="R73" s="173">
        <f t="shared" si="5"/>
        <v>0.49629285960541869</v>
      </c>
      <c r="S73" s="801">
        <f t="shared" si="6"/>
        <v>0</v>
      </c>
      <c r="T73" s="172">
        <f t="shared" si="7"/>
        <v>6</v>
      </c>
      <c r="U73" s="247">
        <f t="shared" si="22"/>
        <v>0.49629285960541869</v>
      </c>
      <c r="V73" s="378">
        <f t="shared" si="8"/>
        <v>167.64752706031496</v>
      </c>
      <c r="W73" s="397">
        <f t="shared" si="9"/>
        <v>150.60327696611898</v>
      </c>
      <c r="X73" s="153">
        <f t="shared" si="10"/>
        <v>44985</v>
      </c>
      <c r="Y73" s="380">
        <f t="shared" si="11"/>
        <v>150.60327696611898</v>
      </c>
      <c r="Z73" s="380">
        <f t="shared" si="12"/>
        <v>151.76431313563793</v>
      </c>
      <c r="AA73" s="381">
        <f t="shared" si="13"/>
        <v>156.79483790427</v>
      </c>
      <c r="AB73" s="193">
        <f t="shared" si="14"/>
        <v>44985</v>
      </c>
      <c r="AC73" s="420">
        <f>IF(OR(t&lt;Tnet,NoTnet),'2022'!Resal_s+('2022'!Salim-'2022'!Resal_s)*(1-EXP(('2022'!Tnet_s-t)/'2022'!Tau_j)),Resal_s+(Salim-Resal_s)*(1-EXP((Tnet_s-t)/Tau_j)))*Salcycl</f>
        <v>3.2083484608743287E-2</v>
      </c>
      <c r="AD73" s="227">
        <f>(INDEX(Models!$BJ73:$BT73,,AH73)*(1-AF73)+INDEX(Models!$BJ73:$BT73,,AH73+1)*AF73-ERP_i)*AE73*Ramure*Pc/MaxiM</f>
        <v>4.7730529546786391E-5</v>
      </c>
      <c r="AE73" s="301">
        <f t="shared" si="15"/>
        <v>0.5</v>
      </c>
      <c r="AF73" s="173">
        <f t="shared" si="16"/>
        <v>0.49629285960541869</v>
      </c>
      <c r="AG73" s="172">
        <f t="shared" si="17"/>
        <v>0</v>
      </c>
      <c r="AH73" s="172">
        <f t="shared" si="18"/>
        <v>6</v>
      </c>
      <c r="AI73" s="221">
        <f t="shared" si="23"/>
        <v>0.49629285960541869</v>
      </c>
      <c r="AJ73" s="261" t="b">
        <f t="shared" si="19"/>
        <v>0</v>
      </c>
      <c r="AK73" s="261" t="b">
        <f t="shared" si="20"/>
        <v>0</v>
      </c>
      <c r="AL73" s="261"/>
      <c r="AM73" s="261"/>
      <c r="AN73" s="75"/>
    </row>
    <row r="74" spans="1:40" s="6" customFormat="1" ht="11.25" customHeight="1" x14ac:dyDescent="0.2">
      <c r="A74" s="56">
        <f t="shared" si="21"/>
        <v>44986</v>
      </c>
      <c r="B74" s="406">
        <f>'2022'!Wh/'2022'!Env_an*'2023'!Env_an</f>
        <v>169.20304365627629</v>
      </c>
      <c r="C74" s="385"/>
      <c r="D74" s="388">
        <f t="shared" si="0"/>
        <v>170.50980394846218</v>
      </c>
      <c r="E74" s="380">
        <f t="shared" si="1"/>
        <v>176.16972519565135</v>
      </c>
      <c r="F74" s="380">
        <f t="shared" si="2"/>
        <v>176.17782993937291</v>
      </c>
      <c r="G74" s="110">
        <f t="shared" si="24"/>
        <v>1.0006732370823299</v>
      </c>
      <c r="H74" s="409" t="b">
        <f>Wh_hp&gt;='2022'!Maxi_hp</f>
        <v>1</v>
      </c>
      <c r="I74" s="385">
        <f>IF(H74,Wh_hp,'2022'!Maxi_hp)</f>
        <v>176.17782993937291</v>
      </c>
      <c r="J74" s="85">
        <f>IF(H74,An,'2022'!An_max)</f>
        <v>2023</v>
      </c>
      <c r="K74" s="193">
        <f t="shared" si="3"/>
        <v>44986</v>
      </c>
      <c r="L74" s="143">
        <f>IF(t&lt;Tvie,1-EXP((T0-t)*PertePVj)+'2022'!Pspv,1-EXP((T0-t)*PertePVj)+Pspv)</f>
        <v>7.6638425587590708E-3</v>
      </c>
      <c r="M74" s="835"/>
      <c r="N74" s="835"/>
      <c r="O74" s="48">
        <f>IF(t&lt;Tnet,'2022'!Resal+('2022'!Salim-'2022'!Resal)*(1-EXP(('2022'!Tnet-t)/('2022'!Tau_j))),Resal+(Salim-Resal)*(1-EXP((Tnet-t)/(Tau_j))))*Salcycl</f>
        <v>3.2127661213658287E-2</v>
      </c>
      <c r="P74" s="165">
        <f>(INDEX(Models!$BJ74:$BT74,,T74)*(1-R74)+INDEX(Models!$BJ74:$BT74,,T74+1)*R74-ERP_i)*Q74*Ramure*Pc/MaxiM</f>
        <v>4.6003198724535268E-5</v>
      </c>
      <c r="Q74" s="301">
        <f t="shared" si="4"/>
        <v>0.5</v>
      </c>
      <c r="R74" s="173">
        <f t="shared" si="5"/>
        <v>0.49660096405047749</v>
      </c>
      <c r="S74" s="801">
        <f t="shared" si="6"/>
        <v>0</v>
      </c>
      <c r="T74" s="172">
        <f t="shared" si="7"/>
        <v>6</v>
      </c>
      <c r="U74" s="247">
        <f t="shared" si="22"/>
        <v>0.49660096405047749</v>
      </c>
      <c r="V74" s="378">
        <f t="shared" si="8"/>
        <v>169.08920653221708</v>
      </c>
      <c r="W74" s="397">
        <f t="shared" si="9"/>
        <v>169.20304365627629</v>
      </c>
      <c r="X74" s="153">
        <f t="shared" si="10"/>
        <v>44986</v>
      </c>
      <c r="Y74" s="380">
        <f t="shared" si="11"/>
        <v>169.20304365627629</v>
      </c>
      <c r="Z74" s="380">
        <f t="shared" si="12"/>
        <v>170.50980394846218</v>
      </c>
      <c r="AA74" s="381">
        <f t="shared" si="13"/>
        <v>176.16972519565135</v>
      </c>
      <c r="AB74" s="193">
        <f t="shared" si="14"/>
        <v>44986</v>
      </c>
      <c r="AC74" s="420">
        <f>IF(OR(t&lt;Tnet,NoTnet),'2022'!Resal_s+('2022'!Salim-'2022'!Resal_s)*(1-EXP(('2022'!Tnet_s-t)/'2022'!Tau_j)),Resal_s+(Salim-Resal_s)*(1-EXP((Tnet_s-t)/Tau_j)))*Salcycl</f>
        <v>3.2127661213658287E-2</v>
      </c>
      <c r="AD74" s="227">
        <f>(INDEX(Models!$BJ74:$BT74,,AH74)*(1-AF74)+INDEX(Models!$BJ74:$BT74,,AH74+1)*AF74-ERP_i)*AE74*Ramure*Pc/MaxiM</f>
        <v>4.6003198724535268E-5</v>
      </c>
      <c r="AE74" s="301">
        <f t="shared" si="15"/>
        <v>0.5</v>
      </c>
      <c r="AF74" s="173">
        <f t="shared" si="16"/>
        <v>0.49660096405047749</v>
      </c>
      <c r="AG74" s="172">
        <f t="shared" si="17"/>
        <v>0</v>
      </c>
      <c r="AH74" s="172">
        <f t="shared" si="18"/>
        <v>6</v>
      </c>
      <c r="AI74" s="221">
        <f t="shared" si="23"/>
        <v>0.49660096405047749</v>
      </c>
      <c r="AJ74" s="261" t="b">
        <f t="shared" si="19"/>
        <v>0</v>
      </c>
      <c r="AK74" s="261" t="b">
        <f t="shared" si="20"/>
        <v>0</v>
      </c>
      <c r="AL74" s="261"/>
      <c r="AM74" s="261"/>
      <c r="AN74" s="75"/>
    </row>
    <row r="75" spans="1:40" s="6" customFormat="1" ht="11.25" customHeight="1" x14ac:dyDescent="0.2">
      <c r="A75" s="56">
        <f t="shared" si="21"/>
        <v>44987</v>
      </c>
      <c r="B75" s="406">
        <f>'2022'!Wh/'2022'!Env_an*'2023'!Env_an</f>
        <v>51.7831942828699</v>
      </c>
      <c r="C75" s="385"/>
      <c r="D75" s="388">
        <f t="shared" si="0"/>
        <v>52.183831832293485</v>
      </c>
      <c r="E75" s="380">
        <f t="shared" si="1"/>
        <v>53.918486444753114</v>
      </c>
      <c r="F75" s="380">
        <f t="shared" si="2"/>
        <v>53.918498971325555</v>
      </c>
      <c r="G75" s="110">
        <f t="shared" si="24"/>
        <v>0.30366475943597415</v>
      </c>
      <c r="H75" s="409" t="b">
        <f>Wh_hp&gt;='2022'!Maxi_hp</f>
        <v>0</v>
      </c>
      <c r="I75" s="385">
        <f>IF(H75,Wh_hp,'2022'!Maxi_hp)</f>
        <v>53.920842364129726</v>
      </c>
      <c r="J75" s="85">
        <f>IF(H75,An,'2022'!An_max)</f>
        <v>2022</v>
      </c>
      <c r="K75" s="193">
        <f t="shared" si="3"/>
        <v>44987</v>
      </c>
      <c r="L75" s="143">
        <f>IF(t&lt;Tvie,1-EXP((T0-t)*PertePVj)+'2022'!Pspv,1-EXP((T0-t)*PertePVj)+Pspv)</f>
        <v>7.6774268074284446E-3</v>
      </c>
      <c r="M75" s="835"/>
      <c r="N75" s="835"/>
      <c r="O75" s="48">
        <f>IF(t&lt;Tnet,'2022'!Resal+('2022'!Salim-'2022'!Resal)*(1-EXP(('2022'!Tnet-t)/('2022'!Tau_j))),Resal+(Salim-Resal)*(1-EXP((Tnet-t)/(Tau_j))))*Salcycl</f>
        <v>3.2171797222776653E-2</v>
      </c>
      <c r="P75" s="165">
        <f>(INDEX(Models!$BJ75:$BT75,,T75)*(1-R75)+INDEX(Models!$BJ75:$BT75,,T75+1)*R75-ERP_i)*Q75*Ramure*Pc/MaxiM</f>
        <v>4.4214741104185819E-5</v>
      </c>
      <c r="Q75" s="301">
        <f t="shared" si="4"/>
        <v>0.5</v>
      </c>
      <c r="R75" s="173">
        <f t="shared" si="5"/>
        <v>0.49692158501973904</v>
      </c>
      <c r="S75" s="801">
        <f t="shared" si="6"/>
        <v>0</v>
      </c>
      <c r="T75" s="172">
        <f t="shared" si="7"/>
        <v>6</v>
      </c>
      <c r="U75" s="247">
        <f t="shared" si="22"/>
        <v>0.49692158501973904</v>
      </c>
      <c r="V75" s="378">
        <f t="shared" si="8"/>
        <v>170.5200064323538</v>
      </c>
      <c r="W75" s="397">
        <f t="shared" si="9"/>
        <v>51.7831942828699</v>
      </c>
      <c r="X75" s="153">
        <f t="shared" si="10"/>
        <v>44987</v>
      </c>
      <c r="Y75" s="380">
        <f t="shared" si="11"/>
        <v>51.7831942828699</v>
      </c>
      <c r="Z75" s="380">
        <f t="shared" si="12"/>
        <v>52.183831832293485</v>
      </c>
      <c r="AA75" s="381">
        <f t="shared" si="13"/>
        <v>53.918486444753114</v>
      </c>
      <c r="AB75" s="193">
        <f t="shared" si="14"/>
        <v>44987</v>
      </c>
      <c r="AC75" s="420">
        <f>IF(OR(t&lt;Tnet,NoTnet),'2022'!Resal_s+('2022'!Salim-'2022'!Resal_s)*(1-EXP(('2022'!Tnet_s-t)/'2022'!Tau_j)),Resal_s+(Salim-Resal_s)*(1-EXP((Tnet_s-t)/Tau_j)))*Salcycl</f>
        <v>3.2171797222776653E-2</v>
      </c>
      <c r="AD75" s="227">
        <f>(INDEX(Models!$BJ75:$BT75,,AH75)*(1-AF75)+INDEX(Models!$BJ75:$BT75,,AH75+1)*AF75-ERP_i)*AE75*Ramure*Pc/MaxiM</f>
        <v>4.4214741104185819E-5</v>
      </c>
      <c r="AE75" s="301">
        <f t="shared" si="15"/>
        <v>0.5</v>
      </c>
      <c r="AF75" s="173">
        <f t="shared" si="16"/>
        <v>0.49692158501973904</v>
      </c>
      <c r="AG75" s="172">
        <f t="shared" si="17"/>
        <v>0</v>
      </c>
      <c r="AH75" s="172">
        <f t="shared" si="18"/>
        <v>6</v>
      </c>
      <c r="AI75" s="221">
        <f t="shared" si="23"/>
        <v>0.49692158501973904</v>
      </c>
      <c r="AJ75" s="261" t="b">
        <f t="shared" si="19"/>
        <v>0</v>
      </c>
      <c r="AK75" s="261" t="b">
        <f t="shared" si="20"/>
        <v>0</v>
      </c>
      <c r="AL75" s="261"/>
      <c r="AM75" s="261"/>
      <c r="AN75" s="75"/>
    </row>
    <row r="76" spans="1:40" s="6" customFormat="1" ht="11.25" customHeight="1" x14ac:dyDescent="0.2">
      <c r="A76" s="56">
        <f t="shared" si="21"/>
        <v>44988</v>
      </c>
      <c r="B76" s="406">
        <f>'2022'!Wh/'2022'!Env_an*'2023'!Env_an</f>
        <v>156.12532879286718</v>
      </c>
      <c r="C76" s="385"/>
      <c r="D76" s="388">
        <f t="shared" si="0"/>
        <v>157.3353970417734</v>
      </c>
      <c r="E76" s="380">
        <f t="shared" si="1"/>
        <v>162.57282637769251</v>
      </c>
      <c r="F76" s="380">
        <f t="shared" si="2"/>
        <v>162.57880931029214</v>
      </c>
      <c r="G76" s="110">
        <f t="shared" si="24"/>
        <v>0.90802570210087563</v>
      </c>
      <c r="H76" s="409" t="b">
        <f>Wh_hp&gt;='2022'!Maxi_hp</f>
        <v>0</v>
      </c>
      <c r="I76" s="385">
        <f>IF(H76,Wh_hp,'2022'!Maxi_hp)</f>
        <v>162.57970315575704</v>
      </c>
      <c r="J76" s="85">
        <f>IF(H76,An,'2022'!An_max)</f>
        <v>2022</v>
      </c>
      <c r="K76" s="193">
        <f t="shared" si="3"/>
        <v>44988</v>
      </c>
      <c r="L76" s="143">
        <f>IF(t&lt;Tvie,1-EXP((T0-t)*PertePVj)+'2022'!Pspv,1-EXP((T0-t)*PertePVj)+Pspv)</f>
        <v>7.6910108701410129E-3</v>
      </c>
      <c r="M76" s="835"/>
      <c r="N76" s="835"/>
      <c r="O76" s="48">
        <f>IF(t&lt;Tnet,'2022'!Resal+('2022'!Salim-'2022'!Resal)*(1-EXP(('2022'!Tnet-t)/('2022'!Tau_j))),Resal+(Salim-Resal)*(1-EXP((Tnet-t)/(Tau_j))))*Salcycl</f>
        <v>3.2215896423867373E-2</v>
      </c>
      <c r="P76" s="165">
        <f>(INDEX(Models!$BJ76:$BT76,,T76)*(1-R76)+INDEX(Models!$BJ76:$BT76,,T76+1)*R76-ERP_i)*Q76*Ramure*Pc/MaxiM</f>
        <v>4.2366507438145852E-5</v>
      </c>
      <c r="Q76" s="301">
        <f t="shared" si="4"/>
        <v>0.5</v>
      </c>
      <c r="R76" s="173">
        <f t="shared" si="5"/>
        <v>0.49725521342959694</v>
      </c>
      <c r="S76" s="801">
        <f t="shared" si="6"/>
        <v>0</v>
      </c>
      <c r="T76" s="172">
        <f t="shared" si="7"/>
        <v>6</v>
      </c>
      <c r="U76" s="247">
        <f t="shared" si="22"/>
        <v>0.49725521342959694</v>
      </c>
      <c r="V76" s="378">
        <f t="shared" si="8"/>
        <v>171.93837064082018</v>
      </c>
      <c r="W76" s="397">
        <f t="shared" si="9"/>
        <v>156.12532879286718</v>
      </c>
      <c r="X76" s="153">
        <f t="shared" si="10"/>
        <v>44988</v>
      </c>
      <c r="Y76" s="380">
        <f t="shared" si="11"/>
        <v>156.12532879286718</v>
      </c>
      <c r="Z76" s="380">
        <f t="shared" si="12"/>
        <v>157.3353970417734</v>
      </c>
      <c r="AA76" s="381">
        <f t="shared" si="13"/>
        <v>162.57282637769251</v>
      </c>
      <c r="AB76" s="193">
        <f t="shared" si="14"/>
        <v>44988</v>
      </c>
      <c r="AC76" s="420">
        <f>IF(OR(t&lt;Tnet,NoTnet),'2022'!Resal_s+('2022'!Salim-'2022'!Resal_s)*(1-EXP(('2022'!Tnet_s-t)/'2022'!Tau_j)),Resal_s+(Salim-Resal_s)*(1-EXP((Tnet_s-t)/Tau_j)))*Salcycl</f>
        <v>3.2215896423867373E-2</v>
      </c>
      <c r="AD76" s="227">
        <f>(INDEX(Models!$BJ76:$BT76,,AH76)*(1-AF76)+INDEX(Models!$BJ76:$BT76,,AH76+1)*AF76-ERP_i)*AE76*Ramure*Pc/MaxiM</f>
        <v>4.2366507438145852E-5</v>
      </c>
      <c r="AE76" s="301">
        <f t="shared" si="15"/>
        <v>0.5</v>
      </c>
      <c r="AF76" s="173">
        <f t="shared" si="16"/>
        <v>0.49725521342959694</v>
      </c>
      <c r="AG76" s="172">
        <f t="shared" si="17"/>
        <v>0</v>
      </c>
      <c r="AH76" s="172">
        <f t="shared" si="18"/>
        <v>6</v>
      </c>
      <c r="AI76" s="221">
        <f t="shared" si="23"/>
        <v>0.49725521342959694</v>
      </c>
      <c r="AJ76" s="261" t="b">
        <f t="shared" si="19"/>
        <v>0</v>
      </c>
      <c r="AK76" s="261" t="b">
        <f t="shared" si="20"/>
        <v>0</v>
      </c>
      <c r="AL76" s="261"/>
      <c r="AM76" s="261"/>
      <c r="AN76" s="75"/>
    </row>
    <row r="77" spans="1:40" s="6" customFormat="1" ht="11.25" x14ac:dyDescent="0.2">
      <c r="A77" s="56">
        <f t="shared" si="21"/>
        <v>44989</v>
      </c>
      <c r="B77" s="406">
        <f>'2022'!Wh/'2022'!Env_an*'2023'!Env_an</f>
        <v>19.935057243895599</v>
      </c>
      <c r="C77" s="385"/>
      <c r="D77" s="388">
        <f t="shared" si="0"/>
        <v>20.089841329871764</v>
      </c>
      <c r="E77" s="380">
        <f t="shared" si="1"/>
        <v>20.759543438591336</v>
      </c>
      <c r="F77" s="380">
        <f t="shared" si="2"/>
        <v>20.759543438591336</v>
      </c>
      <c r="G77" s="110">
        <f t="shared" si="24"/>
        <v>0.11499904929224061</v>
      </c>
      <c r="H77" s="409" t="b">
        <f>Wh_hp&gt;='2022'!Maxi_hp</f>
        <v>0</v>
      </c>
      <c r="I77" s="385">
        <f>IF(H77,Wh_hp,'2022'!Maxi_hp)</f>
        <v>20.760372655450283</v>
      </c>
      <c r="J77" s="85">
        <f>IF(H77,An,'2022'!An_max)</f>
        <v>2022</v>
      </c>
      <c r="K77" s="193">
        <f t="shared" si="3"/>
        <v>44989</v>
      </c>
      <c r="L77" s="143">
        <f>IF(t&lt;Tvie,1-EXP((T0-t)*PertePVj)+'2022'!Pspv,1-EXP((T0-t)*PertePVj)+Pspv)</f>
        <v>7.7045947468989961E-3</v>
      </c>
      <c r="M77" s="835"/>
      <c r="N77" s="835"/>
      <c r="O77" s="48">
        <f>IF(t&lt;Tnet,'2022'!Resal+('2022'!Salim-'2022'!Resal)*(1-EXP(('2022'!Tnet-t)/('2022'!Tau_j))),Resal+(Salim-Resal)*(1-EXP((Tnet-t)/(Tau_j))))*Salcycl</f>
        <v>3.2259963264636052E-2</v>
      </c>
      <c r="P77" s="165">
        <f>(INDEX(Models!$BJ77:$BT77,,T77)*(1-R77)+INDEX(Models!$BJ77:$BT77,,T77+1)*R77-ERP_i)*Q77*Ramure*Pc/MaxiM</f>
        <v>4.04596975160777E-5</v>
      </c>
      <c r="Q77" s="301">
        <f t="shared" si="4"/>
        <v>0.5</v>
      </c>
      <c r="R77" s="173">
        <f t="shared" si="5"/>
        <v>0.49760235797469521</v>
      </c>
      <c r="S77" s="801">
        <f t="shared" si="6"/>
        <v>0</v>
      </c>
      <c r="T77" s="172">
        <f t="shared" si="7"/>
        <v>6</v>
      </c>
      <c r="U77" s="247">
        <f t="shared" si="22"/>
        <v>0.49760235797469521</v>
      </c>
      <c r="V77" s="378">
        <f t="shared" si="8"/>
        <v>173.34274326783134</v>
      </c>
      <c r="W77" s="397">
        <f t="shared" si="9"/>
        <v>19.935057243895599</v>
      </c>
      <c r="X77" s="153">
        <f t="shared" si="10"/>
        <v>44989</v>
      </c>
      <c r="Y77" s="380">
        <f t="shared" si="11"/>
        <v>19.935057243895599</v>
      </c>
      <c r="Z77" s="380">
        <f t="shared" si="12"/>
        <v>20.089841329871764</v>
      </c>
      <c r="AA77" s="381">
        <f t="shared" si="13"/>
        <v>20.759543438591336</v>
      </c>
      <c r="AB77" s="193">
        <f t="shared" si="14"/>
        <v>44989</v>
      </c>
      <c r="AC77" s="420">
        <f>IF(OR(t&lt;Tnet,NoTnet),'2022'!Resal_s+('2022'!Salim-'2022'!Resal_s)*(1-EXP(('2022'!Tnet_s-t)/'2022'!Tau_j)),Resal_s+(Salim-Resal_s)*(1-EXP((Tnet_s-t)/Tau_j)))*Salcycl</f>
        <v>3.2259963264636052E-2</v>
      </c>
      <c r="AD77" s="227">
        <f>(INDEX(Models!$BJ77:$BT77,,AH77)*(1-AF77)+INDEX(Models!$BJ77:$BT77,,AH77+1)*AF77-ERP_i)*AE77*Ramure*Pc/MaxiM</f>
        <v>4.04596975160777E-5</v>
      </c>
      <c r="AE77" s="301">
        <f t="shared" si="15"/>
        <v>0.5</v>
      </c>
      <c r="AF77" s="173">
        <f t="shared" si="16"/>
        <v>0.49760235797469521</v>
      </c>
      <c r="AG77" s="172">
        <f t="shared" si="17"/>
        <v>0</v>
      </c>
      <c r="AH77" s="172">
        <f t="shared" si="18"/>
        <v>6</v>
      </c>
      <c r="AI77" s="221">
        <f t="shared" si="23"/>
        <v>0.49760235797469521</v>
      </c>
      <c r="AJ77" s="261" t="b">
        <f t="shared" si="19"/>
        <v>0</v>
      </c>
      <c r="AK77" s="261" t="b">
        <f t="shared" si="20"/>
        <v>0</v>
      </c>
      <c r="AL77" s="261"/>
      <c r="AM77" s="261"/>
      <c r="AN77" s="75"/>
    </row>
    <row r="78" spans="1:40" s="6" customFormat="1" ht="11.25" customHeight="1" x14ac:dyDescent="0.2">
      <c r="A78" s="56">
        <f t="shared" si="21"/>
        <v>44990</v>
      </c>
      <c r="B78" s="406">
        <f>'2022'!Wh/'2022'!Env_an*'2023'!Env_an</f>
        <v>65.832665226436546</v>
      </c>
      <c r="C78" s="385"/>
      <c r="D78" s="388">
        <f t="shared" si="0"/>
        <v>66.344725657461424</v>
      </c>
      <c r="E78" s="380">
        <f t="shared" si="1"/>
        <v>68.559471004470112</v>
      </c>
      <c r="F78" s="380">
        <f t="shared" si="2"/>
        <v>68.559760432413626</v>
      </c>
      <c r="G78" s="110">
        <f t="shared" si="24"/>
        <v>0.37675166193768916</v>
      </c>
      <c r="H78" s="409" t="b">
        <f>Wh_hp&gt;='2022'!Maxi_hp</f>
        <v>0</v>
      </c>
      <c r="I78" s="385">
        <f>IF(H78,Wh_hp,'2022'!Maxi_hp)</f>
        <v>68.562079160993505</v>
      </c>
      <c r="J78" s="85">
        <f>IF(H78,An,'2022'!An_max)</f>
        <v>2022</v>
      </c>
      <c r="K78" s="193">
        <f t="shared" si="3"/>
        <v>44990</v>
      </c>
      <c r="L78" s="143">
        <f>IF(t&lt;Tvie,1-EXP((T0-t)*PertePVj)+'2022'!Pspv,1-EXP((T0-t)*PertePVj)+Pspv)</f>
        <v>7.7181784377051699E-3</v>
      </c>
      <c r="M78" s="835"/>
      <c r="N78" s="835"/>
      <c r="O78" s="48">
        <f>IF(t&lt;Tnet,'2022'!Resal+('2022'!Salim-'2022'!Resal)*(1-EXP(('2022'!Tnet-t)/('2022'!Tau_j))),Resal+(Salim-Resal)*(1-EXP((Tnet-t)/(Tau_j))))*Salcycl</f>
        <v>3.2304002854168547E-2</v>
      </c>
      <c r="P78" s="165">
        <f>(INDEX(Models!$BJ78:$BT78,,T78)*(1-R78)+INDEX(Models!$BJ78:$BT78,,T78+1)*R78-ERP_i)*Q78*Ramure*Pc/MaxiM</f>
        <v>3.8495357461081666E-5</v>
      </c>
      <c r="Q78" s="301">
        <f t="shared" si="4"/>
        <v>0.5</v>
      </c>
      <c r="R78" s="173">
        <f t="shared" si="5"/>
        <v>0.49796354564659084</v>
      </c>
      <c r="S78" s="801">
        <f t="shared" si="6"/>
        <v>0</v>
      </c>
      <c r="T78" s="172">
        <f t="shared" si="7"/>
        <v>6</v>
      </c>
      <c r="U78" s="247">
        <f t="shared" si="22"/>
        <v>0.49796354564659084</v>
      </c>
      <c r="V78" s="378">
        <f t="shared" si="8"/>
        <v>174.73156864590979</v>
      </c>
      <c r="W78" s="397">
        <f t="shared" si="9"/>
        <v>65.832665226436546</v>
      </c>
      <c r="X78" s="153">
        <f t="shared" si="10"/>
        <v>44990</v>
      </c>
      <c r="Y78" s="380">
        <f t="shared" si="11"/>
        <v>65.832665226436546</v>
      </c>
      <c r="Z78" s="380">
        <f t="shared" si="12"/>
        <v>66.344725657461424</v>
      </c>
      <c r="AA78" s="381">
        <f t="shared" si="13"/>
        <v>68.559471004470112</v>
      </c>
      <c r="AB78" s="193">
        <f t="shared" si="14"/>
        <v>44990</v>
      </c>
      <c r="AC78" s="420">
        <f>IF(OR(t&lt;Tnet,NoTnet),'2022'!Resal_s+('2022'!Salim-'2022'!Resal_s)*(1-EXP(('2022'!Tnet_s-t)/'2022'!Tau_j)),Resal_s+(Salim-Resal_s)*(1-EXP((Tnet_s-t)/Tau_j)))*Salcycl</f>
        <v>3.2304002854168547E-2</v>
      </c>
      <c r="AD78" s="227">
        <f>(INDEX(Models!$BJ78:$BT78,,AH78)*(1-AF78)+INDEX(Models!$BJ78:$BT78,,AH78+1)*AF78-ERP_i)*AE78*Ramure*Pc/MaxiM</f>
        <v>3.8495357461081666E-5</v>
      </c>
      <c r="AE78" s="301">
        <f t="shared" si="15"/>
        <v>0.5</v>
      </c>
      <c r="AF78" s="173">
        <f t="shared" si="16"/>
        <v>0.49796354564659084</v>
      </c>
      <c r="AG78" s="172">
        <f t="shared" si="17"/>
        <v>0</v>
      </c>
      <c r="AH78" s="172">
        <f t="shared" si="18"/>
        <v>6</v>
      </c>
      <c r="AI78" s="221">
        <f t="shared" si="23"/>
        <v>0.49796354564659084</v>
      </c>
      <c r="AJ78" s="261" t="b">
        <f t="shared" si="19"/>
        <v>0</v>
      </c>
      <c r="AK78" s="261" t="b">
        <f t="shared" si="20"/>
        <v>0</v>
      </c>
      <c r="AL78" s="261"/>
      <c r="AM78" s="261"/>
      <c r="AN78" s="75"/>
    </row>
    <row r="79" spans="1:40" s="6" customFormat="1" ht="11.25" x14ac:dyDescent="0.2">
      <c r="A79" s="56">
        <f t="shared" si="21"/>
        <v>44991</v>
      </c>
      <c r="B79" s="406">
        <f>'2022'!Wh/'2022'!Env_an*'2023'!Env_an</f>
        <v>92.943890460447506</v>
      </c>
      <c r="C79" s="385"/>
      <c r="D79" s="388">
        <f t="shared" ref="D79:D142" si="25">Wh/(1-Ppv)</f>
        <v>93.668109988488212</v>
      </c>
      <c r="E79" s="380">
        <f t="shared" si="1"/>
        <v>96.799378306883398</v>
      </c>
      <c r="F79" s="380">
        <f t="shared" ref="F79:F142" si="26">Wh_sa/(1-Pvg*MEDIAN((-Sdif+Wh/Env_an)/Csdif,0,1))</f>
        <v>96.800527149014087</v>
      </c>
      <c r="G79" s="110">
        <f t="shared" si="24"/>
        <v>0.52775882519353234</v>
      </c>
      <c r="H79" s="409" t="b">
        <f>Wh_hp&gt;='2022'!Maxi_hp</f>
        <v>0</v>
      </c>
      <c r="I79" s="385">
        <f>IF(H79,Wh_hp,'2022'!Maxi_hp)</f>
        <v>96.802876321766419</v>
      </c>
      <c r="J79" s="85">
        <f>IF(H79,An,'2022'!An_max)</f>
        <v>2022</v>
      </c>
      <c r="K79" s="193">
        <f t="shared" ref="K79:K142" si="27">t</f>
        <v>44991</v>
      </c>
      <c r="L79" s="143">
        <f>IF(t&lt;Tvie,1-EXP((T0-t)*PertePVj)+'2022'!Pspv,1-EXP((T0-t)*PertePVj)+Pspv)</f>
        <v>7.7317619425620876E-3</v>
      </c>
      <c r="M79" s="835"/>
      <c r="N79" s="835"/>
      <c r="O79" s="48">
        <f>IF(t&lt;Tnet,'2022'!Resal+('2022'!Salim-'2022'!Resal)*(1-EXP(('2022'!Tnet-t)/('2022'!Tau_j))),Resal+(Salim-Resal)*(1-EXP((Tnet-t)/(Tau_j))))*Salcycl</f>
        <v>3.2348020960094627E-2</v>
      </c>
      <c r="P79" s="165">
        <f>(INDEX(Models!$BJ79:$BT79,,T79)*(1-R79)+INDEX(Models!$BJ79:$BT79,,T79+1)*R79-ERP_i)*Q79*Ramure*Pc/MaxiM</f>
        <v>3.6473773395679036E-5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0.49833932225648897</v>
      </c>
      <c r="S79" s="801">
        <f t="shared" ref="S79:S142" si="30">INDEX(Echel_vg,T79)</f>
        <v>0</v>
      </c>
      <c r="T79" s="172">
        <f t="shared" ref="T79:T142" si="31">MIN(MATCH(Hp_vg,Echel_vg),10)</f>
        <v>6</v>
      </c>
      <c r="U79" s="247">
        <f t="shared" ref="U79:U142" si="32">IF(OR(t&lt;Ttai,Notai),Hdd+PousH*Croivg,Hdtf+PousH*(Croivg-Croi_tai))</f>
        <v>0.49833932225648897</v>
      </c>
      <c r="V79" s="378">
        <f t="shared" ref="V79:V142" si="33">MaxiM*(1-Ppv)*(1-Pvg)*(1-Psa)</f>
        <v>176.10620429862757</v>
      </c>
      <c r="W79" s="397">
        <f t="shared" ref="W79:W142" si="34">Wh*(A79&gt;Tmaj)</f>
        <v>92.943890460447506</v>
      </c>
      <c r="X79" s="153">
        <f t="shared" ref="X79:X142" si="35">t</f>
        <v>44991</v>
      </c>
      <c r="Y79" s="380">
        <f t="shared" ref="Y79:Y142" si="36">Wh_pvt_s*(1-Ppv)</f>
        <v>92.943890460447506</v>
      </c>
      <c r="Z79" s="380">
        <f t="shared" ref="Z79:Z142" si="37">Wh_sa_s*(1-Psa_s)</f>
        <v>93.668109988488212</v>
      </c>
      <c r="AA79" s="381">
        <f t="shared" ref="AA79:AA142" si="38">Wh_hp*(1-Pvg_s*MEDIAN((-Sdif+Wh/Env_an)/Csdif,0,1))</f>
        <v>96.799378306883398</v>
      </c>
      <c r="AB79" s="193">
        <f t="shared" ref="AB79:AB142" si="39">t</f>
        <v>44991</v>
      </c>
      <c r="AC79" s="420">
        <f>IF(OR(t&lt;Tnet,NoTnet),'2022'!Resal_s+('2022'!Salim-'2022'!Resal_s)*(1-EXP(('2022'!Tnet_s-t)/'2022'!Tau_j)),Resal_s+(Salim-Resal_s)*(1-EXP((Tnet_s-t)/Tau_j)))*Salcycl</f>
        <v>3.2348020960094627E-2</v>
      </c>
      <c r="AD79" s="227">
        <f>(INDEX(Models!$BJ79:$BT79,,AH79)*(1-AF79)+INDEX(Models!$BJ79:$BT79,,AH79+1)*AF79-ERP_i)*AE79*Ramure*Pc/MaxiM</f>
        <v>3.6473773395679036E-5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0.49833932225648897</v>
      </c>
      <c r="AG79" s="172">
        <f t="shared" ref="AG79:AG142" si="42">INDEX(Echel_vg,AH79)</f>
        <v>0</v>
      </c>
      <c r="AH79" s="172">
        <f t="shared" ref="AH79:AH142" si="43">MIN(MATCH(Hp_vg_s,Echel_vg),10)</f>
        <v>6</v>
      </c>
      <c r="AI79" s="221">
        <f t="shared" ref="AI79:AI142" si="44">IF(OR(t&lt;Ttai,Notai),Hdd_s+PousH*Croivg,Hdtai_s+PousH*(Croivg-Croi_tai))</f>
        <v>0.49833932225648897</v>
      </c>
      <c r="AJ79" s="261" t="b">
        <f t="shared" ref="AJ79:AJ142" si="45">t&lt;Tnet</f>
        <v>0</v>
      </c>
      <c r="AK79" s="261" t="b">
        <f t="shared" ref="AK79:AK142" si="46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7">A79+1</f>
        <v>44992</v>
      </c>
      <c r="B80" s="406">
        <f>'2022'!Wh/'2022'!Env_an*'2023'!Env_an</f>
        <v>138.08129994259312</v>
      </c>
      <c r="C80" s="385"/>
      <c r="D80" s="388">
        <f t="shared" si="25"/>
        <v>139.15913549327652</v>
      </c>
      <c r="E80" s="380">
        <f t="shared" ref="E80:E143" si="48">Wh_pvt/(1-Psa)</f>
        <v>143.81768127705496</v>
      </c>
      <c r="F80" s="380">
        <f t="shared" si="26"/>
        <v>143.82107238944081</v>
      </c>
      <c r="G80" s="110">
        <f t="shared" ref="G80:G143" si="49">+Wh_hp/MaxiM</f>
        <v>0.77804876558398395</v>
      </c>
      <c r="H80" s="409" t="b">
        <f>Wh_hp&gt;='2022'!Maxi_hp</f>
        <v>0</v>
      </c>
      <c r="I80" s="385">
        <f>IF(H80,Wh_hp,'2022'!Maxi_hp)</f>
        <v>143.82262435298446</v>
      </c>
      <c r="J80" s="85">
        <f>IF(H80,An,'2022'!An_max)</f>
        <v>2022</v>
      </c>
      <c r="K80" s="193">
        <f t="shared" si="27"/>
        <v>44992</v>
      </c>
      <c r="L80" s="143">
        <f>IF(t&lt;Tvie,1-EXP((T0-t)*PertePVj)+'2022'!Pspv,1-EXP((T0-t)*PertePVj)+Pspv)</f>
        <v>7.7453452614721918E-3</v>
      </c>
      <c r="M80" s="835"/>
      <c r="N80" s="835"/>
      <c r="O80" s="48">
        <f>IF(t&lt;Tnet,'2022'!Resal+('2022'!Salim-'2022'!Resal)*(1-EXP(('2022'!Tnet-t)/('2022'!Tau_j))),Resal+(Salim-Resal)*(1-EXP((Tnet-t)/(Tau_j))))*Salcycl</f>
        <v>3.2392024001583329E-2</v>
      </c>
      <c r="P80" s="165">
        <f>(INDEX(Models!$BJ80:$BT80,,T80)*(1-R80)+INDEX(Models!$BJ80:$BT80,,T80+1)*R80-ERP_i)*Q80*Ramure*Pc/MaxiM</f>
        <v>3.452532390138534E-5</v>
      </c>
      <c r="Q80" s="301">
        <f t="shared" si="28"/>
        <v>0.5</v>
      </c>
      <c r="R80" s="173">
        <f t="shared" si="29"/>
        <v>0.49873025296092455</v>
      </c>
      <c r="S80" s="801">
        <f t="shared" si="30"/>
        <v>0</v>
      </c>
      <c r="T80" s="172">
        <f t="shared" si="31"/>
        <v>6</v>
      </c>
      <c r="U80" s="247">
        <f t="shared" si="32"/>
        <v>0.49873025296092455</v>
      </c>
      <c r="V80" s="378">
        <f t="shared" si="33"/>
        <v>177.4693238897211</v>
      </c>
      <c r="W80" s="397">
        <f t="shared" si="34"/>
        <v>138.08129994259312</v>
      </c>
      <c r="X80" s="153">
        <f t="shared" si="35"/>
        <v>44992</v>
      </c>
      <c r="Y80" s="380">
        <f t="shared" si="36"/>
        <v>138.08129994259312</v>
      </c>
      <c r="Z80" s="380">
        <f t="shared" si="37"/>
        <v>139.15913549327652</v>
      </c>
      <c r="AA80" s="381">
        <f t="shared" si="38"/>
        <v>143.81768127705496</v>
      </c>
      <c r="AB80" s="193">
        <f t="shared" si="39"/>
        <v>44992</v>
      </c>
      <c r="AC80" s="420">
        <f>IF(OR(t&lt;Tnet,NoTnet),'2022'!Resal_s+('2022'!Salim-'2022'!Resal_s)*(1-EXP(('2022'!Tnet_s-t)/'2022'!Tau_j)),Resal_s+(Salim-Resal_s)*(1-EXP((Tnet_s-t)/Tau_j)))*Salcycl</f>
        <v>3.2392024001583329E-2</v>
      </c>
      <c r="AD80" s="227">
        <f>(INDEX(Models!$BJ80:$BT80,,AH80)*(1-AF80)+INDEX(Models!$BJ80:$BT80,,AH80+1)*AF80-ERP_i)*AE80*Ramure*Pc/MaxiM</f>
        <v>3.452532390138534E-5</v>
      </c>
      <c r="AE80" s="301">
        <f t="shared" si="40"/>
        <v>0.5</v>
      </c>
      <c r="AF80" s="173">
        <f t="shared" si="41"/>
        <v>0.49873025296092455</v>
      </c>
      <c r="AG80" s="172">
        <f t="shared" si="42"/>
        <v>0</v>
      </c>
      <c r="AH80" s="172">
        <f t="shared" si="43"/>
        <v>6</v>
      </c>
      <c r="AI80" s="221">
        <f t="shared" si="44"/>
        <v>0.49873025296092455</v>
      </c>
      <c r="AJ80" s="261" t="b">
        <f t="shared" si="45"/>
        <v>0</v>
      </c>
      <c r="AK80" s="261" t="b">
        <f t="shared" si="46"/>
        <v>0</v>
      </c>
      <c r="AL80" s="261"/>
      <c r="AM80" s="261"/>
      <c r="AN80" s="75"/>
    </row>
    <row r="81" spans="1:40" s="6" customFormat="1" ht="11.25" x14ac:dyDescent="0.2">
      <c r="A81" s="56">
        <f t="shared" si="47"/>
        <v>44993</v>
      </c>
      <c r="B81" s="406">
        <f>'2022'!Wh/'2022'!Env_an*'2023'!Env_an</f>
        <v>127.31473626727134</v>
      </c>
      <c r="C81" s="385"/>
      <c r="D81" s="388">
        <f t="shared" si="25"/>
        <v>128.31028659321794</v>
      </c>
      <c r="E81" s="380">
        <f t="shared" si="48"/>
        <v>132.61168162304659</v>
      </c>
      <c r="F81" s="380">
        <f t="shared" si="26"/>
        <v>132.61423833530685</v>
      </c>
      <c r="G81" s="110">
        <f t="shared" si="49"/>
        <v>0.71195644393061541</v>
      </c>
      <c r="H81" s="409" t="b">
        <f>Wh_hp&gt;='2022'!Maxi_hp</f>
        <v>0</v>
      </c>
      <c r="I81" s="385">
        <f>IF(H81,Wh_hp,'2022'!Maxi_hp)</f>
        <v>132.61599951897398</v>
      </c>
      <c r="J81" s="85">
        <f>IF(H81,An,'2022'!An_max)</f>
        <v>2022</v>
      </c>
      <c r="K81" s="193">
        <f t="shared" si="27"/>
        <v>44993</v>
      </c>
      <c r="L81" s="143">
        <f>IF(t&lt;Tvie,1-EXP((T0-t)*PertePVj)+'2022'!Pspv,1-EXP((T0-t)*PertePVj)+Pspv)</f>
        <v>7.7589283944380361E-3</v>
      </c>
      <c r="M81" s="835"/>
      <c r="N81" s="835"/>
      <c r="O81" s="48">
        <f>IF(t&lt;Tnet,'2022'!Resal+('2022'!Salim-'2022'!Resal)*(1-EXP(('2022'!Tnet-t)/('2022'!Tau_j))),Resal+(Salim-Resal)*(1-EXP((Tnet-t)/(Tau_j))))*Salcycl</f>
        <v>3.2436019038319171E-2</v>
      </c>
      <c r="P81" s="165">
        <f>(INDEX(Models!$BJ81:$BT81,,T81)*(1-R81)+INDEX(Models!$BJ81:$BT81,,T81+1)*R81-ERP_i)*Q81*Ramure*Pc/MaxiM</f>
        <v>3.275882535800287E-5</v>
      </c>
      <c r="Q81" s="301">
        <f t="shared" si="28"/>
        <v>0.5</v>
      </c>
      <c r="R81" s="173">
        <f t="shared" si="29"/>
        <v>0.49913692278913463</v>
      </c>
      <c r="S81" s="801">
        <f t="shared" si="30"/>
        <v>0</v>
      </c>
      <c r="T81" s="172">
        <f t="shared" si="31"/>
        <v>6</v>
      </c>
      <c r="U81" s="247">
        <f t="shared" si="32"/>
        <v>0.49913692278913463</v>
      </c>
      <c r="V81" s="378">
        <f t="shared" si="33"/>
        <v>178.82136074443392</v>
      </c>
      <c r="W81" s="397">
        <f t="shared" si="34"/>
        <v>127.31473626727134</v>
      </c>
      <c r="X81" s="153">
        <f t="shared" si="35"/>
        <v>44993</v>
      </c>
      <c r="Y81" s="380">
        <f t="shared" si="36"/>
        <v>127.31473626727134</v>
      </c>
      <c r="Z81" s="380">
        <f t="shared" si="37"/>
        <v>128.31028659321794</v>
      </c>
      <c r="AA81" s="381">
        <f t="shared" si="38"/>
        <v>132.61168162304659</v>
      </c>
      <c r="AB81" s="193">
        <f t="shared" si="39"/>
        <v>44993</v>
      </c>
      <c r="AC81" s="420">
        <f>IF(OR(t&lt;Tnet,NoTnet),'2022'!Resal_s+('2022'!Salim-'2022'!Resal_s)*(1-EXP(('2022'!Tnet_s-t)/'2022'!Tau_j)),Resal_s+(Salim-Resal_s)*(1-EXP((Tnet_s-t)/Tau_j)))*Salcycl</f>
        <v>3.2436019038319171E-2</v>
      </c>
      <c r="AD81" s="227">
        <f>(INDEX(Models!$BJ81:$BT81,,AH81)*(1-AF81)+INDEX(Models!$BJ81:$BT81,,AH81+1)*AF81-ERP_i)*AE81*Ramure*Pc/MaxiM</f>
        <v>3.275882535800287E-5</v>
      </c>
      <c r="AE81" s="301">
        <f t="shared" si="40"/>
        <v>0.5</v>
      </c>
      <c r="AF81" s="173">
        <f t="shared" si="41"/>
        <v>0.49913692278913463</v>
      </c>
      <c r="AG81" s="172">
        <f t="shared" si="42"/>
        <v>0</v>
      </c>
      <c r="AH81" s="172">
        <f t="shared" si="43"/>
        <v>6</v>
      </c>
      <c r="AI81" s="221">
        <f t="shared" si="44"/>
        <v>0.49913692278913463</v>
      </c>
      <c r="AJ81" s="261" t="b">
        <f t="shared" si="45"/>
        <v>0</v>
      </c>
      <c r="AK81" s="261" t="b">
        <f t="shared" si="46"/>
        <v>0</v>
      </c>
      <c r="AL81" s="261"/>
      <c r="AM81" s="261"/>
      <c r="AN81" s="75"/>
    </row>
    <row r="82" spans="1:40" s="6" customFormat="1" ht="11.25" x14ac:dyDescent="0.2">
      <c r="A82" s="56">
        <f t="shared" si="47"/>
        <v>44994</v>
      </c>
      <c r="B82" s="406">
        <f>'2022'!Wh/'2022'!Env_an*'2023'!Env_an</f>
        <v>137.14635816851978</v>
      </c>
      <c r="C82" s="385"/>
      <c r="D82" s="388">
        <f t="shared" si="25"/>
        <v>138.2206799712207</v>
      </c>
      <c r="E82" s="380">
        <f t="shared" si="48"/>
        <v>142.86080074454571</v>
      </c>
      <c r="F82" s="380">
        <f t="shared" si="26"/>
        <v>142.86373491766909</v>
      </c>
      <c r="G82" s="110">
        <f t="shared" si="49"/>
        <v>0.76122775955271771</v>
      </c>
      <c r="H82" s="409" t="b">
        <f>Wh_hp&gt;='2022'!Maxi_hp</f>
        <v>0</v>
      </c>
      <c r="I82" s="385">
        <f>IF(H82,Wh_hp,'2022'!Maxi_hp)</f>
        <v>142.86523052784904</v>
      </c>
      <c r="J82" s="85">
        <f>IF(H82,An,'2022'!An_max)</f>
        <v>2022</v>
      </c>
      <c r="K82" s="193">
        <f t="shared" si="27"/>
        <v>44994</v>
      </c>
      <c r="L82" s="143">
        <f>IF(t&lt;Tvie,1-EXP((T0-t)*PertePVj)+'2022'!Pspv,1-EXP((T0-t)*PertePVj)+Pspv)</f>
        <v>7.7725113414621738E-3</v>
      </c>
      <c r="M82" s="835"/>
      <c r="N82" s="835"/>
      <c r="O82" s="48">
        <f>IF(t&lt;Tnet,'2022'!Resal+('2022'!Salim-'2022'!Resal)*(1-EXP(('2022'!Tnet-t)/('2022'!Tau_j))),Resal+(Salim-Resal)*(1-EXP((Tnet-t)/(Tau_j))))*Salcycl</f>
        <v>3.2480013755642995E-2</v>
      </c>
      <c r="P82" s="165">
        <f>(INDEX(Models!$BJ82:$BT82,,T82)*(1-R82)+INDEX(Models!$BJ82:$BT82,,T82+1)*R82-ERP_i)*Q82*Ramure*Pc/MaxiM</f>
        <v>3.1170137360433569E-5</v>
      </c>
      <c r="Q82" s="301">
        <f t="shared" si="28"/>
        <v>0.5</v>
      </c>
      <c r="R82" s="173">
        <f t="shared" si="29"/>
        <v>0.49955993717072156</v>
      </c>
      <c r="S82" s="801">
        <f t="shared" si="30"/>
        <v>0</v>
      </c>
      <c r="T82" s="172">
        <f t="shared" si="31"/>
        <v>6</v>
      </c>
      <c r="U82" s="247">
        <f t="shared" si="32"/>
        <v>0.49955993717072156</v>
      </c>
      <c r="V82" s="378">
        <f t="shared" si="33"/>
        <v>180.16276770629383</v>
      </c>
      <c r="W82" s="397">
        <f t="shared" si="34"/>
        <v>137.14635816851978</v>
      </c>
      <c r="X82" s="153">
        <f t="shared" si="35"/>
        <v>44994</v>
      </c>
      <c r="Y82" s="380">
        <f t="shared" si="36"/>
        <v>137.14635816851978</v>
      </c>
      <c r="Z82" s="380">
        <f t="shared" si="37"/>
        <v>138.2206799712207</v>
      </c>
      <c r="AA82" s="381">
        <f t="shared" si="38"/>
        <v>142.86080074454571</v>
      </c>
      <c r="AB82" s="193">
        <f t="shared" si="39"/>
        <v>44994</v>
      </c>
      <c r="AC82" s="420">
        <f>IF(OR(t&lt;Tnet,NoTnet),'2022'!Resal_s+('2022'!Salim-'2022'!Resal_s)*(1-EXP(('2022'!Tnet_s-t)/'2022'!Tau_j)),Resal_s+(Salim-Resal_s)*(1-EXP((Tnet_s-t)/Tau_j)))*Salcycl</f>
        <v>3.2480013755642995E-2</v>
      </c>
      <c r="AD82" s="227">
        <f>(INDEX(Models!$BJ82:$BT82,,AH82)*(1-AF82)+INDEX(Models!$BJ82:$BT82,,AH82+1)*AF82-ERP_i)*AE82*Ramure*Pc/MaxiM</f>
        <v>3.1170137360433569E-5</v>
      </c>
      <c r="AE82" s="301">
        <f t="shared" si="40"/>
        <v>0.5</v>
      </c>
      <c r="AF82" s="173">
        <f t="shared" si="41"/>
        <v>0.49955993717072156</v>
      </c>
      <c r="AG82" s="172">
        <f t="shared" si="42"/>
        <v>0</v>
      </c>
      <c r="AH82" s="172">
        <f t="shared" si="43"/>
        <v>6</v>
      </c>
      <c r="AI82" s="221">
        <f t="shared" si="44"/>
        <v>0.49955993717072156</v>
      </c>
      <c r="AJ82" s="261" t="b">
        <f t="shared" si="45"/>
        <v>0</v>
      </c>
      <c r="AK82" s="261" t="b">
        <f t="shared" si="46"/>
        <v>0</v>
      </c>
      <c r="AL82" s="261"/>
      <c r="AM82" s="261"/>
      <c r="AN82" s="75"/>
    </row>
    <row r="83" spans="1:40" s="6" customFormat="1" ht="11.25" customHeight="1" x14ac:dyDescent="0.2">
      <c r="A83" s="56">
        <f t="shared" si="47"/>
        <v>44995</v>
      </c>
      <c r="B83" s="406">
        <f>'2022'!Wh/'2022'!Env_an*'2023'!Env_an</f>
        <v>98.583184154136106</v>
      </c>
      <c r="C83" s="385"/>
      <c r="D83" s="388">
        <f t="shared" si="25"/>
        <v>99.356785435261656</v>
      </c>
      <c r="E83" s="380">
        <f t="shared" si="48"/>
        <v>102.69690113679543</v>
      </c>
      <c r="F83" s="380">
        <f t="shared" si="26"/>
        <v>102.69796270901517</v>
      </c>
      <c r="G83" s="110">
        <f t="shared" si="49"/>
        <v>0.5431654558227047</v>
      </c>
      <c r="H83" s="409" t="b">
        <f>Wh_hp&gt;='2022'!Maxi_hp</f>
        <v>0</v>
      </c>
      <c r="I83" s="385">
        <f>IF(H83,Wh_hp,'2022'!Maxi_hp)</f>
        <v>102.6999251260078</v>
      </c>
      <c r="J83" s="85">
        <f>IF(H83,An,'2022'!An_max)</f>
        <v>2022</v>
      </c>
      <c r="K83" s="193">
        <f t="shared" si="27"/>
        <v>44995</v>
      </c>
      <c r="L83" s="143">
        <f>IF(t&lt;Tvie,1-EXP((T0-t)*PertePVj)+'2022'!Pspv,1-EXP((T0-t)*PertePVj)+Pspv)</f>
        <v>7.7860941025472696E-3</v>
      </c>
      <c r="M83" s="835"/>
      <c r="N83" s="835"/>
      <c r="O83" s="48">
        <f>IF(t&lt;Tnet,'2022'!Resal+('2022'!Salim-'2022'!Resal)*(1-EXP(('2022'!Tnet-t)/('2022'!Tau_j))),Resal+(Salim-Resal)*(1-EXP((Tnet-t)/(Tau_j))))*Salcycl</f>
        <v>3.2524016446072147E-2</v>
      </c>
      <c r="P83" s="165">
        <f>(INDEX(Models!$BJ83:$BT83,,T83)*(1-R83)+INDEX(Models!$BJ83:$BT83,,T83+1)*R83-ERP_i)*Q83*Ramure*Pc/MaxiM</f>
        <v>2.9755348405321411E-5</v>
      </c>
      <c r="Q83" s="301">
        <f t="shared" si="28"/>
        <v>0.5</v>
      </c>
      <c r="R83" s="173">
        <f t="shared" si="29"/>
        <v>0.49999992246205832</v>
      </c>
      <c r="S83" s="801">
        <f t="shared" si="30"/>
        <v>0</v>
      </c>
      <c r="T83" s="172">
        <f t="shared" si="31"/>
        <v>6</v>
      </c>
      <c r="U83" s="247">
        <f t="shared" si="32"/>
        <v>0.49999992246205832</v>
      </c>
      <c r="V83" s="378">
        <f t="shared" si="33"/>
        <v>181.49399734278035</v>
      </c>
      <c r="W83" s="397">
        <f t="shared" si="34"/>
        <v>98.583184154136106</v>
      </c>
      <c r="X83" s="153">
        <f t="shared" si="35"/>
        <v>44995</v>
      </c>
      <c r="Y83" s="380">
        <f t="shared" si="36"/>
        <v>98.583184154136106</v>
      </c>
      <c r="Z83" s="380">
        <f t="shared" si="37"/>
        <v>99.356785435261656</v>
      </c>
      <c r="AA83" s="381">
        <f t="shared" si="38"/>
        <v>102.69690113679543</v>
      </c>
      <c r="AB83" s="193">
        <f t="shared" si="39"/>
        <v>44995</v>
      </c>
      <c r="AC83" s="420">
        <f>IF(OR(t&lt;Tnet,NoTnet),'2022'!Resal_s+('2022'!Salim-'2022'!Resal_s)*(1-EXP(('2022'!Tnet_s-t)/'2022'!Tau_j)),Resal_s+(Salim-Resal_s)*(1-EXP((Tnet_s-t)/Tau_j)))*Salcycl</f>
        <v>3.2524016446072147E-2</v>
      </c>
      <c r="AD83" s="227">
        <f>(INDEX(Models!$BJ83:$BT83,,AH83)*(1-AF83)+INDEX(Models!$BJ83:$BT83,,AH83+1)*AF83-ERP_i)*AE83*Ramure*Pc/MaxiM</f>
        <v>2.9755348405321411E-5</v>
      </c>
      <c r="AE83" s="301">
        <f t="shared" si="40"/>
        <v>0.5</v>
      </c>
      <c r="AF83" s="173">
        <f t="shared" si="41"/>
        <v>0.49999992246205832</v>
      </c>
      <c r="AG83" s="172">
        <f t="shared" si="42"/>
        <v>0</v>
      </c>
      <c r="AH83" s="172">
        <f t="shared" si="43"/>
        <v>6</v>
      </c>
      <c r="AI83" s="221">
        <f t="shared" si="44"/>
        <v>0.49999992246205832</v>
      </c>
      <c r="AJ83" s="261" t="b">
        <f t="shared" si="45"/>
        <v>0</v>
      </c>
      <c r="AK83" s="261" t="b">
        <f t="shared" si="46"/>
        <v>0</v>
      </c>
      <c r="AL83" s="261"/>
      <c r="AM83" s="261"/>
      <c r="AN83" s="75"/>
    </row>
    <row r="84" spans="1:40" s="6" customFormat="1" ht="11.25" customHeight="1" x14ac:dyDescent="0.2">
      <c r="A84" s="56">
        <f t="shared" si="47"/>
        <v>44996</v>
      </c>
      <c r="B84" s="406">
        <f>'2022'!Wh/'2022'!Env_an*'2023'!Env_an</f>
        <v>67.47558336365914</v>
      </c>
      <c r="C84" s="385"/>
      <c r="D84" s="388">
        <f t="shared" si="25"/>
        <v>68.006008240072418</v>
      </c>
      <c r="E84" s="380">
        <f t="shared" si="48"/>
        <v>70.295391066063289</v>
      </c>
      <c r="F84" s="380">
        <f t="shared" si="26"/>
        <v>70.295588882015139</v>
      </c>
      <c r="G84" s="110">
        <f t="shared" si="49"/>
        <v>0.36908166286391592</v>
      </c>
      <c r="H84" s="409" t="b">
        <f>Wh_hp&gt;='2022'!Maxi_hp</f>
        <v>0</v>
      </c>
      <c r="I84" s="385">
        <f>IF(H84,Wh_hp,'2022'!Maxi_hp)</f>
        <v>70.297364846187307</v>
      </c>
      <c r="J84" s="85">
        <f>IF(H84,An,'2022'!An_max)</f>
        <v>2022</v>
      </c>
      <c r="K84" s="193">
        <f t="shared" si="27"/>
        <v>44996</v>
      </c>
      <c r="L84" s="143">
        <f>IF(t&lt;Tvie,1-EXP((T0-t)*PertePVj)+'2022'!Pspv,1-EXP((T0-t)*PertePVj)+Pspv)</f>
        <v>7.799676677695766E-3</v>
      </c>
      <c r="M84" s="835"/>
      <c r="N84" s="835"/>
      <c r="O84" s="48">
        <f>IF(t&lt;Tnet,'2022'!Resal+('2022'!Salim-'2022'!Resal)*(1-EXP(('2022'!Tnet-t)/('2022'!Tau_j))),Resal+(Salim-Resal)*(1-EXP((Tnet-t)/(Tau_j))))*Salcycl</f>
        <v>3.2568035987442207E-2</v>
      </c>
      <c r="P84" s="165">
        <f>(INDEX(Models!$BJ84:$BT84,,T84)*(1-R84)+INDEX(Models!$BJ84:$BT84,,T84+1)*R84-ERP_i)*Q84*Ramure*Pc/MaxiM</f>
        <v>2.8510765108522799E-5</v>
      </c>
      <c r="Q84" s="301">
        <f t="shared" si="28"/>
        <v>0.5</v>
      </c>
      <c r="R84" s="173">
        <f t="shared" si="29"/>
        <v>0.50045752646972319</v>
      </c>
      <c r="S84" s="801">
        <f t="shared" si="30"/>
        <v>0</v>
      </c>
      <c r="T84" s="172">
        <f t="shared" si="31"/>
        <v>6</v>
      </c>
      <c r="U84" s="247">
        <f t="shared" si="32"/>
        <v>0.50045752646972319</v>
      </c>
      <c r="V84" s="378">
        <f t="shared" si="33"/>
        <v>182.81550195420982</v>
      </c>
      <c r="W84" s="397">
        <f t="shared" si="34"/>
        <v>67.47558336365914</v>
      </c>
      <c r="X84" s="153">
        <f t="shared" si="35"/>
        <v>44996</v>
      </c>
      <c r="Y84" s="380">
        <f t="shared" si="36"/>
        <v>67.47558336365914</v>
      </c>
      <c r="Z84" s="380">
        <f t="shared" si="37"/>
        <v>68.006008240072418</v>
      </c>
      <c r="AA84" s="381">
        <f t="shared" si="38"/>
        <v>70.295391066063289</v>
      </c>
      <c r="AB84" s="193">
        <f t="shared" si="39"/>
        <v>44996</v>
      </c>
      <c r="AC84" s="420">
        <f>IF(OR(t&lt;Tnet,NoTnet),'2022'!Resal_s+('2022'!Salim-'2022'!Resal_s)*(1-EXP(('2022'!Tnet_s-t)/'2022'!Tau_j)),Resal_s+(Salim-Resal_s)*(1-EXP((Tnet_s-t)/Tau_j)))*Salcycl</f>
        <v>3.2568035987442207E-2</v>
      </c>
      <c r="AD84" s="227">
        <f>(INDEX(Models!$BJ84:$BT84,,AH84)*(1-AF84)+INDEX(Models!$BJ84:$BT84,,AH84+1)*AF84-ERP_i)*AE84*Ramure*Pc/MaxiM</f>
        <v>2.8510765108522799E-5</v>
      </c>
      <c r="AE84" s="301">
        <f t="shared" si="40"/>
        <v>0.5</v>
      </c>
      <c r="AF84" s="173">
        <f t="shared" si="41"/>
        <v>0.50045752646972319</v>
      </c>
      <c r="AG84" s="172">
        <f t="shared" si="42"/>
        <v>0</v>
      </c>
      <c r="AH84" s="172">
        <f t="shared" si="43"/>
        <v>6</v>
      </c>
      <c r="AI84" s="221">
        <f t="shared" si="44"/>
        <v>0.50045752646972319</v>
      </c>
      <c r="AJ84" s="261" t="b">
        <f t="shared" si="45"/>
        <v>0</v>
      </c>
      <c r="AK84" s="261" t="b">
        <f t="shared" si="46"/>
        <v>0</v>
      </c>
      <c r="AL84" s="261"/>
      <c r="AM84" s="261"/>
      <c r="AN84" s="75"/>
    </row>
    <row r="85" spans="1:40" s="6" customFormat="1" ht="11.25" customHeight="1" x14ac:dyDescent="0.2">
      <c r="A85" s="56">
        <f t="shared" si="47"/>
        <v>44997</v>
      </c>
      <c r="B85" s="406">
        <f>'2022'!Wh/'2022'!Env_an*'2023'!Env_an</f>
        <v>63.150860402849261</v>
      </c>
      <c r="C85" s="385"/>
      <c r="D85" s="388">
        <f t="shared" si="25"/>
        <v>63.64815996579415</v>
      </c>
      <c r="E85" s="380">
        <f t="shared" si="48"/>
        <v>65.79383385871013</v>
      </c>
      <c r="F85" s="380">
        <f t="shared" si="26"/>
        <v>65.793944662950494</v>
      </c>
      <c r="G85" s="110">
        <f t="shared" si="49"/>
        <v>0.34296427330953499</v>
      </c>
      <c r="H85" s="409" t="b">
        <f>Wh_hp&gt;='2022'!Maxi_hp</f>
        <v>0</v>
      </c>
      <c r="I85" s="385">
        <f>IF(H85,Wh_hp,'2022'!Maxi_hp)</f>
        <v>65.795608679472551</v>
      </c>
      <c r="J85" s="85">
        <f>IF(H85,An,'2022'!An_max)</f>
        <v>2022</v>
      </c>
      <c r="K85" s="193">
        <f t="shared" si="27"/>
        <v>44997</v>
      </c>
      <c r="L85" s="143">
        <f>IF(t&lt;Tvie,1-EXP((T0-t)*PertePVj)+'2022'!Pspv,1-EXP((T0-t)*PertePVj)+Pspv)</f>
        <v>7.8132590669101054E-3</v>
      </c>
      <c r="M85" s="835"/>
      <c r="N85" s="835"/>
      <c r="O85" s="48">
        <f>IF(t&lt;Tnet,'2022'!Resal+('2022'!Salim-'2022'!Resal)*(1-EXP(('2022'!Tnet-t)/('2022'!Tau_j))),Resal+(Salim-Resal)*(1-EXP((Tnet-t)/(Tau_j))))*Salcycl</f>
        <v>3.261208181793649E-2</v>
      </c>
      <c r="P85" s="165">
        <f>(INDEX(Models!$BJ85:$BT85,,T85)*(1-R85)+INDEX(Models!$BJ85:$BT85,,T85+1)*R85-ERP_i)*Q85*Ramure*Pc/MaxiM</f>
        <v>2.7432902902703481E-5</v>
      </c>
      <c r="Q85" s="301">
        <f t="shared" si="28"/>
        <v>0.5</v>
      </c>
      <c r="R85" s="173">
        <f t="shared" si="29"/>
        <v>0.50093341896907839</v>
      </c>
      <c r="S85" s="801">
        <f t="shared" si="30"/>
        <v>0</v>
      </c>
      <c r="T85" s="172">
        <f t="shared" si="31"/>
        <v>6</v>
      </c>
      <c r="U85" s="247">
        <f t="shared" si="32"/>
        <v>0.50093341896907839</v>
      </c>
      <c r="V85" s="378">
        <f t="shared" si="33"/>
        <v>184.12773357500973</v>
      </c>
      <c r="W85" s="397">
        <f t="shared" si="34"/>
        <v>63.150860402849261</v>
      </c>
      <c r="X85" s="153">
        <f t="shared" si="35"/>
        <v>44997</v>
      </c>
      <c r="Y85" s="380">
        <f t="shared" si="36"/>
        <v>63.150860402849261</v>
      </c>
      <c r="Z85" s="380">
        <f t="shared" si="37"/>
        <v>63.64815996579415</v>
      </c>
      <c r="AA85" s="381">
        <f t="shared" si="38"/>
        <v>65.79383385871013</v>
      </c>
      <c r="AB85" s="193">
        <f t="shared" si="39"/>
        <v>44997</v>
      </c>
      <c r="AC85" s="420">
        <f>IF(OR(t&lt;Tnet,NoTnet),'2022'!Resal_s+('2022'!Salim-'2022'!Resal_s)*(1-EXP(('2022'!Tnet_s-t)/'2022'!Tau_j)),Resal_s+(Salim-Resal_s)*(1-EXP((Tnet_s-t)/Tau_j)))*Salcycl</f>
        <v>3.261208181793649E-2</v>
      </c>
      <c r="AD85" s="227">
        <f>(INDEX(Models!$BJ85:$BT85,,AH85)*(1-AF85)+INDEX(Models!$BJ85:$BT85,,AH85+1)*AF85-ERP_i)*AE85*Ramure*Pc/MaxiM</f>
        <v>2.7432902902703481E-5</v>
      </c>
      <c r="AE85" s="301">
        <f t="shared" si="40"/>
        <v>0.5</v>
      </c>
      <c r="AF85" s="173">
        <f t="shared" si="41"/>
        <v>0.50093341896907839</v>
      </c>
      <c r="AG85" s="172">
        <f t="shared" si="42"/>
        <v>0</v>
      </c>
      <c r="AH85" s="172">
        <f t="shared" si="43"/>
        <v>6</v>
      </c>
      <c r="AI85" s="221">
        <f t="shared" si="44"/>
        <v>0.50093341896907839</v>
      </c>
      <c r="AJ85" s="261" t="b">
        <f t="shared" si="45"/>
        <v>0</v>
      </c>
      <c r="AK85" s="261" t="b">
        <f t="shared" si="46"/>
        <v>0</v>
      </c>
      <c r="AL85" s="261"/>
      <c r="AM85" s="261"/>
      <c r="AN85" s="75"/>
    </row>
    <row r="86" spans="1:40" s="6" customFormat="1" ht="11.25" customHeight="1" x14ac:dyDescent="0.2">
      <c r="A86" s="56">
        <f t="shared" si="47"/>
        <v>44998</v>
      </c>
      <c r="B86" s="406">
        <f>'2022'!Wh/'2022'!Env_an*'2023'!Env_an</f>
        <v>55.771841059834799</v>
      </c>
      <c r="C86" s="385"/>
      <c r="D86" s="388">
        <f t="shared" si="25"/>
        <v>56.21180191090297</v>
      </c>
      <c r="E86" s="380">
        <f t="shared" si="48"/>
        <v>58.109433082254832</v>
      </c>
      <c r="F86" s="380">
        <f t="shared" si="26"/>
        <v>58.109434776348415</v>
      </c>
      <c r="G86" s="110">
        <f t="shared" si="49"/>
        <v>0.30076050067775184</v>
      </c>
      <c r="H86" s="409" t="b">
        <f>Wh_hp&gt;='2022'!Maxi_hp</f>
        <v>0</v>
      </c>
      <c r="I86" s="385">
        <f>IF(H86,Wh_hp,'2022'!Maxi_hp)</f>
        <v>58.110947281906434</v>
      </c>
      <c r="J86" s="85">
        <f>IF(H86,An,'2022'!An_max)</f>
        <v>2022</v>
      </c>
      <c r="K86" s="193">
        <f t="shared" si="27"/>
        <v>44998</v>
      </c>
      <c r="L86" s="143">
        <f>IF(t&lt;Tvie,1-EXP((T0-t)*PertePVj)+'2022'!Pspv,1-EXP((T0-t)*PertePVj)+Pspv)</f>
        <v>7.8268412701930634E-3</v>
      </c>
      <c r="M86" s="835"/>
      <c r="N86" s="835"/>
      <c r="O86" s="48">
        <f>IF(t&lt;Tnet,'2022'!Resal+('2022'!Salim-'2022'!Resal)*(1-EXP(('2022'!Tnet-t)/('2022'!Tau_j))),Resal+(Salim-Resal)*(1-EXP((Tnet-t)/(Tau_j))))*Salcycl</f>
        <v>3.2656163908288974E-2</v>
      </c>
      <c r="P86" s="165">
        <f>(INDEX(Models!$BJ86:$BT86,,T86)*(1-R86)+INDEX(Models!$BJ86:$BT86,,T86+1)*R86-ERP_i)*Q86*Ramure*Pc/MaxiM</f>
        <v>2.6555640324805947E-5</v>
      </c>
      <c r="Q86" s="301">
        <f t="shared" si="28"/>
        <v>0.5</v>
      </c>
      <c r="R86" s="173">
        <f t="shared" si="29"/>
        <v>0.50142829221592422</v>
      </c>
      <c r="S86" s="801">
        <f t="shared" si="30"/>
        <v>0</v>
      </c>
      <c r="T86" s="172">
        <f t="shared" si="31"/>
        <v>6</v>
      </c>
      <c r="U86" s="247">
        <f t="shared" si="32"/>
        <v>0.50142829221592422</v>
      </c>
      <c r="V86" s="378">
        <f t="shared" si="33"/>
        <v>185.43113707786918</v>
      </c>
      <c r="W86" s="397">
        <f t="shared" si="34"/>
        <v>55.771841059834799</v>
      </c>
      <c r="X86" s="153">
        <f t="shared" si="35"/>
        <v>44998</v>
      </c>
      <c r="Y86" s="380">
        <f t="shared" si="36"/>
        <v>55.771841059834799</v>
      </c>
      <c r="Z86" s="380">
        <f t="shared" si="37"/>
        <v>56.21180191090297</v>
      </c>
      <c r="AA86" s="381">
        <f t="shared" si="38"/>
        <v>58.109433082254832</v>
      </c>
      <c r="AB86" s="193">
        <f t="shared" si="39"/>
        <v>44998</v>
      </c>
      <c r="AC86" s="420">
        <f>IF(OR(t&lt;Tnet,NoTnet),'2022'!Resal_s+('2022'!Salim-'2022'!Resal_s)*(1-EXP(('2022'!Tnet_s-t)/'2022'!Tau_j)),Resal_s+(Salim-Resal_s)*(1-EXP((Tnet_s-t)/Tau_j)))*Salcycl</f>
        <v>3.2656163908288974E-2</v>
      </c>
      <c r="AD86" s="227">
        <f>(INDEX(Models!$BJ86:$BT86,,AH86)*(1-AF86)+INDEX(Models!$BJ86:$BT86,,AH86+1)*AF86-ERP_i)*AE86*Ramure*Pc/MaxiM</f>
        <v>2.6555640324805947E-5</v>
      </c>
      <c r="AE86" s="301">
        <f t="shared" si="40"/>
        <v>0.5</v>
      </c>
      <c r="AF86" s="173">
        <f t="shared" si="41"/>
        <v>0.50142829221592422</v>
      </c>
      <c r="AG86" s="172">
        <f t="shared" si="42"/>
        <v>0</v>
      </c>
      <c r="AH86" s="172">
        <f t="shared" si="43"/>
        <v>6</v>
      </c>
      <c r="AI86" s="221">
        <f t="shared" si="44"/>
        <v>0.50142829221592422</v>
      </c>
      <c r="AJ86" s="261" t="b">
        <f t="shared" si="45"/>
        <v>0</v>
      </c>
      <c r="AK86" s="261" t="b">
        <f t="shared" si="46"/>
        <v>0</v>
      </c>
      <c r="AL86" s="261"/>
      <c r="AM86" s="261"/>
      <c r="AN86" s="75"/>
    </row>
    <row r="87" spans="1:40" s="6" customFormat="1" ht="11.25" customHeight="1" x14ac:dyDescent="0.2">
      <c r="A87" s="56">
        <f t="shared" si="47"/>
        <v>44999</v>
      </c>
      <c r="B87" s="406">
        <f>'2022'!Wh/'2022'!Env_an*'2023'!Env_an</f>
        <v>54.732261063283687</v>
      </c>
      <c r="C87" s="385"/>
      <c r="D87" s="388">
        <f t="shared" si="25"/>
        <v>55.164776259722736</v>
      </c>
      <c r="E87" s="380">
        <f t="shared" si="48"/>
        <v>57.029662931974919</v>
      </c>
      <c r="F87" s="380">
        <f t="shared" si="26"/>
        <v>57.029662931974919</v>
      </c>
      <c r="G87" s="110">
        <f t="shared" si="49"/>
        <v>0.29310753082495683</v>
      </c>
      <c r="H87" s="409" t="b">
        <f>Wh_hp&gt;='2022'!Maxi_hp</f>
        <v>0</v>
      </c>
      <c r="I87" s="385">
        <f>IF(H87,Wh_hp,'2022'!Maxi_hp)</f>
        <v>57.031108128817166</v>
      </c>
      <c r="J87" s="85">
        <f>IF(H87,An,'2022'!An_max)</f>
        <v>2022</v>
      </c>
      <c r="K87" s="193">
        <f t="shared" si="27"/>
        <v>44999</v>
      </c>
      <c r="L87" s="143">
        <f>IF(t&lt;Tvie,1-EXP((T0-t)*PertePVj)+'2022'!Pspv,1-EXP((T0-t)*PertePVj)+Pspv)</f>
        <v>7.8404232875469715E-3</v>
      </c>
      <c r="M87" s="835"/>
      <c r="N87" s="835"/>
      <c r="O87" s="48">
        <f>IF(t&lt;Tnet,'2022'!Resal+('2022'!Salim-'2022'!Resal)*(1-EXP(('2022'!Tnet-t)/('2022'!Tau_j))),Resal+(Salim-Resal)*(1-EXP((Tnet-t)/(Tau_j))))*Salcycl</f>
        <v>3.2700292731461883E-2</v>
      </c>
      <c r="P87" s="165">
        <f>(INDEX(Models!$BJ87:$BT87,,T87)*(1-R87)+INDEX(Models!$BJ87:$BT87,,T87+1)*R87-ERP_i)*Q87*Ramure*Pc/MaxiM</f>
        <v>2.5853634538889031E-5</v>
      </c>
      <c r="Q87" s="301">
        <f t="shared" si="28"/>
        <v>0.5</v>
      </c>
      <c r="R87" s="173">
        <f t="shared" si="29"/>
        <v>0.50194286144896183</v>
      </c>
      <c r="S87" s="801">
        <f t="shared" si="30"/>
        <v>0</v>
      </c>
      <c r="T87" s="172">
        <f t="shared" si="31"/>
        <v>6</v>
      </c>
      <c r="U87" s="247">
        <f t="shared" si="32"/>
        <v>0.50194286144896183</v>
      </c>
      <c r="V87" s="378">
        <f t="shared" si="33"/>
        <v>186.72616797448927</v>
      </c>
      <c r="W87" s="397">
        <f t="shared" si="34"/>
        <v>54.732261063283687</v>
      </c>
      <c r="X87" s="153">
        <f t="shared" si="35"/>
        <v>44999</v>
      </c>
      <c r="Y87" s="380">
        <f t="shared" si="36"/>
        <v>54.732261063283687</v>
      </c>
      <c r="Z87" s="380">
        <f t="shared" si="37"/>
        <v>55.164776259722736</v>
      </c>
      <c r="AA87" s="381">
        <f t="shared" si="38"/>
        <v>57.029662931974919</v>
      </c>
      <c r="AB87" s="193">
        <f t="shared" si="39"/>
        <v>44999</v>
      </c>
      <c r="AC87" s="420">
        <f>IF(OR(t&lt;Tnet,NoTnet),'2022'!Resal_s+('2022'!Salim-'2022'!Resal_s)*(1-EXP(('2022'!Tnet_s-t)/'2022'!Tau_j)),Resal_s+(Salim-Resal_s)*(1-EXP((Tnet_s-t)/Tau_j)))*Salcycl</f>
        <v>3.2700292731461883E-2</v>
      </c>
      <c r="AD87" s="227">
        <f>(INDEX(Models!$BJ87:$BT87,,AH87)*(1-AF87)+INDEX(Models!$BJ87:$BT87,,AH87+1)*AF87-ERP_i)*AE87*Ramure*Pc/MaxiM</f>
        <v>2.5853634538889031E-5</v>
      </c>
      <c r="AE87" s="301">
        <f t="shared" si="40"/>
        <v>0.5</v>
      </c>
      <c r="AF87" s="173">
        <f t="shared" si="41"/>
        <v>0.50194286144896183</v>
      </c>
      <c r="AG87" s="172">
        <f t="shared" si="42"/>
        <v>0</v>
      </c>
      <c r="AH87" s="172">
        <f t="shared" si="43"/>
        <v>6</v>
      </c>
      <c r="AI87" s="221">
        <f t="shared" si="44"/>
        <v>0.50194286144896183</v>
      </c>
      <c r="AJ87" s="261" t="b">
        <f t="shared" si="45"/>
        <v>0</v>
      </c>
      <c r="AK87" s="261" t="b">
        <f t="shared" si="46"/>
        <v>0</v>
      </c>
      <c r="AL87" s="261"/>
      <c r="AM87" s="261"/>
      <c r="AN87" s="75"/>
    </row>
    <row r="88" spans="1:40" s="6" customFormat="1" ht="11.25" x14ac:dyDescent="0.2">
      <c r="A88" s="56">
        <f t="shared" si="47"/>
        <v>45000</v>
      </c>
      <c r="B88" s="406">
        <f>'2022'!Wh/'2022'!Env_an*'2023'!Env_an</f>
        <v>58.394533593880006</v>
      </c>
      <c r="C88" s="385"/>
      <c r="D88" s="388">
        <f t="shared" si="25"/>
        <v>58.856795164387542</v>
      </c>
      <c r="E88" s="380">
        <f t="shared" si="48"/>
        <v>60.84927291760539</v>
      </c>
      <c r="F88" s="380">
        <f t="shared" si="26"/>
        <v>60.84929622374171</v>
      </c>
      <c r="G88" s="110">
        <f t="shared" si="49"/>
        <v>0.31057953975259817</v>
      </c>
      <c r="H88" s="409" t="b">
        <f>Wh_hp&gt;='2022'!Maxi_hp</f>
        <v>0</v>
      </c>
      <c r="I88" s="385">
        <f>IF(H88,Wh_hp,'2022'!Maxi_hp)</f>
        <v>60.850782095593019</v>
      </c>
      <c r="J88" s="85">
        <f>IF(H88,An,'2022'!An_max)</f>
        <v>2022</v>
      </c>
      <c r="K88" s="193">
        <f t="shared" si="27"/>
        <v>45000</v>
      </c>
      <c r="L88" s="143">
        <f>IF(t&lt;Tvie,1-EXP((T0-t)*PertePVj)+'2022'!Pspv,1-EXP((T0-t)*PertePVj)+Pspv)</f>
        <v>7.8540051189744942E-3</v>
      </c>
      <c r="M88" s="835"/>
      <c r="N88" s="835"/>
      <c r="O88" s="48">
        <f>IF(t&lt;Tnet,'2022'!Resal+('2022'!Salim-'2022'!Resal)*(1-EXP(('2022'!Tnet-t)/('2022'!Tau_j))),Resal+(Salim-Resal)*(1-EXP((Tnet-t)/(Tau_j))))*Salcycl</f>
        <v>3.2744479230110361E-2</v>
      </c>
      <c r="P88" s="165">
        <f>(INDEX(Models!$BJ88:$BT88,,T88)*(1-R88)+INDEX(Models!$BJ88:$BT88,,T88+1)*R88-ERP_i)*Q88*Ramure*Pc/MaxiM</f>
        <v>2.5323755767811799E-5</v>
      </c>
      <c r="Q88" s="301">
        <f t="shared" si="28"/>
        <v>0.5</v>
      </c>
      <c r="R88" s="173">
        <f t="shared" si="29"/>
        <v>0.50247786538059347</v>
      </c>
      <c r="S88" s="801">
        <f t="shared" si="30"/>
        <v>0</v>
      </c>
      <c r="T88" s="172">
        <f t="shared" si="31"/>
        <v>6</v>
      </c>
      <c r="U88" s="247">
        <f t="shared" si="32"/>
        <v>0.50247786538059347</v>
      </c>
      <c r="V88" s="378">
        <f t="shared" si="33"/>
        <v>188.01327749039046</v>
      </c>
      <c r="W88" s="397">
        <f t="shared" si="34"/>
        <v>58.394533593880006</v>
      </c>
      <c r="X88" s="153">
        <f t="shared" si="35"/>
        <v>45000</v>
      </c>
      <c r="Y88" s="380">
        <f t="shared" si="36"/>
        <v>58.394533593880006</v>
      </c>
      <c r="Z88" s="380">
        <f t="shared" si="37"/>
        <v>58.856795164387542</v>
      </c>
      <c r="AA88" s="381">
        <f t="shared" si="38"/>
        <v>60.84927291760539</v>
      </c>
      <c r="AB88" s="193">
        <f t="shared" si="39"/>
        <v>45000</v>
      </c>
      <c r="AC88" s="420">
        <f>IF(OR(t&lt;Tnet,NoTnet),'2022'!Resal_s+('2022'!Salim-'2022'!Resal_s)*(1-EXP(('2022'!Tnet_s-t)/'2022'!Tau_j)),Resal_s+(Salim-Resal_s)*(1-EXP((Tnet_s-t)/Tau_j)))*Salcycl</f>
        <v>3.2744479230110361E-2</v>
      </c>
      <c r="AD88" s="227">
        <f>(INDEX(Models!$BJ88:$BT88,,AH88)*(1-AF88)+INDEX(Models!$BJ88:$BT88,,AH88+1)*AF88-ERP_i)*AE88*Ramure*Pc/MaxiM</f>
        <v>2.5323755767811799E-5</v>
      </c>
      <c r="AE88" s="301">
        <f t="shared" si="40"/>
        <v>0.5</v>
      </c>
      <c r="AF88" s="173">
        <f t="shared" si="41"/>
        <v>0.50247786538059347</v>
      </c>
      <c r="AG88" s="172">
        <f t="shared" si="42"/>
        <v>0</v>
      </c>
      <c r="AH88" s="172">
        <f t="shared" si="43"/>
        <v>6</v>
      </c>
      <c r="AI88" s="221">
        <f t="shared" si="44"/>
        <v>0.50247786538059347</v>
      </c>
      <c r="AJ88" s="261" t="b">
        <f t="shared" si="45"/>
        <v>0</v>
      </c>
      <c r="AK88" s="261" t="b">
        <f t="shared" si="46"/>
        <v>0</v>
      </c>
      <c r="AL88" s="261"/>
      <c r="AM88" s="261"/>
      <c r="AN88" s="75"/>
    </row>
    <row r="89" spans="1:40" s="6" customFormat="1" ht="11.25" customHeight="1" x14ac:dyDescent="0.2">
      <c r="A89" s="56">
        <f t="shared" si="47"/>
        <v>45001</v>
      </c>
      <c r="B89" s="406">
        <f>'2022'!Wh/'2022'!Env_an*'2023'!Env_an</f>
        <v>38.811559048221959</v>
      </c>
      <c r="C89" s="385"/>
      <c r="D89" s="388">
        <f t="shared" si="25"/>
        <v>39.119333801070468</v>
      </c>
      <c r="E89" s="380">
        <f t="shared" si="48"/>
        <v>40.445490254147906</v>
      </c>
      <c r="F89" s="380">
        <f t="shared" si="26"/>
        <v>40.445490254147906</v>
      </c>
      <c r="G89" s="110">
        <f t="shared" si="49"/>
        <v>0.20502927891793352</v>
      </c>
      <c r="H89" s="409" t="b">
        <f>Wh_hp&gt;='2022'!Maxi_hp</f>
        <v>0</v>
      </c>
      <c r="I89" s="385">
        <f>IF(H89,Wh_hp,'2022'!Maxi_hp)</f>
        <v>40.446477610903443</v>
      </c>
      <c r="J89" s="85">
        <f>IF(H89,An,'2022'!An_max)</f>
        <v>2022</v>
      </c>
      <c r="K89" s="193">
        <f t="shared" si="27"/>
        <v>45001</v>
      </c>
      <c r="L89" s="143">
        <f>IF(t&lt;Tvie,1-EXP((T0-t)*PertePVj)+'2022'!Pspv,1-EXP((T0-t)*PertePVj)+Pspv)</f>
        <v>7.8675867644781849E-3</v>
      </c>
      <c r="M89" s="835"/>
      <c r="N89" s="835"/>
      <c r="O89" s="48">
        <f>IF(t&lt;Tnet,'2022'!Resal+('2022'!Salim-'2022'!Resal)*(1-EXP(('2022'!Tnet-t)/('2022'!Tau_j))),Resal+(Salim-Resal)*(1-EXP((Tnet-t)/(Tau_j))))*Salcycl</f>
        <v>3.278873478215371E-2</v>
      </c>
      <c r="P89" s="165">
        <f>(INDEX(Models!$BJ89:$BT89,,T89)*(1-R89)+INDEX(Models!$BJ89:$BT89,,T89+1)*R89-ERP_i)*Q89*Ramure*Pc/MaxiM</f>
        <v>2.4963076061334394E-5</v>
      </c>
      <c r="Q89" s="301">
        <f t="shared" si="28"/>
        <v>0.5</v>
      </c>
      <c r="R89" s="173">
        <f t="shared" si="29"/>
        <v>0.50303406667336537</v>
      </c>
      <c r="S89" s="801">
        <f t="shared" si="30"/>
        <v>0</v>
      </c>
      <c r="T89" s="172">
        <f t="shared" si="31"/>
        <v>6</v>
      </c>
      <c r="U89" s="247">
        <f t="shared" si="32"/>
        <v>0.50303406667336537</v>
      </c>
      <c r="V89" s="378">
        <f t="shared" si="33"/>
        <v>189.29291658805465</v>
      </c>
      <c r="W89" s="397">
        <f t="shared" si="34"/>
        <v>38.811559048221959</v>
      </c>
      <c r="X89" s="153">
        <f t="shared" si="35"/>
        <v>45001</v>
      </c>
      <c r="Y89" s="380">
        <f t="shared" si="36"/>
        <v>38.811559048221959</v>
      </c>
      <c r="Z89" s="380">
        <f t="shared" si="37"/>
        <v>39.119333801070468</v>
      </c>
      <c r="AA89" s="381">
        <f t="shared" si="38"/>
        <v>40.445490254147906</v>
      </c>
      <c r="AB89" s="193">
        <f t="shared" si="39"/>
        <v>45001</v>
      </c>
      <c r="AC89" s="420">
        <f>IF(OR(t&lt;Tnet,NoTnet),'2022'!Resal_s+('2022'!Salim-'2022'!Resal_s)*(1-EXP(('2022'!Tnet_s-t)/'2022'!Tau_j)),Resal_s+(Salim-Resal_s)*(1-EXP((Tnet_s-t)/Tau_j)))*Salcycl</f>
        <v>3.278873478215371E-2</v>
      </c>
      <c r="AD89" s="227">
        <f>(INDEX(Models!$BJ89:$BT89,,AH89)*(1-AF89)+INDEX(Models!$BJ89:$BT89,,AH89+1)*AF89-ERP_i)*AE89*Ramure*Pc/MaxiM</f>
        <v>2.4963076061334394E-5</v>
      </c>
      <c r="AE89" s="301">
        <f t="shared" si="40"/>
        <v>0.5</v>
      </c>
      <c r="AF89" s="173">
        <f t="shared" si="41"/>
        <v>0.50303406667336537</v>
      </c>
      <c r="AG89" s="172">
        <f t="shared" si="42"/>
        <v>0</v>
      </c>
      <c r="AH89" s="172">
        <f t="shared" si="43"/>
        <v>6</v>
      </c>
      <c r="AI89" s="221">
        <f t="shared" si="44"/>
        <v>0.50303406667336537</v>
      </c>
      <c r="AJ89" s="261" t="b">
        <f t="shared" si="45"/>
        <v>0</v>
      </c>
      <c r="AK89" s="261" t="b">
        <f t="shared" si="46"/>
        <v>0</v>
      </c>
      <c r="AL89" s="261"/>
      <c r="AM89" s="261"/>
      <c r="AN89" s="75"/>
    </row>
    <row r="90" spans="1:40" s="6" customFormat="1" ht="11.25" customHeight="1" x14ac:dyDescent="0.2">
      <c r="A90" s="56">
        <f t="shared" si="47"/>
        <v>45002</v>
      </c>
      <c r="B90" s="406">
        <f>'2022'!Wh/'2022'!Env_an*'2023'!Env_an</f>
        <v>49.850335051045676</v>
      </c>
      <c r="C90" s="385"/>
      <c r="D90" s="388">
        <f t="shared" si="25"/>
        <v>50.246334868789077</v>
      </c>
      <c r="E90" s="380">
        <f t="shared" si="48"/>
        <v>51.95208124961588</v>
      </c>
      <c r="F90" s="380">
        <f t="shared" si="26"/>
        <v>51.95208124961588</v>
      </c>
      <c r="G90" s="110">
        <f t="shared" si="49"/>
        <v>0.26158507655390811</v>
      </c>
      <c r="H90" s="409" t="b">
        <f>Wh_hp&gt;='2022'!Maxi_hp</f>
        <v>0</v>
      </c>
      <c r="I90" s="385">
        <f>IF(H90,Wh_hp,'2022'!Maxi_hp)</f>
        <v>51.95333809562544</v>
      </c>
      <c r="J90" s="85">
        <f>IF(H90,An,'2022'!An_max)</f>
        <v>2022</v>
      </c>
      <c r="K90" s="193">
        <f t="shared" si="27"/>
        <v>45002</v>
      </c>
      <c r="L90" s="143">
        <f>IF(t&lt;Tvie,1-EXP((T0-t)*PertePVj)+'2022'!Pspv,1-EXP((T0-t)*PertePVj)+Pspv)</f>
        <v>7.8811682240604863E-3</v>
      </c>
      <c r="M90" s="835"/>
      <c r="N90" s="835"/>
      <c r="O90" s="48">
        <f>IF(t&lt;Tnet,'2022'!Resal+('2022'!Salim-'2022'!Resal)*(1-EXP(('2022'!Tnet-t)/('2022'!Tau_j))),Resal+(Salim-Resal)*(1-EXP((Tnet-t)/(Tau_j))))*Salcycl</f>
        <v>3.2833071164774866E-2</v>
      </c>
      <c r="P90" s="165">
        <f>(INDEX(Models!$BJ90:$BT90,,T90)*(1-R90)+INDEX(Models!$BJ90:$BT90,,T90+1)*R90-ERP_i)*Q90*Ramure*Pc/MaxiM</f>
        <v>2.476886564073028E-5</v>
      </c>
      <c r="Q90" s="301">
        <f t="shared" si="28"/>
        <v>0.5</v>
      </c>
      <c r="R90" s="173">
        <f t="shared" si="29"/>
        <v>0.50361225239912966</v>
      </c>
      <c r="S90" s="801">
        <f t="shared" si="30"/>
        <v>0</v>
      </c>
      <c r="T90" s="172">
        <f t="shared" si="31"/>
        <v>6</v>
      </c>
      <c r="U90" s="247">
        <f t="shared" si="32"/>
        <v>0.50361225239912966</v>
      </c>
      <c r="V90" s="378">
        <f t="shared" si="33"/>
        <v>190.56553596826313</v>
      </c>
      <c r="W90" s="397">
        <f t="shared" si="34"/>
        <v>49.850335051045676</v>
      </c>
      <c r="X90" s="153">
        <f t="shared" si="35"/>
        <v>45002</v>
      </c>
      <c r="Y90" s="380">
        <f t="shared" si="36"/>
        <v>49.850335051045676</v>
      </c>
      <c r="Z90" s="380">
        <f t="shared" si="37"/>
        <v>50.246334868789077</v>
      </c>
      <c r="AA90" s="381">
        <f t="shared" si="38"/>
        <v>51.95208124961588</v>
      </c>
      <c r="AB90" s="193">
        <f t="shared" si="39"/>
        <v>45002</v>
      </c>
      <c r="AC90" s="420">
        <f>IF(OR(t&lt;Tnet,NoTnet),'2022'!Resal_s+('2022'!Salim-'2022'!Resal_s)*(1-EXP(('2022'!Tnet_s-t)/'2022'!Tau_j)),Resal_s+(Salim-Resal_s)*(1-EXP((Tnet_s-t)/Tau_j)))*Salcycl</f>
        <v>3.2833071164774866E-2</v>
      </c>
      <c r="AD90" s="227">
        <f>(INDEX(Models!$BJ90:$BT90,,AH90)*(1-AF90)+INDEX(Models!$BJ90:$BT90,,AH90+1)*AF90-ERP_i)*AE90*Ramure*Pc/MaxiM</f>
        <v>2.476886564073028E-5</v>
      </c>
      <c r="AE90" s="301">
        <f t="shared" si="40"/>
        <v>0.5</v>
      </c>
      <c r="AF90" s="173">
        <f t="shared" si="41"/>
        <v>0.50361225239912966</v>
      </c>
      <c r="AG90" s="172">
        <f t="shared" si="42"/>
        <v>0</v>
      </c>
      <c r="AH90" s="172">
        <f t="shared" si="43"/>
        <v>6</v>
      </c>
      <c r="AI90" s="221">
        <f t="shared" si="44"/>
        <v>0.50361225239912966</v>
      </c>
      <c r="AJ90" s="261" t="b">
        <f t="shared" si="45"/>
        <v>0</v>
      </c>
      <c r="AK90" s="261" t="b">
        <f t="shared" si="46"/>
        <v>0</v>
      </c>
      <c r="AL90" s="261"/>
      <c r="AM90" s="261"/>
      <c r="AN90" s="75"/>
    </row>
    <row r="91" spans="1:40" s="6" customFormat="1" ht="11.25" customHeight="1" x14ac:dyDescent="0.2">
      <c r="A91" s="56">
        <f t="shared" si="47"/>
        <v>45003</v>
      </c>
      <c r="B91" s="406">
        <f>'2022'!Wh/'2022'!Env_an*'2023'!Env_an</f>
        <v>52.63022446054481</v>
      </c>
      <c r="C91" s="385"/>
      <c r="D91" s="388">
        <f t="shared" si="25"/>
        <v>53.049033289461534</v>
      </c>
      <c r="E91" s="380">
        <f t="shared" si="48"/>
        <v>54.852444563981805</v>
      </c>
      <c r="F91" s="380">
        <f t="shared" si="26"/>
        <v>54.852444563981805</v>
      </c>
      <c r="G91" s="110">
        <f t="shared" si="49"/>
        <v>0.27434961852138601</v>
      </c>
      <c r="H91" s="409" t="b">
        <f>Wh_hp&gt;='2022'!Maxi_hp</f>
        <v>0</v>
      </c>
      <c r="I91" s="385">
        <f>IF(H91,Wh_hp,'2022'!Maxi_hp)</f>
        <v>54.853768261754404</v>
      </c>
      <c r="J91" s="85">
        <f>IF(H91,An,'2022'!An_max)</f>
        <v>2022</v>
      </c>
      <c r="K91" s="193">
        <f t="shared" si="27"/>
        <v>45003</v>
      </c>
      <c r="L91" s="143">
        <f>IF(t&lt;Tvie,1-EXP((T0-t)*PertePVj)+'2022'!Pspv,1-EXP((T0-t)*PertePVj)+Pspv)</f>
        <v>7.8947494977240629E-3</v>
      </c>
      <c r="M91" s="835"/>
      <c r="N91" s="835"/>
      <c r="O91" s="48">
        <f>IF(t&lt;Tnet,'2022'!Resal+('2022'!Salim-'2022'!Resal)*(1-EXP(('2022'!Tnet-t)/('2022'!Tau_j))),Resal+(Salim-Resal)*(1-EXP((Tnet-t)/(Tau_j))))*Salcycl</f>
        <v>3.2877500517168583E-2</v>
      </c>
      <c r="P91" s="165">
        <f>(INDEX(Models!$BJ91:$BT91,,T91)*(1-R91)+INDEX(Models!$BJ91:$BT91,,T91+1)*R91-ERP_i)*Q91*Ramure*Pc/MaxiM</f>
        <v>2.4738590154827326E-5</v>
      </c>
      <c r="Q91" s="301">
        <f t="shared" si="28"/>
        <v>0.5</v>
      </c>
      <c r="R91" s="173">
        <f t="shared" si="29"/>
        <v>0.50421323447775501</v>
      </c>
      <c r="S91" s="801">
        <f t="shared" si="30"/>
        <v>0</v>
      </c>
      <c r="T91" s="172">
        <f t="shared" si="31"/>
        <v>6</v>
      </c>
      <c r="U91" s="247">
        <f t="shared" si="32"/>
        <v>0.50421323447775501</v>
      </c>
      <c r="V91" s="378">
        <f t="shared" si="33"/>
        <v>191.83158608580172</v>
      </c>
      <c r="W91" s="397">
        <f t="shared" si="34"/>
        <v>52.63022446054481</v>
      </c>
      <c r="X91" s="153">
        <f t="shared" si="35"/>
        <v>45003</v>
      </c>
      <c r="Y91" s="380">
        <f t="shared" si="36"/>
        <v>52.63022446054481</v>
      </c>
      <c r="Z91" s="380">
        <f t="shared" si="37"/>
        <v>53.049033289461534</v>
      </c>
      <c r="AA91" s="381">
        <f t="shared" si="38"/>
        <v>54.852444563981805</v>
      </c>
      <c r="AB91" s="193">
        <f t="shared" si="39"/>
        <v>45003</v>
      </c>
      <c r="AC91" s="420">
        <f>IF(OR(t&lt;Tnet,NoTnet),'2022'!Resal_s+('2022'!Salim-'2022'!Resal_s)*(1-EXP(('2022'!Tnet_s-t)/'2022'!Tau_j)),Resal_s+(Salim-Resal_s)*(1-EXP((Tnet_s-t)/Tau_j)))*Salcycl</f>
        <v>3.2877500517168583E-2</v>
      </c>
      <c r="AD91" s="227">
        <f>(INDEX(Models!$BJ91:$BT91,,AH91)*(1-AF91)+INDEX(Models!$BJ91:$BT91,,AH91+1)*AF91-ERP_i)*AE91*Ramure*Pc/MaxiM</f>
        <v>2.4738590154827326E-5</v>
      </c>
      <c r="AE91" s="301">
        <f t="shared" si="40"/>
        <v>0.5</v>
      </c>
      <c r="AF91" s="173">
        <f t="shared" si="41"/>
        <v>0.50421323447775501</v>
      </c>
      <c r="AG91" s="172">
        <f t="shared" si="42"/>
        <v>0</v>
      </c>
      <c r="AH91" s="172">
        <f t="shared" si="43"/>
        <v>6</v>
      </c>
      <c r="AI91" s="221">
        <f t="shared" si="44"/>
        <v>0.50421323447775501</v>
      </c>
      <c r="AJ91" s="261" t="b">
        <f t="shared" si="45"/>
        <v>0</v>
      </c>
      <c r="AK91" s="261" t="b">
        <f t="shared" si="46"/>
        <v>0</v>
      </c>
      <c r="AL91" s="261"/>
      <c r="AM91" s="261"/>
      <c r="AN91" s="75"/>
    </row>
    <row r="92" spans="1:40" s="6" customFormat="1" ht="11.25" customHeight="1" x14ac:dyDescent="0.2">
      <c r="A92" s="56">
        <f t="shared" si="47"/>
        <v>45004</v>
      </c>
      <c r="B92" s="406">
        <f>'2022'!Wh/'2022'!Env_an*'2023'!Env_an</f>
        <v>119.60588077976382</v>
      </c>
      <c r="C92" s="385"/>
      <c r="D92" s="388">
        <f t="shared" si="25"/>
        <v>120.55930360784892</v>
      </c>
      <c r="E92" s="380">
        <f t="shared" si="48"/>
        <v>124.66347906659338</v>
      </c>
      <c r="F92" s="380">
        <f t="shared" si="26"/>
        <v>124.66489385146848</v>
      </c>
      <c r="G92" s="110">
        <f t="shared" si="49"/>
        <v>0.61941749341926178</v>
      </c>
      <c r="H92" s="409" t="b">
        <f>Wh_hp&gt;='2022'!Maxi_hp</f>
        <v>0</v>
      </c>
      <c r="I92" s="385">
        <f>IF(H92,Wh_hp,'2022'!Maxi_hp)</f>
        <v>124.66653595524753</v>
      </c>
      <c r="J92" s="85">
        <f>IF(H92,An,'2022'!An_max)</f>
        <v>2022</v>
      </c>
      <c r="K92" s="193">
        <f t="shared" si="27"/>
        <v>45004</v>
      </c>
      <c r="L92" s="143">
        <f>IF(t&lt;Tvie,1-EXP((T0-t)*PertePVj)+'2022'!Pspv,1-EXP((T0-t)*PertePVj)+Pspv)</f>
        <v>7.9083305854714681E-3</v>
      </c>
      <c r="M92" s="835"/>
      <c r="N92" s="835"/>
      <c r="O92" s="48">
        <f>IF(t&lt;Tnet,'2022'!Resal+('2022'!Salim-'2022'!Resal)*(1-EXP(('2022'!Tnet-t)/('2022'!Tau_j))),Resal+(Salim-Resal)*(1-EXP((Tnet-t)/(Tau_j))))*Salcycl</f>
        <v>3.2922035302352486E-2</v>
      </c>
      <c r="P92" s="165">
        <f>(INDEX(Models!$BJ92:$BT92,,T92)*(1-R92)+INDEX(Models!$BJ92:$BT92,,T92+1)*R92-ERP_i)*Q92*Ramure*Pc/MaxiM</f>
        <v>2.4869908755729869E-5</v>
      </c>
      <c r="Q92" s="301">
        <f t="shared" si="28"/>
        <v>0.5</v>
      </c>
      <c r="R92" s="173">
        <f t="shared" si="29"/>
        <v>0.50483785009196158</v>
      </c>
      <c r="S92" s="801">
        <f t="shared" si="30"/>
        <v>0</v>
      </c>
      <c r="T92" s="172">
        <f t="shared" si="31"/>
        <v>6</v>
      </c>
      <c r="U92" s="247">
        <f t="shared" si="32"/>
        <v>0.50483785009196158</v>
      </c>
      <c r="V92" s="378">
        <f t="shared" si="33"/>
        <v>193.09151713729568</v>
      </c>
      <c r="W92" s="397">
        <f t="shared" si="34"/>
        <v>119.60588077976382</v>
      </c>
      <c r="X92" s="153">
        <f t="shared" si="35"/>
        <v>45004</v>
      </c>
      <c r="Y92" s="380">
        <f t="shared" si="36"/>
        <v>119.60588077976382</v>
      </c>
      <c r="Z92" s="380">
        <f t="shared" si="37"/>
        <v>120.55930360784892</v>
      </c>
      <c r="AA92" s="381">
        <f t="shared" si="38"/>
        <v>124.66347906659338</v>
      </c>
      <c r="AB92" s="193">
        <f t="shared" si="39"/>
        <v>45004</v>
      </c>
      <c r="AC92" s="420">
        <f>IF(OR(t&lt;Tnet,NoTnet),'2022'!Resal_s+('2022'!Salim-'2022'!Resal_s)*(1-EXP(('2022'!Tnet_s-t)/'2022'!Tau_j)),Resal_s+(Salim-Resal_s)*(1-EXP((Tnet_s-t)/Tau_j)))*Salcycl</f>
        <v>3.2922035302352486E-2</v>
      </c>
      <c r="AD92" s="227">
        <f>(INDEX(Models!$BJ92:$BT92,,AH92)*(1-AF92)+INDEX(Models!$BJ92:$BT92,,AH92+1)*AF92-ERP_i)*AE92*Ramure*Pc/MaxiM</f>
        <v>2.4869908755729869E-5</v>
      </c>
      <c r="AE92" s="301">
        <f t="shared" si="40"/>
        <v>0.5</v>
      </c>
      <c r="AF92" s="173">
        <f t="shared" si="41"/>
        <v>0.50483785009196158</v>
      </c>
      <c r="AG92" s="172">
        <f t="shared" si="42"/>
        <v>0</v>
      </c>
      <c r="AH92" s="172">
        <f t="shared" si="43"/>
        <v>6</v>
      </c>
      <c r="AI92" s="221">
        <f t="shared" si="44"/>
        <v>0.50483785009196158</v>
      </c>
      <c r="AJ92" s="261" t="b">
        <f t="shared" si="45"/>
        <v>0</v>
      </c>
      <c r="AK92" s="261" t="b">
        <f t="shared" si="46"/>
        <v>0</v>
      </c>
      <c r="AL92" s="261"/>
      <c r="AM92" s="261"/>
      <c r="AN92" s="75"/>
    </row>
    <row r="93" spans="1:40" s="6" customFormat="1" ht="11.25" x14ac:dyDescent="0.2">
      <c r="A93" s="56">
        <f t="shared" si="47"/>
        <v>45005</v>
      </c>
      <c r="B93" s="406">
        <f>'2022'!Wh/'2022'!Env_an*'2023'!Env_an</f>
        <v>127.74906057386252</v>
      </c>
      <c r="C93" s="385"/>
      <c r="D93" s="388">
        <f t="shared" si="25"/>
        <v>128.76915844939339</v>
      </c>
      <c r="E93" s="380">
        <f t="shared" si="48"/>
        <v>133.15896865931961</v>
      </c>
      <c r="F93" s="380">
        <f t="shared" si="26"/>
        <v>133.16067878995443</v>
      </c>
      <c r="G93" s="110">
        <f t="shared" si="49"/>
        <v>0.65729990726442222</v>
      </c>
      <c r="H93" s="409" t="b">
        <f>Wh_hp&gt;='2022'!Maxi_hp</f>
        <v>0</v>
      </c>
      <c r="I93" s="385">
        <f>IF(H93,Wh_hp,'2022'!Maxi_hp)</f>
        <v>133.16227442268254</v>
      </c>
      <c r="J93" s="85">
        <f>IF(H93,An,'2022'!An_max)</f>
        <v>2022</v>
      </c>
      <c r="K93" s="193">
        <f t="shared" si="27"/>
        <v>45005</v>
      </c>
      <c r="L93" s="143">
        <f>IF(t&lt;Tvie,1-EXP((T0-t)*PertePVj)+'2022'!Pspv,1-EXP((T0-t)*PertePVj)+Pspv)</f>
        <v>7.9219114873050334E-3</v>
      </c>
      <c r="M93" s="835"/>
      <c r="N93" s="835"/>
      <c r="O93" s="48">
        <f>IF(t&lt;Tnet,'2022'!Resal+('2022'!Salim-'2022'!Resal)*(1-EXP(('2022'!Tnet-t)/('2022'!Tau_j))),Resal+(Salim-Resal)*(1-EXP((Tnet-t)/(Tau_j))))*Salcycl</f>
        <v>3.2966688268345853E-2</v>
      </c>
      <c r="P93" s="165">
        <f>(INDEX(Models!$BJ93:$BT93,,T93)*(1-R93)+INDEX(Models!$BJ93:$BT93,,T93+1)*R93-ERP_i)*Q93*Ramure*Pc/MaxiM</f>
        <v>2.515988097194052E-5</v>
      </c>
      <c r="Q93" s="301">
        <f t="shared" si="28"/>
        <v>0.5</v>
      </c>
      <c r="R93" s="173">
        <f t="shared" si="29"/>
        <v>0.5054869620745831</v>
      </c>
      <c r="S93" s="801">
        <f t="shared" si="30"/>
        <v>0</v>
      </c>
      <c r="T93" s="172">
        <f t="shared" si="31"/>
        <v>6</v>
      </c>
      <c r="U93" s="247">
        <f t="shared" si="32"/>
        <v>0.5054869620745831</v>
      </c>
      <c r="V93" s="378">
        <f t="shared" si="33"/>
        <v>194.35190180612446</v>
      </c>
      <c r="W93" s="397">
        <f t="shared" si="34"/>
        <v>127.74906057386252</v>
      </c>
      <c r="X93" s="153">
        <f t="shared" si="35"/>
        <v>45005</v>
      </c>
      <c r="Y93" s="380">
        <f t="shared" si="36"/>
        <v>127.74906057386254</v>
      </c>
      <c r="Z93" s="380">
        <f t="shared" si="37"/>
        <v>128.76915844939339</v>
      </c>
      <c r="AA93" s="381">
        <f t="shared" si="38"/>
        <v>133.15896865931961</v>
      </c>
      <c r="AB93" s="193">
        <f t="shared" si="39"/>
        <v>45005</v>
      </c>
      <c r="AC93" s="420">
        <f>IF(OR(t&lt;Tnet,NoTnet),'2022'!Resal_s+('2022'!Salim-'2022'!Resal_s)*(1-EXP(('2022'!Tnet_s-t)/'2022'!Tau_j)),Resal_s+(Salim-Resal_s)*(1-EXP((Tnet_s-t)/Tau_j)))*Salcycl</f>
        <v>3.2966688268345853E-2</v>
      </c>
      <c r="AD93" s="227">
        <f>(INDEX(Models!$BJ93:$BT93,,AH93)*(1-AF93)+INDEX(Models!$BJ93:$BT93,,AH93+1)*AF93-ERP_i)*AE93*Ramure*Pc/MaxiM</f>
        <v>2.515988097194052E-5</v>
      </c>
      <c r="AE93" s="301">
        <f t="shared" si="40"/>
        <v>0.5</v>
      </c>
      <c r="AF93" s="173">
        <f t="shared" si="41"/>
        <v>0.5054869620745831</v>
      </c>
      <c r="AG93" s="172">
        <f t="shared" si="42"/>
        <v>0</v>
      </c>
      <c r="AH93" s="172">
        <f t="shared" si="43"/>
        <v>6</v>
      </c>
      <c r="AI93" s="221">
        <f t="shared" si="44"/>
        <v>0.5054869620745831</v>
      </c>
      <c r="AJ93" s="261" t="b">
        <f t="shared" si="45"/>
        <v>0</v>
      </c>
      <c r="AK93" s="261" t="b">
        <f t="shared" si="46"/>
        <v>0</v>
      </c>
      <c r="AL93" s="261"/>
      <c r="AM93" s="261"/>
      <c r="AN93" s="75"/>
    </row>
    <row r="94" spans="1:40" s="6" customFormat="1" ht="11.25" customHeight="1" x14ac:dyDescent="0.2">
      <c r="A94" s="56">
        <f t="shared" si="47"/>
        <v>45006</v>
      </c>
      <c r="B94" s="406">
        <f>'2022'!Wh/'2022'!Env_an*'2023'!Env_an</f>
        <v>184.10779476017049</v>
      </c>
      <c r="C94" s="385"/>
      <c r="D94" s="388">
        <f t="shared" si="25"/>
        <v>185.58046710999318</v>
      </c>
      <c r="E94" s="380">
        <f t="shared" si="48"/>
        <v>191.91589332742129</v>
      </c>
      <c r="F94" s="380">
        <f t="shared" si="26"/>
        <v>191.92038938693119</v>
      </c>
      <c r="G94" s="110">
        <f t="shared" si="49"/>
        <v>0.94116361198144849</v>
      </c>
      <c r="H94" s="409" t="b">
        <f>Wh_hp&gt;='2022'!Maxi_hp</f>
        <v>0</v>
      </c>
      <c r="I94" s="385">
        <f>IF(H94,Wh_hp,'2022'!Maxi_hp)</f>
        <v>191.92079017384989</v>
      </c>
      <c r="J94" s="85">
        <f>IF(H94,An,'2022'!An_max)</f>
        <v>2022</v>
      </c>
      <c r="K94" s="193">
        <f t="shared" si="27"/>
        <v>45006</v>
      </c>
      <c r="L94" s="143">
        <f>IF(t&lt;Tvie,1-EXP((T0-t)*PertePVj)+'2022'!Pspv,1-EXP((T0-t)*PertePVj)+Pspv)</f>
        <v>7.9354922032275343E-3</v>
      </c>
      <c r="M94" s="835"/>
      <c r="N94" s="835"/>
      <c r="O94" s="48">
        <f>IF(t&lt;Tnet,'2022'!Resal+('2022'!Salim-'2022'!Resal)*(1-EXP(('2022'!Tnet-t)/('2022'!Tau_j))),Resal+(Salim-Resal)*(1-EXP((Tnet-t)/(Tau_j))))*Salcycl</f>
        <v>3.3011472409007071E-2</v>
      </c>
      <c r="P94" s="165">
        <f>(INDEX(Models!$BJ94:$BT94,,T94)*(1-R94)+INDEX(Models!$BJ94:$BT94,,T94+1)*R94-ERP_i)*Q94*Ramure*Pc/MaxiM</f>
        <v>2.5576360079490693E-5</v>
      </c>
      <c r="Q94" s="301">
        <f t="shared" si="28"/>
        <v>0.5</v>
      </c>
      <c r="R94" s="173">
        <f t="shared" si="29"/>
        <v>0.50616145926428335</v>
      </c>
      <c r="S94" s="801">
        <f t="shared" si="30"/>
        <v>0</v>
      </c>
      <c r="T94" s="172">
        <f t="shared" si="31"/>
        <v>6</v>
      </c>
      <c r="U94" s="247">
        <f t="shared" si="32"/>
        <v>0.50616145926428335</v>
      </c>
      <c r="V94" s="378">
        <f t="shared" si="33"/>
        <v>195.61678398543015</v>
      </c>
      <c r="W94" s="397">
        <f t="shared" si="34"/>
        <v>184.10779476017049</v>
      </c>
      <c r="X94" s="153">
        <f t="shared" si="35"/>
        <v>45006</v>
      </c>
      <c r="Y94" s="380">
        <f t="shared" si="36"/>
        <v>184.10779476017049</v>
      </c>
      <c r="Z94" s="380">
        <f t="shared" si="37"/>
        <v>185.58046710999318</v>
      </c>
      <c r="AA94" s="381">
        <f t="shared" si="38"/>
        <v>191.91589332742129</v>
      </c>
      <c r="AB94" s="193">
        <f t="shared" si="39"/>
        <v>45006</v>
      </c>
      <c r="AC94" s="420">
        <f>IF(OR(t&lt;Tnet,NoTnet),'2022'!Resal_s+('2022'!Salim-'2022'!Resal_s)*(1-EXP(('2022'!Tnet_s-t)/'2022'!Tau_j)),Resal_s+(Salim-Resal_s)*(1-EXP((Tnet_s-t)/Tau_j)))*Salcycl</f>
        <v>3.3011472409007071E-2</v>
      </c>
      <c r="AD94" s="227">
        <f>(INDEX(Models!$BJ94:$BT94,,AH94)*(1-AF94)+INDEX(Models!$BJ94:$BT94,,AH94+1)*AF94-ERP_i)*AE94*Ramure*Pc/MaxiM</f>
        <v>2.5576360079490693E-5</v>
      </c>
      <c r="AE94" s="301">
        <f t="shared" si="40"/>
        <v>0.5</v>
      </c>
      <c r="AF94" s="173">
        <f t="shared" si="41"/>
        <v>0.50616145926428335</v>
      </c>
      <c r="AG94" s="172">
        <f t="shared" si="42"/>
        <v>0</v>
      </c>
      <c r="AH94" s="172">
        <f t="shared" si="43"/>
        <v>6</v>
      </c>
      <c r="AI94" s="221">
        <f t="shared" si="44"/>
        <v>0.50616145926428335</v>
      </c>
      <c r="AJ94" s="261" t="b">
        <f t="shared" si="45"/>
        <v>0</v>
      </c>
      <c r="AK94" s="261" t="b">
        <f t="shared" si="46"/>
        <v>0</v>
      </c>
      <c r="AL94" s="261"/>
      <c r="AM94" s="261"/>
      <c r="AN94" s="75"/>
    </row>
    <row r="95" spans="1:40" s="6" customFormat="1" ht="11.25" customHeight="1" x14ac:dyDescent="0.2">
      <c r="A95" s="56">
        <f t="shared" si="47"/>
        <v>45007</v>
      </c>
      <c r="B95" s="406">
        <f>'2022'!Wh/'2022'!Env_an*'2023'!Env_an</f>
        <v>163.92150496995973</v>
      </c>
      <c r="C95" s="385"/>
      <c r="D95" s="388">
        <f t="shared" si="25"/>
        <v>165.23496976267822</v>
      </c>
      <c r="E95" s="380">
        <f t="shared" si="48"/>
        <v>170.88377224970745</v>
      </c>
      <c r="F95" s="380">
        <f t="shared" si="26"/>
        <v>170.88715248461014</v>
      </c>
      <c r="G95" s="110">
        <f t="shared" si="49"/>
        <v>0.83257885284190847</v>
      </c>
      <c r="H95" s="409" t="b">
        <f>Wh_hp&gt;='2022'!Maxi_hp</f>
        <v>0</v>
      </c>
      <c r="I95" s="385">
        <f>IF(H95,Wh_hp,'2022'!Maxi_hp)</f>
        <v>170.88818318875792</v>
      </c>
      <c r="J95" s="85">
        <f>IF(H95,An,'2022'!An_max)</f>
        <v>2022</v>
      </c>
      <c r="K95" s="193">
        <f t="shared" si="27"/>
        <v>45007</v>
      </c>
      <c r="L95" s="143">
        <f>IF(t&lt;Tvie,1-EXP((T0-t)*PertePVj)+'2022'!Pspv,1-EXP((T0-t)*PertePVj)+Pspv)</f>
        <v>7.9490727332415245E-3</v>
      </c>
      <c r="M95" s="835"/>
      <c r="N95" s="835"/>
      <c r="O95" s="48">
        <f>IF(t&lt;Tnet,'2022'!Resal+('2022'!Salim-'2022'!Resal)*(1-EXP(('2022'!Tnet-t)/('2022'!Tau_j))),Resal+(Salim-Resal)*(1-EXP((Tnet-t)/(Tau_j))))*Salcycl</f>
        <v>3.3056400924803997E-2</v>
      </c>
      <c r="P95" s="165">
        <f>(INDEX(Models!$BJ95:$BT95,,T95)*(1-R95)+INDEX(Models!$BJ95:$BT95,,T95+1)*R95-ERP_i)*Q95*Ramure*Pc/MaxiM</f>
        <v>2.5998444765524097E-5</v>
      </c>
      <c r="Q95" s="301">
        <f t="shared" si="28"/>
        <v>0.5</v>
      </c>
      <c r="R95" s="173">
        <f t="shared" si="29"/>
        <v>0.50686225682545805</v>
      </c>
      <c r="S95" s="801">
        <f t="shared" si="30"/>
        <v>0</v>
      </c>
      <c r="T95" s="172">
        <f t="shared" si="31"/>
        <v>6</v>
      </c>
      <c r="U95" s="247">
        <f t="shared" si="32"/>
        <v>0.50686225682545805</v>
      </c>
      <c r="V95" s="378">
        <f t="shared" si="33"/>
        <v>196.88283594632466</v>
      </c>
      <c r="W95" s="397">
        <f t="shared" si="34"/>
        <v>163.92150496995973</v>
      </c>
      <c r="X95" s="153">
        <f t="shared" si="35"/>
        <v>45007</v>
      </c>
      <c r="Y95" s="380">
        <f t="shared" si="36"/>
        <v>163.92150496995973</v>
      </c>
      <c r="Z95" s="380">
        <f t="shared" si="37"/>
        <v>165.23496976267822</v>
      </c>
      <c r="AA95" s="381">
        <f t="shared" si="38"/>
        <v>170.88377224970745</v>
      </c>
      <c r="AB95" s="193">
        <f t="shared" si="39"/>
        <v>45007</v>
      </c>
      <c r="AC95" s="420">
        <f>IF(OR(t&lt;Tnet,NoTnet),'2022'!Resal_s+('2022'!Salim-'2022'!Resal_s)*(1-EXP(('2022'!Tnet_s-t)/'2022'!Tau_j)),Resal_s+(Salim-Resal_s)*(1-EXP((Tnet_s-t)/Tau_j)))*Salcycl</f>
        <v>3.3056400924803997E-2</v>
      </c>
      <c r="AD95" s="227">
        <f>(INDEX(Models!$BJ95:$BT95,,AH95)*(1-AF95)+INDEX(Models!$BJ95:$BT95,,AH95+1)*AF95-ERP_i)*AE95*Ramure*Pc/MaxiM</f>
        <v>2.5998444765524097E-5</v>
      </c>
      <c r="AE95" s="301">
        <f t="shared" si="40"/>
        <v>0.5</v>
      </c>
      <c r="AF95" s="173">
        <f t="shared" si="41"/>
        <v>0.50686225682545805</v>
      </c>
      <c r="AG95" s="172">
        <f t="shared" si="42"/>
        <v>0</v>
      </c>
      <c r="AH95" s="172">
        <f t="shared" si="43"/>
        <v>6</v>
      </c>
      <c r="AI95" s="221">
        <f t="shared" si="44"/>
        <v>0.50686225682545805</v>
      </c>
      <c r="AJ95" s="261" t="b">
        <f t="shared" si="45"/>
        <v>0</v>
      </c>
      <c r="AK95" s="261" t="b">
        <f t="shared" si="46"/>
        <v>0</v>
      </c>
      <c r="AL95" s="261"/>
      <c r="AM95" s="261"/>
      <c r="AN95" s="75"/>
    </row>
    <row r="96" spans="1:40" s="6" customFormat="1" ht="11.25" x14ac:dyDescent="0.2">
      <c r="A96" s="56">
        <f t="shared" si="47"/>
        <v>45008</v>
      </c>
      <c r="B96" s="406">
        <f>'2022'!Wh/'2022'!Env_an*'2023'!Env_an</f>
        <v>196.21942083704582</v>
      </c>
      <c r="C96" s="385"/>
      <c r="D96" s="388">
        <f t="shared" si="25"/>
        <v>197.79438893679583</v>
      </c>
      <c r="E96" s="380">
        <f t="shared" si="48"/>
        <v>204.56582186758325</v>
      </c>
      <c r="F96" s="380">
        <f t="shared" si="26"/>
        <v>204.57115292607355</v>
      </c>
      <c r="G96" s="110">
        <f t="shared" si="49"/>
        <v>0.99027307385830043</v>
      </c>
      <c r="H96" s="409" t="b">
        <f>Wh_hp&gt;='2022'!Maxi_hp</f>
        <v>0</v>
      </c>
      <c r="I96" s="385">
        <f>IF(H96,Wh_hp,'2022'!Maxi_hp)</f>
        <v>204.57122568175365</v>
      </c>
      <c r="J96" s="85">
        <f>IF(H96,An,'2022'!An_max)</f>
        <v>2022</v>
      </c>
      <c r="K96" s="193">
        <f t="shared" si="27"/>
        <v>45008</v>
      </c>
      <c r="L96" s="143">
        <f>IF(t&lt;Tvie,1-EXP((T0-t)*PertePVj)+'2022'!Pspv,1-EXP((T0-t)*PertePVj)+Pspv)</f>
        <v>7.9626530773493354E-3</v>
      </c>
      <c r="M96" s="835"/>
      <c r="N96" s="835"/>
      <c r="O96" s="48">
        <f>IF(t&lt;Tnet,'2022'!Resal+('2022'!Salim-'2022'!Resal)*(1-EXP(('2022'!Tnet-t)/('2022'!Tau_j))),Resal+(Salim-Resal)*(1-EXP((Tnet-t)/(Tau_j))))*Salcycl</f>
        <v>3.3101487183771171E-2</v>
      </c>
      <c r="P96" s="165">
        <f>(INDEX(Models!$BJ96:$BT96,,T96)*(1-R96)+INDEX(Models!$BJ96:$BT96,,T96+1)*R96-ERP_i)*Q96*Ramure*Pc/MaxiM</f>
        <v>2.6426882463109487E-5</v>
      </c>
      <c r="Q96" s="301">
        <f t="shared" si="28"/>
        <v>0.5</v>
      </c>
      <c r="R96" s="173">
        <f t="shared" si="29"/>
        <v>0.50759029652775267</v>
      </c>
      <c r="S96" s="801">
        <f t="shared" si="30"/>
        <v>0</v>
      </c>
      <c r="T96" s="172">
        <f t="shared" si="31"/>
        <v>6</v>
      </c>
      <c r="U96" s="247">
        <f t="shared" si="32"/>
        <v>0.50759029652775267</v>
      </c>
      <c r="V96" s="378">
        <f t="shared" si="33"/>
        <v>198.14670716848198</v>
      </c>
      <c r="W96" s="397">
        <f t="shared" si="34"/>
        <v>196.21942083704582</v>
      </c>
      <c r="X96" s="153">
        <f t="shared" si="35"/>
        <v>45008</v>
      </c>
      <c r="Y96" s="380">
        <f t="shared" si="36"/>
        <v>196.21942083704582</v>
      </c>
      <c r="Z96" s="380">
        <f t="shared" si="37"/>
        <v>197.79438893679583</v>
      </c>
      <c r="AA96" s="381">
        <f t="shared" si="38"/>
        <v>204.56582186758325</v>
      </c>
      <c r="AB96" s="193">
        <f t="shared" si="39"/>
        <v>45008</v>
      </c>
      <c r="AC96" s="420">
        <f>IF(OR(t&lt;Tnet,NoTnet),'2022'!Resal_s+('2022'!Salim-'2022'!Resal_s)*(1-EXP(('2022'!Tnet_s-t)/'2022'!Tau_j)),Resal_s+(Salim-Resal_s)*(1-EXP((Tnet_s-t)/Tau_j)))*Salcycl</f>
        <v>3.3101487183771171E-2</v>
      </c>
      <c r="AD96" s="227">
        <f>(INDEX(Models!$BJ96:$BT96,,AH96)*(1-AF96)+INDEX(Models!$BJ96:$BT96,,AH96+1)*AF96-ERP_i)*AE96*Ramure*Pc/MaxiM</f>
        <v>2.6426882463109487E-5</v>
      </c>
      <c r="AE96" s="301">
        <f t="shared" si="40"/>
        <v>0.5</v>
      </c>
      <c r="AF96" s="173">
        <f t="shared" si="41"/>
        <v>0.50759029652775267</v>
      </c>
      <c r="AG96" s="172">
        <f t="shared" si="42"/>
        <v>0</v>
      </c>
      <c r="AH96" s="172">
        <f t="shared" si="43"/>
        <v>6</v>
      </c>
      <c r="AI96" s="221">
        <f t="shared" si="44"/>
        <v>0.50759029652775267</v>
      </c>
      <c r="AJ96" s="261" t="b">
        <f t="shared" si="45"/>
        <v>0</v>
      </c>
      <c r="AK96" s="261" t="b">
        <f t="shared" si="46"/>
        <v>0</v>
      </c>
      <c r="AL96" s="261"/>
      <c r="AM96" s="261"/>
      <c r="AN96" s="75"/>
    </row>
    <row r="97" spans="1:40" s="6" customFormat="1" ht="11.25" customHeight="1" x14ac:dyDescent="0.2">
      <c r="A97" s="56">
        <f t="shared" si="47"/>
        <v>45009</v>
      </c>
      <c r="B97" s="406">
        <f>'2022'!Wh/'2022'!Env_an*'2023'!Env_an</f>
        <v>194.58610796650933</v>
      </c>
      <c r="C97" s="385"/>
      <c r="D97" s="388">
        <f t="shared" si="25"/>
        <v>196.15065131066899</v>
      </c>
      <c r="E97" s="380">
        <f t="shared" si="48"/>
        <v>202.8753073250337</v>
      </c>
      <c r="F97" s="380">
        <f t="shared" si="26"/>
        <v>202.88056904518299</v>
      </c>
      <c r="G97" s="110">
        <f t="shared" si="49"/>
        <v>0.97583250577243497</v>
      </c>
      <c r="H97" s="409" t="b">
        <f>Wh_hp&gt;='2022'!Maxi_hp</f>
        <v>0</v>
      </c>
      <c r="I97" s="385">
        <f>IF(H97,Wh_hp,'2022'!Maxi_hp)</f>
        <v>202.880750987478</v>
      </c>
      <c r="J97" s="85">
        <f>IF(H97,An,'2022'!An_max)</f>
        <v>2022</v>
      </c>
      <c r="K97" s="193">
        <f t="shared" si="27"/>
        <v>45009</v>
      </c>
      <c r="L97" s="143">
        <f>IF(t&lt;Tvie,1-EXP((T0-t)*PertePVj)+'2022'!Pspv,1-EXP((T0-t)*PertePVj)+Pspv)</f>
        <v>7.9762332355537424E-3</v>
      </c>
      <c r="M97" s="835"/>
      <c r="N97" s="835"/>
      <c r="O97" s="48">
        <f>IF(t&lt;Tnet,'2022'!Resal+('2022'!Salim-'2022'!Resal)*(1-EXP(('2022'!Tnet-t)/('2022'!Tau_j))),Resal+(Salim-Resal)*(1-EXP((Tnet-t)/(Tau_j))))*Salcycl</f>
        <v>3.3146744682884879E-2</v>
      </c>
      <c r="P97" s="165">
        <f>(INDEX(Models!$BJ97:$BT97,,T97)*(1-R97)+INDEX(Models!$BJ97:$BT97,,T97+1)*R97-ERP_i)*Q97*Ramure*Pc/MaxiM</f>
        <v>2.6862453311183869E-5</v>
      </c>
      <c r="Q97" s="301">
        <f t="shared" si="28"/>
        <v>0.5</v>
      </c>
      <c r="R97" s="173">
        <f t="shared" si="29"/>
        <v>0.50834654698031245</v>
      </c>
      <c r="S97" s="801">
        <f t="shared" si="30"/>
        <v>0</v>
      </c>
      <c r="T97" s="172">
        <f t="shared" si="31"/>
        <v>6</v>
      </c>
      <c r="U97" s="247">
        <f t="shared" si="32"/>
        <v>0.50834654698031245</v>
      </c>
      <c r="V97" s="378">
        <f t="shared" si="33"/>
        <v>199.40504784716899</v>
      </c>
      <c r="W97" s="397">
        <f t="shared" si="34"/>
        <v>194.58610796650933</v>
      </c>
      <c r="X97" s="153">
        <f t="shared" si="35"/>
        <v>45009</v>
      </c>
      <c r="Y97" s="380">
        <f t="shared" si="36"/>
        <v>194.58610796650933</v>
      </c>
      <c r="Z97" s="380">
        <f t="shared" si="37"/>
        <v>196.15065131066899</v>
      </c>
      <c r="AA97" s="381">
        <f t="shared" si="38"/>
        <v>202.8753073250337</v>
      </c>
      <c r="AB97" s="193">
        <f t="shared" si="39"/>
        <v>45009</v>
      </c>
      <c r="AC97" s="420">
        <f>IF(OR(t&lt;Tnet,NoTnet),'2022'!Resal_s+('2022'!Salim-'2022'!Resal_s)*(1-EXP(('2022'!Tnet_s-t)/'2022'!Tau_j)),Resal_s+(Salim-Resal_s)*(1-EXP((Tnet_s-t)/Tau_j)))*Salcycl</f>
        <v>3.3146744682884879E-2</v>
      </c>
      <c r="AD97" s="227">
        <f>(INDEX(Models!$BJ97:$BT97,,AH97)*(1-AF97)+INDEX(Models!$BJ97:$BT97,,AH97+1)*AF97-ERP_i)*AE97*Ramure*Pc/MaxiM</f>
        <v>2.6862453311183869E-5</v>
      </c>
      <c r="AE97" s="301">
        <f t="shared" si="40"/>
        <v>0.5</v>
      </c>
      <c r="AF97" s="173">
        <f t="shared" si="41"/>
        <v>0.50834654698031245</v>
      </c>
      <c r="AG97" s="172">
        <f t="shared" si="42"/>
        <v>0</v>
      </c>
      <c r="AH97" s="172">
        <f t="shared" si="43"/>
        <v>6</v>
      </c>
      <c r="AI97" s="221">
        <f t="shared" si="44"/>
        <v>0.50834654698031245</v>
      </c>
      <c r="AJ97" s="261" t="b">
        <f t="shared" si="45"/>
        <v>0</v>
      </c>
      <c r="AK97" s="261" t="b">
        <f t="shared" si="46"/>
        <v>0</v>
      </c>
      <c r="AL97" s="261"/>
      <c r="AM97" s="261"/>
      <c r="AN97" s="75"/>
    </row>
    <row r="98" spans="1:40" s="6" customFormat="1" ht="11.25" x14ac:dyDescent="0.2">
      <c r="A98" s="56">
        <f t="shared" si="47"/>
        <v>45010</v>
      </c>
      <c r="B98" s="406">
        <f>'2022'!Wh/'2022'!Env_an*'2023'!Env_an</f>
        <v>165.78356774803933</v>
      </c>
      <c r="C98" s="385"/>
      <c r="D98" s="388">
        <f t="shared" si="25"/>
        <v>167.11881587036177</v>
      </c>
      <c r="E98" s="380">
        <f t="shared" si="48"/>
        <v>172.85629431720469</v>
      </c>
      <c r="F98" s="380">
        <f t="shared" si="26"/>
        <v>172.85984258269687</v>
      </c>
      <c r="G98" s="110">
        <f t="shared" si="49"/>
        <v>0.82620841553579161</v>
      </c>
      <c r="H98" s="409" t="b">
        <f>Wh_hp&gt;='2022'!Maxi_hp</f>
        <v>0</v>
      </c>
      <c r="I98" s="385">
        <f>IF(H98,Wh_hp,'2022'!Maxi_hp)</f>
        <v>172.86097391722259</v>
      </c>
      <c r="J98" s="85">
        <f>IF(H98,An,'2022'!An_max)</f>
        <v>2022</v>
      </c>
      <c r="K98" s="193">
        <f t="shared" si="27"/>
        <v>45010</v>
      </c>
      <c r="L98" s="143">
        <f>IF(t&lt;Tvie,1-EXP((T0-t)*PertePVj)+'2022'!Pspv,1-EXP((T0-t)*PertePVj)+Pspv)</f>
        <v>7.9898132078570772E-3</v>
      </c>
      <c r="M98" s="835"/>
      <c r="N98" s="835"/>
      <c r="O98" s="48">
        <f>IF(t&lt;Tnet,'2022'!Resal+('2022'!Salim-'2022'!Resal)*(1-EXP(('2022'!Tnet-t)/('2022'!Tau_j))),Resal+(Salim-Resal)*(1-EXP((Tnet-t)/(Tau_j))))*Salcycl</f>
        <v>3.3192187010061637E-2</v>
      </c>
      <c r="P98" s="165">
        <f>(INDEX(Models!$BJ98:$BT98,,T98)*(1-R98)+INDEX(Models!$BJ98:$BT98,,T98+1)*R98-ERP_i)*Q98*Ramure*Pc/MaxiM</f>
        <v>2.7305970855153852E-5</v>
      </c>
      <c r="Q98" s="301">
        <f t="shared" si="28"/>
        <v>0.5</v>
      </c>
      <c r="R98" s="173">
        <f t="shared" si="29"/>
        <v>0.50913200381555967</v>
      </c>
      <c r="S98" s="801">
        <f t="shared" si="30"/>
        <v>0</v>
      </c>
      <c r="T98" s="172">
        <f t="shared" si="31"/>
        <v>6</v>
      </c>
      <c r="U98" s="247">
        <f t="shared" si="32"/>
        <v>0.50913200381555967</v>
      </c>
      <c r="V98" s="378">
        <f t="shared" si="33"/>
        <v>200.65450888460919</v>
      </c>
      <c r="W98" s="397">
        <f t="shared" si="34"/>
        <v>165.78356774803933</v>
      </c>
      <c r="X98" s="153">
        <f t="shared" si="35"/>
        <v>45010</v>
      </c>
      <c r="Y98" s="380">
        <f t="shared" si="36"/>
        <v>165.78356774803933</v>
      </c>
      <c r="Z98" s="380">
        <f t="shared" si="37"/>
        <v>167.11881587036177</v>
      </c>
      <c r="AA98" s="381">
        <f t="shared" si="38"/>
        <v>172.85629431720469</v>
      </c>
      <c r="AB98" s="193">
        <f t="shared" si="39"/>
        <v>45010</v>
      </c>
      <c r="AC98" s="420">
        <f>IF(OR(t&lt;Tnet,NoTnet),'2022'!Resal_s+('2022'!Salim-'2022'!Resal_s)*(1-EXP(('2022'!Tnet_s-t)/'2022'!Tau_j)),Resal_s+(Salim-Resal_s)*(1-EXP((Tnet_s-t)/Tau_j)))*Salcycl</f>
        <v>3.3192187010061637E-2</v>
      </c>
      <c r="AD98" s="227">
        <f>(INDEX(Models!$BJ98:$BT98,,AH98)*(1-AF98)+INDEX(Models!$BJ98:$BT98,,AH98+1)*AF98-ERP_i)*AE98*Ramure*Pc/MaxiM</f>
        <v>2.7305970855153852E-5</v>
      </c>
      <c r="AE98" s="301">
        <f t="shared" si="40"/>
        <v>0.5</v>
      </c>
      <c r="AF98" s="173">
        <f t="shared" si="41"/>
        <v>0.50913200381555967</v>
      </c>
      <c r="AG98" s="172">
        <f t="shared" si="42"/>
        <v>0</v>
      </c>
      <c r="AH98" s="172">
        <f t="shared" si="43"/>
        <v>6</v>
      </c>
      <c r="AI98" s="221">
        <f t="shared" si="44"/>
        <v>0.50913200381555967</v>
      </c>
      <c r="AJ98" s="261" t="b">
        <f t="shared" si="45"/>
        <v>0</v>
      </c>
      <c r="AK98" s="261" t="b">
        <f t="shared" si="46"/>
        <v>0</v>
      </c>
      <c r="AL98" s="261"/>
      <c r="AM98" s="261"/>
      <c r="AN98" s="75"/>
    </row>
    <row r="99" spans="1:40" s="6" customFormat="1" ht="11.25" x14ac:dyDescent="0.2">
      <c r="A99" s="56">
        <f t="shared" si="47"/>
        <v>45011</v>
      </c>
      <c r="B99" s="406">
        <f>'2022'!Wh/'2022'!Env_an*'2023'!Env_an</f>
        <v>182.78960074985383</v>
      </c>
      <c r="C99" s="385"/>
      <c r="D99" s="388">
        <f t="shared" si="25"/>
        <v>184.26434068316985</v>
      </c>
      <c r="E99" s="380">
        <f t="shared" si="48"/>
        <v>190.59945246427807</v>
      </c>
      <c r="F99" s="380">
        <f t="shared" si="26"/>
        <v>190.60402816637907</v>
      </c>
      <c r="G99" s="110">
        <f t="shared" si="49"/>
        <v>0.90538084007906794</v>
      </c>
      <c r="H99" s="409" t="b">
        <f>Wh_hp&gt;='2022'!Maxi_hp</f>
        <v>0</v>
      </c>
      <c r="I99" s="385">
        <f>IF(H99,Wh_hp,'2022'!Maxi_hp)</f>
        <v>190.60471742459274</v>
      </c>
      <c r="J99" s="85">
        <f>IF(H99,An,'2022'!An_max)</f>
        <v>2022</v>
      </c>
      <c r="K99" s="193">
        <f t="shared" si="27"/>
        <v>45011</v>
      </c>
      <c r="L99" s="143">
        <f>IF(t&lt;Tvie,1-EXP((T0-t)*PertePVj)+'2022'!Pspv,1-EXP((T0-t)*PertePVj)+Pspv)</f>
        <v>8.0033929942621151E-3</v>
      </c>
      <c r="M99" s="835"/>
      <c r="N99" s="835"/>
      <c r="O99" s="48">
        <f>IF(t&lt;Tnet,'2022'!Resal+('2022'!Salim-'2022'!Resal)*(1-EXP(('2022'!Tnet-t)/('2022'!Tau_j))),Resal+(Salim-Resal)*(1-EXP((Tnet-t)/(Tau_j))))*Salcycl</f>
        <v>3.3237827806958345E-2</v>
      </c>
      <c r="P99" s="165">
        <f>(INDEX(Models!$BJ99:$BT99,,T99)*(1-R99)+INDEX(Models!$BJ99:$BT99,,T99+1)*R99-ERP_i)*Q99*Ramure*Pc/MaxiM</f>
        <v>2.7758282980081988E-5</v>
      </c>
      <c r="Q99" s="301">
        <f t="shared" si="28"/>
        <v>0.5</v>
      </c>
      <c r="R99" s="173">
        <f t="shared" si="29"/>
        <v>0.50994768981696337</v>
      </c>
      <c r="S99" s="801">
        <f t="shared" si="30"/>
        <v>0</v>
      </c>
      <c r="T99" s="172">
        <f t="shared" si="31"/>
        <v>6</v>
      </c>
      <c r="U99" s="247">
        <f t="shared" si="32"/>
        <v>0.50994768981696337</v>
      </c>
      <c r="V99" s="378">
        <f t="shared" si="33"/>
        <v>201.89174193081615</v>
      </c>
      <c r="W99" s="397">
        <f t="shared" si="34"/>
        <v>182.78960074985383</v>
      </c>
      <c r="X99" s="153">
        <f t="shared" si="35"/>
        <v>45011</v>
      </c>
      <c r="Y99" s="380">
        <f t="shared" si="36"/>
        <v>182.78960074985383</v>
      </c>
      <c r="Z99" s="380">
        <f t="shared" si="37"/>
        <v>184.26434068316985</v>
      </c>
      <c r="AA99" s="381">
        <f t="shared" si="38"/>
        <v>190.59945246427807</v>
      </c>
      <c r="AB99" s="193">
        <f t="shared" si="39"/>
        <v>45011</v>
      </c>
      <c r="AC99" s="420">
        <f>IF(OR(t&lt;Tnet,NoTnet),'2022'!Resal_s+('2022'!Salim-'2022'!Resal_s)*(1-EXP(('2022'!Tnet_s-t)/'2022'!Tau_j)),Resal_s+(Salim-Resal_s)*(1-EXP((Tnet_s-t)/Tau_j)))*Salcycl</f>
        <v>3.3237827806958345E-2</v>
      </c>
      <c r="AD99" s="227">
        <f>(INDEX(Models!$BJ99:$BT99,,AH99)*(1-AF99)+INDEX(Models!$BJ99:$BT99,,AH99+1)*AF99-ERP_i)*AE99*Ramure*Pc/MaxiM</f>
        <v>2.7758282980081988E-5</v>
      </c>
      <c r="AE99" s="301">
        <f t="shared" si="40"/>
        <v>0.5</v>
      </c>
      <c r="AF99" s="173">
        <f t="shared" si="41"/>
        <v>0.50994768981696337</v>
      </c>
      <c r="AG99" s="172">
        <f t="shared" si="42"/>
        <v>0</v>
      </c>
      <c r="AH99" s="172">
        <f t="shared" si="43"/>
        <v>6</v>
      </c>
      <c r="AI99" s="221">
        <f t="shared" si="44"/>
        <v>0.50994768981696337</v>
      </c>
      <c r="AJ99" s="261" t="b">
        <f t="shared" si="45"/>
        <v>0</v>
      </c>
      <c r="AK99" s="261" t="b">
        <f t="shared" si="46"/>
        <v>0</v>
      </c>
      <c r="AL99" s="261"/>
      <c r="AM99" s="261"/>
      <c r="AN99" s="75"/>
    </row>
    <row r="100" spans="1:40" s="6" customFormat="1" ht="11.25" x14ac:dyDescent="0.2">
      <c r="A100" s="56">
        <f t="shared" si="47"/>
        <v>45012</v>
      </c>
      <c r="B100" s="406">
        <f>'2022'!Wh/'2022'!Env_an*'2023'!Env_an</f>
        <v>184.77989388961862</v>
      </c>
      <c r="C100" s="385"/>
      <c r="D100" s="388">
        <f t="shared" si="25"/>
        <v>186.27324136074694</v>
      </c>
      <c r="E100" s="380">
        <f t="shared" si="48"/>
        <v>192.68655928135442</v>
      </c>
      <c r="F100" s="380">
        <f t="shared" si="26"/>
        <v>192.69129858474807</v>
      </c>
      <c r="G100" s="110">
        <f t="shared" si="49"/>
        <v>0.9097342894482553</v>
      </c>
      <c r="H100" s="409" t="b">
        <f>Wh_hp&gt;='2022'!Maxi_hp</f>
        <v>0</v>
      </c>
      <c r="I100" s="385">
        <f>IF(H100,Wh_hp,'2022'!Maxi_hp)</f>
        <v>192.69197360418002</v>
      </c>
      <c r="J100" s="85">
        <f>IF(H100,An,'2022'!An_max)</f>
        <v>2022</v>
      </c>
      <c r="K100" s="193">
        <f t="shared" si="27"/>
        <v>45012</v>
      </c>
      <c r="L100" s="143">
        <f>IF(t&lt;Tvie,1-EXP((T0-t)*PertePVj)+'2022'!Pspv,1-EXP((T0-t)*PertePVj)+Pspv)</f>
        <v>8.0169725947711878E-3</v>
      </c>
      <c r="M100" s="835"/>
      <c r="N100" s="835"/>
      <c r="O100" s="48">
        <f>IF(t&lt;Tnet,'2022'!Resal+('2022'!Salim-'2022'!Resal)*(1-EXP(('2022'!Tnet-t)/('2022'!Tau_j))),Resal+(Salim-Resal)*(1-EXP((Tnet-t)/(Tau_j))))*Salcycl</f>
        <v>3.328368073272292E-2</v>
      </c>
      <c r="P100" s="165">
        <f>(INDEX(Models!$BJ100:$BT100,,T100)*(1-R100)+INDEX(Models!$BJ100:$BT100,,T100+1)*R100-ERP_i)*Q100*Ramure*Pc/MaxiM</f>
        <v>2.8236279344578426E-5</v>
      </c>
      <c r="Q100" s="301">
        <f t="shared" si="28"/>
        <v>0.5</v>
      </c>
      <c r="R100" s="173">
        <f t="shared" si="29"/>
        <v>0.51079465498492793</v>
      </c>
      <c r="S100" s="801">
        <f t="shared" si="30"/>
        <v>0</v>
      </c>
      <c r="T100" s="172">
        <f t="shared" si="31"/>
        <v>6</v>
      </c>
      <c r="U100" s="247">
        <f t="shared" si="32"/>
        <v>0.51079465498492793</v>
      </c>
      <c r="V100" s="378">
        <f t="shared" si="33"/>
        <v>203.11339611957604</v>
      </c>
      <c r="W100" s="397">
        <f t="shared" si="34"/>
        <v>184.77989388961862</v>
      </c>
      <c r="X100" s="153">
        <f t="shared" si="35"/>
        <v>45012</v>
      </c>
      <c r="Y100" s="380">
        <f t="shared" si="36"/>
        <v>184.77989388961862</v>
      </c>
      <c r="Z100" s="380">
        <f t="shared" si="37"/>
        <v>186.27324136074694</v>
      </c>
      <c r="AA100" s="381">
        <f t="shared" si="38"/>
        <v>192.68655928135442</v>
      </c>
      <c r="AB100" s="193">
        <f t="shared" si="39"/>
        <v>45012</v>
      </c>
      <c r="AC100" s="420">
        <f>IF(OR(t&lt;Tnet,NoTnet),'2022'!Resal_s+('2022'!Salim-'2022'!Resal_s)*(1-EXP(('2022'!Tnet_s-t)/'2022'!Tau_j)),Resal_s+(Salim-Resal_s)*(1-EXP((Tnet_s-t)/Tau_j)))*Salcycl</f>
        <v>3.328368073272292E-2</v>
      </c>
      <c r="AD100" s="227">
        <f>(INDEX(Models!$BJ100:$BT100,,AH100)*(1-AF100)+INDEX(Models!$BJ100:$BT100,,AH100+1)*AF100-ERP_i)*AE100*Ramure*Pc/MaxiM</f>
        <v>2.8236279344578426E-5</v>
      </c>
      <c r="AE100" s="301">
        <f t="shared" si="40"/>
        <v>0.5</v>
      </c>
      <c r="AF100" s="173">
        <f t="shared" si="41"/>
        <v>0.51079465498492793</v>
      </c>
      <c r="AG100" s="172">
        <f t="shared" si="42"/>
        <v>0</v>
      </c>
      <c r="AH100" s="172">
        <f t="shared" si="43"/>
        <v>6</v>
      </c>
      <c r="AI100" s="221">
        <f t="shared" si="44"/>
        <v>0.51079465498492793</v>
      </c>
      <c r="AJ100" s="261" t="b">
        <f t="shared" si="45"/>
        <v>0</v>
      </c>
      <c r="AK100" s="261" t="b">
        <f t="shared" si="46"/>
        <v>0</v>
      </c>
      <c r="AL100" s="261"/>
      <c r="AM100" s="261"/>
      <c r="AN100" s="75"/>
    </row>
    <row r="101" spans="1:40" s="6" customFormat="1" ht="11.25" x14ac:dyDescent="0.2">
      <c r="A101" s="56">
        <f t="shared" si="47"/>
        <v>45013</v>
      </c>
      <c r="B101" s="406">
        <f>'2022'!Wh/'2022'!Env_an*'2023'!Env_an</f>
        <v>145.69551008193818</v>
      </c>
      <c r="C101" s="385"/>
      <c r="D101" s="388">
        <f t="shared" si="25"/>
        <v>146.87499738733575</v>
      </c>
      <c r="E101" s="380">
        <f t="shared" si="48"/>
        <v>151.93909072917188</v>
      </c>
      <c r="F101" s="380">
        <f t="shared" si="26"/>
        <v>151.94166464610458</v>
      </c>
      <c r="G101" s="110">
        <f t="shared" si="49"/>
        <v>0.71308023808503485</v>
      </c>
      <c r="H101" s="409" t="b">
        <f>Wh_hp&gt;='2022'!Maxi_hp</f>
        <v>0</v>
      </c>
      <c r="I101" s="385">
        <f>IF(H101,Wh_hp,'2022'!Maxi_hp)</f>
        <v>151.9433815966527</v>
      </c>
      <c r="J101" s="85">
        <f>IF(H101,An,'2022'!An_max)</f>
        <v>2022</v>
      </c>
      <c r="K101" s="193">
        <f t="shared" si="27"/>
        <v>45013</v>
      </c>
      <c r="L101" s="143">
        <f>IF(t&lt;Tvie,1-EXP((T0-t)*PertePVj)+'2022'!Pspv,1-EXP((T0-t)*PertePVj)+Pspv)</f>
        <v>8.0305520093869598E-3</v>
      </c>
      <c r="M101" s="835"/>
      <c r="N101" s="835"/>
      <c r="O101" s="48">
        <f>IF(t&lt;Tnet,'2022'!Resal+('2022'!Salim-'2022'!Resal)*(1-EXP(('2022'!Tnet-t)/('2022'!Tau_j))),Resal+(Salim-Resal)*(1-EXP((Tnet-t)/(Tau_j))))*Salcycl</f>
        <v>3.3329759428814588E-2</v>
      </c>
      <c r="P101" s="165">
        <f>(INDEX(Models!$BJ101:$BT101,,T101)*(1-R101)+INDEX(Models!$BJ101:$BT101,,T101+1)*R101-ERP_i)*Q101*Ramure*Pc/MaxiM</f>
        <v>2.8705984573157592E-5</v>
      </c>
      <c r="Q101" s="301">
        <f t="shared" si="28"/>
        <v>0.5</v>
      </c>
      <c r="R101" s="173">
        <f t="shared" si="29"/>
        <v>0.51167397653459212</v>
      </c>
      <c r="S101" s="801">
        <f t="shared" si="30"/>
        <v>0</v>
      </c>
      <c r="T101" s="172">
        <f t="shared" si="31"/>
        <v>6</v>
      </c>
      <c r="U101" s="247">
        <f t="shared" si="32"/>
        <v>0.51167397653459212</v>
      </c>
      <c r="V101" s="378">
        <f t="shared" si="33"/>
        <v>204.31613168404868</v>
      </c>
      <c r="W101" s="397">
        <f t="shared" si="34"/>
        <v>145.69551008193818</v>
      </c>
      <c r="X101" s="153">
        <f t="shared" si="35"/>
        <v>45013</v>
      </c>
      <c r="Y101" s="380">
        <f t="shared" si="36"/>
        <v>145.69551008193818</v>
      </c>
      <c r="Z101" s="380">
        <f t="shared" si="37"/>
        <v>146.87499738733575</v>
      </c>
      <c r="AA101" s="381">
        <f t="shared" si="38"/>
        <v>151.93909072917188</v>
      </c>
      <c r="AB101" s="193">
        <f t="shared" si="39"/>
        <v>45013</v>
      </c>
      <c r="AC101" s="420">
        <f>IF(OR(t&lt;Tnet,NoTnet),'2022'!Resal_s+('2022'!Salim-'2022'!Resal_s)*(1-EXP(('2022'!Tnet_s-t)/'2022'!Tau_j)),Resal_s+(Salim-Resal_s)*(1-EXP((Tnet_s-t)/Tau_j)))*Salcycl</f>
        <v>3.3329759428814588E-2</v>
      </c>
      <c r="AD101" s="227">
        <f>(INDEX(Models!$BJ101:$BT101,,AH101)*(1-AF101)+INDEX(Models!$BJ101:$BT101,,AH101+1)*AF101-ERP_i)*AE101*Ramure*Pc/MaxiM</f>
        <v>2.8705984573157592E-5</v>
      </c>
      <c r="AE101" s="301">
        <f t="shared" si="40"/>
        <v>0.5</v>
      </c>
      <c r="AF101" s="173">
        <f t="shared" si="41"/>
        <v>0.51167397653459212</v>
      </c>
      <c r="AG101" s="172">
        <f t="shared" si="42"/>
        <v>0</v>
      </c>
      <c r="AH101" s="172">
        <f t="shared" si="43"/>
        <v>6</v>
      </c>
      <c r="AI101" s="221">
        <f t="shared" si="44"/>
        <v>0.51167397653459212</v>
      </c>
      <c r="AJ101" s="261" t="b">
        <f t="shared" si="45"/>
        <v>0</v>
      </c>
      <c r="AK101" s="261" t="b">
        <f t="shared" si="46"/>
        <v>0</v>
      </c>
      <c r="AL101" s="261"/>
      <c r="AM101" s="261"/>
      <c r="AN101" s="75"/>
    </row>
    <row r="102" spans="1:40" s="6" customFormat="1" ht="11.25" x14ac:dyDescent="0.2">
      <c r="A102" s="56">
        <f t="shared" si="47"/>
        <v>45014</v>
      </c>
      <c r="B102" s="406">
        <f>'2022'!Wh/'2022'!Env_an*'2023'!Env_an</f>
        <v>114.56400605815513</v>
      </c>
      <c r="C102" s="385"/>
      <c r="D102" s="388">
        <f t="shared" si="25"/>
        <v>115.49304728762627</v>
      </c>
      <c r="E102" s="380">
        <f t="shared" si="48"/>
        <v>119.4808493743148</v>
      </c>
      <c r="F102" s="380">
        <f t="shared" si="26"/>
        <v>119.4821313912115</v>
      </c>
      <c r="G102" s="110">
        <f t="shared" si="49"/>
        <v>0.55748801763901967</v>
      </c>
      <c r="H102" s="409" t="b">
        <f>Wh_hp&gt;='2022'!Maxi_hp</f>
        <v>0</v>
      </c>
      <c r="I102" s="385">
        <f>IF(H102,Wh_hp,'2022'!Maxi_hp)</f>
        <v>119.48424336256193</v>
      </c>
      <c r="J102" s="85">
        <f>IF(H102,An,'2022'!An_max)</f>
        <v>2022</v>
      </c>
      <c r="K102" s="193">
        <f t="shared" si="27"/>
        <v>45014</v>
      </c>
      <c r="L102" s="143">
        <f>IF(t&lt;Tvie,1-EXP((T0-t)*PertePVj)+'2022'!Pspv,1-EXP((T0-t)*PertePVj)+Pspv)</f>
        <v>8.0441312381119845E-3</v>
      </c>
      <c r="M102" s="835"/>
      <c r="N102" s="835"/>
      <c r="O102" s="48">
        <f>IF(t&lt;Tnet,'2022'!Resal+('2022'!Salim-'2022'!Resal)*(1-EXP(('2022'!Tnet-t)/('2022'!Tau_j))),Resal+(Salim-Resal)*(1-EXP((Tnet-t)/(Tau_j))))*Salcycl</f>
        <v>3.3376077484981531E-2</v>
      </c>
      <c r="P102" s="165">
        <f>(INDEX(Models!$BJ102:$BT102,,T102)*(1-R102)+INDEX(Models!$BJ102:$BT102,,T102+1)*R102-ERP_i)*Q102*Ramure*Pc/MaxiM</f>
        <v>2.91685248722808E-5</v>
      </c>
      <c r="Q102" s="301">
        <f t="shared" si="28"/>
        <v>0.5</v>
      </c>
      <c r="R102" s="173">
        <f t="shared" si="29"/>
        <v>0.51258675881897853</v>
      </c>
      <c r="S102" s="801">
        <f t="shared" si="30"/>
        <v>0</v>
      </c>
      <c r="T102" s="172">
        <f t="shared" si="31"/>
        <v>6</v>
      </c>
      <c r="U102" s="247">
        <f t="shared" si="32"/>
        <v>0.51258675881897853</v>
      </c>
      <c r="V102" s="378">
        <f t="shared" si="33"/>
        <v>205.4966026069938</v>
      </c>
      <c r="W102" s="397">
        <f t="shared" si="34"/>
        <v>114.56400605815513</v>
      </c>
      <c r="X102" s="153">
        <f t="shared" si="35"/>
        <v>45014</v>
      </c>
      <c r="Y102" s="380">
        <f t="shared" si="36"/>
        <v>114.56400605815513</v>
      </c>
      <c r="Z102" s="380">
        <f t="shared" si="37"/>
        <v>115.49304728762627</v>
      </c>
      <c r="AA102" s="381">
        <f t="shared" si="38"/>
        <v>119.4808493743148</v>
      </c>
      <c r="AB102" s="193">
        <f t="shared" si="39"/>
        <v>45014</v>
      </c>
      <c r="AC102" s="420">
        <f>IF(OR(t&lt;Tnet,NoTnet),'2022'!Resal_s+('2022'!Salim-'2022'!Resal_s)*(1-EXP(('2022'!Tnet_s-t)/'2022'!Tau_j)),Resal_s+(Salim-Resal_s)*(1-EXP((Tnet_s-t)/Tau_j)))*Salcycl</f>
        <v>3.3376077484981531E-2</v>
      </c>
      <c r="AD102" s="227">
        <f>(INDEX(Models!$BJ102:$BT102,,AH102)*(1-AF102)+INDEX(Models!$BJ102:$BT102,,AH102+1)*AF102-ERP_i)*AE102*Ramure*Pc/MaxiM</f>
        <v>2.91685248722808E-5</v>
      </c>
      <c r="AE102" s="301">
        <f t="shared" si="40"/>
        <v>0.5</v>
      </c>
      <c r="AF102" s="173">
        <f t="shared" si="41"/>
        <v>0.51258675881897853</v>
      </c>
      <c r="AG102" s="172">
        <f t="shared" si="42"/>
        <v>0</v>
      </c>
      <c r="AH102" s="172">
        <f t="shared" si="43"/>
        <v>6</v>
      </c>
      <c r="AI102" s="221">
        <f t="shared" si="44"/>
        <v>0.51258675881897853</v>
      </c>
      <c r="AJ102" s="261" t="b">
        <f t="shared" si="45"/>
        <v>0</v>
      </c>
      <c r="AK102" s="261" t="b">
        <f t="shared" si="46"/>
        <v>0</v>
      </c>
      <c r="AL102" s="261"/>
      <c r="AM102" s="261"/>
      <c r="AN102" s="75"/>
    </row>
    <row r="103" spans="1:40" s="6" customFormat="1" ht="11.25" x14ac:dyDescent="0.2">
      <c r="A103" s="56">
        <f t="shared" si="47"/>
        <v>45015</v>
      </c>
      <c r="B103" s="406">
        <f>'2022'!Wh/'2022'!Env_an*'2023'!Env_an</f>
        <v>30.096113110276733</v>
      </c>
      <c r="C103" s="385"/>
      <c r="D103" s="388">
        <f t="shared" si="25"/>
        <v>30.340588784455274</v>
      </c>
      <c r="E103" s="380">
        <f t="shared" si="48"/>
        <v>31.389716233712988</v>
      </c>
      <c r="F103" s="380">
        <f t="shared" si="26"/>
        <v>31.389716233712988</v>
      </c>
      <c r="G103" s="110">
        <f t="shared" si="49"/>
        <v>0.14563275275151449</v>
      </c>
      <c r="H103" s="409" t="b">
        <f>Wh_hp&gt;='2022'!Maxi_hp</f>
        <v>0</v>
      </c>
      <c r="I103" s="385">
        <f>IF(H103,Wh_hp,'2022'!Maxi_hp)</f>
        <v>31.39060598359443</v>
      </c>
      <c r="J103" s="85">
        <f>IF(H103,An,'2022'!An_max)</f>
        <v>2022</v>
      </c>
      <c r="K103" s="193">
        <f t="shared" si="27"/>
        <v>45015</v>
      </c>
      <c r="L103" s="143">
        <f>IF(t&lt;Tvie,1-EXP((T0-t)*PertePVj)+'2022'!Pspv,1-EXP((T0-t)*PertePVj)+Pspv)</f>
        <v>8.0577102809487045E-3</v>
      </c>
      <c r="M103" s="835"/>
      <c r="N103" s="835"/>
      <c r="O103" s="48">
        <f>IF(t&lt;Tnet,'2022'!Resal+('2022'!Salim-'2022'!Resal)*(1-EXP(('2022'!Tnet-t)/('2022'!Tau_j))),Resal+(Salim-Resal)*(1-EXP((Tnet-t)/(Tau_j))))*Salcycl</f>
        <v>3.3422648406452843E-2</v>
      </c>
      <c r="P103" s="165">
        <f>(INDEX(Models!$BJ103:$BT103,,T103)*(1-R103)+INDEX(Models!$BJ103:$BT103,,T103+1)*R103-ERP_i)*Q103*Ramure*Pc/MaxiM</f>
        <v>2.9625030866159853E-5</v>
      </c>
      <c r="Q103" s="301">
        <f t="shared" si="28"/>
        <v>0.5</v>
      </c>
      <c r="R103" s="173">
        <f t="shared" si="29"/>
        <v>0.51353413317059682</v>
      </c>
      <c r="S103" s="801">
        <f t="shared" si="30"/>
        <v>0</v>
      </c>
      <c r="T103" s="172">
        <f t="shared" si="31"/>
        <v>6</v>
      </c>
      <c r="U103" s="247">
        <f t="shared" si="32"/>
        <v>0.51353413317059682</v>
      </c>
      <c r="V103" s="378">
        <f t="shared" si="33"/>
        <v>206.65146365355591</v>
      </c>
      <c r="W103" s="397">
        <f t="shared" si="34"/>
        <v>30.096113110276733</v>
      </c>
      <c r="X103" s="153">
        <f t="shared" si="35"/>
        <v>45015</v>
      </c>
      <c r="Y103" s="380">
        <f t="shared" si="36"/>
        <v>30.096113110276733</v>
      </c>
      <c r="Z103" s="380">
        <f t="shared" si="37"/>
        <v>30.340588784455274</v>
      </c>
      <c r="AA103" s="381">
        <f t="shared" si="38"/>
        <v>31.389716233712988</v>
      </c>
      <c r="AB103" s="193">
        <f t="shared" si="39"/>
        <v>45015</v>
      </c>
      <c r="AC103" s="420">
        <f>IF(OR(t&lt;Tnet,NoTnet),'2022'!Resal_s+('2022'!Salim-'2022'!Resal_s)*(1-EXP(('2022'!Tnet_s-t)/'2022'!Tau_j)),Resal_s+(Salim-Resal_s)*(1-EXP((Tnet_s-t)/Tau_j)))*Salcycl</f>
        <v>3.3422648406452843E-2</v>
      </c>
      <c r="AD103" s="227">
        <f>(INDEX(Models!$BJ103:$BT103,,AH103)*(1-AF103)+INDEX(Models!$BJ103:$BT103,,AH103+1)*AF103-ERP_i)*AE103*Ramure*Pc/MaxiM</f>
        <v>2.9625030866159853E-5</v>
      </c>
      <c r="AE103" s="301">
        <f t="shared" si="40"/>
        <v>0.5</v>
      </c>
      <c r="AF103" s="173">
        <f t="shared" si="41"/>
        <v>0.51353413317059682</v>
      </c>
      <c r="AG103" s="172">
        <f t="shared" si="42"/>
        <v>0</v>
      </c>
      <c r="AH103" s="172">
        <f t="shared" si="43"/>
        <v>6</v>
      </c>
      <c r="AI103" s="221">
        <f t="shared" si="44"/>
        <v>0.51353413317059682</v>
      </c>
      <c r="AJ103" s="261" t="b">
        <f t="shared" si="45"/>
        <v>0</v>
      </c>
      <c r="AK103" s="261" t="b">
        <f t="shared" si="46"/>
        <v>0</v>
      </c>
      <c r="AL103" s="261"/>
      <c r="AM103" s="261"/>
      <c r="AN103" s="75"/>
    </row>
    <row r="104" spans="1:40" s="6" customFormat="1" ht="11.25" x14ac:dyDescent="0.2">
      <c r="A104" s="56">
        <f t="shared" si="47"/>
        <v>45016</v>
      </c>
      <c r="B104" s="406">
        <f>'2022'!Wh/'2022'!Env_an*'2023'!Env_an</f>
        <v>87.078389659117946</v>
      </c>
      <c r="C104" s="385"/>
      <c r="D104" s="388">
        <f t="shared" si="25"/>
        <v>87.786943462334918</v>
      </c>
      <c r="E104" s="380">
        <f t="shared" si="48"/>
        <v>90.826872150259874</v>
      </c>
      <c r="F104" s="380">
        <f t="shared" si="26"/>
        <v>90.827336922473762</v>
      </c>
      <c r="G104" s="110">
        <f t="shared" si="49"/>
        <v>0.41908421512253247</v>
      </c>
      <c r="H104" s="409" t="b">
        <f>Wh_hp&gt;='2022'!Maxi_hp</f>
        <v>0</v>
      </c>
      <c r="I104" s="385">
        <f>IF(H104,Wh_hp,'2022'!Maxi_hp)</f>
        <v>90.829501711386541</v>
      </c>
      <c r="J104" s="85">
        <f>IF(H104,An,'2022'!An_max)</f>
        <v>2022</v>
      </c>
      <c r="K104" s="193">
        <f t="shared" si="27"/>
        <v>45016</v>
      </c>
      <c r="L104" s="143">
        <f>IF(t&lt;Tvie,1-EXP((T0-t)*PertePVj)+'2022'!Pspv,1-EXP((T0-t)*PertePVj)+Pspv)</f>
        <v>8.0712891378997842E-3</v>
      </c>
      <c r="M104" s="835"/>
      <c r="N104" s="835"/>
      <c r="O104" s="48">
        <f>IF(t&lt;Tnet,'2022'!Resal+('2022'!Salim-'2022'!Resal)*(1-EXP(('2022'!Tnet-t)/('2022'!Tau_j))),Resal+(Salim-Resal)*(1-EXP((Tnet-t)/(Tau_j))))*Salcycl</f>
        <v>3.3469485582370687E-2</v>
      </c>
      <c r="P104" s="165">
        <f>(INDEX(Models!$BJ104:$BT104,,T104)*(1-R104)+INDEX(Models!$BJ104:$BT104,,T104+1)*R104-ERP_i)*Q104*Ramure*Pc/MaxiM</f>
        <v>3.0076636679946545E-5</v>
      </c>
      <c r="Q104" s="301">
        <f t="shared" si="28"/>
        <v>0.5</v>
      </c>
      <c r="R104" s="173">
        <f t="shared" si="29"/>
        <v>0.51451725765426115</v>
      </c>
      <c r="S104" s="801">
        <f t="shared" si="30"/>
        <v>0</v>
      </c>
      <c r="T104" s="172">
        <f t="shared" si="31"/>
        <v>6</v>
      </c>
      <c r="U104" s="247">
        <f t="shared" si="32"/>
        <v>0.51451725765426115</v>
      </c>
      <c r="V104" s="378">
        <f t="shared" si="33"/>
        <v>207.7773704407804</v>
      </c>
      <c r="W104" s="397">
        <f t="shared" si="34"/>
        <v>87.078389659117946</v>
      </c>
      <c r="X104" s="153">
        <f t="shared" si="35"/>
        <v>45016</v>
      </c>
      <c r="Y104" s="380">
        <f t="shared" si="36"/>
        <v>87.078389659117946</v>
      </c>
      <c r="Z104" s="380">
        <f t="shared" si="37"/>
        <v>87.786943462334918</v>
      </c>
      <c r="AA104" s="381">
        <f t="shared" si="38"/>
        <v>90.826872150259874</v>
      </c>
      <c r="AB104" s="193">
        <f t="shared" si="39"/>
        <v>45016</v>
      </c>
      <c r="AC104" s="420">
        <f>IF(OR(t&lt;Tnet,NoTnet),'2022'!Resal_s+('2022'!Salim-'2022'!Resal_s)*(1-EXP(('2022'!Tnet_s-t)/'2022'!Tau_j)),Resal_s+(Salim-Resal_s)*(1-EXP((Tnet_s-t)/Tau_j)))*Salcycl</f>
        <v>3.3469485582370687E-2</v>
      </c>
      <c r="AD104" s="227">
        <f>(INDEX(Models!$BJ104:$BT104,,AH104)*(1-AF104)+INDEX(Models!$BJ104:$BT104,,AH104+1)*AF104-ERP_i)*AE104*Ramure*Pc/MaxiM</f>
        <v>3.0076636679946545E-5</v>
      </c>
      <c r="AE104" s="301">
        <f t="shared" si="40"/>
        <v>0.5</v>
      </c>
      <c r="AF104" s="173">
        <f t="shared" si="41"/>
        <v>0.51451725765426115</v>
      </c>
      <c r="AG104" s="172">
        <f t="shared" si="42"/>
        <v>0</v>
      </c>
      <c r="AH104" s="172">
        <f t="shared" si="43"/>
        <v>6</v>
      </c>
      <c r="AI104" s="221">
        <f t="shared" si="44"/>
        <v>0.51451725765426115</v>
      </c>
      <c r="AJ104" s="261" t="b">
        <f t="shared" si="45"/>
        <v>0</v>
      </c>
      <c r="AK104" s="261" t="b">
        <f t="shared" si="46"/>
        <v>0</v>
      </c>
      <c r="AL104" s="261"/>
      <c r="AM104" s="261"/>
      <c r="AN104" s="75"/>
    </row>
    <row r="105" spans="1:40" s="6" customFormat="1" ht="11.25" customHeight="1" x14ac:dyDescent="0.2">
      <c r="A105" s="56">
        <f t="shared" si="47"/>
        <v>45017</v>
      </c>
      <c r="B105" s="406">
        <f>'2022'!Wh/'2022'!Env_an*'2023'!Env_an</f>
        <v>147.81037949604305</v>
      </c>
      <c r="C105" s="385"/>
      <c r="D105" s="388">
        <f t="shared" si="25"/>
        <v>149.01514726319988</v>
      </c>
      <c r="E105" s="380">
        <f t="shared" si="48"/>
        <v>154.1828319151191</v>
      </c>
      <c r="F105" s="380">
        <f t="shared" si="26"/>
        <v>154.1855728319025</v>
      </c>
      <c r="G105" s="110">
        <f t="shared" si="49"/>
        <v>0.70765453213847462</v>
      </c>
      <c r="H105" s="409" t="b">
        <f>Wh_hp&gt;='2022'!Maxi_hp</f>
        <v>0</v>
      </c>
      <c r="I105" s="385">
        <f>IF(H105,Wh_hp,'2022'!Maxi_hp)</f>
        <v>154.18744589130031</v>
      </c>
      <c r="J105" s="85">
        <f>IF(H105,An,'2022'!An_max)</f>
        <v>2022</v>
      </c>
      <c r="K105" s="193">
        <f t="shared" si="27"/>
        <v>45017</v>
      </c>
      <c r="L105" s="143">
        <f>IF(t&lt;Tvie,1-EXP((T0-t)*PertePVj)+'2022'!Pspv,1-EXP((T0-t)*PertePVj)+Pspv)</f>
        <v>8.0848678089676662E-3</v>
      </c>
      <c r="M105" s="835"/>
      <c r="N105" s="835"/>
      <c r="O105" s="48">
        <f>IF(t&lt;Tnet,'2022'!Resal+('2022'!Salim-'2022'!Resal)*(1-EXP(('2022'!Tnet-t)/('2022'!Tau_j))),Resal+(Salim-Resal)*(1-EXP((Tnet-t)/(Tau_j))))*Salcycl</f>
        <v>3.3516602255458314E-2</v>
      </c>
      <c r="P105" s="165">
        <f>(INDEX(Models!$BJ105:$BT105,,T105)*(1-R105)+INDEX(Models!$BJ105:$BT105,,T105+1)*R105-ERP_i)*Q105*Ramure*Pc/MaxiM</f>
        <v>3.0524479412270212E-5</v>
      </c>
      <c r="Q105" s="301">
        <f t="shared" si="28"/>
        <v>0.5</v>
      </c>
      <c r="R105" s="173">
        <f t="shared" si="29"/>
        <v>0.51553731672354641</v>
      </c>
      <c r="S105" s="801">
        <f t="shared" si="30"/>
        <v>0</v>
      </c>
      <c r="T105" s="172">
        <f t="shared" si="31"/>
        <v>6</v>
      </c>
      <c r="U105" s="247">
        <f t="shared" si="32"/>
        <v>0.51553731672354641</v>
      </c>
      <c r="V105" s="378">
        <f t="shared" si="33"/>
        <v>208.87097941367927</v>
      </c>
      <c r="W105" s="397">
        <f t="shared" si="34"/>
        <v>147.81037949604305</v>
      </c>
      <c r="X105" s="153">
        <f t="shared" si="35"/>
        <v>45017</v>
      </c>
      <c r="Y105" s="380">
        <f t="shared" si="36"/>
        <v>147.81037949604305</v>
      </c>
      <c r="Z105" s="380">
        <f t="shared" si="37"/>
        <v>149.01514726319988</v>
      </c>
      <c r="AA105" s="381">
        <f t="shared" si="38"/>
        <v>154.1828319151191</v>
      </c>
      <c r="AB105" s="193">
        <f t="shared" si="39"/>
        <v>45017</v>
      </c>
      <c r="AC105" s="420">
        <f>IF(OR(t&lt;Tnet,NoTnet),'2022'!Resal_s+('2022'!Salim-'2022'!Resal_s)*(1-EXP(('2022'!Tnet_s-t)/'2022'!Tau_j)),Resal_s+(Salim-Resal_s)*(1-EXP((Tnet_s-t)/Tau_j)))*Salcycl</f>
        <v>3.3516602255458314E-2</v>
      </c>
      <c r="AD105" s="227">
        <f>(INDEX(Models!$BJ105:$BT105,,AH105)*(1-AF105)+INDEX(Models!$BJ105:$BT105,,AH105+1)*AF105-ERP_i)*AE105*Ramure*Pc/MaxiM</f>
        <v>3.0524479412270212E-5</v>
      </c>
      <c r="AE105" s="301">
        <f t="shared" si="40"/>
        <v>0.5</v>
      </c>
      <c r="AF105" s="173">
        <f t="shared" si="41"/>
        <v>0.51553731672354641</v>
      </c>
      <c r="AG105" s="172">
        <f t="shared" si="42"/>
        <v>0</v>
      </c>
      <c r="AH105" s="172">
        <f t="shared" si="43"/>
        <v>6</v>
      </c>
      <c r="AI105" s="221">
        <f t="shared" si="44"/>
        <v>0.51553731672354641</v>
      </c>
      <c r="AJ105" s="261" t="b">
        <f t="shared" si="45"/>
        <v>0</v>
      </c>
      <c r="AK105" s="261" t="b">
        <f t="shared" si="46"/>
        <v>0</v>
      </c>
      <c r="AL105" s="261"/>
      <c r="AM105" s="261"/>
      <c r="AN105" s="75"/>
    </row>
    <row r="106" spans="1:40" s="6" customFormat="1" ht="11.25" customHeight="1" x14ac:dyDescent="0.2">
      <c r="A106" s="56">
        <f t="shared" si="47"/>
        <v>45018</v>
      </c>
      <c r="B106" s="406">
        <f>'2022'!Wh/'2022'!Env_an*'2023'!Env_an</f>
        <v>72.306391428723074</v>
      </c>
      <c r="C106" s="385"/>
      <c r="D106" s="388">
        <f t="shared" si="25"/>
        <v>72.89674177702318</v>
      </c>
      <c r="E106" s="380">
        <f t="shared" si="48"/>
        <v>75.428422206865022</v>
      </c>
      <c r="F106" s="380">
        <f t="shared" si="26"/>
        <v>75.428570485094056</v>
      </c>
      <c r="G106" s="110">
        <f t="shared" si="49"/>
        <v>0.34442269628365535</v>
      </c>
      <c r="H106" s="409" t="b">
        <f>Wh_hp&gt;='2022'!Maxi_hp</f>
        <v>0</v>
      </c>
      <c r="I106" s="385">
        <f>IF(H106,Wh_hp,'2022'!Maxi_hp)</f>
        <v>75.430650895015674</v>
      </c>
      <c r="J106" s="85">
        <f>IF(H106,An,'2022'!An_max)</f>
        <v>2022</v>
      </c>
      <c r="K106" s="193">
        <f t="shared" si="27"/>
        <v>45018</v>
      </c>
      <c r="L106" s="143">
        <f>IF(t&lt;Tvie,1-EXP((T0-t)*PertePVj)+'2022'!Pspv,1-EXP((T0-t)*PertePVj)+Pspv)</f>
        <v>8.098446294155015E-3</v>
      </c>
      <c r="M106" s="835"/>
      <c r="N106" s="835"/>
      <c r="O106" s="48">
        <f>IF(t&lt;Tnet,'2022'!Resal+('2022'!Salim-'2022'!Resal)*(1-EXP(('2022'!Tnet-t)/('2022'!Tau_j))),Resal+(Salim-Resal)*(1-EXP((Tnet-t)/(Tau_j))))*Salcycl</f>
        <v>3.3564011492890872E-2</v>
      </c>
      <c r="P106" s="165">
        <f>(INDEX(Models!$BJ106:$BT106,,T106)*(1-R106)+INDEX(Models!$BJ106:$BT106,,T106+1)*R106-ERP_i)*Q106*Ramure*Pc/MaxiM</f>
        <v>3.0969698963224499E-5</v>
      </c>
      <c r="Q106" s="301">
        <f t="shared" si="28"/>
        <v>0.5</v>
      </c>
      <c r="R106" s="173">
        <f t="shared" si="29"/>
        <v>0.51659552077298576</v>
      </c>
      <c r="S106" s="801">
        <f t="shared" si="30"/>
        <v>0</v>
      </c>
      <c r="T106" s="172">
        <f t="shared" si="31"/>
        <v>6</v>
      </c>
      <c r="U106" s="247">
        <f t="shared" si="32"/>
        <v>0.51659552077298576</v>
      </c>
      <c r="V106" s="378">
        <f t="shared" si="33"/>
        <v>209.92894788355034</v>
      </c>
      <c r="W106" s="397">
        <f t="shared" si="34"/>
        <v>72.306391428723074</v>
      </c>
      <c r="X106" s="153">
        <f t="shared" si="35"/>
        <v>45018</v>
      </c>
      <c r="Y106" s="380">
        <f t="shared" si="36"/>
        <v>72.306391428723074</v>
      </c>
      <c r="Z106" s="380">
        <f t="shared" si="37"/>
        <v>72.89674177702318</v>
      </c>
      <c r="AA106" s="381">
        <f t="shared" si="38"/>
        <v>75.428422206865022</v>
      </c>
      <c r="AB106" s="193">
        <f t="shared" si="39"/>
        <v>45018</v>
      </c>
      <c r="AC106" s="420">
        <f>IF(OR(t&lt;Tnet,NoTnet),'2022'!Resal_s+('2022'!Salim-'2022'!Resal_s)*(1-EXP(('2022'!Tnet_s-t)/'2022'!Tau_j)),Resal_s+(Salim-Resal_s)*(1-EXP((Tnet_s-t)/Tau_j)))*Salcycl</f>
        <v>3.3564011492890872E-2</v>
      </c>
      <c r="AD106" s="227">
        <f>(INDEX(Models!$BJ106:$BT106,,AH106)*(1-AF106)+INDEX(Models!$BJ106:$BT106,,AH106+1)*AF106-ERP_i)*AE106*Ramure*Pc/MaxiM</f>
        <v>3.0969698963224499E-5</v>
      </c>
      <c r="AE106" s="301">
        <f t="shared" si="40"/>
        <v>0.5</v>
      </c>
      <c r="AF106" s="173">
        <f t="shared" si="41"/>
        <v>0.51659552077298576</v>
      </c>
      <c r="AG106" s="172">
        <f t="shared" si="42"/>
        <v>0</v>
      </c>
      <c r="AH106" s="172">
        <f t="shared" si="43"/>
        <v>6</v>
      </c>
      <c r="AI106" s="221">
        <f t="shared" si="44"/>
        <v>0.51659552077298576</v>
      </c>
      <c r="AJ106" s="261" t="b">
        <f t="shared" si="45"/>
        <v>0</v>
      </c>
      <c r="AK106" s="261" t="b">
        <f t="shared" si="46"/>
        <v>0</v>
      </c>
      <c r="AL106" s="261"/>
      <c r="AM106" s="261"/>
      <c r="AN106" s="75"/>
    </row>
    <row r="107" spans="1:40" s="6" customFormat="1" ht="11.25" x14ac:dyDescent="0.2">
      <c r="A107" s="56">
        <f t="shared" si="47"/>
        <v>45019</v>
      </c>
      <c r="B107" s="406">
        <f>'2022'!Wh/'2022'!Env_an*'2023'!Env_an</f>
        <v>116.07426518452309</v>
      </c>
      <c r="C107" s="385"/>
      <c r="D107" s="388">
        <f t="shared" si="25"/>
        <v>117.02356320727533</v>
      </c>
      <c r="E107" s="380">
        <f t="shared" si="48"/>
        <v>121.09373258645876</v>
      </c>
      <c r="F107" s="380">
        <f t="shared" si="26"/>
        <v>121.09509238757283</v>
      </c>
      <c r="G107" s="110">
        <f t="shared" si="49"/>
        <v>0.55022223781182455</v>
      </c>
      <c r="H107" s="409" t="b">
        <f>Wh_hp&gt;='2022'!Maxi_hp</f>
        <v>0</v>
      </c>
      <c r="I107" s="385">
        <f>IF(H107,Wh_hp,'2022'!Maxi_hp)</f>
        <v>121.09741152575187</v>
      </c>
      <c r="J107" s="85">
        <f>IF(H107,An,'2022'!An_max)</f>
        <v>2022</v>
      </c>
      <c r="K107" s="193">
        <f t="shared" si="27"/>
        <v>45019</v>
      </c>
      <c r="L107" s="143">
        <f>IF(t&lt;Tvie,1-EXP((T0-t)*PertePVj)+'2022'!Pspv,1-EXP((T0-t)*PertePVj)+Pspv)</f>
        <v>8.1120245934642732E-3</v>
      </c>
      <c r="M107" s="835"/>
      <c r="N107" s="835"/>
      <c r="O107" s="48">
        <f>IF(t&lt;Tnet,'2022'!Resal+('2022'!Salim-'2022'!Resal)*(1-EXP(('2022'!Tnet-t)/('2022'!Tau_j))),Resal+(Salim-Resal)*(1-EXP((Tnet-t)/(Tau_j))))*Salcycl</f>
        <v>3.3611726158308007E-2</v>
      </c>
      <c r="P107" s="165">
        <f>(INDEX(Models!$BJ107:$BT107,,T107)*(1-R107)+INDEX(Models!$BJ107:$BT107,,T107+1)*R107-ERP_i)*Q107*Ramure*Pc/MaxiM</f>
        <v>3.1412442824892996E-5</v>
      </c>
      <c r="Q107" s="301">
        <f t="shared" si="28"/>
        <v>0.5</v>
      </c>
      <c r="R107" s="173">
        <f t="shared" si="29"/>
        <v>0.51769310557779924</v>
      </c>
      <c r="S107" s="801">
        <f t="shared" si="30"/>
        <v>0</v>
      </c>
      <c r="T107" s="172">
        <f t="shared" si="31"/>
        <v>6</v>
      </c>
      <c r="U107" s="247">
        <f t="shared" si="32"/>
        <v>0.51769310557779924</v>
      </c>
      <c r="V107" s="378">
        <f t="shared" si="33"/>
        <v>210.95461874612641</v>
      </c>
      <c r="W107" s="397">
        <f t="shared" si="34"/>
        <v>116.07426518452309</v>
      </c>
      <c r="X107" s="153">
        <f t="shared" si="35"/>
        <v>45019</v>
      </c>
      <c r="Y107" s="380">
        <f t="shared" si="36"/>
        <v>116.07426518452309</v>
      </c>
      <c r="Z107" s="380">
        <f t="shared" si="37"/>
        <v>117.02356320727533</v>
      </c>
      <c r="AA107" s="381">
        <f t="shared" si="38"/>
        <v>121.09373258645876</v>
      </c>
      <c r="AB107" s="193">
        <f t="shared" si="39"/>
        <v>45019</v>
      </c>
      <c r="AC107" s="420">
        <f>IF(OR(t&lt;Tnet,NoTnet),'2022'!Resal_s+('2022'!Salim-'2022'!Resal_s)*(1-EXP(('2022'!Tnet_s-t)/'2022'!Tau_j)),Resal_s+(Salim-Resal_s)*(1-EXP((Tnet_s-t)/Tau_j)))*Salcycl</f>
        <v>3.3611726158308007E-2</v>
      </c>
      <c r="AD107" s="227">
        <f>(INDEX(Models!$BJ107:$BT107,,AH107)*(1-AF107)+INDEX(Models!$BJ107:$BT107,,AH107+1)*AF107-ERP_i)*AE107*Ramure*Pc/MaxiM</f>
        <v>3.1412442824892996E-5</v>
      </c>
      <c r="AE107" s="301">
        <f t="shared" si="40"/>
        <v>0.5</v>
      </c>
      <c r="AF107" s="173">
        <f t="shared" si="41"/>
        <v>0.51769310557779924</v>
      </c>
      <c r="AG107" s="172">
        <f t="shared" si="42"/>
        <v>0</v>
      </c>
      <c r="AH107" s="172">
        <f t="shared" si="43"/>
        <v>6</v>
      </c>
      <c r="AI107" s="221">
        <f t="shared" si="44"/>
        <v>0.51769310557779924</v>
      </c>
      <c r="AJ107" s="261" t="b">
        <f t="shared" si="45"/>
        <v>0</v>
      </c>
      <c r="AK107" s="261" t="b">
        <f t="shared" si="46"/>
        <v>0</v>
      </c>
      <c r="AL107" s="261"/>
      <c r="AM107" s="261"/>
      <c r="AN107" s="75"/>
    </row>
    <row r="108" spans="1:40" s="6" customFormat="1" ht="11.25" x14ac:dyDescent="0.2">
      <c r="A108" s="56">
        <f t="shared" si="47"/>
        <v>45020</v>
      </c>
      <c r="B108" s="406">
        <f>'2022'!Wh/'2022'!Env_an*'2023'!Env_an</f>
        <v>177.09207543829459</v>
      </c>
      <c r="C108" s="385"/>
      <c r="D108" s="388">
        <f t="shared" si="25"/>
        <v>178.54284365197029</v>
      </c>
      <c r="E108" s="380">
        <f t="shared" si="48"/>
        <v>184.7618841226554</v>
      </c>
      <c r="F108" s="380">
        <f t="shared" si="26"/>
        <v>184.76639076774981</v>
      </c>
      <c r="G108" s="110">
        <f t="shared" si="49"/>
        <v>0.83551472264705062</v>
      </c>
      <c r="H108" s="409" t="b">
        <f>Wh_hp&gt;='2022'!Maxi_hp</f>
        <v>0</v>
      </c>
      <c r="I108" s="385">
        <f>IF(H108,Wh_hp,'2022'!Maxi_hp)</f>
        <v>184.76770122417531</v>
      </c>
      <c r="J108" s="85">
        <f>IF(H108,An,'2022'!An_max)</f>
        <v>2022</v>
      </c>
      <c r="K108" s="193">
        <f t="shared" si="27"/>
        <v>45020</v>
      </c>
      <c r="L108" s="143">
        <f>IF(t&lt;Tvie,1-EXP((T0-t)*PertePVj)+'2022'!Pspv,1-EXP((T0-t)*PertePVj)+Pspv)</f>
        <v>8.1256027068979941E-3</v>
      </c>
      <c r="M108" s="835"/>
      <c r="N108" s="835"/>
      <c r="O108" s="48">
        <f>IF(t&lt;Tnet,'2022'!Resal+('2022'!Salim-'2022'!Resal)*(1-EXP(('2022'!Tnet-t)/('2022'!Tau_j))),Resal+(Salim-Resal)*(1-EXP((Tnet-t)/(Tau_j))))*Salcycl</f>
        <v>3.3659758884882152E-2</v>
      </c>
      <c r="P108" s="165">
        <f>(INDEX(Models!$BJ108:$BT108,,T108)*(1-R108)+INDEX(Models!$BJ108:$BT108,,T108+1)*R108-ERP_i)*Q108*Ramure*Pc/MaxiM</f>
        <v>3.1882467910296925E-5</v>
      </c>
      <c r="Q108" s="301">
        <f t="shared" si="28"/>
        <v>0.5</v>
      </c>
      <c r="R108" s="173">
        <f t="shared" si="29"/>
        <v>0.51883133161265194</v>
      </c>
      <c r="S108" s="801">
        <f t="shared" si="30"/>
        <v>0</v>
      </c>
      <c r="T108" s="172">
        <f t="shared" si="31"/>
        <v>6</v>
      </c>
      <c r="U108" s="247">
        <f t="shared" si="32"/>
        <v>0.51883133161265194</v>
      </c>
      <c r="V108" s="378">
        <f t="shared" si="33"/>
        <v>211.95407326037764</v>
      </c>
      <c r="W108" s="397">
        <f t="shared" si="34"/>
        <v>177.09207543829459</v>
      </c>
      <c r="X108" s="153">
        <f t="shared" si="35"/>
        <v>45020</v>
      </c>
      <c r="Y108" s="380">
        <f t="shared" si="36"/>
        <v>177.09207543829459</v>
      </c>
      <c r="Z108" s="380">
        <f t="shared" si="37"/>
        <v>178.54284365197029</v>
      </c>
      <c r="AA108" s="381">
        <f t="shared" si="38"/>
        <v>184.7618841226554</v>
      </c>
      <c r="AB108" s="193">
        <f t="shared" si="39"/>
        <v>45020</v>
      </c>
      <c r="AC108" s="420">
        <f>IF(OR(t&lt;Tnet,NoTnet),'2022'!Resal_s+('2022'!Salim-'2022'!Resal_s)*(1-EXP(('2022'!Tnet_s-t)/'2022'!Tau_j)),Resal_s+(Salim-Resal_s)*(1-EXP((Tnet_s-t)/Tau_j)))*Salcycl</f>
        <v>3.3659758884882152E-2</v>
      </c>
      <c r="AD108" s="227">
        <f>(INDEX(Models!$BJ108:$BT108,,AH108)*(1-AF108)+INDEX(Models!$BJ108:$BT108,,AH108+1)*AF108-ERP_i)*AE108*Ramure*Pc/MaxiM</f>
        <v>3.1882467910296925E-5</v>
      </c>
      <c r="AE108" s="301">
        <f t="shared" si="40"/>
        <v>0.5</v>
      </c>
      <c r="AF108" s="173">
        <f t="shared" si="41"/>
        <v>0.51883133161265194</v>
      </c>
      <c r="AG108" s="172">
        <f t="shared" si="42"/>
        <v>0</v>
      </c>
      <c r="AH108" s="172">
        <f t="shared" si="43"/>
        <v>6</v>
      </c>
      <c r="AI108" s="221">
        <f t="shared" si="44"/>
        <v>0.51883133161265194</v>
      </c>
      <c r="AJ108" s="261" t="b">
        <f t="shared" si="45"/>
        <v>0</v>
      </c>
      <c r="AK108" s="261" t="b">
        <f t="shared" si="46"/>
        <v>0</v>
      </c>
      <c r="AL108" s="261"/>
      <c r="AM108" s="261"/>
      <c r="AN108" s="75"/>
    </row>
    <row r="109" spans="1:40" s="6" customFormat="1" ht="11.25" x14ac:dyDescent="0.2">
      <c r="A109" s="56">
        <f t="shared" si="47"/>
        <v>45021</v>
      </c>
      <c r="B109" s="406">
        <f>'2022'!Wh/'2022'!Env_an*'2023'!Env_an</f>
        <v>216.98406242146174</v>
      </c>
      <c r="C109" s="385"/>
      <c r="D109" s="388">
        <f t="shared" si="25"/>
        <v>218.7646272389899</v>
      </c>
      <c r="E109" s="380">
        <f t="shared" si="48"/>
        <v>226.39601163051361</v>
      </c>
      <c r="F109" s="380">
        <f t="shared" si="26"/>
        <v>226.40334911043368</v>
      </c>
      <c r="G109" s="110">
        <f t="shared" si="49"/>
        <v>1.0190486017817741</v>
      </c>
      <c r="H109" s="409" t="b">
        <f>Wh_hp&gt;='2022'!Maxi_hp</f>
        <v>1</v>
      </c>
      <c r="I109" s="385">
        <f>IF(H109,Wh_hp,'2022'!Maxi_hp)</f>
        <v>226.40334911043368</v>
      </c>
      <c r="J109" s="85">
        <f>IF(H109,An,'2022'!An_max)</f>
        <v>2023</v>
      </c>
      <c r="K109" s="193">
        <f t="shared" si="27"/>
        <v>45021</v>
      </c>
      <c r="L109" s="143">
        <f>IF(t&lt;Tvie,1-EXP((T0-t)*PertePVj)+'2022'!Pspv,1-EXP((T0-t)*PertePVj)+Pspv)</f>
        <v>8.1391806344587314E-3</v>
      </c>
      <c r="M109" s="835"/>
      <c r="N109" s="835"/>
      <c r="O109" s="48">
        <f>IF(t&lt;Tnet,'2022'!Resal+('2022'!Salim-'2022'!Resal)*(1-EXP(('2022'!Tnet-t)/('2022'!Tau_j))),Resal+(Salim-Resal)*(1-EXP((Tnet-t)/(Tau_j))))*Salcycl</f>
        <v>3.3708122049333565E-2</v>
      </c>
      <c r="P109" s="165">
        <f>(INDEX(Models!$BJ109:$BT109,,T109)*(1-R109)+INDEX(Models!$BJ109:$BT109,,T109+1)*R109-ERP_i)*Q109*Ramure*Pc/MaxiM</f>
        <v>3.2408884183480344E-5</v>
      </c>
      <c r="Q109" s="301">
        <f t="shared" si="28"/>
        <v>0.5</v>
      </c>
      <c r="R109" s="173">
        <f t="shared" si="29"/>
        <v>0.5200114832406707</v>
      </c>
      <c r="S109" s="801">
        <f t="shared" si="30"/>
        <v>0</v>
      </c>
      <c r="T109" s="172">
        <f t="shared" si="31"/>
        <v>6</v>
      </c>
      <c r="U109" s="247">
        <f t="shared" si="32"/>
        <v>0.5200114832406707</v>
      </c>
      <c r="V109" s="378">
        <f t="shared" si="33"/>
        <v>212.92808021332053</v>
      </c>
      <c r="W109" s="397">
        <f t="shared" si="34"/>
        <v>216.98406242146174</v>
      </c>
      <c r="X109" s="153">
        <f t="shared" si="35"/>
        <v>45021</v>
      </c>
      <c r="Y109" s="380">
        <f t="shared" si="36"/>
        <v>216.98406242146174</v>
      </c>
      <c r="Z109" s="380">
        <f t="shared" si="37"/>
        <v>218.7646272389899</v>
      </c>
      <c r="AA109" s="381">
        <f t="shared" si="38"/>
        <v>226.39601163051361</v>
      </c>
      <c r="AB109" s="193">
        <f t="shared" si="39"/>
        <v>45021</v>
      </c>
      <c r="AC109" s="420">
        <f>IF(OR(t&lt;Tnet,NoTnet),'2022'!Resal_s+('2022'!Salim-'2022'!Resal_s)*(1-EXP(('2022'!Tnet_s-t)/'2022'!Tau_j)),Resal_s+(Salim-Resal_s)*(1-EXP((Tnet_s-t)/Tau_j)))*Salcycl</f>
        <v>3.3708122049333565E-2</v>
      </c>
      <c r="AD109" s="227">
        <f>(INDEX(Models!$BJ109:$BT109,,AH109)*(1-AF109)+INDEX(Models!$BJ109:$BT109,,AH109+1)*AF109-ERP_i)*AE109*Ramure*Pc/MaxiM</f>
        <v>3.2408884183480344E-5</v>
      </c>
      <c r="AE109" s="301">
        <f t="shared" si="40"/>
        <v>0.5</v>
      </c>
      <c r="AF109" s="173">
        <f t="shared" si="41"/>
        <v>0.5200114832406707</v>
      </c>
      <c r="AG109" s="172">
        <f t="shared" si="42"/>
        <v>0</v>
      </c>
      <c r="AH109" s="172">
        <f t="shared" si="43"/>
        <v>6</v>
      </c>
      <c r="AI109" s="221">
        <f t="shared" si="44"/>
        <v>0.5200114832406707</v>
      </c>
      <c r="AJ109" s="261" t="b">
        <f t="shared" si="45"/>
        <v>0</v>
      </c>
      <c r="AK109" s="261" t="b">
        <f t="shared" si="46"/>
        <v>0</v>
      </c>
      <c r="AL109" s="261"/>
      <c r="AM109" s="261"/>
      <c r="AN109" s="75"/>
    </row>
    <row r="110" spans="1:40" s="6" customFormat="1" ht="11.25" customHeight="1" x14ac:dyDescent="0.2">
      <c r="A110" s="56">
        <f t="shared" si="47"/>
        <v>45022</v>
      </c>
      <c r="B110" s="406">
        <f>'2022'!Wh/'2022'!Env_an*'2023'!Env_an</f>
        <v>53.872466539946792</v>
      </c>
      <c r="C110" s="385"/>
      <c r="D110" s="388">
        <f t="shared" si="25"/>
        <v>54.315285942366351</v>
      </c>
      <c r="E110" s="380">
        <f t="shared" si="48"/>
        <v>56.212853557045499</v>
      </c>
      <c r="F110" s="380">
        <f t="shared" si="26"/>
        <v>56.212853557045499</v>
      </c>
      <c r="G110" s="110">
        <f t="shared" si="49"/>
        <v>0.25187647489832704</v>
      </c>
      <c r="H110" s="409" t="b">
        <f>Wh_hp&gt;='2022'!Maxi_hp</f>
        <v>0</v>
      </c>
      <c r="I110" s="385">
        <f>IF(H110,Wh_hp,'2022'!Maxi_hp)</f>
        <v>56.214601212449267</v>
      </c>
      <c r="J110" s="85">
        <f>IF(H110,An,'2022'!An_max)</f>
        <v>2022</v>
      </c>
      <c r="K110" s="193">
        <f t="shared" si="27"/>
        <v>45022</v>
      </c>
      <c r="L110" s="143">
        <f>IF(t&lt;Tvie,1-EXP((T0-t)*PertePVj)+'2022'!Pspv,1-EXP((T0-t)*PertePVj)+Pspv)</f>
        <v>8.1527583761490385E-3</v>
      </c>
      <c r="M110" s="835"/>
      <c r="N110" s="835"/>
      <c r="O110" s="48">
        <f>IF(t&lt;Tnet,'2022'!Resal+('2022'!Salim-'2022'!Resal)*(1-EXP(('2022'!Tnet-t)/('2022'!Tau_j))),Resal+(Salim-Resal)*(1-EXP((Tnet-t)/(Tau_j))))*Salcycl</f>
        <v>3.3756827746762114E-2</v>
      </c>
      <c r="P110" s="165">
        <f>(INDEX(Models!$BJ110:$BT110,,T110)*(1-R110)+INDEX(Models!$BJ110:$BT110,,T110+1)*R110-ERP_i)*Q110*Ramure*Pc/MaxiM</f>
        <v>3.2992186809970208E-5</v>
      </c>
      <c r="Q110" s="301">
        <f t="shared" si="28"/>
        <v>0.5</v>
      </c>
      <c r="R110" s="173">
        <f t="shared" si="29"/>
        <v>0.52123486776371086</v>
      </c>
      <c r="S110" s="801">
        <f t="shared" si="30"/>
        <v>0</v>
      </c>
      <c r="T110" s="172">
        <f t="shared" si="31"/>
        <v>6</v>
      </c>
      <c r="U110" s="247">
        <f t="shared" si="32"/>
        <v>0.52123486776371086</v>
      </c>
      <c r="V110" s="378">
        <f t="shared" si="33"/>
        <v>213.87741428099761</v>
      </c>
      <c r="W110" s="397">
        <f t="shared" si="34"/>
        <v>53.872466539946792</v>
      </c>
      <c r="X110" s="153">
        <f t="shared" si="35"/>
        <v>45022</v>
      </c>
      <c r="Y110" s="380">
        <f t="shared" si="36"/>
        <v>53.872466539946792</v>
      </c>
      <c r="Z110" s="380">
        <f t="shared" si="37"/>
        <v>54.315285942366351</v>
      </c>
      <c r="AA110" s="381">
        <f t="shared" si="38"/>
        <v>56.212853557045499</v>
      </c>
      <c r="AB110" s="193">
        <f t="shared" si="39"/>
        <v>45022</v>
      </c>
      <c r="AC110" s="420">
        <f>IF(OR(t&lt;Tnet,NoTnet),'2022'!Resal_s+('2022'!Salim-'2022'!Resal_s)*(1-EXP(('2022'!Tnet_s-t)/'2022'!Tau_j)),Resal_s+(Salim-Resal_s)*(1-EXP((Tnet_s-t)/Tau_j)))*Salcycl</f>
        <v>3.3756827746762114E-2</v>
      </c>
      <c r="AD110" s="227">
        <f>(INDEX(Models!$BJ110:$BT110,,AH110)*(1-AF110)+INDEX(Models!$BJ110:$BT110,,AH110+1)*AF110-ERP_i)*AE110*Ramure*Pc/MaxiM</f>
        <v>3.2992186809970208E-5</v>
      </c>
      <c r="AE110" s="301">
        <f t="shared" si="40"/>
        <v>0.5</v>
      </c>
      <c r="AF110" s="173">
        <f t="shared" si="41"/>
        <v>0.52123486776371086</v>
      </c>
      <c r="AG110" s="172">
        <f t="shared" si="42"/>
        <v>0</v>
      </c>
      <c r="AH110" s="172">
        <f t="shared" si="43"/>
        <v>6</v>
      </c>
      <c r="AI110" s="221">
        <f t="shared" si="44"/>
        <v>0.52123486776371086</v>
      </c>
      <c r="AJ110" s="261" t="b">
        <f t="shared" si="45"/>
        <v>0</v>
      </c>
      <c r="AK110" s="261" t="b">
        <f t="shared" si="46"/>
        <v>0</v>
      </c>
      <c r="AL110" s="261"/>
      <c r="AM110" s="261"/>
      <c r="AN110" s="75"/>
    </row>
    <row r="111" spans="1:40" s="6" customFormat="1" ht="11.25" x14ac:dyDescent="0.2">
      <c r="A111" s="56">
        <f t="shared" si="47"/>
        <v>45023</v>
      </c>
      <c r="B111" s="406">
        <f>'2022'!Wh/'2022'!Env_an*'2023'!Env_an</f>
        <v>165.56309104921942</v>
      </c>
      <c r="C111" s="385"/>
      <c r="D111" s="388">
        <f t="shared" si="25"/>
        <v>166.92626702158771</v>
      </c>
      <c r="E111" s="380">
        <f t="shared" si="48"/>
        <v>172.76680214460475</v>
      </c>
      <c r="F111" s="380">
        <f t="shared" si="26"/>
        <v>172.77071004925244</v>
      </c>
      <c r="G111" s="110">
        <f t="shared" si="49"/>
        <v>0.77075917531594784</v>
      </c>
      <c r="H111" s="409" t="b">
        <f>Wh_hp&gt;='2022'!Maxi_hp</f>
        <v>0</v>
      </c>
      <c r="I111" s="385">
        <f>IF(H111,Wh_hp,'2022'!Maxi_hp)</f>
        <v>172.77249888027328</v>
      </c>
      <c r="J111" s="85">
        <f>IF(H111,An,'2022'!An_max)</f>
        <v>2022</v>
      </c>
      <c r="K111" s="193">
        <f t="shared" si="27"/>
        <v>45023</v>
      </c>
      <c r="L111" s="143">
        <f>IF(t&lt;Tvie,1-EXP((T0-t)*PertePVj)+'2022'!Pspv,1-EXP((T0-t)*PertePVj)+Pspv)</f>
        <v>8.16633593197158E-3</v>
      </c>
      <c r="M111" s="835"/>
      <c r="N111" s="835"/>
      <c r="O111" s="48">
        <f>IF(t&lt;Tnet,'2022'!Resal+('2022'!Salim-'2022'!Resal)*(1-EXP(('2022'!Tnet-t)/('2022'!Tau_j))),Resal+(Salim-Resal)*(1-EXP((Tnet-t)/(Tau_j))))*Salcycl</f>
        <v>3.3805887766149442E-2</v>
      </c>
      <c r="P111" s="165">
        <f>(INDEX(Models!$BJ111:$BT111,,T111)*(1-R111)+INDEX(Models!$BJ111:$BT111,,T111+1)*R111-ERP_i)*Q111*Ramure*Pc/MaxiM</f>
        <v>3.3632972737288165E-5</v>
      </c>
      <c r="Q111" s="301">
        <f t="shared" si="28"/>
        <v>0.5</v>
      </c>
      <c r="R111" s="173">
        <f t="shared" si="29"/>
        <v>0.52250281432465995</v>
      </c>
      <c r="S111" s="801">
        <f t="shared" si="30"/>
        <v>0</v>
      </c>
      <c r="T111" s="172">
        <f t="shared" si="31"/>
        <v>6</v>
      </c>
      <c r="U111" s="247">
        <f t="shared" si="32"/>
        <v>0.52250281432465995</v>
      </c>
      <c r="V111" s="378">
        <f t="shared" si="33"/>
        <v>214.80284997778588</v>
      </c>
      <c r="W111" s="397">
        <f t="shared" si="34"/>
        <v>165.56309104921942</v>
      </c>
      <c r="X111" s="153">
        <f t="shared" si="35"/>
        <v>45023</v>
      </c>
      <c r="Y111" s="380">
        <f t="shared" si="36"/>
        <v>165.56309104921942</v>
      </c>
      <c r="Z111" s="380">
        <f t="shared" si="37"/>
        <v>166.92626702158771</v>
      </c>
      <c r="AA111" s="381">
        <f t="shared" si="38"/>
        <v>172.76680214460475</v>
      </c>
      <c r="AB111" s="193">
        <f t="shared" si="39"/>
        <v>45023</v>
      </c>
      <c r="AC111" s="420">
        <f>IF(OR(t&lt;Tnet,NoTnet),'2022'!Resal_s+('2022'!Salim-'2022'!Resal_s)*(1-EXP(('2022'!Tnet_s-t)/'2022'!Tau_j)),Resal_s+(Salim-Resal_s)*(1-EXP((Tnet_s-t)/Tau_j)))*Salcycl</f>
        <v>3.3805887766149442E-2</v>
      </c>
      <c r="AD111" s="227">
        <f>(INDEX(Models!$BJ111:$BT111,,AH111)*(1-AF111)+INDEX(Models!$BJ111:$BT111,,AH111+1)*AF111-ERP_i)*AE111*Ramure*Pc/MaxiM</f>
        <v>3.3632972737288165E-5</v>
      </c>
      <c r="AE111" s="301">
        <f t="shared" si="40"/>
        <v>0.5</v>
      </c>
      <c r="AF111" s="173">
        <f t="shared" si="41"/>
        <v>0.52250281432465995</v>
      </c>
      <c r="AG111" s="172">
        <f t="shared" si="42"/>
        <v>0</v>
      </c>
      <c r="AH111" s="172">
        <f t="shared" si="43"/>
        <v>6</v>
      </c>
      <c r="AI111" s="221">
        <f t="shared" si="44"/>
        <v>0.52250281432465995</v>
      </c>
      <c r="AJ111" s="261" t="b">
        <f t="shared" si="45"/>
        <v>0</v>
      </c>
      <c r="AK111" s="261" t="b">
        <f t="shared" si="46"/>
        <v>0</v>
      </c>
      <c r="AL111" s="261"/>
      <c r="AM111" s="261"/>
      <c r="AN111" s="75"/>
    </row>
    <row r="112" spans="1:40" s="6" customFormat="1" ht="11.25" customHeight="1" x14ac:dyDescent="0.2">
      <c r="A112" s="56">
        <f t="shared" si="47"/>
        <v>45024</v>
      </c>
      <c r="B112" s="406">
        <f>'2022'!Wh/'2022'!Env_an*'2023'!Env_an</f>
        <v>131.77749181979692</v>
      </c>
      <c r="C112" s="385"/>
      <c r="D112" s="388">
        <f t="shared" si="25"/>
        <v>132.86431035945782</v>
      </c>
      <c r="E112" s="380">
        <f t="shared" si="48"/>
        <v>137.52009634282152</v>
      </c>
      <c r="F112" s="380">
        <f t="shared" si="26"/>
        <v>137.52219342089853</v>
      </c>
      <c r="G112" s="110">
        <f t="shared" si="49"/>
        <v>0.61090321642996936</v>
      </c>
      <c r="H112" s="409" t="b">
        <f>Wh_hp&gt;='2022'!Maxi_hp</f>
        <v>0</v>
      </c>
      <c r="I112" s="385">
        <f>IF(H112,Wh_hp,'2022'!Maxi_hp)</f>
        <v>137.5246543062388</v>
      </c>
      <c r="J112" s="85">
        <f>IF(H112,An,'2022'!An_max)</f>
        <v>2022</v>
      </c>
      <c r="K112" s="193">
        <f t="shared" si="27"/>
        <v>45024</v>
      </c>
      <c r="L112" s="143">
        <f>IF(t&lt;Tvie,1-EXP((T0-t)*PertePVj)+'2022'!Pspv,1-EXP((T0-t)*PertePVj)+Pspv)</f>
        <v>8.1799133019286874E-3</v>
      </c>
      <c r="M112" s="835"/>
      <c r="N112" s="835"/>
      <c r="O112" s="48">
        <f>IF(t&lt;Tnet,'2022'!Resal+('2022'!Salim-'2022'!Resal)*(1-EXP(('2022'!Tnet-t)/('2022'!Tau_j))),Resal+(Salim-Resal)*(1-EXP((Tnet-t)/(Tau_j))))*Salcycl</f>
        <v>3.3855313566370546E-2</v>
      </c>
      <c r="P112" s="165">
        <f>(INDEX(Models!$BJ112:$BT112,,T112)*(1-R112)+INDEX(Models!$BJ112:$BT112,,T112+1)*R112-ERP_i)*Q112*Ramure*Pc/MaxiM</f>
        <v>3.4331940385144572E-5</v>
      </c>
      <c r="Q112" s="301">
        <f t="shared" si="28"/>
        <v>0.5</v>
      </c>
      <c r="R112" s="173">
        <f t="shared" si="29"/>
        <v>0.5238166726524035</v>
      </c>
      <c r="S112" s="801">
        <f t="shared" si="30"/>
        <v>0</v>
      </c>
      <c r="T112" s="172">
        <f t="shared" si="31"/>
        <v>6</v>
      </c>
      <c r="U112" s="247">
        <f t="shared" si="32"/>
        <v>0.5238166726524035</v>
      </c>
      <c r="V112" s="378">
        <f t="shared" si="33"/>
        <v>215.70516169740094</v>
      </c>
      <c r="W112" s="397">
        <f t="shared" si="34"/>
        <v>131.77749181979692</v>
      </c>
      <c r="X112" s="153">
        <f t="shared" si="35"/>
        <v>45024</v>
      </c>
      <c r="Y112" s="380">
        <f t="shared" si="36"/>
        <v>131.77749181979692</v>
      </c>
      <c r="Z112" s="380">
        <f t="shared" si="37"/>
        <v>132.86431035945782</v>
      </c>
      <c r="AA112" s="381">
        <f t="shared" si="38"/>
        <v>137.52009634282152</v>
      </c>
      <c r="AB112" s="193">
        <f t="shared" si="39"/>
        <v>45024</v>
      </c>
      <c r="AC112" s="420">
        <f>IF(OR(t&lt;Tnet,NoTnet),'2022'!Resal_s+('2022'!Salim-'2022'!Resal_s)*(1-EXP(('2022'!Tnet_s-t)/'2022'!Tau_j)),Resal_s+(Salim-Resal_s)*(1-EXP((Tnet_s-t)/Tau_j)))*Salcycl</f>
        <v>3.3855313566370546E-2</v>
      </c>
      <c r="AD112" s="227">
        <f>(INDEX(Models!$BJ112:$BT112,,AH112)*(1-AF112)+INDEX(Models!$BJ112:$BT112,,AH112+1)*AF112-ERP_i)*AE112*Ramure*Pc/MaxiM</f>
        <v>3.4331940385144572E-5</v>
      </c>
      <c r="AE112" s="301">
        <f t="shared" si="40"/>
        <v>0.5</v>
      </c>
      <c r="AF112" s="173">
        <f t="shared" si="41"/>
        <v>0.5238166726524035</v>
      </c>
      <c r="AG112" s="172">
        <f t="shared" si="42"/>
        <v>0</v>
      </c>
      <c r="AH112" s="172">
        <f t="shared" si="43"/>
        <v>6</v>
      </c>
      <c r="AI112" s="221">
        <f t="shared" si="44"/>
        <v>0.5238166726524035</v>
      </c>
      <c r="AJ112" s="261" t="b">
        <f t="shared" si="45"/>
        <v>0</v>
      </c>
      <c r="AK112" s="261" t="b">
        <f t="shared" si="46"/>
        <v>0</v>
      </c>
      <c r="AL112" s="261"/>
      <c r="AM112" s="261"/>
      <c r="AN112" s="75"/>
    </row>
    <row r="113" spans="1:40" s="6" customFormat="1" ht="11.25" x14ac:dyDescent="0.2">
      <c r="A113" s="56">
        <f t="shared" si="47"/>
        <v>45025</v>
      </c>
      <c r="B113" s="406">
        <f>'2022'!Wh/'2022'!Env_an*'2023'!Env_an</f>
        <v>142.2464700295873</v>
      </c>
      <c r="C113" s="385"/>
      <c r="D113" s="388">
        <f t="shared" si="25"/>
        <v>143.42159349134894</v>
      </c>
      <c r="E113" s="380">
        <f t="shared" si="48"/>
        <v>148.45497673584651</v>
      </c>
      <c r="F113" s="380">
        <f t="shared" si="26"/>
        <v>148.45763179389419</v>
      </c>
      <c r="G113" s="110">
        <f t="shared" si="49"/>
        <v>0.65675804558608775</v>
      </c>
      <c r="H113" s="409" t="b">
        <f>Wh_hp&gt;='2022'!Maxi_hp</f>
        <v>0</v>
      </c>
      <c r="I113" s="385">
        <f>IF(H113,Wh_hp,'2022'!Maxi_hp)</f>
        <v>148.46002089262618</v>
      </c>
      <c r="J113" s="85">
        <f>IF(H113,An,'2022'!An_max)</f>
        <v>2022</v>
      </c>
      <c r="K113" s="193">
        <f t="shared" si="27"/>
        <v>45025</v>
      </c>
      <c r="L113" s="143">
        <f>IF(t&lt;Tvie,1-EXP((T0-t)*PertePVj)+'2022'!Pspv,1-EXP((T0-t)*PertePVj)+Pspv)</f>
        <v>8.1934904860230251E-3</v>
      </c>
      <c r="M113" s="835"/>
      <c r="N113" s="835"/>
      <c r="O113" s="48">
        <f>IF(t&lt;Tnet,'2022'!Resal+('2022'!Salim-'2022'!Resal)*(1-EXP(('2022'!Tnet-t)/('2022'!Tau_j))),Resal+(Salim-Resal)*(1-EXP((Tnet-t)/(Tau_j))))*Salcycl</f>
        <v>3.3905116252543811E-2</v>
      </c>
      <c r="P113" s="165">
        <f>(INDEX(Models!$BJ113:$BT113,,T113)*(1-R113)+INDEX(Models!$BJ113:$BT113,,T113+1)*R113-ERP_i)*Q113*Ramure*Pc/MaxiM</f>
        <v>3.508988945257497E-5</v>
      </c>
      <c r="Q113" s="301">
        <f t="shared" si="28"/>
        <v>0.5</v>
      </c>
      <c r="R113" s="173">
        <f t="shared" si="29"/>
        <v>0.52517781163996946</v>
      </c>
      <c r="S113" s="801">
        <f t="shared" si="30"/>
        <v>0</v>
      </c>
      <c r="T113" s="172">
        <f t="shared" si="31"/>
        <v>6</v>
      </c>
      <c r="U113" s="247">
        <f t="shared" si="32"/>
        <v>0.52517781163996946</v>
      </c>
      <c r="V113" s="378">
        <f t="shared" si="33"/>
        <v>216.58512370694012</v>
      </c>
      <c r="W113" s="397">
        <f t="shared" si="34"/>
        <v>142.2464700295873</v>
      </c>
      <c r="X113" s="153">
        <f t="shared" si="35"/>
        <v>45025</v>
      </c>
      <c r="Y113" s="380">
        <f t="shared" si="36"/>
        <v>142.2464700295873</v>
      </c>
      <c r="Z113" s="380">
        <f t="shared" si="37"/>
        <v>143.42159349134894</v>
      </c>
      <c r="AA113" s="381">
        <f t="shared" si="38"/>
        <v>148.45497673584651</v>
      </c>
      <c r="AB113" s="193">
        <f t="shared" si="39"/>
        <v>45025</v>
      </c>
      <c r="AC113" s="420">
        <f>IF(OR(t&lt;Tnet,NoTnet),'2022'!Resal_s+('2022'!Salim-'2022'!Resal_s)*(1-EXP(('2022'!Tnet_s-t)/'2022'!Tau_j)),Resal_s+(Salim-Resal_s)*(1-EXP((Tnet_s-t)/Tau_j)))*Salcycl</f>
        <v>3.3905116252543811E-2</v>
      </c>
      <c r="AD113" s="227">
        <f>(INDEX(Models!$BJ113:$BT113,,AH113)*(1-AF113)+INDEX(Models!$BJ113:$BT113,,AH113+1)*AF113-ERP_i)*AE113*Ramure*Pc/MaxiM</f>
        <v>3.508988945257497E-5</v>
      </c>
      <c r="AE113" s="301">
        <f t="shared" si="40"/>
        <v>0.5</v>
      </c>
      <c r="AF113" s="173">
        <f t="shared" si="41"/>
        <v>0.52517781163996946</v>
      </c>
      <c r="AG113" s="172">
        <f t="shared" si="42"/>
        <v>0</v>
      </c>
      <c r="AH113" s="172">
        <f t="shared" si="43"/>
        <v>6</v>
      </c>
      <c r="AI113" s="221">
        <f t="shared" si="44"/>
        <v>0.52517781163996946</v>
      </c>
      <c r="AJ113" s="261" t="b">
        <f t="shared" si="45"/>
        <v>0</v>
      </c>
      <c r="AK113" s="261" t="b">
        <f t="shared" si="46"/>
        <v>0</v>
      </c>
      <c r="AL113" s="261"/>
      <c r="AM113" s="261"/>
      <c r="AN113" s="75"/>
    </row>
    <row r="114" spans="1:40" s="6" customFormat="1" ht="11.25" x14ac:dyDescent="0.2">
      <c r="A114" s="56">
        <f t="shared" si="47"/>
        <v>45026</v>
      </c>
      <c r="B114" s="406">
        <f>'2022'!Wh/'2022'!Env_an*'2023'!Env_an</f>
        <v>222.07424017520202</v>
      </c>
      <c r="C114" s="385"/>
      <c r="D114" s="388">
        <f t="shared" si="25"/>
        <v>223.91190025109094</v>
      </c>
      <c r="E114" s="380">
        <f t="shared" si="48"/>
        <v>231.78213365266953</v>
      </c>
      <c r="F114" s="380">
        <f t="shared" si="26"/>
        <v>231.79044704559416</v>
      </c>
      <c r="G114" s="110">
        <f t="shared" si="49"/>
        <v>1.0212962014267875</v>
      </c>
      <c r="H114" s="409" t="b">
        <f>Wh_hp&gt;='2022'!Maxi_hp</f>
        <v>1</v>
      </c>
      <c r="I114" s="385">
        <f>IF(H114,Wh_hp,'2022'!Maxi_hp)</f>
        <v>231.79044704559416</v>
      </c>
      <c r="J114" s="85">
        <f>IF(H114,An,'2022'!An_max)</f>
        <v>2023</v>
      </c>
      <c r="K114" s="193">
        <f t="shared" si="27"/>
        <v>45026</v>
      </c>
      <c r="L114" s="143">
        <f>IF(t&lt;Tvie,1-EXP((T0-t)*PertePVj)+'2022'!Pspv,1-EXP((T0-t)*PertePVj)+Pspv)</f>
        <v>8.2070674842570357E-3</v>
      </c>
      <c r="M114" s="835"/>
      <c r="N114" s="835"/>
      <c r="O114" s="48">
        <f>IF(t&lt;Tnet,'2022'!Resal+('2022'!Salim-'2022'!Resal)*(1-EXP(('2022'!Tnet-t)/('2022'!Tau_j))),Resal+(Salim-Resal)*(1-EXP((Tnet-t)/(Tau_j))))*Salcycl</f>
        <v>3.3955306552541718E-2</v>
      </c>
      <c r="P114" s="165">
        <f>(INDEX(Models!$BJ114:$BT114,,T114)*(1-R114)+INDEX(Models!$BJ114:$BT114,,T114+1)*R114-ERP_i)*Q114*Ramure*Pc/MaxiM</f>
        <v>3.5865985982546873E-5</v>
      </c>
      <c r="Q114" s="301">
        <f t="shared" si="28"/>
        <v>0.5</v>
      </c>
      <c r="R114" s="173">
        <f t="shared" si="29"/>
        <v>0.52658761774631202</v>
      </c>
      <c r="S114" s="801">
        <f t="shared" si="30"/>
        <v>0</v>
      </c>
      <c r="T114" s="172">
        <f t="shared" si="31"/>
        <v>6</v>
      </c>
      <c r="U114" s="247">
        <f t="shared" si="32"/>
        <v>0.52658761774631202</v>
      </c>
      <c r="V114" s="378">
        <f t="shared" si="33"/>
        <v>217.44351919154923</v>
      </c>
      <c r="W114" s="397">
        <f t="shared" si="34"/>
        <v>222.07424017520202</v>
      </c>
      <c r="X114" s="153">
        <f t="shared" si="35"/>
        <v>45026</v>
      </c>
      <c r="Y114" s="380">
        <f t="shared" si="36"/>
        <v>222.07424017520202</v>
      </c>
      <c r="Z114" s="380">
        <f t="shared" si="37"/>
        <v>223.91190025109094</v>
      </c>
      <c r="AA114" s="381">
        <f t="shared" si="38"/>
        <v>231.78213365266953</v>
      </c>
      <c r="AB114" s="193">
        <f t="shared" si="39"/>
        <v>45026</v>
      </c>
      <c r="AC114" s="420">
        <f>IF(OR(t&lt;Tnet,NoTnet),'2022'!Resal_s+('2022'!Salim-'2022'!Resal_s)*(1-EXP(('2022'!Tnet_s-t)/'2022'!Tau_j)),Resal_s+(Salim-Resal_s)*(1-EXP((Tnet_s-t)/Tau_j)))*Salcycl</f>
        <v>3.3955306552541718E-2</v>
      </c>
      <c r="AD114" s="227">
        <f>(INDEX(Models!$BJ114:$BT114,,AH114)*(1-AF114)+INDEX(Models!$BJ114:$BT114,,AH114+1)*AF114-ERP_i)*AE114*Ramure*Pc/MaxiM</f>
        <v>3.5865985982546873E-5</v>
      </c>
      <c r="AE114" s="301">
        <f t="shared" si="40"/>
        <v>0.5</v>
      </c>
      <c r="AF114" s="173">
        <f t="shared" si="41"/>
        <v>0.52658761774631202</v>
      </c>
      <c r="AG114" s="172">
        <f t="shared" si="42"/>
        <v>0</v>
      </c>
      <c r="AH114" s="172">
        <f t="shared" si="43"/>
        <v>6</v>
      </c>
      <c r="AI114" s="221">
        <f t="shared" si="44"/>
        <v>0.52658761774631202</v>
      </c>
      <c r="AJ114" s="261" t="b">
        <f t="shared" si="45"/>
        <v>0</v>
      </c>
      <c r="AK114" s="261" t="b">
        <f t="shared" si="46"/>
        <v>0</v>
      </c>
      <c r="AL114" s="261"/>
      <c r="AM114" s="261"/>
      <c r="AN114" s="75"/>
    </row>
    <row r="115" spans="1:40" s="6" customFormat="1" ht="11.25" customHeight="1" x14ac:dyDescent="0.2">
      <c r="A115" s="56">
        <f t="shared" si="47"/>
        <v>45027</v>
      </c>
      <c r="B115" s="406">
        <f>'2022'!Wh/'2022'!Env_an*'2023'!Env_an</f>
        <v>178.60829626052231</v>
      </c>
      <c r="C115" s="385"/>
      <c r="D115" s="388">
        <f t="shared" si="25"/>
        <v>180.08874174826306</v>
      </c>
      <c r="E115" s="380">
        <f t="shared" si="48"/>
        <v>186.42840652714148</v>
      </c>
      <c r="F115" s="380">
        <f t="shared" si="26"/>
        <v>186.43346454793647</v>
      </c>
      <c r="G115" s="110">
        <f t="shared" si="49"/>
        <v>0.81824113816795263</v>
      </c>
      <c r="H115" s="409" t="b">
        <f>Wh_hp&gt;='2022'!Maxi_hp</f>
        <v>0</v>
      </c>
      <c r="I115" s="385">
        <f>IF(H115,Wh_hp,'2022'!Maxi_hp)</f>
        <v>186.43511486158815</v>
      </c>
      <c r="J115" s="85">
        <f>IF(H115,An,'2022'!An_max)</f>
        <v>2022</v>
      </c>
      <c r="K115" s="193">
        <f t="shared" si="27"/>
        <v>45027</v>
      </c>
      <c r="L115" s="143">
        <f>IF(t&lt;Tvie,1-EXP((T0-t)*PertePVj)+'2022'!Pspv,1-EXP((T0-t)*PertePVj)+Pspv)</f>
        <v>8.2206442966333837E-3</v>
      </c>
      <c r="M115" s="835"/>
      <c r="N115" s="835"/>
      <c r="O115" s="48">
        <f>IF(t&lt;Tnet,'2022'!Resal+('2022'!Salim-'2022'!Resal)*(1-EXP(('2022'!Tnet-t)/('2022'!Tau_j))),Resal+(Salim-Resal)*(1-EXP((Tnet-t)/(Tau_j))))*Salcycl</f>
        <v>3.4005894793481733E-2</v>
      </c>
      <c r="P115" s="165">
        <f>(INDEX(Models!$BJ115:$BT115,,T115)*(1-R115)+INDEX(Models!$BJ115:$BT115,,T115+1)*R115-ERP_i)*Q115*Ramure*Pc/MaxiM</f>
        <v>3.6645138831810196E-5</v>
      </c>
      <c r="Q115" s="301">
        <f t="shared" si="28"/>
        <v>0.5</v>
      </c>
      <c r="R115" s="173">
        <f t="shared" si="29"/>
        <v>0.52804749321220912</v>
      </c>
      <c r="S115" s="801">
        <f t="shared" si="30"/>
        <v>0</v>
      </c>
      <c r="T115" s="172">
        <f t="shared" si="31"/>
        <v>6</v>
      </c>
      <c r="U115" s="247">
        <f t="shared" si="32"/>
        <v>0.52804749321220912</v>
      </c>
      <c r="V115" s="378">
        <f t="shared" si="33"/>
        <v>218.28112579268199</v>
      </c>
      <c r="W115" s="397">
        <f t="shared" si="34"/>
        <v>178.60829626052231</v>
      </c>
      <c r="X115" s="153">
        <f t="shared" si="35"/>
        <v>45027</v>
      </c>
      <c r="Y115" s="380">
        <f t="shared" si="36"/>
        <v>178.60829626052231</v>
      </c>
      <c r="Z115" s="380">
        <f t="shared" si="37"/>
        <v>180.08874174826306</v>
      </c>
      <c r="AA115" s="381">
        <f t="shared" si="38"/>
        <v>186.42840652714148</v>
      </c>
      <c r="AB115" s="193">
        <f t="shared" si="39"/>
        <v>45027</v>
      </c>
      <c r="AC115" s="420">
        <f>IF(OR(t&lt;Tnet,NoTnet),'2022'!Resal_s+('2022'!Salim-'2022'!Resal_s)*(1-EXP(('2022'!Tnet_s-t)/'2022'!Tau_j)),Resal_s+(Salim-Resal_s)*(1-EXP((Tnet_s-t)/Tau_j)))*Salcycl</f>
        <v>3.4005894793481733E-2</v>
      </c>
      <c r="AD115" s="227">
        <f>(INDEX(Models!$BJ115:$BT115,,AH115)*(1-AF115)+INDEX(Models!$BJ115:$BT115,,AH115+1)*AF115-ERP_i)*AE115*Ramure*Pc/MaxiM</f>
        <v>3.6645138831810196E-5</v>
      </c>
      <c r="AE115" s="301">
        <f t="shared" si="40"/>
        <v>0.5</v>
      </c>
      <c r="AF115" s="173">
        <f t="shared" si="41"/>
        <v>0.52804749321220912</v>
      </c>
      <c r="AG115" s="172">
        <f t="shared" si="42"/>
        <v>0</v>
      </c>
      <c r="AH115" s="172">
        <f t="shared" si="43"/>
        <v>6</v>
      </c>
      <c r="AI115" s="221">
        <f t="shared" si="44"/>
        <v>0.52804749321220912</v>
      </c>
      <c r="AJ115" s="261" t="b">
        <f t="shared" si="45"/>
        <v>0</v>
      </c>
      <c r="AK115" s="261" t="b">
        <f t="shared" si="46"/>
        <v>0</v>
      </c>
      <c r="AL115" s="261"/>
      <c r="AM115" s="261"/>
      <c r="AN115" s="75"/>
    </row>
    <row r="116" spans="1:40" s="6" customFormat="1" ht="11.25" x14ac:dyDescent="0.2">
      <c r="A116" s="56">
        <f t="shared" si="47"/>
        <v>45028</v>
      </c>
      <c r="B116" s="406">
        <f>'2022'!Wh/'2022'!Env_an*'2023'!Env_an</f>
        <v>149.54537661285451</v>
      </c>
      <c r="C116" s="385"/>
      <c r="D116" s="388">
        <f t="shared" si="25"/>
        <v>150.78699000085911</v>
      </c>
      <c r="E116" s="380">
        <f t="shared" si="48"/>
        <v>156.10338598297025</v>
      </c>
      <c r="F116" s="380">
        <f t="shared" si="26"/>
        <v>156.10657903541895</v>
      </c>
      <c r="G116" s="110">
        <f t="shared" si="49"/>
        <v>0.68253634632589577</v>
      </c>
      <c r="H116" s="409" t="b">
        <f>Wh_hp&gt;='2022'!Maxi_hp</f>
        <v>0</v>
      </c>
      <c r="I116" s="385">
        <f>IF(H116,Wh_hp,'2022'!Maxi_hp)</f>
        <v>156.10903736270134</v>
      </c>
      <c r="J116" s="85">
        <f>IF(H116,An,'2022'!An_max)</f>
        <v>2022</v>
      </c>
      <c r="K116" s="193">
        <f t="shared" si="27"/>
        <v>45028</v>
      </c>
      <c r="L116" s="143">
        <f>IF(t&lt;Tvie,1-EXP((T0-t)*PertePVj)+'2022'!Pspv,1-EXP((T0-t)*PertePVj)+Pspv)</f>
        <v>8.2342209231546226E-3</v>
      </c>
      <c r="M116" s="835"/>
      <c r="N116" s="835"/>
      <c r="O116" s="48">
        <f>IF(t&lt;Tnet,'2022'!Resal+('2022'!Salim-'2022'!Resal)*(1-EXP(('2022'!Tnet-t)/('2022'!Tau_j))),Resal+(Salim-Resal)*(1-EXP((Tnet-t)/(Tau_j))))*Salcycl</f>
        <v>3.4056890878018151E-2</v>
      </c>
      <c r="P116" s="165">
        <f>(INDEX(Models!$BJ116:$BT116,,T116)*(1-R116)+INDEX(Models!$BJ116:$BT116,,T116+1)*R116-ERP_i)*Q116*Ramure*Pc/MaxiM</f>
        <v>3.7428035023229943E-5</v>
      </c>
      <c r="Q116" s="301">
        <f t="shared" si="28"/>
        <v>0.5</v>
      </c>
      <c r="R116" s="173">
        <f t="shared" si="29"/>
        <v>0.52955885408083747</v>
      </c>
      <c r="S116" s="801">
        <f t="shared" si="30"/>
        <v>0</v>
      </c>
      <c r="T116" s="172">
        <f t="shared" si="31"/>
        <v>6</v>
      </c>
      <c r="U116" s="247">
        <f t="shared" si="32"/>
        <v>0.52955885408083747</v>
      </c>
      <c r="V116" s="378">
        <f t="shared" si="33"/>
        <v>219.09871763446469</v>
      </c>
      <c r="W116" s="397">
        <f t="shared" si="34"/>
        <v>149.54537661285451</v>
      </c>
      <c r="X116" s="153">
        <f t="shared" si="35"/>
        <v>45028</v>
      </c>
      <c r="Y116" s="380">
        <f t="shared" si="36"/>
        <v>149.54537661285451</v>
      </c>
      <c r="Z116" s="380">
        <f t="shared" si="37"/>
        <v>150.78699000085911</v>
      </c>
      <c r="AA116" s="381">
        <f t="shared" si="38"/>
        <v>156.10338598297025</v>
      </c>
      <c r="AB116" s="193">
        <f t="shared" si="39"/>
        <v>45028</v>
      </c>
      <c r="AC116" s="420">
        <f>IF(OR(t&lt;Tnet,NoTnet),'2022'!Resal_s+('2022'!Salim-'2022'!Resal_s)*(1-EXP(('2022'!Tnet_s-t)/'2022'!Tau_j)),Resal_s+(Salim-Resal_s)*(1-EXP((Tnet_s-t)/Tau_j)))*Salcycl</f>
        <v>3.4056890878018151E-2</v>
      </c>
      <c r="AD116" s="227">
        <f>(INDEX(Models!$BJ116:$BT116,,AH116)*(1-AF116)+INDEX(Models!$BJ116:$BT116,,AH116+1)*AF116-ERP_i)*AE116*Ramure*Pc/MaxiM</f>
        <v>3.7428035023229943E-5</v>
      </c>
      <c r="AE116" s="301">
        <f t="shared" si="40"/>
        <v>0.5</v>
      </c>
      <c r="AF116" s="173">
        <f t="shared" si="41"/>
        <v>0.52955885408083747</v>
      </c>
      <c r="AG116" s="172">
        <f t="shared" si="42"/>
        <v>0</v>
      </c>
      <c r="AH116" s="172">
        <f t="shared" si="43"/>
        <v>6</v>
      </c>
      <c r="AI116" s="221">
        <f t="shared" si="44"/>
        <v>0.52955885408083747</v>
      </c>
      <c r="AJ116" s="261" t="b">
        <f t="shared" si="45"/>
        <v>0</v>
      </c>
      <c r="AK116" s="261" t="b">
        <f t="shared" si="46"/>
        <v>0</v>
      </c>
      <c r="AL116" s="261"/>
      <c r="AM116" s="261"/>
      <c r="AN116" s="75"/>
    </row>
    <row r="117" spans="1:40" s="6" customFormat="1" ht="11.25" x14ac:dyDescent="0.2">
      <c r="A117" s="56">
        <f t="shared" si="47"/>
        <v>45029</v>
      </c>
      <c r="B117" s="406">
        <f>'2022'!Wh/'2022'!Env_an*'2023'!Env_an</f>
        <v>24.8095877233214</v>
      </c>
      <c r="C117" s="385"/>
      <c r="D117" s="388">
        <f t="shared" si="25"/>
        <v>25.015913912139574</v>
      </c>
      <c r="E117" s="380">
        <f t="shared" si="48"/>
        <v>25.899294944223374</v>
      </c>
      <c r="F117" s="380">
        <f t="shared" si="26"/>
        <v>25.899294944223374</v>
      </c>
      <c r="G117" s="110">
        <f t="shared" si="49"/>
        <v>0.11281932840420317</v>
      </c>
      <c r="H117" s="409" t="b">
        <f>Wh_hp&gt;='2022'!Maxi_hp</f>
        <v>0</v>
      </c>
      <c r="I117" s="385">
        <f>IF(H117,Wh_hp,'2022'!Maxi_hp)</f>
        <v>25.900210588432266</v>
      </c>
      <c r="J117" s="85">
        <f>IF(H117,An,'2022'!An_max)</f>
        <v>2022</v>
      </c>
      <c r="K117" s="193">
        <f t="shared" si="27"/>
        <v>45029</v>
      </c>
      <c r="L117" s="143">
        <f>IF(t&lt;Tvie,1-EXP((T0-t)*PertePVj)+'2022'!Pspv,1-EXP((T0-t)*PertePVj)+Pspv)</f>
        <v>8.2477973638231949E-3</v>
      </c>
      <c r="M117" s="835"/>
      <c r="N117" s="835"/>
      <c r="O117" s="48">
        <f>IF(t&lt;Tnet,'2022'!Resal+('2022'!Salim-'2022'!Resal)*(1-EXP(('2022'!Tnet-t)/('2022'!Tau_j))),Resal+(Salim-Resal)*(1-EXP((Tnet-t)/(Tau_j))))*Salcycl</f>
        <v>3.4108304260260659E-2</v>
      </c>
      <c r="P117" s="165">
        <f>(INDEX(Models!$BJ117:$BT117,,T117)*(1-R117)+INDEX(Models!$BJ117:$BT117,,T117+1)*R117-ERP_i)*Q117*Ramure*Pc/MaxiM</f>
        <v>3.82153443284882E-5</v>
      </c>
      <c r="Q117" s="301">
        <f t="shared" si="28"/>
        <v>0.5</v>
      </c>
      <c r="R117" s="173">
        <f t="shared" si="29"/>
        <v>0.53112312801375905</v>
      </c>
      <c r="S117" s="801">
        <f t="shared" si="30"/>
        <v>0</v>
      </c>
      <c r="T117" s="172">
        <f t="shared" si="31"/>
        <v>6</v>
      </c>
      <c r="U117" s="247">
        <f t="shared" si="32"/>
        <v>0.53112312801375905</v>
      </c>
      <c r="V117" s="378">
        <f t="shared" si="33"/>
        <v>219.89706876733757</v>
      </c>
      <c r="W117" s="397">
        <f t="shared" si="34"/>
        <v>24.8095877233214</v>
      </c>
      <c r="X117" s="153">
        <f t="shared" si="35"/>
        <v>45029</v>
      </c>
      <c r="Y117" s="380">
        <f t="shared" si="36"/>
        <v>24.8095877233214</v>
      </c>
      <c r="Z117" s="380">
        <f t="shared" si="37"/>
        <v>25.015913912139574</v>
      </c>
      <c r="AA117" s="381">
        <f t="shared" si="38"/>
        <v>25.899294944223374</v>
      </c>
      <c r="AB117" s="193">
        <f t="shared" si="39"/>
        <v>45029</v>
      </c>
      <c r="AC117" s="420">
        <f>IF(OR(t&lt;Tnet,NoTnet),'2022'!Resal_s+('2022'!Salim-'2022'!Resal_s)*(1-EXP(('2022'!Tnet_s-t)/'2022'!Tau_j)),Resal_s+(Salim-Resal_s)*(1-EXP((Tnet_s-t)/Tau_j)))*Salcycl</f>
        <v>3.4108304260260659E-2</v>
      </c>
      <c r="AD117" s="227">
        <f>(INDEX(Models!$BJ117:$BT117,,AH117)*(1-AF117)+INDEX(Models!$BJ117:$BT117,,AH117+1)*AF117-ERP_i)*AE117*Ramure*Pc/MaxiM</f>
        <v>3.82153443284882E-5</v>
      </c>
      <c r="AE117" s="301">
        <f t="shared" si="40"/>
        <v>0.5</v>
      </c>
      <c r="AF117" s="173">
        <f t="shared" si="41"/>
        <v>0.53112312801375905</v>
      </c>
      <c r="AG117" s="172">
        <f t="shared" si="42"/>
        <v>0</v>
      </c>
      <c r="AH117" s="172">
        <f t="shared" si="43"/>
        <v>6</v>
      </c>
      <c r="AI117" s="221">
        <f t="shared" si="44"/>
        <v>0.53112312801375905</v>
      </c>
      <c r="AJ117" s="261" t="b">
        <f t="shared" si="45"/>
        <v>0</v>
      </c>
      <c r="AK117" s="261" t="b">
        <f t="shared" si="46"/>
        <v>0</v>
      </c>
      <c r="AL117" s="261"/>
      <c r="AM117" s="261"/>
      <c r="AN117" s="75"/>
    </row>
    <row r="118" spans="1:40" s="6" customFormat="1" ht="11.25" x14ac:dyDescent="0.2">
      <c r="A118" s="56">
        <f t="shared" si="47"/>
        <v>45030</v>
      </c>
      <c r="B118" s="406">
        <f>'2022'!Wh/'2022'!Env_an*'2023'!Env_an</f>
        <v>178.10997392408794</v>
      </c>
      <c r="C118" s="385"/>
      <c r="D118" s="388">
        <f t="shared" si="25"/>
        <v>179.59366428428132</v>
      </c>
      <c r="E118" s="380">
        <f t="shared" si="48"/>
        <v>185.94559248507585</v>
      </c>
      <c r="F118" s="380">
        <f t="shared" si="26"/>
        <v>185.95084721638668</v>
      </c>
      <c r="G118" s="110">
        <f t="shared" si="49"/>
        <v>0.80709859745879287</v>
      </c>
      <c r="H118" s="409" t="b">
        <f>Wh_hp&gt;='2022'!Maxi_hp</f>
        <v>0</v>
      </c>
      <c r="I118" s="385">
        <f>IF(H118,Wh_hp,'2022'!Maxi_hp)</f>
        <v>185.95269093155864</v>
      </c>
      <c r="J118" s="85">
        <f>IF(H118,An,'2022'!An_max)</f>
        <v>2022</v>
      </c>
      <c r="K118" s="193">
        <f t="shared" si="27"/>
        <v>45030</v>
      </c>
      <c r="L118" s="143">
        <f>IF(t&lt;Tvie,1-EXP((T0-t)*PertePVj)+'2022'!Pspv,1-EXP((T0-t)*PertePVj)+Pspv)</f>
        <v>8.2613736186417652E-3</v>
      </c>
      <c r="M118" s="835"/>
      <c r="N118" s="835"/>
      <c r="O118" s="48">
        <f>IF(t&lt;Tnet,'2022'!Resal+('2022'!Salim-'2022'!Resal)*(1-EXP(('2022'!Tnet-t)/('2022'!Tau_j))),Resal+(Salim-Resal)*(1-EXP((Tnet-t)/(Tau_j))))*Salcycl</f>
        <v>3.4160143921154511E-2</v>
      </c>
      <c r="P118" s="165">
        <f>(INDEX(Models!$BJ118:$BT118,,T118)*(1-R118)+INDEX(Models!$BJ118:$BT118,,T118+1)*R118-ERP_i)*Q118*Ramure*Pc/MaxiM</f>
        <v>3.9007718808062254E-5</v>
      </c>
      <c r="Q118" s="301">
        <f t="shared" si="28"/>
        <v>0.5</v>
      </c>
      <c r="R118" s="173">
        <f t="shared" si="29"/>
        <v>0.53274175189332262</v>
      </c>
      <c r="S118" s="801">
        <f t="shared" si="30"/>
        <v>0</v>
      </c>
      <c r="T118" s="172">
        <f t="shared" si="31"/>
        <v>6</v>
      </c>
      <c r="U118" s="247">
        <f t="shared" si="32"/>
        <v>0.53274175189332262</v>
      </c>
      <c r="V118" s="378">
        <f t="shared" si="33"/>
        <v>220.67695313227782</v>
      </c>
      <c r="W118" s="397">
        <f t="shared" si="34"/>
        <v>178.10997392408794</v>
      </c>
      <c r="X118" s="153">
        <f t="shared" si="35"/>
        <v>45030</v>
      </c>
      <c r="Y118" s="380">
        <f t="shared" si="36"/>
        <v>178.10997392408794</v>
      </c>
      <c r="Z118" s="380">
        <f t="shared" si="37"/>
        <v>179.59366428428132</v>
      </c>
      <c r="AA118" s="381">
        <f t="shared" si="38"/>
        <v>185.94559248507585</v>
      </c>
      <c r="AB118" s="193">
        <f t="shared" si="39"/>
        <v>45030</v>
      </c>
      <c r="AC118" s="420">
        <f>IF(OR(t&lt;Tnet,NoTnet),'2022'!Resal_s+('2022'!Salim-'2022'!Resal_s)*(1-EXP(('2022'!Tnet_s-t)/'2022'!Tau_j)),Resal_s+(Salim-Resal_s)*(1-EXP((Tnet_s-t)/Tau_j)))*Salcycl</f>
        <v>3.4160143921154511E-2</v>
      </c>
      <c r="AD118" s="227">
        <f>(INDEX(Models!$BJ118:$BT118,,AH118)*(1-AF118)+INDEX(Models!$BJ118:$BT118,,AH118+1)*AF118-ERP_i)*AE118*Ramure*Pc/MaxiM</f>
        <v>3.9007718808062254E-5</v>
      </c>
      <c r="AE118" s="301">
        <f t="shared" si="40"/>
        <v>0.5</v>
      </c>
      <c r="AF118" s="173">
        <f t="shared" si="41"/>
        <v>0.53274175189332262</v>
      </c>
      <c r="AG118" s="172">
        <f t="shared" si="42"/>
        <v>0</v>
      </c>
      <c r="AH118" s="172">
        <f t="shared" si="43"/>
        <v>6</v>
      </c>
      <c r="AI118" s="221">
        <f t="shared" si="44"/>
        <v>0.53274175189332262</v>
      </c>
      <c r="AJ118" s="261" t="b">
        <f t="shared" si="45"/>
        <v>0</v>
      </c>
      <c r="AK118" s="261" t="b">
        <f t="shared" si="46"/>
        <v>0</v>
      </c>
      <c r="AL118" s="261"/>
      <c r="AM118" s="261"/>
      <c r="AN118" s="75"/>
    </row>
    <row r="119" spans="1:40" s="6" customFormat="1" ht="11.25" x14ac:dyDescent="0.2">
      <c r="A119" s="56">
        <f t="shared" si="47"/>
        <v>45031</v>
      </c>
      <c r="B119" s="406">
        <f>'2022'!Wh/'2022'!Env_an*'2023'!Env_an</f>
        <v>188.04865163788534</v>
      </c>
      <c r="C119" s="385"/>
      <c r="D119" s="388">
        <f t="shared" si="25"/>
        <v>189.61772880361465</v>
      </c>
      <c r="E119" s="380">
        <f t="shared" si="48"/>
        <v>196.33481772287993</v>
      </c>
      <c r="F119" s="380">
        <f t="shared" si="26"/>
        <v>196.34094967397147</v>
      </c>
      <c r="G119" s="110">
        <f t="shared" si="49"/>
        <v>0.84920414345103734</v>
      </c>
      <c r="H119" s="409" t="b">
        <f>Wh_hp&gt;='2022'!Maxi_hp</f>
        <v>0</v>
      </c>
      <c r="I119" s="385">
        <f>IF(H119,Wh_hp,'2022'!Maxi_hp)</f>
        <v>196.34249793514525</v>
      </c>
      <c r="J119" s="85">
        <f>IF(H119,An,'2022'!An_max)</f>
        <v>2022</v>
      </c>
      <c r="K119" s="193">
        <f t="shared" si="27"/>
        <v>45031</v>
      </c>
      <c r="L119" s="143">
        <f>IF(t&lt;Tvie,1-EXP((T0-t)*PertePVj)+'2022'!Pspv,1-EXP((T0-t)*PertePVj)+Pspv)</f>
        <v>8.2749496876127759E-3</v>
      </c>
      <c r="M119" s="835"/>
      <c r="N119" s="835"/>
      <c r="O119" s="48">
        <f>IF(t&lt;Tnet,'2022'!Resal+('2022'!Salim-'2022'!Resal)*(1-EXP(('2022'!Tnet-t)/('2022'!Tau_j))),Resal+(Salim-Resal)*(1-EXP((Tnet-t)/(Tau_j))))*Salcycl</f>
        <v>3.4212418343170417E-2</v>
      </c>
      <c r="P119" s="165">
        <f>(INDEX(Models!$BJ119:$BT119,,T119)*(1-R119)+INDEX(Models!$BJ119:$BT119,,T119+1)*R119-ERP_i)*Q119*Ramure*Pc/MaxiM</f>
        <v>3.9805792208597566E-5</v>
      </c>
      <c r="Q119" s="301">
        <f t="shared" si="28"/>
        <v>0.5</v>
      </c>
      <c r="R119" s="173">
        <f t="shared" si="29"/>
        <v>0.53441616920285406</v>
      </c>
      <c r="S119" s="801">
        <f t="shared" si="30"/>
        <v>0</v>
      </c>
      <c r="T119" s="172">
        <f t="shared" si="31"/>
        <v>6</v>
      </c>
      <c r="U119" s="247">
        <f t="shared" si="32"/>
        <v>0.53441616920285406</v>
      </c>
      <c r="V119" s="378">
        <f t="shared" si="33"/>
        <v>221.43914462189724</v>
      </c>
      <c r="W119" s="397">
        <f t="shared" si="34"/>
        <v>188.04865163788534</v>
      </c>
      <c r="X119" s="153">
        <f t="shared" si="35"/>
        <v>45031</v>
      </c>
      <c r="Y119" s="380">
        <f t="shared" si="36"/>
        <v>188.04865163788534</v>
      </c>
      <c r="Z119" s="380">
        <f t="shared" si="37"/>
        <v>189.61772880361465</v>
      </c>
      <c r="AA119" s="381">
        <f t="shared" si="38"/>
        <v>196.33481772287993</v>
      </c>
      <c r="AB119" s="193">
        <f t="shared" si="39"/>
        <v>45031</v>
      </c>
      <c r="AC119" s="420">
        <f>IF(OR(t&lt;Tnet,NoTnet),'2022'!Resal_s+('2022'!Salim-'2022'!Resal_s)*(1-EXP(('2022'!Tnet_s-t)/'2022'!Tau_j)),Resal_s+(Salim-Resal_s)*(1-EXP((Tnet_s-t)/Tau_j)))*Salcycl</f>
        <v>3.4212418343170417E-2</v>
      </c>
      <c r="AD119" s="227">
        <f>(INDEX(Models!$BJ119:$BT119,,AH119)*(1-AF119)+INDEX(Models!$BJ119:$BT119,,AH119+1)*AF119-ERP_i)*AE119*Ramure*Pc/MaxiM</f>
        <v>3.9805792208597566E-5</v>
      </c>
      <c r="AE119" s="301">
        <f t="shared" si="40"/>
        <v>0.5</v>
      </c>
      <c r="AF119" s="173">
        <f t="shared" si="41"/>
        <v>0.53441616920285406</v>
      </c>
      <c r="AG119" s="172">
        <f t="shared" si="42"/>
        <v>0</v>
      </c>
      <c r="AH119" s="172">
        <f t="shared" si="43"/>
        <v>6</v>
      </c>
      <c r="AI119" s="221">
        <f t="shared" si="44"/>
        <v>0.53441616920285406</v>
      </c>
      <c r="AJ119" s="261" t="b">
        <f t="shared" si="45"/>
        <v>0</v>
      </c>
      <c r="AK119" s="261" t="b">
        <f t="shared" si="46"/>
        <v>0</v>
      </c>
      <c r="AL119" s="261"/>
      <c r="AM119" s="261"/>
      <c r="AN119" s="75"/>
    </row>
    <row r="120" spans="1:40" s="6" customFormat="1" ht="11.25" x14ac:dyDescent="0.2">
      <c r="A120" s="56">
        <f t="shared" si="47"/>
        <v>45032</v>
      </c>
      <c r="B120" s="406">
        <f>'2022'!Wh/'2022'!Env_an*'2023'!Env_an</f>
        <v>189.1841897504622</v>
      </c>
      <c r="C120" s="385"/>
      <c r="D120" s="388">
        <f t="shared" si="25"/>
        <v>190.76535325896009</v>
      </c>
      <c r="E120" s="380">
        <f t="shared" si="48"/>
        <v>197.53387836380927</v>
      </c>
      <c r="F120" s="380">
        <f t="shared" si="26"/>
        <v>197.54019836506973</v>
      </c>
      <c r="G120" s="110">
        <f t="shared" si="49"/>
        <v>0.85146637226323163</v>
      </c>
      <c r="H120" s="409" t="b">
        <f>Wh_hp&gt;='2022'!Maxi_hp</f>
        <v>0</v>
      </c>
      <c r="I120" s="385">
        <f>IF(H120,Wh_hp,'2022'!Maxi_hp)</f>
        <v>197.54175886779768</v>
      </c>
      <c r="J120" s="85">
        <f>IF(H120,An,'2022'!An_max)</f>
        <v>2022</v>
      </c>
      <c r="K120" s="193">
        <f t="shared" si="27"/>
        <v>45032</v>
      </c>
      <c r="L120" s="143">
        <f>IF(t&lt;Tvie,1-EXP((T0-t)*PertePVj)+'2022'!Pspv,1-EXP((T0-t)*PertePVj)+Pspv)</f>
        <v>8.2885255707387806E-3</v>
      </c>
      <c r="M120" s="835"/>
      <c r="N120" s="835"/>
      <c r="O120" s="48">
        <f>IF(t&lt;Tnet,'2022'!Resal+('2022'!Salim-'2022'!Resal)*(1-EXP(('2022'!Tnet-t)/('2022'!Tau_j))),Resal+(Salim-Resal)*(1-EXP((Tnet-t)/(Tau_j))))*Salcycl</f>
        <v>3.4265135484168416E-2</v>
      </c>
      <c r="P120" s="165">
        <f>(INDEX(Models!$BJ120:$BT120,,T120)*(1-R120)+INDEX(Models!$BJ120:$BT120,,T120+1)*R120-ERP_i)*Q120*Ramure*Pc/MaxiM</f>
        <v>4.0610179246013234E-5</v>
      </c>
      <c r="Q120" s="301">
        <f t="shared" si="28"/>
        <v>0.5</v>
      </c>
      <c r="R120" s="173">
        <f t="shared" si="29"/>
        <v>0.53614782717649645</v>
      </c>
      <c r="S120" s="801">
        <f t="shared" si="30"/>
        <v>0</v>
      </c>
      <c r="T120" s="172">
        <f t="shared" si="31"/>
        <v>6</v>
      </c>
      <c r="U120" s="247">
        <f t="shared" si="32"/>
        <v>0.53614782717649645</v>
      </c>
      <c r="V120" s="378">
        <f t="shared" si="33"/>
        <v>222.18441704860277</v>
      </c>
      <c r="W120" s="397">
        <f t="shared" si="34"/>
        <v>189.1841897504622</v>
      </c>
      <c r="X120" s="153">
        <f t="shared" si="35"/>
        <v>45032</v>
      </c>
      <c r="Y120" s="380">
        <f t="shared" si="36"/>
        <v>189.1841897504622</v>
      </c>
      <c r="Z120" s="380">
        <f t="shared" si="37"/>
        <v>190.76535325896009</v>
      </c>
      <c r="AA120" s="381">
        <f t="shared" si="38"/>
        <v>197.53387836380927</v>
      </c>
      <c r="AB120" s="193">
        <f t="shared" si="39"/>
        <v>45032</v>
      </c>
      <c r="AC120" s="420">
        <f>IF(OR(t&lt;Tnet,NoTnet),'2022'!Resal_s+('2022'!Salim-'2022'!Resal_s)*(1-EXP(('2022'!Tnet_s-t)/'2022'!Tau_j)),Resal_s+(Salim-Resal_s)*(1-EXP((Tnet_s-t)/Tau_j)))*Salcycl</f>
        <v>3.4265135484168416E-2</v>
      </c>
      <c r="AD120" s="227">
        <f>(INDEX(Models!$BJ120:$BT120,,AH120)*(1-AF120)+INDEX(Models!$BJ120:$BT120,,AH120+1)*AF120-ERP_i)*AE120*Ramure*Pc/MaxiM</f>
        <v>4.0610179246013234E-5</v>
      </c>
      <c r="AE120" s="301">
        <f t="shared" si="40"/>
        <v>0.5</v>
      </c>
      <c r="AF120" s="173">
        <f t="shared" si="41"/>
        <v>0.53614782717649645</v>
      </c>
      <c r="AG120" s="172">
        <f t="shared" si="42"/>
        <v>0</v>
      </c>
      <c r="AH120" s="172">
        <f t="shared" si="43"/>
        <v>6</v>
      </c>
      <c r="AI120" s="221">
        <f t="shared" si="44"/>
        <v>0.53614782717649645</v>
      </c>
      <c r="AJ120" s="261" t="b">
        <f t="shared" si="45"/>
        <v>0</v>
      </c>
      <c r="AK120" s="261" t="b">
        <f t="shared" si="46"/>
        <v>0</v>
      </c>
      <c r="AL120" s="261"/>
      <c r="AM120" s="261"/>
      <c r="AN120" s="75"/>
    </row>
    <row r="121" spans="1:40" s="6" customFormat="1" ht="11.25" x14ac:dyDescent="0.2">
      <c r="A121" s="56">
        <f t="shared" si="47"/>
        <v>45033</v>
      </c>
      <c r="B121" s="406">
        <f>'2022'!Wh/'2022'!Env_an*'2023'!Env_an</f>
        <v>226.94912555955844</v>
      </c>
      <c r="C121" s="385"/>
      <c r="D121" s="388">
        <f t="shared" si="25"/>
        <v>228.8490535774495</v>
      </c>
      <c r="E121" s="380">
        <f t="shared" si="48"/>
        <v>236.98186910782886</v>
      </c>
      <c r="F121" s="380">
        <f t="shared" si="26"/>
        <v>236.99168583798044</v>
      </c>
      <c r="G121" s="110">
        <f t="shared" si="49"/>
        <v>1.0181229862172456</v>
      </c>
      <c r="H121" s="409" t="b">
        <f>Wh_hp&gt;='2022'!Maxi_hp</f>
        <v>1</v>
      </c>
      <c r="I121" s="385">
        <f>IF(H121,Wh_hp,'2022'!Maxi_hp)</f>
        <v>236.99168583798044</v>
      </c>
      <c r="J121" s="85">
        <f>IF(H121,An,'2022'!An_max)</f>
        <v>2023</v>
      </c>
      <c r="K121" s="193">
        <f t="shared" si="27"/>
        <v>45033</v>
      </c>
      <c r="L121" s="143">
        <f>IF(t&lt;Tvie,1-EXP((T0-t)*PertePVj)+'2022'!Pspv,1-EXP((T0-t)*PertePVj)+Pspv)</f>
        <v>8.3021012680223327E-3</v>
      </c>
      <c r="M121" s="835"/>
      <c r="N121" s="835"/>
      <c r="O121" s="48">
        <f>IF(t&lt;Tnet,'2022'!Resal+('2022'!Salim-'2022'!Resal)*(1-EXP(('2022'!Tnet-t)/('2022'!Tau_j))),Resal+(Salim-Resal)*(1-EXP((Tnet-t)/(Tau_j))))*Salcycl</f>
        <v>3.4318302750320814E-2</v>
      </c>
      <c r="P121" s="165">
        <f>(INDEX(Models!$BJ121:$BT121,,T121)*(1-R121)+INDEX(Models!$BJ121:$BT121,,T121+1)*R121-ERP_i)*Q121*Ramure*Pc/MaxiM</f>
        <v>4.1422255455419666E-5</v>
      </c>
      <c r="Q121" s="301">
        <f t="shared" si="28"/>
        <v>0.5</v>
      </c>
      <c r="R121" s="173">
        <f t="shared" si="29"/>
        <v>0.53793817371117325</v>
      </c>
      <c r="S121" s="801">
        <f t="shared" si="30"/>
        <v>0</v>
      </c>
      <c r="T121" s="172">
        <f t="shared" si="31"/>
        <v>6</v>
      </c>
      <c r="U121" s="247">
        <f t="shared" si="32"/>
        <v>0.53793817371117325</v>
      </c>
      <c r="V121" s="378">
        <f t="shared" si="33"/>
        <v>222.90934261563993</v>
      </c>
      <c r="W121" s="397">
        <f t="shared" si="34"/>
        <v>226.94912555955844</v>
      </c>
      <c r="X121" s="153">
        <f t="shared" si="35"/>
        <v>45033</v>
      </c>
      <c r="Y121" s="380">
        <f t="shared" si="36"/>
        <v>226.94912555955844</v>
      </c>
      <c r="Z121" s="380">
        <f t="shared" si="37"/>
        <v>228.8490535774495</v>
      </c>
      <c r="AA121" s="381">
        <f t="shared" si="38"/>
        <v>236.98186910782886</v>
      </c>
      <c r="AB121" s="193">
        <f t="shared" si="39"/>
        <v>45033</v>
      </c>
      <c r="AC121" s="420">
        <f>IF(OR(t&lt;Tnet,NoTnet),'2022'!Resal_s+('2022'!Salim-'2022'!Resal_s)*(1-EXP(('2022'!Tnet_s-t)/'2022'!Tau_j)),Resal_s+(Salim-Resal_s)*(1-EXP((Tnet_s-t)/Tau_j)))*Salcycl</f>
        <v>3.4318302750320814E-2</v>
      </c>
      <c r="AD121" s="227">
        <f>(INDEX(Models!$BJ121:$BT121,,AH121)*(1-AF121)+INDEX(Models!$BJ121:$BT121,,AH121+1)*AF121-ERP_i)*AE121*Ramure*Pc/MaxiM</f>
        <v>4.1422255455419666E-5</v>
      </c>
      <c r="AE121" s="301">
        <f t="shared" si="40"/>
        <v>0.5</v>
      </c>
      <c r="AF121" s="173">
        <f t="shared" si="41"/>
        <v>0.53793817371117325</v>
      </c>
      <c r="AG121" s="172">
        <f t="shared" si="42"/>
        <v>0</v>
      </c>
      <c r="AH121" s="172">
        <f t="shared" si="43"/>
        <v>6</v>
      </c>
      <c r="AI121" s="221">
        <f t="shared" si="44"/>
        <v>0.53793817371117325</v>
      </c>
      <c r="AJ121" s="261" t="b">
        <f t="shared" si="45"/>
        <v>0</v>
      </c>
      <c r="AK121" s="261" t="b">
        <f t="shared" si="46"/>
        <v>0</v>
      </c>
      <c r="AL121" s="261"/>
      <c r="AM121" s="261"/>
      <c r="AN121" s="75"/>
    </row>
    <row r="122" spans="1:40" s="18" customFormat="1" ht="11.25" x14ac:dyDescent="0.2">
      <c r="A122" s="56">
        <f t="shared" si="47"/>
        <v>45034</v>
      </c>
      <c r="B122" s="406">
        <f>'2022'!Wh/'2022'!Env_an*'2023'!Env_an</f>
        <v>167.49301687726924</v>
      </c>
      <c r="C122" s="385"/>
      <c r="D122" s="388">
        <f t="shared" si="25"/>
        <v>168.8975140126538</v>
      </c>
      <c r="E122" s="380">
        <f t="shared" si="48"/>
        <v>174.90949023709371</v>
      </c>
      <c r="F122" s="380">
        <f t="shared" si="26"/>
        <v>174.91422521950096</v>
      </c>
      <c r="G122" s="110">
        <f t="shared" si="49"/>
        <v>0.74902718231317189</v>
      </c>
      <c r="H122" s="409" t="b">
        <f>Wh_hp&gt;='2022'!Maxi_hp</f>
        <v>0</v>
      </c>
      <c r="I122" s="385">
        <f>IF(H122,Wh_hp,'2022'!Maxi_hp)</f>
        <v>174.91663566375686</v>
      </c>
      <c r="J122" s="85">
        <f>IF(H122,An,'2022'!An_max)</f>
        <v>2022</v>
      </c>
      <c r="K122" s="193">
        <f t="shared" si="27"/>
        <v>45034</v>
      </c>
      <c r="L122" s="143">
        <f>IF(t&lt;Tvie,1-EXP((T0-t)*PertePVj)+'2022'!Pspv,1-EXP((T0-t)*PertePVj)+Pspv)</f>
        <v>8.3156767794659858E-3</v>
      </c>
      <c r="M122" s="835"/>
      <c r="N122" s="835"/>
      <c r="O122" s="48">
        <f>IF(t&lt;Tnet,'2022'!Resal+('2022'!Salim-'2022'!Resal)*(1-EXP(('2022'!Tnet-t)/('2022'!Tau_j))),Resal+(Salim-Resal)*(1-EXP((Tnet-t)/(Tau_j))))*Salcycl</f>
        <v>3.4371926968002238E-2</v>
      </c>
      <c r="P122" s="165">
        <f>(INDEX(Models!$BJ122:$BT122,,T122)*(1-R122)+INDEX(Models!$BJ122:$BT122,,T122+1)*R122-ERP_i)*Q122*Ramure*Pc/MaxiM</f>
        <v>4.2199537002154373E-5</v>
      </c>
      <c r="Q122" s="301">
        <f t="shared" si="28"/>
        <v>0.5</v>
      </c>
      <c r="R122" s="173">
        <f t="shared" si="29"/>
        <v>0.5397886540338962</v>
      </c>
      <c r="S122" s="801">
        <f t="shared" si="30"/>
        <v>0</v>
      </c>
      <c r="T122" s="172">
        <f t="shared" si="31"/>
        <v>6</v>
      </c>
      <c r="U122" s="247">
        <f t="shared" si="32"/>
        <v>0.5397886540338962</v>
      </c>
      <c r="V122" s="378">
        <f t="shared" si="33"/>
        <v>223.61068693348244</v>
      </c>
      <c r="W122" s="397">
        <f t="shared" si="34"/>
        <v>167.49301687726924</v>
      </c>
      <c r="X122" s="153">
        <f t="shared" si="35"/>
        <v>45034</v>
      </c>
      <c r="Y122" s="380">
        <f t="shared" si="36"/>
        <v>167.49301687726924</v>
      </c>
      <c r="Z122" s="380">
        <f t="shared" si="37"/>
        <v>168.8975140126538</v>
      </c>
      <c r="AA122" s="381">
        <f t="shared" si="38"/>
        <v>174.90949023709371</v>
      </c>
      <c r="AB122" s="193">
        <f t="shared" si="39"/>
        <v>45034</v>
      </c>
      <c r="AC122" s="420">
        <f>IF(OR(t&lt;Tnet,NoTnet),'2022'!Resal_s+('2022'!Salim-'2022'!Resal_s)*(1-EXP(('2022'!Tnet_s-t)/'2022'!Tau_j)),Resal_s+(Salim-Resal_s)*(1-EXP((Tnet_s-t)/Tau_j)))*Salcycl</f>
        <v>3.4371926968002238E-2</v>
      </c>
      <c r="AD122" s="227">
        <f>(INDEX(Models!$BJ122:$BT122,,AH122)*(1-AF122)+INDEX(Models!$BJ122:$BT122,,AH122+1)*AF122-ERP_i)*AE122*Ramure*Pc/MaxiM</f>
        <v>4.2199537002154373E-5</v>
      </c>
      <c r="AE122" s="301">
        <f t="shared" si="40"/>
        <v>0.5</v>
      </c>
      <c r="AF122" s="173">
        <f t="shared" si="41"/>
        <v>0.5397886540338962</v>
      </c>
      <c r="AG122" s="172">
        <f t="shared" si="42"/>
        <v>0</v>
      </c>
      <c r="AH122" s="172">
        <f t="shared" si="43"/>
        <v>6</v>
      </c>
      <c r="AI122" s="221">
        <f t="shared" si="44"/>
        <v>0.5397886540338962</v>
      </c>
      <c r="AJ122" s="261" t="b">
        <f t="shared" si="45"/>
        <v>0</v>
      </c>
      <c r="AK122" s="261" t="b">
        <f t="shared" si="46"/>
        <v>0</v>
      </c>
      <c r="AL122" s="261"/>
      <c r="AM122" s="261"/>
      <c r="AN122" s="261"/>
    </row>
    <row r="123" spans="1:40" s="18" customFormat="1" ht="11.25" x14ac:dyDescent="0.2">
      <c r="A123" s="56">
        <f t="shared" si="47"/>
        <v>45035</v>
      </c>
      <c r="B123" s="406">
        <f>'2022'!Wh/'2022'!Env_an*'2023'!Env_an</f>
        <v>37.83123213665705</v>
      </c>
      <c r="C123" s="385"/>
      <c r="D123" s="388">
        <f t="shared" si="25"/>
        <v>38.148984647337258</v>
      </c>
      <c r="E123" s="380">
        <f t="shared" si="48"/>
        <v>39.509126399917818</v>
      </c>
      <c r="F123" s="380">
        <f t="shared" si="26"/>
        <v>39.509126399917818</v>
      </c>
      <c r="G123" s="110">
        <f t="shared" si="49"/>
        <v>0.16866419380309511</v>
      </c>
      <c r="H123" s="409" t="b">
        <f>Wh_hp&gt;='2022'!Maxi_hp</f>
        <v>0</v>
      </c>
      <c r="I123" s="385">
        <f>IF(H123,Wh_hp,'2022'!Maxi_hp)</f>
        <v>39.510665427940808</v>
      </c>
      <c r="J123" s="85">
        <f>IF(H123,An,'2022'!An_max)</f>
        <v>2022</v>
      </c>
      <c r="K123" s="193">
        <f t="shared" si="27"/>
        <v>45035</v>
      </c>
      <c r="L123" s="143">
        <f>IF(t&lt;Tvie,1-EXP((T0-t)*PertePVj)+'2022'!Pspv,1-EXP((T0-t)*PertePVj)+Pspv)</f>
        <v>8.3292521050724044E-3</v>
      </c>
      <c r="M123" s="835"/>
      <c r="N123" s="835"/>
      <c r="O123" s="48">
        <f>IF(t&lt;Tnet,'2022'!Resal+('2022'!Salim-'2022'!Resal)*(1-EXP(('2022'!Tnet-t)/('2022'!Tau_j))),Resal+(Salim-Resal)*(1-EXP((Tnet-t)/(Tau_j))))*Salcycl</f>
        <v>3.4426014354581806E-2</v>
      </c>
      <c r="P123" s="165">
        <f>(INDEX(Models!$BJ123:$BT123,,T123)*(1-R123)+INDEX(Models!$BJ123:$BT123,,T123+1)*R123-ERP_i)*Q123*Ramure*Pc/MaxiM</f>
        <v>4.2910939460936962E-5</v>
      </c>
      <c r="Q123" s="301">
        <f t="shared" si="28"/>
        <v>0.5</v>
      </c>
      <c r="R123" s="173">
        <f t="shared" si="29"/>
        <v>0.54170070711853302</v>
      </c>
      <c r="S123" s="801">
        <f t="shared" si="30"/>
        <v>0</v>
      </c>
      <c r="T123" s="172">
        <f t="shared" si="31"/>
        <v>6</v>
      </c>
      <c r="U123" s="247">
        <f t="shared" si="32"/>
        <v>0.54170070711853302</v>
      </c>
      <c r="V123" s="378">
        <f t="shared" si="33"/>
        <v>224.28950632585835</v>
      </c>
      <c r="W123" s="397">
        <f t="shared" si="34"/>
        <v>37.83123213665705</v>
      </c>
      <c r="X123" s="153">
        <f t="shared" si="35"/>
        <v>45035</v>
      </c>
      <c r="Y123" s="380">
        <f t="shared" si="36"/>
        <v>37.83123213665705</v>
      </c>
      <c r="Z123" s="380">
        <f t="shared" si="37"/>
        <v>38.148984647337258</v>
      </c>
      <c r="AA123" s="381">
        <f t="shared" si="38"/>
        <v>39.509126399917818</v>
      </c>
      <c r="AB123" s="193">
        <f t="shared" si="39"/>
        <v>45035</v>
      </c>
      <c r="AC123" s="420">
        <f>IF(OR(t&lt;Tnet,NoTnet),'2022'!Resal_s+('2022'!Salim-'2022'!Resal_s)*(1-EXP(('2022'!Tnet_s-t)/'2022'!Tau_j)),Resal_s+(Salim-Resal_s)*(1-EXP((Tnet_s-t)/Tau_j)))*Salcycl</f>
        <v>3.4426014354581806E-2</v>
      </c>
      <c r="AD123" s="227">
        <f>(INDEX(Models!$BJ123:$BT123,,AH123)*(1-AF123)+INDEX(Models!$BJ123:$BT123,,AH123+1)*AF123-ERP_i)*AE123*Ramure*Pc/MaxiM</f>
        <v>4.2910939460936962E-5</v>
      </c>
      <c r="AE123" s="301">
        <f t="shared" si="40"/>
        <v>0.5</v>
      </c>
      <c r="AF123" s="173">
        <f t="shared" si="41"/>
        <v>0.54170070711853302</v>
      </c>
      <c r="AG123" s="172">
        <f t="shared" si="42"/>
        <v>0</v>
      </c>
      <c r="AH123" s="172">
        <f t="shared" si="43"/>
        <v>6</v>
      </c>
      <c r="AI123" s="221">
        <f t="shared" si="44"/>
        <v>0.54170070711853302</v>
      </c>
      <c r="AJ123" s="261" t="b">
        <f t="shared" si="45"/>
        <v>0</v>
      </c>
      <c r="AK123" s="261" t="b">
        <f t="shared" si="46"/>
        <v>0</v>
      </c>
      <c r="AL123" s="261"/>
      <c r="AM123" s="261"/>
      <c r="AN123" s="261"/>
    </row>
    <row r="124" spans="1:40" s="6" customFormat="1" ht="11.25" customHeight="1" x14ac:dyDescent="0.2">
      <c r="A124" s="56">
        <f t="shared" si="47"/>
        <v>45036</v>
      </c>
      <c r="B124" s="406">
        <f>'2022'!Wh/'2022'!Env_an*'2023'!Env_an</f>
        <v>42.905717321298603</v>
      </c>
      <c r="C124" s="385"/>
      <c r="D124" s="388">
        <f t="shared" si="25"/>
        <v>43.266683789612628</v>
      </c>
      <c r="E124" s="380">
        <f t="shared" si="48"/>
        <v>44.811820940241915</v>
      </c>
      <c r="F124" s="380">
        <f t="shared" si="26"/>
        <v>44.811820940241915</v>
      </c>
      <c r="G124" s="110">
        <f t="shared" si="49"/>
        <v>0.19072882541085823</v>
      </c>
      <c r="H124" s="409" t="b">
        <f>Wh_hp&gt;='2022'!Maxi_hp</f>
        <v>0</v>
      </c>
      <c r="I124" s="385">
        <f>IF(H124,Wh_hp,'2022'!Maxi_hp)</f>
        <v>44.813586575905077</v>
      </c>
      <c r="J124" s="85">
        <f>IF(H124,An,'2022'!An_max)</f>
        <v>2022</v>
      </c>
      <c r="K124" s="193">
        <f t="shared" si="27"/>
        <v>45036</v>
      </c>
      <c r="L124" s="143">
        <f>IF(t&lt;Tvie,1-EXP((T0-t)*PertePVj)+'2022'!Pspv,1-EXP((T0-t)*PertePVj)+Pspv)</f>
        <v>8.34282724484392E-3</v>
      </c>
      <c r="M124" s="835"/>
      <c r="N124" s="835"/>
      <c r="O124" s="48">
        <f>IF(t&lt;Tnet,'2022'!Resal+('2022'!Salim-'2022'!Resal)*(1-EXP(('2022'!Tnet-t)/('2022'!Tau_j))),Resal+(Salim-Resal)*(1-EXP((Tnet-t)/(Tau_j))))*Salcycl</f>
        <v>3.4480570488081314E-2</v>
      </c>
      <c r="P124" s="165">
        <f>(INDEX(Models!$BJ124:$BT124,,T124)*(1-R124)+INDEX(Models!$BJ124:$BT124,,T124+1)*R124-ERP_i)*Q124*Ramure*Pc/MaxiM</f>
        <v>4.3555851218518874E-5</v>
      </c>
      <c r="Q124" s="301">
        <f t="shared" si="28"/>
        <v>0.5</v>
      </c>
      <c r="R124" s="173">
        <f t="shared" si="29"/>
        <v>0.54367576184720223</v>
      </c>
      <c r="S124" s="801">
        <f t="shared" si="30"/>
        <v>0</v>
      </c>
      <c r="T124" s="172">
        <f t="shared" si="31"/>
        <v>6</v>
      </c>
      <c r="U124" s="247">
        <f t="shared" si="32"/>
        <v>0.54367576184720223</v>
      </c>
      <c r="V124" s="378">
        <f t="shared" si="33"/>
        <v>224.94685024058251</v>
      </c>
      <c r="W124" s="397">
        <f t="shared" si="34"/>
        <v>42.905717321298603</v>
      </c>
      <c r="X124" s="153">
        <f t="shared" si="35"/>
        <v>45036</v>
      </c>
      <c r="Y124" s="380">
        <f t="shared" si="36"/>
        <v>42.905717321298603</v>
      </c>
      <c r="Z124" s="380">
        <f t="shared" si="37"/>
        <v>43.266683789612628</v>
      </c>
      <c r="AA124" s="381">
        <f t="shared" si="38"/>
        <v>44.811820940241915</v>
      </c>
      <c r="AB124" s="193">
        <f t="shared" si="39"/>
        <v>45036</v>
      </c>
      <c r="AC124" s="420">
        <f>IF(OR(t&lt;Tnet,NoTnet),'2022'!Resal_s+('2022'!Salim-'2022'!Resal_s)*(1-EXP(('2022'!Tnet_s-t)/'2022'!Tau_j)),Resal_s+(Salim-Resal_s)*(1-EXP((Tnet_s-t)/Tau_j)))*Salcycl</f>
        <v>3.4480570488081314E-2</v>
      </c>
      <c r="AD124" s="227">
        <f>(INDEX(Models!$BJ124:$BT124,,AH124)*(1-AF124)+INDEX(Models!$BJ124:$BT124,,AH124+1)*AF124-ERP_i)*AE124*Ramure*Pc/MaxiM</f>
        <v>4.3555851218518874E-5</v>
      </c>
      <c r="AE124" s="301">
        <f t="shared" si="40"/>
        <v>0.5</v>
      </c>
      <c r="AF124" s="173">
        <f t="shared" si="41"/>
        <v>0.54367576184720223</v>
      </c>
      <c r="AG124" s="172">
        <f t="shared" si="42"/>
        <v>0</v>
      </c>
      <c r="AH124" s="172">
        <f t="shared" si="43"/>
        <v>6</v>
      </c>
      <c r="AI124" s="221">
        <f t="shared" si="44"/>
        <v>0.54367576184720223</v>
      </c>
      <c r="AJ124" s="261" t="b">
        <f t="shared" si="45"/>
        <v>0</v>
      </c>
      <c r="AK124" s="261" t="b">
        <f t="shared" si="46"/>
        <v>0</v>
      </c>
      <c r="AL124" s="261"/>
      <c r="AM124" s="261"/>
      <c r="AN124" s="75"/>
    </row>
    <row r="125" spans="1:40" s="6" customFormat="1" ht="11.25" x14ac:dyDescent="0.2">
      <c r="A125" s="56">
        <f t="shared" si="47"/>
        <v>45037</v>
      </c>
      <c r="B125" s="406">
        <f>'2022'!Wh/'2022'!Env_an*'2023'!Env_an</f>
        <v>38.234225579934112</v>
      </c>
      <c r="C125" s="385"/>
      <c r="D125" s="388">
        <f t="shared" si="25"/>
        <v>38.556418520435479</v>
      </c>
      <c r="E125" s="380">
        <f t="shared" si="48"/>
        <v>39.935619098379526</v>
      </c>
      <c r="F125" s="380">
        <f t="shared" si="26"/>
        <v>39.935619098379526</v>
      </c>
      <c r="G125" s="110">
        <f t="shared" si="49"/>
        <v>0.16948266490849279</v>
      </c>
      <c r="H125" s="409" t="b">
        <f>Wh_hp&gt;='2022'!Maxi_hp</f>
        <v>0</v>
      </c>
      <c r="I125" s="385">
        <f>IF(H125,Wh_hp,'2022'!Maxi_hp)</f>
        <v>39.937207740527782</v>
      </c>
      <c r="J125" s="85">
        <f>IF(H125,An,'2022'!An_max)</f>
        <v>2022</v>
      </c>
      <c r="K125" s="193">
        <f t="shared" si="27"/>
        <v>45037</v>
      </c>
      <c r="L125" s="143">
        <f>IF(t&lt;Tvie,1-EXP((T0-t)*PertePVj)+'2022'!Pspv,1-EXP((T0-t)*PertePVj)+Pspv)</f>
        <v>8.3564021987830861E-3</v>
      </c>
      <c r="M125" s="835"/>
      <c r="N125" s="835"/>
      <c r="O125" s="48">
        <f>IF(t&lt;Tnet,'2022'!Resal+('2022'!Salim-'2022'!Resal)*(1-EXP(('2022'!Tnet-t)/('2022'!Tau_j))),Resal+(Salim-Resal)*(1-EXP((Tnet-t)/(Tau_j))))*Salcycl</f>
        <v>3.4535600275695008E-2</v>
      </c>
      <c r="P125" s="165">
        <f>(INDEX(Models!$BJ125:$BT125,,T125)*(1-R125)+INDEX(Models!$BJ125:$BT125,,T125+1)*R125-ERP_i)*Q125*Ramure*Pc/MaxiM</f>
        <v>4.4133571638218917E-5</v>
      </c>
      <c r="Q125" s="301">
        <f t="shared" si="28"/>
        <v>0.5</v>
      </c>
      <c r="R125" s="173">
        <f t="shared" si="29"/>
        <v>0.54571523291267532</v>
      </c>
      <c r="S125" s="801">
        <f t="shared" si="30"/>
        <v>0</v>
      </c>
      <c r="T125" s="172">
        <f t="shared" si="31"/>
        <v>6</v>
      </c>
      <c r="U125" s="247">
        <f t="shared" si="32"/>
        <v>0.54571523291267532</v>
      </c>
      <c r="V125" s="378">
        <f t="shared" si="33"/>
        <v>225.58376803694341</v>
      </c>
      <c r="W125" s="397">
        <f t="shared" si="34"/>
        <v>38.234225579934112</v>
      </c>
      <c r="X125" s="153">
        <f t="shared" si="35"/>
        <v>45037</v>
      </c>
      <c r="Y125" s="380">
        <f t="shared" si="36"/>
        <v>38.234225579934112</v>
      </c>
      <c r="Z125" s="380">
        <f t="shared" si="37"/>
        <v>38.556418520435479</v>
      </c>
      <c r="AA125" s="381">
        <f t="shared" si="38"/>
        <v>39.935619098379526</v>
      </c>
      <c r="AB125" s="193">
        <f t="shared" si="39"/>
        <v>45037</v>
      </c>
      <c r="AC125" s="420">
        <f>IF(OR(t&lt;Tnet,NoTnet),'2022'!Resal_s+('2022'!Salim-'2022'!Resal_s)*(1-EXP(('2022'!Tnet_s-t)/'2022'!Tau_j)),Resal_s+(Salim-Resal_s)*(1-EXP((Tnet_s-t)/Tau_j)))*Salcycl</f>
        <v>3.4535600275695008E-2</v>
      </c>
      <c r="AD125" s="227">
        <f>(INDEX(Models!$BJ125:$BT125,,AH125)*(1-AF125)+INDEX(Models!$BJ125:$BT125,,AH125+1)*AF125-ERP_i)*AE125*Ramure*Pc/MaxiM</f>
        <v>4.4133571638218917E-5</v>
      </c>
      <c r="AE125" s="301">
        <f t="shared" si="40"/>
        <v>0.5</v>
      </c>
      <c r="AF125" s="173">
        <f t="shared" si="41"/>
        <v>0.54571523291267532</v>
      </c>
      <c r="AG125" s="172">
        <f t="shared" si="42"/>
        <v>0</v>
      </c>
      <c r="AH125" s="172">
        <f t="shared" si="43"/>
        <v>6</v>
      </c>
      <c r="AI125" s="221">
        <f t="shared" si="44"/>
        <v>0.54571523291267532</v>
      </c>
      <c r="AJ125" s="261" t="b">
        <f t="shared" si="45"/>
        <v>0</v>
      </c>
      <c r="AK125" s="261" t="b">
        <f t="shared" si="46"/>
        <v>0</v>
      </c>
      <c r="AL125" s="261"/>
      <c r="AM125" s="261"/>
      <c r="AN125" s="75"/>
    </row>
    <row r="126" spans="1:40" s="6" customFormat="1" ht="11.25" customHeight="1" x14ac:dyDescent="0.2">
      <c r="A126" s="56">
        <f t="shared" si="47"/>
        <v>45038</v>
      </c>
      <c r="B126" s="406">
        <f>'2022'!Wh/'2022'!Env_an*'2023'!Env_an</f>
        <v>116.34523821174325</v>
      </c>
      <c r="C126" s="385"/>
      <c r="D126" s="388">
        <f t="shared" si="25"/>
        <v>117.32726471499629</v>
      </c>
      <c r="E126" s="380">
        <f t="shared" si="48"/>
        <v>121.53116226468281</v>
      </c>
      <c r="F126" s="380">
        <f t="shared" si="26"/>
        <v>121.53282361752876</v>
      </c>
      <c r="G126" s="110">
        <f t="shared" si="49"/>
        <v>0.51432785722274132</v>
      </c>
      <c r="H126" s="409" t="b">
        <f>Wh_hp&gt;='2022'!Maxi_hp</f>
        <v>0</v>
      </c>
      <c r="I126" s="385">
        <f>IF(H126,Wh_hp,'2022'!Maxi_hp)</f>
        <v>121.53620399370809</v>
      </c>
      <c r="J126" s="85">
        <f>IF(H126,An,'2022'!An_max)</f>
        <v>2022</v>
      </c>
      <c r="K126" s="193">
        <f t="shared" si="27"/>
        <v>45038</v>
      </c>
      <c r="L126" s="143">
        <f>IF(t&lt;Tvie,1-EXP((T0-t)*PertePVj)+'2022'!Pspv,1-EXP((T0-t)*PertePVj)+Pspv)</f>
        <v>8.3699769668926782E-3</v>
      </c>
      <c r="M126" s="835"/>
      <c r="N126" s="835"/>
      <c r="O126" s="48">
        <f>IF(t&lt;Tnet,'2022'!Resal+('2022'!Salim-'2022'!Resal)*(1-EXP(('2022'!Tnet-t)/('2022'!Tau_j))),Resal+(Salim-Resal)*(1-EXP((Tnet-t)/(Tau_j))))*Salcycl</f>
        <v>3.4591107921199966E-2</v>
      </c>
      <c r="P126" s="165">
        <f>(INDEX(Models!$BJ126:$BT126,,T126)*(1-R126)+INDEX(Models!$BJ126:$BT126,,T126+1)*R126-ERP_i)*Q126*Ramure*Pc/MaxiM</f>
        <v>4.4643211554520002E-5</v>
      </c>
      <c r="Q126" s="301">
        <f t="shared" si="28"/>
        <v>0.5</v>
      </c>
      <c r="R126" s="173">
        <f t="shared" si="29"/>
        <v>0.54782051645955776</v>
      </c>
      <c r="S126" s="801">
        <f t="shared" si="30"/>
        <v>0</v>
      </c>
      <c r="T126" s="172">
        <f t="shared" si="31"/>
        <v>6</v>
      </c>
      <c r="U126" s="247">
        <f t="shared" si="32"/>
        <v>0.54782051645955776</v>
      </c>
      <c r="V126" s="378">
        <f t="shared" si="33"/>
        <v>226.20130903312943</v>
      </c>
      <c r="W126" s="397">
        <f t="shared" si="34"/>
        <v>116.34523821174325</v>
      </c>
      <c r="X126" s="153">
        <f t="shared" si="35"/>
        <v>45038</v>
      </c>
      <c r="Y126" s="380">
        <f t="shared" si="36"/>
        <v>116.34523821174325</v>
      </c>
      <c r="Z126" s="380">
        <f t="shared" si="37"/>
        <v>117.32726471499629</v>
      </c>
      <c r="AA126" s="381">
        <f t="shared" si="38"/>
        <v>121.53116226468281</v>
      </c>
      <c r="AB126" s="193">
        <f t="shared" si="39"/>
        <v>45038</v>
      </c>
      <c r="AC126" s="420">
        <f>IF(OR(t&lt;Tnet,NoTnet),'2022'!Resal_s+('2022'!Salim-'2022'!Resal_s)*(1-EXP(('2022'!Tnet_s-t)/'2022'!Tau_j)),Resal_s+(Salim-Resal_s)*(1-EXP((Tnet_s-t)/Tau_j)))*Salcycl</f>
        <v>3.4591107921199966E-2</v>
      </c>
      <c r="AD126" s="227">
        <f>(INDEX(Models!$BJ126:$BT126,,AH126)*(1-AF126)+INDEX(Models!$BJ126:$BT126,,AH126+1)*AF126-ERP_i)*AE126*Ramure*Pc/MaxiM</f>
        <v>4.4643211554520002E-5</v>
      </c>
      <c r="AE126" s="301">
        <f t="shared" si="40"/>
        <v>0.5</v>
      </c>
      <c r="AF126" s="173">
        <f t="shared" si="41"/>
        <v>0.54782051645955776</v>
      </c>
      <c r="AG126" s="172">
        <f t="shared" si="42"/>
        <v>0</v>
      </c>
      <c r="AH126" s="172">
        <f t="shared" si="43"/>
        <v>6</v>
      </c>
      <c r="AI126" s="221">
        <f t="shared" si="44"/>
        <v>0.54782051645955776</v>
      </c>
      <c r="AJ126" s="261" t="b">
        <f t="shared" si="45"/>
        <v>0</v>
      </c>
      <c r="AK126" s="261" t="b">
        <f t="shared" si="46"/>
        <v>0</v>
      </c>
      <c r="AL126" s="261"/>
      <c r="AM126" s="261"/>
      <c r="AN126" s="75"/>
    </row>
    <row r="127" spans="1:40" s="6" customFormat="1" ht="11.25" customHeight="1" x14ac:dyDescent="0.2">
      <c r="A127" s="56">
        <f t="shared" si="47"/>
        <v>45039</v>
      </c>
      <c r="B127" s="406">
        <f>'2022'!Wh/'2022'!Env_an*'2023'!Env_an</f>
        <v>42.386272108610683</v>
      </c>
      <c r="C127" s="385"/>
      <c r="D127" s="388">
        <f t="shared" si="25"/>
        <v>42.74462386624343</v>
      </c>
      <c r="E127" s="380">
        <f t="shared" si="48"/>
        <v>44.27875415155949</v>
      </c>
      <c r="F127" s="380">
        <f t="shared" si="26"/>
        <v>44.27875415155949</v>
      </c>
      <c r="G127" s="110">
        <f t="shared" si="49"/>
        <v>0.1868794688538517</v>
      </c>
      <c r="H127" s="409" t="b">
        <f>Wh_hp&gt;='2022'!Maxi_hp</f>
        <v>0</v>
      </c>
      <c r="I127" s="385">
        <f>IF(H127,Wh_hp,'2022'!Maxi_hp)</f>
        <v>44.280539977910685</v>
      </c>
      <c r="J127" s="85">
        <f>IF(H127,An,'2022'!An_max)</f>
        <v>2022</v>
      </c>
      <c r="K127" s="193">
        <f t="shared" si="27"/>
        <v>45039</v>
      </c>
      <c r="L127" s="143">
        <f>IF(t&lt;Tvie,1-EXP((T0-t)*PertePVj)+'2022'!Pspv,1-EXP((T0-t)*PertePVj)+Pspv)</f>
        <v>8.3835515491750279E-3</v>
      </c>
      <c r="M127" s="835"/>
      <c r="N127" s="835"/>
      <c r="O127" s="48">
        <f>IF(t&lt;Tnet,'2022'!Resal+('2022'!Salim-'2022'!Resal)*(1-EXP(('2022'!Tnet-t)/('2022'!Tau_j))),Resal+(Salim-Resal)*(1-EXP((Tnet-t)/(Tau_j))))*Salcycl</f>
        <v>3.4647096891320839E-2</v>
      </c>
      <c r="P127" s="165">
        <f>(INDEX(Models!$BJ127:$BT127,,T127)*(1-R127)+INDEX(Models!$BJ127:$BT127,,T127+1)*R127-ERP_i)*Q127*Ramure*Pc/MaxiM</f>
        <v>4.5083581032209842E-5</v>
      </c>
      <c r="Q127" s="301">
        <f t="shared" si="28"/>
        <v>0.5</v>
      </c>
      <c r="R127" s="173">
        <f t="shared" si="29"/>
        <v>0.54999298546359121</v>
      </c>
      <c r="S127" s="801">
        <f t="shared" si="30"/>
        <v>0</v>
      </c>
      <c r="T127" s="172">
        <f t="shared" si="31"/>
        <v>6</v>
      </c>
      <c r="U127" s="247">
        <f t="shared" si="32"/>
        <v>0.54999298546359121</v>
      </c>
      <c r="V127" s="378">
        <f t="shared" si="33"/>
        <v>226.80052251659561</v>
      </c>
      <c r="W127" s="397">
        <f t="shared" si="34"/>
        <v>42.386272108610683</v>
      </c>
      <c r="X127" s="153">
        <f t="shared" si="35"/>
        <v>45039</v>
      </c>
      <c r="Y127" s="380">
        <f t="shared" si="36"/>
        <v>42.386272108610683</v>
      </c>
      <c r="Z127" s="380">
        <f t="shared" si="37"/>
        <v>42.74462386624343</v>
      </c>
      <c r="AA127" s="381">
        <f t="shared" si="38"/>
        <v>44.27875415155949</v>
      </c>
      <c r="AB127" s="193">
        <f t="shared" si="39"/>
        <v>45039</v>
      </c>
      <c r="AC127" s="420">
        <f>IF(OR(t&lt;Tnet,NoTnet),'2022'!Resal_s+('2022'!Salim-'2022'!Resal_s)*(1-EXP(('2022'!Tnet_s-t)/'2022'!Tau_j)),Resal_s+(Salim-Resal_s)*(1-EXP((Tnet_s-t)/Tau_j)))*Salcycl</f>
        <v>3.4647096891320839E-2</v>
      </c>
      <c r="AD127" s="227">
        <f>(INDEX(Models!$BJ127:$BT127,,AH127)*(1-AF127)+INDEX(Models!$BJ127:$BT127,,AH127+1)*AF127-ERP_i)*AE127*Ramure*Pc/MaxiM</f>
        <v>4.5083581032209842E-5</v>
      </c>
      <c r="AE127" s="301">
        <f t="shared" si="40"/>
        <v>0.5</v>
      </c>
      <c r="AF127" s="173">
        <f t="shared" si="41"/>
        <v>0.54999298546359121</v>
      </c>
      <c r="AG127" s="172">
        <f t="shared" si="42"/>
        <v>0</v>
      </c>
      <c r="AH127" s="172">
        <f t="shared" si="43"/>
        <v>6</v>
      </c>
      <c r="AI127" s="221">
        <f t="shared" si="44"/>
        <v>0.54999298546359121</v>
      </c>
      <c r="AJ127" s="261" t="b">
        <f t="shared" si="45"/>
        <v>0</v>
      </c>
      <c r="AK127" s="261" t="b">
        <f t="shared" si="46"/>
        <v>0</v>
      </c>
      <c r="AL127" s="261"/>
      <c r="AM127" s="261"/>
      <c r="AN127" s="75"/>
    </row>
    <row r="128" spans="1:40" s="6" customFormat="1" ht="11.25" customHeight="1" x14ac:dyDescent="0.2">
      <c r="A128" s="56">
        <f t="shared" si="47"/>
        <v>45040</v>
      </c>
      <c r="B128" s="406">
        <f>'2022'!Wh/'2022'!Env_an*'2023'!Env_an</f>
        <v>114.48768711146494</v>
      </c>
      <c r="C128" s="385"/>
      <c r="D128" s="388">
        <f t="shared" si="25"/>
        <v>115.45719572529985</v>
      </c>
      <c r="E128" s="380">
        <f t="shared" si="48"/>
        <v>119.60802104187238</v>
      </c>
      <c r="F128" s="380">
        <f t="shared" si="26"/>
        <v>119.60960182173561</v>
      </c>
      <c r="G128" s="110">
        <f t="shared" si="49"/>
        <v>0.50348649335004503</v>
      </c>
      <c r="H128" s="409" t="b">
        <f>Wh_hp&gt;='2022'!Maxi_hp</f>
        <v>0</v>
      </c>
      <c r="I128" s="385">
        <f>IF(H128,Wh_hp,'2022'!Maxi_hp)</f>
        <v>119.61303848340329</v>
      </c>
      <c r="J128" s="85">
        <f>IF(H128,An,'2022'!An_max)</f>
        <v>2022</v>
      </c>
      <c r="K128" s="193">
        <f t="shared" si="27"/>
        <v>45040</v>
      </c>
      <c r="L128" s="143">
        <f>IF(t&lt;Tvie,1-EXP((T0-t)*PertePVj)+'2022'!Pspv,1-EXP((T0-t)*PertePVj)+Pspv)</f>
        <v>8.3971259456327996E-3</v>
      </c>
      <c r="M128" s="835"/>
      <c r="N128" s="835"/>
      <c r="O128" s="48">
        <f>IF(t&lt;Tnet,'2022'!Resal+('2022'!Salim-'2022'!Resal)*(1-EXP(('2022'!Tnet-t)/('2022'!Tau_j))),Resal+(Salim-Resal)*(1-EXP((Tnet-t)/(Tau_j))))*Salcycl</f>
        <v>3.4703569881148706E-2</v>
      </c>
      <c r="P128" s="165">
        <f>(INDEX(Models!$BJ128:$BT128,,T128)*(1-R128)+INDEX(Models!$BJ128:$BT128,,T128+1)*R128-ERP_i)*Q128*Ramure*Pc/MaxiM</f>
        <v>4.5460389632924864E-5</v>
      </c>
      <c r="Q128" s="301">
        <f t="shared" si="28"/>
        <v>0.5</v>
      </c>
      <c r="R128" s="173">
        <f t="shared" si="29"/>
        <v>0.55223398485017272</v>
      </c>
      <c r="S128" s="801">
        <f t="shared" si="30"/>
        <v>0</v>
      </c>
      <c r="T128" s="172">
        <f t="shared" si="31"/>
        <v>6</v>
      </c>
      <c r="U128" s="247">
        <f t="shared" si="32"/>
        <v>0.55223398485017272</v>
      </c>
      <c r="V128" s="378">
        <f t="shared" si="33"/>
        <v>227.38245614868308</v>
      </c>
      <c r="W128" s="397">
        <f t="shared" si="34"/>
        <v>114.48768711146494</v>
      </c>
      <c r="X128" s="153">
        <f t="shared" si="35"/>
        <v>45040</v>
      </c>
      <c r="Y128" s="380">
        <f t="shared" si="36"/>
        <v>114.48768711146494</v>
      </c>
      <c r="Z128" s="380">
        <f t="shared" si="37"/>
        <v>115.45719572529985</v>
      </c>
      <c r="AA128" s="381">
        <f t="shared" si="38"/>
        <v>119.60802104187238</v>
      </c>
      <c r="AB128" s="193">
        <f t="shared" si="39"/>
        <v>45040</v>
      </c>
      <c r="AC128" s="420">
        <f>IF(OR(t&lt;Tnet,NoTnet),'2022'!Resal_s+('2022'!Salim-'2022'!Resal_s)*(1-EXP(('2022'!Tnet_s-t)/'2022'!Tau_j)),Resal_s+(Salim-Resal_s)*(1-EXP((Tnet_s-t)/Tau_j)))*Salcycl</f>
        <v>3.4703569881148706E-2</v>
      </c>
      <c r="AD128" s="227">
        <f>(INDEX(Models!$BJ128:$BT128,,AH128)*(1-AF128)+INDEX(Models!$BJ128:$BT128,,AH128+1)*AF128-ERP_i)*AE128*Ramure*Pc/MaxiM</f>
        <v>4.5460389632924864E-5</v>
      </c>
      <c r="AE128" s="301">
        <f t="shared" si="40"/>
        <v>0.5</v>
      </c>
      <c r="AF128" s="173">
        <f t="shared" si="41"/>
        <v>0.55223398485017272</v>
      </c>
      <c r="AG128" s="172">
        <f t="shared" si="42"/>
        <v>0</v>
      </c>
      <c r="AH128" s="172">
        <f t="shared" si="43"/>
        <v>6</v>
      </c>
      <c r="AI128" s="221">
        <f t="shared" si="44"/>
        <v>0.55223398485017272</v>
      </c>
      <c r="AJ128" s="261" t="b">
        <f t="shared" si="45"/>
        <v>0</v>
      </c>
      <c r="AK128" s="261" t="b">
        <f t="shared" si="46"/>
        <v>0</v>
      </c>
      <c r="AL128" s="261"/>
      <c r="AM128" s="261"/>
      <c r="AN128" s="75"/>
    </row>
    <row r="129" spans="1:40" s="6" customFormat="1" ht="11.25" customHeight="1" x14ac:dyDescent="0.2">
      <c r="A129" s="56">
        <f t="shared" si="47"/>
        <v>45041</v>
      </c>
      <c r="B129" s="406">
        <f>'2022'!Wh/'2022'!Env_an*'2023'!Env_an</f>
        <v>193.54644520516678</v>
      </c>
      <c r="C129" s="385"/>
      <c r="D129" s="388">
        <f t="shared" si="25"/>
        <v>195.18811390529174</v>
      </c>
      <c r="E129" s="380">
        <f t="shared" si="48"/>
        <v>202.21729397196523</v>
      </c>
      <c r="F129" s="380">
        <f t="shared" si="26"/>
        <v>202.22456164524615</v>
      </c>
      <c r="G129" s="110">
        <f t="shared" si="49"/>
        <v>0.84907262530264938</v>
      </c>
      <c r="H129" s="409" t="b">
        <f>Wh_hp&gt;='2022'!Maxi_hp</f>
        <v>0</v>
      </c>
      <c r="I129" s="385">
        <f>IF(H129,Wh_hp,'2022'!Maxi_hp)</f>
        <v>202.22633446721255</v>
      </c>
      <c r="J129" s="85">
        <f>IF(H129,An,'2022'!An_max)</f>
        <v>2022</v>
      </c>
      <c r="K129" s="193">
        <f t="shared" si="27"/>
        <v>45041</v>
      </c>
      <c r="L129" s="143">
        <f>IF(t&lt;Tvie,1-EXP((T0-t)*PertePVj)+'2022'!Pspv,1-EXP((T0-t)*PertePVj)+Pspv)</f>
        <v>8.4107001562684358E-3</v>
      </c>
      <c r="M129" s="835"/>
      <c r="N129" s="835"/>
      <c r="O129" s="48">
        <f>IF(t&lt;Tnet,'2022'!Resal+('2022'!Salim-'2022'!Resal)*(1-EXP(('2022'!Tnet-t)/('2022'!Tau_j))),Resal+(Salim-Resal)*(1-EXP((Tnet-t)/(Tau_j))))*Salcycl</f>
        <v>3.4760528778750265E-2</v>
      </c>
      <c r="P129" s="165">
        <f>(INDEX(Models!$BJ129:$BT129,,T129)*(1-R129)+INDEX(Models!$BJ129:$BT129,,T129+1)*R129-ERP_i)*Q129*Ramure*Pc/MaxiM</f>
        <v>4.5816626270251692E-5</v>
      </c>
      <c r="Q129" s="301">
        <f t="shared" si="28"/>
        <v>0.5</v>
      </c>
      <c r="R129" s="173">
        <f t="shared" si="29"/>
        <v>0.55454482635513846</v>
      </c>
      <c r="S129" s="801">
        <f t="shared" si="30"/>
        <v>0</v>
      </c>
      <c r="T129" s="172">
        <f t="shared" si="31"/>
        <v>6</v>
      </c>
      <c r="U129" s="247">
        <f t="shared" si="32"/>
        <v>0.55454482635513846</v>
      </c>
      <c r="V129" s="378">
        <f t="shared" si="33"/>
        <v>227.94814897724876</v>
      </c>
      <c r="W129" s="397">
        <f t="shared" si="34"/>
        <v>193.54644520516678</v>
      </c>
      <c r="X129" s="153">
        <f t="shared" si="35"/>
        <v>45041</v>
      </c>
      <c r="Y129" s="380">
        <f t="shared" si="36"/>
        <v>193.54644520516678</v>
      </c>
      <c r="Z129" s="380">
        <f t="shared" si="37"/>
        <v>195.18811390529174</v>
      </c>
      <c r="AA129" s="381">
        <f t="shared" si="38"/>
        <v>202.21729397196523</v>
      </c>
      <c r="AB129" s="193">
        <f t="shared" si="39"/>
        <v>45041</v>
      </c>
      <c r="AC129" s="420">
        <f>IF(OR(t&lt;Tnet,NoTnet),'2022'!Resal_s+('2022'!Salim-'2022'!Resal_s)*(1-EXP(('2022'!Tnet_s-t)/'2022'!Tau_j)),Resal_s+(Salim-Resal_s)*(1-EXP((Tnet_s-t)/Tau_j)))*Salcycl</f>
        <v>3.4760528778750265E-2</v>
      </c>
      <c r="AD129" s="227">
        <f>(INDEX(Models!$BJ129:$BT129,,AH129)*(1-AF129)+INDEX(Models!$BJ129:$BT129,,AH129+1)*AF129-ERP_i)*AE129*Ramure*Pc/MaxiM</f>
        <v>4.5816626270251692E-5</v>
      </c>
      <c r="AE129" s="301">
        <f t="shared" si="40"/>
        <v>0.5</v>
      </c>
      <c r="AF129" s="173">
        <f t="shared" si="41"/>
        <v>0.55454482635513846</v>
      </c>
      <c r="AG129" s="172">
        <f t="shared" si="42"/>
        <v>0</v>
      </c>
      <c r="AH129" s="172">
        <f t="shared" si="43"/>
        <v>6</v>
      </c>
      <c r="AI129" s="221">
        <f t="shared" si="44"/>
        <v>0.55454482635513846</v>
      </c>
      <c r="AJ129" s="261" t="b">
        <f t="shared" si="45"/>
        <v>0</v>
      </c>
      <c r="AK129" s="261" t="b">
        <f t="shared" si="46"/>
        <v>0</v>
      </c>
      <c r="AL129" s="261"/>
      <c r="AM129" s="261"/>
      <c r="AN129" s="75"/>
    </row>
    <row r="130" spans="1:40" s="6" customFormat="1" ht="11.25" customHeight="1" x14ac:dyDescent="0.2">
      <c r="A130" s="56">
        <f t="shared" si="47"/>
        <v>45042</v>
      </c>
      <c r="B130" s="406">
        <f>'2022'!Wh/'2022'!Env_an*'2023'!Env_an</f>
        <v>227.4387297285607</v>
      </c>
      <c r="C130" s="385"/>
      <c r="D130" s="388">
        <f t="shared" si="25"/>
        <v>229.37101404002726</v>
      </c>
      <c r="E130" s="380">
        <f t="shared" si="48"/>
        <v>237.6453435836562</v>
      </c>
      <c r="F130" s="380">
        <f t="shared" si="26"/>
        <v>237.65623911014339</v>
      </c>
      <c r="G130" s="110">
        <f t="shared" si="49"/>
        <v>0.99536106787343248</v>
      </c>
      <c r="H130" s="409" t="b">
        <f>Wh_hp&gt;='2022'!Maxi_hp</f>
        <v>0</v>
      </c>
      <c r="I130" s="385">
        <f>IF(H130,Wh_hp,'2022'!Maxi_hp)</f>
        <v>237.65630334663595</v>
      </c>
      <c r="J130" s="85">
        <f>IF(H130,An,'2022'!An_max)</f>
        <v>2022</v>
      </c>
      <c r="K130" s="193">
        <f t="shared" si="27"/>
        <v>45042</v>
      </c>
      <c r="L130" s="143">
        <f>IF(t&lt;Tvie,1-EXP((T0-t)*PertePVj)+'2022'!Pspv,1-EXP((T0-t)*PertePVj)+Pspv)</f>
        <v>8.4242741810844901E-3</v>
      </c>
      <c r="M130" s="835"/>
      <c r="N130" s="835"/>
      <c r="O130" s="48">
        <f>IF(t&lt;Tnet,'2022'!Resal+('2022'!Salim-'2022'!Resal)*(1-EXP(('2022'!Tnet-t)/('2022'!Tau_j))),Resal+(Salim-Resal)*(1-EXP((Tnet-t)/(Tau_j))))*Salcycl</f>
        <v>3.481797462913977E-2</v>
      </c>
      <c r="P130" s="165">
        <f>(INDEX(Models!$BJ130:$BT130,,T130)*(1-R130)+INDEX(Models!$BJ130:$BT130,,T130+1)*R130-ERP_i)*Q130*Ramure*Pc/MaxiM</f>
        <v>4.6151569929944898E-5</v>
      </c>
      <c r="Q130" s="301">
        <f t="shared" si="28"/>
        <v>0.5</v>
      </c>
      <c r="R130" s="173">
        <f t="shared" si="29"/>
        <v>0.55692678313299748</v>
      </c>
      <c r="S130" s="801">
        <f t="shared" si="30"/>
        <v>0</v>
      </c>
      <c r="T130" s="172">
        <f t="shared" si="31"/>
        <v>6</v>
      </c>
      <c r="U130" s="247">
        <f t="shared" si="32"/>
        <v>0.55692678313299748</v>
      </c>
      <c r="V130" s="378">
        <f t="shared" si="33"/>
        <v>228.49864989600573</v>
      </c>
      <c r="W130" s="397">
        <f t="shared" si="34"/>
        <v>227.4387297285607</v>
      </c>
      <c r="X130" s="153">
        <f t="shared" si="35"/>
        <v>45042</v>
      </c>
      <c r="Y130" s="380">
        <f t="shared" si="36"/>
        <v>227.4387297285607</v>
      </c>
      <c r="Z130" s="380">
        <f t="shared" si="37"/>
        <v>229.37101404002726</v>
      </c>
      <c r="AA130" s="381">
        <f t="shared" si="38"/>
        <v>237.6453435836562</v>
      </c>
      <c r="AB130" s="193">
        <f t="shared" si="39"/>
        <v>45042</v>
      </c>
      <c r="AC130" s="420">
        <f>IF(OR(t&lt;Tnet,NoTnet),'2022'!Resal_s+('2022'!Salim-'2022'!Resal_s)*(1-EXP(('2022'!Tnet_s-t)/'2022'!Tau_j)),Resal_s+(Salim-Resal_s)*(1-EXP((Tnet_s-t)/Tau_j)))*Salcycl</f>
        <v>3.481797462913977E-2</v>
      </c>
      <c r="AD130" s="227">
        <f>(INDEX(Models!$BJ130:$BT130,,AH130)*(1-AF130)+INDEX(Models!$BJ130:$BT130,,AH130+1)*AF130-ERP_i)*AE130*Ramure*Pc/MaxiM</f>
        <v>4.6151569929944898E-5</v>
      </c>
      <c r="AE130" s="301">
        <f t="shared" si="40"/>
        <v>0.5</v>
      </c>
      <c r="AF130" s="173">
        <f t="shared" si="41"/>
        <v>0.55692678313299748</v>
      </c>
      <c r="AG130" s="172">
        <f t="shared" si="42"/>
        <v>0</v>
      </c>
      <c r="AH130" s="172">
        <f t="shared" si="43"/>
        <v>6</v>
      </c>
      <c r="AI130" s="221">
        <f t="shared" si="44"/>
        <v>0.55692678313299748</v>
      </c>
      <c r="AJ130" s="261" t="b">
        <f t="shared" si="45"/>
        <v>0</v>
      </c>
      <c r="AK130" s="261" t="b">
        <f t="shared" si="46"/>
        <v>0</v>
      </c>
      <c r="AL130" s="261"/>
      <c r="AM130" s="261"/>
      <c r="AN130" s="75"/>
    </row>
    <row r="131" spans="1:40" s="6" customFormat="1" ht="11.25" customHeight="1" x14ac:dyDescent="0.2">
      <c r="A131" s="56">
        <f t="shared" si="47"/>
        <v>45043</v>
      </c>
      <c r="B131" s="406">
        <f>'2022'!Wh/'2022'!Env_an*'2023'!Env_an</f>
        <v>162.02155570578512</v>
      </c>
      <c r="C131" s="385"/>
      <c r="D131" s="388">
        <f t="shared" si="25"/>
        <v>163.4003026257771</v>
      </c>
      <c r="E131" s="380">
        <f t="shared" si="48"/>
        <v>169.30496701110889</v>
      </c>
      <c r="F131" s="380">
        <f t="shared" si="26"/>
        <v>169.30954563548573</v>
      </c>
      <c r="G131" s="110">
        <f t="shared" si="49"/>
        <v>0.7073958278418887</v>
      </c>
      <c r="H131" s="409" t="b">
        <f>Wh_hp&gt;='2022'!Maxi_hp</f>
        <v>0</v>
      </c>
      <c r="I131" s="385">
        <f>IF(H131,Wh_hp,'2022'!Maxi_hp)</f>
        <v>169.3124393699353</v>
      </c>
      <c r="J131" s="85">
        <f>IF(H131,An,'2022'!An_max)</f>
        <v>2022</v>
      </c>
      <c r="K131" s="193">
        <f t="shared" si="27"/>
        <v>45043</v>
      </c>
      <c r="L131" s="143">
        <f>IF(t&lt;Tvie,1-EXP((T0-t)*PertePVj)+'2022'!Pspv,1-EXP((T0-t)*PertePVj)+Pspv)</f>
        <v>8.437848020083627E-3</v>
      </c>
      <c r="M131" s="835"/>
      <c r="N131" s="835"/>
      <c r="O131" s="48">
        <f>IF(t&lt;Tnet,'2022'!Resal+('2022'!Salim-'2022'!Resal)*(1-EXP(('2022'!Tnet-t)/('2022'!Tau_j))),Resal+(Salim-Resal)*(1-EXP((Tnet-t)/(Tau_j))))*Salcycl</f>
        <v>3.4875907597822359E-2</v>
      </c>
      <c r="P131" s="165">
        <f>(INDEX(Models!$BJ131:$BT131,,T131)*(1-R131)+INDEX(Models!$BJ131:$BT131,,T131+1)*R131-ERP_i)*Q131*Ramure*Pc/MaxiM</f>
        <v>4.6464405909108179E-5</v>
      </c>
      <c r="Q131" s="301">
        <f t="shared" si="28"/>
        <v>0.5</v>
      </c>
      <c r="R131" s="173">
        <f t="shared" si="29"/>
        <v>0.55938108412013243</v>
      </c>
      <c r="S131" s="801">
        <f t="shared" si="30"/>
        <v>0</v>
      </c>
      <c r="T131" s="172">
        <f t="shared" si="31"/>
        <v>6</v>
      </c>
      <c r="U131" s="247">
        <f t="shared" si="32"/>
        <v>0.55938108412013243</v>
      </c>
      <c r="V131" s="378">
        <f t="shared" si="33"/>
        <v>229.03500776289982</v>
      </c>
      <c r="W131" s="397">
        <f t="shared" si="34"/>
        <v>162.02155570578512</v>
      </c>
      <c r="X131" s="153">
        <f t="shared" si="35"/>
        <v>45043</v>
      </c>
      <c r="Y131" s="380">
        <f t="shared" si="36"/>
        <v>162.02155570578512</v>
      </c>
      <c r="Z131" s="380">
        <f t="shared" si="37"/>
        <v>163.4003026257771</v>
      </c>
      <c r="AA131" s="381">
        <f t="shared" si="38"/>
        <v>169.30496701110889</v>
      </c>
      <c r="AB131" s="193">
        <f t="shared" si="39"/>
        <v>45043</v>
      </c>
      <c r="AC131" s="420">
        <f>IF(OR(t&lt;Tnet,NoTnet),'2022'!Resal_s+('2022'!Salim-'2022'!Resal_s)*(1-EXP(('2022'!Tnet_s-t)/'2022'!Tau_j)),Resal_s+(Salim-Resal_s)*(1-EXP((Tnet_s-t)/Tau_j)))*Salcycl</f>
        <v>3.4875907597822359E-2</v>
      </c>
      <c r="AD131" s="227">
        <f>(INDEX(Models!$BJ131:$BT131,,AH131)*(1-AF131)+INDEX(Models!$BJ131:$BT131,,AH131+1)*AF131-ERP_i)*AE131*Ramure*Pc/MaxiM</f>
        <v>4.6464405909108179E-5</v>
      </c>
      <c r="AE131" s="301">
        <f t="shared" si="40"/>
        <v>0.5</v>
      </c>
      <c r="AF131" s="173">
        <f t="shared" si="41"/>
        <v>0.55938108412013243</v>
      </c>
      <c r="AG131" s="172">
        <f t="shared" si="42"/>
        <v>0</v>
      </c>
      <c r="AH131" s="172">
        <f t="shared" si="43"/>
        <v>6</v>
      </c>
      <c r="AI131" s="221">
        <f t="shared" si="44"/>
        <v>0.55938108412013243</v>
      </c>
      <c r="AJ131" s="261" t="b">
        <f t="shared" si="45"/>
        <v>0</v>
      </c>
      <c r="AK131" s="261" t="b">
        <f t="shared" si="46"/>
        <v>0</v>
      </c>
      <c r="AL131" s="261"/>
      <c r="AM131" s="261"/>
      <c r="AN131" s="75"/>
    </row>
    <row r="132" spans="1:40" s="6" customFormat="1" ht="11.25" customHeight="1" x14ac:dyDescent="0.2">
      <c r="A132" s="56">
        <f t="shared" si="47"/>
        <v>45044</v>
      </c>
      <c r="B132" s="406">
        <f>'2022'!Wh/'2022'!Env_an*'2023'!Env_an</f>
        <v>94.364051868017782</v>
      </c>
      <c r="C132" s="385"/>
      <c r="D132" s="388">
        <f t="shared" si="25"/>
        <v>95.168359806697495</v>
      </c>
      <c r="E132" s="380">
        <f t="shared" si="48"/>
        <v>98.613350845195811</v>
      </c>
      <c r="F132" s="380">
        <f t="shared" si="26"/>
        <v>98.61408240624452</v>
      </c>
      <c r="G132" s="110">
        <f t="shared" si="49"/>
        <v>0.41105179692145111</v>
      </c>
      <c r="H132" s="409" t="b">
        <f>Wh_hp&gt;='2022'!Maxi_hp</f>
        <v>0</v>
      </c>
      <c r="I132" s="385">
        <f>IF(H132,Wh_hp,'2022'!Maxi_hp)</f>
        <v>98.617481089900508</v>
      </c>
      <c r="J132" s="85">
        <f>IF(H132,An,'2022'!An_max)</f>
        <v>2022</v>
      </c>
      <c r="K132" s="193">
        <f t="shared" si="27"/>
        <v>45044</v>
      </c>
      <c r="L132" s="143">
        <f>IF(t&lt;Tvie,1-EXP((T0-t)*PertePVj)+'2022'!Pspv,1-EXP((T0-t)*PertePVj)+Pspv)</f>
        <v>8.4514216732681779E-3</v>
      </c>
      <c r="M132" s="835"/>
      <c r="N132" s="835"/>
      <c r="O132" s="48">
        <f>IF(t&lt;Tnet,'2022'!Resal+('2022'!Salim-'2022'!Resal)*(1-EXP(('2022'!Tnet-t)/('2022'!Tau_j))),Resal+(Salim-Resal)*(1-EXP((Tnet-t)/(Tau_j))))*Salcycl</f>
        <v>3.4934326934152098E-2</v>
      </c>
      <c r="P132" s="165">
        <f>(INDEX(Models!$BJ132:$BT132,,T132)*(1-R132)+INDEX(Models!$BJ132:$BT132,,T132+1)*R132-ERP_i)*Q132*Ramure*Pc/MaxiM</f>
        <v>4.6754224116983991E-5</v>
      </c>
      <c r="Q132" s="301">
        <f t="shared" si="28"/>
        <v>0.5</v>
      </c>
      <c r="R132" s="173">
        <f t="shared" si="29"/>
        <v>0.56190890816300976</v>
      </c>
      <c r="S132" s="801">
        <f t="shared" si="30"/>
        <v>0</v>
      </c>
      <c r="T132" s="172">
        <f t="shared" si="31"/>
        <v>6</v>
      </c>
      <c r="U132" s="247">
        <f t="shared" si="32"/>
        <v>0.56190890816300976</v>
      </c>
      <c r="V132" s="378">
        <f t="shared" si="33"/>
        <v>229.55827139469847</v>
      </c>
      <c r="W132" s="397">
        <f t="shared" si="34"/>
        <v>94.364051868017782</v>
      </c>
      <c r="X132" s="153">
        <f t="shared" si="35"/>
        <v>45044</v>
      </c>
      <c r="Y132" s="380">
        <f t="shared" si="36"/>
        <v>94.364051868017782</v>
      </c>
      <c r="Z132" s="380">
        <f t="shared" si="37"/>
        <v>95.168359806697495</v>
      </c>
      <c r="AA132" s="381">
        <f t="shared" si="38"/>
        <v>98.613350845195811</v>
      </c>
      <c r="AB132" s="193">
        <f t="shared" si="39"/>
        <v>45044</v>
      </c>
      <c r="AC132" s="420">
        <f>IF(OR(t&lt;Tnet,NoTnet),'2022'!Resal_s+('2022'!Salim-'2022'!Resal_s)*(1-EXP(('2022'!Tnet_s-t)/'2022'!Tau_j)),Resal_s+(Salim-Resal_s)*(1-EXP((Tnet_s-t)/Tau_j)))*Salcycl</f>
        <v>3.4934326934152098E-2</v>
      </c>
      <c r="AD132" s="227">
        <f>(INDEX(Models!$BJ132:$BT132,,AH132)*(1-AF132)+INDEX(Models!$BJ132:$BT132,,AH132+1)*AF132-ERP_i)*AE132*Ramure*Pc/MaxiM</f>
        <v>4.6754224116983991E-5</v>
      </c>
      <c r="AE132" s="301">
        <f t="shared" si="40"/>
        <v>0.5</v>
      </c>
      <c r="AF132" s="173">
        <f t="shared" si="41"/>
        <v>0.56190890816300976</v>
      </c>
      <c r="AG132" s="172">
        <f t="shared" si="42"/>
        <v>0</v>
      </c>
      <c r="AH132" s="172">
        <f t="shared" si="43"/>
        <v>6</v>
      </c>
      <c r="AI132" s="221">
        <f t="shared" si="44"/>
        <v>0.56190890816300976</v>
      </c>
      <c r="AJ132" s="261" t="b">
        <f t="shared" si="45"/>
        <v>0</v>
      </c>
      <c r="AK132" s="261" t="b">
        <f t="shared" si="46"/>
        <v>0</v>
      </c>
      <c r="AL132" s="261"/>
      <c r="AM132" s="261"/>
      <c r="AN132" s="75"/>
    </row>
    <row r="133" spans="1:40" s="6" customFormat="1" ht="11.25" customHeight="1" x14ac:dyDescent="0.2">
      <c r="A133" s="56">
        <f t="shared" si="47"/>
        <v>45045</v>
      </c>
      <c r="B133" s="406">
        <f>'2022'!Wh/'2022'!Env_an*'2023'!Env_an</f>
        <v>174.38481031554349</v>
      </c>
      <c r="C133" s="385"/>
      <c r="D133" s="388">
        <f t="shared" si="25"/>
        <v>175.87357930976779</v>
      </c>
      <c r="E133" s="380">
        <f t="shared" si="48"/>
        <v>182.25113537818265</v>
      </c>
      <c r="F133" s="380">
        <f t="shared" si="26"/>
        <v>182.25674200201183</v>
      </c>
      <c r="G133" s="110">
        <f t="shared" si="49"/>
        <v>0.75795350100884495</v>
      </c>
      <c r="H133" s="409" t="b">
        <f>Wh_hp&gt;='2022'!Maxi_hp</f>
        <v>0</v>
      </c>
      <c r="I133" s="385">
        <f>IF(H133,Wh_hp,'2022'!Maxi_hp)</f>
        <v>182.25932645810221</v>
      </c>
      <c r="J133" s="85">
        <f>IF(H133,An,'2022'!An_max)</f>
        <v>2022</v>
      </c>
      <c r="K133" s="193">
        <f t="shared" si="27"/>
        <v>45045</v>
      </c>
      <c r="L133" s="143">
        <f>IF(t&lt;Tvie,1-EXP((T0-t)*PertePVj)+'2022'!Pspv,1-EXP((T0-t)*PertePVj)+Pspv)</f>
        <v>8.4649951406409185E-3</v>
      </c>
      <c r="M133" s="835"/>
      <c r="N133" s="835"/>
      <c r="O133" s="48">
        <f>IF(t&lt;Tnet,'2022'!Resal+('2022'!Salim-'2022'!Resal)*(1-EXP(('2022'!Tnet-t)/('2022'!Tau_j))),Resal+(Salim-Resal)*(1-EXP((Tnet-t)/(Tau_j))))*Salcycl</f>
        <v>3.4993230934781447E-2</v>
      </c>
      <c r="P133" s="165">
        <f>(INDEX(Models!$BJ133:$BT133,,T133)*(1-R133)+INDEX(Models!$BJ133:$BT133,,T133+1)*R133-ERP_i)*Q133*Ramure*Pc/MaxiM</f>
        <v>4.7020017453426976E-5</v>
      </c>
      <c r="Q133" s="301">
        <f t="shared" si="28"/>
        <v>0.5</v>
      </c>
      <c r="R133" s="173">
        <f t="shared" si="29"/>
        <v>0.56451137792414186</v>
      </c>
      <c r="S133" s="801">
        <f t="shared" si="30"/>
        <v>0</v>
      </c>
      <c r="T133" s="172">
        <f t="shared" si="31"/>
        <v>6</v>
      </c>
      <c r="U133" s="247">
        <f t="shared" si="32"/>
        <v>0.56451137792414186</v>
      </c>
      <c r="V133" s="378">
        <f t="shared" si="33"/>
        <v>230.06948959936582</v>
      </c>
      <c r="W133" s="397">
        <f t="shared" si="34"/>
        <v>174.38481031554349</v>
      </c>
      <c r="X133" s="153">
        <f t="shared" si="35"/>
        <v>45045</v>
      </c>
      <c r="Y133" s="380">
        <f t="shared" si="36"/>
        <v>174.38481031554349</v>
      </c>
      <c r="Z133" s="380">
        <f t="shared" si="37"/>
        <v>175.87357930976779</v>
      </c>
      <c r="AA133" s="381">
        <f t="shared" si="38"/>
        <v>182.25113537818265</v>
      </c>
      <c r="AB133" s="193">
        <f t="shared" si="39"/>
        <v>45045</v>
      </c>
      <c r="AC133" s="420">
        <f>IF(OR(t&lt;Tnet,NoTnet),'2022'!Resal_s+('2022'!Salim-'2022'!Resal_s)*(1-EXP(('2022'!Tnet_s-t)/'2022'!Tau_j)),Resal_s+(Salim-Resal_s)*(1-EXP((Tnet_s-t)/Tau_j)))*Salcycl</f>
        <v>3.4993230934781447E-2</v>
      </c>
      <c r="AD133" s="227">
        <f>(INDEX(Models!$BJ133:$BT133,,AH133)*(1-AF133)+INDEX(Models!$BJ133:$BT133,,AH133+1)*AF133-ERP_i)*AE133*Ramure*Pc/MaxiM</f>
        <v>4.7020017453426976E-5</v>
      </c>
      <c r="AE133" s="301">
        <f t="shared" si="40"/>
        <v>0.5</v>
      </c>
      <c r="AF133" s="173">
        <f t="shared" si="41"/>
        <v>0.56451137792414186</v>
      </c>
      <c r="AG133" s="172">
        <f t="shared" si="42"/>
        <v>0</v>
      </c>
      <c r="AH133" s="172">
        <f t="shared" si="43"/>
        <v>6</v>
      </c>
      <c r="AI133" s="221">
        <f t="shared" si="44"/>
        <v>0.56451137792414186</v>
      </c>
      <c r="AJ133" s="261" t="b">
        <f t="shared" si="45"/>
        <v>0</v>
      </c>
      <c r="AK133" s="261" t="b">
        <f t="shared" si="46"/>
        <v>0</v>
      </c>
      <c r="AL133" s="261"/>
      <c r="AM133" s="261"/>
      <c r="AN133" s="75"/>
    </row>
    <row r="134" spans="1:40" s="6" customFormat="1" ht="11.25" customHeight="1" x14ac:dyDescent="0.2">
      <c r="A134" s="56">
        <f t="shared" si="47"/>
        <v>45046</v>
      </c>
      <c r="B134" s="406">
        <f>'2022'!Wh/'2022'!Env_an*'2023'!Env_an</f>
        <v>163.28465523047754</v>
      </c>
      <c r="C134" s="385"/>
      <c r="D134" s="388">
        <f t="shared" si="25"/>
        <v>164.68091362447376</v>
      </c>
      <c r="E134" s="380">
        <f t="shared" si="48"/>
        <v>170.66310195764243</v>
      </c>
      <c r="F134" s="380">
        <f t="shared" si="26"/>
        <v>170.66780527536963</v>
      </c>
      <c r="G134" s="110">
        <f t="shared" si="49"/>
        <v>0.70816516710895905</v>
      </c>
      <c r="H134" s="409" t="b">
        <f>Wh_hp&gt;='2022'!Maxi_hp</f>
        <v>0</v>
      </c>
      <c r="I134" s="385">
        <f>IF(H134,Wh_hp,'2022'!Maxi_hp)</f>
        <v>170.67072459569192</v>
      </c>
      <c r="J134" s="85">
        <f>IF(H134,An,'2022'!An_max)</f>
        <v>2022</v>
      </c>
      <c r="K134" s="193">
        <f t="shared" si="27"/>
        <v>45046</v>
      </c>
      <c r="L134" s="143">
        <f>IF(t&lt;Tvie,1-EXP((T0-t)*PertePVj)+'2022'!Pspv,1-EXP((T0-t)*PertePVj)+Pspv)</f>
        <v>8.4785684222042912E-3</v>
      </c>
      <c r="M134" s="835"/>
      <c r="N134" s="835"/>
      <c r="O134" s="48">
        <f>IF(t&lt;Tnet,'2022'!Resal+('2022'!Salim-'2022'!Resal)*(1-EXP(('2022'!Tnet-t)/('2022'!Tau_j))),Resal+(Salim-Resal)*(1-EXP((Tnet-t)/(Tau_j))))*Salcycl</f>
        <v>3.5052616907510603E-2</v>
      </c>
      <c r="P134" s="165">
        <f>(INDEX(Models!$BJ134:$BT134,,T134)*(1-R134)+INDEX(Models!$BJ134:$BT134,,T134+1)*R134-ERP_i)*Q134*Ramure*Pc/MaxiM</f>
        <v>4.7260680316513639E-5</v>
      </c>
      <c r="Q134" s="301">
        <f t="shared" si="28"/>
        <v>0.5</v>
      </c>
      <c r="R134" s="173">
        <f t="shared" si="29"/>
        <v>0.56718955358142098</v>
      </c>
      <c r="S134" s="801">
        <f t="shared" si="30"/>
        <v>0</v>
      </c>
      <c r="T134" s="172">
        <f t="shared" si="31"/>
        <v>6</v>
      </c>
      <c r="U134" s="247">
        <f t="shared" si="32"/>
        <v>0.56718955358142098</v>
      </c>
      <c r="V134" s="378">
        <f t="shared" si="33"/>
        <v>230.56971118057044</v>
      </c>
      <c r="W134" s="397">
        <f t="shared" si="34"/>
        <v>163.28465523047754</v>
      </c>
      <c r="X134" s="153">
        <f t="shared" si="35"/>
        <v>45046</v>
      </c>
      <c r="Y134" s="380">
        <f t="shared" si="36"/>
        <v>163.28465523047754</v>
      </c>
      <c r="Z134" s="380">
        <f t="shared" si="37"/>
        <v>164.68091362447376</v>
      </c>
      <c r="AA134" s="381">
        <f t="shared" si="38"/>
        <v>170.66310195764243</v>
      </c>
      <c r="AB134" s="193">
        <f t="shared" si="39"/>
        <v>45046</v>
      </c>
      <c r="AC134" s="420">
        <f>IF(OR(t&lt;Tnet,NoTnet),'2022'!Resal_s+('2022'!Salim-'2022'!Resal_s)*(1-EXP(('2022'!Tnet_s-t)/'2022'!Tau_j)),Resal_s+(Salim-Resal_s)*(1-EXP((Tnet_s-t)/Tau_j)))*Salcycl</f>
        <v>3.5052616907510603E-2</v>
      </c>
      <c r="AD134" s="227">
        <f>(INDEX(Models!$BJ134:$BT134,,AH134)*(1-AF134)+INDEX(Models!$BJ134:$BT134,,AH134+1)*AF134-ERP_i)*AE134*Ramure*Pc/MaxiM</f>
        <v>4.7260680316513639E-5</v>
      </c>
      <c r="AE134" s="301">
        <f t="shared" si="40"/>
        <v>0.5</v>
      </c>
      <c r="AF134" s="173">
        <f t="shared" si="41"/>
        <v>0.56718955358142098</v>
      </c>
      <c r="AG134" s="172">
        <f t="shared" si="42"/>
        <v>0</v>
      </c>
      <c r="AH134" s="172">
        <f t="shared" si="43"/>
        <v>6</v>
      </c>
      <c r="AI134" s="221">
        <f t="shared" si="44"/>
        <v>0.56718955358142098</v>
      </c>
      <c r="AJ134" s="261" t="b">
        <f t="shared" si="45"/>
        <v>0</v>
      </c>
      <c r="AK134" s="261" t="b">
        <f t="shared" si="46"/>
        <v>0</v>
      </c>
      <c r="AL134" s="261"/>
      <c r="AM134" s="261"/>
      <c r="AN134" s="75"/>
    </row>
    <row r="135" spans="1:40" s="6" customFormat="1" ht="11.25" customHeight="1" x14ac:dyDescent="0.2">
      <c r="A135" s="56">
        <f t="shared" si="47"/>
        <v>45047</v>
      </c>
      <c r="B135" s="406">
        <f>'2022'!Wh/'2022'!Env_an*'2023'!Env_an</f>
        <v>194.36984801291246</v>
      </c>
      <c r="C135" s="385"/>
      <c r="D135" s="388">
        <f t="shared" si="25"/>
        <v>196.0346015920492</v>
      </c>
      <c r="E135" s="380">
        <f t="shared" si="48"/>
        <v>203.16834631960285</v>
      </c>
      <c r="F135" s="380">
        <f t="shared" si="26"/>
        <v>203.17580431946138</v>
      </c>
      <c r="G135" s="110">
        <f t="shared" si="49"/>
        <v>0.84121405862395038</v>
      </c>
      <c r="H135" s="409" t="b">
        <f>Wh_hp&gt;='2022'!Maxi_hp</f>
        <v>0</v>
      </c>
      <c r="I135" s="385">
        <f>IF(H135,Wh_hp,'2022'!Maxi_hp)</f>
        <v>203.17769484479672</v>
      </c>
      <c r="J135" s="85">
        <f>IF(H135,An,'2022'!An_max)</f>
        <v>2022</v>
      </c>
      <c r="K135" s="193">
        <f t="shared" si="27"/>
        <v>45047</v>
      </c>
      <c r="L135" s="143">
        <f>IF(t&lt;Tvie,1-EXP((T0-t)*PertePVj)+'2022'!Pspv,1-EXP((T0-t)*PertePVj)+Pspv)</f>
        <v>8.4921415179608495E-3</v>
      </c>
      <c r="M135" s="835"/>
      <c r="N135" s="835"/>
      <c r="O135" s="48">
        <f>IF(t&lt;Tnet,'2022'!Resal+('2022'!Salim-'2022'!Resal)*(1-EXP(('2022'!Tnet-t)/('2022'!Tau_j))),Resal+(Salim-Resal)*(1-EXP((Tnet-t)/(Tau_j))))*Salcycl</f>
        <v>3.5112481135873452E-2</v>
      </c>
      <c r="P135" s="165">
        <f>(INDEX(Models!$BJ135:$BT135,,T135)*(1-R135)+INDEX(Models!$BJ135:$BT135,,T135+1)*R135-ERP_i)*Q135*Ramure*Pc/MaxiM</f>
        <v>4.7475777340242185E-5</v>
      </c>
      <c r="Q135" s="301">
        <f t="shared" si="28"/>
        <v>0.5</v>
      </c>
      <c r="R135" s="173">
        <f t="shared" si="29"/>
        <v>0.56994442633948095</v>
      </c>
      <c r="S135" s="801">
        <f t="shared" si="30"/>
        <v>0</v>
      </c>
      <c r="T135" s="172">
        <f t="shared" si="31"/>
        <v>6</v>
      </c>
      <c r="U135" s="247">
        <f t="shared" si="32"/>
        <v>0.56994442633948095</v>
      </c>
      <c r="V135" s="378">
        <f t="shared" si="33"/>
        <v>231.05623692607716</v>
      </c>
      <c r="W135" s="397">
        <f t="shared" si="34"/>
        <v>194.36984801291246</v>
      </c>
      <c r="X135" s="153">
        <f t="shared" si="35"/>
        <v>45047</v>
      </c>
      <c r="Y135" s="380">
        <f t="shared" si="36"/>
        <v>194.36984801291246</v>
      </c>
      <c r="Z135" s="380">
        <f t="shared" si="37"/>
        <v>196.0346015920492</v>
      </c>
      <c r="AA135" s="381">
        <f t="shared" si="38"/>
        <v>203.16834631960285</v>
      </c>
      <c r="AB135" s="193">
        <f t="shared" si="39"/>
        <v>45047</v>
      </c>
      <c r="AC135" s="420">
        <f>IF(OR(t&lt;Tnet,NoTnet),'2022'!Resal_s+('2022'!Salim-'2022'!Resal_s)*(1-EXP(('2022'!Tnet_s-t)/'2022'!Tau_j)),Resal_s+(Salim-Resal_s)*(1-EXP((Tnet_s-t)/Tau_j)))*Salcycl</f>
        <v>3.5112481135873452E-2</v>
      </c>
      <c r="AD135" s="227">
        <f>(INDEX(Models!$BJ135:$BT135,,AH135)*(1-AF135)+INDEX(Models!$BJ135:$BT135,,AH135+1)*AF135-ERP_i)*AE135*Ramure*Pc/MaxiM</f>
        <v>4.7475777340242185E-5</v>
      </c>
      <c r="AE135" s="301">
        <f t="shared" si="40"/>
        <v>0.5</v>
      </c>
      <c r="AF135" s="173">
        <f t="shared" si="41"/>
        <v>0.56994442633948095</v>
      </c>
      <c r="AG135" s="172">
        <f t="shared" si="42"/>
        <v>0</v>
      </c>
      <c r="AH135" s="172">
        <f t="shared" si="43"/>
        <v>6</v>
      </c>
      <c r="AI135" s="221">
        <f t="shared" si="44"/>
        <v>0.56994442633948095</v>
      </c>
      <c r="AJ135" s="261" t="b">
        <f t="shared" si="45"/>
        <v>0</v>
      </c>
      <c r="AK135" s="261" t="b">
        <f t="shared" si="46"/>
        <v>0</v>
      </c>
      <c r="AL135" s="261"/>
      <c r="AM135" s="261"/>
      <c r="AN135" s="75"/>
    </row>
    <row r="136" spans="1:40" s="6" customFormat="1" ht="11.25" customHeight="1" x14ac:dyDescent="0.2">
      <c r="A136" s="56">
        <f t="shared" si="47"/>
        <v>45048</v>
      </c>
      <c r="B136" s="406">
        <f>'2022'!Wh/'2022'!Env_an*'2023'!Env_an</f>
        <v>115.33188864358419</v>
      </c>
      <c r="C136" s="385"/>
      <c r="D136" s="388">
        <f t="shared" si="25"/>
        <v>116.32128426946838</v>
      </c>
      <c r="E136" s="380">
        <f t="shared" si="48"/>
        <v>120.5617819869028</v>
      </c>
      <c r="F136" s="380">
        <f t="shared" si="26"/>
        <v>120.56340841705294</v>
      </c>
      <c r="G136" s="110">
        <f t="shared" si="49"/>
        <v>0.49812088976947017</v>
      </c>
      <c r="H136" s="409" t="b">
        <f>Wh_hp&gt;='2022'!Maxi_hp</f>
        <v>0</v>
      </c>
      <c r="I136" s="385">
        <f>IF(H136,Wh_hp,'2022'!Maxi_hp)</f>
        <v>120.56695071205655</v>
      </c>
      <c r="J136" s="85">
        <f>IF(H136,An,'2022'!An_max)</f>
        <v>2022</v>
      </c>
      <c r="K136" s="193">
        <f t="shared" si="27"/>
        <v>45048</v>
      </c>
      <c r="L136" s="143">
        <f>IF(t&lt;Tvie,1-EXP((T0-t)*PertePVj)+'2022'!Pspv,1-EXP((T0-t)*PertePVj)+Pspv)</f>
        <v>8.5057144279130359E-3</v>
      </c>
      <c r="M136" s="835"/>
      <c r="N136" s="835"/>
      <c r="O136" s="48">
        <f>IF(t&lt;Tnet,'2022'!Resal+('2022'!Salim-'2022'!Resal)*(1-EXP(('2022'!Tnet-t)/('2022'!Tau_j))),Resal+(Salim-Resal)*(1-EXP((Tnet-t)/(Tau_j))))*Salcycl</f>
        <v>3.5172818844823338E-2</v>
      </c>
      <c r="P136" s="165">
        <f>(INDEX(Models!$BJ136:$BT136,,T136)*(1-R136)+INDEX(Models!$BJ136:$BT136,,T136+1)*R136-ERP_i)*Q136*Ramure*Pc/MaxiM</f>
        <v>4.7659596290114682E-5</v>
      </c>
      <c r="Q136" s="301">
        <f t="shared" si="28"/>
        <v>0.5</v>
      </c>
      <c r="R136" s="173">
        <f t="shared" si="29"/>
        <v>0.57277691177491596</v>
      </c>
      <c r="S136" s="801">
        <f t="shared" si="30"/>
        <v>0</v>
      </c>
      <c r="T136" s="172">
        <f t="shared" si="31"/>
        <v>6</v>
      </c>
      <c r="U136" s="247">
        <f t="shared" si="32"/>
        <v>0.57277691177491596</v>
      </c>
      <c r="V136" s="378">
        <f t="shared" si="33"/>
        <v>231.5260213804705</v>
      </c>
      <c r="W136" s="397">
        <f t="shared" si="34"/>
        <v>115.33188864358419</v>
      </c>
      <c r="X136" s="153">
        <f t="shared" si="35"/>
        <v>45048</v>
      </c>
      <c r="Y136" s="380">
        <f t="shared" si="36"/>
        <v>115.33188864358419</v>
      </c>
      <c r="Z136" s="380">
        <f t="shared" si="37"/>
        <v>116.32128426946838</v>
      </c>
      <c r="AA136" s="381">
        <f t="shared" si="38"/>
        <v>120.5617819869028</v>
      </c>
      <c r="AB136" s="193">
        <f t="shared" si="39"/>
        <v>45048</v>
      </c>
      <c r="AC136" s="420">
        <f>IF(OR(t&lt;Tnet,NoTnet),'2022'!Resal_s+('2022'!Salim-'2022'!Resal_s)*(1-EXP(('2022'!Tnet_s-t)/'2022'!Tau_j)),Resal_s+(Salim-Resal_s)*(1-EXP((Tnet_s-t)/Tau_j)))*Salcycl</f>
        <v>3.5172818844823338E-2</v>
      </c>
      <c r="AD136" s="227">
        <f>(INDEX(Models!$BJ136:$BT136,,AH136)*(1-AF136)+INDEX(Models!$BJ136:$BT136,,AH136+1)*AF136-ERP_i)*AE136*Ramure*Pc/MaxiM</f>
        <v>4.7659596290114682E-5</v>
      </c>
      <c r="AE136" s="301">
        <f t="shared" si="40"/>
        <v>0.5</v>
      </c>
      <c r="AF136" s="173">
        <f t="shared" si="41"/>
        <v>0.57277691177491596</v>
      </c>
      <c r="AG136" s="172">
        <f t="shared" si="42"/>
        <v>0</v>
      </c>
      <c r="AH136" s="172">
        <f t="shared" si="43"/>
        <v>6</v>
      </c>
      <c r="AI136" s="221">
        <f t="shared" si="44"/>
        <v>0.57277691177491596</v>
      </c>
      <c r="AJ136" s="261" t="b">
        <f t="shared" si="45"/>
        <v>0</v>
      </c>
      <c r="AK136" s="261" t="b">
        <f t="shared" si="46"/>
        <v>0</v>
      </c>
      <c r="AL136" s="261"/>
      <c r="AM136" s="261"/>
      <c r="AN136" s="75"/>
    </row>
    <row r="137" spans="1:40" s="6" customFormat="1" ht="11.25" customHeight="1" x14ac:dyDescent="0.2">
      <c r="A137" s="56">
        <f t="shared" si="47"/>
        <v>45049</v>
      </c>
      <c r="B137" s="406">
        <f>'2022'!Wh/'2022'!Env_an*'2023'!Env_an</f>
        <v>131.32603165998978</v>
      </c>
      <c r="C137" s="385"/>
      <c r="D137" s="388">
        <f t="shared" si="25"/>
        <v>132.45444914684012</v>
      </c>
      <c r="E137" s="380">
        <f t="shared" si="48"/>
        <v>137.29173452236063</v>
      </c>
      <c r="F137" s="380">
        <f t="shared" si="26"/>
        <v>137.29423246471922</v>
      </c>
      <c r="G137" s="110">
        <f t="shared" si="49"/>
        <v>0.56609351218107906</v>
      </c>
      <c r="H137" s="409" t="b">
        <f>Wh_hp&gt;='2022'!Maxi_hp</f>
        <v>0</v>
      </c>
      <c r="I137" s="385">
        <f>IF(H137,Wh_hp,'2022'!Maxi_hp)</f>
        <v>137.29771718168283</v>
      </c>
      <c r="J137" s="85">
        <f>IF(H137,An,'2022'!An_max)</f>
        <v>2022</v>
      </c>
      <c r="K137" s="193">
        <f t="shared" si="27"/>
        <v>45049</v>
      </c>
      <c r="L137" s="143">
        <f>IF(t&lt;Tvie,1-EXP((T0-t)*PertePVj)+'2022'!Pspv,1-EXP((T0-t)*PertePVj)+Pspv)</f>
        <v>8.519287152063626E-3</v>
      </c>
      <c r="M137" s="835"/>
      <c r="N137" s="835"/>
      <c r="O137" s="48">
        <f>IF(t&lt;Tnet,'2022'!Resal+('2022'!Salim-'2022'!Resal)*(1-EXP(('2022'!Tnet-t)/('2022'!Tau_j))),Resal+(Salim-Resal)*(1-EXP((Tnet-t)/(Tau_j))))*Salcycl</f>
        <v>3.523362416790396E-2</v>
      </c>
      <c r="P137" s="165">
        <f>(INDEX(Models!$BJ137:$BT137,,T137)*(1-R137)+INDEX(Models!$BJ137:$BT137,,T137+1)*R137-ERP_i)*Q137*Ramure*Pc/MaxiM</f>
        <v>4.7859313443166439E-5</v>
      </c>
      <c r="Q137" s="301">
        <f t="shared" si="28"/>
        <v>0.5</v>
      </c>
      <c r="R137" s="173">
        <f t="shared" si="29"/>
        <v>0.57568784304047982</v>
      </c>
      <c r="S137" s="801">
        <f t="shared" si="30"/>
        <v>0</v>
      </c>
      <c r="T137" s="172">
        <f t="shared" si="31"/>
        <v>6</v>
      </c>
      <c r="U137" s="247">
        <f t="shared" si="32"/>
        <v>0.57568784304047982</v>
      </c>
      <c r="V137" s="378">
        <f t="shared" si="33"/>
        <v>231.97958101632418</v>
      </c>
      <c r="W137" s="397">
        <f t="shared" si="34"/>
        <v>131.32603165998978</v>
      </c>
      <c r="X137" s="153">
        <f t="shared" si="35"/>
        <v>45049</v>
      </c>
      <c r="Y137" s="380">
        <f t="shared" si="36"/>
        <v>131.32603165998978</v>
      </c>
      <c r="Z137" s="380">
        <f t="shared" si="37"/>
        <v>132.45444914684012</v>
      </c>
      <c r="AA137" s="381">
        <f t="shared" si="38"/>
        <v>137.29173452236063</v>
      </c>
      <c r="AB137" s="193">
        <f t="shared" si="39"/>
        <v>45049</v>
      </c>
      <c r="AC137" s="420">
        <f>IF(OR(t&lt;Tnet,NoTnet),'2022'!Resal_s+('2022'!Salim-'2022'!Resal_s)*(1-EXP(('2022'!Tnet_s-t)/'2022'!Tau_j)),Resal_s+(Salim-Resal_s)*(1-EXP((Tnet_s-t)/Tau_j)))*Salcycl</f>
        <v>3.523362416790396E-2</v>
      </c>
      <c r="AD137" s="227">
        <f>(INDEX(Models!$BJ137:$BT137,,AH137)*(1-AF137)+INDEX(Models!$BJ137:$BT137,,AH137+1)*AF137-ERP_i)*AE137*Ramure*Pc/MaxiM</f>
        <v>4.7859313443166439E-5</v>
      </c>
      <c r="AE137" s="301">
        <f t="shared" si="40"/>
        <v>0.5</v>
      </c>
      <c r="AF137" s="173">
        <f t="shared" si="41"/>
        <v>0.57568784304047982</v>
      </c>
      <c r="AG137" s="172">
        <f t="shared" si="42"/>
        <v>0</v>
      </c>
      <c r="AH137" s="172">
        <f t="shared" si="43"/>
        <v>6</v>
      </c>
      <c r="AI137" s="221">
        <f t="shared" si="44"/>
        <v>0.57568784304047982</v>
      </c>
      <c r="AJ137" s="261" t="b">
        <f t="shared" si="45"/>
        <v>0</v>
      </c>
      <c r="AK137" s="261" t="b">
        <f t="shared" si="46"/>
        <v>0</v>
      </c>
      <c r="AL137" s="261"/>
      <c r="AM137" s="261"/>
      <c r="AN137" s="75"/>
    </row>
    <row r="138" spans="1:40" s="6" customFormat="1" ht="11.25" customHeight="1" x14ac:dyDescent="0.2">
      <c r="A138" s="56">
        <f t="shared" si="47"/>
        <v>45050</v>
      </c>
      <c r="B138" s="406">
        <f>'2022'!Wh/'2022'!Env_an*'2023'!Env_an</f>
        <v>77.081842855573356</v>
      </c>
      <c r="C138" s="385"/>
      <c r="D138" s="388">
        <f t="shared" si="25"/>
        <v>77.745232011929915</v>
      </c>
      <c r="E138" s="380">
        <f t="shared" si="48"/>
        <v>80.589634299027679</v>
      </c>
      <c r="F138" s="380">
        <f t="shared" si="26"/>
        <v>80.589809488482771</v>
      </c>
      <c r="G138" s="110">
        <f t="shared" si="49"/>
        <v>0.33163734873755224</v>
      </c>
      <c r="H138" s="409" t="b">
        <f>Wh_hp&gt;='2022'!Maxi_hp</f>
        <v>0</v>
      </c>
      <c r="I138" s="385">
        <f>IF(H138,Wh_hp,'2022'!Maxi_hp)</f>
        <v>80.592958342597413</v>
      </c>
      <c r="J138" s="85">
        <f>IF(H138,An,'2022'!An_max)</f>
        <v>2022</v>
      </c>
      <c r="K138" s="193">
        <f t="shared" si="27"/>
        <v>45050</v>
      </c>
      <c r="L138" s="143">
        <f>IF(t&lt;Tvie,1-EXP((T0-t)*PertePVj)+'2022'!Pspv,1-EXP((T0-t)*PertePVj)+Pspv)</f>
        <v>8.5328596904149512E-3</v>
      </c>
      <c r="M138" s="835"/>
      <c r="N138" s="835"/>
      <c r="O138" s="48">
        <f>IF(t&lt;Tnet,'2022'!Resal+('2022'!Salim-'2022'!Resal)*(1-EXP(('2022'!Tnet-t)/('2022'!Tau_j))),Resal+(Salim-Resal)*(1-EXP((Tnet-t)/(Tau_j))))*Salcycl</f>
        <v>3.5294890116309714E-2</v>
      </c>
      <c r="P138" s="165">
        <f>(INDEX(Models!$BJ138:$BT138,,T138)*(1-R138)+INDEX(Models!$BJ138:$BT138,,T138+1)*R138-ERP_i)*Q138*Ramure*Pc/MaxiM</f>
        <v>4.8074731623398801E-5</v>
      </c>
      <c r="Q138" s="301">
        <f t="shared" si="28"/>
        <v>0.5</v>
      </c>
      <c r="R138" s="173">
        <f t="shared" si="29"/>
        <v>0.57867796395677018</v>
      </c>
      <c r="S138" s="801">
        <f t="shared" si="30"/>
        <v>0</v>
      </c>
      <c r="T138" s="172">
        <f t="shared" si="31"/>
        <v>6</v>
      </c>
      <c r="U138" s="247">
        <f t="shared" si="32"/>
        <v>0.57867796395677018</v>
      </c>
      <c r="V138" s="378">
        <f t="shared" si="33"/>
        <v>232.41744337928458</v>
      </c>
      <c r="W138" s="397">
        <f t="shared" si="34"/>
        <v>77.081842855573356</v>
      </c>
      <c r="X138" s="153">
        <f t="shared" si="35"/>
        <v>45050</v>
      </c>
      <c r="Y138" s="380">
        <f t="shared" si="36"/>
        <v>77.081842855573356</v>
      </c>
      <c r="Z138" s="380">
        <f t="shared" si="37"/>
        <v>77.745232011929915</v>
      </c>
      <c r="AA138" s="381">
        <f t="shared" si="38"/>
        <v>80.589634299027679</v>
      </c>
      <c r="AB138" s="193">
        <f t="shared" si="39"/>
        <v>45050</v>
      </c>
      <c r="AC138" s="420">
        <f>IF(OR(t&lt;Tnet,NoTnet),'2022'!Resal_s+('2022'!Salim-'2022'!Resal_s)*(1-EXP(('2022'!Tnet_s-t)/'2022'!Tau_j)),Resal_s+(Salim-Resal_s)*(1-EXP((Tnet_s-t)/Tau_j)))*Salcycl</f>
        <v>3.5294890116309714E-2</v>
      </c>
      <c r="AD138" s="227">
        <f>(INDEX(Models!$BJ138:$BT138,,AH138)*(1-AF138)+INDEX(Models!$BJ138:$BT138,,AH138+1)*AF138-ERP_i)*AE138*Ramure*Pc/MaxiM</f>
        <v>4.8074731623398801E-5</v>
      </c>
      <c r="AE138" s="301">
        <f t="shared" si="40"/>
        <v>0.5</v>
      </c>
      <c r="AF138" s="173">
        <f t="shared" si="41"/>
        <v>0.57867796395677018</v>
      </c>
      <c r="AG138" s="172">
        <f t="shared" si="42"/>
        <v>0</v>
      </c>
      <c r="AH138" s="172">
        <f t="shared" si="43"/>
        <v>6</v>
      </c>
      <c r="AI138" s="221">
        <f t="shared" si="44"/>
        <v>0.57867796395677018</v>
      </c>
      <c r="AJ138" s="261" t="b">
        <f t="shared" si="45"/>
        <v>0</v>
      </c>
      <c r="AK138" s="261" t="b">
        <f t="shared" si="46"/>
        <v>0</v>
      </c>
      <c r="AL138" s="261"/>
      <c r="AM138" s="261"/>
      <c r="AN138" s="75"/>
    </row>
    <row r="139" spans="1:40" s="6" customFormat="1" ht="11.25" customHeight="1" x14ac:dyDescent="0.2">
      <c r="A139" s="56">
        <f t="shared" si="47"/>
        <v>45051</v>
      </c>
      <c r="B139" s="406">
        <f>'2022'!Wh/'2022'!Env_an*'2023'!Env_an</f>
        <v>162.39181295977309</v>
      </c>
      <c r="C139" s="385"/>
      <c r="D139" s="388">
        <f t="shared" si="25"/>
        <v>163.79164714127202</v>
      </c>
      <c r="E139" s="380">
        <f t="shared" si="48"/>
        <v>169.79502331437982</v>
      </c>
      <c r="F139" s="380">
        <f t="shared" si="26"/>
        <v>169.79968032522007</v>
      </c>
      <c r="G139" s="110">
        <f t="shared" si="49"/>
        <v>0.69742452871407101</v>
      </c>
      <c r="H139" s="409" t="b">
        <f>Wh_hp&gt;='2022'!Maxi_hp</f>
        <v>0</v>
      </c>
      <c r="I139" s="385">
        <f>IF(H139,Wh_hp,'2022'!Maxi_hp)</f>
        <v>169.80268251285483</v>
      </c>
      <c r="J139" s="85">
        <f>IF(H139,An,'2022'!An_max)</f>
        <v>2022</v>
      </c>
      <c r="K139" s="193">
        <f t="shared" si="27"/>
        <v>45051</v>
      </c>
      <c r="L139" s="143">
        <f>IF(t&lt;Tvie,1-EXP((T0-t)*PertePVj)+'2022'!Pspv,1-EXP((T0-t)*PertePVj)+Pspv)</f>
        <v>8.546432042969565E-3</v>
      </c>
      <c r="M139" s="835"/>
      <c r="N139" s="835"/>
      <c r="O139" s="48">
        <f>IF(t&lt;Tnet,'2022'!Resal+('2022'!Salim-'2022'!Resal)*(1-EXP(('2022'!Tnet-t)/('2022'!Tau_j))),Resal+(Salim-Resal)*(1-EXP((Tnet-t)/(Tau_j))))*Salcycl</f>
        <v>3.5356608550254069E-2</v>
      </c>
      <c r="P139" s="165">
        <f>(INDEX(Models!$BJ139:$BT139,,T139)*(1-R139)+INDEX(Models!$BJ139:$BT139,,T139+1)*R139-ERP_i)*Q139*Ramure*Pc/MaxiM</f>
        <v>4.8305639914743142E-5</v>
      </c>
      <c r="Q139" s="301">
        <f t="shared" si="28"/>
        <v>0.5</v>
      </c>
      <c r="R139" s="173">
        <f t="shared" si="29"/>
        <v>0.58174792202334658</v>
      </c>
      <c r="S139" s="801">
        <f t="shared" si="30"/>
        <v>0</v>
      </c>
      <c r="T139" s="172">
        <f t="shared" si="31"/>
        <v>6</v>
      </c>
      <c r="U139" s="247">
        <f t="shared" si="32"/>
        <v>0.58174792202334658</v>
      </c>
      <c r="V139" s="378">
        <f t="shared" si="33"/>
        <v>232.84013621477024</v>
      </c>
      <c r="W139" s="397">
        <f t="shared" si="34"/>
        <v>162.39181295977309</v>
      </c>
      <c r="X139" s="153">
        <f t="shared" si="35"/>
        <v>45051</v>
      </c>
      <c r="Y139" s="380">
        <f t="shared" si="36"/>
        <v>162.39181295977309</v>
      </c>
      <c r="Z139" s="380">
        <f t="shared" si="37"/>
        <v>163.79164714127202</v>
      </c>
      <c r="AA139" s="381">
        <f t="shared" si="38"/>
        <v>169.79502331437982</v>
      </c>
      <c r="AB139" s="193">
        <f t="shared" si="39"/>
        <v>45051</v>
      </c>
      <c r="AC139" s="420">
        <f>IF(OR(t&lt;Tnet,NoTnet),'2022'!Resal_s+('2022'!Salim-'2022'!Resal_s)*(1-EXP(('2022'!Tnet_s-t)/'2022'!Tau_j)),Resal_s+(Salim-Resal_s)*(1-EXP((Tnet_s-t)/Tau_j)))*Salcycl</f>
        <v>3.5356608550254069E-2</v>
      </c>
      <c r="AD139" s="227">
        <f>(INDEX(Models!$BJ139:$BT139,,AH139)*(1-AF139)+INDEX(Models!$BJ139:$BT139,,AH139+1)*AF139-ERP_i)*AE139*Ramure*Pc/MaxiM</f>
        <v>4.8305639914743142E-5</v>
      </c>
      <c r="AE139" s="301">
        <f t="shared" si="40"/>
        <v>0.5</v>
      </c>
      <c r="AF139" s="173">
        <f t="shared" si="41"/>
        <v>0.58174792202334658</v>
      </c>
      <c r="AG139" s="172">
        <f t="shared" si="42"/>
        <v>0</v>
      </c>
      <c r="AH139" s="172">
        <f t="shared" si="43"/>
        <v>6</v>
      </c>
      <c r="AI139" s="221">
        <f t="shared" si="44"/>
        <v>0.58174792202334658</v>
      </c>
      <c r="AJ139" s="261" t="b">
        <f t="shared" si="45"/>
        <v>0</v>
      </c>
      <c r="AK139" s="261" t="b">
        <f t="shared" si="46"/>
        <v>0</v>
      </c>
      <c r="AL139" s="261"/>
      <c r="AM139" s="261"/>
      <c r="AN139" s="75"/>
    </row>
    <row r="140" spans="1:40" s="6" customFormat="1" ht="11.25" customHeight="1" x14ac:dyDescent="0.2">
      <c r="A140" s="56">
        <f t="shared" si="47"/>
        <v>45052</v>
      </c>
      <c r="B140" s="406">
        <f>'2022'!Wh/'2022'!Env_an*'2023'!Env_an</f>
        <v>151.07317758438813</v>
      </c>
      <c r="C140" s="385"/>
      <c r="D140" s="388">
        <f t="shared" si="25"/>
        <v>152.37752988164328</v>
      </c>
      <c r="E140" s="380">
        <f t="shared" si="48"/>
        <v>157.97272968480311</v>
      </c>
      <c r="F140" s="380">
        <f t="shared" si="26"/>
        <v>157.97653942824243</v>
      </c>
      <c r="G140" s="110">
        <f t="shared" si="49"/>
        <v>0.64767699820350766</v>
      </c>
      <c r="H140" s="409" t="b">
        <f>Wh_hp&gt;='2022'!Maxi_hp</f>
        <v>0</v>
      </c>
      <c r="I140" s="385">
        <f>IF(H140,Wh_hp,'2022'!Maxi_hp)</f>
        <v>157.97979101946427</v>
      </c>
      <c r="J140" s="85">
        <f>IF(H140,An,'2022'!An_max)</f>
        <v>2022</v>
      </c>
      <c r="K140" s="193">
        <f t="shared" si="27"/>
        <v>45052</v>
      </c>
      <c r="L140" s="143">
        <f>IF(t&lt;Tvie,1-EXP((T0-t)*PertePVj)+'2022'!Pspv,1-EXP((T0-t)*PertePVj)+Pspv)</f>
        <v>8.5600042097301321E-3</v>
      </c>
      <c r="M140" s="835"/>
      <c r="N140" s="835"/>
      <c r="O140" s="48">
        <f>IF(t&lt;Tnet,'2022'!Resal+('2022'!Salim-'2022'!Resal)*(1-EXP(('2022'!Tnet-t)/('2022'!Tau_j))),Resal+(Salim-Resal)*(1-EXP((Tnet-t)/(Tau_j))))*Salcycl</f>
        <v>3.5418770153074562E-2</v>
      </c>
      <c r="P140" s="165">
        <f>(INDEX(Models!$BJ140:$BT140,,T140)*(1-R140)+INDEX(Models!$BJ140:$BT140,,T140+1)*R140-ERP_i)*Q140*Ramure*Pc/MaxiM</f>
        <v>4.8551812173021595E-5</v>
      </c>
      <c r="Q140" s="301">
        <f t="shared" si="28"/>
        <v>0.5</v>
      </c>
      <c r="R140" s="173">
        <f t="shared" si="29"/>
        <v>0.58489826138468792</v>
      </c>
      <c r="S140" s="801">
        <f t="shared" si="30"/>
        <v>0</v>
      </c>
      <c r="T140" s="172">
        <f t="shared" si="31"/>
        <v>6</v>
      </c>
      <c r="U140" s="247">
        <f t="shared" si="32"/>
        <v>0.58489826138468792</v>
      </c>
      <c r="V140" s="378">
        <f t="shared" si="33"/>
        <v>233.2481874462604</v>
      </c>
      <c r="W140" s="397">
        <f t="shared" si="34"/>
        <v>151.07317758438813</v>
      </c>
      <c r="X140" s="153">
        <f t="shared" si="35"/>
        <v>45052</v>
      </c>
      <c r="Y140" s="380">
        <f t="shared" si="36"/>
        <v>151.07317758438813</v>
      </c>
      <c r="Z140" s="380">
        <f t="shared" si="37"/>
        <v>152.37752988164328</v>
      </c>
      <c r="AA140" s="381">
        <f t="shared" si="38"/>
        <v>157.97272968480311</v>
      </c>
      <c r="AB140" s="193">
        <f t="shared" si="39"/>
        <v>45052</v>
      </c>
      <c r="AC140" s="420">
        <f>IF(OR(t&lt;Tnet,NoTnet),'2022'!Resal_s+('2022'!Salim-'2022'!Resal_s)*(1-EXP(('2022'!Tnet_s-t)/'2022'!Tau_j)),Resal_s+(Salim-Resal_s)*(1-EXP((Tnet_s-t)/Tau_j)))*Salcycl</f>
        <v>3.5418770153074562E-2</v>
      </c>
      <c r="AD140" s="227">
        <f>(INDEX(Models!$BJ140:$BT140,,AH140)*(1-AF140)+INDEX(Models!$BJ140:$BT140,,AH140+1)*AF140-ERP_i)*AE140*Ramure*Pc/MaxiM</f>
        <v>4.8551812173021595E-5</v>
      </c>
      <c r="AE140" s="301">
        <f t="shared" si="40"/>
        <v>0.5</v>
      </c>
      <c r="AF140" s="173">
        <f t="shared" si="41"/>
        <v>0.58489826138468792</v>
      </c>
      <c r="AG140" s="172">
        <f t="shared" si="42"/>
        <v>0</v>
      </c>
      <c r="AH140" s="172">
        <f t="shared" si="43"/>
        <v>6</v>
      </c>
      <c r="AI140" s="221">
        <f t="shared" si="44"/>
        <v>0.58489826138468792</v>
      </c>
      <c r="AJ140" s="261" t="b">
        <f t="shared" si="45"/>
        <v>0</v>
      </c>
      <c r="AK140" s="261" t="b">
        <f t="shared" si="46"/>
        <v>0</v>
      </c>
      <c r="AL140" s="261"/>
      <c r="AM140" s="261"/>
      <c r="AN140" s="75"/>
    </row>
    <row r="141" spans="1:40" s="6" customFormat="1" ht="11.25" customHeight="1" x14ac:dyDescent="0.2">
      <c r="A141" s="56">
        <f t="shared" si="47"/>
        <v>45053</v>
      </c>
      <c r="B141" s="406">
        <f>'2022'!Wh/'2022'!Env_an*'2023'!Env_an</f>
        <v>191.59656367342853</v>
      </c>
      <c r="C141" s="385"/>
      <c r="D141" s="388">
        <f t="shared" si="25"/>
        <v>193.25343673741116</v>
      </c>
      <c r="E141" s="380">
        <f t="shared" si="48"/>
        <v>200.36257424813618</v>
      </c>
      <c r="F141" s="380">
        <f t="shared" si="26"/>
        <v>200.36984047620317</v>
      </c>
      <c r="G141" s="110">
        <f t="shared" si="49"/>
        <v>0.82003259947277196</v>
      </c>
      <c r="H141" s="409" t="b">
        <f>Wh_hp&gt;='2022'!Maxi_hp</f>
        <v>0</v>
      </c>
      <c r="I141" s="385">
        <f>IF(H141,Wh_hp,'2022'!Maxi_hp)</f>
        <v>200.37194692994947</v>
      </c>
      <c r="J141" s="85">
        <f>IF(H141,An,'2022'!An_max)</f>
        <v>2022</v>
      </c>
      <c r="K141" s="193">
        <f t="shared" si="27"/>
        <v>45053</v>
      </c>
      <c r="L141" s="143">
        <f>IF(t&lt;Tvie,1-EXP((T0-t)*PertePVj)+'2022'!Pspv,1-EXP((T0-t)*PertePVj)+Pspv)</f>
        <v>8.5735761906990948E-3</v>
      </c>
      <c r="M141" s="835"/>
      <c r="N141" s="835"/>
      <c r="O141" s="48">
        <f>IF(t&lt;Tnet,'2022'!Resal+('2022'!Salim-'2022'!Resal)*(1-EXP(('2022'!Tnet-t)/('2022'!Tau_j))),Resal+(Salim-Resal)*(1-EXP((Tnet-t)/(Tau_j))))*Salcycl</f>
        <v>3.548136440850877E-2</v>
      </c>
      <c r="P141" s="165">
        <f>(INDEX(Models!$BJ141:$BT141,,T141)*(1-R141)+INDEX(Models!$BJ141:$BT141,,T141+1)*R141-ERP_i)*Q141*Ramure*Pc/MaxiM</f>
        <v>4.8813005544253575E-5</v>
      </c>
      <c r="Q141" s="301">
        <f t="shared" si="28"/>
        <v>0.5</v>
      </c>
      <c r="R141" s="173">
        <f t="shared" si="29"/>
        <v>0.58812941578984024</v>
      </c>
      <c r="S141" s="801">
        <f t="shared" si="30"/>
        <v>0</v>
      </c>
      <c r="T141" s="172">
        <f t="shared" si="31"/>
        <v>6</v>
      </c>
      <c r="U141" s="247">
        <f t="shared" si="32"/>
        <v>0.58812941578984024</v>
      </c>
      <c r="V141" s="378">
        <f t="shared" si="33"/>
        <v>233.64212517714691</v>
      </c>
      <c r="W141" s="397">
        <f t="shared" si="34"/>
        <v>191.59656367342853</v>
      </c>
      <c r="X141" s="153">
        <f t="shared" si="35"/>
        <v>45053</v>
      </c>
      <c r="Y141" s="380">
        <f t="shared" si="36"/>
        <v>191.59656367342853</v>
      </c>
      <c r="Z141" s="380">
        <f t="shared" si="37"/>
        <v>193.25343673741116</v>
      </c>
      <c r="AA141" s="381">
        <f t="shared" si="38"/>
        <v>200.36257424813618</v>
      </c>
      <c r="AB141" s="193">
        <f t="shared" si="39"/>
        <v>45053</v>
      </c>
      <c r="AC141" s="420">
        <f>IF(OR(t&lt;Tnet,NoTnet),'2022'!Resal_s+('2022'!Salim-'2022'!Resal_s)*(1-EXP(('2022'!Tnet_s-t)/'2022'!Tau_j)),Resal_s+(Salim-Resal_s)*(1-EXP((Tnet_s-t)/Tau_j)))*Salcycl</f>
        <v>3.548136440850877E-2</v>
      </c>
      <c r="AD141" s="227">
        <f>(INDEX(Models!$BJ141:$BT141,,AH141)*(1-AF141)+INDEX(Models!$BJ141:$BT141,,AH141+1)*AF141-ERP_i)*AE141*Ramure*Pc/MaxiM</f>
        <v>4.8813005544253575E-5</v>
      </c>
      <c r="AE141" s="301">
        <f t="shared" si="40"/>
        <v>0.5</v>
      </c>
      <c r="AF141" s="173">
        <f t="shared" si="41"/>
        <v>0.58812941578984024</v>
      </c>
      <c r="AG141" s="172">
        <f t="shared" si="42"/>
        <v>0</v>
      </c>
      <c r="AH141" s="172">
        <f t="shared" si="43"/>
        <v>6</v>
      </c>
      <c r="AI141" s="221">
        <f t="shared" si="44"/>
        <v>0.58812941578984024</v>
      </c>
      <c r="AJ141" s="261" t="b">
        <f t="shared" si="45"/>
        <v>0</v>
      </c>
      <c r="AK141" s="261" t="b">
        <f t="shared" si="46"/>
        <v>0</v>
      </c>
      <c r="AL141" s="261"/>
      <c r="AM141" s="261"/>
      <c r="AN141" s="75"/>
    </row>
    <row r="142" spans="1:40" s="6" customFormat="1" ht="11.25" customHeight="1" x14ac:dyDescent="0.2">
      <c r="A142" s="56">
        <f t="shared" si="47"/>
        <v>45054</v>
      </c>
      <c r="B142" s="406">
        <f>'2022'!Wh/'2022'!Env_an*'2023'!Env_an</f>
        <v>209.32100282796046</v>
      </c>
      <c r="C142" s="385"/>
      <c r="D142" s="388">
        <f t="shared" si="25"/>
        <v>211.13404209226354</v>
      </c>
      <c r="E142" s="380">
        <f t="shared" si="48"/>
        <v>218.9152487915037</v>
      </c>
      <c r="F142" s="380">
        <f t="shared" si="26"/>
        <v>218.92436947221162</v>
      </c>
      <c r="G142" s="110">
        <f t="shared" si="49"/>
        <v>0.8944416367450081</v>
      </c>
      <c r="H142" s="409" t="b">
        <f>Wh_hp&gt;='2022'!Maxi_hp</f>
        <v>0</v>
      </c>
      <c r="I142" s="385">
        <f>IF(H142,Wh_hp,'2022'!Maxi_hp)</f>
        <v>218.92571868618484</v>
      </c>
      <c r="J142" s="85">
        <f>IF(H142,An,'2022'!An_max)</f>
        <v>2022</v>
      </c>
      <c r="K142" s="193">
        <f t="shared" si="27"/>
        <v>45054</v>
      </c>
      <c r="L142" s="143">
        <f>IF(t&lt;Tvie,1-EXP((T0-t)*PertePVj)+'2022'!Pspv,1-EXP((T0-t)*PertePVj)+Pspv)</f>
        <v>8.5871479858790067E-3</v>
      </c>
      <c r="M142" s="835"/>
      <c r="N142" s="835"/>
      <c r="O142" s="48">
        <f>IF(t&lt;Tnet,'2022'!Resal+('2022'!Salim-'2022'!Resal)*(1-EXP(('2022'!Tnet-t)/('2022'!Tau_j))),Resal+(Salim-Resal)*(1-EXP((Tnet-t)/(Tau_j))))*Salcycl</f>
        <v>3.5544379581575102E-2</v>
      </c>
      <c r="P142" s="165">
        <f>(INDEX(Models!$BJ142:$BT142,,T142)*(1-R142)+INDEX(Models!$BJ142:$BT142,,T142+1)*R142-ERP_i)*Q142*Ramure*Pc/MaxiM</f>
        <v>4.9058823536141588E-5</v>
      </c>
      <c r="Q142" s="301">
        <f t="shared" si="28"/>
        <v>0.5</v>
      </c>
      <c r="R142" s="173">
        <f t="shared" si="29"/>
        <v>0.59144170158797327</v>
      </c>
      <c r="S142" s="801">
        <f t="shared" si="30"/>
        <v>0</v>
      </c>
      <c r="T142" s="172">
        <f t="shared" si="31"/>
        <v>6</v>
      </c>
      <c r="U142" s="247">
        <f t="shared" si="32"/>
        <v>0.59144170158797327</v>
      </c>
      <c r="V142" s="378">
        <f t="shared" si="33"/>
        <v>234.02248477018136</v>
      </c>
      <c r="W142" s="397">
        <f t="shared" si="34"/>
        <v>209.32100282796046</v>
      </c>
      <c r="X142" s="153">
        <f t="shared" si="35"/>
        <v>45054</v>
      </c>
      <c r="Y142" s="380">
        <f t="shared" si="36"/>
        <v>209.32100282796046</v>
      </c>
      <c r="Z142" s="380">
        <f t="shared" si="37"/>
        <v>211.13404209226354</v>
      </c>
      <c r="AA142" s="381">
        <f t="shared" si="38"/>
        <v>218.9152487915037</v>
      </c>
      <c r="AB142" s="193">
        <f t="shared" si="39"/>
        <v>45054</v>
      </c>
      <c r="AC142" s="420">
        <f>IF(OR(t&lt;Tnet,NoTnet),'2022'!Resal_s+('2022'!Salim-'2022'!Resal_s)*(1-EXP(('2022'!Tnet_s-t)/'2022'!Tau_j)),Resal_s+(Salim-Resal_s)*(1-EXP((Tnet_s-t)/Tau_j)))*Salcycl</f>
        <v>3.5544379581575102E-2</v>
      </c>
      <c r="AD142" s="227">
        <f>(INDEX(Models!$BJ142:$BT142,,AH142)*(1-AF142)+INDEX(Models!$BJ142:$BT142,,AH142+1)*AF142-ERP_i)*AE142*Ramure*Pc/MaxiM</f>
        <v>4.9058823536141588E-5</v>
      </c>
      <c r="AE142" s="301">
        <f t="shared" si="40"/>
        <v>0.5</v>
      </c>
      <c r="AF142" s="173">
        <f t="shared" si="41"/>
        <v>0.59144170158797327</v>
      </c>
      <c r="AG142" s="172">
        <f t="shared" si="42"/>
        <v>0</v>
      </c>
      <c r="AH142" s="172">
        <f t="shared" si="43"/>
        <v>6</v>
      </c>
      <c r="AI142" s="221">
        <f t="shared" si="44"/>
        <v>0.59144170158797327</v>
      </c>
      <c r="AJ142" s="261" t="b">
        <f t="shared" si="45"/>
        <v>0</v>
      </c>
      <c r="AK142" s="261" t="b">
        <f t="shared" si="46"/>
        <v>0</v>
      </c>
      <c r="AL142" s="261"/>
      <c r="AM142" s="261"/>
      <c r="AN142" s="75"/>
    </row>
    <row r="143" spans="1:40" s="6" customFormat="1" ht="11.25" x14ac:dyDescent="0.2">
      <c r="A143" s="56">
        <f t="shared" si="47"/>
        <v>45055</v>
      </c>
      <c r="B143" s="406">
        <f>'2022'!Wh/'2022'!Env_an*'2023'!Env_an</f>
        <v>225.70947908052739</v>
      </c>
      <c r="C143" s="385"/>
      <c r="D143" s="388">
        <f t="shared" ref="D143:D206" si="50">Wh/(1-Ppv)</f>
        <v>227.66758413258486</v>
      </c>
      <c r="E143" s="380">
        <f t="shared" si="48"/>
        <v>236.07364801458073</v>
      </c>
      <c r="F143" s="380">
        <f t="shared" ref="F143:F206" si="51">Wh_sa/(1-Pvg*MEDIAN((-Sdif+Wh/Env_an)/Csdif,0,1))</f>
        <v>236.08466674220239</v>
      </c>
      <c r="G143" s="110">
        <f t="shared" si="49"/>
        <v>0.9629638047279927</v>
      </c>
      <c r="H143" s="409" t="b">
        <f>Wh_hp&gt;='2022'!Maxi_hp</f>
        <v>0</v>
      </c>
      <c r="I143" s="385">
        <f>IF(H143,Wh_hp,'2022'!Maxi_hp)</f>
        <v>236.08517663735407</v>
      </c>
      <c r="J143" s="85">
        <f>IF(H143,An,'2022'!An_max)</f>
        <v>2022</v>
      </c>
      <c r="K143" s="193">
        <f t="shared" ref="K143:K206" si="52">t</f>
        <v>45055</v>
      </c>
      <c r="L143" s="143">
        <f>IF(t&lt;Tvie,1-EXP((T0-t)*PertePVj)+'2022'!Pspv,1-EXP((T0-t)*PertePVj)+Pspv)</f>
        <v>8.6007195952725324E-3</v>
      </c>
      <c r="M143" s="835"/>
      <c r="N143" s="835"/>
      <c r="O143" s="48">
        <f>IF(t&lt;Tnet,'2022'!Resal+('2022'!Salim-'2022'!Resal)*(1-EXP(('2022'!Tnet-t)/('2022'!Tau_j))),Resal+(Salim-Resal)*(1-EXP((Tnet-t)/(Tau_j))))*Salcycl</f>
        <v>3.5607802703487922E-2</v>
      </c>
      <c r="P143" s="165">
        <f>(INDEX(Models!$BJ143:$BT143,,T143)*(1-R143)+INDEX(Models!$BJ143:$BT143,,T143+1)*R143-ERP_i)*Q143*Ramure*Pc/MaxiM</f>
        <v>4.9279948271162928E-5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0.5948353108053186</v>
      </c>
      <c r="S143" s="801">
        <f t="shared" ref="S143:S206" si="55">INDEX(Echel_vg,T143)</f>
        <v>0</v>
      </c>
      <c r="T143" s="172">
        <f t="shared" ref="T143:T206" si="56">MIN(MATCH(Hp_vg,Echel_vg),10)</f>
        <v>6</v>
      </c>
      <c r="U143" s="247">
        <f t="shared" ref="U143:U206" si="57">IF(OR(t&lt;Ttai,Notai),Hdd+PousH*Croivg,Hdtf+PousH*(Croivg-Croi_tai))</f>
        <v>0.5948353108053186</v>
      </c>
      <c r="V143" s="378">
        <f t="shared" ref="V143:V206" si="58">MaxiM*(1-Ppv)*(1-Pvg)*(1-Psa)</f>
        <v>234.38979687729559</v>
      </c>
      <c r="W143" s="397">
        <f t="shared" ref="W143:W206" si="59">Wh*(A143&gt;Tmaj)</f>
        <v>225.70947908052739</v>
      </c>
      <c r="X143" s="153">
        <f t="shared" ref="X143:X206" si="60">t</f>
        <v>45055</v>
      </c>
      <c r="Y143" s="380">
        <f t="shared" ref="Y143:Y206" si="61">Wh_pvt_s*(1-Ppv)</f>
        <v>225.70947908052739</v>
      </c>
      <c r="Z143" s="380">
        <f t="shared" ref="Z143:Z206" si="62">Wh_sa_s*(1-Psa_s)</f>
        <v>227.66758413258486</v>
      </c>
      <c r="AA143" s="381">
        <f t="shared" ref="AA143:AA206" si="63">Wh_hp*(1-Pvg_s*MEDIAN((-Sdif+Wh/Env_an)/Csdif,0,1))</f>
        <v>236.07364801458073</v>
      </c>
      <c r="AB143" s="193">
        <f t="shared" ref="AB143:AB206" si="64">t</f>
        <v>45055</v>
      </c>
      <c r="AC143" s="420">
        <f>IF(OR(t&lt;Tnet,NoTnet),'2022'!Resal_s+('2022'!Salim-'2022'!Resal_s)*(1-EXP(('2022'!Tnet_s-t)/'2022'!Tau_j)),Resal_s+(Salim-Resal_s)*(1-EXP((Tnet_s-t)/Tau_j)))*Salcycl</f>
        <v>3.5607802703487922E-2</v>
      </c>
      <c r="AD143" s="227">
        <f>(INDEX(Models!$BJ143:$BT143,,AH143)*(1-AF143)+INDEX(Models!$BJ143:$BT143,,AH143+1)*AF143-ERP_i)*AE143*Ramure*Pc/MaxiM</f>
        <v>4.9279948271162928E-5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0.5948353108053186</v>
      </c>
      <c r="AG143" s="172">
        <f t="shared" ref="AG143:AG206" si="67">INDEX(Echel_vg,AH143)</f>
        <v>0</v>
      </c>
      <c r="AH143" s="172">
        <f t="shared" ref="AH143:AH206" si="68">MIN(MATCH(Hp_vg_s,Echel_vg),10)</f>
        <v>6</v>
      </c>
      <c r="AI143" s="221">
        <f t="shared" ref="AI143:AI206" si="69">IF(OR(t&lt;Ttai,Notai),Hdd_s+PousH*Croivg,Hdtai_s+PousH*(Croivg-Croi_tai))</f>
        <v>0.5948353108053186</v>
      </c>
      <c r="AJ143" s="261" t="b">
        <f t="shared" ref="AJ143:AJ206" si="70">t&lt;Tnet</f>
        <v>0</v>
      </c>
      <c r="AK143" s="261" t="b">
        <f t="shared" ref="AK143:AK206" si="71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169" si="72">A143+1</f>
        <v>45056</v>
      </c>
      <c r="B144" s="406">
        <f>'2022'!Wh/'2022'!Env_an*'2023'!Env_an</f>
        <v>216.0120612942595</v>
      </c>
      <c r="C144" s="385"/>
      <c r="D144" s="388">
        <f t="shared" si="50"/>
        <v>217.88902072863519</v>
      </c>
      <c r="E144" s="380">
        <f t="shared" ref="E144:E169" si="73">Wh_pvt/(1-Psa)</f>
        <v>225.94898703432284</v>
      </c>
      <c r="F144" s="380">
        <f t="shared" si="51"/>
        <v>225.95889187354342</v>
      </c>
      <c r="G144" s="110">
        <f t="shared" ref="G144:G169" si="74">+Wh_hp/MaxiM</f>
        <v>0.9201951892625817</v>
      </c>
      <c r="H144" s="409" t="b">
        <f>Wh_hp&gt;='2022'!Maxi_hp</f>
        <v>0</v>
      </c>
      <c r="I144" s="385">
        <f>IF(H144,Wh_hp,'2022'!Maxi_hp)</f>
        <v>225.95994154835185</v>
      </c>
      <c r="J144" s="85">
        <f>IF(H144,An,'2022'!An_max)</f>
        <v>2022</v>
      </c>
      <c r="K144" s="193">
        <f t="shared" si="52"/>
        <v>45056</v>
      </c>
      <c r="L144" s="143">
        <f>IF(t&lt;Tvie,1-EXP((T0-t)*PertePVj)+'2022'!Pspv,1-EXP((T0-t)*PertePVj)+Pspv)</f>
        <v>8.6142910188821142E-3</v>
      </c>
      <c r="M144" s="835"/>
      <c r="N144" s="835"/>
      <c r="O144" s="48">
        <f>IF(t&lt;Tnet,'2022'!Resal+('2022'!Salim-'2022'!Resal)*(1-EXP(('2022'!Tnet-t)/('2022'!Tau_j))),Resal+(Salim-Resal)*(1-EXP((Tnet-t)/(Tau_j))))*Salcycl</f>
        <v>3.5671619561026408E-2</v>
      </c>
      <c r="P144" s="165">
        <f>(INDEX(Models!$BJ144:$BT144,,T144)*(1-R144)+INDEX(Models!$BJ144:$BT144,,T144+1)*R144-ERP_i)*Q144*Ramure*Pc/MaxiM</f>
        <v>4.947479534516149E-5</v>
      </c>
      <c r="Q144" s="301">
        <f t="shared" si="53"/>
        <v>0.5</v>
      </c>
      <c r="R144" s="173">
        <f t="shared" si="54"/>
        <v>0.59831030435203691</v>
      </c>
      <c r="S144" s="801">
        <f t="shared" si="55"/>
        <v>0</v>
      </c>
      <c r="T144" s="172">
        <f t="shared" si="56"/>
        <v>6</v>
      </c>
      <c r="U144" s="247">
        <f t="shared" si="57"/>
        <v>0.59831030435203691</v>
      </c>
      <c r="V144" s="378">
        <f t="shared" si="58"/>
        <v>234.74459053014971</v>
      </c>
      <c r="W144" s="397">
        <f t="shared" si="59"/>
        <v>216.0120612942595</v>
      </c>
      <c r="X144" s="153">
        <f t="shared" si="60"/>
        <v>45056</v>
      </c>
      <c r="Y144" s="380">
        <f t="shared" si="61"/>
        <v>216.0120612942595</v>
      </c>
      <c r="Z144" s="380">
        <f t="shared" si="62"/>
        <v>217.88902072863519</v>
      </c>
      <c r="AA144" s="381">
        <f t="shared" si="63"/>
        <v>225.94898703432284</v>
      </c>
      <c r="AB144" s="193">
        <f t="shared" si="64"/>
        <v>45056</v>
      </c>
      <c r="AC144" s="420">
        <f>IF(OR(t&lt;Tnet,NoTnet),'2022'!Resal_s+('2022'!Salim-'2022'!Resal_s)*(1-EXP(('2022'!Tnet_s-t)/'2022'!Tau_j)),Resal_s+(Salim-Resal_s)*(1-EXP((Tnet_s-t)/Tau_j)))*Salcycl</f>
        <v>3.5671619561026408E-2</v>
      </c>
      <c r="AD144" s="227">
        <f>(INDEX(Models!$BJ144:$BT144,,AH144)*(1-AF144)+INDEX(Models!$BJ144:$BT144,,AH144+1)*AF144-ERP_i)*AE144*Ramure*Pc/MaxiM</f>
        <v>4.947479534516149E-5</v>
      </c>
      <c r="AE144" s="301">
        <f t="shared" si="65"/>
        <v>0.5</v>
      </c>
      <c r="AF144" s="173">
        <f t="shared" si="66"/>
        <v>0.59831030435203691</v>
      </c>
      <c r="AG144" s="172">
        <f t="shared" si="67"/>
        <v>0</v>
      </c>
      <c r="AH144" s="172">
        <f t="shared" si="68"/>
        <v>6</v>
      </c>
      <c r="AI144" s="221">
        <f t="shared" si="69"/>
        <v>0.59831030435203691</v>
      </c>
      <c r="AJ144" s="261" t="b">
        <f t="shared" si="70"/>
        <v>0</v>
      </c>
      <c r="AK144" s="261" t="b">
        <f t="shared" si="71"/>
        <v>0</v>
      </c>
      <c r="AL144" s="261"/>
      <c r="AM144" s="261"/>
      <c r="AN144" s="75"/>
    </row>
    <row r="145" spans="1:40" s="6" customFormat="1" ht="11.25" customHeight="1" x14ac:dyDescent="0.2">
      <c r="A145" s="56">
        <f t="shared" si="72"/>
        <v>45057</v>
      </c>
      <c r="B145" s="406">
        <f>'2022'!Wh/'2022'!Env_an*'2023'!Env_an</f>
        <v>232.66824184937781</v>
      </c>
      <c r="C145" s="385"/>
      <c r="D145" s="388">
        <f t="shared" si="50"/>
        <v>234.69314195072317</v>
      </c>
      <c r="E145" s="380">
        <f t="shared" si="73"/>
        <v>243.3909145712563</v>
      </c>
      <c r="F145" s="380">
        <f t="shared" si="51"/>
        <v>243.40281986986375</v>
      </c>
      <c r="G145" s="110">
        <f t="shared" si="74"/>
        <v>0.98970883599393722</v>
      </c>
      <c r="H145" s="409" t="b">
        <f>Wh_hp&gt;='2022'!Maxi_hp</f>
        <v>0</v>
      </c>
      <c r="I145" s="385">
        <f>IF(H145,Wh_hp,'2022'!Maxi_hp)</f>
        <v>243.40296531394188</v>
      </c>
      <c r="J145" s="85">
        <f>IF(H145,An,'2022'!An_max)</f>
        <v>2022</v>
      </c>
      <c r="K145" s="193">
        <f t="shared" si="52"/>
        <v>45057</v>
      </c>
      <c r="L145" s="143">
        <f>IF(t&lt;Tvie,1-EXP((T0-t)*PertePVj)+'2022'!Pspv,1-EXP((T0-t)*PertePVj)+Pspv)</f>
        <v>8.6278622567101948E-3</v>
      </c>
      <c r="M145" s="835"/>
      <c r="N145" s="835"/>
      <c r="O145" s="48">
        <f>IF(t&lt;Tnet,'2022'!Resal+('2022'!Salim-'2022'!Resal)*(1-EXP(('2022'!Tnet-t)/('2022'!Tau_j))),Resal+(Salim-Resal)*(1-EXP((Tnet-t)/(Tau_j))))*Salcycl</f>
        <v>3.5735814690760537E-2</v>
      </c>
      <c r="P145" s="165">
        <f>(INDEX(Models!$BJ145:$BT145,,T145)*(1-R145)+INDEX(Models!$BJ145:$BT145,,T145+1)*R145-ERP_i)*Q145*Ramure*Pc/MaxiM</f>
        <v>4.9641681388246134E-5</v>
      </c>
      <c r="Q145" s="301">
        <f t="shared" si="53"/>
        <v>0.5</v>
      </c>
      <c r="R145" s="173">
        <f t="shared" si="54"/>
        <v>0.60186660541040116</v>
      </c>
      <c r="S145" s="801">
        <f t="shared" si="55"/>
        <v>0</v>
      </c>
      <c r="T145" s="172">
        <f t="shared" si="56"/>
        <v>6</v>
      </c>
      <c r="U145" s="247">
        <f t="shared" si="57"/>
        <v>0.60186660541040116</v>
      </c>
      <c r="V145" s="378">
        <f t="shared" si="58"/>
        <v>235.08739498571202</v>
      </c>
      <c r="W145" s="397">
        <f t="shared" si="59"/>
        <v>232.66824184937781</v>
      </c>
      <c r="X145" s="153">
        <f t="shared" si="60"/>
        <v>45057</v>
      </c>
      <c r="Y145" s="380">
        <f t="shared" si="61"/>
        <v>232.66824184937781</v>
      </c>
      <c r="Z145" s="380">
        <f t="shared" si="62"/>
        <v>234.69314195072317</v>
      </c>
      <c r="AA145" s="381">
        <f t="shared" si="63"/>
        <v>243.3909145712563</v>
      </c>
      <c r="AB145" s="193">
        <f t="shared" si="64"/>
        <v>45057</v>
      </c>
      <c r="AC145" s="420">
        <f>IF(OR(t&lt;Tnet,NoTnet),'2022'!Resal_s+('2022'!Salim-'2022'!Resal_s)*(1-EXP(('2022'!Tnet_s-t)/'2022'!Tau_j)),Resal_s+(Salim-Resal_s)*(1-EXP((Tnet_s-t)/Tau_j)))*Salcycl</f>
        <v>3.5735814690760537E-2</v>
      </c>
      <c r="AD145" s="227">
        <f>(INDEX(Models!$BJ145:$BT145,,AH145)*(1-AF145)+INDEX(Models!$BJ145:$BT145,,AH145+1)*AF145-ERP_i)*AE145*Ramure*Pc/MaxiM</f>
        <v>4.9641681388246134E-5</v>
      </c>
      <c r="AE145" s="301">
        <f t="shared" si="65"/>
        <v>0.5</v>
      </c>
      <c r="AF145" s="173">
        <f t="shared" si="66"/>
        <v>0.60186660541040116</v>
      </c>
      <c r="AG145" s="172">
        <f t="shared" si="67"/>
        <v>0</v>
      </c>
      <c r="AH145" s="172">
        <f t="shared" si="68"/>
        <v>6</v>
      </c>
      <c r="AI145" s="221">
        <f t="shared" si="69"/>
        <v>0.60186660541040116</v>
      </c>
      <c r="AJ145" s="261" t="b">
        <f t="shared" si="70"/>
        <v>0</v>
      </c>
      <c r="AK145" s="261" t="b">
        <f t="shared" si="71"/>
        <v>0</v>
      </c>
      <c r="AL145" s="261"/>
      <c r="AM145" s="261"/>
      <c r="AN145" s="75"/>
    </row>
    <row r="146" spans="1:40" s="6" customFormat="1" ht="11.25" customHeight="1" x14ac:dyDescent="0.2">
      <c r="A146" s="56">
        <f t="shared" si="72"/>
        <v>45058</v>
      </c>
      <c r="B146" s="406">
        <f>'2022'!Wh/'2022'!Env_an*'2023'!Env_an</f>
        <v>174.75873618708815</v>
      </c>
      <c r="C146" s="385"/>
      <c r="D146" s="388">
        <f t="shared" si="50"/>
        <v>176.28206590312033</v>
      </c>
      <c r="E146" s="380">
        <f t="shared" si="73"/>
        <v>182.82735304010748</v>
      </c>
      <c r="F146" s="380">
        <f t="shared" si="51"/>
        <v>182.83310411807869</v>
      </c>
      <c r="G146" s="110">
        <f t="shared" si="74"/>
        <v>0.74231785505196191</v>
      </c>
      <c r="H146" s="409" t="b">
        <f>Wh_hp&gt;='2022'!Maxi_hp</f>
        <v>0</v>
      </c>
      <c r="I146" s="385">
        <f>IF(H146,Wh_hp,'2022'!Maxi_hp)</f>
        <v>182.83583092034419</v>
      </c>
      <c r="J146" s="85">
        <f>IF(H146,An,'2022'!An_max)</f>
        <v>2022</v>
      </c>
      <c r="K146" s="193">
        <f t="shared" si="52"/>
        <v>45058</v>
      </c>
      <c r="L146" s="143">
        <f>IF(t&lt;Tvie,1-EXP((T0-t)*PertePVj)+'2022'!Pspv,1-EXP((T0-t)*PertePVj)+Pspv)</f>
        <v>8.6414333087595496E-3</v>
      </c>
      <c r="M146" s="835"/>
      <c r="N146" s="835"/>
      <c r="O146" s="48">
        <f>IF(t&lt;Tnet,'2022'!Resal+('2022'!Salim-'2022'!Resal)*(1-EXP(('2022'!Tnet-t)/('2022'!Tau_j))),Resal+(Salim-Resal)*(1-EXP((Tnet-t)/(Tau_j))))*Salcycl</f>
        <v>3.5800371378517451E-2</v>
      </c>
      <c r="P146" s="165">
        <f>(INDEX(Models!$BJ146:$BT146,,T146)*(1-R146)+INDEX(Models!$BJ146:$BT146,,T146+1)*R146-ERP_i)*Q146*Ramure*Pc/MaxiM</f>
        <v>4.9778824466922336E-5</v>
      </c>
      <c r="Q146" s="301">
        <f t="shared" si="53"/>
        <v>0.5</v>
      </c>
      <c r="R146" s="173">
        <f t="shared" si="54"/>
        <v>0.60550399305822988</v>
      </c>
      <c r="S146" s="801">
        <f t="shared" si="55"/>
        <v>0</v>
      </c>
      <c r="T146" s="172">
        <f t="shared" si="56"/>
        <v>6</v>
      </c>
      <c r="U146" s="247">
        <f t="shared" si="57"/>
        <v>0.60550399305822988</v>
      </c>
      <c r="V146" s="378">
        <f t="shared" si="58"/>
        <v>235.41873970636649</v>
      </c>
      <c r="W146" s="397">
        <f t="shared" si="59"/>
        <v>174.75873618708815</v>
      </c>
      <c r="X146" s="153">
        <f t="shared" si="60"/>
        <v>45058</v>
      </c>
      <c r="Y146" s="380">
        <f t="shared" si="61"/>
        <v>174.75873618708815</v>
      </c>
      <c r="Z146" s="380">
        <f t="shared" si="62"/>
        <v>176.28206590312033</v>
      </c>
      <c r="AA146" s="381">
        <f t="shared" si="63"/>
        <v>182.82735304010748</v>
      </c>
      <c r="AB146" s="193">
        <f t="shared" si="64"/>
        <v>45058</v>
      </c>
      <c r="AC146" s="420">
        <f>IF(OR(t&lt;Tnet,NoTnet),'2022'!Resal_s+('2022'!Salim-'2022'!Resal_s)*(1-EXP(('2022'!Tnet_s-t)/'2022'!Tau_j)),Resal_s+(Salim-Resal_s)*(1-EXP((Tnet_s-t)/Tau_j)))*Salcycl</f>
        <v>3.5800371378517451E-2</v>
      </c>
      <c r="AD146" s="227">
        <f>(INDEX(Models!$BJ146:$BT146,,AH146)*(1-AF146)+INDEX(Models!$BJ146:$BT146,,AH146+1)*AF146-ERP_i)*AE146*Ramure*Pc/MaxiM</f>
        <v>4.9778824466922336E-5</v>
      </c>
      <c r="AE146" s="301">
        <f t="shared" si="65"/>
        <v>0.5</v>
      </c>
      <c r="AF146" s="173">
        <f t="shared" si="66"/>
        <v>0.60550399305822988</v>
      </c>
      <c r="AG146" s="172">
        <f t="shared" si="67"/>
        <v>0</v>
      </c>
      <c r="AH146" s="172">
        <f t="shared" si="68"/>
        <v>6</v>
      </c>
      <c r="AI146" s="221">
        <f t="shared" si="69"/>
        <v>0.60550399305822988</v>
      </c>
      <c r="AJ146" s="261" t="b">
        <f t="shared" si="70"/>
        <v>0</v>
      </c>
      <c r="AK146" s="261" t="b">
        <f t="shared" si="71"/>
        <v>0</v>
      </c>
      <c r="AL146" s="261"/>
      <c r="AM146" s="261"/>
      <c r="AN146" s="75"/>
    </row>
    <row r="147" spans="1:40" s="6" customFormat="1" ht="11.25" customHeight="1" x14ac:dyDescent="0.2">
      <c r="A147" s="56">
        <f t="shared" si="72"/>
        <v>45059</v>
      </c>
      <c r="B147" s="406">
        <f>'2022'!Wh/'2022'!Env_an*'2023'!Env_an</f>
        <v>166.06005824218946</v>
      </c>
      <c r="C147" s="385"/>
      <c r="D147" s="388">
        <f t="shared" si="50"/>
        <v>167.50985675173482</v>
      </c>
      <c r="E147" s="380">
        <f t="shared" si="73"/>
        <v>173.74112956279188</v>
      </c>
      <c r="F147" s="380">
        <f t="shared" si="51"/>
        <v>173.74613701863129</v>
      </c>
      <c r="G147" s="110">
        <f t="shared" si="74"/>
        <v>0.70440805954375352</v>
      </c>
      <c r="H147" s="409" t="b">
        <f>Wh_hp&gt;='2022'!Maxi_hp</f>
        <v>0</v>
      </c>
      <c r="I147" s="385">
        <f>IF(H147,Wh_hp,'2022'!Maxi_hp)</f>
        <v>173.74909777889465</v>
      </c>
      <c r="J147" s="85">
        <f>IF(H147,An,'2022'!An_max)</f>
        <v>2022</v>
      </c>
      <c r="K147" s="193">
        <f t="shared" si="52"/>
        <v>45059</v>
      </c>
      <c r="L147" s="143">
        <f>IF(t&lt;Tvie,1-EXP((T0-t)*PertePVj)+'2022'!Pspv,1-EXP((T0-t)*PertePVj)+Pspv)</f>
        <v>8.6550041750325102E-3</v>
      </c>
      <c r="M147" s="835"/>
      <c r="N147" s="835"/>
      <c r="O147" s="48">
        <f>IF(t&lt;Tnet,'2022'!Resal+('2022'!Salim-'2022'!Resal)*(1-EXP(('2022'!Tnet-t)/('2022'!Tau_j))),Resal+(Salim-Resal)*(1-EXP((Tnet-t)/(Tau_j))))*Salcycl</f>
        <v>3.586527166444501E-2</v>
      </c>
      <c r="P147" s="165">
        <f>(INDEX(Models!$BJ147:$BT147,,T147)*(1-R147)+INDEX(Models!$BJ147:$BT147,,T147+1)*R147-ERP_i)*Q147*Ramure*Pc/MaxiM</f>
        <v>4.9884344957359863E-5</v>
      </c>
      <c r="Q147" s="301">
        <f t="shared" si="53"/>
        <v>0.5</v>
      </c>
      <c r="R147" s="173">
        <f t="shared" si="54"/>
        <v>0.60922209618368195</v>
      </c>
      <c r="S147" s="801">
        <f t="shared" si="55"/>
        <v>0</v>
      </c>
      <c r="T147" s="172">
        <f t="shared" si="56"/>
        <v>6</v>
      </c>
      <c r="U147" s="247">
        <f t="shared" si="57"/>
        <v>0.60922209618368195</v>
      </c>
      <c r="V147" s="378">
        <f t="shared" si="58"/>
        <v>235.73915436270599</v>
      </c>
      <c r="W147" s="397">
        <f t="shared" si="59"/>
        <v>166.06005824218946</v>
      </c>
      <c r="X147" s="153">
        <f t="shared" si="60"/>
        <v>45059</v>
      </c>
      <c r="Y147" s="380">
        <f t="shared" si="61"/>
        <v>166.06005824218946</v>
      </c>
      <c r="Z147" s="380">
        <f t="shared" si="62"/>
        <v>167.50985675173482</v>
      </c>
      <c r="AA147" s="381">
        <f t="shared" si="63"/>
        <v>173.74112956279188</v>
      </c>
      <c r="AB147" s="193">
        <f t="shared" si="64"/>
        <v>45059</v>
      </c>
      <c r="AC147" s="420">
        <f>IF(OR(t&lt;Tnet,NoTnet),'2022'!Resal_s+('2022'!Salim-'2022'!Resal_s)*(1-EXP(('2022'!Tnet_s-t)/'2022'!Tau_j)),Resal_s+(Salim-Resal_s)*(1-EXP((Tnet_s-t)/Tau_j)))*Salcycl</f>
        <v>3.586527166444501E-2</v>
      </c>
      <c r="AD147" s="227">
        <f>(INDEX(Models!$BJ147:$BT147,,AH147)*(1-AF147)+INDEX(Models!$BJ147:$BT147,,AH147+1)*AF147-ERP_i)*AE147*Ramure*Pc/MaxiM</f>
        <v>4.9884344957359863E-5</v>
      </c>
      <c r="AE147" s="301">
        <f t="shared" si="65"/>
        <v>0.5</v>
      </c>
      <c r="AF147" s="173">
        <f t="shared" si="66"/>
        <v>0.60922209618368195</v>
      </c>
      <c r="AG147" s="172">
        <f t="shared" si="67"/>
        <v>0</v>
      </c>
      <c r="AH147" s="172">
        <f t="shared" si="68"/>
        <v>6</v>
      </c>
      <c r="AI147" s="221">
        <f t="shared" si="69"/>
        <v>0.60922209618368195</v>
      </c>
      <c r="AJ147" s="261" t="b">
        <f t="shared" si="70"/>
        <v>0</v>
      </c>
      <c r="AK147" s="261" t="b">
        <f t="shared" si="71"/>
        <v>0</v>
      </c>
      <c r="AL147" s="261"/>
      <c r="AM147" s="261"/>
      <c r="AN147" s="75"/>
    </row>
    <row r="148" spans="1:40" s="6" customFormat="1" ht="11.25" customHeight="1" x14ac:dyDescent="0.2">
      <c r="A148" s="56">
        <f t="shared" si="72"/>
        <v>45060</v>
      </c>
      <c r="B148" s="406">
        <f>'2022'!Wh/'2022'!Env_an*'2023'!Env_an</f>
        <v>204.88603229805648</v>
      </c>
      <c r="C148" s="385"/>
      <c r="D148" s="388">
        <f t="shared" si="50"/>
        <v>206.67763282920052</v>
      </c>
      <c r="E148" s="380">
        <f t="shared" si="73"/>
        <v>214.38042801641288</v>
      </c>
      <c r="F148" s="380">
        <f t="shared" si="51"/>
        <v>214.3891181801817</v>
      </c>
      <c r="G148" s="110">
        <f t="shared" si="74"/>
        <v>0.86797213838130238</v>
      </c>
      <c r="H148" s="409" t="b">
        <f>Wh_hp&gt;='2022'!Maxi_hp</f>
        <v>0</v>
      </c>
      <c r="I148" s="385">
        <f>IF(H148,Wh_hp,'2022'!Maxi_hp)</f>
        <v>214.39074224471946</v>
      </c>
      <c r="J148" s="85">
        <f>IF(H148,An,'2022'!An_max)</f>
        <v>2022</v>
      </c>
      <c r="K148" s="193">
        <f t="shared" si="52"/>
        <v>45060</v>
      </c>
      <c r="L148" s="143">
        <f>IF(t&lt;Tvie,1-EXP((T0-t)*PertePVj)+'2022'!Pspv,1-EXP((T0-t)*PertePVj)+Pspv)</f>
        <v>8.668574855531741E-3</v>
      </c>
      <c r="M148" s="835"/>
      <c r="N148" s="835"/>
      <c r="O148" s="48">
        <f>IF(t&lt;Tnet,'2022'!Resal+('2022'!Salim-'2022'!Resal)*(1-EXP(('2022'!Tnet-t)/('2022'!Tau_j))),Resal+(Salim-Resal)*(1-EXP((Tnet-t)/(Tau_j))))*Salcycl</f>
        <v>3.593049635399849E-2</v>
      </c>
      <c r="P148" s="165">
        <f>(INDEX(Models!$BJ148:$BT148,,T148)*(1-R148)+INDEX(Models!$BJ148:$BT148,,T148+1)*R148-ERP_i)*Q148*Ramure*Pc/MaxiM</f>
        <v>4.9956266935969118E-5</v>
      </c>
      <c r="Q148" s="301">
        <f t="shared" si="53"/>
        <v>0.5</v>
      </c>
      <c r="R148" s="173">
        <f t="shared" si="54"/>
        <v>0.61302038774928436</v>
      </c>
      <c r="S148" s="801">
        <f t="shared" si="55"/>
        <v>0</v>
      </c>
      <c r="T148" s="172">
        <f t="shared" si="56"/>
        <v>6</v>
      </c>
      <c r="U148" s="247">
        <f t="shared" si="57"/>
        <v>0.61302038774928436</v>
      </c>
      <c r="V148" s="378">
        <f t="shared" si="58"/>
        <v>236.04916883755561</v>
      </c>
      <c r="W148" s="397">
        <f t="shared" si="59"/>
        <v>204.88603229805648</v>
      </c>
      <c r="X148" s="153">
        <f t="shared" si="60"/>
        <v>45060</v>
      </c>
      <c r="Y148" s="380">
        <f t="shared" si="61"/>
        <v>204.88603229805648</v>
      </c>
      <c r="Z148" s="380">
        <f t="shared" si="62"/>
        <v>206.67763282920052</v>
      </c>
      <c r="AA148" s="381">
        <f t="shared" si="63"/>
        <v>214.38042801641288</v>
      </c>
      <c r="AB148" s="193">
        <f t="shared" si="64"/>
        <v>45060</v>
      </c>
      <c r="AC148" s="420">
        <f>IF(OR(t&lt;Tnet,NoTnet),'2022'!Resal_s+('2022'!Salim-'2022'!Resal_s)*(1-EXP(('2022'!Tnet_s-t)/'2022'!Tau_j)),Resal_s+(Salim-Resal_s)*(1-EXP((Tnet_s-t)/Tau_j)))*Salcycl</f>
        <v>3.593049635399849E-2</v>
      </c>
      <c r="AD148" s="227">
        <f>(INDEX(Models!$BJ148:$BT148,,AH148)*(1-AF148)+INDEX(Models!$BJ148:$BT148,,AH148+1)*AF148-ERP_i)*AE148*Ramure*Pc/MaxiM</f>
        <v>4.9956266935969118E-5</v>
      </c>
      <c r="AE148" s="301">
        <f t="shared" si="65"/>
        <v>0.5</v>
      </c>
      <c r="AF148" s="173">
        <f t="shared" si="66"/>
        <v>0.61302038774928436</v>
      </c>
      <c r="AG148" s="172">
        <f t="shared" si="67"/>
        <v>0</v>
      </c>
      <c r="AH148" s="172">
        <f t="shared" si="68"/>
        <v>6</v>
      </c>
      <c r="AI148" s="221">
        <f t="shared" si="69"/>
        <v>0.61302038774928436</v>
      </c>
      <c r="AJ148" s="261" t="b">
        <f t="shared" si="70"/>
        <v>0</v>
      </c>
      <c r="AK148" s="261" t="b">
        <f t="shared" si="71"/>
        <v>0</v>
      </c>
      <c r="AL148" s="261"/>
      <c r="AM148" s="261"/>
      <c r="AN148" s="75"/>
    </row>
    <row r="149" spans="1:40" s="6" customFormat="1" ht="11.25" customHeight="1" x14ac:dyDescent="0.2">
      <c r="A149" s="56">
        <f t="shared" si="72"/>
        <v>45061</v>
      </c>
      <c r="B149" s="406">
        <f>'2022'!Wh/'2022'!Env_an*'2023'!Env_an</f>
        <v>215.57666704522012</v>
      </c>
      <c r="C149" s="385"/>
      <c r="D149" s="388">
        <f t="shared" si="50"/>
        <v>217.46472741721098</v>
      </c>
      <c r="E149" s="380">
        <f t="shared" si="73"/>
        <v>225.58488664441251</v>
      </c>
      <c r="F149" s="380">
        <f t="shared" si="51"/>
        <v>225.5947489144751</v>
      </c>
      <c r="G149" s="110">
        <f t="shared" si="74"/>
        <v>0.91211408502808644</v>
      </c>
      <c r="H149" s="409" t="b">
        <f>Wh_hp&gt;='2022'!Maxi_hp</f>
        <v>0</v>
      </c>
      <c r="I149" s="385">
        <f>IF(H149,Wh_hp,'2022'!Maxi_hp)</f>
        <v>225.59588021543425</v>
      </c>
      <c r="J149" s="85">
        <f>IF(H149,An,'2022'!An_max)</f>
        <v>2022</v>
      </c>
      <c r="K149" s="193">
        <f t="shared" si="52"/>
        <v>45061</v>
      </c>
      <c r="L149" s="143">
        <f>IF(t&lt;Tvie,1-EXP((T0-t)*PertePVj)+'2022'!Pspv,1-EXP((T0-t)*PertePVj)+Pspv)</f>
        <v>8.6821453502597956E-3</v>
      </c>
      <c r="M149" s="835"/>
      <c r="N149" s="835"/>
      <c r="O149" s="48">
        <f>IF(t&lt;Tnet,'2022'!Resal+('2022'!Salim-'2022'!Resal)*(1-EXP(('2022'!Tnet-t)/('2022'!Tau_j))),Resal+(Salim-Resal)*(1-EXP((Tnet-t)/(Tau_j))))*Salcycl</f>
        <v>3.5996025035140142E-2</v>
      </c>
      <c r="P149" s="165">
        <f>(INDEX(Models!$BJ149:$BT149,,T149)*(1-R149)+INDEX(Models!$BJ149:$BT149,,T149+1)*R149-ERP_i)*Q149*Ramure*Pc/MaxiM</f>
        <v>4.9993035764873899E-5</v>
      </c>
      <c r="Q149" s="301">
        <f t="shared" si="53"/>
        <v>0.5</v>
      </c>
      <c r="R149" s="173">
        <f t="shared" si="54"/>
        <v>0.61689817946432401</v>
      </c>
      <c r="S149" s="801">
        <f t="shared" si="55"/>
        <v>0</v>
      </c>
      <c r="T149" s="172">
        <f t="shared" si="56"/>
        <v>6</v>
      </c>
      <c r="U149" s="247">
        <f t="shared" si="57"/>
        <v>0.61689817946432401</v>
      </c>
      <c r="V149" s="378">
        <f t="shared" si="58"/>
        <v>236.34687535764738</v>
      </c>
      <c r="W149" s="397">
        <f t="shared" si="59"/>
        <v>215.57666704522012</v>
      </c>
      <c r="X149" s="153">
        <f t="shared" si="60"/>
        <v>45061</v>
      </c>
      <c r="Y149" s="380">
        <f t="shared" si="61"/>
        <v>215.57666704522012</v>
      </c>
      <c r="Z149" s="380">
        <f t="shared" si="62"/>
        <v>217.46472741721098</v>
      </c>
      <c r="AA149" s="381">
        <f t="shared" si="63"/>
        <v>225.58488664441251</v>
      </c>
      <c r="AB149" s="193">
        <f t="shared" si="64"/>
        <v>45061</v>
      </c>
      <c r="AC149" s="420">
        <f>IF(OR(t&lt;Tnet,NoTnet),'2022'!Resal_s+('2022'!Salim-'2022'!Resal_s)*(1-EXP(('2022'!Tnet_s-t)/'2022'!Tau_j)),Resal_s+(Salim-Resal_s)*(1-EXP((Tnet_s-t)/Tau_j)))*Salcycl</f>
        <v>3.5996025035140142E-2</v>
      </c>
      <c r="AD149" s="227">
        <f>(INDEX(Models!$BJ149:$BT149,,AH149)*(1-AF149)+INDEX(Models!$BJ149:$BT149,,AH149+1)*AF149-ERP_i)*AE149*Ramure*Pc/MaxiM</f>
        <v>4.9993035764873899E-5</v>
      </c>
      <c r="AE149" s="301">
        <f t="shared" si="65"/>
        <v>0.5</v>
      </c>
      <c r="AF149" s="173">
        <f t="shared" si="66"/>
        <v>0.61689817946432401</v>
      </c>
      <c r="AG149" s="172">
        <f t="shared" si="67"/>
        <v>0</v>
      </c>
      <c r="AH149" s="172">
        <f t="shared" si="68"/>
        <v>6</v>
      </c>
      <c r="AI149" s="221">
        <f t="shared" si="69"/>
        <v>0.61689817946432401</v>
      </c>
      <c r="AJ149" s="261" t="b">
        <f t="shared" si="70"/>
        <v>0</v>
      </c>
      <c r="AK149" s="261" t="b">
        <f t="shared" si="71"/>
        <v>0</v>
      </c>
      <c r="AL149" s="261"/>
      <c r="AM149" s="261"/>
      <c r="AN149" s="75"/>
    </row>
    <row r="150" spans="1:40" s="6" customFormat="1" ht="11.25" customHeight="1" x14ac:dyDescent="0.2">
      <c r="A150" s="56">
        <f t="shared" si="72"/>
        <v>45062</v>
      </c>
      <c r="B150" s="406">
        <f>'2022'!Wh/'2022'!Env_an*'2023'!Env_an</f>
        <v>208.47683357130859</v>
      </c>
      <c r="C150" s="385"/>
      <c r="D150" s="388">
        <f t="shared" si="50"/>
        <v>210.30559119387451</v>
      </c>
      <c r="E150" s="380">
        <f t="shared" si="73"/>
        <v>218.17332176520031</v>
      </c>
      <c r="F150" s="380">
        <f t="shared" si="51"/>
        <v>218.18237086290222</v>
      </c>
      <c r="G150" s="110">
        <f t="shared" si="74"/>
        <v>0.88101565400582416</v>
      </c>
      <c r="H150" s="409" t="b">
        <f>Wh_hp&gt;='2022'!Maxi_hp</f>
        <v>0</v>
      </c>
      <c r="I150" s="385">
        <f>IF(H150,Wh_hp,'2022'!Maxi_hp)</f>
        <v>218.18384203188552</v>
      </c>
      <c r="J150" s="85">
        <f>IF(H150,An,'2022'!An_max)</f>
        <v>2022</v>
      </c>
      <c r="K150" s="193">
        <f t="shared" si="52"/>
        <v>45062</v>
      </c>
      <c r="L150" s="143">
        <f>IF(t&lt;Tvie,1-EXP((T0-t)*PertePVj)+'2022'!Pspv,1-EXP((T0-t)*PertePVj)+Pspv)</f>
        <v>8.6957156592191165E-3</v>
      </c>
      <c r="M150" s="835"/>
      <c r="N150" s="835"/>
      <c r="O150" s="48">
        <f>IF(t&lt;Tnet,'2022'!Resal+('2022'!Salim-'2022'!Resal)*(1-EXP(('2022'!Tnet-t)/('2022'!Tau_j))),Resal+(Salim-Resal)*(1-EXP((Tnet-t)/(Tau_j))))*Salcycl</f>
        <v>3.6061836102001109E-2</v>
      </c>
      <c r="P150" s="165">
        <f>(INDEX(Models!$BJ150:$BT150,,T150)*(1-R150)+INDEX(Models!$BJ150:$BT150,,T150+1)*R150-ERP_i)*Q150*Ramure*Pc/MaxiM</f>
        <v>4.9967800618037481E-5</v>
      </c>
      <c r="Q150" s="301">
        <f t="shared" si="53"/>
        <v>0.5</v>
      </c>
      <c r="R150" s="173">
        <f t="shared" si="54"/>
        <v>0.62085461692545008</v>
      </c>
      <c r="S150" s="801">
        <f t="shared" si="55"/>
        <v>0</v>
      </c>
      <c r="T150" s="172">
        <f t="shared" si="56"/>
        <v>6</v>
      </c>
      <c r="U150" s="247">
        <f t="shared" si="57"/>
        <v>0.62085461692545008</v>
      </c>
      <c r="V150" s="378">
        <f t="shared" si="58"/>
        <v>236.63037311809228</v>
      </c>
      <c r="W150" s="397">
        <f t="shared" si="59"/>
        <v>208.47683357130859</v>
      </c>
      <c r="X150" s="153">
        <f t="shared" si="60"/>
        <v>45062</v>
      </c>
      <c r="Y150" s="380">
        <f t="shared" si="61"/>
        <v>208.47683357130859</v>
      </c>
      <c r="Z150" s="380">
        <f t="shared" si="62"/>
        <v>210.30559119387451</v>
      </c>
      <c r="AA150" s="381">
        <f t="shared" si="63"/>
        <v>218.17332176520031</v>
      </c>
      <c r="AB150" s="193">
        <f t="shared" si="64"/>
        <v>45062</v>
      </c>
      <c r="AC150" s="420">
        <f>IF(OR(t&lt;Tnet,NoTnet),'2022'!Resal_s+('2022'!Salim-'2022'!Resal_s)*(1-EXP(('2022'!Tnet_s-t)/'2022'!Tau_j)),Resal_s+(Salim-Resal_s)*(1-EXP((Tnet_s-t)/Tau_j)))*Salcycl</f>
        <v>3.6061836102001109E-2</v>
      </c>
      <c r="AD150" s="227">
        <f>(INDEX(Models!$BJ150:$BT150,,AH150)*(1-AF150)+INDEX(Models!$BJ150:$BT150,,AH150+1)*AF150-ERP_i)*AE150*Ramure*Pc/MaxiM</f>
        <v>4.9967800618037481E-5</v>
      </c>
      <c r="AE150" s="301">
        <f t="shared" si="65"/>
        <v>0.5</v>
      </c>
      <c r="AF150" s="173">
        <f t="shared" si="66"/>
        <v>0.62085461692545008</v>
      </c>
      <c r="AG150" s="172">
        <f t="shared" si="67"/>
        <v>0</v>
      </c>
      <c r="AH150" s="172">
        <f t="shared" si="68"/>
        <v>6</v>
      </c>
      <c r="AI150" s="221">
        <f t="shared" si="69"/>
        <v>0.62085461692545008</v>
      </c>
      <c r="AJ150" s="261" t="b">
        <f t="shared" si="70"/>
        <v>0</v>
      </c>
      <c r="AK150" s="261" t="b">
        <f t="shared" si="71"/>
        <v>0</v>
      </c>
      <c r="AL150" s="261"/>
      <c r="AM150" s="261"/>
      <c r="AN150" s="75"/>
    </row>
    <row r="151" spans="1:40" s="6" customFormat="1" ht="11.25" customHeight="1" x14ac:dyDescent="0.2">
      <c r="A151" s="56">
        <f t="shared" si="72"/>
        <v>45063</v>
      </c>
      <c r="B151" s="406">
        <f>'2022'!Wh/'2022'!Env_an*'2023'!Env_an</f>
        <v>227.27510728148002</v>
      </c>
      <c r="C151" s="385"/>
      <c r="D151" s="388">
        <f t="shared" si="50"/>
        <v>229.27190179609943</v>
      </c>
      <c r="E151" s="380">
        <f t="shared" si="73"/>
        <v>237.86548382307836</v>
      </c>
      <c r="F151" s="380">
        <f t="shared" si="51"/>
        <v>237.87666122914555</v>
      </c>
      <c r="G151" s="110">
        <f t="shared" si="74"/>
        <v>0.9593679379575929</v>
      </c>
      <c r="H151" s="409" t="b">
        <f>Wh_hp&gt;='2022'!Maxi_hp</f>
        <v>0</v>
      </c>
      <c r="I151" s="385">
        <f>IF(H151,Wh_hp,'2022'!Maxi_hp)</f>
        <v>237.87720454038168</v>
      </c>
      <c r="J151" s="85">
        <f>IF(H151,An,'2022'!An_max)</f>
        <v>2022</v>
      </c>
      <c r="K151" s="193">
        <f t="shared" si="52"/>
        <v>45063</v>
      </c>
      <c r="L151" s="143">
        <f>IF(t&lt;Tvie,1-EXP((T0-t)*PertePVj)+'2022'!Pspv,1-EXP((T0-t)*PertePVj)+Pspv)</f>
        <v>8.7092857824123682E-3</v>
      </c>
      <c r="M151" s="835"/>
      <c r="N151" s="835"/>
      <c r="O151" s="48">
        <f>IF(t&lt;Tnet,'2022'!Resal+('2022'!Salim-'2022'!Resal)*(1-EXP(('2022'!Tnet-t)/('2022'!Tau_j))),Resal+(Salim-Resal)*(1-EXP((Tnet-t)/(Tau_j))))*Salcycl</f>
        <v>3.612790678520951E-2</v>
      </c>
      <c r="P151" s="165">
        <f>(INDEX(Models!$BJ151:$BT151,,T151)*(1-R151)+INDEX(Models!$BJ151:$BT151,,T151+1)*R151-ERP_i)*Q151*Ramure*Pc/MaxiM</f>
        <v>4.9883576029932226E-5</v>
      </c>
      <c r="Q151" s="301">
        <f t="shared" si="53"/>
        <v>0.5</v>
      </c>
      <c r="R151" s="173">
        <f t="shared" si="54"/>
        <v>0.62488867528542391</v>
      </c>
      <c r="S151" s="801">
        <f t="shared" si="55"/>
        <v>0</v>
      </c>
      <c r="T151" s="172">
        <f t="shared" si="56"/>
        <v>6</v>
      </c>
      <c r="U151" s="247">
        <f t="shared" si="57"/>
        <v>0.62488867528542391</v>
      </c>
      <c r="V151" s="378">
        <f t="shared" si="58"/>
        <v>236.90019253405387</v>
      </c>
      <c r="W151" s="397">
        <f t="shared" si="59"/>
        <v>227.27510728148002</v>
      </c>
      <c r="X151" s="153">
        <f t="shared" si="60"/>
        <v>45063</v>
      </c>
      <c r="Y151" s="380">
        <f t="shared" si="61"/>
        <v>227.27510728148002</v>
      </c>
      <c r="Z151" s="380">
        <f t="shared" si="62"/>
        <v>229.27190179609943</v>
      </c>
      <c r="AA151" s="381">
        <f t="shared" si="63"/>
        <v>237.86548382307836</v>
      </c>
      <c r="AB151" s="193">
        <f t="shared" si="64"/>
        <v>45063</v>
      </c>
      <c r="AC151" s="420">
        <f>IF(OR(t&lt;Tnet,NoTnet),'2022'!Resal_s+('2022'!Salim-'2022'!Resal_s)*(1-EXP(('2022'!Tnet_s-t)/'2022'!Tau_j)),Resal_s+(Salim-Resal_s)*(1-EXP((Tnet_s-t)/Tau_j)))*Salcycl</f>
        <v>3.612790678520951E-2</v>
      </c>
      <c r="AD151" s="227">
        <f>(INDEX(Models!$BJ151:$BT151,,AH151)*(1-AF151)+INDEX(Models!$BJ151:$BT151,,AH151+1)*AF151-ERP_i)*AE151*Ramure*Pc/MaxiM</f>
        <v>4.9883576029932226E-5</v>
      </c>
      <c r="AE151" s="301">
        <f t="shared" si="65"/>
        <v>0.5</v>
      </c>
      <c r="AF151" s="173">
        <f t="shared" si="66"/>
        <v>0.62488867528542391</v>
      </c>
      <c r="AG151" s="172">
        <f t="shared" si="67"/>
        <v>0</v>
      </c>
      <c r="AH151" s="172">
        <f t="shared" si="68"/>
        <v>6</v>
      </c>
      <c r="AI151" s="221">
        <f t="shared" si="69"/>
        <v>0.62488867528542391</v>
      </c>
      <c r="AJ151" s="261" t="b">
        <f t="shared" si="70"/>
        <v>0</v>
      </c>
      <c r="AK151" s="261" t="b">
        <f t="shared" si="71"/>
        <v>0</v>
      </c>
      <c r="AL151" s="261"/>
      <c r="AM151" s="261"/>
      <c r="AN151" s="75"/>
    </row>
    <row r="152" spans="1:40" s="6" customFormat="1" ht="11.25" customHeight="1" x14ac:dyDescent="0.2">
      <c r="A152" s="56">
        <f t="shared" si="72"/>
        <v>45064</v>
      </c>
      <c r="B152" s="406">
        <f>'2022'!Wh/'2022'!Env_an*'2023'!Env_an</f>
        <v>218.28531643938476</v>
      </c>
      <c r="C152" s="385"/>
      <c r="D152" s="388">
        <f t="shared" si="50"/>
        <v>220.20614285210661</v>
      </c>
      <c r="E152" s="380">
        <f t="shared" si="73"/>
        <v>228.4756388325128</v>
      </c>
      <c r="F152" s="380">
        <f t="shared" si="51"/>
        <v>228.4857112354112</v>
      </c>
      <c r="G152" s="110">
        <f t="shared" si="74"/>
        <v>0.92042067441409536</v>
      </c>
      <c r="H152" s="409" t="b">
        <f>Wh_hp&gt;='2022'!Maxi_hp</f>
        <v>0</v>
      </c>
      <c r="I152" s="385">
        <f>IF(H152,Wh_hp,'2022'!Maxi_hp)</f>
        <v>228.48672372776667</v>
      </c>
      <c r="J152" s="85">
        <f>IF(H152,An,'2022'!An_max)</f>
        <v>2022</v>
      </c>
      <c r="K152" s="193">
        <f t="shared" si="52"/>
        <v>45064</v>
      </c>
      <c r="L152" s="143">
        <f>IF(t&lt;Tvie,1-EXP((T0-t)*PertePVj)+'2022'!Pspv,1-EXP((T0-t)*PertePVj)+Pspv)</f>
        <v>8.7228557198419931E-3</v>
      </c>
      <c r="M152" s="835"/>
      <c r="N152" s="835"/>
      <c r="O152" s="48">
        <f>IF(t&lt;Tnet,'2022'!Resal+('2022'!Salim-'2022'!Resal)*(1-EXP(('2022'!Tnet-t)/('2022'!Tau_j))),Resal+(Salim-Resal)*(1-EXP((Tnet-t)/(Tau_j))))*Salcycl</f>
        <v>3.6194213189040453E-2</v>
      </c>
      <c r="P152" s="165">
        <f>(INDEX(Models!$BJ152:$BT152,,T152)*(1-R152)+INDEX(Models!$BJ152:$BT152,,T152+1)*R152-ERP_i)*Q152*Ramure*Pc/MaxiM</f>
        <v>4.9737296928905659E-5</v>
      </c>
      <c r="Q152" s="301">
        <f t="shared" si="53"/>
        <v>0.5</v>
      </c>
      <c r="R152" s="173">
        <f t="shared" si="54"/>
        <v>0.62899915550938101</v>
      </c>
      <c r="S152" s="801">
        <f t="shared" si="55"/>
        <v>0</v>
      </c>
      <c r="T152" s="172">
        <f t="shared" si="56"/>
        <v>6</v>
      </c>
      <c r="U152" s="247">
        <f t="shared" si="57"/>
        <v>0.62899915550938101</v>
      </c>
      <c r="V152" s="378">
        <f t="shared" si="58"/>
        <v>237.15686562366528</v>
      </c>
      <c r="W152" s="397">
        <f t="shared" si="59"/>
        <v>218.28531643938476</v>
      </c>
      <c r="X152" s="153">
        <f t="shared" si="60"/>
        <v>45064</v>
      </c>
      <c r="Y152" s="380">
        <f t="shared" si="61"/>
        <v>218.28531643938476</v>
      </c>
      <c r="Z152" s="380">
        <f t="shared" si="62"/>
        <v>220.20614285210661</v>
      </c>
      <c r="AA152" s="381">
        <f t="shared" si="63"/>
        <v>228.4756388325128</v>
      </c>
      <c r="AB152" s="193">
        <f t="shared" si="64"/>
        <v>45064</v>
      </c>
      <c r="AC152" s="420">
        <f>IF(OR(t&lt;Tnet,NoTnet),'2022'!Resal_s+('2022'!Salim-'2022'!Resal_s)*(1-EXP(('2022'!Tnet_s-t)/'2022'!Tau_j)),Resal_s+(Salim-Resal_s)*(1-EXP((Tnet_s-t)/Tau_j)))*Salcycl</f>
        <v>3.6194213189040453E-2</v>
      </c>
      <c r="AD152" s="227">
        <f>(INDEX(Models!$BJ152:$BT152,,AH152)*(1-AF152)+INDEX(Models!$BJ152:$BT152,,AH152+1)*AF152-ERP_i)*AE152*Ramure*Pc/MaxiM</f>
        <v>4.9737296928905659E-5</v>
      </c>
      <c r="AE152" s="301">
        <f t="shared" si="65"/>
        <v>0.5</v>
      </c>
      <c r="AF152" s="173">
        <f t="shared" si="66"/>
        <v>0.62899915550938101</v>
      </c>
      <c r="AG152" s="172">
        <f t="shared" si="67"/>
        <v>0</v>
      </c>
      <c r="AH152" s="172">
        <f t="shared" si="68"/>
        <v>6</v>
      </c>
      <c r="AI152" s="221">
        <f t="shared" si="69"/>
        <v>0.62899915550938101</v>
      </c>
      <c r="AJ152" s="261" t="b">
        <f t="shared" si="70"/>
        <v>0</v>
      </c>
      <c r="AK152" s="261" t="b">
        <f t="shared" si="71"/>
        <v>0</v>
      </c>
      <c r="AL152" s="261"/>
      <c r="AM152" s="261"/>
      <c r="AN152" s="75"/>
    </row>
    <row r="153" spans="1:40" s="6" customFormat="1" ht="11.25" customHeight="1" x14ac:dyDescent="0.2">
      <c r="A153" s="56">
        <f t="shared" si="72"/>
        <v>45065</v>
      </c>
      <c r="B153" s="406">
        <f>'2022'!Wh/'2022'!Env_an*'2023'!Env_an</f>
        <v>222.82381495471108</v>
      </c>
      <c r="C153" s="385"/>
      <c r="D153" s="388">
        <f t="shared" si="50"/>
        <v>224.78765555437749</v>
      </c>
      <c r="E153" s="380">
        <f t="shared" si="73"/>
        <v>233.24530049774674</v>
      </c>
      <c r="F153" s="380">
        <f t="shared" si="51"/>
        <v>233.25583933640794</v>
      </c>
      <c r="G153" s="110">
        <f t="shared" si="74"/>
        <v>0.93859300380967936</v>
      </c>
      <c r="H153" s="409" t="b">
        <f>Wh_hp&gt;='2022'!Maxi_hp</f>
        <v>0</v>
      </c>
      <c r="I153" s="385">
        <f>IF(H153,Wh_hp,'2022'!Maxi_hp)</f>
        <v>233.25662834485334</v>
      </c>
      <c r="J153" s="85">
        <f>IF(H153,An,'2022'!An_max)</f>
        <v>2022</v>
      </c>
      <c r="K153" s="193">
        <f t="shared" si="52"/>
        <v>45065</v>
      </c>
      <c r="L153" s="143">
        <f>IF(t&lt;Tvie,1-EXP((T0-t)*PertePVj)+'2022'!Pspv,1-EXP((T0-t)*PertePVj)+Pspv)</f>
        <v>8.7364254715105449E-3</v>
      </c>
      <c r="M153" s="835"/>
      <c r="N153" s="835"/>
      <c r="O153" s="48">
        <f>IF(t&lt;Tnet,'2022'!Resal+('2022'!Salim-'2022'!Resal)*(1-EXP(('2022'!Tnet-t)/('2022'!Tau_j))),Resal+(Salim-Resal)*(1-EXP((Tnet-t)/(Tau_j))))*Salcycl</f>
        <v>3.6260730335490543E-2</v>
      </c>
      <c r="P153" s="165">
        <f>(INDEX(Models!$BJ153:$BT153,,T153)*(1-R153)+INDEX(Models!$BJ153:$BT153,,T153+1)*R153-ERP_i)*Q153*Ramure*Pc/MaxiM</f>
        <v>4.9525782017654725E-5</v>
      </c>
      <c r="Q153" s="301">
        <f t="shared" si="53"/>
        <v>0.5</v>
      </c>
      <c r="R153" s="173">
        <f t="shared" si="54"/>
        <v>0.63318468127667749</v>
      </c>
      <c r="S153" s="801">
        <f t="shared" si="55"/>
        <v>0</v>
      </c>
      <c r="T153" s="172">
        <f t="shared" si="56"/>
        <v>6</v>
      </c>
      <c r="U153" s="247">
        <f t="shared" si="57"/>
        <v>0.63318468127667749</v>
      </c>
      <c r="V153" s="378">
        <f t="shared" si="58"/>
        <v>237.40092456204573</v>
      </c>
      <c r="W153" s="397">
        <f t="shared" si="59"/>
        <v>222.82381495471108</v>
      </c>
      <c r="X153" s="153">
        <f t="shared" si="60"/>
        <v>45065</v>
      </c>
      <c r="Y153" s="380">
        <f t="shared" si="61"/>
        <v>222.82381495471108</v>
      </c>
      <c r="Z153" s="380">
        <f t="shared" si="62"/>
        <v>224.78765555437749</v>
      </c>
      <c r="AA153" s="381">
        <f t="shared" si="63"/>
        <v>233.24530049774674</v>
      </c>
      <c r="AB153" s="193">
        <f t="shared" si="64"/>
        <v>45065</v>
      </c>
      <c r="AC153" s="420">
        <f>IF(OR(t&lt;Tnet,NoTnet),'2022'!Resal_s+('2022'!Salim-'2022'!Resal_s)*(1-EXP(('2022'!Tnet_s-t)/'2022'!Tau_j)),Resal_s+(Salim-Resal_s)*(1-EXP((Tnet_s-t)/Tau_j)))*Salcycl</f>
        <v>3.6260730335490543E-2</v>
      </c>
      <c r="AD153" s="227">
        <f>(INDEX(Models!$BJ153:$BT153,,AH153)*(1-AF153)+INDEX(Models!$BJ153:$BT153,,AH153+1)*AF153-ERP_i)*AE153*Ramure*Pc/MaxiM</f>
        <v>4.9525782017654725E-5</v>
      </c>
      <c r="AE153" s="301">
        <f t="shared" si="65"/>
        <v>0.5</v>
      </c>
      <c r="AF153" s="173">
        <f t="shared" si="66"/>
        <v>0.63318468127667749</v>
      </c>
      <c r="AG153" s="172">
        <f t="shared" si="67"/>
        <v>0</v>
      </c>
      <c r="AH153" s="172">
        <f t="shared" si="68"/>
        <v>6</v>
      </c>
      <c r="AI153" s="221">
        <f t="shared" si="69"/>
        <v>0.63318468127667749</v>
      </c>
      <c r="AJ153" s="261" t="b">
        <f t="shared" si="70"/>
        <v>0</v>
      </c>
      <c r="AK153" s="261" t="b">
        <f t="shared" si="71"/>
        <v>0</v>
      </c>
      <c r="AL153" s="261"/>
      <c r="AM153" s="261"/>
      <c r="AN153" s="75"/>
    </row>
    <row r="154" spans="1:40" s="6" customFormat="1" ht="11.25" customHeight="1" x14ac:dyDescent="0.2">
      <c r="A154" s="56">
        <f t="shared" si="72"/>
        <v>45066</v>
      </c>
      <c r="B154" s="406">
        <f>'2022'!Wh/'2022'!Env_an*'2023'!Env_an</f>
        <v>199.85819853281268</v>
      </c>
      <c r="C154" s="385"/>
      <c r="D154" s="388">
        <f t="shared" si="50"/>
        <v>201.62239347515313</v>
      </c>
      <c r="E154" s="380">
        <f t="shared" si="73"/>
        <v>209.22292510478923</v>
      </c>
      <c r="F154" s="380">
        <f t="shared" si="51"/>
        <v>209.23088896917085</v>
      </c>
      <c r="G154" s="110">
        <f t="shared" si="74"/>
        <v>0.84102816564419336</v>
      </c>
      <c r="H154" s="409" t="b">
        <f>Wh_hp&gt;='2022'!Maxi_hp</f>
        <v>0</v>
      </c>
      <c r="I154" s="385">
        <f>IF(H154,Wh_hp,'2022'!Maxi_hp)</f>
        <v>209.23269880862148</v>
      </c>
      <c r="J154" s="85">
        <f>IF(H154,An,'2022'!An_max)</f>
        <v>2022</v>
      </c>
      <c r="K154" s="193">
        <f t="shared" si="52"/>
        <v>45066</v>
      </c>
      <c r="L154" s="143">
        <f>IF(t&lt;Tvie,1-EXP((T0-t)*PertePVj)+'2022'!Pspv,1-EXP((T0-t)*PertePVj)+Pspv)</f>
        <v>8.749995037420577E-3</v>
      </c>
      <c r="M154" s="835"/>
      <c r="N154" s="835"/>
      <c r="O154" s="48">
        <f>IF(t&lt;Tnet,'2022'!Resal+('2022'!Salim-'2022'!Resal)*(1-EXP(('2022'!Tnet-t)/('2022'!Tau_j))),Resal+(Salim-Resal)*(1-EXP((Tnet-t)/(Tau_j))))*Salcycl</f>
        <v>3.6327432215324286E-2</v>
      </c>
      <c r="P154" s="165">
        <f>(INDEX(Models!$BJ154:$BT154,,T154)*(1-R154)+INDEX(Models!$BJ154:$BT154,,T154+1)*R154-ERP_i)*Q154*Ramure*Pc/MaxiM</f>
        <v>4.9245740295670401E-5</v>
      </c>
      <c r="Q154" s="301">
        <f t="shared" si="53"/>
        <v>0.5</v>
      </c>
      <c r="R154" s="173">
        <f t="shared" si="54"/>
        <v>0.63744369658433819</v>
      </c>
      <c r="S154" s="801">
        <f t="shared" si="55"/>
        <v>0</v>
      </c>
      <c r="T154" s="172">
        <f t="shared" si="56"/>
        <v>6</v>
      </c>
      <c r="U154" s="247">
        <f t="shared" si="57"/>
        <v>0.63744369658433819</v>
      </c>
      <c r="V154" s="378">
        <f t="shared" si="58"/>
        <v>237.63290168225794</v>
      </c>
      <c r="W154" s="397">
        <f t="shared" si="59"/>
        <v>199.85819853281268</v>
      </c>
      <c r="X154" s="153">
        <f t="shared" si="60"/>
        <v>45066</v>
      </c>
      <c r="Y154" s="380">
        <f t="shared" si="61"/>
        <v>199.85819853281268</v>
      </c>
      <c r="Z154" s="380">
        <f t="shared" si="62"/>
        <v>201.62239347515313</v>
      </c>
      <c r="AA154" s="381">
        <f t="shared" si="63"/>
        <v>209.22292510478923</v>
      </c>
      <c r="AB154" s="193">
        <f t="shared" si="64"/>
        <v>45066</v>
      </c>
      <c r="AC154" s="420">
        <f>IF(OR(t&lt;Tnet,NoTnet),'2022'!Resal_s+('2022'!Salim-'2022'!Resal_s)*(1-EXP(('2022'!Tnet_s-t)/'2022'!Tau_j)),Resal_s+(Salim-Resal_s)*(1-EXP((Tnet_s-t)/Tau_j)))*Salcycl</f>
        <v>3.6327432215324286E-2</v>
      </c>
      <c r="AD154" s="227">
        <f>(INDEX(Models!$BJ154:$BT154,,AH154)*(1-AF154)+INDEX(Models!$BJ154:$BT154,,AH154+1)*AF154-ERP_i)*AE154*Ramure*Pc/MaxiM</f>
        <v>4.9245740295670401E-5</v>
      </c>
      <c r="AE154" s="301">
        <f t="shared" si="65"/>
        <v>0.5</v>
      </c>
      <c r="AF154" s="173">
        <f t="shared" si="66"/>
        <v>0.63744369658433819</v>
      </c>
      <c r="AG154" s="172">
        <f t="shared" si="67"/>
        <v>0</v>
      </c>
      <c r="AH154" s="172">
        <f t="shared" si="68"/>
        <v>6</v>
      </c>
      <c r="AI154" s="221">
        <f t="shared" si="69"/>
        <v>0.63744369658433819</v>
      </c>
      <c r="AJ154" s="261" t="b">
        <f t="shared" si="70"/>
        <v>0</v>
      </c>
      <c r="AK154" s="261" t="b">
        <f t="shared" si="71"/>
        <v>0</v>
      </c>
      <c r="AL154" s="261"/>
      <c r="AM154" s="261"/>
      <c r="AN154" s="75"/>
    </row>
    <row r="155" spans="1:40" s="6" customFormat="1" ht="11.25" x14ac:dyDescent="0.2">
      <c r="A155" s="56">
        <f t="shared" si="72"/>
        <v>45067</v>
      </c>
      <c r="B155" s="406">
        <f>'2022'!Wh/'2022'!Env_an*'2023'!Env_an</f>
        <v>207.0787109905832</v>
      </c>
      <c r="C155" s="385"/>
      <c r="D155" s="388">
        <f t="shared" si="50"/>
        <v>208.90950287648477</v>
      </c>
      <c r="E155" s="380">
        <f t="shared" si="73"/>
        <v>216.79977724158033</v>
      </c>
      <c r="F155" s="380">
        <f t="shared" si="51"/>
        <v>216.8084184602838</v>
      </c>
      <c r="G155" s="110">
        <f t="shared" si="74"/>
        <v>0.8706072770448734</v>
      </c>
      <c r="H155" s="409" t="b">
        <f>Wh_hp&gt;='2022'!Maxi_hp</f>
        <v>0</v>
      </c>
      <c r="I155" s="385">
        <f>IF(H155,Wh_hp,'2022'!Maxi_hp)</f>
        <v>216.80992389695143</v>
      </c>
      <c r="J155" s="85">
        <f>IF(H155,An,'2022'!An_max)</f>
        <v>2022</v>
      </c>
      <c r="K155" s="193">
        <f t="shared" si="52"/>
        <v>45067</v>
      </c>
      <c r="L155" s="143">
        <f>IF(t&lt;Tvie,1-EXP((T0-t)*PertePVj)+'2022'!Pspv,1-EXP((T0-t)*PertePVj)+Pspv)</f>
        <v>8.763564417574643E-3</v>
      </c>
      <c r="M155" s="835"/>
      <c r="N155" s="835"/>
      <c r="O155" s="48">
        <f>IF(t&lt;Tnet,'2022'!Resal+('2022'!Salim-'2022'!Resal)*(1-EXP(('2022'!Tnet-t)/('2022'!Tau_j))),Resal+(Salim-Resal)*(1-EXP((Tnet-t)/(Tau_j))))*Salcycl</f>
        <v>3.6394291846081638E-2</v>
      </c>
      <c r="P155" s="165">
        <f>(INDEX(Models!$BJ155:$BT155,,T155)*(1-R155)+INDEX(Models!$BJ155:$BT155,,T155+1)*R155-ERP_i)*Q155*Ramure*Pc/MaxiM</f>
        <v>4.8893778525565257E-5</v>
      </c>
      <c r="Q155" s="301">
        <f t="shared" si="53"/>
        <v>0.5</v>
      </c>
      <c r="R155" s="173">
        <f t="shared" si="54"/>
        <v>0.64177446410528094</v>
      </c>
      <c r="S155" s="801">
        <f t="shared" si="55"/>
        <v>0</v>
      </c>
      <c r="T155" s="172">
        <f t="shared" si="56"/>
        <v>6</v>
      </c>
      <c r="U155" s="247">
        <f t="shared" si="57"/>
        <v>0.64177446410528094</v>
      </c>
      <c r="V155" s="378">
        <f t="shared" si="58"/>
        <v>237.85332944279287</v>
      </c>
      <c r="W155" s="397">
        <f t="shared" si="59"/>
        <v>207.0787109905832</v>
      </c>
      <c r="X155" s="153">
        <f t="shared" si="60"/>
        <v>45067</v>
      </c>
      <c r="Y155" s="380">
        <f t="shared" si="61"/>
        <v>207.0787109905832</v>
      </c>
      <c r="Z155" s="380">
        <f t="shared" si="62"/>
        <v>208.90950287648477</v>
      </c>
      <c r="AA155" s="381">
        <f t="shared" si="63"/>
        <v>216.79977724158033</v>
      </c>
      <c r="AB155" s="193">
        <f t="shared" si="64"/>
        <v>45067</v>
      </c>
      <c r="AC155" s="420">
        <f>IF(OR(t&lt;Tnet,NoTnet),'2022'!Resal_s+('2022'!Salim-'2022'!Resal_s)*(1-EXP(('2022'!Tnet_s-t)/'2022'!Tau_j)),Resal_s+(Salim-Resal_s)*(1-EXP((Tnet_s-t)/Tau_j)))*Salcycl</f>
        <v>3.6394291846081638E-2</v>
      </c>
      <c r="AD155" s="227">
        <f>(INDEX(Models!$BJ155:$BT155,,AH155)*(1-AF155)+INDEX(Models!$BJ155:$BT155,,AH155+1)*AF155-ERP_i)*AE155*Ramure*Pc/MaxiM</f>
        <v>4.8893778525565257E-5</v>
      </c>
      <c r="AE155" s="301">
        <f t="shared" si="65"/>
        <v>0.5</v>
      </c>
      <c r="AF155" s="173">
        <f t="shared" si="66"/>
        <v>0.64177446410528094</v>
      </c>
      <c r="AG155" s="172">
        <f t="shared" si="67"/>
        <v>0</v>
      </c>
      <c r="AH155" s="172">
        <f t="shared" si="68"/>
        <v>6</v>
      </c>
      <c r="AI155" s="221">
        <f t="shared" si="69"/>
        <v>0.64177446410528094</v>
      </c>
      <c r="AJ155" s="261" t="b">
        <f t="shared" si="70"/>
        <v>0</v>
      </c>
      <c r="AK155" s="261" t="b">
        <f t="shared" si="71"/>
        <v>0</v>
      </c>
      <c r="AL155" s="261"/>
      <c r="AM155" s="261"/>
      <c r="AN155" s="75"/>
    </row>
    <row r="156" spans="1:40" s="18" customFormat="1" ht="11.25" customHeight="1" x14ac:dyDescent="0.2">
      <c r="A156" s="56">
        <f t="shared" si="72"/>
        <v>45068</v>
      </c>
      <c r="B156" s="406">
        <f>'2022'!Wh/'2022'!Env_an*'2023'!Env_an</f>
        <v>154.2175712701752</v>
      </c>
      <c r="C156" s="385"/>
      <c r="D156" s="388">
        <f t="shared" si="50"/>
        <v>155.58314532445937</v>
      </c>
      <c r="E156" s="380">
        <f t="shared" si="73"/>
        <v>161.47056917478275</v>
      </c>
      <c r="F156" s="380">
        <f t="shared" si="51"/>
        <v>161.47445859224848</v>
      </c>
      <c r="G156" s="110">
        <f t="shared" si="74"/>
        <v>0.64778642453203195</v>
      </c>
      <c r="H156" s="409" t="b">
        <f>Wh_hp&gt;='2022'!Maxi_hp</f>
        <v>0</v>
      </c>
      <c r="I156" s="385">
        <f>IF(H156,Wh_hp,'2022'!Maxi_hp)</f>
        <v>161.47746440788973</v>
      </c>
      <c r="J156" s="85">
        <f>IF(H156,An,'2022'!An_max)</f>
        <v>2022</v>
      </c>
      <c r="K156" s="193">
        <f t="shared" si="52"/>
        <v>45068</v>
      </c>
      <c r="L156" s="143">
        <f>IF(t&lt;Tvie,1-EXP((T0-t)*PertePVj)+'2022'!Pspv,1-EXP((T0-t)*PertePVj)+Pspv)</f>
        <v>8.7771336119754073E-3</v>
      </c>
      <c r="M156" s="835"/>
      <c r="N156" s="835"/>
      <c r="O156" s="48">
        <f>IF(t&lt;Tnet,'2022'!Resal+('2022'!Salim-'2022'!Resal)*(1-EXP(('2022'!Tnet-t)/('2022'!Tau_j))),Resal+(Salim-Resal)*(1-EXP((Tnet-t)/(Tau_j))))*Salcycl</f>
        <v>3.6461281336975924E-2</v>
      </c>
      <c r="P156" s="165">
        <f>(INDEX(Models!$BJ156:$BT156,,T156)*(1-R156)+INDEX(Models!$BJ156:$BT156,,T156+1)*R156-ERP_i)*Q156*Ramure*Pc/MaxiM</f>
        <v>4.847819108901777E-5</v>
      </c>
      <c r="Q156" s="301">
        <f t="shared" si="53"/>
        <v>0.5</v>
      </c>
      <c r="R156" s="173">
        <f t="shared" si="54"/>
        <v>0.6461750643508366</v>
      </c>
      <c r="S156" s="801">
        <f t="shared" si="55"/>
        <v>0</v>
      </c>
      <c r="T156" s="172">
        <f t="shared" si="56"/>
        <v>6</v>
      </c>
      <c r="U156" s="247">
        <f t="shared" si="57"/>
        <v>0.6461750643508366</v>
      </c>
      <c r="V156" s="378">
        <f t="shared" si="58"/>
        <v>238.06273761248792</v>
      </c>
      <c r="W156" s="397">
        <f t="shared" si="59"/>
        <v>154.2175712701752</v>
      </c>
      <c r="X156" s="153">
        <f t="shared" si="60"/>
        <v>45068</v>
      </c>
      <c r="Y156" s="380">
        <f t="shared" si="61"/>
        <v>154.2175712701752</v>
      </c>
      <c r="Z156" s="380">
        <f t="shared" si="62"/>
        <v>155.58314532445937</v>
      </c>
      <c r="AA156" s="381">
        <f t="shared" si="63"/>
        <v>161.47056917478275</v>
      </c>
      <c r="AB156" s="193">
        <f t="shared" si="64"/>
        <v>45068</v>
      </c>
      <c r="AC156" s="420">
        <f>IF(OR(t&lt;Tnet,NoTnet),'2022'!Resal_s+('2022'!Salim-'2022'!Resal_s)*(1-EXP(('2022'!Tnet_s-t)/'2022'!Tau_j)),Resal_s+(Salim-Resal_s)*(1-EXP((Tnet_s-t)/Tau_j)))*Salcycl</f>
        <v>3.6461281336975924E-2</v>
      </c>
      <c r="AD156" s="227">
        <f>(INDEX(Models!$BJ156:$BT156,,AH156)*(1-AF156)+INDEX(Models!$BJ156:$BT156,,AH156+1)*AF156-ERP_i)*AE156*Ramure*Pc/MaxiM</f>
        <v>4.847819108901777E-5</v>
      </c>
      <c r="AE156" s="301">
        <f t="shared" si="65"/>
        <v>0.5</v>
      </c>
      <c r="AF156" s="173">
        <f t="shared" si="66"/>
        <v>0.6461750643508366</v>
      </c>
      <c r="AG156" s="172">
        <f t="shared" si="67"/>
        <v>0</v>
      </c>
      <c r="AH156" s="172">
        <f t="shared" si="68"/>
        <v>6</v>
      </c>
      <c r="AI156" s="221">
        <f t="shared" si="69"/>
        <v>0.6461750643508366</v>
      </c>
      <c r="AJ156" s="261" t="b">
        <f t="shared" si="70"/>
        <v>0</v>
      </c>
      <c r="AK156" s="261" t="b">
        <f t="shared" si="71"/>
        <v>0</v>
      </c>
      <c r="AL156" s="261"/>
      <c r="AM156" s="261"/>
      <c r="AN156" s="261"/>
    </row>
    <row r="157" spans="1:40" s="18" customFormat="1" ht="11.25" customHeight="1" x14ac:dyDescent="0.2">
      <c r="A157" s="56">
        <f t="shared" si="72"/>
        <v>45069</v>
      </c>
      <c r="B157" s="406">
        <f>'2022'!Wh/'2022'!Env_an*'2023'!Env_an</f>
        <v>72.902307059501226</v>
      </c>
      <c r="C157" s="385"/>
      <c r="D157" s="388">
        <f t="shared" si="50"/>
        <v>73.548853155680845</v>
      </c>
      <c r="E157" s="380">
        <f t="shared" si="73"/>
        <v>76.337331598797533</v>
      </c>
      <c r="F157" s="380">
        <f t="shared" si="51"/>
        <v>76.337362900269426</v>
      </c>
      <c r="G157" s="110">
        <f t="shared" si="74"/>
        <v>0.30596126262916074</v>
      </c>
      <c r="H157" s="409" t="b">
        <f>Wh_hp&gt;='2022'!Maxi_hp</f>
        <v>0</v>
      </c>
      <c r="I157" s="385">
        <f>IF(H157,Wh_hp,'2022'!Maxi_hp)</f>
        <v>76.340118544005392</v>
      </c>
      <c r="J157" s="85">
        <f>IF(H157,An,'2022'!An_max)</f>
        <v>2022</v>
      </c>
      <c r="K157" s="193">
        <f t="shared" si="52"/>
        <v>45069</v>
      </c>
      <c r="L157" s="143">
        <f>IF(t&lt;Tvie,1-EXP((T0-t)*PertePVj)+'2022'!Pspv,1-EXP((T0-t)*PertePVj)+Pspv)</f>
        <v>8.7907026206252015E-3</v>
      </c>
      <c r="M157" s="835"/>
      <c r="N157" s="835"/>
      <c r="O157" s="48">
        <f>IF(t&lt;Tnet,'2022'!Resal+('2022'!Salim-'2022'!Resal)*(1-EXP(('2022'!Tnet-t)/('2022'!Tau_j))),Resal+(Salim-Resal)*(1-EXP((Tnet-t)/(Tau_j))))*Salcycl</f>
        <v>3.6528371960549644E-2</v>
      </c>
      <c r="P157" s="165">
        <f>(INDEX(Models!$BJ157:$BT157,,T157)*(1-R157)+INDEX(Models!$BJ157:$BT157,,T157+1)*R157-ERP_i)*Q157*Ramure*Pc/MaxiM</f>
        <v>4.8031610067264733E-5</v>
      </c>
      <c r="Q157" s="301">
        <f t="shared" si="53"/>
        <v>0.5</v>
      </c>
      <c r="R157" s="173">
        <f t="shared" si="54"/>
        <v>0.65064339568260898</v>
      </c>
      <c r="S157" s="801">
        <f t="shared" si="55"/>
        <v>0</v>
      </c>
      <c r="T157" s="172">
        <f t="shared" si="56"/>
        <v>6</v>
      </c>
      <c r="U157" s="247">
        <f t="shared" si="57"/>
        <v>0.65064339568260898</v>
      </c>
      <c r="V157" s="378">
        <f t="shared" si="58"/>
        <v>238.26165021487009</v>
      </c>
      <c r="W157" s="397">
        <f t="shared" si="59"/>
        <v>72.902307059501226</v>
      </c>
      <c r="X157" s="153">
        <f t="shared" si="60"/>
        <v>45069</v>
      </c>
      <c r="Y157" s="380">
        <f t="shared" si="61"/>
        <v>72.902307059501226</v>
      </c>
      <c r="Z157" s="380">
        <f t="shared" si="62"/>
        <v>73.548853155680845</v>
      </c>
      <c r="AA157" s="381">
        <f t="shared" si="63"/>
        <v>76.337331598797533</v>
      </c>
      <c r="AB157" s="193">
        <f t="shared" si="64"/>
        <v>45069</v>
      </c>
      <c r="AC157" s="420">
        <f>IF(OR(t&lt;Tnet,NoTnet),'2022'!Resal_s+('2022'!Salim-'2022'!Resal_s)*(1-EXP(('2022'!Tnet_s-t)/'2022'!Tau_j)),Resal_s+(Salim-Resal_s)*(1-EXP((Tnet_s-t)/Tau_j)))*Salcycl</f>
        <v>3.6528371960549644E-2</v>
      </c>
      <c r="AD157" s="227">
        <f>(INDEX(Models!$BJ157:$BT157,,AH157)*(1-AF157)+INDEX(Models!$BJ157:$BT157,,AH157+1)*AF157-ERP_i)*AE157*Ramure*Pc/MaxiM</f>
        <v>4.8031610067264733E-5</v>
      </c>
      <c r="AE157" s="301">
        <f t="shared" si="65"/>
        <v>0.5</v>
      </c>
      <c r="AF157" s="173">
        <f t="shared" si="66"/>
        <v>0.65064339568260898</v>
      </c>
      <c r="AG157" s="172">
        <f t="shared" si="67"/>
        <v>0</v>
      </c>
      <c r="AH157" s="172">
        <f t="shared" si="68"/>
        <v>6</v>
      </c>
      <c r="AI157" s="221">
        <f t="shared" si="69"/>
        <v>0.65064339568260898</v>
      </c>
      <c r="AJ157" s="261" t="b">
        <f t="shared" si="70"/>
        <v>0</v>
      </c>
      <c r="AK157" s="261" t="b">
        <f t="shared" si="71"/>
        <v>0</v>
      </c>
      <c r="AL157" s="261"/>
      <c r="AM157" s="261"/>
      <c r="AN157" s="261"/>
    </row>
    <row r="158" spans="1:40" s="6" customFormat="1" ht="11.25" customHeight="1" x14ac:dyDescent="0.2">
      <c r="A158" s="56">
        <f t="shared" si="72"/>
        <v>45070</v>
      </c>
      <c r="B158" s="406">
        <f>'2022'!Wh/'2022'!Env_an*'2023'!Env_an</f>
        <v>68.087303334023062</v>
      </c>
      <c r="C158" s="385"/>
      <c r="D158" s="388">
        <f t="shared" si="50"/>
        <v>68.692087115005961</v>
      </c>
      <c r="E158" s="380">
        <f t="shared" si="73"/>
        <v>71.301399937115306</v>
      </c>
      <c r="F158" s="380">
        <f t="shared" si="51"/>
        <v>71.301399937115306</v>
      </c>
      <c r="G158" s="110">
        <f t="shared" si="74"/>
        <v>0.28552692159263515</v>
      </c>
      <c r="H158" s="409" t="b">
        <f>Wh_hp&gt;='2022'!Maxi_hp</f>
        <v>0</v>
      </c>
      <c r="I158" s="385">
        <f>IF(H158,Wh_hp,'2022'!Maxi_hp)</f>
        <v>71.303952619231396</v>
      </c>
      <c r="J158" s="85">
        <f>IF(H158,An,'2022'!An_max)</f>
        <v>2022</v>
      </c>
      <c r="K158" s="193">
        <f t="shared" si="52"/>
        <v>45070</v>
      </c>
      <c r="L158" s="143">
        <f>IF(t&lt;Tvie,1-EXP((T0-t)*PertePVj)+'2022'!Pspv,1-EXP((T0-t)*PertePVj)+Pspv)</f>
        <v>8.80427144352669E-3</v>
      </c>
      <c r="M158" s="835"/>
      <c r="N158" s="835"/>
      <c r="O158" s="48">
        <f>IF(t&lt;Tnet,'2022'!Resal+('2022'!Salim-'2022'!Resal)*(1-EXP(('2022'!Tnet-t)/('2022'!Tau_j))),Resal+(Salim-Resal)*(1-EXP((Tnet-t)/(Tau_j))))*Salcycl</f>
        <v>3.6595534230893685E-2</v>
      </c>
      <c r="P158" s="165">
        <f>(INDEX(Models!$BJ158:$BT158,,T158)*(1-R158)+INDEX(Models!$BJ158:$BT158,,T158+1)*R158-ERP_i)*Q158*Ramure*Pc/MaxiM</f>
        <v>4.755207062865693E-5</v>
      </c>
      <c r="Q158" s="301">
        <f t="shared" si="53"/>
        <v>0.5</v>
      </c>
      <c r="R158" s="173">
        <f t="shared" si="54"/>
        <v>0.65517717521343843</v>
      </c>
      <c r="S158" s="801">
        <f t="shared" si="55"/>
        <v>0</v>
      </c>
      <c r="T158" s="172">
        <f t="shared" si="56"/>
        <v>6</v>
      </c>
      <c r="U158" s="247">
        <f t="shared" si="57"/>
        <v>0.65517717521343843</v>
      </c>
      <c r="V158" s="378">
        <f t="shared" si="58"/>
        <v>238.45059955117787</v>
      </c>
      <c r="W158" s="397">
        <f t="shared" si="59"/>
        <v>68.087303334023062</v>
      </c>
      <c r="X158" s="153">
        <f t="shared" si="60"/>
        <v>45070</v>
      </c>
      <c r="Y158" s="380">
        <f t="shared" si="61"/>
        <v>68.087303334023062</v>
      </c>
      <c r="Z158" s="380">
        <f t="shared" si="62"/>
        <v>68.692087115005961</v>
      </c>
      <c r="AA158" s="381">
        <f t="shared" si="63"/>
        <v>71.301399937115306</v>
      </c>
      <c r="AB158" s="193">
        <f t="shared" si="64"/>
        <v>45070</v>
      </c>
      <c r="AC158" s="420">
        <f>IF(OR(t&lt;Tnet,NoTnet),'2022'!Resal_s+('2022'!Salim-'2022'!Resal_s)*(1-EXP(('2022'!Tnet_s-t)/'2022'!Tau_j)),Resal_s+(Salim-Resal_s)*(1-EXP((Tnet_s-t)/Tau_j)))*Salcycl</f>
        <v>3.6595534230893685E-2</v>
      </c>
      <c r="AD158" s="227">
        <f>(INDEX(Models!$BJ158:$BT158,,AH158)*(1-AF158)+INDEX(Models!$BJ158:$BT158,,AH158+1)*AF158-ERP_i)*AE158*Ramure*Pc/MaxiM</f>
        <v>4.755207062865693E-5</v>
      </c>
      <c r="AE158" s="301">
        <f t="shared" si="65"/>
        <v>0.5</v>
      </c>
      <c r="AF158" s="173">
        <f t="shared" si="66"/>
        <v>0.65517717521343843</v>
      </c>
      <c r="AG158" s="172">
        <f t="shared" si="67"/>
        <v>0</v>
      </c>
      <c r="AH158" s="172">
        <f t="shared" si="68"/>
        <v>6</v>
      </c>
      <c r="AI158" s="221">
        <f t="shared" si="69"/>
        <v>0.65517717521343843</v>
      </c>
      <c r="AJ158" s="261" t="b">
        <f t="shared" si="70"/>
        <v>0</v>
      </c>
      <c r="AK158" s="261" t="b">
        <f t="shared" si="71"/>
        <v>0</v>
      </c>
      <c r="AL158" s="261"/>
      <c r="AM158" s="261"/>
      <c r="AN158" s="75"/>
    </row>
    <row r="159" spans="1:40" s="6" customFormat="1" ht="11.25" customHeight="1" x14ac:dyDescent="0.2">
      <c r="A159" s="56">
        <f t="shared" si="72"/>
        <v>45071</v>
      </c>
      <c r="B159" s="406">
        <f>'2022'!Wh/'2022'!Env_an*'2023'!Env_an</f>
        <v>168.95297772329829</v>
      </c>
      <c r="C159" s="385"/>
      <c r="D159" s="388">
        <f t="shared" si="50"/>
        <v>170.4560317520758</v>
      </c>
      <c r="E159" s="380">
        <f t="shared" si="73"/>
        <v>176.94325598502914</v>
      </c>
      <c r="F159" s="380">
        <f t="shared" si="51"/>
        <v>176.94810739775431</v>
      </c>
      <c r="G159" s="110">
        <f t="shared" si="74"/>
        <v>0.70799806897928297</v>
      </c>
      <c r="H159" s="409" t="b">
        <f>Wh_hp&gt;='2022'!Maxi_hp</f>
        <v>0</v>
      </c>
      <c r="I159" s="385">
        <f>IF(H159,Wh_hp,'2022'!Maxi_hp)</f>
        <v>176.95070353905541</v>
      </c>
      <c r="J159" s="85">
        <f>IF(H159,An,'2022'!An_max)</f>
        <v>2022</v>
      </c>
      <c r="K159" s="193">
        <f t="shared" si="52"/>
        <v>45071</v>
      </c>
      <c r="L159" s="143">
        <f>IF(t&lt;Tvie,1-EXP((T0-t)*PertePVj)+'2022'!Pspv,1-EXP((T0-t)*PertePVj)+Pspv)</f>
        <v>8.8178400806823154E-3</v>
      </c>
      <c r="M159" s="835"/>
      <c r="N159" s="835"/>
      <c r="O159" s="48">
        <f>IF(t&lt;Tnet,'2022'!Resal+('2022'!Salim-'2022'!Resal)*(1-EXP(('2022'!Tnet-t)/('2022'!Tau_j))),Resal+(Salim-Resal)*(1-EXP((Tnet-t)/(Tau_j))))*Salcycl</f>
        <v>3.666273798817285E-2</v>
      </c>
      <c r="P159" s="165">
        <f>(INDEX(Models!$BJ159:$BT159,,T159)*(1-R159)+INDEX(Models!$BJ159:$BT159,,T159+1)*R159-ERP_i)*Q159*Ramure*Pc/MaxiM</f>
        <v>4.7037848213606534E-5</v>
      </c>
      <c r="Q159" s="301">
        <f t="shared" si="53"/>
        <v>0.5</v>
      </c>
      <c r="R159" s="173">
        <f t="shared" si="54"/>
        <v>0.65977394063115558</v>
      </c>
      <c r="S159" s="801">
        <f t="shared" si="55"/>
        <v>0</v>
      </c>
      <c r="T159" s="172">
        <f t="shared" si="56"/>
        <v>6</v>
      </c>
      <c r="U159" s="247">
        <f t="shared" si="57"/>
        <v>0.65977394063115558</v>
      </c>
      <c r="V159" s="378">
        <f t="shared" si="58"/>
        <v>238.63011787662106</v>
      </c>
      <c r="W159" s="397">
        <f t="shared" si="59"/>
        <v>168.95297772329829</v>
      </c>
      <c r="X159" s="153">
        <f t="shared" si="60"/>
        <v>45071</v>
      </c>
      <c r="Y159" s="380">
        <f t="shared" si="61"/>
        <v>168.95297772329829</v>
      </c>
      <c r="Z159" s="380">
        <f t="shared" si="62"/>
        <v>170.4560317520758</v>
      </c>
      <c r="AA159" s="381">
        <f t="shared" si="63"/>
        <v>176.94325598502914</v>
      </c>
      <c r="AB159" s="193">
        <f t="shared" si="64"/>
        <v>45071</v>
      </c>
      <c r="AC159" s="420">
        <f>IF(OR(t&lt;Tnet,NoTnet),'2022'!Resal_s+('2022'!Salim-'2022'!Resal_s)*(1-EXP(('2022'!Tnet_s-t)/'2022'!Tau_j)),Resal_s+(Salim-Resal_s)*(1-EXP((Tnet_s-t)/Tau_j)))*Salcycl</f>
        <v>3.666273798817285E-2</v>
      </c>
      <c r="AD159" s="227">
        <f>(INDEX(Models!$BJ159:$BT159,,AH159)*(1-AF159)+INDEX(Models!$BJ159:$BT159,,AH159+1)*AF159-ERP_i)*AE159*Ramure*Pc/MaxiM</f>
        <v>4.7037848213606534E-5</v>
      </c>
      <c r="AE159" s="301">
        <f t="shared" si="65"/>
        <v>0.5</v>
      </c>
      <c r="AF159" s="173">
        <f t="shared" si="66"/>
        <v>0.65977394063115558</v>
      </c>
      <c r="AG159" s="172">
        <f t="shared" si="67"/>
        <v>0</v>
      </c>
      <c r="AH159" s="172">
        <f t="shared" si="68"/>
        <v>6</v>
      </c>
      <c r="AI159" s="221">
        <f t="shared" si="69"/>
        <v>0.65977394063115558</v>
      </c>
      <c r="AJ159" s="261" t="b">
        <f t="shared" si="70"/>
        <v>0</v>
      </c>
      <c r="AK159" s="261" t="b">
        <f t="shared" si="71"/>
        <v>0</v>
      </c>
      <c r="AL159" s="261"/>
      <c r="AM159" s="261"/>
      <c r="AN159" s="75"/>
    </row>
    <row r="160" spans="1:40" s="6" customFormat="1" ht="11.25" customHeight="1" x14ac:dyDescent="0.2">
      <c r="A160" s="56">
        <f t="shared" si="72"/>
        <v>45072</v>
      </c>
      <c r="B160" s="406">
        <f>'2022'!Wh/'2022'!Env_an*'2023'!Env_an</f>
        <v>108.65324181827016</v>
      </c>
      <c r="C160" s="385"/>
      <c r="D160" s="388">
        <f t="shared" si="50"/>
        <v>109.62135276840885</v>
      </c>
      <c r="E160" s="380">
        <f t="shared" si="73"/>
        <v>113.80126793278373</v>
      </c>
      <c r="F160" s="380">
        <f t="shared" si="51"/>
        <v>113.80243933474698</v>
      </c>
      <c r="G160" s="110">
        <f t="shared" si="74"/>
        <v>0.454978951693155</v>
      </c>
      <c r="H160" s="409" t="b">
        <f>Wh_hp&gt;='2022'!Maxi_hp</f>
        <v>0</v>
      </c>
      <c r="I160" s="385">
        <f>IF(H160,Wh_hp,'2022'!Maxi_hp)</f>
        <v>113.80549834136734</v>
      </c>
      <c r="J160" s="85">
        <f>IF(H160,An,'2022'!An_max)</f>
        <v>2022</v>
      </c>
      <c r="K160" s="193">
        <f t="shared" si="52"/>
        <v>45072</v>
      </c>
      <c r="L160" s="143">
        <f>IF(t&lt;Tvie,1-EXP((T0-t)*PertePVj)+'2022'!Pspv,1-EXP((T0-t)*PertePVj)+Pspv)</f>
        <v>8.8314085320947422E-3</v>
      </c>
      <c r="M160" s="835"/>
      <c r="N160" s="835"/>
      <c r="O160" s="48">
        <f>IF(t&lt;Tnet,'2022'!Resal+('2022'!Salim-'2022'!Resal)*(1-EXP(('2022'!Tnet-t)/('2022'!Tau_j))),Resal+(Salim-Resal)*(1-EXP((Tnet-t)/(Tau_j))))*Salcycl</f>
        <v>3.6729952489138525E-2</v>
      </c>
      <c r="P160" s="165">
        <f>(INDEX(Models!$BJ160:$BT160,,T160)*(1-R160)+INDEX(Models!$BJ160:$BT160,,T160+1)*R160-ERP_i)*Q160*Ramure*Pc/MaxiM</f>
        <v>4.6487217404852805E-5</v>
      </c>
      <c r="Q160" s="301">
        <f t="shared" si="53"/>
        <v>0.5</v>
      </c>
      <c r="R160" s="173">
        <f t="shared" si="54"/>
        <v>0.6644310529719879</v>
      </c>
      <c r="S160" s="801">
        <f t="shared" si="55"/>
        <v>0</v>
      </c>
      <c r="T160" s="172">
        <f t="shared" si="56"/>
        <v>6</v>
      </c>
      <c r="U160" s="247">
        <f t="shared" si="57"/>
        <v>0.6644310529719879</v>
      </c>
      <c r="V160" s="378">
        <f t="shared" si="58"/>
        <v>238.80073745466495</v>
      </c>
      <c r="W160" s="397">
        <f t="shared" si="59"/>
        <v>108.65324181827016</v>
      </c>
      <c r="X160" s="153">
        <f t="shared" si="60"/>
        <v>45072</v>
      </c>
      <c r="Y160" s="380">
        <f t="shared" si="61"/>
        <v>108.65324181827016</v>
      </c>
      <c r="Z160" s="380">
        <f t="shared" si="62"/>
        <v>109.62135276840885</v>
      </c>
      <c r="AA160" s="381">
        <f t="shared" si="63"/>
        <v>113.80126793278373</v>
      </c>
      <c r="AB160" s="193">
        <f t="shared" si="64"/>
        <v>45072</v>
      </c>
      <c r="AC160" s="420">
        <f>IF(OR(t&lt;Tnet,NoTnet),'2022'!Resal_s+('2022'!Salim-'2022'!Resal_s)*(1-EXP(('2022'!Tnet_s-t)/'2022'!Tau_j)),Resal_s+(Salim-Resal_s)*(1-EXP((Tnet_s-t)/Tau_j)))*Salcycl</f>
        <v>3.6729952489138525E-2</v>
      </c>
      <c r="AD160" s="227">
        <f>(INDEX(Models!$BJ160:$BT160,,AH160)*(1-AF160)+INDEX(Models!$BJ160:$BT160,,AH160+1)*AF160-ERP_i)*AE160*Ramure*Pc/MaxiM</f>
        <v>4.6487217404852805E-5</v>
      </c>
      <c r="AE160" s="301">
        <f t="shared" si="65"/>
        <v>0.5</v>
      </c>
      <c r="AF160" s="173">
        <f t="shared" si="66"/>
        <v>0.6644310529719879</v>
      </c>
      <c r="AG160" s="172">
        <f t="shared" si="67"/>
        <v>0</v>
      </c>
      <c r="AH160" s="172">
        <f t="shared" si="68"/>
        <v>6</v>
      </c>
      <c r="AI160" s="221">
        <f t="shared" si="69"/>
        <v>0.6644310529719879</v>
      </c>
      <c r="AJ160" s="261" t="b">
        <f t="shared" si="70"/>
        <v>0</v>
      </c>
      <c r="AK160" s="261" t="b">
        <f t="shared" si="71"/>
        <v>0</v>
      </c>
      <c r="AL160" s="261"/>
      <c r="AM160" s="261"/>
      <c r="AN160" s="75"/>
    </row>
    <row r="161" spans="1:40" s="6" customFormat="1" ht="11.25" customHeight="1" x14ac:dyDescent="0.2">
      <c r="A161" s="56">
        <f t="shared" si="72"/>
        <v>45073</v>
      </c>
      <c r="B161" s="406">
        <f>'2022'!Wh/'2022'!Env_an*'2023'!Env_an</f>
        <v>182.93211002176108</v>
      </c>
      <c r="C161" s="385"/>
      <c r="D161" s="388">
        <f t="shared" si="50"/>
        <v>184.56457944463844</v>
      </c>
      <c r="E161" s="380">
        <f t="shared" si="73"/>
        <v>191.61548242367297</v>
      </c>
      <c r="F161" s="380">
        <f t="shared" si="51"/>
        <v>191.62133149326053</v>
      </c>
      <c r="G161" s="110">
        <f t="shared" si="74"/>
        <v>0.76551309087997343</v>
      </c>
      <c r="H161" s="409" t="b">
        <f>Wh_hp&gt;='2022'!Maxi_hp</f>
        <v>0</v>
      </c>
      <c r="I161" s="385">
        <f>IF(H161,Wh_hp,'2022'!Maxi_hp)</f>
        <v>191.62350448293552</v>
      </c>
      <c r="J161" s="85">
        <f>IF(H161,An,'2022'!An_max)</f>
        <v>2022</v>
      </c>
      <c r="K161" s="193">
        <f t="shared" si="52"/>
        <v>45073</v>
      </c>
      <c r="L161" s="143">
        <f>IF(t&lt;Tvie,1-EXP((T0-t)*PertePVj)+'2022'!Pspv,1-EXP((T0-t)*PertePVj)+Pspv)</f>
        <v>8.8449767977665239E-3</v>
      </c>
      <c r="M161" s="835"/>
      <c r="N161" s="835"/>
      <c r="O161" s="48">
        <f>IF(t&lt;Tnet,'2022'!Resal+('2022'!Salim-'2022'!Resal)*(1-EXP(('2022'!Tnet-t)/('2022'!Tau_j))),Resal+(Salim-Resal)*(1-EXP((Tnet-t)/(Tau_j))))*Salcycl</f>
        <v>3.6797146503248536E-2</v>
      </c>
      <c r="P161" s="165">
        <f>(INDEX(Models!$BJ161:$BT161,,T161)*(1-R161)+INDEX(Models!$BJ161:$BT161,,T161+1)*R161-ERP_i)*Q161*Ramure*Pc/MaxiM</f>
        <v>4.5898458069029769E-5</v>
      </c>
      <c r="Q161" s="301">
        <f t="shared" si="53"/>
        <v>0.5</v>
      </c>
      <c r="R161" s="173">
        <f t="shared" si="54"/>
        <v>0.66914570036296372</v>
      </c>
      <c r="S161" s="801">
        <f t="shared" si="55"/>
        <v>0</v>
      </c>
      <c r="T161" s="172">
        <f t="shared" si="56"/>
        <v>6</v>
      </c>
      <c r="U161" s="247">
        <f t="shared" si="57"/>
        <v>0.66914570036296372</v>
      </c>
      <c r="V161" s="378">
        <f t="shared" si="58"/>
        <v>238.96299051232376</v>
      </c>
      <c r="W161" s="397">
        <f t="shared" si="59"/>
        <v>182.93211002176108</v>
      </c>
      <c r="X161" s="153">
        <f t="shared" si="60"/>
        <v>45073</v>
      </c>
      <c r="Y161" s="380">
        <f t="shared" si="61"/>
        <v>182.93211002176108</v>
      </c>
      <c r="Z161" s="380">
        <f t="shared" si="62"/>
        <v>184.56457944463844</v>
      </c>
      <c r="AA161" s="381">
        <f t="shared" si="63"/>
        <v>191.61548242367297</v>
      </c>
      <c r="AB161" s="193">
        <f t="shared" si="64"/>
        <v>45073</v>
      </c>
      <c r="AC161" s="420">
        <f>IF(OR(t&lt;Tnet,NoTnet),'2022'!Resal_s+('2022'!Salim-'2022'!Resal_s)*(1-EXP(('2022'!Tnet_s-t)/'2022'!Tau_j)),Resal_s+(Salim-Resal_s)*(1-EXP((Tnet_s-t)/Tau_j)))*Salcycl</f>
        <v>3.6797146503248536E-2</v>
      </c>
      <c r="AD161" s="227">
        <f>(INDEX(Models!$BJ161:$BT161,,AH161)*(1-AF161)+INDEX(Models!$BJ161:$BT161,,AH161+1)*AF161-ERP_i)*AE161*Ramure*Pc/MaxiM</f>
        <v>4.5898458069029769E-5</v>
      </c>
      <c r="AE161" s="301">
        <f t="shared" si="65"/>
        <v>0.5</v>
      </c>
      <c r="AF161" s="173">
        <f t="shared" si="66"/>
        <v>0.66914570036296372</v>
      </c>
      <c r="AG161" s="172">
        <f t="shared" si="67"/>
        <v>0</v>
      </c>
      <c r="AH161" s="172">
        <f t="shared" si="68"/>
        <v>6</v>
      </c>
      <c r="AI161" s="221">
        <f t="shared" si="69"/>
        <v>0.66914570036296372</v>
      </c>
      <c r="AJ161" s="261" t="b">
        <f t="shared" si="70"/>
        <v>0</v>
      </c>
      <c r="AK161" s="261" t="b">
        <f t="shared" si="71"/>
        <v>0</v>
      </c>
      <c r="AL161" s="261"/>
      <c r="AM161" s="261"/>
      <c r="AN161" s="75"/>
    </row>
    <row r="162" spans="1:40" s="6" customFormat="1" ht="11.25" customHeight="1" x14ac:dyDescent="0.2">
      <c r="A162" s="56">
        <f t="shared" si="72"/>
        <v>45074</v>
      </c>
      <c r="B162" s="406">
        <f>'2022'!Wh/'2022'!Env_an*'2023'!Env_an</f>
        <v>225.06713753611643</v>
      </c>
      <c r="C162" s="385"/>
      <c r="D162" s="388">
        <f t="shared" si="50"/>
        <v>227.0787246088347</v>
      </c>
      <c r="E162" s="380">
        <f t="shared" si="73"/>
        <v>235.77022622792441</v>
      </c>
      <c r="F162" s="380">
        <f t="shared" si="51"/>
        <v>235.78000398991631</v>
      </c>
      <c r="G162" s="110">
        <f t="shared" si="74"/>
        <v>0.94123754088910749</v>
      </c>
      <c r="H162" s="409" t="b">
        <f>Wh_hp&gt;='2022'!Maxi_hp</f>
        <v>0</v>
      </c>
      <c r="I162" s="385">
        <f>IF(H162,Wh_hp,'2022'!Maxi_hp)</f>
        <v>235.7806603297476</v>
      </c>
      <c r="J162" s="85">
        <f>IF(H162,An,'2022'!An_max)</f>
        <v>2022</v>
      </c>
      <c r="K162" s="193">
        <f t="shared" si="52"/>
        <v>45074</v>
      </c>
      <c r="L162" s="143">
        <f>IF(t&lt;Tvie,1-EXP((T0-t)*PertePVj)+'2022'!Pspv,1-EXP((T0-t)*PertePVj)+Pspv)</f>
        <v>8.858544877700103E-3</v>
      </c>
      <c r="M162" s="835"/>
      <c r="N162" s="835"/>
      <c r="O162" s="48">
        <f>IF(t&lt;Tnet,'2022'!Resal+('2022'!Salim-'2022'!Resal)*(1-EXP(('2022'!Tnet-t)/('2022'!Tau_j))),Resal+(Salim-Resal)*(1-EXP((Tnet-t)/(Tau_j))))*Salcycl</f>
        <v>3.6864288413955365E-2</v>
      </c>
      <c r="P162" s="165">
        <f>(INDEX(Models!$BJ162:$BT162,,T162)*(1-R162)+INDEX(Models!$BJ162:$BT162,,T162+1)*R162-ERP_i)*Q162*Ramure*Pc/MaxiM</f>
        <v>4.5269861769317076E-5</v>
      </c>
      <c r="Q162" s="301">
        <f t="shared" si="53"/>
        <v>0.5</v>
      </c>
      <c r="R162" s="173">
        <f t="shared" si="54"/>
        <v>0.67391490274450605</v>
      </c>
      <c r="S162" s="801">
        <f t="shared" si="55"/>
        <v>0</v>
      </c>
      <c r="T162" s="172">
        <f t="shared" si="56"/>
        <v>6</v>
      </c>
      <c r="U162" s="247">
        <f t="shared" si="57"/>
        <v>0.67391490274450605</v>
      </c>
      <c r="V162" s="378">
        <f t="shared" si="58"/>
        <v>239.11740922577465</v>
      </c>
      <c r="W162" s="397">
        <f t="shared" si="59"/>
        <v>225.06713753611643</v>
      </c>
      <c r="X162" s="153">
        <f t="shared" si="60"/>
        <v>45074</v>
      </c>
      <c r="Y162" s="380">
        <f t="shared" si="61"/>
        <v>225.06713753611643</v>
      </c>
      <c r="Z162" s="380">
        <f t="shared" si="62"/>
        <v>227.0787246088347</v>
      </c>
      <c r="AA162" s="381">
        <f t="shared" si="63"/>
        <v>235.77022622792441</v>
      </c>
      <c r="AB162" s="193">
        <f t="shared" si="64"/>
        <v>45074</v>
      </c>
      <c r="AC162" s="420">
        <f>IF(OR(t&lt;Tnet,NoTnet),'2022'!Resal_s+('2022'!Salim-'2022'!Resal_s)*(1-EXP(('2022'!Tnet_s-t)/'2022'!Tau_j)),Resal_s+(Salim-Resal_s)*(1-EXP((Tnet_s-t)/Tau_j)))*Salcycl</f>
        <v>3.6864288413955365E-2</v>
      </c>
      <c r="AD162" s="227">
        <f>(INDEX(Models!$BJ162:$BT162,,AH162)*(1-AF162)+INDEX(Models!$BJ162:$BT162,,AH162+1)*AF162-ERP_i)*AE162*Ramure*Pc/MaxiM</f>
        <v>4.5269861769317076E-5</v>
      </c>
      <c r="AE162" s="301">
        <f t="shared" si="65"/>
        <v>0.5</v>
      </c>
      <c r="AF162" s="173">
        <f t="shared" si="66"/>
        <v>0.67391490274450605</v>
      </c>
      <c r="AG162" s="172">
        <f t="shared" si="67"/>
        <v>0</v>
      </c>
      <c r="AH162" s="172">
        <f t="shared" si="68"/>
        <v>6</v>
      </c>
      <c r="AI162" s="221">
        <f t="shared" si="69"/>
        <v>0.67391490274450605</v>
      </c>
      <c r="AJ162" s="261" t="b">
        <f t="shared" si="70"/>
        <v>0</v>
      </c>
      <c r="AK162" s="261" t="b">
        <f t="shared" si="71"/>
        <v>0</v>
      </c>
      <c r="AL162" s="261"/>
      <c r="AM162" s="261"/>
      <c r="AN162" s="75"/>
    </row>
    <row r="163" spans="1:40" s="6" customFormat="1" ht="11.25" x14ac:dyDescent="0.2">
      <c r="A163" s="56">
        <f t="shared" si="72"/>
        <v>45075</v>
      </c>
      <c r="B163" s="406">
        <f>'2022'!Wh/'2022'!Env_an*'2023'!Env_an</f>
        <v>245.17311253017388</v>
      </c>
      <c r="C163" s="385"/>
      <c r="D163" s="388">
        <f t="shared" si="50"/>
        <v>247.36778743644493</v>
      </c>
      <c r="E163" s="380">
        <f t="shared" si="73"/>
        <v>256.85374193461888</v>
      </c>
      <c r="F163" s="380">
        <f t="shared" si="51"/>
        <v>256.86519806358928</v>
      </c>
      <c r="G163" s="110">
        <f t="shared" si="74"/>
        <v>1.024695533351327</v>
      </c>
      <c r="H163" s="409" t="b">
        <f>Wh_hp&gt;='2022'!Maxi_hp</f>
        <v>1</v>
      </c>
      <c r="I163" s="385">
        <f>IF(H163,Wh_hp,'2022'!Maxi_hp)</f>
        <v>256.86519806358928</v>
      </c>
      <c r="J163" s="85">
        <f>IF(H163,An,'2022'!An_max)</f>
        <v>2023</v>
      </c>
      <c r="K163" s="193">
        <f t="shared" si="52"/>
        <v>45075</v>
      </c>
      <c r="L163" s="143">
        <f>IF(t&lt;Tvie,1-EXP((T0-t)*PertePVj)+'2022'!Pspv,1-EXP((T0-t)*PertePVj)+Pspv)</f>
        <v>8.872112771898033E-3</v>
      </c>
      <c r="M163" s="835"/>
      <c r="N163" s="835"/>
      <c r="O163" s="48">
        <f>IF(t&lt;Tnet,'2022'!Resal+('2022'!Salim-'2022'!Resal)*(1-EXP(('2022'!Tnet-t)/('2022'!Tau_j))),Resal+(Salim-Resal)*(1-EXP((Tnet-t)/(Tau_j))))*Salcycl</f>
        <v>3.6931346324666603E-2</v>
      </c>
      <c r="P163" s="165">
        <f>(INDEX(Models!$BJ163:$BT163,,T163)*(1-R163)+INDEX(Models!$BJ163:$BT163,,T163+1)*R163-ERP_i)*Q163*Ramure*Pc/MaxiM</f>
        <v>4.4599770839968846E-5</v>
      </c>
      <c r="Q163" s="301">
        <f t="shared" si="53"/>
        <v>0.5</v>
      </c>
      <c r="R163" s="173">
        <f t="shared" si="54"/>
        <v>0.67873551757572803</v>
      </c>
      <c r="S163" s="801">
        <f t="shared" si="55"/>
        <v>0</v>
      </c>
      <c r="T163" s="172">
        <f t="shared" si="56"/>
        <v>6</v>
      </c>
      <c r="U163" s="247">
        <f t="shared" si="57"/>
        <v>0.67873551757572803</v>
      </c>
      <c r="V163" s="378">
        <f t="shared" si="58"/>
        <v>239.26435175170599</v>
      </c>
      <c r="W163" s="397">
        <f t="shared" si="59"/>
        <v>245.17311253017388</v>
      </c>
      <c r="X163" s="153">
        <f t="shared" si="60"/>
        <v>45075</v>
      </c>
      <c r="Y163" s="380">
        <f t="shared" si="61"/>
        <v>245.17311253017391</v>
      </c>
      <c r="Z163" s="380">
        <f t="shared" si="62"/>
        <v>247.36778743644496</v>
      </c>
      <c r="AA163" s="381">
        <f t="shared" si="63"/>
        <v>256.85374193461888</v>
      </c>
      <c r="AB163" s="193">
        <f t="shared" si="64"/>
        <v>45075</v>
      </c>
      <c r="AC163" s="420">
        <f>IF(OR(t&lt;Tnet,NoTnet),'2022'!Resal_s+('2022'!Salim-'2022'!Resal_s)*(1-EXP(('2022'!Tnet_s-t)/'2022'!Tau_j)),Resal_s+(Salim-Resal_s)*(1-EXP((Tnet_s-t)/Tau_j)))*Salcycl</f>
        <v>3.6931346324666603E-2</v>
      </c>
      <c r="AD163" s="227">
        <f>(INDEX(Models!$BJ163:$BT163,,AH163)*(1-AF163)+INDEX(Models!$BJ163:$BT163,,AH163+1)*AF163-ERP_i)*AE163*Ramure*Pc/MaxiM</f>
        <v>4.4599770839968846E-5</v>
      </c>
      <c r="AE163" s="301">
        <f t="shared" si="65"/>
        <v>0.5</v>
      </c>
      <c r="AF163" s="173">
        <f t="shared" si="66"/>
        <v>0.67873551757572803</v>
      </c>
      <c r="AG163" s="172">
        <f t="shared" si="67"/>
        <v>0</v>
      </c>
      <c r="AH163" s="172">
        <f t="shared" si="68"/>
        <v>6</v>
      </c>
      <c r="AI163" s="221">
        <f t="shared" si="69"/>
        <v>0.67873551757572803</v>
      </c>
      <c r="AJ163" s="261" t="b">
        <f t="shared" si="70"/>
        <v>0</v>
      </c>
      <c r="AK163" s="261" t="b">
        <f t="shared" si="71"/>
        <v>0</v>
      </c>
      <c r="AL163" s="261"/>
      <c r="AM163" s="261"/>
      <c r="AN163" s="75"/>
    </row>
    <row r="164" spans="1:40" s="6" customFormat="1" ht="11.25" x14ac:dyDescent="0.2">
      <c r="A164" s="56">
        <f t="shared" si="72"/>
        <v>45076</v>
      </c>
      <c r="B164" s="406">
        <f>'2022'!Wh/'2022'!Env_an*'2023'!Env_an</f>
        <v>206.66984093691863</v>
      </c>
      <c r="C164" s="385"/>
      <c r="D164" s="388">
        <f t="shared" si="50"/>
        <v>208.52270708497602</v>
      </c>
      <c r="E164" s="380">
        <f t="shared" si="73"/>
        <v>216.53409804273869</v>
      </c>
      <c r="F164" s="380">
        <f t="shared" si="51"/>
        <v>216.54174810451494</v>
      </c>
      <c r="G164" s="110">
        <f t="shared" si="74"/>
        <v>0.86326260453365555</v>
      </c>
      <c r="H164" s="409" t="b">
        <f>Wh_hp&gt;='2022'!Maxi_hp</f>
        <v>0</v>
      </c>
      <c r="I164" s="385">
        <f>IF(H164,Wh_hp,'2022'!Maxi_hp)</f>
        <v>216.54308989818958</v>
      </c>
      <c r="J164" s="85">
        <f>IF(H164,An,'2022'!An_max)</f>
        <v>2022</v>
      </c>
      <c r="K164" s="193">
        <f t="shared" si="52"/>
        <v>45076</v>
      </c>
      <c r="L164" s="143">
        <f>IF(t&lt;Tvie,1-EXP((T0-t)*PertePVj)+'2022'!Pspv,1-EXP((T0-t)*PertePVj)+Pspv)</f>
        <v>8.8856804803628675E-3</v>
      </c>
      <c r="M164" s="835"/>
      <c r="N164" s="835"/>
      <c r="O164" s="48">
        <f>IF(t&lt;Tnet,'2022'!Resal+('2022'!Salim-'2022'!Resal)*(1-EXP(('2022'!Tnet-t)/('2022'!Tau_j))),Resal+(Salim-Resal)*(1-EXP((Tnet-t)/(Tau_j))))*Salcycl</f>
        <v>3.6998288168828747E-2</v>
      </c>
      <c r="P164" s="165">
        <f>(INDEX(Models!$BJ164:$BT164,,T164)*(1-R164)+INDEX(Models!$BJ164:$BT164,,T164+1)*R164-ERP_i)*Q164*Ramure*Pc/MaxiM</f>
        <v>4.39040633664386E-5</v>
      </c>
      <c r="Q164" s="301">
        <f t="shared" si="53"/>
        <v>0.5</v>
      </c>
      <c r="R164" s="173">
        <f t="shared" si="54"/>
        <v>0.68360424651581564</v>
      </c>
      <c r="S164" s="801">
        <f t="shared" si="55"/>
        <v>0</v>
      </c>
      <c r="T164" s="172">
        <f t="shared" si="56"/>
        <v>6</v>
      </c>
      <c r="U164" s="247">
        <f t="shared" si="57"/>
        <v>0.68360424651581564</v>
      </c>
      <c r="V164" s="378">
        <f t="shared" si="58"/>
        <v>239.40347635442848</v>
      </c>
      <c r="W164" s="397">
        <f t="shared" si="59"/>
        <v>206.66984093691863</v>
      </c>
      <c r="X164" s="153">
        <f t="shared" si="60"/>
        <v>45076</v>
      </c>
      <c r="Y164" s="380">
        <f t="shared" si="61"/>
        <v>206.66984093691863</v>
      </c>
      <c r="Z164" s="380">
        <f t="shared" si="62"/>
        <v>208.52270708497602</v>
      </c>
      <c r="AA164" s="381">
        <f t="shared" si="63"/>
        <v>216.53409804273869</v>
      </c>
      <c r="AB164" s="193">
        <f t="shared" si="64"/>
        <v>45076</v>
      </c>
      <c r="AC164" s="420">
        <f>IF(OR(t&lt;Tnet,NoTnet),'2022'!Resal_s+('2022'!Salim-'2022'!Resal_s)*(1-EXP(('2022'!Tnet_s-t)/'2022'!Tau_j)),Resal_s+(Salim-Resal_s)*(1-EXP((Tnet_s-t)/Tau_j)))*Salcycl</f>
        <v>3.6998288168828747E-2</v>
      </c>
      <c r="AD164" s="227">
        <f>(INDEX(Models!$BJ164:$BT164,,AH164)*(1-AF164)+INDEX(Models!$BJ164:$BT164,,AH164+1)*AF164-ERP_i)*AE164*Ramure*Pc/MaxiM</f>
        <v>4.39040633664386E-5</v>
      </c>
      <c r="AE164" s="301">
        <f t="shared" si="65"/>
        <v>0.5</v>
      </c>
      <c r="AF164" s="173">
        <f t="shared" si="66"/>
        <v>0.68360424651581564</v>
      </c>
      <c r="AG164" s="172">
        <f t="shared" si="67"/>
        <v>0</v>
      </c>
      <c r="AH164" s="172">
        <f t="shared" si="68"/>
        <v>6</v>
      </c>
      <c r="AI164" s="221">
        <f t="shared" si="69"/>
        <v>0.68360424651581564</v>
      </c>
      <c r="AJ164" s="261" t="b">
        <f t="shared" si="70"/>
        <v>0</v>
      </c>
      <c r="AK164" s="261" t="b">
        <f t="shared" si="71"/>
        <v>0</v>
      </c>
      <c r="AL164" s="261"/>
      <c r="AM164" s="261"/>
      <c r="AN164" s="75"/>
    </row>
    <row r="165" spans="1:40" s="6" customFormat="1" ht="11.25" x14ac:dyDescent="0.2">
      <c r="A165" s="56">
        <f t="shared" si="72"/>
        <v>45077</v>
      </c>
      <c r="B165" s="406">
        <f>'2022'!Wh/'2022'!Env_an*'2023'!Env_an</f>
        <v>226.49072305093497</v>
      </c>
      <c r="C165" s="385"/>
      <c r="D165" s="388">
        <f t="shared" si="50"/>
        <v>228.52441852616286</v>
      </c>
      <c r="E165" s="380">
        <f t="shared" si="73"/>
        <v>237.32073083290555</v>
      </c>
      <c r="F165" s="380">
        <f t="shared" si="51"/>
        <v>237.33018861831758</v>
      </c>
      <c r="G165" s="110">
        <f t="shared" si="74"/>
        <v>0.94554306184663783</v>
      </c>
      <c r="H165" s="409" t="b">
        <f>Wh_hp&gt;='2022'!Maxi_hp</f>
        <v>0</v>
      </c>
      <c r="I165" s="385">
        <f>IF(H165,Wh_hp,'2022'!Maxi_hp)</f>
        <v>237.33076111913962</v>
      </c>
      <c r="J165" s="85">
        <f>IF(H165,An,'2022'!An_max)</f>
        <v>2022</v>
      </c>
      <c r="K165" s="193">
        <f t="shared" si="52"/>
        <v>45077</v>
      </c>
      <c r="L165" s="143">
        <f>IF(t&lt;Tvie,1-EXP((T0-t)*PertePVj)+'2022'!Pspv,1-EXP((T0-t)*PertePVj)+Pspv)</f>
        <v>8.8992480030971599E-3</v>
      </c>
      <c r="M165" s="835"/>
      <c r="N165" s="835"/>
      <c r="O165" s="48">
        <f>IF(t&lt;Tnet,'2022'!Resal+('2022'!Salim-'2022'!Resal)*(1-EXP(('2022'!Tnet-t)/('2022'!Tau_j))),Resal+(Salim-Resal)*(1-EXP((Tnet-t)/(Tau_j))))*Salcycl</f>
        <v>3.7065081823534678E-2</v>
      </c>
      <c r="P165" s="165">
        <f>(INDEX(Models!$BJ165:$BT165,,T165)*(1-R165)+INDEX(Models!$BJ165:$BT165,,T165+1)*R165-ERP_i)*Q165*Ramure*Pc/MaxiM</f>
        <v>4.3212277410989449E-5</v>
      </c>
      <c r="Q165" s="301">
        <f t="shared" si="53"/>
        <v>0.5</v>
      </c>
      <c r="R165" s="173">
        <f t="shared" si="54"/>
        <v>0.68851764306544228</v>
      </c>
      <c r="S165" s="801">
        <f t="shared" si="55"/>
        <v>0</v>
      </c>
      <c r="T165" s="172">
        <f t="shared" si="56"/>
        <v>6</v>
      </c>
      <c r="U165" s="247">
        <f t="shared" si="57"/>
        <v>0.68851764306544228</v>
      </c>
      <c r="V165" s="378">
        <f t="shared" si="58"/>
        <v>239.5342642807951</v>
      </c>
      <c r="W165" s="397">
        <f t="shared" si="59"/>
        <v>226.49072305093497</v>
      </c>
      <c r="X165" s="153">
        <f t="shared" si="60"/>
        <v>45077</v>
      </c>
      <c r="Y165" s="380">
        <f t="shared" si="61"/>
        <v>226.49072305093497</v>
      </c>
      <c r="Z165" s="380">
        <f t="shared" si="62"/>
        <v>228.52441852616286</v>
      </c>
      <c r="AA165" s="381">
        <f t="shared" si="63"/>
        <v>237.32073083290555</v>
      </c>
      <c r="AB165" s="193">
        <f t="shared" si="64"/>
        <v>45077</v>
      </c>
      <c r="AC165" s="420">
        <f>IF(OR(t&lt;Tnet,NoTnet),'2022'!Resal_s+('2022'!Salim-'2022'!Resal_s)*(1-EXP(('2022'!Tnet_s-t)/'2022'!Tau_j)),Resal_s+(Salim-Resal_s)*(1-EXP((Tnet_s-t)/Tau_j)))*Salcycl</f>
        <v>3.7065081823534678E-2</v>
      </c>
      <c r="AD165" s="227">
        <f>(INDEX(Models!$BJ165:$BT165,,AH165)*(1-AF165)+INDEX(Models!$BJ165:$BT165,,AH165+1)*AF165-ERP_i)*AE165*Ramure*Pc/MaxiM</f>
        <v>4.3212277410989449E-5</v>
      </c>
      <c r="AE165" s="301">
        <f t="shared" si="65"/>
        <v>0.5</v>
      </c>
      <c r="AF165" s="173">
        <f t="shared" si="66"/>
        <v>0.68851764306544228</v>
      </c>
      <c r="AG165" s="172">
        <f t="shared" si="67"/>
        <v>0</v>
      </c>
      <c r="AH165" s="172">
        <f t="shared" si="68"/>
        <v>6</v>
      </c>
      <c r="AI165" s="221">
        <f t="shared" si="69"/>
        <v>0.68851764306544228</v>
      </c>
      <c r="AJ165" s="261" t="b">
        <f t="shared" si="70"/>
        <v>0</v>
      </c>
      <c r="AK165" s="261" t="b">
        <f t="shared" si="71"/>
        <v>0</v>
      </c>
      <c r="AL165" s="261"/>
      <c r="AM165" s="261"/>
      <c r="AN165" s="75"/>
    </row>
    <row r="166" spans="1:40" s="6" customFormat="1" ht="11.25" customHeight="1" x14ac:dyDescent="0.2">
      <c r="A166" s="56">
        <f t="shared" si="72"/>
        <v>45078</v>
      </c>
      <c r="B166" s="406">
        <f>'2022'!Wh/'2022'!Env_an*'2023'!Env_an</f>
        <v>236.45148990285878</v>
      </c>
      <c r="C166" s="385"/>
      <c r="D166" s="388">
        <f t="shared" si="50"/>
        <v>238.57789058588219</v>
      </c>
      <c r="E166" s="380">
        <f t="shared" si="73"/>
        <v>247.77831963415031</v>
      </c>
      <c r="F166" s="380">
        <f t="shared" si="51"/>
        <v>247.78865549872833</v>
      </c>
      <c r="G166" s="110">
        <f t="shared" si="74"/>
        <v>0.98662706805320832</v>
      </c>
      <c r="H166" s="409" t="b">
        <f>Wh_hp&gt;='2022'!Maxi_hp</f>
        <v>0</v>
      </c>
      <c r="I166" s="385">
        <f>IF(H166,Wh_hp,'2022'!Maxi_hp)</f>
        <v>247.7887989555031</v>
      </c>
      <c r="J166" s="85">
        <f>IF(H166,An,'2022'!An_max)</f>
        <v>2022</v>
      </c>
      <c r="K166" s="193">
        <f t="shared" si="52"/>
        <v>45078</v>
      </c>
      <c r="L166" s="143">
        <f>IF(t&lt;Tvie,1-EXP((T0-t)*PertePVj)+'2022'!Pspv,1-EXP((T0-t)*PertePVj)+Pspv)</f>
        <v>8.9128153401035748E-3</v>
      </c>
      <c r="M166" s="835"/>
      <c r="N166" s="835"/>
      <c r="O166" s="48">
        <f>IF(t&lt;Tnet,'2022'!Resal+('2022'!Salim-'2022'!Resal)*(1-EXP(('2022'!Tnet-t)/('2022'!Tau_j))),Resal+(Salim-Resal)*(1-EXP((Tnet-t)/(Tau_j))))*Salcycl</f>
        <v>3.7131695226009946E-2</v>
      </c>
      <c r="P166" s="165">
        <f>(INDEX(Models!$BJ166:$BT166,,T166)*(1-R166)+INDEX(Models!$BJ166:$BT166,,T166+1)*R166-ERP_i)*Q166*Ramure*Pc/MaxiM</f>
        <v>4.2524773025741578E-5</v>
      </c>
      <c r="Q166" s="301">
        <f t="shared" si="53"/>
        <v>0.5</v>
      </c>
      <c r="R166" s="173">
        <f t="shared" si="54"/>
        <v>0.69347212114252466</v>
      </c>
      <c r="S166" s="801">
        <f t="shared" si="55"/>
        <v>0</v>
      </c>
      <c r="T166" s="172">
        <f t="shared" si="56"/>
        <v>6</v>
      </c>
      <c r="U166" s="247">
        <f t="shared" si="57"/>
        <v>0.69347212114252466</v>
      </c>
      <c r="V166" s="378">
        <f t="shared" si="58"/>
        <v>239.65620391849512</v>
      </c>
      <c r="W166" s="397">
        <f t="shared" si="59"/>
        <v>236.45148990285878</v>
      </c>
      <c r="X166" s="153">
        <f t="shared" si="60"/>
        <v>45078</v>
      </c>
      <c r="Y166" s="380">
        <f t="shared" si="61"/>
        <v>236.45148990285878</v>
      </c>
      <c r="Z166" s="380">
        <f t="shared" si="62"/>
        <v>238.57789058588219</v>
      </c>
      <c r="AA166" s="381">
        <f t="shared" si="63"/>
        <v>247.77831963415031</v>
      </c>
      <c r="AB166" s="193">
        <f t="shared" si="64"/>
        <v>45078</v>
      </c>
      <c r="AC166" s="420">
        <f>IF(OR(t&lt;Tnet,NoTnet),'2022'!Resal_s+('2022'!Salim-'2022'!Resal_s)*(1-EXP(('2022'!Tnet_s-t)/'2022'!Tau_j)),Resal_s+(Salim-Resal_s)*(1-EXP((Tnet_s-t)/Tau_j)))*Salcycl</f>
        <v>3.7131695226009946E-2</v>
      </c>
      <c r="AD166" s="227">
        <f>(INDEX(Models!$BJ166:$BT166,,AH166)*(1-AF166)+INDEX(Models!$BJ166:$BT166,,AH166+1)*AF166-ERP_i)*AE166*Ramure*Pc/MaxiM</f>
        <v>4.2524773025741578E-5</v>
      </c>
      <c r="AE166" s="301">
        <f t="shared" si="65"/>
        <v>0.5</v>
      </c>
      <c r="AF166" s="173">
        <f t="shared" si="66"/>
        <v>0.69347212114252466</v>
      </c>
      <c r="AG166" s="172">
        <f t="shared" si="67"/>
        <v>0</v>
      </c>
      <c r="AH166" s="172">
        <f t="shared" si="68"/>
        <v>6</v>
      </c>
      <c r="AI166" s="221">
        <f t="shared" si="69"/>
        <v>0.69347212114252466</v>
      </c>
      <c r="AJ166" s="261" t="b">
        <f t="shared" si="70"/>
        <v>0</v>
      </c>
      <c r="AK166" s="261" t="b">
        <f t="shared" si="71"/>
        <v>0</v>
      </c>
      <c r="AL166" s="261"/>
      <c r="AM166" s="261"/>
      <c r="AN166" s="75"/>
    </row>
    <row r="167" spans="1:40" s="6" customFormat="1" ht="11.25" customHeight="1" x14ac:dyDescent="0.2">
      <c r="A167" s="56">
        <f t="shared" si="72"/>
        <v>45079</v>
      </c>
      <c r="B167" s="406">
        <f>'2022'!Wh/'2022'!Env_an*'2023'!Env_an</f>
        <v>166.31469279246963</v>
      </c>
      <c r="C167" s="385"/>
      <c r="D167" s="388">
        <f t="shared" si="50"/>
        <v>167.81265271752008</v>
      </c>
      <c r="E167" s="380">
        <f t="shared" si="73"/>
        <v>174.29613724914762</v>
      </c>
      <c r="F167" s="380">
        <f t="shared" si="51"/>
        <v>174.30023851573117</v>
      </c>
      <c r="G167" s="110">
        <f t="shared" si="74"/>
        <v>0.69363344357285139</v>
      </c>
      <c r="H167" s="409" t="b">
        <f>Wh_hp&gt;='2022'!Maxi_hp</f>
        <v>0</v>
      </c>
      <c r="I167" s="385">
        <f>IF(H167,Wh_hp,'2022'!Maxi_hp)</f>
        <v>174.30249761857024</v>
      </c>
      <c r="J167" s="85">
        <f>IF(H167,An,'2022'!An_max)</f>
        <v>2022</v>
      </c>
      <c r="K167" s="193">
        <f t="shared" si="52"/>
        <v>45079</v>
      </c>
      <c r="L167" s="143">
        <f>IF(t&lt;Tvie,1-EXP((T0-t)*PertePVj)+'2022'!Pspv,1-EXP((T0-t)*PertePVj)+Pspv)</f>
        <v>8.9263824913844436E-3</v>
      </c>
      <c r="M167" s="835"/>
      <c r="N167" s="835"/>
      <c r="O167" s="48">
        <f>IF(t&lt;Tnet,'2022'!Resal+('2022'!Salim-'2022'!Resal)*(1-EXP(('2022'!Tnet-t)/('2022'!Tau_j))),Resal+(Salim-Resal)*(1-EXP((Tnet-t)/(Tau_j))))*Salcycl</f>
        <v>3.7198096492291839E-2</v>
      </c>
      <c r="P167" s="165">
        <f>(INDEX(Models!$BJ167:$BT167,,T167)*(1-R167)+INDEX(Models!$BJ167:$BT167,,T167+1)*R167-ERP_i)*Q167*Ramure*Pc/MaxiM</f>
        <v>4.1841963307244168E-5</v>
      </c>
      <c r="Q167" s="301">
        <f t="shared" si="53"/>
        <v>0.5</v>
      </c>
      <c r="R167" s="173">
        <f t="shared" si="54"/>
        <v>0.69846396455693716</v>
      </c>
      <c r="S167" s="801">
        <f t="shared" si="55"/>
        <v>0</v>
      </c>
      <c r="T167" s="172">
        <f t="shared" si="56"/>
        <v>6</v>
      </c>
      <c r="U167" s="247">
        <f t="shared" si="57"/>
        <v>0.69846396455693716</v>
      </c>
      <c r="V167" s="378">
        <f t="shared" si="58"/>
        <v>239.76878378065692</v>
      </c>
      <c r="W167" s="397">
        <f t="shared" si="59"/>
        <v>166.31469279246963</v>
      </c>
      <c r="X167" s="153">
        <f t="shared" si="60"/>
        <v>45079</v>
      </c>
      <c r="Y167" s="380">
        <f t="shared" si="61"/>
        <v>166.31469279246963</v>
      </c>
      <c r="Z167" s="380">
        <f t="shared" si="62"/>
        <v>167.81265271752008</v>
      </c>
      <c r="AA167" s="381">
        <f t="shared" si="63"/>
        <v>174.29613724914762</v>
      </c>
      <c r="AB167" s="193">
        <f t="shared" si="64"/>
        <v>45079</v>
      </c>
      <c r="AC167" s="420">
        <f>IF(OR(t&lt;Tnet,NoTnet),'2022'!Resal_s+('2022'!Salim-'2022'!Resal_s)*(1-EXP(('2022'!Tnet_s-t)/'2022'!Tau_j)),Resal_s+(Salim-Resal_s)*(1-EXP((Tnet_s-t)/Tau_j)))*Salcycl</f>
        <v>3.7198096492291839E-2</v>
      </c>
      <c r="AD167" s="227">
        <f>(INDEX(Models!$BJ167:$BT167,,AH167)*(1-AF167)+INDEX(Models!$BJ167:$BT167,,AH167+1)*AF167-ERP_i)*AE167*Ramure*Pc/MaxiM</f>
        <v>4.1841963307244168E-5</v>
      </c>
      <c r="AE167" s="301">
        <f t="shared" si="65"/>
        <v>0.5</v>
      </c>
      <c r="AF167" s="173">
        <f t="shared" si="66"/>
        <v>0.69846396455693716</v>
      </c>
      <c r="AG167" s="172">
        <f t="shared" si="67"/>
        <v>0</v>
      </c>
      <c r="AH167" s="172">
        <f t="shared" si="68"/>
        <v>6</v>
      </c>
      <c r="AI167" s="221">
        <f t="shared" si="69"/>
        <v>0.69846396455693716</v>
      </c>
      <c r="AJ167" s="261" t="b">
        <f t="shared" si="70"/>
        <v>0</v>
      </c>
      <c r="AK167" s="261" t="b">
        <f t="shared" si="71"/>
        <v>0</v>
      </c>
      <c r="AL167" s="261"/>
      <c r="AM167" s="261"/>
      <c r="AN167" s="75"/>
    </row>
    <row r="168" spans="1:40" s="6" customFormat="1" ht="11.25" customHeight="1" x14ac:dyDescent="0.2">
      <c r="A168" s="56">
        <f t="shared" si="72"/>
        <v>45080</v>
      </c>
      <c r="B168" s="406">
        <f>'2022'!Wh/'2022'!Env_an*'2023'!Env_an</f>
        <v>228.4957161632382</v>
      </c>
      <c r="C168" s="385"/>
      <c r="D168" s="388">
        <f t="shared" si="50"/>
        <v>230.55688304460716</v>
      </c>
      <c r="E168" s="380">
        <f t="shared" si="73"/>
        <v>239.48096246709721</v>
      </c>
      <c r="F168" s="380">
        <f t="shared" si="51"/>
        <v>239.49015301287491</v>
      </c>
      <c r="G168" s="110">
        <f t="shared" si="74"/>
        <v>0.95257288205803747</v>
      </c>
      <c r="H168" s="409" t="b">
        <f>Wh_hp&gt;='2022'!Maxi_hp</f>
        <v>0</v>
      </c>
      <c r="I168" s="385">
        <f>IF(H168,Wh_hp,'2022'!Maxi_hp)</f>
        <v>239.49062250139852</v>
      </c>
      <c r="J168" s="85">
        <f>IF(H168,An,'2022'!An_max)</f>
        <v>2022</v>
      </c>
      <c r="K168" s="193">
        <f t="shared" si="52"/>
        <v>45080</v>
      </c>
      <c r="L168" s="143">
        <f>IF(t&lt;Tvie,1-EXP((T0-t)*PertePVj)+'2022'!Pspv,1-EXP((T0-t)*PertePVj)+Pspv)</f>
        <v>8.9399494569424309E-3</v>
      </c>
      <c r="M168" s="835"/>
      <c r="N168" s="835"/>
      <c r="O168" s="48">
        <f>IF(t&lt;Tnet,'2022'!Resal+('2022'!Salim-'2022'!Resal)*(1-EXP(('2022'!Tnet-t)/('2022'!Tau_j))),Resal+(Salim-Resal)*(1-EXP((Tnet-t)/(Tau_j))))*Salcycl</f>
        <v>3.726425403737952E-2</v>
      </c>
      <c r="P168" s="165">
        <f>(INDEX(Models!$BJ168:$BT168,,T168)*(1-R168)+INDEX(Models!$BJ168:$BT168,,T168+1)*R168-ERP_i)*Q168*Ramure*Pc/MaxiM</f>
        <v>4.1164314779760757E-5</v>
      </c>
      <c r="Q168" s="301">
        <f t="shared" si="53"/>
        <v>0.5</v>
      </c>
      <c r="R168" s="173">
        <f t="shared" si="54"/>
        <v>0.70348933733920904</v>
      </c>
      <c r="S168" s="801">
        <f t="shared" si="55"/>
        <v>0</v>
      </c>
      <c r="T168" s="172">
        <f t="shared" si="56"/>
        <v>6</v>
      </c>
      <c r="U168" s="247">
        <f t="shared" si="57"/>
        <v>0.70348933733920904</v>
      </c>
      <c r="V168" s="378">
        <f t="shared" si="58"/>
        <v>239.87149246228071</v>
      </c>
      <c r="W168" s="397">
        <f t="shared" si="59"/>
        <v>228.4957161632382</v>
      </c>
      <c r="X168" s="153">
        <f t="shared" si="60"/>
        <v>45080</v>
      </c>
      <c r="Y168" s="380">
        <f t="shared" si="61"/>
        <v>228.4957161632382</v>
      </c>
      <c r="Z168" s="380">
        <f t="shared" si="62"/>
        <v>230.55688304460716</v>
      </c>
      <c r="AA168" s="381">
        <f t="shared" si="63"/>
        <v>239.48096246709721</v>
      </c>
      <c r="AB168" s="193">
        <f t="shared" si="64"/>
        <v>45080</v>
      </c>
      <c r="AC168" s="420">
        <f>IF(OR(t&lt;Tnet,NoTnet),'2022'!Resal_s+('2022'!Salim-'2022'!Resal_s)*(1-EXP(('2022'!Tnet_s-t)/'2022'!Tau_j)),Resal_s+(Salim-Resal_s)*(1-EXP((Tnet_s-t)/Tau_j)))*Salcycl</f>
        <v>3.726425403737952E-2</v>
      </c>
      <c r="AD168" s="227">
        <f>(INDEX(Models!$BJ168:$BT168,,AH168)*(1-AF168)+INDEX(Models!$BJ168:$BT168,,AH168+1)*AF168-ERP_i)*AE168*Ramure*Pc/MaxiM</f>
        <v>4.1164314779760757E-5</v>
      </c>
      <c r="AE168" s="301">
        <f t="shared" si="65"/>
        <v>0.5</v>
      </c>
      <c r="AF168" s="173">
        <f t="shared" si="66"/>
        <v>0.70348933733920904</v>
      </c>
      <c r="AG168" s="172">
        <f t="shared" si="67"/>
        <v>0</v>
      </c>
      <c r="AH168" s="172">
        <f t="shared" si="68"/>
        <v>6</v>
      </c>
      <c r="AI168" s="221">
        <f t="shared" si="69"/>
        <v>0.70348933733920904</v>
      </c>
      <c r="AJ168" s="261" t="b">
        <f t="shared" si="70"/>
        <v>0</v>
      </c>
      <c r="AK168" s="261" t="b">
        <f t="shared" si="71"/>
        <v>0</v>
      </c>
      <c r="AL168" s="261"/>
      <c r="AM168" s="261"/>
      <c r="AN168" s="75"/>
    </row>
    <row r="169" spans="1:40" s="18" customFormat="1" ht="11.25" customHeight="1" x14ac:dyDescent="0.2">
      <c r="A169" s="56">
        <f t="shared" si="72"/>
        <v>45081</v>
      </c>
      <c r="B169" s="406">
        <f>'2022'!Wh/'2022'!Env_an*'2023'!Env_an</f>
        <v>99.554426414197437</v>
      </c>
      <c r="C169" s="385"/>
      <c r="D169" s="388">
        <f t="shared" si="50"/>
        <v>100.45384151525116</v>
      </c>
      <c r="E169" s="380">
        <f t="shared" si="73"/>
        <v>104.34921185804258</v>
      </c>
      <c r="F169" s="380">
        <f t="shared" si="51"/>
        <v>104.34990525771319</v>
      </c>
      <c r="G169" s="110">
        <f t="shared" si="74"/>
        <v>0.41485861203461349</v>
      </c>
      <c r="H169" s="409" t="b">
        <f>Wh_hp&gt;='2022'!Maxi_hp</f>
        <v>0</v>
      </c>
      <c r="I169" s="385">
        <f>IF(H169,Wh_hp,'2022'!Maxi_hp)</f>
        <v>104.35237094994316</v>
      </c>
      <c r="J169" s="85">
        <f>IF(H169,An,'2022'!An_max)</f>
        <v>2022</v>
      </c>
      <c r="K169" s="193">
        <f t="shared" si="52"/>
        <v>45081</v>
      </c>
      <c r="L169" s="143">
        <f>IF(t&lt;Tvie,1-EXP((T0-t)*PertePVj)+'2022'!Pspv,1-EXP((T0-t)*PertePVj)+Pspv)</f>
        <v>8.9535162367799792E-3</v>
      </c>
      <c r="M169" s="835"/>
      <c r="N169" s="835"/>
      <c r="O169" s="48">
        <f>IF(t&lt;Tnet,'2022'!Resal+('2022'!Salim-'2022'!Resal)*(1-EXP(('2022'!Tnet-t)/('2022'!Tau_j))),Resal+(Salim-Resal)*(1-EXP((Tnet-t)/(Tau_j))))*Salcycl</f>
        <v>3.7330136696103716E-2</v>
      </c>
      <c r="P169" s="165">
        <f>(INDEX(Models!$BJ169:$BT169,,T169)*(1-R169)+INDEX(Models!$BJ169:$BT169,,T169+1)*R169-ERP_i)*Q169*Ramure*Pc/MaxiM</f>
        <v>4.049234747919487E-5</v>
      </c>
      <c r="Q169" s="301">
        <f t="shared" si="53"/>
        <v>0.5</v>
      </c>
      <c r="R169" s="173">
        <f t="shared" si="54"/>
        <v>0.70854429486886894</v>
      </c>
      <c r="S169" s="801">
        <f t="shared" si="55"/>
        <v>0</v>
      </c>
      <c r="T169" s="172">
        <f t="shared" si="56"/>
        <v>6</v>
      </c>
      <c r="U169" s="247">
        <f t="shared" si="57"/>
        <v>0.70854429486886894</v>
      </c>
      <c r="V169" s="378">
        <f t="shared" si="58"/>
        <v>239.96381862511942</v>
      </c>
      <c r="W169" s="397">
        <f t="shared" si="59"/>
        <v>99.554426414197437</v>
      </c>
      <c r="X169" s="153">
        <f t="shared" si="60"/>
        <v>45081</v>
      </c>
      <c r="Y169" s="380">
        <f t="shared" si="61"/>
        <v>99.554426414197437</v>
      </c>
      <c r="Z169" s="380">
        <f t="shared" si="62"/>
        <v>100.45384151525116</v>
      </c>
      <c r="AA169" s="381">
        <f t="shared" si="63"/>
        <v>104.34921185804258</v>
      </c>
      <c r="AB169" s="193">
        <f t="shared" si="64"/>
        <v>45081</v>
      </c>
      <c r="AC169" s="420">
        <f>IF(OR(t&lt;Tnet,NoTnet),'2022'!Resal_s+('2022'!Salim-'2022'!Resal_s)*(1-EXP(('2022'!Tnet_s-t)/'2022'!Tau_j)),Resal_s+(Salim-Resal_s)*(1-EXP((Tnet_s-t)/Tau_j)))*Salcycl</f>
        <v>3.7330136696103716E-2</v>
      </c>
      <c r="AD169" s="227">
        <f>(INDEX(Models!$BJ169:$BT169,,AH169)*(1-AF169)+INDEX(Models!$BJ169:$BT169,,AH169+1)*AF169-ERP_i)*AE169*Ramure*Pc/MaxiM</f>
        <v>4.049234747919487E-5</v>
      </c>
      <c r="AE169" s="301">
        <f t="shared" si="65"/>
        <v>0.5</v>
      </c>
      <c r="AF169" s="173">
        <f t="shared" si="66"/>
        <v>0.70854429486886894</v>
      </c>
      <c r="AG169" s="172">
        <f t="shared" si="67"/>
        <v>0</v>
      </c>
      <c r="AH169" s="172">
        <f t="shared" si="68"/>
        <v>6</v>
      </c>
      <c r="AI169" s="221">
        <f t="shared" si="69"/>
        <v>0.70854429486886894</v>
      </c>
      <c r="AJ169" s="261" t="b">
        <f t="shared" si="70"/>
        <v>0</v>
      </c>
      <c r="AK169" s="261" t="b">
        <f t="shared" si="71"/>
        <v>0</v>
      </c>
      <c r="AL169" s="261"/>
      <c r="AM169" s="261"/>
      <c r="AN169" s="261"/>
    </row>
    <row r="170" spans="1:40" s="18" customFormat="1" ht="11.25" customHeight="1" x14ac:dyDescent="0.2">
      <c r="A170" s="56">
        <f t="shared" ref="A170:A207" si="75">A169+1</f>
        <v>45082</v>
      </c>
      <c r="B170" s="406">
        <f>'2022'!Wh/'2022'!Env_an*'2023'!Env_an</f>
        <v>128.98674777883014</v>
      </c>
      <c r="C170" s="385"/>
      <c r="D170" s="388">
        <f t="shared" si="50"/>
        <v>130.15384811564346</v>
      </c>
      <c r="E170" s="380">
        <f t="shared" ref="E170:E232" si="76">Wh_pvt/(1-Psa)</f>
        <v>135.21012734670353</v>
      </c>
      <c r="F170" s="380">
        <f t="shared" si="51"/>
        <v>135.21195414410428</v>
      </c>
      <c r="G170" s="110">
        <f t="shared" ref="G170:G232" si="77">+Wh_hp/MaxiM</f>
        <v>0.53732932774679731</v>
      </c>
      <c r="H170" s="409" t="b">
        <f>Wh_hp&gt;='2022'!Maxi_hp</f>
        <v>0</v>
      </c>
      <c r="I170" s="385">
        <f>IF(H170,Wh_hp,'2022'!Maxi_hp)</f>
        <v>135.21442308270213</v>
      </c>
      <c r="J170" s="85">
        <f>IF(H170,An,'2022'!An_max)</f>
        <v>2022</v>
      </c>
      <c r="K170" s="193">
        <f t="shared" si="52"/>
        <v>45082</v>
      </c>
      <c r="L170" s="143">
        <f>IF(t&lt;Tvie,1-EXP((T0-t)*PertePVj)+'2022'!Pspv,1-EXP((T0-t)*PertePVj)+Pspv)</f>
        <v>8.967082830899753E-3</v>
      </c>
      <c r="M170" s="835"/>
      <c r="N170" s="835"/>
      <c r="O170" s="48">
        <f>IF(t&lt;Tnet,'2022'!Resal+('2022'!Salim-'2022'!Resal)*(1-EXP(('2022'!Tnet-t)/('2022'!Tau_j))),Resal+(Salim-Resal)*(1-EXP((Tnet-t)/(Tau_j))))*Salcycl</f>
        <v>3.7395713843940442E-2</v>
      </c>
      <c r="P170" s="165">
        <f>(INDEX(Models!$BJ170:$BT170,,T170)*(1-R170)+INDEX(Models!$BJ170:$BT170,,T170+1)*R170-ERP_i)*Q170*Ramure*Pc/MaxiM</f>
        <v>3.9847036753894944E-5</v>
      </c>
      <c r="Q170" s="301">
        <f t="shared" si="53"/>
        <v>0.5</v>
      </c>
      <c r="R170" s="173">
        <f t="shared" si="54"/>
        <v>0.71362479573914084</v>
      </c>
      <c r="S170" s="801">
        <f t="shared" si="55"/>
        <v>0</v>
      </c>
      <c r="T170" s="172">
        <f t="shared" si="56"/>
        <v>6</v>
      </c>
      <c r="U170" s="247">
        <f t="shared" si="57"/>
        <v>0.71362479573914084</v>
      </c>
      <c r="V170" s="378">
        <f t="shared" si="58"/>
        <v>240.04524604142549</v>
      </c>
      <c r="W170" s="397">
        <f t="shared" si="59"/>
        <v>128.98674777883014</v>
      </c>
      <c r="X170" s="153">
        <f t="shared" si="60"/>
        <v>45082</v>
      </c>
      <c r="Y170" s="380">
        <f t="shared" si="61"/>
        <v>128.98674777883014</v>
      </c>
      <c r="Z170" s="380">
        <f t="shared" si="62"/>
        <v>130.15384811564346</v>
      </c>
      <c r="AA170" s="381">
        <f t="shared" si="63"/>
        <v>135.21012734670353</v>
      </c>
      <c r="AB170" s="193">
        <f t="shared" si="64"/>
        <v>45082</v>
      </c>
      <c r="AC170" s="420">
        <f>IF(OR(t&lt;Tnet,NoTnet),'2022'!Resal_s+('2022'!Salim-'2022'!Resal_s)*(1-EXP(('2022'!Tnet_s-t)/'2022'!Tau_j)),Resal_s+(Salim-Resal_s)*(1-EXP((Tnet_s-t)/Tau_j)))*Salcycl</f>
        <v>3.7395713843940442E-2</v>
      </c>
      <c r="AD170" s="227">
        <f>(INDEX(Models!$BJ170:$BT170,,AH170)*(1-AF170)+INDEX(Models!$BJ170:$BT170,,AH170+1)*AF170-ERP_i)*AE170*Ramure*Pc/MaxiM</f>
        <v>3.9847036753894944E-5</v>
      </c>
      <c r="AE170" s="301">
        <f t="shared" si="65"/>
        <v>0.5</v>
      </c>
      <c r="AF170" s="173">
        <f t="shared" si="66"/>
        <v>0.71362479573914084</v>
      </c>
      <c r="AG170" s="172">
        <f t="shared" si="67"/>
        <v>0</v>
      </c>
      <c r="AH170" s="172">
        <f t="shared" si="68"/>
        <v>6</v>
      </c>
      <c r="AI170" s="221">
        <f t="shared" si="69"/>
        <v>0.71362479573914084</v>
      </c>
      <c r="AJ170" s="261" t="b">
        <f t="shared" si="70"/>
        <v>0</v>
      </c>
      <c r="AK170" s="261" t="b">
        <f t="shared" si="71"/>
        <v>0</v>
      </c>
      <c r="AL170" s="261"/>
      <c r="AM170" s="261"/>
      <c r="AN170" s="261"/>
    </row>
    <row r="171" spans="1:40" s="6" customFormat="1" ht="11.25" customHeight="1" x14ac:dyDescent="0.2">
      <c r="A171" s="56">
        <f t="shared" si="75"/>
        <v>45083</v>
      </c>
      <c r="B171" s="406">
        <f>'2022'!Wh/'2022'!Env_an*'2023'!Env_an</f>
        <v>189.53141753393803</v>
      </c>
      <c r="C171" s="385"/>
      <c r="D171" s="388">
        <f t="shared" si="50"/>
        <v>191.24895733716579</v>
      </c>
      <c r="E171" s="380">
        <f t="shared" si="76"/>
        <v>198.69215532953771</v>
      </c>
      <c r="F171" s="380">
        <f t="shared" si="51"/>
        <v>198.69760234587918</v>
      </c>
      <c r="G171" s="110">
        <f t="shared" si="77"/>
        <v>0.7893258238645372</v>
      </c>
      <c r="H171" s="409" t="b">
        <f>Wh_hp&gt;='2022'!Maxi_hp</f>
        <v>0</v>
      </c>
      <c r="I171" s="385">
        <f>IF(H171,Wh_hp,'2022'!Maxi_hp)</f>
        <v>198.6992170848427</v>
      </c>
      <c r="J171" s="85">
        <f>IF(H171,An,'2022'!An_max)</f>
        <v>2022</v>
      </c>
      <c r="K171" s="193">
        <f t="shared" si="52"/>
        <v>45083</v>
      </c>
      <c r="L171" s="143">
        <f>IF(t&lt;Tvie,1-EXP((T0-t)*PertePVj)+'2022'!Pspv,1-EXP((T0-t)*PertePVj)+Pspv)</f>
        <v>8.9806492393043058E-3</v>
      </c>
      <c r="M171" s="835"/>
      <c r="N171" s="835"/>
      <c r="O171" s="48">
        <f>IF(t&lt;Tnet,'2022'!Resal+('2022'!Salim-'2022'!Resal)*(1-EXP(('2022'!Tnet-t)/('2022'!Tau_j))),Resal+(Salim-Resal)*(1-EXP((Tnet-t)/(Tau_j))))*Salcycl</f>
        <v>3.7460955516976181E-2</v>
      </c>
      <c r="P171" s="165">
        <f>(INDEX(Models!$BJ171:$BT171,,T171)*(1-R171)+INDEX(Models!$BJ171:$BT171,,T171+1)*R171-ERP_i)*Q171*Ramure*Pc/MaxiM</f>
        <v>3.921549375665434E-5</v>
      </c>
      <c r="Q171" s="301">
        <f t="shared" si="53"/>
        <v>0.5</v>
      </c>
      <c r="R171" s="173">
        <f t="shared" si="54"/>
        <v>0.71872671428628077</v>
      </c>
      <c r="S171" s="801">
        <f t="shared" si="55"/>
        <v>0</v>
      </c>
      <c r="T171" s="172">
        <f t="shared" si="56"/>
        <v>6</v>
      </c>
      <c r="U171" s="247">
        <f t="shared" si="57"/>
        <v>0.71872671428628077</v>
      </c>
      <c r="V171" s="378">
        <f t="shared" si="58"/>
        <v>240.11526661422334</v>
      </c>
      <c r="W171" s="397">
        <f t="shared" si="59"/>
        <v>189.53141753393803</v>
      </c>
      <c r="X171" s="153">
        <f t="shared" si="60"/>
        <v>45083</v>
      </c>
      <c r="Y171" s="380">
        <f t="shared" si="61"/>
        <v>189.53141753393803</v>
      </c>
      <c r="Z171" s="380">
        <f t="shared" si="62"/>
        <v>191.24895733716579</v>
      </c>
      <c r="AA171" s="381">
        <f t="shared" si="63"/>
        <v>198.69215532953771</v>
      </c>
      <c r="AB171" s="193">
        <f t="shared" si="64"/>
        <v>45083</v>
      </c>
      <c r="AC171" s="420">
        <f>IF(OR(t&lt;Tnet,NoTnet),'2022'!Resal_s+('2022'!Salim-'2022'!Resal_s)*(1-EXP(('2022'!Tnet_s-t)/'2022'!Tau_j)),Resal_s+(Salim-Resal_s)*(1-EXP((Tnet_s-t)/Tau_j)))*Salcycl</f>
        <v>3.7460955516976181E-2</v>
      </c>
      <c r="AD171" s="227">
        <f>(INDEX(Models!$BJ171:$BT171,,AH171)*(1-AF171)+INDEX(Models!$BJ171:$BT171,,AH171+1)*AF171-ERP_i)*AE171*Ramure*Pc/MaxiM</f>
        <v>3.921549375665434E-5</v>
      </c>
      <c r="AE171" s="301">
        <f t="shared" si="65"/>
        <v>0.5</v>
      </c>
      <c r="AF171" s="173">
        <f t="shared" si="66"/>
        <v>0.71872671428628077</v>
      </c>
      <c r="AG171" s="172">
        <f t="shared" si="67"/>
        <v>0</v>
      </c>
      <c r="AH171" s="172">
        <f t="shared" si="68"/>
        <v>6</v>
      </c>
      <c r="AI171" s="221">
        <f t="shared" si="69"/>
        <v>0.71872671428628077</v>
      </c>
      <c r="AJ171" s="261" t="b">
        <f t="shared" si="70"/>
        <v>0</v>
      </c>
      <c r="AK171" s="261" t="b">
        <f t="shared" si="71"/>
        <v>0</v>
      </c>
      <c r="AL171" s="261"/>
      <c r="AM171" s="261"/>
      <c r="AN171" s="75"/>
    </row>
    <row r="172" spans="1:40" s="6" customFormat="1" ht="11.25" customHeight="1" x14ac:dyDescent="0.2">
      <c r="A172" s="56">
        <f t="shared" si="75"/>
        <v>45084</v>
      </c>
      <c r="B172" s="406">
        <f>'2022'!Wh/'2022'!Env_an*'2023'!Env_an</f>
        <v>118.10275116162944</v>
      </c>
      <c r="C172" s="385"/>
      <c r="D172" s="388">
        <f t="shared" si="50"/>
        <v>119.17463349286872</v>
      </c>
      <c r="E172" s="380">
        <f t="shared" si="76"/>
        <v>123.8211242657697</v>
      </c>
      <c r="F172" s="380">
        <f t="shared" si="51"/>
        <v>123.82243340188975</v>
      </c>
      <c r="G172" s="110">
        <f t="shared" si="77"/>
        <v>0.49172579678712497</v>
      </c>
      <c r="H172" s="409" t="b">
        <f>Wh_hp&gt;='2022'!Maxi_hp</f>
        <v>0</v>
      </c>
      <c r="I172" s="385">
        <f>IF(H172,Wh_hp,'2022'!Maxi_hp)</f>
        <v>123.82480660988531</v>
      </c>
      <c r="J172" s="85">
        <f>IF(H172,An,'2022'!An_max)</f>
        <v>2022</v>
      </c>
      <c r="K172" s="193">
        <f t="shared" si="52"/>
        <v>45084</v>
      </c>
      <c r="L172" s="143">
        <f>IF(t&lt;Tvie,1-EXP((T0-t)*PertePVj)+'2022'!Pspv,1-EXP((T0-t)*PertePVj)+Pspv)</f>
        <v>8.9942154619960801E-3</v>
      </c>
      <c r="M172" s="835"/>
      <c r="N172" s="835"/>
      <c r="O172" s="48">
        <f>IF(t&lt;Tnet,'2022'!Resal+('2022'!Salim-'2022'!Resal)*(1-EXP(('2022'!Tnet-t)/('2022'!Tau_j))),Resal+(Salim-Resal)*(1-EXP((Tnet-t)/(Tau_j))))*Salcycl</f>
        <v>3.7525832530221161E-2</v>
      </c>
      <c r="P172" s="165">
        <f>(INDEX(Models!$BJ172:$BT172,,T172)*(1-R172)+INDEX(Models!$BJ172:$BT172,,T172+1)*R172-ERP_i)*Q172*Ramure*Pc/MaxiM</f>
        <v>3.8598616889284994E-5</v>
      </c>
      <c r="Q172" s="301">
        <f t="shared" si="53"/>
        <v>0.5</v>
      </c>
      <c r="R172" s="173">
        <f t="shared" si="54"/>
        <v>0.72384585370410681</v>
      </c>
      <c r="S172" s="801">
        <f t="shared" si="55"/>
        <v>0</v>
      </c>
      <c r="T172" s="172">
        <f t="shared" si="56"/>
        <v>6</v>
      </c>
      <c r="U172" s="247">
        <f t="shared" si="57"/>
        <v>0.72384585370410681</v>
      </c>
      <c r="V172" s="378">
        <f t="shared" si="58"/>
        <v>240.17336889610465</v>
      </c>
      <c r="W172" s="397">
        <f t="shared" si="59"/>
        <v>118.10275116162944</v>
      </c>
      <c r="X172" s="153">
        <f t="shared" si="60"/>
        <v>45084</v>
      </c>
      <c r="Y172" s="380">
        <f t="shared" si="61"/>
        <v>118.10275116162944</v>
      </c>
      <c r="Z172" s="380">
        <f t="shared" si="62"/>
        <v>119.17463349286872</v>
      </c>
      <c r="AA172" s="381">
        <f t="shared" si="63"/>
        <v>123.8211242657697</v>
      </c>
      <c r="AB172" s="193">
        <f t="shared" si="64"/>
        <v>45084</v>
      </c>
      <c r="AC172" s="420">
        <f>IF(OR(t&lt;Tnet,NoTnet),'2022'!Resal_s+('2022'!Salim-'2022'!Resal_s)*(1-EXP(('2022'!Tnet_s-t)/'2022'!Tau_j)),Resal_s+(Salim-Resal_s)*(1-EXP((Tnet_s-t)/Tau_j)))*Salcycl</f>
        <v>3.7525832530221161E-2</v>
      </c>
      <c r="AD172" s="227">
        <f>(INDEX(Models!$BJ172:$BT172,,AH172)*(1-AF172)+INDEX(Models!$BJ172:$BT172,,AH172+1)*AF172-ERP_i)*AE172*Ramure*Pc/MaxiM</f>
        <v>3.8598616889284994E-5</v>
      </c>
      <c r="AE172" s="301">
        <f t="shared" si="65"/>
        <v>0.5</v>
      </c>
      <c r="AF172" s="173">
        <f t="shared" si="66"/>
        <v>0.72384585370410681</v>
      </c>
      <c r="AG172" s="172">
        <f t="shared" si="67"/>
        <v>0</v>
      </c>
      <c r="AH172" s="172">
        <f t="shared" si="68"/>
        <v>6</v>
      </c>
      <c r="AI172" s="221">
        <f t="shared" si="69"/>
        <v>0.72384585370410681</v>
      </c>
      <c r="AJ172" s="261" t="b">
        <f t="shared" si="70"/>
        <v>0</v>
      </c>
      <c r="AK172" s="261" t="b">
        <f t="shared" si="71"/>
        <v>0</v>
      </c>
      <c r="AL172" s="261"/>
      <c r="AM172" s="261"/>
      <c r="AN172" s="75"/>
    </row>
    <row r="173" spans="1:40" s="6" customFormat="1" ht="11.25" customHeight="1" x14ac:dyDescent="0.2">
      <c r="A173" s="56">
        <f t="shared" si="75"/>
        <v>45085</v>
      </c>
      <c r="B173" s="406">
        <f>'2022'!Wh/'2022'!Env_an*'2023'!Env_an</f>
        <v>89.981856190607118</v>
      </c>
      <c r="C173" s="385"/>
      <c r="D173" s="388">
        <f t="shared" si="50"/>
        <v>90.799760594199142</v>
      </c>
      <c r="E173" s="380">
        <f t="shared" si="76"/>
        <v>94.346266626085054</v>
      </c>
      <c r="F173" s="380">
        <f t="shared" si="51"/>
        <v>94.346648586994419</v>
      </c>
      <c r="G173" s="110">
        <f t="shared" si="77"/>
        <v>0.37456981297514791</v>
      </c>
      <c r="H173" s="409" t="b">
        <f>Wh_hp&gt;='2022'!Maxi_hp</f>
        <v>0</v>
      </c>
      <c r="I173" s="385">
        <f>IF(H173,Wh_hp,'2022'!Maxi_hp)</f>
        <v>94.348824057543851</v>
      </c>
      <c r="J173" s="85">
        <f>IF(H173,An,'2022'!An_max)</f>
        <v>2022</v>
      </c>
      <c r="K173" s="193">
        <f t="shared" si="52"/>
        <v>45085</v>
      </c>
      <c r="L173" s="143">
        <f>IF(t&lt;Tvie,1-EXP((T0-t)*PertePVj)+'2022'!Pspv,1-EXP((T0-t)*PertePVj)+Pspv)</f>
        <v>9.0077814989776295E-3</v>
      </c>
      <c r="M173" s="835"/>
      <c r="N173" s="835"/>
      <c r="O173" s="48">
        <f>IF(t&lt;Tnet,'2022'!Resal+('2022'!Salim-'2022'!Resal)*(1-EXP(('2022'!Tnet-t)/('2022'!Tau_j))),Resal+(Salim-Resal)*(1-EXP((Tnet-t)/(Tau_j))))*Salcycl</f>
        <v>3.7590316593464117E-2</v>
      </c>
      <c r="P173" s="165">
        <f>(INDEX(Models!$BJ173:$BT173,,T173)*(1-R173)+INDEX(Models!$BJ173:$BT173,,T173+1)*R173-ERP_i)*Q173*Ramure*Pc/MaxiM</f>
        <v>3.7997355439082886E-5</v>
      </c>
      <c r="Q173" s="301">
        <f t="shared" si="53"/>
        <v>0.5</v>
      </c>
      <c r="R173" s="173">
        <f t="shared" si="54"/>
        <v>0.72897795965737333</v>
      </c>
      <c r="S173" s="801">
        <f t="shared" si="55"/>
        <v>0</v>
      </c>
      <c r="T173" s="172">
        <f t="shared" si="56"/>
        <v>6</v>
      </c>
      <c r="U173" s="247">
        <f t="shared" si="57"/>
        <v>0.72897795965737333</v>
      </c>
      <c r="V173" s="378">
        <f t="shared" si="58"/>
        <v>240.2190413613327</v>
      </c>
      <c r="W173" s="397">
        <f t="shared" si="59"/>
        <v>89.981856190607118</v>
      </c>
      <c r="X173" s="153">
        <f t="shared" si="60"/>
        <v>45085</v>
      </c>
      <c r="Y173" s="380">
        <f t="shared" si="61"/>
        <v>89.981856190607118</v>
      </c>
      <c r="Z173" s="380">
        <f t="shared" si="62"/>
        <v>90.799760594199142</v>
      </c>
      <c r="AA173" s="381">
        <f t="shared" si="63"/>
        <v>94.346266626085054</v>
      </c>
      <c r="AB173" s="193">
        <f t="shared" si="64"/>
        <v>45085</v>
      </c>
      <c r="AC173" s="420">
        <f>IF(OR(t&lt;Tnet,NoTnet),'2022'!Resal_s+('2022'!Salim-'2022'!Resal_s)*(1-EXP(('2022'!Tnet_s-t)/'2022'!Tau_j)),Resal_s+(Salim-Resal_s)*(1-EXP((Tnet_s-t)/Tau_j)))*Salcycl</f>
        <v>3.7590316593464117E-2</v>
      </c>
      <c r="AD173" s="227">
        <f>(INDEX(Models!$BJ173:$BT173,,AH173)*(1-AF173)+INDEX(Models!$BJ173:$BT173,,AH173+1)*AF173-ERP_i)*AE173*Ramure*Pc/MaxiM</f>
        <v>3.7997355439082886E-5</v>
      </c>
      <c r="AE173" s="301">
        <f t="shared" si="65"/>
        <v>0.5</v>
      </c>
      <c r="AF173" s="173">
        <f t="shared" si="66"/>
        <v>0.72897795965737333</v>
      </c>
      <c r="AG173" s="172">
        <f t="shared" si="67"/>
        <v>0</v>
      </c>
      <c r="AH173" s="172">
        <f t="shared" si="68"/>
        <v>6</v>
      </c>
      <c r="AI173" s="221">
        <f t="shared" si="69"/>
        <v>0.72897795965737333</v>
      </c>
      <c r="AJ173" s="261" t="b">
        <f t="shared" si="70"/>
        <v>0</v>
      </c>
      <c r="AK173" s="261" t="b">
        <f t="shared" si="71"/>
        <v>0</v>
      </c>
      <c r="AL173" s="261"/>
      <c r="AM173" s="261"/>
      <c r="AN173" s="75"/>
    </row>
    <row r="174" spans="1:40" s="6" customFormat="1" ht="11.25" customHeight="1" x14ac:dyDescent="0.2">
      <c r="A174" s="56">
        <f t="shared" si="75"/>
        <v>45086</v>
      </c>
      <c r="B174" s="406">
        <f>'2022'!Wh/'2022'!Env_an*'2023'!Env_an</f>
        <v>190.89385588425776</v>
      </c>
      <c r="C174" s="385"/>
      <c r="D174" s="388">
        <f t="shared" si="50"/>
        <v>192.63165293604695</v>
      </c>
      <c r="E174" s="380">
        <f t="shared" si="76"/>
        <v>200.16888840923028</v>
      </c>
      <c r="F174" s="380">
        <f t="shared" si="51"/>
        <v>200.17417950935911</v>
      </c>
      <c r="G174" s="110">
        <f t="shared" si="77"/>
        <v>0.79454880975710718</v>
      </c>
      <c r="H174" s="409" t="b">
        <f>Wh_hp&gt;='2022'!Maxi_hp</f>
        <v>0</v>
      </c>
      <c r="I174" s="385">
        <f>IF(H174,Wh_hp,'2022'!Maxi_hp)</f>
        <v>200.17566222023561</v>
      </c>
      <c r="J174" s="85">
        <f>IF(H174,An,'2022'!An_max)</f>
        <v>2022</v>
      </c>
      <c r="K174" s="193">
        <f t="shared" si="52"/>
        <v>45086</v>
      </c>
      <c r="L174" s="143">
        <f>IF(t&lt;Tvie,1-EXP((T0-t)*PertePVj)+'2022'!Pspv,1-EXP((T0-t)*PertePVj)+Pspv)</f>
        <v>9.0213473502516184E-3</v>
      </c>
      <c r="M174" s="835"/>
      <c r="N174" s="835"/>
      <c r="O174" s="48">
        <f>IF(t&lt;Tnet,'2022'!Resal+('2022'!Salim-'2022'!Resal)*(1-EXP(('2022'!Tnet-t)/('2022'!Tau_j))),Resal+(Salim-Resal)*(1-EXP((Tnet-t)/(Tau_j))))*Salcycl</f>
        <v>3.7654380423864965E-2</v>
      </c>
      <c r="P174" s="165">
        <f>(INDEX(Models!$BJ174:$BT174,,T174)*(1-R174)+INDEX(Models!$BJ174:$BT174,,T174+1)*R174-ERP_i)*Q174*Ramure*Pc/MaxiM</f>
        <v>3.7412707674560953E-5</v>
      </c>
      <c r="Q174" s="301">
        <f t="shared" si="53"/>
        <v>0.5</v>
      </c>
      <c r="R174" s="173">
        <f t="shared" si="54"/>
        <v>0.73411873430167918</v>
      </c>
      <c r="S174" s="801">
        <f t="shared" si="55"/>
        <v>0</v>
      </c>
      <c r="T174" s="172">
        <f t="shared" si="56"/>
        <v>6</v>
      </c>
      <c r="U174" s="247">
        <f t="shared" si="57"/>
        <v>0.73411873430167918</v>
      </c>
      <c r="V174" s="378">
        <f t="shared" si="58"/>
        <v>240.2517723603849</v>
      </c>
      <c r="W174" s="397">
        <f t="shared" si="59"/>
        <v>190.89385588425776</v>
      </c>
      <c r="X174" s="153">
        <f t="shared" si="60"/>
        <v>45086</v>
      </c>
      <c r="Y174" s="380">
        <f t="shared" si="61"/>
        <v>190.89385588425776</v>
      </c>
      <c r="Z174" s="380">
        <f t="shared" si="62"/>
        <v>192.63165293604695</v>
      </c>
      <c r="AA174" s="381">
        <f t="shared" si="63"/>
        <v>200.16888840923028</v>
      </c>
      <c r="AB174" s="193">
        <f t="shared" si="64"/>
        <v>45086</v>
      </c>
      <c r="AC174" s="420">
        <f>IF(OR(t&lt;Tnet,NoTnet),'2022'!Resal_s+('2022'!Salim-'2022'!Resal_s)*(1-EXP(('2022'!Tnet_s-t)/'2022'!Tau_j)),Resal_s+(Salim-Resal_s)*(1-EXP((Tnet_s-t)/Tau_j)))*Salcycl</f>
        <v>3.7654380423864965E-2</v>
      </c>
      <c r="AD174" s="227">
        <f>(INDEX(Models!$BJ174:$BT174,,AH174)*(1-AF174)+INDEX(Models!$BJ174:$BT174,,AH174+1)*AF174-ERP_i)*AE174*Ramure*Pc/MaxiM</f>
        <v>3.7412707674560953E-5</v>
      </c>
      <c r="AE174" s="301">
        <f t="shared" si="65"/>
        <v>0.5</v>
      </c>
      <c r="AF174" s="173">
        <f t="shared" si="66"/>
        <v>0.73411873430167918</v>
      </c>
      <c r="AG174" s="172">
        <f t="shared" si="67"/>
        <v>0</v>
      </c>
      <c r="AH174" s="172">
        <f t="shared" si="68"/>
        <v>6</v>
      </c>
      <c r="AI174" s="221">
        <f t="shared" si="69"/>
        <v>0.73411873430167918</v>
      </c>
      <c r="AJ174" s="261" t="b">
        <f t="shared" si="70"/>
        <v>0</v>
      </c>
      <c r="AK174" s="261" t="b">
        <f t="shared" si="71"/>
        <v>0</v>
      </c>
      <c r="AL174" s="261"/>
      <c r="AM174" s="261"/>
      <c r="AN174" s="75"/>
    </row>
    <row r="175" spans="1:40" s="6" customFormat="1" ht="11.25" customHeight="1" x14ac:dyDescent="0.2">
      <c r="A175" s="56">
        <f t="shared" si="75"/>
        <v>45087</v>
      </c>
      <c r="B175" s="406">
        <f>'2022'!Wh/'2022'!Env_an*'2023'!Env_an</f>
        <v>241.32843317104934</v>
      </c>
      <c r="C175" s="385"/>
      <c r="D175" s="388">
        <f t="shared" si="50"/>
        <v>243.52869373580873</v>
      </c>
      <c r="E175" s="380">
        <f t="shared" si="76"/>
        <v>253.07414374667354</v>
      </c>
      <c r="F175" s="380">
        <f t="shared" si="51"/>
        <v>253.08346878897103</v>
      </c>
      <c r="G175" s="110">
        <f t="shared" si="77"/>
        <v>1.0044007926630025</v>
      </c>
      <c r="H175" s="409" t="b">
        <f>Wh_hp&gt;='2022'!Maxi_hp</f>
        <v>1</v>
      </c>
      <c r="I175" s="385">
        <f>IF(H175,Wh_hp,'2022'!Maxi_hp)</f>
        <v>253.08346878897103</v>
      </c>
      <c r="J175" s="85">
        <f>IF(H175,An,'2022'!An_max)</f>
        <v>2023</v>
      </c>
      <c r="K175" s="193">
        <f t="shared" si="52"/>
        <v>45087</v>
      </c>
      <c r="L175" s="143">
        <f>IF(t&lt;Tvie,1-EXP((T0-t)*PertePVj)+'2022'!Pspv,1-EXP((T0-t)*PertePVj)+Pspv)</f>
        <v>9.0349130158203783E-3</v>
      </c>
      <c r="M175" s="835"/>
      <c r="N175" s="835"/>
      <c r="O175" s="48">
        <f>IF(t&lt;Tnet,'2022'!Resal+('2022'!Salim-'2022'!Resal)*(1-EXP(('2022'!Tnet-t)/('2022'!Tau_j))),Resal+(Salim-Resal)*(1-EXP((Tnet-t)/(Tau_j))))*Salcycl</f>
        <v>3.7717997854493458E-2</v>
      </c>
      <c r="P175" s="165">
        <f>(INDEX(Models!$BJ175:$BT175,,T175)*(1-R175)+INDEX(Models!$BJ175:$BT175,,T175+1)*R175-ERP_i)*Q175*Ramure*Pc/MaxiM</f>
        <v>3.6845718695514258E-5</v>
      </c>
      <c r="Q175" s="301">
        <f t="shared" si="53"/>
        <v>0.5</v>
      </c>
      <c r="R175" s="173">
        <f t="shared" si="54"/>
        <v>0.73926385061269073</v>
      </c>
      <c r="S175" s="801">
        <f t="shared" si="55"/>
        <v>0</v>
      </c>
      <c r="T175" s="172">
        <f t="shared" si="56"/>
        <v>6</v>
      </c>
      <c r="U175" s="247">
        <f t="shared" si="57"/>
        <v>0.73926385061269073</v>
      </c>
      <c r="V175" s="378">
        <f t="shared" si="58"/>
        <v>240.27105009665209</v>
      </c>
      <c r="W175" s="397">
        <f t="shared" si="59"/>
        <v>241.32843317104934</v>
      </c>
      <c r="X175" s="153">
        <f t="shared" si="60"/>
        <v>45087</v>
      </c>
      <c r="Y175" s="380">
        <f t="shared" si="61"/>
        <v>241.32843317104934</v>
      </c>
      <c r="Z175" s="380">
        <f t="shared" si="62"/>
        <v>243.52869373580873</v>
      </c>
      <c r="AA175" s="381">
        <f t="shared" si="63"/>
        <v>253.07414374667354</v>
      </c>
      <c r="AB175" s="193">
        <f t="shared" si="64"/>
        <v>45087</v>
      </c>
      <c r="AC175" s="420">
        <f>IF(OR(t&lt;Tnet,NoTnet),'2022'!Resal_s+('2022'!Salim-'2022'!Resal_s)*(1-EXP(('2022'!Tnet_s-t)/'2022'!Tau_j)),Resal_s+(Salim-Resal_s)*(1-EXP((Tnet_s-t)/Tau_j)))*Salcycl</f>
        <v>3.7717997854493458E-2</v>
      </c>
      <c r="AD175" s="227">
        <f>(INDEX(Models!$BJ175:$BT175,,AH175)*(1-AF175)+INDEX(Models!$BJ175:$BT175,,AH175+1)*AF175-ERP_i)*AE175*Ramure*Pc/MaxiM</f>
        <v>3.6845718695514258E-5</v>
      </c>
      <c r="AE175" s="301">
        <f t="shared" si="65"/>
        <v>0.5</v>
      </c>
      <c r="AF175" s="173">
        <f t="shared" si="66"/>
        <v>0.73926385061269073</v>
      </c>
      <c r="AG175" s="172">
        <f t="shared" si="67"/>
        <v>0</v>
      </c>
      <c r="AH175" s="172">
        <f t="shared" si="68"/>
        <v>6</v>
      </c>
      <c r="AI175" s="221">
        <f t="shared" si="69"/>
        <v>0.73926385061269073</v>
      </c>
      <c r="AJ175" s="261" t="b">
        <f t="shared" si="70"/>
        <v>0</v>
      </c>
      <c r="AK175" s="261" t="b">
        <f t="shared" si="71"/>
        <v>0</v>
      </c>
      <c r="AL175" s="261"/>
      <c r="AM175" s="261"/>
      <c r="AN175" s="75"/>
    </row>
    <row r="176" spans="1:40" s="6" customFormat="1" ht="11.25" customHeight="1" x14ac:dyDescent="0.2">
      <c r="A176" s="56">
        <f t="shared" si="75"/>
        <v>45088</v>
      </c>
      <c r="B176" s="406">
        <f>'2022'!Wh/'2022'!Env_an*'2023'!Env_an</f>
        <v>229.21457766137095</v>
      </c>
      <c r="C176" s="385"/>
      <c r="D176" s="388">
        <f t="shared" si="50"/>
        <v>231.30755913610375</v>
      </c>
      <c r="E176" s="380">
        <f t="shared" si="76"/>
        <v>240.38975923083441</v>
      </c>
      <c r="F176" s="380">
        <f t="shared" si="51"/>
        <v>240.39791118587101</v>
      </c>
      <c r="G176" s="110">
        <f t="shared" si="77"/>
        <v>0.95395996502893865</v>
      </c>
      <c r="H176" s="409" t="b">
        <f>Wh_hp&gt;='2022'!Maxi_hp</f>
        <v>0</v>
      </c>
      <c r="I176" s="385">
        <f>IF(H176,Wh_hp,'2022'!Maxi_hp)</f>
        <v>240.39829308903109</v>
      </c>
      <c r="J176" s="85">
        <f>IF(H176,An,'2022'!An_max)</f>
        <v>2022</v>
      </c>
      <c r="K176" s="193">
        <f t="shared" si="52"/>
        <v>45088</v>
      </c>
      <c r="L176" s="143">
        <f>IF(t&lt;Tvie,1-EXP((T0-t)*PertePVj)+'2022'!Pspv,1-EXP((T0-t)*PertePVj)+Pspv)</f>
        <v>9.0484784956865738E-3</v>
      </c>
      <c r="M176" s="835"/>
      <c r="N176" s="835"/>
      <c r="O176" s="48">
        <f>IF(t&lt;Tnet,'2022'!Resal+('2022'!Salim-'2022'!Resal)*(1-EXP(('2022'!Tnet-t)/('2022'!Tau_j))),Resal+(Salim-Resal)*(1-EXP((Tnet-t)/(Tau_j))))*Salcycl</f>
        <v>3.7781143938038893E-2</v>
      </c>
      <c r="P176" s="165">
        <f>(INDEX(Models!$BJ176:$BT176,,T176)*(1-R176)+INDEX(Models!$BJ176:$BT176,,T176+1)*R176-ERP_i)*Q176*Ramure*Pc/MaxiM</f>
        <v>3.6297478066037198E-5</v>
      </c>
      <c r="Q176" s="301">
        <f t="shared" si="53"/>
        <v>0.5</v>
      </c>
      <c r="R176" s="173">
        <f t="shared" si="54"/>
        <v>0.74440896692370218</v>
      </c>
      <c r="S176" s="801">
        <f t="shared" si="55"/>
        <v>0</v>
      </c>
      <c r="T176" s="172">
        <f t="shared" si="56"/>
        <v>6</v>
      </c>
      <c r="U176" s="247">
        <f t="shared" si="57"/>
        <v>0.74440896692370218</v>
      </c>
      <c r="V176" s="378">
        <f t="shared" si="58"/>
        <v>240.27636259355546</v>
      </c>
      <c r="W176" s="397">
        <f t="shared" si="59"/>
        <v>229.21457766137095</v>
      </c>
      <c r="X176" s="153">
        <f t="shared" si="60"/>
        <v>45088</v>
      </c>
      <c r="Y176" s="380">
        <f t="shared" si="61"/>
        <v>229.21457766137095</v>
      </c>
      <c r="Z176" s="380">
        <f t="shared" si="62"/>
        <v>231.30755913610375</v>
      </c>
      <c r="AA176" s="381">
        <f t="shared" si="63"/>
        <v>240.38975923083441</v>
      </c>
      <c r="AB176" s="193">
        <f t="shared" si="64"/>
        <v>45088</v>
      </c>
      <c r="AC176" s="420">
        <f>IF(OR(t&lt;Tnet,NoTnet),'2022'!Resal_s+('2022'!Salim-'2022'!Resal_s)*(1-EXP(('2022'!Tnet_s-t)/'2022'!Tau_j)),Resal_s+(Salim-Resal_s)*(1-EXP((Tnet_s-t)/Tau_j)))*Salcycl</f>
        <v>3.7781143938038893E-2</v>
      </c>
      <c r="AD176" s="227">
        <f>(INDEX(Models!$BJ176:$BT176,,AH176)*(1-AF176)+INDEX(Models!$BJ176:$BT176,,AH176+1)*AF176-ERP_i)*AE176*Ramure*Pc/MaxiM</f>
        <v>3.6297478066037198E-5</v>
      </c>
      <c r="AE176" s="301">
        <f t="shared" si="65"/>
        <v>0.5</v>
      </c>
      <c r="AF176" s="173">
        <f t="shared" si="66"/>
        <v>0.74440896692370218</v>
      </c>
      <c r="AG176" s="172">
        <f t="shared" si="67"/>
        <v>0</v>
      </c>
      <c r="AH176" s="172">
        <f t="shared" si="68"/>
        <v>6</v>
      </c>
      <c r="AI176" s="221">
        <f t="shared" si="69"/>
        <v>0.74440896692370218</v>
      </c>
      <c r="AJ176" s="261" t="b">
        <f t="shared" si="70"/>
        <v>0</v>
      </c>
      <c r="AK176" s="261" t="b">
        <f t="shared" si="71"/>
        <v>0</v>
      </c>
      <c r="AL176" s="261"/>
      <c r="AM176" s="261"/>
      <c r="AN176" s="75"/>
    </row>
    <row r="177" spans="1:40" s="6" customFormat="1" ht="11.25" customHeight="1" x14ac:dyDescent="0.2">
      <c r="A177" s="56">
        <f t="shared" si="75"/>
        <v>45089</v>
      </c>
      <c r="B177" s="406">
        <f>'2022'!Wh/'2022'!Env_an*'2023'!Env_an</f>
        <v>180.96099384384698</v>
      </c>
      <c r="C177" s="385"/>
      <c r="D177" s="388">
        <f t="shared" si="50"/>
        <v>182.61586682574381</v>
      </c>
      <c r="E177" s="380">
        <f t="shared" si="76"/>
        <v>189.79856481232559</v>
      </c>
      <c r="F177" s="380">
        <f t="shared" si="51"/>
        <v>189.80295991763168</v>
      </c>
      <c r="G177" s="110">
        <f t="shared" si="77"/>
        <v>0.75315557951517176</v>
      </c>
      <c r="H177" s="409" t="b">
        <f>Wh_hp&gt;='2022'!Maxi_hp</f>
        <v>0</v>
      </c>
      <c r="I177" s="385">
        <f>IF(H177,Wh_hp,'2022'!Maxi_hp)</f>
        <v>189.8045422952159</v>
      </c>
      <c r="J177" s="85">
        <f>IF(H177,An,'2022'!An_max)</f>
        <v>2022</v>
      </c>
      <c r="K177" s="193">
        <f t="shared" si="52"/>
        <v>45089</v>
      </c>
      <c r="L177" s="143">
        <f>IF(t&lt;Tvie,1-EXP((T0-t)*PertePVj)+'2022'!Pspv,1-EXP((T0-t)*PertePVj)+Pspv)</f>
        <v>9.0620437898528694E-3</v>
      </c>
      <c r="M177" s="835"/>
      <c r="N177" s="835"/>
      <c r="O177" s="48">
        <f>IF(t&lt;Tnet,'2022'!Resal+('2022'!Salim-'2022'!Resal)*(1-EXP(('2022'!Tnet-t)/('2022'!Tau_j))),Resal+(Salim-Resal)*(1-EXP((Tnet-t)/(Tau_j))))*Salcycl</f>
        <v>3.7843795044941952E-2</v>
      </c>
      <c r="P177" s="165">
        <f>(INDEX(Models!$BJ177:$BT177,,T177)*(1-R177)+INDEX(Models!$BJ177:$BT177,,T177+1)*R177-ERP_i)*Q177*Ramure*Pc/MaxiM</f>
        <v>3.5769091394182962E-5</v>
      </c>
      <c r="Q177" s="301">
        <f t="shared" si="53"/>
        <v>0.5</v>
      </c>
      <c r="R177" s="173">
        <f t="shared" si="54"/>
        <v>0.74954974156800813</v>
      </c>
      <c r="S177" s="801">
        <f t="shared" si="55"/>
        <v>0</v>
      </c>
      <c r="T177" s="172">
        <f t="shared" si="56"/>
        <v>6</v>
      </c>
      <c r="U177" s="247">
        <f t="shared" si="57"/>
        <v>0.74954974156800813</v>
      </c>
      <c r="V177" s="378">
        <f t="shared" si="58"/>
        <v>240.26737139302708</v>
      </c>
      <c r="W177" s="397">
        <f t="shared" si="59"/>
        <v>180.96099384384698</v>
      </c>
      <c r="X177" s="153">
        <f t="shared" si="60"/>
        <v>45089</v>
      </c>
      <c r="Y177" s="380">
        <f t="shared" si="61"/>
        <v>180.96099384384698</v>
      </c>
      <c r="Z177" s="380">
        <f t="shared" si="62"/>
        <v>182.61586682574381</v>
      </c>
      <c r="AA177" s="381">
        <f t="shared" si="63"/>
        <v>189.79856481232559</v>
      </c>
      <c r="AB177" s="193">
        <f t="shared" si="64"/>
        <v>45089</v>
      </c>
      <c r="AC177" s="420">
        <f>IF(OR(t&lt;Tnet,NoTnet),'2022'!Resal_s+('2022'!Salim-'2022'!Resal_s)*(1-EXP(('2022'!Tnet_s-t)/'2022'!Tau_j)),Resal_s+(Salim-Resal_s)*(1-EXP((Tnet_s-t)/Tau_j)))*Salcycl</f>
        <v>3.7843795044941952E-2</v>
      </c>
      <c r="AD177" s="227">
        <f>(INDEX(Models!$BJ177:$BT177,,AH177)*(1-AF177)+INDEX(Models!$BJ177:$BT177,,AH177+1)*AF177-ERP_i)*AE177*Ramure*Pc/MaxiM</f>
        <v>3.5769091394182962E-5</v>
      </c>
      <c r="AE177" s="301">
        <f t="shared" si="65"/>
        <v>0.5</v>
      </c>
      <c r="AF177" s="173">
        <f t="shared" si="66"/>
        <v>0.74954974156800813</v>
      </c>
      <c r="AG177" s="172">
        <f t="shared" si="67"/>
        <v>0</v>
      </c>
      <c r="AH177" s="172">
        <f t="shared" si="68"/>
        <v>6</v>
      </c>
      <c r="AI177" s="221">
        <f t="shared" si="69"/>
        <v>0.74954974156800813</v>
      </c>
      <c r="AJ177" s="261" t="b">
        <f t="shared" si="70"/>
        <v>0</v>
      </c>
      <c r="AK177" s="261" t="b">
        <f t="shared" si="71"/>
        <v>0</v>
      </c>
      <c r="AL177" s="261"/>
      <c r="AM177" s="261"/>
      <c r="AN177" s="75"/>
    </row>
    <row r="178" spans="1:40" s="6" customFormat="1" ht="11.25" customHeight="1" x14ac:dyDescent="0.2">
      <c r="A178" s="56">
        <f t="shared" si="75"/>
        <v>45090</v>
      </c>
      <c r="B178" s="406">
        <f>'2022'!Wh/'2022'!Env_an*'2023'!Env_an</f>
        <v>222.56422951155187</v>
      </c>
      <c r="C178" s="385"/>
      <c r="D178" s="388">
        <f t="shared" si="50"/>
        <v>224.6026351860327</v>
      </c>
      <c r="E178" s="380">
        <f t="shared" si="76"/>
        <v>233.45184420701142</v>
      </c>
      <c r="F178" s="380">
        <f t="shared" si="51"/>
        <v>233.45922171718166</v>
      </c>
      <c r="G178" s="110">
        <f t="shared" si="77"/>
        <v>0.92640404740984394</v>
      </c>
      <c r="H178" s="409" t="b">
        <f>Wh_hp&gt;='2022'!Maxi_hp</f>
        <v>0</v>
      </c>
      <c r="I178" s="385">
        <f>IF(H178,Wh_hp,'2022'!Maxi_hp)</f>
        <v>233.45979077270493</v>
      </c>
      <c r="J178" s="85">
        <f>IF(H178,An,'2022'!An_max)</f>
        <v>2022</v>
      </c>
      <c r="K178" s="193">
        <f t="shared" si="52"/>
        <v>45090</v>
      </c>
      <c r="L178" s="143">
        <f>IF(t&lt;Tvie,1-EXP((T0-t)*PertePVj)+'2022'!Pspv,1-EXP((T0-t)*PertePVj)+Pspv)</f>
        <v>9.0756088983215966E-3</v>
      </c>
      <c r="M178" s="835"/>
      <c r="N178" s="835"/>
      <c r="O178" s="48">
        <f>IF(t&lt;Tnet,'2022'!Resal+('2022'!Salim-'2022'!Resal)*(1-EXP(('2022'!Tnet-t)/('2022'!Tau_j))),Resal+(Salim-Resal)*(1-EXP((Tnet-t)/(Tau_j))))*Salcycl</f>
        <v>3.7905928955231386E-2</v>
      </c>
      <c r="P178" s="165">
        <f>(INDEX(Models!$BJ178:$BT178,,T178)*(1-R178)+INDEX(Models!$BJ178:$BT178,,T178+1)*R178-ERP_i)*Q178*Ramure*Pc/MaxiM</f>
        <v>3.5313428453204419E-5</v>
      </c>
      <c r="Q178" s="301">
        <f t="shared" si="53"/>
        <v>0.5</v>
      </c>
      <c r="R178" s="173">
        <f t="shared" si="54"/>
        <v>0.75468184752127465</v>
      </c>
      <c r="S178" s="801">
        <f t="shared" si="55"/>
        <v>0</v>
      </c>
      <c r="T178" s="172">
        <f t="shared" si="56"/>
        <v>6</v>
      </c>
      <c r="U178" s="247">
        <f t="shared" si="57"/>
        <v>0.75468184752127465</v>
      </c>
      <c r="V178" s="378">
        <f t="shared" si="58"/>
        <v>240.24442015431154</v>
      </c>
      <c r="W178" s="397">
        <f t="shared" si="59"/>
        <v>222.56422951155187</v>
      </c>
      <c r="X178" s="153">
        <f t="shared" si="60"/>
        <v>45090</v>
      </c>
      <c r="Y178" s="380">
        <f t="shared" si="61"/>
        <v>222.56422951155187</v>
      </c>
      <c r="Z178" s="380">
        <f t="shared" si="62"/>
        <v>224.6026351860327</v>
      </c>
      <c r="AA178" s="381">
        <f t="shared" si="63"/>
        <v>233.45184420701142</v>
      </c>
      <c r="AB178" s="193">
        <f t="shared" si="64"/>
        <v>45090</v>
      </c>
      <c r="AC178" s="420">
        <f>IF(OR(t&lt;Tnet,NoTnet),'2022'!Resal_s+('2022'!Salim-'2022'!Resal_s)*(1-EXP(('2022'!Tnet_s-t)/'2022'!Tau_j)),Resal_s+(Salim-Resal_s)*(1-EXP((Tnet_s-t)/Tau_j)))*Salcycl</f>
        <v>3.7905928955231386E-2</v>
      </c>
      <c r="AD178" s="227">
        <f>(INDEX(Models!$BJ178:$BT178,,AH178)*(1-AF178)+INDEX(Models!$BJ178:$BT178,,AH178+1)*AF178-ERP_i)*AE178*Ramure*Pc/MaxiM</f>
        <v>3.5313428453204419E-5</v>
      </c>
      <c r="AE178" s="301">
        <f t="shared" si="65"/>
        <v>0.5</v>
      </c>
      <c r="AF178" s="173">
        <f t="shared" si="66"/>
        <v>0.75468184752127465</v>
      </c>
      <c r="AG178" s="172">
        <f t="shared" si="67"/>
        <v>0</v>
      </c>
      <c r="AH178" s="172">
        <f t="shared" si="68"/>
        <v>6</v>
      </c>
      <c r="AI178" s="221">
        <f t="shared" si="69"/>
        <v>0.75468184752127465</v>
      </c>
      <c r="AJ178" s="261" t="b">
        <f t="shared" si="70"/>
        <v>0</v>
      </c>
      <c r="AK178" s="261" t="b">
        <f t="shared" si="71"/>
        <v>0</v>
      </c>
      <c r="AL178" s="261"/>
      <c r="AM178" s="261"/>
      <c r="AN178" s="75"/>
    </row>
    <row r="179" spans="1:40" s="6" customFormat="1" ht="11.25" x14ac:dyDescent="0.2">
      <c r="A179" s="56">
        <f t="shared" si="75"/>
        <v>45091</v>
      </c>
      <c r="B179" s="406">
        <f>'2022'!Wh/'2022'!Env_an*'2023'!Env_an</f>
        <v>200.9487583792403</v>
      </c>
      <c r="C179" s="385"/>
      <c r="D179" s="388">
        <f t="shared" si="50"/>
        <v>202.79196984266258</v>
      </c>
      <c r="E179" s="380">
        <f t="shared" si="76"/>
        <v>210.79534745511467</v>
      </c>
      <c r="F179" s="380">
        <f t="shared" si="51"/>
        <v>210.8009887095524</v>
      </c>
      <c r="G179" s="110">
        <f t="shared" si="77"/>
        <v>0.83655450502050999</v>
      </c>
      <c r="H179" s="409" t="b">
        <f>Wh_hp&gt;='2022'!Maxi_hp</f>
        <v>0</v>
      </c>
      <c r="I179" s="385">
        <f>IF(H179,Wh_hp,'2022'!Maxi_hp)</f>
        <v>210.80210938162338</v>
      </c>
      <c r="J179" s="85">
        <f>IF(H179,An,'2022'!An_max)</f>
        <v>2022</v>
      </c>
      <c r="K179" s="193">
        <f t="shared" si="52"/>
        <v>45091</v>
      </c>
      <c r="L179" s="143">
        <f>IF(t&lt;Tvie,1-EXP((T0-t)*PertePVj)+'2022'!Pspv,1-EXP((T0-t)*PertePVj)+Pspv)</f>
        <v>9.0891738210953088E-3</v>
      </c>
      <c r="M179" s="835"/>
      <c r="N179" s="835"/>
      <c r="O179" s="48">
        <f>IF(t&lt;Tnet,'2022'!Resal+('2022'!Salim-'2022'!Resal)*(1-EXP(('2022'!Tnet-t)/('2022'!Tau_j))),Resal+(Salim-Resal)*(1-EXP((Tnet-t)/(Tau_j))))*Salcycl</f>
        <v>3.7967524943387412E-2</v>
      </c>
      <c r="P179" s="165">
        <f>(INDEX(Models!$BJ179:$BT179,,T179)*(1-R179)+INDEX(Models!$BJ179:$BT179,,T179+1)*R179-ERP_i)*Q179*Ramure*Pc/MaxiM</f>
        <v>3.4912561950436312E-5</v>
      </c>
      <c r="Q179" s="301">
        <f t="shared" si="53"/>
        <v>0.5</v>
      </c>
      <c r="R179" s="173">
        <f t="shared" si="54"/>
        <v>0.75980098693910048</v>
      </c>
      <c r="S179" s="801">
        <f t="shared" si="55"/>
        <v>0</v>
      </c>
      <c r="T179" s="172">
        <f t="shared" si="56"/>
        <v>6</v>
      </c>
      <c r="U179" s="247">
        <f t="shared" si="57"/>
        <v>0.75980098693910048</v>
      </c>
      <c r="V179" s="378">
        <f t="shared" si="58"/>
        <v>240.20804274190596</v>
      </c>
      <c r="W179" s="397">
        <f t="shared" si="59"/>
        <v>200.9487583792403</v>
      </c>
      <c r="X179" s="153">
        <f t="shared" si="60"/>
        <v>45091</v>
      </c>
      <c r="Y179" s="380">
        <f t="shared" si="61"/>
        <v>200.9487583792403</v>
      </c>
      <c r="Z179" s="380">
        <f t="shared" si="62"/>
        <v>202.79196984266258</v>
      </c>
      <c r="AA179" s="381">
        <f t="shared" si="63"/>
        <v>210.79534745511467</v>
      </c>
      <c r="AB179" s="193">
        <f t="shared" si="64"/>
        <v>45091</v>
      </c>
      <c r="AC179" s="420">
        <f>IF(OR(t&lt;Tnet,NoTnet),'2022'!Resal_s+('2022'!Salim-'2022'!Resal_s)*(1-EXP(('2022'!Tnet_s-t)/'2022'!Tau_j)),Resal_s+(Salim-Resal_s)*(1-EXP((Tnet_s-t)/Tau_j)))*Salcycl</f>
        <v>3.7967524943387412E-2</v>
      </c>
      <c r="AD179" s="227">
        <f>(INDEX(Models!$BJ179:$BT179,,AH179)*(1-AF179)+INDEX(Models!$BJ179:$BT179,,AH179+1)*AF179-ERP_i)*AE179*Ramure*Pc/MaxiM</f>
        <v>3.4912561950436312E-5</v>
      </c>
      <c r="AE179" s="301">
        <f t="shared" si="65"/>
        <v>0.5</v>
      </c>
      <c r="AF179" s="173">
        <f t="shared" si="66"/>
        <v>0.75980098693910048</v>
      </c>
      <c r="AG179" s="172">
        <f t="shared" si="67"/>
        <v>0</v>
      </c>
      <c r="AH179" s="172">
        <f t="shared" si="68"/>
        <v>6</v>
      </c>
      <c r="AI179" s="221">
        <f t="shared" si="69"/>
        <v>0.75980098693910048</v>
      </c>
      <c r="AJ179" s="261" t="b">
        <f t="shared" si="70"/>
        <v>0</v>
      </c>
      <c r="AK179" s="261" t="b">
        <f t="shared" si="71"/>
        <v>0</v>
      </c>
      <c r="AL179" s="261"/>
      <c r="AM179" s="261"/>
      <c r="AN179" s="75"/>
    </row>
    <row r="180" spans="1:40" s="6" customFormat="1" ht="11.25" customHeight="1" x14ac:dyDescent="0.2">
      <c r="A180" s="56">
        <f t="shared" si="75"/>
        <v>45092</v>
      </c>
      <c r="B180" s="406">
        <f>'2022'!Wh/'2022'!Env_an*'2023'!Env_an</f>
        <v>225.57563370596981</v>
      </c>
      <c r="C180" s="385"/>
      <c r="D180" s="388">
        <f t="shared" si="50"/>
        <v>227.64785259144003</v>
      </c>
      <c r="E180" s="380">
        <f t="shared" si="76"/>
        <v>236.64720597511374</v>
      </c>
      <c r="F180" s="380">
        <f t="shared" si="51"/>
        <v>236.65467714471202</v>
      </c>
      <c r="G180" s="110">
        <f t="shared" si="77"/>
        <v>0.93927429557839082</v>
      </c>
      <c r="H180" s="409" t="b">
        <f>Wh_hp&gt;='2022'!Maxi_hp</f>
        <v>0</v>
      </c>
      <c r="I180" s="385">
        <f>IF(H180,Wh_hp,'2022'!Maxi_hp)</f>
        <v>236.65513691987971</v>
      </c>
      <c r="J180" s="85">
        <f>IF(H180,An,'2022'!An_max)</f>
        <v>2022</v>
      </c>
      <c r="K180" s="193">
        <f t="shared" si="52"/>
        <v>45092</v>
      </c>
      <c r="L180" s="143">
        <f>IF(t&lt;Tvie,1-EXP((T0-t)*PertePVj)+'2022'!Pspv,1-EXP((T0-t)*PertePVj)+Pspv)</f>
        <v>9.1027385581766707E-3</v>
      </c>
      <c r="M180" s="835"/>
      <c r="N180" s="835"/>
      <c r="O180" s="48">
        <f>IF(t&lt;Tnet,'2022'!Resal+('2022'!Salim-'2022'!Resal)*(1-EXP(('2022'!Tnet-t)/('2022'!Tau_j))),Resal+(Salim-Resal)*(1-EXP((Tnet-t)/(Tau_j))))*Salcycl</f>
        <v>3.802856385559903E-2</v>
      </c>
      <c r="P180" s="165">
        <f>(INDEX(Models!$BJ180:$BT180,,T180)*(1-R180)+INDEX(Models!$BJ180:$BT180,,T180+1)*R180-ERP_i)*Q180*Ramure*Pc/MaxiM</f>
        <v>3.4568647427936185E-5</v>
      </c>
      <c r="Q180" s="301">
        <f t="shared" si="53"/>
        <v>0.5</v>
      </c>
      <c r="R180" s="173">
        <f t="shared" si="54"/>
        <v>0.76490290548624063</v>
      </c>
      <c r="S180" s="801">
        <f t="shared" si="55"/>
        <v>0</v>
      </c>
      <c r="T180" s="172">
        <f t="shared" si="56"/>
        <v>6</v>
      </c>
      <c r="U180" s="247">
        <f t="shared" si="57"/>
        <v>0.76490290548624063</v>
      </c>
      <c r="V180" s="378">
        <f t="shared" si="58"/>
        <v>240.15876757941538</v>
      </c>
      <c r="W180" s="397">
        <f t="shared" si="59"/>
        <v>225.57563370596981</v>
      </c>
      <c r="X180" s="153">
        <f t="shared" si="60"/>
        <v>45092</v>
      </c>
      <c r="Y180" s="380">
        <f t="shared" si="61"/>
        <v>225.57563370596981</v>
      </c>
      <c r="Z180" s="380">
        <f t="shared" si="62"/>
        <v>227.64785259144003</v>
      </c>
      <c r="AA180" s="381">
        <f t="shared" si="63"/>
        <v>236.64720597511374</v>
      </c>
      <c r="AB180" s="193">
        <f t="shared" si="64"/>
        <v>45092</v>
      </c>
      <c r="AC180" s="420">
        <f>IF(OR(t&lt;Tnet,NoTnet),'2022'!Resal_s+('2022'!Salim-'2022'!Resal_s)*(1-EXP(('2022'!Tnet_s-t)/'2022'!Tau_j)),Resal_s+(Salim-Resal_s)*(1-EXP((Tnet_s-t)/Tau_j)))*Salcycl</f>
        <v>3.802856385559903E-2</v>
      </c>
      <c r="AD180" s="227">
        <f>(INDEX(Models!$BJ180:$BT180,,AH180)*(1-AF180)+INDEX(Models!$BJ180:$BT180,,AH180+1)*AF180-ERP_i)*AE180*Ramure*Pc/MaxiM</f>
        <v>3.4568647427936185E-5</v>
      </c>
      <c r="AE180" s="301">
        <f t="shared" si="65"/>
        <v>0.5</v>
      </c>
      <c r="AF180" s="173">
        <f t="shared" si="66"/>
        <v>0.76490290548624063</v>
      </c>
      <c r="AG180" s="172">
        <f t="shared" si="67"/>
        <v>0</v>
      </c>
      <c r="AH180" s="172">
        <f t="shared" si="68"/>
        <v>6</v>
      </c>
      <c r="AI180" s="221">
        <f t="shared" si="69"/>
        <v>0.76490290548624063</v>
      </c>
      <c r="AJ180" s="261" t="b">
        <f t="shared" si="70"/>
        <v>0</v>
      </c>
      <c r="AK180" s="261" t="b">
        <f t="shared" si="71"/>
        <v>0</v>
      </c>
      <c r="AL180" s="261"/>
      <c r="AM180" s="261"/>
      <c r="AN180" s="75"/>
    </row>
    <row r="181" spans="1:40" s="6" customFormat="1" ht="11.25" x14ac:dyDescent="0.2">
      <c r="A181" s="56">
        <f t="shared" si="75"/>
        <v>45093</v>
      </c>
      <c r="B181" s="406">
        <f>'2022'!Wh/'2022'!Env_an*'2023'!Env_an</f>
        <v>212.95754057747948</v>
      </c>
      <c r="C181" s="385"/>
      <c r="D181" s="388">
        <f t="shared" si="50"/>
        <v>214.9167871524962</v>
      </c>
      <c r="E181" s="380">
        <f t="shared" si="76"/>
        <v>223.42690066794722</v>
      </c>
      <c r="F181" s="380">
        <f t="shared" si="51"/>
        <v>223.43332386517756</v>
      </c>
      <c r="G181" s="110">
        <f t="shared" si="77"/>
        <v>0.88695924123218006</v>
      </c>
      <c r="H181" s="409" t="b">
        <f>Wh_hp&gt;='2022'!Maxi_hp</f>
        <v>0</v>
      </c>
      <c r="I181" s="385">
        <f>IF(H181,Wh_hp,'2022'!Maxi_hp)</f>
        <v>223.43412002799909</v>
      </c>
      <c r="J181" s="85">
        <f>IF(H181,An,'2022'!An_max)</f>
        <v>2022</v>
      </c>
      <c r="K181" s="193">
        <f t="shared" si="52"/>
        <v>45093</v>
      </c>
      <c r="L181" s="143">
        <f>IF(t&lt;Tvie,1-EXP((T0-t)*PertePVj)+'2022'!Pspv,1-EXP((T0-t)*PertePVj)+Pspv)</f>
        <v>9.1163031095682356E-3</v>
      </c>
      <c r="M181" s="835"/>
      <c r="N181" s="835"/>
      <c r="O181" s="48">
        <f>IF(t&lt;Tnet,'2022'!Resal+('2022'!Salim-'2022'!Resal)*(1-EXP(('2022'!Tnet-t)/('2022'!Tau_j))),Resal+(Salim-Resal)*(1-EXP((Tnet-t)/(Tau_j))))*Salcycl</f>
        <v>3.8089028178834222E-2</v>
      </c>
      <c r="P181" s="165">
        <f>(INDEX(Models!$BJ181:$BT181,,T181)*(1-R181)+INDEX(Models!$BJ181:$BT181,,T181+1)*R181-ERP_i)*Q181*Ramure*Pc/MaxiM</f>
        <v>3.4283864773360976E-5</v>
      </c>
      <c r="Q181" s="301">
        <f t="shared" si="53"/>
        <v>0.5</v>
      </c>
      <c r="R181" s="173">
        <f t="shared" si="54"/>
        <v>0.76998340635651252</v>
      </c>
      <c r="S181" s="801">
        <f t="shared" si="55"/>
        <v>0</v>
      </c>
      <c r="T181" s="172">
        <f t="shared" si="56"/>
        <v>6</v>
      </c>
      <c r="U181" s="247">
        <f t="shared" si="57"/>
        <v>0.76998340635651252</v>
      </c>
      <c r="V181" s="378">
        <f t="shared" si="58"/>
        <v>240.09712248178485</v>
      </c>
      <c r="W181" s="397">
        <f t="shared" si="59"/>
        <v>212.95754057747948</v>
      </c>
      <c r="X181" s="153">
        <f t="shared" si="60"/>
        <v>45093</v>
      </c>
      <c r="Y181" s="380">
        <f t="shared" si="61"/>
        <v>212.95754057747948</v>
      </c>
      <c r="Z181" s="380">
        <f t="shared" si="62"/>
        <v>214.9167871524962</v>
      </c>
      <c r="AA181" s="381">
        <f t="shared" si="63"/>
        <v>223.42690066794722</v>
      </c>
      <c r="AB181" s="193">
        <f t="shared" si="64"/>
        <v>45093</v>
      </c>
      <c r="AC181" s="420">
        <f>IF(OR(t&lt;Tnet,NoTnet),'2022'!Resal_s+('2022'!Salim-'2022'!Resal_s)*(1-EXP(('2022'!Tnet_s-t)/'2022'!Tau_j)),Resal_s+(Salim-Resal_s)*(1-EXP((Tnet_s-t)/Tau_j)))*Salcycl</f>
        <v>3.8089028178834222E-2</v>
      </c>
      <c r="AD181" s="227">
        <f>(INDEX(Models!$BJ181:$BT181,,AH181)*(1-AF181)+INDEX(Models!$BJ181:$BT181,,AH181+1)*AF181-ERP_i)*AE181*Ramure*Pc/MaxiM</f>
        <v>3.4283864773360976E-5</v>
      </c>
      <c r="AE181" s="301">
        <f t="shared" si="65"/>
        <v>0.5</v>
      </c>
      <c r="AF181" s="173">
        <f t="shared" si="66"/>
        <v>0.76998340635651252</v>
      </c>
      <c r="AG181" s="172">
        <f t="shared" si="67"/>
        <v>0</v>
      </c>
      <c r="AH181" s="172">
        <f t="shared" si="68"/>
        <v>6</v>
      </c>
      <c r="AI181" s="221">
        <f t="shared" si="69"/>
        <v>0.76998340635651252</v>
      </c>
      <c r="AJ181" s="261" t="b">
        <f t="shared" si="70"/>
        <v>0</v>
      </c>
      <c r="AK181" s="261" t="b">
        <f t="shared" si="71"/>
        <v>0</v>
      </c>
      <c r="AL181" s="261"/>
      <c r="AM181" s="261"/>
      <c r="AN181" s="75"/>
    </row>
    <row r="182" spans="1:40" s="6" customFormat="1" ht="11.25" x14ac:dyDescent="0.2">
      <c r="A182" s="56">
        <f t="shared" si="75"/>
        <v>45094</v>
      </c>
      <c r="B182" s="406">
        <f>'2022'!Wh/'2022'!Env_an*'2023'!Env_an</f>
        <v>219.60342216901407</v>
      </c>
      <c r="C182" s="385"/>
      <c r="D182" s="388">
        <f t="shared" si="50"/>
        <v>221.62684590105331</v>
      </c>
      <c r="E182" s="380">
        <f t="shared" si="76"/>
        <v>230.41700153506636</v>
      </c>
      <c r="F182" s="380">
        <f t="shared" si="51"/>
        <v>230.42389600543405</v>
      </c>
      <c r="G182" s="110">
        <f t="shared" si="77"/>
        <v>0.91492037194413633</v>
      </c>
      <c r="H182" s="409" t="b">
        <f>Wh_hp&gt;='2022'!Maxi_hp</f>
        <v>0</v>
      </c>
      <c r="I182" s="385">
        <f>IF(H182,Wh_hp,'2022'!Maxi_hp)</f>
        <v>230.42450598250218</v>
      </c>
      <c r="J182" s="85">
        <f>IF(H182,An,'2022'!An_max)</f>
        <v>2022</v>
      </c>
      <c r="K182" s="193">
        <f t="shared" si="52"/>
        <v>45094</v>
      </c>
      <c r="L182" s="143">
        <f>IF(t&lt;Tvie,1-EXP((T0-t)*PertePVj)+'2022'!Pspv,1-EXP((T0-t)*PertePVj)+Pspv)</f>
        <v>9.1298674752724462E-3</v>
      </c>
      <c r="M182" s="835"/>
      <c r="N182" s="835"/>
      <c r="O182" s="48">
        <f>IF(t&lt;Tnet,'2022'!Resal+('2022'!Salim-'2022'!Resal)*(1-EXP(('2022'!Tnet-t)/('2022'!Tau_j))),Resal+(Salim-Resal)*(1-EXP((Tnet-t)/(Tau_j))))*Salcycl</f>
        <v>3.8148902101198957E-2</v>
      </c>
      <c r="P182" s="165">
        <f>(INDEX(Models!$BJ182:$BT182,,T182)*(1-R182)+INDEX(Models!$BJ182:$BT182,,T182+1)*R182-ERP_i)*Q182*Ramure*Pc/MaxiM</f>
        <v>3.4060410496859672E-5</v>
      </c>
      <c r="Q182" s="301">
        <f t="shared" si="53"/>
        <v>0.5</v>
      </c>
      <c r="R182" s="173">
        <f t="shared" si="54"/>
        <v>0.7750383638861722</v>
      </c>
      <c r="S182" s="801">
        <f t="shared" si="55"/>
        <v>0</v>
      </c>
      <c r="T182" s="172">
        <f t="shared" si="56"/>
        <v>6</v>
      </c>
      <c r="U182" s="247">
        <f t="shared" si="57"/>
        <v>0.7750383638861722</v>
      </c>
      <c r="V182" s="378">
        <f t="shared" si="58"/>
        <v>240.02363463113113</v>
      </c>
      <c r="W182" s="397">
        <f t="shared" si="59"/>
        <v>219.60342216901407</v>
      </c>
      <c r="X182" s="153">
        <f t="shared" si="60"/>
        <v>45094</v>
      </c>
      <c r="Y182" s="380">
        <f t="shared" si="61"/>
        <v>219.60342216901407</v>
      </c>
      <c r="Z182" s="380">
        <f t="shared" si="62"/>
        <v>221.62684590105331</v>
      </c>
      <c r="AA182" s="381">
        <f t="shared" si="63"/>
        <v>230.41700153506636</v>
      </c>
      <c r="AB182" s="193">
        <f t="shared" si="64"/>
        <v>45094</v>
      </c>
      <c r="AC182" s="420">
        <f>IF(OR(t&lt;Tnet,NoTnet),'2022'!Resal_s+('2022'!Salim-'2022'!Resal_s)*(1-EXP(('2022'!Tnet_s-t)/'2022'!Tau_j)),Resal_s+(Salim-Resal_s)*(1-EXP((Tnet_s-t)/Tau_j)))*Salcycl</f>
        <v>3.8148902101198957E-2</v>
      </c>
      <c r="AD182" s="227">
        <f>(INDEX(Models!$BJ182:$BT182,,AH182)*(1-AF182)+INDEX(Models!$BJ182:$BT182,,AH182+1)*AF182-ERP_i)*AE182*Ramure*Pc/MaxiM</f>
        <v>3.4060410496859672E-5</v>
      </c>
      <c r="AE182" s="301">
        <f t="shared" si="65"/>
        <v>0.5</v>
      </c>
      <c r="AF182" s="173">
        <f t="shared" si="66"/>
        <v>0.7750383638861722</v>
      </c>
      <c r="AG182" s="172">
        <f t="shared" si="67"/>
        <v>0</v>
      </c>
      <c r="AH182" s="172">
        <f t="shared" si="68"/>
        <v>6</v>
      </c>
      <c r="AI182" s="221">
        <f t="shared" si="69"/>
        <v>0.7750383638861722</v>
      </c>
      <c r="AJ182" s="261" t="b">
        <f t="shared" si="70"/>
        <v>0</v>
      </c>
      <c r="AK182" s="261" t="b">
        <f t="shared" si="71"/>
        <v>0</v>
      </c>
      <c r="AL182" s="261"/>
      <c r="AM182" s="261"/>
      <c r="AN182" s="75"/>
    </row>
    <row r="183" spans="1:40" s="6" customFormat="1" ht="11.25" x14ac:dyDescent="0.2">
      <c r="A183" s="56">
        <f t="shared" si="75"/>
        <v>45095</v>
      </c>
      <c r="B183" s="406">
        <f>'2022'!Wh/'2022'!Env_an*'2023'!Env_an</f>
        <v>226.40379475161191</v>
      </c>
      <c r="C183" s="385"/>
      <c r="D183" s="388">
        <f t="shared" si="50"/>
        <v>228.4930049258638</v>
      </c>
      <c r="E183" s="380">
        <f t="shared" si="76"/>
        <v>237.57012502093656</v>
      </c>
      <c r="F183" s="380">
        <f t="shared" si="51"/>
        <v>237.57752997458073</v>
      </c>
      <c r="G183" s="110">
        <f t="shared" si="77"/>
        <v>0.94358706207820364</v>
      </c>
      <c r="H183" s="409" t="b">
        <f>Wh_hp&gt;='2022'!Maxi_hp</f>
        <v>0</v>
      </c>
      <c r="I183" s="385">
        <f>IF(H183,Wh_hp,'2022'!Maxi_hp)</f>
        <v>237.57794236873499</v>
      </c>
      <c r="J183" s="85">
        <f>IF(H183,An,'2022'!An_max)</f>
        <v>2022</v>
      </c>
      <c r="K183" s="193">
        <f t="shared" si="52"/>
        <v>45095</v>
      </c>
      <c r="L183" s="143">
        <f>IF(t&lt;Tvie,1-EXP((T0-t)*PertePVj)+'2022'!Pspv,1-EXP((T0-t)*PertePVj)+Pspv)</f>
        <v>9.143431655291856E-3</v>
      </c>
      <c r="M183" s="835"/>
      <c r="N183" s="835"/>
      <c r="O183" s="48">
        <f>IF(t&lt;Tnet,'2022'!Resal+('2022'!Salim-'2022'!Resal)*(1-EXP(('2022'!Tnet-t)/('2022'!Tau_j))),Resal+(Salim-Resal)*(1-EXP((Tnet-t)/(Tau_j))))*Salcycl</f>
        <v>3.8208171563123984E-2</v>
      </c>
      <c r="P183" s="165">
        <f>(INDEX(Models!$BJ183:$BT183,,T183)*(1-R183)+INDEX(Models!$BJ183:$BT183,,T183+1)*R183-ERP_i)*Q183*Ramure*Pc/MaxiM</f>
        <v>3.390049009876076E-5</v>
      </c>
      <c r="Q183" s="301">
        <f t="shared" si="53"/>
        <v>0.5</v>
      </c>
      <c r="R183" s="173">
        <f t="shared" si="54"/>
        <v>0.7800637366684442</v>
      </c>
      <c r="S183" s="801">
        <f t="shared" si="55"/>
        <v>0</v>
      </c>
      <c r="T183" s="172">
        <f t="shared" si="56"/>
        <v>6</v>
      </c>
      <c r="U183" s="247">
        <f t="shared" si="57"/>
        <v>0.7800637366684442</v>
      </c>
      <c r="V183" s="378">
        <f t="shared" si="58"/>
        <v>239.93883057097185</v>
      </c>
      <c r="W183" s="397">
        <f t="shared" si="59"/>
        <v>226.40379475161191</v>
      </c>
      <c r="X183" s="153">
        <f t="shared" si="60"/>
        <v>45095</v>
      </c>
      <c r="Y183" s="380">
        <f t="shared" si="61"/>
        <v>226.40379475161191</v>
      </c>
      <c r="Z183" s="380">
        <f t="shared" si="62"/>
        <v>228.4930049258638</v>
      </c>
      <c r="AA183" s="381">
        <f t="shared" si="63"/>
        <v>237.57012502093656</v>
      </c>
      <c r="AB183" s="193">
        <f t="shared" si="64"/>
        <v>45095</v>
      </c>
      <c r="AC183" s="420">
        <f>IF(OR(t&lt;Tnet,NoTnet),'2022'!Resal_s+('2022'!Salim-'2022'!Resal_s)*(1-EXP(('2022'!Tnet_s-t)/'2022'!Tau_j)),Resal_s+(Salim-Resal_s)*(1-EXP((Tnet_s-t)/Tau_j)))*Salcycl</f>
        <v>3.8208171563123984E-2</v>
      </c>
      <c r="AD183" s="227">
        <f>(INDEX(Models!$BJ183:$BT183,,AH183)*(1-AF183)+INDEX(Models!$BJ183:$BT183,,AH183+1)*AF183-ERP_i)*AE183*Ramure*Pc/MaxiM</f>
        <v>3.390049009876076E-5</v>
      </c>
      <c r="AE183" s="301">
        <f t="shared" si="65"/>
        <v>0.5</v>
      </c>
      <c r="AF183" s="173">
        <f t="shared" si="66"/>
        <v>0.7800637366684442</v>
      </c>
      <c r="AG183" s="172">
        <f t="shared" si="67"/>
        <v>0</v>
      </c>
      <c r="AH183" s="172">
        <f t="shared" si="68"/>
        <v>6</v>
      </c>
      <c r="AI183" s="221">
        <f t="shared" si="69"/>
        <v>0.7800637366684442</v>
      </c>
      <c r="AJ183" s="261" t="b">
        <f t="shared" si="70"/>
        <v>0</v>
      </c>
      <c r="AK183" s="261" t="b">
        <f t="shared" si="71"/>
        <v>0</v>
      </c>
      <c r="AL183" s="261"/>
      <c r="AM183" s="261"/>
      <c r="AN183" s="75"/>
    </row>
    <row r="184" spans="1:40" s="6" customFormat="1" ht="11.25" x14ac:dyDescent="0.2">
      <c r="A184" s="56">
        <f t="shared" si="75"/>
        <v>45096</v>
      </c>
      <c r="B184" s="406">
        <f>'2022'!Wh/'2022'!Env_an*'2023'!Env_an</f>
        <v>230.70652368405894</v>
      </c>
      <c r="C184" s="385"/>
      <c r="D184" s="388">
        <f t="shared" si="50"/>
        <v>232.8386259691238</v>
      </c>
      <c r="E184" s="380">
        <f t="shared" si="76"/>
        <v>242.10314446042261</v>
      </c>
      <c r="F184" s="380">
        <f t="shared" si="51"/>
        <v>242.11089655901392</v>
      </c>
      <c r="G184" s="110">
        <f t="shared" si="77"/>
        <v>0.96190376241214848</v>
      </c>
      <c r="H184" s="409" t="b">
        <f>Wh_hp&gt;='2022'!Maxi_hp</f>
        <v>0</v>
      </c>
      <c r="I184" s="385">
        <f>IF(H184,Wh_hp,'2022'!Maxi_hp)</f>
        <v>242.11117824883087</v>
      </c>
      <c r="J184" s="85">
        <f>IF(H184,An,'2022'!An_max)</f>
        <v>2022</v>
      </c>
      <c r="K184" s="193">
        <f t="shared" si="52"/>
        <v>45096</v>
      </c>
      <c r="L184" s="143">
        <f>IF(t&lt;Tvie,1-EXP((T0-t)*PertePVj)+'2022'!Pspv,1-EXP((T0-t)*PertePVj)+Pspv)</f>
        <v>9.1569956496290184E-3</v>
      </c>
      <c r="M184" s="835"/>
      <c r="N184" s="835"/>
      <c r="O184" s="48">
        <f>IF(t&lt;Tnet,'2022'!Resal+('2022'!Salim-'2022'!Resal)*(1-EXP(('2022'!Tnet-t)/('2022'!Tau_j))),Resal+(Salim-Resal)*(1-EXP((Tnet-t)/(Tau_j))))*Salcycl</f>
        <v>3.8266824298985168E-2</v>
      </c>
      <c r="P184" s="165">
        <f>(INDEX(Models!$BJ184:$BT184,,T184)*(1-R184)+INDEX(Models!$BJ184:$BT184,,T184+1)*R184-ERP_i)*Q184*Ramure*Pc/MaxiM</f>
        <v>3.3861561291190426E-5</v>
      </c>
      <c r="Q184" s="301">
        <f t="shared" si="53"/>
        <v>0.5</v>
      </c>
      <c r="R184" s="173">
        <f t="shared" si="54"/>
        <v>0.7850555800828567</v>
      </c>
      <c r="S184" s="801">
        <f t="shared" si="55"/>
        <v>0</v>
      </c>
      <c r="T184" s="172">
        <f t="shared" si="56"/>
        <v>6</v>
      </c>
      <c r="U184" s="247">
        <f t="shared" si="57"/>
        <v>0.7850555800828567</v>
      </c>
      <c r="V184" s="378">
        <f t="shared" si="58"/>
        <v>239.8432229365209</v>
      </c>
      <c r="W184" s="397">
        <f t="shared" si="59"/>
        <v>230.70652368405894</v>
      </c>
      <c r="X184" s="153">
        <f t="shared" si="60"/>
        <v>45096</v>
      </c>
      <c r="Y184" s="380">
        <f t="shared" si="61"/>
        <v>230.70652368405894</v>
      </c>
      <c r="Z184" s="380">
        <f t="shared" si="62"/>
        <v>232.8386259691238</v>
      </c>
      <c r="AA184" s="381">
        <f t="shared" si="63"/>
        <v>242.10314446042261</v>
      </c>
      <c r="AB184" s="193">
        <f t="shared" si="64"/>
        <v>45096</v>
      </c>
      <c r="AC184" s="420">
        <f>IF(OR(t&lt;Tnet,NoTnet),'2022'!Resal_s+('2022'!Salim-'2022'!Resal_s)*(1-EXP(('2022'!Tnet_s-t)/'2022'!Tau_j)),Resal_s+(Salim-Resal_s)*(1-EXP((Tnet_s-t)/Tau_j)))*Salcycl</f>
        <v>3.8266824298985168E-2</v>
      </c>
      <c r="AD184" s="227">
        <f>(INDEX(Models!$BJ184:$BT184,,AH184)*(1-AF184)+INDEX(Models!$BJ184:$BT184,,AH184+1)*AF184-ERP_i)*AE184*Ramure*Pc/MaxiM</f>
        <v>3.3861561291190426E-5</v>
      </c>
      <c r="AE184" s="301">
        <f t="shared" si="65"/>
        <v>0.5</v>
      </c>
      <c r="AF184" s="173">
        <f t="shared" si="66"/>
        <v>0.7850555800828567</v>
      </c>
      <c r="AG184" s="172">
        <f t="shared" si="67"/>
        <v>0</v>
      </c>
      <c r="AH184" s="172">
        <f t="shared" si="68"/>
        <v>6</v>
      </c>
      <c r="AI184" s="221">
        <f t="shared" si="69"/>
        <v>0.7850555800828567</v>
      </c>
      <c r="AJ184" s="261" t="b">
        <f t="shared" si="70"/>
        <v>0</v>
      </c>
      <c r="AK184" s="261" t="b">
        <f t="shared" si="71"/>
        <v>0</v>
      </c>
      <c r="AL184" s="261"/>
      <c r="AM184" s="261"/>
      <c r="AN184" s="75"/>
    </row>
    <row r="185" spans="1:40" s="6" customFormat="1" ht="11.25" x14ac:dyDescent="0.2">
      <c r="A185" s="56">
        <f t="shared" si="75"/>
        <v>45097</v>
      </c>
      <c r="B185" s="406">
        <f>'2022'!Wh/'2022'!Env_an*'2023'!Env_an</f>
        <v>124.24399672541905</v>
      </c>
      <c r="C185" s="385"/>
      <c r="D185" s="388">
        <f t="shared" si="50"/>
        <v>125.39392920893779</v>
      </c>
      <c r="E185" s="380">
        <f t="shared" si="76"/>
        <v>130.39115047512144</v>
      </c>
      <c r="F185" s="380">
        <f t="shared" si="51"/>
        <v>130.3925296186689</v>
      </c>
      <c r="G185" s="110">
        <f t="shared" si="77"/>
        <v>0.51823839706247921</v>
      </c>
      <c r="H185" s="409" t="b">
        <f>Wh_hp&gt;='2022'!Maxi_hp</f>
        <v>0</v>
      </c>
      <c r="I185" s="385">
        <f>IF(H185,Wh_hp,'2022'!Maxi_hp)</f>
        <v>130.39443966361594</v>
      </c>
      <c r="J185" s="85">
        <f>IF(H185,An,'2022'!An_max)</f>
        <v>2022</v>
      </c>
      <c r="K185" s="193">
        <f t="shared" si="52"/>
        <v>45097</v>
      </c>
      <c r="L185" s="143">
        <f>IF(t&lt;Tvie,1-EXP((T0-t)*PertePVj)+'2022'!Pspv,1-EXP((T0-t)*PertePVj)+Pspv)</f>
        <v>9.1705594582865979E-3</v>
      </c>
      <c r="M185" s="835"/>
      <c r="N185" s="835"/>
      <c r="O185" s="48">
        <f>IF(t&lt;Tnet,'2022'!Resal+('2022'!Salim-'2022'!Resal)*(1-EXP(('2022'!Tnet-t)/('2022'!Tau_j))),Resal+(Salim-Resal)*(1-EXP((Tnet-t)/(Tau_j))))*Salcycl</f>
        <v>3.832484986883454E-2</v>
      </c>
      <c r="P185" s="165">
        <f>(INDEX(Models!$BJ185:$BT185,,T185)*(1-R185)+INDEX(Models!$BJ185:$BT185,,T185+1)*R185-ERP_i)*Q185*Ramure*Pc/MaxiM</f>
        <v>3.392341463750305E-5</v>
      </c>
      <c r="Q185" s="301">
        <f t="shared" si="53"/>
        <v>0.5</v>
      </c>
      <c r="R185" s="173">
        <f t="shared" si="54"/>
        <v>0.79001005815993897</v>
      </c>
      <c r="S185" s="801">
        <f t="shared" si="55"/>
        <v>0</v>
      </c>
      <c r="T185" s="172">
        <f t="shared" si="56"/>
        <v>6</v>
      </c>
      <c r="U185" s="247">
        <f t="shared" si="57"/>
        <v>0.79001005815993897</v>
      </c>
      <c r="V185" s="378">
        <f t="shared" si="58"/>
        <v>239.7373423693229</v>
      </c>
      <c r="W185" s="397">
        <f t="shared" si="59"/>
        <v>124.24399672541905</v>
      </c>
      <c r="X185" s="153">
        <f t="shared" si="60"/>
        <v>45097</v>
      </c>
      <c r="Y185" s="380">
        <f t="shared" si="61"/>
        <v>124.24399672541905</v>
      </c>
      <c r="Z185" s="380">
        <f t="shared" si="62"/>
        <v>125.39392920893779</v>
      </c>
      <c r="AA185" s="381">
        <f t="shared" si="63"/>
        <v>130.39115047512144</v>
      </c>
      <c r="AB185" s="193">
        <f t="shared" si="64"/>
        <v>45097</v>
      </c>
      <c r="AC185" s="420">
        <f>IF(OR(t&lt;Tnet,NoTnet),'2022'!Resal_s+('2022'!Salim-'2022'!Resal_s)*(1-EXP(('2022'!Tnet_s-t)/'2022'!Tau_j)),Resal_s+(Salim-Resal_s)*(1-EXP((Tnet_s-t)/Tau_j)))*Salcycl</f>
        <v>3.832484986883454E-2</v>
      </c>
      <c r="AD185" s="227">
        <f>(INDEX(Models!$BJ185:$BT185,,AH185)*(1-AF185)+INDEX(Models!$BJ185:$BT185,,AH185+1)*AF185-ERP_i)*AE185*Ramure*Pc/MaxiM</f>
        <v>3.392341463750305E-5</v>
      </c>
      <c r="AE185" s="301">
        <f t="shared" si="65"/>
        <v>0.5</v>
      </c>
      <c r="AF185" s="173">
        <f t="shared" si="66"/>
        <v>0.79001005815993897</v>
      </c>
      <c r="AG185" s="172">
        <f t="shared" si="67"/>
        <v>0</v>
      </c>
      <c r="AH185" s="172">
        <f t="shared" si="68"/>
        <v>6</v>
      </c>
      <c r="AI185" s="221">
        <f t="shared" si="69"/>
        <v>0.79001005815993897</v>
      </c>
      <c r="AJ185" s="261" t="b">
        <f t="shared" si="70"/>
        <v>0</v>
      </c>
      <c r="AK185" s="261" t="b">
        <f t="shared" si="71"/>
        <v>0</v>
      </c>
      <c r="AL185" s="261"/>
      <c r="AM185" s="261"/>
      <c r="AN185" s="75"/>
    </row>
    <row r="186" spans="1:40" s="6" customFormat="1" ht="11.25" x14ac:dyDescent="0.2">
      <c r="A186" s="56">
        <f t="shared" si="75"/>
        <v>45098</v>
      </c>
      <c r="B186" s="406">
        <f>'2022'!Wh/'2022'!Env_an*'2023'!Env_an</f>
        <v>88.616909235661538</v>
      </c>
      <c r="C186" s="385"/>
      <c r="D186" s="388">
        <f t="shared" si="50"/>
        <v>89.438321791173635</v>
      </c>
      <c r="E186" s="380">
        <f t="shared" si="76"/>
        <v>93.008184209711871</v>
      </c>
      <c r="F186" s="380">
        <f t="shared" si="51"/>
        <v>93.008500452825899</v>
      </c>
      <c r="G186" s="110">
        <f t="shared" si="77"/>
        <v>0.36980868077198181</v>
      </c>
      <c r="H186" s="409" t="b">
        <f>Wh_hp&gt;='2022'!Maxi_hp</f>
        <v>0</v>
      </c>
      <c r="I186" s="385">
        <f>IF(H186,Wh_hp,'2022'!Maxi_hp)</f>
        <v>93.010280369136851</v>
      </c>
      <c r="J186" s="85">
        <f>IF(H186,An,'2022'!An_max)</f>
        <v>2022</v>
      </c>
      <c r="K186" s="193">
        <f t="shared" si="52"/>
        <v>45098</v>
      </c>
      <c r="L186" s="143">
        <f>IF(t&lt;Tvie,1-EXP((T0-t)*PertePVj)+'2022'!Pspv,1-EXP((T0-t)*PertePVj)+Pspv)</f>
        <v>9.1841230812669261E-3</v>
      </c>
      <c r="M186" s="835"/>
      <c r="N186" s="835"/>
      <c r="O186" s="48">
        <f>IF(t&lt;Tnet,'2022'!Resal+('2022'!Salim-'2022'!Resal)*(1-EXP(('2022'!Tnet-t)/('2022'!Tau_j))),Resal+(Salim-Resal)*(1-EXP((Tnet-t)/(Tau_j))))*Salcycl</f>
        <v>3.8382239679994469E-2</v>
      </c>
      <c r="P186" s="165">
        <f>(INDEX(Models!$BJ186:$BT186,,T186)*(1-R186)+INDEX(Models!$BJ186:$BT186,,T186+1)*R186-ERP_i)*Q186*Ramure*Pc/MaxiM</f>
        <v>3.4089171234554143E-5</v>
      </c>
      <c r="Q186" s="301">
        <f t="shared" si="53"/>
        <v>0.5</v>
      </c>
      <c r="R186" s="173">
        <f t="shared" si="54"/>
        <v>0.79492345470956571</v>
      </c>
      <c r="S186" s="801">
        <f t="shared" si="55"/>
        <v>0</v>
      </c>
      <c r="T186" s="172">
        <f t="shared" si="56"/>
        <v>6</v>
      </c>
      <c r="U186" s="247">
        <f t="shared" si="57"/>
        <v>0.79492345470956571</v>
      </c>
      <c r="V186" s="378">
        <f t="shared" si="58"/>
        <v>239.62171324770031</v>
      </c>
      <c r="W186" s="397">
        <f t="shared" si="59"/>
        <v>88.616909235661538</v>
      </c>
      <c r="X186" s="153">
        <f t="shared" si="60"/>
        <v>45098</v>
      </c>
      <c r="Y186" s="380">
        <f t="shared" si="61"/>
        <v>88.616909235661538</v>
      </c>
      <c r="Z186" s="380">
        <f t="shared" si="62"/>
        <v>89.438321791173635</v>
      </c>
      <c r="AA186" s="381">
        <f t="shared" si="63"/>
        <v>93.008184209711871</v>
      </c>
      <c r="AB186" s="193">
        <f t="shared" si="64"/>
        <v>45098</v>
      </c>
      <c r="AC186" s="420">
        <f>IF(OR(t&lt;Tnet,NoTnet),'2022'!Resal_s+('2022'!Salim-'2022'!Resal_s)*(1-EXP(('2022'!Tnet_s-t)/'2022'!Tau_j)),Resal_s+(Salim-Resal_s)*(1-EXP((Tnet_s-t)/Tau_j)))*Salcycl</f>
        <v>3.8382239679994469E-2</v>
      </c>
      <c r="AD186" s="227">
        <f>(INDEX(Models!$BJ186:$BT186,,AH186)*(1-AF186)+INDEX(Models!$BJ186:$BT186,,AH186+1)*AF186-ERP_i)*AE186*Ramure*Pc/MaxiM</f>
        <v>3.4089171234554143E-5</v>
      </c>
      <c r="AE186" s="301">
        <f t="shared" si="65"/>
        <v>0.5</v>
      </c>
      <c r="AF186" s="173">
        <f t="shared" si="66"/>
        <v>0.79492345470956571</v>
      </c>
      <c r="AG186" s="172">
        <f t="shared" si="67"/>
        <v>0</v>
      </c>
      <c r="AH186" s="172">
        <f t="shared" si="68"/>
        <v>6</v>
      </c>
      <c r="AI186" s="221">
        <f t="shared" si="69"/>
        <v>0.79492345470956571</v>
      </c>
      <c r="AJ186" s="261" t="b">
        <f t="shared" si="70"/>
        <v>0</v>
      </c>
      <c r="AK186" s="261" t="b">
        <f t="shared" si="71"/>
        <v>0</v>
      </c>
      <c r="AL186" s="261"/>
      <c r="AM186" s="261"/>
      <c r="AN186" s="75"/>
    </row>
    <row r="187" spans="1:40" s="6" customFormat="1" ht="11.25" x14ac:dyDescent="0.2">
      <c r="A187" s="56">
        <f t="shared" si="75"/>
        <v>45099</v>
      </c>
      <c r="B187" s="406">
        <f>'2022'!Wh/'2022'!Env_an*'2023'!Env_an</f>
        <v>175.16918496338309</v>
      </c>
      <c r="C187" s="385"/>
      <c r="D187" s="388">
        <f t="shared" si="50"/>
        <v>176.7952926430734</v>
      </c>
      <c r="E187" s="380">
        <f t="shared" si="76"/>
        <v>183.8627921188075</v>
      </c>
      <c r="F187" s="380">
        <f t="shared" si="51"/>
        <v>183.86668586309005</v>
      </c>
      <c r="G187" s="110">
        <f t="shared" si="77"/>
        <v>0.73139529189272079</v>
      </c>
      <c r="H187" s="409" t="b">
        <f>Wh_hp&gt;='2022'!Maxi_hp</f>
        <v>0</v>
      </c>
      <c r="I187" s="385">
        <f>IF(H187,Wh_hp,'2022'!Maxi_hp)</f>
        <v>183.86818847597502</v>
      </c>
      <c r="J187" s="85">
        <f>IF(H187,An,'2022'!An_max)</f>
        <v>2022</v>
      </c>
      <c r="K187" s="193">
        <f t="shared" si="52"/>
        <v>45099</v>
      </c>
      <c r="L187" s="143">
        <f>IF(t&lt;Tvie,1-EXP((T0-t)*PertePVj)+'2022'!Pspv,1-EXP((T0-t)*PertePVj)+Pspv)</f>
        <v>9.1976865185726675E-3</v>
      </c>
      <c r="M187" s="835"/>
      <c r="N187" s="835"/>
      <c r="O187" s="48">
        <f>IF(t&lt;Tnet,'2022'!Resal+('2022'!Salim-'2022'!Resal)*(1-EXP(('2022'!Tnet-t)/('2022'!Tau_j))),Resal+(Salim-Resal)*(1-EXP((Tnet-t)/(Tau_j))))*Salcycl</f>
        <v>3.8438986998344297E-2</v>
      </c>
      <c r="P187" s="165">
        <f>(INDEX(Models!$BJ187:$BT187,,T187)*(1-R187)+INDEX(Models!$BJ187:$BT187,,T187+1)*R187-ERP_i)*Q187*Ramure*Pc/MaxiM</f>
        <v>3.4361911006503062E-5</v>
      </c>
      <c r="Q187" s="301">
        <f t="shared" si="53"/>
        <v>0.5</v>
      </c>
      <c r="R187" s="173">
        <f t="shared" si="54"/>
        <v>0.79979218364965332</v>
      </c>
      <c r="S187" s="801">
        <f t="shared" si="55"/>
        <v>0</v>
      </c>
      <c r="T187" s="172">
        <f t="shared" si="56"/>
        <v>6</v>
      </c>
      <c r="U187" s="247">
        <f t="shared" si="57"/>
        <v>0.79979218364965332</v>
      </c>
      <c r="V187" s="378">
        <f t="shared" si="58"/>
        <v>239.49685931195589</v>
      </c>
      <c r="W187" s="397">
        <f t="shared" si="59"/>
        <v>175.16918496338309</v>
      </c>
      <c r="X187" s="153">
        <f t="shared" si="60"/>
        <v>45099</v>
      </c>
      <c r="Y187" s="380">
        <f t="shared" si="61"/>
        <v>175.16918496338309</v>
      </c>
      <c r="Z187" s="380">
        <f t="shared" si="62"/>
        <v>176.7952926430734</v>
      </c>
      <c r="AA187" s="381">
        <f t="shared" si="63"/>
        <v>183.8627921188075</v>
      </c>
      <c r="AB187" s="193">
        <f t="shared" si="64"/>
        <v>45099</v>
      </c>
      <c r="AC187" s="420">
        <f>IF(OR(t&lt;Tnet,NoTnet),'2022'!Resal_s+('2022'!Salim-'2022'!Resal_s)*(1-EXP(('2022'!Tnet_s-t)/'2022'!Tau_j)),Resal_s+(Salim-Resal_s)*(1-EXP((Tnet_s-t)/Tau_j)))*Salcycl</f>
        <v>3.8438986998344297E-2</v>
      </c>
      <c r="AD187" s="227">
        <f>(INDEX(Models!$BJ187:$BT187,,AH187)*(1-AF187)+INDEX(Models!$BJ187:$BT187,,AH187+1)*AF187-ERP_i)*AE187*Ramure*Pc/MaxiM</f>
        <v>3.4361911006503062E-5</v>
      </c>
      <c r="AE187" s="301">
        <f t="shared" si="65"/>
        <v>0.5</v>
      </c>
      <c r="AF187" s="173">
        <f t="shared" si="66"/>
        <v>0.79979218364965332</v>
      </c>
      <c r="AG187" s="172">
        <f t="shared" si="67"/>
        <v>0</v>
      </c>
      <c r="AH187" s="172">
        <f t="shared" si="68"/>
        <v>6</v>
      </c>
      <c r="AI187" s="221">
        <f t="shared" si="69"/>
        <v>0.79979218364965332</v>
      </c>
      <c r="AJ187" s="261" t="b">
        <f t="shared" si="70"/>
        <v>0</v>
      </c>
      <c r="AK187" s="261" t="b">
        <f t="shared" si="71"/>
        <v>0</v>
      </c>
      <c r="AL187" s="261"/>
      <c r="AM187" s="261"/>
      <c r="AN187" s="75"/>
    </row>
    <row r="188" spans="1:40" s="6" customFormat="1" ht="11.25" x14ac:dyDescent="0.2">
      <c r="A188" s="56">
        <f t="shared" si="75"/>
        <v>45100</v>
      </c>
      <c r="B188" s="406">
        <f>'2022'!Wh/'2022'!Env_an*'2023'!Env_an</f>
        <v>171.39307207433467</v>
      </c>
      <c r="C188" s="385"/>
      <c r="D188" s="388">
        <f t="shared" si="50"/>
        <v>172.98649387630155</v>
      </c>
      <c r="E188" s="380">
        <f t="shared" si="76"/>
        <v>179.91223084594225</v>
      </c>
      <c r="F188" s="380">
        <f t="shared" si="51"/>
        <v>179.91594609873761</v>
      </c>
      <c r="G188" s="110">
        <f t="shared" si="77"/>
        <v>0.71602728431027896</v>
      </c>
      <c r="H188" s="409" t="b">
        <f>Wh_hp&gt;='2022'!Maxi_hp</f>
        <v>0</v>
      </c>
      <c r="I188" s="385">
        <f>IF(H188,Wh_hp,'2022'!Maxi_hp)</f>
        <v>179.91750851894366</v>
      </c>
      <c r="J188" s="85">
        <f>IF(H188,An,'2022'!An_max)</f>
        <v>2022</v>
      </c>
      <c r="K188" s="193">
        <f t="shared" si="52"/>
        <v>45100</v>
      </c>
      <c r="L188" s="143">
        <f>IF(t&lt;Tvie,1-EXP((T0-t)*PertePVj)+'2022'!Pspv,1-EXP((T0-t)*PertePVj)+Pspv)</f>
        <v>9.2112497702063756E-3</v>
      </c>
      <c r="M188" s="835"/>
      <c r="N188" s="835"/>
      <c r="O188" s="48">
        <f>IF(t&lt;Tnet,'2022'!Resal+('2022'!Salim-'2022'!Resal)*(1-EXP(('2022'!Tnet-t)/('2022'!Tau_j))),Resal+(Salim-Resal)*(1-EXP((Tnet-t)/(Tau_j))))*Salcycl</f>
        <v>3.8495086949208876E-2</v>
      </c>
      <c r="P188" s="165">
        <f>(INDEX(Models!$BJ188:$BT188,,T188)*(1-R188)+INDEX(Models!$BJ188:$BT188,,T188+1)*R188-ERP_i)*Q188*Ramure*Pc/MaxiM</f>
        <v>3.4744366974271505E-5</v>
      </c>
      <c r="Q188" s="301">
        <f t="shared" si="53"/>
        <v>0.5</v>
      </c>
      <c r="R188" s="173">
        <f t="shared" si="54"/>
        <v>0.8046127984808753</v>
      </c>
      <c r="S188" s="801">
        <f t="shared" si="55"/>
        <v>0</v>
      </c>
      <c r="T188" s="172">
        <f t="shared" si="56"/>
        <v>6</v>
      </c>
      <c r="U188" s="247">
        <f t="shared" si="57"/>
        <v>0.8046127984808753</v>
      </c>
      <c r="V188" s="378">
        <f t="shared" si="58"/>
        <v>239.36330373463616</v>
      </c>
      <c r="W188" s="397">
        <f t="shared" si="59"/>
        <v>171.39307207433467</v>
      </c>
      <c r="X188" s="153">
        <f t="shared" si="60"/>
        <v>45100</v>
      </c>
      <c r="Y188" s="380">
        <f t="shared" si="61"/>
        <v>171.39307207433467</v>
      </c>
      <c r="Z188" s="380">
        <f t="shared" si="62"/>
        <v>172.98649387630155</v>
      </c>
      <c r="AA188" s="381">
        <f t="shared" si="63"/>
        <v>179.91223084594225</v>
      </c>
      <c r="AB188" s="193">
        <f t="shared" si="64"/>
        <v>45100</v>
      </c>
      <c r="AC188" s="420">
        <f>IF(OR(t&lt;Tnet,NoTnet),'2022'!Resal_s+('2022'!Salim-'2022'!Resal_s)*(1-EXP(('2022'!Tnet_s-t)/'2022'!Tau_j)),Resal_s+(Salim-Resal_s)*(1-EXP((Tnet_s-t)/Tau_j)))*Salcycl</f>
        <v>3.8495086949208876E-2</v>
      </c>
      <c r="AD188" s="227">
        <f>(INDEX(Models!$BJ188:$BT188,,AH188)*(1-AF188)+INDEX(Models!$BJ188:$BT188,,AH188+1)*AF188-ERP_i)*AE188*Ramure*Pc/MaxiM</f>
        <v>3.4744366974271505E-5</v>
      </c>
      <c r="AE188" s="301">
        <f t="shared" si="65"/>
        <v>0.5</v>
      </c>
      <c r="AF188" s="173">
        <f t="shared" si="66"/>
        <v>0.8046127984808753</v>
      </c>
      <c r="AG188" s="172">
        <f t="shared" si="67"/>
        <v>0</v>
      </c>
      <c r="AH188" s="172">
        <f t="shared" si="68"/>
        <v>6</v>
      </c>
      <c r="AI188" s="221">
        <f t="shared" si="69"/>
        <v>0.8046127984808753</v>
      </c>
      <c r="AJ188" s="261" t="b">
        <f t="shared" si="70"/>
        <v>0</v>
      </c>
      <c r="AK188" s="261" t="b">
        <f t="shared" si="71"/>
        <v>0</v>
      </c>
      <c r="AL188" s="261"/>
      <c r="AM188" s="261"/>
      <c r="AN188" s="75"/>
    </row>
    <row r="189" spans="1:40" s="6" customFormat="1" ht="11.25" x14ac:dyDescent="0.2">
      <c r="A189" s="56">
        <f t="shared" si="75"/>
        <v>45101</v>
      </c>
      <c r="B189" s="406">
        <f>'2022'!Wh/'2022'!Env_an*'2023'!Env_an</f>
        <v>171.25974294778075</v>
      </c>
      <c r="C189" s="385"/>
      <c r="D189" s="388">
        <f t="shared" si="50"/>
        <v>172.85429143419003</v>
      </c>
      <c r="E189" s="380">
        <f t="shared" si="76"/>
        <v>179.78510363545428</v>
      </c>
      <c r="F189" s="380">
        <f t="shared" si="51"/>
        <v>179.78886793306643</v>
      </c>
      <c r="G189" s="110">
        <f t="shared" si="77"/>
        <v>0.71589403175390698</v>
      </c>
      <c r="H189" s="409" t="b">
        <f>Wh_hp&gt;='2022'!Maxi_hp</f>
        <v>0</v>
      </c>
      <c r="I189" s="385">
        <f>IF(H189,Wh_hp,'2022'!Maxi_hp)</f>
        <v>179.79044298559464</v>
      </c>
      <c r="J189" s="85">
        <f>IF(H189,An,'2022'!An_max)</f>
        <v>2022</v>
      </c>
      <c r="K189" s="193">
        <f t="shared" si="52"/>
        <v>45101</v>
      </c>
      <c r="L189" s="143">
        <f>IF(t&lt;Tvie,1-EXP((T0-t)*PertePVj)+'2022'!Pspv,1-EXP((T0-t)*PertePVj)+Pspv)</f>
        <v>9.2248128361704929E-3</v>
      </c>
      <c r="M189" s="835"/>
      <c r="N189" s="835"/>
      <c r="O189" s="48">
        <f>IF(t&lt;Tnet,'2022'!Resal+('2022'!Salim-'2022'!Resal)*(1-EXP(('2022'!Tnet-t)/('2022'!Tau_j))),Resal+(Salim-Resal)*(1-EXP((Tnet-t)/(Tau_j))))*Salcycl</f>
        <v>3.8550536507839274E-2</v>
      </c>
      <c r="P189" s="165">
        <f>(INDEX(Models!$BJ189:$BT189,,T189)*(1-R189)+INDEX(Models!$BJ189:$BT189,,T189+1)*R189-ERP_i)*Q189*Ramure*Pc/MaxiM</f>
        <v>3.523918165767094E-5</v>
      </c>
      <c r="Q189" s="301">
        <f t="shared" si="53"/>
        <v>0.5</v>
      </c>
      <c r="R189" s="173">
        <f t="shared" si="54"/>
        <v>0.80938200086241763</v>
      </c>
      <c r="S189" s="801">
        <f t="shared" si="55"/>
        <v>0</v>
      </c>
      <c r="T189" s="172">
        <f t="shared" si="56"/>
        <v>6</v>
      </c>
      <c r="U189" s="247">
        <f t="shared" si="57"/>
        <v>0.80938200086241763</v>
      </c>
      <c r="V189" s="378">
        <f t="shared" si="58"/>
        <v>239.22156906979555</v>
      </c>
      <c r="W189" s="397">
        <f t="shared" si="59"/>
        <v>171.25974294778075</v>
      </c>
      <c r="X189" s="153">
        <f t="shared" si="60"/>
        <v>45101</v>
      </c>
      <c r="Y189" s="380">
        <f t="shared" si="61"/>
        <v>171.25974294778075</v>
      </c>
      <c r="Z189" s="380">
        <f t="shared" si="62"/>
        <v>172.85429143419003</v>
      </c>
      <c r="AA189" s="381">
        <f t="shared" si="63"/>
        <v>179.78510363545428</v>
      </c>
      <c r="AB189" s="193">
        <f t="shared" si="64"/>
        <v>45101</v>
      </c>
      <c r="AC189" s="420">
        <f>IF(OR(t&lt;Tnet,NoTnet),'2022'!Resal_s+('2022'!Salim-'2022'!Resal_s)*(1-EXP(('2022'!Tnet_s-t)/'2022'!Tau_j)),Resal_s+(Salim-Resal_s)*(1-EXP((Tnet_s-t)/Tau_j)))*Salcycl</f>
        <v>3.8550536507839274E-2</v>
      </c>
      <c r="AD189" s="227">
        <f>(INDEX(Models!$BJ189:$BT189,,AH189)*(1-AF189)+INDEX(Models!$BJ189:$BT189,,AH189+1)*AF189-ERP_i)*AE189*Ramure*Pc/MaxiM</f>
        <v>3.523918165767094E-5</v>
      </c>
      <c r="AE189" s="301">
        <f t="shared" si="65"/>
        <v>0.5</v>
      </c>
      <c r="AF189" s="173">
        <f t="shared" si="66"/>
        <v>0.80938200086241763</v>
      </c>
      <c r="AG189" s="172">
        <f t="shared" si="67"/>
        <v>0</v>
      </c>
      <c r="AH189" s="172">
        <f t="shared" si="68"/>
        <v>6</v>
      </c>
      <c r="AI189" s="221">
        <f t="shared" si="69"/>
        <v>0.80938200086241763</v>
      </c>
      <c r="AJ189" s="261" t="b">
        <f t="shared" si="70"/>
        <v>0</v>
      </c>
      <c r="AK189" s="261" t="b">
        <f t="shared" si="71"/>
        <v>0</v>
      </c>
      <c r="AL189" s="261"/>
      <c r="AM189" s="261"/>
      <c r="AN189" s="75"/>
    </row>
    <row r="190" spans="1:40" s="6" customFormat="1" ht="11.25" x14ac:dyDescent="0.2">
      <c r="A190" s="56">
        <f t="shared" si="75"/>
        <v>45102</v>
      </c>
      <c r="B190" s="406">
        <f>'2022'!Wh/'2022'!Env_an*'2023'!Env_an</f>
        <v>146.08279529846831</v>
      </c>
      <c r="C190" s="385"/>
      <c r="D190" s="388">
        <f t="shared" si="50"/>
        <v>147.44494711743388</v>
      </c>
      <c r="E190" s="380">
        <f t="shared" si="76"/>
        <v>153.36568051125585</v>
      </c>
      <c r="F190" s="380">
        <f t="shared" si="51"/>
        <v>153.36812356818777</v>
      </c>
      <c r="G190" s="110">
        <f t="shared" si="77"/>
        <v>0.61102838074612453</v>
      </c>
      <c r="H190" s="409" t="b">
        <f>Wh_hp&gt;='2022'!Maxi_hp</f>
        <v>0</v>
      </c>
      <c r="I190" s="385">
        <f>IF(H190,Wh_hp,'2022'!Maxi_hp)</f>
        <v>153.36998421899938</v>
      </c>
      <c r="J190" s="85">
        <f>IF(H190,An,'2022'!An_max)</f>
        <v>2022</v>
      </c>
      <c r="K190" s="193">
        <f t="shared" si="52"/>
        <v>45102</v>
      </c>
      <c r="L190" s="143">
        <f>IF(t&lt;Tvie,1-EXP((T0-t)*PertePVj)+'2022'!Pspv,1-EXP((T0-t)*PertePVj)+Pspv)</f>
        <v>9.2383757164676839E-3</v>
      </c>
      <c r="M190" s="835"/>
      <c r="N190" s="835"/>
      <c r="O190" s="48">
        <f>IF(t&lt;Tnet,'2022'!Resal+('2022'!Salim-'2022'!Resal)*(1-EXP(('2022'!Tnet-t)/('2022'!Tau_j))),Resal+(Salim-Resal)*(1-EXP((Tnet-t)/(Tau_j))))*Salcycl</f>
        <v>3.8605334479557316E-2</v>
      </c>
      <c r="P190" s="165">
        <f>(INDEX(Models!$BJ190:$BT190,,T190)*(1-R190)+INDEX(Models!$BJ190:$BT190,,T190+1)*R190-ERP_i)*Q190*Ramure*Pc/MaxiM</f>
        <v>3.584920330483449E-5</v>
      </c>
      <c r="Q190" s="301">
        <f t="shared" si="53"/>
        <v>0.5</v>
      </c>
      <c r="R190" s="173">
        <f t="shared" si="54"/>
        <v>0.81409664825339356</v>
      </c>
      <c r="S190" s="801">
        <f t="shared" si="55"/>
        <v>0</v>
      </c>
      <c r="T190" s="172">
        <f t="shared" si="56"/>
        <v>6</v>
      </c>
      <c r="U190" s="247">
        <f t="shared" si="57"/>
        <v>0.81409664825339356</v>
      </c>
      <c r="V190" s="378">
        <f t="shared" si="58"/>
        <v>239.0721771846045</v>
      </c>
      <c r="W190" s="397">
        <f t="shared" si="59"/>
        <v>146.08279529846831</v>
      </c>
      <c r="X190" s="153">
        <f t="shared" si="60"/>
        <v>45102</v>
      </c>
      <c r="Y190" s="380">
        <f t="shared" si="61"/>
        <v>146.08279529846831</v>
      </c>
      <c r="Z190" s="380">
        <f t="shared" si="62"/>
        <v>147.44494711743388</v>
      </c>
      <c r="AA190" s="381">
        <f t="shared" si="63"/>
        <v>153.36568051125585</v>
      </c>
      <c r="AB190" s="193">
        <f t="shared" si="64"/>
        <v>45102</v>
      </c>
      <c r="AC190" s="420">
        <f>IF(OR(t&lt;Tnet,NoTnet),'2022'!Resal_s+('2022'!Salim-'2022'!Resal_s)*(1-EXP(('2022'!Tnet_s-t)/'2022'!Tau_j)),Resal_s+(Salim-Resal_s)*(1-EXP((Tnet_s-t)/Tau_j)))*Salcycl</f>
        <v>3.8605334479557316E-2</v>
      </c>
      <c r="AD190" s="227">
        <f>(INDEX(Models!$BJ190:$BT190,,AH190)*(1-AF190)+INDEX(Models!$BJ190:$BT190,,AH190+1)*AF190-ERP_i)*AE190*Ramure*Pc/MaxiM</f>
        <v>3.584920330483449E-5</v>
      </c>
      <c r="AE190" s="301">
        <f t="shared" si="65"/>
        <v>0.5</v>
      </c>
      <c r="AF190" s="173">
        <f t="shared" si="66"/>
        <v>0.81409664825339356</v>
      </c>
      <c r="AG190" s="172">
        <f t="shared" si="67"/>
        <v>0</v>
      </c>
      <c r="AH190" s="172">
        <f t="shared" si="68"/>
        <v>6</v>
      </c>
      <c r="AI190" s="221">
        <f t="shared" si="69"/>
        <v>0.81409664825339356</v>
      </c>
      <c r="AJ190" s="261" t="b">
        <f t="shared" si="70"/>
        <v>0</v>
      </c>
      <c r="AK190" s="261" t="b">
        <f t="shared" si="71"/>
        <v>0</v>
      </c>
      <c r="AL190" s="261"/>
      <c r="AM190" s="261"/>
      <c r="AN190" s="75"/>
    </row>
    <row r="191" spans="1:40" s="6" customFormat="1" ht="11.25" x14ac:dyDescent="0.2">
      <c r="A191" s="56">
        <f t="shared" si="75"/>
        <v>45103</v>
      </c>
      <c r="B191" s="406">
        <f>'2022'!Wh/'2022'!Env_an*'2023'!Env_an</f>
        <v>48.582365731129038</v>
      </c>
      <c r="C191" s="385"/>
      <c r="D191" s="388">
        <f t="shared" si="50"/>
        <v>49.036044191916645</v>
      </c>
      <c r="E191" s="380">
        <f t="shared" si="76"/>
        <v>51.007986500854003</v>
      </c>
      <c r="F191" s="380">
        <f t="shared" si="51"/>
        <v>51.007986500854003</v>
      </c>
      <c r="G191" s="110">
        <f t="shared" si="77"/>
        <v>0.20333701360265607</v>
      </c>
      <c r="H191" s="409" t="b">
        <f>Wh_hp&gt;='2022'!Maxi_hp</f>
        <v>0</v>
      </c>
      <c r="I191" s="385">
        <f>IF(H191,Wh_hp,'2022'!Maxi_hp)</f>
        <v>51.009116400553765</v>
      </c>
      <c r="J191" s="85">
        <f>IF(H191,An,'2022'!An_max)</f>
        <v>2022</v>
      </c>
      <c r="K191" s="193">
        <f t="shared" si="52"/>
        <v>45103</v>
      </c>
      <c r="L191" s="143">
        <f>IF(t&lt;Tvie,1-EXP((T0-t)*PertePVj)+'2022'!Pspv,1-EXP((T0-t)*PertePVj)+Pspv)</f>
        <v>9.2519384111003911E-3</v>
      </c>
      <c r="M191" s="835"/>
      <c r="N191" s="835"/>
      <c r="O191" s="48">
        <f>IF(t&lt;Tnet,'2022'!Resal+('2022'!Salim-'2022'!Resal)*(1-EXP(('2022'!Tnet-t)/('2022'!Tau_j))),Resal+(Salim-Resal)*(1-EXP((Tnet-t)/(Tau_j))))*Salcycl</f>
        <v>3.8659481469717268E-2</v>
      </c>
      <c r="P191" s="165">
        <f>(INDEX(Models!$BJ191:$BT191,,T191)*(1-R191)+INDEX(Models!$BJ191:$BT191,,T191+1)*R191-ERP_i)*Q191*Ramure*Pc/MaxiM</f>
        <v>3.6577048263238436E-5</v>
      </c>
      <c r="Q191" s="301">
        <f t="shared" si="53"/>
        <v>0.5</v>
      </c>
      <c r="R191" s="173">
        <f t="shared" si="54"/>
        <v>0.81875376059422578</v>
      </c>
      <c r="S191" s="801">
        <f t="shared" si="55"/>
        <v>0</v>
      </c>
      <c r="T191" s="172">
        <f t="shared" si="56"/>
        <v>6</v>
      </c>
      <c r="U191" s="247">
        <f t="shared" si="57"/>
        <v>0.81875376059422578</v>
      </c>
      <c r="V191" s="378">
        <f t="shared" si="58"/>
        <v>238.91660387284438</v>
      </c>
      <c r="W191" s="397">
        <f t="shared" si="59"/>
        <v>48.582365731129038</v>
      </c>
      <c r="X191" s="153">
        <f t="shared" si="60"/>
        <v>45103</v>
      </c>
      <c r="Y191" s="380">
        <f t="shared" si="61"/>
        <v>48.582365731129038</v>
      </c>
      <c r="Z191" s="380">
        <f t="shared" si="62"/>
        <v>49.036044191916645</v>
      </c>
      <c r="AA191" s="381">
        <f t="shared" si="63"/>
        <v>51.007986500854003</v>
      </c>
      <c r="AB191" s="193">
        <f t="shared" si="64"/>
        <v>45103</v>
      </c>
      <c r="AC191" s="420">
        <f>IF(OR(t&lt;Tnet,NoTnet),'2022'!Resal_s+('2022'!Salim-'2022'!Resal_s)*(1-EXP(('2022'!Tnet_s-t)/'2022'!Tau_j)),Resal_s+(Salim-Resal_s)*(1-EXP((Tnet_s-t)/Tau_j)))*Salcycl</f>
        <v>3.8659481469717268E-2</v>
      </c>
      <c r="AD191" s="227">
        <f>(INDEX(Models!$BJ191:$BT191,,AH191)*(1-AF191)+INDEX(Models!$BJ191:$BT191,,AH191+1)*AF191-ERP_i)*AE191*Ramure*Pc/MaxiM</f>
        <v>3.6577048263238436E-5</v>
      </c>
      <c r="AE191" s="301">
        <f t="shared" si="65"/>
        <v>0.5</v>
      </c>
      <c r="AF191" s="173">
        <f t="shared" si="66"/>
        <v>0.81875376059422578</v>
      </c>
      <c r="AG191" s="172">
        <f t="shared" si="67"/>
        <v>0</v>
      </c>
      <c r="AH191" s="172">
        <f t="shared" si="68"/>
        <v>6</v>
      </c>
      <c r="AI191" s="221">
        <f t="shared" si="69"/>
        <v>0.81875376059422578</v>
      </c>
      <c r="AJ191" s="261" t="b">
        <f t="shared" si="70"/>
        <v>0</v>
      </c>
      <c r="AK191" s="261" t="b">
        <f t="shared" si="71"/>
        <v>0</v>
      </c>
      <c r="AL191" s="261"/>
      <c r="AM191" s="261"/>
      <c r="AN191" s="75"/>
    </row>
    <row r="192" spans="1:40" s="6" customFormat="1" ht="11.25" customHeight="1" x14ac:dyDescent="0.2">
      <c r="A192" s="56">
        <f t="shared" si="75"/>
        <v>45104</v>
      </c>
      <c r="B192" s="406">
        <f>'2022'!Wh/'2022'!Env_an*'2023'!Env_an</f>
        <v>56.75957506157841</v>
      </c>
      <c r="C192" s="385"/>
      <c r="D192" s="388">
        <f t="shared" si="50"/>
        <v>57.290399309088009</v>
      </c>
      <c r="E192" s="380">
        <f t="shared" si="76"/>
        <v>59.597599996485926</v>
      </c>
      <c r="F192" s="380">
        <f t="shared" si="51"/>
        <v>59.597599996485926</v>
      </c>
      <c r="G192" s="110">
        <f t="shared" si="77"/>
        <v>0.23772228255041278</v>
      </c>
      <c r="H192" s="409" t="b">
        <f>Wh_hp&gt;='2022'!Maxi_hp</f>
        <v>0</v>
      </c>
      <c r="I192" s="385">
        <f>IF(H192,Wh_hp,'2022'!Maxi_hp)</f>
        <v>59.59894424699322</v>
      </c>
      <c r="J192" s="85">
        <f>IF(H192,An,'2022'!An_max)</f>
        <v>2022</v>
      </c>
      <c r="K192" s="193">
        <f t="shared" si="52"/>
        <v>45104</v>
      </c>
      <c r="L192" s="143">
        <f>IF(t&lt;Tvie,1-EXP((T0-t)*PertePVj)+'2022'!Pspv,1-EXP((T0-t)*PertePVj)+Pspv)</f>
        <v>9.265500920071168E-3</v>
      </c>
      <c r="M192" s="835"/>
      <c r="N192" s="835"/>
      <c r="O192" s="48">
        <f>IF(t&lt;Tnet,'2022'!Resal+('2022'!Salim-'2022'!Resal)*(1-EXP(('2022'!Tnet-t)/('2022'!Tau_j))),Resal+(Salim-Resal)*(1-EXP((Tnet-t)/(Tau_j))))*Salcycl</f>
        <v>3.8712979843717785E-2</v>
      </c>
      <c r="P192" s="165">
        <f>(INDEX(Models!$BJ192:$BT192,,T192)*(1-R192)+INDEX(Models!$BJ192:$BT192,,T192+1)*R192-ERP_i)*Q192*Ramure*Pc/MaxiM</f>
        <v>3.7451052136060447E-5</v>
      </c>
      <c r="Q192" s="301">
        <f t="shared" si="53"/>
        <v>0.5</v>
      </c>
      <c r="R192" s="173">
        <f t="shared" si="54"/>
        <v>0.82335052601194292</v>
      </c>
      <c r="S192" s="801">
        <f t="shared" si="55"/>
        <v>0</v>
      </c>
      <c r="T192" s="172">
        <f t="shared" si="56"/>
        <v>6</v>
      </c>
      <c r="U192" s="247">
        <f t="shared" si="57"/>
        <v>0.82335052601194292</v>
      </c>
      <c r="V192" s="378">
        <f t="shared" si="58"/>
        <v>238.75527673236621</v>
      </c>
      <c r="W192" s="397">
        <f t="shared" si="59"/>
        <v>56.75957506157841</v>
      </c>
      <c r="X192" s="153">
        <f t="shared" si="60"/>
        <v>45104</v>
      </c>
      <c r="Y192" s="380">
        <f t="shared" si="61"/>
        <v>56.75957506157841</v>
      </c>
      <c r="Z192" s="380">
        <f t="shared" si="62"/>
        <v>57.290399309088009</v>
      </c>
      <c r="AA192" s="381">
        <f t="shared" si="63"/>
        <v>59.597599996485926</v>
      </c>
      <c r="AB192" s="193">
        <f t="shared" si="64"/>
        <v>45104</v>
      </c>
      <c r="AC192" s="420">
        <f>IF(OR(t&lt;Tnet,NoTnet),'2022'!Resal_s+('2022'!Salim-'2022'!Resal_s)*(1-EXP(('2022'!Tnet_s-t)/'2022'!Tau_j)),Resal_s+(Salim-Resal_s)*(1-EXP((Tnet_s-t)/Tau_j)))*Salcycl</f>
        <v>3.8712979843717785E-2</v>
      </c>
      <c r="AD192" s="227">
        <f>(INDEX(Models!$BJ192:$BT192,,AH192)*(1-AF192)+INDEX(Models!$BJ192:$BT192,,AH192+1)*AF192-ERP_i)*AE192*Ramure*Pc/MaxiM</f>
        <v>3.7451052136060447E-5</v>
      </c>
      <c r="AE192" s="301">
        <f t="shared" si="65"/>
        <v>0.5</v>
      </c>
      <c r="AF192" s="173">
        <f t="shared" si="66"/>
        <v>0.82335052601194292</v>
      </c>
      <c r="AG192" s="172">
        <f t="shared" si="67"/>
        <v>0</v>
      </c>
      <c r="AH192" s="172">
        <f t="shared" si="68"/>
        <v>6</v>
      </c>
      <c r="AI192" s="221">
        <f t="shared" si="69"/>
        <v>0.82335052601194292</v>
      </c>
      <c r="AJ192" s="261" t="b">
        <f t="shared" si="70"/>
        <v>0</v>
      </c>
      <c r="AK192" s="261" t="b">
        <f t="shared" si="71"/>
        <v>0</v>
      </c>
      <c r="AL192" s="261"/>
      <c r="AM192" s="261"/>
      <c r="AN192" s="75"/>
    </row>
    <row r="193" spans="1:40" s="6" customFormat="1" ht="11.25" x14ac:dyDescent="0.2">
      <c r="A193" s="56">
        <f t="shared" si="75"/>
        <v>45105</v>
      </c>
      <c r="B193" s="406">
        <f>'2022'!Wh/'2022'!Env_an*'2023'!Env_an</f>
        <v>248.17520254070087</v>
      </c>
      <c r="C193" s="385"/>
      <c r="D193" s="388">
        <f t="shared" si="50"/>
        <v>250.49960421061348</v>
      </c>
      <c r="E193" s="380">
        <f t="shared" si="76"/>
        <v>260.60206033764416</v>
      </c>
      <c r="F193" s="380">
        <f t="shared" si="51"/>
        <v>260.61207165828807</v>
      </c>
      <c r="G193" s="110">
        <f t="shared" si="77"/>
        <v>1.0401867145003136</v>
      </c>
      <c r="H193" s="409" t="b">
        <f>Wh_hp&gt;='2022'!Maxi_hp</f>
        <v>1</v>
      </c>
      <c r="I193" s="385">
        <f>IF(H193,Wh_hp,'2022'!Maxi_hp)</f>
        <v>260.61207165828807</v>
      </c>
      <c r="J193" s="85">
        <f>IF(H193,An,'2022'!An_max)</f>
        <v>2023</v>
      </c>
      <c r="K193" s="193">
        <f t="shared" si="52"/>
        <v>45105</v>
      </c>
      <c r="L193" s="143">
        <f>IF(t&lt;Tvie,1-EXP((T0-t)*PertePVj)+'2022'!Pspv,1-EXP((T0-t)*PertePVj)+Pspv)</f>
        <v>9.2790632433826792E-3</v>
      </c>
      <c r="M193" s="835"/>
      <c r="N193" s="835"/>
      <c r="O193" s="48">
        <f>IF(t&lt;Tnet,'2022'!Resal+('2022'!Salim-'2022'!Resal)*(1-EXP(('2022'!Tnet-t)/('2022'!Tau_j))),Resal+(Salim-Resal)*(1-EXP((Tnet-t)/(Tau_j))))*Salcycl</f>
        <v>3.876583367737628E-2</v>
      </c>
      <c r="P193" s="165">
        <f>(INDEX(Models!$BJ193:$BT193,,T193)*(1-R193)+INDEX(Models!$BJ193:$BT193,,T193+1)*R193-ERP_i)*Q193*Ramure*Pc/MaxiM</f>
        <v>3.8414646643836176E-5</v>
      </c>
      <c r="Q193" s="301">
        <f t="shared" si="53"/>
        <v>0.5</v>
      </c>
      <c r="R193" s="173">
        <f t="shared" si="54"/>
        <v>0.82788430554277248</v>
      </c>
      <c r="S193" s="801">
        <f t="shared" si="55"/>
        <v>0</v>
      </c>
      <c r="T193" s="172">
        <f t="shared" si="56"/>
        <v>6</v>
      </c>
      <c r="U193" s="247">
        <f t="shared" si="57"/>
        <v>0.82788430554277248</v>
      </c>
      <c r="V193" s="378">
        <f t="shared" si="58"/>
        <v>238.58716813155957</v>
      </c>
      <c r="W193" s="397">
        <f t="shared" si="59"/>
        <v>248.17520254070087</v>
      </c>
      <c r="X193" s="153">
        <f t="shared" si="60"/>
        <v>45105</v>
      </c>
      <c r="Y193" s="380">
        <f t="shared" si="61"/>
        <v>248.17520254070084</v>
      </c>
      <c r="Z193" s="380">
        <f t="shared" si="62"/>
        <v>250.49960421061346</v>
      </c>
      <c r="AA193" s="381">
        <f t="shared" si="63"/>
        <v>260.60206033764416</v>
      </c>
      <c r="AB193" s="193">
        <f t="shared" si="64"/>
        <v>45105</v>
      </c>
      <c r="AC193" s="420">
        <f>IF(OR(t&lt;Tnet,NoTnet),'2022'!Resal_s+('2022'!Salim-'2022'!Resal_s)*(1-EXP(('2022'!Tnet_s-t)/'2022'!Tau_j)),Resal_s+(Salim-Resal_s)*(1-EXP((Tnet_s-t)/Tau_j)))*Salcycl</f>
        <v>3.876583367737628E-2</v>
      </c>
      <c r="AD193" s="227">
        <f>(INDEX(Models!$BJ193:$BT193,,AH193)*(1-AF193)+INDEX(Models!$BJ193:$BT193,,AH193+1)*AF193-ERP_i)*AE193*Ramure*Pc/MaxiM</f>
        <v>3.8414646643836176E-5</v>
      </c>
      <c r="AE193" s="301">
        <f t="shared" si="65"/>
        <v>0.5</v>
      </c>
      <c r="AF193" s="173">
        <f t="shared" si="66"/>
        <v>0.82788430554277248</v>
      </c>
      <c r="AG193" s="172">
        <f t="shared" si="67"/>
        <v>0</v>
      </c>
      <c r="AH193" s="172">
        <f t="shared" si="68"/>
        <v>6</v>
      </c>
      <c r="AI193" s="221">
        <f t="shared" si="69"/>
        <v>0.82788430554277248</v>
      </c>
      <c r="AJ193" s="261" t="b">
        <f t="shared" si="70"/>
        <v>0</v>
      </c>
      <c r="AK193" s="261" t="b">
        <f t="shared" si="71"/>
        <v>0</v>
      </c>
      <c r="AL193" s="261"/>
      <c r="AM193" s="261"/>
      <c r="AN193" s="75"/>
    </row>
    <row r="194" spans="1:40" s="6" customFormat="1" ht="11.25" customHeight="1" x14ac:dyDescent="0.2">
      <c r="A194" s="56">
        <f t="shared" si="75"/>
        <v>45106</v>
      </c>
      <c r="B194" s="406">
        <f>'2022'!Wh/'2022'!Env_an*'2023'!Env_an</f>
        <v>235.62505957713839</v>
      </c>
      <c r="C194" s="385"/>
      <c r="D194" s="388">
        <f t="shared" si="50"/>
        <v>237.83517273984407</v>
      </c>
      <c r="E194" s="380">
        <f t="shared" si="76"/>
        <v>247.44032325793262</v>
      </c>
      <c r="F194" s="380">
        <f t="shared" si="51"/>
        <v>247.44992698059028</v>
      </c>
      <c r="G194" s="110">
        <f t="shared" si="77"/>
        <v>0.98831291647903086</v>
      </c>
      <c r="H194" s="409" t="b">
        <f>Wh_hp&gt;='2022'!Maxi_hp</f>
        <v>0</v>
      </c>
      <c r="I194" s="385">
        <f>IF(H194,Wh_hp,'2022'!Maxi_hp)</f>
        <v>247.45002413127429</v>
      </c>
      <c r="J194" s="85">
        <f>IF(H194,An,'2022'!An_max)</f>
        <v>2022</v>
      </c>
      <c r="K194" s="193">
        <f t="shared" si="52"/>
        <v>45106</v>
      </c>
      <c r="L194" s="143">
        <f>IF(t&lt;Tvie,1-EXP((T0-t)*PertePVj)+'2022'!Pspv,1-EXP((T0-t)*PertePVj)+Pspv)</f>
        <v>9.2926253810373671E-3</v>
      </c>
      <c r="M194" s="835"/>
      <c r="N194" s="835"/>
      <c r="O194" s="48">
        <f>IF(t&lt;Tnet,'2022'!Resal+('2022'!Salim-'2022'!Resal)*(1-EXP(('2022'!Tnet-t)/('2022'!Tau_j))),Resal+(Salim-Resal)*(1-EXP((Tnet-t)/(Tau_j))))*Salcycl</f>
        <v>3.881804869805365E-2</v>
      </c>
      <c r="P194" s="165">
        <f>(INDEX(Models!$BJ194:$BT194,,T194)*(1-R194)+INDEX(Models!$BJ194:$BT194,,T194+1)*R194-ERP_i)*Q194*Ramure*Pc/MaxiM</f>
        <v>3.9469714909715795E-5</v>
      </c>
      <c r="Q194" s="301">
        <f t="shared" si="53"/>
        <v>0.5</v>
      </c>
      <c r="R194" s="173">
        <f t="shared" si="54"/>
        <v>0.83235263687454475</v>
      </c>
      <c r="S194" s="801">
        <f t="shared" si="55"/>
        <v>0</v>
      </c>
      <c r="T194" s="172">
        <f t="shared" si="56"/>
        <v>6</v>
      </c>
      <c r="U194" s="247">
        <f t="shared" si="57"/>
        <v>0.83235263687454475</v>
      </c>
      <c r="V194" s="378">
        <f t="shared" si="58"/>
        <v>238.41123633904391</v>
      </c>
      <c r="W194" s="397">
        <f t="shared" si="59"/>
        <v>235.62505957713839</v>
      </c>
      <c r="X194" s="153">
        <f t="shared" si="60"/>
        <v>45106</v>
      </c>
      <c r="Y194" s="380">
        <f t="shared" si="61"/>
        <v>235.62505957713839</v>
      </c>
      <c r="Z194" s="380">
        <f t="shared" si="62"/>
        <v>237.83517273984407</v>
      </c>
      <c r="AA194" s="381">
        <f t="shared" si="63"/>
        <v>247.44032325793262</v>
      </c>
      <c r="AB194" s="193">
        <f t="shared" si="64"/>
        <v>45106</v>
      </c>
      <c r="AC194" s="420">
        <f>IF(OR(t&lt;Tnet,NoTnet),'2022'!Resal_s+('2022'!Salim-'2022'!Resal_s)*(1-EXP(('2022'!Tnet_s-t)/'2022'!Tau_j)),Resal_s+(Salim-Resal_s)*(1-EXP((Tnet_s-t)/Tau_j)))*Salcycl</f>
        <v>3.881804869805365E-2</v>
      </c>
      <c r="AD194" s="227">
        <f>(INDEX(Models!$BJ194:$BT194,,AH194)*(1-AF194)+INDEX(Models!$BJ194:$BT194,,AH194+1)*AF194-ERP_i)*AE194*Ramure*Pc/MaxiM</f>
        <v>3.9469714909715795E-5</v>
      </c>
      <c r="AE194" s="301">
        <f t="shared" si="65"/>
        <v>0.5</v>
      </c>
      <c r="AF194" s="173">
        <f t="shared" si="66"/>
        <v>0.83235263687454475</v>
      </c>
      <c r="AG194" s="172">
        <f t="shared" si="67"/>
        <v>0</v>
      </c>
      <c r="AH194" s="172">
        <f t="shared" si="68"/>
        <v>6</v>
      </c>
      <c r="AI194" s="221">
        <f t="shared" si="69"/>
        <v>0.83235263687454475</v>
      </c>
      <c r="AJ194" s="261" t="b">
        <f t="shared" si="70"/>
        <v>0</v>
      </c>
      <c r="AK194" s="261" t="b">
        <f t="shared" si="71"/>
        <v>0</v>
      </c>
      <c r="AL194" s="261"/>
      <c r="AM194" s="261"/>
      <c r="AN194" s="75"/>
    </row>
    <row r="195" spans="1:40" s="6" customFormat="1" ht="11.25" customHeight="1" x14ac:dyDescent="0.2">
      <c r="A195" s="56">
        <f t="shared" si="75"/>
        <v>45107</v>
      </c>
      <c r="B195" s="406">
        <f>'2022'!Wh/'2022'!Env_an*'2023'!Env_an</f>
        <v>55.018390175901473</v>
      </c>
      <c r="C195" s="385"/>
      <c r="D195" s="388">
        <f t="shared" si="50"/>
        <v>55.535211255424272</v>
      </c>
      <c r="E195" s="380">
        <f t="shared" si="76"/>
        <v>57.781143034242575</v>
      </c>
      <c r="F195" s="380">
        <f t="shared" si="51"/>
        <v>57.781143034242575</v>
      </c>
      <c r="G195" s="110">
        <f t="shared" si="77"/>
        <v>0.23094059395274827</v>
      </c>
      <c r="H195" s="409" t="b">
        <f>Wh_hp&gt;='2022'!Maxi_hp</f>
        <v>0</v>
      </c>
      <c r="I195" s="385">
        <f>IF(H195,Wh_hp,'2022'!Maxi_hp)</f>
        <v>57.782534053656292</v>
      </c>
      <c r="J195" s="85">
        <f>IF(H195,An,'2022'!An_max)</f>
        <v>2022</v>
      </c>
      <c r="K195" s="193">
        <f t="shared" si="52"/>
        <v>45107</v>
      </c>
      <c r="L195" s="143">
        <f>IF(t&lt;Tvie,1-EXP((T0-t)*PertePVj)+'2022'!Pspv,1-EXP((T0-t)*PertePVj)+Pspv)</f>
        <v>9.3061873330376743E-3</v>
      </c>
      <c r="M195" s="835"/>
      <c r="N195" s="835"/>
      <c r="O195" s="48">
        <f>IF(t&lt;Tnet,'2022'!Resal+('2022'!Salim-'2022'!Resal)*(1-EXP(('2022'!Tnet-t)/('2022'!Tau_j))),Resal+(Salim-Resal)*(1-EXP((Tnet-t)/(Tau_j))))*Salcycl</f>
        <v>3.8869632216990024E-2</v>
      </c>
      <c r="P195" s="165">
        <f>(INDEX(Models!$BJ195:$BT195,,T195)*(1-R195)+INDEX(Models!$BJ195:$BT195,,T195+1)*R195-ERP_i)*Q195*Ramure*Pc/MaxiM</f>
        <v>4.0618097721795753E-5</v>
      </c>
      <c r="Q195" s="301">
        <f t="shared" si="53"/>
        <v>0.5</v>
      </c>
      <c r="R195" s="173">
        <f t="shared" si="54"/>
        <v>0.8367532371201003</v>
      </c>
      <c r="S195" s="801">
        <f t="shared" si="55"/>
        <v>0</v>
      </c>
      <c r="T195" s="172">
        <f t="shared" si="56"/>
        <v>6</v>
      </c>
      <c r="U195" s="247">
        <f t="shared" si="57"/>
        <v>0.8367532371201003</v>
      </c>
      <c r="V195" s="378">
        <f t="shared" si="58"/>
        <v>238.22643950075499</v>
      </c>
      <c r="W195" s="397">
        <f t="shared" si="59"/>
        <v>55.018390175901473</v>
      </c>
      <c r="X195" s="153">
        <f t="shared" si="60"/>
        <v>45107</v>
      </c>
      <c r="Y195" s="380">
        <f t="shared" si="61"/>
        <v>55.018390175901473</v>
      </c>
      <c r="Z195" s="380">
        <f t="shared" si="62"/>
        <v>55.535211255424272</v>
      </c>
      <c r="AA195" s="381">
        <f t="shared" si="63"/>
        <v>57.781143034242575</v>
      </c>
      <c r="AB195" s="193">
        <f t="shared" si="64"/>
        <v>45107</v>
      </c>
      <c r="AC195" s="420">
        <f>IF(OR(t&lt;Tnet,NoTnet),'2022'!Resal_s+('2022'!Salim-'2022'!Resal_s)*(1-EXP(('2022'!Tnet_s-t)/'2022'!Tau_j)),Resal_s+(Salim-Resal_s)*(1-EXP((Tnet_s-t)/Tau_j)))*Salcycl</f>
        <v>3.8869632216990024E-2</v>
      </c>
      <c r="AD195" s="227">
        <f>(INDEX(Models!$BJ195:$BT195,,AH195)*(1-AF195)+INDEX(Models!$BJ195:$BT195,,AH195+1)*AF195-ERP_i)*AE195*Ramure*Pc/MaxiM</f>
        <v>4.0618097721795753E-5</v>
      </c>
      <c r="AE195" s="301">
        <f t="shared" si="65"/>
        <v>0.5</v>
      </c>
      <c r="AF195" s="173">
        <f t="shared" si="66"/>
        <v>0.8367532371201003</v>
      </c>
      <c r="AG195" s="172">
        <f t="shared" si="67"/>
        <v>0</v>
      </c>
      <c r="AH195" s="172">
        <f t="shared" si="68"/>
        <v>6</v>
      </c>
      <c r="AI195" s="221">
        <f t="shared" si="69"/>
        <v>0.8367532371201003</v>
      </c>
      <c r="AJ195" s="261" t="b">
        <f t="shared" si="70"/>
        <v>0</v>
      </c>
      <c r="AK195" s="261" t="b">
        <f t="shared" si="71"/>
        <v>0</v>
      </c>
      <c r="AL195" s="261"/>
      <c r="AM195" s="261"/>
      <c r="AN195" s="75"/>
    </row>
    <row r="196" spans="1:40" s="6" customFormat="1" ht="11.25" customHeight="1" x14ac:dyDescent="0.2">
      <c r="A196" s="56">
        <f t="shared" si="75"/>
        <v>45108</v>
      </c>
      <c r="B196" s="406">
        <f>'2022'!Wh/'2022'!Env_an*'2023'!Env_an</f>
        <v>210.98628217133873</v>
      </c>
      <c r="C196" s="385"/>
      <c r="D196" s="388">
        <f t="shared" si="50"/>
        <v>212.97111957115732</v>
      </c>
      <c r="E196" s="380">
        <f t="shared" si="76"/>
        <v>221.59575788620177</v>
      </c>
      <c r="F196" s="380">
        <f t="shared" si="51"/>
        <v>221.60352881068633</v>
      </c>
      <c r="G196" s="110">
        <f t="shared" si="77"/>
        <v>0.88637276841268797</v>
      </c>
      <c r="H196" s="409" t="b">
        <f>Wh_hp&gt;='2022'!Maxi_hp</f>
        <v>0</v>
      </c>
      <c r="I196" s="385">
        <f>IF(H196,Wh_hp,'2022'!Maxi_hp)</f>
        <v>221.60441669383138</v>
      </c>
      <c r="J196" s="85">
        <f>IF(H196,An,'2022'!An_max)</f>
        <v>2022</v>
      </c>
      <c r="K196" s="193">
        <f t="shared" si="52"/>
        <v>45108</v>
      </c>
      <c r="L196" s="143">
        <f>IF(t&lt;Tvie,1-EXP((T0-t)*PertePVj)+'2022'!Pspv,1-EXP((T0-t)*PertePVj)+Pspv)</f>
        <v>9.3197490993863763E-3</v>
      </c>
      <c r="M196" s="835"/>
      <c r="N196" s="835"/>
      <c r="O196" s="48">
        <f>IF(t&lt;Tnet,'2022'!Resal+('2022'!Salim-'2022'!Resal)*(1-EXP(('2022'!Tnet-t)/('2022'!Tau_j))),Resal+(Salim-Resal)*(1-EXP((Tnet-t)/(Tau_j))))*Salcycl</f>
        <v>3.8920593053381268E-2</v>
      </c>
      <c r="P196" s="165">
        <f>(INDEX(Models!$BJ196:$BT196,,T196)*(1-R196)+INDEX(Models!$BJ196:$BT196,,T196+1)*R196-ERP_i)*Q196*Ramure*Pc/MaxiM</f>
        <v>4.1861598000781161E-5</v>
      </c>
      <c r="Q196" s="301">
        <f t="shared" si="53"/>
        <v>0.5</v>
      </c>
      <c r="R196" s="173">
        <f t="shared" si="54"/>
        <v>0.84108400464104327</v>
      </c>
      <c r="S196" s="801">
        <f t="shared" si="55"/>
        <v>0</v>
      </c>
      <c r="T196" s="172">
        <f t="shared" si="56"/>
        <v>6</v>
      </c>
      <c r="U196" s="247">
        <f t="shared" si="57"/>
        <v>0.84108400464104327</v>
      </c>
      <c r="V196" s="378">
        <f t="shared" si="58"/>
        <v>238.03173566319069</v>
      </c>
      <c r="W196" s="397">
        <f t="shared" si="59"/>
        <v>210.98628217133873</v>
      </c>
      <c r="X196" s="153">
        <f t="shared" si="60"/>
        <v>45108</v>
      </c>
      <c r="Y196" s="380">
        <f t="shared" si="61"/>
        <v>210.98628217133873</v>
      </c>
      <c r="Z196" s="380">
        <f t="shared" si="62"/>
        <v>212.97111957115732</v>
      </c>
      <c r="AA196" s="381">
        <f t="shared" si="63"/>
        <v>221.59575788620177</v>
      </c>
      <c r="AB196" s="193">
        <f t="shared" si="64"/>
        <v>45108</v>
      </c>
      <c r="AC196" s="420">
        <f>IF(OR(t&lt;Tnet,NoTnet),'2022'!Resal_s+('2022'!Salim-'2022'!Resal_s)*(1-EXP(('2022'!Tnet_s-t)/'2022'!Tau_j)),Resal_s+(Salim-Resal_s)*(1-EXP((Tnet_s-t)/Tau_j)))*Salcycl</f>
        <v>3.8920593053381268E-2</v>
      </c>
      <c r="AD196" s="227">
        <f>(INDEX(Models!$BJ196:$BT196,,AH196)*(1-AF196)+INDEX(Models!$BJ196:$BT196,,AH196+1)*AF196-ERP_i)*AE196*Ramure*Pc/MaxiM</f>
        <v>4.1861598000781161E-5</v>
      </c>
      <c r="AE196" s="301">
        <f t="shared" si="65"/>
        <v>0.5</v>
      </c>
      <c r="AF196" s="173">
        <f t="shared" si="66"/>
        <v>0.84108400464104327</v>
      </c>
      <c r="AG196" s="172">
        <f t="shared" si="67"/>
        <v>0</v>
      </c>
      <c r="AH196" s="172">
        <f t="shared" si="68"/>
        <v>6</v>
      </c>
      <c r="AI196" s="221">
        <f t="shared" si="69"/>
        <v>0.84108400464104327</v>
      </c>
      <c r="AJ196" s="261" t="b">
        <f t="shared" si="70"/>
        <v>0</v>
      </c>
      <c r="AK196" s="261" t="b">
        <f t="shared" si="71"/>
        <v>0</v>
      </c>
      <c r="AL196" s="261"/>
      <c r="AM196" s="261"/>
      <c r="AN196" s="75"/>
    </row>
    <row r="197" spans="1:40" s="6" customFormat="1" ht="11.25" customHeight="1" x14ac:dyDescent="0.2">
      <c r="A197" s="56">
        <f t="shared" si="75"/>
        <v>45109</v>
      </c>
      <c r="B197" s="406">
        <f>'2022'!Wh/'2022'!Env_an*'2023'!Env_an</f>
        <v>233.17042276954183</v>
      </c>
      <c r="C197" s="385"/>
      <c r="D197" s="388">
        <f t="shared" si="50"/>
        <v>235.36717776350361</v>
      </c>
      <c r="E197" s="380">
        <f t="shared" si="76"/>
        <v>244.91161393061194</v>
      </c>
      <c r="F197" s="380">
        <f t="shared" si="51"/>
        <v>244.92189913620246</v>
      </c>
      <c r="G197" s="110">
        <f t="shared" si="77"/>
        <v>0.98042291373303148</v>
      </c>
      <c r="H197" s="409" t="b">
        <f>Wh_hp&gt;='2022'!Maxi_hp</f>
        <v>0</v>
      </c>
      <c r="I197" s="385">
        <f>IF(H197,Wh_hp,'2022'!Maxi_hp)</f>
        <v>244.92207274501186</v>
      </c>
      <c r="J197" s="85">
        <f>IF(H197,An,'2022'!An_max)</f>
        <v>2022</v>
      </c>
      <c r="K197" s="193">
        <f t="shared" si="52"/>
        <v>45109</v>
      </c>
      <c r="L197" s="143">
        <f>IF(t&lt;Tvie,1-EXP((T0-t)*PertePVj)+'2022'!Pspv,1-EXP((T0-t)*PertePVj)+Pspv)</f>
        <v>9.3333106800858046E-3</v>
      </c>
      <c r="M197" s="835"/>
      <c r="N197" s="835"/>
      <c r="O197" s="48">
        <f>IF(t&lt;Tnet,'2022'!Resal+('2022'!Salim-'2022'!Resal)*(1-EXP(('2022'!Tnet-t)/('2022'!Tau_j))),Resal+(Salim-Resal)*(1-EXP((Tnet-t)/(Tau_j))))*Salcycl</f>
        <v>3.8970941450789789E-2</v>
      </c>
      <c r="P197" s="165">
        <f>(INDEX(Models!$BJ197:$BT197,,T197)*(1-R197)+INDEX(Models!$BJ197:$BT197,,T197+1)*R197-ERP_i)*Q197*Ramure*Pc/MaxiM</f>
        <v>4.3201986062390284E-5</v>
      </c>
      <c r="Q197" s="301">
        <f t="shared" si="53"/>
        <v>0.5</v>
      </c>
      <c r="R197" s="173">
        <f t="shared" si="54"/>
        <v>0.84534301994870387</v>
      </c>
      <c r="S197" s="801">
        <f t="shared" si="55"/>
        <v>0</v>
      </c>
      <c r="T197" s="172">
        <f t="shared" si="56"/>
        <v>6</v>
      </c>
      <c r="U197" s="247">
        <f t="shared" si="57"/>
        <v>0.84534301994870387</v>
      </c>
      <c r="V197" s="378">
        <f t="shared" si="58"/>
        <v>237.82608278786381</v>
      </c>
      <c r="W197" s="397">
        <f t="shared" si="59"/>
        <v>233.17042276954183</v>
      </c>
      <c r="X197" s="153">
        <f t="shared" si="60"/>
        <v>45109</v>
      </c>
      <c r="Y197" s="380">
        <f t="shared" si="61"/>
        <v>233.17042276954183</v>
      </c>
      <c r="Z197" s="380">
        <f t="shared" si="62"/>
        <v>235.36717776350361</v>
      </c>
      <c r="AA197" s="381">
        <f t="shared" si="63"/>
        <v>244.91161393061194</v>
      </c>
      <c r="AB197" s="193">
        <f t="shared" si="64"/>
        <v>45109</v>
      </c>
      <c r="AC197" s="420">
        <f>IF(OR(t&lt;Tnet,NoTnet),'2022'!Resal_s+('2022'!Salim-'2022'!Resal_s)*(1-EXP(('2022'!Tnet_s-t)/'2022'!Tau_j)),Resal_s+(Salim-Resal_s)*(1-EXP((Tnet_s-t)/Tau_j)))*Salcycl</f>
        <v>3.8970941450789789E-2</v>
      </c>
      <c r="AD197" s="227">
        <f>(INDEX(Models!$BJ197:$BT197,,AH197)*(1-AF197)+INDEX(Models!$BJ197:$BT197,,AH197+1)*AF197-ERP_i)*AE197*Ramure*Pc/MaxiM</f>
        <v>4.3201986062390284E-5</v>
      </c>
      <c r="AE197" s="301">
        <f t="shared" si="65"/>
        <v>0.5</v>
      </c>
      <c r="AF197" s="173">
        <f t="shared" si="66"/>
        <v>0.84534301994870387</v>
      </c>
      <c r="AG197" s="172">
        <f t="shared" si="67"/>
        <v>0</v>
      </c>
      <c r="AH197" s="172">
        <f t="shared" si="68"/>
        <v>6</v>
      </c>
      <c r="AI197" s="221">
        <f t="shared" si="69"/>
        <v>0.84534301994870387</v>
      </c>
      <c r="AJ197" s="261" t="b">
        <f t="shared" si="70"/>
        <v>0</v>
      </c>
      <c r="AK197" s="261" t="b">
        <f t="shared" si="71"/>
        <v>0</v>
      </c>
      <c r="AL197" s="261"/>
      <c r="AM197" s="261"/>
      <c r="AN197" s="75"/>
    </row>
    <row r="198" spans="1:40" s="6" customFormat="1" ht="11.25" customHeight="1" x14ac:dyDescent="0.2">
      <c r="A198" s="56">
        <f t="shared" si="75"/>
        <v>45110</v>
      </c>
      <c r="B198" s="406">
        <f>'2022'!Wh/'2022'!Env_an*'2023'!Env_an</f>
        <v>193.12196778324437</v>
      </c>
      <c r="C198" s="385"/>
      <c r="D198" s="388">
        <f t="shared" si="50"/>
        <v>194.9440852095025</v>
      </c>
      <c r="E198" s="380">
        <f t="shared" si="76"/>
        <v>202.85981495679928</v>
      </c>
      <c r="F198" s="380">
        <f t="shared" si="51"/>
        <v>202.86645255853495</v>
      </c>
      <c r="G198" s="110">
        <f t="shared" si="77"/>
        <v>0.81276433752381627</v>
      </c>
      <c r="H198" s="409" t="b">
        <f>Wh_hp&gt;='2022'!Maxi_hp</f>
        <v>0</v>
      </c>
      <c r="I198" s="385">
        <f>IF(H198,Wh_hp,'2022'!Maxi_hp)</f>
        <v>202.86786743464688</v>
      </c>
      <c r="J198" s="85">
        <f>IF(H198,An,'2022'!An_max)</f>
        <v>2022</v>
      </c>
      <c r="K198" s="193">
        <f t="shared" si="52"/>
        <v>45110</v>
      </c>
      <c r="L198" s="143">
        <f>IF(t&lt;Tvie,1-EXP((T0-t)*PertePVj)+'2022'!Pspv,1-EXP((T0-t)*PertePVj)+Pspv)</f>
        <v>9.3468720751386236E-3</v>
      </c>
      <c r="M198" s="835"/>
      <c r="N198" s="835"/>
      <c r="O198" s="48">
        <f>IF(t&lt;Tnet,'2022'!Resal+('2022'!Salim-'2022'!Resal)*(1-EXP(('2022'!Tnet-t)/('2022'!Tau_j))),Resal+(Salim-Resal)*(1-EXP((Tnet-t)/(Tau_j))))*Salcycl</f>
        <v>3.9020688986542297E-2</v>
      </c>
      <c r="P198" s="165">
        <f>(INDEX(Models!$BJ198:$BT198,,T198)*(1-R198)+INDEX(Models!$BJ198:$BT198,,T198+1)*R198-ERP_i)*Q198*Ramure*Pc/MaxiM</f>
        <v>4.4665578063722093E-5</v>
      </c>
      <c r="Q198" s="301">
        <f t="shared" si="53"/>
        <v>0.5</v>
      </c>
      <c r="R198" s="173">
        <f t="shared" si="54"/>
        <v>0.84952854571600034</v>
      </c>
      <c r="S198" s="801">
        <f t="shared" si="55"/>
        <v>0</v>
      </c>
      <c r="T198" s="172">
        <f t="shared" si="56"/>
        <v>6</v>
      </c>
      <c r="U198" s="247">
        <f t="shared" si="57"/>
        <v>0.84952854571600034</v>
      </c>
      <c r="V198" s="378">
        <f t="shared" si="58"/>
        <v>237.60843292293259</v>
      </c>
      <c r="W198" s="397">
        <f t="shared" si="59"/>
        <v>193.12196778324437</v>
      </c>
      <c r="X198" s="153">
        <f t="shared" si="60"/>
        <v>45110</v>
      </c>
      <c r="Y198" s="380">
        <f t="shared" si="61"/>
        <v>193.12196778324437</v>
      </c>
      <c r="Z198" s="380">
        <f t="shared" si="62"/>
        <v>194.9440852095025</v>
      </c>
      <c r="AA198" s="381">
        <f t="shared" si="63"/>
        <v>202.85981495679928</v>
      </c>
      <c r="AB198" s="193">
        <f t="shared" si="64"/>
        <v>45110</v>
      </c>
      <c r="AC198" s="420">
        <f>IF(OR(t&lt;Tnet,NoTnet),'2022'!Resal_s+('2022'!Salim-'2022'!Resal_s)*(1-EXP(('2022'!Tnet_s-t)/'2022'!Tau_j)),Resal_s+(Salim-Resal_s)*(1-EXP((Tnet_s-t)/Tau_j)))*Salcycl</f>
        <v>3.9020688986542297E-2</v>
      </c>
      <c r="AD198" s="227">
        <f>(INDEX(Models!$BJ198:$BT198,,AH198)*(1-AF198)+INDEX(Models!$BJ198:$BT198,,AH198+1)*AF198-ERP_i)*AE198*Ramure*Pc/MaxiM</f>
        <v>4.4665578063722093E-5</v>
      </c>
      <c r="AE198" s="301">
        <f t="shared" si="65"/>
        <v>0.5</v>
      </c>
      <c r="AF198" s="173">
        <f t="shared" si="66"/>
        <v>0.84952854571600034</v>
      </c>
      <c r="AG198" s="172">
        <f t="shared" si="67"/>
        <v>0</v>
      </c>
      <c r="AH198" s="172">
        <f t="shared" si="68"/>
        <v>6</v>
      </c>
      <c r="AI198" s="221">
        <f t="shared" si="69"/>
        <v>0.84952854571600034</v>
      </c>
      <c r="AJ198" s="261" t="b">
        <f t="shared" si="70"/>
        <v>0</v>
      </c>
      <c r="AK198" s="261" t="b">
        <f t="shared" si="71"/>
        <v>0</v>
      </c>
      <c r="AL198" s="261"/>
      <c r="AM198" s="261"/>
      <c r="AN198" s="75"/>
    </row>
    <row r="199" spans="1:40" s="6" customFormat="1" ht="11.25" customHeight="1" x14ac:dyDescent="0.2">
      <c r="A199" s="56">
        <f t="shared" si="75"/>
        <v>45111</v>
      </c>
      <c r="B199" s="406">
        <f>'2022'!Wh/'2022'!Env_an*'2023'!Env_an</f>
        <v>188.39940636695974</v>
      </c>
      <c r="C199" s="385"/>
      <c r="D199" s="388">
        <f t="shared" si="50"/>
        <v>190.17956953972021</v>
      </c>
      <c r="E199" s="380">
        <f t="shared" si="76"/>
        <v>197.91195982129281</v>
      </c>
      <c r="F199" s="380">
        <f t="shared" si="51"/>
        <v>197.91840728794716</v>
      </c>
      <c r="G199" s="110">
        <f t="shared" si="77"/>
        <v>0.79365835350752412</v>
      </c>
      <c r="H199" s="409" t="b">
        <f>Wh_hp&gt;='2022'!Maxi_hp</f>
        <v>0</v>
      </c>
      <c r="I199" s="385">
        <f>IF(H199,Wh_hp,'2022'!Maxi_hp)</f>
        <v>197.91997286853493</v>
      </c>
      <c r="J199" s="85">
        <f>IF(H199,An,'2022'!An_max)</f>
        <v>2022</v>
      </c>
      <c r="K199" s="193">
        <f t="shared" si="52"/>
        <v>45111</v>
      </c>
      <c r="L199" s="143">
        <f>IF(t&lt;Tvie,1-EXP((T0-t)*PertePVj)+'2022'!Pspv,1-EXP((T0-t)*PertePVj)+Pspv)</f>
        <v>9.360433284547276E-3</v>
      </c>
      <c r="M199" s="835"/>
      <c r="N199" s="835"/>
      <c r="O199" s="48">
        <f>IF(t&lt;Tnet,'2022'!Resal+('2022'!Salim-'2022'!Resal)*(1-EXP(('2022'!Tnet-t)/('2022'!Tau_j))),Resal+(Salim-Resal)*(1-EXP((Tnet-t)/(Tau_j))))*Salcycl</f>
        <v>3.9069848474820243E-2</v>
      </c>
      <c r="P199" s="165">
        <f>(INDEX(Models!$BJ199:$BT199,,T199)*(1-R199)+INDEX(Models!$BJ199:$BT199,,T199+1)*R199-ERP_i)*Q199*Ramure*Pc/MaxiM</f>
        <v>4.6191807860367177E-5</v>
      </c>
      <c r="Q199" s="301">
        <f t="shared" si="53"/>
        <v>0.5</v>
      </c>
      <c r="R199" s="173">
        <f t="shared" si="54"/>
        <v>0.85363902593995744</v>
      </c>
      <c r="S199" s="801">
        <f t="shared" si="55"/>
        <v>0</v>
      </c>
      <c r="T199" s="172">
        <f t="shared" si="56"/>
        <v>6</v>
      </c>
      <c r="U199" s="247">
        <f t="shared" si="57"/>
        <v>0.85363902593995744</v>
      </c>
      <c r="V199" s="378">
        <f t="shared" si="58"/>
        <v>237.37775872149686</v>
      </c>
      <c r="W199" s="397">
        <f t="shared" si="59"/>
        <v>188.39940636695974</v>
      </c>
      <c r="X199" s="153">
        <f t="shared" si="60"/>
        <v>45111</v>
      </c>
      <c r="Y199" s="380">
        <f t="shared" si="61"/>
        <v>188.39940636695974</v>
      </c>
      <c r="Z199" s="380">
        <f t="shared" si="62"/>
        <v>190.17956953972021</v>
      </c>
      <c r="AA199" s="381">
        <f t="shared" si="63"/>
        <v>197.91195982129281</v>
      </c>
      <c r="AB199" s="193">
        <f t="shared" si="64"/>
        <v>45111</v>
      </c>
      <c r="AC199" s="420">
        <f>IF(OR(t&lt;Tnet,NoTnet),'2022'!Resal_s+('2022'!Salim-'2022'!Resal_s)*(1-EXP(('2022'!Tnet_s-t)/'2022'!Tau_j)),Resal_s+(Salim-Resal_s)*(1-EXP((Tnet_s-t)/Tau_j)))*Salcycl</f>
        <v>3.9069848474820243E-2</v>
      </c>
      <c r="AD199" s="227">
        <f>(INDEX(Models!$BJ199:$BT199,,AH199)*(1-AF199)+INDEX(Models!$BJ199:$BT199,,AH199+1)*AF199-ERP_i)*AE199*Ramure*Pc/MaxiM</f>
        <v>4.6191807860367177E-5</v>
      </c>
      <c r="AE199" s="301">
        <f t="shared" si="65"/>
        <v>0.5</v>
      </c>
      <c r="AF199" s="173">
        <f t="shared" si="66"/>
        <v>0.85363902593995744</v>
      </c>
      <c r="AG199" s="172">
        <f t="shared" si="67"/>
        <v>0</v>
      </c>
      <c r="AH199" s="172">
        <f t="shared" si="68"/>
        <v>6</v>
      </c>
      <c r="AI199" s="221">
        <f t="shared" si="69"/>
        <v>0.85363902593995744</v>
      </c>
      <c r="AJ199" s="261" t="b">
        <f t="shared" si="70"/>
        <v>0</v>
      </c>
      <c r="AK199" s="261" t="b">
        <f t="shared" si="71"/>
        <v>0</v>
      </c>
      <c r="AL199" s="261"/>
      <c r="AM199" s="261"/>
      <c r="AN199" s="75"/>
    </row>
    <row r="200" spans="1:40" s="6" customFormat="1" ht="11.25" customHeight="1" x14ac:dyDescent="0.2">
      <c r="A200" s="56">
        <f t="shared" si="75"/>
        <v>45112</v>
      </c>
      <c r="B200" s="406">
        <f>'2022'!Wh/'2022'!Env_an*'2023'!Env_an</f>
        <v>226.63031407250242</v>
      </c>
      <c r="C200" s="385"/>
      <c r="D200" s="388">
        <f t="shared" si="50"/>
        <v>228.77484819739024</v>
      </c>
      <c r="E200" s="380">
        <f t="shared" si="76"/>
        <v>238.08849733418307</v>
      </c>
      <c r="F200" s="380">
        <f t="shared" si="51"/>
        <v>238.09915425720038</v>
      </c>
      <c r="G200" s="110">
        <f t="shared" si="77"/>
        <v>0.95570676174137359</v>
      </c>
      <c r="H200" s="409" t="b">
        <f>Wh_hp&gt;='2022'!Maxi_hp</f>
        <v>0</v>
      </c>
      <c r="I200" s="385">
        <f>IF(H200,Wh_hp,'2022'!Maxi_hp)</f>
        <v>238.09957047491525</v>
      </c>
      <c r="J200" s="85">
        <f>IF(H200,An,'2022'!An_max)</f>
        <v>2022</v>
      </c>
      <c r="K200" s="193">
        <f t="shared" si="52"/>
        <v>45112</v>
      </c>
      <c r="L200" s="143">
        <f>IF(t&lt;Tvie,1-EXP((T0-t)*PertePVj)+'2022'!Pspv,1-EXP((T0-t)*PertePVj)+Pspv)</f>
        <v>9.3739943083144261E-3</v>
      </c>
      <c r="M200" s="835"/>
      <c r="N200" s="835"/>
      <c r="O200" s="48">
        <f>IF(t&lt;Tnet,'2022'!Resal+('2022'!Salim-'2022'!Resal)*(1-EXP(('2022'!Tnet-t)/('2022'!Tau_j))),Resal+(Salim-Resal)*(1-EXP((Tnet-t)/(Tau_j))))*Salcycl</f>
        <v>3.9118433864195119E-2</v>
      </c>
      <c r="P200" s="165">
        <f>(INDEX(Models!$BJ200:$BT200,,T200)*(1-R200)+INDEX(Models!$BJ200:$BT200,,T200+1)*R200-ERP_i)*Q200*Ramure*Pc/MaxiM</f>
        <v>4.7781572663419115E-5</v>
      </c>
      <c r="Q200" s="301">
        <f t="shared" si="53"/>
        <v>0.5</v>
      </c>
      <c r="R200" s="173">
        <f t="shared" si="54"/>
        <v>0.85767308429993128</v>
      </c>
      <c r="S200" s="801">
        <f t="shared" si="55"/>
        <v>0</v>
      </c>
      <c r="T200" s="172">
        <f t="shared" si="56"/>
        <v>6</v>
      </c>
      <c r="U200" s="247">
        <f t="shared" si="57"/>
        <v>0.85767308429993128</v>
      </c>
      <c r="V200" s="378">
        <f t="shared" si="58"/>
        <v>237.1330181580395</v>
      </c>
      <c r="W200" s="397">
        <f t="shared" si="59"/>
        <v>226.63031407250242</v>
      </c>
      <c r="X200" s="153">
        <f t="shared" si="60"/>
        <v>45112</v>
      </c>
      <c r="Y200" s="380">
        <f t="shared" si="61"/>
        <v>226.63031407250242</v>
      </c>
      <c r="Z200" s="380">
        <f t="shared" si="62"/>
        <v>228.77484819739024</v>
      </c>
      <c r="AA200" s="381">
        <f t="shared" si="63"/>
        <v>238.08849733418307</v>
      </c>
      <c r="AB200" s="193">
        <f t="shared" si="64"/>
        <v>45112</v>
      </c>
      <c r="AC200" s="420">
        <f>IF(OR(t&lt;Tnet,NoTnet),'2022'!Resal_s+('2022'!Salim-'2022'!Resal_s)*(1-EXP(('2022'!Tnet_s-t)/'2022'!Tau_j)),Resal_s+(Salim-Resal_s)*(1-EXP((Tnet_s-t)/Tau_j)))*Salcycl</f>
        <v>3.9118433864195119E-2</v>
      </c>
      <c r="AD200" s="227">
        <f>(INDEX(Models!$BJ200:$BT200,,AH200)*(1-AF200)+INDEX(Models!$BJ200:$BT200,,AH200+1)*AF200-ERP_i)*AE200*Ramure*Pc/MaxiM</f>
        <v>4.7781572663419115E-5</v>
      </c>
      <c r="AE200" s="301">
        <f t="shared" si="65"/>
        <v>0.5</v>
      </c>
      <c r="AF200" s="173">
        <f t="shared" si="66"/>
        <v>0.85767308429993128</v>
      </c>
      <c r="AG200" s="172">
        <f t="shared" si="67"/>
        <v>0</v>
      </c>
      <c r="AH200" s="172">
        <f t="shared" si="68"/>
        <v>6</v>
      </c>
      <c r="AI200" s="221">
        <f t="shared" si="69"/>
        <v>0.85767308429993128</v>
      </c>
      <c r="AJ200" s="261" t="b">
        <f t="shared" si="70"/>
        <v>0</v>
      </c>
      <c r="AK200" s="261" t="b">
        <f t="shared" si="71"/>
        <v>0</v>
      </c>
      <c r="AL200" s="261"/>
      <c r="AM200" s="261"/>
      <c r="AN200" s="75"/>
    </row>
    <row r="201" spans="1:40" s="6" customFormat="1" ht="11.25" customHeight="1" x14ac:dyDescent="0.2">
      <c r="A201" s="56">
        <f t="shared" si="75"/>
        <v>45113</v>
      </c>
      <c r="B201" s="406">
        <f>'2022'!Wh/'2022'!Env_an*'2023'!Env_an</f>
        <v>179.90862647896071</v>
      </c>
      <c r="C201" s="385"/>
      <c r="D201" s="388">
        <f t="shared" si="50"/>
        <v>181.61353354041162</v>
      </c>
      <c r="E201" s="380">
        <f t="shared" si="76"/>
        <v>189.01664648910938</v>
      </c>
      <c r="F201" s="380">
        <f t="shared" si="51"/>
        <v>189.02278067461816</v>
      </c>
      <c r="G201" s="110">
        <f t="shared" si="77"/>
        <v>0.75950168382553906</v>
      </c>
      <c r="H201" s="409" t="b">
        <f>Wh_hp&gt;='2022'!Maxi_hp</f>
        <v>0</v>
      </c>
      <c r="I201" s="385">
        <f>IF(H201,Wh_hp,'2022'!Maxi_hp)</f>
        <v>189.02462826970424</v>
      </c>
      <c r="J201" s="85">
        <f>IF(H201,An,'2022'!An_max)</f>
        <v>2022</v>
      </c>
      <c r="K201" s="193">
        <f t="shared" si="52"/>
        <v>45113</v>
      </c>
      <c r="L201" s="143">
        <f>IF(t&lt;Tvie,1-EXP((T0-t)*PertePVj)+'2022'!Pspv,1-EXP((T0-t)*PertePVj)+Pspv)</f>
        <v>9.3875551464425167E-3</v>
      </c>
      <c r="M201" s="835"/>
      <c r="N201" s="835"/>
      <c r="O201" s="48">
        <f>IF(t&lt;Tnet,'2022'!Resal+('2022'!Salim-'2022'!Resal)*(1-EXP(('2022'!Tnet-t)/('2022'!Tau_j))),Resal+(Salim-Resal)*(1-EXP((Tnet-t)/(Tau_j))))*Salcycl</f>
        <v>3.9166460130400656E-2</v>
      </c>
      <c r="P201" s="165">
        <f>(INDEX(Models!$BJ201:$BT201,,T201)*(1-R201)+INDEX(Models!$BJ201:$BT201,,T201+1)*R201-ERP_i)*Q201*Ramure*Pc/MaxiM</f>
        <v>4.9435792294387151E-5</v>
      </c>
      <c r="Q201" s="301">
        <f t="shared" si="53"/>
        <v>0.5</v>
      </c>
      <c r="R201" s="173">
        <f t="shared" si="54"/>
        <v>0.86162952176105745</v>
      </c>
      <c r="S201" s="801">
        <f t="shared" si="55"/>
        <v>0</v>
      </c>
      <c r="T201" s="172">
        <f t="shared" si="56"/>
        <v>6</v>
      </c>
      <c r="U201" s="247">
        <f t="shared" si="57"/>
        <v>0.86162952176105745</v>
      </c>
      <c r="V201" s="378">
        <f t="shared" si="58"/>
        <v>236.87316920778812</v>
      </c>
      <c r="W201" s="397">
        <f t="shared" si="59"/>
        <v>179.90862647896071</v>
      </c>
      <c r="X201" s="153">
        <f t="shared" si="60"/>
        <v>45113</v>
      </c>
      <c r="Y201" s="380">
        <f t="shared" si="61"/>
        <v>179.90862647896071</v>
      </c>
      <c r="Z201" s="380">
        <f t="shared" si="62"/>
        <v>181.61353354041162</v>
      </c>
      <c r="AA201" s="381">
        <f t="shared" si="63"/>
        <v>189.01664648910938</v>
      </c>
      <c r="AB201" s="193">
        <f t="shared" si="64"/>
        <v>45113</v>
      </c>
      <c r="AC201" s="420">
        <f>IF(OR(t&lt;Tnet,NoTnet),'2022'!Resal_s+('2022'!Salim-'2022'!Resal_s)*(1-EXP(('2022'!Tnet_s-t)/'2022'!Tau_j)),Resal_s+(Salim-Resal_s)*(1-EXP((Tnet_s-t)/Tau_j)))*Salcycl</f>
        <v>3.9166460130400656E-2</v>
      </c>
      <c r="AD201" s="227">
        <f>(INDEX(Models!$BJ201:$BT201,,AH201)*(1-AF201)+INDEX(Models!$BJ201:$BT201,,AH201+1)*AF201-ERP_i)*AE201*Ramure*Pc/MaxiM</f>
        <v>4.9435792294387151E-5</v>
      </c>
      <c r="AE201" s="301">
        <f t="shared" si="65"/>
        <v>0.5</v>
      </c>
      <c r="AF201" s="173">
        <f t="shared" si="66"/>
        <v>0.86162952176105745</v>
      </c>
      <c r="AG201" s="172">
        <f t="shared" si="67"/>
        <v>0</v>
      </c>
      <c r="AH201" s="172">
        <f t="shared" si="68"/>
        <v>6</v>
      </c>
      <c r="AI201" s="221">
        <f t="shared" si="69"/>
        <v>0.86162952176105745</v>
      </c>
      <c r="AJ201" s="261" t="b">
        <f t="shared" si="70"/>
        <v>0</v>
      </c>
      <c r="AK201" s="261" t="b">
        <f t="shared" si="71"/>
        <v>0</v>
      </c>
      <c r="AL201" s="261"/>
      <c r="AM201" s="261"/>
      <c r="AN201" s="75"/>
    </row>
    <row r="202" spans="1:40" s="6" customFormat="1" ht="11.25" customHeight="1" x14ac:dyDescent="0.2">
      <c r="A202" s="56">
        <f t="shared" si="75"/>
        <v>45114</v>
      </c>
      <c r="B202" s="406">
        <f>'2022'!Wh/'2022'!Env_an*'2023'!Env_an</f>
        <v>223.58433599877674</v>
      </c>
      <c r="C202" s="385"/>
      <c r="D202" s="388">
        <f t="shared" si="50"/>
        <v>225.70622636941604</v>
      </c>
      <c r="E202" s="380">
        <f t="shared" si="76"/>
        <v>234.91829920281279</v>
      </c>
      <c r="F202" s="380">
        <f t="shared" si="51"/>
        <v>234.9293728488868</v>
      </c>
      <c r="G202" s="110">
        <f t="shared" si="77"/>
        <v>0.94499624593458376</v>
      </c>
      <c r="H202" s="409" t="b">
        <f>Wh_hp&gt;='2022'!Maxi_hp</f>
        <v>0</v>
      </c>
      <c r="I202" s="385">
        <f>IF(H202,Wh_hp,'2022'!Maxi_hp)</f>
        <v>234.92991381410164</v>
      </c>
      <c r="J202" s="85">
        <f>IF(H202,An,'2022'!An_max)</f>
        <v>2022</v>
      </c>
      <c r="K202" s="193">
        <f t="shared" si="52"/>
        <v>45114</v>
      </c>
      <c r="L202" s="143">
        <f>IF(t&lt;Tvie,1-EXP((T0-t)*PertePVj)+'2022'!Pspv,1-EXP((T0-t)*PertePVj)+Pspv)</f>
        <v>9.401115798934101E-3</v>
      </c>
      <c r="M202" s="835"/>
      <c r="N202" s="835"/>
      <c r="O202" s="48">
        <f>IF(t&lt;Tnet,'2022'!Resal+('2022'!Salim-'2022'!Resal)*(1-EXP(('2022'!Tnet-t)/('2022'!Tau_j))),Resal+(Salim-Resal)*(1-EXP((Tnet-t)/(Tau_j))))*Salcycl</f>
        <v>3.9213943165166763E-2</v>
      </c>
      <c r="P202" s="165">
        <f>(INDEX(Models!$BJ202:$BT202,,T202)*(1-R202)+INDEX(Models!$BJ202:$BT202,,T202+1)*R202-ERP_i)*Q202*Ramure*Pc/MaxiM</f>
        <v>5.1155415327190473E-5</v>
      </c>
      <c r="Q202" s="301">
        <f t="shared" si="53"/>
        <v>0.5</v>
      </c>
      <c r="R202" s="173">
        <f t="shared" si="54"/>
        <v>0.865507313476097</v>
      </c>
      <c r="S202" s="801">
        <f t="shared" si="55"/>
        <v>0</v>
      </c>
      <c r="T202" s="172">
        <f t="shared" si="56"/>
        <v>6</v>
      </c>
      <c r="U202" s="247">
        <f t="shared" si="57"/>
        <v>0.865507313476097</v>
      </c>
      <c r="V202" s="378">
        <f t="shared" si="58"/>
        <v>236.59716983469269</v>
      </c>
      <c r="W202" s="397">
        <f t="shared" si="59"/>
        <v>223.58433599877674</v>
      </c>
      <c r="X202" s="153">
        <f t="shared" si="60"/>
        <v>45114</v>
      </c>
      <c r="Y202" s="380">
        <f t="shared" si="61"/>
        <v>223.58433599877674</v>
      </c>
      <c r="Z202" s="380">
        <f t="shared" si="62"/>
        <v>225.70622636941604</v>
      </c>
      <c r="AA202" s="381">
        <f t="shared" si="63"/>
        <v>234.91829920281279</v>
      </c>
      <c r="AB202" s="193">
        <f t="shared" si="64"/>
        <v>45114</v>
      </c>
      <c r="AC202" s="420">
        <f>IF(OR(t&lt;Tnet,NoTnet),'2022'!Resal_s+('2022'!Salim-'2022'!Resal_s)*(1-EXP(('2022'!Tnet_s-t)/'2022'!Tau_j)),Resal_s+(Salim-Resal_s)*(1-EXP((Tnet_s-t)/Tau_j)))*Salcycl</f>
        <v>3.9213943165166763E-2</v>
      </c>
      <c r="AD202" s="227">
        <f>(INDEX(Models!$BJ202:$BT202,,AH202)*(1-AF202)+INDEX(Models!$BJ202:$BT202,,AH202+1)*AF202-ERP_i)*AE202*Ramure*Pc/MaxiM</f>
        <v>5.1155415327190473E-5</v>
      </c>
      <c r="AE202" s="301">
        <f t="shared" si="65"/>
        <v>0.5</v>
      </c>
      <c r="AF202" s="173">
        <f t="shared" si="66"/>
        <v>0.865507313476097</v>
      </c>
      <c r="AG202" s="172">
        <f t="shared" si="67"/>
        <v>0</v>
      </c>
      <c r="AH202" s="172">
        <f t="shared" si="68"/>
        <v>6</v>
      </c>
      <c r="AI202" s="221">
        <f t="shared" si="69"/>
        <v>0.865507313476097</v>
      </c>
      <c r="AJ202" s="261" t="b">
        <f t="shared" si="70"/>
        <v>0</v>
      </c>
      <c r="AK202" s="261" t="b">
        <f t="shared" si="71"/>
        <v>0</v>
      </c>
      <c r="AL202" s="261"/>
      <c r="AM202" s="261"/>
      <c r="AN202" s="75"/>
    </row>
    <row r="203" spans="1:40" s="6" customFormat="1" ht="11.25" customHeight="1" x14ac:dyDescent="0.2">
      <c r="A203" s="56">
        <f t="shared" si="75"/>
        <v>45115</v>
      </c>
      <c r="B203" s="406">
        <f>'2022'!Wh/'2022'!Env_an*'2023'!Env_an</f>
        <v>237.11589765340963</v>
      </c>
      <c r="C203" s="385"/>
      <c r="D203" s="388">
        <f t="shared" si="50"/>
        <v>239.36948385178383</v>
      </c>
      <c r="E203" s="380">
        <f t="shared" si="76"/>
        <v>249.1513916395844</v>
      </c>
      <c r="F203" s="380">
        <f t="shared" si="51"/>
        <v>249.16458276776106</v>
      </c>
      <c r="G203" s="110">
        <f t="shared" si="77"/>
        <v>1.0034359116923774</v>
      </c>
      <c r="H203" s="409" t="b">
        <f>Wh_hp&gt;='2022'!Maxi_hp</f>
        <v>1</v>
      </c>
      <c r="I203" s="385">
        <f>IF(H203,Wh_hp,'2022'!Maxi_hp)</f>
        <v>249.16458276776106</v>
      </c>
      <c r="J203" s="85">
        <f>IF(H203,An,'2022'!An_max)</f>
        <v>2023</v>
      </c>
      <c r="K203" s="193">
        <f t="shared" si="52"/>
        <v>45115</v>
      </c>
      <c r="L203" s="143">
        <f>IF(t&lt;Tvie,1-EXP((T0-t)*PertePVj)+'2022'!Pspv,1-EXP((T0-t)*PertePVj)+Pspv)</f>
        <v>9.4146762657917327E-3</v>
      </c>
      <c r="M203" s="835"/>
      <c r="N203" s="835"/>
      <c r="O203" s="48">
        <f>IF(t&lt;Tnet,'2022'!Resal+('2022'!Salim-'2022'!Resal)*(1-EXP(('2022'!Tnet-t)/('2022'!Tau_j))),Resal+(Salim-Resal)*(1-EXP((Tnet-t)/(Tau_j))))*Salcycl</f>
        <v>3.9260899661964679E-2</v>
      </c>
      <c r="P203" s="165">
        <f>(INDEX(Models!$BJ203:$BT203,,T203)*(1-R203)+INDEX(Models!$BJ203:$BT203,,T203+1)*R203-ERP_i)*Q203*Ramure*Pc/MaxiM</f>
        <v>5.2941425422950231E-5</v>
      </c>
      <c r="Q203" s="301">
        <f t="shared" si="53"/>
        <v>0.5</v>
      </c>
      <c r="R203" s="173">
        <f t="shared" si="54"/>
        <v>0.8693056050416994</v>
      </c>
      <c r="S203" s="801">
        <f t="shared" si="55"/>
        <v>0</v>
      </c>
      <c r="T203" s="172">
        <f t="shared" si="56"/>
        <v>6</v>
      </c>
      <c r="U203" s="247">
        <f t="shared" si="57"/>
        <v>0.8693056050416994</v>
      </c>
      <c r="V203" s="378">
        <f t="shared" si="58"/>
        <v>236.30397805226451</v>
      </c>
      <c r="W203" s="397">
        <f t="shared" si="59"/>
        <v>237.11589765340963</v>
      </c>
      <c r="X203" s="153">
        <f t="shared" si="60"/>
        <v>45115</v>
      </c>
      <c r="Y203" s="380">
        <f t="shared" si="61"/>
        <v>237.11589765340963</v>
      </c>
      <c r="Z203" s="380">
        <f t="shared" si="62"/>
        <v>239.36948385178383</v>
      </c>
      <c r="AA203" s="381">
        <f t="shared" si="63"/>
        <v>249.1513916395844</v>
      </c>
      <c r="AB203" s="193">
        <f t="shared" si="64"/>
        <v>45115</v>
      </c>
      <c r="AC203" s="420">
        <f>IF(OR(t&lt;Tnet,NoTnet),'2022'!Resal_s+('2022'!Salim-'2022'!Resal_s)*(1-EXP(('2022'!Tnet_s-t)/'2022'!Tau_j)),Resal_s+(Salim-Resal_s)*(1-EXP((Tnet_s-t)/Tau_j)))*Salcycl</f>
        <v>3.9260899661964679E-2</v>
      </c>
      <c r="AD203" s="227">
        <f>(INDEX(Models!$BJ203:$BT203,,AH203)*(1-AF203)+INDEX(Models!$BJ203:$BT203,,AH203+1)*AF203-ERP_i)*AE203*Ramure*Pc/MaxiM</f>
        <v>5.2941425422950231E-5</v>
      </c>
      <c r="AE203" s="301">
        <f t="shared" si="65"/>
        <v>0.5</v>
      </c>
      <c r="AF203" s="173">
        <f t="shared" si="66"/>
        <v>0.8693056050416994</v>
      </c>
      <c r="AG203" s="172">
        <f t="shared" si="67"/>
        <v>0</v>
      </c>
      <c r="AH203" s="172">
        <f t="shared" si="68"/>
        <v>6</v>
      </c>
      <c r="AI203" s="221">
        <f t="shared" si="69"/>
        <v>0.8693056050416994</v>
      </c>
      <c r="AJ203" s="261" t="b">
        <f t="shared" si="70"/>
        <v>0</v>
      </c>
      <c r="AK203" s="261" t="b">
        <f t="shared" si="71"/>
        <v>0</v>
      </c>
      <c r="AL203" s="261"/>
      <c r="AM203" s="261"/>
      <c r="AN203" s="75"/>
    </row>
    <row r="204" spans="1:40" s="6" customFormat="1" ht="11.25" customHeight="1" x14ac:dyDescent="0.2">
      <c r="A204" s="56">
        <f t="shared" si="75"/>
        <v>45116</v>
      </c>
      <c r="B204" s="406">
        <f>'2022'!Wh/'2022'!Env_an*'2023'!Env_an</f>
        <v>234.6409859253223</v>
      </c>
      <c r="C204" s="385"/>
      <c r="D204" s="388">
        <f t="shared" si="50"/>
        <v>236.87429278965075</v>
      </c>
      <c r="E204" s="380">
        <f t="shared" si="76"/>
        <v>246.56615416994862</v>
      </c>
      <c r="F204" s="380">
        <f t="shared" si="51"/>
        <v>246.57955491449817</v>
      </c>
      <c r="G204" s="110">
        <f t="shared" si="77"/>
        <v>0.99427239884878293</v>
      </c>
      <c r="H204" s="409" t="b">
        <f>Wh_hp&gt;='2022'!Maxi_hp</f>
        <v>0</v>
      </c>
      <c r="I204" s="385">
        <f>IF(H204,Wh_hp,'2022'!Maxi_hp)</f>
        <v>246.57961768675807</v>
      </c>
      <c r="J204" s="85">
        <f>IF(H204,An,'2022'!An_max)</f>
        <v>2022</v>
      </c>
      <c r="K204" s="193">
        <f t="shared" si="52"/>
        <v>45116</v>
      </c>
      <c r="L204" s="143">
        <f>IF(t&lt;Tvie,1-EXP((T0-t)*PertePVj)+'2022'!Pspv,1-EXP((T0-t)*PertePVj)+Pspv)</f>
        <v>9.4282365470180762E-3</v>
      </c>
      <c r="M204" s="835"/>
      <c r="N204" s="835"/>
      <c r="O204" s="48">
        <f>IF(t&lt;Tnet,'2022'!Resal+('2022'!Salim-'2022'!Resal)*(1-EXP(('2022'!Tnet-t)/('2022'!Tau_j))),Resal+(Salim-Resal)*(1-EXP((Tnet-t)/(Tau_j))))*Salcycl</f>
        <v>3.9307346999530292E-2</v>
      </c>
      <c r="P204" s="165">
        <f>(INDEX(Models!$BJ204:$BT204,,T204)*(1-R204)+INDEX(Models!$BJ204:$BT204,,T204+1)*R204-ERP_i)*Q204*Ramure*Pc/MaxiM</f>
        <v>5.4794847857062882E-5</v>
      </c>
      <c r="Q204" s="301">
        <f t="shared" si="53"/>
        <v>0.5</v>
      </c>
      <c r="R204" s="173">
        <f t="shared" si="54"/>
        <v>0.87302370816715147</v>
      </c>
      <c r="S204" s="801">
        <f t="shared" si="55"/>
        <v>0</v>
      </c>
      <c r="T204" s="172">
        <f t="shared" si="56"/>
        <v>6</v>
      </c>
      <c r="U204" s="247">
        <f t="shared" si="57"/>
        <v>0.87302370816715147</v>
      </c>
      <c r="V204" s="378">
        <f t="shared" si="58"/>
        <v>235.99255193933215</v>
      </c>
      <c r="W204" s="397">
        <f t="shared" si="59"/>
        <v>234.6409859253223</v>
      </c>
      <c r="X204" s="153">
        <f t="shared" si="60"/>
        <v>45116</v>
      </c>
      <c r="Y204" s="380">
        <f t="shared" si="61"/>
        <v>234.6409859253223</v>
      </c>
      <c r="Z204" s="380">
        <f t="shared" si="62"/>
        <v>236.87429278965075</v>
      </c>
      <c r="AA204" s="381">
        <f t="shared" si="63"/>
        <v>246.56615416994862</v>
      </c>
      <c r="AB204" s="193">
        <f t="shared" si="64"/>
        <v>45116</v>
      </c>
      <c r="AC204" s="420">
        <f>IF(OR(t&lt;Tnet,NoTnet),'2022'!Resal_s+('2022'!Salim-'2022'!Resal_s)*(1-EXP(('2022'!Tnet_s-t)/'2022'!Tau_j)),Resal_s+(Salim-Resal_s)*(1-EXP((Tnet_s-t)/Tau_j)))*Salcycl</f>
        <v>3.9307346999530292E-2</v>
      </c>
      <c r="AD204" s="227">
        <f>(INDEX(Models!$BJ204:$BT204,,AH204)*(1-AF204)+INDEX(Models!$BJ204:$BT204,,AH204+1)*AF204-ERP_i)*AE204*Ramure*Pc/MaxiM</f>
        <v>5.4794847857062882E-5</v>
      </c>
      <c r="AE204" s="301">
        <f t="shared" si="65"/>
        <v>0.5</v>
      </c>
      <c r="AF204" s="173">
        <f t="shared" si="66"/>
        <v>0.87302370816715147</v>
      </c>
      <c r="AG204" s="172">
        <f t="shared" si="67"/>
        <v>0</v>
      </c>
      <c r="AH204" s="172">
        <f t="shared" si="68"/>
        <v>6</v>
      </c>
      <c r="AI204" s="221">
        <f t="shared" si="69"/>
        <v>0.87302370816715147</v>
      </c>
      <c r="AJ204" s="261" t="b">
        <f t="shared" si="70"/>
        <v>0</v>
      </c>
      <c r="AK204" s="261" t="b">
        <f t="shared" si="71"/>
        <v>0</v>
      </c>
      <c r="AL204" s="261"/>
      <c r="AM204" s="261"/>
      <c r="AN204" s="75"/>
    </row>
    <row r="205" spans="1:40" s="6" customFormat="1" ht="11.25" customHeight="1" x14ac:dyDescent="0.2">
      <c r="A205" s="56">
        <f t="shared" si="75"/>
        <v>45117</v>
      </c>
      <c r="B205" s="406">
        <f>'2022'!Wh/'2022'!Env_an*'2023'!Env_an</f>
        <v>232.75912674542289</v>
      </c>
      <c r="C205" s="385"/>
      <c r="D205" s="388">
        <f t="shared" si="50"/>
        <v>234.97773877043497</v>
      </c>
      <c r="E205" s="380">
        <f t="shared" si="76"/>
        <v>244.60370241691052</v>
      </c>
      <c r="F205" s="380">
        <f t="shared" si="51"/>
        <v>244.6173321420508</v>
      </c>
      <c r="G205" s="110">
        <f t="shared" si="77"/>
        <v>0.98768023866953536</v>
      </c>
      <c r="H205" s="409" t="b">
        <f>Wh_hp&gt;='2022'!Maxi_hp</f>
        <v>0</v>
      </c>
      <c r="I205" s="385">
        <f>IF(H205,Wh_hp,'2022'!Maxi_hp)</f>
        <v>244.61747019264928</v>
      </c>
      <c r="J205" s="85">
        <f>IF(H205,An,'2022'!An_max)</f>
        <v>2022</v>
      </c>
      <c r="K205" s="193">
        <f t="shared" si="52"/>
        <v>45117</v>
      </c>
      <c r="L205" s="143">
        <f>IF(t&lt;Tvie,1-EXP((T0-t)*PertePVj)+'2022'!Pspv,1-EXP((T0-t)*PertePVj)+Pspv)</f>
        <v>9.4417966426154631E-3</v>
      </c>
      <c r="M205" s="835"/>
      <c r="N205" s="835"/>
      <c r="O205" s="48">
        <f>IF(t&lt;Tnet,'2022'!Resal+('2022'!Salim-'2022'!Resal)*(1-EXP(('2022'!Tnet-t)/('2022'!Tau_j))),Resal+(Salim-Resal)*(1-EXP((Tnet-t)/(Tau_j))))*Salcycl</f>
        <v>3.9353303124041616E-2</v>
      </c>
      <c r="P205" s="165">
        <f>(INDEX(Models!$BJ205:$BT205,,T205)*(1-R205)+INDEX(Models!$BJ205:$BT205,,T205+1)*R205-ERP_i)*Q205*Ramure*Pc/MaxiM</f>
        <v>5.6716672761074989E-5</v>
      </c>
      <c r="Q205" s="301">
        <f t="shared" si="53"/>
        <v>0.5</v>
      </c>
      <c r="R205" s="173">
        <f t="shared" si="54"/>
        <v>0.8766610958149802</v>
      </c>
      <c r="S205" s="801">
        <f t="shared" si="55"/>
        <v>0</v>
      </c>
      <c r="T205" s="172">
        <f t="shared" si="56"/>
        <v>6</v>
      </c>
      <c r="U205" s="247">
        <f t="shared" si="57"/>
        <v>0.8766610958149802</v>
      </c>
      <c r="V205" s="378">
        <f t="shared" si="58"/>
        <v>235.6621964268748</v>
      </c>
      <c r="W205" s="397">
        <f t="shared" si="59"/>
        <v>232.75912674542289</v>
      </c>
      <c r="X205" s="153">
        <f t="shared" si="60"/>
        <v>45117</v>
      </c>
      <c r="Y205" s="380">
        <f t="shared" si="61"/>
        <v>232.75912674542289</v>
      </c>
      <c r="Z205" s="380">
        <f t="shared" si="62"/>
        <v>234.97773877043497</v>
      </c>
      <c r="AA205" s="381">
        <f t="shared" si="63"/>
        <v>244.60370241691052</v>
      </c>
      <c r="AB205" s="193">
        <f t="shared" si="64"/>
        <v>45117</v>
      </c>
      <c r="AC205" s="420">
        <f>IF(OR(t&lt;Tnet,NoTnet),'2022'!Resal_s+('2022'!Salim-'2022'!Resal_s)*(1-EXP(('2022'!Tnet_s-t)/'2022'!Tau_j)),Resal_s+(Salim-Resal_s)*(1-EXP((Tnet_s-t)/Tau_j)))*Salcycl</f>
        <v>3.9353303124041616E-2</v>
      </c>
      <c r="AD205" s="227">
        <f>(INDEX(Models!$BJ205:$BT205,,AH205)*(1-AF205)+INDEX(Models!$BJ205:$BT205,,AH205+1)*AF205-ERP_i)*AE205*Ramure*Pc/MaxiM</f>
        <v>5.6716672761074989E-5</v>
      </c>
      <c r="AE205" s="301">
        <f t="shared" si="65"/>
        <v>0.5</v>
      </c>
      <c r="AF205" s="173">
        <f t="shared" si="66"/>
        <v>0.8766610958149802</v>
      </c>
      <c r="AG205" s="172">
        <f t="shared" si="67"/>
        <v>0</v>
      </c>
      <c r="AH205" s="172">
        <f t="shared" si="68"/>
        <v>6</v>
      </c>
      <c r="AI205" s="221">
        <f t="shared" si="69"/>
        <v>0.8766610958149802</v>
      </c>
      <c r="AJ205" s="261" t="b">
        <f t="shared" si="70"/>
        <v>0</v>
      </c>
      <c r="AK205" s="261" t="b">
        <f t="shared" si="71"/>
        <v>0</v>
      </c>
      <c r="AL205" s="261"/>
      <c r="AM205" s="261"/>
      <c r="AN205" s="75"/>
    </row>
    <row r="206" spans="1:40" s="6" customFormat="1" ht="11.25" customHeight="1" x14ac:dyDescent="0.2">
      <c r="A206" s="56">
        <f t="shared" si="75"/>
        <v>45118</v>
      </c>
      <c r="B206" s="406">
        <f>'2022'!Wh/'2022'!Env_an*'2023'!Env_an</f>
        <v>226.45995245468677</v>
      </c>
      <c r="C206" s="385"/>
      <c r="D206" s="388">
        <f t="shared" si="50"/>
        <v>228.62165168702887</v>
      </c>
      <c r="E206" s="380">
        <f t="shared" si="76"/>
        <v>237.9985039135764</v>
      </c>
      <c r="F206" s="380">
        <f t="shared" si="51"/>
        <v>238.01173038802492</v>
      </c>
      <c r="G206" s="110">
        <f t="shared" si="77"/>
        <v>0.96237207972842309</v>
      </c>
      <c r="H206" s="409" t="b">
        <f>Wh_hp&gt;='2022'!Maxi_hp</f>
        <v>0</v>
      </c>
      <c r="I206" s="385">
        <f>IF(H206,Wh_hp,'2022'!Maxi_hp)</f>
        <v>238.01215341902494</v>
      </c>
      <c r="J206" s="85">
        <f>IF(H206,An,'2022'!An_max)</f>
        <v>2022</v>
      </c>
      <c r="K206" s="193">
        <f t="shared" si="52"/>
        <v>45118</v>
      </c>
      <c r="L206" s="143">
        <f>IF(t&lt;Tvie,1-EXP((T0-t)*PertePVj)+'2022'!Pspv,1-EXP((T0-t)*PertePVj)+Pspv)</f>
        <v>9.4553565525865579E-3</v>
      </c>
      <c r="M206" s="835"/>
      <c r="N206" s="835"/>
      <c r="O206" s="48">
        <f>IF(t&lt;Tnet,'2022'!Resal+('2022'!Salim-'2022'!Resal)*(1-EXP(('2022'!Tnet-t)/('2022'!Tau_j))),Resal+(Salim-Resal)*(1-EXP((Tnet-t)/(Tau_j))))*Salcycl</f>
        <v>3.9398786430827823E-2</v>
      </c>
      <c r="P206" s="165">
        <f>(INDEX(Models!$BJ206:$BT206,,T206)*(1-R206)+INDEX(Models!$BJ206:$BT206,,T206+1)*R206-ERP_i)*Q206*Ramure*Pc/MaxiM</f>
        <v>5.872726366775581E-5</v>
      </c>
      <c r="Q206" s="301">
        <f t="shared" si="53"/>
        <v>0.5</v>
      </c>
      <c r="R206" s="173">
        <f t="shared" si="54"/>
        <v>0.88021739687334444</v>
      </c>
      <c r="S206" s="801">
        <f t="shared" si="55"/>
        <v>0</v>
      </c>
      <c r="T206" s="172">
        <f t="shared" si="56"/>
        <v>6</v>
      </c>
      <c r="U206" s="247">
        <f t="shared" si="57"/>
        <v>0.88021739687334444</v>
      </c>
      <c r="V206" s="378">
        <f t="shared" si="58"/>
        <v>235.31359891465857</v>
      </c>
      <c r="W206" s="397">
        <f t="shared" si="59"/>
        <v>226.45995245468677</v>
      </c>
      <c r="X206" s="153">
        <f t="shared" si="60"/>
        <v>45118</v>
      </c>
      <c r="Y206" s="380">
        <f t="shared" si="61"/>
        <v>226.45995245468677</v>
      </c>
      <c r="Z206" s="380">
        <f t="shared" si="62"/>
        <v>228.62165168702887</v>
      </c>
      <c r="AA206" s="381">
        <f t="shared" si="63"/>
        <v>237.9985039135764</v>
      </c>
      <c r="AB206" s="193">
        <f t="shared" si="64"/>
        <v>45118</v>
      </c>
      <c r="AC206" s="420">
        <f>IF(OR(t&lt;Tnet,NoTnet),'2022'!Resal_s+('2022'!Salim-'2022'!Resal_s)*(1-EXP(('2022'!Tnet_s-t)/'2022'!Tau_j)),Resal_s+(Salim-Resal_s)*(1-EXP((Tnet_s-t)/Tau_j)))*Salcycl</f>
        <v>3.9398786430827823E-2</v>
      </c>
      <c r="AD206" s="227">
        <f>(INDEX(Models!$BJ206:$BT206,,AH206)*(1-AF206)+INDEX(Models!$BJ206:$BT206,,AH206+1)*AF206-ERP_i)*AE206*Ramure*Pc/MaxiM</f>
        <v>5.872726366775581E-5</v>
      </c>
      <c r="AE206" s="301">
        <f t="shared" si="65"/>
        <v>0.5</v>
      </c>
      <c r="AF206" s="173">
        <f t="shared" si="66"/>
        <v>0.88021739687334444</v>
      </c>
      <c r="AG206" s="172">
        <f t="shared" si="67"/>
        <v>0</v>
      </c>
      <c r="AH206" s="172">
        <f t="shared" si="68"/>
        <v>6</v>
      </c>
      <c r="AI206" s="221">
        <f t="shared" si="69"/>
        <v>0.88021739687334444</v>
      </c>
      <c r="AJ206" s="261" t="b">
        <f t="shared" si="70"/>
        <v>0</v>
      </c>
      <c r="AK206" s="261" t="b">
        <f t="shared" si="71"/>
        <v>0</v>
      </c>
      <c r="AL206" s="261"/>
      <c r="AM206" s="261"/>
      <c r="AN206" s="75"/>
    </row>
    <row r="207" spans="1:40" s="6" customFormat="1" ht="11.25" customHeight="1" x14ac:dyDescent="0.2">
      <c r="A207" s="56">
        <f t="shared" si="75"/>
        <v>45119</v>
      </c>
      <c r="B207" s="406">
        <f>'2022'!Wh/'2022'!Env_an*'2023'!Env_an</f>
        <v>223.80906033999588</v>
      </c>
      <c r="C207" s="385"/>
      <c r="D207" s="388">
        <f t="shared" ref="D207:D270" si="78">Wh/(1-Ppv)</f>
        <v>225.94854822604302</v>
      </c>
      <c r="E207" s="380">
        <f t="shared" si="76"/>
        <v>235.22679038094205</v>
      </c>
      <c r="F207" s="380">
        <f t="shared" ref="F207:F270" si="79">Wh_sa/(1-Pvg*MEDIAN((-Sdif+Wh/Env_an)/Csdif,0,1))</f>
        <v>235.24012409904435</v>
      </c>
      <c r="G207" s="110">
        <f t="shared" si="77"/>
        <v>0.95258663577072977</v>
      </c>
      <c r="H207" s="409" t="b">
        <f>Wh_hp&gt;='2022'!Maxi_hp</f>
        <v>0</v>
      </c>
      <c r="I207" s="385">
        <f>IF(H207,Wh_hp,'2022'!Maxi_hp)</f>
        <v>235.24066730819968</v>
      </c>
      <c r="J207" s="85">
        <f>IF(H207,An,'2022'!An_max)</f>
        <v>2022</v>
      </c>
      <c r="K207" s="193">
        <f t="shared" ref="K207:K270" si="80">t</f>
        <v>45119</v>
      </c>
      <c r="L207" s="143">
        <f>IF(t&lt;Tvie,1-EXP((T0-t)*PertePVj)+'2022'!Pspv,1-EXP((T0-t)*PertePVj)+Pspv)</f>
        <v>9.4689162769338031E-3</v>
      </c>
      <c r="M207" s="835"/>
      <c r="N207" s="835"/>
      <c r="O207" s="48">
        <f>IF(t&lt;Tnet,'2022'!Resal+('2022'!Salim-'2022'!Resal)*(1-EXP(('2022'!Tnet-t)/('2022'!Tau_j))),Resal+(Salim-Resal)*(1-EXP((Tnet-t)/(Tau_j))))*Salcycl</f>
        <v>3.94438156464798E-2</v>
      </c>
      <c r="P207" s="165">
        <f>(INDEX(Models!$BJ207:$BT207,,T207)*(1-R207)+INDEX(Models!$BJ207:$BT207,,T207+1)*R207-ERP_i)*Q207*Ramure*Pc/MaxiM</f>
        <v>6.0799096153461527E-5</v>
      </c>
      <c r="Q207" s="301">
        <f t="shared" ref="Q207:Q270" si="81">IF(OR(t&lt;Ttai,Notai),Dd+PousD*Croivg,Dens+PousD*(Croivg-Croi_tai))</f>
        <v>0.5</v>
      </c>
      <c r="R207" s="173">
        <f t="shared" ref="R207:R270" si="82">(Hp_vg-S207)/(INDEX(Echel_vg,T207+1)-S207)</f>
        <v>0.88369239042006265</v>
      </c>
      <c r="S207" s="801">
        <f t="shared" ref="S207:S270" si="83">INDEX(Echel_vg,T207)</f>
        <v>0</v>
      </c>
      <c r="T207" s="172">
        <f t="shared" ref="T207:T270" si="84">MIN(MATCH(Hp_vg,Echel_vg),10)</f>
        <v>6</v>
      </c>
      <c r="U207" s="247">
        <f t="shared" ref="U207:U270" si="85">IF(OR(t&lt;Ttai,Notai),Hdd+PousH*Croivg,Hdtf+PousH*(Croivg-Croi_tai))</f>
        <v>0.88369239042006265</v>
      </c>
      <c r="V207" s="378">
        <f t="shared" ref="V207:V270" si="86">MaxiM*(1-Ppv)*(1-Pvg)*(1-Psa)</f>
        <v>234.94780452020805</v>
      </c>
      <c r="W207" s="397">
        <f t="shared" ref="W207:W270" si="87">Wh*(A207&gt;Tmaj)</f>
        <v>223.80906033999588</v>
      </c>
      <c r="X207" s="153">
        <f t="shared" ref="X207:X270" si="88">t</f>
        <v>45119</v>
      </c>
      <c r="Y207" s="380">
        <f t="shared" ref="Y207:Y270" si="89">Wh_pvt_s*(1-Ppv)</f>
        <v>223.80906033999588</v>
      </c>
      <c r="Z207" s="380">
        <f t="shared" ref="Z207:Z270" si="90">Wh_sa_s*(1-Psa_s)</f>
        <v>225.94854822604302</v>
      </c>
      <c r="AA207" s="381">
        <f t="shared" ref="AA207:AA270" si="91">Wh_hp*(1-Pvg_s*MEDIAN((-Sdif+Wh/Env_an)/Csdif,0,1))</f>
        <v>235.22679038094205</v>
      </c>
      <c r="AB207" s="193">
        <f t="shared" ref="AB207:AB270" si="92">t</f>
        <v>45119</v>
      </c>
      <c r="AC207" s="420">
        <f>IF(OR(t&lt;Tnet,NoTnet),'2022'!Resal_s+('2022'!Salim-'2022'!Resal_s)*(1-EXP(('2022'!Tnet_s-t)/'2022'!Tau_j)),Resal_s+(Salim-Resal_s)*(1-EXP((Tnet_s-t)/Tau_j)))*Salcycl</f>
        <v>3.94438156464798E-2</v>
      </c>
      <c r="AD207" s="227">
        <f>(INDEX(Models!$BJ207:$BT207,,AH207)*(1-AF207)+INDEX(Models!$BJ207:$BT207,,AH207+1)*AF207-ERP_i)*AE207*Ramure*Pc/MaxiM</f>
        <v>6.0799096153461527E-5</v>
      </c>
      <c r="AE207" s="301">
        <f t="shared" ref="AE207:AE270" si="93">IF(OR(t&lt;Ttai,Notai),Dd_s+PousD*Croivg,Dens_s+PousD*(Croivg-Croi_tai))</f>
        <v>0.5</v>
      </c>
      <c r="AF207" s="173">
        <f t="shared" ref="AF207:AF270" si="94">(Hp_vg_s-AG207)/(INDEX(Echel_vg,AH207+1)-AG207)</f>
        <v>0.88369239042006265</v>
      </c>
      <c r="AG207" s="172">
        <f t="shared" ref="AG207:AG270" si="95">INDEX(Echel_vg,AH207)</f>
        <v>0</v>
      </c>
      <c r="AH207" s="172">
        <f t="shared" ref="AH207:AH270" si="96">MIN(MATCH(Hp_vg_s,Echel_vg),10)</f>
        <v>6</v>
      </c>
      <c r="AI207" s="221">
        <f t="shared" ref="AI207:AI270" si="97">IF(OR(t&lt;Ttai,Notai),Hdd_s+PousH*Croivg,Hdtai_s+PousH*(Croivg-Croi_tai))</f>
        <v>0.88369239042006265</v>
      </c>
      <c r="AJ207" s="261" t="b">
        <f t="shared" ref="AJ207:AJ270" si="98">t&lt;Tnet</f>
        <v>0</v>
      </c>
      <c r="AK207" s="261" t="b">
        <f t="shared" ref="AK207:AK270" si="99">t&lt;Ttai</f>
        <v>0</v>
      </c>
      <c r="AL207" s="261"/>
      <c r="AM207" s="261"/>
      <c r="AN207" s="75"/>
    </row>
    <row r="208" spans="1:40" s="6" customFormat="1" ht="11.25" customHeight="1" x14ac:dyDescent="0.2">
      <c r="A208" s="56">
        <f t="shared" ref="A208:A271" si="100">A207+1</f>
        <v>45120</v>
      </c>
      <c r="B208" s="406">
        <f>'2022'!Wh/'2022'!Env_an*'2023'!Env_an</f>
        <v>223.94381515970386</v>
      </c>
      <c r="C208" s="385"/>
      <c r="D208" s="388">
        <f t="shared" si="78"/>
        <v>226.08768617608709</v>
      </c>
      <c r="E208" s="380">
        <f t="shared" si="76"/>
        <v>235.38256952042423</v>
      </c>
      <c r="F208" s="380">
        <f t="shared" si="79"/>
        <v>235.396425287852</v>
      </c>
      <c r="G208" s="110">
        <f t="shared" si="77"/>
        <v>0.9547122994274283</v>
      </c>
      <c r="H208" s="409" t="b">
        <f>Wh_hp&gt;='2022'!Maxi_hp</f>
        <v>0</v>
      </c>
      <c r="I208" s="385">
        <f>IF(H208,Wh_hp,'2022'!Maxi_hp)</f>
        <v>235.39696058537044</v>
      </c>
      <c r="J208" s="85">
        <f>IF(H208,An,'2022'!An_max)</f>
        <v>2022</v>
      </c>
      <c r="K208" s="193">
        <f t="shared" si="80"/>
        <v>45120</v>
      </c>
      <c r="L208" s="143">
        <f>IF(t&lt;Tvie,1-EXP((T0-t)*PertePVj)+'2022'!Pspv,1-EXP((T0-t)*PertePVj)+Pspv)</f>
        <v>9.4824758156598632E-3</v>
      </c>
      <c r="M208" s="835"/>
      <c r="N208" s="835"/>
      <c r="O208" s="48">
        <f>IF(t&lt;Tnet,'2022'!Resal+('2022'!Salim-'2022'!Resal)*(1-EXP(('2022'!Tnet-t)/('2022'!Tau_j))),Resal+(Salim-Resal)*(1-EXP((Tnet-t)/(Tau_j))))*Salcycl</f>
        <v>3.9488409712217933E-2</v>
      </c>
      <c r="P208" s="165">
        <f>(INDEX(Models!$BJ208:$BT208,,T208)*(1-R208)+INDEX(Models!$BJ208:$BT208,,T208+1)*R208-ERP_i)*Q208*Ramure*Pc/MaxiM</f>
        <v>6.2932601299919944E-5</v>
      </c>
      <c r="Q208" s="301">
        <f t="shared" si="81"/>
        <v>0.5</v>
      </c>
      <c r="R208" s="173">
        <f t="shared" si="82"/>
        <v>0.88708599963740808</v>
      </c>
      <c r="S208" s="801">
        <f t="shared" si="83"/>
        <v>0</v>
      </c>
      <c r="T208" s="172">
        <f t="shared" si="84"/>
        <v>6</v>
      </c>
      <c r="U208" s="247">
        <f t="shared" si="85"/>
        <v>0.88708599963740808</v>
      </c>
      <c r="V208" s="378">
        <f t="shared" si="86"/>
        <v>234.56585143405215</v>
      </c>
      <c r="W208" s="397">
        <f t="shared" si="87"/>
        <v>223.94381515970386</v>
      </c>
      <c r="X208" s="153">
        <f t="shared" si="88"/>
        <v>45120</v>
      </c>
      <c r="Y208" s="380">
        <f t="shared" si="89"/>
        <v>223.94381515970386</v>
      </c>
      <c r="Z208" s="380">
        <f t="shared" si="90"/>
        <v>226.08768617608709</v>
      </c>
      <c r="AA208" s="381">
        <f t="shared" si="91"/>
        <v>235.38256952042423</v>
      </c>
      <c r="AB208" s="193">
        <f t="shared" si="92"/>
        <v>45120</v>
      </c>
      <c r="AC208" s="420">
        <f>IF(OR(t&lt;Tnet,NoTnet),'2022'!Resal_s+('2022'!Salim-'2022'!Resal_s)*(1-EXP(('2022'!Tnet_s-t)/'2022'!Tau_j)),Resal_s+(Salim-Resal_s)*(1-EXP((Tnet_s-t)/Tau_j)))*Salcycl</f>
        <v>3.9488409712217933E-2</v>
      </c>
      <c r="AD208" s="227">
        <f>(INDEX(Models!$BJ208:$BT208,,AH208)*(1-AF208)+INDEX(Models!$BJ208:$BT208,,AH208+1)*AF208-ERP_i)*AE208*Ramure*Pc/MaxiM</f>
        <v>6.2932601299919944E-5</v>
      </c>
      <c r="AE208" s="301">
        <f t="shared" si="93"/>
        <v>0.5</v>
      </c>
      <c r="AF208" s="173">
        <f t="shared" si="94"/>
        <v>0.88708599963740808</v>
      </c>
      <c r="AG208" s="172">
        <f t="shared" si="95"/>
        <v>0</v>
      </c>
      <c r="AH208" s="172">
        <f t="shared" si="96"/>
        <v>6</v>
      </c>
      <c r="AI208" s="221">
        <f t="shared" si="97"/>
        <v>0.88708599963740808</v>
      </c>
      <c r="AJ208" s="261" t="b">
        <f t="shared" si="98"/>
        <v>0</v>
      </c>
      <c r="AK208" s="261" t="b">
        <f t="shared" si="99"/>
        <v>0</v>
      </c>
      <c r="AL208" s="261"/>
      <c r="AM208" s="261"/>
      <c r="AN208" s="75"/>
    </row>
    <row r="209" spans="1:40" s="6" customFormat="1" ht="11.25" customHeight="1" x14ac:dyDescent="0.2">
      <c r="A209" s="56">
        <f t="shared" si="100"/>
        <v>45121</v>
      </c>
      <c r="B209" s="406">
        <f>'2022'!Wh/'2022'!Env_an*'2023'!Env_an</f>
        <v>221.52837163708796</v>
      </c>
      <c r="C209" s="385"/>
      <c r="D209" s="388">
        <f t="shared" si="78"/>
        <v>223.65218060972941</v>
      </c>
      <c r="E209" s="380">
        <f t="shared" si="76"/>
        <v>232.85764591119192</v>
      </c>
      <c r="F209" s="380">
        <f t="shared" si="79"/>
        <v>232.87164286957716</v>
      </c>
      <c r="G209" s="110">
        <f t="shared" si="77"/>
        <v>0.94601535392847136</v>
      </c>
      <c r="H209" s="409" t="b">
        <f>Wh_hp&gt;='2022'!Maxi_hp</f>
        <v>0</v>
      </c>
      <c r="I209" s="385">
        <f>IF(H209,Wh_hp,'2022'!Maxi_hp)</f>
        <v>232.87229363523201</v>
      </c>
      <c r="J209" s="85">
        <f>IF(H209,An,'2022'!An_max)</f>
        <v>2022</v>
      </c>
      <c r="K209" s="193">
        <f t="shared" si="80"/>
        <v>45121</v>
      </c>
      <c r="L209" s="143">
        <f>IF(t&lt;Tvie,1-EXP((T0-t)*PertePVj)+'2022'!Pspv,1-EXP((T0-t)*PertePVj)+Pspv)</f>
        <v>9.4960351687671807E-3</v>
      </c>
      <c r="M209" s="835"/>
      <c r="N209" s="835"/>
      <c r="O209" s="48">
        <f>IF(t&lt;Tnet,'2022'!Resal+('2022'!Salim-'2022'!Resal)*(1-EXP(('2022'!Tnet-t)/('2022'!Tau_j))),Resal+(Salim-Resal)*(1-EXP((Tnet-t)/(Tau_j))))*Salcycl</f>
        <v>3.9532587669349376E-2</v>
      </c>
      <c r="P209" s="165">
        <f>(INDEX(Models!$BJ209:$BT209,,T209)*(1-R209)+INDEX(Models!$BJ209:$BT209,,T209+1)*R209-ERP_i)*Q209*Ramure*Pc/MaxiM</f>
        <v>6.5128199196609759E-5</v>
      </c>
      <c r="Q209" s="301">
        <f t="shared" si="81"/>
        <v>0.5</v>
      </c>
      <c r="R209" s="173">
        <f t="shared" si="82"/>
        <v>0.890398285435541</v>
      </c>
      <c r="S209" s="801">
        <f t="shared" si="83"/>
        <v>0</v>
      </c>
      <c r="T209" s="172">
        <f t="shared" si="84"/>
        <v>6</v>
      </c>
      <c r="U209" s="247">
        <f t="shared" si="85"/>
        <v>0.890398285435541</v>
      </c>
      <c r="V209" s="378">
        <f t="shared" si="86"/>
        <v>234.1687775650702</v>
      </c>
      <c r="W209" s="397">
        <f t="shared" si="87"/>
        <v>221.52837163708796</v>
      </c>
      <c r="X209" s="153">
        <f t="shared" si="88"/>
        <v>45121</v>
      </c>
      <c r="Y209" s="380">
        <f t="shared" si="89"/>
        <v>221.52837163708796</v>
      </c>
      <c r="Z209" s="380">
        <f t="shared" si="90"/>
        <v>223.65218060972941</v>
      </c>
      <c r="AA209" s="381">
        <f t="shared" si="91"/>
        <v>232.85764591119192</v>
      </c>
      <c r="AB209" s="193">
        <f t="shared" si="92"/>
        <v>45121</v>
      </c>
      <c r="AC209" s="420">
        <f>IF(OR(t&lt;Tnet,NoTnet),'2022'!Resal_s+('2022'!Salim-'2022'!Resal_s)*(1-EXP(('2022'!Tnet_s-t)/'2022'!Tau_j)),Resal_s+(Salim-Resal_s)*(1-EXP((Tnet_s-t)/Tau_j)))*Salcycl</f>
        <v>3.9532587669349376E-2</v>
      </c>
      <c r="AD209" s="227">
        <f>(INDEX(Models!$BJ209:$BT209,,AH209)*(1-AF209)+INDEX(Models!$BJ209:$BT209,,AH209+1)*AF209-ERP_i)*AE209*Ramure*Pc/MaxiM</f>
        <v>6.5128199196609759E-5</v>
      </c>
      <c r="AE209" s="301">
        <f t="shared" si="93"/>
        <v>0.5</v>
      </c>
      <c r="AF209" s="173">
        <f t="shared" si="94"/>
        <v>0.890398285435541</v>
      </c>
      <c r="AG209" s="172">
        <f t="shared" si="95"/>
        <v>0</v>
      </c>
      <c r="AH209" s="172">
        <f t="shared" si="96"/>
        <v>6</v>
      </c>
      <c r="AI209" s="221">
        <f t="shared" si="97"/>
        <v>0.890398285435541</v>
      </c>
      <c r="AJ209" s="261" t="b">
        <f t="shared" si="98"/>
        <v>0</v>
      </c>
      <c r="AK209" s="261" t="b">
        <f t="shared" si="99"/>
        <v>0</v>
      </c>
      <c r="AL209" s="261"/>
      <c r="AM209" s="261"/>
      <c r="AN209" s="75"/>
    </row>
    <row r="210" spans="1:40" s="6" customFormat="1" ht="11.25" x14ac:dyDescent="0.2">
      <c r="A210" s="56">
        <f t="shared" si="100"/>
        <v>45122</v>
      </c>
      <c r="B210" s="406">
        <f>'2022'!Wh/'2022'!Env_an*'2023'!Env_an</f>
        <v>212.50076580205473</v>
      </c>
      <c r="C210" s="385"/>
      <c r="D210" s="388">
        <f t="shared" si="78"/>
        <v>214.54096333185072</v>
      </c>
      <c r="E210" s="380">
        <f t="shared" si="76"/>
        <v>223.38159568961785</v>
      </c>
      <c r="F210" s="380">
        <f t="shared" si="79"/>
        <v>223.39469383282741</v>
      </c>
      <c r="G210" s="110">
        <f t="shared" si="77"/>
        <v>0.90905659016819906</v>
      </c>
      <c r="H210" s="409" t="b">
        <f>Wh_hp&gt;='2022'!Maxi_hp</f>
        <v>0</v>
      </c>
      <c r="I210" s="385">
        <f>IF(H210,Wh_hp,'2022'!Maxi_hp)</f>
        <v>223.39577791236005</v>
      </c>
      <c r="J210" s="85">
        <f>IF(H210,An,'2022'!An_max)</f>
        <v>2022</v>
      </c>
      <c r="K210" s="193">
        <f t="shared" si="80"/>
        <v>45122</v>
      </c>
      <c r="L210" s="143">
        <f>IF(t&lt;Tvie,1-EXP((T0-t)*PertePVj)+'2022'!Pspv,1-EXP((T0-t)*PertePVj)+Pspv)</f>
        <v>9.5095943362584201E-3</v>
      </c>
      <c r="M210" s="835"/>
      <c r="N210" s="835"/>
      <c r="O210" s="48">
        <f>IF(t&lt;Tnet,'2022'!Resal+('2022'!Salim-'2022'!Resal)*(1-EXP(('2022'!Tnet-t)/('2022'!Tau_j))),Resal+(Salim-Resal)*(1-EXP((Tnet-t)/(Tau_j))))*Salcycl</f>
        <v>3.9576368547617126E-2</v>
      </c>
      <c r="P210" s="165">
        <f>(INDEX(Models!$BJ210:$BT210,,T210)*(1-R210)+INDEX(Models!$BJ210:$BT210,,T210+1)*R210-ERP_i)*Q210*Ramure*Pc/MaxiM</f>
        <v>6.7386298220998225E-5</v>
      </c>
      <c r="Q210" s="301">
        <f t="shared" si="81"/>
        <v>0.5</v>
      </c>
      <c r="R210" s="173">
        <f t="shared" si="82"/>
        <v>0.89362943984069343</v>
      </c>
      <c r="S210" s="801">
        <f t="shared" si="83"/>
        <v>0</v>
      </c>
      <c r="T210" s="172">
        <f t="shared" si="84"/>
        <v>6</v>
      </c>
      <c r="U210" s="247">
        <f t="shared" si="85"/>
        <v>0.89362943984069343</v>
      </c>
      <c r="V210" s="378">
        <f t="shared" si="86"/>
        <v>233.75762054693473</v>
      </c>
      <c r="W210" s="397">
        <f t="shared" si="87"/>
        <v>212.50076580205473</v>
      </c>
      <c r="X210" s="153">
        <f t="shared" si="88"/>
        <v>45122</v>
      </c>
      <c r="Y210" s="380">
        <f t="shared" si="89"/>
        <v>212.50076580205473</v>
      </c>
      <c r="Z210" s="380">
        <f t="shared" si="90"/>
        <v>214.54096333185072</v>
      </c>
      <c r="AA210" s="381">
        <f t="shared" si="91"/>
        <v>223.38159568961785</v>
      </c>
      <c r="AB210" s="193">
        <f t="shared" si="92"/>
        <v>45122</v>
      </c>
      <c r="AC210" s="420">
        <f>IF(OR(t&lt;Tnet,NoTnet),'2022'!Resal_s+('2022'!Salim-'2022'!Resal_s)*(1-EXP(('2022'!Tnet_s-t)/'2022'!Tau_j)),Resal_s+(Salim-Resal_s)*(1-EXP((Tnet_s-t)/Tau_j)))*Salcycl</f>
        <v>3.9576368547617126E-2</v>
      </c>
      <c r="AD210" s="227">
        <f>(INDEX(Models!$BJ210:$BT210,,AH210)*(1-AF210)+INDEX(Models!$BJ210:$BT210,,AH210+1)*AF210-ERP_i)*AE210*Ramure*Pc/MaxiM</f>
        <v>6.7386298220998225E-5</v>
      </c>
      <c r="AE210" s="301">
        <f t="shared" si="93"/>
        <v>0.5</v>
      </c>
      <c r="AF210" s="173">
        <f t="shared" si="94"/>
        <v>0.89362943984069343</v>
      </c>
      <c r="AG210" s="172">
        <f t="shared" si="95"/>
        <v>0</v>
      </c>
      <c r="AH210" s="172">
        <f t="shared" si="96"/>
        <v>6</v>
      </c>
      <c r="AI210" s="221">
        <f t="shared" si="97"/>
        <v>0.89362943984069343</v>
      </c>
      <c r="AJ210" s="261" t="b">
        <f t="shared" si="98"/>
        <v>0</v>
      </c>
      <c r="AK210" s="261" t="b">
        <f t="shared" si="99"/>
        <v>0</v>
      </c>
      <c r="AL210" s="261"/>
      <c r="AM210" s="261"/>
      <c r="AN210" s="75"/>
    </row>
    <row r="211" spans="1:40" s="6" customFormat="1" ht="11.25" x14ac:dyDescent="0.2">
      <c r="A211" s="56">
        <f t="shared" si="100"/>
        <v>45123</v>
      </c>
      <c r="B211" s="406">
        <f>'2022'!Wh/'2022'!Env_an*'2023'!Env_an</f>
        <v>218.10542231053108</v>
      </c>
      <c r="C211" s="385"/>
      <c r="D211" s="388">
        <f t="shared" si="78"/>
        <v>220.20244394524994</v>
      </c>
      <c r="E211" s="380">
        <f t="shared" si="76"/>
        <v>229.28673181195165</v>
      </c>
      <c r="F211" s="380">
        <f t="shared" si="79"/>
        <v>229.30122555314358</v>
      </c>
      <c r="G211" s="110">
        <f t="shared" si="77"/>
        <v>0.93473111053794644</v>
      </c>
      <c r="H211" s="409" t="b">
        <f>Wh_hp&gt;='2022'!Maxi_hp</f>
        <v>0</v>
      </c>
      <c r="I211" s="385">
        <f>IF(H211,Wh_hp,'2022'!Maxi_hp)</f>
        <v>229.30204866300306</v>
      </c>
      <c r="J211" s="85">
        <f>IF(H211,An,'2022'!An_max)</f>
        <v>2022</v>
      </c>
      <c r="K211" s="193">
        <f t="shared" si="80"/>
        <v>45123</v>
      </c>
      <c r="L211" s="143">
        <f>IF(t&lt;Tvie,1-EXP((T0-t)*PertePVj)+'2022'!Pspv,1-EXP((T0-t)*PertePVj)+Pspv)</f>
        <v>9.5231533181360239E-3</v>
      </c>
      <c r="M211" s="835"/>
      <c r="N211" s="835"/>
      <c r="O211" s="48">
        <f>IF(t&lt;Tnet,'2022'!Resal+('2022'!Salim-'2022'!Resal)*(1-EXP(('2022'!Tnet-t)/('2022'!Tau_j))),Resal+(Salim-Resal)*(1-EXP((Tnet-t)/(Tau_j))))*Salcycl</f>
        <v>3.9619771257205352E-2</v>
      </c>
      <c r="P211" s="165">
        <f>(INDEX(Models!$BJ211:$BT211,,T211)*(1-R211)+INDEX(Models!$BJ211:$BT211,,T211+1)*R211-ERP_i)*Q211*Ramure*Pc/MaxiM</f>
        <v>6.9707294027382074E-5</v>
      </c>
      <c r="Q211" s="301">
        <f t="shared" si="81"/>
        <v>0.5</v>
      </c>
      <c r="R211" s="173">
        <f t="shared" si="82"/>
        <v>0.89677977920203489</v>
      </c>
      <c r="S211" s="801">
        <f t="shared" si="83"/>
        <v>0</v>
      </c>
      <c r="T211" s="172">
        <f t="shared" si="84"/>
        <v>6</v>
      </c>
      <c r="U211" s="247">
        <f t="shared" si="85"/>
        <v>0.89677977920203489</v>
      </c>
      <c r="V211" s="378">
        <f t="shared" si="86"/>
        <v>233.33341781047878</v>
      </c>
      <c r="W211" s="397">
        <f t="shared" si="87"/>
        <v>218.10542231053108</v>
      </c>
      <c r="X211" s="153">
        <f t="shared" si="88"/>
        <v>45123</v>
      </c>
      <c r="Y211" s="380">
        <f t="shared" si="89"/>
        <v>218.10542231053108</v>
      </c>
      <c r="Z211" s="380">
        <f t="shared" si="90"/>
        <v>220.20244394524994</v>
      </c>
      <c r="AA211" s="381">
        <f t="shared" si="91"/>
        <v>229.28673181195165</v>
      </c>
      <c r="AB211" s="193">
        <f t="shared" si="92"/>
        <v>45123</v>
      </c>
      <c r="AC211" s="420">
        <f>IF(OR(t&lt;Tnet,NoTnet),'2022'!Resal_s+('2022'!Salim-'2022'!Resal_s)*(1-EXP(('2022'!Tnet_s-t)/'2022'!Tau_j)),Resal_s+(Salim-Resal_s)*(1-EXP((Tnet_s-t)/Tau_j)))*Salcycl</f>
        <v>3.9619771257205352E-2</v>
      </c>
      <c r="AD211" s="227">
        <f>(INDEX(Models!$BJ211:$BT211,,AH211)*(1-AF211)+INDEX(Models!$BJ211:$BT211,,AH211+1)*AF211-ERP_i)*AE211*Ramure*Pc/MaxiM</f>
        <v>6.9707294027382074E-5</v>
      </c>
      <c r="AE211" s="301">
        <f t="shared" si="93"/>
        <v>0.5</v>
      </c>
      <c r="AF211" s="173">
        <f t="shared" si="94"/>
        <v>0.89677977920203489</v>
      </c>
      <c r="AG211" s="172">
        <f t="shared" si="95"/>
        <v>0</v>
      </c>
      <c r="AH211" s="172">
        <f t="shared" si="96"/>
        <v>6</v>
      </c>
      <c r="AI211" s="221">
        <f t="shared" si="97"/>
        <v>0.89677977920203489</v>
      </c>
      <c r="AJ211" s="261" t="b">
        <f t="shared" si="98"/>
        <v>0</v>
      </c>
      <c r="AK211" s="261" t="b">
        <f t="shared" si="99"/>
        <v>0</v>
      </c>
      <c r="AL211" s="261"/>
      <c r="AM211" s="261"/>
      <c r="AN211" s="75"/>
    </row>
    <row r="212" spans="1:40" s="6" customFormat="1" ht="11.25" x14ac:dyDescent="0.2">
      <c r="A212" s="56">
        <f t="shared" si="100"/>
        <v>45124</v>
      </c>
      <c r="B212" s="406">
        <f>'2022'!Wh/'2022'!Env_an*'2023'!Env_an</f>
        <v>217.39402637834235</v>
      </c>
      <c r="C212" s="385"/>
      <c r="D212" s="388">
        <f t="shared" si="78"/>
        <v>219.48721273902709</v>
      </c>
      <c r="E212" s="380">
        <f t="shared" si="76"/>
        <v>228.55223774486072</v>
      </c>
      <c r="F212" s="380">
        <f t="shared" si="79"/>
        <v>228.56713898368045</v>
      </c>
      <c r="G212" s="110">
        <f t="shared" si="77"/>
        <v>0.93342693976990643</v>
      </c>
      <c r="H212" s="409" t="b">
        <f>Wh_hp&gt;='2022'!Maxi_hp</f>
        <v>0</v>
      </c>
      <c r="I212" s="385">
        <f>IF(H212,Wh_hp,'2022'!Maxi_hp)</f>
        <v>228.56800088470703</v>
      </c>
      <c r="J212" s="85">
        <f>IF(H212,An,'2022'!An_max)</f>
        <v>2022</v>
      </c>
      <c r="K212" s="193">
        <f t="shared" si="80"/>
        <v>45124</v>
      </c>
      <c r="L212" s="143">
        <f>IF(t&lt;Tvie,1-EXP((T0-t)*PertePVj)+'2022'!Pspv,1-EXP((T0-t)*PertePVj)+Pspv)</f>
        <v>9.5367121144025457E-3</v>
      </c>
      <c r="M212" s="835"/>
      <c r="N212" s="835"/>
      <c r="O212" s="48">
        <f>IF(t&lt;Tnet,'2022'!Resal+('2022'!Salim-'2022'!Resal)*(1-EXP(('2022'!Tnet-t)/('2022'!Tau_j))),Resal+(Salim-Resal)*(1-EXP((Tnet-t)/(Tau_j))))*Salcycl</f>
        <v>3.9662814485120726E-2</v>
      </c>
      <c r="P212" s="165">
        <f>(INDEX(Models!$BJ212:$BT212,,T212)*(1-R212)+INDEX(Models!$BJ212:$BT212,,T212+1)*R212-ERP_i)*Q212*Ramure*Pc/MaxiM</f>
        <v>7.2045308936534902E-5</v>
      </c>
      <c r="Q212" s="301">
        <f t="shared" si="81"/>
        <v>0.5</v>
      </c>
      <c r="R212" s="173">
        <f t="shared" si="82"/>
        <v>0.89984973726861117</v>
      </c>
      <c r="S212" s="801">
        <f t="shared" si="83"/>
        <v>0</v>
      </c>
      <c r="T212" s="172">
        <f t="shared" si="84"/>
        <v>6</v>
      </c>
      <c r="U212" s="247">
        <f t="shared" si="85"/>
        <v>0.89984973726861117</v>
      </c>
      <c r="V212" s="378">
        <f t="shared" si="86"/>
        <v>232.89721735730873</v>
      </c>
      <c r="W212" s="397">
        <f t="shared" si="87"/>
        <v>217.39402637834235</v>
      </c>
      <c r="X212" s="153">
        <f t="shared" si="88"/>
        <v>45124</v>
      </c>
      <c r="Y212" s="380">
        <f t="shared" si="89"/>
        <v>217.39402637834235</v>
      </c>
      <c r="Z212" s="380">
        <f t="shared" si="90"/>
        <v>219.48721273902709</v>
      </c>
      <c r="AA212" s="381">
        <f t="shared" si="91"/>
        <v>228.55223774486072</v>
      </c>
      <c r="AB212" s="193">
        <f t="shared" si="92"/>
        <v>45124</v>
      </c>
      <c r="AC212" s="420">
        <f>IF(OR(t&lt;Tnet,NoTnet),'2022'!Resal_s+('2022'!Salim-'2022'!Resal_s)*(1-EXP(('2022'!Tnet_s-t)/'2022'!Tau_j)),Resal_s+(Salim-Resal_s)*(1-EXP((Tnet_s-t)/Tau_j)))*Salcycl</f>
        <v>3.9662814485120726E-2</v>
      </c>
      <c r="AD212" s="227">
        <f>(INDEX(Models!$BJ212:$BT212,,AH212)*(1-AF212)+INDEX(Models!$BJ212:$BT212,,AH212+1)*AF212-ERP_i)*AE212*Ramure*Pc/MaxiM</f>
        <v>7.2045308936534902E-5</v>
      </c>
      <c r="AE212" s="301">
        <f t="shared" si="93"/>
        <v>0.5</v>
      </c>
      <c r="AF212" s="173">
        <f t="shared" si="94"/>
        <v>0.89984973726861117</v>
      </c>
      <c r="AG212" s="172">
        <f t="shared" si="95"/>
        <v>0</v>
      </c>
      <c r="AH212" s="172">
        <f t="shared" si="96"/>
        <v>6</v>
      </c>
      <c r="AI212" s="221">
        <f t="shared" si="97"/>
        <v>0.89984973726861117</v>
      </c>
      <c r="AJ212" s="261" t="b">
        <f t="shared" si="98"/>
        <v>0</v>
      </c>
      <c r="AK212" s="261" t="b">
        <f t="shared" si="99"/>
        <v>0</v>
      </c>
      <c r="AL212" s="261"/>
      <c r="AM212" s="261"/>
      <c r="AN212" s="75"/>
    </row>
    <row r="213" spans="1:40" s="6" customFormat="1" ht="11.25" customHeight="1" x14ac:dyDescent="0.2">
      <c r="A213" s="56">
        <f t="shared" si="100"/>
        <v>45125</v>
      </c>
      <c r="B213" s="406">
        <f>'2022'!Wh/'2022'!Env_an*'2023'!Env_an</f>
        <v>220.97136606415168</v>
      </c>
      <c r="C213" s="385"/>
      <c r="D213" s="388">
        <f t="shared" si="78"/>
        <v>223.10205105100502</v>
      </c>
      <c r="E213" s="380">
        <f t="shared" si="76"/>
        <v>232.32670280506943</v>
      </c>
      <c r="F213" s="380">
        <f t="shared" si="79"/>
        <v>232.34276383343291</v>
      </c>
      <c r="G213" s="110">
        <f t="shared" si="77"/>
        <v>0.95061366789878066</v>
      </c>
      <c r="H213" s="409" t="b">
        <f>Wh_hp&gt;='2022'!Maxi_hp</f>
        <v>0</v>
      </c>
      <c r="I213" s="385">
        <f>IF(H213,Wh_hp,'2022'!Maxi_hp)</f>
        <v>232.34343250983852</v>
      </c>
      <c r="J213" s="85">
        <f>IF(H213,An,'2022'!An_max)</f>
        <v>2022</v>
      </c>
      <c r="K213" s="193">
        <f t="shared" si="80"/>
        <v>45125</v>
      </c>
      <c r="L213" s="143">
        <f>IF(t&lt;Tvie,1-EXP((T0-t)*PertePVj)+'2022'!Pspv,1-EXP((T0-t)*PertePVj)+Pspv)</f>
        <v>9.550270725060428E-3</v>
      </c>
      <c r="M213" s="835"/>
      <c r="N213" s="835"/>
      <c r="O213" s="48">
        <f>IF(t&lt;Tnet,'2022'!Resal+('2022'!Salim-'2022'!Resal)*(1-EXP(('2022'!Tnet-t)/('2022'!Tau_j))),Resal+(Salim-Resal)*(1-EXP((Tnet-t)/(Tau_j))))*Salcycl</f>
        <v>3.9705516596618813E-2</v>
      </c>
      <c r="P213" s="165">
        <f>(INDEX(Models!$BJ213:$BT213,,T213)*(1-R213)+INDEX(Models!$BJ213:$BT213,,T213+1)*R213-ERP_i)*Q213*Ramure*Pc/MaxiM</f>
        <v>7.4373072908690777E-5</v>
      </c>
      <c r="Q213" s="301">
        <f t="shared" si="81"/>
        <v>0.5</v>
      </c>
      <c r="R213" s="173">
        <f t="shared" si="82"/>
        <v>0.90283985818490153</v>
      </c>
      <c r="S213" s="801">
        <f t="shared" si="83"/>
        <v>0</v>
      </c>
      <c r="T213" s="172">
        <f t="shared" si="84"/>
        <v>6</v>
      </c>
      <c r="U213" s="247">
        <f t="shared" si="85"/>
        <v>0.90283985818490153</v>
      </c>
      <c r="V213" s="378">
        <f t="shared" si="86"/>
        <v>232.45006261799253</v>
      </c>
      <c r="W213" s="397">
        <f t="shared" si="87"/>
        <v>220.97136606415168</v>
      </c>
      <c r="X213" s="153">
        <f t="shared" si="88"/>
        <v>45125</v>
      </c>
      <c r="Y213" s="380">
        <f t="shared" si="89"/>
        <v>220.97136606415168</v>
      </c>
      <c r="Z213" s="380">
        <f t="shared" si="90"/>
        <v>223.10205105100502</v>
      </c>
      <c r="AA213" s="381">
        <f t="shared" si="91"/>
        <v>232.32670280506943</v>
      </c>
      <c r="AB213" s="193">
        <f t="shared" si="92"/>
        <v>45125</v>
      </c>
      <c r="AC213" s="420">
        <f>IF(OR(t&lt;Tnet,NoTnet),'2022'!Resal_s+('2022'!Salim-'2022'!Resal_s)*(1-EXP(('2022'!Tnet_s-t)/'2022'!Tau_j)),Resal_s+(Salim-Resal_s)*(1-EXP((Tnet_s-t)/Tau_j)))*Salcycl</f>
        <v>3.9705516596618813E-2</v>
      </c>
      <c r="AD213" s="227">
        <f>(INDEX(Models!$BJ213:$BT213,,AH213)*(1-AF213)+INDEX(Models!$BJ213:$BT213,,AH213+1)*AF213-ERP_i)*AE213*Ramure*Pc/MaxiM</f>
        <v>7.4373072908690777E-5</v>
      </c>
      <c r="AE213" s="301">
        <f t="shared" si="93"/>
        <v>0.5</v>
      </c>
      <c r="AF213" s="173">
        <f t="shared" si="94"/>
        <v>0.90283985818490153</v>
      </c>
      <c r="AG213" s="172">
        <f t="shared" si="95"/>
        <v>0</v>
      </c>
      <c r="AH213" s="172">
        <f t="shared" si="96"/>
        <v>6</v>
      </c>
      <c r="AI213" s="221">
        <f t="shared" si="97"/>
        <v>0.90283985818490153</v>
      </c>
      <c r="AJ213" s="261" t="b">
        <f t="shared" si="98"/>
        <v>0</v>
      </c>
      <c r="AK213" s="261" t="b">
        <f t="shared" si="99"/>
        <v>0</v>
      </c>
      <c r="AL213" s="261"/>
      <c r="AM213" s="261"/>
      <c r="AN213" s="75"/>
    </row>
    <row r="214" spans="1:40" s="6" customFormat="1" ht="11.25" customHeight="1" x14ac:dyDescent="0.2">
      <c r="A214" s="56">
        <f t="shared" si="100"/>
        <v>45126</v>
      </c>
      <c r="B214" s="406">
        <f>'2022'!Wh/'2022'!Env_an*'2023'!Env_an</f>
        <v>156.3983454445839</v>
      </c>
      <c r="C214" s="385"/>
      <c r="D214" s="388">
        <f t="shared" si="78"/>
        <v>157.90855589449987</v>
      </c>
      <c r="E214" s="380">
        <f t="shared" si="76"/>
        <v>164.44489437872798</v>
      </c>
      <c r="F214" s="380">
        <f t="shared" si="79"/>
        <v>164.4516353872223</v>
      </c>
      <c r="G214" s="110">
        <f t="shared" si="77"/>
        <v>0.67412709966767737</v>
      </c>
      <c r="H214" s="409" t="b">
        <f>Wh_hp&gt;='2022'!Maxi_hp</f>
        <v>0</v>
      </c>
      <c r="I214" s="385">
        <f>IF(H214,Wh_hp,'2022'!Maxi_hp)</f>
        <v>164.45484514625312</v>
      </c>
      <c r="J214" s="85">
        <f>IF(H214,An,'2022'!An_max)</f>
        <v>2022</v>
      </c>
      <c r="K214" s="193">
        <f t="shared" si="80"/>
        <v>45126</v>
      </c>
      <c r="L214" s="143">
        <f>IF(t&lt;Tvie,1-EXP((T0-t)*PertePVj)+'2022'!Pspv,1-EXP((T0-t)*PertePVj)+Pspv)</f>
        <v>9.5638291501124462E-3</v>
      </c>
      <c r="M214" s="835"/>
      <c r="N214" s="835"/>
      <c r="O214" s="48">
        <f>IF(t&lt;Tnet,'2022'!Resal+('2022'!Salim-'2022'!Resal)*(1-EXP(('2022'!Tnet-t)/('2022'!Tau_j))),Resal+(Salim-Resal)*(1-EXP((Tnet-t)/(Tau_j))))*Salcycl</f>
        <v>3.9747895542287096E-2</v>
      </c>
      <c r="P214" s="165">
        <f>(INDEX(Models!$BJ214:$BT214,,T214)*(1-R214)+INDEX(Models!$BJ214:$BT214,,T214+1)*R214-ERP_i)*Q214*Ramure*Pc/MaxiM</f>
        <v>7.6689801451912862E-5</v>
      </c>
      <c r="Q214" s="301">
        <f t="shared" si="81"/>
        <v>0.5</v>
      </c>
      <c r="R214" s="173">
        <f t="shared" si="82"/>
        <v>0.90575078945046528</v>
      </c>
      <c r="S214" s="801">
        <f t="shared" si="83"/>
        <v>0</v>
      </c>
      <c r="T214" s="172">
        <f t="shared" si="84"/>
        <v>6</v>
      </c>
      <c r="U214" s="247">
        <f t="shared" si="85"/>
        <v>0.90575078945046528</v>
      </c>
      <c r="V214" s="378">
        <f t="shared" si="86"/>
        <v>231.99299068711309</v>
      </c>
      <c r="W214" s="397">
        <f t="shared" si="87"/>
        <v>156.3983454445839</v>
      </c>
      <c r="X214" s="153">
        <f t="shared" si="88"/>
        <v>45126</v>
      </c>
      <c r="Y214" s="380">
        <f t="shared" si="89"/>
        <v>156.3983454445839</v>
      </c>
      <c r="Z214" s="380">
        <f t="shared" si="90"/>
        <v>157.90855589449987</v>
      </c>
      <c r="AA214" s="381">
        <f t="shared" si="91"/>
        <v>164.44489437872798</v>
      </c>
      <c r="AB214" s="193">
        <f t="shared" si="92"/>
        <v>45126</v>
      </c>
      <c r="AC214" s="420">
        <f>IF(OR(t&lt;Tnet,NoTnet),'2022'!Resal_s+('2022'!Salim-'2022'!Resal_s)*(1-EXP(('2022'!Tnet_s-t)/'2022'!Tau_j)),Resal_s+(Salim-Resal_s)*(1-EXP((Tnet_s-t)/Tau_j)))*Salcycl</f>
        <v>3.9747895542287096E-2</v>
      </c>
      <c r="AD214" s="227">
        <f>(INDEX(Models!$BJ214:$BT214,,AH214)*(1-AF214)+INDEX(Models!$BJ214:$BT214,,AH214+1)*AF214-ERP_i)*AE214*Ramure*Pc/MaxiM</f>
        <v>7.6689801451912862E-5</v>
      </c>
      <c r="AE214" s="301">
        <f t="shared" si="93"/>
        <v>0.5</v>
      </c>
      <c r="AF214" s="173">
        <f t="shared" si="94"/>
        <v>0.90575078945046528</v>
      </c>
      <c r="AG214" s="172">
        <f t="shared" si="95"/>
        <v>0</v>
      </c>
      <c r="AH214" s="172">
        <f t="shared" si="96"/>
        <v>6</v>
      </c>
      <c r="AI214" s="221">
        <f t="shared" si="97"/>
        <v>0.90575078945046528</v>
      </c>
      <c r="AJ214" s="261" t="b">
        <f t="shared" si="98"/>
        <v>0</v>
      </c>
      <c r="AK214" s="261" t="b">
        <f t="shared" si="99"/>
        <v>0</v>
      </c>
      <c r="AL214" s="261"/>
      <c r="AM214" s="261"/>
      <c r="AN214" s="75"/>
    </row>
    <row r="215" spans="1:40" s="6" customFormat="1" ht="11.25" customHeight="1" x14ac:dyDescent="0.2">
      <c r="A215" s="56">
        <f t="shared" si="100"/>
        <v>45127</v>
      </c>
      <c r="B215" s="406">
        <f>'2022'!Wh/'2022'!Env_an*'2023'!Env_an</f>
        <v>160.36489982619287</v>
      </c>
      <c r="C215" s="385"/>
      <c r="D215" s="388">
        <f t="shared" si="78"/>
        <v>161.91562852500104</v>
      </c>
      <c r="E215" s="380">
        <f t="shared" si="76"/>
        <v>168.62522079447245</v>
      </c>
      <c r="F215" s="380">
        <f t="shared" si="79"/>
        <v>168.63269278656992</v>
      </c>
      <c r="G215" s="110">
        <f t="shared" si="77"/>
        <v>0.69261602560982671</v>
      </c>
      <c r="H215" s="409" t="b">
        <f>Wh_hp&gt;='2022'!Maxi_hp</f>
        <v>0</v>
      </c>
      <c r="I215" s="385">
        <f>IF(H215,Wh_hp,'2022'!Maxi_hp)</f>
        <v>168.63588062194077</v>
      </c>
      <c r="J215" s="85">
        <f>IF(H215,An,'2022'!An_max)</f>
        <v>2022</v>
      </c>
      <c r="K215" s="193">
        <f t="shared" si="80"/>
        <v>45127</v>
      </c>
      <c r="L215" s="143">
        <f>IF(t&lt;Tvie,1-EXP((T0-t)*PertePVj)+'2022'!Pspv,1-EXP((T0-t)*PertePVj)+Pspv)</f>
        <v>9.5773873895609318E-3</v>
      </c>
      <c r="M215" s="835"/>
      <c r="N215" s="835"/>
      <c r="O215" s="48">
        <f>IF(t&lt;Tnet,'2022'!Resal+('2022'!Salim-'2022'!Resal)*(1-EXP(('2022'!Tnet-t)/('2022'!Tau_j))),Resal+(Salim-Resal)*(1-EXP((Tnet-t)/(Tau_j))))*Salcycl</f>
        <v>3.978996877133438E-2</v>
      </c>
      <c r="P215" s="165">
        <f>(INDEX(Models!$BJ215:$BT215,,T215)*(1-R215)+INDEX(Models!$BJ215:$BT215,,T215+1)*R215-ERP_i)*Q215*Ramure*Pc/MaxiM</f>
        <v>7.8994721298806188E-5</v>
      </c>
      <c r="Q215" s="301">
        <f t="shared" si="81"/>
        <v>0.5</v>
      </c>
      <c r="R215" s="173">
        <f t="shared" si="82"/>
        <v>0.9085832748859004</v>
      </c>
      <c r="S215" s="801">
        <f t="shared" si="83"/>
        <v>0</v>
      </c>
      <c r="T215" s="172">
        <f t="shared" si="84"/>
        <v>6</v>
      </c>
      <c r="U215" s="247">
        <f t="shared" si="85"/>
        <v>0.9085832748859004</v>
      </c>
      <c r="V215" s="378">
        <f t="shared" si="86"/>
        <v>231.52703853503579</v>
      </c>
      <c r="W215" s="397">
        <f t="shared" si="87"/>
        <v>160.36489982619287</v>
      </c>
      <c r="X215" s="153">
        <f t="shared" si="88"/>
        <v>45127</v>
      </c>
      <c r="Y215" s="380">
        <f t="shared" si="89"/>
        <v>160.36489982619287</v>
      </c>
      <c r="Z215" s="380">
        <f t="shared" si="90"/>
        <v>161.91562852500104</v>
      </c>
      <c r="AA215" s="381">
        <f t="shared" si="91"/>
        <v>168.62522079447245</v>
      </c>
      <c r="AB215" s="193">
        <f t="shared" si="92"/>
        <v>45127</v>
      </c>
      <c r="AC215" s="420">
        <f>IF(OR(t&lt;Tnet,NoTnet),'2022'!Resal_s+('2022'!Salim-'2022'!Resal_s)*(1-EXP(('2022'!Tnet_s-t)/'2022'!Tau_j)),Resal_s+(Salim-Resal_s)*(1-EXP((Tnet_s-t)/Tau_j)))*Salcycl</f>
        <v>3.978996877133438E-2</v>
      </c>
      <c r="AD215" s="227">
        <f>(INDEX(Models!$BJ215:$BT215,,AH215)*(1-AF215)+INDEX(Models!$BJ215:$BT215,,AH215+1)*AF215-ERP_i)*AE215*Ramure*Pc/MaxiM</f>
        <v>7.8994721298806188E-5</v>
      </c>
      <c r="AE215" s="301">
        <f t="shared" si="93"/>
        <v>0.5</v>
      </c>
      <c r="AF215" s="173">
        <f t="shared" si="94"/>
        <v>0.9085832748859004</v>
      </c>
      <c r="AG215" s="172">
        <f t="shared" si="95"/>
        <v>0</v>
      </c>
      <c r="AH215" s="172">
        <f t="shared" si="96"/>
        <v>6</v>
      </c>
      <c r="AI215" s="221">
        <f t="shared" si="97"/>
        <v>0.9085832748859004</v>
      </c>
      <c r="AJ215" s="261" t="b">
        <f t="shared" si="98"/>
        <v>0</v>
      </c>
      <c r="AK215" s="261" t="b">
        <f t="shared" si="99"/>
        <v>0</v>
      </c>
      <c r="AL215" s="261"/>
      <c r="AM215" s="261"/>
      <c r="AN215" s="75"/>
    </row>
    <row r="216" spans="1:40" s="6" customFormat="1" ht="11.25" customHeight="1" x14ac:dyDescent="0.2">
      <c r="A216" s="56">
        <f t="shared" si="100"/>
        <v>45128</v>
      </c>
      <c r="B216" s="406">
        <f>'2022'!Wh/'2022'!Env_an*'2023'!Env_an</f>
        <v>214.23290952291933</v>
      </c>
      <c r="C216" s="385"/>
      <c r="D216" s="388">
        <f t="shared" si="78"/>
        <v>216.30750298302951</v>
      </c>
      <c r="E216" s="380">
        <f t="shared" si="76"/>
        <v>225.28083353414115</v>
      </c>
      <c r="F216" s="380">
        <f t="shared" si="79"/>
        <v>225.29724269490424</v>
      </c>
      <c r="G216" s="110">
        <f t="shared" si="77"/>
        <v>0.92719364382524039</v>
      </c>
      <c r="H216" s="409" t="b">
        <f>Wh_hp&gt;='2022'!Maxi_hp</f>
        <v>0</v>
      </c>
      <c r="I216" s="385">
        <f>IF(H216,Wh_hp,'2022'!Maxi_hp)</f>
        <v>225.29827757588035</v>
      </c>
      <c r="J216" s="85">
        <f>IF(H216,An,'2022'!An_max)</f>
        <v>2022</v>
      </c>
      <c r="K216" s="193">
        <f t="shared" si="80"/>
        <v>45128</v>
      </c>
      <c r="L216" s="143">
        <f>IF(t&lt;Tvie,1-EXP((T0-t)*PertePVj)+'2022'!Pspv,1-EXP((T0-t)*PertePVj)+Pspv)</f>
        <v>9.5909454434085495E-3</v>
      </c>
      <c r="M216" s="835"/>
      <c r="N216" s="835"/>
      <c r="O216" s="48">
        <f>IF(t&lt;Tnet,'2022'!Resal+('2022'!Salim-'2022'!Resal)*(1-EXP(('2022'!Tnet-t)/('2022'!Tau_j))),Resal+(Salim-Resal)*(1-EXP((Tnet-t)/(Tau_j))))*Salcycl</f>
        <v>3.9831753151569213E-2</v>
      </c>
      <c r="P216" s="165">
        <f>(INDEX(Models!$BJ216:$BT216,,T216)*(1-R216)+INDEX(Models!$BJ216:$BT216,,T216+1)*R216-ERP_i)*Q216*Ramure*Pc/MaxiM</f>
        <v>8.1287067621655396E-5</v>
      </c>
      <c r="Q216" s="301">
        <f t="shared" si="81"/>
        <v>0.5</v>
      </c>
      <c r="R216" s="173">
        <f t="shared" si="82"/>
        <v>0.91133814764396037</v>
      </c>
      <c r="S216" s="801">
        <f t="shared" si="83"/>
        <v>0</v>
      </c>
      <c r="T216" s="172">
        <f t="shared" si="84"/>
        <v>6</v>
      </c>
      <c r="U216" s="247">
        <f t="shared" si="85"/>
        <v>0.91133814764396037</v>
      </c>
      <c r="V216" s="378">
        <f t="shared" si="86"/>
        <v>231.05324304219232</v>
      </c>
      <c r="W216" s="397">
        <f t="shared" si="87"/>
        <v>214.23290952291933</v>
      </c>
      <c r="X216" s="153">
        <f t="shared" si="88"/>
        <v>45128</v>
      </c>
      <c r="Y216" s="380">
        <f t="shared" si="89"/>
        <v>214.23290952291933</v>
      </c>
      <c r="Z216" s="380">
        <f t="shared" si="90"/>
        <v>216.30750298302951</v>
      </c>
      <c r="AA216" s="381">
        <f t="shared" si="91"/>
        <v>225.28083353414115</v>
      </c>
      <c r="AB216" s="193">
        <f t="shared" si="92"/>
        <v>45128</v>
      </c>
      <c r="AC216" s="420">
        <f>IF(OR(t&lt;Tnet,NoTnet),'2022'!Resal_s+('2022'!Salim-'2022'!Resal_s)*(1-EXP(('2022'!Tnet_s-t)/'2022'!Tau_j)),Resal_s+(Salim-Resal_s)*(1-EXP((Tnet_s-t)/Tau_j)))*Salcycl</f>
        <v>3.9831753151569213E-2</v>
      </c>
      <c r="AD216" s="227">
        <f>(INDEX(Models!$BJ216:$BT216,,AH216)*(1-AF216)+INDEX(Models!$BJ216:$BT216,,AH216+1)*AF216-ERP_i)*AE216*Ramure*Pc/MaxiM</f>
        <v>8.1287067621655396E-5</v>
      </c>
      <c r="AE216" s="301">
        <f t="shared" si="93"/>
        <v>0.5</v>
      </c>
      <c r="AF216" s="173">
        <f t="shared" si="94"/>
        <v>0.91133814764396037</v>
      </c>
      <c r="AG216" s="172">
        <f t="shared" si="95"/>
        <v>0</v>
      </c>
      <c r="AH216" s="172">
        <f t="shared" si="96"/>
        <v>6</v>
      </c>
      <c r="AI216" s="221">
        <f t="shared" si="97"/>
        <v>0.91133814764396037</v>
      </c>
      <c r="AJ216" s="261" t="b">
        <f t="shared" si="98"/>
        <v>0</v>
      </c>
      <c r="AK216" s="261" t="b">
        <f t="shared" si="99"/>
        <v>0</v>
      </c>
      <c r="AL216" s="261"/>
      <c r="AM216" s="261"/>
      <c r="AN216" s="75"/>
    </row>
    <row r="217" spans="1:40" s="6" customFormat="1" ht="11.25" customHeight="1" x14ac:dyDescent="0.2">
      <c r="A217" s="56">
        <f t="shared" si="100"/>
        <v>45129</v>
      </c>
      <c r="B217" s="406">
        <f>'2022'!Wh/'2022'!Env_an*'2023'!Env_an</f>
        <v>162.52017038603779</v>
      </c>
      <c r="C217" s="385"/>
      <c r="D217" s="388">
        <f t="shared" si="78"/>
        <v>164.09623320124976</v>
      </c>
      <c r="E217" s="380">
        <f t="shared" si="76"/>
        <v>170.9110133086304</v>
      </c>
      <c r="F217" s="380">
        <f t="shared" si="79"/>
        <v>170.9192741073071</v>
      </c>
      <c r="G217" s="110">
        <f t="shared" si="77"/>
        <v>0.70482969308417098</v>
      </c>
      <c r="H217" s="409" t="b">
        <f>Wh_hp&gt;='2022'!Maxi_hp</f>
        <v>0</v>
      </c>
      <c r="I217" s="385">
        <f>IF(H217,Wh_hp,'2022'!Maxi_hp)</f>
        <v>170.9225367239975</v>
      </c>
      <c r="J217" s="85">
        <f>IF(H217,An,'2022'!An_max)</f>
        <v>2022</v>
      </c>
      <c r="K217" s="193">
        <f t="shared" si="80"/>
        <v>45129</v>
      </c>
      <c r="L217" s="143">
        <f>IF(t&lt;Tvie,1-EXP((T0-t)*PertePVj)+'2022'!Pspv,1-EXP((T0-t)*PertePVj)+Pspv)</f>
        <v>9.6045033116578526E-3</v>
      </c>
      <c r="M217" s="835"/>
      <c r="N217" s="835"/>
      <c r="O217" s="48">
        <f>IF(t&lt;Tnet,'2022'!Resal+('2022'!Salim-'2022'!Resal)*(1-EXP(('2022'!Tnet-t)/('2022'!Tau_j))),Resal+(Salim-Resal)*(1-EXP((Tnet-t)/(Tau_j))))*Salcycl</f>
        <v>3.9873264896478855E-2</v>
      </c>
      <c r="P217" s="165">
        <f>(INDEX(Models!$BJ217:$BT217,,T217)*(1-R217)+INDEX(Models!$BJ217:$BT217,,T217+1)*R217-ERP_i)*Q217*Ramure*Pc/MaxiM</f>
        <v>8.3566081081148447E-5</v>
      </c>
      <c r="Q217" s="301">
        <f t="shared" si="81"/>
        <v>0.5</v>
      </c>
      <c r="R217" s="173">
        <f t="shared" si="82"/>
        <v>0.9140163233012395</v>
      </c>
      <c r="S217" s="801">
        <f t="shared" si="83"/>
        <v>0</v>
      </c>
      <c r="T217" s="172">
        <f t="shared" si="84"/>
        <v>6</v>
      </c>
      <c r="U217" s="247">
        <f t="shared" si="85"/>
        <v>0.9140163233012395</v>
      </c>
      <c r="V217" s="378">
        <f t="shared" si="86"/>
        <v>230.57264100370008</v>
      </c>
      <c r="W217" s="397">
        <f t="shared" si="87"/>
        <v>162.52017038603779</v>
      </c>
      <c r="X217" s="153">
        <f t="shared" si="88"/>
        <v>45129</v>
      </c>
      <c r="Y217" s="380">
        <f t="shared" si="89"/>
        <v>162.52017038603779</v>
      </c>
      <c r="Z217" s="380">
        <f t="shared" si="90"/>
        <v>164.09623320124976</v>
      </c>
      <c r="AA217" s="381">
        <f t="shared" si="91"/>
        <v>170.9110133086304</v>
      </c>
      <c r="AB217" s="193">
        <f t="shared" si="92"/>
        <v>45129</v>
      </c>
      <c r="AC217" s="420">
        <f>IF(OR(t&lt;Tnet,NoTnet),'2022'!Resal_s+('2022'!Salim-'2022'!Resal_s)*(1-EXP(('2022'!Tnet_s-t)/'2022'!Tau_j)),Resal_s+(Salim-Resal_s)*(1-EXP((Tnet_s-t)/Tau_j)))*Salcycl</f>
        <v>3.9873264896478855E-2</v>
      </c>
      <c r="AD217" s="227">
        <f>(INDEX(Models!$BJ217:$BT217,,AH217)*(1-AF217)+INDEX(Models!$BJ217:$BT217,,AH217+1)*AF217-ERP_i)*AE217*Ramure*Pc/MaxiM</f>
        <v>8.3566081081148447E-5</v>
      </c>
      <c r="AE217" s="301">
        <f t="shared" si="93"/>
        <v>0.5</v>
      </c>
      <c r="AF217" s="173">
        <f t="shared" si="94"/>
        <v>0.9140163233012395</v>
      </c>
      <c r="AG217" s="172">
        <f t="shared" si="95"/>
        <v>0</v>
      </c>
      <c r="AH217" s="172">
        <f t="shared" si="96"/>
        <v>6</v>
      </c>
      <c r="AI217" s="221">
        <f t="shared" si="97"/>
        <v>0.9140163233012395</v>
      </c>
      <c r="AJ217" s="261" t="b">
        <f t="shared" si="98"/>
        <v>0</v>
      </c>
      <c r="AK217" s="261" t="b">
        <f t="shared" si="99"/>
        <v>0</v>
      </c>
      <c r="AL217" s="261"/>
      <c r="AM217" s="261"/>
      <c r="AN217" s="75"/>
    </row>
    <row r="218" spans="1:40" s="6" customFormat="1" ht="11.25" x14ac:dyDescent="0.2">
      <c r="A218" s="56">
        <f t="shared" si="100"/>
        <v>45130</v>
      </c>
      <c r="B218" s="406">
        <f>'2022'!Wh/'2022'!Env_an*'2023'!Env_an</f>
        <v>187.04187374681948</v>
      </c>
      <c r="C218" s="385"/>
      <c r="D218" s="388">
        <f t="shared" si="78"/>
        <v>188.85832463241749</v>
      </c>
      <c r="E218" s="380">
        <f t="shared" si="76"/>
        <v>196.70990601171539</v>
      </c>
      <c r="F218" s="380">
        <f t="shared" si="79"/>
        <v>196.7222782952658</v>
      </c>
      <c r="G218" s="110">
        <f t="shared" si="77"/>
        <v>0.81290197642671813</v>
      </c>
      <c r="H218" s="409" t="b">
        <f>Wh_hp&gt;='2022'!Maxi_hp</f>
        <v>0</v>
      </c>
      <c r="I218" s="385">
        <f>IF(H218,Wh_hp,'2022'!Maxi_hp)</f>
        <v>196.7247161303259</v>
      </c>
      <c r="J218" s="85">
        <f>IF(H218,An,'2022'!An_max)</f>
        <v>2022</v>
      </c>
      <c r="K218" s="193">
        <f t="shared" si="80"/>
        <v>45130</v>
      </c>
      <c r="L218" s="143">
        <f>IF(t&lt;Tvie,1-EXP((T0-t)*PertePVj)+'2022'!Pspv,1-EXP((T0-t)*PertePVj)+Pspv)</f>
        <v>9.6180609943111728E-3</v>
      </c>
      <c r="M218" s="835"/>
      <c r="N218" s="835"/>
      <c r="O218" s="48">
        <f>IF(t&lt;Tnet,'2022'!Resal+('2022'!Salim-'2022'!Resal)*(1-EXP(('2022'!Tnet-t)/('2022'!Tau_j))),Resal+(Salim-Resal)*(1-EXP((Tnet-t)/(Tau_j))))*Salcycl</f>
        <v>3.9914519499746434E-2</v>
      </c>
      <c r="P218" s="165">
        <f>(INDEX(Models!$BJ218:$BT218,,T218)*(1-R218)+INDEX(Models!$BJ218:$BT218,,T218+1)*R218-ERP_i)*Q218*Ramure*Pc/MaxiM</f>
        <v>8.5831004736957529E-5</v>
      </c>
      <c r="Q218" s="301">
        <f t="shared" si="81"/>
        <v>0.5</v>
      </c>
      <c r="R218" s="173">
        <f t="shared" si="82"/>
        <v>0.91661879306237171</v>
      </c>
      <c r="S218" s="801">
        <f t="shared" si="83"/>
        <v>0</v>
      </c>
      <c r="T218" s="172">
        <f t="shared" si="84"/>
        <v>6</v>
      </c>
      <c r="U218" s="247">
        <f t="shared" si="85"/>
        <v>0.91661879306237171</v>
      </c>
      <c r="V218" s="378">
        <f t="shared" si="86"/>
        <v>230.08626915810984</v>
      </c>
      <c r="W218" s="397">
        <f t="shared" si="87"/>
        <v>187.04187374681948</v>
      </c>
      <c r="X218" s="153">
        <f t="shared" si="88"/>
        <v>45130</v>
      </c>
      <c r="Y218" s="380">
        <f t="shared" si="89"/>
        <v>187.04187374681948</v>
      </c>
      <c r="Z218" s="380">
        <f t="shared" si="90"/>
        <v>188.85832463241749</v>
      </c>
      <c r="AA218" s="381">
        <f t="shared" si="91"/>
        <v>196.70990601171539</v>
      </c>
      <c r="AB218" s="193">
        <f t="shared" si="92"/>
        <v>45130</v>
      </c>
      <c r="AC218" s="420">
        <f>IF(OR(t&lt;Tnet,NoTnet),'2022'!Resal_s+('2022'!Salim-'2022'!Resal_s)*(1-EXP(('2022'!Tnet_s-t)/'2022'!Tau_j)),Resal_s+(Salim-Resal_s)*(1-EXP((Tnet_s-t)/Tau_j)))*Salcycl</f>
        <v>3.9914519499746434E-2</v>
      </c>
      <c r="AD218" s="227">
        <f>(INDEX(Models!$BJ218:$BT218,,AH218)*(1-AF218)+INDEX(Models!$BJ218:$BT218,,AH218+1)*AF218-ERP_i)*AE218*Ramure*Pc/MaxiM</f>
        <v>8.5831004736957529E-5</v>
      </c>
      <c r="AE218" s="301">
        <f t="shared" si="93"/>
        <v>0.5</v>
      </c>
      <c r="AF218" s="173">
        <f t="shared" si="94"/>
        <v>0.91661879306237171</v>
      </c>
      <c r="AG218" s="172">
        <f t="shared" si="95"/>
        <v>0</v>
      </c>
      <c r="AH218" s="172">
        <f t="shared" si="96"/>
        <v>6</v>
      </c>
      <c r="AI218" s="221">
        <f t="shared" si="97"/>
        <v>0.91661879306237171</v>
      </c>
      <c r="AJ218" s="261" t="b">
        <f t="shared" si="98"/>
        <v>0</v>
      </c>
      <c r="AK218" s="261" t="b">
        <f t="shared" si="99"/>
        <v>0</v>
      </c>
      <c r="AL218" s="261"/>
      <c r="AM218" s="261"/>
      <c r="AN218" s="75"/>
    </row>
    <row r="219" spans="1:40" s="6" customFormat="1" ht="11.25" customHeight="1" x14ac:dyDescent="0.2">
      <c r="A219" s="56">
        <f t="shared" si="100"/>
        <v>45131</v>
      </c>
      <c r="B219" s="406">
        <f>'2022'!Wh/'2022'!Env_an*'2023'!Env_an</f>
        <v>217.07099603148535</v>
      </c>
      <c r="C219" s="385"/>
      <c r="D219" s="388">
        <f t="shared" si="78"/>
        <v>219.18207414984411</v>
      </c>
      <c r="E219" s="380">
        <f t="shared" si="76"/>
        <v>228.30408526056783</v>
      </c>
      <c r="F219" s="380">
        <f t="shared" si="79"/>
        <v>228.32262947392005</v>
      </c>
      <c r="G219" s="110">
        <f t="shared" si="77"/>
        <v>0.94545529285475072</v>
      </c>
      <c r="H219" s="409" t="b">
        <f>Wh_hp&gt;='2022'!Maxi_hp</f>
        <v>0</v>
      </c>
      <c r="I219" s="385">
        <f>IF(H219,Wh_hp,'2022'!Maxi_hp)</f>
        <v>228.32347365293612</v>
      </c>
      <c r="J219" s="85">
        <f>IF(H219,An,'2022'!An_max)</f>
        <v>2022</v>
      </c>
      <c r="K219" s="193">
        <f t="shared" si="80"/>
        <v>45131</v>
      </c>
      <c r="L219" s="143">
        <f>IF(t&lt;Tvie,1-EXP((T0-t)*PertePVj)+'2022'!Pspv,1-EXP((T0-t)*PertePVj)+Pspv)</f>
        <v>9.6316184913713965E-3</v>
      </c>
      <c r="M219" s="835"/>
      <c r="N219" s="835"/>
      <c r="O219" s="48">
        <f>IF(t&lt;Tnet,'2022'!Resal+('2022'!Salim-'2022'!Resal)*(1-EXP(('2022'!Tnet-t)/('2022'!Tau_j))),Resal+(Salim-Resal)*(1-EXP((Tnet-t)/(Tau_j))))*Salcycl</f>
        <v>3.9955531677466911E-2</v>
      </c>
      <c r="P219" s="165">
        <f>(INDEX(Models!$BJ219:$BT219,,T219)*(1-R219)+INDEX(Models!$BJ219:$BT219,,T219+1)*R219-ERP_i)*Q219*Ramure*Pc/MaxiM</f>
        <v>8.8081959075998943E-5</v>
      </c>
      <c r="Q219" s="301">
        <f t="shared" si="81"/>
        <v>0.5</v>
      </c>
      <c r="R219" s="173">
        <f t="shared" si="82"/>
        <v>0.91914661710524892</v>
      </c>
      <c r="S219" s="801">
        <f t="shared" si="83"/>
        <v>0</v>
      </c>
      <c r="T219" s="172">
        <f t="shared" si="84"/>
        <v>6</v>
      </c>
      <c r="U219" s="247">
        <f t="shared" si="85"/>
        <v>0.91914661710524892</v>
      </c>
      <c r="V219" s="378">
        <f t="shared" si="86"/>
        <v>229.59256548194119</v>
      </c>
      <c r="W219" s="397">
        <f t="shared" si="87"/>
        <v>217.07099603148535</v>
      </c>
      <c r="X219" s="153">
        <f t="shared" si="88"/>
        <v>45131</v>
      </c>
      <c r="Y219" s="380">
        <f t="shared" si="89"/>
        <v>217.07099603148535</v>
      </c>
      <c r="Z219" s="380">
        <f t="shared" si="90"/>
        <v>219.18207414984411</v>
      </c>
      <c r="AA219" s="381">
        <f t="shared" si="91"/>
        <v>228.30408526056783</v>
      </c>
      <c r="AB219" s="193">
        <f t="shared" si="92"/>
        <v>45131</v>
      </c>
      <c r="AC219" s="420">
        <f>IF(OR(t&lt;Tnet,NoTnet),'2022'!Resal_s+('2022'!Salim-'2022'!Resal_s)*(1-EXP(('2022'!Tnet_s-t)/'2022'!Tau_j)),Resal_s+(Salim-Resal_s)*(1-EXP((Tnet_s-t)/Tau_j)))*Salcycl</f>
        <v>3.9955531677466911E-2</v>
      </c>
      <c r="AD219" s="227">
        <f>(INDEX(Models!$BJ219:$BT219,,AH219)*(1-AF219)+INDEX(Models!$BJ219:$BT219,,AH219+1)*AF219-ERP_i)*AE219*Ramure*Pc/MaxiM</f>
        <v>8.8081959075998943E-5</v>
      </c>
      <c r="AE219" s="301">
        <f t="shared" si="93"/>
        <v>0.5</v>
      </c>
      <c r="AF219" s="173">
        <f t="shared" si="94"/>
        <v>0.91914661710524892</v>
      </c>
      <c r="AG219" s="172">
        <f t="shared" si="95"/>
        <v>0</v>
      </c>
      <c r="AH219" s="172">
        <f t="shared" si="96"/>
        <v>6</v>
      </c>
      <c r="AI219" s="221">
        <f t="shared" si="97"/>
        <v>0.91914661710524892</v>
      </c>
      <c r="AJ219" s="261" t="b">
        <f t="shared" si="98"/>
        <v>0</v>
      </c>
      <c r="AK219" s="261" t="b">
        <f t="shared" si="99"/>
        <v>0</v>
      </c>
      <c r="AL219" s="261"/>
      <c r="AM219" s="261"/>
      <c r="AN219" s="75"/>
    </row>
    <row r="220" spans="1:40" s="6" customFormat="1" ht="11.25" customHeight="1" x14ac:dyDescent="0.2">
      <c r="A220" s="56">
        <f t="shared" si="100"/>
        <v>45132</v>
      </c>
      <c r="B220" s="406">
        <f>'2022'!Wh/'2022'!Env_an*'2023'!Env_an</f>
        <v>116.8671000453903</v>
      </c>
      <c r="C220" s="385"/>
      <c r="D220" s="388">
        <f t="shared" si="78"/>
        <v>118.00528173337243</v>
      </c>
      <c r="E220" s="380">
        <f t="shared" si="76"/>
        <v>122.92169667295765</v>
      </c>
      <c r="F220" s="380">
        <f t="shared" si="79"/>
        <v>122.92502726674579</v>
      </c>
      <c r="G220" s="110">
        <f t="shared" si="77"/>
        <v>0.51010555014250558</v>
      </c>
      <c r="H220" s="409" t="b">
        <f>Wh_hp&gt;='2022'!Maxi_hp</f>
        <v>0</v>
      </c>
      <c r="I220" s="385">
        <f>IF(H220,Wh_hp,'2022'!Maxi_hp)</f>
        <v>122.92919914878539</v>
      </c>
      <c r="J220" s="85">
        <f>IF(H220,An,'2022'!An_max)</f>
        <v>2022</v>
      </c>
      <c r="K220" s="193">
        <f t="shared" si="80"/>
        <v>45132</v>
      </c>
      <c r="L220" s="143">
        <f>IF(t&lt;Tvie,1-EXP((T0-t)*PertePVj)+'2022'!Pspv,1-EXP((T0-t)*PertePVj)+Pspv)</f>
        <v>9.6451758028407442E-3</v>
      </c>
      <c r="M220" s="835"/>
      <c r="N220" s="835"/>
      <c r="O220" s="48">
        <f>IF(t&lt;Tnet,'2022'!Resal+('2022'!Salim-'2022'!Resal)*(1-EXP(('2022'!Tnet-t)/('2022'!Tau_j))),Resal+(Salim-Resal)*(1-EXP((Tnet-t)/(Tau_j))))*Salcycl</f>
        <v>3.9996315318244602E-2</v>
      </c>
      <c r="P220" s="165">
        <f>(INDEX(Models!$BJ220:$BT220,,T220)*(1-R220)+INDEX(Models!$BJ220:$BT220,,T220+1)*R220-ERP_i)*Q220*Ramure*Pc/MaxiM</f>
        <v>9.0255831407834867E-5</v>
      </c>
      <c r="Q220" s="301">
        <f t="shared" si="81"/>
        <v>0.5</v>
      </c>
      <c r="R220" s="173">
        <f t="shared" si="82"/>
        <v>0.92160091809238387</v>
      </c>
      <c r="S220" s="801">
        <f t="shared" si="83"/>
        <v>0</v>
      </c>
      <c r="T220" s="172">
        <f t="shared" si="84"/>
        <v>6</v>
      </c>
      <c r="U220" s="247">
        <f t="shared" si="85"/>
        <v>0.92160091809238387</v>
      </c>
      <c r="V220" s="378">
        <f t="shared" si="86"/>
        <v>229.08929011389961</v>
      </c>
      <c r="W220" s="397">
        <f t="shared" si="87"/>
        <v>116.8671000453903</v>
      </c>
      <c r="X220" s="153">
        <f t="shared" si="88"/>
        <v>45132</v>
      </c>
      <c r="Y220" s="380">
        <f t="shared" si="89"/>
        <v>116.8671000453903</v>
      </c>
      <c r="Z220" s="380">
        <f t="shared" si="90"/>
        <v>118.00528173337243</v>
      </c>
      <c r="AA220" s="381">
        <f t="shared" si="91"/>
        <v>122.92169667295765</v>
      </c>
      <c r="AB220" s="193">
        <f t="shared" si="92"/>
        <v>45132</v>
      </c>
      <c r="AC220" s="420">
        <f>IF(OR(t&lt;Tnet,NoTnet),'2022'!Resal_s+('2022'!Salim-'2022'!Resal_s)*(1-EXP(('2022'!Tnet_s-t)/'2022'!Tau_j)),Resal_s+(Salim-Resal_s)*(1-EXP((Tnet_s-t)/Tau_j)))*Salcycl</f>
        <v>3.9996315318244602E-2</v>
      </c>
      <c r="AD220" s="227">
        <f>(INDEX(Models!$BJ220:$BT220,,AH220)*(1-AF220)+INDEX(Models!$BJ220:$BT220,,AH220+1)*AF220-ERP_i)*AE220*Ramure*Pc/MaxiM</f>
        <v>9.0255831407834867E-5</v>
      </c>
      <c r="AE220" s="301">
        <f t="shared" si="93"/>
        <v>0.5</v>
      </c>
      <c r="AF220" s="173">
        <f t="shared" si="94"/>
        <v>0.92160091809238387</v>
      </c>
      <c r="AG220" s="172">
        <f t="shared" si="95"/>
        <v>0</v>
      </c>
      <c r="AH220" s="172">
        <f t="shared" si="96"/>
        <v>6</v>
      </c>
      <c r="AI220" s="221">
        <f t="shared" si="97"/>
        <v>0.92160091809238387</v>
      </c>
      <c r="AJ220" s="261" t="b">
        <f t="shared" si="98"/>
        <v>0</v>
      </c>
      <c r="AK220" s="261" t="b">
        <f t="shared" si="99"/>
        <v>0</v>
      </c>
      <c r="AL220" s="261"/>
      <c r="AM220" s="261"/>
      <c r="AN220" s="75"/>
    </row>
    <row r="221" spans="1:40" s="6" customFormat="1" ht="11.25" customHeight="1" x14ac:dyDescent="0.2">
      <c r="A221" s="56">
        <f t="shared" si="100"/>
        <v>45133</v>
      </c>
      <c r="B221" s="406">
        <f>'2022'!Wh/'2022'!Env_an*'2023'!Env_an</f>
        <v>208.53201676837654</v>
      </c>
      <c r="C221" s="385"/>
      <c r="D221" s="388">
        <f t="shared" si="78"/>
        <v>210.56581574659131</v>
      </c>
      <c r="E221" s="380">
        <f t="shared" si="76"/>
        <v>219.34781880102597</v>
      </c>
      <c r="F221" s="380">
        <f t="shared" si="79"/>
        <v>219.36553553233966</v>
      </c>
      <c r="G221" s="110">
        <f t="shared" si="77"/>
        <v>0.91229699260370767</v>
      </c>
      <c r="H221" s="409" t="b">
        <f>Wh_hp&gt;='2022'!Maxi_hp</f>
        <v>0</v>
      </c>
      <c r="I221" s="385">
        <f>IF(H221,Wh_hp,'2022'!Maxi_hp)</f>
        <v>219.36689548137969</v>
      </c>
      <c r="J221" s="85">
        <f>IF(H221,An,'2022'!An_max)</f>
        <v>2022</v>
      </c>
      <c r="K221" s="193">
        <f t="shared" si="80"/>
        <v>45133</v>
      </c>
      <c r="L221" s="143">
        <f>IF(t&lt;Tvie,1-EXP((T0-t)*PertePVj)+'2022'!Pspv,1-EXP((T0-t)*PertePVj)+Pspv)</f>
        <v>9.6587329287218804E-3</v>
      </c>
      <c r="M221" s="835"/>
      <c r="N221" s="835"/>
      <c r="O221" s="48">
        <f>IF(t&lt;Tnet,'2022'!Resal+('2022'!Salim-'2022'!Resal)*(1-EXP(('2022'!Tnet-t)/('2022'!Tau_j))),Resal+(Salim-Resal)*(1-EXP((Tnet-t)/(Tau_j))))*Salcycl</f>
        <v>4.0036883441275269E-2</v>
      </c>
      <c r="P221" s="165">
        <f>(INDEX(Models!$BJ221:$BT221,,T221)*(1-R221)+INDEX(Models!$BJ221:$BT221,,T221+1)*R221-ERP_i)*Q221*Ramure*Pc/MaxiM</f>
        <v>9.2330169034732221E-5</v>
      </c>
      <c r="Q221" s="301">
        <f t="shared" si="81"/>
        <v>0.5</v>
      </c>
      <c r="R221" s="173">
        <f t="shared" si="82"/>
        <v>0.92398287487024278</v>
      </c>
      <c r="S221" s="801">
        <f t="shared" si="83"/>
        <v>0</v>
      </c>
      <c r="T221" s="172">
        <f t="shared" si="84"/>
        <v>6</v>
      </c>
      <c r="U221" s="247">
        <f t="shared" si="85"/>
        <v>0.92398287487024278</v>
      </c>
      <c r="V221" s="378">
        <f t="shared" si="86"/>
        <v>228.57644631747897</v>
      </c>
      <c r="W221" s="397">
        <f t="shared" si="87"/>
        <v>208.53201676837654</v>
      </c>
      <c r="X221" s="153">
        <f t="shared" si="88"/>
        <v>45133</v>
      </c>
      <c r="Y221" s="380">
        <f t="shared" si="89"/>
        <v>208.53201676837654</v>
      </c>
      <c r="Z221" s="380">
        <f t="shared" si="90"/>
        <v>210.56581574659131</v>
      </c>
      <c r="AA221" s="381">
        <f t="shared" si="91"/>
        <v>219.34781880102597</v>
      </c>
      <c r="AB221" s="193">
        <f t="shared" si="92"/>
        <v>45133</v>
      </c>
      <c r="AC221" s="420">
        <f>IF(OR(t&lt;Tnet,NoTnet),'2022'!Resal_s+('2022'!Salim-'2022'!Resal_s)*(1-EXP(('2022'!Tnet_s-t)/'2022'!Tau_j)),Resal_s+(Salim-Resal_s)*(1-EXP((Tnet_s-t)/Tau_j)))*Salcycl</f>
        <v>4.0036883441275269E-2</v>
      </c>
      <c r="AD221" s="227">
        <f>(INDEX(Models!$BJ221:$BT221,,AH221)*(1-AF221)+INDEX(Models!$BJ221:$BT221,,AH221+1)*AF221-ERP_i)*AE221*Ramure*Pc/MaxiM</f>
        <v>9.2330169034732221E-5</v>
      </c>
      <c r="AE221" s="301">
        <f t="shared" si="93"/>
        <v>0.5</v>
      </c>
      <c r="AF221" s="173">
        <f t="shared" si="94"/>
        <v>0.92398287487024278</v>
      </c>
      <c r="AG221" s="172">
        <f t="shared" si="95"/>
        <v>0</v>
      </c>
      <c r="AH221" s="172">
        <f t="shared" si="96"/>
        <v>6</v>
      </c>
      <c r="AI221" s="221">
        <f t="shared" si="97"/>
        <v>0.92398287487024278</v>
      </c>
      <c r="AJ221" s="261" t="b">
        <f t="shared" si="98"/>
        <v>0</v>
      </c>
      <c r="AK221" s="261" t="b">
        <f t="shared" si="99"/>
        <v>0</v>
      </c>
      <c r="AL221" s="261"/>
      <c r="AM221" s="261"/>
      <c r="AN221" s="75"/>
    </row>
    <row r="222" spans="1:40" s="6" customFormat="1" ht="11.25" customHeight="1" x14ac:dyDescent="0.2">
      <c r="A222" s="56">
        <f t="shared" si="100"/>
        <v>45134</v>
      </c>
      <c r="B222" s="406">
        <f>'2022'!Wh/'2022'!Env_an*'2023'!Env_an</f>
        <v>228.85161943847331</v>
      </c>
      <c r="C222" s="385"/>
      <c r="D222" s="388">
        <f t="shared" si="78"/>
        <v>231.0867575423139</v>
      </c>
      <c r="E222" s="380">
        <f t="shared" si="76"/>
        <v>240.7347436030125</v>
      </c>
      <c r="F222" s="380">
        <f t="shared" si="79"/>
        <v>240.75744789111334</v>
      </c>
      <c r="G222" s="110">
        <f t="shared" si="77"/>
        <v>1.0034973585030094</v>
      </c>
      <c r="H222" s="409" t="b">
        <f>Wh_hp&gt;='2022'!Maxi_hp</f>
        <v>1</v>
      </c>
      <c r="I222" s="385">
        <f>IF(H222,Wh_hp,'2022'!Maxi_hp)</f>
        <v>240.75744789111334</v>
      </c>
      <c r="J222" s="85">
        <f>IF(H222,An,'2022'!An_max)</f>
        <v>2023</v>
      </c>
      <c r="K222" s="193">
        <f t="shared" si="80"/>
        <v>45134</v>
      </c>
      <c r="L222" s="143">
        <f>IF(t&lt;Tvie,1-EXP((T0-t)*PertePVj)+'2022'!Pspv,1-EXP((T0-t)*PertePVj)+Pspv)</f>
        <v>9.6722898690173587E-3</v>
      </c>
      <c r="M222" s="835"/>
      <c r="N222" s="835"/>
      <c r="O222" s="48">
        <f>IF(t&lt;Tnet,'2022'!Resal+('2022'!Salim-'2022'!Resal)*(1-EXP(('2022'!Tnet-t)/('2022'!Tau_j))),Resal+(Salim-Resal)*(1-EXP((Tnet-t)/(Tau_j))))*Salcycl</f>
        <v>4.0077248162437046E-2</v>
      </c>
      <c r="P222" s="165">
        <f>(INDEX(Models!$BJ222:$BT222,,T222)*(1-R222)+INDEX(Models!$BJ222:$BT222,,T222+1)*R222-ERP_i)*Q222*Ramure*Pc/MaxiM</f>
        <v>9.4303575236055154E-5</v>
      </c>
      <c r="Q222" s="301">
        <f t="shared" si="81"/>
        <v>0.5</v>
      </c>
      <c r="R222" s="173">
        <f t="shared" si="82"/>
        <v>0.92629371637520874</v>
      </c>
      <c r="S222" s="801">
        <f t="shared" si="83"/>
        <v>0</v>
      </c>
      <c r="T222" s="172">
        <f t="shared" si="84"/>
        <v>6</v>
      </c>
      <c r="U222" s="247">
        <f t="shared" si="85"/>
        <v>0.92629371637520874</v>
      </c>
      <c r="V222" s="378">
        <f t="shared" si="86"/>
        <v>228.05403272796661</v>
      </c>
      <c r="W222" s="397">
        <f t="shared" si="87"/>
        <v>228.85161943847331</v>
      </c>
      <c r="X222" s="153">
        <f t="shared" si="88"/>
        <v>45134</v>
      </c>
      <c r="Y222" s="380">
        <f t="shared" si="89"/>
        <v>228.85161943847331</v>
      </c>
      <c r="Z222" s="380">
        <f t="shared" si="90"/>
        <v>231.0867575423139</v>
      </c>
      <c r="AA222" s="381">
        <f t="shared" si="91"/>
        <v>240.7347436030125</v>
      </c>
      <c r="AB222" s="193">
        <f t="shared" si="92"/>
        <v>45134</v>
      </c>
      <c r="AC222" s="420">
        <f>IF(OR(t&lt;Tnet,NoTnet),'2022'!Resal_s+('2022'!Salim-'2022'!Resal_s)*(1-EXP(('2022'!Tnet_s-t)/'2022'!Tau_j)),Resal_s+(Salim-Resal_s)*(1-EXP((Tnet_s-t)/Tau_j)))*Salcycl</f>
        <v>4.0077248162437046E-2</v>
      </c>
      <c r="AD222" s="227">
        <f>(INDEX(Models!$BJ222:$BT222,,AH222)*(1-AF222)+INDEX(Models!$BJ222:$BT222,,AH222+1)*AF222-ERP_i)*AE222*Ramure*Pc/MaxiM</f>
        <v>9.4303575236055154E-5</v>
      </c>
      <c r="AE222" s="301">
        <f t="shared" si="93"/>
        <v>0.5</v>
      </c>
      <c r="AF222" s="173">
        <f t="shared" si="94"/>
        <v>0.92629371637520874</v>
      </c>
      <c r="AG222" s="172">
        <f t="shared" si="95"/>
        <v>0</v>
      </c>
      <c r="AH222" s="172">
        <f t="shared" si="96"/>
        <v>6</v>
      </c>
      <c r="AI222" s="221">
        <f t="shared" si="97"/>
        <v>0.92629371637520874</v>
      </c>
      <c r="AJ222" s="261" t="b">
        <f t="shared" si="98"/>
        <v>0</v>
      </c>
      <c r="AK222" s="261" t="b">
        <f t="shared" si="99"/>
        <v>0</v>
      </c>
      <c r="AL222" s="261"/>
      <c r="AM222" s="261"/>
      <c r="AN222" s="75"/>
    </row>
    <row r="223" spans="1:40" s="6" customFormat="1" ht="11.25" customHeight="1" x14ac:dyDescent="0.2">
      <c r="A223" s="56">
        <f t="shared" si="100"/>
        <v>45135</v>
      </c>
      <c r="B223" s="406">
        <f>'2022'!Wh/'2022'!Env_an*'2023'!Env_an</f>
        <v>184.86224049593108</v>
      </c>
      <c r="C223" s="385"/>
      <c r="D223" s="388">
        <f t="shared" si="78"/>
        <v>186.67030039476029</v>
      </c>
      <c r="E223" s="380">
        <f t="shared" si="76"/>
        <v>194.4720160717292</v>
      </c>
      <c r="F223" s="380">
        <f t="shared" si="79"/>
        <v>194.4857105813125</v>
      </c>
      <c r="G223" s="110">
        <f t="shared" si="77"/>
        <v>0.81248160099529143</v>
      </c>
      <c r="H223" s="409" t="b">
        <f>Wh_hp&gt;='2022'!Maxi_hp</f>
        <v>0</v>
      </c>
      <c r="I223" s="385">
        <f>IF(H223,Wh_hp,'2022'!Maxi_hp)</f>
        <v>194.48838294022485</v>
      </c>
      <c r="J223" s="85">
        <f>IF(H223,An,'2022'!An_max)</f>
        <v>2022</v>
      </c>
      <c r="K223" s="193">
        <f t="shared" si="80"/>
        <v>45135</v>
      </c>
      <c r="L223" s="143">
        <f>IF(t&lt;Tvie,1-EXP((T0-t)*PertePVj)+'2022'!Pspv,1-EXP((T0-t)*PertePVj)+Pspv)</f>
        <v>9.6858466237297325E-3</v>
      </c>
      <c r="M223" s="835"/>
      <c r="N223" s="835"/>
      <c r="O223" s="48">
        <f>IF(t&lt;Tnet,'2022'!Resal+('2022'!Salim-'2022'!Resal)*(1-EXP(('2022'!Tnet-t)/('2022'!Tau_j))),Resal+(Salim-Resal)*(1-EXP((Tnet-t)/(Tau_j))))*Salcycl</f>
        <v>4.01174206683357E-2</v>
      </c>
      <c r="P223" s="165">
        <f>(INDEX(Models!$BJ223:$BT223,,T223)*(1-R223)+INDEX(Models!$BJ223:$BT223,,T223+1)*R223-ERP_i)*Q223*Ramure*Pc/MaxiM</f>
        <v>9.6174693293845447E-5</v>
      </c>
      <c r="Q223" s="301">
        <f t="shared" si="81"/>
        <v>0.5</v>
      </c>
      <c r="R223" s="173">
        <f t="shared" si="82"/>
        <v>0.92853471576179025</v>
      </c>
      <c r="S223" s="801">
        <f t="shared" si="83"/>
        <v>0</v>
      </c>
      <c r="T223" s="172">
        <f t="shared" si="84"/>
        <v>6</v>
      </c>
      <c r="U223" s="247">
        <f t="shared" si="85"/>
        <v>0.92853471576179025</v>
      </c>
      <c r="V223" s="378">
        <f t="shared" si="86"/>
        <v>227.52204818886983</v>
      </c>
      <c r="W223" s="397">
        <f t="shared" si="87"/>
        <v>184.86224049593108</v>
      </c>
      <c r="X223" s="153">
        <f t="shared" si="88"/>
        <v>45135</v>
      </c>
      <c r="Y223" s="380">
        <f t="shared" si="89"/>
        <v>184.86224049593108</v>
      </c>
      <c r="Z223" s="380">
        <f t="shared" si="90"/>
        <v>186.67030039476029</v>
      </c>
      <c r="AA223" s="381">
        <f t="shared" si="91"/>
        <v>194.4720160717292</v>
      </c>
      <c r="AB223" s="193">
        <f t="shared" si="92"/>
        <v>45135</v>
      </c>
      <c r="AC223" s="420">
        <f>IF(OR(t&lt;Tnet,NoTnet),'2022'!Resal_s+('2022'!Salim-'2022'!Resal_s)*(1-EXP(('2022'!Tnet_s-t)/'2022'!Tau_j)),Resal_s+(Salim-Resal_s)*(1-EXP((Tnet_s-t)/Tau_j)))*Salcycl</f>
        <v>4.01174206683357E-2</v>
      </c>
      <c r="AD223" s="227">
        <f>(INDEX(Models!$BJ223:$BT223,,AH223)*(1-AF223)+INDEX(Models!$BJ223:$BT223,,AH223+1)*AF223-ERP_i)*AE223*Ramure*Pc/MaxiM</f>
        <v>9.6174693293845447E-5</v>
      </c>
      <c r="AE223" s="301">
        <f t="shared" si="93"/>
        <v>0.5</v>
      </c>
      <c r="AF223" s="173">
        <f t="shared" si="94"/>
        <v>0.92853471576179025</v>
      </c>
      <c r="AG223" s="172">
        <f t="shared" si="95"/>
        <v>0</v>
      </c>
      <c r="AH223" s="172">
        <f t="shared" si="96"/>
        <v>6</v>
      </c>
      <c r="AI223" s="221">
        <f t="shared" si="97"/>
        <v>0.92853471576179025</v>
      </c>
      <c r="AJ223" s="261" t="b">
        <f t="shared" si="98"/>
        <v>0</v>
      </c>
      <c r="AK223" s="261" t="b">
        <f t="shared" si="99"/>
        <v>0</v>
      </c>
      <c r="AL223" s="261"/>
      <c r="AM223" s="261"/>
      <c r="AN223" s="75"/>
    </row>
    <row r="224" spans="1:40" s="6" customFormat="1" ht="11.25" customHeight="1" x14ac:dyDescent="0.2">
      <c r="A224" s="56">
        <f t="shared" si="100"/>
        <v>45136</v>
      </c>
      <c r="B224" s="406">
        <f>'2022'!Wh/'2022'!Env_an*'2023'!Env_an</f>
        <v>112.29325827465007</v>
      </c>
      <c r="C224" s="385"/>
      <c r="D224" s="388">
        <f t="shared" si="78"/>
        <v>113.39310370679222</v>
      </c>
      <c r="E224" s="380">
        <f t="shared" si="76"/>
        <v>118.13718731562125</v>
      </c>
      <c r="F224" s="380">
        <f t="shared" si="79"/>
        <v>118.14040612512252</v>
      </c>
      <c r="G224" s="110">
        <f t="shared" si="77"/>
        <v>0.49469149718744754</v>
      </c>
      <c r="H224" s="409" t="b">
        <f>Wh_hp&gt;='2022'!Maxi_hp</f>
        <v>0</v>
      </c>
      <c r="I224" s="385">
        <f>IF(H224,Wh_hp,'2022'!Maxi_hp)</f>
        <v>118.14485084617337</v>
      </c>
      <c r="J224" s="85">
        <f>IF(H224,An,'2022'!An_max)</f>
        <v>2022</v>
      </c>
      <c r="K224" s="193">
        <f t="shared" si="80"/>
        <v>45136</v>
      </c>
      <c r="L224" s="143">
        <f>IF(t&lt;Tvie,1-EXP((T0-t)*PertePVj)+'2022'!Pspv,1-EXP((T0-t)*PertePVj)+Pspv)</f>
        <v>9.6994031928615554E-3</v>
      </c>
      <c r="M224" s="835"/>
      <c r="N224" s="835"/>
      <c r="O224" s="48">
        <f>IF(t&lt;Tnet,'2022'!Resal+('2022'!Salim-'2022'!Resal)*(1-EXP(('2022'!Tnet-t)/('2022'!Tau_j))),Resal+(Salim-Resal)*(1-EXP((Tnet-t)/(Tau_j))))*Salcycl</f>
        <v>4.0157411198173253E-2</v>
      </c>
      <c r="P224" s="165">
        <f>(INDEX(Models!$BJ224:$BT224,,T224)*(1-R224)+INDEX(Models!$BJ224:$BT224,,T224+1)*R224-ERP_i)*Q224*Ramure*Pc/MaxiM</f>
        <v>9.7942200237423693E-5</v>
      </c>
      <c r="Q224" s="301">
        <f t="shared" si="81"/>
        <v>0.5</v>
      </c>
      <c r="R224" s="173">
        <f t="shared" si="82"/>
        <v>0.93070718476582359</v>
      </c>
      <c r="S224" s="801">
        <f t="shared" si="83"/>
        <v>0</v>
      </c>
      <c r="T224" s="172">
        <f t="shared" si="84"/>
        <v>6</v>
      </c>
      <c r="U224" s="247">
        <f t="shared" si="85"/>
        <v>0.93070718476582359</v>
      </c>
      <c r="V224" s="378">
        <f t="shared" si="86"/>
        <v>226.98049177769204</v>
      </c>
      <c r="W224" s="397">
        <f t="shared" si="87"/>
        <v>112.29325827465007</v>
      </c>
      <c r="X224" s="153">
        <f t="shared" si="88"/>
        <v>45136</v>
      </c>
      <c r="Y224" s="380">
        <f t="shared" si="89"/>
        <v>112.29325827465007</v>
      </c>
      <c r="Z224" s="380">
        <f t="shared" si="90"/>
        <v>113.39310370679222</v>
      </c>
      <c r="AA224" s="381">
        <f t="shared" si="91"/>
        <v>118.13718731562125</v>
      </c>
      <c r="AB224" s="193">
        <f t="shared" si="92"/>
        <v>45136</v>
      </c>
      <c r="AC224" s="420">
        <f>IF(OR(t&lt;Tnet,NoTnet),'2022'!Resal_s+('2022'!Salim-'2022'!Resal_s)*(1-EXP(('2022'!Tnet_s-t)/'2022'!Tau_j)),Resal_s+(Salim-Resal_s)*(1-EXP((Tnet_s-t)/Tau_j)))*Salcycl</f>
        <v>4.0157411198173253E-2</v>
      </c>
      <c r="AD224" s="227">
        <f>(INDEX(Models!$BJ224:$BT224,,AH224)*(1-AF224)+INDEX(Models!$BJ224:$BT224,,AH224+1)*AF224-ERP_i)*AE224*Ramure*Pc/MaxiM</f>
        <v>9.7942200237423693E-5</v>
      </c>
      <c r="AE224" s="301">
        <f t="shared" si="93"/>
        <v>0.5</v>
      </c>
      <c r="AF224" s="173">
        <f t="shared" si="94"/>
        <v>0.93070718476582359</v>
      </c>
      <c r="AG224" s="172">
        <f t="shared" si="95"/>
        <v>0</v>
      </c>
      <c r="AH224" s="172">
        <f t="shared" si="96"/>
        <v>6</v>
      </c>
      <c r="AI224" s="221">
        <f t="shared" si="97"/>
        <v>0.93070718476582359</v>
      </c>
      <c r="AJ224" s="261" t="b">
        <f t="shared" si="98"/>
        <v>0</v>
      </c>
      <c r="AK224" s="261" t="b">
        <f t="shared" si="99"/>
        <v>0</v>
      </c>
      <c r="AL224" s="261"/>
      <c r="AM224" s="261"/>
      <c r="AN224" s="75"/>
    </row>
    <row r="225" spans="1:40" s="6" customFormat="1" ht="11.25" customHeight="1" x14ac:dyDescent="0.2">
      <c r="A225" s="56">
        <f t="shared" si="100"/>
        <v>45137</v>
      </c>
      <c r="B225" s="406">
        <f>'2022'!Wh/'2022'!Env_an*'2023'!Env_an</f>
        <v>194.37309181292366</v>
      </c>
      <c r="C225" s="385"/>
      <c r="D225" s="388">
        <f t="shared" si="78"/>
        <v>196.27954711977515</v>
      </c>
      <c r="E225" s="380">
        <f t="shared" si="76"/>
        <v>204.49987545052787</v>
      </c>
      <c r="F225" s="380">
        <f t="shared" si="79"/>
        <v>204.51612630658457</v>
      </c>
      <c r="G225" s="110">
        <f t="shared" si="77"/>
        <v>0.85840976413827919</v>
      </c>
      <c r="H225" s="409" t="b">
        <f>Wh_hp&gt;='2022'!Maxi_hp</f>
        <v>0</v>
      </c>
      <c r="I225" s="385">
        <f>IF(H225,Wh_hp,'2022'!Maxi_hp)</f>
        <v>204.51831402539628</v>
      </c>
      <c r="J225" s="85">
        <f>IF(H225,An,'2022'!An_max)</f>
        <v>2022</v>
      </c>
      <c r="K225" s="193">
        <f t="shared" si="80"/>
        <v>45137</v>
      </c>
      <c r="L225" s="143">
        <f>IF(t&lt;Tvie,1-EXP((T0-t)*PertePVj)+'2022'!Pspv,1-EXP((T0-t)*PertePVj)+Pspv)</f>
        <v>9.7129595764152699E-3</v>
      </c>
      <c r="M225" s="835"/>
      <c r="N225" s="835"/>
      <c r="O225" s="48">
        <f>IF(t&lt;Tnet,'2022'!Resal+('2022'!Salim-'2022'!Resal)*(1-EXP(('2022'!Tnet-t)/('2022'!Tau_j))),Resal+(Salim-Resal)*(1-EXP((Tnet-t)/(Tau_j))))*Salcycl</f>
        <v>4.0197229033234069E-2</v>
      </c>
      <c r="P225" s="165">
        <f>(INDEX(Models!$BJ225:$BT225,,T225)*(1-R225)+INDEX(Models!$BJ225:$BT225,,T225+1)*R225-ERP_i)*Q225*Ramure*Pc/MaxiM</f>
        <v>9.9604800879471848E-5</v>
      </c>
      <c r="Q225" s="301">
        <f t="shared" si="81"/>
        <v>0.5</v>
      </c>
      <c r="R225" s="173">
        <f t="shared" si="82"/>
        <v>0.93281246831270603</v>
      </c>
      <c r="S225" s="801">
        <f t="shared" si="83"/>
        <v>0</v>
      </c>
      <c r="T225" s="172">
        <f t="shared" si="84"/>
        <v>6</v>
      </c>
      <c r="U225" s="247">
        <f t="shared" si="85"/>
        <v>0.93281246831270603</v>
      </c>
      <c r="V225" s="378">
        <f t="shared" si="86"/>
        <v>226.42936278116818</v>
      </c>
      <c r="W225" s="397">
        <f t="shared" si="87"/>
        <v>194.37309181292366</v>
      </c>
      <c r="X225" s="153">
        <f t="shared" si="88"/>
        <v>45137</v>
      </c>
      <c r="Y225" s="380">
        <f t="shared" si="89"/>
        <v>194.37309181292366</v>
      </c>
      <c r="Z225" s="380">
        <f t="shared" si="90"/>
        <v>196.27954711977515</v>
      </c>
      <c r="AA225" s="381">
        <f t="shared" si="91"/>
        <v>204.49987545052787</v>
      </c>
      <c r="AB225" s="193">
        <f t="shared" si="92"/>
        <v>45137</v>
      </c>
      <c r="AC225" s="420">
        <f>IF(OR(t&lt;Tnet,NoTnet),'2022'!Resal_s+('2022'!Salim-'2022'!Resal_s)*(1-EXP(('2022'!Tnet_s-t)/'2022'!Tau_j)),Resal_s+(Salim-Resal_s)*(1-EXP((Tnet_s-t)/Tau_j)))*Salcycl</f>
        <v>4.0197229033234069E-2</v>
      </c>
      <c r="AD225" s="227">
        <f>(INDEX(Models!$BJ225:$BT225,,AH225)*(1-AF225)+INDEX(Models!$BJ225:$BT225,,AH225+1)*AF225-ERP_i)*AE225*Ramure*Pc/MaxiM</f>
        <v>9.9604800879471848E-5</v>
      </c>
      <c r="AE225" s="301">
        <f t="shared" si="93"/>
        <v>0.5</v>
      </c>
      <c r="AF225" s="173">
        <f t="shared" si="94"/>
        <v>0.93281246831270603</v>
      </c>
      <c r="AG225" s="172">
        <f t="shared" si="95"/>
        <v>0</v>
      </c>
      <c r="AH225" s="172">
        <f t="shared" si="96"/>
        <v>6</v>
      </c>
      <c r="AI225" s="221">
        <f t="shared" si="97"/>
        <v>0.93281246831270603</v>
      </c>
      <c r="AJ225" s="261" t="b">
        <f t="shared" si="98"/>
        <v>0</v>
      </c>
      <c r="AK225" s="261" t="b">
        <f t="shared" si="99"/>
        <v>0</v>
      </c>
      <c r="AL225" s="261"/>
      <c r="AM225" s="261"/>
      <c r="AN225" s="75"/>
    </row>
    <row r="226" spans="1:40" s="6" customFormat="1" ht="11.25" customHeight="1" x14ac:dyDescent="0.2">
      <c r="A226" s="56">
        <f t="shared" si="100"/>
        <v>45138</v>
      </c>
      <c r="B226" s="406">
        <f>'2022'!Wh/'2022'!Env_an*'2023'!Env_an</f>
        <v>222.44109449103453</v>
      </c>
      <c r="C226" s="385"/>
      <c r="D226" s="388">
        <f t="shared" si="78"/>
        <v>224.62592206534075</v>
      </c>
      <c r="E226" s="380">
        <f t="shared" si="76"/>
        <v>234.04308622420999</v>
      </c>
      <c r="F226" s="380">
        <f t="shared" si="79"/>
        <v>234.06624855349961</v>
      </c>
      <c r="G226" s="110">
        <f t="shared" si="77"/>
        <v>0.98482278714197524</v>
      </c>
      <c r="H226" s="409" t="b">
        <f>Wh_hp&gt;='2022'!Maxi_hp</f>
        <v>0</v>
      </c>
      <c r="I226" s="385">
        <f>IF(H226,Wh_hp,'2022'!Maxi_hp)</f>
        <v>234.06652052001985</v>
      </c>
      <c r="J226" s="85">
        <f>IF(H226,An,'2022'!An_max)</f>
        <v>2022</v>
      </c>
      <c r="K226" s="193">
        <f t="shared" si="80"/>
        <v>45138</v>
      </c>
      <c r="L226" s="143">
        <f>IF(t&lt;Tvie,1-EXP((T0-t)*PertePVj)+'2022'!Pspv,1-EXP((T0-t)*PertePVj)+Pspv)</f>
        <v>9.7265157743934294E-3</v>
      </c>
      <c r="M226" s="835"/>
      <c r="N226" s="835"/>
      <c r="O226" s="48">
        <f>IF(t&lt;Tnet,'2022'!Resal+('2022'!Salim-'2022'!Resal)*(1-EXP(('2022'!Tnet-t)/('2022'!Tau_j))),Resal+(Salim-Resal)*(1-EXP((Tnet-t)/(Tau_j))))*Salcycl</f>
        <v>4.023688249371199E-2</v>
      </c>
      <c r="P226" s="165">
        <f>(INDEX(Models!$BJ226:$BT226,,T226)*(1-R226)+INDEX(Models!$BJ226:$BT226,,T226+1)*R226-ERP_i)*Q226*Ramure*Pc/MaxiM</f>
        <v>1.0114907241273445E-4</v>
      </c>
      <c r="Q226" s="301">
        <f t="shared" si="81"/>
        <v>0.5</v>
      </c>
      <c r="R226" s="173">
        <f t="shared" si="82"/>
        <v>0.93485193937817912</v>
      </c>
      <c r="S226" s="801">
        <f t="shared" si="83"/>
        <v>0</v>
      </c>
      <c r="T226" s="172">
        <f t="shared" si="84"/>
        <v>6</v>
      </c>
      <c r="U226" s="247">
        <f t="shared" si="85"/>
        <v>0.93485193937817912</v>
      </c>
      <c r="V226" s="378">
        <f t="shared" si="86"/>
        <v>225.86866346280843</v>
      </c>
      <c r="W226" s="397">
        <f t="shared" si="87"/>
        <v>222.44109449103453</v>
      </c>
      <c r="X226" s="153">
        <f t="shared" si="88"/>
        <v>45138</v>
      </c>
      <c r="Y226" s="380">
        <f t="shared" si="89"/>
        <v>222.44109449103453</v>
      </c>
      <c r="Z226" s="380">
        <f t="shared" si="90"/>
        <v>224.62592206534075</v>
      </c>
      <c r="AA226" s="381">
        <f t="shared" si="91"/>
        <v>234.04308622420999</v>
      </c>
      <c r="AB226" s="193">
        <f t="shared" si="92"/>
        <v>45138</v>
      </c>
      <c r="AC226" s="420">
        <f>IF(OR(t&lt;Tnet,NoTnet),'2022'!Resal_s+('2022'!Salim-'2022'!Resal_s)*(1-EXP(('2022'!Tnet_s-t)/'2022'!Tau_j)),Resal_s+(Salim-Resal_s)*(1-EXP((Tnet_s-t)/Tau_j)))*Salcycl</f>
        <v>4.023688249371199E-2</v>
      </c>
      <c r="AD226" s="227">
        <f>(INDEX(Models!$BJ226:$BT226,,AH226)*(1-AF226)+INDEX(Models!$BJ226:$BT226,,AH226+1)*AF226-ERP_i)*AE226*Ramure*Pc/MaxiM</f>
        <v>1.0114907241273445E-4</v>
      </c>
      <c r="AE226" s="301">
        <f t="shared" si="93"/>
        <v>0.5</v>
      </c>
      <c r="AF226" s="173">
        <f t="shared" si="94"/>
        <v>0.93485193937817912</v>
      </c>
      <c r="AG226" s="172">
        <f t="shared" si="95"/>
        <v>0</v>
      </c>
      <c r="AH226" s="172">
        <f t="shared" si="96"/>
        <v>6</v>
      </c>
      <c r="AI226" s="221">
        <f t="shared" si="97"/>
        <v>0.93485193937817912</v>
      </c>
      <c r="AJ226" s="261" t="b">
        <f t="shared" si="98"/>
        <v>0</v>
      </c>
      <c r="AK226" s="261" t="b">
        <f t="shared" si="99"/>
        <v>0</v>
      </c>
      <c r="AL226" s="261"/>
      <c r="AM226" s="261"/>
      <c r="AN226" s="75"/>
    </row>
    <row r="227" spans="1:40" s="6" customFormat="1" ht="11.25" customHeight="1" x14ac:dyDescent="0.2">
      <c r="A227" s="56">
        <f t="shared" si="100"/>
        <v>45139</v>
      </c>
      <c r="B227" s="406">
        <f>'2022'!Wh/'2022'!Env_an*'2023'!Env_an</f>
        <v>221.36641027990891</v>
      </c>
      <c r="C227" s="385"/>
      <c r="D227" s="388">
        <f t="shared" si="78"/>
        <v>223.54374237816182</v>
      </c>
      <c r="E227" s="380">
        <f t="shared" si="76"/>
        <v>232.92512289303818</v>
      </c>
      <c r="F227" s="380">
        <f t="shared" si="79"/>
        <v>232.94843280019904</v>
      </c>
      <c r="G227" s="110">
        <f t="shared" si="77"/>
        <v>0.98254519848897681</v>
      </c>
      <c r="H227" s="409" t="b">
        <f>Wh_hp&gt;='2022'!Maxi_hp</f>
        <v>0</v>
      </c>
      <c r="I227" s="385">
        <f>IF(H227,Wh_hp,'2022'!Maxi_hp)</f>
        <v>232.94874797360882</v>
      </c>
      <c r="J227" s="85">
        <f>IF(H227,An,'2022'!An_max)</f>
        <v>2022</v>
      </c>
      <c r="K227" s="193">
        <f t="shared" si="80"/>
        <v>45139</v>
      </c>
      <c r="L227" s="143">
        <f>IF(t&lt;Tvie,1-EXP((T0-t)*PertePVj)+'2022'!Pspv,1-EXP((T0-t)*PertePVj)+Pspv)</f>
        <v>9.7400717867986986E-3</v>
      </c>
      <c r="M227" s="835"/>
      <c r="N227" s="835"/>
      <c r="O227" s="48">
        <f>IF(t&lt;Tnet,'2022'!Resal+('2022'!Salim-'2022'!Resal)*(1-EXP(('2022'!Tnet-t)/('2022'!Tau_j))),Resal+(Salim-Resal)*(1-EXP((Tnet-t)/(Tau_j))))*Salcycl</f>
        <v>4.0276378942534184E-2</v>
      </c>
      <c r="P227" s="165">
        <f>(INDEX(Models!$BJ227:$BT227,,T227)*(1-R227)+INDEX(Models!$BJ227:$BT227,,T227+1)*R227-ERP_i)*Q227*Ramure*Pc/MaxiM</f>
        <v>1.0262325257566714E-4</v>
      </c>
      <c r="Q227" s="301">
        <f t="shared" si="81"/>
        <v>0.5</v>
      </c>
      <c r="R227" s="173">
        <f t="shared" si="82"/>
        <v>0.93682699410684833</v>
      </c>
      <c r="S227" s="801">
        <f t="shared" si="83"/>
        <v>0</v>
      </c>
      <c r="T227" s="172">
        <f t="shared" si="84"/>
        <v>6</v>
      </c>
      <c r="U227" s="247">
        <f t="shared" si="85"/>
        <v>0.93682699410684833</v>
      </c>
      <c r="V227" s="378">
        <f t="shared" si="86"/>
        <v>225.29838238339482</v>
      </c>
      <c r="W227" s="397">
        <f t="shared" si="87"/>
        <v>221.36641027990891</v>
      </c>
      <c r="X227" s="153">
        <f t="shared" si="88"/>
        <v>45139</v>
      </c>
      <c r="Y227" s="380">
        <f t="shared" si="89"/>
        <v>221.36641027990891</v>
      </c>
      <c r="Z227" s="380">
        <f t="shared" si="90"/>
        <v>223.54374237816182</v>
      </c>
      <c r="AA227" s="381">
        <f t="shared" si="91"/>
        <v>232.92512289303818</v>
      </c>
      <c r="AB227" s="193">
        <f t="shared" si="92"/>
        <v>45139</v>
      </c>
      <c r="AC227" s="420">
        <f>IF(OR(t&lt;Tnet,NoTnet),'2022'!Resal_s+('2022'!Salim-'2022'!Resal_s)*(1-EXP(('2022'!Tnet_s-t)/'2022'!Tau_j)),Resal_s+(Salim-Resal_s)*(1-EXP((Tnet_s-t)/Tau_j)))*Salcycl</f>
        <v>4.0276378942534184E-2</v>
      </c>
      <c r="AD227" s="227">
        <f>(INDEX(Models!$BJ227:$BT227,,AH227)*(1-AF227)+INDEX(Models!$BJ227:$BT227,,AH227+1)*AF227-ERP_i)*AE227*Ramure*Pc/MaxiM</f>
        <v>1.0262325257566714E-4</v>
      </c>
      <c r="AE227" s="301">
        <f t="shared" si="93"/>
        <v>0.5</v>
      </c>
      <c r="AF227" s="173">
        <f t="shared" si="94"/>
        <v>0.93682699410684833</v>
      </c>
      <c r="AG227" s="172">
        <f t="shared" si="95"/>
        <v>0</v>
      </c>
      <c r="AH227" s="172">
        <f t="shared" si="96"/>
        <v>6</v>
      </c>
      <c r="AI227" s="221">
        <f t="shared" si="97"/>
        <v>0.93682699410684833</v>
      </c>
      <c r="AJ227" s="261" t="b">
        <f t="shared" si="98"/>
        <v>0</v>
      </c>
      <c r="AK227" s="261" t="b">
        <f t="shared" si="99"/>
        <v>0</v>
      </c>
      <c r="AL227" s="261"/>
      <c r="AM227" s="261"/>
      <c r="AN227" s="75"/>
    </row>
    <row r="228" spans="1:40" s="6" customFormat="1" ht="11.25" customHeight="1" x14ac:dyDescent="0.2">
      <c r="A228" s="56">
        <f t="shared" si="100"/>
        <v>45140</v>
      </c>
      <c r="B228" s="406">
        <f>'2022'!Wh/'2022'!Env_an*'2023'!Env_an</f>
        <v>221.42838341472117</v>
      </c>
      <c r="C228" s="385"/>
      <c r="D228" s="388">
        <f t="shared" si="78"/>
        <v>223.60938609763065</v>
      </c>
      <c r="E228" s="380">
        <f t="shared" si="76"/>
        <v>233.00307390161794</v>
      </c>
      <c r="F228" s="380">
        <f t="shared" si="79"/>
        <v>233.02680786055012</v>
      </c>
      <c r="G228" s="110">
        <f t="shared" si="77"/>
        <v>0.98535671256199731</v>
      </c>
      <c r="H228" s="409" t="b">
        <f>Wh_hp&gt;='2022'!Maxi_hp</f>
        <v>0</v>
      </c>
      <c r="I228" s="385">
        <f>IF(H228,Wh_hp,'2022'!Maxi_hp)</f>
        <v>233.02707544021914</v>
      </c>
      <c r="J228" s="85">
        <f>IF(H228,An,'2022'!An_max)</f>
        <v>2022</v>
      </c>
      <c r="K228" s="193">
        <f t="shared" si="80"/>
        <v>45140</v>
      </c>
      <c r="L228" s="143">
        <f>IF(t&lt;Tvie,1-EXP((T0-t)*PertePVj)+'2022'!Pspv,1-EXP((T0-t)*PertePVj)+Pspv)</f>
        <v>9.7536276136335198E-3</v>
      </c>
      <c r="M228" s="835"/>
      <c r="N228" s="835"/>
      <c r="O228" s="48">
        <f>IF(t&lt;Tnet,'2022'!Resal+('2022'!Salim-'2022'!Resal)*(1-EXP(('2022'!Tnet-t)/('2022'!Tau_j))),Resal+(Salim-Resal)*(1-EXP((Tnet-t)/(Tau_j))))*Salcycl</f>
        <v>4.0315724795775186E-2</v>
      </c>
      <c r="P228" s="165">
        <f>(INDEX(Models!$BJ228:$BT228,,T228)*(1-R228)+INDEX(Models!$BJ228:$BT228,,T228+1)*R228-ERP_i)*Q228*Ramure*Pc/MaxiM</f>
        <v>1.0402657769538499E-4</v>
      </c>
      <c r="Q228" s="301">
        <f t="shared" si="81"/>
        <v>0.5</v>
      </c>
      <c r="R228" s="173">
        <f t="shared" si="82"/>
        <v>0.93873904719148515</v>
      </c>
      <c r="S228" s="801">
        <f t="shared" si="83"/>
        <v>0</v>
      </c>
      <c r="T228" s="172">
        <f t="shared" si="84"/>
        <v>6</v>
      </c>
      <c r="U228" s="247">
        <f t="shared" si="85"/>
        <v>0.93873904719148515</v>
      </c>
      <c r="V228" s="378">
        <f t="shared" si="86"/>
        <v>224.71851945221107</v>
      </c>
      <c r="W228" s="397">
        <f t="shared" si="87"/>
        <v>221.42838341472117</v>
      </c>
      <c r="X228" s="153">
        <f t="shared" si="88"/>
        <v>45140</v>
      </c>
      <c r="Y228" s="380">
        <f t="shared" si="89"/>
        <v>221.42838341472117</v>
      </c>
      <c r="Z228" s="380">
        <f t="shared" si="90"/>
        <v>223.60938609763065</v>
      </c>
      <c r="AA228" s="381">
        <f t="shared" si="91"/>
        <v>233.00307390161794</v>
      </c>
      <c r="AB228" s="193">
        <f t="shared" si="92"/>
        <v>45140</v>
      </c>
      <c r="AC228" s="420">
        <f>IF(OR(t&lt;Tnet,NoTnet),'2022'!Resal_s+('2022'!Salim-'2022'!Resal_s)*(1-EXP(('2022'!Tnet_s-t)/'2022'!Tau_j)),Resal_s+(Salim-Resal_s)*(1-EXP((Tnet_s-t)/Tau_j)))*Salcycl</f>
        <v>4.0315724795775186E-2</v>
      </c>
      <c r="AD228" s="227">
        <f>(INDEX(Models!$BJ228:$BT228,,AH228)*(1-AF228)+INDEX(Models!$BJ228:$BT228,,AH228+1)*AF228-ERP_i)*AE228*Ramure*Pc/MaxiM</f>
        <v>1.0402657769538499E-4</v>
      </c>
      <c r="AE228" s="301">
        <f t="shared" si="93"/>
        <v>0.5</v>
      </c>
      <c r="AF228" s="173">
        <f t="shared" si="94"/>
        <v>0.93873904719148515</v>
      </c>
      <c r="AG228" s="172">
        <f t="shared" si="95"/>
        <v>0</v>
      </c>
      <c r="AH228" s="172">
        <f t="shared" si="96"/>
        <v>6</v>
      </c>
      <c r="AI228" s="221">
        <f t="shared" si="97"/>
        <v>0.93873904719148515</v>
      </c>
      <c r="AJ228" s="261" t="b">
        <f t="shared" si="98"/>
        <v>0</v>
      </c>
      <c r="AK228" s="261" t="b">
        <f t="shared" si="99"/>
        <v>0</v>
      </c>
      <c r="AL228" s="261"/>
      <c r="AM228" s="261"/>
      <c r="AN228" s="75"/>
    </row>
    <row r="229" spans="1:40" s="6" customFormat="1" ht="11.25" customHeight="1" x14ac:dyDescent="0.2">
      <c r="A229" s="56">
        <f t="shared" si="100"/>
        <v>45141</v>
      </c>
      <c r="B229" s="406">
        <f>'2022'!Wh/'2022'!Env_an*'2023'!Env_an</f>
        <v>210.24564548898266</v>
      </c>
      <c r="C229" s="385"/>
      <c r="D229" s="388">
        <f t="shared" si="78"/>
        <v>212.31940805603796</v>
      </c>
      <c r="E229" s="380">
        <f t="shared" si="76"/>
        <v>221.24784850829786</v>
      </c>
      <c r="F229" s="380">
        <f t="shared" si="79"/>
        <v>221.26909808565918</v>
      </c>
      <c r="G229" s="110">
        <f t="shared" si="77"/>
        <v>0.93804735199648503</v>
      </c>
      <c r="H229" s="409" t="b">
        <f>Wh_hp&gt;='2022'!Maxi_hp</f>
        <v>0</v>
      </c>
      <c r="I229" s="385">
        <f>IF(H229,Wh_hp,'2022'!Maxi_hp)</f>
        <v>221.2701847087576</v>
      </c>
      <c r="J229" s="85">
        <f>IF(H229,An,'2022'!An_max)</f>
        <v>2022</v>
      </c>
      <c r="K229" s="193">
        <f t="shared" si="80"/>
        <v>45141</v>
      </c>
      <c r="L229" s="143">
        <f>IF(t&lt;Tvie,1-EXP((T0-t)*PertePVj)+'2022'!Pspv,1-EXP((T0-t)*PertePVj)+Pspv)</f>
        <v>9.7671832549004467E-3</v>
      </c>
      <c r="M229" s="835"/>
      <c r="N229" s="835"/>
      <c r="O229" s="48">
        <f>IF(t&lt;Tnet,'2022'!Resal+('2022'!Salim-'2022'!Resal)*(1-EXP(('2022'!Tnet-t)/('2022'!Tau_j))),Resal+(Salim-Resal)*(1-EXP((Tnet-t)/(Tau_j))))*Salcycl</f>
        <v>4.0354925539197097E-2</v>
      </c>
      <c r="P229" s="165">
        <f>(INDEX(Models!$BJ229:$BT229,,T229)*(1-R229)+INDEX(Models!$BJ229:$BT229,,T229+1)*R229-ERP_i)*Q229*Ramure*Pc/MaxiM</f>
        <v>1.0535828847871419E-4</v>
      </c>
      <c r="Q229" s="301">
        <f t="shared" si="81"/>
        <v>0.5</v>
      </c>
      <c r="R229" s="173">
        <f t="shared" si="82"/>
        <v>0.9405895275142081</v>
      </c>
      <c r="S229" s="801">
        <f t="shared" si="83"/>
        <v>0</v>
      </c>
      <c r="T229" s="172">
        <f t="shared" si="84"/>
        <v>6</v>
      </c>
      <c r="U229" s="247">
        <f t="shared" si="85"/>
        <v>0.9405895275142081</v>
      </c>
      <c r="V229" s="378">
        <f t="shared" si="86"/>
        <v>224.12907479776385</v>
      </c>
      <c r="W229" s="397">
        <f t="shared" si="87"/>
        <v>210.24564548898266</v>
      </c>
      <c r="X229" s="153">
        <f t="shared" si="88"/>
        <v>45141</v>
      </c>
      <c r="Y229" s="380">
        <f t="shared" si="89"/>
        <v>210.24564548898266</v>
      </c>
      <c r="Z229" s="380">
        <f t="shared" si="90"/>
        <v>212.31940805603796</v>
      </c>
      <c r="AA229" s="381">
        <f t="shared" si="91"/>
        <v>221.24784850829786</v>
      </c>
      <c r="AB229" s="193">
        <f t="shared" si="92"/>
        <v>45141</v>
      </c>
      <c r="AC229" s="420">
        <f>IF(OR(t&lt;Tnet,NoTnet),'2022'!Resal_s+('2022'!Salim-'2022'!Resal_s)*(1-EXP(('2022'!Tnet_s-t)/'2022'!Tau_j)),Resal_s+(Salim-Resal_s)*(1-EXP((Tnet_s-t)/Tau_j)))*Salcycl</f>
        <v>4.0354925539197097E-2</v>
      </c>
      <c r="AD229" s="227">
        <f>(INDEX(Models!$BJ229:$BT229,,AH229)*(1-AF229)+INDEX(Models!$BJ229:$BT229,,AH229+1)*AF229-ERP_i)*AE229*Ramure*Pc/MaxiM</f>
        <v>1.0535828847871419E-4</v>
      </c>
      <c r="AE229" s="301">
        <f t="shared" si="93"/>
        <v>0.5</v>
      </c>
      <c r="AF229" s="173">
        <f t="shared" si="94"/>
        <v>0.9405895275142081</v>
      </c>
      <c r="AG229" s="172">
        <f t="shared" si="95"/>
        <v>0</v>
      </c>
      <c r="AH229" s="172">
        <f t="shared" si="96"/>
        <v>6</v>
      </c>
      <c r="AI229" s="221">
        <f t="shared" si="97"/>
        <v>0.9405895275142081</v>
      </c>
      <c r="AJ229" s="261" t="b">
        <f t="shared" si="98"/>
        <v>0</v>
      </c>
      <c r="AK229" s="261" t="b">
        <f t="shared" si="99"/>
        <v>0</v>
      </c>
      <c r="AL229" s="261"/>
      <c r="AM229" s="261"/>
      <c r="AN229" s="75"/>
    </row>
    <row r="230" spans="1:40" s="6" customFormat="1" ht="11.25" customHeight="1" x14ac:dyDescent="0.2">
      <c r="A230" s="56">
        <f t="shared" si="100"/>
        <v>45142</v>
      </c>
      <c r="B230" s="406">
        <f>'2022'!Wh/'2022'!Env_an*'2023'!Env_an</f>
        <v>199.52782218332862</v>
      </c>
      <c r="C230" s="385"/>
      <c r="D230" s="388">
        <f t="shared" si="78"/>
        <v>201.49862761053214</v>
      </c>
      <c r="E230" s="380">
        <f t="shared" si="76"/>
        <v>209.98058017393905</v>
      </c>
      <c r="F230" s="380">
        <f t="shared" si="79"/>
        <v>209.99953531494282</v>
      </c>
      <c r="G230" s="110">
        <f t="shared" si="77"/>
        <v>0.89260732393423148</v>
      </c>
      <c r="H230" s="409" t="b">
        <f>Wh_hp&gt;='2022'!Maxi_hp</f>
        <v>0</v>
      </c>
      <c r="I230" s="385">
        <f>IF(H230,Wh_hp,'2022'!Maxi_hp)</f>
        <v>210.00134100981151</v>
      </c>
      <c r="J230" s="85">
        <f>IF(H230,An,'2022'!An_max)</f>
        <v>2022</v>
      </c>
      <c r="K230" s="193">
        <f t="shared" si="80"/>
        <v>45142</v>
      </c>
      <c r="L230" s="143">
        <f>IF(t&lt;Tvie,1-EXP((T0-t)*PertePVj)+'2022'!Pspv,1-EXP((T0-t)*PertePVj)+Pspv)</f>
        <v>9.7807387106020327E-3</v>
      </c>
      <c r="M230" s="835"/>
      <c r="N230" s="835"/>
      <c r="O230" s="48">
        <f>IF(t&lt;Tnet,'2022'!Resal+('2022'!Salim-'2022'!Resal)*(1-EXP(('2022'!Tnet-t)/('2022'!Tau_j))),Resal+(Salim-Resal)*(1-EXP((Tnet-t)/(Tau_j))))*Salcycl</f>
        <v>4.0393985750400409E-2</v>
      </c>
      <c r="P230" s="165">
        <f>(INDEX(Models!$BJ230:$BT230,,T230)*(1-R230)+INDEX(Models!$BJ230:$BT230,,T230+1)*R230-ERP_i)*Q230*Ramure*Pc/MaxiM</f>
        <v>1.0661762686271102E-4</v>
      </c>
      <c r="Q230" s="301">
        <f t="shared" si="81"/>
        <v>0.5</v>
      </c>
      <c r="R230" s="173">
        <f t="shared" si="82"/>
        <v>0.9423798740488849</v>
      </c>
      <c r="S230" s="801">
        <f t="shared" si="83"/>
        <v>0</v>
      </c>
      <c r="T230" s="172">
        <f t="shared" si="84"/>
        <v>6</v>
      </c>
      <c r="U230" s="247">
        <f t="shared" si="85"/>
        <v>0.9423798740488849</v>
      </c>
      <c r="V230" s="378">
        <f t="shared" si="86"/>
        <v>223.53004875822288</v>
      </c>
      <c r="W230" s="397">
        <f t="shared" si="87"/>
        <v>199.52782218332862</v>
      </c>
      <c r="X230" s="153">
        <f t="shared" si="88"/>
        <v>45142</v>
      </c>
      <c r="Y230" s="380">
        <f t="shared" si="89"/>
        <v>199.52782218332862</v>
      </c>
      <c r="Z230" s="380">
        <f t="shared" si="90"/>
        <v>201.49862761053214</v>
      </c>
      <c r="AA230" s="381">
        <f t="shared" si="91"/>
        <v>209.98058017393905</v>
      </c>
      <c r="AB230" s="193">
        <f t="shared" si="92"/>
        <v>45142</v>
      </c>
      <c r="AC230" s="420">
        <f>IF(OR(t&lt;Tnet,NoTnet),'2022'!Resal_s+('2022'!Salim-'2022'!Resal_s)*(1-EXP(('2022'!Tnet_s-t)/'2022'!Tau_j)),Resal_s+(Salim-Resal_s)*(1-EXP((Tnet_s-t)/Tau_j)))*Salcycl</f>
        <v>4.0393985750400409E-2</v>
      </c>
      <c r="AD230" s="227">
        <f>(INDEX(Models!$BJ230:$BT230,,AH230)*(1-AF230)+INDEX(Models!$BJ230:$BT230,,AH230+1)*AF230-ERP_i)*AE230*Ramure*Pc/MaxiM</f>
        <v>1.0661762686271102E-4</v>
      </c>
      <c r="AE230" s="301">
        <f t="shared" si="93"/>
        <v>0.5</v>
      </c>
      <c r="AF230" s="173">
        <f t="shared" si="94"/>
        <v>0.9423798740488849</v>
      </c>
      <c r="AG230" s="172">
        <f t="shared" si="95"/>
        <v>0</v>
      </c>
      <c r="AH230" s="172">
        <f t="shared" si="96"/>
        <v>6</v>
      </c>
      <c r="AI230" s="221">
        <f t="shared" si="97"/>
        <v>0.9423798740488849</v>
      </c>
      <c r="AJ230" s="261" t="b">
        <f t="shared" si="98"/>
        <v>0</v>
      </c>
      <c r="AK230" s="261" t="b">
        <f t="shared" si="99"/>
        <v>0</v>
      </c>
      <c r="AL230" s="261"/>
      <c r="AM230" s="261"/>
      <c r="AN230" s="75"/>
    </row>
    <row r="231" spans="1:40" s="6" customFormat="1" ht="11.25" customHeight="1" x14ac:dyDescent="0.2">
      <c r="A231" s="56">
        <f t="shared" si="100"/>
        <v>45143</v>
      </c>
      <c r="B231" s="406">
        <f>'2022'!Wh/'2022'!Env_an*'2023'!Env_an</f>
        <v>185.64972825323824</v>
      </c>
      <c r="C231" s="385"/>
      <c r="D231" s="388">
        <f t="shared" si="78"/>
        <v>187.48602146474343</v>
      </c>
      <c r="E231" s="380">
        <f t="shared" si="76"/>
        <v>195.38604777908847</v>
      </c>
      <c r="F231" s="380">
        <f t="shared" si="79"/>
        <v>195.40208142590095</v>
      </c>
      <c r="G231" s="110">
        <f t="shared" si="77"/>
        <v>0.83278192522675454</v>
      </c>
      <c r="H231" s="409" t="b">
        <f>Wh_hp&gt;='2022'!Maxi_hp</f>
        <v>0</v>
      </c>
      <c r="I231" s="385">
        <f>IF(H231,Wh_hp,'2022'!Maxi_hp)</f>
        <v>195.40472194340191</v>
      </c>
      <c r="J231" s="85">
        <f>IF(H231,An,'2022'!An_max)</f>
        <v>2022</v>
      </c>
      <c r="K231" s="193">
        <f t="shared" si="80"/>
        <v>45143</v>
      </c>
      <c r="L231" s="143">
        <f>IF(t&lt;Tvie,1-EXP((T0-t)*PertePVj)+'2022'!Pspv,1-EXP((T0-t)*PertePVj)+Pspv)</f>
        <v>9.7942939807408314E-3</v>
      </c>
      <c r="M231" s="835"/>
      <c r="N231" s="835"/>
      <c r="O231" s="48">
        <f>IF(t&lt;Tnet,'2022'!Resal+('2022'!Salim-'2022'!Resal)*(1-EXP(('2022'!Tnet-t)/('2022'!Tau_j))),Resal+(Salim-Resal)*(1-EXP((Tnet-t)/(Tau_j))))*Salcycl</f>
        <v>4.0432909126024964E-2</v>
      </c>
      <c r="P231" s="165">
        <f>(INDEX(Models!$BJ231:$BT231,,T231)*(1-R231)+INDEX(Models!$BJ231:$BT231,,T231+1)*R231-ERP_i)*Q231*Ramure*Pc/MaxiM</f>
        <v>1.0780383318495241E-4</v>
      </c>
      <c r="Q231" s="301">
        <f t="shared" si="81"/>
        <v>0.5</v>
      </c>
      <c r="R231" s="173">
        <f t="shared" si="82"/>
        <v>0.94411153202252729</v>
      </c>
      <c r="S231" s="801">
        <f t="shared" si="83"/>
        <v>0</v>
      </c>
      <c r="T231" s="172">
        <f t="shared" si="84"/>
        <v>6</v>
      </c>
      <c r="U231" s="247">
        <f t="shared" si="85"/>
        <v>0.94411153202252729</v>
      </c>
      <c r="V231" s="378">
        <f t="shared" si="86"/>
        <v>222.92144186377388</v>
      </c>
      <c r="W231" s="397">
        <f t="shared" si="87"/>
        <v>185.64972825323824</v>
      </c>
      <c r="X231" s="153">
        <f t="shared" si="88"/>
        <v>45143</v>
      </c>
      <c r="Y231" s="380">
        <f t="shared" si="89"/>
        <v>185.64972825323824</v>
      </c>
      <c r="Z231" s="380">
        <f t="shared" si="90"/>
        <v>187.48602146474343</v>
      </c>
      <c r="AA231" s="381">
        <f t="shared" si="91"/>
        <v>195.38604777908847</v>
      </c>
      <c r="AB231" s="193">
        <f t="shared" si="92"/>
        <v>45143</v>
      </c>
      <c r="AC231" s="420">
        <f>IF(OR(t&lt;Tnet,NoTnet),'2022'!Resal_s+('2022'!Salim-'2022'!Resal_s)*(1-EXP(('2022'!Tnet_s-t)/'2022'!Tau_j)),Resal_s+(Salim-Resal_s)*(1-EXP((Tnet_s-t)/Tau_j)))*Salcycl</f>
        <v>4.0432909126024964E-2</v>
      </c>
      <c r="AD231" s="227">
        <f>(INDEX(Models!$BJ231:$BT231,,AH231)*(1-AF231)+INDEX(Models!$BJ231:$BT231,,AH231+1)*AF231-ERP_i)*AE231*Ramure*Pc/MaxiM</f>
        <v>1.0780383318495241E-4</v>
      </c>
      <c r="AE231" s="301">
        <f t="shared" si="93"/>
        <v>0.5</v>
      </c>
      <c r="AF231" s="173">
        <f t="shared" si="94"/>
        <v>0.94411153202252729</v>
      </c>
      <c r="AG231" s="172">
        <f t="shared" si="95"/>
        <v>0</v>
      </c>
      <c r="AH231" s="172">
        <f t="shared" si="96"/>
        <v>6</v>
      </c>
      <c r="AI231" s="221">
        <f t="shared" si="97"/>
        <v>0.94411153202252729</v>
      </c>
      <c r="AJ231" s="261" t="b">
        <f t="shared" si="98"/>
        <v>0</v>
      </c>
      <c r="AK231" s="261" t="b">
        <f t="shared" si="99"/>
        <v>0</v>
      </c>
      <c r="AL231" s="261"/>
      <c r="AM231" s="261"/>
      <c r="AN231" s="75"/>
    </row>
    <row r="232" spans="1:40" s="6" customFormat="1" ht="11.25" customHeight="1" x14ac:dyDescent="0.2">
      <c r="A232" s="56">
        <f t="shared" si="100"/>
        <v>45144</v>
      </c>
      <c r="B232" s="406">
        <f>'2022'!Wh/'2022'!Env_an*'2023'!Env_an</f>
        <v>199.1322054921101</v>
      </c>
      <c r="C232" s="385"/>
      <c r="D232" s="388">
        <f t="shared" si="78"/>
        <v>201.10460914494377</v>
      </c>
      <c r="E232" s="380">
        <f t="shared" si="76"/>
        <v>209.58694895541106</v>
      </c>
      <c r="F232" s="380">
        <f t="shared" si="79"/>
        <v>209.60637910269244</v>
      </c>
      <c r="G232" s="110">
        <f t="shared" si="77"/>
        <v>0.89575375683770464</v>
      </c>
      <c r="H232" s="409" t="b">
        <f>Wh_hp&gt;='2022'!Maxi_hp</f>
        <v>0</v>
      </c>
      <c r="I232" s="385">
        <f>IF(H232,Wh_hp,'2022'!Maxi_hp)</f>
        <v>209.60816001041005</v>
      </c>
      <c r="J232" s="85">
        <f>IF(H232,An,'2022'!An_max)</f>
        <v>2022</v>
      </c>
      <c r="K232" s="193">
        <f t="shared" si="80"/>
        <v>45144</v>
      </c>
      <c r="L232" s="143">
        <f>IF(t&lt;Tvie,1-EXP((T0-t)*PertePVj)+'2022'!Pspv,1-EXP((T0-t)*PertePVj)+Pspv)</f>
        <v>9.8078490653193962E-3</v>
      </c>
      <c r="M232" s="835"/>
      <c r="N232" s="835"/>
      <c r="O232" s="48">
        <f>IF(t&lt;Tnet,'2022'!Resal+('2022'!Salim-'2022'!Resal)*(1-EXP(('2022'!Tnet-t)/('2022'!Tau_j))),Resal+(Salim-Resal)*(1-EXP((Tnet-t)/(Tau_j))))*Salcycl</f>
        <v>4.0471698513402543E-2</v>
      </c>
      <c r="P232" s="165">
        <f>(INDEX(Models!$BJ232:$BT232,,T232)*(1-R232)+INDEX(Models!$BJ232:$BT232,,T232+1)*R232-ERP_i)*Q232*Ramure*Pc/MaxiM</f>
        <v>1.089161436521604E-4</v>
      </c>
      <c r="Q232" s="301">
        <f t="shared" si="81"/>
        <v>0.5</v>
      </c>
      <c r="R232" s="173">
        <f t="shared" si="82"/>
        <v>0.94578594933205884</v>
      </c>
      <c r="S232" s="801">
        <f t="shared" si="83"/>
        <v>0</v>
      </c>
      <c r="T232" s="172">
        <f t="shared" si="84"/>
        <v>6</v>
      </c>
      <c r="U232" s="247">
        <f t="shared" si="85"/>
        <v>0.94578594933205884</v>
      </c>
      <c r="V232" s="378">
        <f t="shared" si="86"/>
        <v>222.3032548514031</v>
      </c>
      <c r="W232" s="397">
        <f t="shared" si="87"/>
        <v>199.1322054921101</v>
      </c>
      <c r="X232" s="153">
        <f t="shared" si="88"/>
        <v>45144</v>
      </c>
      <c r="Y232" s="380">
        <f t="shared" si="89"/>
        <v>199.1322054921101</v>
      </c>
      <c r="Z232" s="380">
        <f t="shared" si="90"/>
        <v>201.10460914494377</v>
      </c>
      <c r="AA232" s="381">
        <f t="shared" si="91"/>
        <v>209.58694895541106</v>
      </c>
      <c r="AB232" s="193">
        <f t="shared" si="92"/>
        <v>45144</v>
      </c>
      <c r="AC232" s="420">
        <f>IF(OR(t&lt;Tnet,NoTnet),'2022'!Resal_s+('2022'!Salim-'2022'!Resal_s)*(1-EXP(('2022'!Tnet_s-t)/'2022'!Tau_j)),Resal_s+(Salim-Resal_s)*(1-EXP((Tnet_s-t)/Tau_j)))*Salcycl</f>
        <v>4.0471698513402543E-2</v>
      </c>
      <c r="AD232" s="227">
        <f>(INDEX(Models!$BJ232:$BT232,,AH232)*(1-AF232)+INDEX(Models!$BJ232:$BT232,,AH232+1)*AF232-ERP_i)*AE232*Ramure*Pc/MaxiM</f>
        <v>1.089161436521604E-4</v>
      </c>
      <c r="AE232" s="301">
        <f t="shared" si="93"/>
        <v>0.5</v>
      </c>
      <c r="AF232" s="173">
        <f t="shared" si="94"/>
        <v>0.94578594933205884</v>
      </c>
      <c r="AG232" s="172">
        <f t="shared" si="95"/>
        <v>0</v>
      </c>
      <c r="AH232" s="172">
        <f t="shared" si="96"/>
        <v>6</v>
      </c>
      <c r="AI232" s="221">
        <f t="shared" si="97"/>
        <v>0.94578594933205884</v>
      </c>
      <c r="AJ232" s="261" t="b">
        <f t="shared" si="98"/>
        <v>0</v>
      </c>
      <c r="AK232" s="261" t="b">
        <f t="shared" si="99"/>
        <v>0</v>
      </c>
      <c r="AL232" s="261"/>
      <c r="AM232" s="261"/>
      <c r="AN232" s="75"/>
    </row>
    <row r="233" spans="1:40" s="6" customFormat="1" ht="11.25" customHeight="1" x14ac:dyDescent="0.2">
      <c r="A233" s="56">
        <f t="shared" si="100"/>
        <v>45145</v>
      </c>
      <c r="B233" s="406">
        <f>'2022'!Wh/'2022'!Env_an*'2023'!Env_an</f>
        <v>212.80962034870237</v>
      </c>
      <c r="C233" s="385"/>
      <c r="D233" s="388">
        <f t="shared" si="78"/>
        <v>214.9204408181717</v>
      </c>
      <c r="E233" s="380">
        <f t="shared" ref="E233:E296" si="101">Wh_pvt/(1-Psa)</f>
        <v>223.9945393366674</v>
      </c>
      <c r="F233" s="380">
        <f t="shared" si="79"/>
        <v>224.01776331165502</v>
      </c>
      <c r="G233" s="110">
        <f t="shared" ref="G233:G296" si="102">+Wh_hp/MaxiM</f>
        <v>0.95999428806385112</v>
      </c>
      <c r="H233" s="409" t="b">
        <f>Wh_hp&gt;='2022'!Maxi_hp</f>
        <v>0</v>
      </c>
      <c r="I233" s="385">
        <f>IF(H233,Wh_hp,'2022'!Maxi_hp)</f>
        <v>224.01849945723848</v>
      </c>
      <c r="J233" s="85">
        <f>IF(H233,An,'2022'!An_max)</f>
        <v>2022</v>
      </c>
      <c r="K233" s="193">
        <f t="shared" si="80"/>
        <v>45145</v>
      </c>
      <c r="L233" s="143">
        <f>IF(t&lt;Tvie,1-EXP((T0-t)*PertePVj)+'2022'!Pspv,1-EXP((T0-t)*PertePVj)+Pspv)</f>
        <v>9.8214039643401696E-3</v>
      </c>
      <c r="M233" s="835"/>
      <c r="N233" s="835"/>
      <c r="O233" s="48">
        <f>IF(t&lt;Tnet,'2022'!Resal+('2022'!Salim-'2022'!Resal)*(1-EXP(('2022'!Tnet-t)/('2022'!Tau_j))),Resal+(Salim-Resal)*(1-EXP((Tnet-t)/(Tau_j))))*Salcycl</f>
        <v>4.0510355946031258E-2</v>
      </c>
      <c r="P233" s="165">
        <f>(INDEX(Models!$BJ233:$BT233,,T233)*(1-R233)+INDEX(Models!$BJ233:$BT233,,T233+1)*R233-ERP_i)*Q233*Ramure*Pc/MaxiM</f>
        <v>1.0995323006094083E-4</v>
      </c>
      <c r="Q233" s="301">
        <f t="shared" si="81"/>
        <v>0.5</v>
      </c>
      <c r="R233" s="173">
        <f t="shared" si="82"/>
        <v>0.9474045732116223</v>
      </c>
      <c r="S233" s="801">
        <f t="shared" si="83"/>
        <v>0</v>
      </c>
      <c r="T233" s="172">
        <f t="shared" si="84"/>
        <v>6</v>
      </c>
      <c r="U233" s="247">
        <f t="shared" si="85"/>
        <v>0.9474045732116223</v>
      </c>
      <c r="V233" s="378">
        <f t="shared" si="86"/>
        <v>221.67661388721146</v>
      </c>
      <c r="W233" s="397">
        <f t="shared" si="87"/>
        <v>212.80962034870237</v>
      </c>
      <c r="X233" s="153">
        <f t="shared" si="88"/>
        <v>45145</v>
      </c>
      <c r="Y233" s="380">
        <f t="shared" si="89"/>
        <v>212.80962034870237</v>
      </c>
      <c r="Z233" s="380">
        <f t="shared" si="90"/>
        <v>214.9204408181717</v>
      </c>
      <c r="AA233" s="381">
        <f t="shared" si="91"/>
        <v>223.9945393366674</v>
      </c>
      <c r="AB233" s="193">
        <f t="shared" si="92"/>
        <v>45145</v>
      </c>
      <c r="AC233" s="420">
        <f>IF(OR(t&lt;Tnet,NoTnet),'2022'!Resal_s+('2022'!Salim-'2022'!Resal_s)*(1-EXP(('2022'!Tnet_s-t)/'2022'!Tau_j)),Resal_s+(Salim-Resal_s)*(1-EXP((Tnet_s-t)/Tau_j)))*Salcycl</f>
        <v>4.0510355946031258E-2</v>
      </c>
      <c r="AD233" s="227">
        <f>(INDEX(Models!$BJ233:$BT233,,AH233)*(1-AF233)+INDEX(Models!$BJ233:$BT233,,AH233+1)*AF233-ERP_i)*AE233*Ramure*Pc/MaxiM</f>
        <v>1.0995323006094083E-4</v>
      </c>
      <c r="AE233" s="301">
        <f t="shared" si="93"/>
        <v>0.5</v>
      </c>
      <c r="AF233" s="173">
        <f t="shared" si="94"/>
        <v>0.9474045732116223</v>
      </c>
      <c r="AG233" s="172">
        <f t="shared" si="95"/>
        <v>0</v>
      </c>
      <c r="AH233" s="172">
        <f t="shared" si="96"/>
        <v>6</v>
      </c>
      <c r="AI233" s="221">
        <f t="shared" si="97"/>
        <v>0.9474045732116223</v>
      </c>
      <c r="AJ233" s="261" t="b">
        <f t="shared" si="98"/>
        <v>0</v>
      </c>
      <c r="AK233" s="261" t="b">
        <f t="shared" si="99"/>
        <v>0</v>
      </c>
      <c r="AL233" s="261"/>
      <c r="AM233" s="261"/>
      <c r="AN233" s="75"/>
    </row>
    <row r="234" spans="1:40" s="6" customFormat="1" ht="11.25" customHeight="1" x14ac:dyDescent="0.2">
      <c r="A234" s="56">
        <f t="shared" si="100"/>
        <v>45146</v>
      </c>
      <c r="B234" s="406">
        <f>'2022'!Wh/'2022'!Env_an*'2023'!Env_an</f>
        <v>216.54677762546453</v>
      </c>
      <c r="C234" s="385"/>
      <c r="D234" s="388">
        <f t="shared" si="78"/>
        <v>218.69766007523731</v>
      </c>
      <c r="E234" s="380">
        <f t="shared" si="101"/>
        <v>227.94038813214726</v>
      </c>
      <c r="F234" s="380">
        <f t="shared" si="79"/>
        <v>227.96494193849088</v>
      </c>
      <c r="G234" s="110">
        <f t="shared" si="102"/>
        <v>0.9796590271874388</v>
      </c>
      <c r="H234" s="409" t="b">
        <f>Wh_hp&gt;='2022'!Maxi_hp</f>
        <v>0</v>
      </c>
      <c r="I234" s="385">
        <f>IF(H234,Wh_hp,'2022'!Maxi_hp)</f>
        <v>227.96532559207185</v>
      </c>
      <c r="J234" s="85">
        <f>IF(H234,An,'2022'!An_max)</f>
        <v>2022</v>
      </c>
      <c r="K234" s="193">
        <f t="shared" si="80"/>
        <v>45146</v>
      </c>
      <c r="L234" s="143">
        <f>IF(t&lt;Tvie,1-EXP((T0-t)*PertePVj)+'2022'!Pspv,1-EXP((T0-t)*PertePVj)+Pspv)</f>
        <v>9.8349586778058162E-3</v>
      </c>
      <c r="M234" s="835"/>
      <c r="N234" s="835"/>
      <c r="O234" s="48">
        <f>IF(t&lt;Tnet,'2022'!Resal+('2022'!Salim-'2022'!Resal)*(1-EXP(('2022'!Tnet-t)/('2022'!Tau_j))),Resal+(Salim-Resal)*(1-EXP((Tnet-t)/(Tau_j))))*Salcycl</f>
        <v>4.0548882682219248E-2</v>
      </c>
      <c r="P234" s="165">
        <f>(INDEX(Models!$BJ234:$BT234,,T234)*(1-R234)+INDEX(Models!$BJ234:$BT234,,T234+1)*R234-ERP_i)*Q234*Ramure*Pc/MaxiM</f>
        <v>1.1093170693600589E-4</v>
      </c>
      <c r="Q234" s="301">
        <f t="shared" si="81"/>
        <v>0.5</v>
      </c>
      <c r="R234" s="173">
        <f t="shared" si="82"/>
        <v>0.94896884714454388</v>
      </c>
      <c r="S234" s="801">
        <f t="shared" si="83"/>
        <v>0</v>
      </c>
      <c r="T234" s="172">
        <f t="shared" si="84"/>
        <v>6</v>
      </c>
      <c r="U234" s="247">
        <f t="shared" si="85"/>
        <v>0.94896884714454388</v>
      </c>
      <c r="V234" s="378">
        <f t="shared" si="86"/>
        <v>221.04229492895459</v>
      </c>
      <c r="W234" s="397">
        <f t="shared" si="87"/>
        <v>216.54677762546453</v>
      </c>
      <c r="X234" s="153">
        <f t="shared" si="88"/>
        <v>45146</v>
      </c>
      <c r="Y234" s="380">
        <f t="shared" si="89"/>
        <v>216.54677762546453</v>
      </c>
      <c r="Z234" s="380">
        <f t="shared" si="90"/>
        <v>218.69766007523731</v>
      </c>
      <c r="AA234" s="381">
        <f t="shared" si="91"/>
        <v>227.94038813214726</v>
      </c>
      <c r="AB234" s="193">
        <f t="shared" si="92"/>
        <v>45146</v>
      </c>
      <c r="AC234" s="420">
        <f>IF(OR(t&lt;Tnet,NoTnet),'2022'!Resal_s+('2022'!Salim-'2022'!Resal_s)*(1-EXP(('2022'!Tnet_s-t)/'2022'!Tau_j)),Resal_s+(Salim-Resal_s)*(1-EXP((Tnet_s-t)/Tau_j)))*Salcycl</f>
        <v>4.0548882682219248E-2</v>
      </c>
      <c r="AD234" s="227">
        <f>(INDEX(Models!$BJ234:$BT234,,AH234)*(1-AF234)+INDEX(Models!$BJ234:$BT234,,AH234+1)*AF234-ERP_i)*AE234*Ramure*Pc/MaxiM</f>
        <v>1.1093170693600589E-4</v>
      </c>
      <c r="AE234" s="301">
        <f t="shared" si="93"/>
        <v>0.5</v>
      </c>
      <c r="AF234" s="173">
        <f t="shared" si="94"/>
        <v>0.94896884714454388</v>
      </c>
      <c r="AG234" s="172">
        <f t="shared" si="95"/>
        <v>0</v>
      </c>
      <c r="AH234" s="172">
        <f t="shared" si="96"/>
        <v>6</v>
      </c>
      <c r="AI234" s="221">
        <f t="shared" si="97"/>
        <v>0.94896884714454388</v>
      </c>
      <c r="AJ234" s="261" t="b">
        <f t="shared" si="98"/>
        <v>0</v>
      </c>
      <c r="AK234" s="261" t="b">
        <f t="shared" si="99"/>
        <v>0</v>
      </c>
      <c r="AL234" s="261"/>
      <c r="AM234" s="261"/>
      <c r="AN234" s="75"/>
    </row>
    <row r="235" spans="1:40" s="6" customFormat="1" ht="11.25" customHeight="1" x14ac:dyDescent="0.2">
      <c r="A235" s="56">
        <f t="shared" si="100"/>
        <v>45147</v>
      </c>
      <c r="B235" s="406">
        <f>'2022'!Wh/'2022'!Env_an*'2023'!Env_an</f>
        <v>206.38251081492308</v>
      </c>
      <c r="C235" s="385"/>
      <c r="D235" s="388">
        <f t="shared" si="78"/>
        <v>208.43528850631532</v>
      </c>
      <c r="E235" s="380">
        <f t="shared" si="101"/>
        <v>217.25299654413203</v>
      </c>
      <c r="F235" s="380">
        <f t="shared" si="79"/>
        <v>217.27510440663454</v>
      </c>
      <c r="G235" s="110">
        <f t="shared" si="102"/>
        <v>0.93639125398280243</v>
      </c>
      <c r="H235" s="409" t="b">
        <f>Wh_hp&gt;='2022'!Maxi_hp</f>
        <v>0</v>
      </c>
      <c r="I235" s="385">
        <f>IF(H235,Wh_hp,'2022'!Maxi_hp)</f>
        <v>217.27625624973561</v>
      </c>
      <c r="J235" s="85">
        <f>IF(H235,An,'2022'!An_max)</f>
        <v>2022</v>
      </c>
      <c r="K235" s="193">
        <f t="shared" si="80"/>
        <v>45147</v>
      </c>
      <c r="L235" s="143">
        <f>IF(t&lt;Tvie,1-EXP((T0-t)*PertePVj)+'2022'!Pspv,1-EXP((T0-t)*PertePVj)+Pspv)</f>
        <v>9.8485132057187785E-3</v>
      </c>
      <c r="M235" s="835"/>
      <c r="N235" s="835"/>
      <c r="O235" s="48">
        <f>IF(t&lt;Tnet,'2022'!Resal+('2022'!Salim-'2022'!Resal)*(1-EXP(('2022'!Tnet-t)/('2022'!Tau_j))),Resal+(Salim-Resal)*(1-EXP((Tnet-t)/(Tau_j))))*Salcycl</f>
        <v>4.058727924622911E-2</v>
      </c>
      <c r="P235" s="165">
        <f>(INDEX(Models!$BJ235:$BT235,,T235)*(1-R235)+INDEX(Models!$BJ235:$BT235,,T235+1)*R235-ERP_i)*Q235*Ramure*Pc/MaxiM</f>
        <v>1.1191907872207322E-4</v>
      </c>
      <c r="Q235" s="301">
        <f t="shared" si="81"/>
        <v>0.5</v>
      </c>
      <c r="R235" s="173">
        <f t="shared" si="82"/>
        <v>0.95048020801317223</v>
      </c>
      <c r="S235" s="801">
        <f t="shared" si="83"/>
        <v>0</v>
      </c>
      <c r="T235" s="172">
        <f t="shared" si="84"/>
        <v>6</v>
      </c>
      <c r="U235" s="247">
        <f t="shared" si="85"/>
        <v>0.95048020801317223</v>
      </c>
      <c r="V235" s="378">
        <f t="shared" si="86"/>
        <v>220.39976464767335</v>
      </c>
      <c r="W235" s="397">
        <f t="shared" si="87"/>
        <v>206.38251081492308</v>
      </c>
      <c r="X235" s="153">
        <f t="shared" si="88"/>
        <v>45147</v>
      </c>
      <c r="Y235" s="380">
        <f t="shared" si="89"/>
        <v>206.38251081492308</v>
      </c>
      <c r="Z235" s="380">
        <f t="shared" si="90"/>
        <v>208.43528850631532</v>
      </c>
      <c r="AA235" s="381">
        <f t="shared" si="91"/>
        <v>217.25299654413203</v>
      </c>
      <c r="AB235" s="193">
        <f t="shared" si="92"/>
        <v>45147</v>
      </c>
      <c r="AC235" s="420">
        <f>IF(OR(t&lt;Tnet,NoTnet),'2022'!Resal_s+('2022'!Salim-'2022'!Resal_s)*(1-EXP(('2022'!Tnet_s-t)/'2022'!Tau_j)),Resal_s+(Salim-Resal_s)*(1-EXP((Tnet_s-t)/Tau_j)))*Salcycl</f>
        <v>4.058727924622911E-2</v>
      </c>
      <c r="AD235" s="227">
        <f>(INDEX(Models!$BJ235:$BT235,,AH235)*(1-AF235)+INDEX(Models!$BJ235:$BT235,,AH235+1)*AF235-ERP_i)*AE235*Ramure*Pc/MaxiM</f>
        <v>1.1191907872207322E-4</v>
      </c>
      <c r="AE235" s="301">
        <f t="shared" si="93"/>
        <v>0.5</v>
      </c>
      <c r="AF235" s="173">
        <f t="shared" si="94"/>
        <v>0.95048020801317223</v>
      </c>
      <c r="AG235" s="172">
        <f t="shared" si="95"/>
        <v>0</v>
      </c>
      <c r="AH235" s="172">
        <f t="shared" si="96"/>
        <v>6</v>
      </c>
      <c r="AI235" s="221">
        <f t="shared" si="97"/>
        <v>0.95048020801317223</v>
      </c>
      <c r="AJ235" s="261" t="b">
        <f t="shared" si="98"/>
        <v>0</v>
      </c>
      <c r="AK235" s="261" t="b">
        <f t="shared" si="99"/>
        <v>0</v>
      </c>
      <c r="AL235" s="261"/>
      <c r="AM235" s="261"/>
      <c r="AN235" s="75"/>
    </row>
    <row r="236" spans="1:40" s="6" customFormat="1" ht="11.25" customHeight="1" x14ac:dyDescent="0.2">
      <c r="A236" s="56">
        <f t="shared" si="100"/>
        <v>45148</v>
      </c>
      <c r="B236" s="406">
        <f>'2022'!Wh/'2022'!Env_an*'2023'!Env_an</f>
        <v>200.62931322112431</v>
      </c>
      <c r="C236" s="385"/>
      <c r="D236" s="388">
        <f t="shared" si="78"/>
        <v>202.62764070082426</v>
      </c>
      <c r="E236" s="380">
        <f t="shared" si="101"/>
        <v>211.20808433486542</v>
      </c>
      <c r="F236" s="380">
        <f t="shared" si="79"/>
        <v>211.22897091703285</v>
      </c>
      <c r="G236" s="110">
        <f t="shared" si="102"/>
        <v>0.91298230810466652</v>
      </c>
      <c r="H236" s="409" t="b">
        <f>Wh_hp&gt;='2022'!Maxi_hp</f>
        <v>0</v>
      </c>
      <c r="I236" s="385">
        <f>IF(H236,Wh_hp,'2022'!Maxi_hp)</f>
        <v>211.23051410692491</v>
      </c>
      <c r="J236" s="85">
        <f>IF(H236,An,'2022'!An_max)</f>
        <v>2022</v>
      </c>
      <c r="K236" s="193">
        <f t="shared" si="80"/>
        <v>45148</v>
      </c>
      <c r="L236" s="143">
        <f>IF(t&lt;Tvie,1-EXP((T0-t)*PertePVj)+'2022'!Pspv,1-EXP((T0-t)*PertePVj)+Pspv)</f>
        <v>9.862067548081721E-3</v>
      </c>
      <c r="M236" s="835"/>
      <c r="N236" s="835"/>
      <c r="O236" s="48">
        <f>IF(t&lt;Tnet,'2022'!Resal+('2022'!Salim-'2022'!Resal)*(1-EXP(('2022'!Tnet-t)/('2022'!Tau_j))),Resal+(Salim-Resal)*(1-EXP((Tnet-t)/(Tau_j))))*Salcycl</f>
        <v>4.0625545471247561E-2</v>
      </c>
      <c r="P236" s="165">
        <f>(INDEX(Models!$BJ236:$BT236,,T236)*(1-R236)+INDEX(Models!$BJ236:$BT236,,T236+1)*R236-ERP_i)*Q236*Ramure*Pc/MaxiM</f>
        <v>1.1291585215841202E-4</v>
      </c>
      <c r="Q236" s="301">
        <f t="shared" si="81"/>
        <v>0.5</v>
      </c>
      <c r="R236" s="173">
        <f t="shared" si="82"/>
        <v>0.95194008347906933</v>
      </c>
      <c r="S236" s="801">
        <f t="shared" si="83"/>
        <v>0</v>
      </c>
      <c r="T236" s="172">
        <f t="shared" si="84"/>
        <v>6</v>
      </c>
      <c r="U236" s="247">
        <f t="shared" si="85"/>
        <v>0.95194008347906933</v>
      </c>
      <c r="V236" s="378">
        <f t="shared" si="86"/>
        <v>219.74850487978111</v>
      </c>
      <c r="W236" s="397">
        <f t="shared" si="87"/>
        <v>200.62931322112431</v>
      </c>
      <c r="X236" s="153">
        <f t="shared" si="88"/>
        <v>45148</v>
      </c>
      <c r="Y236" s="380">
        <f t="shared" si="89"/>
        <v>200.62931322112431</v>
      </c>
      <c r="Z236" s="380">
        <f t="shared" si="90"/>
        <v>202.62764070082426</v>
      </c>
      <c r="AA236" s="381">
        <f t="shared" si="91"/>
        <v>211.20808433486542</v>
      </c>
      <c r="AB236" s="193">
        <f t="shared" si="92"/>
        <v>45148</v>
      </c>
      <c r="AC236" s="420">
        <f>IF(OR(t&lt;Tnet,NoTnet),'2022'!Resal_s+('2022'!Salim-'2022'!Resal_s)*(1-EXP(('2022'!Tnet_s-t)/'2022'!Tau_j)),Resal_s+(Salim-Resal_s)*(1-EXP((Tnet_s-t)/Tau_j)))*Salcycl</f>
        <v>4.0625545471247561E-2</v>
      </c>
      <c r="AD236" s="227">
        <f>(INDEX(Models!$BJ236:$BT236,,AH236)*(1-AF236)+INDEX(Models!$BJ236:$BT236,,AH236+1)*AF236-ERP_i)*AE236*Ramure*Pc/MaxiM</f>
        <v>1.1291585215841202E-4</v>
      </c>
      <c r="AE236" s="301">
        <f t="shared" si="93"/>
        <v>0.5</v>
      </c>
      <c r="AF236" s="173">
        <f t="shared" si="94"/>
        <v>0.95194008347906933</v>
      </c>
      <c r="AG236" s="172">
        <f t="shared" si="95"/>
        <v>0</v>
      </c>
      <c r="AH236" s="172">
        <f t="shared" si="96"/>
        <v>6</v>
      </c>
      <c r="AI236" s="221">
        <f t="shared" si="97"/>
        <v>0.95194008347906933</v>
      </c>
      <c r="AJ236" s="261" t="b">
        <f t="shared" si="98"/>
        <v>0</v>
      </c>
      <c r="AK236" s="261" t="b">
        <f t="shared" si="99"/>
        <v>0</v>
      </c>
      <c r="AL236" s="261"/>
      <c r="AM236" s="261"/>
      <c r="AN236" s="75"/>
    </row>
    <row r="237" spans="1:40" s="6" customFormat="1" ht="11.25" customHeight="1" x14ac:dyDescent="0.2">
      <c r="A237" s="56">
        <f t="shared" si="100"/>
        <v>45149</v>
      </c>
      <c r="B237" s="406">
        <f>'2022'!Wh/'2022'!Env_an*'2023'!Env_an</f>
        <v>186.20357981956877</v>
      </c>
      <c r="C237" s="385"/>
      <c r="D237" s="388">
        <f t="shared" si="78"/>
        <v>188.06079710934202</v>
      </c>
      <c r="E237" s="380">
        <f t="shared" si="101"/>
        <v>196.03218735207108</v>
      </c>
      <c r="F237" s="380">
        <f t="shared" si="79"/>
        <v>196.04973278407513</v>
      </c>
      <c r="G237" s="110">
        <f t="shared" si="102"/>
        <v>0.84988238889732459</v>
      </c>
      <c r="H237" s="409" t="b">
        <f>Wh_hp&gt;='2022'!Maxi_hp</f>
        <v>0</v>
      </c>
      <c r="I237" s="385">
        <f>IF(H237,Wh_hp,'2022'!Maxi_hp)</f>
        <v>196.05222207585885</v>
      </c>
      <c r="J237" s="85">
        <f>IF(H237,An,'2022'!An_max)</f>
        <v>2022</v>
      </c>
      <c r="K237" s="193">
        <f t="shared" si="80"/>
        <v>45149</v>
      </c>
      <c r="L237" s="143">
        <f>IF(t&lt;Tvie,1-EXP((T0-t)*PertePVj)+'2022'!Pspv,1-EXP((T0-t)*PertePVj)+Pspv)</f>
        <v>9.8756217048969752E-3</v>
      </c>
      <c r="M237" s="835"/>
      <c r="N237" s="835"/>
      <c r="O237" s="48">
        <f>IF(t&lt;Tnet,'2022'!Resal+('2022'!Salim-'2022'!Resal)*(1-EXP(('2022'!Tnet-t)/('2022'!Tau_j))),Resal+(Salim-Resal)*(1-EXP((Tnet-t)/(Tau_j))))*Salcycl</f>
        <v>4.0663680543504582E-2</v>
      </c>
      <c r="P237" s="165">
        <f>(INDEX(Models!$BJ237:$BT237,,T237)*(1-R237)+INDEX(Models!$BJ237:$BT237,,T237+1)*R237-ERP_i)*Q237*Ramure*Pc/MaxiM</f>
        <v>1.1392253550060809E-4</v>
      </c>
      <c r="Q237" s="301">
        <f t="shared" si="81"/>
        <v>0.5</v>
      </c>
      <c r="R237" s="173">
        <f t="shared" si="82"/>
        <v>0.95334988958541178</v>
      </c>
      <c r="S237" s="801">
        <f t="shared" si="83"/>
        <v>0</v>
      </c>
      <c r="T237" s="172">
        <f t="shared" si="84"/>
        <v>6</v>
      </c>
      <c r="U237" s="247">
        <f t="shared" si="85"/>
        <v>0.95334988958541178</v>
      </c>
      <c r="V237" s="378">
        <f t="shared" si="86"/>
        <v>219.08799772002308</v>
      </c>
      <c r="W237" s="397">
        <f t="shared" si="87"/>
        <v>186.20357981956877</v>
      </c>
      <c r="X237" s="153">
        <f t="shared" si="88"/>
        <v>45149</v>
      </c>
      <c r="Y237" s="380">
        <f t="shared" si="89"/>
        <v>186.20357981956877</v>
      </c>
      <c r="Z237" s="380">
        <f t="shared" si="90"/>
        <v>188.06079710934202</v>
      </c>
      <c r="AA237" s="381">
        <f t="shared" si="91"/>
        <v>196.03218735207108</v>
      </c>
      <c r="AB237" s="193">
        <f t="shared" si="92"/>
        <v>45149</v>
      </c>
      <c r="AC237" s="420">
        <f>IF(OR(t&lt;Tnet,NoTnet),'2022'!Resal_s+('2022'!Salim-'2022'!Resal_s)*(1-EXP(('2022'!Tnet_s-t)/'2022'!Tau_j)),Resal_s+(Salim-Resal_s)*(1-EXP((Tnet_s-t)/Tau_j)))*Salcycl</f>
        <v>4.0663680543504582E-2</v>
      </c>
      <c r="AD237" s="227">
        <f>(INDEX(Models!$BJ237:$BT237,,AH237)*(1-AF237)+INDEX(Models!$BJ237:$BT237,,AH237+1)*AF237-ERP_i)*AE237*Ramure*Pc/MaxiM</f>
        <v>1.1392253550060809E-4</v>
      </c>
      <c r="AE237" s="301">
        <f t="shared" si="93"/>
        <v>0.5</v>
      </c>
      <c r="AF237" s="173">
        <f t="shared" si="94"/>
        <v>0.95334988958541178</v>
      </c>
      <c r="AG237" s="172">
        <f t="shared" si="95"/>
        <v>0</v>
      </c>
      <c r="AH237" s="172">
        <f t="shared" si="96"/>
        <v>6</v>
      </c>
      <c r="AI237" s="221">
        <f t="shared" si="97"/>
        <v>0.95334988958541178</v>
      </c>
      <c r="AJ237" s="261" t="b">
        <f t="shared" si="98"/>
        <v>0</v>
      </c>
      <c r="AK237" s="261" t="b">
        <f t="shared" si="99"/>
        <v>0</v>
      </c>
      <c r="AL237" s="261"/>
      <c r="AM237" s="261"/>
      <c r="AN237" s="75"/>
    </row>
    <row r="238" spans="1:40" s="6" customFormat="1" ht="11.25" customHeight="1" x14ac:dyDescent="0.2">
      <c r="A238" s="56">
        <f t="shared" si="100"/>
        <v>45150</v>
      </c>
      <c r="B238" s="406">
        <f>'2022'!Wh/'2022'!Env_an*'2023'!Env_an</f>
        <v>195.08229253180204</v>
      </c>
      <c r="C238" s="385"/>
      <c r="D238" s="388">
        <f t="shared" si="78"/>
        <v>197.03076437430909</v>
      </c>
      <c r="E238" s="380">
        <f t="shared" si="101"/>
        <v>205.39050355066655</v>
      </c>
      <c r="F238" s="380">
        <f t="shared" si="79"/>
        <v>205.41050987796496</v>
      </c>
      <c r="G238" s="110">
        <f t="shared" si="102"/>
        <v>0.89314578040586723</v>
      </c>
      <c r="H238" s="409" t="b">
        <f>Wh_hp&gt;='2022'!Maxi_hp</f>
        <v>0</v>
      </c>
      <c r="I238" s="385">
        <f>IF(H238,Wh_hp,'2022'!Maxi_hp)</f>
        <v>205.41238028032569</v>
      </c>
      <c r="J238" s="85">
        <f>IF(H238,An,'2022'!An_max)</f>
        <v>2022</v>
      </c>
      <c r="K238" s="193">
        <f t="shared" si="80"/>
        <v>45150</v>
      </c>
      <c r="L238" s="143">
        <f>IF(t&lt;Tvie,1-EXP((T0-t)*PertePVj)+'2022'!Pspv,1-EXP((T0-t)*PertePVj)+Pspv)</f>
        <v>9.8891756761672056E-3</v>
      </c>
      <c r="M238" s="835"/>
      <c r="N238" s="835"/>
      <c r="O238" s="48">
        <f>IF(t&lt;Tnet,'2022'!Resal+('2022'!Salim-'2022'!Resal)*(1-EXP(('2022'!Tnet-t)/('2022'!Tau_j))),Resal+(Salim-Resal)*(1-EXP((Tnet-t)/(Tau_j))))*Salcycl</f>
        <v>4.0701683046875818E-2</v>
      </c>
      <c r="P238" s="165">
        <f>(INDEX(Models!$BJ238:$BT238,,T238)*(1-R238)+INDEX(Models!$BJ238:$BT238,,T238+1)*R238-ERP_i)*Q238*Ramure*Pc/MaxiM</f>
        <v>1.149396394149559E-4</v>
      </c>
      <c r="Q238" s="301">
        <f t="shared" si="81"/>
        <v>0.5</v>
      </c>
      <c r="R238" s="173">
        <f t="shared" si="82"/>
        <v>0.95471102857297785</v>
      </c>
      <c r="S238" s="801">
        <f t="shared" si="83"/>
        <v>0</v>
      </c>
      <c r="T238" s="172">
        <f t="shared" si="84"/>
        <v>6</v>
      </c>
      <c r="U238" s="247">
        <f t="shared" si="85"/>
        <v>0.95471102857297785</v>
      </c>
      <c r="V238" s="378">
        <f t="shared" si="86"/>
        <v>218.41772550654812</v>
      </c>
      <c r="W238" s="397">
        <f t="shared" si="87"/>
        <v>195.08229253180204</v>
      </c>
      <c r="X238" s="153">
        <f t="shared" si="88"/>
        <v>45150</v>
      </c>
      <c r="Y238" s="380">
        <f t="shared" si="89"/>
        <v>195.08229253180204</v>
      </c>
      <c r="Z238" s="380">
        <f t="shared" si="90"/>
        <v>197.03076437430909</v>
      </c>
      <c r="AA238" s="381">
        <f t="shared" si="91"/>
        <v>205.39050355066655</v>
      </c>
      <c r="AB238" s="193">
        <f t="shared" si="92"/>
        <v>45150</v>
      </c>
      <c r="AC238" s="420">
        <f>IF(OR(t&lt;Tnet,NoTnet),'2022'!Resal_s+('2022'!Salim-'2022'!Resal_s)*(1-EXP(('2022'!Tnet_s-t)/'2022'!Tau_j)),Resal_s+(Salim-Resal_s)*(1-EXP((Tnet_s-t)/Tau_j)))*Salcycl</f>
        <v>4.0701683046875818E-2</v>
      </c>
      <c r="AD238" s="227">
        <f>(INDEX(Models!$BJ238:$BT238,,AH238)*(1-AF238)+INDEX(Models!$BJ238:$BT238,,AH238+1)*AF238-ERP_i)*AE238*Ramure*Pc/MaxiM</f>
        <v>1.149396394149559E-4</v>
      </c>
      <c r="AE238" s="301">
        <f t="shared" si="93"/>
        <v>0.5</v>
      </c>
      <c r="AF238" s="173">
        <f t="shared" si="94"/>
        <v>0.95471102857297785</v>
      </c>
      <c r="AG238" s="172">
        <f t="shared" si="95"/>
        <v>0</v>
      </c>
      <c r="AH238" s="172">
        <f t="shared" si="96"/>
        <v>6</v>
      </c>
      <c r="AI238" s="221">
        <f t="shared" si="97"/>
        <v>0.95471102857297785</v>
      </c>
      <c r="AJ238" s="261" t="b">
        <f t="shared" si="98"/>
        <v>0</v>
      </c>
      <c r="AK238" s="261" t="b">
        <f t="shared" si="99"/>
        <v>0</v>
      </c>
      <c r="AL238" s="261"/>
      <c r="AM238" s="261"/>
      <c r="AN238" s="75"/>
    </row>
    <row r="239" spans="1:40" s="6" customFormat="1" ht="11.25" customHeight="1" x14ac:dyDescent="0.2">
      <c r="A239" s="56">
        <f t="shared" si="100"/>
        <v>45151</v>
      </c>
      <c r="B239" s="406">
        <f>'2022'!Wh/'2022'!Env_an*'2023'!Env_an</f>
        <v>135.60859483190694</v>
      </c>
      <c r="C239" s="385"/>
      <c r="D239" s="388">
        <f t="shared" si="78"/>
        <v>136.96492139424387</v>
      </c>
      <c r="E239" s="380">
        <f t="shared" si="101"/>
        <v>142.78178730090499</v>
      </c>
      <c r="F239" s="380">
        <f t="shared" si="79"/>
        <v>142.78942355083336</v>
      </c>
      <c r="G239" s="110">
        <f t="shared" si="102"/>
        <v>0.62276973607700303</v>
      </c>
      <c r="H239" s="409" t="b">
        <f>Wh_hp&gt;='2022'!Maxi_hp</f>
        <v>0</v>
      </c>
      <c r="I239" s="385">
        <f>IF(H239,Wh_hp,'2022'!Maxi_hp)</f>
        <v>142.79404848596596</v>
      </c>
      <c r="J239" s="85">
        <f>IF(H239,An,'2022'!An_max)</f>
        <v>2022</v>
      </c>
      <c r="K239" s="193">
        <f t="shared" si="80"/>
        <v>45151</v>
      </c>
      <c r="L239" s="143">
        <f>IF(t&lt;Tvie,1-EXP((T0-t)*PertePVj)+'2022'!Pspv,1-EXP((T0-t)*PertePVj)+Pspv)</f>
        <v>9.9027294618950767E-3</v>
      </c>
      <c r="M239" s="835"/>
      <c r="N239" s="835"/>
      <c r="O239" s="48">
        <f>IF(t&lt;Tnet,'2022'!Resal+('2022'!Salim-'2022'!Resal)*(1-EXP(('2022'!Tnet-t)/('2022'!Tau_j))),Resal+(Salim-Resal)*(1-EXP((Tnet-t)/(Tau_j))))*Salcycl</f>
        <v>4.0739551007317243E-2</v>
      </c>
      <c r="P239" s="165">
        <f>(INDEX(Models!$BJ239:$BT239,,T239)*(1-R239)+INDEX(Models!$BJ239:$BT239,,T239+1)*R239-ERP_i)*Q239*Ramure*Pc/MaxiM</f>
        <v>1.1596767796156376E-4</v>
      </c>
      <c r="Q239" s="301">
        <f t="shared" si="81"/>
        <v>0.5</v>
      </c>
      <c r="R239" s="173">
        <f t="shared" si="82"/>
        <v>0.95602488690072152</v>
      </c>
      <c r="S239" s="801">
        <f t="shared" si="83"/>
        <v>0</v>
      </c>
      <c r="T239" s="172">
        <f t="shared" si="84"/>
        <v>6</v>
      </c>
      <c r="U239" s="247">
        <f t="shared" si="85"/>
        <v>0.95602488690072152</v>
      </c>
      <c r="V239" s="378">
        <f t="shared" si="86"/>
        <v>217.73717079557727</v>
      </c>
      <c r="W239" s="397">
        <f t="shared" si="87"/>
        <v>135.60859483190694</v>
      </c>
      <c r="X239" s="153">
        <f t="shared" si="88"/>
        <v>45151</v>
      </c>
      <c r="Y239" s="380">
        <f t="shared" si="89"/>
        <v>135.60859483190694</v>
      </c>
      <c r="Z239" s="380">
        <f t="shared" si="90"/>
        <v>136.96492139424387</v>
      </c>
      <c r="AA239" s="381">
        <f t="shared" si="91"/>
        <v>142.78178730090499</v>
      </c>
      <c r="AB239" s="193">
        <f t="shared" si="92"/>
        <v>45151</v>
      </c>
      <c r="AC239" s="420">
        <f>IF(OR(t&lt;Tnet,NoTnet),'2022'!Resal_s+('2022'!Salim-'2022'!Resal_s)*(1-EXP(('2022'!Tnet_s-t)/'2022'!Tau_j)),Resal_s+(Salim-Resal_s)*(1-EXP((Tnet_s-t)/Tau_j)))*Salcycl</f>
        <v>4.0739551007317243E-2</v>
      </c>
      <c r="AD239" s="227">
        <f>(INDEX(Models!$BJ239:$BT239,,AH239)*(1-AF239)+INDEX(Models!$BJ239:$BT239,,AH239+1)*AF239-ERP_i)*AE239*Ramure*Pc/MaxiM</f>
        <v>1.1596767796156376E-4</v>
      </c>
      <c r="AE239" s="301">
        <f t="shared" si="93"/>
        <v>0.5</v>
      </c>
      <c r="AF239" s="173">
        <f t="shared" si="94"/>
        <v>0.95602488690072152</v>
      </c>
      <c r="AG239" s="172">
        <f t="shared" si="95"/>
        <v>0</v>
      </c>
      <c r="AH239" s="172">
        <f t="shared" si="96"/>
        <v>6</v>
      </c>
      <c r="AI239" s="221">
        <f t="shared" si="97"/>
        <v>0.95602488690072152</v>
      </c>
      <c r="AJ239" s="261" t="b">
        <f t="shared" si="98"/>
        <v>0</v>
      </c>
      <c r="AK239" s="261" t="b">
        <f t="shared" si="99"/>
        <v>0</v>
      </c>
      <c r="AL239" s="261"/>
      <c r="AM239" s="261"/>
      <c r="AN239" s="75"/>
    </row>
    <row r="240" spans="1:40" s="6" customFormat="1" ht="11.25" customHeight="1" x14ac:dyDescent="0.2">
      <c r="A240" s="56">
        <f t="shared" si="100"/>
        <v>45152</v>
      </c>
      <c r="B240" s="406">
        <f>'2022'!Wh/'2022'!Env_an*'2023'!Env_an</f>
        <v>148.74694771897043</v>
      </c>
      <c r="C240" s="385"/>
      <c r="D240" s="388">
        <f t="shared" si="78"/>
        <v>150.23673773669137</v>
      </c>
      <c r="E240" s="380">
        <f t="shared" si="101"/>
        <v>156.62341488324378</v>
      </c>
      <c r="F240" s="380">
        <f t="shared" si="79"/>
        <v>156.63349325790239</v>
      </c>
      <c r="G240" s="110">
        <f t="shared" si="102"/>
        <v>0.6852890148620786</v>
      </c>
      <c r="H240" s="409" t="b">
        <f>Wh_hp&gt;='2022'!Maxi_hp</f>
        <v>0</v>
      </c>
      <c r="I240" s="385">
        <f>IF(H240,Wh_hp,'2022'!Maxi_hp)</f>
        <v>156.63775376535247</v>
      </c>
      <c r="J240" s="85">
        <f>IF(H240,An,'2022'!An_max)</f>
        <v>2022</v>
      </c>
      <c r="K240" s="193">
        <f t="shared" si="80"/>
        <v>45152</v>
      </c>
      <c r="L240" s="143">
        <f>IF(t&lt;Tvie,1-EXP((T0-t)*PertePVj)+'2022'!Pspv,1-EXP((T0-t)*PertePVj)+Pspv)</f>
        <v>9.9162830620829201E-3</v>
      </c>
      <c r="M240" s="835"/>
      <c r="N240" s="835"/>
      <c r="O240" s="48">
        <f>IF(t&lt;Tnet,'2022'!Resal+('2022'!Salim-'2022'!Resal)*(1-EXP(('2022'!Tnet-t)/('2022'!Tau_j))),Resal+(Salim-Resal)*(1-EXP((Tnet-t)/(Tau_j))))*Salcycl</f>
        <v>4.0777281936506149E-2</v>
      </c>
      <c r="P240" s="165">
        <f>(INDEX(Models!$BJ240:$BT240,,T240)*(1-R240)+INDEX(Models!$BJ240:$BT240,,T240+1)*R240-ERP_i)*Q240*Ramure*Pc/MaxiM</f>
        <v>1.1688981902618594E-4</v>
      </c>
      <c r="Q240" s="301">
        <f t="shared" si="81"/>
        <v>0.5</v>
      </c>
      <c r="R240" s="173">
        <f t="shared" si="82"/>
        <v>0.95729283346167038</v>
      </c>
      <c r="S240" s="801">
        <f t="shared" si="83"/>
        <v>0</v>
      </c>
      <c r="T240" s="172">
        <f t="shared" si="84"/>
        <v>6</v>
      </c>
      <c r="U240" s="247">
        <f t="shared" si="85"/>
        <v>0.95729283346167038</v>
      </c>
      <c r="V240" s="378">
        <f t="shared" si="86"/>
        <v>217.04584184453969</v>
      </c>
      <c r="W240" s="397">
        <f t="shared" si="87"/>
        <v>148.74694771897043</v>
      </c>
      <c r="X240" s="153">
        <f t="shared" si="88"/>
        <v>45152</v>
      </c>
      <c r="Y240" s="380">
        <f t="shared" si="89"/>
        <v>148.74694771897043</v>
      </c>
      <c r="Z240" s="380">
        <f t="shared" si="90"/>
        <v>150.23673773669137</v>
      </c>
      <c r="AA240" s="381">
        <f t="shared" si="91"/>
        <v>156.62341488324378</v>
      </c>
      <c r="AB240" s="193">
        <f t="shared" si="92"/>
        <v>45152</v>
      </c>
      <c r="AC240" s="420">
        <f>IF(OR(t&lt;Tnet,NoTnet),'2022'!Resal_s+('2022'!Salim-'2022'!Resal_s)*(1-EXP(('2022'!Tnet_s-t)/'2022'!Tau_j)),Resal_s+(Salim-Resal_s)*(1-EXP((Tnet_s-t)/Tau_j)))*Salcycl</f>
        <v>4.0777281936506149E-2</v>
      </c>
      <c r="AD240" s="227">
        <f>(INDEX(Models!$BJ240:$BT240,,AH240)*(1-AF240)+INDEX(Models!$BJ240:$BT240,,AH240+1)*AF240-ERP_i)*AE240*Ramure*Pc/MaxiM</f>
        <v>1.1688981902618594E-4</v>
      </c>
      <c r="AE240" s="301">
        <f t="shared" si="93"/>
        <v>0.5</v>
      </c>
      <c r="AF240" s="173">
        <f t="shared" si="94"/>
        <v>0.95729283346167038</v>
      </c>
      <c r="AG240" s="172">
        <f t="shared" si="95"/>
        <v>0</v>
      </c>
      <c r="AH240" s="172">
        <f t="shared" si="96"/>
        <v>6</v>
      </c>
      <c r="AI240" s="221">
        <f t="shared" si="97"/>
        <v>0.95729283346167038</v>
      </c>
      <c r="AJ240" s="261" t="b">
        <f t="shared" si="98"/>
        <v>0</v>
      </c>
      <c r="AK240" s="261" t="b">
        <f t="shared" si="99"/>
        <v>0</v>
      </c>
      <c r="AL240" s="261"/>
      <c r="AM240" s="261"/>
      <c r="AN240" s="75"/>
    </row>
    <row r="241" spans="1:40" s="6" customFormat="1" ht="11.25" customHeight="1" x14ac:dyDescent="0.2">
      <c r="A241" s="56">
        <f t="shared" si="100"/>
        <v>45153</v>
      </c>
      <c r="B241" s="406">
        <f>'2022'!Wh/'2022'!Env_an*'2023'!Env_an</f>
        <v>153.12093042551305</v>
      </c>
      <c r="C241" s="385"/>
      <c r="D241" s="388">
        <f t="shared" si="78"/>
        <v>154.65664562662556</v>
      </c>
      <c r="E241" s="380">
        <f t="shared" si="101"/>
        <v>161.23753512529666</v>
      </c>
      <c r="F241" s="380">
        <f t="shared" si="79"/>
        <v>161.24859257155251</v>
      </c>
      <c r="G241" s="110">
        <f t="shared" si="102"/>
        <v>0.70773378378249807</v>
      </c>
      <c r="H241" s="409" t="b">
        <f>Wh_hp&gt;='2022'!Maxi_hp</f>
        <v>0</v>
      </c>
      <c r="I241" s="385">
        <f>IF(H241,Wh_hp,'2022'!Maxi_hp)</f>
        <v>161.2526894058478</v>
      </c>
      <c r="J241" s="85">
        <f>IF(H241,An,'2022'!An_max)</f>
        <v>2022</v>
      </c>
      <c r="K241" s="193">
        <f t="shared" si="80"/>
        <v>45153</v>
      </c>
      <c r="L241" s="143">
        <f>IF(t&lt;Tvie,1-EXP((T0-t)*PertePVj)+'2022'!Pspv,1-EXP((T0-t)*PertePVj)+Pspv)</f>
        <v>9.9298364767334002E-3</v>
      </c>
      <c r="M241" s="835"/>
      <c r="N241" s="835"/>
      <c r="O241" s="48">
        <f>IF(t&lt;Tnet,'2022'!Resal+('2022'!Salim-'2022'!Resal)*(1-EXP(('2022'!Tnet-t)/('2022'!Tau_j))),Resal+(Salim-Resal)*(1-EXP((Tnet-t)/(Tau_j))))*Salcycl</f>
        <v>4.0814872874093133E-2</v>
      </c>
      <c r="P241" s="165">
        <f>(INDEX(Models!$BJ241:$BT241,,T241)*(1-R241)+INDEX(Models!$BJ241:$BT241,,T241+1)*R241-ERP_i)*Q241*Ramure*Pc/MaxiM</f>
        <v>1.177180874507964E-4</v>
      </c>
      <c r="Q241" s="301">
        <f t="shared" si="81"/>
        <v>0.5</v>
      </c>
      <c r="R241" s="173">
        <f t="shared" si="82"/>
        <v>0.95851621798471065</v>
      </c>
      <c r="S241" s="801">
        <f t="shared" si="83"/>
        <v>0</v>
      </c>
      <c r="T241" s="172">
        <f t="shared" si="84"/>
        <v>6</v>
      </c>
      <c r="U241" s="247">
        <f t="shared" si="85"/>
        <v>0.95851621798471065</v>
      </c>
      <c r="V241" s="378">
        <f t="shared" si="86"/>
        <v>216.34321889900042</v>
      </c>
      <c r="W241" s="397">
        <f t="shared" si="87"/>
        <v>153.12093042551305</v>
      </c>
      <c r="X241" s="153">
        <f t="shared" si="88"/>
        <v>45153</v>
      </c>
      <c r="Y241" s="380">
        <f t="shared" si="89"/>
        <v>153.12093042551305</v>
      </c>
      <c r="Z241" s="380">
        <f t="shared" si="90"/>
        <v>154.65664562662556</v>
      </c>
      <c r="AA241" s="381">
        <f t="shared" si="91"/>
        <v>161.23753512529666</v>
      </c>
      <c r="AB241" s="193">
        <f t="shared" si="92"/>
        <v>45153</v>
      </c>
      <c r="AC241" s="420">
        <f>IF(OR(t&lt;Tnet,NoTnet),'2022'!Resal_s+('2022'!Salim-'2022'!Resal_s)*(1-EXP(('2022'!Tnet_s-t)/'2022'!Tau_j)),Resal_s+(Salim-Resal_s)*(1-EXP((Tnet_s-t)/Tau_j)))*Salcycl</f>
        <v>4.0814872874093133E-2</v>
      </c>
      <c r="AD241" s="227">
        <f>(INDEX(Models!$BJ241:$BT241,,AH241)*(1-AF241)+INDEX(Models!$BJ241:$BT241,,AH241+1)*AF241-ERP_i)*AE241*Ramure*Pc/MaxiM</f>
        <v>1.177180874507964E-4</v>
      </c>
      <c r="AE241" s="301">
        <f t="shared" si="93"/>
        <v>0.5</v>
      </c>
      <c r="AF241" s="173">
        <f t="shared" si="94"/>
        <v>0.95851621798471065</v>
      </c>
      <c r="AG241" s="172">
        <f t="shared" si="95"/>
        <v>0</v>
      </c>
      <c r="AH241" s="172">
        <f t="shared" si="96"/>
        <v>6</v>
      </c>
      <c r="AI241" s="221">
        <f t="shared" si="97"/>
        <v>0.95851621798471065</v>
      </c>
      <c r="AJ241" s="261" t="b">
        <f t="shared" si="98"/>
        <v>0</v>
      </c>
      <c r="AK241" s="261" t="b">
        <f t="shared" si="99"/>
        <v>0</v>
      </c>
      <c r="AL241" s="261"/>
      <c r="AM241" s="261"/>
      <c r="AN241" s="75"/>
    </row>
    <row r="242" spans="1:40" s="6" customFormat="1" ht="11.25" customHeight="1" x14ac:dyDescent="0.2">
      <c r="A242" s="56">
        <f t="shared" si="100"/>
        <v>45154</v>
      </c>
      <c r="B242" s="406">
        <f>'2022'!Wh/'2022'!Env_an*'2023'!Env_an</f>
        <v>137.75196978265276</v>
      </c>
      <c r="C242" s="385"/>
      <c r="D242" s="388">
        <f t="shared" si="78"/>
        <v>139.1354477616446</v>
      </c>
      <c r="E242" s="380">
        <f t="shared" si="101"/>
        <v>145.06154862797794</v>
      </c>
      <c r="F242" s="380">
        <f t="shared" si="79"/>
        <v>145.06986652032532</v>
      </c>
      <c r="G242" s="110">
        <f t="shared" si="102"/>
        <v>0.63879945588474751</v>
      </c>
      <c r="H242" s="409" t="b">
        <f>Wh_hp&gt;='2022'!Maxi_hp</f>
        <v>0</v>
      </c>
      <c r="I242" s="385">
        <f>IF(H242,Wh_hp,'2022'!Maxi_hp)</f>
        <v>145.07444437533258</v>
      </c>
      <c r="J242" s="85">
        <f>IF(H242,An,'2022'!An_max)</f>
        <v>2022</v>
      </c>
      <c r="K242" s="193">
        <f t="shared" si="80"/>
        <v>45154</v>
      </c>
      <c r="L242" s="143">
        <f>IF(t&lt;Tvie,1-EXP((T0-t)*PertePVj)+'2022'!Pspv,1-EXP((T0-t)*PertePVj)+Pspv)</f>
        <v>9.9433897058489595E-3</v>
      </c>
      <c r="M242" s="835"/>
      <c r="N242" s="835"/>
      <c r="O242" s="48">
        <f>IF(t&lt;Tnet,'2022'!Resal+('2022'!Salim-'2022'!Resal)*(1-EXP(('2022'!Tnet-t)/('2022'!Tau_j))),Resal+(Salim-Resal)*(1-EXP((Tnet-t)/(Tau_j))))*Salcycl</f>
        <v>4.0852320428008897E-2</v>
      </c>
      <c r="P242" s="165">
        <f>(INDEX(Models!$BJ242:$BT242,,T242)*(1-R242)+INDEX(Models!$BJ242:$BT242,,T242+1)*R242-ERP_i)*Q242*Ramure*Pc/MaxiM</f>
        <v>1.1845172038314956E-4</v>
      </c>
      <c r="Q242" s="301">
        <f t="shared" si="81"/>
        <v>0.5</v>
      </c>
      <c r="R242" s="173">
        <f t="shared" si="82"/>
        <v>0.95969636961272942</v>
      </c>
      <c r="S242" s="801">
        <f t="shared" si="83"/>
        <v>0</v>
      </c>
      <c r="T242" s="172">
        <f t="shared" si="84"/>
        <v>6</v>
      </c>
      <c r="U242" s="247">
        <f t="shared" si="85"/>
        <v>0.95969636961272942</v>
      </c>
      <c r="V242" s="378">
        <f t="shared" si="86"/>
        <v>215.62878518166812</v>
      </c>
      <c r="W242" s="397">
        <f t="shared" si="87"/>
        <v>137.75196978265276</v>
      </c>
      <c r="X242" s="153">
        <f t="shared" si="88"/>
        <v>45154</v>
      </c>
      <c r="Y242" s="380">
        <f t="shared" si="89"/>
        <v>137.75196978265276</v>
      </c>
      <c r="Z242" s="380">
        <f t="shared" si="90"/>
        <v>139.1354477616446</v>
      </c>
      <c r="AA242" s="381">
        <f t="shared" si="91"/>
        <v>145.06154862797794</v>
      </c>
      <c r="AB242" s="193">
        <f t="shared" si="92"/>
        <v>45154</v>
      </c>
      <c r="AC242" s="420">
        <f>IF(OR(t&lt;Tnet,NoTnet),'2022'!Resal_s+('2022'!Salim-'2022'!Resal_s)*(1-EXP(('2022'!Tnet_s-t)/'2022'!Tau_j)),Resal_s+(Salim-Resal_s)*(1-EXP((Tnet_s-t)/Tau_j)))*Salcycl</f>
        <v>4.0852320428008897E-2</v>
      </c>
      <c r="AD242" s="227">
        <f>(INDEX(Models!$BJ242:$BT242,,AH242)*(1-AF242)+INDEX(Models!$BJ242:$BT242,,AH242+1)*AF242-ERP_i)*AE242*Ramure*Pc/MaxiM</f>
        <v>1.1845172038314956E-4</v>
      </c>
      <c r="AE242" s="301">
        <f t="shared" si="93"/>
        <v>0.5</v>
      </c>
      <c r="AF242" s="173">
        <f t="shared" si="94"/>
        <v>0.95969636961272942</v>
      </c>
      <c r="AG242" s="172">
        <f t="shared" si="95"/>
        <v>0</v>
      </c>
      <c r="AH242" s="172">
        <f t="shared" si="96"/>
        <v>6</v>
      </c>
      <c r="AI242" s="221">
        <f t="shared" si="97"/>
        <v>0.95969636961272942</v>
      </c>
      <c r="AJ242" s="261" t="b">
        <f t="shared" si="98"/>
        <v>0</v>
      </c>
      <c r="AK242" s="261" t="b">
        <f t="shared" si="99"/>
        <v>0</v>
      </c>
      <c r="AL242" s="261"/>
      <c r="AM242" s="261"/>
      <c r="AN242" s="75"/>
    </row>
    <row r="243" spans="1:40" s="6" customFormat="1" ht="11.25" x14ac:dyDescent="0.2">
      <c r="A243" s="56">
        <f t="shared" si="100"/>
        <v>45155</v>
      </c>
      <c r="B243" s="406">
        <f>'2022'!Wh/'2022'!Env_an*'2023'!Env_an</f>
        <v>106.09295161604346</v>
      </c>
      <c r="C243" s="385"/>
      <c r="D243" s="388">
        <f t="shared" si="78"/>
        <v>107.15993697352158</v>
      </c>
      <c r="E243" s="380">
        <f t="shared" si="101"/>
        <v>111.72847182018839</v>
      </c>
      <c r="F243" s="380">
        <f t="shared" si="79"/>
        <v>111.73215345967618</v>
      </c>
      <c r="G243" s="110">
        <f t="shared" si="102"/>
        <v>0.49363803336131834</v>
      </c>
      <c r="H243" s="409" t="b">
        <f>Wh_hp&gt;='2022'!Maxi_hp</f>
        <v>0</v>
      </c>
      <c r="I243" s="385">
        <f>IF(H243,Wh_hp,'2022'!Maxi_hp)</f>
        <v>111.73711703322597</v>
      </c>
      <c r="J243" s="85">
        <f>IF(H243,An,'2022'!An_max)</f>
        <v>2022</v>
      </c>
      <c r="K243" s="193">
        <f t="shared" si="80"/>
        <v>45155</v>
      </c>
      <c r="L243" s="143">
        <f>IF(t&lt;Tvie,1-EXP((T0-t)*PertePVj)+'2022'!Pspv,1-EXP((T0-t)*PertePVj)+Pspv)</f>
        <v>9.9569427494321516E-3</v>
      </c>
      <c r="M243" s="835"/>
      <c r="N243" s="835"/>
      <c r="O243" s="48">
        <f>IF(t&lt;Tnet,'2022'!Resal+('2022'!Salim-'2022'!Resal)*(1-EXP(('2022'!Tnet-t)/('2022'!Tau_j))),Resal+(Salim-Resal)*(1-EXP((Tnet-t)/(Tau_j))))*Salcycl</f>
        <v>4.0889620812313926E-2</v>
      </c>
      <c r="P243" s="165">
        <f>(INDEX(Models!$BJ243:$BT243,,T243)*(1-R243)+INDEX(Models!$BJ243:$BT243,,T243+1)*R243-ERP_i)*Q243*Ramure*Pc/MaxiM</f>
        <v>1.1908994588307756E-4</v>
      </c>
      <c r="Q243" s="301">
        <f t="shared" si="81"/>
        <v>0.5</v>
      </c>
      <c r="R243" s="173">
        <f t="shared" si="82"/>
        <v>0.96083459564758211</v>
      </c>
      <c r="S243" s="801">
        <f t="shared" si="83"/>
        <v>0</v>
      </c>
      <c r="T243" s="172">
        <f t="shared" si="84"/>
        <v>6</v>
      </c>
      <c r="U243" s="247">
        <f t="shared" si="85"/>
        <v>0.96083459564758211</v>
      </c>
      <c r="V243" s="378">
        <f t="shared" si="86"/>
        <v>214.90202408673755</v>
      </c>
      <c r="W243" s="397">
        <f t="shared" si="87"/>
        <v>106.09295161604346</v>
      </c>
      <c r="X243" s="153">
        <f t="shared" si="88"/>
        <v>45155</v>
      </c>
      <c r="Y243" s="380">
        <f t="shared" si="89"/>
        <v>106.09295161604346</v>
      </c>
      <c r="Z243" s="380">
        <f t="shared" si="90"/>
        <v>107.15993697352158</v>
      </c>
      <c r="AA243" s="381">
        <f t="shared" si="91"/>
        <v>111.72847182018839</v>
      </c>
      <c r="AB243" s="193">
        <f t="shared" si="92"/>
        <v>45155</v>
      </c>
      <c r="AC243" s="420">
        <f>IF(OR(t&lt;Tnet,NoTnet),'2022'!Resal_s+('2022'!Salim-'2022'!Resal_s)*(1-EXP(('2022'!Tnet_s-t)/'2022'!Tau_j)),Resal_s+(Salim-Resal_s)*(1-EXP((Tnet_s-t)/Tau_j)))*Salcycl</f>
        <v>4.0889620812313926E-2</v>
      </c>
      <c r="AD243" s="227">
        <f>(INDEX(Models!$BJ243:$BT243,,AH243)*(1-AF243)+INDEX(Models!$BJ243:$BT243,,AH243+1)*AF243-ERP_i)*AE243*Ramure*Pc/MaxiM</f>
        <v>1.1908994588307756E-4</v>
      </c>
      <c r="AE243" s="301">
        <f t="shared" si="93"/>
        <v>0.5</v>
      </c>
      <c r="AF243" s="173">
        <f t="shared" si="94"/>
        <v>0.96083459564758211</v>
      </c>
      <c r="AG243" s="172">
        <f t="shared" si="95"/>
        <v>0</v>
      </c>
      <c r="AH243" s="172">
        <f t="shared" si="96"/>
        <v>6</v>
      </c>
      <c r="AI243" s="221">
        <f t="shared" si="97"/>
        <v>0.96083459564758211</v>
      </c>
      <c r="AJ243" s="261" t="b">
        <f t="shared" si="98"/>
        <v>0</v>
      </c>
      <c r="AK243" s="261" t="b">
        <f t="shared" si="99"/>
        <v>0</v>
      </c>
      <c r="AL243" s="261"/>
      <c r="AM243" s="261"/>
      <c r="AN243" s="75"/>
    </row>
    <row r="244" spans="1:40" s="6" customFormat="1" ht="11.25" x14ac:dyDescent="0.2">
      <c r="A244" s="56">
        <f t="shared" si="100"/>
        <v>45156</v>
      </c>
      <c r="B244" s="406">
        <f>'2022'!Wh/'2022'!Env_an*'2023'!Env_an</f>
        <v>130.27376464213745</v>
      </c>
      <c r="C244" s="385"/>
      <c r="D244" s="388">
        <f t="shared" si="78"/>
        <v>131.585739681641</v>
      </c>
      <c r="E244" s="380">
        <f t="shared" si="101"/>
        <v>137.20093059574739</v>
      </c>
      <c r="F244" s="380">
        <f t="shared" si="79"/>
        <v>137.20815986821452</v>
      </c>
      <c r="G244" s="110">
        <f t="shared" si="102"/>
        <v>0.60825351006510475</v>
      </c>
      <c r="H244" s="409" t="b">
        <f>Wh_hp&gt;='2022'!Maxi_hp</f>
        <v>0</v>
      </c>
      <c r="I244" s="385">
        <f>IF(H244,Wh_hp,'2022'!Maxi_hp)</f>
        <v>137.21289143208358</v>
      </c>
      <c r="J244" s="85">
        <f>IF(H244,An,'2022'!An_max)</f>
        <v>2022</v>
      </c>
      <c r="K244" s="193">
        <f t="shared" si="80"/>
        <v>45156</v>
      </c>
      <c r="L244" s="143">
        <f>IF(t&lt;Tvie,1-EXP((T0-t)*PertePVj)+'2022'!Pspv,1-EXP((T0-t)*PertePVj)+Pspv)</f>
        <v>9.970495607485641E-3</v>
      </c>
      <c r="M244" s="835"/>
      <c r="N244" s="835"/>
      <c r="O244" s="48">
        <f>IF(t&lt;Tnet,'2022'!Resal+('2022'!Salim-'2022'!Resal)*(1-EXP(('2022'!Tnet-t)/('2022'!Tau_j))),Resal+(Salim-Resal)*(1-EXP((Tnet-t)/(Tau_j))))*Salcycl</f>
        <v>4.0926769882131037E-2</v>
      </c>
      <c r="P244" s="165">
        <f>(INDEX(Models!$BJ244:$BT244,,T244)*(1-R244)+INDEX(Models!$BJ244:$BT244,,T244+1)*R244-ERP_i)*Q244*Ramure*Pc/MaxiM</f>
        <v>1.19631980282544E-4</v>
      </c>
      <c r="Q244" s="301">
        <f t="shared" si="81"/>
        <v>0.5</v>
      </c>
      <c r="R244" s="173">
        <f t="shared" si="82"/>
        <v>0.9619321804523957</v>
      </c>
      <c r="S244" s="801">
        <f t="shared" si="83"/>
        <v>0</v>
      </c>
      <c r="T244" s="172">
        <f t="shared" si="84"/>
        <v>6</v>
      </c>
      <c r="U244" s="247">
        <f t="shared" si="85"/>
        <v>0.9619321804523957</v>
      </c>
      <c r="V244" s="378">
        <f t="shared" si="86"/>
        <v>214.16241917093134</v>
      </c>
      <c r="W244" s="397">
        <f t="shared" si="87"/>
        <v>130.27376464213745</v>
      </c>
      <c r="X244" s="153">
        <f t="shared" si="88"/>
        <v>45156</v>
      </c>
      <c r="Y244" s="380">
        <f t="shared" si="89"/>
        <v>130.27376464213745</v>
      </c>
      <c r="Z244" s="380">
        <f t="shared" si="90"/>
        <v>131.585739681641</v>
      </c>
      <c r="AA244" s="381">
        <f t="shared" si="91"/>
        <v>137.20093059574739</v>
      </c>
      <c r="AB244" s="193">
        <f t="shared" si="92"/>
        <v>45156</v>
      </c>
      <c r="AC244" s="420">
        <f>IF(OR(t&lt;Tnet,NoTnet),'2022'!Resal_s+('2022'!Salim-'2022'!Resal_s)*(1-EXP(('2022'!Tnet_s-t)/'2022'!Tau_j)),Resal_s+(Salim-Resal_s)*(1-EXP((Tnet_s-t)/Tau_j)))*Salcycl</f>
        <v>4.0926769882131037E-2</v>
      </c>
      <c r="AD244" s="227">
        <f>(INDEX(Models!$BJ244:$BT244,,AH244)*(1-AF244)+INDEX(Models!$BJ244:$BT244,,AH244+1)*AF244-ERP_i)*AE244*Ramure*Pc/MaxiM</f>
        <v>1.19631980282544E-4</v>
      </c>
      <c r="AE244" s="301">
        <f t="shared" si="93"/>
        <v>0.5</v>
      </c>
      <c r="AF244" s="173">
        <f t="shared" si="94"/>
        <v>0.9619321804523957</v>
      </c>
      <c r="AG244" s="172">
        <f t="shared" si="95"/>
        <v>0</v>
      </c>
      <c r="AH244" s="172">
        <f t="shared" si="96"/>
        <v>6</v>
      </c>
      <c r="AI244" s="221">
        <f t="shared" si="97"/>
        <v>0.9619321804523957</v>
      </c>
      <c r="AJ244" s="261" t="b">
        <f t="shared" si="98"/>
        <v>0</v>
      </c>
      <c r="AK244" s="261" t="b">
        <f t="shared" si="99"/>
        <v>0</v>
      </c>
      <c r="AL244" s="261"/>
      <c r="AM244" s="261"/>
      <c r="AN244" s="75"/>
    </row>
    <row r="245" spans="1:40" s="6" customFormat="1" ht="11.25" customHeight="1" x14ac:dyDescent="0.2">
      <c r="A245" s="56">
        <f t="shared" si="100"/>
        <v>45157</v>
      </c>
      <c r="B245" s="406">
        <f>'2022'!Wh/'2022'!Env_an*'2023'!Env_an</f>
        <v>140.56140953323711</v>
      </c>
      <c r="C245" s="385"/>
      <c r="D245" s="388">
        <f t="shared" si="78"/>
        <v>141.97893406569361</v>
      </c>
      <c r="E245" s="380">
        <f t="shared" si="101"/>
        <v>148.04334665631484</v>
      </c>
      <c r="F245" s="380">
        <f t="shared" si="79"/>
        <v>148.05245510052296</v>
      </c>
      <c r="G245" s="110">
        <f t="shared" si="102"/>
        <v>0.65860802175886335</v>
      </c>
      <c r="H245" s="409" t="b">
        <f>Wh_hp&gt;='2022'!Maxi_hp</f>
        <v>0</v>
      </c>
      <c r="I245" s="385">
        <f>IF(H245,Wh_hp,'2022'!Maxi_hp)</f>
        <v>148.05691589601781</v>
      </c>
      <c r="J245" s="85">
        <f>IF(H245,An,'2022'!An_max)</f>
        <v>2022</v>
      </c>
      <c r="K245" s="193">
        <f t="shared" si="80"/>
        <v>45157</v>
      </c>
      <c r="L245" s="143">
        <f>IF(t&lt;Tvie,1-EXP((T0-t)*PertePVj)+'2022'!Pspv,1-EXP((T0-t)*PertePVj)+Pspv)</f>
        <v>9.9840482800118702E-3</v>
      </c>
      <c r="M245" s="835"/>
      <c r="N245" s="835"/>
      <c r="O245" s="48">
        <f>IF(t&lt;Tnet,'2022'!Resal+('2022'!Salim-'2022'!Resal)*(1-EXP(('2022'!Tnet-t)/('2022'!Tau_j))),Resal+(Salim-Resal)*(1-EXP((Tnet-t)/(Tau_j))))*Salcycl</f>
        <v>4.096376316525633E-2</v>
      </c>
      <c r="P245" s="165">
        <f>(INDEX(Models!$BJ245:$BT245,,T245)*(1-R245)+INDEX(Models!$BJ245:$BT245,,T245+1)*R245-ERP_i)*Q245*Ramure*Pc/MaxiM</f>
        <v>1.2007702554879439E-4</v>
      </c>
      <c r="Q245" s="301">
        <f t="shared" si="81"/>
        <v>0.5</v>
      </c>
      <c r="R245" s="173">
        <f t="shared" si="82"/>
        <v>0.96299038450183505</v>
      </c>
      <c r="S245" s="801">
        <f t="shared" si="83"/>
        <v>0</v>
      </c>
      <c r="T245" s="172">
        <f t="shared" si="84"/>
        <v>6</v>
      </c>
      <c r="U245" s="247">
        <f t="shared" si="85"/>
        <v>0.96299038450183505</v>
      </c>
      <c r="V245" s="378">
        <f t="shared" si="86"/>
        <v>213.40945413570162</v>
      </c>
      <c r="W245" s="397">
        <f t="shared" si="87"/>
        <v>140.56140953323711</v>
      </c>
      <c r="X245" s="153">
        <f t="shared" si="88"/>
        <v>45157</v>
      </c>
      <c r="Y245" s="380">
        <f t="shared" si="89"/>
        <v>140.56140953323711</v>
      </c>
      <c r="Z245" s="380">
        <f t="shared" si="90"/>
        <v>141.97893406569361</v>
      </c>
      <c r="AA245" s="381">
        <f t="shared" si="91"/>
        <v>148.04334665631484</v>
      </c>
      <c r="AB245" s="193">
        <f t="shared" si="92"/>
        <v>45157</v>
      </c>
      <c r="AC245" s="420">
        <f>IF(OR(t&lt;Tnet,NoTnet),'2022'!Resal_s+('2022'!Salim-'2022'!Resal_s)*(1-EXP(('2022'!Tnet_s-t)/'2022'!Tau_j)),Resal_s+(Salim-Resal_s)*(1-EXP((Tnet_s-t)/Tau_j)))*Salcycl</f>
        <v>4.096376316525633E-2</v>
      </c>
      <c r="AD245" s="227">
        <f>(INDEX(Models!$BJ245:$BT245,,AH245)*(1-AF245)+INDEX(Models!$BJ245:$BT245,,AH245+1)*AF245-ERP_i)*AE245*Ramure*Pc/MaxiM</f>
        <v>1.2007702554879439E-4</v>
      </c>
      <c r="AE245" s="301">
        <f t="shared" si="93"/>
        <v>0.5</v>
      </c>
      <c r="AF245" s="173">
        <f t="shared" si="94"/>
        <v>0.96299038450183505</v>
      </c>
      <c r="AG245" s="172">
        <f t="shared" si="95"/>
        <v>0</v>
      </c>
      <c r="AH245" s="172">
        <f t="shared" si="96"/>
        <v>6</v>
      </c>
      <c r="AI245" s="221">
        <f t="shared" si="97"/>
        <v>0.96299038450183505</v>
      </c>
      <c r="AJ245" s="261" t="b">
        <f t="shared" si="98"/>
        <v>0</v>
      </c>
      <c r="AK245" s="261" t="b">
        <f t="shared" si="99"/>
        <v>0</v>
      </c>
      <c r="AL245" s="261"/>
      <c r="AM245" s="261"/>
      <c r="AN245" s="75"/>
    </row>
    <row r="246" spans="1:40" s="6" customFormat="1" ht="11.25" x14ac:dyDescent="0.2">
      <c r="A246" s="56">
        <f t="shared" si="100"/>
        <v>45158</v>
      </c>
      <c r="B246" s="406">
        <f>'2022'!Wh/'2022'!Env_an*'2023'!Env_an</f>
        <v>205.32626767723531</v>
      </c>
      <c r="C246" s="385"/>
      <c r="D246" s="388">
        <f t="shared" si="78"/>
        <v>207.39976775441525</v>
      </c>
      <c r="E246" s="380">
        <f t="shared" si="101"/>
        <v>216.26683694023325</v>
      </c>
      <c r="F246" s="380">
        <f t="shared" si="79"/>
        <v>216.2916034340011</v>
      </c>
      <c r="G246" s="110">
        <f t="shared" si="102"/>
        <v>0.96558751532393872</v>
      </c>
      <c r="H246" s="409" t="b">
        <f>Wh_hp&gt;='2022'!Maxi_hp</f>
        <v>0</v>
      </c>
      <c r="I246" s="385">
        <f>IF(H246,Wh_hp,'2022'!Maxi_hp)</f>
        <v>216.29226150112041</v>
      </c>
      <c r="J246" s="85">
        <f>IF(H246,An,'2022'!An_max)</f>
        <v>2022</v>
      </c>
      <c r="K246" s="193">
        <f t="shared" si="80"/>
        <v>45158</v>
      </c>
      <c r="L246" s="143">
        <f>IF(t&lt;Tvie,1-EXP((T0-t)*PertePVj)+'2022'!Pspv,1-EXP((T0-t)*PertePVj)+Pspv)</f>
        <v>9.9976007670133926E-3</v>
      </c>
      <c r="M246" s="835"/>
      <c r="N246" s="835"/>
      <c r="O246" s="48">
        <f>IF(t&lt;Tnet,'2022'!Resal+('2022'!Salim-'2022'!Resal)*(1-EXP(('2022'!Tnet-t)/('2022'!Tau_j))),Resal+(Salim-Resal)*(1-EXP((Tnet-t)/(Tau_j))))*Salcycl</f>
        <v>4.1000595890106156E-2</v>
      </c>
      <c r="P246" s="165">
        <f>(INDEX(Models!$BJ246:$BT246,,T246)*(1-R246)+INDEX(Models!$BJ246:$BT246,,T246+1)*R246-ERP_i)*Q246*Ramure*Pc/MaxiM</f>
        <v>1.2042426660212766E-4</v>
      </c>
      <c r="Q246" s="301">
        <f t="shared" si="81"/>
        <v>0.5</v>
      </c>
      <c r="R246" s="173">
        <f t="shared" si="82"/>
        <v>0.96401044357112031</v>
      </c>
      <c r="S246" s="801">
        <f t="shared" si="83"/>
        <v>0</v>
      </c>
      <c r="T246" s="172">
        <f t="shared" si="84"/>
        <v>6</v>
      </c>
      <c r="U246" s="247">
        <f t="shared" si="85"/>
        <v>0.96401044357112031</v>
      </c>
      <c r="V246" s="378">
        <f t="shared" si="86"/>
        <v>212.64261283532335</v>
      </c>
      <c r="W246" s="397">
        <f t="shared" si="87"/>
        <v>205.32626767723531</v>
      </c>
      <c r="X246" s="153">
        <f t="shared" si="88"/>
        <v>45158</v>
      </c>
      <c r="Y246" s="380">
        <f t="shared" si="89"/>
        <v>205.32626767723531</v>
      </c>
      <c r="Z246" s="380">
        <f t="shared" si="90"/>
        <v>207.39976775441525</v>
      </c>
      <c r="AA246" s="381">
        <f t="shared" si="91"/>
        <v>216.26683694023325</v>
      </c>
      <c r="AB246" s="193">
        <f t="shared" si="92"/>
        <v>45158</v>
      </c>
      <c r="AC246" s="420">
        <f>IF(OR(t&lt;Tnet,NoTnet),'2022'!Resal_s+('2022'!Salim-'2022'!Resal_s)*(1-EXP(('2022'!Tnet_s-t)/'2022'!Tau_j)),Resal_s+(Salim-Resal_s)*(1-EXP((Tnet_s-t)/Tau_j)))*Salcycl</f>
        <v>4.1000595890106156E-2</v>
      </c>
      <c r="AD246" s="227">
        <f>(INDEX(Models!$BJ246:$BT246,,AH246)*(1-AF246)+INDEX(Models!$BJ246:$BT246,,AH246+1)*AF246-ERP_i)*AE246*Ramure*Pc/MaxiM</f>
        <v>1.2042426660212766E-4</v>
      </c>
      <c r="AE246" s="301">
        <f t="shared" si="93"/>
        <v>0.5</v>
      </c>
      <c r="AF246" s="173">
        <f t="shared" si="94"/>
        <v>0.96401044357112031</v>
      </c>
      <c r="AG246" s="172">
        <f t="shared" si="95"/>
        <v>0</v>
      </c>
      <c r="AH246" s="172">
        <f t="shared" si="96"/>
        <v>6</v>
      </c>
      <c r="AI246" s="221">
        <f t="shared" si="97"/>
        <v>0.96401044357112031</v>
      </c>
      <c r="AJ246" s="261" t="b">
        <f t="shared" si="98"/>
        <v>0</v>
      </c>
      <c r="AK246" s="261" t="b">
        <f t="shared" si="99"/>
        <v>0</v>
      </c>
      <c r="AL246" s="261"/>
      <c r="AM246" s="261"/>
      <c r="AN246" s="75"/>
    </row>
    <row r="247" spans="1:40" s="6" customFormat="1" ht="11.25" customHeight="1" x14ac:dyDescent="0.2">
      <c r="A247" s="56">
        <f t="shared" si="100"/>
        <v>45159</v>
      </c>
      <c r="B247" s="406">
        <f>'2022'!Wh/'2022'!Env_an*'2023'!Env_an</f>
        <v>130.99571562060004</v>
      </c>
      <c r="C247" s="385"/>
      <c r="D247" s="388">
        <f t="shared" si="78"/>
        <v>132.32039535255797</v>
      </c>
      <c r="E247" s="380">
        <f t="shared" si="101"/>
        <v>137.98283316810415</v>
      </c>
      <c r="F247" s="380">
        <f t="shared" si="79"/>
        <v>137.99040500152995</v>
      </c>
      <c r="G247" s="110">
        <f t="shared" si="102"/>
        <v>0.61826414022762466</v>
      </c>
      <c r="H247" s="409" t="b">
        <f>Wh_hp&gt;='2022'!Maxi_hp</f>
        <v>0</v>
      </c>
      <c r="I247" s="385">
        <f>IF(H247,Wh_hp,'2022'!Maxi_hp)</f>
        <v>137.99506704811625</v>
      </c>
      <c r="J247" s="85">
        <f>IF(H247,An,'2022'!An_max)</f>
        <v>2022</v>
      </c>
      <c r="K247" s="193">
        <f t="shared" si="80"/>
        <v>45159</v>
      </c>
      <c r="L247" s="143">
        <f>IF(t&lt;Tvie,1-EXP((T0-t)*PertePVj)+'2022'!Pspv,1-EXP((T0-t)*PertePVj)+Pspv)</f>
        <v>1.0011153068492762E-2</v>
      </c>
      <c r="M247" s="835"/>
      <c r="N247" s="835"/>
      <c r="O247" s="48">
        <f>IF(t&lt;Tnet,'2022'!Resal+('2022'!Salim-'2022'!Resal)*(1-EXP(('2022'!Tnet-t)/('2022'!Tau_j))),Resal+(Salim-Resal)*(1-EXP((Tnet-t)/(Tau_j))))*Salcycl</f>
        <v>4.103726300972263E-2</v>
      </c>
      <c r="P247" s="165">
        <f>(INDEX(Models!$BJ247:$BT247,,T247)*(1-R247)+INDEX(Models!$BJ247:$BT247,,T247+1)*R247-ERP_i)*Q247*Ramure*Pc/MaxiM</f>
        <v>1.2067212970034562E-4</v>
      </c>
      <c r="Q247" s="301">
        <f t="shared" si="81"/>
        <v>0.5</v>
      </c>
      <c r="R247" s="173">
        <f t="shared" si="82"/>
        <v>0.96499356805478453</v>
      </c>
      <c r="S247" s="801">
        <f t="shared" si="83"/>
        <v>0</v>
      </c>
      <c r="T247" s="172">
        <f t="shared" si="84"/>
        <v>6</v>
      </c>
      <c r="U247" s="247">
        <f t="shared" si="85"/>
        <v>0.96499356805478453</v>
      </c>
      <c r="V247" s="378">
        <f t="shared" si="86"/>
        <v>211.86267666601114</v>
      </c>
      <c r="W247" s="397">
        <f t="shared" si="87"/>
        <v>130.99571562060004</v>
      </c>
      <c r="X247" s="153">
        <f t="shared" si="88"/>
        <v>45159</v>
      </c>
      <c r="Y247" s="380">
        <f t="shared" si="89"/>
        <v>130.99571562060004</v>
      </c>
      <c r="Z247" s="380">
        <f t="shared" si="90"/>
        <v>132.32039535255797</v>
      </c>
      <c r="AA247" s="381">
        <f t="shared" si="91"/>
        <v>137.98283316810415</v>
      </c>
      <c r="AB247" s="193">
        <f t="shared" si="92"/>
        <v>45159</v>
      </c>
      <c r="AC247" s="420">
        <f>IF(OR(t&lt;Tnet,NoTnet),'2022'!Resal_s+('2022'!Salim-'2022'!Resal_s)*(1-EXP(('2022'!Tnet_s-t)/'2022'!Tau_j)),Resal_s+(Salim-Resal_s)*(1-EXP((Tnet_s-t)/Tau_j)))*Salcycl</f>
        <v>4.103726300972263E-2</v>
      </c>
      <c r="AD247" s="227">
        <f>(INDEX(Models!$BJ247:$BT247,,AH247)*(1-AF247)+INDEX(Models!$BJ247:$BT247,,AH247+1)*AF247-ERP_i)*AE247*Ramure*Pc/MaxiM</f>
        <v>1.2067212970034562E-4</v>
      </c>
      <c r="AE247" s="301">
        <f t="shared" si="93"/>
        <v>0.5</v>
      </c>
      <c r="AF247" s="173">
        <f t="shared" si="94"/>
        <v>0.96499356805478453</v>
      </c>
      <c r="AG247" s="172">
        <f t="shared" si="95"/>
        <v>0</v>
      </c>
      <c r="AH247" s="172">
        <f t="shared" si="96"/>
        <v>6</v>
      </c>
      <c r="AI247" s="221">
        <f t="shared" si="97"/>
        <v>0.96499356805478453</v>
      </c>
      <c r="AJ247" s="261" t="b">
        <f t="shared" si="98"/>
        <v>0</v>
      </c>
      <c r="AK247" s="261" t="b">
        <f t="shared" si="99"/>
        <v>0</v>
      </c>
      <c r="AL247" s="261"/>
      <c r="AM247" s="261"/>
      <c r="AN247" s="75"/>
    </row>
    <row r="248" spans="1:40" s="6" customFormat="1" ht="11.25" customHeight="1" x14ac:dyDescent="0.2">
      <c r="A248" s="56">
        <f t="shared" si="100"/>
        <v>45160</v>
      </c>
      <c r="B248" s="406">
        <f>'2022'!Wh/'2022'!Env_an*'2023'!Env_an</f>
        <v>103.30832219394844</v>
      </c>
      <c r="C248" s="385"/>
      <c r="D248" s="388">
        <f t="shared" si="78"/>
        <v>104.35444473712536</v>
      </c>
      <c r="E248" s="380">
        <f t="shared" si="101"/>
        <v>108.82426645496709</v>
      </c>
      <c r="F248" s="380">
        <f t="shared" si="79"/>
        <v>108.82782149639077</v>
      </c>
      <c r="G248" s="110">
        <f t="shared" si="102"/>
        <v>0.48940558491984987</v>
      </c>
      <c r="H248" s="409" t="b">
        <f>Wh_hp&gt;='2022'!Maxi_hp</f>
        <v>0</v>
      </c>
      <c r="I248" s="385">
        <f>IF(H248,Wh_hp,'2022'!Maxi_hp)</f>
        <v>108.83273565768181</v>
      </c>
      <c r="J248" s="85">
        <f>IF(H248,An,'2022'!An_max)</f>
        <v>2022</v>
      </c>
      <c r="K248" s="193">
        <f t="shared" si="80"/>
        <v>45160</v>
      </c>
      <c r="L248" s="143">
        <f>IF(t&lt;Tvie,1-EXP((T0-t)*PertePVj)+'2022'!Pspv,1-EXP((T0-t)*PertePVj)+Pspv)</f>
        <v>1.0024705184452531E-2</v>
      </c>
      <c r="M248" s="835"/>
      <c r="N248" s="835"/>
      <c r="O248" s="48">
        <f>IF(t&lt;Tnet,'2022'!Resal+('2022'!Salim-'2022'!Resal)*(1-EXP(('2022'!Tnet-t)/('2022'!Tau_j))),Resal+(Salim-Resal)*(1-EXP((Tnet-t)/(Tau_j))))*Salcycl</f>
        <v>4.1073759221629091E-2</v>
      </c>
      <c r="P248" s="165">
        <f>(INDEX(Models!$BJ248:$BT248,,T248)*(1-R248)+INDEX(Models!$BJ248:$BT248,,T248+1)*R248-ERP_i)*Q248*Ramure*Pc/MaxiM</f>
        <v>1.2070109180789589E-4</v>
      </c>
      <c r="Q248" s="301">
        <f t="shared" si="81"/>
        <v>0.5</v>
      </c>
      <c r="R248" s="173">
        <f t="shared" si="82"/>
        <v>0.96594094240640294</v>
      </c>
      <c r="S248" s="801">
        <f t="shared" si="83"/>
        <v>0</v>
      </c>
      <c r="T248" s="172">
        <f t="shared" si="84"/>
        <v>6</v>
      </c>
      <c r="U248" s="247">
        <f t="shared" si="85"/>
        <v>0.96594094240640294</v>
      </c>
      <c r="V248" s="378">
        <f t="shared" si="86"/>
        <v>211.07079769900645</v>
      </c>
      <c r="W248" s="397">
        <f t="shared" si="87"/>
        <v>103.30832219394844</v>
      </c>
      <c r="X248" s="153">
        <f t="shared" si="88"/>
        <v>45160</v>
      </c>
      <c r="Y248" s="380">
        <f t="shared" si="89"/>
        <v>103.30832219394844</v>
      </c>
      <c r="Z248" s="380">
        <f t="shared" si="90"/>
        <v>104.35444473712536</v>
      </c>
      <c r="AA248" s="381">
        <f t="shared" si="91"/>
        <v>108.82426645496709</v>
      </c>
      <c r="AB248" s="193">
        <f t="shared" si="92"/>
        <v>45160</v>
      </c>
      <c r="AC248" s="420">
        <f>IF(OR(t&lt;Tnet,NoTnet),'2022'!Resal_s+('2022'!Salim-'2022'!Resal_s)*(1-EXP(('2022'!Tnet_s-t)/'2022'!Tau_j)),Resal_s+(Salim-Resal_s)*(1-EXP((Tnet_s-t)/Tau_j)))*Salcycl</f>
        <v>4.1073759221629091E-2</v>
      </c>
      <c r="AD248" s="227">
        <f>(INDEX(Models!$BJ248:$BT248,,AH248)*(1-AF248)+INDEX(Models!$BJ248:$BT248,,AH248+1)*AF248-ERP_i)*AE248*Ramure*Pc/MaxiM</f>
        <v>1.2070109180789589E-4</v>
      </c>
      <c r="AE248" s="301">
        <f t="shared" si="93"/>
        <v>0.5</v>
      </c>
      <c r="AF248" s="173">
        <f t="shared" si="94"/>
        <v>0.96594094240640294</v>
      </c>
      <c r="AG248" s="172">
        <f t="shared" si="95"/>
        <v>0</v>
      </c>
      <c r="AH248" s="172">
        <f t="shared" si="96"/>
        <v>6</v>
      </c>
      <c r="AI248" s="221">
        <f t="shared" si="97"/>
        <v>0.96594094240640294</v>
      </c>
      <c r="AJ248" s="261" t="b">
        <f t="shared" si="98"/>
        <v>0</v>
      </c>
      <c r="AK248" s="261" t="b">
        <f t="shared" si="99"/>
        <v>0</v>
      </c>
      <c r="AL248" s="261"/>
      <c r="AM248" s="261"/>
      <c r="AN248" s="75"/>
    </row>
    <row r="249" spans="1:40" s="6" customFormat="1" ht="11.25" customHeight="1" x14ac:dyDescent="0.2">
      <c r="A249" s="56">
        <f t="shared" si="100"/>
        <v>45161</v>
      </c>
      <c r="B249" s="406">
        <f>'2022'!Wh/'2022'!Env_an*'2023'!Env_an</f>
        <v>179.30256416870128</v>
      </c>
      <c r="C249" s="385"/>
      <c r="D249" s="388">
        <f t="shared" si="78"/>
        <v>181.12070032741778</v>
      </c>
      <c r="E249" s="380">
        <f t="shared" si="101"/>
        <v>188.88581093374734</v>
      </c>
      <c r="F249" s="380">
        <f t="shared" si="79"/>
        <v>188.90378353781844</v>
      </c>
      <c r="G249" s="110">
        <f t="shared" si="102"/>
        <v>0.85271599250510943</v>
      </c>
      <c r="H249" s="409" t="b">
        <f>Wh_hp&gt;='2022'!Maxi_hp</f>
        <v>0</v>
      </c>
      <c r="I249" s="385">
        <f>IF(H249,Wh_hp,'2022'!Maxi_hp)</f>
        <v>188.9062372791623</v>
      </c>
      <c r="J249" s="85">
        <f>IF(H249,An,'2022'!An_max)</f>
        <v>2022</v>
      </c>
      <c r="K249" s="193">
        <f t="shared" si="80"/>
        <v>45161</v>
      </c>
      <c r="L249" s="143">
        <f>IF(t&lt;Tvie,1-EXP((T0-t)*PertePVj)+'2022'!Pspv,1-EXP((T0-t)*PertePVj)+Pspv)</f>
        <v>1.0038257114895144E-2</v>
      </c>
      <c r="M249" s="835"/>
      <c r="N249" s="835"/>
      <c r="O249" s="48">
        <f>IF(t&lt;Tnet,'2022'!Resal+('2022'!Salim-'2022'!Resal)*(1-EXP(('2022'!Tnet-t)/('2022'!Tau_j))),Resal+(Salim-Resal)*(1-EXP((Tnet-t)/(Tau_j))))*Salcycl</f>
        <v>4.1110078983398149E-2</v>
      </c>
      <c r="P249" s="165">
        <f>(INDEX(Models!$BJ249:$BT249,,T249)*(1-R249)+INDEX(Models!$BJ249:$BT249,,T249+1)*R249-ERP_i)*Q249*Ramure*Pc/MaxiM</f>
        <v>1.2048954781407265E-4</v>
      </c>
      <c r="Q249" s="301">
        <f t="shared" si="81"/>
        <v>0.5</v>
      </c>
      <c r="R249" s="173">
        <f t="shared" si="82"/>
        <v>0.96685372469078912</v>
      </c>
      <c r="S249" s="801">
        <f t="shared" si="83"/>
        <v>0</v>
      </c>
      <c r="T249" s="172">
        <f t="shared" si="84"/>
        <v>6</v>
      </c>
      <c r="U249" s="247">
        <f t="shared" si="85"/>
        <v>0.96685372469078912</v>
      </c>
      <c r="V249" s="378">
        <f t="shared" si="86"/>
        <v>210.26698262516962</v>
      </c>
      <c r="W249" s="397">
        <f t="shared" si="87"/>
        <v>179.30256416870128</v>
      </c>
      <c r="X249" s="153">
        <f t="shared" si="88"/>
        <v>45161</v>
      </c>
      <c r="Y249" s="380">
        <f t="shared" si="89"/>
        <v>179.30256416870128</v>
      </c>
      <c r="Z249" s="380">
        <f t="shared" si="90"/>
        <v>181.12070032741778</v>
      </c>
      <c r="AA249" s="381">
        <f t="shared" si="91"/>
        <v>188.88581093374734</v>
      </c>
      <c r="AB249" s="193">
        <f t="shared" si="92"/>
        <v>45161</v>
      </c>
      <c r="AC249" s="420">
        <f>IF(OR(t&lt;Tnet,NoTnet),'2022'!Resal_s+('2022'!Salim-'2022'!Resal_s)*(1-EXP(('2022'!Tnet_s-t)/'2022'!Tau_j)),Resal_s+(Salim-Resal_s)*(1-EXP((Tnet_s-t)/Tau_j)))*Salcycl</f>
        <v>4.1110078983398149E-2</v>
      </c>
      <c r="AD249" s="227">
        <f>(INDEX(Models!$BJ249:$BT249,,AH249)*(1-AF249)+INDEX(Models!$BJ249:$BT249,,AH249+1)*AF249-ERP_i)*AE249*Ramure*Pc/MaxiM</f>
        <v>1.2048954781407265E-4</v>
      </c>
      <c r="AE249" s="301">
        <f t="shared" si="93"/>
        <v>0.5</v>
      </c>
      <c r="AF249" s="173">
        <f t="shared" si="94"/>
        <v>0.96685372469078912</v>
      </c>
      <c r="AG249" s="172">
        <f t="shared" si="95"/>
        <v>0</v>
      </c>
      <c r="AH249" s="172">
        <f t="shared" si="96"/>
        <v>6</v>
      </c>
      <c r="AI249" s="221">
        <f t="shared" si="97"/>
        <v>0.96685372469078912</v>
      </c>
      <c r="AJ249" s="261" t="b">
        <f t="shared" si="98"/>
        <v>0</v>
      </c>
      <c r="AK249" s="261" t="b">
        <f t="shared" si="99"/>
        <v>0</v>
      </c>
      <c r="AL249" s="261"/>
      <c r="AM249" s="261"/>
      <c r="AN249" s="75"/>
    </row>
    <row r="250" spans="1:40" s="6" customFormat="1" ht="11.25" x14ac:dyDescent="0.2">
      <c r="A250" s="56">
        <f t="shared" si="100"/>
        <v>45162</v>
      </c>
      <c r="B250" s="406">
        <f>'2022'!Wh/'2022'!Env_an*'2023'!Env_an</f>
        <v>190.9812735327138</v>
      </c>
      <c r="C250" s="385"/>
      <c r="D250" s="388">
        <f t="shared" si="78"/>
        <v>192.92047325501991</v>
      </c>
      <c r="E250" s="380">
        <f t="shared" si="101"/>
        <v>201.19905305647896</v>
      </c>
      <c r="F250" s="380">
        <f t="shared" si="79"/>
        <v>201.22016371544893</v>
      </c>
      <c r="G250" s="110">
        <f t="shared" si="102"/>
        <v>0.91180358090165947</v>
      </c>
      <c r="H250" s="409" t="b">
        <f>Wh_hp&gt;='2022'!Maxi_hp</f>
        <v>0</v>
      </c>
      <c r="I250" s="385">
        <f>IF(H250,Wh_hp,'2022'!Maxi_hp)</f>
        <v>201.22172147178324</v>
      </c>
      <c r="J250" s="85">
        <f>IF(H250,An,'2022'!An_max)</f>
        <v>2022</v>
      </c>
      <c r="K250" s="193">
        <f t="shared" si="80"/>
        <v>45162</v>
      </c>
      <c r="L250" s="143">
        <f>IF(t&lt;Tvie,1-EXP((T0-t)*PertePVj)+'2022'!Pspv,1-EXP((T0-t)*PertePVj)+Pspv)</f>
        <v>1.0051808859823264E-2</v>
      </c>
      <c r="M250" s="835"/>
      <c r="N250" s="835"/>
      <c r="O250" s="48">
        <f>IF(t&lt;Tnet,'2022'!Resal+('2022'!Salim-'2022'!Resal)*(1-EXP(('2022'!Tnet-t)/('2022'!Tau_j))),Resal+(Salim-Resal)*(1-EXP((Tnet-t)/(Tau_j))))*Salcycl</f>
        <v>4.1146216523867761E-2</v>
      </c>
      <c r="P250" s="165">
        <f>(INDEX(Models!$BJ250:$BT250,,T250)*(1-R250)+INDEX(Models!$BJ250:$BT250,,T250+1)*R250-ERP_i)*Q250*Ramure*Pc/MaxiM</f>
        <v>1.2003462196138969E-4</v>
      </c>
      <c r="Q250" s="301">
        <f t="shared" si="81"/>
        <v>0.5</v>
      </c>
      <c r="R250" s="173">
        <f t="shared" si="82"/>
        <v>0.96773304624045342</v>
      </c>
      <c r="S250" s="801">
        <f t="shared" si="83"/>
        <v>0</v>
      </c>
      <c r="T250" s="172">
        <f t="shared" si="84"/>
        <v>6</v>
      </c>
      <c r="U250" s="247">
        <f t="shared" si="85"/>
        <v>0.96773304624045342</v>
      </c>
      <c r="V250" s="378">
        <f t="shared" si="86"/>
        <v>209.45123415694886</v>
      </c>
      <c r="W250" s="397">
        <f t="shared" si="87"/>
        <v>190.9812735327138</v>
      </c>
      <c r="X250" s="153">
        <f t="shared" si="88"/>
        <v>45162</v>
      </c>
      <c r="Y250" s="380">
        <f t="shared" si="89"/>
        <v>190.9812735327138</v>
      </c>
      <c r="Z250" s="380">
        <f t="shared" si="90"/>
        <v>192.92047325501991</v>
      </c>
      <c r="AA250" s="381">
        <f t="shared" si="91"/>
        <v>201.19905305647896</v>
      </c>
      <c r="AB250" s="193">
        <f t="shared" si="92"/>
        <v>45162</v>
      </c>
      <c r="AC250" s="420">
        <f>IF(OR(t&lt;Tnet,NoTnet),'2022'!Resal_s+('2022'!Salim-'2022'!Resal_s)*(1-EXP(('2022'!Tnet_s-t)/'2022'!Tau_j)),Resal_s+(Salim-Resal_s)*(1-EXP((Tnet_s-t)/Tau_j)))*Salcycl</f>
        <v>4.1146216523867761E-2</v>
      </c>
      <c r="AD250" s="227">
        <f>(INDEX(Models!$BJ250:$BT250,,AH250)*(1-AF250)+INDEX(Models!$BJ250:$BT250,,AH250+1)*AF250-ERP_i)*AE250*Ramure*Pc/MaxiM</f>
        <v>1.2003462196138969E-4</v>
      </c>
      <c r="AE250" s="301">
        <f t="shared" si="93"/>
        <v>0.5</v>
      </c>
      <c r="AF250" s="173">
        <f t="shared" si="94"/>
        <v>0.96773304624045342</v>
      </c>
      <c r="AG250" s="172">
        <f t="shared" si="95"/>
        <v>0</v>
      </c>
      <c r="AH250" s="172">
        <f t="shared" si="96"/>
        <v>6</v>
      </c>
      <c r="AI250" s="221">
        <f t="shared" si="97"/>
        <v>0.96773304624045342</v>
      </c>
      <c r="AJ250" s="261" t="b">
        <f t="shared" si="98"/>
        <v>0</v>
      </c>
      <c r="AK250" s="261" t="b">
        <f t="shared" si="99"/>
        <v>0</v>
      </c>
      <c r="AL250" s="261"/>
      <c r="AM250" s="261"/>
      <c r="AN250" s="75"/>
    </row>
    <row r="251" spans="1:40" s="6" customFormat="1" ht="11.25" x14ac:dyDescent="0.2">
      <c r="A251" s="56">
        <f t="shared" si="100"/>
        <v>45163</v>
      </c>
      <c r="B251" s="406">
        <f>'2022'!Wh/'2022'!Env_an*'2023'!Env_an</f>
        <v>133.778220304043</v>
      </c>
      <c r="C251" s="385"/>
      <c r="D251" s="388">
        <f t="shared" si="78"/>
        <v>135.13843738279363</v>
      </c>
      <c r="E251" s="380">
        <f t="shared" si="101"/>
        <v>140.94276573672317</v>
      </c>
      <c r="F251" s="380">
        <f t="shared" si="79"/>
        <v>140.95096537674229</v>
      </c>
      <c r="G251" s="110">
        <f t="shared" si="102"/>
        <v>0.641202945650584</v>
      </c>
      <c r="H251" s="409" t="b">
        <f>Wh_hp&gt;='2022'!Maxi_hp</f>
        <v>0</v>
      </c>
      <c r="I251" s="385">
        <f>IF(H251,Wh_hp,'2022'!Maxi_hp)</f>
        <v>140.95537461468533</v>
      </c>
      <c r="J251" s="85">
        <f>IF(H251,An,'2022'!An_max)</f>
        <v>2022</v>
      </c>
      <c r="K251" s="193">
        <f t="shared" si="80"/>
        <v>45163</v>
      </c>
      <c r="L251" s="143">
        <f>IF(t&lt;Tvie,1-EXP((T0-t)*PertePVj)+'2022'!Pspv,1-EXP((T0-t)*PertePVj)+Pspv)</f>
        <v>1.0065360419239333E-2</v>
      </c>
      <c r="M251" s="835"/>
      <c r="N251" s="835"/>
      <c r="O251" s="48">
        <f>IF(t&lt;Tnet,'2022'!Resal+('2022'!Salim-'2022'!Resal)*(1-EXP(('2022'!Tnet-t)/('2022'!Tau_j))),Resal+(Salim-Resal)*(1-EXP((Tnet-t)/(Tau_j))))*Salcycl</f>
        <v>4.1182165850014975E-2</v>
      </c>
      <c r="P251" s="165">
        <f>(INDEX(Models!$BJ251:$BT251,,T251)*(1-R251)+INDEX(Models!$BJ251:$BT251,,T251+1)*R251-ERP_i)*Q251*Ramure*Pc/MaxiM</f>
        <v>1.1933341842683499E-4</v>
      </c>
      <c r="Q251" s="301">
        <f t="shared" si="81"/>
        <v>0.5</v>
      </c>
      <c r="R251" s="173">
        <f t="shared" si="82"/>
        <v>0.96858001140841798</v>
      </c>
      <c r="S251" s="801">
        <f t="shared" si="83"/>
        <v>0</v>
      </c>
      <c r="T251" s="172">
        <f t="shared" si="84"/>
        <v>6</v>
      </c>
      <c r="U251" s="247">
        <f t="shared" si="85"/>
        <v>0.96858001140841798</v>
      </c>
      <c r="V251" s="378">
        <f t="shared" si="86"/>
        <v>208.62355498825184</v>
      </c>
      <c r="W251" s="397">
        <f t="shared" si="87"/>
        <v>133.778220304043</v>
      </c>
      <c r="X251" s="153">
        <f t="shared" si="88"/>
        <v>45163</v>
      </c>
      <c r="Y251" s="380">
        <f t="shared" si="89"/>
        <v>133.778220304043</v>
      </c>
      <c r="Z251" s="380">
        <f t="shared" si="90"/>
        <v>135.13843738279363</v>
      </c>
      <c r="AA251" s="381">
        <f t="shared" si="91"/>
        <v>140.94276573672317</v>
      </c>
      <c r="AB251" s="193">
        <f t="shared" si="92"/>
        <v>45163</v>
      </c>
      <c r="AC251" s="420">
        <f>IF(OR(t&lt;Tnet,NoTnet),'2022'!Resal_s+('2022'!Salim-'2022'!Resal_s)*(1-EXP(('2022'!Tnet_s-t)/'2022'!Tau_j)),Resal_s+(Salim-Resal_s)*(1-EXP((Tnet_s-t)/Tau_j)))*Salcycl</f>
        <v>4.1182165850014975E-2</v>
      </c>
      <c r="AD251" s="227">
        <f>(INDEX(Models!$BJ251:$BT251,,AH251)*(1-AF251)+INDEX(Models!$BJ251:$BT251,,AH251+1)*AF251-ERP_i)*AE251*Ramure*Pc/MaxiM</f>
        <v>1.1933341842683499E-4</v>
      </c>
      <c r="AE251" s="301">
        <f t="shared" si="93"/>
        <v>0.5</v>
      </c>
      <c r="AF251" s="173">
        <f t="shared" si="94"/>
        <v>0.96858001140841798</v>
      </c>
      <c r="AG251" s="172">
        <f t="shared" si="95"/>
        <v>0</v>
      </c>
      <c r="AH251" s="172">
        <f t="shared" si="96"/>
        <v>6</v>
      </c>
      <c r="AI251" s="221">
        <f t="shared" si="97"/>
        <v>0.96858001140841798</v>
      </c>
      <c r="AJ251" s="261" t="b">
        <f t="shared" si="98"/>
        <v>0</v>
      </c>
      <c r="AK251" s="261" t="b">
        <f t="shared" si="99"/>
        <v>0</v>
      </c>
      <c r="AL251" s="261"/>
      <c r="AM251" s="261"/>
      <c r="AN251" s="75"/>
    </row>
    <row r="252" spans="1:40" s="6" customFormat="1" ht="11.25" customHeight="1" x14ac:dyDescent="0.2">
      <c r="A252" s="56">
        <f t="shared" si="100"/>
        <v>45164</v>
      </c>
      <c r="B252" s="406">
        <f>'2022'!Wh/'2022'!Env_an*'2023'!Env_an</f>
        <v>180.63550604001668</v>
      </c>
      <c r="C252" s="385"/>
      <c r="D252" s="388">
        <f t="shared" si="78"/>
        <v>182.47465196162287</v>
      </c>
      <c r="E252" s="380">
        <f t="shared" si="101"/>
        <v>190.31921425177291</v>
      </c>
      <c r="F252" s="380">
        <f t="shared" si="79"/>
        <v>190.33754116816527</v>
      </c>
      <c r="G252" s="110">
        <f t="shared" si="102"/>
        <v>0.86932371880770276</v>
      </c>
      <c r="H252" s="409" t="b">
        <f>Wh_hp&gt;='2022'!Maxi_hp</f>
        <v>0</v>
      </c>
      <c r="I252" s="385">
        <f>IF(H252,Wh_hp,'2022'!Maxi_hp)</f>
        <v>190.33969049923974</v>
      </c>
      <c r="J252" s="85">
        <f>IF(H252,An,'2022'!An_max)</f>
        <v>2022</v>
      </c>
      <c r="K252" s="193">
        <f t="shared" si="80"/>
        <v>45164</v>
      </c>
      <c r="L252" s="143">
        <f>IF(t&lt;Tvie,1-EXP((T0-t)*PertePVj)+'2022'!Pspv,1-EXP((T0-t)*PertePVj)+Pspv)</f>
        <v>1.0078911793145906E-2</v>
      </c>
      <c r="M252" s="835"/>
      <c r="N252" s="835"/>
      <c r="O252" s="48">
        <f>IF(t&lt;Tnet,'2022'!Resal+('2022'!Salim-'2022'!Resal)*(1-EXP(('2022'!Tnet-t)/('2022'!Tau_j))),Resal+(Salim-Resal)*(1-EXP((Tnet-t)/(Tau_j))))*Salcycl</f>
        <v>4.1217920749570119E-2</v>
      </c>
      <c r="P252" s="165">
        <f>(INDEX(Models!$BJ252:$BT252,,T252)*(1-R252)+INDEX(Models!$BJ252:$BT252,,T252+1)*R252-ERP_i)*Q252*Ramure*Pc/MaxiM</f>
        <v>1.1838292105437557E-4</v>
      </c>
      <c r="Q252" s="301">
        <f t="shared" si="81"/>
        <v>0.5</v>
      </c>
      <c r="R252" s="173">
        <f t="shared" si="82"/>
        <v>0.96939569740982168</v>
      </c>
      <c r="S252" s="801">
        <f t="shared" si="83"/>
        <v>0</v>
      </c>
      <c r="T252" s="172">
        <f t="shared" si="84"/>
        <v>6</v>
      </c>
      <c r="U252" s="247">
        <f t="shared" si="85"/>
        <v>0.96939569740982168</v>
      </c>
      <c r="V252" s="378">
        <f t="shared" si="86"/>
        <v>207.78394783351666</v>
      </c>
      <c r="W252" s="397">
        <f t="shared" si="87"/>
        <v>180.63550604001668</v>
      </c>
      <c r="X252" s="153">
        <f t="shared" si="88"/>
        <v>45164</v>
      </c>
      <c r="Y252" s="380">
        <f t="shared" si="89"/>
        <v>180.63550604001668</v>
      </c>
      <c r="Z252" s="380">
        <f t="shared" si="90"/>
        <v>182.47465196162287</v>
      </c>
      <c r="AA252" s="381">
        <f t="shared" si="91"/>
        <v>190.31921425177291</v>
      </c>
      <c r="AB252" s="193">
        <f t="shared" si="92"/>
        <v>45164</v>
      </c>
      <c r="AC252" s="420">
        <f>IF(OR(t&lt;Tnet,NoTnet),'2022'!Resal_s+('2022'!Salim-'2022'!Resal_s)*(1-EXP(('2022'!Tnet_s-t)/'2022'!Tau_j)),Resal_s+(Salim-Resal_s)*(1-EXP((Tnet_s-t)/Tau_j)))*Salcycl</f>
        <v>4.1217920749570119E-2</v>
      </c>
      <c r="AD252" s="227">
        <f>(INDEX(Models!$BJ252:$BT252,,AH252)*(1-AF252)+INDEX(Models!$BJ252:$BT252,,AH252+1)*AF252-ERP_i)*AE252*Ramure*Pc/MaxiM</f>
        <v>1.1838292105437557E-4</v>
      </c>
      <c r="AE252" s="301">
        <f t="shared" si="93"/>
        <v>0.5</v>
      </c>
      <c r="AF252" s="173">
        <f t="shared" si="94"/>
        <v>0.96939569740982168</v>
      </c>
      <c r="AG252" s="172">
        <f t="shared" si="95"/>
        <v>0</v>
      </c>
      <c r="AH252" s="172">
        <f t="shared" si="96"/>
        <v>6</v>
      </c>
      <c r="AI252" s="221">
        <f t="shared" si="97"/>
        <v>0.96939569740982168</v>
      </c>
      <c r="AJ252" s="261" t="b">
        <f t="shared" si="98"/>
        <v>0</v>
      </c>
      <c r="AK252" s="261" t="b">
        <f t="shared" si="99"/>
        <v>0</v>
      </c>
      <c r="AL252" s="261"/>
      <c r="AM252" s="261"/>
      <c r="AN252" s="75"/>
    </row>
    <row r="253" spans="1:40" s="6" customFormat="1" ht="11.25" customHeight="1" x14ac:dyDescent="0.2">
      <c r="A253" s="56">
        <f t="shared" si="100"/>
        <v>45165</v>
      </c>
      <c r="B253" s="406">
        <f>'2022'!Wh/'2022'!Env_an*'2023'!Env_an</f>
        <v>197.60163450452774</v>
      </c>
      <c r="C253" s="385"/>
      <c r="D253" s="388">
        <f t="shared" si="78"/>
        <v>199.61625416015389</v>
      </c>
      <c r="E253" s="380">
        <f t="shared" si="101"/>
        <v>208.2054525478801</v>
      </c>
      <c r="F253" s="380">
        <f t="shared" si="79"/>
        <v>208.22828099449819</v>
      </c>
      <c r="G253" s="110">
        <f t="shared" si="102"/>
        <v>0.95490183316479538</v>
      </c>
      <c r="H253" s="409" t="b">
        <f>Wh_hp&gt;='2022'!Maxi_hp</f>
        <v>0</v>
      </c>
      <c r="I253" s="385">
        <f>IF(H253,Wh_hp,'2022'!Maxi_hp)</f>
        <v>208.22908354447418</v>
      </c>
      <c r="J253" s="85">
        <f>IF(H253,An,'2022'!An_max)</f>
        <v>2022</v>
      </c>
      <c r="K253" s="193">
        <f t="shared" si="80"/>
        <v>45165</v>
      </c>
      <c r="L253" s="143">
        <f>IF(t&lt;Tvie,1-EXP((T0-t)*PertePVj)+'2022'!Pspv,1-EXP((T0-t)*PertePVj)+Pspv)</f>
        <v>1.0092462981545647E-2</v>
      </c>
      <c r="M253" s="835"/>
      <c r="N253" s="835"/>
      <c r="O253" s="48">
        <f>IF(t&lt;Tnet,'2022'!Resal+('2022'!Salim-'2022'!Resal)*(1-EXP(('2022'!Tnet-t)/('2022'!Tau_j))),Resal+(Salim-Resal)*(1-EXP((Tnet-t)/(Tau_j))))*Salcycl</f>
        <v>4.1253474789527872E-2</v>
      </c>
      <c r="P253" s="165">
        <f>(INDEX(Models!$BJ253:$BT253,,T253)*(1-R253)+INDEX(Models!$BJ253:$BT253,,T253+1)*R253-ERP_i)*Q253*Ramure*Pc/MaxiM</f>
        <v>1.171800557378058E-4</v>
      </c>
      <c r="Q253" s="301">
        <f t="shared" si="81"/>
        <v>0.5</v>
      </c>
      <c r="R253" s="173">
        <f t="shared" si="82"/>
        <v>0.9701811542450689</v>
      </c>
      <c r="S253" s="801">
        <f t="shared" si="83"/>
        <v>0</v>
      </c>
      <c r="T253" s="172">
        <f t="shared" si="84"/>
        <v>6</v>
      </c>
      <c r="U253" s="247">
        <f t="shared" si="85"/>
        <v>0.9701811542450689</v>
      </c>
      <c r="V253" s="378">
        <f t="shared" si="86"/>
        <v>206.93241539133626</v>
      </c>
      <c r="W253" s="397">
        <f t="shared" si="87"/>
        <v>197.60163450452774</v>
      </c>
      <c r="X253" s="153">
        <f t="shared" si="88"/>
        <v>45165</v>
      </c>
      <c r="Y253" s="380">
        <f t="shared" si="89"/>
        <v>197.60163450452774</v>
      </c>
      <c r="Z253" s="380">
        <f t="shared" si="90"/>
        <v>199.61625416015389</v>
      </c>
      <c r="AA253" s="381">
        <f t="shared" si="91"/>
        <v>208.2054525478801</v>
      </c>
      <c r="AB253" s="193">
        <f t="shared" si="92"/>
        <v>45165</v>
      </c>
      <c r="AC253" s="420">
        <f>IF(OR(t&lt;Tnet,NoTnet),'2022'!Resal_s+('2022'!Salim-'2022'!Resal_s)*(1-EXP(('2022'!Tnet_s-t)/'2022'!Tau_j)),Resal_s+(Salim-Resal_s)*(1-EXP((Tnet_s-t)/Tau_j)))*Salcycl</f>
        <v>4.1253474789527872E-2</v>
      </c>
      <c r="AD253" s="227">
        <f>(INDEX(Models!$BJ253:$BT253,,AH253)*(1-AF253)+INDEX(Models!$BJ253:$BT253,,AH253+1)*AF253-ERP_i)*AE253*Ramure*Pc/MaxiM</f>
        <v>1.171800557378058E-4</v>
      </c>
      <c r="AE253" s="301">
        <f t="shared" si="93"/>
        <v>0.5</v>
      </c>
      <c r="AF253" s="173">
        <f t="shared" si="94"/>
        <v>0.9701811542450689</v>
      </c>
      <c r="AG253" s="172">
        <f t="shared" si="95"/>
        <v>0</v>
      </c>
      <c r="AH253" s="172">
        <f t="shared" si="96"/>
        <v>6</v>
      </c>
      <c r="AI253" s="221">
        <f t="shared" si="97"/>
        <v>0.9701811542450689</v>
      </c>
      <c r="AJ253" s="261" t="b">
        <f t="shared" si="98"/>
        <v>0</v>
      </c>
      <c r="AK253" s="261" t="b">
        <f t="shared" si="99"/>
        <v>0</v>
      </c>
      <c r="AL253" s="261"/>
      <c r="AM253" s="261"/>
      <c r="AN253" s="75"/>
    </row>
    <row r="254" spans="1:40" s="6" customFormat="1" ht="11.25" x14ac:dyDescent="0.2">
      <c r="A254" s="56">
        <f t="shared" si="100"/>
        <v>45166</v>
      </c>
      <c r="B254" s="406">
        <f>'2022'!Wh/'2022'!Env_an*'2023'!Env_an</f>
        <v>194.60429983782672</v>
      </c>
      <c r="C254" s="385"/>
      <c r="D254" s="388">
        <f t="shared" si="78"/>
        <v>196.59105175608971</v>
      </c>
      <c r="E254" s="380">
        <f t="shared" si="101"/>
        <v>205.05764001299701</v>
      </c>
      <c r="F254" s="380">
        <f t="shared" si="79"/>
        <v>205.07950255478212</v>
      </c>
      <c r="G254" s="110">
        <f t="shared" si="102"/>
        <v>0.94435632226120758</v>
      </c>
      <c r="H254" s="409" t="b">
        <f>Wh_hp&gt;='2022'!Maxi_hp</f>
        <v>0</v>
      </c>
      <c r="I254" s="385">
        <f>IF(H254,Wh_hp,'2022'!Maxi_hp)</f>
        <v>205.08046560040967</v>
      </c>
      <c r="J254" s="85">
        <f>IF(H254,An,'2022'!An_max)</f>
        <v>2022</v>
      </c>
      <c r="K254" s="193">
        <f t="shared" si="80"/>
        <v>45166</v>
      </c>
      <c r="L254" s="143">
        <f>IF(t&lt;Tvie,1-EXP((T0-t)*PertePVj)+'2022'!Pspv,1-EXP((T0-t)*PertePVj)+Pspv)</f>
        <v>1.0106013984440887E-2</v>
      </c>
      <c r="M254" s="835"/>
      <c r="N254" s="835"/>
      <c r="O254" s="48">
        <f>IF(t&lt;Tnet,'2022'!Resal+('2022'!Salim-'2022'!Resal)*(1-EXP(('2022'!Tnet-t)/('2022'!Tau_j))),Resal+(Salim-Resal)*(1-EXP((Tnet-t)/(Tau_j))))*Salcycl</f>
        <v>4.1288821310782091E-2</v>
      </c>
      <c r="P254" s="165">
        <f>(INDEX(Models!$BJ254:$BT254,,T254)*(1-R254)+INDEX(Models!$BJ254:$BT254,,T254+1)*R254-ERP_i)*Q254*Ramure*Pc/MaxiM</f>
        <v>1.1580957930743296E-4</v>
      </c>
      <c r="Q254" s="301">
        <f t="shared" si="81"/>
        <v>0.5</v>
      </c>
      <c r="R254" s="173">
        <f t="shared" si="82"/>
        <v>0.97093740469762868</v>
      </c>
      <c r="S254" s="801">
        <f t="shared" si="83"/>
        <v>0</v>
      </c>
      <c r="T254" s="172">
        <f t="shared" si="84"/>
        <v>6</v>
      </c>
      <c r="U254" s="247">
        <f t="shared" si="85"/>
        <v>0.97093740469762868</v>
      </c>
      <c r="V254" s="378">
        <f t="shared" si="86"/>
        <v>206.06894224997365</v>
      </c>
      <c r="W254" s="397">
        <f t="shared" si="87"/>
        <v>194.60429983782672</v>
      </c>
      <c r="X254" s="153">
        <f t="shared" si="88"/>
        <v>45166</v>
      </c>
      <c r="Y254" s="380">
        <f t="shared" si="89"/>
        <v>194.60429983782672</v>
      </c>
      <c r="Z254" s="380">
        <f t="shared" si="90"/>
        <v>196.59105175608971</v>
      </c>
      <c r="AA254" s="381">
        <f t="shared" si="91"/>
        <v>205.05764001299701</v>
      </c>
      <c r="AB254" s="193">
        <f t="shared" si="92"/>
        <v>45166</v>
      </c>
      <c r="AC254" s="420">
        <f>IF(OR(t&lt;Tnet,NoTnet),'2022'!Resal_s+('2022'!Salim-'2022'!Resal_s)*(1-EXP(('2022'!Tnet_s-t)/'2022'!Tau_j)),Resal_s+(Salim-Resal_s)*(1-EXP((Tnet_s-t)/Tau_j)))*Salcycl</f>
        <v>4.1288821310782091E-2</v>
      </c>
      <c r="AD254" s="227">
        <f>(INDEX(Models!$BJ254:$BT254,,AH254)*(1-AF254)+INDEX(Models!$BJ254:$BT254,,AH254+1)*AF254-ERP_i)*AE254*Ramure*Pc/MaxiM</f>
        <v>1.1580957930743296E-4</v>
      </c>
      <c r="AE254" s="301">
        <f t="shared" si="93"/>
        <v>0.5</v>
      </c>
      <c r="AF254" s="173">
        <f t="shared" si="94"/>
        <v>0.97093740469762868</v>
      </c>
      <c r="AG254" s="172">
        <f t="shared" si="95"/>
        <v>0</v>
      </c>
      <c r="AH254" s="172">
        <f t="shared" si="96"/>
        <v>6</v>
      </c>
      <c r="AI254" s="221">
        <f t="shared" si="97"/>
        <v>0.97093740469762868</v>
      </c>
      <c r="AJ254" s="261" t="b">
        <f t="shared" si="98"/>
        <v>0</v>
      </c>
      <c r="AK254" s="261" t="b">
        <f t="shared" si="99"/>
        <v>0</v>
      </c>
      <c r="AL254" s="261"/>
      <c r="AM254" s="261"/>
      <c r="AN254" s="75"/>
    </row>
    <row r="255" spans="1:40" s="6" customFormat="1" ht="11.25" x14ac:dyDescent="0.2">
      <c r="A255" s="56">
        <f t="shared" si="100"/>
        <v>45167</v>
      </c>
      <c r="B255" s="406">
        <f>'2022'!Wh/'2022'!Env_an*'2023'!Env_an</f>
        <v>131.00274369776466</v>
      </c>
      <c r="C255" s="385"/>
      <c r="D255" s="388">
        <f t="shared" si="78"/>
        <v>132.34198701132934</v>
      </c>
      <c r="E255" s="380">
        <f t="shared" si="101"/>
        <v>138.04661906734358</v>
      </c>
      <c r="F255" s="380">
        <f t="shared" si="79"/>
        <v>138.05425446514482</v>
      </c>
      <c r="G255" s="110">
        <f t="shared" si="102"/>
        <v>0.63839741125551053</v>
      </c>
      <c r="H255" s="409" t="b">
        <f>Wh_hp&gt;='2022'!Maxi_hp</f>
        <v>0</v>
      </c>
      <c r="I255" s="385">
        <f>IF(H255,Wh_hp,'2022'!Maxi_hp)</f>
        <v>138.05841280962883</v>
      </c>
      <c r="J255" s="85">
        <f>IF(H255,An,'2022'!An_max)</f>
        <v>2022</v>
      </c>
      <c r="K255" s="193">
        <f t="shared" si="80"/>
        <v>45167</v>
      </c>
      <c r="L255" s="143">
        <f>IF(t&lt;Tvie,1-EXP((T0-t)*PertePVj)+'2022'!Pspv,1-EXP((T0-t)*PertePVj)+Pspv)</f>
        <v>1.0119564801834402E-2</v>
      </c>
      <c r="M255" s="835"/>
      <c r="N255" s="835"/>
      <c r="O255" s="48">
        <f>IF(t&lt;Tnet,'2022'!Resal+('2022'!Salim-'2022'!Resal)*(1-EXP(('2022'!Tnet-t)/('2022'!Tau_j))),Resal+(Salim-Resal)*(1-EXP((Tnet-t)/(Tau_j))))*Salcycl</f>
        <v>4.1323953419180534E-2</v>
      </c>
      <c r="P255" s="165">
        <f>(INDEX(Models!$BJ255:$BT255,,T255)*(1-R255)+INDEX(Models!$BJ255:$BT255,,T255+1)*R255-ERP_i)*Q255*Ramure*Pc/MaxiM</f>
        <v>1.1439432184674243E-4</v>
      </c>
      <c r="Q255" s="301">
        <f t="shared" si="81"/>
        <v>0.5</v>
      </c>
      <c r="R255" s="173">
        <f t="shared" si="82"/>
        <v>0.97166544439992331</v>
      </c>
      <c r="S255" s="801">
        <f t="shared" si="83"/>
        <v>0</v>
      </c>
      <c r="T255" s="172">
        <f t="shared" si="84"/>
        <v>6</v>
      </c>
      <c r="U255" s="247">
        <f t="shared" si="85"/>
        <v>0.97166544439992331</v>
      </c>
      <c r="V255" s="378">
        <f t="shared" si="86"/>
        <v>205.19350546908959</v>
      </c>
      <c r="W255" s="397">
        <f t="shared" si="87"/>
        <v>131.00274369776466</v>
      </c>
      <c r="X255" s="153">
        <f t="shared" si="88"/>
        <v>45167</v>
      </c>
      <c r="Y255" s="380">
        <f t="shared" si="89"/>
        <v>131.00274369776466</v>
      </c>
      <c r="Z255" s="380">
        <f t="shared" si="90"/>
        <v>132.34198701132934</v>
      </c>
      <c r="AA255" s="381">
        <f t="shared" si="91"/>
        <v>138.04661906734358</v>
      </c>
      <c r="AB255" s="193">
        <f t="shared" si="92"/>
        <v>45167</v>
      </c>
      <c r="AC255" s="420">
        <f>IF(OR(t&lt;Tnet,NoTnet),'2022'!Resal_s+('2022'!Salim-'2022'!Resal_s)*(1-EXP(('2022'!Tnet_s-t)/'2022'!Tau_j)),Resal_s+(Salim-Resal_s)*(1-EXP((Tnet_s-t)/Tau_j)))*Salcycl</f>
        <v>4.1323953419180534E-2</v>
      </c>
      <c r="AD255" s="227">
        <f>(INDEX(Models!$BJ255:$BT255,,AH255)*(1-AF255)+INDEX(Models!$BJ255:$BT255,,AH255+1)*AF255-ERP_i)*AE255*Ramure*Pc/MaxiM</f>
        <v>1.1439432184674243E-4</v>
      </c>
      <c r="AE255" s="301">
        <f t="shared" si="93"/>
        <v>0.5</v>
      </c>
      <c r="AF255" s="173">
        <f t="shared" si="94"/>
        <v>0.97166544439992331</v>
      </c>
      <c r="AG255" s="172">
        <f t="shared" si="95"/>
        <v>0</v>
      </c>
      <c r="AH255" s="172">
        <f t="shared" si="96"/>
        <v>6</v>
      </c>
      <c r="AI255" s="221">
        <f t="shared" si="97"/>
        <v>0.97166544439992331</v>
      </c>
      <c r="AJ255" s="261" t="b">
        <f t="shared" si="98"/>
        <v>0</v>
      </c>
      <c r="AK255" s="261" t="b">
        <f t="shared" si="99"/>
        <v>0</v>
      </c>
      <c r="AL255" s="261"/>
      <c r="AM255" s="261"/>
      <c r="AN255" s="75"/>
    </row>
    <row r="256" spans="1:40" s="6" customFormat="1" ht="11.25" customHeight="1" x14ac:dyDescent="0.2">
      <c r="A256" s="56">
        <f t="shared" si="100"/>
        <v>45168</v>
      </c>
      <c r="B256" s="406">
        <f>'2022'!Wh/'2022'!Env_an*'2023'!Env_an</f>
        <v>194.52800364864524</v>
      </c>
      <c r="C256" s="385"/>
      <c r="D256" s="388">
        <f t="shared" si="78"/>
        <v>196.51935697786405</v>
      </c>
      <c r="E256" s="380">
        <f t="shared" si="101"/>
        <v>204.99783453106784</v>
      </c>
      <c r="F256" s="380">
        <f t="shared" si="79"/>
        <v>205.01940509753746</v>
      </c>
      <c r="G256" s="110">
        <f t="shared" si="102"/>
        <v>0.95213257983538824</v>
      </c>
      <c r="H256" s="409" t="b">
        <f>Wh_hp&gt;='2022'!Maxi_hp</f>
        <v>0</v>
      </c>
      <c r="I256" s="385">
        <f>IF(H256,Wh_hp,'2022'!Maxi_hp)</f>
        <v>205.02021150821608</v>
      </c>
      <c r="J256" s="85">
        <f>IF(H256,An,'2022'!An_max)</f>
        <v>2022</v>
      </c>
      <c r="K256" s="193">
        <f t="shared" si="80"/>
        <v>45168</v>
      </c>
      <c r="L256" s="143">
        <f>IF(t&lt;Tvie,1-EXP((T0-t)*PertePVj)+'2022'!Pspv,1-EXP((T0-t)*PertePVj)+Pspv)</f>
        <v>1.0133115433728523E-2</v>
      </c>
      <c r="M256" s="835"/>
      <c r="N256" s="835"/>
      <c r="O256" s="48">
        <f>IF(t&lt;Tnet,'2022'!Resal+('2022'!Salim-'2022'!Resal)*(1-EXP(('2022'!Tnet-t)/('2022'!Tau_j))),Resal+(Salim-Resal)*(1-EXP((Tnet-t)/(Tau_j))))*Salcycl</f>
        <v>4.1358863973359979E-2</v>
      </c>
      <c r="P256" s="165">
        <f>(INDEX(Models!$BJ256:$BT256,,T256)*(1-R256)+INDEX(Models!$BJ256:$BT256,,T256+1)*R256-ERP_i)*Q256*Ramure*Pc/MaxiM</f>
        <v>1.1293377026226856E-4</v>
      </c>
      <c r="Q256" s="301">
        <f t="shared" si="81"/>
        <v>0.5</v>
      </c>
      <c r="R256" s="173">
        <f t="shared" si="82"/>
        <v>0.97236624196109811</v>
      </c>
      <c r="S256" s="801">
        <f t="shared" si="83"/>
        <v>0</v>
      </c>
      <c r="T256" s="172">
        <f t="shared" si="84"/>
        <v>6</v>
      </c>
      <c r="U256" s="247">
        <f t="shared" si="85"/>
        <v>0.97236624196109811</v>
      </c>
      <c r="V256" s="378">
        <f t="shared" si="86"/>
        <v>204.30610775358249</v>
      </c>
      <c r="W256" s="397">
        <f t="shared" si="87"/>
        <v>194.52800364864524</v>
      </c>
      <c r="X256" s="153">
        <f t="shared" si="88"/>
        <v>45168</v>
      </c>
      <c r="Y256" s="380">
        <f t="shared" si="89"/>
        <v>194.52800364864524</v>
      </c>
      <c r="Z256" s="380">
        <f t="shared" si="90"/>
        <v>196.51935697786405</v>
      </c>
      <c r="AA256" s="381">
        <f t="shared" si="91"/>
        <v>204.99783453106784</v>
      </c>
      <c r="AB256" s="193">
        <f t="shared" si="92"/>
        <v>45168</v>
      </c>
      <c r="AC256" s="420">
        <f>IF(OR(t&lt;Tnet,NoTnet),'2022'!Resal_s+('2022'!Salim-'2022'!Resal_s)*(1-EXP(('2022'!Tnet_s-t)/'2022'!Tau_j)),Resal_s+(Salim-Resal_s)*(1-EXP((Tnet_s-t)/Tau_j)))*Salcycl</f>
        <v>4.1358863973359979E-2</v>
      </c>
      <c r="AD256" s="227">
        <f>(INDEX(Models!$BJ256:$BT256,,AH256)*(1-AF256)+INDEX(Models!$BJ256:$BT256,,AH256+1)*AF256-ERP_i)*AE256*Ramure*Pc/MaxiM</f>
        <v>1.1293377026226856E-4</v>
      </c>
      <c r="AE256" s="301">
        <f t="shared" si="93"/>
        <v>0.5</v>
      </c>
      <c r="AF256" s="173">
        <f t="shared" si="94"/>
        <v>0.97236624196109811</v>
      </c>
      <c r="AG256" s="172">
        <f t="shared" si="95"/>
        <v>0</v>
      </c>
      <c r="AH256" s="172">
        <f t="shared" si="96"/>
        <v>6</v>
      </c>
      <c r="AI256" s="221">
        <f t="shared" si="97"/>
        <v>0.97236624196109811</v>
      </c>
      <c r="AJ256" s="261" t="b">
        <f t="shared" si="98"/>
        <v>0</v>
      </c>
      <c r="AK256" s="261" t="b">
        <f t="shared" si="99"/>
        <v>0</v>
      </c>
      <c r="AL256" s="261"/>
      <c r="AM256" s="261"/>
      <c r="AN256" s="75"/>
    </row>
    <row r="257" spans="1:40" s="6" customFormat="1" ht="11.25" x14ac:dyDescent="0.2">
      <c r="A257" s="56">
        <f t="shared" si="100"/>
        <v>45169</v>
      </c>
      <c r="B257" s="406">
        <f>'2022'!Wh/'2022'!Env_an*'2023'!Env_an</f>
        <v>86.54000946759578</v>
      </c>
      <c r="C257" s="385"/>
      <c r="D257" s="388">
        <f t="shared" si="78"/>
        <v>87.427103071327878</v>
      </c>
      <c r="E257" s="380">
        <f t="shared" si="101"/>
        <v>91.202289184766116</v>
      </c>
      <c r="F257" s="380">
        <f t="shared" si="79"/>
        <v>91.204110517657043</v>
      </c>
      <c r="G257" s="110">
        <f t="shared" si="102"/>
        <v>0.42541407206502241</v>
      </c>
      <c r="H257" s="409" t="b">
        <f>Wh_hp&gt;='2022'!Maxi_hp</f>
        <v>0</v>
      </c>
      <c r="I257" s="385">
        <f>IF(H257,Wh_hp,'2022'!Maxi_hp)</f>
        <v>91.208356380608777</v>
      </c>
      <c r="J257" s="85">
        <f>IF(H257,An,'2022'!An_max)</f>
        <v>2022</v>
      </c>
      <c r="K257" s="193">
        <f t="shared" si="80"/>
        <v>45169</v>
      </c>
      <c r="L257" s="143">
        <f>IF(t&lt;Tvie,1-EXP((T0-t)*PertePVj)+'2022'!Pspv,1-EXP((T0-t)*PertePVj)+Pspv)</f>
        <v>1.0146665880125916E-2</v>
      </c>
      <c r="M257" s="835"/>
      <c r="N257" s="835"/>
      <c r="O257" s="48">
        <f>IF(t&lt;Tnet,'2022'!Resal+('2022'!Salim-'2022'!Resal)*(1-EXP(('2022'!Tnet-t)/('2022'!Tau_j))),Resal+(Salim-Resal)*(1-EXP((Tnet-t)/(Tau_j))))*Salcycl</f>
        <v>4.1393545569783974E-2</v>
      </c>
      <c r="P257" s="165">
        <f>(INDEX(Models!$BJ257:$BT257,,T257)*(1-R257)+INDEX(Models!$BJ257:$BT257,,T257+1)*R257-ERP_i)*Q257*Ramure*Pc/MaxiM</f>
        <v>1.1142739139216064E-4</v>
      </c>
      <c r="Q257" s="301">
        <f t="shared" si="81"/>
        <v>0.5</v>
      </c>
      <c r="R257" s="173">
        <f t="shared" si="82"/>
        <v>0.97304073915079825</v>
      </c>
      <c r="S257" s="801">
        <f t="shared" si="83"/>
        <v>0</v>
      </c>
      <c r="T257" s="172">
        <f t="shared" si="84"/>
        <v>6</v>
      </c>
      <c r="U257" s="247">
        <f t="shared" si="85"/>
        <v>0.97304073915079825</v>
      </c>
      <c r="V257" s="378">
        <f t="shared" si="86"/>
        <v>203.40675181114429</v>
      </c>
      <c r="W257" s="397">
        <f t="shared" si="87"/>
        <v>86.54000946759578</v>
      </c>
      <c r="X257" s="153">
        <f t="shared" si="88"/>
        <v>45169</v>
      </c>
      <c r="Y257" s="380">
        <f t="shared" si="89"/>
        <v>86.54000946759578</v>
      </c>
      <c r="Z257" s="380">
        <f t="shared" si="90"/>
        <v>87.427103071327878</v>
      </c>
      <c r="AA257" s="381">
        <f t="shared" si="91"/>
        <v>91.202289184766116</v>
      </c>
      <c r="AB257" s="193">
        <f t="shared" si="92"/>
        <v>45169</v>
      </c>
      <c r="AC257" s="420">
        <f>IF(OR(t&lt;Tnet,NoTnet),'2022'!Resal_s+('2022'!Salim-'2022'!Resal_s)*(1-EXP(('2022'!Tnet_s-t)/'2022'!Tau_j)),Resal_s+(Salim-Resal_s)*(1-EXP((Tnet_s-t)/Tau_j)))*Salcycl</f>
        <v>4.1393545569783974E-2</v>
      </c>
      <c r="AD257" s="227">
        <f>(INDEX(Models!$BJ257:$BT257,,AH257)*(1-AF257)+INDEX(Models!$BJ257:$BT257,,AH257+1)*AF257-ERP_i)*AE257*Ramure*Pc/MaxiM</f>
        <v>1.1142739139216064E-4</v>
      </c>
      <c r="AE257" s="301">
        <f t="shared" si="93"/>
        <v>0.5</v>
      </c>
      <c r="AF257" s="173">
        <f t="shared" si="94"/>
        <v>0.97304073915079825</v>
      </c>
      <c r="AG257" s="172">
        <f t="shared" si="95"/>
        <v>0</v>
      </c>
      <c r="AH257" s="172">
        <f t="shared" si="96"/>
        <v>6</v>
      </c>
      <c r="AI257" s="221">
        <f t="shared" si="97"/>
        <v>0.97304073915079825</v>
      </c>
      <c r="AJ257" s="261" t="b">
        <f t="shared" si="98"/>
        <v>0</v>
      </c>
      <c r="AK257" s="261" t="b">
        <f t="shared" si="99"/>
        <v>0</v>
      </c>
      <c r="AL257" s="261"/>
      <c r="AM257" s="261"/>
      <c r="AN257" s="75"/>
    </row>
    <row r="258" spans="1:40" s="6" customFormat="1" ht="11.25" customHeight="1" x14ac:dyDescent="0.2">
      <c r="A258" s="56">
        <f t="shared" si="100"/>
        <v>45170</v>
      </c>
      <c r="B258" s="406">
        <f>'2022'!Wh/'2022'!Env_an*'2023'!Env_an</f>
        <v>172.12285159328056</v>
      </c>
      <c r="C258" s="385"/>
      <c r="D258" s="388">
        <f t="shared" si="78"/>
        <v>173.88960759108471</v>
      </c>
      <c r="E258" s="380">
        <f t="shared" si="101"/>
        <v>181.40484582520392</v>
      </c>
      <c r="F258" s="380">
        <f t="shared" si="79"/>
        <v>181.42050811287947</v>
      </c>
      <c r="G258" s="110">
        <f t="shared" si="102"/>
        <v>0.84998851629334526</v>
      </c>
      <c r="H258" s="409" t="b">
        <f>Wh_hp&gt;='2022'!Maxi_hp</f>
        <v>0</v>
      </c>
      <c r="I258" s="385">
        <f>IF(H258,Wh_hp,'2022'!Maxi_hp)</f>
        <v>181.4226808178222</v>
      </c>
      <c r="J258" s="85">
        <f>IF(H258,An,'2022'!An_max)</f>
        <v>2022</v>
      </c>
      <c r="K258" s="193">
        <f t="shared" si="80"/>
        <v>45170</v>
      </c>
      <c r="L258" s="143">
        <f>IF(t&lt;Tvie,1-EXP((T0-t)*PertePVj)+'2022'!Pspv,1-EXP((T0-t)*PertePVj)+Pspv)</f>
        <v>1.0160216141029021E-2</v>
      </c>
      <c r="M258" s="835"/>
      <c r="N258" s="835"/>
      <c r="O258" s="48">
        <f>IF(t&lt;Tnet,'2022'!Resal+('2022'!Salim-'2022'!Resal)*(1-EXP(('2022'!Tnet-t)/('2022'!Tau_j))),Resal+(Salim-Resal)*(1-EXP((Tnet-t)/(Tau_j))))*Salcycl</f>
        <v>4.1427990525460791E-2</v>
      </c>
      <c r="P258" s="165">
        <f>(INDEX(Models!$BJ258:$BT258,,T258)*(1-R258)+INDEX(Models!$BJ258:$BT258,,T258+1)*R258-ERP_i)*Q258*Ramure*Pc/MaxiM</f>
        <v>1.0987463179331168E-4</v>
      </c>
      <c r="Q258" s="301">
        <f t="shared" si="81"/>
        <v>0.5</v>
      </c>
      <c r="R258" s="173">
        <f t="shared" si="82"/>
        <v>0.97368985113341977</v>
      </c>
      <c r="S258" s="801">
        <f t="shared" si="83"/>
        <v>0</v>
      </c>
      <c r="T258" s="172">
        <f t="shared" si="84"/>
        <v>6</v>
      </c>
      <c r="U258" s="247">
        <f t="shared" si="85"/>
        <v>0.97368985113341977</v>
      </c>
      <c r="V258" s="378">
        <f t="shared" si="86"/>
        <v>202.49544037012973</v>
      </c>
      <c r="W258" s="397">
        <f t="shared" si="87"/>
        <v>172.12285159328056</v>
      </c>
      <c r="X258" s="153">
        <f t="shared" si="88"/>
        <v>45170</v>
      </c>
      <c r="Y258" s="380">
        <f t="shared" si="89"/>
        <v>172.12285159328056</v>
      </c>
      <c r="Z258" s="380">
        <f t="shared" si="90"/>
        <v>173.88960759108471</v>
      </c>
      <c r="AA258" s="381">
        <f t="shared" si="91"/>
        <v>181.40484582520392</v>
      </c>
      <c r="AB258" s="193">
        <f t="shared" si="92"/>
        <v>45170</v>
      </c>
      <c r="AC258" s="420">
        <f>IF(OR(t&lt;Tnet,NoTnet),'2022'!Resal_s+('2022'!Salim-'2022'!Resal_s)*(1-EXP(('2022'!Tnet_s-t)/'2022'!Tau_j)),Resal_s+(Salim-Resal_s)*(1-EXP((Tnet_s-t)/Tau_j)))*Salcycl</f>
        <v>4.1427990525460791E-2</v>
      </c>
      <c r="AD258" s="227">
        <f>(INDEX(Models!$BJ258:$BT258,,AH258)*(1-AF258)+INDEX(Models!$BJ258:$BT258,,AH258+1)*AF258-ERP_i)*AE258*Ramure*Pc/MaxiM</f>
        <v>1.0987463179331168E-4</v>
      </c>
      <c r="AE258" s="301">
        <f t="shared" si="93"/>
        <v>0.5</v>
      </c>
      <c r="AF258" s="173">
        <f t="shared" si="94"/>
        <v>0.97368985113341977</v>
      </c>
      <c r="AG258" s="172">
        <f t="shared" si="95"/>
        <v>0</v>
      </c>
      <c r="AH258" s="172">
        <f t="shared" si="96"/>
        <v>6</v>
      </c>
      <c r="AI258" s="221">
        <f t="shared" si="97"/>
        <v>0.97368985113341977</v>
      </c>
      <c r="AJ258" s="261" t="b">
        <f t="shared" si="98"/>
        <v>0</v>
      </c>
      <c r="AK258" s="261" t="b">
        <f t="shared" si="99"/>
        <v>0</v>
      </c>
      <c r="AL258" s="261"/>
      <c r="AM258" s="261"/>
      <c r="AN258" s="75"/>
    </row>
    <row r="259" spans="1:40" s="6" customFormat="1" ht="11.25" x14ac:dyDescent="0.2">
      <c r="A259" s="56">
        <f t="shared" si="100"/>
        <v>45171</v>
      </c>
      <c r="B259" s="406">
        <f>'2022'!Wh/'2022'!Env_an*'2023'!Env_an</f>
        <v>169.66074752061087</v>
      </c>
      <c r="C259" s="385"/>
      <c r="D259" s="388">
        <f t="shared" si="78"/>
        <v>171.4045776217624</v>
      </c>
      <c r="E259" s="380">
        <f t="shared" si="101"/>
        <v>178.81879669967782</v>
      </c>
      <c r="F259" s="380">
        <f t="shared" si="79"/>
        <v>178.83378070989167</v>
      </c>
      <c r="G259" s="110">
        <f t="shared" si="102"/>
        <v>0.84166672117104913</v>
      </c>
      <c r="H259" s="409" t="b">
        <f>Wh_hp&gt;='2022'!Maxi_hp</f>
        <v>0</v>
      </c>
      <c r="I259" s="385">
        <f>IF(H259,Wh_hp,'2022'!Maxi_hp)</f>
        <v>178.8360068834514</v>
      </c>
      <c r="J259" s="85">
        <f>IF(H259,An,'2022'!An_max)</f>
        <v>2022</v>
      </c>
      <c r="K259" s="193">
        <f t="shared" si="80"/>
        <v>45171</v>
      </c>
      <c r="L259" s="143">
        <f>IF(t&lt;Tvie,1-EXP((T0-t)*PertePVj)+'2022'!Pspv,1-EXP((T0-t)*PertePVj)+Pspv)</f>
        <v>1.0173766216440394E-2</v>
      </c>
      <c r="M259" s="835"/>
      <c r="N259" s="835"/>
      <c r="O259" s="48">
        <f>IF(t&lt;Tnet,'2022'!Resal+('2022'!Salim-'2022'!Resal)*(1-EXP(('2022'!Tnet-t)/('2022'!Tau_j))),Resal+(Salim-Resal)*(1-EXP((Tnet-t)/(Tau_j))))*Salcycl</f>
        <v>4.1462190858869541E-2</v>
      </c>
      <c r="P259" s="165">
        <f>(INDEX(Models!$BJ259:$BT259,,T259)*(1-R259)+INDEX(Models!$BJ259:$BT259,,T259+1)*R259-ERP_i)*Q259*Ramure*Pc/MaxiM</f>
        <v>1.0827491756644128E-4</v>
      </c>
      <c r="Q259" s="301">
        <f t="shared" si="81"/>
        <v>0.5</v>
      </c>
      <c r="R259" s="173">
        <f t="shared" si="82"/>
        <v>0.97431446674762634</v>
      </c>
      <c r="S259" s="801">
        <f t="shared" si="83"/>
        <v>0</v>
      </c>
      <c r="T259" s="172">
        <f t="shared" si="84"/>
        <v>6</v>
      </c>
      <c r="U259" s="247">
        <f t="shared" si="85"/>
        <v>0.97431446674762634</v>
      </c>
      <c r="V259" s="378">
        <f t="shared" si="86"/>
        <v>201.57217616845432</v>
      </c>
      <c r="W259" s="397">
        <f t="shared" si="87"/>
        <v>169.66074752061087</v>
      </c>
      <c r="X259" s="153">
        <f t="shared" si="88"/>
        <v>45171</v>
      </c>
      <c r="Y259" s="380">
        <f t="shared" si="89"/>
        <v>169.66074752061087</v>
      </c>
      <c r="Z259" s="380">
        <f t="shared" si="90"/>
        <v>171.4045776217624</v>
      </c>
      <c r="AA259" s="381">
        <f t="shared" si="91"/>
        <v>178.81879669967782</v>
      </c>
      <c r="AB259" s="193">
        <f t="shared" si="92"/>
        <v>45171</v>
      </c>
      <c r="AC259" s="420">
        <f>IF(OR(t&lt;Tnet,NoTnet),'2022'!Resal_s+('2022'!Salim-'2022'!Resal_s)*(1-EXP(('2022'!Tnet_s-t)/'2022'!Tau_j)),Resal_s+(Salim-Resal_s)*(1-EXP((Tnet_s-t)/Tau_j)))*Salcycl</f>
        <v>4.1462190858869541E-2</v>
      </c>
      <c r="AD259" s="227">
        <f>(INDEX(Models!$BJ259:$BT259,,AH259)*(1-AF259)+INDEX(Models!$BJ259:$BT259,,AH259+1)*AF259-ERP_i)*AE259*Ramure*Pc/MaxiM</f>
        <v>1.0827491756644128E-4</v>
      </c>
      <c r="AE259" s="301">
        <f t="shared" si="93"/>
        <v>0.5</v>
      </c>
      <c r="AF259" s="173">
        <f t="shared" si="94"/>
        <v>0.97431446674762634</v>
      </c>
      <c r="AG259" s="172">
        <f t="shared" si="95"/>
        <v>0</v>
      </c>
      <c r="AH259" s="172">
        <f t="shared" si="96"/>
        <v>6</v>
      </c>
      <c r="AI259" s="221">
        <f t="shared" si="97"/>
        <v>0.97431446674762634</v>
      </c>
      <c r="AJ259" s="261" t="b">
        <f t="shared" si="98"/>
        <v>0</v>
      </c>
      <c r="AK259" s="261" t="b">
        <f t="shared" si="99"/>
        <v>0</v>
      </c>
      <c r="AL259" s="261"/>
      <c r="AM259" s="261"/>
      <c r="AN259" s="75"/>
    </row>
    <row r="260" spans="1:40" s="6" customFormat="1" ht="11.25" x14ac:dyDescent="0.2">
      <c r="A260" s="56">
        <f t="shared" si="100"/>
        <v>45172</v>
      </c>
      <c r="B260" s="406">
        <f>'2022'!Wh/'2022'!Env_an*'2023'!Env_an</f>
        <v>132.52908508463369</v>
      </c>
      <c r="C260" s="385"/>
      <c r="D260" s="388">
        <f t="shared" si="78"/>
        <v>133.89309638193618</v>
      </c>
      <c r="E260" s="380">
        <f t="shared" si="101"/>
        <v>139.68967859996567</v>
      </c>
      <c r="F260" s="380">
        <f t="shared" si="79"/>
        <v>139.69735072227914</v>
      </c>
      <c r="G260" s="110">
        <f t="shared" si="102"/>
        <v>0.66050756844081249</v>
      </c>
      <c r="H260" s="409" t="b">
        <f>Wh_hp&gt;='2022'!Maxi_hp</f>
        <v>0</v>
      </c>
      <c r="I260" s="385">
        <f>IF(H260,Wh_hp,'2022'!Maxi_hp)</f>
        <v>139.70102045088095</v>
      </c>
      <c r="J260" s="85">
        <f>IF(H260,An,'2022'!An_max)</f>
        <v>2022</v>
      </c>
      <c r="K260" s="193">
        <f t="shared" si="80"/>
        <v>45172</v>
      </c>
      <c r="L260" s="143">
        <f>IF(t&lt;Tvie,1-EXP((T0-t)*PertePVj)+'2022'!Pspv,1-EXP((T0-t)*PertePVj)+Pspv)</f>
        <v>1.0187316106362698E-2</v>
      </c>
      <c r="M260" s="835"/>
      <c r="N260" s="835"/>
      <c r="O260" s="48">
        <f>IF(t&lt;Tnet,'2022'!Resal+('2022'!Salim-'2022'!Resal)*(1-EXP(('2022'!Tnet-t)/('2022'!Tau_j))),Resal+(Salim-Resal)*(1-EXP((Tnet-t)/(Tau_j))))*Salcycl</f>
        <v>4.149613826966677E-2</v>
      </c>
      <c r="P260" s="165">
        <f>(INDEX(Models!$BJ260:$BT260,,T260)*(1-R260)+INDEX(Models!$BJ260:$BT260,,T260+1)*R260-ERP_i)*Q260*Ramure*Pc/MaxiM</f>
        <v>1.0662765420988224E-4</v>
      </c>
      <c r="Q260" s="301">
        <f t="shared" si="81"/>
        <v>0.5</v>
      </c>
      <c r="R260" s="173">
        <f t="shared" si="82"/>
        <v>0.97491544882625181</v>
      </c>
      <c r="S260" s="801">
        <f t="shared" si="83"/>
        <v>0</v>
      </c>
      <c r="T260" s="172">
        <f t="shared" si="84"/>
        <v>6</v>
      </c>
      <c r="U260" s="247">
        <f t="shared" si="85"/>
        <v>0.97491544882625181</v>
      </c>
      <c r="V260" s="378">
        <f t="shared" si="86"/>
        <v>200.63696196499333</v>
      </c>
      <c r="W260" s="397">
        <f t="shared" si="87"/>
        <v>132.52908508463369</v>
      </c>
      <c r="X260" s="153">
        <f t="shared" si="88"/>
        <v>45172</v>
      </c>
      <c r="Y260" s="380">
        <f t="shared" si="89"/>
        <v>132.52908508463369</v>
      </c>
      <c r="Z260" s="380">
        <f t="shared" si="90"/>
        <v>133.89309638193618</v>
      </c>
      <c r="AA260" s="381">
        <f t="shared" si="91"/>
        <v>139.68967859996567</v>
      </c>
      <c r="AB260" s="193">
        <f t="shared" si="92"/>
        <v>45172</v>
      </c>
      <c r="AC260" s="420">
        <f>IF(OR(t&lt;Tnet,NoTnet),'2022'!Resal_s+('2022'!Salim-'2022'!Resal_s)*(1-EXP(('2022'!Tnet_s-t)/'2022'!Tau_j)),Resal_s+(Salim-Resal_s)*(1-EXP((Tnet_s-t)/Tau_j)))*Salcycl</f>
        <v>4.149613826966677E-2</v>
      </c>
      <c r="AD260" s="227">
        <f>(INDEX(Models!$BJ260:$BT260,,AH260)*(1-AF260)+INDEX(Models!$BJ260:$BT260,,AH260+1)*AF260-ERP_i)*AE260*Ramure*Pc/MaxiM</f>
        <v>1.0662765420988224E-4</v>
      </c>
      <c r="AE260" s="301">
        <f t="shared" si="93"/>
        <v>0.5</v>
      </c>
      <c r="AF260" s="173">
        <f t="shared" si="94"/>
        <v>0.97491544882625181</v>
      </c>
      <c r="AG260" s="172">
        <f t="shared" si="95"/>
        <v>0</v>
      </c>
      <c r="AH260" s="172">
        <f t="shared" si="96"/>
        <v>6</v>
      </c>
      <c r="AI260" s="221">
        <f t="shared" si="97"/>
        <v>0.97491544882625181</v>
      </c>
      <c r="AJ260" s="261" t="b">
        <f t="shared" si="98"/>
        <v>0</v>
      </c>
      <c r="AK260" s="261" t="b">
        <f t="shared" si="99"/>
        <v>0</v>
      </c>
      <c r="AL260" s="261"/>
      <c r="AM260" s="261"/>
      <c r="AN260" s="75"/>
    </row>
    <row r="261" spans="1:40" s="6" customFormat="1" ht="11.25" customHeight="1" x14ac:dyDescent="0.2">
      <c r="A261" s="56">
        <f t="shared" si="100"/>
        <v>45173</v>
      </c>
      <c r="B261" s="406">
        <f>'2022'!Wh/'2022'!Env_an*'2023'!Env_an</f>
        <v>186.68897621002449</v>
      </c>
      <c r="C261" s="385"/>
      <c r="D261" s="388">
        <f t="shared" si="78"/>
        <v>188.61299203191524</v>
      </c>
      <c r="E261" s="380">
        <f t="shared" si="101"/>
        <v>196.78545746956354</v>
      </c>
      <c r="F261" s="380">
        <f t="shared" si="79"/>
        <v>196.8041878682962</v>
      </c>
      <c r="G261" s="110">
        <f t="shared" si="102"/>
        <v>0.93488577559814801</v>
      </c>
      <c r="H261" s="409" t="b">
        <f>Wh_hp&gt;='2022'!Maxi_hp</f>
        <v>0</v>
      </c>
      <c r="I261" s="385">
        <f>IF(H261,Wh_hp,'2022'!Maxi_hp)</f>
        <v>196.80516308145275</v>
      </c>
      <c r="J261" s="85">
        <f>IF(H261,An,'2022'!An_max)</f>
        <v>2022</v>
      </c>
      <c r="K261" s="193">
        <f t="shared" si="80"/>
        <v>45173</v>
      </c>
      <c r="L261" s="143">
        <f>IF(t&lt;Tvie,1-EXP((T0-t)*PertePVj)+'2022'!Pspv,1-EXP((T0-t)*PertePVj)+Pspv)</f>
        <v>1.0200865810798376E-2</v>
      </c>
      <c r="M261" s="835"/>
      <c r="N261" s="835"/>
      <c r="O261" s="48">
        <f>IF(t&lt;Tnet,'2022'!Resal+('2022'!Salim-'2022'!Resal)*(1-EXP(('2022'!Tnet-t)/('2022'!Tau_j))),Resal+(Salim-Resal)*(1-EXP((Tnet-t)/(Tau_j))))*Salcycl</f>
        <v>4.1529824117782319E-2</v>
      </c>
      <c r="P261" s="165">
        <f>(INDEX(Models!$BJ261:$BT261,,T261)*(1-R261)+INDEX(Models!$BJ261:$BT261,,T261+1)*R261-ERP_i)*Q261*Ramure*Pc/MaxiM</f>
        <v>1.0493222654322822E-4</v>
      </c>
      <c r="Q261" s="301">
        <f t="shared" si="81"/>
        <v>0.5</v>
      </c>
      <c r="R261" s="173">
        <f t="shared" si="82"/>
        <v>0.97549363455201599</v>
      </c>
      <c r="S261" s="801">
        <f t="shared" si="83"/>
        <v>0</v>
      </c>
      <c r="T261" s="172">
        <f t="shared" si="84"/>
        <v>6</v>
      </c>
      <c r="U261" s="247">
        <f t="shared" si="85"/>
        <v>0.97549363455201599</v>
      </c>
      <c r="V261" s="378">
        <f t="shared" si="86"/>
        <v>199.68980053556379</v>
      </c>
      <c r="W261" s="397">
        <f t="shared" si="87"/>
        <v>186.68897621002449</v>
      </c>
      <c r="X261" s="153">
        <f t="shared" si="88"/>
        <v>45173</v>
      </c>
      <c r="Y261" s="380">
        <f t="shared" si="89"/>
        <v>186.68897621002449</v>
      </c>
      <c r="Z261" s="380">
        <f t="shared" si="90"/>
        <v>188.61299203191524</v>
      </c>
      <c r="AA261" s="381">
        <f t="shared" si="91"/>
        <v>196.78545746956354</v>
      </c>
      <c r="AB261" s="193">
        <f t="shared" si="92"/>
        <v>45173</v>
      </c>
      <c r="AC261" s="420">
        <f>IF(OR(t&lt;Tnet,NoTnet),'2022'!Resal_s+('2022'!Salim-'2022'!Resal_s)*(1-EXP(('2022'!Tnet_s-t)/'2022'!Tau_j)),Resal_s+(Salim-Resal_s)*(1-EXP((Tnet_s-t)/Tau_j)))*Salcycl</f>
        <v>4.1529824117782319E-2</v>
      </c>
      <c r="AD261" s="227">
        <f>(INDEX(Models!$BJ261:$BT261,,AH261)*(1-AF261)+INDEX(Models!$BJ261:$BT261,,AH261+1)*AF261-ERP_i)*AE261*Ramure*Pc/MaxiM</f>
        <v>1.0493222654322822E-4</v>
      </c>
      <c r="AE261" s="301">
        <f t="shared" si="93"/>
        <v>0.5</v>
      </c>
      <c r="AF261" s="173">
        <f t="shared" si="94"/>
        <v>0.97549363455201599</v>
      </c>
      <c r="AG261" s="172">
        <f t="shared" si="95"/>
        <v>0</v>
      </c>
      <c r="AH261" s="172">
        <f t="shared" si="96"/>
        <v>6</v>
      </c>
      <c r="AI261" s="221">
        <f t="shared" si="97"/>
        <v>0.97549363455201599</v>
      </c>
      <c r="AJ261" s="261" t="b">
        <f t="shared" si="98"/>
        <v>0</v>
      </c>
      <c r="AK261" s="261" t="b">
        <f t="shared" si="99"/>
        <v>0</v>
      </c>
      <c r="AL261" s="261"/>
      <c r="AM261" s="261"/>
      <c r="AN261" s="75"/>
    </row>
    <row r="262" spans="1:40" s="6" customFormat="1" ht="11.25" x14ac:dyDescent="0.2">
      <c r="A262" s="56">
        <f t="shared" si="100"/>
        <v>45174</v>
      </c>
      <c r="B262" s="406">
        <f>'2022'!Wh/'2022'!Env_an*'2023'!Env_an</f>
        <v>164.88305814706689</v>
      </c>
      <c r="C262" s="385"/>
      <c r="D262" s="388">
        <f t="shared" si="78"/>
        <v>166.58462267057382</v>
      </c>
      <c r="E262" s="380">
        <f t="shared" si="101"/>
        <v>173.80867420687272</v>
      </c>
      <c r="F262" s="380">
        <f t="shared" si="79"/>
        <v>173.82225268617464</v>
      </c>
      <c r="G262" s="110">
        <f t="shared" si="102"/>
        <v>0.82966008004083447</v>
      </c>
      <c r="H262" s="409" t="b">
        <f>Wh_hp&gt;='2022'!Maxi_hp</f>
        <v>0</v>
      </c>
      <c r="I262" s="385">
        <f>IF(H262,Wh_hp,'2022'!Maxi_hp)</f>
        <v>173.8244682935279</v>
      </c>
      <c r="J262" s="85">
        <f>IF(H262,An,'2022'!An_max)</f>
        <v>2022</v>
      </c>
      <c r="K262" s="193">
        <f t="shared" si="80"/>
        <v>45174</v>
      </c>
      <c r="L262" s="143">
        <f>IF(t&lt;Tvie,1-EXP((T0-t)*PertePVj)+'2022'!Pspv,1-EXP((T0-t)*PertePVj)+Pspv)</f>
        <v>1.0214415329749982E-2</v>
      </c>
      <c r="M262" s="835"/>
      <c r="N262" s="835"/>
      <c r="O262" s="48">
        <f>IF(t&lt;Tnet,'2022'!Resal+('2022'!Salim-'2022'!Resal)*(1-EXP(('2022'!Tnet-t)/('2022'!Tau_j))),Resal+(Salim-Resal)*(1-EXP((Tnet-t)/(Tau_j))))*Salcycl</f>
        <v>4.1563239402543251E-2</v>
      </c>
      <c r="P262" s="165">
        <f>(INDEX(Models!$BJ262:$BT262,,T262)*(1-R262)+INDEX(Models!$BJ262:$BT262,,T262+1)*R262-ERP_i)*Q262*Ramure*Pc/MaxiM</f>
        <v>1.0323559609411374E-4</v>
      </c>
      <c r="Q262" s="301">
        <f t="shared" si="81"/>
        <v>0.5</v>
      </c>
      <c r="R262" s="173">
        <f t="shared" si="82"/>
        <v>0.97604983584478799</v>
      </c>
      <c r="S262" s="801">
        <f t="shared" si="83"/>
        <v>0</v>
      </c>
      <c r="T262" s="172">
        <f t="shared" si="84"/>
        <v>6</v>
      </c>
      <c r="U262" s="247">
        <f t="shared" si="85"/>
        <v>0.97604983584478799</v>
      </c>
      <c r="V262" s="378">
        <f t="shared" si="86"/>
        <v>198.7306852108818</v>
      </c>
      <c r="W262" s="397">
        <f t="shared" si="87"/>
        <v>164.88305814706689</v>
      </c>
      <c r="X262" s="153">
        <f t="shared" si="88"/>
        <v>45174</v>
      </c>
      <c r="Y262" s="380">
        <f t="shared" si="89"/>
        <v>164.88305814706689</v>
      </c>
      <c r="Z262" s="380">
        <f t="shared" si="90"/>
        <v>166.58462267057382</v>
      </c>
      <c r="AA262" s="381">
        <f t="shared" si="91"/>
        <v>173.80867420687272</v>
      </c>
      <c r="AB262" s="193">
        <f t="shared" si="92"/>
        <v>45174</v>
      </c>
      <c r="AC262" s="420">
        <f>IF(OR(t&lt;Tnet,NoTnet),'2022'!Resal_s+('2022'!Salim-'2022'!Resal_s)*(1-EXP(('2022'!Tnet_s-t)/'2022'!Tau_j)),Resal_s+(Salim-Resal_s)*(1-EXP((Tnet_s-t)/Tau_j)))*Salcycl</f>
        <v>4.1563239402543251E-2</v>
      </c>
      <c r="AD262" s="227">
        <f>(INDEX(Models!$BJ262:$BT262,,AH262)*(1-AF262)+INDEX(Models!$BJ262:$BT262,,AH262+1)*AF262-ERP_i)*AE262*Ramure*Pc/MaxiM</f>
        <v>1.0323559609411374E-4</v>
      </c>
      <c r="AE262" s="301">
        <f t="shared" si="93"/>
        <v>0.5</v>
      </c>
      <c r="AF262" s="173">
        <f t="shared" si="94"/>
        <v>0.97604983584478799</v>
      </c>
      <c r="AG262" s="172">
        <f t="shared" si="95"/>
        <v>0</v>
      </c>
      <c r="AH262" s="172">
        <f t="shared" si="96"/>
        <v>6</v>
      </c>
      <c r="AI262" s="221">
        <f t="shared" si="97"/>
        <v>0.97604983584478799</v>
      </c>
      <c r="AJ262" s="261" t="b">
        <f t="shared" si="98"/>
        <v>0</v>
      </c>
      <c r="AK262" s="261" t="b">
        <f t="shared" si="99"/>
        <v>0</v>
      </c>
      <c r="AL262" s="261"/>
      <c r="AM262" s="261"/>
      <c r="AN262" s="75"/>
    </row>
    <row r="263" spans="1:40" s="6" customFormat="1" ht="11.25" x14ac:dyDescent="0.2">
      <c r="A263" s="56">
        <f t="shared" si="100"/>
        <v>45175</v>
      </c>
      <c r="B263" s="406">
        <f>'2022'!Wh/'2022'!Env_an*'2023'!Env_an</f>
        <v>184.9100461852853</v>
      </c>
      <c r="C263" s="385"/>
      <c r="D263" s="388">
        <f t="shared" si="78"/>
        <v>186.82084316755603</v>
      </c>
      <c r="E263" s="380">
        <f t="shared" si="101"/>
        <v>194.92919083789894</v>
      </c>
      <c r="F263" s="380">
        <f t="shared" si="79"/>
        <v>194.94717015913815</v>
      </c>
      <c r="G263" s="110">
        <f t="shared" si="102"/>
        <v>0.93501557806736579</v>
      </c>
      <c r="H263" s="409" t="b">
        <f>Wh_hp&gt;='2022'!Maxi_hp</f>
        <v>0</v>
      </c>
      <c r="I263" s="385">
        <f>IF(H263,Wh_hp,'2022'!Maxi_hp)</f>
        <v>194.94810319538493</v>
      </c>
      <c r="J263" s="85">
        <f>IF(H263,An,'2022'!An_max)</f>
        <v>2022</v>
      </c>
      <c r="K263" s="193">
        <f t="shared" si="80"/>
        <v>45175</v>
      </c>
      <c r="L263" s="143">
        <f>IF(t&lt;Tvie,1-EXP((T0-t)*PertePVj)+'2022'!Pspv,1-EXP((T0-t)*PertePVj)+Pspv)</f>
        <v>1.0227964663220068E-2</v>
      </c>
      <c r="M263" s="835"/>
      <c r="N263" s="835"/>
      <c r="O263" s="48">
        <f>IF(t&lt;Tnet,'2022'!Resal+('2022'!Salim-'2022'!Resal)*(1-EXP(('2022'!Tnet-t)/('2022'!Tau_j))),Resal+(Salim-Resal)*(1-EXP((Tnet-t)/(Tau_j))))*Salcycl</f>
        <v>4.1596374742486501E-2</v>
      </c>
      <c r="P263" s="165">
        <f>(INDEX(Models!$BJ263:$BT263,,T263)*(1-R263)+INDEX(Models!$BJ263:$BT263,,T263+1)*R263-ERP_i)*Q263*Ramure*Pc/MaxiM</f>
        <v>1.016632483752432E-4</v>
      </c>
      <c r="Q263" s="301">
        <f t="shared" si="81"/>
        <v>0.5</v>
      </c>
      <c r="R263" s="173">
        <f t="shared" si="82"/>
        <v>0.97658483977641963</v>
      </c>
      <c r="S263" s="801">
        <f t="shared" si="83"/>
        <v>0</v>
      </c>
      <c r="T263" s="172">
        <f t="shared" si="84"/>
        <v>6</v>
      </c>
      <c r="U263" s="247">
        <f t="shared" si="85"/>
        <v>0.97658483977641963</v>
      </c>
      <c r="V263" s="378">
        <f t="shared" si="86"/>
        <v>197.75959399700082</v>
      </c>
      <c r="W263" s="397">
        <f t="shared" si="87"/>
        <v>184.9100461852853</v>
      </c>
      <c r="X263" s="153">
        <f t="shared" si="88"/>
        <v>45175</v>
      </c>
      <c r="Y263" s="380">
        <f t="shared" si="89"/>
        <v>184.9100461852853</v>
      </c>
      <c r="Z263" s="380">
        <f t="shared" si="90"/>
        <v>186.82084316755603</v>
      </c>
      <c r="AA263" s="381">
        <f t="shared" si="91"/>
        <v>194.92919083789894</v>
      </c>
      <c r="AB263" s="193">
        <f t="shared" si="92"/>
        <v>45175</v>
      </c>
      <c r="AC263" s="420">
        <f>IF(OR(t&lt;Tnet,NoTnet),'2022'!Resal_s+('2022'!Salim-'2022'!Resal_s)*(1-EXP(('2022'!Tnet_s-t)/'2022'!Tau_j)),Resal_s+(Salim-Resal_s)*(1-EXP((Tnet_s-t)/Tau_j)))*Salcycl</f>
        <v>4.1596374742486501E-2</v>
      </c>
      <c r="AD263" s="227">
        <f>(INDEX(Models!$BJ263:$BT263,,AH263)*(1-AF263)+INDEX(Models!$BJ263:$BT263,,AH263+1)*AF263-ERP_i)*AE263*Ramure*Pc/MaxiM</f>
        <v>1.016632483752432E-4</v>
      </c>
      <c r="AE263" s="301">
        <f t="shared" si="93"/>
        <v>0.5</v>
      </c>
      <c r="AF263" s="173">
        <f t="shared" si="94"/>
        <v>0.97658483977641963</v>
      </c>
      <c r="AG263" s="172">
        <f t="shared" si="95"/>
        <v>0</v>
      </c>
      <c r="AH263" s="172">
        <f t="shared" si="96"/>
        <v>6</v>
      </c>
      <c r="AI263" s="221">
        <f t="shared" si="97"/>
        <v>0.97658483977641963</v>
      </c>
      <c r="AJ263" s="261" t="b">
        <f t="shared" si="98"/>
        <v>0</v>
      </c>
      <c r="AK263" s="261" t="b">
        <f t="shared" si="99"/>
        <v>0</v>
      </c>
      <c r="AL263" s="261"/>
      <c r="AM263" s="261"/>
      <c r="AN263" s="75"/>
    </row>
    <row r="264" spans="1:40" s="6" customFormat="1" ht="11.25" x14ac:dyDescent="0.2">
      <c r="A264" s="56">
        <f t="shared" si="100"/>
        <v>45176</v>
      </c>
      <c r="B264" s="406">
        <f>'2022'!Wh/'2022'!Env_an*'2023'!Env_an</f>
        <v>140.54314257145006</v>
      </c>
      <c r="C264" s="385"/>
      <c r="D264" s="388">
        <f t="shared" si="78"/>
        <v>141.99741101754245</v>
      </c>
      <c r="E264" s="380">
        <f t="shared" si="101"/>
        <v>148.1654220200333</v>
      </c>
      <c r="F264" s="380">
        <f t="shared" si="79"/>
        <v>148.17420928589704</v>
      </c>
      <c r="G264" s="110">
        <f t="shared" si="102"/>
        <v>0.71419793970948686</v>
      </c>
      <c r="H264" s="409" t="b">
        <f>Wh_hp&gt;='2022'!Maxi_hp</f>
        <v>0</v>
      </c>
      <c r="I264" s="385">
        <f>IF(H264,Wh_hp,'2022'!Maxi_hp)</f>
        <v>148.17728238486964</v>
      </c>
      <c r="J264" s="85">
        <f>IF(H264,An,'2022'!An_max)</f>
        <v>2022</v>
      </c>
      <c r="K264" s="193">
        <f t="shared" si="80"/>
        <v>45176</v>
      </c>
      <c r="L264" s="143">
        <f>IF(t&lt;Tvie,1-EXP((T0-t)*PertePVj)+'2022'!Pspv,1-EXP((T0-t)*PertePVj)+Pspv)</f>
        <v>1.0241513811211078E-2</v>
      </c>
      <c r="M264" s="835"/>
      <c r="N264" s="835"/>
      <c r="O264" s="48">
        <f>IF(t&lt;Tnet,'2022'!Resal+('2022'!Salim-'2022'!Resal)*(1-EXP(('2022'!Tnet-t)/('2022'!Tau_j))),Resal+(Salim-Resal)*(1-EXP((Tnet-t)/(Tau_j))))*Salcycl</f>
        <v>4.1629220356534283E-2</v>
      </c>
      <c r="P264" s="165">
        <f>(INDEX(Models!$BJ264:$BT264,,T264)*(1-R264)+INDEX(Models!$BJ264:$BT264,,T264+1)*R264-ERP_i)*Q264*Ramure*Pc/MaxiM</f>
        <v>1.0021681907293986E-4</v>
      </c>
      <c r="Q264" s="301">
        <f t="shared" si="81"/>
        <v>0.5</v>
      </c>
      <c r="R264" s="173">
        <f t="shared" si="82"/>
        <v>0.97709940900945713</v>
      </c>
      <c r="S264" s="801">
        <f t="shared" si="83"/>
        <v>0</v>
      </c>
      <c r="T264" s="172">
        <f t="shared" si="84"/>
        <v>6</v>
      </c>
      <c r="U264" s="247">
        <f t="shared" si="85"/>
        <v>0.97709940900945713</v>
      </c>
      <c r="V264" s="378">
        <f t="shared" si="86"/>
        <v>196.77652979081219</v>
      </c>
      <c r="W264" s="397">
        <f t="shared" si="87"/>
        <v>140.54314257145006</v>
      </c>
      <c r="X264" s="153">
        <f t="shared" si="88"/>
        <v>45176</v>
      </c>
      <c r="Y264" s="380">
        <f t="shared" si="89"/>
        <v>140.54314257145006</v>
      </c>
      <c r="Z264" s="380">
        <f t="shared" si="90"/>
        <v>141.99741101754245</v>
      </c>
      <c r="AA264" s="381">
        <f t="shared" si="91"/>
        <v>148.1654220200333</v>
      </c>
      <c r="AB264" s="193">
        <f t="shared" si="92"/>
        <v>45176</v>
      </c>
      <c r="AC264" s="420">
        <f>IF(OR(t&lt;Tnet,NoTnet),'2022'!Resal_s+('2022'!Salim-'2022'!Resal_s)*(1-EXP(('2022'!Tnet_s-t)/'2022'!Tau_j)),Resal_s+(Salim-Resal_s)*(1-EXP((Tnet_s-t)/Tau_j)))*Salcycl</f>
        <v>4.1629220356534283E-2</v>
      </c>
      <c r="AD264" s="227">
        <f>(INDEX(Models!$BJ264:$BT264,,AH264)*(1-AF264)+INDEX(Models!$BJ264:$BT264,,AH264+1)*AF264-ERP_i)*AE264*Ramure*Pc/MaxiM</f>
        <v>1.0021681907293986E-4</v>
      </c>
      <c r="AE264" s="301">
        <f t="shared" si="93"/>
        <v>0.5</v>
      </c>
      <c r="AF264" s="173">
        <f t="shared" si="94"/>
        <v>0.97709940900945713</v>
      </c>
      <c r="AG264" s="172">
        <f t="shared" si="95"/>
        <v>0</v>
      </c>
      <c r="AH264" s="172">
        <f t="shared" si="96"/>
        <v>6</v>
      </c>
      <c r="AI264" s="221">
        <f t="shared" si="97"/>
        <v>0.97709940900945713</v>
      </c>
      <c r="AJ264" s="261" t="b">
        <f t="shared" si="98"/>
        <v>0</v>
      </c>
      <c r="AK264" s="261" t="b">
        <f t="shared" si="99"/>
        <v>0</v>
      </c>
      <c r="AL264" s="261"/>
      <c r="AM264" s="261"/>
      <c r="AN264" s="75"/>
    </row>
    <row r="265" spans="1:40" s="6" customFormat="1" ht="11.25" x14ac:dyDescent="0.2">
      <c r="A265" s="56">
        <f t="shared" si="100"/>
        <v>45177</v>
      </c>
      <c r="B265" s="406">
        <f>'2022'!Wh/'2022'!Env_an*'2023'!Env_an</f>
        <v>163.37912719002827</v>
      </c>
      <c r="C265" s="385"/>
      <c r="D265" s="388">
        <f t="shared" si="78"/>
        <v>165.07195040359852</v>
      </c>
      <c r="E265" s="380">
        <f t="shared" si="101"/>
        <v>172.24811090207496</v>
      </c>
      <c r="F265" s="380">
        <f t="shared" si="79"/>
        <v>172.2611192483223</v>
      </c>
      <c r="G265" s="110">
        <f t="shared" si="102"/>
        <v>0.83447777443371651</v>
      </c>
      <c r="H265" s="409" t="b">
        <f>Wh_hp&gt;='2022'!Maxi_hp</f>
        <v>0</v>
      </c>
      <c r="I265" s="385">
        <f>IF(H265,Wh_hp,'2022'!Maxi_hp)</f>
        <v>172.26316013998238</v>
      </c>
      <c r="J265" s="85">
        <f>IF(H265,An,'2022'!An_max)</f>
        <v>2022</v>
      </c>
      <c r="K265" s="193">
        <f t="shared" si="80"/>
        <v>45177</v>
      </c>
      <c r="L265" s="143">
        <f>IF(t&lt;Tvie,1-EXP((T0-t)*PertePVj)+'2022'!Pspv,1-EXP((T0-t)*PertePVj)+Pspv)</f>
        <v>1.0255062773725787E-2</v>
      </c>
      <c r="M265" s="835"/>
      <c r="N265" s="835"/>
      <c r="O265" s="48">
        <f>IF(t&lt;Tnet,'2022'!Resal+('2022'!Salim-'2022'!Resal)*(1-EXP(('2022'!Tnet-t)/('2022'!Tau_j))),Resal+(Salim-Resal)*(1-EXP((Tnet-t)/(Tau_j))))*Salcycl</f>
        <v>4.1661766047211758E-2</v>
      </c>
      <c r="P265" s="165">
        <f>(INDEX(Models!$BJ265:$BT265,,T265)*(1-R265)+INDEX(Models!$BJ265:$BT265,,T265+1)*R265-ERP_i)*Q265*Ramure*Pc/MaxiM</f>
        <v>9.8897965375702973E-5</v>
      </c>
      <c r="Q265" s="301">
        <f t="shared" si="81"/>
        <v>0.5</v>
      </c>
      <c r="R265" s="173">
        <f t="shared" si="82"/>
        <v>0.97759428225630307</v>
      </c>
      <c r="S265" s="801">
        <f t="shared" si="83"/>
        <v>0</v>
      </c>
      <c r="T265" s="172">
        <f t="shared" si="84"/>
        <v>6</v>
      </c>
      <c r="U265" s="247">
        <f t="shared" si="85"/>
        <v>0.97759428225630307</v>
      </c>
      <c r="V265" s="378">
        <f t="shared" si="86"/>
        <v>195.78149552188452</v>
      </c>
      <c r="W265" s="397">
        <f t="shared" si="87"/>
        <v>163.37912719002827</v>
      </c>
      <c r="X265" s="153">
        <f t="shared" si="88"/>
        <v>45177</v>
      </c>
      <c r="Y265" s="380">
        <f t="shared" si="89"/>
        <v>163.37912719002827</v>
      </c>
      <c r="Z265" s="380">
        <f t="shared" si="90"/>
        <v>165.07195040359852</v>
      </c>
      <c r="AA265" s="381">
        <f t="shared" si="91"/>
        <v>172.24811090207496</v>
      </c>
      <c r="AB265" s="193">
        <f t="shared" si="92"/>
        <v>45177</v>
      </c>
      <c r="AC265" s="420">
        <f>IF(OR(t&lt;Tnet,NoTnet),'2022'!Resal_s+('2022'!Salim-'2022'!Resal_s)*(1-EXP(('2022'!Tnet_s-t)/'2022'!Tau_j)),Resal_s+(Salim-Resal_s)*(1-EXP((Tnet_s-t)/Tau_j)))*Salcycl</f>
        <v>4.1661766047211758E-2</v>
      </c>
      <c r="AD265" s="227">
        <f>(INDEX(Models!$BJ265:$BT265,,AH265)*(1-AF265)+INDEX(Models!$BJ265:$BT265,,AH265+1)*AF265-ERP_i)*AE265*Ramure*Pc/MaxiM</f>
        <v>9.8897965375702973E-5</v>
      </c>
      <c r="AE265" s="301">
        <f t="shared" si="93"/>
        <v>0.5</v>
      </c>
      <c r="AF265" s="173">
        <f t="shared" si="94"/>
        <v>0.97759428225630307</v>
      </c>
      <c r="AG265" s="172">
        <f t="shared" si="95"/>
        <v>0</v>
      </c>
      <c r="AH265" s="172">
        <f t="shared" si="96"/>
        <v>6</v>
      </c>
      <c r="AI265" s="221">
        <f t="shared" si="97"/>
        <v>0.97759428225630307</v>
      </c>
      <c r="AJ265" s="261" t="b">
        <f t="shared" si="98"/>
        <v>0</v>
      </c>
      <c r="AK265" s="261" t="b">
        <f t="shared" si="99"/>
        <v>0</v>
      </c>
      <c r="AL265" s="261"/>
      <c r="AM265" s="261"/>
      <c r="AN265" s="75"/>
    </row>
    <row r="266" spans="1:40" s="6" customFormat="1" ht="11.25" x14ac:dyDescent="0.2">
      <c r="A266" s="56">
        <f t="shared" si="100"/>
        <v>45178</v>
      </c>
      <c r="B266" s="406">
        <f>'2022'!Wh/'2022'!Env_an*'2023'!Env_an</f>
        <v>87.383375130593876</v>
      </c>
      <c r="C266" s="385"/>
      <c r="D266" s="388">
        <f t="shared" si="78"/>
        <v>88.28999074942044</v>
      </c>
      <c r="E266" s="380">
        <f t="shared" si="101"/>
        <v>92.131313858769417</v>
      </c>
      <c r="F266" s="380">
        <f t="shared" si="79"/>
        <v>92.133225392107079</v>
      </c>
      <c r="G266" s="110">
        <f t="shared" si="102"/>
        <v>0.44860416795932861</v>
      </c>
      <c r="H266" s="409" t="b">
        <f>Wh_hp&gt;='2022'!Maxi_hp</f>
        <v>0</v>
      </c>
      <c r="I266" s="385">
        <f>IF(H266,Wh_hp,'2022'!Maxi_hp)</f>
        <v>92.136816423786186</v>
      </c>
      <c r="J266" s="85">
        <f>IF(H266,An,'2022'!An_max)</f>
        <v>2022</v>
      </c>
      <c r="K266" s="193">
        <f t="shared" si="80"/>
        <v>45178</v>
      </c>
      <c r="L266" s="143">
        <f>IF(t&lt;Tvie,1-EXP((T0-t)*PertePVj)+'2022'!Pspv,1-EXP((T0-t)*PertePVj)+Pspv)</f>
        <v>1.0268611550766416E-2</v>
      </c>
      <c r="M266" s="835"/>
      <c r="N266" s="835"/>
      <c r="O266" s="48">
        <f>IF(t&lt;Tnet,'2022'!Resal+('2022'!Salim-'2022'!Resal)*(1-EXP(('2022'!Tnet-t)/('2022'!Tau_j))),Resal+(Salim-Resal)*(1-EXP((Tnet-t)/(Tau_j))))*Salcycl</f>
        <v>4.1694001186582917E-2</v>
      </c>
      <c r="P266" s="165">
        <f>(INDEX(Models!$BJ266:$BT266,,T266)*(1-R266)+INDEX(Models!$BJ266:$BT266,,T266+1)*R266-ERP_i)*Q266*Ramure*Pc/MaxiM</f>
        <v>9.7708366772755471E-5</v>
      </c>
      <c r="Q266" s="301">
        <f t="shared" si="81"/>
        <v>0.5</v>
      </c>
      <c r="R266" s="173">
        <f t="shared" si="82"/>
        <v>0.97807017475565816</v>
      </c>
      <c r="S266" s="801">
        <f t="shared" si="83"/>
        <v>0</v>
      </c>
      <c r="T266" s="172">
        <f t="shared" si="84"/>
        <v>6</v>
      </c>
      <c r="U266" s="247">
        <f t="shared" si="85"/>
        <v>0.97807017475565816</v>
      </c>
      <c r="V266" s="378">
        <f t="shared" si="86"/>
        <v>194.77449415488934</v>
      </c>
      <c r="W266" s="397">
        <f t="shared" si="87"/>
        <v>87.383375130593876</v>
      </c>
      <c r="X266" s="153">
        <f t="shared" si="88"/>
        <v>45178</v>
      </c>
      <c r="Y266" s="380">
        <f t="shared" si="89"/>
        <v>87.383375130593876</v>
      </c>
      <c r="Z266" s="380">
        <f t="shared" si="90"/>
        <v>88.28999074942044</v>
      </c>
      <c r="AA266" s="381">
        <f t="shared" si="91"/>
        <v>92.131313858769417</v>
      </c>
      <c r="AB266" s="193">
        <f t="shared" si="92"/>
        <v>45178</v>
      </c>
      <c r="AC266" s="420">
        <f>IF(OR(t&lt;Tnet,NoTnet),'2022'!Resal_s+('2022'!Salim-'2022'!Resal_s)*(1-EXP(('2022'!Tnet_s-t)/'2022'!Tau_j)),Resal_s+(Salim-Resal_s)*(1-EXP((Tnet_s-t)/Tau_j)))*Salcycl</f>
        <v>4.1694001186582917E-2</v>
      </c>
      <c r="AD266" s="227">
        <f>(INDEX(Models!$BJ266:$BT266,,AH266)*(1-AF266)+INDEX(Models!$BJ266:$BT266,,AH266+1)*AF266-ERP_i)*AE266*Ramure*Pc/MaxiM</f>
        <v>9.7708366772755471E-5</v>
      </c>
      <c r="AE266" s="301">
        <f t="shared" si="93"/>
        <v>0.5</v>
      </c>
      <c r="AF266" s="173">
        <f t="shared" si="94"/>
        <v>0.97807017475565816</v>
      </c>
      <c r="AG266" s="172">
        <f t="shared" si="95"/>
        <v>0</v>
      </c>
      <c r="AH266" s="172">
        <f t="shared" si="96"/>
        <v>6</v>
      </c>
      <c r="AI266" s="221">
        <f t="shared" si="97"/>
        <v>0.97807017475565816</v>
      </c>
      <c r="AJ266" s="261" t="b">
        <f t="shared" si="98"/>
        <v>0</v>
      </c>
      <c r="AK266" s="261" t="b">
        <f t="shared" si="99"/>
        <v>0</v>
      </c>
      <c r="AL266" s="261"/>
      <c r="AM266" s="261"/>
      <c r="AN266" s="75"/>
    </row>
    <row r="267" spans="1:40" s="6" customFormat="1" ht="11.25" x14ac:dyDescent="0.2">
      <c r="A267" s="56">
        <f t="shared" si="100"/>
        <v>45179</v>
      </c>
      <c r="B267" s="406">
        <f>'2022'!Wh/'2022'!Env_an*'2023'!Env_an</f>
        <v>181.78412728491364</v>
      </c>
      <c r="C267" s="385"/>
      <c r="D267" s="388">
        <f t="shared" si="78"/>
        <v>183.67267918607672</v>
      </c>
      <c r="E267" s="380">
        <f t="shared" si="101"/>
        <v>191.67029767860515</v>
      </c>
      <c r="F267" s="380">
        <f t="shared" si="79"/>
        <v>191.68718893378653</v>
      </c>
      <c r="G267" s="110">
        <f t="shared" si="102"/>
        <v>0.9382058803836455</v>
      </c>
      <c r="H267" s="409" t="b">
        <f>Wh_hp&gt;='2022'!Maxi_hp</f>
        <v>0</v>
      </c>
      <c r="I267" s="385">
        <f>IF(H267,Wh_hp,'2022'!Maxi_hp)</f>
        <v>191.68801678499003</v>
      </c>
      <c r="J267" s="85">
        <f>IF(H267,An,'2022'!An_max)</f>
        <v>2022</v>
      </c>
      <c r="K267" s="193">
        <f t="shared" si="80"/>
        <v>45179</v>
      </c>
      <c r="L267" s="143">
        <f>IF(t&lt;Tvie,1-EXP((T0-t)*PertePVj)+'2022'!Pspv,1-EXP((T0-t)*PertePVj)+Pspv)</f>
        <v>1.0282160142335739E-2</v>
      </c>
      <c r="M267" s="835"/>
      <c r="N267" s="835"/>
      <c r="O267" s="48">
        <f>IF(t&lt;Tnet,'2022'!Resal+('2022'!Salim-'2022'!Resal)*(1-EXP(('2022'!Tnet-t)/('2022'!Tau_j))),Resal+(Salim-Resal)*(1-EXP((Tnet-t)/(Tau_j))))*Salcycl</f>
        <v>4.1725914705568655E-2</v>
      </c>
      <c r="P267" s="165">
        <f>(INDEX(Models!$BJ267:$BT267,,T267)*(1-R267)+INDEX(Models!$BJ267:$BT267,,T267+1)*R267-ERP_i)*Q267*Ramure*Pc/MaxiM</f>
        <v>9.6649725754660622E-5</v>
      </c>
      <c r="Q267" s="301">
        <f t="shared" si="81"/>
        <v>0.5</v>
      </c>
      <c r="R267" s="173">
        <f t="shared" si="82"/>
        <v>0.97852777876332309</v>
      </c>
      <c r="S267" s="801">
        <f t="shared" si="83"/>
        <v>0</v>
      </c>
      <c r="T267" s="172">
        <f t="shared" si="84"/>
        <v>6</v>
      </c>
      <c r="U267" s="247">
        <f t="shared" si="85"/>
        <v>0.97852777876332309</v>
      </c>
      <c r="V267" s="378">
        <f t="shared" si="86"/>
        <v>193.75552868696226</v>
      </c>
      <c r="W267" s="397">
        <f t="shared" si="87"/>
        <v>181.78412728491364</v>
      </c>
      <c r="X267" s="153">
        <f t="shared" si="88"/>
        <v>45179</v>
      </c>
      <c r="Y267" s="380">
        <f t="shared" si="89"/>
        <v>181.78412728491364</v>
      </c>
      <c r="Z267" s="380">
        <f t="shared" si="90"/>
        <v>183.67267918607672</v>
      </c>
      <c r="AA267" s="381">
        <f t="shared" si="91"/>
        <v>191.67029767860515</v>
      </c>
      <c r="AB267" s="193">
        <f t="shared" si="92"/>
        <v>45179</v>
      </c>
      <c r="AC267" s="420">
        <f>IF(OR(t&lt;Tnet,NoTnet),'2022'!Resal_s+('2022'!Salim-'2022'!Resal_s)*(1-EXP(('2022'!Tnet_s-t)/'2022'!Tau_j)),Resal_s+(Salim-Resal_s)*(1-EXP((Tnet_s-t)/Tau_j)))*Salcycl</f>
        <v>4.1725914705568655E-2</v>
      </c>
      <c r="AD267" s="227">
        <f>(INDEX(Models!$BJ267:$BT267,,AH267)*(1-AF267)+INDEX(Models!$BJ267:$BT267,,AH267+1)*AF267-ERP_i)*AE267*Ramure*Pc/MaxiM</f>
        <v>9.6649725754660622E-5</v>
      </c>
      <c r="AE267" s="301">
        <f t="shared" si="93"/>
        <v>0.5</v>
      </c>
      <c r="AF267" s="173">
        <f t="shared" si="94"/>
        <v>0.97852777876332309</v>
      </c>
      <c r="AG267" s="172">
        <f t="shared" si="95"/>
        <v>0</v>
      </c>
      <c r="AH267" s="172">
        <f t="shared" si="96"/>
        <v>6</v>
      </c>
      <c r="AI267" s="221">
        <f t="shared" si="97"/>
        <v>0.97852777876332309</v>
      </c>
      <c r="AJ267" s="261" t="b">
        <f t="shared" si="98"/>
        <v>0</v>
      </c>
      <c r="AK267" s="261" t="b">
        <f t="shared" si="99"/>
        <v>0</v>
      </c>
      <c r="AL267" s="261"/>
      <c r="AM267" s="261"/>
      <c r="AN267" s="75"/>
    </row>
    <row r="268" spans="1:40" s="6" customFormat="1" ht="11.25" x14ac:dyDescent="0.2">
      <c r="A268" s="56">
        <f t="shared" si="100"/>
        <v>45180</v>
      </c>
      <c r="B268" s="406">
        <f>'2022'!Wh/'2022'!Env_an*'2023'!Env_an</f>
        <v>185.30439581315142</v>
      </c>
      <c r="C268" s="385"/>
      <c r="D268" s="388">
        <f t="shared" si="78"/>
        <v>187.23208276825</v>
      </c>
      <c r="E268" s="380">
        <f t="shared" si="101"/>
        <v>195.391126785078</v>
      </c>
      <c r="F268" s="380">
        <f t="shared" si="79"/>
        <v>195.408786800218</v>
      </c>
      <c r="G268" s="110">
        <f t="shared" si="102"/>
        <v>0.96149325232897898</v>
      </c>
      <c r="H268" s="409" t="b">
        <f>Wh_hp&gt;='2022'!Maxi_hp</f>
        <v>0</v>
      </c>
      <c r="I268" s="385">
        <f>IF(H268,Wh_hp,'2022'!Maxi_hp)</f>
        <v>195.40930696041534</v>
      </c>
      <c r="J268" s="85">
        <f>IF(H268,An,'2022'!An_max)</f>
        <v>2022</v>
      </c>
      <c r="K268" s="193">
        <f t="shared" si="80"/>
        <v>45180</v>
      </c>
      <c r="L268" s="143">
        <f>IF(t&lt;Tvie,1-EXP((T0-t)*PertePVj)+'2022'!Pspv,1-EXP((T0-t)*PertePVj)+Pspv)</f>
        <v>1.02957085484362E-2</v>
      </c>
      <c r="M268" s="835"/>
      <c r="N268" s="835"/>
      <c r="O268" s="48">
        <f>IF(t&lt;Tnet,'2022'!Resal+('2022'!Salim-'2022'!Resal)*(1-EXP(('2022'!Tnet-t)/('2022'!Tau_j))),Resal+(Salim-Resal)*(1-EXP((Tnet-t)/(Tau_j))))*Salcycl</f>
        <v>4.1757495087290285E-2</v>
      </c>
      <c r="P268" s="165">
        <f>(INDEX(Models!$BJ268:$BT268,,T268)*(1-R268)+INDEX(Models!$BJ268:$BT268,,T268+1)*R268-ERP_i)*Q268*Ramure*Pc/MaxiM</f>
        <v>9.5634872654543434E-5</v>
      </c>
      <c r="Q268" s="301">
        <f t="shared" si="81"/>
        <v>0.5</v>
      </c>
      <c r="R268" s="173">
        <f t="shared" si="82"/>
        <v>0.97896776405465979</v>
      </c>
      <c r="S268" s="801">
        <f t="shared" si="83"/>
        <v>0</v>
      </c>
      <c r="T268" s="172">
        <f t="shared" si="84"/>
        <v>6</v>
      </c>
      <c r="U268" s="247">
        <f t="shared" si="85"/>
        <v>0.97896776405465979</v>
      </c>
      <c r="V268" s="378">
        <f t="shared" si="86"/>
        <v>192.72461928099884</v>
      </c>
      <c r="W268" s="397">
        <f t="shared" si="87"/>
        <v>185.30439581315142</v>
      </c>
      <c r="X268" s="153">
        <f t="shared" si="88"/>
        <v>45180</v>
      </c>
      <c r="Y268" s="380">
        <f t="shared" si="89"/>
        <v>185.30439581315142</v>
      </c>
      <c r="Z268" s="380">
        <f t="shared" si="90"/>
        <v>187.23208276825</v>
      </c>
      <c r="AA268" s="381">
        <f t="shared" si="91"/>
        <v>195.391126785078</v>
      </c>
      <c r="AB268" s="193">
        <f t="shared" si="92"/>
        <v>45180</v>
      </c>
      <c r="AC268" s="420">
        <f>IF(OR(t&lt;Tnet,NoTnet),'2022'!Resal_s+('2022'!Salim-'2022'!Resal_s)*(1-EXP(('2022'!Tnet_s-t)/'2022'!Tau_j)),Resal_s+(Salim-Resal_s)*(1-EXP((Tnet_s-t)/Tau_j)))*Salcycl</f>
        <v>4.1757495087290285E-2</v>
      </c>
      <c r="AD268" s="227">
        <f>(INDEX(Models!$BJ268:$BT268,,AH268)*(1-AF268)+INDEX(Models!$BJ268:$BT268,,AH268+1)*AF268-ERP_i)*AE268*Ramure*Pc/MaxiM</f>
        <v>9.5634872654543434E-5</v>
      </c>
      <c r="AE268" s="301">
        <f t="shared" si="93"/>
        <v>0.5</v>
      </c>
      <c r="AF268" s="173">
        <f t="shared" si="94"/>
        <v>0.97896776405465979</v>
      </c>
      <c r="AG268" s="172">
        <f t="shared" si="95"/>
        <v>0</v>
      </c>
      <c r="AH268" s="172">
        <f t="shared" si="96"/>
        <v>6</v>
      </c>
      <c r="AI268" s="221">
        <f t="shared" si="97"/>
        <v>0.97896776405465979</v>
      </c>
      <c r="AJ268" s="261" t="b">
        <f t="shared" si="98"/>
        <v>0</v>
      </c>
      <c r="AK268" s="261" t="b">
        <f t="shared" si="99"/>
        <v>0</v>
      </c>
      <c r="AL268" s="261"/>
      <c r="AM268" s="261"/>
      <c r="AN268" s="75"/>
    </row>
    <row r="269" spans="1:40" s="6" customFormat="1" ht="11.25" x14ac:dyDescent="0.2">
      <c r="A269" s="56">
        <f t="shared" si="100"/>
        <v>45181</v>
      </c>
      <c r="B269" s="406">
        <f>'2022'!Wh/'2022'!Env_an*'2023'!Env_an</f>
        <v>128.30416865043875</v>
      </c>
      <c r="C269" s="385"/>
      <c r="D269" s="388">
        <f t="shared" si="78"/>
        <v>129.64066758023711</v>
      </c>
      <c r="E269" s="380">
        <f t="shared" si="101"/>
        <v>135.29445090916815</v>
      </c>
      <c r="F269" s="380">
        <f t="shared" si="79"/>
        <v>135.30120254993918</v>
      </c>
      <c r="G269" s="110">
        <f t="shared" si="102"/>
        <v>0.66933034748346698</v>
      </c>
      <c r="H269" s="409" t="b">
        <f>Wh_hp&gt;='2022'!Maxi_hp</f>
        <v>0</v>
      </c>
      <c r="I269" s="385">
        <f>IF(H269,Wh_hp,'2022'!Maxi_hp)</f>
        <v>135.30425984199042</v>
      </c>
      <c r="J269" s="85">
        <f>IF(H269,An,'2022'!An_max)</f>
        <v>2022</v>
      </c>
      <c r="K269" s="193">
        <f t="shared" si="80"/>
        <v>45181</v>
      </c>
      <c r="L269" s="143">
        <f>IF(t&lt;Tvie,1-EXP((T0-t)*PertePVj)+'2022'!Pspv,1-EXP((T0-t)*PertePVj)+Pspv)</f>
        <v>1.0309256769070352E-2</v>
      </c>
      <c r="M269" s="835"/>
      <c r="N269" s="835"/>
      <c r="O269" s="48">
        <f>IF(t&lt;Tnet,'2022'!Resal+('2022'!Salim-'2022'!Resal)*(1-EXP(('2022'!Tnet-t)/('2022'!Tau_j))),Resal+(Salim-Resal)*(1-EXP((Tnet-t)/(Tau_j))))*Salcycl</f>
        <v>4.1788730365052332E-2</v>
      </c>
      <c r="P269" s="165">
        <f>(INDEX(Models!$BJ269:$BT269,,T269)*(1-R269)+INDEX(Models!$BJ269:$BT269,,T269+1)*R269-ERP_i)*Q269*Ramure*Pc/MaxiM</f>
        <v>9.4570471891787714E-5</v>
      </c>
      <c r="Q269" s="301">
        <f t="shared" si="81"/>
        <v>0.5</v>
      </c>
      <c r="R269" s="173">
        <f t="shared" si="82"/>
        <v>0.97939077843624678</v>
      </c>
      <c r="S269" s="801">
        <f t="shared" si="83"/>
        <v>0</v>
      </c>
      <c r="T269" s="172">
        <f t="shared" si="84"/>
        <v>6</v>
      </c>
      <c r="U269" s="247">
        <f t="shared" si="85"/>
        <v>0.97939077843624678</v>
      </c>
      <c r="V269" s="378">
        <f t="shared" si="86"/>
        <v>191.68178694433581</v>
      </c>
      <c r="W269" s="397">
        <f t="shared" si="87"/>
        <v>128.30416865043875</v>
      </c>
      <c r="X269" s="153">
        <f t="shared" si="88"/>
        <v>45181</v>
      </c>
      <c r="Y269" s="380">
        <f t="shared" si="89"/>
        <v>128.30416865043875</v>
      </c>
      <c r="Z269" s="380">
        <f t="shared" si="90"/>
        <v>129.64066758023711</v>
      </c>
      <c r="AA269" s="381">
        <f t="shared" si="91"/>
        <v>135.29445090916815</v>
      </c>
      <c r="AB269" s="193">
        <f t="shared" si="92"/>
        <v>45181</v>
      </c>
      <c r="AC269" s="420">
        <f>IF(OR(t&lt;Tnet,NoTnet),'2022'!Resal_s+('2022'!Salim-'2022'!Resal_s)*(1-EXP(('2022'!Tnet_s-t)/'2022'!Tau_j)),Resal_s+(Salim-Resal_s)*(1-EXP((Tnet_s-t)/Tau_j)))*Salcycl</f>
        <v>4.1788730365052332E-2</v>
      </c>
      <c r="AD269" s="227">
        <f>(INDEX(Models!$BJ269:$BT269,,AH269)*(1-AF269)+INDEX(Models!$BJ269:$BT269,,AH269+1)*AF269-ERP_i)*AE269*Ramure*Pc/MaxiM</f>
        <v>9.4570471891787714E-5</v>
      </c>
      <c r="AE269" s="301">
        <f t="shared" si="93"/>
        <v>0.5</v>
      </c>
      <c r="AF269" s="173">
        <f t="shared" si="94"/>
        <v>0.97939077843624678</v>
      </c>
      <c r="AG269" s="172">
        <f t="shared" si="95"/>
        <v>0</v>
      </c>
      <c r="AH269" s="172">
        <f t="shared" si="96"/>
        <v>6</v>
      </c>
      <c r="AI269" s="221">
        <f t="shared" si="97"/>
        <v>0.97939077843624678</v>
      </c>
      <c r="AJ269" s="261" t="b">
        <f t="shared" si="98"/>
        <v>0</v>
      </c>
      <c r="AK269" s="261" t="b">
        <f t="shared" si="99"/>
        <v>0</v>
      </c>
      <c r="AL269" s="261"/>
      <c r="AM269" s="261"/>
      <c r="AN269" s="75"/>
    </row>
    <row r="270" spans="1:40" s="6" customFormat="1" ht="11.25" x14ac:dyDescent="0.2">
      <c r="A270" s="56">
        <f t="shared" si="100"/>
        <v>45182</v>
      </c>
      <c r="B270" s="406">
        <f>'2022'!Wh/'2022'!Env_an*'2023'!Env_an</f>
        <v>46.190398156223452</v>
      </c>
      <c r="C270" s="385"/>
      <c r="D270" s="388">
        <f t="shared" si="78"/>
        <v>46.672186022319067</v>
      </c>
      <c r="E270" s="380">
        <f t="shared" si="101"/>
        <v>48.709185053365267</v>
      </c>
      <c r="F270" s="380">
        <f t="shared" si="79"/>
        <v>48.709185053365267</v>
      </c>
      <c r="G270" s="110">
        <f t="shared" si="102"/>
        <v>0.2422850540689952</v>
      </c>
      <c r="H270" s="409" t="b">
        <f>Wh_hp&gt;='2022'!Maxi_hp</f>
        <v>0</v>
      </c>
      <c r="I270" s="385">
        <f>IF(H270,Wh_hp,'2022'!Maxi_hp)</f>
        <v>48.711486880695645</v>
      </c>
      <c r="J270" s="85">
        <f>IF(H270,An,'2022'!An_max)</f>
        <v>2022</v>
      </c>
      <c r="K270" s="193">
        <f t="shared" si="80"/>
        <v>45182</v>
      </c>
      <c r="L270" s="143">
        <f>IF(t&lt;Tvie,1-EXP((T0-t)*PertePVj)+'2022'!Pspv,1-EXP((T0-t)*PertePVj)+Pspv)</f>
        <v>1.0322804804240748E-2</v>
      </c>
      <c r="M270" s="835"/>
      <c r="N270" s="835"/>
      <c r="O270" s="48">
        <f>IF(t&lt;Tnet,'2022'!Resal+('2022'!Salim-'2022'!Resal)*(1-EXP(('2022'!Tnet-t)/('2022'!Tau_j))),Resal+(Salim-Resal)*(1-EXP((Tnet-t)/(Tau_j))))*Salcycl</f>
        <v>4.1819608125541106E-2</v>
      </c>
      <c r="P270" s="165">
        <f>(INDEX(Models!$BJ270:$BT270,,T270)*(1-R270)+INDEX(Models!$BJ270:$BT270,,T270+1)*R270-ERP_i)*Q270*Ramure*Pc/MaxiM</f>
        <v>9.3455784696538615E-5</v>
      </c>
      <c r="Q270" s="301">
        <f t="shared" si="81"/>
        <v>0.5</v>
      </c>
      <c r="R270" s="173">
        <f t="shared" si="82"/>
        <v>0.97979744826445692</v>
      </c>
      <c r="S270" s="801">
        <f t="shared" si="83"/>
        <v>0</v>
      </c>
      <c r="T270" s="172">
        <f t="shared" si="84"/>
        <v>6</v>
      </c>
      <c r="U270" s="247">
        <f t="shared" si="85"/>
        <v>0.97979744826445692</v>
      </c>
      <c r="V270" s="378">
        <f t="shared" si="86"/>
        <v>190.62703464641268</v>
      </c>
      <c r="W270" s="397">
        <f t="shared" si="87"/>
        <v>46.190398156223452</v>
      </c>
      <c r="X270" s="153">
        <f t="shared" si="88"/>
        <v>45182</v>
      </c>
      <c r="Y270" s="380">
        <f t="shared" si="89"/>
        <v>46.190398156223452</v>
      </c>
      <c r="Z270" s="380">
        <f t="shared" si="90"/>
        <v>46.672186022319067</v>
      </c>
      <c r="AA270" s="381">
        <f t="shared" si="91"/>
        <v>48.709185053365267</v>
      </c>
      <c r="AB270" s="193">
        <f t="shared" si="92"/>
        <v>45182</v>
      </c>
      <c r="AC270" s="420">
        <f>IF(OR(t&lt;Tnet,NoTnet),'2022'!Resal_s+('2022'!Salim-'2022'!Resal_s)*(1-EXP(('2022'!Tnet_s-t)/'2022'!Tau_j)),Resal_s+(Salim-Resal_s)*(1-EXP((Tnet_s-t)/Tau_j)))*Salcycl</f>
        <v>4.1819608125541106E-2</v>
      </c>
      <c r="AD270" s="227">
        <f>(INDEX(Models!$BJ270:$BT270,,AH270)*(1-AF270)+INDEX(Models!$BJ270:$BT270,,AH270+1)*AF270-ERP_i)*AE270*Ramure*Pc/MaxiM</f>
        <v>9.3455784696538615E-5</v>
      </c>
      <c r="AE270" s="301">
        <f t="shared" si="93"/>
        <v>0.5</v>
      </c>
      <c r="AF270" s="173">
        <f t="shared" si="94"/>
        <v>0.97979744826445692</v>
      </c>
      <c r="AG270" s="172">
        <f t="shared" si="95"/>
        <v>0</v>
      </c>
      <c r="AH270" s="172">
        <f t="shared" si="96"/>
        <v>6</v>
      </c>
      <c r="AI270" s="221">
        <f t="shared" si="97"/>
        <v>0.97979744826445692</v>
      </c>
      <c r="AJ270" s="261" t="b">
        <f t="shared" si="98"/>
        <v>0</v>
      </c>
      <c r="AK270" s="261" t="b">
        <f t="shared" si="99"/>
        <v>0</v>
      </c>
      <c r="AL270" s="261"/>
      <c r="AM270" s="261"/>
      <c r="AN270" s="75"/>
    </row>
    <row r="271" spans="1:40" s="6" customFormat="1" ht="11.25" x14ac:dyDescent="0.2">
      <c r="A271" s="56">
        <f t="shared" si="100"/>
        <v>45183</v>
      </c>
      <c r="B271" s="406">
        <f>'2022'!Wh/'2022'!Env_an*'2023'!Env_an</f>
        <v>147.30696719318209</v>
      </c>
      <c r="C271" s="385"/>
      <c r="D271" s="388">
        <f t="shared" ref="D271:D334" si="103">Wh/(1-Ppv)</f>
        <v>148.8454866339797</v>
      </c>
      <c r="E271" s="380">
        <f t="shared" si="101"/>
        <v>155.34676676855582</v>
      </c>
      <c r="F271" s="380">
        <f t="shared" ref="F271:F334" si="104">Wh_sa/(1-Pvg*MEDIAN((-Sdif+Wh/Env_an)/Csdif,0,1))</f>
        <v>155.35653900424472</v>
      </c>
      <c r="G271" s="110">
        <f t="shared" si="102"/>
        <v>0.77707508935349456</v>
      </c>
      <c r="H271" s="409" t="b">
        <f>Wh_hp&gt;='2022'!Maxi_hp</f>
        <v>0</v>
      </c>
      <c r="I271" s="385">
        <f>IF(H271,Wh_hp,'2022'!Maxi_hp)</f>
        <v>155.35884692302292</v>
      </c>
      <c r="J271" s="85">
        <f>IF(H271,An,'2022'!An_max)</f>
        <v>2022</v>
      </c>
      <c r="K271" s="193">
        <f t="shared" ref="K271:K334" si="105">t</f>
        <v>45183</v>
      </c>
      <c r="L271" s="143">
        <f>IF(t&lt;Tvie,1-EXP((T0-t)*PertePVj)+'2022'!Pspv,1-EXP((T0-t)*PertePVj)+Pspv)</f>
        <v>1.0336352653949943E-2</v>
      </c>
      <c r="M271" s="835"/>
      <c r="N271" s="835"/>
      <c r="O271" s="48">
        <f>IF(t&lt;Tnet,'2022'!Resal+('2022'!Salim-'2022'!Resal)*(1-EXP(('2022'!Tnet-t)/('2022'!Tau_j))),Resal+(Salim-Resal)*(1-EXP((Tnet-t)/(Tau_j))))*Salcycl</f>
        <v>4.1850115517769917E-2</v>
      </c>
      <c r="P271" s="165">
        <f>(INDEX(Models!$BJ271:$BT271,,T271)*(1-R271)+INDEX(Models!$BJ271:$BT271,,T271+1)*R271-ERP_i)*Q271*Ramure*Pc/MaxiM</f>
        <v>9.2290054968489327E-5</v>
      </c>
      <c r="Q271" s="301">
        <f t="shared" ref="Q271:Q334" si="106">IF(OR(t&lt;Ttai,Notai),Dd+PousD*Croivg,Dens+PousD*(Croivg-Croi_tai))</f>
        <v>0.5</v>
      </c>
      <c r="R271" s="173">
        <f t="shared" ref="R271:R334" si="107">(Hp_vg-S271)/(INDEX(Echel_vg,T271+1)-S271)</f>
        <v>0.98018837896889244</v>
      </c>
      <c r="S271" s="801">
        <f t="shared" ref="S271:S334" si="108">INDEX(Echel_vg,T271)</f>
        <v>0</v>
      </c>
      <c r="T271" s="172">
        <f t="shared" ref="T271:T334" si="109">MIN(MATCH(Hp_vg,Echel_vg),10)</f>
        <v>6</v>
      </c>
      <c r="U271" s="247">
        <f t="shared" ref="U271:U334" si="110">IF(OR(t&lt;Ttai,Notai),Hdd+PousH*Croivg,Hdtf+PousH*(Croivg-Croi_tai))</f>
        <v>0.98018837896889244</v>
      </c>
      <c r="V271" s="378">
        <f t="shared" ref="V271:V334" si="111">MaxiM*(1-Ppv)*(1-Pvg)*(1-Psa)</f>
        <v>189.56036536559418</v>
      </c>
      <c r="W271" s="397">
        <f t="shared" ref="W271:W334" si="112">Wh*(A271&gt;Tmaj)</f>
        <v>147.30696719318209</v>
      </c>
      <c r="X271" s="153">
        <f t="shared" ref="X271:X334" si="113">t</f>
        <v>45183</v>
      </c>
      <c r="Y271" s="380">
        <f t="shared" ref="Y271:Y334" si="114">Wh_pvt_s*(1-Ppv)</f>
        <v>147.30696719318209</v>
      </c>
      <c r="Z271" s="380">
        <f t="shared" ref="Z271:Z334" si="115">Wh_sa_s*(1-Psa_s)</f>
        <v>148.8454866339797</v>
      </c>
      <c r="AA271" s="381">
        <f t="shared" ref="AA271:AA334" si="116">Wh_hp*(1-Pvg_s*MEDIAN((-Sdif+Wh/Env_an)/Csdif,0,1))</f>
        <v>155.34676676855582</v>
      </c>
      <c r="AB271" s="193">
        <f t="shared" ref="AB271:AB334" si="117">t</f>
        <v>45183</v>
      </c>
      <c r="AC271" s="420">
        <f>IF(OR(t&lt;Tnet,NoTnet),'2022'!Resal_s+('2022'!Salim-'2022'!Resal_s)*(1-EXP(('2022'!Tnet_s-t)/'2022'!Tau_j)),Resal_s+(Salim-Resal_s)*(1-EXP((Tnet_s-t)/Tau_j)))*Salcycl</f>
        <v>4.1850115517769917E-2</v>
      </c>
      <c r="AD271" s="227">
        <f>(INDEX(Models!$BJ271:$BT271,,AH271)*(1-AF271)+INDEX(Models!$BJ271:$BT271,,AH271+1)*AF271-ERP_i)*AE271*Ramure*Pc/MaxiM</f>
        <v>9.2290054968489327E-5</v>
      </c>
      <c r="AE271" s="301">
        <f t="shared" ref="AE271:AE334" si="118">IF(OR(t&lt;Ttai,Notai),Dd_s+PousD*Croivg,Dens_s+PousD*(Croivg-Croi_tai))</f>
        <v>0.5</v>
      </c>
      <c r="AF271" s="173">
        <f t="shared" ref="AF271:AF334" si="119">(Hp_vg_s-AG271)/(INDEX(Echel_vg,AH271+1)-AG271)</f>
        <v>0.98018837896889244</v>
      </c>
      <c r="AG271" s="172">
        <f t="shared" ref="AG271:AG334" si="120">INDEX(Echel_vg,AH271)</f>
        <v>0</v>
      </c>
      <c r="AH271" s="172">
        <f t="shared" ref="AH271:AH334" si="121">MIN(MATCH(Hp_vg_s,Echel_vg),10)</f>
        <v>6</v>
      </c>
      <c r="AI271" s="221">
        <f t="shared" ref="AI271:AI334" si="122">IF(OR(t&lt;Ttai,Notai),Hdd_s+PousH*Croivg,Hdtai_s+PousH*(Croivg-Croi_tai))</f>
        <v>0.98018837896889244</v>
      </c>
      <c r="AJ271" s="261" t="b">
        <f t="shared" ref="AJ271:AJ334" si="123">t&lt;Tnet</f>
        <v>0</v>
      </c>
      <c r="AK271" s="261" t="b">
        <f t="shared" ref="AK271:AK334" si="124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5">A271+1</f>
        <v>45184</v>
      </c>
      <c r="B272" s="406">
        <f>'2022'!Wh/'2022'!Env_an*'2023'!Env_an</f>
        <v>164.83805245236366</v>
      </c>
      <c r="C272" s="385"/>
      <c r="D272" s="388">
        <f t="shared" si="103"/>
        <v>166.56195205291624</v>
      </c>
      <c r="E272" s="380">
        <f t="shared" si="101"/>
        <v>173.84251831494078</v>
      </c>
      <c r="F272" s="380">
        <f t="shared" si="104"/>
        <v>173.8555143483691</v>
      </c>
      <c r="G272" s="110">
        <f t="shared" si="102"/>
        <v>0.87454267561628674</v>
      </c>
      <c r="H272" s="409" t="b">
        <f>Wh_hp&gt;='2022'!Maxi_hp</f>
        <v>0</v>
      </c>
      <c r="I272" s="385">
        <f>IF(H272,Wh_hp,'2022'!Maxi_hp)</f>
        <v>173.8569482012538</v>
      </c>
      <c r="J272" s="85">
        <f>IF(H272,An,'2022'!An_max)</f>
        <v>2022</v>
      </c>
      <c r="K272" s="193">
        <f t="shared" si="105"/>
        <v>45184</v>
      </c>
      <c r="L272" s="143">
        <f>IF(t&lt;Tvie,1-EXP((T0-t)*PertePVj)+'2022'!Pspv,1-EXP((T0-t)*PertePVj)+Pspv)</f>
        <v>1.0349900318200489E-2</v>
      </c>
      <c r="M272" s="835"/>
      <c r="N272" s="835"/>
      <c r="O272" s="48">
        <f>IF(t&lt;Tnet,'2022'!Resal+('2022'!Salim-'2022'!Resal)*(1-EXP(('2022'!Tnet-t)/('2022'!Tau_j))),Resal+(Salim-Resal)*(1-EXP((Tnet-t)/(Tau_j))))*Salcycl</f>
        <v>4.1880239268248132E-2</v>
      </c>
      <c r="P272" s="165">
        <f>(INDEX(Models!$BJ272:$BT272,,T272)*(1-R272)+INDEX(Models!$BJ272:$BT272,,T272+1)*R272-ERP_i)*Q272*Ramure*Pc/MaxiM</f>
        <v>9.1072510242334181E-5</v>
      </c>
      <c r="Q272" s="301">
        <f t="shared" si="106"/>
        <v>0.5</v>
      </c>
      <c r="R272" s="173">
        <f t="shared" si="107"/>
        <v>0.98056415557879051</v>
      </c>
      <c r="S272" s="801">
        <f t="shared" si="108"/>
        <v>0</v>
      </c>
      <c r="T272" s="172">
        <f t="shared" si="109"/>
        <v>6</v>
      </c>
      <c r="U272" s="247">
        <f t="shared" si="110"/>
        <v>0.98056415557879051</v>
      </c>
      <c r="V272" s="378">
        <f t="shared" si="111"/>
        <v>188.48178207050861</v>
      </c>
      <c r="W272" s="397">
        <f t="shared" si="112"/>
        <v>164.83805245236366</v>
      </c>
      <c r="X272" s="153">
        <f t="shared" si="113"/>
        <v>45184</v>
      </c>
      <c r="Y272" s="380">
        <f t="shared" si="114"/>
        <v>164.83805245236366</v>
      </c>
      <c r="Z272" s="380">
        <f t="shared" si="115"/>
        <v>166.56195205291624</v>
      </c>
      <c r="AA272" s="381">
        <f t="shared" si="116"/>
        <v>173.84251831494078</v>
      </c>
      <c r="AB272" s="193">
        <f t="shared" si="117"/>
        <v>45184</v>
      </c>
      <c r="AC272" s="420">
        <f>IF(OR(t&lt;Tnet,NoTnet),'2022'!Resal_s+('2022'!Salim-'2022'!Resal_s)*(1-EXP(('2022'!Tnet_s-t)/'2022'!Tau_j)),Resal_s+(Salim-Resal_s)*(1-EXP((Tnet_s-t)/Tau_j)))*Salcycl</f>
        <v>4.1880239268248132E-2</v>
      </c>
      <c r="AD272" s="227">
        <f>(INDEX(Models!$BJ272:$BT272,,AH272)*(1-AF272)+INDEX(Models!$BJ272:$BT272,,AH272+1)*AF272-ERP_i)*AE272*Ramure*Pc/MaxiM</f>
        <v>9.1072510242334181E-5</v>
      </c>
      <c r="AE272" s="301">
        <f t="shared" si="118"/>
        <v>0.5</v>
      </c>
      <c r="AF272" s="173">
        <f t="shared" si="119"/>
        <v>0.98056415557879051</v>
      </c>
      <c r="AG272" s="172">
        <f t="shared" si="120"/>
        <v>0</v>
      </c>
      <c r="AH272" s="172">
        <f t="shared" si="121"/>
        <v>6</v>
      </c>
      <c r="AI272" s="221">
        <f t="shared" si="122"/>
        <v>0.98056415557879051</v>
      </c>
      <c r="AJ272" s="261" t="b">
        <f t="shared" si="123"/>
        <v>0</v>
      </c>
      <c r="AK272" s="261" t="b">
        <f t="shared" si="124"/>
        <v>0</v>
      </c>
      <c r="AL272" s="261"/>
      <c r="AM272" s="261"/>
      <c r="AN272" s="75"/>
    </row>
    <row r="273" spans="1:40" s="6" customFormat="1" ht="11.25" x14ac:dyDescent="0.2">
      <c r="A273" s="56">
        <f t="shared" si="125"/>
        <v>45185</v>
      </c>
      <c r="B273" s="406">
        <f>'2022'!Wh/'2022'!Env_an*'2023'!Env_an</f>
        <v>105.23442899760597</v>
      </c>
      <c r="C273" s="385"/>
      <c r="D273" s="388">
        <f t="shared" si="103"/>
        <v>106.3364411544281</v>
      </c>
      <c r="E273" s="380">
        <f t="shared" si="101"/>
        <v>110.98794199694345</v>
      </c>
      <c r="F273" s="380">
        <f t="shared" si="104"/>
        <v>110.99166658122586</v>
      </c>
      <c r="G273" s="110">
        <f t="shared" si="102"/>
        <v>0.56154430211884487</v>
      </c>
      <c r="H273" s="409" t="b">
        <f>Wh_hp&gt;='2022'!Maxi_hp</f>
        <v>0</v>
      </c>
      <c r="I273" s="385">
        <f>IF(H273,Wh_hp,'2022'!Maxi_hp)</f>
        <v>110.99482020790059</v>
      </c>
      <c r="J273" s="85">
        <f>IF(H273,An,'2022'!An_max)</f>
        <v>2022</v>
      </c>
      <c r="K273" s="193">
        <f t="shared" si="105"/>
        <v>45185</v>
      </c>
      <c r="L273" s="143">
        <f>IF(t&lt;Tvie,1-EXP((T0-t)*PertePVj)+'2022'!Pspv,1-EXP((T0-t)*PertePVj)+Pspv)</f>
        <v>1.0363447796994829E-2</v>
      </c>
      <c r="M273" s="835"/>
      <c r="N273" s="835"/>
      <c r="O273" s="48">
        <f>IF(t&lt;Tnet,'2022'!Resal+('2022'!Salim-'2022'!Resal)*(1-EXP(('2022'!Tnet-t)/('2022'!Tau_j))),Resal+(Salim-Resal)*(1-EXP((Tnet-t)/(Tau_j))))*Salcycl</f>
        <v>4.1909965702791818E-2</v>
      </c>
      <c r="P273" s="165">
        <f>(INDEX(Models!$BJ273:$BT273,,T273)*(1-R273)+INDEX(Models!$BJ273:$BT273,,T273+1)*R273-ERP_i)*Q273*Ramure*Pc/MaxiM</f>
        <v>8.9802362813561765E-5</v>
      </c>
      <c r="Q273" s="301">
        <f t="shared" si="106"/>
        <v>0.5</v>
      </c>
      <c r="R273" s="173">
        <f t="shared" si="107"/>
        <v>0.98092534325068614</v>
      </c>
      <c r="S273" s="801">
        <f t="shared" si="108"/>
        <v>0</v>
      </c>
      <c r="T273" s="172">
        <f t="shared" si="109"/>
        <v>6</v>
      </c>
      <c r="U273" s="247">
        <f t="shared" si="110"/>
        <v>0.98092534325068614</v>
      </c>
      <c r="V273" s="378">
        <f t="shared" si="111"/>
        <v>187.39128771905499</v>
      </c>
      <c r="W273" s="397">
        <f t="shared" si="112"/>
        <v>105.23442899760597</v>
      </c>
      <c r="X273" s="153">
        <f t="shared" si="113"/>
        <v>45185</v>
      </c>
      <c r="Y273" s="380">
        <f t="shared" si="114"/>
        <v>105.23442899760597</v>
      </c>
      <c r="Z273" s="380">
        <f t="shared" si="115"/>
        <v>106.3364411544281</v>
      </c>
      <c r="AA273" s="381">
        <f t="shared" si="116"/>
        <v>110.98794199694345</v>
      </c>
      <c r="AB273" s="193">
        <f t="shared" si="117"/>
        <v>45185</v>
      </c>
      <c r="AC273" s="420">
        <f>IF(OR(t&lt;Tnet,NoTnet),'2022'!Resal_s+('2022'!Salim-'2022'!Resal_s)*(1-EXP(('2022'!Tnet_s-t)/'2022'!Tau_j)),Resal_s+(Salim-Resal_s)*(1-EXP((Tnet_s-t)/Tau_j)))*Salcycl</f>
        <v>4.1909965702791818E-2</v>
      </c>
      <c r="AD273" s="227">
        <f>(INDEX(Models!$BJ273:$BT273,,AH273)*(1-AF273)+INDEX(Models!$BJ273:$BT273,,AH273+1)*AF273-ERP_i)*AE273*Ramure*Pc/MaxiM</f>
        <v>8.9802362813561765E-5</v>
      </c>
      <c r="AE273" s="301">
        <f t="shared" si="118"/>
        <v>0.5</v>
      </c>
      <c r="AF273" s="173">
        <f t="shared" si="119"/>
        <v>0.98092534325068614</v>
      </c>
      <c r="AG273" s="172">
        <f t="shared" si="120"/>
        <v>0</v>
      </c>
      <c r="AH273" s="172">
        <f t="shared" si="121"/>
        <v>6</v>
      </c>
      <c r="AI273" s="221">
        <f t="shared" si="122"/>
        <v>0.98092534325068614</v>
      </c>
      <c r="AJ273" s="261" t="b">
        <f t="shared" si="123"/>
        <v>0</v>
      </c>
      <c r="AK273" s="261" t="b">
        <f t="shared" si="124"/>
        <v>0</v>
      </c>
      <c r="AL273" s="261"/>
      <c r="AM273" s="261"/>
      <c r="AN273" s="75"/>
    </row>
    <row r="274" spans="1:40" s="6" customFormat="1" ht="11.25" customHeight="1" x14ac:dyDescent="0.2">
      <c r="A274" s="56">
        <f t="shared" si="125"/>
        <v>45186</v>
      </c>
      <c r="B274" s="406">
        <f>'2022'!Wh/'2022'!Env_an*'2023'!Env_an</f>
        <v>191.23905056265775</v>
      </c>
      <c r="C274" s="385"/>
      <c r="D274" s="388">
        <f t="shared" si="103"/>
        <v>193.24434619435164</v>
      </c>
      <c r="E274" s="380">
        <f t="shared" si="101"/>
        <v>201.70365230163873</v>
      </c>
      <c r="F274" s="380">
        <f t="shared" si="104"/>
        <v>201.72150038015275</v>
      </c>
      <c r="G274" s="110">
        <f t="shared" si="102"/>
        <v>1.0265725210341587</v>
      </c>
      <c r="H274" s="409" t="b">
        <f>Wh_hp&gt;='2022'!Maxi_hp</f>
        <v>1</v>
      </c>
      <c r="I274" s="385">
        <f>IF(H274,Wh_hp,'2022'!Maxi_hp)</f>
        <v>201.72150038015275</v>
      </c>
      <c r="J274" s="85">
        <f>IF(H274,An,'2022'!An_max)</f>
        <v>2023</v>
      </c>
      <c r="K274" s="193">
        <f t="shared" si="105"/>
        <v>45186</v>
      </c>
      <c r="L274" s="143">
        <f>IF(t&lt;Tvie,1-EXP((T0-t)*PertePVj)+'2022'!Pspv,1-EXP((T0-t)*PertePVj)+Pspv)</f>
        <v>1.0376995090335517E-2</v>
      </c>
      <c r="M274" s="835"/>
      <c r="N274" s="835"/>
      <c r="O274" s="48">
        <f>IF(t&lt;Tnet,'2022'!Resal+('2022'!Salim-'2022'!Resal)*(1-EXP(('2022'!Tnet-t)/('2022'!Tau_j))),Resal+(Salim-Resal)*(1-EXP((Tnet-t)/(Tau_j))))*Salcycl</f>
        <v>4.1939280775325702E-2</v>
      </c>
      <c r="P274" s="165">
        <f>(INDEX(Models!$BJ274:$BT274,,T274)*(1-R274)+INDEX(Models!$BJ274:$BT274,,T274+1)*R274-ERP_i)*Q274*Ramure*Pc/MaxiM</f>
        <v>8.8478811035936261E-5</v>
      </c>
      <c r="Q274" s="301">
        <f t="shared" si="106"/>
        <v>0.5</v>
      </c>
      <c r="R274" s="173">
        <f t="shared" si="107"/>
        <v>0.98127248779578446</v>
      </c>
      <c r="S274" s="801">
        <f t="shared" si="108"/>
        <v>0</v>
      </c>
      <c r="T274" s="172">
        <f t="shared" si="109"/>
        <v>6</v>
      </c>
      <c r="U274" s="247">
        <f t="shared" si="110"/>
        <v>0.98127248779578446</v>
      </c>
      <c r="V274" s="378">
        <f t="shared" si="111"/>
        <v>186.28888524115712</v>
      </c>
      <c r="W274" s="397">
        <f t="shared" si="112"/>
        <v>191.23905056265775</v>
      </c>
      <c r="X274" s="153">
        <f t="shared" si="113"/>
        <v>45186</v>
      </c>
      <c r="Y274" s="380">
        <f t="shared" si="114"/>
        <v>191.23905056265775</v>
      </c>
      <c r="Z274" s="380">
        <f t="shared" si="115"/>
        <v>193.24434619435164</v>
      </c>
      <c r="AA274" s="381">
        <f t="shared" si="116"/>
        <v>201.70365230163873</v>
      </c>
      <c r="AB274" s="193">
        <f t="shared" si="117"/>
        <v>45186</v>
      </c>
      <c r="AC274" s="420">
        <f>IF(OR(t&lt;Tnet,NoTnet),'2022'!Resal_s+('2022'!Salim-'2022'!Resal_s)*(1-EXP(('2022'!Tnet_s-t)/'2022'!Tau_j)),Resal_s+(Salim-Resal_s)*(1-EXP((Tnet_s-t)/Tau_j)))*Salcycl</f>
        <v>4.1939280775325702E-2</v>
      </c>
      <c r="AD274" s="227">
        <f>(INDEX(Models!$BJ274:$BT274,,AH274)*(1-AF274)+INDEX(Models!$BJ274:$BT274,,AH274+1)*AF274-ERP_i)*AE274*Ramure*Pc/MaxiM</f>
        <v>8.8478811035936261E-5</v>
      </c>
      <c r="AE274" s="301">
        <f t="shared" si="118"/>
        <v>0.5</v>
      </c>
      <c r="AF274" s="173">
        <f t="shared" si="119"/>
        <v>0.98127248779578446</v>
      </c>
      <c r="AG274" s="172">
        <f t="shared" si="120"/>
        <v>0</v>
      </c>
      <c r="AH274" s="172">
        <f t="shared" si="121"/>
        <v>6</v>
      </c>
      <c r="AI274" s="221">
        <f t="shared" si="122"/>
        <v>0.98127248779578446</v>
      </c>
      <c r="AJ274" s="261" t="b">
        <f t="shared" si="123"/>
        <v>0</v>
      </c>
      <c r="AK274" s="261" t="b">
        <f t="shared" si="124"/>
        <v>0</v>
      </c>
      <c r="AL274" s="261"/>
      <c r="AM274" s="261"/>
      <c r="AN274" s="75"/>
    </row>
    <row r="275" spans="1:40" s="6" customFormat="1" ht="11.25" x14ac:dyDescent="0.2">
      <c r="A275" s="56">
        <f t="shared" si="125"/>
        <v>45187</v>
      </c>
      <c r="B275" s="406">
        <f>'2022'!Wh/'2022'!Env_an*'2023'!Env_an</f>
        <v>184.68723259744581</v>
      </c>
      <c r="C275" s="385"/>
      <c r="D275" s="388">
        <f t="shared" si="103"/>
        <v>186.62638189381559</v>
      </c>
      <c r="E275" s="380">
        <f t="shared" si="101"/>
        <v>194.80185946855869</v>
      </c>
      <c r="F275" s="380">
        <f t="shared" si="104"/>
        <v>194.81876533454729</v>
      </c>
      <c r="G275" s="110">
        <f t="shared" si="102"/>
        <v>0.99738600671429478</v>
      </c>
      <c r="H275" s="409" t="b">
        <f>Wh_hp&gt;='2022'!Maxi_hp</f>
        <v>0</v>
      </c>
      <c r="I275" s="385">
        <f>IF(H275,Wh_hp,'2022'!Maxi_hp)</f>
        <v>194.81879732421061</v>
      </c>
      <c r="J275" s="85">
        <f>IF(H275,An,'2022'!An_max)</f>
        <v>2022</v>
      </c>
      <c r="K275" s="193">
        <f t="shared" si="105"/>
        <v>45187</v>
      </c>
      <c r="L275" s="143">
        <f>IF(t&lt;Tvie,1-EXP((T0-t)*PertePVj)+'2022'!Pspv,1-EXP((T0-t)*PertePVj)+Pspv)</f>
        <v>1.0390542198225217E-2</v>
      </c>
      <c r="M275" s="835"/>
      <c r="N275" s="835"/>
      <c r="O275" s="48">
        <f>IF(t&lt;Tnet,'2022'!Resal+('2022'!Salim-'2022'!Resal)*(1-EXP(('2022'!Tnet-t)/('2022'!Tau_j))),Resal+(Salim-Resal)*(1-EXP((Tnet-t)/(Tau_j))))*Salcycl</f>
        <v>4.1968170103954379E-2</v>
      </c>
      <c r="P275" s="165">
        <f>(INDEX(Models!$BJ275:$BT275,,T275)*(1-R275)+INDEX(Models!$BJ275:$BT275,,T275+1)*R275-ERP_i)*Q275*Ramure*Pc/MaxiM</f>
        <v>8.710262520371903E-5</v>
      </c>
      <c r="Q275" s="301">
        <f t="shared" si="106"/>
        <v>0.5</v>
      </c>
      <c r="R275" s="173">
        <f t="shared" si="107"/>
        <v>0.98160611620564231</v>
      </c>
      <c r="S275" s="801">
        <f t="shared" si="108"/>
        <v>0</v>
      </c>
      <c r="T275" s="172">
        <f t="shared" si="109"/>
        <v>6</v>
      </c>
      <c r="U275" s="247">
        <f t="shared" si="110"/>
        <v>0.98160611620564231</v>
      </c>
      <c r="V275" s="378">
        <f t="shared" si="111"/>
        <v>185.17120882392035</v>
      </c>
      <c r="W275" s="397">
        <f t="shared" si="112"/>
        <v>184.68723259744581</v>
      </c>
      <c r="X275" s="153">
        <f t="shared" si="113"/>
        <v>45187</v>
      </c>
      <c r="Y275" s="380">
        <f t="shared" si="114"/>
        <v>184.68723259744581</v>
      </c>
      <c r="Z275" s="380">
        <f t="shared" si="115"/>
        <v>186.62638189381559</v>
      </c>
      <c r="AA275" s="381">
        <f t="shared" si="116"/>
        <v>194.80185946855869</v>
      </c>
      <c r="AB275" s="193">
        <f t="shared" si="117"/>
        <v>45187</v>
      </c>
      <c r="AC275" s="420">
        <f>IF(OR(t&lt;Tnet,NoTnet),'2022'!Resal_s+('2022'!Salim-'2022'!Resal_s)*(1-EXP(('2022'!Tnet_s-t)/'2022'!Tau_j)),Resal_s+(Salim-Resal_s)*(1-EXP((Tnet_s-t)/Tau_j)))*Salcycl</f>
        <v>4.1968170103954379E-2</v>
      </c>
      <c r="AD275" s="227">
        <f>(INDEX(Models!$BJ275:$BT275,,AH275)*(1-AF275)+INDEX(Models!$BJ275:$BT275,,AH275+1)*AF275-ERP_i)*AE275*Ramure*Pc/MaxiM</f>
        <v>8.710262520371903E-5</v>
      </c>
      <c r="AE275" s="301">
        <f t="shared" si="118"/>
        <v>0.5</v>
      </c>
      <c r="AF275" s="173">
        <f t="shared" si="119"/>
        <v>0.98160611620564231</v>
      </c>
      <c r="AG275" s="172">
        <f t="shared" si="120"/>
        <v>0</v>
      </c>
      <c r="AH275" s="172">
        <f t="shared" si="121"/>
        <v>6</v>
      </c>
      <c r="AI275" s="221">
        <f t="shared" si="122"/>
        <v>0.98160611620564231</v>
      </c>
      <c r="AJ275" s="261" t="b">
        <f t="shared" si="123"/>
        <v>0</v>
      </c>
      <c r="AK275" s="261" t="b">
        <f t="shared" si="124"/>
        <v>0</v>
      </c>
      <c r="AL275" s="261"/>
      <c r="AM275" s="261"/>
      <c r="AN275" s="75"/>
    </row>
    <row r="276" spans="1:40" s="6" customFormat="1" ht="11.25" x14ac:dyDescent="0.2">
      <c r="A276" s="56">
        <f t="shared" si="125"/>
        <v>45188</v>
      </c>
      <c r="B276" s="406">
        <f>'2022'!Wh/'2022'!Env_an*'2023'!Env_an</f>
        <v>182.23955240254648</v>
      </c>
      <c r="C276" s="385"/>
      <c r="D276" s="388">
        <f t="shared" si="103"/>
        <v>184.1555228745967</v>
      </c>
      <c r="E276" s="380">
        <f t="shared" si="101"/>
        <v>192.22846863562827</v>
      </c>
      <c r="F276" s="380">
        <f t="shared" si="104"/>
        <v>192.24473026750556</v>
      </c>
      <c r="G276" s="110">
        <f t="shared" si="102"/>
        <v>0.99023791082915913</v>
      </c>
      <c r="H276" s="409" t="b">
        <f>Wh_hp&gt;='2022'!Maxi_hp</f>
        <v>0</v>
      </c>
      <c r="I276" s="385">
        <f>IF(H276,Wh_hp,'2022'!Maxi_hp)</f>
        <v>192.2448463410021</v>
      </c>
      <c r="J276" s="85">
        <f>IF(H276,An,'2022'!An_max)</f>
        <v>2022</v>
      </c>
      <c r="K276" s="193">
        <f t="shared" si="105"/>
        <v>45188</v>
      </c>
      <c r="L276" s="143">
        <f>IF(t&lt;Tvie,1-EXP((T0-t)*PertePVj)+'2022'!Pspv,1-EXP((T0-t)*PertePVj)+Pspv)</f>
        <v>1.0404089120666371E-2</v>
      </c>
      <c r="M276" s="835"/>
      <c r="N276" s="835"/>
      <c r="O276" s="48">
        <f>IF(t&lt;Tnet,'2022'!Resal+('2022'!Salim-'2022'!Resal)*(1-EXP(('2022'!Tnet-t)/('2022'!Tau_j))),Resal+(Salim-Resal)*(1-EXP((Tnet-t)/(Tau_j))))*Salcycl</f>
        <v>4.1996619014501656E-2</v>
      </c>
      <c r="P276" s="165">
        <f>(INDEX(Models!$BJ276:$BT276,,T276)*(1-R276)+INDEX(Models!$BJ276:$BT276,,T276+1)*R276-ERP_i)*Q276*Ramure*Pc/MaxiM</f>
        <v>8.5784370224484957E-5</v>
      </c>
      <c r="Q276" s="301">
        <f t="shared" si="106"/>
        <v>0.5</v>
      </c>
      <c r="R276" s="173">
        <f t="shared" si="107"/>
        <v>0.98192673717490386</v>
      </c>
      <c r="S276" s="801">
        <f t="shared" si="108"/>
        <v>0</v>
      </c>
      <c r="T276" s="172">
        <f t="shared" si="109"/>
        <v>6</v>
      </c>
      <c r="U276" s="247">
        <f t="shared" si="110"/>
        <v>0.98192673717490386</v>
      </c>
      <c r="V276" s="378">
        <f t="shared" si="111"/>
        <v>184.03590934866045</v>
      </c>
      <c r="W276" s="397">
        <f t="shared" si="112"/>
        <v>182.23955240254648</v>
      </c>
      <c r="X276" s="153">
        <f t="shared" si="113"/>
        <v>45188</v>
      </c>
      <c r="Y276" s="380">
        <f t="shared" si="114"/>
        <v>182.23955240254648</v>
      </c>
      <c r="Z276" s="380">
        <f t="shared" si="115"/>
        <v>184.1555228745967</v>
      </c>
      <c r="AA276" s="381">
        <f t="shared" si="116"/>
        <v>192.22846863562827</v>
      </c>
      <c r="AB276" s="193">
        <f t="shared" si="117"/>
        <v>45188</v>
      </c>
      <c r="AC276" s="420">
        <f>IF(OR(t&lt;Tnet,NoTnet),'2022'!Resal_s+('2022'!Salim-'2022'!Resal_s)*(1-EXP(('2022'!Tnet_s-t)/'2022'!Tau_j)),Resal_s+(Salim-Resal_s)*(1-EXP((Tnet_s-t)/Tau_j)))*Salcycl</f>
        <v>4.1996619014501656E-2</v>
      </c>
      <c r="AD276" s="227">
        <f>(INDEX(Models!$BJ276:$BT276,,AH276)*(1-AF276)+INDEX(Models!$BJ276:$BT276,,AH276+1)*AF276-ERP_i)*AE276*Ramure*Pc/MaxiM</f>
        <v>8.5784370224484957E-5</v>
      </c>
      <c r="AE276" s="301">
        <f t="shared" si="118"/>
        <v>0.5</v>
      </c>
      <c r="AF276" s="173">
        <f t="shared" si="119"/>
        <v>0.98192673717490386</v>
      </c>
      <c r="AG276" s="172">
        <f t="shared" si="120"/>
        <v>0</v>
      </c>
      <c r="AH276" s="172">
        <f t="shared" si="121"/>
        <v>6</v>
      </c>
      <c r="AI276" s="221">
        <f t="shared" si="122"/>
        <v>0.98192673717490386</v>
      </c>
      <c r="AJ276" s="261" t="b">
        <f t="shared" si="123"/>
        <v>0</v>
      </c>
      <c r="AK276" s="261" t="b">
        <f t="shared" si="124"/>
        <v>0</v>
      </c>
      <c r="AL276" s="261"/>
      <c r="AM276" s="261"/>
      <c r="AN276" s="75"/>
    </row>
    <row r="277" spans="1:40" s="6" customFormat="1" ht="11.25" customHeight="1" x14ac:dyDescent="0.2">
      <c r="A277" s="56">
        <f t="shared" si="125"/>
        <v>45189</v>
      </c>
      <c r="B277" s="406">
        <f>'2022'!Wh/'2022'!Env_an*'2023'!Env_an</f>
        <v>186.38768410281062</v>
      </c>
      <c r="C277" s="385"/>
      <c r="D277" s="388">
        <f t="shared" si="103"/>
        <v>188.3498441934654</v>
      </c>
      <c r="E277" s="380">
        <f t="shared" si="101"/>
        <v>196.61240431553577</v>
      </c>
      <c r="F277" s="380">
        <f t="shared" si="104"/>
        <v>196.62901416079933</v>
      </c>
      <c r="G277" s="110">
        <f t="shared" si="102"/>
        <v>1.0191548690504901</v>
      </c>
      <c r="H277" s="409" t="b">
        <f>Wh_hp&gt;='2022'!Maxi_hp</f>
        <v>1</v>
      </c>
      <c r="I277" s="385">
        <f>IF(H277,Wh_hp,'2022'!Maxi_hp)</f>
        <v>196.62901416079933</v>
      </c>
      <c r="J277" s="85">
        <f>IF(H277,An,'2022'!An_max)</f>
        <v>2023</v>
      </c>
      <c r="K277" s="193">
        <f t="shared" si="105"/>
        <v>45189</v>
      </c>
      <c r="L277" s="143">
        <f>IF(t&lt;Tvie,1-EXP((T0-t)*PertePVj)+'2022'!Pspv,1-EXP((T0-t)*PertePVj)+Pspv)</f>
        <v>1.0417635857661423E-2</v>
      </c>
      <c r="M277" s="835"/>
      <c r="N277" s="835"/>
      <c r="O277" s="48">
        <f>IF(t&lt;Tnet,'2022'!Resal+('2022'!Salim-'2022'!Resal)*(1-EXP(('2022'!Tnet-t)/('2022'!Tau_j))),Resal+(Salim-Resal)*(1-EXP((Tnet-t)/(Tau_j))))*Salcycl</f>
        <v>4.2024612591635369E-2</v>
      </c>
      <c r="P277" s="165">
        <f>(INDEX(Models!$BJ277:$BT277,,T277)*(1-R277)+INDEX(Models!$BJ277:$BT277,,T277+1)*R277-ERP_i)*Q277*Ramure*Pc/MaxiM</f>
        <v>8.4473012970457217E-5</v>
      </c>
      <c r="Q277" s="301">
        <f t="shared" si="106"/>
        <v>0.5</v>
      </c>
      <c r="R277" s="173">
        <f t="shared" si="107"/>
        <v>0.98223484161996266</v>
      </c>
      <c r="S277" s="801">
        <f t="shared" si="108"/>
        <v>0</v>
      </c>
      <c r="T277" s="172">
        <f t="shared" si="109"/>
        <v>6</v>
      </c>
      <c r="U277" s="247">
        <f t="shared" si="110"/>
        <v>0.98223484161996266</v>
      </c>
      <c r="V277" s="378">
        <f t="shared" si="111"/>
        <v>182.88455441169734</v>
      </c>
      <c r="W277" s="397">
        <f t="shared" si="112"/>
        <v>186.38768410281062</v>
      </c>
      <c r="X277" s="153">
        <f t="shared" si="113"/>
        <v>45189</v>
      </c>
      <c r="Y277" s="380">
        <f t="shared" si="114"/>
        <v>186.38768410281062</v>
      </c>
      <c r="Z277" s="380">
        <f t="shared" si="115"/>
        <v>188.3498441934654</v>
      </c>
      <c r="AA277" s="381">
        <f t="shared" si="116"/>
        <v>196.61240431553577</v>
      </c>
      <c r="AB277" s="193">
        <f t="shared" si="117"/>
        <v>45189</v>
      </c>
      <c r="AC277" s="420">
        <f>IF(OR(t&lt;Tnet,NoTnet),'2022'!Resal_s+('2022'!Salim-'2022'!Resal_s)*(1-EXP(('2022'!Tnet_s-t)/'2022'!Tau_j)),Resal_s+(Salim-Resal_s)*(1-EXP((Tnet_s-t)/Tau_j)))*Salcycl</f>
        <v>4.2024612591635369E-2</v>
      </c>
      <c r="AD277" s="227">
        <f>(INDEX(Models!$BJ277:$BT277,,AH277)*(1-AF277)+INDEX(Models!$BJ277:$BT277,,AH277+1)*AF277-ERP_i)*AE277*Ramure*Pc/MaxiM</f>
        <v>8.4473012970457217E-5</v>
      </c>
      <c r="AE277" s="301">
        <f t="shared" si="118"/>
        <v>0.5</v>
      </c>
      <c r="AF277" s="173">
        <f t="shared" si="119"/>
        <v>0.98223484161996266</v>
      </c>
      <c r="AG277" s="172">
        <f t="shared" si="120"/>
        <v>0</v>
      </c>
      <c r="AH277" s="172">
        <f t="shared" si="121"/>
        <v>6</v>
      </c>
      <c r="AI277" s="221">
        <f t="shared" si="122"/>
        <v>0.98223484161996266</v>
      </c>
      <c r="AJ277" s="261" t="b">
        <f t="shared" si="123"/>
        <v>0</v>
      </c>
      <c r="AK277" s="261" t="b">
        <f t="shared" si="124"/>
        <v>0</v>
      </c>
      <c r="AL277" s="261"/>
      <c r="AM277" s="261"/>
      <c r="AN277" s="75"/>
    </row>
    <row r="278" spans="1:40" s="6" customFormat="1" ht="11.25" x14ac:dyDescent="0.2">
      <c r="A278" s="56">
        <f t="shared" si="125"/>
        <v>45190</v>
      </c>
      <c r="B278" s="406">
        <f>'2022'!Wh/'2022'!Env_an*'2023'!Env_an</f>
        <v>181.34580608932001</v>
      </c>
      <c r="C278" s="385"/>
      <c r="D278" s="388">
        <f t="shared" si="103"/>
        <v>183.25739742974736</v>
      </c>
      <c r="E278" s="380">
        <f t="shared" si="101"/>
        <v>191.30205751943848</v>
      </c>
      <c r="F278" s="380">
        <f t="shared" si="104"/>
        <v>191.31792236517225</v>
      </c>
      <c r="G278" s="110">
        <f t="shared" si="102"/>
        <v>0.99794770703952951</v>
      </c>
      <c r="H278" s="409" t="b">
        <f>Wh_hp&gt;='2022'!Maxi_hp</f>
        <v>0</v>
      </c>
      <c r="I278" s="385">
        <f>IF(H278,Wh_hp,'2022'!Maxi_hp)</f>
        <v>191.3179458974538</v>
      </c>
      <c r="J278" s="85">
        <f>IF(H278,An,'2022'!An_max)</f>
        <v>2022</v>
      </c>
      <c r="K278" s="193">
        <f t="shared" si="105"/>
        <v>45190</v>
      </c>
      <c r="L278" s="143">
        <f>IF(t&lt;Tvie,1-EXP((T0-t)*PertePVj)+'2022'!Pspv,1-EXP((T0-t)*PertePVj)+Pspv)</f>
        <v>1.0431182409213147E-2</v>
      </c>
      <c r="M278" s="835"/>
      <c r="N278" s="835"/>
      <c r="O278" s="48">
        <f>IF(t&lt;Tnet,'2022'!Resal+('2022'!Salim-'2022'!Resal)*(1-EXP(('2022'!Tnet-t)/('2022'!Tau_j))),Resal+(Salim-Resal)*(1-EXP((Tnet-t)/(Tau_j))))*Salcycl</f>
        <v>4.2052135737608076E-2</v>
      </c>
      <c r="P278" s="165">
        <f>(INDEX(Models!$BJ278:$BT278,,T278)*(1-R278)+INDEX(Models!$BJ278:$BT278,,T278+1)*R278-ERP_i)*Q278*Ramure*Pc/MaxiM</f>
        <v>8.3167797676428408E-5</v>
      </c>
      <c r="Q278" s="301">
        <f t="shared" si="106"/>
        <v>0.5</v>
      </c>
      <c r="R278" s="173">
        <f t="shared" si="107"/>
        <v>0.98253090319255032</v>
      </c>
      <c r="S278" s="801">
        <f t="shared" si="108"/>
        <v>0</v>
      </c>
      <c r="T278" s="172">
        <f t="shared" si="109"/>
        <v>6</v>
      </c>
      <c r="U278" s="247">
        <f t="shared" si="110"/>
        <v>0.98253090319255032</v>
      </c>
      <c r="V278" s="378">
        <f t="shared" si="111"/>
        <v>181.71870188505784</v>
      </c>
      <c r="W278" s="397">
        <f t="shared" si="112"/>
        <v>181.34580608932001</v>
      </c>
      <c r="X278" s="153">
        <f t="shared" si="113"/>
        <v>45190</v>
      </c>
      <c r="Y278" s="380">
        <f t="shared" si="114"/>
        <v>181.34580608932001</v>
      </c>
      <c r="Z278" s="380">
        <f t="shared" si="115"/>
        <v>183.25739742974736</v>
      </c>
      <c r="AA278" s="381">
        <f t="shared" si="116"/>
        <v>191.30205751943848</v>
      </c>
      <c r="AB278" s="193">
        <f t="shared" si="117"/>
        <v>45190</v>
      </c>
      <c r="AC278" s="420">
        <f>IF(OR(t&lt;Tnet,NoTnet),'2022'!Resal_s+('2022'!Salim-'2022'!Resal_s)*(1-EXP(('2022'!Tnet_s-t)/'2022'!Tau_j)),Resal_s+(Salim-Resal_s)*(1-EXP((Tnet_s-t)/Tau_j)))*Salcycl</f>
        <v>4.2052135737608076E-2</v>
      </c>
      <c r="AD278" s="227">
        <f>(INDEX(Models!$BJ278:$BT278,,AH278)*(1-AF278)+INDEX(Models!$BJ278:$BT278,,AH278+1)*AF278-ERP_i)*AE278*Ramure*Pc/MaxiM</f>
        <v>8.3167797676428408E-5</v>
      </c>
      <c r="AE278" s="301">
        <f t="shared" si="118"/>
        <v>0.5</v>
      </c>
      <c r="AF278" s="173">
        <f t="shared" si="119"/>
        <v>0.98253090319255032</v>
      </c>
      <c r="AG278" s="172">
        <f t="shared" si="120"/>
        <v>0</v>
      </c>
      <c r="AH278" s="172">
        <f t="shared" si="121"/>
        <v>6</v>
      </c>
      <c r="AI278" s="221">
        <f t="shared" si="122"/>
        <v>0.98253090319255032</v>
      </c>
      <c r="AJ278" s="261" t="b">
        <f t="shared" si="123"/>
        <v>0</v>
      </c>
      <c r="AK278" s="261" t="b">
        <f t="shared" si="124"/>
        <v>0</v>
      </c>
      <c r="AL278" s="261"/>
      <c r="AM278" s="261"/>
      <c r="AN278" s="75"/>
    </row>
    <row r="279" spans="1:40" s="6" customFormat="1" ht="11.25" x14ac:dyDescent="0.2">
      <c r="A279" s="56">
        <f t="shared" si="125"/>
        <v>45191</v>
      </c>
      <c r="B279" s="406">
        <f>'2022'!Wh/'2022'!Env_an*'2023'!Env_an</f>
        <v>176.15213225357491</v>
      </c>
      <c r="C279" s="385"/>
      <c r="D279" s="388">
        <f t="shared" si="103"/>
        <v>178.0114131831854</v>
      </c>
      <c r="E279" s="380">
        <f t="shared" si="101"/>
        <v>185.83102925636305</v>
      </c>
      <c r="F279" s="380">
        <f t="shared" si="104"/>
        <v>185.84571582348352</v>
      </c>
      <c r="G279" s="110">
        <f t="shared" si="102"/>
        <v>0.97569358603601852</v>
      </c>
      <c r="H279" s="409" t="b">
        <f>Wh_hp&gt;='2022'!Maxi_hp</f>
        <v>0</v>
      </c>
      <c r="I279" s="385">
        <f>IF(H279,Wh_hp,'2022'!Maxi_hp)</f>
        <v>185.84598226608634</v>
      </c>
      <c r="J279" s="85">
        <f>IF(H279,An,'2022'!An_max)</f>
        <v>2022</v>
      </c>
      <c r="K279" s="193">
        <f t="shared" si="105"/>
        <v>45191</v>
      </c>
      <c r="L279" s="143">
        <f>IF(t&lt;Tvie,1-EXP((T0-t)*PertePVj)+'2022'!Pspv,1-EXP((T0-t)*PertePVj)+Pspv)</f>
        <v>1.0444728775323986E-2</v>
      </c>
      <c r="M279" s="835"/>
      <c r="N279" s="835"/>
      <c r="O279" s="48">
        <f>IF(t&lt;Tnet,'2022'!Resal+('2022'!Salim-'2022'!Resal)*(1-EXP(('2022'!Tnet-t)/('2022'!Tau_j))),Resal+(Salim-Resal)*(1-EXP((Tnet-t)/(Tau_j))))*Salcycl</f>
        <v>4.2079173238555943E-2</v>
      </c>
      <c r="P279" s="165">
        <f>(INDEX(Models!$BJ279:$BT279,,T279)*(1-R279)+INDEX(Models!$BJ279:$BT279,,T279+1)*R279-ERP_i)*Q279*Ramure*Pc/MaxiM</f>
        <v>8.1868003846343758E-5</v>
      </c>
      <c r="Q279" s="301">
        <f t="shared" si="106"/>
        <v>0.5</v>
      </c>
      <c r="R279" s="173">
        <f t="shared" si="107"/>
        <v>0.98281537878736047</v>
      </c>
      <c r="S279" s="801">
        <f t="shared" si="108"/>
        <v>0</v>
      </c>
      <c r="T279" s="172">
        <f t="shared" si="109"/>
        <v>6</v>
      </c>
      <c r="U279" s="247">
        <f t="shared" si="110"/>
        <v>0.98281537878736047</v>
      </c>
      <c r="V279" s="378">
        <f t="shared" si="111"/>
        <v>180.5399092887256</v>
      </c>
      <c r="W279" s="397">
        <f t="shared" si="112"/>
        <v>176.15213225357491</v>
      </c>
      <c r="X279" s="153">
        <f t="shared" si="113"/>
        <v>45191</v>
      </c>
      <c r="Y279" s="380">
        <f t="shared" si="114"/>
        <v>176.15213225357491</v>
      </c>
      <c r="Z279" s="380">
        <f t="shared" si="115"/>
        <v>178.0114131831854</v>
      </c>
      <c r="AA279" s="381">
        <f t="shared" si="116"/>
        <v>185.83102925636305</v>
      </c>
      <c r="AB279" s="193">
        <f t="shared" si="117"/>
        <v>45191</v>
      </c>
      <c r="AC279" s="420">
        <f>IF(OR(t&lt;Tnet,NoTnet),'2022'!Resal_s+('2022'!Salim-'2022'!Resal_s)*(1-EXP(('2022'!Tnet_s-t)/'2022'!Tau_j)),Resal_s+(Salim-Resal_s)*(1-EXP((Tnet_s-t)/Tau_j)))*Salcycl</f>
        <v>4.2079173238555943E-2</v>
      </c>
      <c r="AD279" s="227">
        <f>(INDEX(Models!$BJ279:$BT279,,AH279)*(1-AF279)+INDEX(Models!$BJ279:$BT279,,AH279+1)*AF279-ERP_i)*AE279*Ramure*Pc/MaxiM</f>
        <v>8.1868003846343758E-5</v>
      </c>
      <c r="AE279" s="301">
        <f t="shared" si="118"/>
        <v>0.5</v>
      </c>
      <c r="AF279" s="173">
        <f t="shared" si="119"/>
        <v>0.98281537878736047</v>
      </c>
      <c r="AG279" s="172">
        <f t="shared" si="120"/>
        <v>0</v>
      </c>
      <c r="AH279" s="172">
        <f t="shared" si="121"/>
        <v>6</v>
      </c>
      <c r="AI279" s="221">
        <f t="shared" si="122"/>
        <v>0.98281537878736047</v>
      </c>
      <c r="AJ279" s="261" t="b">
        <f t="shared" si="123"/>
        <v>0</v>
      </c>
      <c r="AK279" s="261" t="b">
        <f t="shared" si="124"/>
        <v>0</v>
      </c>
      <c r="AL279" s="261"/>
      <c r="AM279" s="261"/>
      <c r="AN279" s="75"/>
    </row>
    <row r="280" spans="1:40" s="6" customFormat="1" ht="11.25" x14ac:dyDescent="0.2">
      <c r="A280" s="56">
        <f t="shared" si="125"/>
        <v>45192</v>
      </c>
      <c r="B280" s="406">
        <f>'2022'!Wh/'2022'!Env_an*'2023'!Env_an</f>
        <v>112.9544900570438</v>
      </c>
      <c r="C280" s="385"/>
      <c r="D280" s="388">
        <f t="shared" si="103"/>
        <v>114.14828419895166</v>
      </c>
      <c r="E280" s="380">
        <f t="shared" si="101"/>
        <v>119.16584676548335</v>
      </c>
      <c r="F280" s="380">
        <f t="shared" si="104"/>
        <v>119.17037065802344</v>
      </c>
      <c r="G280" s="110">
        <f t="shared" si="102"/>
        <v>0.62977331693370187</v>
      </c>
      <c r="H280" s="409" t="b">
        <f>Wh_hp&gt;='2022'!Maxi_hp</f>
        <v>0</v>
      </c>
      <c r="I280" s="385">
        <f>IF(H280,Wh_hp,'2022'!Maxi_hp)</f>
        <v>119.17293135937119</v>
      </c>
      <c r="J280" s="85">
        <f>IF(H280,An,'2022'!An_max)</f>
        <v>2022</v>
      </c>
      <c r="K280" s="193">
        <f t="shared" si="105"/>
        <v>45192</v>
      </c>
      <c r="L280" s="143">
        <f>IF(t&lt;Tvie,1-EXP((T0-t)*PertePVj)+'2022'!Pspv,1-EXP((T0-t)*PertePVj)+Pspv)</f>
        <v>1.0458274955996383E-2</v>
      </c>
      <c r="M280" s="835"/>
      <c r="N280" s="835"/>
      <c r="O280" s="48">
        <f>IF(t&lt;Tnet,'2022'!Resal+('2022'!Salim-'2022'!Resal)*(1-EXP(('2022'!Tnet-t)/('2022'!Tau_j))),Resal+(Salim-Resal)*(1-EXP((Tnet-t)/(Tau_j))))*Salcycl</f>
        <v>4.2105709838207141E-2</v>
      </c>
      <c r="P280" s="165">
        <f>(INDEX(Models!$BJ280:$BT280,,T280)*(1-R280)+INDEX(Models!$BJ280:$BT280,,T280+1)*R280-ERP_i)*Q280*Ramure*Pc/MaxiM</f>
        <v>8.0573304393905619E-5</v>
      </c>
      <c r="Q280" s="301">
        <f t="shared" si="106"/>
        <v>0.5</v>
      </c>
      <c r="R280" s="173">
        <f t="shared" si="107"/>
        <v>0.98308870904292567</v>
      </c>
      <c r="S280" s="801">
        <f t="shared" si="108"/>
        <v>0</v>
      </c>
      <c r="T280" s="172">
        <f t="shared" si="109"/>
        <v>6</v>
      </c>
      <c r="U280" s="247">
        <f t="shared" si="110"/>
        <v>0.98308870904292567</v>
      </c>
      <c r="V280" s="378">
        <f t="shared" si="111"/>
        <v>179.34973370386564</v>
      </c>
      <c r="W280" s="397">
        <f t="shared" si="112"/>
        <v>112.9544900570438</v>
      </c>
      <c r="X280" s="153">
        <f t="shared" si="113"/>
        <v>45192</v>
      </c>
      <c r="Y280" s="380">
        <f t="shared" si="114"/>
        <v>112.9544900570438</v>
      </c>
      <c r="Z280" s="380">
        <f t="shared" si="115"/>
        <v>114.14828419895166</v>
      </c>
      <c r="AA280" s="381">
        <f t="shared" si="116"/>
        <v>119.16584676548335</v>
      </c>
      <c r="AB280" s="193">
        <f t="shared" si="117"/>
        <v>45192</v>
      </c>
      <c r="AC280" s="420">
        <f>IF(OR(t&lt;Tnet,NoTnet),'2022'!Resal_s+('2022'!Salim-'2022'!Resal_s)*(1-EXP(('2022'!Tnet_s-t)/'2022'!Tau_j)),Resal_s+(Salim-Resal_s)*(1-EXP((Tnet_s-t)/Tau_j)))*Salcycl</f>
        <v>4.2105709838207141E-2</v>
      </c>
      <c r="AD280" s="227">
        <f>(INDEX(Models!$BJ280:$BT280,,AH280)*(1-AF280)+INDEX(Models!$BJ280:$BT280,,AH280+1)*AF280-ERP_i)*AE280*Ramure*Pc/MaxiM</f>
        <v>8.0573304393905619E-5</v>
      </c>
      <c r="AE280" s="301">
        <f t="shared" si="118"/>
        <v>0.5</v>
      </c>
      <c r="AF280" s="173">
        <f t="shared" si="119"/>
        <v>0.98308870904292567</v>
      </c>
      <c r="AG280" s="172">
        <f t="shared" si="120"/>
        <v>0</v>
      </c>
      <c r="AH280" s="172">
        <f t="shared" si="121"/>
        <v>6</v>
      </c>
      <c r="AI280" s="221">
        <f t="shared" si="122"/>
        <v>0.98308870904292567</v>
      </c>
      <c r="AJ280" s="261" t="b">
        <f t="shared" si="123"/>
        <v>0</v>
      </c>
      <c r="AK280" s="261" t="b">
        <f t="shared" si="124"/>
        <v>0</v>
      </c>
      <c r="AL280" s="261"/>
      <c r="AM280" s="261"/>
      <c r="AN280" s="75"/>
    </row>
    <row r="281" spans="1:40" s="6" customFormat="1" ht="11.25" x14ac:dyDescent="0.2">
      <c r="A281" s="56">
        <f t="shared" si="125"/>
        <v>45193</v>
      </c>
      <c r="B281" s="406">
        <f>'2022'!Wh/'2022'!Env_an*'2023'!Env_an</f>
        <v>75.990279244801783</v>
      </c>
      <c r="C281" s="385"/>
      <c r="D281" s="388">
        <f t="shared" si="103"/>
        <v>76.79445704906675</v>
      </c>
      <c r="E281" s="380">
        <f t="shared" si="101"/>
        <v>80.17225278233974</v>
      </c>
      <c r="F281" s="380">
        <f t="shared" si="104"/>
        <v>80.17340195553885</v>
      </c>
      <c r="G281" s="110">
        <f t="shared" si="102"/>
        <v>0.42652516418658815</v>
      </c>
      <c r="H281" s="409" t="b">
        <f>Wh_hp&gt;='2022'!Maxi_hp</f>
        <v>0</v>
      </c>
      <c r="I281" s="385">
        <f>IF(H281,Wh_hp,'2022'!Maxi_hp)</f>
        <v>80.176027230313849</v>
      </c>
      <c r="J281" s="85">
        <f>IF(H281,An,'2022'!An_max)</f>
        <v>2022</v>
      </c>
      <c r="K281" s="193">
        <f t="shared" si="105"/>
        <v>45193</v>
      </c>
      <c r="L281" s="143">
        <f>IF(t&lt;Tvie,1-EXP((T0-t)*PertePVj)+'2022'!Pspv,1-EXP((T0-t)*PertePVj)+Pspv)</f>
        <v>1.0471820951232891E-2</v>
      </c>
      <c r="M281" s="835"/>
      <c r="N281" s="835"/>
      <c r="O281" s="48">
        <f>IF(t&lt;Tnet,'2022'!Resal+('2022'!Salim-'2022'!Resal)*(1-EXP(('2022'!Tnet-t)/('2022'!Tau_j))),Resal+(Salim-Resal)*(1-EXP((Tnet-t)/(Tau_j))))*Salcycl</f>
        <v>4.2131730318759893E-2</v>
      </c>
      <c r="P281" s="165">
        <f>(INDEX(Models!$BJ281:$BT281,,T281)*(1-R281)+INDEX(Models!$BJ281:$BT281,,T281+1)*R281-ERP_i)*Q281*Ramure*Pc/MaxiM</f>
        <v>7.9283209260439346E-5</v>
      </c>
      <c r="Q281" s="301">
        <f t="shared" si="106"/>
        <v>0.5</v>
      </c>
      <c r="R281" s="173">
        <f t="shared" si="107"/>
        <v>0.98335131883506177</v>
      </c>
      <c r="S281" s="801">
        <f t="shared" si="108"/>
        <v>0</v>
      </c>
      <c r="T281" s="172">
        <f t="shared" si="109"/>
        <v>6</v>
      </c>
      <c r="U281" s="247">
        <f t="shared" si="110"/>
        <v>0.98335131883506177</v>
      </c>
      <c r="V281" s="378">
        <f t="shared" si="111"/>
        <v>178.1497318681314</v>
      </c>
      <c r="W281" s="397">
        <f t="shared" si="112"/>
        <v>75.990279244801783</v>
      </c>
      <c r="X281" s="153">
        <f t="shared" si="113"/>
        <v>45193</v>
      </c>
      <c r="Y281" s="380">
        <f t="shared" si="114"/>
        <v>75.990279244801783</v>
      </c>
      <c r="Z281" s="380">
        <f t="shared" si="115"/>
        <v>76.79445704906675</v>
      </c>
      <c r="AA281" s="381">
        <f t="shared" si="116"/>
        <v>80.17225278233974</v>
      </c>
      <c r="AB281" s="193">
        <f t="shared" si="117"/>
        <v>45193</v>
      </c>
      <c r="AC281" s="420">
        <f>IF(OR(t&lt;Tnet,NoTnet),'2022'!Resal_s+('2022'!Salim-'2022'!Resal_s)*(1-EXP(('2022'!Tnet_s-t)/'2022'!Tau_j)),Resal_s+(Salim-Resal_s)*(1-EXP((Tnet_s-t)/Tau_j)))*Salcycl</f>
        <v>4.2131730318759893E-2</v>
      </c>
      <c r="AD281" s="227">
        <f>(INDEX(Models!$BJ281:$BT281,,AH281)*(1-AF281)+INDEX(Models!$BJ281:$BT281,,AH281+1)*AF281-ERP_i)*AE281*Ramure*Pc/MaxiM</f>
        <v>7.9283209260439346E-5</v>
      </c>
      <c r="AE281" s="301">
        <f t="shared" si="118"/>
        <v>0.5</v>
      </c>
      <c r="AF281" s="173">
        <f t="shared" si="119"/>
        <v>0.98335131883506177</v>
      </c>
      <c r="AG281" s="172">
        <f t="shared" si="120"/>
        <v>0</v>
      </c>
      <c r="AH281" s="172">
        <f t="shared" si="121"/>
        <v>6</v>
      </c>
      <c r="AI281" s="221">
        <f t="shared" si="122"/>
        <v>0.98335131883506177</v>
      </c>
      <c r="AJ281" s="261" t="b">
        <f t="shared" si="123"/>
        <v>0</v>
      </c>
      <c r="AK281" s="261" t="b">
        <f t="shared" si="124"/>
        <v>0</v>
      </c>
      <c r="AL281" s="261"/>
      <c r="AM281" s="261"/>
      <c r="AN281" s="75"/>
    </row>
    <row r="282" spans="1:40" s="6" customFormat="1" ht="11.25" x14ac:dyDescent="0.2">
      <c r="A282" s="56">
        <f t="shared" si="125"/>
        <v>45194</v>
      </c>
      <c r="B282" s="406">
        <f>'2022'!Wh/'2022'!Env_an*'2023'!Env_an</f>
        <v>131.98758988532427</v>
      </c>
      <c r="C282" s="385"/>
      <c r="D282" s="388">
        <f t="shared" si="103"/>
        <v>133.38619304020924</v>
      </c>
      <c r="E282" s="380">
        <f t="shared" si="101"/>
        <v>139.25687572956264</v>
      </c>
      <c r="F282" s="380">
        <f t="shared" si="104"/>
        <v>139.2638295308318</v>
      </c>
      <c r="G282" s="110">
        <f t="shared" si="102"/>
        <v>0.74591836987379656</v>
      </c>
      <c r="H282" s="409" t="b">
        <f>Wh_hp&gt;='2022'!Maxi_hp</f>
        <v>0</v>
      </c>
      <c r="I282" s="385">
        <f>IF(H282,Wh_hp,'2022'!Maxi_hp)</f>
        <v>139.26582651103067</v>
      </c>
      <c r="J282" s="85">
        <f>IF(H282,An,'2022'!An_max)</f>
        <v>2022</v>
      </c>
      <c r="K282" s="193">
        <f t="shared" si="105"/>
        <v>45194</v>
      </c>
      <c r="L282" s="143">
        <f>IF(t&lt;Tvie,1-EXP((T0-t)*PertePVj)+'2022'!Pspv,1-EXP((T0-t)*PertePVj)+Pspv)</f>
        <v>1.0485366761036174E-2</v>
      </c>
      <c r="M282" s="835"/>
      <c r="N282" s="835"/>
      <c r="O282" s="48">
        <f>IF(t&lt;Tnet,'2022'!Resal+('2022'!Salim-'2022'!Resal)*(1-EXP(('2022'!Tnet-t)/('2022'!Tau_j))),Resal+(Salim-Resal)*(1-EXP((Tnet-t)/(Tau_j))))*Salcycl</f>
        <v>4.2157219588599006E-2</v>
      </c>
      <c r="P282" s="165">
        <f>(INDEX(Models!$BJ282:$BT282,,T282)*(1-R282)+INDEX(Models!$BJ282:$BT282,,T282+1)*R282-ERP_i)*Q282*Ramure*Pc/MaxiM</f>
        <v>7.8380124732252635E-5</v>
      </c>
      <c r="Q282" s="301">
        <f t="shared" si="106"/>
        <v>0.5</v>
      </c>
      <c r="R282" s="173">
        <f t="shared" si="107"/>
        <v>0.98360361776228</v>
      </c>
      <c r="S282" s="801">
        <f t="shared" si="108"/>
        <v>0</v>
      </c>
      <c r="T282" s="172">
        <f t="shared" si="109"/>
        <v>6</v>
      </c>
      <c r="U282" s="247">
        <f t="shared" si="110"/>
        <v>0.98360361776228</v>
      </c>
      <c r="V282" s="378">
        <f t="shared" si="111"/>
        <v>176.94139238896807</v>
      </c>
      <c r="W282" s="397">
        <f t="shared" si="112"/>
        <v>131.98758988532427</v>
      </c>
      <c r="X282" s="153">
        <f t="shared" si="113"/>
        <v>45194</v>
      </c>
      <c r="Y282" s="380">
        <f t="shared" si="114"/>
        <v>131.98758988532427</v>
      </c>
      <c r="Z282" s="380">
        <f t="shared" si="115"/>
        <v>133.38619304020924</v>
      </c>
      <c r="AA282" s="381">
        <f t="shared" si="116"/>
        <v>139.25687572956264</v>
      </c>
      <c r="AB282" s="193">
        <f t="shared" si="117"/>
        <v>45194</v>
      </c>
      <c r="AC282" s="420">
        <f>IF(OR(t&lt;Tnet,NoTnet),'2022'!Resal_s+('2022'!Salim-'2022'!Resal_s)*(1-EXP(('2022'!Tnet_s-t)/'2022'!Tau_j)),Resal_s+(Salim-Resal_s)*(1-EXP((Tnet_s-t)/Tau_j)))*Salcycl</f>
        <v>4.2157219588599006E-2</v>
      </c>
      <c r="AD282" s="227">
        <f>(INDEX(Models!$BJ282:$BT282,,AH282)*(1-AF282)+INDEX(Models!$BJ282:$BT282,,AH282+1)*AF282-ERP_i)*AE282*Ramure*Pc/MaxiM</f>
        <v>7.8380124732252635E-5</v>
      </c>
      <c r="AE282" s="301">
        <f t="shared" si="118"/>
        <v>0.5</v>
      </c>
      <c r="AF282" s="173">
        <f t="shared" si="119"/>
        <v>0.98360361776228</v>
      </c>
      <c r="AG282" s="172">
        <f t="shared" si="120"/>
        <v>0</v>
      </c>
      <c r="AH282" s="172">
        <f t="shared" si="121"/>
        <v>6</v>
      </c>
      <c r="AI282" s="221">
        <f t="shared" si="122"/>
        <v>0.98360361776228</v>
      </c>
      <c r="AJ282" s="261" t="b">
        <f t="shared" si="123"/>
        <v>0</v>
      </c>
      <c r="AK282" s="261" t="b">
        <f t="shared" si="124"/>
        <v>0</v>
      </c>
      <c r="AL282" s="261"/>
      <c r="AM282" s="261"/>
      <c r="AN282" s="75"/>
    </row>
    <row r="283" spans="1:40" s="6" customFormat="1" ht="11.25" x14ac:dyDescent="0.2">
      <c r="A283" s="56">
        <f t="shared" si="125"/>
        <v>45195</v>
      </c>
      <c r="B283" s="406">
        <f>'2022'!Wh/'2022'!Env_an*'2023'!Env_an</f>
        <v>133.59564279634273</v>
      </c>
      <c r="C283" s="385"/>
      <c r="D283" s="388">
        <f t="shared" si="103"/>
        <v>135.01313385961427</v>
      </c>
      <c r="E283" s="380">
        <f t="shared" si="101"/>
        <v>140.95909327704447</v>
      </c>
      <c r="F283" s="380">
        <f t="shared" si="104"/>
        <v>140.96631939346048</v>
      </c>
      <c r="G283" s="110">
        <f t="shared" si="102"/>
        <v>0.76022831798754575</v>
      </c>
      <c r="H283" s="409" t="b">
        <f>Wh_hp&gt;='2022'!Maxi_hp</f>
        <v>0</v>
      </c>
      <c r="I283" s="385">
        <f>IF(H283,Wh_hp,'2022'!Maxi_hp)</f>
        <v>140.96821646202747</v>
      </c>
      <c r="J283" s="85">
        <f>IF(H283,An,'2022'!An_max)</f>
        <v>2022</v>
      </c>
      <c r="K283" s="193">
        <f t="shared" si="105"/>
        <v>45195</v>
      </c>
      <c r="L283" s="143">
        <f>IF(t&lt;Tvie,1-EXP((T0-t)*PertePVj)+'2022'!Pspv,1-EXP((T0-t)*PertePVj)+Pspv)</f>
        <v>1.0498912385408676E-2</v>
      </c>
      <c r="M283" s="835"/>
      <c r="N283" s="835"/>
      <c r="O283" s="48">
        <f>IF(t&lt;Tnet,'2022'!Resal+('2022'!Salim-'2022'!Resal)*(1-EXP(('2022'!Tnet-t)/('2022'!Tau_j))),Resal+(Salim-Resal)*(1-EXP((Tnet-t)/(Tau_j))))*Salcycl</f>
        <v>4.2182162776429541E-2</v>
      </c>
      <c r="P283" s="165">
        <f>(INDEX(Models!$BJ283:$BT283,,T283)*(1-R283)+INDEX(Models!$BJ283:$BT283,,T283+1)*R283-ERP_i)*Q283*Ramure*Pc/MaxiM</f>
        <v>7.7964184144796499E-5</v>
      </c>
      <c r="Q283" s="301">
        <f t="shared" si="106"/>
        <v>0.5</v>
      </c>
      <c r="R283" s="173">
        <f t="shared" si="107"/>
        <v>0.98384600062265792</v>
      </c>
      <c r="S283" s="801">
        <f t="shared" si="108"/>
        <v>0</v>
      </c>
      <c r="T283" s="172">
        <f t="shared" si="109"/>
        <v>6</v>
      </c>
      <c r="U283" s="247">
        <f t="shared" si="110"/>
        <v>0.98384600062265792</v>
      </c>
      <c r="V283" s="378">
        <f t="shared" si="111"/>
        <v>175.72625494638331</v>
      </c>
      <c r="W283" s="397">
        <f t="shared" si="112"/>
        <v>133.59564279634273</v>
      </c>
      <c r="X283" s="153">
        <f t="shared" si="113"/>
        <v>45195</v>
      </c>
      <c r="Y283" s="380">
        <f t="shared" si="114"/>
        <v>133.59564279634273</v>
      </c>
      <c r="Z283" s="380">
        <f t="shared" si="115"/>
        <v>135.01313385961427</v>
      </c>
      <c r="AA283" s="381">
        <f t="shared" si="116"/>
        <v>140.95909327704447</v>
      </c>
      <c r="AB283" s="193">
        <f t="shared" si="117"/>
        <v>45195</v>
      </c>
      <c r="AC283" s="420">
        <f>IF(OR(t&lt;Tnet,NoTnet),'2022'!Resal_s+('2022'!Salim-'2022'!Resal_s)*(1-EXP(('2022'!Tnet_s-t)/'2022'!Tau_j)),Resal_s+(Salim-Resal_s)*(1-EXP((Tnet_s-t)/Tau_j)))*Salcycl</f>
        <v>4.2182162776429541E-2</v>
      </c>
      <c r="AD283" s="227">
        <f>(INDEX(Models!$BJ283:$BT283,,AH283)*(1-AF283)+INDEX(Models!$BJ283:$BT283,,AH283+1)*AF283-ERP_i)*AE283*Ramure*Pc/MaxiM</f>
        <v>7.7964184144796499E-5</v>
      </c>
      <c r="AE283" s="301">
        <f t="shared" si="118"/>
        <v>0.5</v>
      </c>
      <c r="AF283" s="173">
        <f t="shared" si="119"/>
        <v>0.98384600062265792</v>
      </c>
      <c r="AG283" s="172">
        <f t="shared" si="120"/>
        <v>0</v>
      </c>
      <c r="AH283" s="172">
        <f t="shared" si="121"/>
        <v>6</v>
      </c>
      <c r="AI283" s="221">
        <f t="shared" si="122"/>
        <v>0.98384600062265792</v>
      </c>
      <c r="AJ283" s="261" t="b">
        <f t="shared" si="123"/>
        <v>0</v>
      </c>
      <c r="AK283" s="261" t="b">
        <f t="shared" si="124"/>
        <v>0</v>
      </c>
      <c r="AL283" s="261"/>
      <c r="AM283" s="261"/>
      <c r="AN283" s="75"/>
    </row>
    <row r="284" spans="1:40" s="6" customFormat="1" ht="11.25" x14ac:dyDescent="0.2">
      <c r="A284" s="56">
        <f t="shared" si="125"/>
        <v>45196</v>
      </c>
      <c r="B284" s="406">
        <f>'2022'!Wh/'2022'!Env_an*'2023'!Env_an</f>
        <v>61.354327924406903</v>
      </c>
      <c r="C284" s="385"/>
      <c r="D284" s="388">
        <f t="shared" si="103"/>
        <v>62.006165120081626</v>
      </c>
      <c r="E284" s="380">
        <f t="shared" si="101"/>
        <v>64.738555914991849</v>
      </c>
      <c r="F284" s="380">
        <f t="shared" si="104"/>
        <v>64.738928263482563</v>
      </c>
      <c r="G284" s="110">
        <f t="shared" si="102"/>
        <v>0.35156347795113574</v>
      </c>
      <c r="H284" s="409" t="b">
        <f>Wh_hp&gt;='2022'!Maxi_hp</f>
        <v>0</v>
      </c>
      <c r="I284" s="385">
        <f>IF(H284,Wh_hp,'2022'!Maxi_hp)</f>
        <v>64.741286379220085</v>
      </c>
      <c r="J284" s="85">
        <f>IF(H284,An,'2022'!An_max)</f>
        <v>2022</v>
      </c>
      <c r="K284" s="193">
        <f t="shared" si="105"/>
        <v>45196</v>
      </c>
      <c r="L284" s="143">
        <f>IF(t&lt;Tvie,1-EXP((T0-t)*PertePVj)+'2022'!Pspv,1-EXP((T0-t)*PertePVj)+Pspv)</f>
        <v>1.051245782435295E-2</v>
      </c>
      <c r="M284" s="835"/>
      <c r="N284" s="835"/>
      <c r="O284" s="48">
        <f>IF(t&lt;Tnet,'2022'!Resal+('2022'!Salim-'2022'!Resal)*(1-EXP(('2022'!Tnet-t)/('2022'!Tau_j))),Resal+(Salim-Resal)*(1-EXP((Tnet-t)/(Tau_j))))*Salcycl</f>
        <v>4.2206545331318811E-2</v>
      </c>
      <c r="P284" s="165">
        <f>(INDEX(Models!$BJ284:$BT284,,T284)*(1-R284)+INDEX(Models!$BJ284:$BT284,,T284+1)*R284-ERP_i)*Q284*Ramure*Pc/MaxiM</f>
        <v>7.8041554447934539E-5</v>
      </c>
      <c r="Q284" s="301">
        <f t="shared" si="106"/>
        <v>0.5</v>
      </c>
      <c r="R284" s="173">
        <f t="shared" si="107"/>
        <v>0.98407884788172728</v>
      </c>
      <c r="S284" s="801">
        <f t="shared" si="108"/>
        <v>0</v>
      </c>
      <c r="T284" s="172">
        <f t="shared" si="109"/>
        <v>6</v>
      </c>
      <c r="U284" s="247">
        <f t="shared" si="110"/>
        <v>0.98407884788172728</v>
      </c>
      <c r="V284" s="378">
        <f t="shared" si="111"/>
        <v>174.5058757273118</v>
      </c>
      <c r="W284" s="397">
        <f t="shared" si="112"/>
        <v>61.354327924406903</v>
      </c>
      <c r="X284" s="153">
        <f t="shared" si="113"/>
        <v>45196</v>
      </c>
      <c r="Y284" s="380">
        <f t="shared" si="114"/>
        <v>61.354327924406903</v>
      </c>
      <c r="Z284" s="380">
        <f t="shared" si="115"/>
        <v>62.006165120081626</v>
      </c>
      <c r="AA284" s="381">
        <f t="shared" si="116"/>
        <v>64.738555914991849</v>
      </c>
      <c r="AB284" s="193">
        <f t="shared" si="117"/>
        <v>45196</v>
      </c>
      <c r="AC284" s="420">
        <f>IF(OR(t&lt;Tnet,NoTnet),'2022'!Resal_s+('2022'!Salim-'2022'!Resal_s)*(1-EXP(('2022'!Tnet_s-t)/'2022'!Tau_j)),Resal_s+(Salim-Resal_s)*(1-EXP((Tnet_s-t)/Tau_j)))*Salcycl</f>
        <v>4.2206545331318811E-2</v>
      </c>
      <c r="AD284" s="227">
        <f>(INDEX(Models!$BJ284:$BT284,,AH284)*(1-AF284)+INDEX(Models!$BJ284:$BT284,,AH284+1)*AF284-ERP_i)*AE284*Ramure*Pc/MaxiM</f>
        <v>7.8041554447934539E-5</v>
      </c>
      <c r="AE284" s="301">
        <f t="shared" si="118"/>
        <v>0.5</v>
      </c>
      <c r="AF284" s="173">
        <f t="shared" si="119"/>
        <v>0.98407884788172728</v>
      </c>
      <c r="AG284" s="172">
        <f t="shared" si="120"/>
        <v>0</v>
      </c>
      <c r="AH284" s="172">
        <f t="shared" si="121"/>
        <v>6</v>
      </c>
      <c r="AI284" s="221">
        <f t="shared" si="122"/>
        <v>0.98407884788172728</v>
      </c>
      <c r="AJ284" s="261" t="b">
        <f t="shared" si="123"/>
        <v>0</v>
      </c>
      <c r="AK284" s="261" t="b">
        <f t="shared" si="124"/>
        <v>0</v>
      </c>
      <c r="AL284" s="261"/>
      <c r="AM284" s="261"/>
      <c r="AN284" s="75"/>
    </row>
    <row r="285" spans="1:40" s="6" customFormat="1" ht="11.25" x14ac:dyDescent="0.2">
      <c r="A285" s="56">
        <f t="shared" si="125"/>
        <v>45197</v>
      </c>
      <c r="B285" s="406">
        <f>'2022'!Wh/'2022'!Env_an*'2023'!Env_an</f>
        <v>61.541442816467317</v>
      </c>
      <c r="C285" s="385"/>
      <c r="D285" s="388">
        <f t="shared" si="103"/>
        <v>62.196119360285344</v>
      </c>
      <c r="E285" s="380">
        <f t="shared" si="101"/>
        <v>64.938494932906195</v>
      </c>
      <c r="F285" s="380">
        <f t="shared" si="104"/>
        <v>64.938897181893964</v>
      </c>
      <c r="G285" s="110">
        <f t="shared" si="102"/>
        <v>0.35512663164058261</v>
      </c>
      <c r="H285" s="409" t="b">
        <f>Wh_hp&gt;='2022'!Maxi_hp</f>
        <v>0</v>
      </c>
      <c r="I285" s="385">
        <f>IF(H285,Wh_hp,'2022'!Maxi_hp)</f>
        <v>64.941266554955206</v>
      </c>
      <c r="J285" s="85">
        <f>IF(H285,An,'2022'!An_max)</f>
        <v>2022</v>
      </c>
      <c r="K285" s="193">
        <f t="shared" si="105"/>
        <v>45197</v>
      </c>
      <c r="L285" s="143">
        <f>IF(t&lt;Tvie,1-EXP((T0-t)*PertePVj)+'2022'!Pspv,1-EXP((T0-t)*PertePVj)+Pspv)</f>
        <v>1.0526003077871549E-2</v>
      </c>
      <c r="M285" s="835"/>
      <c r="N285" s="835"/>
      <c r="O285" s="48">
        <f>IF(t&lt;Tnet,'2022'!Resal+('2022'!Salim-'2022'!Resal)*(1-EXP(('2022'!Tnet-t)/('2022'!Tau_j))),Resal+(Salim-Resal)*(1-EXP((Tnet-t)/(Tau_j))))*Salcycl</f>
        <v>4.2230353128051998E-2</v>
      </c>
      <c r="P285" s="165">
        <f>(INDEX(Models!$BJ285:$BT285,,T285)*(1-R285)+INDEX(Models!$BJ285:$BT285,,T285+1)*R285-ERP_i)*Q285*Ramure*Pc/MaxiM</f>
        <v>7.8618371226005975E-5</v>
      </c>
      <c r="Q285" s="301">
        <f t="shared" si="106"/>
        <v>0.5</v>
      </c>
      <c r="R285" s="173">
        <f t="shared" si="107"/>
        <v>0.98430252613101388</v>
      </c>
      <c r="S285" s="801">
        <f t="shared" si="108"/>
        <v>0</v>
      </c>
      <c r="T285" s="172">
        <f t="shared" si="109"/>
        <v>6</v>
      </c>
      <c r="U285" s="247">
        <f t="shared" si="110"/>
        <v>0.98430252613101388</v>
      </c>
      <c r="V285" s="378">
        <f t="shared" si="111"/>
        <v>173.28181054972012</v>
      </c>
      <c r="W285" s="397">
        <f t="shared" si="112"/>
        <v>61.541442816467317</v>
      </c>
      <c r="X285" s="153">
        <f t="shared" si="113"/>
        <v>45197</v>
      </c>
      <c r="Y285" s="380">
        <f t="shared" si="114"/>
        <v>61.541442816467324</v>
      </c>
      <c r="Z285" s="380">
        <f t="shared" si="115"/>
        <v>62.196119360285351</v>
      </c>
      <c r="AA285" s="381">
        <f t="shared" si="116"/>
        <v>64.938494932906195</v>
      </c>
      <c r="AB285" s="193">
        <f t="shared" si="117"/>
        <v>45197</v>
      </c>
      <c r="AC285" s="420">
        <f>IF(OR(t&lt;Tnet,NoTnet),'2022'!Resal_s+('2022'!Salim-'2022'!Resal_s)*(1-EXP(('2022'!Tnet_s-t)/'2022'!Tau_j)),Resal_s+(Salim-Resal_s)*(1-EXP((Tnet_s-t)/Tau_j)))*Salcycl</f>
        <v>4.2230353128051998E-2</v>
      </c>
      <c r="AD285" s="227">
        <f>(INDEX(Models!$BJ285:$BT285,,AH285)*(1-AF285)+INDEX(Models!$BJ285:$BT285,,AH285+1)*AF285-ERP_i)*AE285*Ramure*Pc/MaxiM</f>
        <v>7.8618371226005975E-5</v>
      </c>
      <c r="AE285" s="301">
        <f t="shared" si="118"/>
        <v>0.5</v>
      </c>
      <c r="AF285" s="173">
        <f t="shared" si="119"/>
        <v>0.98430252613101388</v>
      </c>
      <c r="AG285" s="172">
        <f t="shared" si="120"/>
        <v>0</v>
      </c>
      <c r="AH285" s="172">
        <f t="shared" si="121"/>
        <v>6</v>
      </c>
      <c r="AI285" s="221">
        <f t="shared" si="122"/>
        <v>0.98430252613101388</v>
      </c>
      <c r="AJ285" s="261" t="b">
        <f t="shared" si="123"/>
        <v>0</v>
      </c>
      <c r="AK285" s="261" t="b">
        <f t="shared" si="124"/>
        <v>0</v>
      </c>
      <c r="AL285" s="261"/>
      <c r="AM285" s="261"/>
      <c r="AN285" s="75"/>
    </row>
    <row r="286" spans="1:40" s="6" customFormat="1" ht="11.25" x14ac:dyDescent="0.2">
      <c r="A286" s="56">
        <f t="shared" si="125"/>
        <v>45198</v>
      </c>
      <c r="B286" s="406">
        <f>'2022'!Wh/'2022'!Env_an*'2023'!Env_an</f>
        <v>91.585133017808772</v>
      </c>
      <c r="C286" s="385"/>
      <c r="D286" s="388">
        <f t="shared" si="103"/>
        <v>92.560680769199237</v>
      </c>
      <c r="E286" s="380">
        <f t="shared" si="101"/>
        <v>96.644245406650839</v>
      </c>
      <c r="F286" s="380">
        <f t="shared" si="104"/>
        <v>96.646801636526277</v>
      </c>
      <c r="G286" s="110">
        <f t="shared" si="102"/>
        <v>0.53227124215209609</v>
      </c>
      <c r="H286" s="409" t="b">
        <f>Wh_hp&gt;='2022'!Maxi_hp</f>
        <v>0</v>
      </c>
      <c r="I286" s="385">
        <f>IF(H286,Wh_hp,'2022'!Maxi_hp)</f>
        <v>96.649393993788266</v>
      </c>
      <c r="J286" s="85">
        <f>IF(H286,An,'2022'!An_max)</f>
        <v>2022</v>
      </c>
      <c r="K286" s="193">
        <f t="shared" si="105"/>
        <v>45198</v>
      </c>
      <c r="L286" s="143">
        <f>IF(t&lt;Tvie,1-EXP((T0-t)*PertePVj)+'2022'!Pspv,1-EXP((T0-t)*PertePVj)+Pspv)</f>
        <v>1.0539548145967026E-2</v>
      </c>
      <c r="M286" s="835"/>
      <c r="N286" s="835"/>
      <c r="O286" s="48">
        <f>IF(t&lt;Tnet,'2022'!Resal+('2022'!Salim-'2022'!Resal)*(1-EXP(('2022'!Tnet-t)/('2022'!Tau_j))),Resal+(Salim-Resal)*(1-EXP((Tnet-t)/(Tau_j))))*Salcycl</f>
        <v>4.2253572577127099E-2</v>
      </c>
      <c r="P286" s="165">
        <f>(INDEX(Models!$BJ286:$BT286,,T286)*(1-R286)+INDEX(Models!$BJ286:$BT286,,T286+1)*R286-ERP_i)*Q286*Ramure*Pc/MaxiM</f>
        <v>7.9700678604441085E-5</v>
      </c>
      <c r="Q286" s="301">
        <f t="shared" si="106"/>
        <v>0.5</v>
      </c>
      <c r="R286" s="173">
        <f t="shared" si="107"/>
        <v>0.98451738853692405</v>
      </c>
      <c r="S286" s="801">
        <f t="shared" si="108"/>
        <v>0</v>
      </c>
      <c r="T286" s="172">
        <f t="shared" si="109"/>
        <v>6</v>
      </c>
      <c r="U286" s="247">
        <f t="shared" si="110"/>
        <v>0.98451738853692405</v>
      </c>
      <c r="V286" s="378">
        <f t="shared" si="111"/>
        <v>172.05561486678613</v>
      </c>
      <c r="W286" s="397">
        <f t="shared" si="112"/>
        <v>91.585133017808772</v>
      </c>
      <c r="X286" s="153">
        <f t="shared" si="113"/>
        <v>45198</v>
      </c>
      <c r="Y286" s="380">
        <f t="shared" si="114"/>
        <v>91.585133017808772</v>
      </c>
      <c r="Z286" s="380">
        <f t="shared" si="115"/>
        <v>92.560680769199237</v>
      </c>
      <c r="AA286" s="381">
        <f t="shared" si="116"/>
        <v>96.644245406650839</v>
      </c>
      <c r="AB286" s="193">
        <f t="shared" si="117"/>
        <v>45198</v>
      </c>
      <c r="AC286" s="420">
        <f>IF(OR(t&lt;Tnet,NoTnet),'2022'!Resal_s+('2022'!Salim-'2022'!Resal_s)*(1-EXP(('2022'!Tnet_s-t)/'2022'!Tau_j)),Resal_s+(Salim-Resal_s)*(1-EXP((Tnet_s-t)/Tau_j)))*Salcycl</f>
        <v>4.2253572577127099E-2</v>
      </c>
      <c r="AD286" s="227">
        <f>(INDEX(Models!$BJ286:$BT286,,AH286)*(1-AF286)+INDEX(Models!$BJ286:$BT286,,AH286+1)*AF286-ERP_i)*AE286*Ramure*Pc/MaxiM</f>
        <v>7.9700678604441085E-5</v>
      </c>
      <c r="AE286" s="301">
        <f t="shared" si="118"/>
        <v>0.5</v>
      </c>
      <c r="AF286" s="173">
        <f t="shared" si="119"/>
        <v>0.98451738853692405</v>
      </c>
      <c r="AG286" s="172">
        <f t="shared" si="120"/>
        <v>0</v>
      </c>
      <c r="AH286" s="172">
        <f t="shared" si="121"/>
        <v>6</v>
      </c>
      <c r="AI286" s="221">
        <f t="shared" si="122"/>
        <v>0.98451738853692405</v>
      </c>
      <c r="AJ286" s="261" t="b">
        <f t="shared" si="123"/>
        <v>0</v>
      </c>
      <c r="AK286" s="261" t="b">
        <f t="shared" si="124"/>
        <v>0</v>
      </c>
      <c r="AL286" s="261"/>
      <c r="AM286" s="261"/>
      <c r="AN286" s="75"/>
    </row>
    <row r="287" spans="1:40" s="6" customFormat="1" ht="11.25" x14ac:dyDescent="0.2">
      <c r="A287" s="56">
        <f t="shared" si="125"/>
        <v>45199</v>
      </c>
      <c r="B287" s="406">
        <f>'2022'!Wh/'2022'!Env_an*'2023'!Env_an</f>
        <v>131.32770241242997</v>
      </c>
      <c r="C287" s="385"/>
      <c r="D287" s="388">
        <f t="shared" si="103"/>
        <v>132.72839753920374</v>
      </c>
      <c r="E287" s="380">
        <f t="shared" si="101"/>
        <v>138.58734246313625</v>
      </c>
      <c r="F287" s="380">
        <f t="shared" si="104"/>
        <v>138.59488760357598</v>
      </c>
      <c r="G287" s="110">
        <f t="shared" si="102"/>
        <v>0.76874708417594717</v>
      </c>
      <c r="H287" s="409" t="b">
        <f>Wh_hp&gt;='2022'!Maxi_hp</f>
        <v>0</v>
      </c>
      <c r="I287" s="385">
        <f>IF(H287,Wh_hp,'2022'!Maxi_hp)</f>
        <v>138.5967620238211</v>
      </c>
      <c r="J287" s="85">
        <f>IF(H287,An,'2022'!An_max)</f>
        <v>2022</v>
      </c>
      <c r="K287" s="193">
        <f t="shared" si="105"/>
        <v>45199</v>
      </c>
      <c r="L287" s="143">
        <f>IF(t&lt;Tvie,1-EXP((T0-t)*PertePVj)+'2022'!Pspv,1-EXP((T0-t)*PertePVj)+Pspv)</f>
        <v>1.0553093028641825E-2</v>
      </c>
      <c r="M287" s="835"/>
      <c r="N287" s="835"/>
      <c r="O287" s="48">
        <f>IF(t&lt;Tnet,'2022'!Resal+('2022'!Salim-'2022'!Resal)*(1-EXP(('2022'!Tnet-t)/('2022'!Tau_j))),Resal+(Salim-Resal)*(1-EXP((Tnet-t)/(Tau_j))))*Salcycl</f>
        <v>4.227619073863819E-2</v>
      </c>
      <c r="P287" s="165">
        <f>(INDEX(Models!$BJ287:$BT287,,T287)*(1-R287)+INDEX(Models!$BJ287:$BT287,,T287+1)*R287-ERP_i)*Q287*Ramure*Pc/MaxiM</f>
        <v>8.1294366327025393E-5</v>
      </c>
      <c r="Q287" s="301">
        <f t="shared" si="106"/>
        <v>0.5</v>
      </c>
      <c r="R287" s="173">
        <f t="shared" si="107"/>
        <v>0.98472377527973309</v>
      </c>
      <c r="S287" s="801">
        <f t="shared" si="108"/>
        <v>0</v>
      </c>
      <c r="T287" s="172">
        <f t="shared" si="109"/>
        <v>6</v>
      </c>
      <c r="U287" s="247">
        <f t="shared" si="110"/>
        <v>0.98472377527973309</v>
      </c>
      <c r="V287" s="378">
        <f t="shared" si="111"/>
        <v>170.82884375672685</v>
      </c>
      <c r="W287" s="397">
        <f t="shared" si="112"/>
        <v>131.32770241242997</v>
      </c>
      <c r="X287" s="153">
        <f t="shared" si="113"/>
        <v>45199</v>
      </c>
      <c r="Y287" s="380">
        <f t="shared" si="114"/>
        <v>131.32770241242997</v>
      </c>
      <c r="Z287" s="380">
        <f t="shared" si="115"/>
        <v>132.72839753920374</v>
      </c>
      <c r="AA287" s="381">
        <f t="shared" si="116"/>
        <v>138.58734246313625</v>
      </c>
      <c r="AB287" s="193">
        <f t="shared" si="117"/>
        <v>45199</v>
      </c>
      <c r="AC287" s="420">
        <f>IF(OR(t&lt;Tnet,NoTnet),'2022'!Resal_s+('2022'!Salim-'2022'!Resal_s)*(1-EXP(('2022'!Tnet_s-t)/'2022'!Tau_j)),Resal_s+(Salim-Resal_s)*(1-EXP((Tnet_s-t)/Tau_j)))*Salcycl</f>
        <v>4.227619073863819E-2</v>
      </c>
      <c r="AD287" s="227">
        <f>(INDEX(Models!$BJ287:$BT287,,AH287)*(1-AF287)+INDEX(Models!$BJ287:$BT287,,AH287+1)*AF287-ERP_i)*AE287*Ramure*Pc/MaxiM</f>
        <v>8.1294366327025393E-5</v>
      </c>
      <c r="AE287" s="301">
        <f t="shared" si="118"/>
        <v>0.5</v>
      </c>
      <c r="AF287" s="173">
        <f t="shared" si="119"/>
        <v>0.98472377527973309</v>
      </c>
      <c r="AG287" s="172">
        <f t="shared" si="120"/>
        <v>0</v>
      </c>
      <c r="AH287" s="172">
        <f t="shared" si="121"/>
        <v>6</v>
      </c>
      <c r="AI287" s="221">
        <f t="shared" si="122"/>
        <v>0.98472377527973309</v>
      </c>
      <c r="AJ287" s="261" t="b">
        <f t="shared" si="123"/>
        <v>0</v>
      </c>
      <c r="AK287" s="261" t="b">
        <f t="shared" si="124"/>
        <v>0</v>
      </c>
      <c r="AL287" s="261"/>
      <c r="AM287" s="261"/>
      <c r="AN287" s="75"/>
    </row>
    <row r="288" spans="1:40" s="6" customFormat="1" ht="11.25" x14ac:dyDescent="0.2">
      <c r="A288" s="56">
        <f t="shared" si="125"/>
        <v>45200</v>
      </c>
      <c r="B288" s="406">
        <f>'2022'!Wh/'2022'!Env_an*'2023'!Env_an</f>
        <v>148.86515634709212</v>
      </c>
      <c r="C288" s="385"/>
      <c r="D288" s="388">
        <f t="shared" si="103"/>
        <v>150.45495939710614</v>
      </c>
      <c r="E288" s="380">
        <f t="shared" si="101"/>
        <v>157.10000616121692</v>
      </c>
      <c r="F288" s="380">
        <f t="shared" si="104"/>
        <v>157.11082107984404</v>
      </c>
      <c r="G288" s="110">
        <f t="shared" si="102"/>
        <v>0.8777140842449388</v>
      </c>
      <c r="H288" s="409" t="b">
        <f>Wh_hp&gt;='2022'!Maxi_hp</f>
        <v>0</v>
      </c>
      <c r="I288" s="385">
        <f>IF(H288,Wh_hp,'2022'!Maxi_hp)</f>
        <v>157.11197366226085</v>
      </c>
      <c r="J288" s="85">
        <f>IF(H288,An,'2022'!An_max)</f>
        <v>2022</v>
      </c>
      <c r="K288" s="193">
        <f t="shared" si="105"/>
        <v>45200</v>
      </c>
      <c r="L288" s="143">
        <f>IF(t&lt;Tvie,1-EXP((T0-t)*PertePVj)+'2022'!Pspv,1-EXP((T0-t)*PertePVj)+Pspv)</f>
        <v>1.0566637725898609E-2</v>
      </c>
      <c r="M288" s="835"/>
      <c r="N288" s="835"/>
      <c r="O288" s="48">
        <f>IF(t&lt;Tnet,'2022'!Resal+('2022'!Salim-'2022'!Resal)*(1-EXP(('2022'!Tnet-t)/('2022'!Tau_j))),Resal+(Salim-Resal)*(1-EXP((Tnet-t)/(Tau_j))))*Salcycl</f>
        <v>4.2298195439226145E-2</v>
      </c>
      <c r="P288" s="165">
        <f>(INDEX(Models!$BJ288:$BT288,,T288)*(1-R288)+INDEX(Models!$BJ288:$BT288,,T288+1)*R288-ERP_i)*Q288*Ramure*Pc/MaxiM</f>
        <v>8.340510412131379E-5</v>
      </c>
      <c r="Q288" s="301">
        <f t="shared" si="106"/>
        <v>0.5</v>
      </c>
      <c r="R288" s="173">
        <f t="shared" si="107"/>
        <v>0.98492201398248136</v>
      </c>
      <c r="S288" s="801">
        <f t="shared" si="108"/>
        <v>0</v>
      </c>
      <c r="T288" s="172">
        <f t="shared" si="109"/>
        <v>6</v>
      </c>
      <c r="U288" s="247">
        <f t="shared" si="110"/>
        <v>0.98492201398248136</v>
      </c>
      <c r="V288" s="378">
        <f t="shared" si="111"/>
        <v>169.60305192098303</v>
      </c>
      <c r="W288" s="397">
        <f t="shared" si="112"/>
        <v>148.86515634709212</v>
      </c>
      <c r="X288" s="153">
        <f t="shared" si="113"/>
        <v>45200</v>
      </c>
      <c r="Y288" s="380">
        <f t="shared" si="114"/>
        <v>148.86515634709212</v>
      </c>
      <c r="Z288" s="380">
        <f t="shared" si="115"/>
        <v>150.45495939710614</v>
      </c>
      <c r="AA288" s="381">
        <f t="shared" si="116"/>
        <v>157.10000616121692</v>
      </c>
      <c r="AB288" s="193">
        <f t="shared" si="117"/>
        <v>45200</v>
      </c>
      <c r="AC288" s="420">
        <f>IF(OR(t&lt;Tnet,NoTnet),'2022'!Resal_s+('2022'!Salim-'2022'!Resal_s)*(1-EXP(('2022'!Tnet_s-t)/'2022'!Tau_j)),Resal_s+(Salim-Resal_s)*(1-EXP((Tnet_s-t)/Tau_j)))*Salcycl</f>
        <v>4.2298195439226145E-2</v>
      </c>
      <c r="AD288" s="227">
        <f>(INDEX(Models!$BJ288:$BT288,,AH288)*(1-AF288)+INDEX(Models!$BJ288:$BT288,,AH288+1)*AF288-ERP_i)*AE288*Ramure*Pc/MaxiM</f>
        <v>8.340510412131379E-5</v>
      </c>
      <c r="AE288" s="301">
        <f t="shared" si="118"/>
        <v>0.5</v>
      </c>
      <c r="AF288" s="173">
        <f t="shared" si="119"/>
        <v>0.98492201398248136</v>
      </c>
      <c r="AG288" s="172">
        <f t="shared" si="120"/>
        <v>0</v>
      </c>
      <c r="AH288" s="172">
        <f t="shared" si="121"/>
        <v>6</v>
      </c>
      <c r="AI288" s="221">
        <f t="shared" si="122"/>
        <v>0.98492201398248136</v>
      </c>
      <c r="AJ288" s="261" t="b">
        <f t="shared" si="123"/>
        <v>0</v>
      </c>
      <c r="AK288" s="261" t="b">
        <f t="shared" si="124"/>
        <v>0</v>
      </c>
      <c r="AL288" s="261"/>
      <c r="AM288" s="261"/>
      <c r="AN288" s="75"/>
    </row>
    <row r="289" spans="1:40" s="6" customFormat="1" ht="11.25" customHeight="1" x14ac:dyDescent="0.2">
      <c r="A289" s="56">
        <f t="shared" si="125"/>
        <v>45201</v>
      </c>
      <c r="B289" s="406">
        <f>'2022'!Wh/'2022'!Env_an*'2023'!Env_an</f>
        <v>154.11535899399411</v>
      </c>
      <c r="C289" s="385"/>
      <c r="D289" s="388">
        <f t="shared" si="103"/>
        <v>155.76336376862957</v>
      </c>
      <c r="E289" s="380">
        <f t="shared" si="101"/>
        <v>162.64649434831983</v>
      </c>
      <c r="F289" s="380">
        <f t="shared" si="104"/>
        <v>162.65879644301381</v>
      </c>
      <c r="G289" s="110">
        <f t="shared" si="102"/>
        <v>0.91530185560290922</v>
      </c>
      <c r="H289" s="409" t="b">
        <f>Wh_hp&gt;='2022'!Maxi_hp</f>
        <v>0</v>
      </c>
      <c r="I289" s="385">
        <f>IF(H289,Wh_hp,'2022'!Maxi_hp)</f>
        <v>162.65964891476867</v>
      </c>
      <c r="J289" s="85">
        <f>IF(H289,An,'2022'!An_max)</f>
        <v>2022</v>
      </c>
      <c r="K289" s="193">
        <f t="shared" si="105"/>
        <v>45201</v>
      </c>
      <c r="L289" s="143">
        <f>IF(t&lt;Tvie,1-EXP((T0-t)*PertePVj)+'2022'!Pspv,1-EXP((T0-t)*PertePVj)+Pspv)</f>
        <v>1.0580182237739821E-2</v>
      </c>
      <c r="M289" s="835"/>
      <c r="N289" s="835"/>
      <c r="O289" s="48">
        <f>IF(t&lt;Tnet,'2022'!Resal+('2022'!Salim-'2022'!Resal)*(1-EXP(('2022'!Tnet-t)/('2022'!Tau_j))),Resal+(Salim-Resal)*(1-EXP((Tnet-t)/(Tau_j))))*Salcycl</f>
        <v>4.2319575391213213E-2</v>
      </c>
      <c r="P289" s="165">
        <f>(INDEX(Models!$BJ289:$BT289,,T289)*(1-R289)+INDEX(Models!$BJ289:$BT289,,T289+1)*R289-ERP_i)*Q289*Ramure*Pc/MaxiM</f>
        <v>8.6040831902068563E-5</v>
      </c>
      <c r="Q289" s="301">
        <f t="shared" si="106"/>
        <v>0.5</v>
      </c>
      <c r="R289" s="173">
        <f t="shared" si="107"/>
        <v>0.98511242012963773</v>
      </c>
      <c r="S289" s="801">
        <f t="shared" si="108"/>
        <v>0</v>
      </c>
      <c r="T289" s="172">
        <f t="shared" si="109"/>
        <v>6</v>
      </c>
      <c r="U289" s="247">
        <f t="shared" si="110"/>
        <v>0.98511242012963773</v>
      </c>
      <c r="V289" s="378">
        <f t="shared" si="111"/>
        <v>168.37478658986709</v>
      </c>
      <c r="W289" s="397">
        <f t="shared" si="112"/>
        <v>154.11535899399411</v>
      </c>
      <c r="X289" s="153">
        <f t="shared" si="113"/>
        <v>45201</v>
      </c>
      <c r="Y289" s="380">
        <f t="shared" si="114"/>
        <v>154.11535899399411</v>
      </c>
      <c r="Z289" s="380">
        <f t="shared" si="115"/>
        <v>155.76336376862957</v>
      </c>
      <c r="AA289" s="381">
        <f t="shared" si="116"/>
        <v>162.64649434831983</v>
      </c>
      <c r="AB289" s="193">
        <f t="shared" si="117"/>
        <v>45201</v>
      </c>
      <c r="AC289" s="420">
        <f>IF(OR(t&lt;Tnet,NoTnet),'2022'!Resal_s+('2022'!Salim-'2022'!Resal_s)*(1-EXP(('2022'!Tnet_s-t)/'2022'!Tau_j)),Resal_s+(Salim-Resal_s)*(1-EXP((Tnet_s-t)/Tau_j)))*Salcycl</f>
        <v>4.2319575391213213E-2</v>
      </c>
      <c r="AD289" s="227">
        <f>(INDEX(Models!$BJ289:$BT289,,AH289)*(1-AF289)+INDEX(Models!$BJ289:$BT289,,AH289+1)*AF289-ERP_i)*AE289*Ramure*Pc/MaxiM</f>
        <v>8.6040831902068563E-5</v>
      </c>
      <c r="AE289" s="301">
        <f t="shared" si="118"/>
        <v>0.5</v>
      </c>
      <c r="AF289" s="173">
        <f t="shared" si="119"/>
        <v>0.98511242012963773</v>
      </c>
      <c r="AG289" s="172">
        <f t="shared" si="120"/>
        <v>0</v>
      </c>
      <c r="AH289" s="172">
        <f t="shared" si="121"/>
        <v>6</v>
      </c>
      <c r="AI289" s="221">
        <f t="shared" si="122"/>
        <v>0.98511242012963773</v>
      </c>
      <c r="AJ289" s="261" t="b">
        <f t="shared" si="123"/>
        <v>0</v>
      </c>
      <c r="AK289" s="261" t="b">
        <f t="shared" si="124"/>
        <v>0</v>
      </c>
      <c r="AL289" s="261"/>
      <c r="AM289" s="261"/>
      <c r="AN289" s="75"/>
    </row>
    <row r="290" spans="1:40" s="6" customFormat="1" ht="11.25" x14ac:dyDescent="0.2">
      <c r="A290" s="56">
        <f t="shared" si="125"/>
        <v>45202</v>
      </c>
      <c r="B290" s="406">
        <f>'2022'!Wh/'2022'!Env_an*'2023'!Env_an</f>
        <v>144.75965764542266</v>
      </c>
      <c r="C290" s="385"/>
      <c r="D290" s="388">
        <f t="shared" si="103"/>
        <v>146.30962177218404</v>
      </c>
      <c r="E290" s="380">
        <f t="shared" si="101"/>
        <v>152.7783041048578</v>
      </c>
      <c r="F290" s="380">
        <f t="shared" si="104"/>
        <v>152.78933552375076</v>
      </c>
      <c r="G290" s="110">
        <f t="shared" si="102"/>
        <v>0.86608398751646054</v>
      </c>
      <c r="H290" s="409" t="b">
        <f>Wh_hp&gt;='2022'!Maxi_hp</f>
        <v>0</v>
      </c>
      <c r="I290" s="385">
        <f>IF(H290,Wh_hp,'2022'!Maxi_hp)</f>
        <v>152.79064899002728</v>
      </c>
      <c r="J290" s="85">
        <f>IF(H290,An,'2022'!An_max)</f>
        <v>2022</v>
      </c>
      <c r="K290" s="193">
        <f t="shared" si="105"/>
        <v>45202</v>
      </c>
      <c r="L290" s="143">
        <f>IF(t&lt;Tvie,1-EXP((T0-t)*PertePVj)+'2022'!Pspv,1-EXP((T0-t)*PertePVj)+Pspv)</f>
        <v>1.0593726564168127E-2</v>
      </c>
      <c r="M290" s="835"/>
      <c r="N290" s="835"/>
      <c r="O290" s="48">
        <f>IF(t&lt;Tnet,'2022'!Resal+('2022'!Salim-'2022'!Resal)*(1-EXP(('2022'!Tnet-t)/('2022'!Tau_j))),Resal+(Salim-Resal)*(1-EXP((Tnet-t)/(Tau_j))))*Salcycl</f>
        <v>4.2340320312981287E-2</v>
      </c>
      <c r="P290" s="165">
        <f>(INDEX(Models!$BJ290:$BT290,,T290)*(1-R290)+INDEX(Models!$BJ290:$BT290,,T290+1)*R290-ERP_i)*Q290*Ramure*Pc/MaxiM</f>
        <v>8.9277938903336649E-5</v>
      </c>
      <c r="Q290" s="301">
        <f t="shared" si="106"/>
        <v>0.5</v>
      </c>
      <c r="R290" s="173">
        <f t="shared" si="107"/>
        <v>0.98529529747542588</v>
      </c>
      <c r="S290" s="801">
        <f t="shared" si="108"/>
        <v>0</v>
      </c>
      <c r="T290" s="172">
        <f t="shared" si="109"/>
        <v>6</v>
      </c>
      <c r="U290" s="247">
        <f t="shared" si="110"/>
        <v>0.98529529747542588</v>
      </c>
      <c r="V290" s="378">
        <f t="shared" si="111"/>
        <v>167.13989334080554</v>
      </c>
      <c r="W290" s="397">
        <f t="shared" si="112"/>
        <v>144.75965764542266</v>
      </c>
      <c r="X290" s="153">
        <f t="shared" si="113"/>
        <v>45202</v>
      </c>
      <c r="Y290" s="380">
        <f t="shared" si="114"/>
        <v>144.75965764542266</v>
      </c>
      <c r="Z290" s="380">
        <f t="shared" si="115"/>
        <v>146.30962177218404</v>
      </c>
      <c r="AA290" s="381">
        <f t="shared" si="116"/>
        <v>152.7783041048578</v>
      </c>
      <c r="AB290" s="193">
        <f t="shared" si="117"/>
        <v>45202</v>
      </c>
      <c r="AC290" s="420">
        <f>IF(OR(t&lt;Tnet,NoTnet),'2022'!Resal_s+('2022'!Salim-'2022'!Resal_s)*(1-EXP(('2022'!Tnet_s-t)/'2022'!Tau_j)),Resal_s+(Salim-Resal_s)*(1-EXP((Tnet_s-t)/Tau_j)))*Salcycl</f>
        <v>4.2340320312981287E-2</v>
      </c>
      <c r="AD290" s="227">
        <f>(INDEX(Models!$BJ290:$BT290,,AH290)*(1-AF290)+INDEX(Models!$BJ290:$BT290,,AH290+1)*AF290-ERP_i)*AE290*Ramure*Pc/MaxiM</f>
        <v>8.9277938903336649E-5</v>
      </c>
      <c r="AE290" s="301">
        <f t="shared" si="118"/>
        <v>0.5</v>
      </c>
      <c r="AF290" s="173">
        <f t="shared" si="119"/>
        <v>0.98529529747542588</v>
      </c>
      <c r="AG290" s="172">
        <f t="shared" si="120"/>
        <v>0</v>
      </c>
      <c r="AH290" s="172">
        <f t="shared" si="121"/>
        <v>6</v>
      </c>
      <c r="AI290" s="221">
        <f t="shared" si="122"/>
        <v>0.98529529747542588</v>
      </c>
      <c r="AJ290" s="261" t="b">
        <f t="shared" si="123"/>
        <v>0</v>
      </c>
      <c r="AK290" s="261" t="b">
        <f t="shared" si="124"/>
        <v>0</v>
      </c>
      <c r="AL290" s="261"/>
      <c r="AM290" s="261"/>
      <c r="AN290" s="75"/>
    </row>
    <row r="291" spans="1:40" s="6" customFormat="1" ht="11.25" customHeight="1" x14ac:dyDescent="0.2">
      <c r="A291" s="56">
        <f t="shared" si="125"/>
        <v>45203</v>
      </c>
      <c r="B291" s="406">
        <f>'2022'!Wh/'2022'!Env_an*'2023'!Env_an</f>
        <v>165.64862465181005</v>
      </c>
      <c r="C291" s="385"/>
      <c r="D291" s="388">
        <f t="shared" si="103"/>
        <v>167.42454209247674</v>
      </c>
      <c r="E291" s="380">
        <f t="shared" si="101"/>
        <v>174.83043283985805</v>
      </c>
      <c r="F291" s="380">
        <f t="shared" si="104"/>
        <v>174.84665941999194</v>
      </c>
      <c r="G291" s="110">
        <f t="shared" si="102"/>
        <v>0.9984911339451068</v>
      </c>
      <c r="H291" s="409" t="b">
        <f>Wh_hp&gt;='2022'!Maxi_hp</f>
        <v>0</v>
      </c>
      <c r="I291" s="385">
        <f>IF(H291,Wh_hp,'2022'!Maxi_hp)</f>
        <v>174.84667705924409</v>
      </c>
      <c r="J291" s="85">
        <f>IF(H291,An,'2022'!An_max)</f>
        <v>2022</v>
      </c>
      <c r="K291" s="193">
        <f t="shared" si="105"/>
        <v>45203</v>
      </c>
      <c r="L291" s="143">
        <f>IF(t&lt;Tvie,1-EXP((T0-t)*PertePVj)+'2022'!Pspv,1-EXP((T0-t)*PertePVj)+Pspv)</f>
        <v>1.0607270705185856E-2</v>
      </c>
      <c r="M291" s="835"/>
      <c r="N291" s="835"/>
      <c r="O291" s="48">
        <f>IF(t&lt;Tnet,'2022'!Resal+('2022'!Salim-'2022'!Resal)*(1-EXP(('2022'!Tnet-t)/('2022'!Tau_j))),Resal+(Salim-Resal)*(1-EXP((Tnet-t)/(Tau_j))))*Salcycl</f>
        <v>4.2360421049606363E-2</v>
      </c>
      <c r="P291" s="165">
        <f>(INDEX(Models!$BJ291:$BT291,,T291)*(1-R291)+INDEX(Models!$BJ291:$BT291,,T291+1)*R291-ERP_i)*Q291*Ramure*Pc/MaxiM</f>
        <v>9.3005081421238724E-5</v>
      </c>
      <c r="Q291" s="301">
        <f t="shared" si="106"/>
        <v>0.5</v>
      </c>
      <c r="R291" s="173">
        <f t="shared" si="107"/>
        <v>0.98547093844175626</v>
      </c>
      <c r="S291" s="801">
        <f t="shared" si="108"/>
        <v>0</v>
      </c>
      <c r="T291" s="172">
        <f t="shared" si="109"/>
        <v>6</v>
      </c>
      <c r="U291" s="247">
        <f t="shared" si="110"/>
        <v>0.98547093844175626</v>
      </c>
      <c r="V291" s="378">
        <f t="shared" si="111"/>
        <v>165.89891067966246</v>
      </c>
      <c r="W291" s="397">
        <f t="shared" si="112"/>
        <v>165.64862465181005</v>
      </c>
      <c r="X291" s="153">
        <f t="shared" si="113"/>
        <v>45203</v>
      </c>
      <c r="Y291" s="380">
        <f t="shared" si="114"/>
        <v>165.64862465181005</v>
      </c>
      <c r="Z291" s="380">
        <f t="shared" si="115"/>
        <v>167.42454209247674</v>
      </c>
      <c r="AA291" s="381">
        <f t="shared" si="116"/>
        <v>174.83043283985805</v>
      </c>
      <c r="AB291" s="193">
        <f t="shared" si="117"/>
        <v>45203</v>
      </c>
      <c r="AC291" s="420">
        <f>IF(OR(t&lt;Tnet,NoTnet),'2022'!Resal_s+('2022'!Salim-'2022'!Resal_s)*(1-EXP(('2022'!Tnet_s-t)/'2022'!Tau_j)),Resal_s+(Salim-Resal_s)*(1-EXP((Tnet_s-t)/Tau_j)))*Salcycl</f>
        <v>4.2360421049606363E-2</v>
      </c>
      <c r="AD291" s="227">
        <f>(INDEX(Models!$BJ291:$BT291,,AH291)*(1-AF291)+INDEX(Models!$BJ291:$BT291,,AH291+1)*AF291-ERP_i)*AE291*Ramure*Pc/MaxiM</f>
        <v>9.3005081421238724E-5</v>
      </c>
      <c r="AE291" s="301">
        <f t="shared" si="118"/>
        <v>0.5</v>
      </c>
      <c r="AF291" s="173">
        <f t="shared" si="119"/>
        <v>0.98547093844175626</v>
      </c>
      <c r="AG291" s="172">
        <f t="shared" si="120"/>
        <v>0</v>
      </c>
      <c r="AH291" s="172">
        <f t="shared" si="121"/>
        <v>6</v>
      </c>
      <c r="AI291" s="221">
        <f t="shared" si="122"/>
        <v>0.98547093844175626</v>
      </c>
      <c r="AJ291" s="261" t="b">
        <f t="shared" si="123"/>
        <v>0</v>
      </c>
      <c r="AK291" s="261" t="b">
        <f t="shared" si="124"/>
        <v>0</v>
      </c>
      <c r="AL291" s="261"/>
      <c r="AM291" s="261"/>
      <c r="AN291" s="75"/>
    </row>
    <row r="292" spans="1:40" s="6" customFormat="1" ht="11.25" x14ac:dyDescent="0.2">
      <c r="A292" s="56">
        <f t="shared" si="125"/>
        <v>45204</v>
      </c>
      <c r="B292" s="406">
        <f>'2022'!Wh/'2022'!Env_an*'2023'!Env_an</f>
        <v>168.35443179682002</v>
      </c>
      <c r="C292" s="385"/>
      <c r="D292" s="388">
        <f t="shared" si="103"/>
        <v>170.16168754257799</v>
      </c>
      <c r="E292" s="380">
        <f t="shared" si="101"/>
        <v>177.69226247152645</v>
      </c>
      <c r="F292" s="380">
        <f t="shared" si="104"/>
        <v>177.70954073163577</v>
      </c>
      <c r="G292" s="110">
        <f t="shared" si="102"/>
        <v>1.0224841894661152</v>
      </c>
      <c r="H292" s="409" t="b">
        <f>Wh_hp&gt;='2022'!Maxi_hp</f>
        <v>1</v>
      </c>
      <c r="I292" s="385">
        <f>IF(H292,Wh_hp,'2022'!Maxi_hp)</f>
        <v>177.70954073163577</v>
      </c>
      <c r="J292" s="85">
        <f>IF(H292,An,'2022'!An_max)</f>
        <v>2023</v>
      </c>
      <c r="K292" s="193">
        <f t="shared" si="105"/>
        <v>45204</v>
      </c>
      <c r="L292" s="143">
        <f>IF(t&lt;Tvie,1-EXP((T0-t)*PertePVj)+'2022'!Pspv,1-EXP((T0-t)*PertePVj)+Pspv)</f>
        <v>1.0620814660795785E-2</v>
      </c>
      <c r="M292" s="835"/>
      <c r="N292" s="835"/>
      <c r="O292" s="48">
        <f>IF(t&lt;Tnet,'2022'!Resal+('2022'!Salim-'2022'!Resal)*(1-EXP(('2022'!Tnet-t)/('2022'!Tau_j))),Resal+(Salim-Resal)*(1-EXP((Tnet-t)/(Tau_j))))*Salcycl</f>
        <v>4.2379869692723102E-2</v>
      </c>
      <c r="P292" s="165">
        <f>(INDEX(Models!$BJ292:$BT292,,T292)*(1-R292)+INDEX(Models!$BJ292:$BT292,,T292+1)*R292-ERP_i)*Q292*Ramure*Pc/MaxiM</f>
        <v>9.7227532287786367E-5</v>
      </c>
      <c r="Q292" s="301">
        <f t="shared" si="106"/>
        <v>0.5</v>
      </c>
      <c r="R292" s="173">
        <f t="shared" si="107"/>
        <v>0.98563962450573794</v>
      </c>
      <c r="S292" s="801">
        <f t="shared" si="108"/>
        <v>0</v>
      </c>
      <c r="T292" s="172">
        <f t="shared" si="109"/>
        <v>6</v>
      </c>
      <c r="U292" s="247">
        <f t="shared" si="110"/>
        <v>0.98563962450573794</v>
      </c>
      <c r="V292" s="378">
        <f t="shared" si="111"/>
        <v>164.65235700585791</v>
      </c>
      <c r="W292" s="397">
        <f t="shared" si="112"/>
        <v>168.35443179682002</v>
      </c>
      <c r="X292" s="153">
        <f t="shared" si="113"/>
        <v>45204</v>
      </c>
      <c r="Y292" s="380">
        <f t="shared" si="114"/>
        <v>168.35443179682002</v>
      </c>
      <c r="Z292" s="380">
        <f t="shared" si="115"/>
        <v>170.16168754257799</v>
      </c>
      <c r="AA292" s="381">
        <f t="shared" si="116"/>
        <v>177.69226247152645</v>
      </c>
      <c r="AB292" s="193">
        <f t="shared" si="117"/>
        <v>45204</v>
      </c>
      <c r="AC292" s="420">
        <f>IF(OR(t&lt;Tnet,NoTnet),'2022'!Resal_s+('2022'!Salim-'2022'!Resal_s)*(1-EXP(('2022'!Tnet_s-t)/'2022'!Tau_j)),Resal_s+(Salim-Resal_s)*(1-EXP((Tnet_s-t)/Tau_j)))*Salcycl</f>
        <v>4.2379869692723102E-2</v>
      </c>
      <c r="AD292" s="227">
        <f>(INDEX(Models!$BJ292:$BT292,,AH292)*(1-AF292)+INDEX(Models!$BJ292:$BT292,,AH292+1)*AF292-ERP_i)*AE292*Ramure*Pc/MaxiM</f>
        <v>9.7227532287786367E-5</v>
      </c>
      <c r="AE292" s="301">
        <f t="shared" si="118"/>
        <v>0.5</v>
      </c>
      <c r="AF292" s="173">
        <f t="shared" si="119"/>
        <v>0.98563962450573794</v>
      </c>
      <c r="AG292" s="172">
        <f t="shared" si="120"/>
        <v>0</v>
      </c>
      <c r="AH292" s="172">
        <f t="shared" si="121"/>
        <v>6</v>
      </c>
      <c r="AI292" s="221">
        <f t="shared" si="122"/>
        <v>0.98563962450573794</v>
      </c>
      <c r="AJ292" s="261" t="b">
        <f t="shared" si="123"/>
        <v>0</v>
      </c>
      <c r="AK292" s="261" t="b">
        <f t="shared" si="124"/>
        <v>0</v>
      </c>
      <c r="AL292" s="261"/>
      <c r="AM292" s="261"/>
      <c r="AN292" s="75"/>
    </row>
    <row r="293" spans="1:40" s="6" customFormat="1" ht="11.25" x14ac:dyDescent="0.2">
      <c r="A293" s="56">
        <f t="shared" si="125"/>
        <v>45205</v>
      </c>
      <c r="B293" s="406">
        <f>'2022'!Wh/'2022'!Env_an*'2023'!Env_an</f>
        <v>56.529561534536697</v>
      </c>
      <c r="C293" s="385"/>
      <c r="D293" s="388">
        <f t="shared" si="103"/>
        <v>57.137178773348623</v>
      </c>
      <c r="E293" s="380">
        <f t="shared" si="101"/>
        <v>59.66697869842455</v>
      </c>
      <c r="F293" s="380">
        <f t="shared" si="104"/>
        <v>59.667378068374944</v>
      </c>
      <c r="G293" s="110">
        <f t="shared" si="102"/>
        <v>0.34592360507481656</v>
      </c>
      <c r="H293" s="409" t="b">
        <f>Wh_hp&gt;='2022'!Maxi_hp</f>
        <v>0</v>
      </c>
      <c r="I293" s="385">
        <f>IF(H293,Wh_hp,'2022'!Maxi_hp)</f>
        <v>59.670237446224867</v>
      </c>
      <c r="J293" s="85">
        <f>IF(H293,An,'2022'!An_max)</f>
        <v>2022</v>
      </c>
      <c r="K293" s="193">
        <f t="shared" si="105"/>
        <v>45205</v>
      </c>
      <c r="L293" s="143">
        <f>IF(t&lt;Tvie,1-EXP((T0-t)*PertePVj)+'2022'!Pspv,1-EXP((T0-t)*PertePVj)+Pspv)</f>
        <v>1.0634358431000246E-2</v>
      </c>
      <c r="M293" s="835"/>
      <c r="N293" s="835"/>
      <c r="O293" s="48">
        <f>IF(t&lt;Tnet,'2022'!Resal+('2022'!Salim-'2022'!Resal)*(1-EXP(('2022'!Tnet-t)/('2022'!Tau_j))),Resal+(Salim-Resal)*(1-EXP((Tnet-t)/(Tau_j))))*Salcycl</f>
        <v>4.2398659698563296E-2</v>
      </c>
      <c r="P293" s="165">
        <f>(INDEX(Models!$BJ293:$BT293,,T293)*(1-R293)+INDEX(Models!$BJ293:$BT293,,T293+1)*R293-ERP_i)*Q293*Ramure*Pc/MaxiM</f>
        <v>1.0195040515524278E-4</v>
      </c>
      <c r="Q293" s="301">
        <f t="shared" si="106"/>
        <v>0.5</v>
      </c>
      <c r="R293" s="173">
        <f t="shared" si="107"/>
        <v>0.98580162657677706</v>
      </c>
      <c r="S293" s="801">
        <f t="shared" si="108"/>
        <v>0</v>
      </c>
      <c r="T293" s="172">
        <f t="shared" si="109"/>
        <v>6</v>
      </c>
      <c r="U293" s="247">
        <f t="shared" si="110"/>
        <v>0.98580162657677706</v>
      </c>
      <c r="V293" s="378">
        <f t="shared" si="111"/>
        <v>163.40075041210454</v>
      </c>
      <c r="W293" s="397">
        <f t="shared" si="112"/>
        <v>56.529561534536697</v>
      </c>
      <c r="X293" s="153">
        <f t="shared" si="113"/>
        <v>45205</v>
      </c>
      <c r="Y293" s="380">
        <f t="shared" si="114"/>
        <v>56.529561534536697</v>
      </c>
      <c r="Z293" s="380">
        <f t="shared" si="115"/>
        <v>57.137178773348623</v>
      </c>
      <c r="AA293" s="381">
        <f t="shared" si="116"/>
        <v>59.66697869842455</v>
      </c>
      <c r="AB293" s="193">
        <f t="shared" si="117"/>
        <v>45205</v>
      </c>
      <c r="AC293" s="420">
        <f>IF(OR(t&lt;Tnet,NoTnet),'2022'!Resal_s+('2022'!Salim-'2022'!Resal_s)*(1-EXP(('2022'!Tnet_s-t)/'2022'!Tau_j)),Resal_s+(Salim-Resal_s)*(1-EXP((Tnet_s-t)/Tau_j)))*Salcycl</f>
        <v>4.2398659698563296E-2</v>
      </c>
      <c r="AD293" s="227">
        <f>(INDEX(Models!$BJ293:$BT293,,AH293)*(1-AF293)+INDEX(Models!$BJ293:$BT293,,AH293+1)*AF293-ERP_i)*AE293*Ramure*Pc/MaxiM</f>
        <v>1.0195040515524278E-4</v>
      </c>
      <c r="AE293" s="301">
        <f t="shared" si="118"/>
        <v>0.5</v>
      </c>
      <c r="AF293" s="173">
        <f t="shared" si="119"/>
        <v>0.98580162657677706</v>
      </c>
      <c r="AG293" s="172">
        <f t="shared" si="120"/>
        <v>0</v>
      </c>
      <c r="AH293" s="172">
        <f t="shared" si="121"/>
        <v>6</v>
      </c>
      <c r="AI293" s="221">
        <f t="shared" si="122"/>
        <v>0.98580162657677706</v>
      </c>
      <c r="AJ293" s="261" t="b">
        <f t="shared" si="123"/>
        <v>0</v>
      </c>
      <c r="AK293" s="261" t="b">
        <f t="shared" si="124"/>
        <v>0</v>
      </c>
      <c r="AL293" s="261"/>
      <c r="AM293" s="261"/>
      <c r="AN293" s="75"/>
    </row>
    <row r="294" spans="1:40" s="6" customFormat="1" ht="11.25" customHeight="1" x14ac:dyDescent="0.2">
      <c r="A294" s="56">
        <f t="shared" si="125"/>
        <v>45206</v>
      </c>
      <c r="B294" s="406">
        <f>'2022'!Wh/'2022'!Env_an*'2023'!Env_an</f>
        <v>116.16518432885751</v>
      </c>
      <c r="C294" s="385"/>
      <c r="D294" s="388">
        <f t="shared" si="103"/>
        <v>117.41541213238817</v>
      </c>
      <c r="E294" s="380">
        <f t="shared" si="101"/>
        <v>122.6164059855454</v>
      </c>
      <c r="F294" s="380">
        <f t="shared" si="104"/>
        <v>122.62422456688192</v>
      </c>
      <c r="G294" s="110">
        <f t="shared" si="102"/>
        <v>0.71639841299829532</v>
      </c>
      <c r="H294" s="409" t="b">
        <f>Wh_hp&gt;='2022'!Maxi_hp</f>
        <v>0</v>
      </c>
      <c r="I294" s="385">
        <f>IF(H294,Wh_hp,'2022'!Maxi_hp)</f>
        <v>122.62690257230749</v>
      </c>
      <c r="J294" s="85">
        <f>IF(H294,An,'2022'!An_max)</f>
        <v>2022</v>
      </c>
      <c r="K294" s="193">
        <f t="shared" si="105"/>
        <v>45206</v>
      </c>
      <c r="L294" s="143">
        <f>IF(t&lt;Tvie,1-EXP((T0-t)*PertePVj)+'2022'!Pspv,1-EXP((T0-t)*PertePVj)+Pspv)</f>
        <v>1.0647902015801902E-2</v>
      </c>
      <c r="M294" s="835"/>
      <c r="N294" s="835"/>
      <c r="O294" s="48">
        <f>IF(t&lt;Tnet,'2022'!Resal+('2022'!Salim-'2022'!Resal)*(1-EXP(('2022'!Tnet-t)/('2022'!Tau_j))),Resal+(Salim-Resal)*(1-EXP((Tnet-t)/(Tau_j))))*Salcycl</f>
        <v>4.2416786003092871E-2</v>
      </c>
      <c r="P294" s="165">
        <f>(INDEX(Models!$BJ294:$BT294,,T294)*(1-R294)+INDEX(Models!$BJ294:$BT294,,T294+1)*R294-ERP_i)*Q294*Ramure*Pc/MaxiM</f>
        <v>1.0717863335630784E-4</v>
      </c>
      <c r="Q294" s="301">
        <f t="shared" si="106"/>
        <v>0.5</v>
      </c>
      <c r="R294" s="173">
        <f t="shared" si="107"/>
        <v>0.98595720536329989</v>
      </c>
      <c r="S294" s="801">
        <f t="shared" si="108"/>
        <v>0</v>
      </c>
      <c r="T294" s="172">
        <f t="shared" si="109"/>
        <v>6</v>
      </c>
      <c r="U294" s="247">
        <f t="shared" si="110"/>
        <v>0.98595720536329989</v>
      </c>
      <c r="V294" s="378">
        <f t="shared" si="111"/>
        <v>162.14460867539043</v>
      </c>
      <c r="W294" s="397">
        <f t="shared" si="112"/>
        <v>116.16518432885751</v>
      </c>
      <c r="X294" s="153">
        <f t="shared" si="113"/>
        <v>45206</v>
      </c>
      <c r="Y294" s="380">
        <f t="shared" si="114"/>
        <v>116.16518432885751</v>
      </c>
      <c r="Z294" s="380">
        <f t="shared" si="115"/>
        <v>117.41541213238817</v>
      </c>
      <c r="AA294" s="381">
        <f t="shared" si="116"/>
        <v>122.6164059855454</v>
      </c>
      <c r="AB294" s="193">
        <f t="shared" si="117"/>
        <v>45206</v>
      </c>
      <c r="AC294" s="420">
        <f>IF(OR(t&lt;Tnet,NoTnet),'2022'!Resal_s+('2022'!Salim-'2022'!Resal_s)*(1-EXP(('2022'!Tnet_s-t)/'2022'!Tau_j)),Resal_s+(Salim-Resal_s)*(1-EXP((Tnet_s-t)/Tau_j)))*Salcycl</f>
        <v>4.2416786003092871E-2</v>
      </c>
      <c r="AD294" s="227">
        <f>(INDEX(Models!$BJ294:$BT294,,AH294)*(1-AF294)+INDEX(Models!$BJ294:$BT294,,AH294+1)*AF294-ERP_i)*AE294*Ramure*Pc/MaxiM</f>
        <v>1.0717863335630784E-4</v>
      </c>
      <c r="AE294" s="301">
        <f t="shared" si="118"/>
        <v>0.5</v>
      </c>
      <c r="AF294" s="173">
        <f t="shared" si="119"/>
        <v>0.98595720536329989</v>
      </c>
      <c r="AG294" s="172">
        <f t="shared" si="120"/>
        <v>0</v>
      </c>
      <c r="AH294" s="172">
        <f t="shared" si="121"/>
        <v>6</v>
      </c>
      <c r="AI294" s="221">
        <f t="shared" si="122"/>
        <v>0.98595720536329989</v>
      </c>
      <c r="AJ294" s="261" t="b">
        <f t="shared" si="123"/>
        <v>0</v>
      </c>
      <c r="AK294" s="261" t="b">
        <f t="shared" si="124"/>
        <v>0</v>
      </c>
      <c r="AL294" s="261"/>
      <c r="AM294" s="261"/>
      <c r="AN294" s="75"/>
    </row>
    <row r="295" spans="1:40" s="6" customFormat="1" ht="11.25" customHeight="1" x14ac:dyDescent="0.2">
      <c r="A295" s="56">
        <f t="shared" si="125"/>
        <v>45207</v>
      </c>
      <c r="B295" s="406">
        <f>'2022'!Wh/'2022'!Env_an*'2023'!Env_an</f>
        <v>64.906057270454852</v>
      </c>
      <c r="C295" s="385"/>
      <c r="D295" s="388">
        <f t="shared" si="103"/>
        <v>65.605506800141313</v>
      </c>
      <c r="E295" s="380">
        <f t="shared" si="101"/>
        <v>68.512795561767575</v>
      </c>
      <c r="F295" s="380">
        <f t="shared" si="104"/>
        <v>68.513938698406136</v>
      </c>
      <c r="G295" s="110">
        <f t="shared" si="102"/>
        <v>0.40339393529924578</v>
      </c>
      <c r="H295" s="409" t="b">
        <f>Wh_hp&gt;='2022'!Maxi_hp</f>
        <v>0</v>
      </c>
      <c r="I295" s="385">
        <f>IF(H295,Wh_hp,'2022'!Maxi_hp)</f>
        <v>68.517254335797233</v>
      </c>
      <c r="J295" s="85">
        <f>IF(H295,An,'2022'!An_max)</f>
        <v>2022</v>
      </c>
      <c r="K295" s="193">
        <f t="shared" si="105"/>
        <v>45207</v>
      </c>
      <c r="L295" s="143">
        <f>IF(t&lt;Tvie,1-EXP((T0-t)*PertePVj)+'2022'!Pspv,1-EXP((T0-t)*PertePVj)+Pspv)</f>
        <v>1.0661445415203308E-2</v>
      </c>
      <c r="M295" s="835"/>
      <c r="N295" s="835"/>
      <c r="O295" s="48">
        <f>IF(t&lt;Tnet,'2022'!Resal+('2022'!Salim-'2022'!Resal)*(1-EXP(('2022'!Tnet-t)/('2022'!Tau_j))),Resal+(Salim-Resal)*(1-EXP((Tnet-t)/(Tau_j))))*Salcycl</f>
        <v>4.2434245133162012E-2</v>
      </c>
      <c r="P295" s="165">
        <f>(INDEX(Models!$BJ295:$BT295,,T295)*(1-R295)+INDEX(Models!$BJ295:$BT295,,T295+1)*R295-ERP_i)*Q295*Ramure*Pc/MaxiM</f>
        <v>1.1291695019589839E-4</v>
      </c>
      <c r="Q295" s="301">
        <f t="shared" si="106"/>
        <v>0.5</v>
      </c>
      <c r="R295" s="173">
        <f t="shared" si="107"/>
        <v>0.98610661172916114</v>
      </c>
      <c r="S295" s="801">
        <f t="shared" si="108"/>
        <v>0</v>
      </c>
      <c r="T295" s="172">
        <f t="shared" si="109"/>
        <v>6</v>
      </c>
      <c r="U295" s="247">
        <f t="shared" si="110"/>
        <v>0.98610661172916114</v>
      </c>
      <c r="V295" s="378">
        <f t="shared" si="111"/>
        <v>160.88444925223419</v>
      </c>
      <c r="W295" s="397">
        <f t="shared" si="112"/>
        <v>64.906057270454852</v>
      </c>
      <c r="X295" s="153">
        <f t="shared" si="113"/>
        <v>45207</v>
      </c>
      <c r="Y295" s="380">
        <f t="shared" si="114"/>
        <v>64.906057270454852</v>
      </c>
      <c r="Z295" s="380">
        <f t="shared" si="115"/>
        <v>65.605506800141313</v>
      </c>
      <c r="AA295" s="381">
        <f t="shared" si="116"/>
        <v>68.512795561767575</v>
      </c>
      <c r="AB295" s="193">
        <f t="shared" si="117"/>
        <v>45207</v>
      </c>
      <c r="AC295" s="420">
        <f>IF(OR(t&lt;Tnet,NoTnet),'2022'!Resal_s+('2022'!Salim-'2022'!Resal_s)*(1-EXP(('2022'!Tnet_s-t)/'2022'!Tau_j)),Resal_s+(Salim-Resal_s)*(1-EXP((Tnet_s-t)/Tau_j)))*Salcycl</f>
        <v>4.2434245133162012E-2</v>
      </c>
      <c r="AD295" s="227">
        <f>(INDEX(Models!$BJ295:$BT295,,AH295)*(1-AF295)+INDEX(Models!$BJ295:$BT295,,AH295+1)*AF295-ERP_i)*AE295*Ramure*Pc/MaxiM</f>
        <v>1.1291695019589839E-4</v>
      </c>
      <c r="AE295" s="301">
        <f t="shared" si="118"/>
        <v>0.5</v>
      </c>
      <c r="AF295" s="173">
        <f t="shared" si="119"/>
        <v>0.98610661172916114</v>
      </c>
      <c r="AG295" s="172">
        <f t="shared" si="120"/>
        <v>0</v>
      </c>
      <c r="AH295" s="172">
        <f t="shared" si="121"/>
        <v>6</v>
      </c>
      <c r="AI295" s="221">
        <f t="shared" si="122"/>
        <v>0.98610661172916114</v>
      </c>
      <c r="AJ295" s="261" t="b">
        <f t="shared" si="123"/>
        <v>0</v>
      </c>
      <c r="AK295" s="261" t="b">
        <f t="shared" si="124"/>
        <v>0</v>
      </c>
      <c r="AL295" s="261"/>
      <c r="AM295" s="261"/>
      <c r="AN295" s="75"/>
    </row>
    <row r="296" spans="1:40" s="6" customFormat="1" ht="11.25" customHeight="1" x14ac:dyDescent="0.2">
      <c r="A296" s="56">
        <f t="shared" si="125"/>
        <v>45208</v>
      </c>
      <c r="B296" s="406">
        <f>'2022'!Wh/'2022'!Env_an*'2023'!Env_an</f>
        <v>153.05527677401901</v>
      </c>
      <c r="C296" s="385"/>
      <c r="D296" s="388">
        <f t="shared" si="103"/>
        <v>154.70676978230645</v>
      </c>
      <c r="E296" s="380">
        <f t="shared" si="101"/>
        <v>161.56538776354824</v>
      </c>
      <c r="F296" s="380">
        <f t="shared" si="104"/>
        <v>161.58345908359098</v>
      </c>
      <c r="G296" s="110">
        <f t="shared" si="102"/>
        <v>0.95886103122144917</v>
      </c>
      <c r="H296" s="409" t="b">
        <f>Wh_hp&gt;='2022'!Maxi_hp</f>
        <v>0</v>
      </c>
      <c r="I296" s="385">
        <f>IF(H296,Wh_hp,'2022'!Maxi_hp)</f>
        <v>161.58402633756273</v>
      </c>
      <c r="J296" s="85">
        <f>IF(H296,An,'2022'!An_max)</f>
        <v>2022</v>
      </c>
      <c r="K296" s="193">
        <f t="shared" si="105"/>
        <v>45208</v>
      </c>
      <c r="L296" s="143">
        <f>IF(t&lt;Tvie,1-EXP((T0-t)*PertePVj)+'2022'!Pspv,1-EXP((T0-t)*PertePVj)+Pspv)</f>
        <v>1.0674988629206905E-2</v>
      </c>
      <c r="M296" s="835"/>
      <c r="N296" s="835"/>
      <c r="O296" s="48">
        <f>IF(t&lt;Tnet,'2022'!Resal+('2022'!Salim-'2022'!Resal)*(1-EXP(('2022'!Tnet-t)/('2022'!Tau_j))),Resal+(Salim-Resal)*(1-EXP((Tnet-t)/(Tau_j))))*Salcycl</f>
        <v>4.2451035312584526E-2</v>
      </c>
      <c r="P296" s="165">
        <f>(INDEX(Models!$BJ296:$BT296,,T296)*(1-R296)+INDEX(Models!$BJ296:$BT296,,T296+1)*R296-ERP_i)*Q296*Ramure*Pc/MaxiM</f>
        <v>1.188208845872677E-4</v>
      </c>
      <c r="Q296" s="301">
        <f t="shared" si="106"/>
        <v>0.5</v>
      </c>
      <c r="R296" s="173">
        <f t="shared" si="107"/>
        <v>0.98625008703982364</v>
      </c>
      <c r="S296" s="801">
        <f t="shared" si="108"/>
        <v>0</v>
      </c>
      <c r="T296" s="172">
        <f t="shared" si="109"/>
        <v>6</v>
      </c>
      <c r="U296" s="247">
        <f t="shared" si="110"/>
        <v>0.98625008703982364</v>
      </c>
      <c r="V296" s="378">
        <f t="shared" si="111"/>
        <v>159.62084498674821</v>
      </c>
      <c r="W296" s="397">
        <f t="shared" si="112"/>
        <v>153.05527677401901</v>
      </c>
      <c r="X296" s="153">
        <f t="shared" si="113"/>
        <v>45208</v>
      </c>
      <c r="Y296" s="380">
        <f t="shared" si="114"/>
        <v>153.05527677401901</v>
      </c>
      <c r="Z296" s="380">
        <f t="shared" si="115"/>
        <v>154.70676978230645</v>
      </c>
      <c r="AA296" s="381">
        <f t="shared" si="116"/>
        <v>161.56538776354824</v>
      </c>
      <c r="AB296" s="193">
        <f t="shared" si="117"/>
        <v>45208</v>
      </c>
      <c r="AC296" s="420">
        <f>IF(OR(t&lt;Tnet,NoTnet),'2022'!Resal_s+('2022'!Salim-'2022'!Resal_s)*(1-EXP(('2022'!Tnet_s-t)/'2022'!Tau_j)),Resal_s+(Salim-Resal_s)*(1-EXP((Tnet_s-t)/Tau_j)))*Salcycl</f>
        <v>4.2451035312584526E-2</v>
      </c>
      <c r="AD296" s="227">
        <f>(INDEX(Models!$BJ296:$BT296,,AH296)*(1-AF296)+INDEX(Models!$BJ296:$BT296,,AH296+1)*AF296-ERP_i)*AE296*Ramure*Pc/MaxiM</f>
        <v>1.188208845872677E-4</v>
      </c>
      <c r="AE296" s="301">
        <f t="shared" si="118"/>
        <v>0.5</v>
      </c>
      <c r="AF296" s="173">
        <f t="shared" si="119"/>
        <v>0.98625008703982364</v>
      </c>
      <c r="AG296" s="172">
        <f t="shared" si="120"/>
        <v>0</v>
      </c>
      <c r="AH296" s="172">
        <f t="shared" si="121"/>
        <v>6</v>
      </c>
      <c r="AI296" s="221">
        <f t="shared" si="122"/>
        <v>0.98625008703982364</v>
      </c>
      <c r="AJ296" s="261" t="b">
        <f t="shared" si="123"/>
        <v>0</v>
      </c>
      <c r="AK296" s="261" t="b">
        <f t="shared" si="124"/>
        <v>0</v>
      </c>
      <c r="AL296" s="261"/>
      <c r="AM296" s="261"/>
      <c r="AN296" s="75"/>
    </row>
    <row r="297" spans="1:40" s="6" customFormat="1" ht="11.25" customHeight="1" x14ac:dyDescent="0.2">
      <c r="A297" s="56">
        <f t="shared" si="125"/>
        <v>45209</v>
      </c>
      <c r="B297" s="406">
        <f>'2022'!Wh/'2022'!Env_an*'2023'!Env_an</f>
        <v>122.45744069703545</v>
      </c>
      <c r="C297" s="385"/>
      <c r="D297" s="388">
        <f t="shared" si="103"/>
        <v>123.7804721926863</v>
      </c>
      <c r="E297" s="380">
        <f t="shared" ref="E297:E360" si="126">Wh_pvt/(1-Psa)</f>
        <v>129.27021045906349</v>
      </c>
      <c r="F297" s="380">
        <f t="shared" si="104"/>
        <v>129.28109197746448</v>
      </c>
      <c r="G297" s="110">
        <f t="shared" ref="G297:G360" si="127">+Wh_hp/MaxiM</f>
        <v>0.77328146052745383</v>
      </c>
      <c r="H297" s="409" t="b">
        <f>Wh_hp&gt;='2022'!Maxi_hp</f>
        <v>0</v>
      </c>
      <c r="I297" s="385">
        <f>IF(H297,Wh_hp,'2022'!Maxi_hp)</f>
        <v>129.28371187059687</v>
      </c>
      <c r="J297" s="85">
        <f>IF(H297,An,'2022'!An_max)</f>
        <v>2022</v>
      </c>
      <c r="K297" s="193">
        <f t="shared" si="105"/>
        <v>45209</v>
      </c>
      <c r="L297" s="143">
        <f>IF(t&lt;Tvie,1-EXP((T0-t)*PertePVj)+'2022'!Pspv,1-EXP((T0-t)*PertePVj)+Pspv)</f>
        <v>1.0688531657815248E-2</v>
      </c>
      <c r="M297" s="835"/>
      <c r="N297" s="835"/>
      <c r="O297" s="48">
        <f>IF(t&lt;Tnet,'2022'!Resal+('2022'!Salim-'2022'!Resal)*(1-EXP(('2022'!Tnet-t)/('2022'!Tau_j))),Resal+(Salim-Resal)*(1-EXP((Tnet-t)/(Tau_j))))*Salcycl</f>
        <v>4.2467156562073047E-2</v>
      </c>
      <c r="P297" s="165">
        <f>(INDEX(Models!$BJ297:$BT297,,T297)*(1-R297)+INDEX(Models!$BJ297:$BT297,,T297+1)*R297-ERP_i)*Q297*Ramure*Pc/MaxiM</f>
        <v>1.2448139004827031E-4</v>
      </c>
      <c r="Q297" s="301">
        <f t="shared" si="106"/>
        <v>0.5</v>
      </c>
      <c r="R297" s="173">
        <f t="shared" si="107"/>
        <v>0.98638786349841479</v>
      </c>
      <c r="S297" s="801">
        <f t="shared" si="108"/>
        <v>0</v>
      </c>
      <c r="T297" s="172">
        <f t="shared" si="109"/>
        <v>6</v>
      </c>
      <c r="U297" s="247">
        <f t="shared" si="110"/>
        <v>0.98638786349841479</v>
      </c>
      <c r="V297" s="378">
        <f t="shared" si="111"/>
        <v>158.35437681508611</v>
      </c>
      <c r="W297" s="397">
        <f t="shared" si="112"/>
        <v>122.45744069703545</v>
      </c>
      <c r="X297" s="153">
        <f t="shared" si="113"/>
        <v>45209</v>
      </c>
      <c r="Y297" s="380">
        <f t="shared" si="114"/>
        <v>122.45744069703547</v>
      </c>
      <c r="Z297" s="380">
        <f t="shared" si="115"/>
        <v>123.78047219268632</v>
      </c>
      <c r="AA297" s="381">
        <f t="shared" si="116"/>
        <v>129.27021045906349</v>
      </c>
      <c r="AB297" s="193">
        <f t="shared" si="117"/>
        <v>45209</v>
      </c>
      <c r="AC297" s="420">
        <f>IF(OR(t&lt;Tnet,NoTnet),'2022'!Resal_s+('2022'!Salim-'2022'!Resal_s)*(1-EXP(('2022'!Tnet_s-t)/'2022'!Tau_j)),Resal_s+(Salim-Resal_s)*(1-EXP((Tnet_s-t)/Tau_j)))*Salcycl</f>
        <v>4.2467156562073047E-2</v>
      </c>
      <c r="AD297" s="227">
        <f>(INDEX(Models!$BJ297:$BT297,,AH297)*(1-AF297)+INDEX(Models!$BJ297:$BT297,,AH297+1)*AF297-ERP_i)*AE297*Ramure*Pc/MaxiM</f>
        <v>1.2448139004827031E-4</v>
      </c>
      <c r="AE297" s="301">
        <f t="shared" si="118"/>
        <v>0.5</v>
      </c>
      <c r="AF297" s="173">
        <f t="shared" si="119"/>
        <v>0.98638786349841479</v>
      </c>
      <c r="AG297" s="172">
        <f t="shared" si="120"/>
        <v>0</v>
      </c>
      <c r="AH297" s="172">
        <f t="shared" si="121"/>
        <v>6</v>
      </c>
      <c r="AI297" s="221">
        <f t="shared" si="122"/>
        <v>0.98638786349841479</v>
      </c>
      <c r="AJ297" s="261" t="b">
        <f t="shared" si="123"/>
        <v>0</v>
      </c>
      <c r="AK297" s="261" t="b">
        <f t="shared" si="124"/>
        <v>0</v>
      </c>
      <c r="AL297" s="261"/>
      <c r="AM297" s="261"/>
      <c r="AN297" s="75"/>
    </row>
    <row r="298" spans="1:40" s="6" customFormat="1" ht="11.25" customHeight="1" x14ac:dyDescent="0.2">
      <c r="A298" s="56">
        <f t="shared" si="125"/>
        <v>45210</v>
      </c>
      <c r="B298" s="406">
        <f>'2022'!Wh/'2022'!Env_an*'2023'!Env_an</f>
        <v>94.277486597356443</v>
      </c>
      <c r="C298" s="385"/>
      <c r="D298" s="388">
        <f t="shared" si="103"/>
        <v>95.297366109209221</v>
      </c>
      <c r="E298" s="380">
        <f t="shared" si="126"/>
        <v>99.525467822606728</v>
      </c>
      <c r="F298" s="380">
        <f t="shared" si="104"/>
        <v>99.531011661367415</v>
      </c>
      <c r="G298" s="110">
        <f t="shared" si="127"/>
        <v>0.60012194349778869</v>
      </c>
      <c r="H298" s="409" t="b">
        <f>Wh_hp&gt;='2022'!Maxi_hp</f>
        <v>0</v>
      </c>
      <c r="I298" s="385">
        <f>IF(H298,Wh_hp,'2022'!Maxi_hp)</f>
        <v>99.534723219686853</v>
      </c>
      <c r="J298" s="85">
        <f>IF(H298,An,'2022'!An_max)</f>
        <v>2022</v>
      </c>
      <c r="K298" s="193">
        <f t="shared" si="105"/>
        <v>45210</v>
      </c>
      <c r="L298" s="143">
        <f>IF(t&lt;Tvie,1-EXP((T0-t)*PertePVj)+'2022'!Pspv,1-EXP((T0-t)*PertePVj)+Pspv)</f>
        <v>1.0702074501030889E-2</v>
      </c>
      <c r="M298" s="835"/>
      <c r="N298" s="835"/>
      <c r="O298" s="48">
        <f>IF(t&lt;Tnet,'2022'!Resal+('2022'!Salim-'2022'!Resal)*(1-EXP(('2022'!Tnet-t)/('2022'!Tau_j))),Resal+(Salim-Resal)*(1-EXP((Tnet-t)/(Tau_j))))*Salcycl</f>
        <v>4.248261079197984E-2</v>
      </c>
      <c r="P298" s="165">
        <f>(INDEX(Models!$BJ298:$BT298,,T298)*(1-R298)+INDEX(Models!$BJ298:$BT298,,T298+1)*R298-ERP_i)*Q298*Ramure*Pc/MaxiM</f>
        <v>1.2989368194759015E-4</v>
      </c>
      <c r="Q298" s="301">
        <f t="shared" si="106"/>
        <v>0.5</v>
      </c>
      <c r="R298" s="173">
        <f t="shared" si="107"/>
        <v>0.98652016447178115</v>
      </c>
      <c r="S298" s="801">
        <f t="shared" si="108"/>
        <v>0</v>
      </c>
      <c r="T298" s="172">
        <f t="shared" si="109"/>
        <v>6</v>
      </c>
      <c r="U298" s="247">
        <f t="shared" si="110"/>
        <v>0.98652016447178115</v>
      </c>
      <c r="V298" s="378">
        <f t="shared" si="111"/>
        <v>157.08555969119519</v>
      </c>
      <c r="W298" s="397">
        <f t="shared" si="112"/>
        <v>94.277486597356443</v>
      </c>
      <c r="X298" s="153">
        <f t="shared" si="113"/>
        <v>45210</v>
      </c>
      <c r="Y298" s="380">
        <f t="shared" si="114"/>
        <v>94.277486597356443</v>
      </c>
      <c r="Z298" s="380">
        <f t="shared" si="115"/>
        <v>95.297366109209221</v>
      </c>
      <c r="AA298" s="381">
        <f t="shared" si="116"/>
        <v>99.525467822606728</v>
      </c>
      <c r="AB298" s="193">
        <f t="shared" si="117"/>
        <v>45210</v>
      </c>
      <c r="AC298" s="420">
        <f>IF(OR(t&lt;Tnet,NoTnet),'2022'!Resal_s+('2022'!Salim-'2022'!Resal_s)*(1-EXP(('2022'!Tnet_s-t)/'2022'!Tau_j)),Resal_s+(Salim-Resal_s)*(1-EXP((Tnet_s-t)/Tau_j)))*Salcycl</f>
        <v>4.248261079197984E-2</v>
      </c>
      <c r="AD298" s="227">
        <f>(INDEX(Models!$BJ298:$BT298,,AH298)*(1-AF298)+INDEX(Models!$BJ298:$BT298,,AH298+1)*AF298-ERP_i)*AE298*Ramure*Pc/MaxiM</f>
        <v>1.2989368194759015E-4</v>
      </c>
      <c r="AE298" s="301">
        <f t="shared" si="118"/>
        <v>0.5</v>
      </c>
      <c r="AF298" s="173">
        <f t="shared" si="119"/>
        <v>0.98652016447178115</v>
      </c>
      <c r="AG298" s="172">
        <f t="shared" si="120"/>
        <v>0</v>
      </c>
      <c r="AH298" s="172">
        <f t="shared" si="121"/>
        <v>6</v>
      </c>
      <c r="AI298" s="221">
        <f t="shared" si="122"/>
        <v>0.98652016447178115</v>
      </c>
      <c r="AJ298" s="261" t="b">
        <f t="shared" si="123"/>
        <v>0</v>
      </c>
      <c r="AK298" s="261" t="b">
        <f t="shared" si="124"/>
        <v>0</v>
      </c>
      <c r="AL298" s="261"/>
      <c r="AM298" s="261"/>
      <c r="AN298" s="75"/>
    </row>
    <row r="299" spans="1:40" s="6" customFormat="1" ht="11.25" customHeight="1" x14ac:dyDescent="0.2">
      <c r="A299" s="56">
        <f t="shared" si="125"/>
        <v>45211</v>
      </c>
      <c r="B299" s="406">
        <f>'2022'!Wh/'2022'!Env_an*'2023'!Env_an</f>
        <v>118.41983186202387</v>
      </c>
      <c r="C299" s="385"/>
      <c r="D299" s="388">
        <f t="shared" si="103"/>
        <v>119.70251822022283</v>
      </c>
      <c r="E299" s="380">
        <f t="shared" si="126"/>
        <v>125.01534560439303</v>
      </c>
      <c r="F299" s="380">
        <f t="shared" si="104"/>
        <v>125.0264416694074</v>
      </c>
      <c r="G299" s="110">
        <f t="shared" si="127"/>
        <v>0.75996802593747392</v>
      </c>
      <c r="H299" s="409" t="b">
        <f>Wh_hp&gt;='2022'!Maxi_hp</f>
        <v>0</v>
      </c>
      <c r="I299" s="385">
        <f>IF(H299,Wh_hp,'2022'!Maxi_hp)</f>
        <v>125.02935085466613</v>
      </c>
      <c r="J299" s="85">
        <f>IF(H299,An,'2022'!An_max)</f>
        <v>2022</v>
      </c>
      <c r="K299" s="193">
        <f t="shared" si="105"/>
        <v>45211</v>
      </c>
      <c r="L299" s="143">
        <f>IF(t&lt;Tvie,1-EXP((T0-t)*PertePVj)+'2022'!Pspv,1-EXP((T0-t)*PertePVj)+Pspv)</f>
        <v>1.0715617158856494E-2</v>
      </c>
      <c r="M299" s="835"/>
      <c r="N299" s="835"/>
      <c r="O299" s="48">
        <f>IF(t&lt;Tnet,'2022'!Resal+('2022'!Salim-'2022'!Resal)*(1-EXP(('2022'!Tnet-t)/('2022'!Tau_j))),Resal+(Salim-Resal)*(1-EXP((Tnet-t)/(Tau_j))))*Salcycl</f>
        <v>4.2497401886824888E-2</v>
      </c>
      <c r="P299" s="165">
        <f>(INDEX(Models!$BJ299:$BT299,,T299)*(1-R299)+INDEX(Models!$BJ299:$BT299,,T299+1)*R299-ERP_i)*Q299*Ramure*Pc/MaxiM</f>
        <v>1.3505301691010995E-4</v>
      </c>
      <c r="Q299" s="301">
        <f t="shared" si="106"/>
        <v>0.5</v>
      </c>
      <c r="R299" s="173">
        <f t="shared" si="107"/>
        <v>0.98664720480668255</v>
      </c>
      <c r="S299" s="801">
        <f t="shared" si="108"/>
        <v>0</v>
      </c>
      <c r="T299" s="172">
        <f t="shared" si="109"/>
        <v>6</v>
      </c>
      <c r="U299" s="247">
        <f t="shared" si="110"/>
        <v>0.98664720480668255</v>
      </c>
      <c r="V299" s="378">
        <f t="shared" si="111"/>
        <v>155.81490813878204</v>
      </c>
      <c r="W299" s="397">
        <f t="shared" si="112"/>
        <v>118.41983186202387</v>
      </c>
      <c r="X299" s="153">
        <f t="shared" si="113"/>
        <v>45211</v>
      </c>
      <c r="Y299" s="380">
        <f t="shared" si="114"/>
        <v>118.41983186202387</v>
      </c>
      <c r="Z299" s="380">
        <f t="shared" si="115"/>
        <v>119.70251822022283</v>
      </c>
      <c r="AA299" s="381">
        <f t="shared" si="116"/>
        <v>125.01534560439303</v>
      </c>
      <c r="AB299" s="193">
        <f t="shared" si="117"/>
        <v>45211</v>
      </c>
      <c r="AC299" s="420">
        <f>IF(OR(t&lt;Tnet,NoTnet),'2022'!Resal_s+('2022'!Salim-'2022'!Resal_s)*(1-EXP(('2022'!Tnet_s-t)/'2022'!Tau_j)),Resal_s+(Salim-Resal_s)*(1-EXP((Tnet_s-t)/Tau_j)))*Salcycl</f>
        <v>4.2497401886824888E-2</v>
      </c>
      <c r="AD299" s="227">
        <f>(INDEX(Models!$BJ299:$BT299,,AH299)*(1-AF299)+INDEX(Models!$BJ299:$BT299,,AH299+1)*AF299-ERP_i)*AE299*Ramure*Pc/MaxiM</f>
        <v>1.3505301691010995E-4</v>
      </c>
      <c r="AE299" s="301">
        <f t="shared" si="118"/>
        <v>0.5</v>
      </c>
      <c r="AF299" s="173">
        <f t="shared" si="119"/>
        <v>0.98664720480668255</v>
      </c>
      <c r="AG299" s="172">
        <f t="shared" si="120"/>
        <v>0</v>
      </c>
      <c r="AH299" s="172">
        <f t="shared" si="121"/>
        <v>6</v>
      </c>
      <c r="AI299" s="221">
        <f t="shared" si="122"/>
        <v>0.98664720480668255</v>
      </c>
      <c r="AJ299" s="261" t="b">
        <f t="shared" si="123"/>
        <v>0</v>
      </c>
      <c r="AK299" s="261" t="b">
        <f t="shared" si="124"/>
        <v>0</v>
      </c>
      <c r="AL299" s="261"/>
      <c r="AM299" s="261"/>
      <c r="AN299" s="75"/>
    </row>
    <row r="300" spans="1:40" s="6" customFormat="1" ht="11.25" customHeight="1" x14ac:dyDescent="0.2">
      <c r="A300" s="56">
        <f t="shared" si="125"/>
        <v>45212</v>
      </c>
      <c r="B300" s="406">
        <f>'2022'!Wh/'2022'!Env_an*'2023'!Env_an</f>
        <v>91.559851293835663</v>
      </c>
      <c r="C300" s="385"/>
      <c r="D300" s="388">
        <f t="shared" si="103"/>
        <v>92.552865764961695</v>
      </c>
      <c r="E300" s="380">
        <f t="shared" si="126"/>
        <v>96.662120979618962</v>
      </c>
      <c r="F300" s="380">
        <f t="shared" si="104"/>
        <v>96.667773359913681</v>
      </c>
      <c r="G300" s="110">
        <f t="shared" si="127"/>
        <v>0.59240747297560581</v>
      </c>
      <c r="H300" s="409" t="b">
        <f>Wh_hp&gt;='2022'!Maxi_hp</f>
        <v>0</v>
      </c>
      <c r="I300" s="385">
        <f>IF(H300,Wh_hp,'2022'!Maxi_hp)</f>
        <v>96.671730861785207</v>
      </c>
      <c r="J300" s="85">
        <f>IF(H300,An,'2022'!An_max)</f>
        <v>2022</v>
      </c>
      <c r="K300" s="193">
        <f t="shared" si="105"/>
        <v>45212</v>
      </c>
      <c r="L300" s="143">
        <f>IF(t&lt;Tvie,1-EXP((T0-t)*PertePVj)+'2022'!Pspv,1-EXP((T0-t)*PertePVj)+Pspv)</f>
        <v>1.0729159631294394E-2</v>
      </c>
      <c r="M300" s="835"/>
      <c r="N300" s="835"/>
      <c r="O300" s="48">
        <f>IF(t&lt;Tnet,'2022'!Resal+('2022'!Salim-'2022'!Resal)*(1-EXP(('2022'!Tnet-t)/('2022'!Tau_j))),Resal+(Salim-Resal)*(1-EXP((Tnet-t)/(Tau_j))))*Salcycl</f>
        <v>4.2511535780636281E-2</v>
      </c>
      <c r="P300" s="165">
        <f>(INDEX(Models!$BJ300:$BT300,,T300)*(1-R300)+INDEX(Models!$BJ300:$BT300,,T300+1)*R300-ERP_i)*Q300*Ramure*Pc/MaxiM</f>
        <v>1.3995471467286383E-4</v>
      </c>
      <c r="Q300" s="301">
        <f t="shared" si="106"/>
        <v>0.5</v>
      </c>
      <c r="R300" s="173">
        <f t="shared" si="107"/>
        <v>0.9867691911362767</v>
      </c>
      <c r="S300" s="801">
        <f t="shared" si="108"/>
        <v>0</v>
      </c>
      <c r="T300" s="172">
        <f t="shared" si="109"/>
        <v>6</v>
      </c>
      <c r="U300" s="247">
        <f t="shared" si="110"/>
        <v>0.9867691911362767</v>
      </c>
      <c r="V300" s="378">
        <f t="shared" si="111"/>
        <v>154.54293625560533</v>
      </c>
      <c r="W300" s="397">
        <f t="shared" si="112"/>
        <v>91.559851293835663</v>
      </c>
      <c r="X300" s="153">
        <f t="shared" si="113"/>
        <v>45212</v>
      </c>
      <c r="Y300" s="380">
        <f t="shared" si="114"/>
        <v>91.559851293835663</v>
      </c>
      <c r="Z300" s="380">
        <f t="shared" si="115"/>
        <v>92.552865764961695</v>
      </c>
      <c r="AA300" s="381">
        <f t="shared" si="116"/>
        <v>96.662120979618962</v>
      </c>
      <c r="AB300" s="193">
        <f t="shared" si="117"/>
        <v>45212</v>
      </c>
      <c r="AC300" s="420">
        <f>IF(OR(t&lt;Tnet,NoTnet),'2022'!Resal_s+('2022'!Salim-'2022'!Resal_s)*(1-EXP(('2022'!Tnet_s-t)/'2022'!Tau_j)),Resal_s+(Salim-Resal_s)*(1-EXP((Tnet_s-t)/Tau_j)))*Salcycl</f>
        <v>4.2511535780636281E-2</v>
      </c>
      <c r="AD300" s="227">
        <f>(INDEX(Models!$BJ300:$BT300,,AH300)*(1-AF300)+INDEX(Models!$BJ300:$BT300,,AH300+1)*AF300-ERP_i)*AE300*Ramure*Pc/MaxiM</f>
        <v>1.3995471467286383E-4</v>
      </c>
      <c r="AE300" s="301">
        <f t="shared" si="118"/>
        <v>0.5</v>
      </c>
      <c r="AF300" s="173">
        <f t="shared" si="119"/>
        <v>0.9867691911362767</v>
      </c>
      <c r="AG300" s="172">
        <f t="shared" si="120"/>
        <v>0</v>
      </c>
      <c r="AH300" s="172">
        <f t="shared" si="121"/>
        <v>6</v>
      </c>
      <c r="AI300" s="221">
        <f t="shared" si="122"/>
        <v>0.9867691911362767</v>
      </c>
      <c r="AJ300" s="261" t="b">
        <f t="shared" si="123"/>
        <v>0</v>
      </c>
      <c r="AK300" s="261" t="b">
        <f t="shared" si="124"/>
        <v>0</v>
      </c>
      <c r="AL300" s="261"/>
      <c r="AM300" s="261"/>
      <c r="AN300" s="75"/>
    </row>
    <row r="301" spans="1:40" s="6" customFormat="1" ht="11.25" customHeight="1" x14ac:dyDescent="0.2">
      <c r="A301" s="56">
        <f t="shared" si="125"/>
        <v>45213</v>
      </c>
      <c r="B301" s="406">
        <f>'2022'!Wh/'2022'!Env_an*'2023'!Env_an</f>
        <v>81.602058027625162</v>
      </c>
      <c r="C301" s="385"/>
      <c r="D301" s="388">
        <f t="shared" si="103"/>
        <v>82.488204217311491</v>
      </c>
      <c r="E301" s="380">
        <f t="shared" si="126"/>
        <v>86.151811781335908</v>
      </c>
      <c r="F301" s="380">
        <f t="shared" si="104"/>
        <v>86.155947839807425</v>
      </c>
      <c r="G301" s="110">
        <f t="shared" si="127"/>
        <v>0.53235526813759104</v>
      </c>
      <c r="H301" s="409" t="b">
        <f>Wh_hp&gt;='2022'!Maxi_hp</f>
        <v>0</v>
      </c>
      <c r="I301" s="385">
        <f>IF(H301,Wh_hp,'2022'!Maxi_hp)</f>
        <v>86.160128113136821</v>
      </c>
      <c r="J301" s="85">
        <f>IF(H301,An,'2022'!An_max)</f>
        <v>2022</v>
      </c>
      <c r="K301" s="193">
        <f t="shared" si="105"/>
        <v>45213</v>
      </c>
      <c r="L301" s="143">
        <f>IF(t&lt;Tvie,1-EXP((T0-t)*PertePVj)+'2022'!Pspv,1-EXP((T0-t)*PertePVj)+Pspv)</f>
        <v>1.0742701918347142E-2</v>
      </c>
      <c r="M301" s="835"/>
      <c r="N301" s="835"/>
      <c r="O301" s="48">
        <f>IF(t&lt;Tnet,'2022'!Resal+('2022'!Salim-'2022'!Resal)*(1-EXP(('2022'!Tnet-t)/('2022'!Tau_j))),Resal+(Salim-Resal)*(1-EXP((Tnet-t)/(Tau_j))))*Salcycl</f>
        <v>4.2525020522181427E-2</v>
      </c>
      <c r="P301" s="165">
        <f>(INDEX(Models!$BJ301:$BT301,,T301)*(1-R301)+INDEX(Models!$BJ301:$BT301,,T301+1)*R301-ERP_i)*Q301*Ramure*Pc/MaxiM</f>
        <v>1.4459417956541205E-4</v>
      </c>
      <c r="Q301" s="301">
        <f t="shared" si="106"/>
        <v>0.5</v>
      </c>
      <c r="R301" s="173">
        <f t="shared" si="107"/>
        <v>0.98688632217705752</v>
      </c>
      <c r="S301" s="801">
        <f t="shared" si="108"/>
        <v>0</v>
      </c>
      <c r="T301" s="172">
        <f t="shared" si="109"/>
        <v>6</v>
      </c>
      <c r="U301" s="247">
        <f t="shared" si="110"/>
        <v>0.98688632217705752</v>
      </c>
      <c r="V301" s="378">
        <f t="shared" si="111"/>
        <v>153.27015771540408</v>
      </c>
      <c r="W301" s="397">
        <f t="shared" si="112"/>
        <v>81.602058027625162</v>
      </c>
      <c r="X301" s="153">
        <f t="shared" si="113"/>
        <v>45213</v>
      </c>
      <c r="Y301" s="380">
        <f t="shared" si="114"/>
        <v>81.602058027625162</v>
      </c>
      <c r="Z301" s="380">
        <f t="shared" si="115"/>
        <v>82.488204217311491</v>
      </c>
      <c r="AA301" s="381">
        <f t="shared" si="116"/>
        <v>86.151811781335908</v>
      </c>
      <c r="AB301" s="193">
        <f t="shared" si="117"/>
        <v>45213</v>
      </c>
      <c r="AC301" s="420">
        <f>IF(OR(t&lt;Tnet,NoTnet),'2022'!Resal_s+('2022'!Salim-'2022'!Resal_s)*(1-EXP(('2022'!Tnet_s-t)/'2022'!Tau_j)),Resal_s+(Salim-Resal_s)*(1-EXP((Tnet_s-t)/Tau_j)))*Salcycl</f>
        <v>4.2525020522181427E-2</v>
      </c>
      <c r="AD301" s="227">
        <f>(INDEX(Models!$BJ301:$BT301,,AH301)*(1-AF301)+INDEX(Models!$BJ301:$BT301,,AH301+1)*AF301-ERP_i)*AE301*Ramure*Pc/MaxiM</f>
        <v>1.4459417956541205E-4</v>
      </c>
      <c r="AE301" s="301">
        <f t="shared" si="118"/>
        <v>0.5</v>
      </c>
      <c r="AF301" s="173">
        <f t="shared" si="119"/>
        <v>0.98688632217705752</v>
      </c>
      <c r="AG301" s="172">
        <f t="shared" si="120"/>
        <v>0</v>
      </c>
      <c r="AH301" s="172">
        <f t="shared" si="121"/>
        <v>6</v>
      </c>
      <c r="AI301" s="221">
        <f t="shared" si="122"/>
        <v>0.98688632217705752</v>
      </c>
      <c r="AJ301" s="261" t="b">
        <f t="shared" si="123"/>
        <v>0</v>
      </c>
      <c r="AK301" s="261" t="b">
        <f t="shared" si="124"/>
        <v>0</v>
      </c>
      <c r="AL301" s="261"/>
      <c r="AM301" s="261"/>
      <c r="AN301" s="75"/>
    </row>
    <row r="302" spans="1:40" s="6" customFormat="1" ht="11.25" customHeight="1" x14ac:dyDescent="0.2">
      <c r="A302" s="56">
        <f t="shared" si="125"/>
        <v>45214</v>
      </c>
      <c r="B302" s="406">
        <f>'2022'!Wh/'2022'!Env_an*'2023'!Env_an</f>
        <v>149.0707118718683</v>
      </c>
      <c r="C302" s="385"/>
      <c r="D302" s="388">
        <f t="shared" si="103"/>
        <v>150.69158735724662</v>
      </c>
      <c r="E302" s="380">
        <f t="shared" si="126"/>
        <v>157.38647206810899</v>
      </c>
      <c r="F302" s="380">
        <f t="shared" si="104"/>
        <v>157.40927590725076</v>
      </c>
      <c r="G302" s="110">
        <f t="shared" si="127"/>
        <v>0.98074315206782181</v>
      </c>
      <c r="H302" s="409" t="b">
        <f>Wh_hp&gt;='2022'!Maxi_hp</f>
        <v>0</v>
      </c>
      <c r="I302" s="385">
        <f>IF(H302,Wh_hp,'2022'!Maxi_hp)</f>
        <v>157.4095998459747</v>
      </c>
      <c r="J302" s="85">
        <f>IF(H302,An,'2022'!An_max)</f>
        <v>2022</v>
      </c>
      <c r="K302" s="193">
        <f t="shared" si="105"/>
        <v>45214</v>
      </c>
      <c r="L302" s="143">
        <f>IF(t&lt;Tvie,1-EXP((T0-t)*PertePVj)+'2022'!Pspv,1-EXP((T0-t)*PertePVj)+Pspv)</f>
        <v>1.0756244020017514E-2</v>
      </c>
      <c r="M302" s="835"/>
      <c r="N302" s="835"/>
      <c r="O302" s="48">
        <f>IF(t&lt;Tnet,'2022'!Resal+('2022'!Salim-'2022'!Resal)*(1-EXP(('2022'!Tnet-t)/('2022'!Tau_j))),Resal+(Salim-Resal)*(1-EXP((Tnet-t)/(Tau_j))))*Salcycl</f>
        <v>4.2537866329230289E-2</v>
      </c>
      <c r="P302" s="165">
        <f>(INDEX(Models!$BJ302:$BT302,,T302)*(1-R302)+INDEX(Models!$BJ302:$BT302,,T302+1)*R302-ERP_i)*Q302*Ramure*Pc/MaxiM</f>
        <v>1.489669213794188E-4</v>
      </c>
      <c r="Q302" s="301">
        <f t="shared" si="106"/>
        <v>0.5</v>
      </c>
      <c r="R302" s="173">
        <f t="shared" si="107"/>
        <v>0.98699878901642357</v>
      </c>
      <c r="S302" s="801">
        <f t="shared" si="108"/>
        <v>0</v>
      </c>
      <c r="T302" s="172">
        <f t="shared" si="109"/>
        <v>6</v>
      </c>
      <c r="U302" s="247">
        <f t="shared" si="110"/>
        <v>0.98699878901642357</v>
      </c>
      <c r="V302" s="378">
        <f t="shared" si="111"/>
        <v>151.99708577896735</v>
      </c>
      <c r="W302" s="397">
        <f t="shared" si="112"/>
        <v>149.0707118718683</v>
      </c>
      <c r="X302" s="153">
        <f t="shared" si="113"/>
        <v>45214</v>
      </c>
      <c r="Y302" s="380">
        <f t="shared" si="114"/>
        <v>149.0707118718683</v>
      </c>
      <c r="Z302" s="380">
        <f t="shared" si="115"/>
        <v>150.69158735724662</v>
      </c>
      <c r="AA302" s="381">
        <f t="shared" si="116"/>
        <v>157.38647206810899</v>
      </c>
      <c r="AB302" s="193">
        <f t="shared" si="117"/>
        <v>45214</v>
      </c>
      <c r="AC302" s="420">
        <f>IF(OR(t&lt;Tnet,NoTnet),'2022'!Resal_s+('2022'!Salim-'2022'!Resal_s)*(1-EXP(('2022'!Tnet_s-t)/'2022'!Tau_j)),Resal_s+(Salim-Resal_s)*(1-EXP((Tnet_s-t)/Tau_j)))*Salcycl</f>
        <v>4.2537866329230289E-2</v>
      </c>
      <c r="AD302" s="227">
        <f>(INDEX(Models!$BJ302:$BT302,,AH302)*(1-AF302)+INDEX(Models!$BJ302:$BT302,,AH302+1)*AF302-ERP_i)*AE302*Ramure*Pc/MaxiM</f>
        <v>1.489669213794188E-4</v>
      </c>
      <c r="AE302" s="301">
        <f t="shared" si="118"/>
        <v>0.5</v>
      </c>
      <c r="AF302" s="173">
        <f t="shared" si="119"/>
        <v>0.98699878901642357</v>
      </c>
      <c r="AG302" s="172">
        <f t="shared" si="120"/>
        <v>0</v>
      </c>
      <c r="AH302" s="172">
        <f t="shared" si="121"/>
        <v>6</v>
      </c>
      <c r="AI302" s="221">
        <f t="shared" si="122"/>
        <v>0.98699878901642357</v>
      </c>
      <c r="AJ302" s="261" t="b">
        <f t="shared" si="123"/>
        <v>0</v>
      </c>
      <c r="AK302" s="261" t="b">
        <f t="shared" si="124"/>
        <v>0</v>
      </c>
      <c r="AL302" s="261"/>
      <c r="AM302" s="261"/>
      <c r="AN302" s="75"/>
    </row>
    <row r="303" spans="1:40" s="6" customFormat="1" ht="11.25" customHeight="1" x14ac:dyDescent="0.2">
      <c r="A303" s="56">
        <f t="shared" si="125"/>
        <v>45215</v>
      </c>
      <c r="B303" s="406">
        <f>'2022'!Wh/'2022'!Env_an*'2023'!Env_an</f>
        <v>133.65660292281072</v>
      </c>
      <c r="C303" s="385"/>
      <c r="D303" s="388">
        <f t="shared" si="103"/>
        <v>135.11172730335264</v>
      </c>
      <c r="E303" s="380">
        <f t="shared" si="126"/>
        <v>141.11623519482595</v>
      </c>
      <c r="F303" s="380">
        <f t="shared" si="104"/>
        <v>141.13434478764782</v>
      </c>
      <c r="G303" s="110">
        <f t="shared" si="127"/>
        <v>0.88676139120644093</v>
      </c>
      <c r="H303" s="409" t="b">
        <f>Wh_hp&gt;='2022'!Maxi_hp</f>
        <v>0</v>
      </c>
      <c r="I303" s="385">
        <f>IF(H303,Wh_hp,'2022'!Maxi_hp)</f>
        <v>141.13609952426535</v>
      </c>
      <c r="J303" s="85">
        <f>IF(H303,An,'2022'!An_max)</f>
        <v>2022</v>
      </c>
      <c r="K303" s="193">
        <f t="shared" si="105"/>
        <v>45215</v>
      </c>
      <c r="L303" s="143">
        <f>IF(t&lt;Tvie,1-EXP((T0-t)*PertePVj)+'2022'!Pspv,1-EXP((T0-t)*PertePVj)+Pspv)</f>
        <v>1.0769785936307841E-2</v>
      </c>
      <c r="M303" s="835"/>
      <c r="N303" s="835"/>
      <c r="O303" s="48">
        <f>IF(t&lt;Tnet,'2022'!Resal+('2022'!Salim-'2022'!Resal)*(1-EXP(('2022'!Tnet-t)/('2022'!Tau_j))),Resal+(Salim-Resal)*(1-EXP((Tnet-t)/(Tau_j))))*Salcycl</f>
        <v>4.2550085631064612E-2</v>
      </c>
      <c r="P303" s="165">
        <f>(INDEX(Models!$BJ303:$BT303,,T303)*(1-R303)+INDEX(Models!$BJ303:$BT303,,T303+1)*R303-ERP_i)*Q303*Ramure*Pc/MaxiM</f>
        <v>1.5307216793993025E-4</v>
      </c>
      <c r="Q303" s="301">
        <f t="shared" si="106"/>
        <v>0.5</v>
      </c>
      <c r="R303" s="173">
        <f t="shared" si="107"/>
        <v>0.98710677539105651</v>
      </c>
      <c r="S303" s="801">
        <f t="shared" si="108"/>
        <v>0</v>
      </c>
      <c r="T303" s="172">
        <f t="shared" si="109"/>
        <v>6</v>
      </c>
      <c r="U303" s="247">
        <f t="shared" si="110"/>
        <v>0.98710677539105651</v>
      </c>
      <c r="V303" s="378">
        <f t="shared" si="111"/>
        <v>150.72069533828437</v>
      </c>
      <c r="W303" s="397">
        <f t="shared" si="112"/>
        <v>133.65660292281072</v>
      </c>
      <c r="X303" s="153">
        <f t="shared" si="113"/>
        <v>45215</v>
      </c>
      <c r="Y303" s="380">
        <f t="shared" si="114"/>
        <v>133.65660292281072</v>
      </c>
      <c r="Z303" s="380">
        <f t="shared" si="115"/>
        <v>135.11172730335264</v>
      </c>
      <c r="AA303" s="381">
        <f t="shared" si="116"/>
        <v>141.11623519482595</v>
      </c>
      <c r="AB303" s="193">
        <f t="shared" si="117"/>
        <v>45215</v>
      </c>
      <c r="AC303" s="420">
        <f>IF(OR(t&lt;Tnet,NoTnet),'2022'!Resal_s+('2022'!Salim-'2022'!Resal_s)*(1-EXP(('2022'!Tnet_s-t)/'2022'!Tau_j)),Resal_s+(Salim-Resal_s)*(1-EXP((Tnet_s-t)/Tau_j)))*Salcycl</f>
        <v>4.2550085631064612E-2</v>
      </c>
      <c r="AD303" s="227">
        <f>(INDEX(Models!$BJ303:$BT303,,AH303)*(1-AF303)+INDEX(Models!$BJ303:$BT303,,AH303+1)*AF303-ERP_i)*AE303*Ramure*Pc/MaxiM</f>
        <v>1.5307216793993025E-4</v>
      </c>
      <c r="AE303" s="301">
        <f t="shared" si="118"/>
        <v>0.5</v>
      </c>
      <c r="AF303" s="173">
        <f t="shared" si="119"/>
        <v>0.98710677539105651</v>
      </c>
      <c r="AG303" s="172">
        <f t="shared" si="120"/>
        <v>0</v>
      </c>
      <c r="AH303" s="172">
        <f t="shared" si="121"/>
        <v>6</v>
      </c>
      <c r="AI303" s="221">
        <f t="shared" si="122"/>
        <v>0.98710677539105651</v>
      </c>
      <c r="AJ303" s="261" t="b">
        <f t="shared" si="123"/>
        <v>0</v>
      </c>
      <c r="AK303" s="261" t="b">
        <f t="shared" si="124"/>
        <v>0</v>
      </c>
      <c r="AL303" s="261"/>
      <c r="AM303" s="261"/>
      <c r="AN303" s="75"/>
    </row>
    <row r="304" spans="1:40" s="6" customFormat="1" ht="11.25" customHeight="1" x14ac:dyDescent="0.2">
      <c r="A304" s="56">
        <f t="shared" si="125"/>
        <v>45216</v>
      </c>
      <c r="B304" s="406">
        <f>'2022'!Wh/'2022'!Env_an*'2023'!Env_an</f>
        <v>85.656321245422291</v>
      </c>
      <c r="C304" s="385"/>
      <c r="D304" s="388">
        <f t="shared" si="103"/>
        <v>86.590050128680915</v>
      </c>
      <c r="E304" s="380">
        <f t="shared" si="126"/>
        <v>90.439299853073166</v>
      </c>
      <c r="F304" s="380">
        <f t="shared" si="104"/>
        <v>90.444916267851198</v>
      </c>
      <c r="G304" s="110">
        <f t="shared" si="127"/>
        <v>0.57313416863571442</v>
      </c>
      <c r="H304" s="409" t="b">
        <f>Wh_hp&gt;='2022'!Maxi_hp</f>
        <v>0</v>
      </c>
      <c r="I304" s="385">
        <f>IF(H304,Wh_hp,'2022'!Maxi_hp)</f>
        <v>90.44932204480186</v>
      </c>
      <c r="J304" s="85">
        <f>IF(H304,An,'2022'!An_max)</f>
        <v>2022</v>
      </c>
      <c r="K304" s="193">
        <f t="shared" si="105"/>
        <v>45216</v>
      </c>
      <c r="L304" s="143">
        <f>IF(t&lt;Tvie,1-EXP((T0-t)*PertePVj)+'2022'!Pspv,1-EXP((T0-t)*PertePVj)+Pspv)</f>
        <v>1.0783327667220677E-2</v>
      </c>
      <c r="M304" s="835"/>
      <c r="N304" s="835"/>
      <c r="O304" s="48">
        <f>IF(t&lt;Tnet,'2022'!Resal+('2022'!Salim-'2022'!Resal)*(1-EXP(('2022'!Tnet-t)/('2022'!Tau_j))),Resal+(Salim-Resal)*(1-EXP((Tnet-t)/(Tau_j))))*Salcycl</f>
        <v>4.2561693098528038E-2</v>
      </c>
      <c r="P304" s="165">
        <f>(INDEX(Models!$BJ304:$BT304,,T304)*(1-R304)+INDEX(Models!$BJ304:$BT304,,T304+1)*R304-ERP_i)*Q304*Ramure*Pc/MaxiM</f>
        <v>1.5911407650157514E-4</v>
      </c>
      <c r="Q304" s="301">
        <f t="shared" si="106"/>
        <v>0.5</v>
      </c>
      <c r="R304" s="173">
        <f t="shared" si="107"/>
        <v>0.98721045795630136</v>
      </c>
      <c r="S304" s="801">
        <f t="shared" si="108"/>
        <v>0</v>
      </c>
      <c r="T304" s="172">
        <f t="shared" si="109"/>
        <v>6</v>
      </c>
      <c r="U304" s="247">
        <f t="shared" si="110"/>
        <v>0.98721045795630136</v>
      </c>
      <c r="V304" s="378">
        <f t="shared" si="111"/>
        <v>149.43797690715954</v>
      </c>
      <c r="W304" s="397">
        <f t="shared" si="112"/>
        <v>85.656321245422291</v>
      </c>
      <c r="X304" s="153">
        <f t="shared" si="113"/>
        <v>45216</v>
      </c>
      <c r="Y304" s="380">
        <f t="shared" si="114"/>
        <v>85.656321245422291</v>
      </c>
      <c r="Z304" s="380">
        <f t="shared" si="115"/>
        <v>86.590050128680915</v>
      </c>
      <c r="AA304" s="381">
        <f t="shared" si="116"/>
        <v>90.439299853073166</v>
      </c>
      <c r="AB304" s="193">
        <f t="shared" si="117"/>
        <v>45216</v>
      </c>
      <c r="AC304" s="420">
        <f>IF(OR(t&lt;Tnet,NoTnet),'2022'!Resal_s+('2022'!Salim-'2022'!Resal_s)*(1-EXP(('2022'!Tnet_s-t)/'2022'!Tau_j)),Resal_s+(Salim-Resal_s)*(1-EXP((Tnet_s-t)/Tau_j)))*Salcycl</f>
        <v>4.2561693098528038E-2</v>
      </c>
      <c r="AD304" s="227">
        <f>(INDEX(Models!$BJ304:$BT304,,AH304)*(1-AF304)+INDEX(Models!$BJ304:$BT304,,AH304+1)*AF304-ERP_i)*AE304*Ramure*Pc/MaxiM</f>
        <v>1.5911407650157514E-4</v>
      </c>
      <c r="AE304" s="301">
        <f t="shared" si="118"/>
        <v>0.5</v>
      </c>
      <c r="AF304" s="173">
        <f t="shared" si="119"/>
        <v>0.98721045795630136</v>
      </c>
      <c r="AG304" s="172">
        <f t="shared" si="120"/>
        <v>0</v>
      </c>
      <c r="AH304" s="172">
        <f t="shared" si="121"/>
        <v>6</v>
      </c>
      <c r="AI304" s="221">
        <f t="shared" si="122"/>
        <v>0.98721045795630136</v>
      </c>
      <c r="AJ304" s="261" t="b">
        <f t="shared" si="123"/>
        <v>0</v>
      </c>
      <c r="AK304" s="261" t="b">
        <f t="shared" si="124"/>
        <v>0</v>
      </c>
      <c r="AL304" s="261"/>
      <c r="AM304" s="261"/>
      <c r="AN304" s="75"/>
    </row>
    <row r="305" spans="1:40" s="6" customFormat="1" ht="11.25" customHeight="1" x14ac:dyDescent="0.2">
      <c r="A305" s="56">
        <f t="shared" si="125"/>
        <v>45217</v>
      </c>
      <c r="B305" s="406">
        <f>'2022'!Wh/'2022'!Env_an*'2023'!Env_an</f>
        <v>136.75304029755603</v>
      </c>
      <c r="C305" s="385"/>
      <c r="D305" s="388">
        <f t="shared" si="103"/>
        <v>138.24566061444156</v>
      </c>
      <c r="E305" s="380">
        <f t="shared" si="126"/>
        <v>144.39285513568467</v>
      </c>
      <c r="F305" s="380">
        <f t="shared" si="104"/>
        <v>144.41432693354639</v>
      </c>
      <c r="G305" s="110">
        <f t="shared" si="127"/>
        <v>0.92305468152349246</v>
      </c>
      <c r="H305" s="409" t="b">
        <f>Wh_hp&gt;='2022'!Maxi_hp</f>
        <v>0</v>
      </c>
      <c r="I305" s="385">
        <f>IF(H305,Wh_hp,'2022'!Maxi_hp)</f>
        <v>144.41565792808763</v>
      </c>
      <c r="J305" s="85">
        <f>IF(H305,An,'2022'!An_max)</f>
        <v>2022</v>
      </c>
      <c r="K305" s="193">
        <f t="shared" si="105"/>
        <v>45217</v>
      </c>
      <c r="L305" s="143">
        <f>IF(t&lt;Tvie,1-EXP((T0-t)*PertePVj)+'2022'!Pspv,1-EXP((T0-t)*PertePVj)+Pspv)</f>
        <v>1.0796869212758575E-2</v>
      </c>
      <c r="M305" s="835"/>
      <c r="N305" s="835"/>
      <c r="O305" s="48">
        <f>IF(t&lt;Tnet,'2022'!Resal+('2022'!Salim-'2022'!Resal)*(1-EXP(('2022'!Tnet-t)/('2022'!Tau_j))),Resal+(Salim-Resal)*(1-EXP((Tnet-t)/(Tau_j))))*Salcycl</f>
        <v>4.2572705661001201E-2</v>
      </c>
      <c r="P305" s="165">
        <f>(INDEX(Models!$BJ305:$BT305,,T305)*(1-R305)+INDEX(Models!$BJ305:$BT305,,T305+1)*R305-ERP_i)*Q305*Ramure*Pc/MaxiM</f>
        <v>1.6703911985341757E-4</v>
      </c>
      <c r="Q305" s="301">
        <f t="shared" si="106"/>
        <v>0.5</v>
      </c>
      <c r="R305" s="173">
        <f t="shared" si="107"/>
        <v>0.98731000654674184</v>
      </c>
      <c r="S305" s="801">
        <f t="shared" si="108"/>
        <v>0</v>
      </c>
      <c r="T305" s="172">
        <f t="shared" si="109"/>
        <v>6</v>
      </c>
      <c r="U305" s="247">
        <f t="shared" si="110"/>
        <v>0.98731000654674184</v>
      </c>
      <c r="V305" s="378">
        <f t="shared" si="111"/>
        <v>148.14997665597849</v>
      </c>
      <c r="W305" s="397">
        <f t="shared" si="112"/>
        <v>136.75304029755603</v>
      </c>
      <c r="X305" s="153">
        <f t="shared" si="113"/>
        <v>45217</v>
      </c>
      <c r="Y305" s="380">
        <f t="shared" si="114"/>
        <v>136.75304029755603</v>
      </c>
      <c r="Z305" s="380">
        <f t="shared" si="115"/>
        <v>138.24566061444156</v>
      </c>
      <c r="AA305" s="381">
        <f t="shared" si="116"/>
        <v>144.39285513568467</v>
      </c>
      <c r="AB305" s="193">
        <f t="shared" si="117"/>
        <v>45217</v>
      </c>
      <c r="AC305" s="420">
        <f>IF(OR(t&lt;Tnet,NoTnet),'2022'!Resal_s+('2022'!Salim-'2022'!Resal_s)*(1-EXP(('2022'!Tnet_s-t)/'2022'!Tau_j)),Resal_s+(Salim-Resal_s)*(1-EXP((Tnet_s-t)/Tau_j)))*Salcycl</f>
        <v>4.2572705661001201E-2</v>
      </c>
      <c r="AD305" s="227">
        <f>(INDEX(Models!$BJ305:$BT305,,AH305)*(1-AF305)+INDEX(Models!$BJ305:$BT305,,AH305+1)*AF305-ERP_i)*AE305*Ramure*Pc/MaxiM</f>
        <v>1.6703911985341757E-4</v>
      </c>
      <c r="AE305" s="301">
        <f t="shared" si="118"/>
        <v>0.5</v>
      </c>
      <c r="AF305" s="173">
        <f t="shared" si="119"/>
        <v>0.98731000654674184</v>
      </c>
      <c r="AG305" s="172">
        <f t="shared" si="120"/>
        <v>0</v>
      </c>
      <c r="AH305" s="172">
        <f t="shared" si="121"/>
        <v>6</v>
      </c>
      <c r="AI305" s="221">
        <f t="shared" si="122"/>
        <v>0.98731000654674184</v>
      </c>
      <c r="AJ305" s="261" t="b">
        <f t="shared" si="123"/>
        <v>0</v>
      </c>
      <c r="AK305" s="261" t="b">
        <f t="shared" si="124"/>
        <v>0</v>
      </c>
      <c r="AL305" s="261"/>
      <c r="AM305" s="261"/>
      <c r="AN305" s="75"/>
    </row>
    <row r="306" spans="1:40" s="6" customFormat="1" ht="11.25" customHeight="1" x14ac:dyDescent="0.2">
      <c r="A306" s="56">
        <f t="shared" si="125"/>
        <v>45218</v>
      </c>
      <c r="B306" s="406">
        <f>'2022'!Wh/'2022'!Env_an*'2023'!Env_an</f>
        <v>60.363812890293786</v>
      </c>
      <c r="C306" s="385"/>
      <c r="D306" s="388">
        <f t="shared" si="103"/>
        <v>61.023502001527959</v>
      </c>
      <c r="E306" s="380">
        <f t="shared" si="126"/>
        <v>63.737651498528692</v>
      </c>
      <c r="F306" s="380">
        <f t="shared" si="104"/>
        <v>63.73943969364278</v>
      </c>
      <c r="G306" s="110">
        <f t="shared" si="127"/>
        <v>0.41097482593005963</v>
      </c>
      <c r="H306" s="409" t="b">
        <f>Wh_hp&gt;='2022'!Maxi_hp</f>
        <v>0</v>
      </c>
      <c r="I306" s="385">
        <f>IF(H306,Wh_hp,'2022'!Maxi_hp)</f>
        <v>63.744201053360378</v>
      </c>
      <c r="J306" s="85">
        <f>IF(H306,An,'2022'!An_max)</f>
        <v>2022</v>
      </c>
      <c r="K306" s="193">
        <f t="shared" si="105"/>
        <v>45218</v>
      </c>
      <c r="L306" s="143">
        <f>IF(t&lt;Tvie,1-EXP((T0-t)*PertePVj)+'2022'!Pspv,1-EXP((T0-t)*PertePVj)+Pspv)</f>
        <v>1.081041057292409E-2</v>
      </c>
      <c r="M306" s="835"/>
      <c r="N306" s="835"/>
      <c r="O306" s="48">
        <f>IF(t&lt;Tnet,'2022'!Resal+('2022'!Salim-'2022'!Resal)*(1-EXP(('2022'!Tnet-t)/('2022'!Tau_j))),Resal+(Salim-Resal)*(1-EXP((Tnet-t)/(Tau_j))))*Salcycl</f>
        <v>4.2583142509783019E-2</v>
      </c>
      <c r="P306" s="165">
        <f>(INDEX(Models!$BJ306:$BT306,,T306)*(1-R306)+INDEX(Models!$BJ306:$BT306,,T306+1)*R306-ERP_i)*Q306*Ramure*Pc/MaxiM</f>
        <v>1.7686460086320955E-4</v>
      </c>
      <c r="Q306" s="301">
        <f t="shared" si="106"/>
        <v>0.5</v>
      </c>
      <c r="R306" s="173">
        <f t="shared" si="107"/>
        <v>0.98740558442817195</v>
      </c>
      <c r="S306" s="801">
        <f t="shared" si="108"/>
        <v>0</v>
      </c>
      <c r="T306" s="172">
        <f t="shared" si="109"/>
        <v>6</v>
      </c>
      <c r="U306" s="247">
        <f t="shared" si="110"/>
        <v>0.98740558442817195</v>
      </c>
      <c r="V306" s="378">
        <f t="shared" si="111"/>
        <v>146.85772972276328</v>
      </c>
      <c r="W306" s="397">
        <f t="shared" si="112"/>
        <v>60.363812890293786</v>
      </c>
      <c r="X306" s="153">
        <f t="shared" si="113"/>
        <v>45218</v>
      </c>
      <c r="Y306" s="380">
        <f t="shared" si="114"/>
        <v>60.363812890293786</v>
      </c>
      <c r="Z306" s="380">
        <f t="shared" si="115"/>
        <v>61.023502001527959</v>
      </c>
      <c r="AA306" s="381">
        <f t="shared" si="116"/>
        <v>63.737651498528692</v>
      </c>
      <c r="AB306" s="193">
        <f t="shared" si="117"/>
        <v>45218</v>
      </c>
      <c r="AC306" s="420">
        <f>IF(OR(t&lt;Tnet,NoTnet),'2022'!Resal_s+('2022'!Salim-'2022'!Resal_s)*(1-EXP(('2022'!Tnet_s-t)/'2022'!Tau_j)),Resal_s+(Salim-Resal_s)*(1-EXP((Tnet_s-t)/Tau_j)))*Salcycl</f>
        <v>4.2583142509783019E-2</v>
      </c>
      <c r="AD306" s="227">
        <f>(INDEX(Models!$BJ306:$BT306,,AH306)*(1-AF306)+INDEX(Models!$BJ306:$BT306,,AH306+1)*AF306-ERP_i)*AE306*Ramure*Pc/MaxiM</f>
        <v>1.7686460086320955E-4</v>
      </c>
      <c r="AE306" s="301">
        <f t="shared" si="118"/>
        <v>0.5</v>
      </c>
      <c r="AF306" s="173">
        <f t="shared" si="119"/>
        <v>0.98740558442817195</v>
      </c>
      <c r="AG306" s="172">
        <f t="shared" si="120"/>
        <v>0</v>
      </c>
      <c r="AH306" s="172">
        <f t="shared" si="121"/>
        <v>6</v>
      </c>
      <c r="AI306" s="221">
        <f t="shared" si="122"/>
        <v>0.98740558442817195</v>
      </c>
      <c r="AJ306" s="261" t="b">
        <f t="shared" si="123"/>
        <v>0</v>
      </c>
      <c r="AK306" s="261" t="b">
        <f t="shared" si="124"/>
        <v>0</v>
      </c>
      <c r="AL306" s="261"/>
      <c r="AM306" s="261"/>
      <c r="AN306" s="75"/>
    </row>
    <row r="307" spans="1:40" s="6" customFormat="1" ht="11.25" customHeight="1" x14ac:dyDescent="0.2">
      <c r="A307" s="56">
        <f t="shared" si="125"/>
        <v>45219</v>
      </c>
      <c r="B307" s="406">
        <f>'2022'!Wh/'2022'!Env_an*'2023'!Env_an</f>
        <v>38.415931001480594</v>
      </c>
      <c r="C307" s="385"/>
      <c r="D307" s="388">
        <f t="shared" si="103"/>
        <v>38.836293164756214</v>
      </c>
      <c r="E307" s="380">
        <f t="shared" si="126"/>
        <v>40.56403826419168</v>
      </c>
      <c r="F307" s="380">
        <f t="shared" si="104"/>
        <v>40.56403826419168</v>
      </c>
      <c r="G307" s="110">
        <f t="shared" si="127"/>
        <v>0.26386429117575849</v>
      </c>
      <c r="H307" s="409" t="b">
        <f>Wh_hp&gt;='2022'!Maxi_hp</f>
        <v>0</v>
      </c>
      <c r="I307" s="385">
        <f>IF(H307,Wh_hp,'2022'!Maxi_hp)</f>
        <v>40.567878446480144</v>
      </c>
      <c r="J307" s="85">
        <f>IF(H307,An,'2022'!An_max)</f>
        <v>2022</v>
      </c>
      <c r="K307" s="193">
        <f t="shared" si="105"/>
        <v>45219</v>
      </c>
      <c r="L307" s="143">
        <f>IF(t&lt;Tvie,1-EXP((T0-t)*PertePVj)+'2022'!Pspv,1-EXP((T0-t)*PertePVj)+Pspv)</f>
        <v>1.0823951747719773E-2</v>
      </c>
      <c r="M307" s="835"/>
      <c r="N307" s="835"/>
      <c r="O307" s="48">
        <f>IF(t&lt;Tnet,'2022'!Resal+('2022'!Salim-'2022'!Resal)*(1-EXP(('2022'!Tnet-t)/('2022'!Tau_j))),Resal+(Salim-Resal)*(1-EXP((Tnet-t)/(Tau_j))))*Salcycl</f>
        <v>4.259302508746151E-2</v>
      </c>
      <c r="P307" s="165">
        <f>(INDEX(Models!$BJ307:$BT307,,T307)*(1-R307)+INDEX(Models!$BJ307:$BT307,,T307+1)*R307-ERP_i)*Q307*Ramure*Pc/MaxiM</f>
        <v>1.8860728442444976E-4</v>
      </c>
      <c r="Q307" s="301">
        <f t="shared" si="106"/>
        <v>0.5</v>
      </c>
      <c r="R307" s="173">
        <f t="shared" si="107"/>
        <v>0.98749734854116533</v>
      </c>
      <c r="S307" s="801">
        <f t="shared" si="108"/>
        <v>0</v>
      </c>
      <c r="T307" s="172">
        <f t="shared" si="109"/>
        <v>6</v>
      </c>
      <c r="U307" s="247">
        <f t="shared" si="110"/>
        <v>0.98749734854116533</v>
      </c>
      <c r="V307" s="378">
        <f t="shared" si="111"/>
        <v>145.56227106710682</v>
      </c>
      <c r="W307" s="397">
        <f t="shared" si="112"/>
        <v>38.415931001480594</v>
      </c>
      <c r="X307" s="153">
        <f t="shared" si="113"/>
        <v>45219</v>
      </c>
      <c r="Y307" s="380">
        <f t="shared" si="114"/>
        <v>38.415931001480594</v>
      </c>
      <c r="Z307" s="380">
        <f t="shared" si="115"/>
        <v>38.836293164756214</v>
      </c>
      <c r="AA307" s="381">
        <f t="shared" si="116"/>
        <v>40.56403826419168</v>
      </c>
      <c r="AB307" s="193">
        <f t="shared" si="117"/>
        <v>45219</v>
      </c>
      <c r="AC307" s="420">
        <f>IF(OR(t&lt;Tnet,NoTnet),'2022'!Resal_s+('2022'!Salim-'2022'!Resal_s)*(1-EXP(('2022'!Tnet_s-t)/'2022'!Tau_j)),Resal_s+(Salim-Resal_s)*(1-EXP((Tnet_s-t)/Tau_j)))*Salcycl</f>
        <v>4.259302508746151E-2</v>
      </c>
      <c r="AD307" s="227">
        <f>(INDEX(Models!$BJ307:$BT307,,AH307)*(1-AF307)+INDEX(Models!$BJ307:$BT307,,AH307+1)*AF307-ERP_i)*AE307*Ramure*Pc/MaxiM</f>
        <v>1.8860728442444976E-4</v>
      </c>
      <c r="AE307" s="301">
        <f t="shared" si="118"/>
        <v>0.5</v>
      </c>
      <c r="AF307" s="173">
        <f t="shared" si="119"/>
        <v>0.98749734854116533</v>
      </c>
      <c r="AG307" s="172">
        <f t="shared" si="120"/>
        <v>0</v>
      </c>
      <c r="AH307" s="172">
        <f t="shared" si="121"/>
        <v>6</v>
      </c>
      <c r="AI307" s="221">
        <f t="shared" si="122"/>
        <v>0.98749734854116533</v>
      </c>
      <c r="AJ307" s="261" t="b">
        <f t="shared" si="123"/>
        <v>0</v>
      </c>
      <c r="AK307" s="261" t="b">
        <f t="shared" si="124"/>
        <v>0</v>
      </c>
      <c r="AL307" s="261"/>
      <c r="AM307" s="261"/>
      <c r="AN307" s="75"/>
    </row>
    <row r="308" spans="1:40" s="6" customFormat="1" ht="11.25" customHeight="1" x14ac:dyDescent="0.2">
      <c r="A308" s="56">
        <f t="shared" si="125"/>
        <v>45220</v>
      </c>
      <c r="B308" s="406">
        <f>'2022'!Wh/'2022'!Env_an*'2023'!Env_an</f>
        <v>62.599652512226086</v>
      </c>
      <c r="C308" s="385"/>
      <c r="D308" s="388">
        <f t="shared" si="103"/>
        <v>63.285508753711149</v>
      </c>
      <c r="E308" s="380">
        <f t="shared" si="126"/>
        <v>66.101593776229166</v>
      </c>
      <c r="F308" s="380">
        <f t="shared" si="104"/>
        <v>66.104152031955238</v>
      </c>
      <c r="G308" s="110">
        <f t="shared" si="127"/>
        <v>0.43385138480516688</v>
      </c>
      <c r="H308" s="409" t="b">
        <f>Wh_hp&gt;='2022'!Maxi_hp</f>
        <v>0</v>
      </c>
      <c r="I308" s="385">
        <f>IF(H308,Wh_hp,'2022'!Maxi_hp)</f>
        <v>66.109579565729476</v>
      </c>
      <c r="J308" s="85">
        <f>IF(H308,An,'2022'!An_max)</f>
        <v>2022</v>
      </c>
      <c r="K308" s="193">
        <f t="shared" si="105"/>
        <v>45220</v>
      </c>
      <c r="L308" s="143">
        <f>IF(t&lt;Tvie,1-EXP((T0-t)*PertePVj)+'2022'!Pspv,1-EXP((T0-t)*PertePVj)+Pspv)</f>
        <v>1.0837492737148069E-2</v>
      </c>
      <c r="M308" s="835"/>
      <c r="N308" s="835"/>
      <c r="O308" s="48">
        <f>IF(t&lt;Tnet,'2022'!Resal+('2022'!Salim-'2022'!Resal)*(1-EXP(('2022'!Tnet-t)/('2022'!Tau_j))),Resal+(Salim-Resal)*(1-EXP((Tnet-t)/(Tau_j))))*Salcycl</f>
        <v>4.2602377062967441E-2</v>
      </c>
      <c r="P308" s="165">
        <f>(INDEX(Models!$BJ308:$BT308,,T308)*(1-R308)+INDEX(Models!$BJ308:$BT308,,T308+1)*R308-ERP_i)*Q308*Ramure*Pc/MaxiM</f>
        <v>2.0228334677067889E-4</v>
      </c>
      <c r="Q308" s="301">
        <f t="shared" si="106"/>
        <v>0.5</v>
      </c>
      <c r="R308" s="173">
        <f t="shared" si="107"/>
        <v>0.98758544973645068</v>
      </c>
      <c r="S308" s="801">
        <f t="shared" si="108"/>
        <v>0</v>
      </c>
      <c r="T308" s="172">
        <f t="shared" si="109"/>
        <v>6</v>
      </c>
      <c r="U308" s="247">
        <f t="shared" si="110"/>
        <v>0.98758544973645068</v>
      </c>
      <c r="V308" s="378">
        <f t="shared" si="111"/>
        <v>144.26463547435122</v>
      </c>
      <c r="W308" s="397">
        <f t="shared" si="112"/>
        <v>62.599652512226086</v>
      </c>
      <c r="X308" s="153">
        <f t="shared" si="113"/>
        <v>45220</v>
      </c>
      <c r="Y308" s="380">
        <f t="shared" si="114"/>
        <v>62.599652512226086</v>
      </c>
      <c r="Z308" s="380">
        <f t="shared" si="115"/>
        <v>63.285508753711149</v>
      </c>
      <c r="AA308" s="381">
        <f t="shared" si="116"/>
        <v>66.101593776229166</v>
      </c>
      <c r="AB308" s="193">
        <f t="shared" si="117"/>
        <v>45220</v>
      </c>
      <c r="AC308" s="420">
        <f>IF(OR(t&lt;Tnet,NoTnet),'2022'!Resal_s+('2022'!Salim-'2022'!Resal_s)*(1-EXP(('2022'!Tnet_s-t)/'2022'!Tau_j)),Resal_s+(Salim-Resal_s)*(1-EXP((Tnet_s-t)/Tau_j)))*Salcycl</f>
        <v>4.2602377062967441E-2</v>
      </c>
      <c r="AD308" s="227">
        <f>(INDEX(Models!$BJ308:$BT308,,AH308)*(1-AF308)+INDEX(Models!$BJ308:$BT308,,AH308+1)*AF308-ERP_i)*AE308*Ramure*Pc/MaxiM</f>
        <v>2.0228334677067889E-4</v>
      </c>
      <c r="AE308" s="301">
        <f t="shared" si="118"/>
        <v>0.5</v>
      </c>
      <c r="AF308" s="173">
        <f t="shared" si="119"/>
        <v>0.98758544973645068</v>
      </c>
      <c r="AG308" s="172">
        <f t="shared" si="120"/>
        <v>0</v>
      </c>
      <c r="AH308" s="172">
        <f t="shared" si="121"/>
        <v>6</v>
      </c>
      <c r="AI308" s="221">
        <f t="shared" si="122"/>
        <v>0.98758544973645068</v>
      </c>
      <c r="AJ308" s="261" t="b">
        <f t="shared" si="123"/>
        <v>0</v>
      </c>
      <c r="AK308" s="261" t="b">
        <f t="shared" si="124"/>
        <v>0</v>
      </c>
      <c r="AL308" s="261"/>
      <c r="AM308" s="261"/>
      <c r="AN308" s="75"/>
    </row>
    <row r="309" spans="1:40" s="6" customFormat="1" ht="11.25" customHeight="1" x14ac:dyDescent="0.2">
      <c r="A309" s="56">
        <f t="shared" si="125"/>
        <v>45221</v>
      </c>
      <c r="B309" s="406">
        <f>'2022'!Wh/'2022'!Env_an*'2023'!Env_an</f>
        <v>131.20841955853649</v>
      </c>
      <c r="C309" s="385"/>
      <c r="D309" s="388">
        <f t="shared" si="103"/>
        <v>132.6477851240854</v>
      </c>
      <c r="E309" s="380">
        <f t="shared" si="126"/>
        <v>138.55164013804838</v>
      </c>
      <c r="F309" s="380">
        <f t="shared" si="104"/>
        <v>138.57828976563988</v>
      </c>
      <c r="G309" s="110">
        <f t="shared" si="127"/>
        <v>0.91773701831549592</v>
      </c>
      <c r="H309" s="409" t="b">
        <f>Wh_hp&gt;='2022'!Maxi_hp</f>
        <v>0</v>
      </c>
      <c r="I309" s="385">
        <f>IF(H309,Wh_hp,'2022'!Maxi_hp)</f>
        <v>138.58007051254708</v>
      </c>
      <c r="J309" s="85">
        <f>IF(H309,An,'2022'!An_max)</f>
        <v>2022</v>
      </c>
      <c r="K309" s="193">
        <f t="shared" si="105"/>
        <v>45221</v>
      </c>
      <c r="L309" s="143">
        <f>IF(t&lt;Tvie,1-EXP((T0-t)*PertePVj)+'2022'!Pspv,1-EXP((T0-t)*PertePVj)+Pspv)</f>
        <v>1.0851033541211752E-2</v>
      </c>
      <c r="M309" s="835"/>
      <c r="N309" s="835"/>
      <c r="O309" s="48">
        <f>IF(t&lt;Tnet,'2022'!Resal+('2022'!Salim-'2022'!Resal)*(1-EXP(('2022'!Tnet-t)/('2022'!Tau_j))),Resal+(Salim-Resal)*(1-EXP((Tnet-t)/(Tau_j))))*Salcycl</f>
        <v>4.2611224292116452E-2</v>
      </c>
      <c r="P309" s="165">
        <f>(INDEX(Models!$BJ309:$BT309,,T309)*(1-R309)+INDEX(Models!$BJ309:$BT309,,T309+1)*R309-ERP_i)*Q309*Ramure*Pc/MaxiM</f>
        <v>2.1790833307002564E-4</v>
      </c>
      <c r="Q309" s="301">
        <f t="shared" si="106"/>
        <v>0.5</v>
      </c>
      <c r="R309" s="173">
        <f t="shared" si="107"/>
        <v>0.9876700330022965</v>
      </c>
      <c r="S309" s="801">
        <f t="shared" si="108"/>
        <v>0</v>
      </c>
      <c r="T309" s="172">
        <f t="shared" si="109"/>
        <v>6</v>
      </c>
      <c r="U309" s="247">
        <f t="shared" si="110"/>
        <v>0.9876700330022965</v>
      </c>
      <c r="V309" s="378">
        <f t="shared" si="111"/>
        <v>142.96585757480892</v>
      </c>
      <c r="W309" s="397">
        <f t="shared" si="112"/>
        <v>131.20841955853649</v>
      </c>
      <c r="X309" s="153">
        <f t="shared" si="113"/>
        <v>45221</v>
      </c>
      <c r="Y309" s="380">
        <f t="shared" si="114"/>
        <v>131.20841955853649</v>
      </c>
      <c r="Z309" s="380">
        <f t="shared" si="115"/>
        <v>132.6477851240854</v>
      </c>
      <c r="AA309" s="381">
        <f t="shared" si="116"/>
        <v>138.55164013804838</v>
      </c>
      <c r="AB309" s="193">
        <f t="shared" si="117"/>
        <v>45221</v>
      </c>
      <c r="AC309" s="420">
        <f>IF(OR(t&lt;Tnet,NoTnet),'2022'!Resal_s+('2022'!Salim-'2022'!Resal_s)*(1-EXP(('2022'!Tnet_s-t)/'2022'!Tau_j)),Resal_s+(Salim-Resal_s)*(1-EXP((Tnet_s-t)/Tau_j)))*Salcycl</f>
        <v>4.2611224292116452E-2</v>
      </c>
      <c r="AD309" s="227">
        <f>(INDEX(Models!$BJ309:$BT309,,AH309)*(1-AF309)+INDEX(Models!$BJ309:$BT309,,AH309+1)*AF309-ERP_i)*AE309*Ramure*Pc/MaxiM</f>
        <v>2.1790833307002564E-4</v>
      </c>
      <c r="AE309" s="301">
        <f t="shared" si="118"/>
        <v>0.5</v>
      </c>
      <c r="AF309" s="173">
        <f t="shared" si="119"/>
        <v>0.9876700330022965</v>
      </c>
      <c r="AG309" s="172">
        <f t="shared" si="120"/>
        <v>0</v>
      </c>
      <c r="AH309" s="172">
        <f t="shared" si="121"/>
        <v>6</v>
      </c>
      <c r="AI309" s="221">
        <f t="shared" si="122"/>
        <v>0.9876700330022965</v>
      </c>
      <c r="AJ309" s="261" t="b">
        <f t="shared" si="123"/>
        <v>0</v>
      </c>
      <c r="AK309" s="261" t="b">
        <f t="shared" si="124"/>
        <v>0</v>
      </c>
      <c r="AL309" s="261"/>
      <c r="AM309" s="261"/>
      <c r="AN309" s="75"/>
    </row>
    <row r="310" spans="1:40" s="6" customFormat="1" ht="11.25" customHeight="1" x14ac:dyDescent="0.2">
      <c r="A310" s="56">
        <f t="shared" si="125"/>
        <v>45222</v>
      </c>
      <c r="B310" s="406">
        <f>'2022'!Wh/'2022'!Env_an*'2023'!Env_an</f>
        <v>79.690984939331912</v>
      </c>
      <c r="C310" s="385"/>
      <c r="D310" s="388">
        <f t="shared" si="103"/>
        <v>80.566303518700906</v>
      </c>
      <c r="E310" s="380">
        <f t="shared" si="126"/>
        <v>84.152864501967784</v>
      </c>
      <c r="F310" s="380">
        <f t="shared" si="104"/>
        <v>84.160367351141332</v>
      </c>
      <c r="G310" s="110">
        <f t="shared" si="127"/>
        <v>0.56244105644496445</v>
      </c>
      <c r="H310" s="409" t="b">
        <f>Wh_hp&gt;='2022'!Maxi_hp</f>
        <v>0</v>
      </c>
      <c r="I310" s="385">
        <f>IF(H310,Wh_hp,'2022'!Maxi_hp)</f>
        <v>84.166642562822275</v>
      </c>
      <c r="J310" s="85">
        <f>IF(H310,An,'2022'!An_max)</f>
        <v>2022</v>
      </c>
      <c r="K310" s="193">
        <f t="shared" si="105"/>
        <v>45222</v>
      </c>
      <c r="L310" s="143">
        <f>IF(t&lt;Tvie,1-EXP((T0-t)*PertePVj)+'2022'!Pspv,1-EXP((T0-t)*PertePVj)+Pspv)</f>
        <v>1.0864574159913043E-2</v>
      </c>
      <c r="M310" s="835"/>
      <c r="N310" s="835"/>
      <c r="O310" s="48">
        <f>IF(t&lt;Tnet,'2022'!Resal+('2022'!Salim-'2022'!Resal)*(1-EXP(('2022'!Tnet-t)/('2022'!Tau_j))),Resal+(Salim-Resal)*(1-EXP((Tnet-t)/(Tau_j))))*Salcycl</f>
        <v>4.2619594763562835E-2</v>
      </c>
      <c r="P310" s="165">
        <f>(INDEX(Models!$BJ310:$BT310,,T310)*(1-R310)+INDEX(Models!$BJ310:$BT310,,T310+1)*R310-ERP_i)*Q310*Ramure*Pc/MaxiM</f>
        <v>2.3770951956643359E-4</v>
      </c>
      <c r="Q310" s="301">
        <f t="shared" si="106"/>
        <v>0.5</v>
      </c>
      <c r="R310" s="173">
        <f t="shared" si="107"/>
        <v>0.98775123768411832</v>
      </c>
      <c r="S310" s="801">
        <f t="shared" si="108"/>
        <v>0</v>
      </c>
      <c r="T310" s="172">
        <f t="shared" si="109"/>
        <v>6</v>
      </c>
      <c r="U310" s="247">
        <f t="shared" si="110"/>
        <v>0.98775123768411832</v>
      </c>
      <c r="V310" s="378">
        <f t="shared" si="111"/>
        <v>141.66665834807827</v>
      </c>
      <c r="W310" s="397">
        <f t="shared" si="112"/>
        <v>79.690984939331912</v>
      </c>
      <c r="X310" s="153">
        <f t="shared" si="113"/>
        <v>45222</v>
      </c>
      <c r="Y310" s="380">
        <f t="shared" si="114"/>
        <v>79.690984939331912</v>
      </c>
      <c r="Z310" s="380">
        <f t="shared" si="115"/>
        <v>80.566303518700906</v>
      </c>
      <c r="AA310" s="381">
        <f t="shared" si="116"/>
        <v>84.152864501967784</v>
      </c>
      <c r="AB310" s="193">
        <f t="shared" si="117"/>
        <v>45222</v>
      </c>
      <c r="AC310" s="420">
        <f>IF(OR(t&lt;Tnet,NoTnet),'2022'!Resal_s+('2022'!Salim-'2022'!Resal_s)*(1-EXP(('2022'!Tnet_s-t)/'2022'!Tau_j)),Resal_s+(Salim-Resal_s)*(1-EXP((Tnet_s-t)/Tau_j)))*Salcycl</f>
        <v>4.2619594763562835E-2</v>
      </c>
      <c r="AD310" s="227">
        <f>(INDEX(Models!$BJ310:$BT310,,AH310)*(1-AF310)+INDEX(Models!$BJ310:$BT310,,AH310+1)*AF310-ERP_i)*AE310*Ramure*Pc/MaxiM</f>
        <v>2.3770951956643359E-4</v>
      </c>
      <c r="AE310" s="301">
        <f t="shared" si="118"/>
        <v>0.5</v>
      </c>
      <c r="AF310" s="173">
        <f t="shared" si="119"/>
        <v>0.98775123768411832</v>
      </c>
      <c r="AG310" s="172">
        <f t="shared" si="120"/>
        <v>0</v>
      </c>
      <c r="AH310" s="172">
        <f t="shared" si="121"/>
        <v>6</v>
      </c>
      <c r="AI310" s="221">
        <f t="shared" si="122"/>
        <v>0.98775123768411832</v>
      </c>
      <c r="AJ310" s="261" t="b">
        <f t="shared" si="123"/>
        <v>0</v>
      </c>
      <c r="AK310" s="261" t="b">
        <f t="shared" si="124"/>
        <v>0</v>
      </c>
      <c r="AL310" s="261"/>
      <c r="AM310" s="261"/>
      <c r="AN310" s="75"/>
    </row>
    <row r="311" spans="1:40" s="6" customFormat="1" ht="11.25" customHeight="1" x14ac:dyDescent="0.2">
      <c r="A311" s="56">
        <f t="shared" si="125"/>
        <v>45223</v>
      </c>
      <c r="B311" s="406">
        <f>'2022'!Wh/'2022'!Env_an*'2023'!Env_an</f>
        <v>102.50970307613676</v>
      </c>
      <c r="C311" s="385"/>
      <c r="D311" s="388">
        <f t="shared" si="103"/>
        <v>103.63707909868243</v>
      </c>
      <c r="E311" s="380">
        <f t="shared" si="126"/>
        <v>108.25157512316954</v>
      </c>
      <c r="F311" s="380">
        <f t="shared" si="104"/>
        <v>108.26901819267995</v>
      </c>
      <c r="G311" s="110">
        <f t="shared" si="127"/>
        <v>0.73021864496063749</v>
      </c>
      <c r="H311" s="409" t="b">
        <f>Wh_hp&gt;='2022'!Maxi_hp</f>
        <v>0</v>
      </c>
      <c r="I311" s="385">
        <f>IF(H311,Wh_hp,'2022'!Maxi_hp)</f>
        <v>108.27450579494256</v>
      </c>
      <c r="J311" s="85">
        <f>IF(H311,An,'2022'!An_max)</f>
        <v>2022</v>
      </c>
      <c r="K311" s="193">
        <f t="shared" si="105"/>
        <v>45223</v>
      </c>
      <c r="L311" s="143">
        <f>IF(t&lt;Tvie,1-EXP((T0-t)*PertePVj)+'2022'!Pspv,1-EXP((T0-t)*PertePVj)+Pspv)</f>
        <v>1.0878114593254717E-2</v>
      </c>
      <c r="M311" s="835"/>
      <c r="N311" s="835"/>
      <c r="O311" s="48">
        <f>IF(t&lt;Tnet,'2022'!Resal+('2022'!Salim-'2022'!Resal)*(1-EXP(('2022'!Tnet-t)/('2022'!Tau_j))),Resal+(Salim-Resal)*(1-EXP((Tnet-t)/(Tau_j))))*Salcycl</f>
        <v>4.2627518530207999E-2</v>
      </c>
      <c r="P311" s="165">
        <f>(INDEX(Models!$BJ311:$BT311,,T311)*(1-R311)+INDEX(Models!$BJ311:$BT311,,T311+1)*R311-ERP_i)*Q311*Ramure*Pc/MaxiM</f>
        <v>2.6209158274316004E-4</v>
      </c>
      <c r="Q311" s="301">
        <f t="shared" si="106"/>
        <v>0.5</v>
      </c>
      <c r="R311" s="173">
        <f t="shared" si="107"/>
        <v>0.98782919769651101</v>
      </c>
      <c r="S311" s="801">
        <f t="shared" si="108"/>
        <v>0</v>
      </c>
      <c r="T311" s="172">
        <f t="shared" si="109"/>
        <v>6</v>
      </c>
      <c r="U311" s="247">
        <f t="shared" si="110"/>
        <v>0.98782919769651101</v>
      </c>
      <c r="V311" s="378">
        <f t="shared" si="111"/>
        <v>140.36802590496984</v>
      </c>
      <c r="W311" s="397">
        <f t="shared" si="112"/>
        <v>102.50970307613676</v>
      </c>
      <c r="X311" s="153">
        <f t="shared" si="113"/>
        <v>45223</v>
      </c>
      <c r="Y311" s="380">
        <f t="shared" si="114"/>
        <v>102.50970307613676</v>
      </c>
      <c r="Z311" s="380">
        <f t="shared" si="115"/>
        <v>103.63707909868243</v>
      </c>
      <c r="AA311" s="381">
        <f t="shared" si="116"/>
        <v>108.25157512316954</v>
      </c>
      <c r="AB311" s="193">
        <f t="shared" si="117"/>
        <v>45223</v>
      </c>
      <c r="AC311" s="420">
        <f>IF(OR(t&lt;Tnet,NoTnet),'2022'!Resal_s+('2022'!Salim-'2022'!Resal_s)*(1-EXP(('2022'!Tnet_s-t)/'2022'!Tau_j)),Resal_s+(Salim-Resal_s)*(1-EXP((Tnet_s-t)/Tau_j)))*Salcycl</f>
        <v>4.2627518530207999E-2</v>
      </c>
      <c r="AD311" s="227">
        <f>(INDEX(Models!$BJ311:$BT311,,AH311)*(1-AF311)+INDEX(Models!$BJ311:$BT311,,AH311+1)*AF311-ERP_i)*AE311*Ramure*Pc/MaxiM</f>
        <v>2.6209158274316004E-4</v>
      </c>
      <c r="AE311" s="301">
        <f t="shared" si="118"/>
        <v>0.5</v>
      </c>
      <c r="AF311" s="173">
        <f t="shared" si="119"/>
        <v>0.98782919769651101</v>
      </c>
      <c r="AG311" s="172">
        <f t="shared" si="120"/>
        <v>0</v>
      </c>
      <c r="AH311" s="172">
        <f t="shared" si="121"/>
        <v>6</v>
      </c>
      <c r="AI311" s="221">
        <f t="shared" si="122"/>
        <v>0.98782919769651101</v>
      </c>
      <c r="AJ311" s="261" t="b">
        <f t="shared" si="123"/>
        <v>0</v>
      </c>
      <c r="AK311" s="261" t="b">
        <f t="shared" si="124"/>
        <v>0</v>
      </c>
      <c r="AL311" s="261"/>
      <c r="AM311" s="261"/>
      <c r="AN311" s="75"/>
    </row>
    <row r="312" spans="1:40" s="6" customFormat="1" ht="11.25" customHeight="1" x14ac:dyDescent="0.2">
      <c r="A312" s="56">
        <f t="shared" si="125"/>
        <v>45224</v>
      </c>
      <c r="B312" s="406">
        <f>'2022'!Wh/'2022'!Env_an*'2023'!Env_an</f>
        <v>88.652291484174128</v>
      </c>
      <c r="C312" s="385"/>
      <c r="D312" s="388">
        <f t="shared" si="103"/>
        <v>89.628494105915806</v>
      </c>
      <c r="E312" s="380">
        <f t="shared" si="126"/>
        <v>93.619984741747132</v>
      </c>
      <c r="F312" s="380">
        <f t="shared" si="104"/>
        <v>93.63312449895443</v>
      </c>
      <c r="G312" s="110">
        <f t="shared" si="127"/>
        <v>0.6373645379577676</v>
      </c>
      <c r="H312" s="409" t="b">
        <f>Wh_hp&gt;='2022'!Maxi_hp</f>
        <v>0</v>
      </c>
      <c r="I312" s="385">
        <f>IF(H312,Wh_hp,'2022'!Maxi_hp)</f>
        <v>93.640209590302121</v>
      </c>
      <c r="J312" s="85">
        <f>IF(H312,An,'2022'!An_max)</f>
        <v>2022</v>
      </c>
      <c r="K312" s="193">
        <f t="shared" si="105"/>
        <v>45224</v>
      </c>
      <c r="L312" s="143">
        <f>IF(t&lt;Tvie,1-EXP((T0-t)*PertePVj)+'2022'!Pspv,1-EXP((T0-t)*PertePVj)+Pspv)</f>
        <v>1.0891654841239218E-2</v>
      </c>
      <c r="M312" s="835"/>
      <c r="N312" s="835"/>
      <c r="O312" s="48">
        <f>IF(t&lt;Tnet,'2022'!Resal+('2022'!Salim-'2022'!Resal)*(1-EXP(('2022'!Tnet-t)/('2022'!Tau_j))),Resal+(Salim-Resal)*(1-EXP((Tnet-t)/(Tau_j))))*Salcycl</f>
        <v>4.2635027626226882E-2</v>
      </c>
      <c r="P312" s="165">
        <f>(INDEX(Models!$BJ312:$BT312,,T312)*(1-R312)+INDEX(Models!$BJ312:$BT312,,T312+1)*R312-ERP_i)*Q312*Ramure*Pc/MaxiM</f>
        <v>2.9109364113039907E-4</v>
      </c>
      <c r="Q312" s="301">
        <f t="shared" si="106"/>
        <v>0.5</v>
      </c>
      <c r="R312" s="173">
        <f t="shared" si="107"/>
        <v>0.98790404172791924</v>
      </c>
      <c r="S312" s="801">
        <f t="shared" si="108"/>
        <v>0</v>
      </c>
      <c r="T312" s="172">
        <f t="shared" si="109"/>
        <v>6</v>
      </c>
      <c r="U312" s="247">
        <f t="shared" si="110"/>
        <v>0.98790404172791924</v>
      </c>
      <c r="V312" s="378">
        <f t="shared" si="111"/>
        <v>139.07100096779331</v>
      </c>
      <c r="W312" s="397">
        <f t="shared" si="112"/>
        <v>88.652291484174128</v>
      </c>
      <c r="X312" s="153">
        <f t="shared" si="113"/>
        <v>45224</v>
      </c>
      <c r="Y312" s="380">
        <f t="shared" si="114"/>
        <v>88.652291484174128</v>
      </c>
      <c r="Z312" s="380">
        <f t="shared" si="115"/>
        <v>89.628494105915806</v>
      </c>
      <c r="AA312" s="381">
        <f t="shared" si="116"/>
        <v>93.619984741747132</v>
      </c>
      <c r="AB312" s="193">
        <f t="shared" si="117"/>
        <v>45224</v>
      </c>
      <c r="AC312" s="420">
        <f>IF(OR(t&lt;Tnet,NoTnet),'2022'!Resal_s+('2022'!Salim-'2022'!Resal_s)*(1-EXP(('2022'!Tnet_s-t)/'2022'!Tau_j)),Resal_s+(Salim-Resal_s)*(1-EXP((Tnet_s-t)/Tau_j)))*Salcycl</f>
        <v>4.2635027626226882E-2</v>
      </c>
      <c r="AD312" s="227">
        <f>(INDEX(Models!$BJ312:$BT312,,AH312)*(1-AF312)+INDEX(Models!$BJ312:$BT312,,AH312+1)*AF312-ERP_i)*AE312*Ramure*Pc/MaxiM</f>
        <v>2.9109364113039907E-4</v>
      </c>
      <c r="AE312" s="301">
        <f t="shared" si="118"/>
        <v>0.5</v>
      </c>
      <c r="AF312" s="173">
        <f t="shared" si="119"/>
        <v>0.98790404172791924</v>
      </c>
      <c r="AG312" s="172">
        <f t="shared" si="120"/>
        <v>0</v>
      </c>
      <c r="AH312" s="172">
        <f t="shared" si="121"/>
        <v>6</v>
      </c>
      <c r="AI312" s="221">
        <f t="shared" si="122"/>
        <v>0.98790404172791924</v>
      </c>
      <c r="AJ312" s="261" t="b">
        <f t="shared" si="123"/>
        <v>0</v>
      </c>
      <c r="AK312" s="261" t="b">
        <f t="shared" si="124"/>
        <v>0</v>
      </c>
      <c r="AL312" s="261"/>
      <c r="AM312" s="261"/>
      <c r="AN312" s="75"/>
    </row>
    <row r="313" spans="1:40" s="6" customFormat="1" ht="11.25" customHeight="1" x14ac:dyDescent="0.2">
      <c r="A313" s="56">
        <f t="shared" si="125"/>
        <v>45225</v>
      </c>
      <c r="B313" s="406">
        <f>'2022'!Wh/'2022'!Env_an*'2023'!Env_an</f>
        <v>58.548331784676002</v>
      </c>
      <c r="C313" s="385"/>
      <c r="D313" s="388">
        <f t="shared" si="103"/>
        <v>59.193852280910164</v>
      </c>
      <c r="E313" s="380">
        <f t="shared" si="126"/>
        <v>61.830435348744189</v>
      </c>
      <c r="F313" s="380">
        <f t="shared" si="104"/>
        <v>61.834019791464328</v>
      </c>
      <c r="G313" s="110">
        <f t="shared" si="127"/>
        <v>0.42483775009388158</v>
      </c>
      <c r="H313" s="409" t="b">
        <f>Wh_hp&gt;='2022'!Maxi_hp</f>
        <v>0</v>
      </c>
      <c r="I313" s="385">
        <f>IF(H313,Wh_hp,'2022'!Maxi_hp)</f>
        <v>61.842299177452915</v>
      </c>
      <c r="J313" s="85">
        <f>IF(H313,An,'2022'!An_max)</f>
        <v>2022</v>
      </c>
      <c r="K313" s="193">
        <f t="shared" si="105"/>
        <v>45225</v>
      </c>
      <c r="L313" s="143">
        <f>IF(t&lt;Tvie,1-EXP((T0-t)*PertePVj)+'2022'!Pspv,1-EXP((T0-t)*PertePVj)+Pspv)</f>
        <v>1.0905194903869098E-2</v>
      </c>
      <c r="M313" s="835"/>
      <c r="N313" s="835"/>
      <c r="O313" s="48">
        <f>IF(t&lt;Tnet,'2022'!Resal+('2022'!Salim-'2022'!Resal)*(1-EXP(('2022'!Tnet-t)/('2022'!Tau_j))),Resal+(Salim-Resal)*(1-EXP((Tnet-t)/(Tau_j))))*Salcycl</f>
        <v>4.2642155969998013E-2</v>
      </c>
      <c r="P313" s="165">
        <f>(INDEX(Models!$BJ313:$BT313,,T313)*(1-R313)+INDEX(Models!$BJ313:$BT313,,T313+1)*R313-ERP_i)*Q313*Ramure*Pc/MaxiM</f>
        <v>3.2475214478987034E-4</v>
      </c>
      <c r="Q313" s="301">
        <f t="shared" si="106"/>
        <v>0.5</v>
      </c>
      <c r="R313" s="173">
        <f t="shared" si="107"/>
        <v>0.98797589343814873</v>
      </c>
      <c r="S313" s="801">
        <f t="shared" si="108"/>
        <v>0</v>
      </c>
      <c r="T313" s="172">
        <f t="shared" si="109"/>
        <v>6</v>
      </c>
      <c r="U313" s="247">
        <f t="shared" si="110"/>
        <v>0.98797589343814873</v>
      </c>
      <c r="V313" s="378">
        <f t="shared" si="111"/>
        <v>137.77662447676795</v>
      </c>
      <c r="W313" s="397">
        <f t="shared" si="112"/>
        <v>58.548331784676002</v>
      </c>
      <c r="X313" s="153">
        <f t="shared" si="113"/>
        <v>45225</v>
      </c>
      <c r="Y313" s="380">
        <f t="shared" si="114"/>
        <v>58.548331784676002</v>
      </c>
      <c r="Z313" s="380">
        <f t="shared" si="115"/>
        <v>59.193852280910164</v>
      </c>
      <c r="AA313" s="381">
        <f t="shared" si="116"/>
        <v>61.830435348744189</v>
      </c>
      <c r="AB313" s="193">
        <f t="shared" si="117"/>
        <v>45225</v>
      </c>
      <c r="AC313" s="420">
        <f>IF(OR(t&lt;Tnet,NoTnet),'2022'!Resal_s+('2022'!Salim-'2022'!Resal_s)*(1-EXP(('2022'!Tnet_s-t)/'2022'!Tau_j)),Resal_s+(Salim-Resal_s)*(1-EXP((Tnet_s-t)/Tau_j)))*Salcycl</f>
        <v>4.2642155969998013E-2</v>
      </c>
      <c r="AD313" s="227">
        <f>(INDEX(Models!$BJ313:$BT313,,AH313)*(1-AF313)+INDEX(Models!$BJ313:$BT313,,AH313+1)*AF313-ERP_i)*AE313*Ramure*Pc/MaxiM</f>
        <v>3.2475214478987034E-4</v>
      </c>
      <c r="AE313" s="301">
        <f t="shared" si="118"/>
        <v>0.5</v>
      </c>
      <c r="AF313" s="173">
        <f t="shared" si="119"/>
        <v>0.98797589343814873</v>
      </c>
      <c r="AG313" s="172">
        <f t="shared" si="120"/>
        <v>0</v>
      </c>
      <c r="AH313" s="172">
        <f t="shared" si="121"/>
        <v>6</v>
      </c>
      <c r="AI313" s="221">
        <f t="shared" si="122"/>
        <v>0.98797589343814873</v>
      </c>
      <c r="AJ313" s="261" t="b">
        <f t="shared" si="123"/>
        <v>0</v>
      </c>
      <c r="AK313" s="261" t="b">
        <f t="shared" si="124"/>
        <v>0</v>
      </c>
      <c r="AL313" s="261"/>
      <c r="AM313" s="261"/>
      <c r="AN313" s="75"/>
    </row>
    <row r="314" spans="1:40" s="6" customFormat="1" ht="11.25" customHeight="1" x14ac:dyDescent="0.2">
      <c r="A314" s="56">
        <f t="shared" si="125"/>
        <v>45226</v>
      </c>
      <c r="B314" s="406">
        <f>'2022'!Wh/'2022'!Env_an*'2023'!Env_an</f>
        <v>52.548276610758897</v>
      </c>
      <c r="C314" s="385"/>
      <c r="D314" s="388">
        <f t="shared" si="103"/>
        <v>53.128371205303935</v>
      </c>
      <c r="E314" s="380">
        <f t="shared" si="126"/>
        <v>55.495181844649615</v>
      </c>
      <c r="F314" s="380">
        <f t="shared" si="104"/>
        <v>55.497629041798213</v>
      </c>
      <c r="G314" s="110">
        <f t="shared" si="127"/>
        <v>0.38488589836587639</v>
      </c>
      <c r="H314" s="409" t="b">
        <f>Wh_hp&gt;='2022'!Maxi_hp</f>
        <v>0</v>
      </c>
      <c r="I314" s="385">
        <f>IF(H314,Wh_hp,'2022'!Maxi_hp)</f>
        <v>55.506514695537248</v>
      </c>
      <c r="J314" s="85">
        <f>IF(H314,An,'2022'!An_max)</f>
        <v>2022</v>
      </c>
      <c r="K314" s="193">
        <f t="shared" si="105"/>
        <v>45226</v>
      </c>
      <c r="L314" s="143">
        <f>IF(t&lt;Tvie,1-EXP((T0-t)*PertePVj)+'2022'!Pspv,1-EXP((T0-t)*PertePVj)+Pspv)</f>
        <v>1.091873478114691E-2</v>
      </c>
      <c r="M314" s="835"/>
      <c r="N314" s="835"/>
      <c r="O314" s="48">
        <f>IF(t&lt;Tnet,'2022'!Resal+('2022'!Salim-'2022'!Resal)*(1-EXP(('2022'!Tnet-t)/('2022'!Tau_j))),Resal+(Salim-Resal)*(1-EXP((Tnet-t)/(Tau_j))))*Salcycl</f>
        <v>4.264893925334292E-2</v>
      </c>
      <c r="P314" s="165">
        <f>(INDEX(Models!$BJ314:$BT314,,T314)*(1-R314)+INDEX(Models!$BJ314:$BT314,,T314+1)*R314-ERP_i)*Q314*Ramure*Pc/MaxiM</f>
        <v>3.6310235856013896E-4</v>
      </c>
      <c r="Q314" s="301">
        <f t="shared" si="106"/>
        <v>0.5</v>
      </c>
      <c r="R314" s="173">
        <f t="shared" si="107"/>
        <v>0.98804487164892607</v>
      </c>
      <c r="S314" s="801">
        <f t="shared" si="108"/>
        <v>0</v>
      </c>
      <c r="T314" s="172">
        <f t="shared" si="109"/>
        <v>6</v>
      </c>
      <c r="U314" s="247">
        <f t="shared" si="110"/>
        <v>0.98804487164892607</v>
      </c>
      <c r="V314" s="378">
        <f t="shared" si="111"/>
        <v>136.48593735260863</v>
      </c>
      <c r="W314" s="397">
        <f t="shared" si="112"/>
        <v>52.548276610758897</v>
      </c>
      <c r="X314" s="153">
        <f t="shared" si="113"/>
        <v>45226</v>
      </c>
      <c r="Y314" s="380">
        <f t="shared" si="114"/>
        <v>52.548276610758897</v>
      </c>
      <c r="Z314" s="380">
        <f t="shared" si="115"/>
        <v>53.128371205303935</v>
      </c>
      <c r="AA314" s="381">
        <f t="shared" si="116"/>
        <v>55.495181844649615</v>
      </c>
      <c r="AB314" s="193">
        <f t="shared" si="117"/>
        <v>45226</v>
      </c>
      <c r="AC314" s="420">
        <f>IF(OR(t&lt;Tnet,NoTnet),'2022'!Resal_s+('2022'!Salim-'2022'!Resal_s)*(1-EXP(('2022'!Tnet_s-t)/'2022'!Tau_j)),Resal_s+(Salim-Resal_s)*(1-EXP((Tnet_s-t)/Tau_j)))*Salcycl</f>
        <v>4.264893925334292E-2</v>
      </c>
      <c r="AD314" s="227">
        <f>(INDEX(Models!$BJ314:$BT314,,AH314)*(1-AF314)+INDEX(Models!$BJ314:$BT314,,AH314+1)*AF314-ERP_i)*AE314*Ramure*Pc/MaxiM</f>
        <v>3.6310235856013896E-4</v>
      </c>
      <c r="AE314" s="301">
        <f t="shared" si="118"/>
        <v>0.5</v>
      </c>
      <c r="AF314" s="173">
        <f t="shared" si="119"/>
        <v>0.98804487164892607</v>
      </c>
      <c r="AG314" s="172">
        <f t="shared" si="120"/>
        <v>0</v>
      </c>
      <c r="AH314" s="172">
        <f t="shared" si="121"/>
        <v>6</v>
      </c>
      <c r="AI314" s="221">
        <f t="shared" si="122"/>
        <v>0.98804487164892607</v>
      </c>
      <c r="AJ314" s="261" t="b">
        <f t="shared" si="123"/>
        <v>0</v>
      </c>
      <c r="AK314" s="261" t="b">
        <f t="shared" si="124"/>
        <v>0</v>
      </c>
      <c r="AL314" s="261"/>
      <c r="AM314" s="261"/>
      <c r="AN314" s="75"/>
    </row>
    <row r="315" spans="1:40" s="6" customFormat="1" ht="11.25" customHeight="1" x14ac:dyDescent="0.2">
      <c r="A315" s="56">
        <f t="shared" si="125"/>
        <v>45227</v>
      </c>
      <c r="B315" s="406">
        <f>'2022'!Wh/'2022'!Env_an*'2023'!Env_an</f>
        <v>69.345837570598704</v>
      </c>
      <c r="C315" s="385"/>
      <c r="D315" s="388">
        <f t="shared" si="103"/>
        <v>70.112324748696835</v>
      </c>
      <c r="E315" s="380">
        <f t="shared" si="126"/>
        <v>73.236247255045086</v>
      </c>
      <c r="F315" s="380">
        <f t="shared" si="104"/>
        <v>73.245296259526668</v>
      </c>
      <c r="G315" s="110">
        <f t="shared" si="127"/>
        <v>0.51276808900924487</v>
      </c>
      <c r="H315" s="409" t="b">
        <f>Wh_hp&gt;='2022'!Maxi_hp</f>
        <v>0</v>
      </c>
      <c r="I315" s="385">
        <f>IF(H315,Wh_hp,'2022'!Maxi_hp)</f>
        <v>73.255686968497727</v>
      </c>
      <c r="J315" s="85">
        <f>IF(H315,An,'2022'!An_max)</f>
        <v>2022</v>
      </c>
      <c r="K315" s="193">
        <f t="shared" si="105"/>
        <v>45227</v>
      </c>
      <c r="L315" s="143">
        <f>IF(t&lt;Tvie,1-EXP((T0-t)*PertePVj)+'2022'!Pspv,1-EXP((T0-t)*PertePVj)+Pspv)</f>
        <v>1.0932274473075099E-2</v>
      </c>
      <c r="M315" s="835"/>
      <c r="N315" s="835"/>
      <c r="O315" s="48">
        <f>IF(t&lt;Tnet,'2022'!Resal+('2022'!Salim-'2022'!Resal)*(1-EXP(('2022'!Tnet-t)/('2022'!Tau_j))),Resal+(Salim-Resal)*(1-EXP((Tnet-t)/(Tau_j))))*Salcycl</f>
        <v>4.2655414817599678E-2</v>
      </c>
      <c r="P315" s="165">
        <f>(INDEX(Models!$BJ315:$BT315,,T315)*(1-R315)+INDEX(Models!$BJ315:$BT315,,T315+1)*R315-ERP_i)*Q315*Ramure*Pc/MaxiM</f>
        <v>4.0617835217946028E-4</v>
      </c>
      <c r="Q315" s="301">
        <f t="shared" si="106"/>
        <v>0.5</v>
      </c>
      <c r="R315" s="173">
        <f t="shared" si="107"/>
        <v>0.98811109052770818</v>
      </c>
      <c r="S315" s="801">
        <f t="shared" si="108"/>
        <v>0</v>
      </c>
      <c r="T315" s="172">
        <f t="shared" si="109"/>
        <v>6</v>
      </c>
      <c r="U315" s="247">
        <f t="shared" si="110"/>
        <v>0.98811109052770818</v>
      </c>
      <c r="V315" s="378">
        <f t="shared" si="111"/>
        <v>135.19998047310509</v>
      </c>
      <c r="W315" s="397">
        <f t="shared" si="112"/>
        <v>69.345837570598704</v>
      </c>
      <c r="X315" s="153">
        <f t="shared" si="113"/>
        <v>45227</v>
      </c>
      <c r="Y315" s="380">
        <f t="shared" si="114"/>
        <v>69.345837570598704</v>
      </c>
      <c r="Z315" s="380">
        <f t="shared" si="115"/>
        <v>70.112324748696835</v>
      </c>
      <c r="AA315" s="381">
        <f t="shared" si="116"/>
        <v>73.236247255045086</v>
      </c>
      <c r="AB315" s="193">
        <f t="shared" si="117"/>
        <v>45227</v>
      </c>
      <c r="AC315" s="420">
        <f>IF(OR(t&lt;Tnet,NoTnet),'2022'!Resal_s+('2022'!Salim-'2022'!Resal_s)*(1-EXP(('2022'!Tnet_s-t)/'2022'!Tau_j)),Resal_s+(Salim-Resal_s)*(1-EXP((Tnet_s-t)/Tau_j)))*Salcycl</f>
        <v>4.2655414817599678E-2</v>
      </c>
      <c r="AD315" s="227">
        <f>(INDEX(Models!$BJ315:$BT315,,AH315)*(1-AF315)+INDEX(Models!$BJ315:$BT315,,AH315+1)*AF315-ERP_i)*AE315*Ramure*Pc/MaxiM</f>
        <v>4.0617835217946028E-4</v>
      </c>
      <c r="AE315" s="301">
        <f t="shared" si="118"/>
        <v>0.5</v>
      </c>
      <c r="AF315" s="173">
        <f t="shared" si="119"/>
        <v>0.98811109052770818</v>
      </c>
      <c r="AG315" s="172">
        <f t="shared" si="120"/>
        <v>0</v>
      </c>
      <c r="AH315" s="172">
        <f t="shared" si="121"/>
        <v>6</v>
      </c>
      <c r="AI315" s="221">
        <f t="shared" si="122"/>
        <v>0.98811109052770818</v>
      </c>
      <c r="AJ315" s="261" t="b">
        <f t="shared" si="123"/>
        <v>0</v>
      </c>
      <c r="AK315" s="261" t="b">
        <f t="shared" si="124"/>
        <v>0</v>
      </c>
      <c r="AL315" s="261"/>
      <c r="AM315" s="261"/>
      <c r="AN315" s="75"/>
    </row>
    <row r="316" spans="1:40" s="6" customFormat="1" ht="11.25" customHeight="1" x14ac:dyDescent="0.2">
      <c r="A316" s="56">
        <f t="shared" si="125"/>
        <v>45228</v>
      </c>
      <c r="B316" s="406">
        <f>'2022'!Wh/'2022'!Env_an*'2023'!Env_an</f>
        <v>100.67462940896986</v>
      </c>
      <c r="C316" s="385"/>
      <c r="D316" s="388">
        <f t="shared" si="103"/>
        <v>101.78879057582706</v>
      </c>
      <c r="E316" s="380">
        <f t="shared" si="126"/>
        <v>106.3247780133289</v>
      </c>
      <c r="F316" s="380">
        <f t="shared" si="104"/>
        <v>106.35594057913711</v>
      </c>
      <c r="G316" s="110">
        <f t="shared" si="127"/>
        <v>0.75163208889849553</v>
      </c>
      <c r="H316" s="409" t="b">
        <f>Wh_hp&gt;='2022'!Maxi_hp</f>
        <v>0</v>
      </c>
      <c r="I316" s="385">
        <f>IF(H316,Wh_hp,'2022'!Maxi_hp)</f>
        <v>106.36453669934818</v>
      </c>
      <c r="J316" s="85">
        <f>IF(H316,An,'2022'!An_max)</f>
        <v>2022</v>
      </c>
      <c r="K316" s="193">
        <f t="shared" si="105"/>
        <v>45228</v>
      </c>
      <c r="L316" s="143">
        <f>IF(t&lt;Tvie,1-EXP((T0-t)*PertePVj)+'2022'!Pspv,1-EXP((T0-t)*PertePVj)+Pspv)</f>
        <v>1.0945813979656327E-2</v>
      </c>
      <c r="M316" s="835"/>
      <c r="N316" s="835"/>
      <c r="O316" s="48">
        <f>IF(t&lt;Tnet,'2022'!Resal+('2022'!Salim-'2022'!Resal)*(1-EXP(('2022'!Tnet-t)/('2022'!Tau_j))),Resal+(Salim-Resal)*(1-EXP((Tnet-t)/(Tau_j))))*Salcycl</f>
        <v>4.2661621517170657E-2</v>
      </c>
      <c r="P316" s="165">
        <f>(INDEX(Models!$BJ316:$BT316,,T316)*(1-R316)+INDEX(Models!$BJ316:$BT316,,T316+1)*R316-ERP_i)*Q316*Ramure*Pc/MaxiM</f>
        <v>4.5401300429534215E-4</v>
      </c>
      <c r="Q316" s="301">
        <f t="shared" si="106"/>
        <v>0.5</v>
      </c>
      <c r="R316" s="173">
        <f t="shared" si="107"/>
        <v>0.98817465976494434</v>
      </c>
      <c r="S316" s="801">
        <f t="shared" si="108"/>
        <v>0</v>
      </c>
      <c r="T316" s="172">
        <f t="shared" si="109"/>
        <v>6</v>
      </c>
      <c r="U316" s="247">
        <f t="shared" si="110"/>
        <v>0.98817465976494434</v>
      </c>
      <c r="V316" s="378">
        <f t="shared" si="111"/>
        <v>133.91979464527265</v>
      </c>
      <c r="W316" s="397">
        <f t="shared" si="112"/>
        <v>100.67462940896986</v>
      </c>
      <c r="X316" s="153">
        <f t="shared" si="113"/>
        <v>45228</v>
      </c>
      <c r="Y316" s="380">
        <f t="shared" si="114"/>
        <v>100.67462940896986</v>
      </c>
      <c r="Z316" s="380">
        <f t="shared" si="115"/>
        <v>101.78879057582706</v>
      </c>
      <c r="AA316" s="381">
        <f t="shared" si="116"/>
        <v>106.3247780133289</v>
      </c>
      <c r="AB316" s="193">
        <f t="shared" si="117"/>
        <v>45228</v>
      </c>
      <c r="AC316" s="420">
        <f>IF(OR(t&lt;Tnet,NoTnet),'2022'!Resal_s+('2022'!Salim-'2022'!Resal_s)*(1-EXP(('2022'!Tnet_s-t)/'2022'!Tau_j)),Resal_s+(Salim-Resal_s)*(1-EXP((Tnet_s-t)/Tau_j)))*Salcycl</f>
        <v>4.2661621517170657E-2</v>
      </c>
      <c r="AD316" s="227">
        <f>(INDEX(Models!$BJ316:$BT316,,AH316)*(1-AF316)+INDEX(Models!$BJ316:$BT316,,AH316+1)*AF316-ERP_i)*AE316*Ramure*Pc/MaxiM</f>
        <v>4.5401300429534215E-4</v>
      </c>
      <c r="AE316" s="301">
        <f t="shared" si="118"/>
        <v>0.5</v>
      </c>
      <c r="AF316" s="173">
        <f t="shared" si="119"/>
        <v>0.98817465976494434</v>
      </c>
      <c r="AG316" s="172">
        <f t="shared" si="120"/>
        <v>0</v>
      </c>
      <c r="AH316" s="172">
        <f t="shared" si="121"/>
        <v>6</v>
      </c>
      <c r="AI316" s="221">
        <f t="shared" si="122"/>
        <v>0.98817465976494434</v>
      </c>
      <c r="AJ316" s="261" t="b">
        <f t="shared" si="123"/>
        <v>0</v>
      </c>
      <c r="AK316" s="261" t="b">
        <f t="shared" si="124"/>
        <v>0</v>
      </c>
      <c r="AL316" s="261"/>
      <c r="AM316" s="261"/>
      <c r="AN316" s="75"/>
    </row>
    <row r="317" spans="1:40" s="6" customFormat="1" ht="11.25" customHeight="1" x14ac:dyDescent="0.2">
      <c r="A317" s="56">
        <f t="shared" si="125"/>
        <v>45229</v>
      </c>
      <c r="B317" s="406">
        <f>'2022'!Wh/'2022'!Env_an*'2023'!Env_an</f>
        <v>84.169874866310764</v>
      </c>
      <c r="C317" s="385"/>
      <c r="D317" s="388">
        <f t="shared" si="103"/>
        <v>85.102543709629288</v>
      </c>
      <c r="E317" s="380">
        <f t="shared" si="126"/>
        <v>88.895501365585787</v>
      </c>
      <c r="F317" s="380">
        <f t="shared" si="104"/>
        <v>88.917034333719087</v>
      </c>
      <c r="G317" s="110">
        <f t="shared" si="127"/>
        <v>0.63440908655451467</v>
      </c>
      <c r="H317" s="409" t="b">
        <f>Wh_hp&gt;='2022'!Maxi_hp</f>
        <v>0</v>
      </c>
      <c r="I317" s="385">
        <f>IF(H317,Wh_hp,'2022'!Maxi_hp)</f>
        <v>88.928840015230989</v>
      </c>
      <c r="J317" s="85">
        <f>IF(H317,An,'2022'!An_max)</f>
        <v>2022</v>
      </c>
      <c r="K317" s="193">
        <f t="shared" si="105"/>
        <v>45229</v>
      </c>
      <c r="L317" s="143">
        <f>IF(t&lt;Tvie,1-EXP((T0-t)*PertePVj)+'2022'!Pspv,1-EXP((T0-t)*PertePVj)+Pspv)</f>
        <v>1.0959353300893038E-2</v>
      </c>
      <c r="M317" s="835"/>
      <c r="N317" s="835"/>
      <c r="O317" s="48">
        <f>IF(t&lt;Tnet,'2022'!Resal+('2022'!Salim-'2022'!Resal)*(1-EXP(('2022'!Tnet-t)/('2022'!Tau_j))),Resal+(Salim-Resal)*(1-EXP((Tnet-t)/(Tau_j))))*Salcycl</f>
        <v>4.266759957129692E-2</v>
      </c>
      <c r="P317" s="165">
        <f>(INDEX(Models!$BJ317:$BT317,,T317)*(1-R317)+INDEX(Models!$BJ317:$BT317,,T317+1)*R317-ERP_i)*Q317*Ramure*Pc/MaxiM</f>
        <v>5.0666502324255448E-4</v>
      </c>
      <c r="Q317" s="301">
        <f t="shared" si="106"/>
        <v>0.5</v>
      </c>
      <c r="R317" s="173">
        <f t="shared" si="107"/>
        <v>0.98823568474498691</v>
      </c>
      <c r="S317" s="801">
        <f t="shared" si="108"/>
        <v>0</v>
      </c>
      <c r="T317" s="172">
        <f t="shared" si="109"/>
        <v>6</v>
      </c>
      <c r="U317" s="247">
        <f t="shared" si="110"/>
        <v>0.98823568474498691</v>
      </c>
      <c r="V317" s="378">
        <f t="shared" si="111"/>
        <v>132.63934687846466</v>
      </c>
      <c r="W317" s="397">
        <f t="shared" si="112"/>
        <v>84.169874866310764</v>
      </c>
      <c r="X317" s="153">
        <f t="shared" si="113"/>
        <v>45229</v>
      </c>
      <c r="Y317" s="380">
        <f t="shared" si="114"/>
        <v>84.169874866310764</v>
      </c>
      <c r="Z317" s="380">
        <f t="shared" si="115"/>
        <v>85.102543709629288</v>
      </c>
      <c r="AA317" s="381">
        <f t="shared" si="116"/>
        <v>88.895501365585787</v>
      </c>
      <c r="AB317" s="193">
        <f t="shared" si="117"/>
        <v>45229</v>
      </c>
      <c r="AC317" s="420">
        <f>IF(OR(t&lt;Tnet,NoTnet),'2022'!Resal_s+('2022'!Salim-'2022'!Resal_s)*(1-EXP(('2022'!Tnet_s-t)/'2022'!Tau_j)),Resal_s+(Salim-Resal_s)*(1-EXP((Tnet_s-t)/Tau_j)))*Salcycl</f>
        <v>4.266759957129692E-2</v>
      </c>
      <c r="AD317" s="227">
        <f>(INDEX(Models!$BJ317:$BT317,,AH317)*(1-AF317)+INDEX(Models!$BJ317:$BT317,,AH317+1)*AF317-ERP_i)*AE317*Ramure*Pc/MaxiM</f>
        <v>5.0666502324255448E-4</v>
      </c>
      <c r="AE317" s="301">
        <f t="shared" si="118"/>
        <v>0.5</v>
      </c>
      <c r="AF317" s="173">
        <f t="shared" si="119"/>
        <v>0.98823568474498691</v>
      </c>
      <c r="AG317" s="172">
        <f t="shared" si="120"/>
        <v>0</v>
      </c>
      <c r="AH317" s="172">
        <f t="shared" si="121"/>
        <v>6</v>
      </c>
      <c r="AI317" s="221">
        <f t="shared" si="122"/>
        <v>0.98823568474498691</v>
      </c>
      <c r="AJ317" s="261" t="b">
        <f t="shared" si="123"/>
        <v>0</v>
      </c>
      <c r="AK317" s="261" t="b">
        <f t="shared" si="124"/>
        <v>0</v>
      </c>
      <c r="AL317" s="261"/>
      <c r="AM317" s="261"/>
      <c r="AN317" s="75"/>
    </row>
    <row r="318" spans="1:40" s="6" customFormat="1" ht="11.25" customHeight="1" x14ac:dyDescent="0.2">
      <c r="A318" s="56">
        <f t="shared" si="125"/>
        <v>45230</v>
      </c>
      <c r="B318" s="406">
        <f>'2022'!Wh/'2022'!Env_an*'2023'!Env_an</f>
        <v>85.218088147233686</v>
      </c>
      <c r="C318" s="385"/>
      <c r="D318" s="388">
        <f t="shared" si="103"/>
        <v>86.163551530145611</v>
      </c>
      <c r="E318" s="380">
        <f t="shared" si="126"/>
        <v>90.004341952418827</v>
      </c>
      <c r="F318" s="380">
        <f t="shared" si="104"/>
        <v>90.029530265791195</v>
      </c>
      <c r="G318" s="110">
        <f t="shared" si="127"/>
        <v>0.64858550730913778</v>
      </c>
      <c r="H318" s="409" t="b">
        <f>Wh_hp&gt;='2022'!Maxi_hp</f>
        <v>0</v>
      </c>
      <c r="I318" s="385">
        <f>IF(H318,Wh_hp,'2022'!Maxi_hp)</f>
        <v>90.042264193669411</v>
      </c>
      <c r="J318" s="85">
        <f>IF(H318,An,'2022'!An_max)</f>
        <v>2022</v>
      </c>
      <c r="K318" s="193">
        <f t="shared" si="105"/>
        <v>45230</v>
      </c>
      <c r="L318" s="143">
        <f>IF(t&lt;Tvie,1-EXP((T0-t)*PertePVj)+'2022'!Pspv,1-EXP((T0-t)*PertePVj)+Pspv)</f>
        <v>1.0972892436787895E-2</v>
      </c>
      <c r="M318" s="835"/>
      <c r="N318" s="835"/>
      <c r="O318" s="48">
        <f>IF(t&lt;Tnet,'2022'!Resal+('2022'!Salim-'2022'!Resal)*(1-EXP(('2022'!Tnet-t)/('2022'!Tau_j))),Resal+(Salim-Resal)*(1-EXP((Tnet-t)/(Tau_j))))*Salcycl</f>
        <v>4.2673390404917036E-2</v>
      </c>
      <c r="P318" s="165">
        <f>(INDEX(Models!$BJ318:$BT318,,T318)*(1-R318)+INDEX(Models!$BJ318:$BT318,,T318+1)*R318-ERP_i)*Q318*Ramure*Pc/MaxiM</f>
        <v>5.6153272954463033E-4</v>
      </c>
      <c r="Q318" s="301">
        <f t="shared" si="106"/>
        <v>0.5</v>
      </c>
      <c r="R318" s="173">
        <f t="shared" si="107"/>
        <v>0.98829426671084786</v>
      </c>
      <c r="S318" s="801">
        <f t="shared" si="108"/>
        <v>0</v>
      </c>
      <c r="T318" s="172">
        <f t="shared" si="109"/>
        <v>6</v>
      </c>
      <c r="U318" s="247">
        <f t="shared" si="110"/>
        <v>0.98829426671084786</v>
      </c>
      <c r="V318" s="378">
        <f t="shared" si="111"/>
        <v>131.35364558416546</v>
      </c>
      <c r="W318" s="397">
        <f t="shared" si="112"/>
        <v>85.218088147233686</v>
      </c>
      <c r="X318" s="153">
        <f t="shared" si="113"/>
        <v>45230</v>
      </c>
      <c r="Y318" s="380">
        <f t="shared" si="114"/>
        <v>85.218088147233686</v>
      </c>
      <c r="Z318" s="380">
        <f t="shared" si="115"/>
        <v>86.163551530145611</v>
      </c>
      <c r="AA318" s="381">
        <f t="shared" si="116"/>
        <v>90.004341952418827</v>
      </c>
      <c r="AB318" s="193">
        <f t="shared" si="117"/>
        <v>45230</v>
      </c>
      <c r="AC318" s="420">
        <f>IF(OR(t&lt;Tnet,NoTnet),'2022'!Resal_s+('2022'!Salim-'2022'!Resal_s)*(1-EXP(('2022'!Tnet_s-t)/'2022'!Tau_j)),Resal_s+(Salim-Resal_s)*(1-EXP((Tnet_s-t)/Tau_j)))*Salcycl</f>
        <v>4.2673390404917036E-2</v>
      </c>
      <c r="AD318" s="227">
        <f>(INDEX(Models!$BJ318:$BT318,,AH318)*(1-AF318)+INDEX(Models!$BJ318:$BT318,,AH318+1)*AF318-ERP_i)*AE318*Ramure*Pc/MaxiM</f>
        <v>5.6153272954463033E-4</v>
      </c>
      <c r="AE318" s="301">
        <f t="shared" si="118"/>
        <v>0.5</v>
      </c>
      <c r="AF318" s="173">
        <f t="shared" si="119"/>
        <v>0.98829426671084786</v>
      </c>
      <c r="AG318" s="172">
        <f t="shared" si="120"/>
        <v>0</v>
      </c>
      <c r="AH318" s="172">
        <f t="shared" si="121"/>
        <v>6</v>
      </c>
      <c r="AI318" s="221">
        <f t="shared" si="122"/>
        <v>0.98829426671084786</v>
      </c>
      <c r="AJ318" s="261" t="b">
        <f t="shared" si="123"/>
        <v>0</v>
      </c>
      <c r="AK318" s="261" t="b">
        <f t="shared" si="124"/>
        <v>0</v>
      </c>
      <c r="AL318" s="261"/>
      <c r="AM318" s="261"/>
      <c r="AN318" s="75"/>
    </row>
    <row r="319" spans="1:40" s="6" customFormat="1" ht="11.25" customHeight="1" x14ac:dyDescent="0.2">
      <c r="A319" s="56">
        <f t="shared" si="125"/>
        <v>45231</v>
      </c>
      <c r="B319" s="406">
        <f>'2022'!Wh/'2022'!Env_an*'2023'!Env_an</f>
        <v>84.574823136776473</v>
      </c>
      <c r="C319" s="385"/>
      <c r="D319" s="388">
        <f t="shared" si="103"/>
        <v>85.514320349936341</v>
      </c>
      <c r="E319" s="380">
        <f t="shared" si="126"/>
        <v>89.326697741442814</v>
      </c>
      <c r="F319" s="380">
        <f t="shared" si="104"/>
        <v>89.354253359189869</v>
      </c>
      <c r="G319" s="110">
        <f t="shared" si="127"/>
        <v>0.65004983308693998</v>
      </c>
      <c r="H319" s="409" t="b">
        <f>Wh_hp&gt;='2022'!Maxi_hp</f>
        <v>0</v>
      </c>
      <c r="I319" s="385">
        <f>IF(H319,Wh_hp,'2022'!Maxi_hp)</f>
        <v>89.368067113464861</v>
      </c>
      <c r="J319" s="85">
        <f>IF(H319,An,'2022'!An_max)</f>
        <v>2022</v>
      </c>
      <c r="K319" s="193">
        <f t="shared" si="105"/>
        <v>45231</v>
      </c>
      <c r="L319" s="143">
        <f>IF(t&lt;Tvie,1-EXP((T0-t)*PertePVj)+'2022'!Pspv,1-EXP((T0-t)*PertePVj)+Pspv)</f>
        <v>1.0986431387343232E-2</v>
      </c>
      <c r="M319" s="835"/>
      <c r="N319" s="835"/>
      <c r="O319" s="48">
        <f>IF(t&lt;Tnet,'2022'!Resal+('2022'!Salim-'2022'!Resal)*(1-EXP(('2022'!Tnet-t)/('2022'!Tau_j))),Resal+(Salim-Resal)*(1-EXP((Tnet-t)/(Tau_j))))*Salcycl</f>
        <v>4.2679036479569089E-2</v>
      </c>
      <c r="P319" s="165">
        <f>(INDEX(Models!$BJ319:$BT319,,T319)*(1-R319)+INDEX(Models!$BJ319:$BT319,,T319+1)*R319-ERP_i)*Q319*Ramure*Pc/MaxiM</f>
        <v>6.1633190223323259E-4</v>
      </c>
      <c r="Q319" s="301">
        <f t="shared" si="106"/>
        <v>0.5</v>
      </c>
      <c r="R319" s="173">
        <f t="shared" si="107"/>
        <v>0.98835050292298954</v>
      </c>
      <c r="S319" s="801">
        <f t="shared" si="108"/>
        <v>0</v>
      </c>
      <c r="T319" s="172">
        <f t="shared" si="109"/>
        <v>6</v>
      </c>
      <c r="U319" s="247">
        <f t="shared" si="110"/>
        <v>0.98835050292298954</v>
      </c>
      <c r="V319" s="378">
        <f t="shared" si="111"/>
        <v>130.06506016145198</v>
      </c>
      <c r="W319" s="397">
        <f t="shared" si="112"/>
        <v>84.574823136776473</v>
      </c>
      <c r="X319" s="153">
        <f t="shared" si="113"/>
        <v>45231</v>
      </c>
      <c r="Y319" s="380">
        <f t="shared" si="114"/>
        <v>84.574823136776473</v>
      </c>
      <c r="Z319" s="380">
        <f t="shared" si="115"/>
        <v>85.514320349936341</v>
      </c>
      <c r="AA319" s="381">
        <f t="shared" si="116"/>
        <v>89.326697741442814</v>
      </c>
      <c r="AB319" s="193">
        <f t="shared" si="117"/>
        <v>45231</v>
      </c>
      <c r="AC319" s="420">
        <f>IF(OR(t&lt;Tnet,NoTnet),'2022'!Resal_s+('2022'!Salim-'2022'!Resal_s)*(1-EXP(('2022'!Tnet_s-t)/'2022'!Tau_j)),Resal_s+(Salim-Resal_s)*(1-EXP((Tnet_s-t)/Tau_j)))*Salcycl</f>
        <v>4.2679036479569089E-2</v>
      </c>
      <c r="AD319" s="227">
        <f>(INDEX(Models!$BJ319:$BT319,,AH319)*(1-AF319)+INDEX(Models!$BJ319:$BT319,,AH319+1)*AF319-ERP_i)*AE319*Ramure*Pc/MaxiM</f>
        <v>6.1633190223323259E-4</v>
      </c>
      <c r="AE319" s="301">
        <f t="shared" si="118"/>
        <v>0.5</v>
      </c>
      <c r="AF319" s="173">
        <f t="shared" si="119"/>
        <v>0.98835050292298954</v>
      </c>
      <c r="AG319" s="172">
        <f t="shared" si="120"/>
        <v>0</v>
      </c>
      <c r="AH319" s="172">
        <f t="shared" si="121"/>
        <v>6</v>
      </c>
      <c r="AI319" s="221">
        <f t="shared" si="122"/>
        <v>0.98835050292298954</v>
      </c>
      <c r="AJ319" s="261" t="b">
        <f t="shared" si="123"/>
        <v>0</v>
      </c>
      <c r="AK319" s="261" t="b">
        <f t="shared" si="124"/>
        <v>0</v>
      </c>
      <c r="AL319" s="261"/>
      <c r="AM319" s="261"/>
      <c r="AN319" s="75"/>
    </row>
    <row r="320" spans="1:40" s="6" customFormat="1" ht="11.25" customHeight="1" x14ac:dyDescent="0.2">
      <c r="A320" s="56">
        <f t="shared" si="125"/>
        <v>45232</v>
      </c>
      <c r="B320" s="406">
        <f>'2022'!Wh/'2022'!Env_an*'2023'!Env_an</f>
        <v>112.33814246759972</v>
      </c>
      <c r="C320" s="385"/>
      <c r="D320" s="388">
        <f t="shared" si="103"/>
        <v>113.58760270707864</v>
      </c>
      <c r="E320" s="380">
        <f t="shared" si="126"/>
        <v>118.6522231506746</v>
      </c>
      <c r="F320" s="380">
        <f t="shared" si="104"/>
        <v>118.71736298686564</v>
      </c>
      <c r="G320" s="110">
        <f t="shared" si="127"/>
        <v>0.87224863988701684</v>
      </c>
      <c r="H320" s="409" t="b">
        <f>Wh_hp&gt;='2022'!Maxi_hp</f>
        <v>0</v>
      </c>
      <c r="I320" s="385">
        <f>IF(H320,Wh_hp,'2022'!Maxi_hp)</f>
        <v>118.72465698577568</v>
      </c>
      <c r="J320" s="85">
        <f>IF(H320,An,'2022'!An_max)</f>
        <v>2022</v>
      </c>
      <c r="K320" s="193">
        <f t="shared" si="105"/>
        <v>45232</v>
      </c>
      <c r="L320" s="143">
        <f>IF(t&lt;Tvie,1-EXP((T0-t)*PertePVj)+'2022'!Pspv,1-EXP((T0-t)*PertePVj)+Pspv)</f>
        <v>1.0999970152561822E-2</v>
      </c>
      <c r="M320" s="835"/>
      <c r="N320" s="835"/>
      <c r="O320" s="48">
        <f>IF(t&lt;Tnet,'2022'!Resal+('2022'!Salim-'2022'!Resal)*(1-EXP(('2022'!Tnet-t)/('2022'!Tau_j))),Resal+(Salim-Resal)*(1-EXP((Tnet-t)/(Tau_j))))*Salcycl</f>
        <v>4.2684581115386817E-2</v>
      </c>
      <c r="P320" s="165">
        <f>(INDEX(Models!$BJ320:$BT320,,T320)*(1-R320)+INDEX(Models!$BJ320:$BT320,,T320+1)*R320-ERP_i)*Q320*Ramure*Pc/MaxiM</f>
        <v>6.710650804823404E-4</v>
      </c>
      <c r="Q320" s="301">
        <f t="shared" si="106"/>
        <v>0.5</v>
      </c>
      <c r="R320" s="173">
        <f t="shared" si="107"/>
        <v>0.98840448681234361</v>
      </c>
      <c r="S320" s="801">
        <f t="shared" si="108"/>
        <v>0</v>
      </c>
      <c r="T320" s="172">
        <f t="shared" si="109"/>
        <v>6</v>
      </c>
      <c r="U320" s="247">
        <f t="shared" si="110"/>
        <v>0.98840448681234361</v>
      </c>
      <c r="V320" s="378">
        <f t="shared" si="111"/>
        <v>128.77565313145206</v>
      </c>
      <c r="W320" s="397">
        <f t="shared" si="112"/>
        <v>112.33814246759972</v>
      </c>
      <c r="X320" s="153">
        <f t="shared" si="113"/>
        <v>45232</v>
      </c>
      <c r="Y320" s="380">
        <f t="shared" si="114"/>
        <v>112.33814246759972</v>
      </c>
      <c r="Z320" s="380">
        <f t="shared" si="115"/>
        <v>113.58760270707864</v>
      </c>
      <c r="AA320" s="381">
        <f t="shared" si="116"/>
        <v>118.6522231506746</v>
      </c>
      <c r="AB320" s="193">
        <f t="shared" si="117"/>
        <v>45232</v>
      </c>
      <c r="AC320" s="420">
        <f>IF(OR(t&lt;Tnet,NoTnet),'2022'!Resal_s+('2022'!Salim-'2022'!Resal_s)*(1-EXP(('2022'!Tnet_s-t)/'2022'!Tau_j)),Resal_s+(Salim-Resal_s)*(1-EXP((Tnet_s-t)/Tau_j)))*Salcycl</f>
        <v>4.2684581115386817E-2</v>
      </c>
      <c r="AD320" s="227">
        <f>(INDEX(Models!$BJ320:$BT320,,AH320)*(1-AF320)+INDEX(Models!$BJ320:$BT320,,AH320+1)*AF320-ERP_i)*AE320*Ramure*Pc/MaxiM</f>
        <v>6.710650804823404E-4</v>
      </c>
      <c r="AE320" s="301">
        <f t="shared" si="118"/>
        <v>0.5</v>
      </c>
      <c r="AF320" s="173">
        <f t="shared" si="119"/>
        <v>0.98840448681234361</v>
      </c>
      <c r="AG320" s="172">
        <f t="shared" si="120"/>
        <v>0</v>
      </c>
      <c r="AH320" s="172">
        <f t="shared" si="121"/>
        <v>6</v>
      </c>
      <c r="AI320" s="221">
        <f t="shared" si="122"/>
        <v>0.98840448681234361</v>
      </c>
      <c r="AJ320" s="261" t="b">
        <f t="shared" si="123"/>
        <v>0</v>
      </c>
      <c r="AK320" s="261" t="b">
        <f t="shared" si="124"/>
        <v>0</v>
      </c>
      <c r="AL320" s="261"/>
      <c r="AM320" s="261"/>
      <c r="AN320" s="75"/>
    </row>
    <row r="321" spans="1:40" s="6" customFormat="1" ht="11.25" customHeight="1" x14ac:dyDescent="0.2">
      <c r="A321" s="56">
        <f t="shared" si="125"/>
        <v>45233</v>
      </c>
      <c r="B321" s="406">
        <f>'2022'!Wh/'2022'!Env_an*'2023'!Env_an</f>
        <v>42.898560081991363</v>
      </c>
      <c r="C321" s="385"/>
      <c r="D321" s="388">
        <f t="shared" si="103"/>
        <v>43.37628517757566</v>
      </c>
      <c r="E321" s="380">
        <f t="shared" si="126"/>
        <v>45.310597687824014</v>
      </c>
      <c r="F321" s="380">
        <f t="shared" si="104"/>
        <v>45.312312027634626</v>
      </c>
      <c r="G321" s="110">
        <f t="shared" si="127"/>
        <v>0.3362608375472298</v>
      </c>
      <c r="H321" s="409" t="b">
        <f>Wh_hp&gt;='2022'!Maxi_hp</f>
        <v>0</v>
      </c>
      <c r="I321" s="385">
        <f>IF(H321,Wh_hp,'2022'!Maxi_hp)</f>
        <v>45.327958657850239</v>
      </c>
      <c r="J321" s="85">
        <f>IF(H321,An,'2022'!An_max)</f>
        <v>2022</v>
      </c>
      <c r="K321" s="193">
        <f t="shared" si="105"/>
        <v>45233</v>
      </c>
      <c r="L321" s="143">
        <f>IF(t&lt;Tvie,1-EXP((T0-t)*PertePVj)+'2022'!Pspv,1-EXP((T0-t)*PertePVj)+Pspv)</f>
        <v>1.1013508732445998E-2</v>
      </c>
      <c r="M321" s="835"/>
      <c r="N321" s="835"/>
      <c r="O321" s="48">
        <f>IF(t&lt;Tnet,'2022'!Resal+('2022'!Salim-'2022'!Resal)*(1-EXP(('2022'!Tnet-t)/('2022'!Tau_j))),Resal+(Salim-Resal)*(1-EXP((Tnet-t)/(Tau_j))))*Salcycl</f>
        <v>4.269006830532604E-2</v>
      </c>
      <c r="P321" s="165">
        <f>(INDEX(Models!$BJ321:$BT321,,T321)*(1-R321)+INDEX(Models!$BJ321:$BT321,,T321+1)*R321-ERP_i)*Q321*Ramure*Pc/MaxiM</f>
        <v>7.2573365264111942E-4</v>
      </c>
      <c r="Q321" s="301">
        <f t="shared" si="106"/>
        <v>0.5</v>
      </c>
      <c r="R321" s="173">
        <f t="shared" si="107"/>
        <v>0.98845630812773688</v>
      </c>
      <c r="S321" s="801">
        <f t="shared" si="108"/>
        <v>0</v>
      </c>
      <c r="T321" s="172">
        <f t="shared" si="109"/>
        <v>6</v>
      </c>
      <c r="U321" s="247">
        <f t="shared" si="110"/>
        <v>0.98845630812773688</v>
      </c>
      <c r="V321" s="378">
        <f t="shared" si="111"/>
        <v>127.48748670145854</v>
      </c>
      <c r="W321" s="397">
        <f t="shared" si="112"/>
        <v>42.898560081991363</v>
      </c>
      <c r="X321" s="153">
        <f t="shared" si="113"/>
        <v>45233</v>
      </c>
      <c r="Y321" s="380">
        <f t="shared" si="114"/>
        <v>42.898560081991363</v>
      </c>
      <c r="Z321" s="380">
        <f t="shared" si="115"/>
        <v>43.37628517757566</v>
      </c>
      <c r="AA321" s="381">
        <f t="shared" si="116"/>
        <v>45.310597687824014</v>
      </c>
      <c r="AB321" s="193">
        <f t="shared" si="117"/>
        <v>45233</v>
      </c>
      <c r="AC321" s="420">
        <f>IF(OR(t&lt;Tnet,NoTnet),'2022'!Resal_s+('2022'!Salim-'2022'!Resal_s)*(1-EXP(('2022'!Tnet_s-t)/'2022'!Tau_j)),Resal_s+(Salim-Resal_s)*(1-EXP((Tnet_s-t)/Tau_j)))*Salcycl</f>
        <v>4.269006830532604E-2</v>
      </c>
      <c r="AD321" s="227">
        <f>(INDEX(Models!$BJ321:$BT321,,AH321)*(1-AF321)+INDEX(Models!$BJ321:$BT321,,AH321+1)*AF321-ERP_i)*AE321*Ramure*Pc/MaxiM</f>
        <v>7.2573365264111942E-4</v>
      </c>
      <c r="AE321" s="301">
        <f t="shared" si="118"/>
        <v>0.5</v>
      </c>
      <c r="AF321" s="173">
        <f t="shared" si="119"/>
        <v>0.98845630812773688</v>
      </c>
      <c r="AG321" s="172">
        <f t="shared" si="120"/>
        <v>0</v>
      </c>
      <c r="AH321" s="172">
        <f t="shared" si="121"/>
        <v>6</v>
      </c>
      <c r="AI321" s="221">
        <f t="shared" si="122"/>
        <v>0.98845630812773688</v>
      </c>
      <c r="AJ321" s="261" t="b">
        <f t="shared" si="123"/>
        <v>0</v>
      </c>
      <c r="AK321" s="261" t="b">
        <f t="shared" si="124"/>
        <v>0</v>
      </c>
      <c r="AL321" s="261"/>
      <c r="AM321" s="261"/>
      <c r="AN321" s="75"/>
    </row>
    <row r="322" spans="1:40" s="6" customFormat="1" ht="11.25" customHeight="1" x14ac:dyDescent="0.2">
      <c r="A322" s="56">
        <f t="shared" si="125"/>
        <v>45234</v>
      </c>
      <c r="B322" s="406">
        <f>'2022'!Wh/'2022'!Env_an*'2023'!Env_an</f>
        <v>50.842900024121207</v>
      </c>
      <c r="C322" s="385"/>
      <c r="D322" s="388">
        <f t="shared" si="103"/>
        <v>51.409798292684115</v>
      </c>
      <c r="E322" s="380">
        <f t="shared" si="126"/>
        <v>53.702662607637876</v>
      </c>
      <c r="F322" s="380">
        <f t="shared" si="104"/>
        <v>53.708821565376596</v>
      </c>
      <c r="G322" s="110">
        <f t="shared" si="127"/>
        <v>0.40259901650060231</v>
      </c>
      <c r="H322" s="409" t="b">
        <f>Wh_hp&gt;='2022'!Maxi_hp</f>
        <v>0</v>
      </c>
      <c r="I322" s="385">
        <f>IF(H322,Wh_hp,'2022'!Maxi_hp)</f>
        <v>53.726769074168885</v>
      </c>
      <c r="J322" s="85">
        <f>IF(H322,An,'2022'!An_max)</f>
        <v>2022</v>
      </c>
      <c r="K322" s="193">
        <f t="shared" si="105"/>
        <v>45234</v>
      </c>
      <c r="L322" s="143">
        <f>IF(t&lt;Tvie,1-EXP((T0-t)*PertePVj)+'2022'!Pspv,1-EXP((T0-t)*PertePVj)+Pspv)</f>
        <v>1.1027047126998424E-2</v>
      </c>
      <c r="M322" s="835"/>
      <c r="N322" s="835"/>
      <c r="O322" s="48">
        <f>IF(t&lt;Tnet,'2022'!Resal+('2022'!Salim-'2022'!Resal)*(1-EXP(('2022'!Tnet-t)/('2022'!Tau_j))),Resal+(Salim-Resal)*(1-EXP((Tnet-t)/(Tau_j))))*Salcycl</f>
        <v>4.269554252283303E-2</v>
      </c>
      <c r="P322" s="165">
        <f>(INDEX(Models!$BJ322:$BT322,,T322)*(1-R322)+INDEX(Models!$BJ322:$BT322,,T322+1)*R322-ERP_i)*Q322*Ramure*Pc/MaxiM</f>
        <v>7.8033777344401617E-4</v>
      </c>
      <c r="Q322" s="301">
        <f t="shared" si="106"/>
        <v>0.5</v>
      </c>
      <c r="R322" s="173">
        <f t="shared" si="107"/>
        <v>0.98850605307790929</v>
      </c>
      <c r="S322" s="801">
        <f t="shared" si="108"/>
        <v>0</v>
      </c>
      <c r="T322" s="172">
        <f t="shared" si="109"/>
        <v>6</v>
      </c>
      <c r="U322" s="247">
        <f t="shared" si="110"/>
        <v>0.98850605307790929</v>
      </c>
      <c r="V322" s="378">
        <f t="shared" si="111"/>
        <v>126.20262280437403</v>
      </c>
      <c r="W322" s="397">
        <f t="shared" si="112"/>
        <v>50.842900024121207</v>
      </c>
      <c r="X322" s="153">
        <f t="shared" si="113"/>
        <v>45234</v>
      </c>
      <c r="Y322" s="380">
        <f t="shared" si="114"/>
        <v>50.842900024121207</v>
      </c>
      <c r="Z322" s="380">
        <f t="shared" si="115"/>
        <v>51.409798292684115</v>
      </c>
      <c r="AA322" s="381">
        <f t="shared" si="116"/>
        <v>53.702662607637876</v>
      </c>
      <c r="AB322" s="193">
        <f t="shared" si="117"/>
        <v>45234</v>
      </c>
      <c r="AC322" s="420">
        <f>IF(OR(t&lt;Tnet,NoTnet),'2022'!Resal_s+('2022'!Salim-'2022'!Resal_s)*(1-EXP(('2022'!Tnet_s-t)/'2022'!Tau_j)),Resal_s+(Salim-Resal_s)*(1-EXP((Tnet_s-t)/Tau_j)))*Salcycl</f>
        <v>4.269554252283303E-2</v>
      </c>
      <c r="AD322" s="227">
        <f>(INDEX(Models!$BJ322:$BT322,,AH322)*(1-AF322)+INDEX(Models!$BJ322:$BT322,,AH322+1)*AF322-ERP_i)*AE322*Ramure*Pc/MaxiM</f>
        <v>7.8033777344401617E-4</v>
      </c>
      <c r="AE322" s="301">
        <f t="shared" si="118"/>
        <v>0.5</v>
      </c>
      <c r="AF322" s="173">
        <f t="shared" si="119"/>
        <v>0.98850605307790929</v>
      </c>
      <c r="AG322" s="172">
        <f t="shared" si="120"/>
        <v>0</v>
      </c>
      <c r="AH322" s="172">
        <f t="shared" si="121"/>
        <v>6</v>
      </c>
      <c r="AI322" s="221">
        <f t="shared" si="122"/>
        <v>0.98850605307790929</v>
      </c>
      <c r="AJ322" s="261" t="b">
        <f t="shared" si="123"/>
        <v>0</v>
      </c>
      <c r="AK322" s="261" t="b">
        <f t="shared" si="124"/>
        <v>0</v>
      </c>
      <c r="AL322" s="261"/>
      <c r="AM322" s="261"/>
      <c r="AN322" s="75"/>
    </row>
    <row r="323" spans="1:40" s="6" customFormat="1" ht="11.25" customHeight="1" x14ac:dyDescent="0.2">
      <c r="A323" s="56">
        <f t="shared" si="125"/>
        <v>45235</v>
      </c>
      <c r="B323" s="406">
        <f>'2022'!Wh/'2022'!Env_an*'2023'!Env_an</f>
        <v>119.56737028896697</v>
      </c>
      <c r="C323" s="385"/>
      <c r="D323" s="388">
        <f t="shared" si="103"/>
        <v>120.90220136042379</v>
      </c>
      <c r="E323" s="380">
        <f t="shared" si="126"/>
        <v>126.29513609519942</v>
      </c>
      <c r="F323" s="380">
        <f t="shared" si="104"/>
        <v>126.39419668748458</v>
      </c>
      <c r="G323" s="110">
        <f t="shared" si="127"/>
        <v>0.95707863086323464</v>
      </c>
      <c r="H323" s="409" t="b">
        <f>Wh_hp&gt;='2022'!Maxi_hp</f>
        <v>0</v>
      </c>
      <c r="I323" s="385">
        <f>IF(H323,Wh_hp,'2022'!Maxi_hp)</f>
        <v>126.39744220222137</v>
      </c>
      <c r="J323" s="85">
        <f>IF(H323,An,'2022'!An_max)</f>
        <v>2022</v>
      </c>
      <c r="K323" s="193">
        <f t="shared" si="105"/>
        <v>45235</v>
      </c>
      <c r="L323" s="143">
        <f>IF(t&lt;Tvie,1-EXP((T0-t)*PertePVj)+'2022'!Pspv,1-EXP((T0-t)*PertePVj)+Pspv)</f>
        <v>1.1040585336221653E-2</v>
      </c>
      <c r="M323" s="835"/>
      <c r="N323" s="835"/>
      <c r="O323" s="48">
        <f>IF(t&lt;Tnet,'2022'!Resal+('2022'!Salim-'2022'!Resal)*(1-EXP(('2022'!Tnet-t)/('2022'!Tau_j))),Resal+(Salim-Resal)*(1-EXP((Tnet-t)/(Tau_j))))*Salcycl</f>
        <v>4.2701048524232288E-2</v>
      </c>
      <c r="P323" s="165">
        <f>(INDEX(Models!$BJ323:$BT323,,T323)*(1-R323)+INDEX(Models!$BJ323:$BT323,,T323+1)*R323-ERP_i)*Q323*Ramure*Pc/MaxiM</f>
        <v>8.3487625870145253E-4</v>
      </c>
      <c r="Q323" s="301">
        <f t="shared" si="106"/>
        <v>0.5</v>
      </c>
      <c r="R323" s="173">
        <f t="shared" si="107"/>
        <v>0.98855380446829866</v>
      </c>
      <c r="S323" s="801">
        <f t="shared" si="108"/>
        <v>0</v>
      </c>
      <c r="T323" s="172">
        <f t="shared" si="109"/>
        <v>6</v>
      </c>
      <c r="U323" s="247">
        <f t="shared" si="110"/>
        <v>0.98855380446829866</v>
      </c>
      <c r="V323" s="378">
        <f t="shared" si="111"/>
        <v>124.92312312983942</v>
      </c>
      <c r="W323" s="397">
        <f t="shared" si="112"/>
        <v>119.56737028896697</v>
      </c>
      <c r="X323" s="153">
        <f t="shared" si="113"/>
        <v>45235</v>
      </c>
      <c r="Y323" s="380">
        <f t="shared" si="114"/>
        <v>119.56737028896697</v>
      </c>
      <c r="Z323" s="380">
        <f t="shared" si="115"/>
        <v>120.90220136042379</v>
      </c>
      <c r="AA323" s="381">
        <f t="shared" si="116"/>
        <v>126.29513609519942</v>
      </c>
      <c r="AB323" s="193">
        <f t="shared" si="117"/>
        <v>45235</v>
      </c>
      <c r="AC323" s="420">
        <f>IF(OR(t&lt;Tnet,NoTnet),'2022'!Resal_s+('2022'!Salim-'2022'!Resal_s)*(1-EXP(('2022'!Tnet_s-t)/'2022'!Tau_j)),Resal_s+(Salim-Resal_s)*(1-EXP((Tnet_s-t)/Tau_j)))*Salcycl</f>
        <v>4.2701048524232288E-2</v>
      </c>
      <c r="AD323" s="227">
        <f>(INDEX(Models!$BJ323:$BT323,,AH323)*(1-AF323)+INDEX(Models!$BJ323:$BT323,,AH323+1)*AF323-ERP_i)*AE323*Ramure*Pc/MaxiM</f>
        <v>8.3487625870145253E-4</v>
      </c>
      <c r="AE323" s="301">
        <f t="shared" si="118"/>
        <v>0.5</v>
      </c>
      <c r="AF323" s="173">
        <f t="shared" si="119"/>
        <v>0.98855380446829866</v>
      </c>
      <c r="AG323" s="172">
        <f t="shared" si="120"/>
        <v>0</v>
      </c>
      <c r="AH323" s="172">
        <f t="shared" si="121"/>
        <v>6</v>
      </c>
      <c r="AI323" s="221">
        <f t="shared" si="122"/>
        <v>0.98855380446829866</v>
      </c>
      <c r="AJ323" s="261" t="b">
        <f t="shared" si="123"/>
        <v>0</v>
      </c>
      <c r="AK323" s="261" t="b">
        <f t="shared" si="124"/>
        <v>0</v>
      </c>
      <c r="AL323" s="261"/>
      <c r="AM323" s="261"/>
      <c r="AN323" s="75"/>
    </row>
    <row r="324" spans="1:40" s="6" customFormat="1" ht="11.25" customHeight="1" x14ac:dyDescent="0.2">
      <c r="A324" s="56">
        <f t="shared" si="125"/>
        <v>45236</v>
      </c>
      <c r="B324" s="406">
        <f>'2022'!Wh/'2022'!Env_an*'2023'!Env_an</f>
        <v>119.98909041165227</v>
      </c>
      <c r="C324" s="385"/>
      <c r="D324" s="388">
        <f t="shared" si="103"/>
        <v>121.33029040915402</v>
      </c>
      <c r="E324" s="380">
        <f t="shared" si="126"/>
        <v>126.74305950175911</v>
      </c>
      <c r="F324" s="380">
        <f t="shared" si="104"/>
        <v>126.8509776140715</v>
      </c>
      <c r="G324" s="110">
        <f t="shared" si="127"/>
        <v>0.9703472456518476</v>
      </c>
      <c r="H324" s="409" t="b">
        <f>Wh_hp&gt;='2022'!Maxi_hp</f>
        <v>0</v>
      </c>
      <c r="I324" s="385">
        <f>IF(H324,Wh_hp,'2022'!Maxi_hp)</f>
        <v>126.85337190072234</v>
      </c>
      <c r="J324" s="85">
        <f>IF(H324,An,'2022'!An_max)</f>
        <v>2022</v>
      </c>
      <c r="K324" s="193">
        <f t="shared" si="105"/>
        <v>45236</v>
      </c>
      <c r="L324" s="143">
        <f>IF(t&lt;Tvie,1-EXP((T0-t)*PertePVj)+'2022'!Pspv,1-EXP((T0-t)*PertePVj)+Pspv)</f>
        <v>1.1054123360118129E-2</v>
      </c>
      <c r="M324" s="835"/>
      <c r="N324" s="835"/>
      <c r="O324" s="48">
        <f>IF(t&lt;Tnet,'2022'!Resal+('2022'!Salim-'2022'!Resal)*(1-EXP(('2022'!Tnet-t)/('2022'!Tau_j))),Resal+(Salim-Resal)*(1-EXP((Tnet-t)/(Tau_j))))*Salcycl</f>
        <v>4.2706631147167197E-2</v>
      </c>
      <c r="P324" s="165">
        <f>(INDEX(Models!$BJ324:$BT324,,T324)*(1-R324)+INDEX(Models!$BJ324:$BT324,,T324+1)*R324-ERP_i)*Q324*Ramure*Pc/MaxiM</f>
        <v>8.8833154499731249E-4</v>
      </c>
      <c r="Q324" s="301">
        <f t="shared" si="106"/>
        <v>0.5</v>
      </c>
      <c r="R324" s="173">
        <f t="shared" si="107"/>
        <v>0.98859964183276783</v>
      </c>
      <c r="S324" s="801">
        <f t="shared" si="108"/>
        <v>0</v>
      </c>
      <c r="T324" s="172">
        <f t="shared" si="109"/>
        <v>6</v>
      </c>
      <c r="U324" s="247">
        <f t="shared" si="110"/>
        <v>0.98859964183276783</v>
      </c>
      <c r="V324" s="378">
        <f t="shared" si="111"/>
        <v>123.65117476905975</v>
      </c>
      <c r="W324" s="397">
        <f t="shared" si="112"/>
        <v>119.98909041165227</v>
      </c>
      <c r="X324" s="153">
        <f t="shared" si="113"/>
        <v>45236</v>
      </c>
      <c r="Y324" s="380">
        <f t="shared" si="114"/>
        <v>119.98909041165227</v>
      </c>
      <c r="Z324" s="380">
        <f t="shared" si="115"/>
        <v>121.33029040915402</v>
      </c>
      <c r="AA324" s="381">
        <f t="shared" si="116"/>
        <v>126.74305950175911</v>
      </c>
      <c r="AB324" s="193">
        <f t="shared" si="117"/>
        <v>45236</v>
      </c>
      <c r="AC324" s="420">
        <f>IF(OR(t&lt;Tnet,NoTnet),'2022'!Resal_s+('2022'!Salim-'2022'!Resal_s)*(1-EXP(('2022'!Tnet_s-t)/'2022'!Tau_j)),Resal_s+(Salim-Resal_s)*(1-EXP((Tnet_s-t)/Tau_j)))*Salcycl</f>
        <v>4.2706631147167197E-2</v>
      </c>
      <c r="AD324" s="227">
        <f>(INDEX(Models!$BJ324:$BT324,,AH324)*(1-AF324)+INDEX(Models!$BJ324:$BT324,,AH324+1)*AF324-ERP_i)*AE324*Ramure*Pc/MaxiM</f>
        <v>8.8833154499731249E-4</v>
      </c>
      <c r="AE324" s="301">
        <f t="shared" si="118"/>
        <v>0.5</v>
      </c>
      <c r="AF324" s="173">
        <f t="shared" si="119"/>
        <v>0.98859964183276783</v>
      </c>
      <c r="AG324" s="172">
        <f t="shared" si="120"/>
        <v>0</v>
      </c>
      <c r="AH324" s="172">
        <f t="shared" si="121"/>
        <v>6</v>
      </c>
      <c r="AI324" s="221">
        <f t="shared" si="122"/>
        <v>0.98859964183276783</v>
      </c>
      <c r="AJ324" s="261" t="b">
        <f t="shared" si="123"/>
        <v>0</v>
      </c>
      <c r="AK324" s="261" t="b">
        <f t="shared" si="124"/>
        <v>0</v>
      </c>
      <c r="AL324" s="261"/>
      <c r="AM324" s="261"/>
      <c r="AN324" s="75"/>
    </row>
    <row r="325" spans="1:40" s="6" customFormat="1" ht="11.25" customHeight="1" x14ac:dyDescent="0.2">
      <c r="A325" s="56">
        <f t="shared" si="125"/>
        <v>45237</v>
      </c>
      <c r="B325" s="406">
        <f>'2022'!Wh/'2022'!Env_an*'2023'!Env_an</f>
        <v>115.85442886379576</v>
      </c>
      <c r="C325" s="385"/>
      <c r="D325" s="388">
        <f t="shared" si="103"/>
        <v>117.1510166248821</v>
      </c>
      <c r="E325" s="380">
        <f t="shared" si="126"/>
        <v>122.378069749715</v>
      </c>
      <c r="F325" s="380">
        <f t="shared" si="104"/>
        <v>122.48423941135637</v>
      </c>
      <c r="G325" s="110">
        <f t="shared" si="127"/>
        <v>0.94653944523303557</v>
      </c>
      <c r="H325" s="409" t="b">
        <f>Wh_hp&gt;='2022'!Maxi_hp</f>
        <v>0</v>
      </c>
      <c r="I325" s="385">
        <f>IF(H325,Wh_hp,'2022'!Maxi_hp)</f>
        <v>122.48864217227751</v>
      </c>
      <c r="J325" s="85">
        <f>IF(H325,An,'2022'!An_max)</f>
        <v>2022</v>
      </c>
      <c r="K325" s="193">
        <f t="shared" si="105"/>
        <v>45237</v>
      </c>
      <c r="L325" s="143">
        <f>IF(t&lt;Tvie,1-EXP((T0-t)*PertePVj)+'2022'!Pspv,1-EXP((T0-t)*PertePVj)+Pspv)</f>
        <v>1.1067661198690404E-2</v>
      </c>
      <c r="M325" s="835"/>
      <c r="N325" s="835"/>
      <c r="O325" s="48">
        <f>IF(t&lt;Tnet,'2022'!Resal+('2022'!Salim-'2022'!Resal)*(1-EXP(('2022'!Tnet-t)/('2022'!Tau_j))),Resal+(Salim-Resal)*(1-EXP((Tnet-t)/(Tau_j))))*Salcycl</f>
        <v>4.2712335106470919E-2</v>
      </c>
      <c r="P325" s="165">
        <f>(INDEX(Models!$BJ325:$BT325,,T325)*(1-R325)+INDEX(Models!$BJ325:$BT325,,T325+1)*R325-ERP_i)*Q325*Ramure*Pc/MaxiM</f>
        <v>9.3837772225181446E-4</v>
      </c>
      <c r="Q325" s="301">
        <f t="shared" si="106"/>
        <v>0.5</v>
      </c>
      <c r="R325" s="173">
        <f t="shared" si="107"/>
        <v>0.98864364156043893</v>
      </c>
      <c r="S325" s="801">
        <f t="shared" si="108"/>
        <v>0</v>
      </c>
      <c r="T325" s="172">
        <f t="shared" si="109"/>
        <v>6</v>
      </c>
      <c r="U325" s="247">
        <f t="shared" si="110"/>
        <v>0.98864364156043893</v>
      </c>
      <c r="V325" s="378">
        <f t="shared" si="111"/>
        <v>122.38911961093108</v>
      </c>
      <c r="W325" s="397">
        <f t="shared" si="112"/>
        <v>115.85442886379576</v>
      </c>
      <c r="X325" s="153">
        <f t="shared" si="113"/>
        <v>45237</v>
      </c>
      <c r="Y325" s="380">
        <f t="shared" si="114"/>
        <v>115.85442886379576</v>
      </c>
      <c r="Z325" s="380">
        <f t="shared" si="115"/>
        <v>117.1510166248821</v>
      </c>
      <c r="AA325" s="381">
        <f t="shared" si="116"/>
        <v>122.378069749715</v>
      </c>
      <c r="AB325" s="193">
        <f t="shared" si="117"/>
        <v>45237</v>
      </c>
      <c r="AC325" s="420">
        <f>IF(OR(t&lt;Tnet,NoTnet),'2022'!Resal_s+('2022'!Salim-'2022'!Resal_s)*(1-EXP(('2022'!Tnet_s-t)/'2022'!Tau_j)),Resal_s+(Salim-Resal_s)*(1-EXP((Tnet_s-t)/Tau_j)))*Salcycl</f>
        <v>4.2712335106470919E-2</v>
      </c>
      <c r="AD325" s="227">
        <f>(INDEX(Models!$BJ325:$BT325,,AH325)*(1-AF325)+INDEX(Models!$BJ325:$BT325,,AH325+1)*AF325-ERP_i)*AE325*Ramure*Pc/MaxiM</f>
        <v>9.3837772225181446E-4</v>
      </c>
      <c r="AE325" s="301">
        <f t="shared" si="118"/>
        <v>0.5</v>
      </c>
      <c r="AF325" s="173">
        <f t="shared" si="119"/>
        <v>0.98864364156043893</v>
      </c>
      <c r="AG325" s="172">
        <f t="shared" si="120"/>
        <v>0</v>
      </c>
      <c r="AH325" s="172">
        <f t="shared" si="121"/>
        <v>6</v>
      </c>
      <c r="AI325" s="221">
        <f t="shared" si="122"/>
        <v>0.98864364156043893</v>
      </c>
      <c r="AJ325" s="261" t="b">
        <f t="shared" si="123"/>
        <v>0</v>
      </c>
      <c r="AK325" s="261" t="b">
        <f t="shared" si="124"/>
        <v>0</v>
      </c>
      <c r="AL325" s="261"/>
      <c r="AM325" s="261"/>
      <c r="AN325" s="75"/>
    </row>
    <row r="326" spans="1:40" s="6" customFormat="1" ht="11.25" customHeight="1" x14ac:dyDescent="0.2">
      <c r="A326" s="56">
        <f t="shared" si="125"/>
        <v>45238</v>
      </c>
      <c r="B326" s="406">
        <f>'2022'!Wh/'2022'!Env_an*'2023'!Env_an</f>
        <v>77.551944410116135</v>
      </c>
      <c r="C326" s="385"/>
      <c r="D326" s="388">
        <f t="shared" si="103"/>
        <v>78.420942467757996</v>
      </c>
      <c r="E326" s="380">
        <f t="shared" si="126"/>
        <v>81.920436448353044</v>
      </c>
      <c r="F326" s="380">
        <f t="shared" si="104"/>
        <v>81.959669286879432</v>
      </c>
      <c r="G326" s="110">
        <f t="shared" si="127"/>
        <v>0.63986540339812925</v>
      </c>
      <c r="H326" s="409" t="b">
        <f>Wh_hp&gt;='2022'!Maxi_hp</f>
        <v>0</v>
      </c>
      <c r="I326" s="385">
        <f>IF(H326,Wh_hp,'2022'!Maxi_hp)</f>
        <v>81.980504790373274</v>
      </c>
      <c r="J326" s="85">
        <f>IF(H326,An,'2022'!An_max)</f>
        <v>2022</v>
      </c>
      <c r="K326" s="193">
        <f t="shared" si="105"/>
        <v>45238</v>
      </c>
      <c r="L326" s="143">
        <f>IF(t&lt;Tvie,1-EXP((T0-t)*PertePVj)+'2022'!Pspv,1-EXP((T0-t)*PertePVj)+Pspv)</f>
        <v>1.1081198851941032E-2</v>
      </c>
      <c r="M326" s="835"/>
      <c r="N326" s="835"/>
      <c r="O326" s="48">
        <f>IF(t&lt;Tnet,'2022'!Resal+('2022'!Salim-'2022'!Resal)*(1-EXP(('2022'!Tnet-t)/('2022'!Tau_j))),Resal+(Salim-Resal)*(1-EXP((Tnet-t)/(Tau_j))))*Salcycl</f>
        <v>4.2718204788878493E-2</v>
      </c>
      <c r="P326" s="165">
        <f>(INDEX(Models!$BJ326:$BT326,,T326)*(1-R326)+INDEX(Models!$BJ326:$BT326,,T326+1)*R326-ERP_i)*Q326*Ramure*Pc/MaxiM</f>
        <v>9.8497778570410025E-4</v>
      </c>
      <c r="Q326" s="301">
        <f t="shared" si="106"/>
        <v>0.5</v>
      </c>
      <c r="R326" s="173">
        <f t="shared" si="107"/>
        <v>0.98868587701780497</v>
      </c>
      <c r="S326" s="801">
        <f t="shared" si="108"/>
        <v>0</v>
      </c>
      <c r="T326" s="172">
        <f t="shared" si="109"/>
        <v>6</v>
      </c>
      <c r="U326" s="247">
        <f t="shared" si="110"/>
        <v>0.98868587701780497</v>
      </c>
      <c r="V326" s="378">
        <f t="shared" si="111"/>
        <v>121.13901014187336</v>
      </c>
      <c r="W326" s="397">
        <f t="shared" si="112"/>
        <v>77.551944410116135</v>
      </c>
      <c r="X326" s="153">
        <f t="shared" si="113"/>
        <v>45238</v>
      </c>
      <c r="Y326" s="380">
        <f t="shared" si="114"/>
        <v>77.551944410116135</v>
      </c>
      <c r="Z326" s="380">
        <f t="shared" si="115"/>
        <v>78.420942467757996</v>
      </c>
      <c r="AA326" s="381">
        <f t="shared" si="116"/>
        <v>81.920436448353044</v>
      </c>
      <c r="AB326" s="193">
        <f t="shared" si="117"/>
        <v>45238</v>
      </c>
      <c r="AC326" s="420">
        <f>IF(OR(t&lt;Tnet,NoTnet),'2022'!Resal_s+('2022'!Salim-'2022'!Resal_s)*(1-EXP(('2022'!Tnet_s-t)/'2022'!Tau_j)),Resal_s+(Salim-Resal_s)*(1-EXP((Tnet_s-t)/Tau_j)))*Salcycl</f>
        <v>4.2718204788878493E-2</v>
      </c>
      <c r="AD326" s="227">
        <f>(INDEX(Models!$BJ326:$BT326,,AH326)*(1-AF326)+INDEX(Models!$BJ326:$BT326,,AH326+1)*AF326-ERP_i)*AE326*Ramure*Pc/MaxiM</f>
        <v>9.8497778570410025E-4</v>
      </c>
      <c r="AE326" s="301">
        <f t="shared" si="118"/>
        <v>0.5</v>
      </c>
      <c r="AF326" s="173">
        <f t="shared" si="119"/>
        <v>0.98868587701780497</v>
      </c>
      <c r="AG326" s="172">
        <f t="shared" si="120"/>
        <v>0</v>
      </c>
      <c r="AH326" s="172">
        <f t="shared" si="121"/>
        <v>6</v>
      </c>
      <c r="AI326" s="221">
        <f t="shared" si="122"/>
        <v>0.98868587701780497</v>
      </c>
      <c r="AJ326" s="261" t="b">
        <f t="shared" si="123"/>
        <v>0</v>
      </c>
      <c r="AK326" s="261" t="b">
        <f t="shared" si="124"/>
        <v>0</v>
      </c>
      <c r="AL326" s="261"/>
      <c r="AM326" s="261"/>
      <c r="AN326" s="75"/>
    </row>
    <row r="327" spans="1:40" s="6" customFormat="1" ht="11.25" customHeight="1" x14ac:dyDescent="0.2">
      <c r="A327" s="56">
        <f t="shared" si="125"/>
        <v>45239</v>
      </c>
      <c r="B327" s="406">
        <f>'2022'!Wh/'2022'!Env_an*'2023'!Env_an</f>
        <v>43.756059548411734</v>
      </c>
      <c r="C327" s="385"/>
      <c r="D327" s="388">
        <f t="shared" si="103"/>
        <v>44.246967991228253</v>
      </c>
      <c r="E327" s="380">
        <f t="shared" si="126"/>
        <v>46.221759576576837</v>
      </c>
      <c r="F327" s="380">
        <f t="shared" si="104"/>
        <v>46.226167779456603</v>
      </c>
      <c r="G327" s="110">
        <f t="shared" si="127"/>
        <v>0.36458870829853085</v>
      </c>
      <c r="H327" s="409" t="b">
        <f>Wh_hp&gt;='2022'!Maxi_hp</f>
        <v>0</v>
      </c>
      <c r="I327" s="385">
        <f>IF(H327,Wh_hp,'2022'!Maxi_hp)</f>
        <v>46.247813119200636</v>
      </c>
      <c r="J327" s="85">
        <f>IF(H327,An,'2022'!An_max)</f>
        <v>2022</v>
      </c>
      <c r="K327" s="193">
        <f t="shared" si="105"/>
        <v>45239</v>
      </c>
      <c r="L327" s="143">
        <f>IF(t&lt;Tvie,1-EXP((T0-t)*PertePVj)+'2022'!Pspv,1-EXP((T0-t)*PertePVj)+Pspv)</f>
        <v>1.1094736319872567E-2</v>
      </c>
      <c r="M327" s="835"/>
      <c r="N327" s="835"/>
      <c r="O327" s="48">
        <f>IF(t&lt;Tnet,'2022'!Resal+('2022'!Salim-'2022'!Resal)*(1-EXP(('2022'!Tnet-t)/('2022'!Tau_j))),Resal+(Salim-Resal)*(1-EXP((Tnet-t)/(Tau_j))))*Salcycl</f>
        <v>4.2724284048011922E-2</v>
      </c>
      <c r="P327" s="165">
        <f>(INDEX(Models!$BJ327:$BT327,,T327)*(1-R327)+INDEX(Models!$BJ327:$BT327,,T327+1)*R327-ERP_i)*Q327*Ramure*Pc/MaxiM</f>
        <v>1.0280925128564192E-3</v>
      </c>
      <c r="Q327" s="301">
        <f t="shared" si="106"/>
        <v>0.5</v>
      </c>
      <c r="R327" s="173">
        <f t="shared" si="107"/>
        <v>0.98872641866627453</v>
      </c>
      <c r="S327" s="801">
        <f t="shared" si="108"/>
        <v>0</v>
      </c>
      <c r="T327" s="172">
        <f t="shared" si="109"/>
        <v>6</v>
      </c>
      <c r="U327" s="247">
        <f t="shared" si="110"/>
        <v>0.98872641866627453</v>
      </c>
      <c r="V327" s="378">
        <f t="shared" si="111"/>
        <v>119.90289889174667</v>
      </c>
      <c r="W327" s="397">
        <f t="shared" si="112"/>
        <v>43.756059548411734</v>
      </c>
      <c r="X327" s="153">
        <f t="shared" si="113"/>
        <v>45239</v>
      </c>
      <c r="Y327" s="380">
        <f t="shared" si="114"/>
        <v>43.756059548411734</v>
      </c>
      <c r="Z327" s="380">
        <f t="shared" si="115"/>
        <v>44.246967991228253</v>
      </c>
      <c r="AA327" s="381">
        <f t="shared" si="116"/>
        <v>46.221759576576837</v>
      </c>
      <c r="AB327" s="193">
        <f t="shared" si="117"/>
        <v>45239</v>
      </c>
      <c r="AC327" s="420">
        <f>IF(OR(t&lt;Tnet,NoTnet),'2022'!Resal_s+('2022'!Salim-'2022'!Resal_s)*(1-EXP(('2022'!Tnet_s-t)/'2022'!Tau_j)),Resal_s+(Salim-Resal_s)*(1-EXP((Tnet_s-t)/Tau_j)))*Salcycl</f>
        <v>4.2724284048011922E-2</v>
      </c>
      <c r="AD327" s="227">
        <f>(INDEX(Models!$BJ327:$BT327,,AH327)*(1-AF327)+INDEX(Models!$BJ327:$BT327,,AH327+1)*AF327-ERP_i)*AE327*Ramure*Pc/MaxiM</f>
        <v>1.0280925128564192E-3</v>
      </c>
      <c r="AE327" s="301">
        <f t="shared" si="118"/>
        <v>0.5</v>
      </c>
      <c r="AF327" s="173">
        <f t="shared" si="119"/>
        <v>0.98872641866627453</v>
      </c>
      <c r="AG327" s="172">
        <f t="shared" si="120"/>
        <v>0</v>
      </c>
      <c r="AH327" s="172">
        <f t="shared" si="121"/>
        <v>6</v>
      </c>
      <c r="AI327" s="221">
        <f t="shared" si="122"/>
        <v>0.98872641866627453</v>
      </c>
      <c r="AJ327" s="261" t="b">
        <f t="shared" si="123"/>
        <v>0</v>
      </c>
      <c r="AK327" s="261" t="b">
        <f t="shared" si="124"/>
        <v>0</v>
      </c>
      <c r="AL327" s="261"/>
      <c r="AM327" s="261"/>
      <c r="AN327" s="75"/>
    </row>
    <row r="328" spans="1:40" s="6" customFormat="1" ht="11.25" customHeight="1" x14ac:dyDescent="0.2">
      <c r="A328" s="56">
        <f t="shared" si="125"/>
        <v>45240</v>
      </c>
      <c r="B328" s="406">
        <f>'2022'!Wh/'2022'!Env_an*'2023'!Env_an</f>
        <v>90.860280738550316</v>
      </c>
      <c r="C328" s="385"/>
      <c r="D328" s="388">
        <f t="shared" si="103"/>
        <v>91.880919127061745</v>
      </c>
      <c r="E328" s="380">
        <f t="shared" si="126"/>
        <v>95.982302017469848</v>
      </c>
      <c r="F328" s="380">
        <f t="shared" si="104"/>
        <v>96.050509178576391</v>
      </c>
      <c r="G328" s="110">
        <f t="shared" si="127"/>
        <v>0.76529825659500084</v>
      </c>
      <c r="H328" s="409" t="b">
        <f>Wh_hp&gt;='2022'!Maxi_hp</f>
        <v>0</v>
      </c>
      <c r="I328" s="385">
        <f>IF(H328,Wh_hp,'2022'!Maxi_hp)</f>
        <v>96.067755850477184</v>
      </c>
      <c r="J328" s="85">
        <f>IF(H328,An,'2022'!An_max)</f>
        <v>2022</v>
      </c>
      <c r="K328" s="193">
        <f t="shared" si="105"/>
        <v>45240</v>
      </c>
      <c r="L328" s="143">
        <f>IF(t&lt;Tvie,1-EXP((T0-t)*PertePVj)+'2022'!Pspv,1-EXP((T0-t)*PertePVj)+Pspv)</f>
        <v>1.1108273602487562E-2</v>
      </c>
      <c r="M328" s="835"/>
      <c r="N328" s="835"/>
      <c r="O328" s="48">
        <f>IF(t&lt;Tnet,'2022'!Resal+('2022'!Salim-'2022'!Resal)*(1-EXP(('2022'!Tnet-t)/('2022'!Tau_j))),Resal+(Salim-Resal)*(1-EXP((Tnet-t)/(Tau_j))))*Salcycl</f>
        <v>4.2730616001079066E-2</v>
      </c>
      <c r="P328" s="165">
        <f>(INDEX(Models!$BJ328:$BT328,,T328)*(1-R328)+INDEX(Models!$BJ328:$BT328,,T328+1)*R328-ERP_i)*Q328*Ramure*Pc/MaxiM</f>
        <v>1.0676804989707899E-3</v>
      </c>
      <c r="Q328" s="301">
        <f t="shared" si="106"/>
        <v>0.5</v>
      </c>
      <c r="R328" s="173">
        <f t="shared" si="107"/>
        <v>0.98876533417530965</v>
      </c>
      <c r="S328" s="801">
        <f t="shared" si="108"/>
        <v>0</v>
      </c>
      <c r="T328" s="172">
        <f t="shared" si="109"/>
        <v>6</v>
      </c>
      <c r="U328" s="247">
        <f t="shared" si="110"/>
        <v>0.98876533417530965</v>
      </c>
      <c r="V328" s="378">
        <f t="shared" si="111"/>
        <v>118.68283849780615</v>
      </c>
      <c r="W328" s="397">
        <f t="shared" si="112"/>
        <v>90.860280738550316</v>
      </c>
      <c r="X328" s="153">
        <f t="shared" si="113"/>
        <v>45240</v>
      </c>
      <c r="Y328" s="380">
        <f t="shared" si="114"/>
        <v>90.860280738550316</v>
      </c>
      <c r="Z328" s="380">
        <f t="shared" si="115"/>
        <v>91.880919127061745</v>
      </c>
      <c r="AA328" s="381">
        <f t="shared" si="116"/>
        <v>95.982302017469848</v>
      </c>
      <c r="AB328" s="193">
        <f t="shared" si="117"/>
        <v>45240</v>
      </c>
      <c r="AC328" s="420">
        <f>IF(OR(t&lt;Tnet,NoTnet),'2022'!Resal_s+('2022'!Salim-'2022'!Resal_s)*(1-EXP(('2022'!Tnet_s-t)/'2022'!Tau_j)),Resal_s+(Salim-Resal_s)*(1-EXP((Tnet_s-t)/Tau_j)))*Salcycl</f>
        <v>4.2730616001079066E-2</v>
      </c>
      <c r="AD328" s="227">
        <f>(INDEX(Models!$BJ328:$BT328,,AH328)*(1-AF328)+INDEX(Models!$BJ328:$BT328,,AH328+1)*AF328-ERP_i)*AE328*Ramure*Pc/MaxiM</f>
        <v>1.0676804989707899E-3</v>
      </c>
      <c r="AE328" s="301">
        <f t="shared" si="118"/>
        <v>0.5</v>
      </c>
      <c r="AF328" s="173">
        <f t="shared" si="119"/>
        <v>0.98876533417530965</v>
      </c>
      <c r="AG328" s="172">
        <f t="shared" si="120"/>
        <v>0</v>
      </c>
      <c r="AH328" s="172">
        <f t="shared" si="121"/>
        <v>6</v>
      </c>
      <c r="AI328" s="221">
        <f t="shared" si="122"/>
        <v>0.98876533417530965</v>
      </c>
      <c r="AJ328" s="261" t="b">
        <f t="shared" si="123"/>
        <v>0</v>
      </c>
      <c r="AK328" s="261" t="b">
        <f t="shared" si="124"/>
        <v>0</v>
      </c>
      <c r="AL328" s="261"/>
      <c r="AM328" s="261"/>
      <c r="AN328" s="75"/>
    </row>
    <row r="329" spans="1:40" s="6" customFormat="1" ht="11.25" customHeight="1" x14ac:dyDescent="0.2">
      <c r="A329" s="56">
        <f t="shared" si="125"/>
        <v>45241</v>
      </c>
      <c r="B329" s="406">
        <f>'2022'!Wh/'2022'!Env_an*'2023'!Env_an</f>
        <v>110.56069057230359</v>
      </c>
      <c r="C329" s="385"/>
      <c r="D329" s="388">
        <f t="shared" si="103"/>
        <v>111.80415522213393</v>
      </c>
      <c r="E329" s="380">
        <f t="shared" si="126"/>
        <v>116.79568058462516</v>
      </c>
      <c r="F329" s="380">
        <f t="shared" si="104"/>
        <v>116.91385971849502</v>
      </c>
      <c r="G329" s="110">
        <f t="shared" si="127"/>
        <v>0.94100767786661277</v>
      </c>
      <c r="H329" s="409" t="b">
        <f>Wh_hp&gt;='2022'!Maxi_hp</f>
        <v>0</v>
      </c>
      <c r="I329" s="385">
        <f>IF(H329,Wh_hp,'2022'!Maxi_hp)</f>
        <v>116.91931335378777</v>
      </c>
      <c r="J329" s="85">
        <f>IF(H329,An,'2022'!An_max)</f>
        <v>2022</v>
      </c>
      <c r="K329" s="193">
        <f t="shared" si="105"/>
        <v>45241</v>
      </c>
      <c r="L329" s="143">
        <f>IF(t&lt;Tvie,1-EXP((T0-t)*PertePVj)+'2022'!Pspv,1-EXP((T0-t)*PertePVj)+Pspv)</f>
        <v>1.1121810699788459E-2</v>
      </c>
      <c r="M329" s="835"/>
      <c r="N329" s="835"/>
      <c r="O329" s="48">
        <f>IF(t&lt;Tnet,'2022'!Resal+('2022'!Salim-'2022'!Resal)*(1-EXP(('2022'!Tnet-t)/('2022'!Tau_j))),Resal+(Salim-Resal)*(1-EXP((Tnet-t)/(Tau_j))))*Salcycl</f>
        <v>4.2737242828724119E-2</v>
      </c>
      <c r="P329" s="165">
        <f>(INDEX(Models!$BJ329:$BT329,,T329)*(1-R329)+INDEX(Models!$BJ329:$BT329,,T329+1)*R329-ERP_i)*Q329*Ramure*Pc/MaxiM</f>
        <v>1.1036982110049899E-3</v>
      </c>
      <c r="Q329" s="301">
        <f t="shared" si="106"/>
        <v>0.5</v>
      </c>
      <c r="R329" s="173">
        <f t="shared" si="107"/>
        <v>0.98880268853130682</v>
      </c>
      <c r="S329" s="801">
        <f t="shared" si="108"/>
        <v>0</v>
      </c>
      <c r="T329" s="172">
        <f t="shared" si="109"/>
        <v>6</v>
      </c>
      <c r="U329" s="247">
        <f t="shared" si="110"/>
        <v>0.98880268853130682</v>
      </c>
      <c r="V329" s="378">
        <f t="shared" si="111"/>
        <v>117.48088177713342</v>
      </c>
      <c r="W329" s="397">
        <f t="shared" si="112"/>
        <v>110.56069057230359</v>
      </c>
      <c r="X329" s="153">
        <f t="shared" si="113"/>
        <v>45241</v>
      </c>
      <c r="Y329" s="380">
        <f t="shared" si="114"/>
        <v>110.56069057230359</v>
      </c>
      <c r="Z329" s="380">
        <f t="shared" si="115"/>
        <v>111.80415522213393</v>
      </c>
      <c r="AA329" s="381">
        <f t="shared" si="116"/>
        <v>116.79568058462516</v>
      </c>
      <c r="AB329" s="193">
        <f t="shared" si="117"/>
        <v>45241</v>
      </c>
      <c r="AC329" s="420">
        <f>IF(OR(t&lt;Tnet,NoTnet),'2022'!Resal_s+('2022'!Salim-'2022'!Resal_s)*(1-EXP(('2022'!Tnet_s-t)/'2022'!Tau_j)),Resal_s+(Salim-Resal_s)*(1-EXP((Tnet_s-t)/Tau_j)))*Salcycl</f>
        <v>4.2737242828724119E-2</v>
      </c>
      <c r="AD329" s="227">
        <f>(INDEX(Models!$BJ329:$BT329,,AH329)*(1-AF329)+INDEX(Models!$BJ329:$BT329,,AH329+1)*AF329-ERP_i)*AE329*Ramure*Pc/MaxiM</f>
        <v>1.1036982110049899E-3</v>
      </c>
      <c r="AE329" s="301">
        <f t="shared" si="118"/>
        <v>0.5</v>
      </c>
      <c r="AF329" s="173">
        <f t="shared" si="119"/>
        <v>0.98880268853130682</v>
      </c>
      <c r="AG329" s="172">
        <f t="shared" si="120"/>
        <v>0</v>
      </c>
      <c r="AH329" s="172">
        <f t="shared" si="121"/>
        <v>6</v>
      </c>
      <c r="AI329" s="221">
        <f t="shared" si="122"/>
        <v>0.98880268853130682</v>
      </c>
      <c r="AJ329" s="261" t="b">
        <f t="shared" si="123"/>
        <v>0</v>
      </c>
      <c r="AK329" s="261" t="b">
        <f t="shared" si="124"/>
        <v>0</v>
      </c>
      <c r="AL329" s="261"/>
      <c r="AM329" s="261"/>
      <c r="AN329" s="75"/>
    </row>
    <row r="330" spans="1:40" s="6" customFormat="1" ht="11.25" customHeight="1" x14ac:dyDescent="0.2">
      <c r="A330" s="56">
        <f t="shared" si="125"/>
        <v>45242</v>
      </c>
      <c r="B330" s="406">
        <f>'2022'!Wh/'2022'!Env_an*'2023'!Env_an</f>
        <v>109.02965840000272</v>
      </c>
      <c r="C330" s="385"/>
      <c r="D330" s="388">
        <f t="shared" si="103"/>
        <v>110.25741302076429</v>
      </c>
      <c r="E330" s="380">
        <f t="shared" si="126"/>
        <v>115.18072145753472</v>
      </c>
      <c r="F330" s="380">
        <f t="shared" si="104"/>
        <v>115.30001689251367</v>
      </c>
      <c r="G330" s="110">
        <f t="shared" si="127"/>
        <v>0.93739851134396202</v>
      </c>
      <c r="H330" s="409" t="b">
        <f>Wh_hp&gt;='2022'!Maxi_hp</f>
        <v>0</v>
      </c>
      <c r="I330" s="385">
        <f>IF(H330,Wh_hp,'2022'!Maxi_hp)</f>
        <v>115.3058916610667</v>
      </c>
      <c r="J330" s="85">
        <f>IF(H330,An,'2022'!An_max)</f>
        <v>2022</v>
      </c>
      <c r="K330" s="193">
        <f t="shared" si="105"/>
        <v>45242</v>
      </c>
      <c r="L330" s="143">
        <f>IF(t&lt;Tvie,1-EXP((T0-t)*PertePVj)+'2022'!Pspv,1-EXP((T0-t)*PertePVj)+Pspv)</f>
        <v>1.1135347611777924E-2</v>
      </c>
      <c r="M330" s="835"/>
      <c r="N330" s="835"/>
      <c r="O330" s="48">
        <f>IF(t&lt;Tnet,'2022'!Resal+('2022'!Salim-'2022'!Resal)*(1-EXP(('2022'!Tnet-t)/('2022'!Tau_j))),Resal+(Salim-Resal)*(1-EXP((Tnet-t)/(Tau_j))))*Salcycl</f>
        <v>4.2744205579451654E-2</v>
      </c>
      <c r="P330" s="165">
        <f>(INDEX(Models!$BJ330:$BT330,,T330)*(1-R330)+INDEX(Models!$BJ330:$BT330,,T330+1)*R330-ERP_i)*Q330*Ramure*Pc/MaxiM</f>
        <v>1.1361000676812388E-3</v>
      </c>
      <c r="Q330" s="301">
        <f t="shared" si="106"/>
        <v>0.5</v>
      </c>
      <c r="R330" s="173">
        <f t="shared" si="107"/>
        <v>0.98883854414236994</v>
      </c>
      <c r="S330" s="801">
        <f t="shared" si="108"/>
        <v>0</v>
      </c>
      <c r="T330" s="172">
        <f t="shared" si="109"/>
        <v>6</v>
      </c>
      <c r="U330" s="247">
        <f t="shared" si="110"/>
        <v>0.98883854414236994</v>
      </c>
      <c r="V330" s="378">
        <f t="shared" si="111"/>
        <v>116.29908178455956</v>
      </c>
      <c r="W330" s="397">
        <f t="shared" si="112"/>
        <v>109.02965840000272</v>
      </c>
      <c r="X330" s="153">
        <f t="shared" si="113"/>
        <v>45242</v>
      </c>
      <c r="Y330" s="380">
        <f t="shared" si="114"/>
        <v>109.02965840000272</v>
      </c>
      <c r="Z330" s="380">
        <f t="shared" si="115"/>
        <v>110.25741302076429</v>
      </c>
      <c r="AA330" s="381">
        <f t="shared" si="116"/>
        <v>115.18072145753472</v>
      </c>
      <c r="AB330" s="193">
        <f t="shared" si="117"/>
        <v>45242</v>
      </c>
      <c r="AC330" s="420">
        <f>IF(OR(t&lt;Tnet,NoTnet),'2022'!Resal_s+('2022'!Salim-'2022'!Resal_s)*(1-EXP(('2022'!Tnet_s-t)/'2022'!Tau_j)),Resal_s+(Salim-Resal_s)*(1-EXP((Tnet_s-t)/Tau_j)))*Salcycl</f>
        <v>4.2744205579451654E-2</v>
      </c>
      <c r="AD330" s="227">
        <f>(INDEX(Models!$BJ330:$BT330,,AH330)*(1-AF330)+INDEX(Models!$BJ330:$BT330,,AH330+1)*AF330-ERP_i)*AE330*Ramure*Pc/MaxiM</f>
        <v>1.1361000676812388E-3</v>
      </c>
      <c r="AE330" s="301">
        <f t="shared" si="118"/>
        <v>0.5</v>
      </c>
      <c r="AF330" s="173">
        <f t="shared" si="119"/>
        <v>0.98883854414236994</v>
      </c>
      <c r="AG330" s="172">
        <f t="shared" si="120"/>
        <v>0</v>
      </c>
      <c r="AH330" s="172">
        <f t="shared" si="121"/>
        <v>6</v>
      </c>
      <c r="AI330" s="221">
        <f t="shared" si="122"/>
        <v>0.98883854414236994</v>
      </c>
      <c r="AJ330" s="261" t="b">
        <f t="shared" si="123"/>
        <v>0</v>
      </c>
      <c r="AK330" s="261" t="b">
        <f t="shared" si="124"/>
        <v>0</v>
      </c>
      <c r="AL330" s="261"/>
      <c r="AM330" s="261"/>
      <c r="AN330" s="75"/>
    </row>
    <row r="331" spans="1:40" s="6" customFormat="1" ht="11.25" customHeight="1" x14ac:dyDescent="0.2">
      <c r="A331" s="56">
        <f t="shared" si="125"/>
        <v>45243</v>
      </c>
      <c r="B331" s="406">
        <f>'2022'!Wh/'2022'!Env_an*'2023'!Env_an</f>
        <v>107.68377935414459</v>
      </c>
      <c r="C331" s="385"/>
      <c r="D331" s="388">
        <f t="shared" si="103"/>
        <v>108.89786910146137</v>
      </c>
      <c r="E331" s="380">
        <f t="shared" si="126"/>
        <v>113.76134212243457</v>
      </c>
      <c r="F331" s="380">
        <f t="shared" si="104"/>
        <v>113.88176134597381</v>
      </c>
      <c r="G331" s="110">
        <f t="shared" si="127"/>
        <v>0.93526043033379991</v>
      </c>
      <c r="H331" s="409" t="b">
        <f>Wh_hp&gt;='2022'!Maxi_hp</f>
        <v>0</v>
      </c>
      <c r="I331" s="385">
        <f>IF(H331,Wh_hp,'2022'!Maxi_hp)</f>
        <v>113.88791436897183</v>
      </c>
      <c r="J331" s="85">
        <f>IF(H331,An,'2022'!An_max)</f>
        <v>2022</v>
      </c>
      <c r="K331" s="193">
        <f t="shared" si="105"/>
        <v>45243</v>
      </c>
      <c r="L331" s="143">
        <f>IF(t&lt;Tvie,1-EXP((T0-t)*PertePVj)+'2022'!Pspv,1-EXP((T0-t)*PertePVj)+Pspv)</f>
        <v>1.1148884338458398E-2</v>
      </c>
      <c r="M331" s="835"/>
      <c r="N331" s="835"/>
      <c r="O331" s="48">
        <f>IF(t&lt;Tnet,'2022'!Resal+('2022'!Salim-'2022'!Resal)*(1-EXP(('2022'!Tnet-t)/('2022'!Tau_j))),Resal+(Salim-Resal)*(1-EXP((Tnet-t)/(Tau_j))))*Salcycl</f>
        <v>4.2751543980018555E-2</v>
      </c>
      <c r="P331" s="165">
        <f>(INDEX(Models!$BJ331:$BT331,,T331)*(1-R331)+INDEX(Models!$BJ331:$BT331,,T331+1)*R331-ERP_i)*Q331*Ramure*Pc/MaxiM</f>
        <v>1.1649814900314057E-3</v>
      </c>
      <c r="Q331" s="301">
        <f t="shared" si="106"/>
        <v>0.5</v>
      </c>
      <c r="R331" s="173">
        <f t="shared" si="107"/>
        <v>0.98887296093912069</v>
      </c>
      <c r="S331" s="801">
        <f t="shared" si="108"/>
        <v>0</v>
      </c>
      <c r="T331" s="172">
        <f t="shared" si="109"/>
        <v>6</v>
      </c>
      <c r="U331" s="247">
        <f t="shared" si="110"/>
        <v>0.98887296093912069</v>
      </c>
      <c r="V331" s="378">
        <f t="shared" si="111"/>
        <v>115.12534844002224</v>
      </c>
      <c r="W331" s="397">
        <f t="shared" si="112"/>
        <v>107.68377935414459</v>
      </c>
      <c r="X331" s="153">
        <f t="shared" si="113"/>
        <v>45243</v>
      </c>
      <c r="Y331" s="380">
        <f t="shared" si="114"/>
        <v>107.68377935414459</v>
      </c>
      <c r="Z331" s="380">
        <f t="shared" si="115"/>
        <v>108.89786910146137</v>
      </c>
      <c r="AA331" s="381">
        <f t="shared" si="116"/>
        <v>113.76134212243457</v>
      </c>
      <c r="AB331" s="193">
        <f t="shared" si="117"/>
        <v>45243</v>
      </c>
      <c r="AC331" s="420">
        <f>IF(OR(t&lt;Tnet,NoTnet),'2022'!Resal_s+('2022'!Salim-'2022'!Resal_s)*(1-EXP(('2022'!Tnet_s-t)/'2022'!Tau_j)),Resal_s+(Salim-Resal_s)*(1-EXP((Tnet_s-t)/Tau_j)))*Salcycl</f>
        <v>4.2751543980018555E-2</v>
      </c>
      <c r="AD331" s="227">
        <f>(INDEX(Models!$BJ331:$BT331,,AH331)*(1-AF331)+INDEX(Models!$BJ331:$BT331,,AH331+1)*AF331-ERP_i)*AE331*Ramure*Pc/MaxiM</f>
        <v>1.1649814900314057E-3</v>
      </c>
      <c r="AE331" s="301">
        <f t="shared" si="118"/>
        <v>0.5</v>
      </c>
      <c r="AF331" s="173">
        <f t="shared" si="119"/>
        <v>0.98887296093912069</v>
      </c>
      <c r="AG331" s="172">
        <f t="shared" si="120"/>
        <v>0</v>
      </c>
      <c r="AH331" s="172">
        <f t="shared" si="121"/>
        <v>6</v>
      </c>
      <c r="AI331" s="221">
        <f t="shared" si="122"/>
        <v>0.98887296093912069</v>
      </c>
      <c r="AJ331" s="261" t="b">
        <f t="shared" si="123"/>
        <v>0</v>
      </c>
      <c r="AK331" s="261" t="b">
        <f t="shared" si="124"/>
        <v>0</v>
      </c>
      <c r="AL331" s="261"/>
      <c r="AM331" s="261"/>
      <c r="AN331" s="75"/>
    </row>
    <row r="332" spans="1:40" s="6" customFormat="1" ht="11.25" customHeight="1" x14ac:dyDescent="0.2">
      <c r="A332" s="56">
        <f t="shared" si="125"/>
        <v>45244</v>
      </c>
      <c r="B332" s="406">
        <f>'2022'!Wh/'2022'!Env_an*'2023'!Env_an</f>
        <v>41.092303687927668</v>
      </c>
      <c r="C332" s="385"/>
      <c r="D332" s="388">
        <f t="shared" si="103"/>
        <v>41.556171160576376</v>
      </c>
      <c r="E332" s="380">
        <f t="shared" si="126"/>
        <v>43.412457282600222</v>
      </c>
      <c r="F332" s="380">
        <f t="shared" si="104"/>
        <v>43.416935003431064</v>
      </c>
      <c r="G332" s="110">
        <f t="shared" si="127"/>
        <v>0.36022807431701265</v>
      </c>
      <c r="H332" s="409" t="b">
        <f>Wh_hp&gt;='2022'!Maxi_hp</f>
        <v>0</v>
      </c>
      <c r="I332" s="385">
        <f>IF(H332,Wh_hp,'2022'!Maxi_hp)</f>
        <v>43.440643377111911</v>
      </c>
      <c r="J332" s="85">
        <f>IF(H332,An,'2022'!An_max)</f>
        <v>2022</v>
      </c>
      <c r="K332" s="193">
        <f t="shared" si="105"/>
        <v>45244</v>
      </c>
      <c r="L332" s="143">
        <f>IF(t&lt;Tvie,1-EXP((T0-t)*PertePVj)+'2022'!Pspv,1-EXP((T0-t)*PertePVj)+Pspv)</f>
        <v>1.1162420879832435E-2</v>
      </c>
      <c r="M332" s="835"/>
      <c r="N332" s="835"/>
      <c r="O332" s="48">
        <f>IF(t&lt;Tnet,'2022'!Resal+('2022'!Salim-'2022'!Resal)*(1-EXP(('2022'!Tnet-t)/('2022'!Tau_j))),Resal+(Salim-Resal)*(1-EXP((Tnet-t)/(Tau_j))))*Salcycl</f>
        <v>4.2759296253148275E-2</v>
      </c>
      <c r="P332" s="165">
        <f>(INDEX(Models!$BJ332:$BT332,,T332)*(1-R332)+INDEX(Models!$BJ332:$BT332,,T332+1)*R332-ERP_i)*Q332*Ramure*Pc/MaxiM</f>
        <v>1.1909051773058802E-3</v>
      </c>
      <c r="Q332" s="301">
        <f t="shared" si="106"/>
        <v>0.5</v>
      </c>
      <c r="R332" s="173">
        <f t="shared" si="107"/>
        <v>0.98890599647168242</v>
      </c>
      <c r="S332" s="801">
        <f t="shared" si="108"/>
        <v>0</v>
      </c>
      <c r="T332" s="172">
        <f t="shared" si="109"/>
        <v>6</v>
      </c>
      <c r="U332" s="247">
        <f t="shared" si="110"/>
        <v>0.98890599647168242</v>
      </c>
      <c r="V332" s="378">
        <f t="shared" si="111"/>
        <v>113.94891997975527</v>
      </c>
      <c r="W332" s="397">
        <f t="shared" si="112"/>
        <v>41.092303687927668</v>
      </c>
      <c r="X332" s="153">
        <f t="shared" si="113"/>
        <v>45244</v>
      </c>
      <c r="Y332" s="380">
        <f t="shared" si="114"/>
        <v>41.092303687927668</v>
      </c>
      <c r="Z332" s="380">
        <f t="shared" si="115"/>
        <v>41.556171160576376</v>
      </c>
      <c r="AA332" s="381">
        <f t="shared" si="116"/>
        <v>43.412457282600222</v>
      </c>
      <c r="AB332" s="193">
        <f t="shared" si="117"/>
        <v>45244</v>
      </c>
      <c r="AC332" s="420">
        <f>IF(OR(t&lt;Tnet,NoTnet),'2022'!Resal_s+('2022'!Salim-'2022'!Resal_s)*(1-EXP(('2022'!Tnet_s-t)/'2022'!Tau_j)),Resal_s+(Salim-Resal_s)*(1-EXP((Tnet_s-t)/Tau_j)))*Salcycl</f>
        <v>4.2759296253148275E-2</v>
      </c>
      <c r="AD332" s="227">
        <f>(INDEX(Models!$BJ332:$BT332,,AH332)*(1-AF332)+INDEX(Models!$BJ332:$BT332,,AH332+1)*AF332-ERP_i)*AE332*Ramure*Pc/MaxiM</f>
        <v>1.1909051773058802E-3</v>
      </c>
      <c r="AE332" s="301">
        <f t="shared" si="118"/>
        <v>0.5</v>
      </c>
      <c r="AF332" s="173">
        <f t="shared" si="119"/>
        <v>0.98890599647168242</v>
      </c>
      <c r="AG332" s="172">
        <f t="shared" si="120"/>
        <v>0</v>
      </c>
      <c r="AH332" s="172">
        <f t="shared" si="121"/>
        <v>6</v>
      </c>
      <c r="AI332" s="221">
        <f t="shared" si="122"/>
        <v>0.98890599647168242</v>
      </c>
      <c r="AJ332" s="261" t="b">
        <f t="shared" si="123"/>
        <v>0</v>
      </c>
      <c r="AK332" s="261" t="b">
        <f t="shared" si="124"/>
        <v>0</v>
      </c>
      <c r="AL332" s="261"/>
      <c r="AM332" s="261"/>
      <c r="AN332" s="75"/>
    </row>
    <row r="333" spans="1:40" s="6" customFormat="1" ht="11.25" customHeight="1" x14ac:dyDescent="0.2">
      <c r="A333" s="56">
        <f t="shared" si="125"/>
        <v>45245</v>
      </c>
      <c r="B333" s="406">
        <f>'2022'!Wh/'2022'!Env_an*'2023'!Env_an</f>
        <v>51.696327276721199</v>
      </c>
      <c r="C333" s="385"/>
      <c r="D333" s="388">
        <f t="shared" si="103"/>
        <v>52.280613173818558</v>
      </c>
      <c r="E333" s="380">
        <f t="shared" si="126"/>
        <v>54.616420896842236</v>
      </c>
      <c r="F333" s="380">
        <f t="shared" si="104"/>
        <v>54.631461930722089</v>
      </c>
      <c r="G333" s="110">
        <f t="shared" si="127"/>
        <v>0.45797641065129469</v>
      </c>
      <c r="H333" s="409" t="b">
        <f>Wh_hp&gt;='2022'!Maxi_hp</f>
        <v>0</v>
      </c>
      <c r="I333" s="385">
        <f>IF(H333,Wh_hp,'2022'!Maxi_hp)</f>
        <v>54.6572788100165</v>
      </c>
      <c r="J333" s="85">
        <f>IF(H333,An,'2022'!An_max)</f>
        <v>2022</v>
      </c>
      <c r="K333" s="193">
        <f t="shared" si="105"/>
        <v>45245</v>
      </c>
      <c r="L333" s="143">
        <f>IF(t&lt;Tvie,1-EXP((T0-t)*PertePVj)+'2022'!Pspv,1-EXP((T0-t)*PertePVj)+Pspv)</f>
        <v>1.1175957235902589E-2</v>
      </c>
      <c r="M333" s="835"/>
      <c r="N333" s="835"/>
      <c r="O333" s="48">
        <f>IF(t&lt;Tnet,'2022'!Resal+('2022'!Salim-'2022'!Resal)*(1-EXP(('2022'!Tnet-t)/('2022'!Tau_j))),Resal+(Salim-Resal)*(1-EXP((Tnet-t)/(Tau_j))))*Salcycl</f>
        <v>4.2767498943870309E-2</v>
      </c>
      <c r="P333" s="165">
        <f>(INDEX(Models!$BJ333:$BT333,,T333)*(1-R333)+INDEX(Models!$BJ333:$BT333,,T333+1)*R333-ERP_i)*Q333*Ramure*Pc/MaxiM</f>
        <v>1.2166221304048337E-3</v>
      </c>
      <c r="Q333" s="301">
        <f t="shared" si="106"/>
        <v>0.5</v>
      </c>
      <c r="R333" s="173">
        <f t="shared" si="107"/>
        <v>0.98893770600297748</v>
      </c>
      <c r="S333" s="801">
        <f t="shared" si="108"/>
        <v>0</v>
      </c>
      <c r="T333" s="172">
        <f t="shared" si="109"/>
        <v>6</v>
      </c>
      <c r="U333" s="247">
        <f t="shared" si="110"/>
        <v>0.98893770600297748</v>
      </c>
      <c r="V333" s="378">
        <f t="shared" si="111"/>
        <v>112.77360736599417</v>
      </c>
      <c r="W333" s="397">
        <f t="shared" si="112"/>
        <v>51.696327276721199</v>
      </c>
      <c r="X333" s="153">
        <f t="shared" si="113"/>
        <v>45245</v>
      </c>
      <c r="Y333" s="380">
        <f t="shared" si="114"/>
        <v>51.696327276721199</v>
      </c>
      <c r="Z333" s="380">
        <f t="shared" si="115"/>
        <v>52.280613173818558</v>
      </c>
      <c r="AA333" s="381">
        <f t="shared" si="116"/>
        <v>54.616420896842236</v>
      </c>
      <c r="AB333" s="193">
        <f t="shared" si="117"/>
        <v>45245</v>
      </c>
      <c r="AC333" s="420">
        <f>IF(OR(t&lt;Tnet,NoTnet),'2022'!Resal_s+('2022'!Salim-'2022'!Resal_s)*(1-EXP(('2022'!Tnet_s-t)/'2022'!Tau_j)),Resal_s+(Salim-Resal_s)*(1-EXP((Tnet_s-t)/Tau_j)))*Salcycl</f>
        <v>4.2767498943870309E-2</v>
      </c>
      <c r="AD333" s="227">
        <f>(INDEX(Models!$BJ333:$BT333,,AH333)*(1-AF333)+INDEX(Models!$BJ333:$BT333,,AH333+1)*AF333-ERP_i)*AE333*Ramure*Pc/MaxiM</f>
        <v>1.2166221304048337E-3</v>
      </c>
      <c r="AE333" s="301">
        <f t="shared" si="118"/>
        <v>0.5</v>
      </c>
      <c r="AF333" s="173">
        <f t="shared" si="119"/>
        <v>0.98893770600297748</v>
      </c>
      <c r="AG333" s="172">
        <f t="shared" si="120"/>
        <v>0</v>
      </c>
      <c r="AH333" s="172">
        <f t="shared" si="121"/>
        <v>6</v>
      </c>
      <c r="AI333" s="221">
        <f t="shared" si="122"/>
        <v>0.98893770600297748</v>
      </c>
      <c r="AJ333" s="261" t="b">
        <f t="shared" si="123"/>
        <v>0</v>
      </c>
      <c r="AK333" s="261" t="b">
        <f t="shared" si="124"/>
        <v>0</v>
      </c>
      <c r="AL333" s="261"/>
      <c r="AM333" s="261"/>
      <c r="AN333" s="75"/>
    </row>
    <row r="334" spans="1:40" s="6" customFormat="1" ht="11.25" customHeight="1" x14ac:dyDescent="0.2">
      <c r="A334" s="56">
        <f t="shared" si="125"/>
        <v>45246</v>
      </c>
      <c r="B334" s="406">
        <f>'2022'!Wh/'2022'!Env_an*'2023'!Env_an</f>
        <v>107.77543554263198</v>
      </c>
      <c r="C334" s="385"/>
      <c r="D334" s="388">
        <f t="shared" si="103"/>
        <v>108.99503476550048</v>
      </c>
      <c r="E334" s="380">
        <f t="shared" si="126"/>
        <v>113.86577857490673</v>
      </c>
      <c r="F334" s="380">
        <f t="shared" si="104"/>
        <v>114.00044101216753</v>
      </c>
      <c r="G334" s="110">
        <f t="shared" si="127"/>
        <v>0.96564019576644222</v>
      </c>
      <c r="H334" s="409" t="b">
        <f>Wh_hp&gt;='2022'!Maxi_hp</f>
        <v>0</v>
      </c>
      <c r="I334" s="385">
        <f>IF(H334,Wh_hp,'2022'!Maxi_hp)</f>
        <v>114.00392589977223</v>
      </c>
      <c r="J334" s="85">
        <f>IF(H334,An,'2022'!An_max)</f>
        <v>2022</v>
      </c>
      <c r="K334" s="193">
        <f t="shared" si="105"/>
        <v>45246</v>
      </c>
      <c r="L334" s="143">
        <f>IF(t&lt;Tvie,1-EXP((T0-t)*PertePVj)+'2022'!Pspv,1-EXP((T0-t)*PertePVj)+Pspv)</f>
        <v>1.1189493406671525E-2</v>
      </c>
      <c r="M334" s="835"/>
      <c r="N334" s="835"/>
      <c r="O334" s="48">
        <f>IF(t&lt;Tnet,'2022'!Resal+('2022'!Salim-'2022'!Resal)*(1-EXP(('2022'!Tnet-t)/('2022'!Tau_j))),Resal+(Salim-Resal)*(1-EXP((Tnet-t)/(Tau_j))))*Salcycl</f>
        <v>4.2776186755724983E-2</v>
      </c>
      <c r="P334" s="165">
        <f>(INDEX(Models!$BJ334:$BT334,,T334)*(1-R334)+INDEX(Models!$BJ334:$BT334,,T334+1)*R334-ERP_i)*Q334*Ramure*Pc/MaxiM</f>
        <v>1.2421099671568693E-3</v>
      </c>
      <c r="Q334" s="301">
        <f t="shared" si="106"/>
        <v>0.5</v>
      </c>
      <c r="R334" s="173">
        <f t="shared" si="107"/>
        <v>0.9889681425984671</v>
      </c>
      <c r="S334" s="801">
        <f t="shared" si="108"/>
        <v>0</v>
      </c>
      <c r="T334" s="172">
        <f t="shared" si="109"/>
        <v>6</v>
      </c>
      <c r="U334" s="247">
        <f t="shared" si="110"/>
        <v>0.9889681425984671</v>
      </c>
      <c r="V334" s="378">
        <f t="shared" si="111"/>
        <v>111.603543945233</v>
      </c>
      <c r="W334" s="397">
        <f t="shared" si="112"/>
        <v>107.77543554263198</v>
      </c>
      <c r="X334" s="153">
        <f t="shared" si="113"/>
        <v>45246</v>
      </c>
      <c r="Y334" s="380">
        <f t="shared" si="114"/>
        <v>107.77543554263198</v>
      </c>
      <c r="Z334" s="380">
        <f t="shared" si="115"/>
        <v>108.99503476550048</v>
      </c>
      <c r="AA334" s="381">
        <f t="shared" si="116"/>
        <v>113.86577857490673</v>
      </c>
      <c r="AB334" s="193">
        <f t="shared" si="117"/>
        <v>45246</v>
      </c>
      <c r="AC334" s="420">
        <f>IF(OR(t&lt;Tnet,NoTnet),'2022'!Resal_s+('2022'!Salim-'2022'!Resal_s)*(1-EXP(('2022'!Tnet_s-t)/'2022'!Tau_j)),Resal_s+(Salim-Resal_s)*(1-EXP((Tnet_s-t)/Tau_j)))*Salcycl</f>
        <v>4.2776186755724983E-2</v>
      </c>
      <c r="AD334" s="227">
        <f>(INDEX(Models!$BJ334:$BT334,,AH334)*(1-AF334)+INDEX(Models!$BJ334:$BT334,,AH334+1)*AF334-ERP_i)*AE334*Ramure*Pc/MaxiM</f>
        <v>1.2421099671568693E-3</v>
      </c>
      <c r="AE334" s="301">
        <f t="shared" si="118"/>
        <v>0.5</v>
      </c>
      <c r="AF334" s="173">
        <f t="shared" si="119"/>
        <v>0.9889681425984671</v>
      </c>
      <c r="AG334" s="172">
        <f t="shared" si="120"/>
        <v>0</v>
      </c>
      <c r="AH334" s="172">
        <f t="shared" si="121"/>
        <v>6</v>
      </c>
      <c r="AI334" s="221">
        <f t="shared" si="122"/>
        <v>0.9889681425984671</v>
      </c>
      <c r="AJ334" s="261" t="b">
        <f t="shared" si="123"/>
        <v>0</v>
      </c>
      <c r="AK334" s="261" t="b">
        <f t="shared" si="124"/>
        <v>0</v>
      </c>
      <c r="AL334" s="261"/>
      <c r="AM334" s="261"/>
      <c r="AN334" s="75"/>
    </row>
    <row r="335" spans="1:40" s="6" customFormat="1" ht="11.25" customHeight="1" x14ac:dyDescent="0.2">
      <c r="A335" s="56">
        <f t="shared" si="125"/>
        <v>45247</v>
      </c>
      <c r="B335" s="406">
        <f>'2022'!Wh/'2022'!Env_an*'2023'!Env_an</f>
        <v>64.006547690736866</v>
      </c>
      <c r="C335" s="385"/>
      <c r="D335" s="388">
        <f t="shared" ref="D335:D379" si="128">Wh/(1-Ppv)</f>
        <v>64.731739268364791</v>
      </c>
      <c r="E335" s="380">
        <f t="shared" si="126"/>
        <v>67.625105962945739</v>
      </c>
      <c r="F335" s="380">
        <f t="shared" ref="F335:F379" si="129">Wh_sa/(1-Pvg*MEDIAN((-Sdif+Wh/Env_an)/Csdif,0,1))</f>
        <v>67.659349150497448</v>
      </c>
      <c r="G335" s="110">
        <f t="shared" si="127"/>
        <v>0.57910305407740359</v>
      </c>
      <c r="H335" s="409" t="b">
        <f>Wh_hp&gt;='2022'!Maxi_hp</f>
        <v>0</v>
      </c>
      <c r="I335" s="385">
        <f>IF(H335,Wh_hp,'2022'!Maxi_hp)</f>
        <v>67.685207187062332</v>
      </c>
      <c r="J335" s="85">
        <f>IF(H335,An,'2022'!An_max)</f>
        <v>2022</v>
      </c>
      <c r="K335" s="193">
        <f t="shared" ref="K335:K379" si="130">t</f>
        <v>45247</v>
      </c>
      <c r="L335" s="143">
        <f>IF(t&lt;Tvie,1-EXP((T0-t)*PertePVj)+'2022'!Pspv,1-EXP((T0-t)*PertePVj)+Pspv)</f>
        <v>1.1203029392141461E-2</v>
      </c>
      <c r="M335" s="835"/>
      <c r="N335" s="835"/>
      <c r="O335" s="48">
        <f>IF(t&lt;Tnet,'2022'!Resal+('2022'!Salim-'2022'!Resal)*(1-EXP(('2022'!Tnet-t)/('2022'!Tau_j))),Resal+(Salim-Resal)*(1-EXP((Tnet-t)/(Tau_j))))*Salcycl</f>
        <v>4.278539239799984E-2</v>
      </c>
      <c r="P335" s="165">
        <f>(INDEX(Models!$BJ335:$BT335,,T335)*(1-R335)+INDEX(Models!$BJ335:$BT335,,T335+1)*R335-ERP_i)*Q335*Ramure*Pc/MaxiM</f>
        <v>1.2673411722749015E-3</v>
      </c>
      <c r="Q335" s="301">
        <f t="shared" ref="Q335:Q379" si="131">IF(OR(t&lt;Ttai,Notai),Dd+PousD*Croivg,Dens+PousD*(Croivg-Croi_tai))</f>
        <v>0.5</v>
      </c>
      <c r="R335" s="173">
        <f t="shared" ref="R335:R379" si="132">(Hp_vg-S335)/(INDEX(Echel_vg,T335+1)-S335)</f>
        <v>0.98899735721246129</v>
      </c>
      <c r="S335" s="801">
        <f t="shared" ref="S335:S379" si="133">INDEX(Echel_vg,T335)</f>
        <v>0</v>
      </c>
      <c r="T335" s="172">
        <f t="shared" ref="T335:T379" si="134">MIN(MATCH(Hp_vg,Echel_vg),10)</f>
        <v>6</v>
      </c>
      <c r="U335" s="247">
        <f t="shared" ref="U335:U379" si="135">IF(OR(t&lt;Ttai,Notai),Hdd+PousH*Croivg,Hdtf+PousH*(Croivg-Croi_tai))</f>
        <v>0.98899735721246129</v>
      </c>
      <c r="V335" s="378">
        <f t="shared" ref="V335:V379" si="136">MaxiM*(1-Ppv)*(1-Pvg)*(1-Psa)</f>
        <v>110.44286314354221</v>
      </c>
      <c r="W335" s="397">
        <f t="shared" ref="W335:W379" si="137">Wh*(A335&gt;Tmaj)</f>
        <v>64.006547690736866</v>
      </c>
      <c r="X335" s="153">
        <f t="shared" ref="X335:X379" si="138">t</f>
        <v>45247</v>
      </c>
      <c r="Y335" s="380">
        <f t="shared" ref="Y335:Y379" si="139">Wh_pvt_s*(1-Ppv)</f>
        <v>64.006547690736866</v>
      </c>
      <c r="Z335" s="380">
        <f t="shared" ref="Z335:Z379" si="140">Wh_sa_s*(1-Psa_s)</f>
        <v>64.731739268364791</v>
      </c>
      <c r="AA335" s="381">
        <f t="shared" ref="AA335:AA379" si="141">Wh_hp*(1-Pvg_s*MEDIAN((-Sdif+Wh/Env_an)/Csdif,0,1))</f>
        <v>67.625105962945739</v>
      </c>
      <c r="AB335" s="193">
        <f t="shared" ref="AB335:AB379" si="142">t</f>
        <v>45247</v>
      </c>
      <c r="AC335" s="420">
        <f>IF(OR(t&lt;Tnet,NoTnet),'2022'!Resal_s+('2022'!Salim-'2022'!Resal_s)*(1-EXP(('2022'!Tnet_s-t)/'2022'!Tau_j)),Resal_s+(Salim-Resal_s)*(1-EXP((Tnet_s-t)/Tau_j)))*Salcycl</f>
        <v>4.278539239799984E-2</v>
      </c>
      <c r="AD335" s="227">
        <f>(INDEX(Models!$BJ335:$BT335,,AH335)*(1-AF335)+INDEX(Models!$BJ335:$BT335,,AH335+1)*AF335-ERP_i)*AE335*Ramure*Pc/MaxiM</f>
        <v>1.2673411722749015E-3</v>
      </c>
      <c r="AE335" s="301">
        <f t="shared" ref="AE335:AE379" si="143">IF(OR(t&lt;Ttai,Notai),Dd_s+PousD*Croivg,Dens_s+PousD*(Croivg-Croi_tai))</f>
        <v>0.5</v>
      </c>
      <c r="AF335" s="173">
        <f t="shared" ref="AF335:AF379" si="144">(Hp_vg_s-AG335)/(INDEX(Echel_vg,AH335+1)-AG335)</f>
        <v>0.98899735721246129</v>
      </c>
      <c r="AG335" s="172">
        <f t="shared" ref="AG335:AG379" si="145">INDEX(Echel_vg,AH335)</f>
        <v>0</v>
      </c>
      <c r="AH335" s="172">
        <f t="shared" ref="AH335:AH379" si="146">MIN(MATCH(Hp_vg_s,Echel_vg),10)</f>
        <v>6</v>
      </c>
      <c r="AI335" s="221">
        <f t="shared" ref="AI335:AI379" si="147">IF(OR(t&lt;Ttai,Notai),Hdd_s+PousH*Croivg,Hdtai_s+PousH*(Croivg-Croi_tai))</f>
        <v>0.98899735721246129</v>
      </c>
      <c r="AJ335" s="261" t="b">
        <f t="shared" ref="AJ335:AJ380" si="148">t&lt;Tnet</f>
        <v>0</v>
      </c>
      <c r="AK335" s="261" t="b">
        <f t="shared" ref="AK335:AK380" si="149">t&lt;Ttai</f>
        <v>0</v>
      </c>
      <c r="AL335" s="261"/>
      <c r="AM335" s="261"/>
      <c r="AN335" s="75"/>
    </row>
    <row r="336" spans="1:40" s="6" customFormat="1" ht="11.25" customHeight="1" x14ac:dyDescent="0.2">
      <c r="A336" s="56">
        <f t="shared" ref="A336:A379" si="150">A335+1</f>
        <v>45248</v>
      </c>
      <c r="B336" s="406">
        <f>'2022'!Wh/'2022'!Env_an*'2023'!Env_an</f>
        <v>50.797367954318858</v>
      </c>
      <c r="C336" s="385"/>
      <c r="D336" s="388">
        <f t="shared" si="128"/>
        <v>51.373603325179886</v>
      </c>
      <c r="E336" s="380">
        <f t="shared" si="126"/>
        <v>53.670437560346464</v>
      </c>
      <c r="F336" s="380">
        <f t="shared" si="129"/>
        <v>53.686768270456355</v>
      </c>
      <c r="G336" s="110">
        <f t="shared" si="127"/>
        <v>0.46431067867782333</v>
      </c>
      <c r="H336" s="409" t="b">
        <f>Wh_hp&gt;='2022'!Maxi_hp</f>
        <v>0</v>
      </c>
      <c r="I336" s="385">
        <f>IF(H336,Wh_hp,'2022'!Maxi_hp)</f>
        <v>53.713397448687658</v>
      </c>
      <c r="J336" s="85">
        <f>IF(H336,An,'2022'!An_max)</f>
        <v>2022</v>
      </c>
      <c r="K336" s="193">
        <f t="shared" si="130"/>
        <v>45248</v>
      </c>
      <c r="L336" s="143">
        <f>IF(t&lt;Tvie,1-EXP((T0-t)*PertePVj)+'2022'!Pspv,1-EXP((T0-t)*PertePVj)+Pspv)</f>
        <v>1.1216565192315286E-2</v>
      </c>
      <c r="M336" s="835"/>
      <c r="N336" s="835"/>
      <c r="O336" s="48">
        <f>IF(t&lt;Tnet,'2022'!Resal+('2022'!Salim-'2022'!Resal)*(1-EXP(('2022'!Tnet-t)/('2022'!Tau_j))),Resal+(Salim-Resal)*(1-EXP((Tnet-t)/(Tau_j))))*Salcycl</f>
        <v>4.2795146445080492E-2</v>
      </c>
      <c r="P336" s="165">
        <f>(INDEX(Models!$BJ336:$BT336,,T336)*(1-R336)+INDEX(Models!$BJ336:$BT336,,T336+1)*R336-ERP_i)*Q336*Ramure*Pc/MaxiM</f>
        <v>1.2922827780071054E-3</v>
      </c>
      <c r="Q336" s="301">
        <f t="shared" si="131"/>
        <v>0.5</v>
      </c>
      <c r="R336" s="173">
        <f t="shared" si="132"/>
        <v>0.98902539877112461</v>
      </c>
      <c r="S336" s="801">
        <f t="shared" si="133"/>
        <v>0</v>
      </c>
      <c r="T336" s="172">
        <f t="shared" si="134"/>
        <v>6</v>
      </c>
      <c r="U336" s="247">
        <f t="shared" si="135"/>
        <v>0.98902539877112461</v>
      </c>
      <c r="V336" s="378">
        <f t="shared" si="136"/>
        <v>109.2956984327102</v>
      </c>
      <c r="W336" s="397">
        <f t="shared" si="137"/>
        <v>50.797367954318858</v>
      </c>
      <c r="X336" s="153">
        <f t="shared" si="138"/>
        <v>45248</v>
      </c>
      <c r="Y336" s="380">
        <f t="shared" si="139"/>
        <v>50.797367954318858</v>
      </c>
      <c r="Z336" s="380">
        <f t="shared" si="140"/>
        <v>51.373603325179886</v>
      </c>
      <c r="AA336" s="381">
        <f t="shared" si="141"/>
        <v>53.670437560346464</v>
      </c>
      <c r="AB336" s="193">
        <f t="shared" si="142"/>
        <v>45248</v>
      </c>
      <c r="AC336" s="420">
        <f>IF(OR(t&lt;Tnet,NoTnet),'2022'!Resal_s+('2022'!Salim-'2022'!Resal_s)*(1-EXP(('2022'!Tnet_s-t)/'2022'!Tau_j)),Resal_s+(Salim-Resal_s)*(1-EXP((Tnet_s-t)/Tau_j)))*Salcycl</f>
        <v>4.2795146445080492E-2</v>
      </c>
      <c r="AD336" s="227">
        <f>(INDEX(Models!$BJ336:$BT336,,AH336)*(1-AF336)+INDEX(Models!$BJ336:$BT336,,AH336+1)*AF336-ERP_i)*AE336*Ramure*Pc/MaxiM</f>
        <v>1.2922827780071054E-3</v>
      </c>
      <c r="AE336" s="301">
        <f t="shared" si="143"/>
        <v>0.5</v>
      </c>
      <c r="AF336" s="173">
        <f t="shared" si="144"/>
        <v>0.98902539877112461</v>
      </c>
      <c r="AG336" s="172">
        <f t="shared" si="145"/>
        <v>0</v>
      </c>
      <c r="AH336" s="172">
        <f t="shared" si="146"/>
        <v>6</v>
      </c>
      <c r="AI336" s="221">
        <f t="shared" si="147"/>
        <v>0.98902539877112461</v>
      </c>
      <c r="AJ336" s="261" t="b">
        <f t="shared" si="148"/>
        <v>0</v>
      </c>
      <c r="AK336" s="261" t="b">
        <f t="shared" si="149"/>
        <v>0</v>
      </c>
      <c r="AL336" s="261"/>
      <c r="AM336" s="261"/>
      <c r="AN336" s="75"/>
    </row>
    <row r="337" spans="1:40" s="6" customFormat="1" ht="11.25" customHeight="1" x14ac:dyDescent="0.2">
      <c r="A337" s="56">
        <f t="shared" si="150"/>
        <v>45249</v>
      </c>
      <c r="B337" s="406">
        <f>'2022'!Wh/'2022'!Env_an*'2023'!Env_an</f>
        <v>24.155680548161463</v>
      </c>
      <c r="C337" s="385"/>
      <c r="D337" s="388">
        <f t="shared" si="128"/>
        <v>24.43003227331381</v>
      </c>
      <c r="E337" s="380">
        <f t="shared" si="126"/>
        <v>25.522536633492209</v>
      </c>
      <c r="F337" s="380">
        <f t="shared" si="129"/>
        <v>25.522536633492209</v>
      </c>
      <c r="G337" s="110">
        <f t="shared" si="127"/>
        <v>0.22302598914540722</v>
      </c>
      <c r="H337" s="409" t="b">
        <f>Wh_hp&gt;='2022'!Maxi_hp</f>
        <v>0</v>
      </c>
      <c r="I337" s="385">
        <f>IF(H337,Wh_hp,'2022'!Maxi_hp)</f>
        <v>25.539405273460016</v>
      </c>
      <c r="J337" s="85">
        <f>IF(H337,An,'2022'!An_max)</f>
        <v>2022</v>
      </c>
      <c r="K337" s="193">
        <f t="shared" si="130"/>
        <v>45249</v>
      </c>
      <c r="L337" s="143">
        <f>IF(t&lt;Tvie,1-EXP((T0-t)*PertePVj)+'2022'!Pspv,1-EXP((T0-t)*PertePVj)+Pspv)</f>
        <v>1.123010080719522E-2</v>
      </c>
      <c r="M337" s="835"/>
      <c r="N337" s="835"/>
      <c r="O337" s="48">
        <f>IF(t&lt;Tnet,'2022'!Resal+('2022'!Salim-'2022'!Resal)*(1-EXP(('2022'!Tnet-t)/('2022'!Tau_j))),Resal+(Salim-Resal)*(1-EXP((Tnet-t)/(Tau_j))))*Salcycl</f>
        <v>4.2805477208905172E-2</v>
      </c>
      <c r="P337" s="165">
        <f>(INDEX(Models!$BJ337:$BT337,,T337)*(1-R337)+INDEX(Models!$BJ337:$BT337,,T337+1)*R337-ERP_i)*Q337*Ramure*Pc/MaxiM</f>
        <v>1.3168960593064188E-3</v>
      </c>
      <c r="Q337" s="301">
        <f t="shared" si="131"/>
        <v>0.5</v>
      </c>
      <c r="R337" s="173">
        <f t="shared" si="132"/>
        <v>0.98905231425229512</v>
      </c>
      <c r="S337" s="801">
        <f t="shared" si="133"/>
        <v>0</v>
      </c>
      <c r="T337" s="172">
        <f t="shared" si="134"/>
        <v>6</v>
      </c>
      <c r="U337" s="247">
        <f t="shared" si="135"/>
        <v>0.98905231425229512</v>
      </c>
      <c r="V337" s="378">
        <f t="shared" si="136"/>
        <v>108.16618332274082</v>
      </c>
      <c r="W337" s="397">
        <f t="shared" si="137"/>
        <v>24.155680548161463</v>
      </c>
      <c r="X337" s="153">
        <f t="shared" si="138"/>
        <v>45249</v>
      </c>
      <c r="Y337" s="380">
        <f t="shared" si="139"/>
        <v>24.155680548161463</v>
      </c>
      <c r="Z337" s="380">
        <f t="shared" si="140"/>
        <v>24.43003227331381</v>
      </c>
      <c r="AA337" s="381">
        <f t="shared" si="141"/>
        <v>25.522536633492209</v>
      </c>
      <c r="AB337" s="193">
        <f t="shared" si="142"/>
        <v>45249</v>
      </c>
      <c r="AC337" s="420">
        <f>IF(OR(t&lt;Tnet,NoTnet),'2022'!Resal_s+('2022'!Salim-'2022'!Resal_s)*(1-EXP(('2022'!Tnet_s-t)/'2022'!Tau_j)),Resal_s+(Salim-Resal_s)*(1-EXP((Tnet_s-t)/Tau_j)))*Salcycl</f>
        <v>4.2805477208905172E-2</v>
      </c>
      <c r="AD337" s="227">
        <f>(INDEX(Models!$BJ337:$BT337,,AH337)*(1-AF337)+INDEX(Models!$BJ337:$BT337,,AH337+1)*AF337-ERP_i)*AE337*Ramure*Pc/MaxiM</f>
        <v>1.3168960593064188E-3</v>
      </c>
      <c r="AE337" s="301">
        <f t="shared" si="143"/>
        <v>0.5</v>
      </c>
      <c r="AF337" s="173">
        <f t="shared" si="144"/>
        <v>0.98905231425229512</v>
      </c>
      <c r="AG337" s="172">
        <f t="shared" si="145"/>
        <v>0</v>
      </c>
      <c r="AH337" s="172">
        <f t="shared" si="146"/>
        <v>6</v>
      </c>
      <c r="AI337" s="221">
        <f t="shared" si="147"/>
        <v>0.98905231425229512</v>
      </c>
      <c r="AJ337" s="261" t="b">
        <f t="shared" si="148"/>
        <v>0</v>
      </c>
      <c r="AK337" s="261" t="b">
        <f t="shared" si="149"/>
        <v>0</v>
      </c>
      <c r="AL337" s="261"/>
      <c r="AM337" s="261"/>
      <c r="AN337" s="75"/>
    </row>
    <row r="338" spans="1:40" s="6" customFormat="1" ht="11.25" customHeight="1" x14ac:dyDescent="0.2">
      <c r="A338" s="56">
        <f t="shared" si="150"/>
        <v>45250</v>
      </c>
      <c r="B338" s="406">
        <f>'2022'!Wh/'2022'!Env_an*'2023'!Env_an</f>
        <v>70.637241001210185</v>
      </c>
      <c r="C338" s="385"/>
      <c r="D338" s="388">
        <f t="shared" si="128"/>
        <v>71.440491904764272</v>
      </c>
      <c r="E338" s="380">
        <f t="shared" si="126"/>
        <v>74.636143680067192</v>
      </c>
      <c r="F338" s="380">
        <f t="shared" si="129"/>
        <v>74.687515853431321</v>
      </c>
      <c r="G338" s="110">
        <f t="shared" si="127"/>
        <v>0.65936934875527464</v>
      </c>
      <c r="H338" s="409" t="b">
        <f>Wh_hp&gt;='2022'!Maxi_hp</f>
        <v>0</v>
      </c>
      <c r="I338" s="385">
        <f>IF(H338,Wh_hp,'2022'!Maxi_hp)</f>
        <v>74.711901468469961</v>
      </c>
      <c r="J338" s="85">
        <f>IF(H338,An,'2022'!An_max)</f>
        <v>2022</v>
      </c>
      <c r="K338" s="193">
        <f t="shared" si="130"/>
        <v>45250</v>
      </c>
      <c r="L338" s="143">
        <f>IF(t&lt;Tvie,1-EXP((T0-t)*PertePVj)+'2022'!Pspv,1-EXP((T0-t)*PertePVj)+Pspv)</f>
        <v>1.1243636236784038E-2</v>
      </c>
      <c r="M338" s="835"/>
      <c r="N338" s="835"/>
      <c r="O338" s="48">
        <f>IF(t&lt;Tnet,'2022'!Resal+('2022'!Salim-'2022'!Resal)*(1-EXP(('2022'!Tnet-t)/('2022'!Tau_j))),Resal+(Salim-Resal)*(1-EXP((Tnet-t)/(Tau_j))))*Salcycl</f>
        <v>4.2816410625410847E-2</v>
      </c>
      <c r="P338" s="165">
        <f>(INDEX(Models!$BJ338:$BT338,,T338)*(1-R338)+INDEX(Models!$BJ338:$BT338,,T338+1)*R338-ERP_i)*Q338*Ramure*Pc/MaxiM</f>
        <v>1.3381916346717245E-3</v>
      </c>
      <c r="Q338" s="301">
        <f t="shared" si="131"/>
        <v>0.5</v>
      </c>
      <c r="R338" s="173">
        <f t="shared" si="132"/>
        <v>0.98907814876223421</v>
      </c>
      <c r="S338" s="801">
        <f t="shared" si="133"/>
        <v>0</v>
      </c>
      <c r="T338" s="172">
        <f t="shared" si="134"/>
        <v>6</v>
      </c>
      <c r="U338" s="247">
        <f t="shared" si="135"/>
        <v>0.98907814876223421</v>
      </c>
      <c r="V338" s="378">
        <f t="shared" si="136"/>
        <v>107.05876703157622</v>
      </c>
      <c r="W338" s="397">
        <f t="shared" si="137"/>
        <v>70.637241001210185</v>
      </c>
      <c r="X338" s="153">
        <f t="shared" si="138"/>
        <v>45250</v>
      </c>
      <c r="Y338" s="380">
        <f t="shared" si="139"/>
        <v>70.637241001210185</v>
      </c>
      <c r="Z338" s="380">
        <f t="shared" si="140"/>
        <v>71.440491904764272</v>
      </c>
      <c r="AA338" s="381">
        <f t="shared" si="141"/>
        <v>74.636143680067192</v>
      </c>
      <c r="AB338" s="193">
        <f t="shared" si="142"/>
        <v>45250</v>
      </c>
      <c r="AC338" s="420">
        <f>IF(OR(t&lt;Tnet,NoTnet),'2022'!Resal_s+('2022'!Salim-'2022'!Resal_s)*(1-EXP(('2022'!Tnet_s-t)/'2022'!Tau_j)),Resal_s+(Salim-Resal_s)*(1-EXP((Tnet_s-t)/Tau_j)))*Salcycl</f>
        <v>4.2816410625410847E-2</v>
      </c>
      <c r="AD338" s="227">
        <f>(INDEX(Models!$BJ338:$BT338,,AH338)*(1-AF338)+INDEX(Models!$BJ338:$BT338,,AH338+1)*AF338-ERP_i)*AE338*Ramure*Pc/MaxiM</f>
        <v>1.3381916346717245E-3</v>
      </c>
      <c r="AE338" s="301">
        <f t="shared" si="143"/>
        <v>0.5</v>
      </c>
      <c r="AF338" s="173">
        <f t="shared" si="144"/>
        <v>0.98907814876223421</v>
      </c>
      <c r="AG338" s="172">
        <f t="shared" si="145"/>
        <v>0</v>
      </c>
      <c r="AH338" s="172">
        <f t="shared" si="146"/>
        <v>6</v>
      </c>
      <c r="AI338" s="221">
        <f t="shared" si="147"/>
        <v>0.98907814876223421</v>
      </c>
      <c r="AJ338" s="261" t="b">
        <f t="shared" si="148"/>
        <v>0</v>
      </c>
      <c r="AK338" s="261" t="b">
        <f t="shared" si="149"/>
        <v>0</v>
      </c>
      <c r="AL338" s="261"/>
      <c r="AM338" s="261"/>
      <c r="AN338" s="75"/>
    </row>
    <row r="339" spans="1:40" s="6" customFormat="1" ht="11.25" customHeight="1" x14ac:dyDescent="0.2">
      <c r="A339" s="56">
        <f t="shared" si="150"/>
        <v>45251</v>
      </c>
      <c r="B339" s="406">
        <f>'2022'!Wh/'2022'!Env_an*'2023'!Env_an</f>
        <v>13.993509323658689</v>
      </c>
      <c r="C339" s="385"/>
      <c r="D339" s="388">
        <f t="shared" si="128"/>
        <v>14.152830159709195</v>
      </c>
      <c r="E339" s="380">
        <f t="shared" si="126"/>
        <v>14.786088308506169</v>
      </c>
      <c r="F339" s="380">
        <f t="shared" si="129"/>
        <v>14.786088308506169</v>
      </c>
      <c r="G339" s="110">
        <f t="shared" si="127"/>
        <v>0.13186311022450159</v>
      </c>
      <c r="H339" s="409" t="b">
        <f>Wh_hp&gt;='2022'!Maxi_hp</f>
        <v>0</v>
      </c>
      <c r="I339" s="385">
        <f>IF(H339,Wh_hp,'2022'!Maxi_hp)</f>
        <v>14.796158423320728</v>
      </c>
      <c r="J339" s="85">
        <f>IF(H339,An,'2022'!An_max)</f>
        <v>2022</v>
      </c>
      <c r="K339" s="193">
        <f t="shared" si="130"/>
        <v>45251</v>
      </c>
      <c r="L339" s="143">
        <f>IF(t&lt;Tvie,1-EXP((T0-t)*PertePVj)+'2022'!Pspv,1-EXP((T0-t)*PertePVj)+Pspv)</f>
        <v>1.1257171481084183E-2</v>
      </c>
      <c r="M339" s="835"/>
      <c r="N339" s="835"/>
      <c r="O339" s="48">
        <f>IF(t&lt;Tnet,'2022'!Resal+('2022'!Salim-'2022'!Resal)*(1-EXP(('2022'!Tnet-t)/('2022'!Tau_j))),Resal+(Salim-Resal)*(1-EXP((Tnet-t)/(Tau_j))))*Salcycl</f>
        <v>4.2827970155749191E-2</v>
      </c>
      <c r="P339" s="165">
        <f>(INDEX(Models!$BJ339:$BT339,,T339)*(1-R339)+INDEX(Models!$BJ339:$BT339,,T339+1)*R339-ERP_i)*Q339*Ramure*Pc/MaxiM</f>
        <v>1.3571520575184892E-3</v>
      </c>
      <c r="Q339" s="301">
        <f t="shared" si="131"/>
        <v>0.5</v>
      </c>
      <c r="R339" s="173">
        <f t="shared" si="132"/>
        <v>0.98910294560941936</v>
      </c>
      <c r="S339" s="801">
        <f t="shared" si="133"/>
        <v>0</v>
      </c>
      <c r="T339" s="172">
        <f t="shared" si="134"/>
        <v>6</v>
      </c>
      <c r="U339" s="247">
        <f t="shared" si="135"/>
        <v>0.98910294560941936</v>
      </c>
      <c r="V339" s="378">
        <f t="shared" si="136"/>
        <v>105.97746390098088</v>
      </c>
      <c r="W339" s="397">
        <f t="shared" si="137"/>
        <v>13.993509323658689</v>
      </c>
      <c r="X339" s="153">
        <f t="shared" si="138"/>
        <v>45251</v>
      </c>
      <c r="Y339" s="380">
        <f t="shared" si="139"/>
        <v>13.993509323658689</v>
      </c>
      <c r="Z339" s="380">
        <f t="shared" si="140"/>
        <v>14.152830159709195</v>
      </c>
      <c r="AA339" s="381">
        <f t="shared" si="141"/>
        <v>14.786088308506169</v>
      </c>
      <c r="AB339" s="193">
        <f t="shared" si="142"/>
        <v>45251</v>
      </c>
      <c r="AC339" s="420">
        <f>IF(OR(t&lt;Tnet,NoTnet),'2022'!Resal_s+('2022'!Salim-'2022'!Resal_s)*(1-EXP(('2022'!Tnet_s-t)/'2022'!Tau_j)),Resal_s+(Salim-Resal_s)*(1-EXP((Tnet_s-t)/Tau_j)))*Salcycl</f>
        <v>4.2827970155749191E-2</v>
      </c>
      <c r="AD339" s="227">
        <f>(INDEX(Models!$BJ339:$BT339,,AH339)*(1-AF339)+INDEX(Models!$BJ339:$BT339,,AH339+1)*AF339-ERP_i)*AE339*Ramure*Pc/MaxiM</f>
        <v>1.3571520575184892E-3</v>
      </c>
      <c r="AE339" s="301">
        <f t="shared" si="143"/>
        <v>0.5</v>
      </c>
      <c r="AF339" s="173">
        <f t="shared" si="144"/>
        <v>0.98910294560941936</v>
      </c>
      <c r="AG339" s="172">
        <f t="shared" si="145"/>
        <v>0</v>
      </c>
      <c r="AH339" s="172">
        <f t="shared" si="146"/>
        <v>6</v>
      </c>
      <c r="AI339" s="221">
        <f t="shared" si="147"/>
        <v>0.98910294560941936</v>
      </c>
      <c r="AJ339" s="261" t="b">
        <f t="shared" si="148"/>
        <v>0</v>
      </c>
      <c r="AK339" s="261" t="b">
        <f t="shared" si="149"/>
        <v>0</v>
      </c>
      <c r="AL339" s="261"/>
      <c r="AM339" s="261"/>
      <c r="AN339" s="75"/>
    </row>
    <row r="340" spans="1:40" s="6" customFormat="1" ht="11.25" customHeight="1" x14ac:dyDescent="0.2">
      <c r="A340" s="56">
        <f t="shared" si="150"/>
        <v>45252</v>
      </c>
      <c r="B340" s="406">
        <f>'2022'!Wh/'2022'!Env_an*'2023'!Env_an</f>
        <v>33.974913989979513</v>
      </c>
      <c r="C340" s="385"/>
      <c r="D340" s="388">
        <f t="shared" si="128"/>
        <v>34.362200265241128</v>
      </c>
      <c r="E340" s="380">
        <f t="shared" si="126"/>
        <v>35.900169886859551</v>
      </c>
      <c r="F340" s="380">
        <f t="shared" si="129"/>
        <v>35.901846536883006</v>
      </c>
      <c r="G340" s="110">
        <f t="shared" si="127"/>
        <v>0.32336786529009792</v>
      </c>
      <c r="H340" s="409" t="b">
        <f>Wh_hp&gt;='2022'!Maxi_hp</f>
        <v>0</v>
      </c>
      <c r="I340" s="385">
        <f>IF(H340,Wh_hp,'2022'!Maxi_hp)</f>
        <v>35.925753134499537</v>
      </c>
      <c r="J340" s="85">
        <f>IF(H340,An,'2022'!An_max)</f>
        <v>2022</v>
      </c>
      <c r="K340" s="193">
        <f t="shared" si="130"/>
        <v>45252</v>
      </c>
      <c r="L340" s="143">
        <f>IF(t&lt;Tvie,1-EXP((T0-t)*PertePVj)+'2022'!Pspv,1-EXP((T0-t)*PertePVj)+Pspv)</f>
        <v>1.1270706540098208E-2</v>
      </c>
      <c r="M340" s="835"/>
      <c r="N340" s="835"/>
      <c r="O340" s="48">
        <f>IF(t&lt;Tnet,'2022'!Resal+('2022'!Salim-'2022'!Resal)*(1-EXP(('2022'!Tnet-t)/('2022'!Tau_j))),Resal+(Salim-Resal)*(1-EXP((Tnet-t)/(Tau_j))))*Salcycl</f>
        <v>4.2840176702934253E-2</v>
      </c>
      <c r="P340" s="165">
        <f>(INDEX(Models!$BJ340:$BT340,,T340)*(1-R340)+INDEX(Models!$BJ340:$BT340,,T340+1)*R340-ERP_i)*Q340*Ramure*Pc/MaxiM</f>
        <v>1.3736977140980083E-3</v>
      </c>
      <c r="Q340" s="301">
        <f t="shared" si="131"/>
        <v>0.5</v>
      </c>
      <c r="R340" s="173">
        <f t="shared" si="132"/>
        <v>0.98912674637548792</v>
      </c>
      <c r="S340" s="801">
        <f t="shared" si="133"/>
        <v>0</v>
      </c>
      <c r="T340" s="172">
        <f t="shared" si="134"/>
        <v>6</v>
      </c>
      <c r="U340" s="247">
        <f t="shared" si="135"/>
        <v>0.98912674637548792</v>
      </c>
      <c r="V340" s="378">
        <f t="shared" si="136"/>
        <v>104.92640402819293</v>
      </c>
      <c r="W340" s="397">
        <f t="shared" si="137"/>
        <v>33.974913989979513</v>
      </c>
      <c r="X340" s="153">
        <f t="shared" si="138"/>
        <v>45252</v>
      </c>
      <c r="Y340" s="380">
        <f t="shared" si="139"/>
        <v>33.974913989979513</v>
      </c>
      <c r="Z340" s="380">
        <f t="shared" si="140"/>
        <v>34.362200265241128</v>
      </c>
      <c r="AA340" s="381">
        <f t="shared" si="141"/>
        <v>35.900169886859551</v>
      </c>
      <c r="AB340" s="193">
        <f t="shared" si="142"/>
        <v>45252</v>
      </c>
      <c r="AC340" s="420">
        <f>IF(OR(t&lt;Tnet,NoTnet),'2022'!Resal_s+('2022'!Salim-'2022'!Resal_s)*(1-EXP(('2022'!Tnet_s-t)/'2022'!Tau_j)),Resal_s+(Salim-Resal_s)*(1-EXP((Tnet_s-t)/Tau_j)))*Salcycl</f>
        <v>4.2840176702934253E-2</v>
      </c>
      <c r="AD340" s="227">
        <f>(INDEX(Models!$BJ340:$BT340,,AH340)*(1-AF340)+INDEX(Models!$BJ340:$BT340,,AH340+1)*AF340-ERP_i)*AE340*Ramure*Pc/MaxiM</f>
        <v>1.3736977140980083E-3</v>
      </c>
      <c r="AE340" s="301">
        <f t="shared" si="143"/>
        <v>0.5</v>
      </c>
      <c r="AF340" s="173">
        <f t="shared" si="144"/>
        <v>0.98912674637548792</v>
      </c>
      <c r="AG340" s="172">
        <f t="shared" si="145"/>
        <v>0</v>
      </c>
      <c r="AH340" s="172">
        <f t="shared" si="146"/>
        <v>6</v>
      </c>
      <c r="AI340" s="221">
        <f t="shared" si="147"/>
        <v>0.98912674637548792</v>
      </c>
      <c r="AJ340" s="261" t="b">
        <f t="shared" si="148"/>
        <v>0</v>
      </c>
      <c r="AK340" s="261" t="b">
        <f t="shared" si="149"/>
        <v>0</v>
      </c>
      <c r="AL340" s="261"/>
      <c r="AM340" s="261"/>
      <c r="AN340" s="75"/>
    </row>
    <row r="341" spans="1:40" s="6" customFormat="1" ht="11.25" customHeight="1" x14ac:dyDescent="0.2">
      <c r="A341" s="56">
        <f t="shared" si="150"/>
        <v>45253</v>
      </c>
      <c r="B341" s="406">
        <f>'2022'!Wh/'2022'!Env_an*'2023'!Env_an</f>
        <v>56.033390848466034</v>
      </c>
      <c r="C341" s="385"/>
      <c r="D341" s="388">
        <f t="shared" si="128"/>
        <v>56.672901551191828</v>
      </c>
      <c r="E341" s="380">
        <f t="shared" si="126"/>
        <v>59.210240877860073</v>
      </c>
      <c r="F341" s="380">
        <f t="shared" si="129"/>
        <v>59.2383382079732</v>
      </c>
      <c r="G341" s="110">
        <f t="shared" si="127"/>
        <v>0.53875792367274966</v>
      </c>
      <c r="H341" s="409" t="b">
        <f>Wh_hp&gt;='2022'!Maxi_hp</f>
        <v>0</v>
      </c>
      <c r="I341" s="385">
        <f>IF(H341,Wh_hp,'2022'!Maxi_hp)</f>
        <v>59.26549414271846</v>
      </c>
      <c r="J341" s="85">
        <f>IF(H341,An,'2022'!An_max)</f>
        <v>2022</v>
      </c>
      <c r="K341" s="193">
        <f t="shared" si="130"/>
        <v>45253</v>
      </c>
      <c r="L341" s="143">
        <f>IF(t&lt;Tvie,1-EXP((T0-t)*PertePVj)+'2022'!Pspv,1-EXP((T0-t)*PertePVj)+Pspv)</f>
        <v>1.1284241413828666E-2</v>
      </c>
      <c r="M341" s="835"/>
      <c r="N341" s="835"/>
      <c r="O341" s="48">
        <f>IF(t&lt;Tnet,'2022'!Resal+('2022'!Salim-'2022'!Resal)*(1-EXP(('2022'!Tnet-t)/('2022'!Tau_j))),Resal+(Salim-Resal)*(1-EXP((Tnet-t)/(Tau_j))))*Salcycl</f>
        <v>4.2853048544462334E-2</v>
      </c>
      <c r="P341" s="165">
        <f>(INDEX(Models!$BJ341:$BT341,,T341)*(1-R341)+INDEX(Models!$BJ341:$BT341,,T341+1)*R341-ERP_i)*Q341*Ramure*Pc/MaxiM</f>
        <v>1.3877363610720018E-3</v>
      </c>
      <c r="Q341" s="301">
        <f t="shared" si="131"/>
        <v>0.5</v>
      </c>
      <c r="R341" s="173">
        <f t="shared" si="132"/>
        <v>0.98914959098343758</v>
      </c>
      <c r="S341" s="801">
        <f t="shared" si="133"/>
        <v>0</v>
      </c>
      <c r="T341" s="172">
        <f t="shared" si="134"/>
        <v>6</v>
      </c>
      <c r="U341" s="247">
        <f t="shared" si="135"/>
        <v>0.98914959098343758</v>
      </c>
      <c r="V341" s="378">
        <f t="shared" si="136"/>
        <v>103.90971848162685</v>
      </c>
      <c r="W341" s="397">
        <f t="shared" si="137"/>
        <v>56.033390848466034</v>
      </c>
      <c r="X341" s="153">
        <f t="shared" si="138"/>
        <v>45253</v>
      </c>
      <c r="Y341" s="380">
        <f t="shared" si="139"/>
        <v>56.033390848466034</v>
      </c>
      <c r="Z341" s="380">
        <f t="shared" si="140"/>
        <v>56.672901551191828</v>
      </c>
      <c r="AA341" s="381">
        <f t="shared" si="141"/>
        <v>59.210240877860073</v>
      </c>
      <c r="AB341" s="193">
        <f t="shared" si="142"/>
        <v>45253</v>
      </c>
      <c r="AC341" s="420">
        <f>IF(OR(t&lt;Tnet,NoTnet),'2022'!Resal_s+('2022'!Salim-'2022'!Resal_s)*(1-EXP(('2022'!Tnet_s-t)/'2022'!Tau_j)),Resal_s+(Salim-Resal_s)*(1-EXP((Tnet_s-t)/Tau_j)))*Salcycl</f>
        <v>4.2853048544462334E-2</v>
      </c>
      <c r="AD341" s="227">
        <f>(INDEX(Models!$BJ341:$BT341,,AH341)*(1-AF341)+INDEX(Models!$BJ341:$BT341,,AH341+1)*AF341-ERP_i)*AE341*Ramure*Pc/MaxiM</f>
        <v>1.3877363610720018E-3</v>
      </c>
      <c r="AE341" s="301">
        <f t="shared" si="143"/>
        <v>0.5</v>
      </c>
      <c r="AF341" s="173">
        <f t="shared" si="144"/>
        <v>0.98914959098343758</v>
      </c>
      <c r="AG341" s="172">
        <f t="shared" si="145"/>
        <v>0</v>
      </c>
      <c r="AH341" s="172">
        <f t="shared" si="146"/>
        <v>6</v>
      </c>
      <c r="AI341" s="221">
        <f t="shared" si="147"/>
        <v>0.98914959098343758</v>
      </c>
      <c r="AJ341" s="261" t="b">
        <f t="shared" si="148"/>
        <v>0</v>
      </c>
      <c r="AK341" s="261" t="b">
        <f t="shared" si="149"/>
        <v>0</v>
      </c>
      <c r="AL341" s="261"/>
      <c r="AM341" s="261"/>
      <c r="AN341" s="75"/>
    </row>
    <row r="342" spans="1:40" s="6" customFormat="1" ht="11.25" x14ac:dyDescent="0.2">
      <c r="A342" s="56">
        <f t="shared" si="150"/>
        <v>45254</v>
      </c>
      <c r="B342" s="406">
        <f>'2022'!Wh/'2022'!Env_an*'2023'!Env_an</f>
        <v>55.139445878728374</v>
      </c>
      <c r="C342" s="385"/>
      <c r="D342" s="388">
        <f t="shared" si="128"/>
        <v>55.769517399641622</v>
      </c>
      <c r="E342" s="380">
        <f t="shared" si="126"/>
        <v>58.267235762852344</v>
      </c>
      <c r="F342" s="380">
        <f t="shared" si="129"/>
        <v>58.294698597550592</v>
      </c>
      <c r="G342" s="110">
        <f t="shared" si="127"/>
        <v>0.53519309479315313</v>
      </c>
      <c r="H342" s="409" t="b">
        <f>Wh_hp&gt;='2022'!Maxi_hp</f>
        <v>0</v>
      </c>
      <c r="I342" s="385">
        <f>IF(H342,Wh_hp,'2022'!Maxi_hp)</f>
        <v>58.321847918347885</v>
      </c>
      <c r="J342" s="85">
        <f>IF(H342,An,'2022'!An_max)</f>
        <v>2022</v>
      </c>
      <c r="K342" s="193">
        <f t="shared" si="130"/>
        <v>45254</v>
      </c>
      <c r="L342" s="143">
        <f>IF(t&lt;Tvie,1-EXP((T0-t)*PertePVj)+'2022'!Pspv,1-EXP((T0-t)*PertePVj)+Pspv)</f>
        <v>1.1297776102278001E-2</v>
      </c>
      <c r="M342" s="835"/>
      <c r="N342" s="835"/>
      <c r="O342" s="48">
        <f>IF(t&lt;Tnet,'2022'!Resal+('2022'!Salim-'2022'!Resal)*(1-EXP(('2022'!Tnet-t)/('2022'!Tau_j))),Resal+(Salim-Resal)*(1-EXP((Tnet-t)/(Tau_j))))*Salcycl</f>
        <v>4.2866601281317564E-2</v>
      </c>
      <c r="P342" s="165">
        <f>(INDEX(Models!$BJ342:$BT342,,T342)*(1-R342)+INDEX(Models!$BJ342:$BT342,,T342+1)*R342-ERP_i)*Q342*Ramure*Pc/MaxiM</f>
        <v>1.399175799504775E-3</v>
      </c>
      <c r="Q342" s="301">
        <f t="shared" si="131"/>
        <v>0.5</v>
      </c>
      <c r="R342" s="173">
        <f t="shared" si="132"/>
        <v>0.98917151776318568</v>
      </c>
      <c r="S342" s="801">
        <f t="shared" si="133"/>
        <v>0</v>
      </c>
      <c r="T342" s="172">
        <f t="shared" si="134"/>
        <v>6</v>
      </c>
      <c r="U342" s="247">
        <f t="shared" si="135"/>
        <v>0.98917151776318568</v>
      </c>
      <c r="V342" s="378">
        <f t="shared" si="136"/>
        <v>102.9315379837261</v>
      </c>
      <c r="W342" s="397">
        <f t="shared" si="137"/>
        <v>55.139445878728374</v>
      </c>
      <c r="X342" s="153">
        <f t="shared" si="138"/>
        <v>45254</v>
      </c>
      <c r="Y342" s="380">
        <f t="shared" si="139"/>
        <v>55.139445878728374</v>
      </c>
      <c r="Z342" s="380">
        <f t="shared" si="140"/>
        <v>55.769517399641622</v>
      </c>
      <c r="AA342" s="381">
        <f t="shared" si="141"/>
        <v>58.267235762852344</v>
      </c>
      <c r="AB342" s="193">
        <f t="shared" si="142"/>
        <v>45254</v>
      </c>
      <c r="AC342" s="420">
        <f>IF(OR(t&lt;Tnet,NoTnet),'2022'!Resal_s+('2022'!Salim-'2022'!Resal_s)*(1-EXP(('2022'!Tnet_s-t)/'2022'!Tau_j)),Resal_s+(Salim-Resal_s)*(1-EXP((Tnet_s-t)/Tau_j)))*Salcycl</f>
        <v>4.2866601281317564E-2</v>
      </c>
      <c r="AD342" s="227">
        <f>(INDEX(Models!$BJ342:$BT342,,AH342)*(1-AF342)+INDEX(Models!$BJ342:$BT342,,AH342+1)*AF342-ERP_i)*AE342*Ramure*Pc/MaxiM</f>
        <v>1.399175799504775E-3</v>
      </c>
      <c r="AE342" s="301">
        <f t="shared" si="143"/>
        <v>0.5</v>
      </c>
      <c r="AF342" s="173">
        <f t="shared" si="144"/>
        <v>0.98917151776318568</v>
      </c>
      <c r="AG342" s="172">
        <f t="shared" si="145"/>
        <v>0</v>
      </c>
      <c r="AH342" s="172">
        <f t="shared" si="146"/>
        <v>6</v>
      </c>
      <c r="AI342" s="221">
        <f t="shared" si="147"/>
        <v>0.98917151776318568</v>
      </c>
      <c r="AJ342" s="261" t="b">
        <f t="shared" si="148"/>
        <v>0</v>
      </c>
      <c r="AK342" s="261" t="b">
        <f t="shared" si="149"/>
        <v>0</v>
      </c>
      <c r="AL342" s="261"/>
      <c r="AM342" s="261"/>
      <c r="AN342" s="75"/>
    </row>
    <row r="343" spans="1:40" s="6" customFormat="1" ht="11.25" customHeight="1" x14ac:dyDescent="0.2">
      <c r="A343" s="56">
        <f t="shared" si="150"/>
        <v>45255</v>
      </c>
      <c r="B343" s="406">
        <f>'2022'!Wh/'2022'!Env_an*'2023'!Env_an</f>
        <v>17.855685547869427</v>
      </c>
      <c r="C343" s="385"/>
      <c r="D343" s="388">
        <f t="shared" si="128"/>
        <v>18.059967449211758</v>
      </c>
      <c r="E343" s="380">
        <f t="shared" si="126"/>
        <v>18.869090026846269</v>
      </c>
      <c r="F343" s="380">
        <f t="shared" si="129"/>
        <v>18.869090026846269</v>
      </c>
      <c r="G343" s="110">
        <f t="shared" si="127"/>
        <v>0.17481614307422114</v>
      </c>
      <c r="H343" s="409" t="b">
        <f>Wh_hp&gt;='2022'!Maxi_hp</f>
        <v>0</v>
      </c>
      <c r="I343" s="385">
        <f>IF(H343,Wh_hp,'2022'!Maxi_hp)</f>
        <v>18.882417047930645</v>
      </c>
      <c r="J343" s="85">
        <f>IF(H343,An,'2022'!An_max)</f>
        <v>2022</v>
      </c>
      <c r="K343" s="193">
        <f t="shared" si="130"/>
        <v>45255</v>
      </c>
      <c r="L343" s="143">
        <f>IF(t&lt;Tvie,1-EXP((T0-t)*PertePVj)+'2022'!Pspv,1-EXP((T0-t)*PertePVj)+Pspv)</f>
        <v>1.1311310605448877E-2</v>
      </c>
      <c r="M343" s="835"/>
      <c r="N343" s="835"/>
      <c r="O343" s="48">
        <f>IF(t&lt;Tnet,'2022'!Resal+('2022'!Salim-'2022'!Resal)*(1-EXP(('2022'!Tnet-t)/('2022'!Tau_j))),Resal+(Salim-Resal)*(1-EXP((Tnet-t)/(Tau_j))))*Salcycl</f>
        <v>4.2880847803647239E-2</v>
      </c>
      <c r="P343" s="165">
        <f>(INDEX(Models!$BJ343:$BT343,,T343)*(1-R343)+INDEX(Models!$BJ343:$BT343,,T343+1)*R343-ERP_i)*Q343*Ramure*Pc/MaxiM</f>
        <v>1.4079263078526714E-3</v>
      </c>
      <c r="Q343" s="301">
        <f t="shared" si="131"/>
        <v>0.5</v>
      </c>
      <c r="R343" s="173">
        <f t="shared" si="132"/>
        <v>0.98919256351458296</v>
      </c>
      <c r="S343" s="801">
        <f t="shared" si="133"/>
        <v>0</v>
      </c>
      <c r="T343" s="172">
        <f t="shared" si="134"/>
        <v>6</v>
      </c>
      <c r="U343" s="247">
        <f t="shared" si="135"/>
        <v>0.98919256351458296</v>
      </c>
      <c r="V343" s="378">
        <f t="shared" si="136"/>
        <v>101.99599273204178</v>
      </c>
      <c r="W343" s="397">
        <f t="shared" si="137"/>
        <v>17.855685547869427</v>
      </c>
      <c r="X343" s="153">
        <f t="shared" si="138"/>
        <v>45255</v>
      </c>
      <c r="Y343" s="380">
        <f t="shared" si="139"/>
        <v>17.855685547869427</v>
      </c>
      <c r="Z343" s="380">
        <f t="shared" si="140"/>
        <v>18.059967449211758</v>
      </c>
      <c r="AA343" s="381">
        <f t="shared" si="141"/>
        <v>18.869090026846269</v>
      </c>
      <c r="AB343" s="193">
        <f t="shared" si="142"/>
        <v>45255</v>
      </c>
      <c r="AC343" s="420">
        <f>IF(OR(t&lt;Tnet,NoTnet),'2022'!Resal_s+('2022'!Salim-'2022'!Resal_s)*(1-EXP(('2022'!Tnet_s-t)/'2022'!Tau_j)),Resal_s+(Salim-Resal_s)*(1-EXP((Tnet_s-t)/Tau_j)))*Salcycl</f>
        <v>4.2880847803647239E-2</v>
      </c>
      <c r="AD343" s="227">
        <f>(INDEX(Models!$BJ343:$BT343,,AH343)*(1-AF343)+INDEX(Models!$BJ343:$BT343,,AH343+1)*AF343-ERP_i)*AE343*Ramure*Pc/MaxiM</f>
        <v>1.4079263078526714E-3</v>
      </c>
      <c r="AE343" s="301">
        <f t="shared" si="143"/>
        <v>0.5</v>
      </c>
      <c r="AF343" s="173">
        <f t="shared" si="144"/>
        <v>0.98919256351458296</v>
      </c>
      <c r="AG343" s="172">
        <f t="shared" si="145"/>
        <v>0</v>
      </c>
      <c r="AH343" s="172">
        <f t="shared" si="146"/>
        <v>6</v>
      </c>
      <c r="AI343" s="221">
        <f t="shared" si="147"/>
        <v>0.98919256351458296</v>
      </c>
      <c r="AJ343" s="261" t="b">
        <f t="shared" si="148"/>
        <v>0</v>
      </c>
      <c r="AK343" s="261" t="b">
        <f t="shared" si="149"/>
        <v>0</v>
      </c>
      <c r="AL343" s="261"/>
      <c r="AM343" s="261"/>
      <c r="AN343" s="75"/>
    </row>
    <row r="344" spans="1:40" s="6" customFormat="1" ht="11.25" x14ac:dyDescent="0.2">
      <c r="A344" s="56">
        <f t="shared" si="150"/>
        <v>45256</v>
      </c>
      <c r="B344" s="406">
        <f>'2022'!Wh/'2022'!Env_an*'2023'!Env_an</f>
        <v>53.750116959285521</v>
      </c>
      <c r="C344" s="385"/>
      <c r="D344" s="388">
        <f t="shared" si="128"/>
        <v>54.365801227318229</v>
      </c>
      <c r="E344" s="380">
        <f t="shared" si="126"/>
        <v>56.802384870148089</v>
      </c>
      <c r="F344" s="380">
        <f t="shared" si="129"/>
        <v>56.828971052751811</v>
      </c>
      <c r="G344" s="110">
        <f t="shared" si="127"/>
        <v>0.53111187896809475</v>
      </c>
      <c r="H344" s="409" t="b">
        <f>Wh_hp&gt;='2022'!Maxi_hp</f>
        <v>0</v>
      </c>
      <c r="I344" s="385">
        <f>IF(H344,Wh_hp,'2022'!Maxi_hp)</f>
        <v>56.855945185650661</v>
      </c>
      <c r="J344" s="85">
        <f>IF(H344,An,'2022'!An_max)</f>
        <v>2022</v>
      </c>
      <c r="K344" s="193">
        <f t="shared" si="130"/>
        <v>45256</v>
      </c>
      <c r="L344" s="143">
        <f>IF(t&lt;Tvie,1-EXP((T0-t)*PertePVj)+'2022'!Pspv,1-EXP((T0-t)*PertePVj)+Pspv)</f>
        <v>1.1324844923343735E-2</v>
      </c>
      <c r="M344" s="835"/>
      <c r="N344" s="835"/>
      <c r="O344" s="48">
        <f>IF(t&lt;Tnet,'2022'!Resal+('2022'!Salim-'2022'!Resal)*(1-EXP(('2022'!Tnet-t)/('2022'!Tau_j))),Resal+(Salim-Resal)*(1-EXP((Tnet-t)/(Tau_j))))*Salcycl</f>
        <v>4.2895798273258394E-2</v>
      </c>
      <c r="P344" s="165">
        <f>(INDEX(Models!$BJ344:$BT344,,T344)*(1-R344)+INDEX(Models!$BJ344:$BT344,,T344+1)*R344-ERP_i)*Q344*Ramure*Pc/MaxiM</f>
        <v>1.4138959131910216E-3</v>
      </c>
      <c r="Q344" s="301">
        <f t="shared" si="131"/>
        <v>0.5</v>
      </c>
      <c r="R344" s="173">
        <f t="shared" si="132"/>
        <v>0.98921276356798127</v>
      </c>
      <c r="S344" s="801">
        <f t="shared" si="133"/>
        <v>0</v>
      </c>
      <c r="T344" s="172">
        <f t="shared" si="134"/>
        <v>6</v>
      </c>
      <c r="U344" s="247">
        <f t="shared" si="135"/>
        <v>0.98921276356798127</v>
      </c>
      <c r="V344" s="378">
        <f t="shared" si="136"/>
        <v>101.10721304267936</v>
      </c>
      <c r="W344" s="397">
        <f t="shared" si="137"/>
        <v>53.750116959285521</v>
      </c>
      <c r="X344" s="153">
        <f t="shared" si="138"/>
        <v>45256</v>
      </c>
      <c r="Y344" s="380">
        <f t="shared" si="139"/>
        <v>53.750116959285521</v>
      </c>
      <c r="Z344" s="380">
        <f t="shared" si="140"/>
        <v>54.365801227318229</v>
      </c>
      <c r="AA344" s="381">
        <f t="shared" si="141"/>
        <v>56.802384870148089</v>
      </c>
      <c r="AB344" s="193">
        <f t="shared" si="142"/>
        <v>45256</v>
      </c>
      <c r="AC344" s="420">
        <f>IF(OR(t&lt;Tnet,NoTnet),'2022'!Resal_s+('2022'!Salim-'2022'!Resal_s)*(1-EXP(('2022'!Tnet_s-t)/'2022'!Tau_j)),Resal_s+(Salim-Resal_s)*(1-EXP((Tnet_s-t)/Tau_j)))*Salcycl</f>
        <v>4.2895798273258394E-2</v>
      </c>
      <c r="AD344" s="227">
        <f>(INDEX(Models!$BJ344:$BT344,,AH344)*(1-AF344)+INDEX(Models!$BJ344:$BT344,,AH344+1)*AF344-ERP_i)*AE344*Ramure*Pc/MaxiM</f>
        <v>1.4138959131910216E-3</v>
      </c>
      <c r="AE344" s="301">
        <f t="shared" si="143"/>
        <v>0.5</v>
      </c>
      <c r="AF344" s="173">
        <f t="shared" si="144"/>
        <v>0.98921276356798127</v>
      </c>
      <c r="AG344" s="172">
        <f t="shared" si="145"/>
        <v>0</v>
      </c>
      <c r="AH344" s="172">
        <f t="shared" si="146"/>
        <v>6</v>
      </c>
      <c r="AI344" s="221">
        <f t="shared" si="147"/>
        <v>0.98921276356798127</v>
      </c>
      <c r="AJ344" s="261" t="b">
        <f t="shared" si="148"/>
        <v>0</v>
      </c>
      <c r="AK344" s="261" t="b">
        <f t="shared" si="149"/>
        <v>0</v>
      </c>
      <c r="AL344" s="261"/>
      <c r="AM344" s="261"/>
      <c r="AN344" s="75"/>
    </row>
    <row r="345" spans="1:40" s="6" customFormat="1" ht="11.25" customHeight="1" x14ac:dyDescent="0.2">
      <c r="A345" s="56">
        <f t="shared" si="150"/>
        <v>45257</v>
      </c>
      <c r="B345" s="406">
        <f>'2022'!Wh/'2022'!Env_an*'2023'!Env_an</f>
        <v>58.544675382150537</v>
      </c>
      <c r="C345" s="385"/>
      <c r="D345" s="388">
        <f t="shared" si="128"/>
        <v>59.216089855140211</v>
      </c>
      <c r="E345" s="380">
        <f t="shared" si="126"/>
        <v>61.871067709939901</v>
      </c>
      <c r="F345" s="380">
        <f t="shared" si="129"/>
        <v>61.90665759978959</v>
      </c>
      <c r="G345" s="110">
        <f t="shared" si="127"/>
        <v>0.58346746678562977</v>
      </c>
      <c r="H345" s="409" t="b">
        <f>Wh_hp&gt;='2022'!Maxi_hp</f>
        <v>0</v>
      </c>
      <c r="I345" s="385">
        <f>IF(H345,Wh_hp,'2022'!Maxi_hp)</f>
        <v>61.932817208554482</v>
      </c>
      <c r="J345" s="85">
        <f>IF(H345,An,'2022'!An_max)</f>
        <v>2022</v>
      </c>
      <c r="K345" s="193">
        <f t="shared" si="130"/>
        <v>45257</v>
      </c>
      <c r="L345" s="143">
        <f>IF(t&lt;Tvie,1-EXP((T0-t)*PertePVj)+'2022'!Pspv,1-EXP((T0-t)*PertePVj)+Pspv)</f>
        <v>1.1338379055965131E-2</v>
      </c>
      <c r="M345" s="835"/>
      <c r="N345" s="835"/>
      <c r="O345" s="48">
        <f>IF(t&lt;Tnet,'2022'!Resal+('2022'!Salim-'2022'!Resal)*(1-EXP(('2022'!Tnet-t)/('2022'!Tau_j))),Resal+(Salim-Resal)*(1-EXP((Tnet-t)/(Tau_j))))*Salcycl</f>
        <v>4.2911460122954166E-2</v>
      </c>
      <c r="P345" s="165">
        <f>(INDEX(Models!$BJ345:$BT345,,T345)*(1-R345)+INDEX(Models!$BJ345:$BT345,,T345+1)*R345-ERP_i)*Q345*Ramure*Pc/MaxiM</f>
        <v>1.4171986832979932E-3</v>
      </c>
      <c r="Q345" s="301">
        <f t="shared" si="131"/>
        <v>0.5</v>
      </c>
      <c r="R345" s="173">
        <f t="shared" si="132"/>
        <v>0.98923215184244184</v>
      </c>
      <c r="S345" s="801">
        <f t="shared" si="133"/>
        <v>0</v>
      </c>
      <c r="T345" s="172">
        <f t="shared" si="134"/>
        <v>6</v>
      </c>
      <c r="U345" s="247">
        <f t="shared" si="135"/>
        <v>0.98923215184244184</v>
      </c>
      <c r="V345" s="378">
        <f t="shared" si="136"/>
        <v>100.25466372870314</v>
      </c>
      <c r="W345" s="397">
        <f t="shared" si="137"/>
        <v>58.544675382150537</v>
      </c>
      <c r="X345" s="153">
        <f t="shared" si="138"/>
        <v>45257</v>
      </c>
      <c r="Y345" s="380">
        <f t="shared" si="139"/>
        <v>58.544675382150537</v>
      </c>
      <c r="Z345" s="380">
        <f t="shared" si="140"/>
        <v>59.216089855140211</v>
      </c>
      <c r="AA345" s="381">
        <f t="shared" si="141"/>
        <v>61.871067709939901</v>
      </c>
      <c r="AB345" s="193">
        <f t="shared" si="142"/>
        <v>45257</v>
      </c>
      <c r="AC345" s="420">
        <f>IF(OR(t&lt;Tnet,NoTnet),'2022'!Resal_s+('2022'!Salim-'2022'!Resal_s)*(1-EXP(('2022'!Tnet_s-t)/'2022'!Tau_j)),Resal_s+(Salim-Resal_s)*(1-EXP((Tnet_s-t)/Tau_j)))*Salcycl</f>
        <v>4.2911460122954166E-2</v>
      </c>
      <c r="AD345" s="227">
        <f>(INDEX(Models!$BJ345:$BT345,,AH345)*(1-AF345)+INDEX(Models!$BJ345:$BT345,,AH345+1)*AF345-ERP_i)*AE345*Ramure*Pc/MaxiM</f>
        <v>1.4171986832979932E-3</v>
      </c>
      <c r="AE345" s="301">
        <f t="shared" si="143"/>
        <v>0.5</v>
      </c>
      <c r="AF345" s="173">
        <f t="shared" si="144"/>
        <v>0.98923215184244184</v>
      </c>
      <c r="AG345" s="172">
        <f t="shared" si="145"/>
        <v>0</v>
      </c>
      <c r="AH345" s="172">
        <f t="shared" si="146"/>
        <v>6</v>
      </c>
      <c r="AI345" s="221">
        <f t="shared" si="147"/>
        <v>0.98923215184244184</v>
      </c>
      <c r="AJ345" s="261" t="b">
        <f t="shared" si="148"/>
        <v>0</v>
      </c>
      <c r="AK345" s="261" t="b">
        <f t="shared" si="149"/>
        <v>0</v>
      </c>
      <c r="AL345" s="261"/>
      <c r="AM345" s="261"/>
      <c r="AN345" s="75"/>
    </row>
    <row r="346" spans="1:40" s="6" customFormat="1" ht="11.25" customHeight="1" x14ac:dyDescent="0.2">
      <c r="A346" s="56">
        <f t="shared" si="150"/>
        <v>45258</v>
      </c>
      <c r="B346" s="406">
        <f>'2022'!Wh/'2022'!Env_an*'2023'!Env_an</f>
        <v>38.057357094046466</v>
      </c>
      <c r="C346" s="385"/>
      <c r="D346" s="388">
        <f t="shared" si="128"/>
        <v>38.49434150998777</v>
      </c>
      <c r="E346" s="380">
        <f t="shared" si="126"/>
        <v>40.220939487431885</v>
      </c>
      <c r="F346" s="380">
        <f t="shared" si="129"/>
        <v>40.227679799643603</v>
      </c>
      <c r="G346" s="110">
        <f t="shared" si="127"/>
        <v>0.38229050017434768</v>
      </c>
      <c r="H346" s="409" t="b">
        <f>Wh_hp&gt;='2022'!Maxi_hp</f>
        <v>0</v>
      </c>
      <c r="I346" s="385">
        <f>IF(H346,Wh_hp,'2022'!Maxi_hp)</f>
        <v>40.252888141714507</v>
      </c>
      <c r="J346" s="85">
        <f>IF(H346,An,'2022'!An_max)</f>
        <v>2022</v>
      </c>
      <c r="K346" s="193">
        <f t="shared" si="130"/>
        <v>45258</v>
      </c>
      <c r="L346" s="143">
        <f>IF(t&lt;Tvie,1-EXP((T0-t)*PertePVj)+'2022'!Pspv,1-EXP((T0-t)*PertePVj)+Pspv)</f>
        <v>1.1351913003315728E-2</v>
      </c>
      <c r="M346" s="835"/>
      <c r="N346" s="835"/>
      <c r="O346" s="48">
        <f>IF(t&lt;Tnet,'2022'!Resal+('2022'!Salim-'2022'!Resal)*(1-EXP(('2022'!Tnet-t)/('2022'!Tau_j))),Resal+(Salim-Resal)*(1-EXP((Tnet-t)/(Tau_j))))*Salcycl</f>
        <v>4.2927838072594933E-2</v>
      </c>
      <c r="P346" s="165">
        <f>(INDEX(Models!$BJ346:$BT346,,T346)*(1-R346)+INDEX(Models!$BJ346:$BT346,,T346+1)*R346-ERP_i)*Q346*Ramure*Pc/MaxiM</f>
        <v>1.4170531821185452E-3</v>
      </c>
      <c r="Q346" s="301">
        <f t="shared" si="131"/>
        <v>0.5</v>
      </c>
      <c r="R346" s="173">
        <f t="shared" si="132"/>
        <v>0.98925076090167663</v>
      </c>
      <c r="S346" s="801">
        <f t="shared" si="133"/>
        <v>0</v>
      </c>
      <c r="T346" s="172">
        <f t="shared" si="134"/>
        <v>6</v>
      </c>
      <c r="U346" s="247">
        <f t="shared" si="135"/>
        <v>0.98925076090167663</v>
      </c>
      <c r="V346" s="378">
        <f t="shared" si="136"/>
        <v>99.426474041428591</v>
      </c>
      <c r="W346" s="397">
        <f t="shared" si="137"/>
        <v>38.057357094046466</v>
      </c>
      <c r="X346" s="153">
        <f t="shared" si="138"/>
        <v>45258</v>
      </c>
      <c r="Y346" s="380">
        <f t="shared" si="139"/>
        <v>38.057357094046466</v>
      </c>
      <c r="Z346" s="380">
        <f t="shared" si="140"/>
        <v>38.49434150998777</v>
      </c>
      <c r="AA346" s="381">
        <f t="shared" si="141"/>
        <v>40.220939487431885</v>
      </c>
      <c r="AB346" s="193">
        <f t="shared" si="142"/>
        <v>45258</v>
      </c>
      <c r="AC346" s="420">
        <f>IF(OR(t&lt;Tnet,NoTnet),'2022'!Resal_s+('2022'!Salim-'2022'!Resal_s)*(1-EXP(('2022'!Tnet_s-t)/'2022'!Tau_j)),Resal_s+(Salim-Resal_s)*(1-EXP((Tnet_s-t)/Tau_j)))*Salcycl</f>
        <v>4.2927838072594933E-2</v>
      </c>
      <c r="AD346" s="227">
        <f>(INDEX(Models!$BJ346:$BT346,,AH346)*(1-AF346)+INDEX(Models!$BJ346:$BT346,,AH346+1)*AF346-ERP_i)*AE346*Ramure*Pc/MaxiM</f>
        <v>1.4170531821185452E-3</v>
      </c>
      <c r="AE346" s="301">
        <f t="shared" si="143"/>
        <v>0.5</v>
      </c>
      <c r="AF346" s="173">
        <f t="shared" si="144"/>
        <v>0.98925076090167663</v>
      </c>
      <c r="AG346" s="172">
        <f t="shared" si="145"/>
        <v>0</v>
      </c>
      <c r="AH346" s="172">
        <f t="shared" si="146"/>
        <v>6</v>
      </c>
      <c r="AI346" s="221">
        <f t="shared" si="147"/>
        <v>0.98925076090167663</v>
      </c>
      <c r="AJ346" s="261" t="b">
        <f t="shared" si="148"/>
        <v>0</v>
      </c>
      <c r="AK346" s="261" t="b">
        <f t="shared" si="149"/>
        <v>0</v>
      </c>
      <c r="AL346" s="261"/>
      <c r="AM346" s="261"/>
      <c r="AN346" s="75"/>
    </row>
    <row r="347" spans="1:40" s="6" customFormat="1" ht="11.25" customHeight="1" x14ac:dyDescent="0.2">
      <c r="A347" s="56">
        <f t="shared" si="150"/>
        <v>45259</v>
      </c>
      <c r="B347" s="406">
        <f>'2022'!Wh/'2022'!Env_an*'2023'!Env_an</f>
        <v>54.221421850866022</v>
      </c>
      <c r="C347" s="385"/>
      <c r="D347" s="388">
        <f t="shared" si="128"/>
        <v>54.84475701710511</v>
      </c>
      <c r="E347" s="380">
        <f t="shared" si="126"/>
        <v>57.305748618614885</v>
      </c>
      <c r="F347" s="380">
        <f t="shared" si="129"/>
        <v>57.33465422869412</v>
      </c>
      <c r="G347" s="110">
        <f t="shared" si="127"/>
        <v>0.54927552569749805</v>
      </c>
      <c r="H347" s="409" t="b">
        <f>Wh_hp&gt;='2022'!Maxi_hp</f>
        <v>0</v>
      </c>
      <c r="I347" s="385">
        <f>IF(H347,Wh_hp,'2022'!Maxi_hp)</f>
        <v>57.360785760520933</v>
      </c>
      <c r="J347" s="85">
        <f>IF(H347,An,'2022'!An_max)</f>
        <v>2022</v>
      </c>
      <c r="K347" s="193">
        <f t="shared" si="130"/>
        <v>45259</v>
      </c>
      <c r="L347" s="143">
        <f>IF(t&lt;Tvie,1-EXP((T0-t)*PertePVj)+'2022'!Pspv,1-EXP((T0-t)*PertePVj)+Pspv)</f>
        <v>1.1365446765397857E-2</v>
      </c>
      <c r="M347" s="835"/>
      <c r="N347" s="835"/>
      <c r="O347" s="48">
        <f>IF(t&lt;Tnet,'2022'!Resal+('2022'!Salim-'2022'!Resal)*(1-EXP(('2022'!Tnet-t)/('2022'!Tau_j))),Resal+(Salim-Resal)*(1-EXP((Tnet-t)/(Tau_j))))*Salcycl</f>
        <v>4.2944934161637652E-2</v>
      </c>
      <c r="P347" s="165">
        <f>(INDEX(Models!$BJ347:$BT347,,T347)*(1-R347)+INDEX(Models!$BJ347:$BT347,,T347+1)*R347-ERP_i)*Q347*Ramure*Pc/MaxiM</f>
        <v>1.4129062397879382E-3</v>
      </c>
      <c r="Q347" s="301">
        <f t="shared" si="131"/>
        <v>0.5</v>
      </c>
      <c r="R347" s="173">
        <f t="shared" si="132"/>
        <v>0.98926862200780574</v>
      </c>
      <c r="S347" s="801">
        <f t="shared" si="133"/>
        <v>0</v>
      </c>
      <c r="T347" s="172">
        <f t="shared" si="134"/>
        <v>6</v>
      </c>
      <c r="U347" s="247">
        <f t="shared" si="135"/>
        <v>0.98926862200780574</v>
      </c>
      <c r="V347" s="378">
        <f t="shared" si="136"/>
        <v>98.62468056978139</v>
      </c>
      <c r="W347" s="397">
        <f t="shared" si="137"/>
        <v>54.221421850866022</v>
      </c>
      <c r="X347" s="153">
        <f t="shared" si="138"/>
        <v>45259</v>
      </c>
      <c r="Y347" s="380">
        <f t="shared" si="139"/>
        <v>54.221421850866022</v>
      </c>
      <c r="Z347" s="380">
        <f t="shared" si="140"/>
        <v>54.84475701710511</v>
      </c>
      <c r="AA347" s="381">
        <f t="shared" si="141"/>
        <v>57.305748618614885</v>
      </c>
      <c r="AB347" s="193">
        <f t="shared" si="142"/>
        <v>45259</v>
      </c>
      <c r="AC347" s="420">
        <f>IF(OR(t&lt;Tnet,NoTnet),'2022'!Resal_s+('2022'!Salim-'2022'!Resal_s)*(1-EXP(('2022'!Tnet_s-t)/'2022'!Tau_j)),Resal_s+(Salim-Resal_s)*(1-EXP((Tnet_s-t)/Tau_j)))*Salcycl</f>
        <v>4.2944934161637652E-2</v>
      </c>
      <c r="AD347" s="227">
        <f>(INDEX(Models!$BJ347:$BT347,,AH347)*(1-AF347)+INDEX(Models!$BJ347:$BT347,,AH347+1)*AF347-ERP_i)*AE347*Ramure*Pc/MaxiM</f>
        <v>1.4129062397879382E-3</v>
      </c>
      <c r="AE347" s="301">
        <f t="shared" si="143"/>
        <v>0.5</v>
      </c>
      <c r="AF347" s="173">
        <f t="shared" si="144"/>
        <v>0.98926862200780574</v>
      </c>
      <c r="AG347" s="172">
        <f t="shared" si="145"/>
        <v>0</v>
      </c>
      <c r="AH347" s="172">
        <f t="shared" si="146"/>
        <v>6</v>
      </c>
      <c r="AI347" s="221">
        <f t="shared" si="147"/>
        <v>0.98926862200780574</v>
      </c>
      <c r="AJ347" s="261" t="b">
        <f t="shared" si="148"/>
        <v>0</v>
      </c>
      <c r="AK347" s="261" t="b">
        <f t="shared" si="149"/>
        <v>0</v>
      </c>
      <c r="AL347" s="261"/>
      <c r="AM347" s="261"/>
      <c r="AN347" s="75"/>
    </row>
    <row r="348" spans="1:40" s="6" customFormat="1" ht="11.25" customHeight="1" x14ac:dyDescent="0.2">
      <c r="A348" s="56">
        <f t="shared" si="150"/>
        <v>45260</v>
      </c>
      <c r="B348" s="406">
        <f>'2022'!Wh/'2022'!Env_an*'2023'!Env_an</f>
        <v>21.507746786972497</v>
      </c>
      <c r="C348" s="385"/>
      <c r="D348" s="388">
        <f t="shared" si="128"/>
        <v>21.755299917067784</v>
      </c>
      <c r="E348" s="380">
        <f t="shared" si="126"/>
        <v>22.731925917206485</v>
      </c>
      <c r="F348" s="380">
        <f t="shared" si="129"/>
        <v>22.731925917206485</v>
      </c>
      <c r="G348" s="110">
        <f t="shared" si="127"/>
        <v>0.21949163088859391</v>
      </c>
      <c r="H348" s="409" t="b">
        <f>Wh_hp&gt;='2022'!Maxi_hp</f>
        <v>0</v>
      </c>
      <c r="I348" s="385">
        <f>IF(H348,Wh_hp,'2022'!Maxi_hp)</f>
        <v>22.747934672139031</v>
      </c>
      <c r="J348" s="85">
        <f>IF(H348,An,'2022'!An_max)</f>
        <v>2022</v>
      </c>
      <c r="K348" s="193">
        <f t="shared" si="130"/>
        <v>45260</v>
      </c>
      <c r="L348" s="143">
        <f>IF(t&lt;Tvie,1-EXP((T0-t)*PertePVj)+'2022'!Pspv,1-EXP((T0-t)*PertePVj)+Pspv)</f>
        <v>1.1378980342214073E-2</v>
      </c>
      <c r="M348" s="835"/>
      <c r="N348" s="835"/>
      <c r="O348" s="48">
        <f>IF(t&lt;Tnet,'2022'!Resal+('2022'!Salim-'2022'!Resal)*(1-EXP(('2022'!Tnet-t)/('2022'!Tau_j))),Resal+(Salim-Resal)*(1-EXP((Tnet-t)/(Tau_j))))*Salcycl</f>
        <v>4.296274779777727E-2</v>
      </c>
      <c r="P348" s="165">
        <f>(INDEX(Models!$BJ348:$BT348,,T348)*(1-R348)+INDEX(Models!$BJ348:$BT348,,T348+1)*R348-ERP_i)*Q348*Ramure*Pc/MaxiM</f>
        <v>1.4046894432856343E-3</v>
      </c>
      <c r="Q348" s="301">
        <f t="shared" si="131"/>
        <v>0.5</v>
      </c>
      <c r="R348" s="173">
        <f t="shared" si="132"/>
        <v>0.98928576517301492</v>
      </c>
      <c r="S348" s="801">
        <f t="shared" si="133"/>
        <v>0</v>
      </c>
      <c r="T348" s="172">
        <f t="shared" si="134"/>
        <v>6</v>
      </c>
      <c r="U348" s="247">
        <f t="shared" si="135"/>
        <v>0.98928576517301492</v>
      </c>
      <c r="V348" s="378">
        <f t="shared" si="136"/>
        <v>97.851271117545281</v>
      </c>
      <c r="W348" s="397">
        <f t="shared" si="137"/>
        <v>21.507746786972497</v>
      </c>
      <c r="X348" s="153">
        <f t="shared" si="138"/>
        <v>45260</v>
      </c>
      <c r="Y348" s="380">
        <f t="shared" si="139"/>
        <v>21.507746786972497</v>
      </c>
      <c r="Z348" s="380">
        <f t="shared" si="140"/>
        <v>21.755299917067784</v>
      </c>
      <c r="AA348" s="381">
        <f t="shared" si="141"/>
        <v>22.731925917206485</v>
      </c>
      <c r="AB348" s="193">
        <f t="shared" si="142"/>
        <v>45260</v>
      </c>
      <c r="AC348" s="420">
        <f>IF(OR(t&lt;Tnet,NoTnet),'2022'!Resal_s+('2022'!Salim-'2022'!Resal_s)*(1-EXP(('2022'!Tnet_s-t)/'2022'!Tau_j)),Resal_s+(Salim-Resal_s)*(1-EXP((Tnet_s-t)/Tau_j)))*Salcycl</f>
        <v>4.296274779777727E-2</v>
      </c>
      <c r="AD348" s="227">
        <f>(INDEX(Models!$BJ348:$BT348,,AH348)*(1-AF348)+INDEX(Models!$BJ348:$BT348,,AH348+1)*AF348-ERP_i)*AE348*Ramure*Pc/MaxiM</f>
        <v>1.4046894432856343E-3</v>
      </c>
      <c r="AE348" s="301">
        <f t="shared" si="143"/>
        <v>0.5</v>
      </c>
      <c r="AF348" s="173">
        <f t="shared" si="144"/>
        <v>0.98928576517301492</v>
      </c>
      <c r="AG348" s="172">
        <f t="shared" si="145"/>
        <v>0</v>
      </c>
      <c r="AH348" s="172">
        <f t="shared" si="146"/>
        <v>6</v>
      </c>
      <c r="AI348" s="221">
        <f t="shared" si="147"/>
        <v>0.98928576517301492</v>
      </c>
      <c r="AJ348" s="261" t="b">
        <f t="shared" si="148"/>
        <v>0</v>
      </c>
      <c r="AK348" s="261" t="b">
        <f t="shared" si="149"/>
        <v>0</v>
      </c>
      <c r="AL348" s="261"/>
      <c r="AM348" s="261"/>
      <c r="AN348" s="75"/>
    </row>
    <row r="349" spans="1:40" s="6" customFormat="1" ht="11.25" customHeight="1" x14ac:dyDescent="0.2">
      <c r="A349" s="56">
        <f t="shared" si="150"/>
        <v>45261</v>
      </c>
      <c r="B349" s="406">
        <f>'2022'!Wh/'2022'!Env_an*'2023'!Env_an</f>
        <v>16.15423148617144</v>
      </c>
      <c r="C349" s="385"/>
      <c r="D349" s="388">
        <f t="shared" si="128"/>
        <v>16.340389599094227</v>
      </c>
      <c r="E349" s="380">
        <f t="shared" si="126"/>
        <v>17.074263215816813</v>
      </c>
      <c r="F349" s="380">
        <f t="shared" si="129"/>
        <v>17.074263215816813</v>
      </c>
      <c r="G349" s="110">
        <f t="shared" si="127"/>
        <v>0.16612123137448576</v>
      </c>
      <c r="H349" s="409" t="b">
        <f>Wh_hp&gt;='2022'!Maxi_hp</f>
        <v>0</v>
      </c>
      <c r="I349" s="385">
        <f>IF(H349,Wh_hp,'2022'!Maxi_hp)</f>
        <v>17.086180397127045</v>
      </c>
      <c r="J349" s="85">
        <f>IF(H349,An,'2022'!An_max)</f>
        <v>2022</v>
      </c>
      <c r="K349" s="193">
        <f t="shared" si="130"/>
        <v>45261</v>
      </c>
      <c r="L349" s="143">
        <f>IF(t&lt;Tvie,1-EXP((T0-t)*PertePVj)+'2022'!Pspv,1-EXP((T0-t)*PertePVj)+Pspv)</f>
        <v>1.1392513733767151E-2</v>
      </c>
      <c r="M349" s="835"/>
      <c r="N349" s="835"/>
      <c r="O349" s="48">
        <f>IF(t&lt;Tnet,'2022'!Resal+('2022'!Salim-'2022'!Resal)*(1-EXP(('2022'!Tnet-t)/('2022'!Tau_j))),Resal+(Salim-Resal)*(1-EXP((Tnet-t)/(Tau_j))))*Salcycl</f>
        <v>4.2981275821188075E-2</v>
      </c>
      <c r="P349" s="165">
        <f>(INDEX(Models!$BJ349:$BT349,,T349)*(1-R349)+INDEX(Models!$BJ349:$BT349,,T349+1)*R349-ERP_i)*Q349*Ramure*Pc/MaxiM</f>
        <v>1.3923335130499816E-3</v>
      </c>
      <c r="Q349" s="301">
        <f t="shared" si="131"/>
        <v>0.5</v>
      </c>
      <c r="R349" s="173">
        <f t="shared" si="132"/>
        <v>0.98930221920919037</v>
      </c>
      <c r="S349" s="801">
        <f t="shared" si="133"/>
        <v>0</v>
      </c>
      <c r="T349" s="172">
        <f t="shared" si="134"/>
        <v>6</v>
      </c>
      <c r="U349" s="247">
        <f t="shared" si="135"/>
        <v>0.98930221920919037</v>
      </c>
      <c r="V349" s="378">
        <f t="shared" si="136"/>
        <v>97.108233997676209</v>
      </c>
      <c r="W349" s="397">
        <f t="shared" si="137"/>
        <v>16.15423148617144</v>
      </c>
      <c r="X349" s="153">
        <f t="shared" si="138"/>
        <v>45261</v>
      </c>
      <c r="Y349" s="380">
        <f t="shared" si="139"/>
        <v>16.15423148617144</v>
      </c>
      <c r="Z349" s="380">
        <f t="shared" si="140"/>
        <v>16.340389599094227</v>
      </c>
      <c r="AA349" s="381">
        <f t="shared" si="141"/>
        <v>17.074263215816813</v>
      </c>
      <c r="AB349" s="193">
        <f t="shared" si="142"/>
        <v>45261</v>
      </c>
      <c r="AC349" s="420">
        <f>IF(OR(t&lt;Tnet,NoTnet),'2022'!Resal_s+('2022'!Salim-'2022'!Resal_s)*(1-EXP(('2022'!Tnet_s-t)/'2022'!Tau_j)),Resal_s+(Salim-Resal_s)*(1-EXP((Tnet_s-t)/Tau_j)))*Salcycl</f>
        <v>4.2981275821188075E-2</v>
      </c>
      <c r="AD349" s="227">
        <f>(INDEX(Models!$BJ349:$BT349,,AH349)*(1-AF349)+INDEX(Models!$BJ349:$BT349,,AH349+1)*AF349-ERP_i)*AE349*Ramure*Pc/MaxiM</f>
        <v>1.3923335130499816E-3</v>
      </c>
      <c r="AE349" s="301">
        <f t="shared" si="143"/>
        <v>0.5</v>
      </c>
      <c r="AF349" s="173">
        <f t="shared" si="144"/>
        <v>0.98930221920919037</v>
      </c>
      <c r="AG349" s="172">
        <f t="shared" si="145"/>
        <v>0</v>
      </c>
      <c r="AH349" s="172">
        <f t="shared" si="146"/>
        <v>6</v>
      </c>
      <c r="AI349" s="221">
        <f t="shared" si="147"/>
        <v>0.98930221920919037</v>
      </c>
      <c r="AJ349" s="261" t="b">
        <f t="shared" si="148"/>
        <v>0</v>
      </c>
      <c r="AK349" s="261" t="b">
        <f t="shared" si="149"/>
        <v>0</v>
      </c>
      <c r="AL349" s="261"/>
      <c r="AM349" s="261"/>
      <c r="AN349" s="75"/>
    </row>
    <row r="350" spans="1:40" s="6" customFormat="1" ht="11.25" customHeight="1" x14ac:dyDescent="0.2">
      <c r="A350" s="56">
        <f t="shared" si="150"/>
        <v>45262</v>
      </c>
      <c r="B350" s="406">
        <f>'2022'!Wh/'2022'!Env_an*'2023'!Env_an</f>
        <v>26.049384558259149</v>
      </c>
      <c r="C350" s="385"/>
      <c r="D350" s="388">
        <f t="shared" si="128"/>
        <v>26.34993313243513</v>
      </c>
      <c r="E350" s="380">
        <f t="shared" si="126"/>
        <v>27.533905168095387</v>
      </c>
      <c r="F350" s="380">
        <f t="shared" si="129"/>
        <v>27.533905168095387</v>
      </c>
      <c r="G350" s="110">
        <f t="shared" si="127"/>
        <v>0.26985690471466778</v>
      </c>
      <c r="H350" s="409" t="b">
        <f>Wh_hp&gt;='2022'!Maxi_hp</f>
        <v>0</v>
      </c>
      <c r="I350" s="385">
        <f>IF(H350,Wh_hp,'2022'!Maxi_hp)</f>
        <v>27.5528918378476</v>
      </c>
      <c r="J350" s="85">
        <f>IF(H350,An,'2022'!An_max)</f>
        <v>2022</v>
      </c>
      <c r="K350" s="193">
        <f t="shared" si="130"/>
        <v>45262</v>
      </c>
      <c r="L350" s="143">
        <f>IF(t&lt;Tvie,1-EXP((T0-t)*PertePVj)+'2022'!Pspv,1-EXP((T0-t)*PertePVj)+Pspv)</f>
        <v>1.1406046940059311E-2</v>
      </c>
      <c r="M350" s="835"/>
      <c r="N350" s="835"/>
      <c r="O350" s="48">
        <f>IF(t&lt;Tnet,'2022'!Resal+('2022'!Salim-'2022'!Resal)*(1-EXP(('2022'!Tnet-t)/('2022'!Tau_j))),Resal+(Salim-Resal)*(1-EXP((Tnet-t)/(Tau_j))))*Salcycl</f>
        <v>4.3000512583742448E-2</v>
      </c>
      <c r="P350" s="165">
        <f>(INDEX(Models!$BJ350:$BT350,,T350)*(1-R350)+INDEX(Models!$BJ350:$BT350,,T350+1)*R350-ERP_i)*Q350*Ramure*Pc/MaxiM</f>
        <v>1.3757693952222208E-3</v>
      </c>
      <c r="Q350" s="301">
        <f t="shared" si="131"/>
        <v>0.5</v>
      </c>
      <c r="R350" s="173">
        <f t="shared" si="132"/>
        <v>0.98931801177561229</v>
      </c>
      <c r="S350" s="801">
        <f t="shared" si="133"/>
        <v>0</v>
      </c>
      <c r="T350" s="172">
        <f t="shared" si="134"/>
        <v>6</v>
      </c>
      <c r="U350" s="247">
        <f t="shared" si="135"/>
        <v>0.98931801177561229</v>
      </c>
      <c r="V350" s="378">
        <f t="shared" si="136"/>
        <v>96.397557956595008</v>
      </c>
      <c r="W350" s="397">
        <f t="shared" si="137"/>
        <v>26.049384558259149</v>
      </c>
      <c r="X350" s="153">
        <f t="shared" si="138"/>
        <v>45262</v>
      </c>
      <c r="Y350" s="380">
        <f t="shared" si="139"/>
        <v>26.049384558259149</v>
      </c>
      <c r="Z350" s="380">
        <f t="shared" si="140"/>
        <v>26.34993313243513</v>
      </c>
      <c r="AA350" s="381">
        <f t="shared" si="141"/>
        <v>27.533905168095387</v>
      </c>
      <c r="AB350" s="193">
        <f t="shared" si="142"/>
        <v>45262</v>
      </c>
      <c r="AC350" s="420">
        <f>IF(OR(t&lt;Tnet,NoTnet),'2022'!Resal_s+('2022'!Salim-'2022'!Resal_s)*(1-EXP(('2022'!Tnet_s-t)/'2022'!Tau_j)),Resal_s+(Salim-Resal_s)*(1-EXP((Tnet_s-t)/Tau_j)))*Salcycl</f>
        <v>4.3000512583742448E-2</v>
      </c>
      <c r="AD350" s="227">
        <f>(INDEX(Models!$BJ350:$BT350,,AH350)*(1-AF350)+INDEX(Models!$BJ350:$BT350,,AH350+1)*AF350-ERP_i)*AE350*Ramure*Pc/MaxiM</f>
        <v>1.3757693952222208E-3</v>
      </c>
      <c r="AE350" s="301">
        <f t="shared" si="143"/>
        <v>0.5</v>
      </c>
      <c r="AF350" s="173">
        <f t="shared" si="144"/>
        <v>0.98931801177561229</v>
      </c>
      <c r="AG350" s="172">
        <f t="shared" si="145"/>
        <v>0</v>
      </c>
      <c r="AH350" s="172">
        <f t="shared" si="146"/>
        <v>6</v>
      </c>
      <c r="AI350" s="221">
        <f t="shared" si="147"/>
        <v>0.98931801177561229</v>
      </c>
      <c r="AJ350" s="261" t="b">
        <f t="shared" si="148"/>
        <v>0</v>
      </c>
      <c r="AK350" s="261" t="b">
        <f t="shared" si="149"/>
        <v>0</v>
      </c>
      <c r="AL350" s="261"/>
      <c r="AM350" s="261"/>
      <c r="AN350" s="75"/>
    </row>
    <row r="351" spans="1:40" s="6" customFormat="1" ht="11.25" customHeight="1" x14ac:dyDescent="0.2">
      <c r="A351" s="56">
        <f t="shared" si="150"/>
        <v>45263</v>
      </c>
      <c r="B351" s="406">
        <f>'2022'!Wh/'2022'!Env_an*'2023'!Env_an</f>
        <v>35.717965151772148</v>
      </c>
      <c r="C351" s="385"/>
      <c r="D351" s="388">
        <f t="shared" si="128"/>
        <v>36.130560981944626</v>
      </c>
      <c r="E351" s="380">
        <f t="shared" si="126"/>
        <v>37.754788995802492</v>
      </c>
      <c r="F351" s="380">
        <f t="shared" si="129"/>
        <v>37.760135143226748</v>
      </c>
      <c r="G351" s="110">
        <f t="shared" si="127"/>
        <v>0.37269286987175604</v>
      </c>
      <c r="H351" s="409" t="b">
        <f>Wh_hp&gt;='2022'!Maxi_hp</f>
        <v>0</v>
      </c>
      <c r="I351" s="385">
        <f>IF(H351,Wh_hp,'2022'!Maxi_hp)</f>
        <v>37.783098286209089</v>
      </c>
      <c r="J351" s="85">
        <f>IF(H351,An,'2022'!An_max)</f>
        <v>2022</v>
      </c>
      <c r="K351" s="193">
        <f t="shared" si="130"/>
        <v>45263</v>
      </c>
      <c r="L351" s="143">
        <f>IF(t&lt;Tvie,1-EXP((T0-t)*PertePVj)+'2022'!Pspv,1-EXP((T0-t)*PertePVj)+Pspv)</f>
        <v>1.1419579961093329E-2</v>
      </c>
      <c r="M351" s="835"/>
      <c r="N351" s="835"/>
      <c r="O351" s="48">
        <f>IF(t&lt;Tnet,'2022'!Resal+('2022'!Salim-'2022'!Resal)*(1-EXP(('2022'!Tnet-t)/('2022'!Tau_j))),Resal+(Salim-Resal)*(1-EXP((Tnet-t)/(Tau_j))))*Salcycl</f>
        <v>4.3020450042468641E-2</v>
      </c>
      <c r="P351" s="165">
        <f>(INDEX(Models!$BJ351:$BT351,,T351)*(1-R351)+INDEX(Models!$BJ351:$BT351,,T351+1)*R351-ERP_i)*Q351*Ramure*Pc/MaxiM</f>
        <v>1.3549294824995032E-3</v>
      </c>
      <c r="Q351" s="301">
        <f t="shared" si="131"/>
        <v>0.5</v>
      </c>
      <c r="R351" s="173">
        <f t="shared" si="132"/>
        <v>0.98933316942477489</v>
      </c>
      <c r="S351" s="801">
        <f t="shared" si="133"/>
        <v>0</v>
      </c>
      <c r="T351" s="172">
        <f t="shared" si="134"/>
        <v>6</v>
      </c>
      <c r="U351" s="247">
        <f t="shared" si="135"/>
        <v>0.98933316942477489</v>
      </c>
      <c r="V351" s="378">
        <f t="shared" si="136"/>
        <v>95.72123211418355</v>
      </c>
      <c r="W351" s="397">
        <f t="shared" si="137"/>
        <v>35.717965151772148</v>
      </c>
      <c r="X351" s="153">
        <f t="shared" si="138"/>
        <v>45263</v>
      </c>
      <c r="Y351" s="380">
        <f t="shared" si="139"/>
        <v>35.717965151772148</v>
      </c>
      <c r="Z351" s="380">
        <f t="shared" si="140"/>
        <v>36.130560981944626</v>
      </c>
      <c r="AA351" s="381">
        <f t="shared" si="141"/>
        <v>37.754788995802492</v>
      </c>
      <c r="AB351" s="193">
        <f t="shared" si="142"/>
        <v>45263</v>
      </c>
      <c r="AC351" s="420">
        <f>IF(OR(t&lt;Tnet,NoTnet),'2022'!Resal_s+('2022'!Salim-'2022'!Resal_s)*(1-EXP(('2022'!Tnet_s-t)/'2022'!Tau_j)),Resal_s+(Salim-Resal_s)*(1-EXP((Tnet_s-t)/Tau_j)))*Salcycl</f>
        <v>4.3020450042468641E-2</v>
      </c>
      <c r="AD351" s="227">
        <f>(INDEX(Models!$BJ351:$BT351,,AH351)*(1-AF351)+INDEX(Models!$BJ351:$BT351,,AH351+1)*AF351-ERP_i)*AE351*Ramure*Pc/MaxiM</f>
        <v>1.3549294824995032E-3</v>
      </c>
      <c r="AE351" s="301">
        <f t="shared" si="143"/>
        <v>0.5</v>
      </c>
      <c r="AF351" s="173">
        <f t="shared" si="144"/>
        <v>0.98933316942477489</v>
      </c>
      <c r="AG351" s="172">
        <f t="shared" si="145"/>
        <v>0</v>
      </c>
      <c r="AH351" s="172">
        <f t="shared" si="146"/>
        <v>6</v>
      </c>
      <c r="AI351" s="221">
        <f t="shared" si="147"/>
        <v>0.98933316942477489</v>
      </c>
      <c r="AJ351" s="261" t="b">
        <f t="shared" si="148"/>
        <v>0</v>
      </c>
      <c r="AK351" s="261" t="b">
        <f t="shared" si="149"/>
        <v>0</v>
      </c>
      <c r="AL351" s="261"/>
      <c r="AM351" s="261"/>
      <c r="AN351" s="75"/>
    </row>
    <row r="352" spans="1:40" s="6" customFormat="1" ht="11.25" customHeight="1" x14ac:dyDescent="0.2">
      <c r="A352" s="56">
        <f t="shared" si="150"/>
        <v>45264</v>
      </c>
      <c r="B352" s="406">
        <f>'2022'!Wh/'2022'!Env_an*'2023'!Env_an</f>
        <v>76.635932621462786</v>
      </c>
      <c r="C352" s="385"/>
      <c r="D352" s="388">
        <f t="shared" si="128"/>
        <v>77.522253287567196</v>
      </c>
      <c r="E352" s="380">
        <f t="shared" si="126"/>
        <v>81.008966523585542</v>
      </c>
      <c r="F352" s="380">
        <f t="shared" si="129"/>
        <v>81.087007479023285</v>
      </c>
      <c r="G352" s="110">
        <f t="shared" si="127"/>
        <v>0.80570837333417678</v>
      </c>
      <c r="H352" s="409" t="b">
        <f>Wh_hp&gt;='2022'!Maxi_hp</f>
        <v>0</v>
      </c>
      <c r="I352" s="385">
        <f>IF(H352,Wh_hp,'2022'!Maxi_hp)</f>
        <v>81.102007560946589</v>
      </c>
      <c r="J352" s="85">
        <f>IF(H352,An,'2022'!An_max)</f>
        <v>2022</v>
      </c>
      <c r="K352" s="193">
        <f t="shared" si="130"/>
        <v>45264</v>
      </c>
      <c r="L352" s="143">
        <f>IF(t&lt;Tvie,1-EXP((T0-t)*PertePVj)+'2022'!Pspv,1-EXP((T0-t)*PertePVj)+Pspv)</f>
        <v>1.1433112796871647E-2</v>
      </c>
      <c r="M352" s="835"/>
      <c r="N352" s="835"/>
      <c r="O352" s="48">
        <f>IF(t&lt;Tnet,'2022'!Resal+('2022'!Salim-'2022'!Resal)*(1-EXP(('2022'!Tnet-t)/('2022'!Tau_j))),Resal+(Salim-Resal)*(1-EXP((Tnet-t)/(Tau_j))))*Salcycl</f>
        <v>4.3041077866401357E-2</v>
      </c>
      <c r="P352" s="165">
        <f>(INDEX(Models!$BJ352:$BT352,,T352)*(1-R352)+INDEX(Models!$BJ352:$BT352,,T352+1)*R352-ERP_i)*Q352*Ramure*Pc/MaxiM</f>
        <v>1.3314155538080264E-3</v>
      </c>
      <c r="Q352" s="301">
        <f t="shared" si="131"/>
        <v>0.5</v>
      </c>
      <c r="R352" s="173">
        <f t="shared" si="132"/>
        <v>0.98934771764640983</v>
      </c>
      <c r="S352" s="801">
        <f t="shared" si="133"/>
        <v>0</v>
      </c>
      <c r="T352" s="172">
        <f t="shared" si="134"/>
        <v>6</v>
      </c>
      <c r="U352" s="247">
        <f t="shared" si="135"/>
        <v>0.98934771764640983</v>
      </c>
      <c r="V352" s="378">
        <f t="shared" si="136"/>
        <v>95.081087313063477</v>
      </c>
      <c r="W352" s="397">
        <f t="shared" si="137"/>
        <v>76.635932621462786</v>
      </c>
      <c r="X352" s="153">
        <f t="shared" si="138"/>
        <v>45264</v>
      </c>
      <c r="Y352" s="380">
        <f t="shared" si="139"/>
        <v>76.635932621462786</v>
      </c>
      <c r="Z352" s="380">
        <f t="shared" si="140"/>
        <v>77.522253287567196</v>
      </c>
      <c r="AA352" s="381">
        <f t="shared" si="141"/>
        <v>81.008966523585542</v>
      </c>
      <c r="AB352" s="193">
        <f t="shared" si="142"/>
        <v>45264</v>
      </c>
      <c r="AC352" s="420">
        <f>IF(OR(t&lt;Tnet,NoTnet),'2022'!Resal_s+('2022'!Salim-'2022'!Resal_s)*(1-EXP(('2022'!Tnet_s-t)/'2022'!Tau_j)),Resal_s+(Salim-Resal_s)*(1-EXP((Tnet_s-t)/Tau_j)))*Salcycl</f>
        <v>4.3041077866401357E-2</v>
      </c>
      <c r="AD352" s="227">
        <f>(INDEX(Models!$BJ352:$BT352,,AH352)*(1-AF352)+INDEX(Models!$BJ352:$BT352,,AH352+1)*AF352-ERP_i)*AE352*Ramure*Pc/MaxiM</f>
        <v>1.3314155538080264E-3</v>
      </c>
      <c r="AE352" s="301">
        <f t="shared" si="143"/>
        <v>0.5</v>
      </c>
      <c r="AF352" s="173">
        <f t="shared" si="144"/>
        <v>0.98934771764640983</v>
      </c>
      <c r="AG352" s="172">
        <f t="shared" si="145"/>
        <v>0</v>
      </c>
      <c r="AH352" s="172">
        <f t="shared" si="146"/>
        <v>6</v>
      </c>
      <c r="AI352" s="221">
        <f t="shared" si="147"/>
        <v>0.98934771764640983</v>
      </c>
      <c r="AJ352" s="261" t="b">
        <f t="shared" si="148"/>
        <v>0</v>
      </c>
      <c r="AK352" s="261" t="b">
        <f t="shared" si="149"/>
        <v>0</v>
      </c>
      <c r="AL352" s="261"/>
      <c r="AM352" s="261"/>
      <c r="AN352" s="75"/>
    </row>
    <row r="353" spans="1:40" s="6" customFormat="1" ht="11.25" customHeight="1" x14ac:dyDescent="0.2">
      <c r="A353" s="56">
        <f t="shared" si="150"/>
        <v>45265</v>
      </c>
      <c r="B353" s="406">
        <f>'2022'!Wh/'2022'!Env_an*'2023'!Env_an</f>
        <v>96.176739272145539</v>
      </c>
      <c r="C353" s="385"/>
      <c r="D353" s="388">
        <f t="shared" si="128"/>
        <v>97.290387847272996</v>
      </c>
      <c r="E353" s="380">
        <f t="shared" si="126"/>
        <v>101.66847470036106</v>
      </c>
      <c r="F353" s="380">
        <f t="shared" si="129"/>
        <v>101.80165922756319</v>
      </c>
      <c r="G353" s="110">
        <f t="shared" si="127"/>
        <v>1.0179714021442379</v>
      </c>
      <c r="H353" s="409" t="b">
        <f>Wh_hp&gt;='2022'!Maxi_hp</f>
        <v>1</v>
      </c>
      <c r="I353" s="385">
        <f>IF(H353,Wh_hp,'2022'!Maxi_hp)</f>
        <v>101.80165922756319</v>
      </c>
      <c r="J353" s="85">
        <f>IF(H353,An,'2022'!An_max)</f>
        <v>2023</v>
      </c>
      <c r="K353" s="193">
        <f t="shared" si="130"/>
        <v>45265</v>
      </c>
      <c r="L353" s="143">
        <f>IF(t&lt;Tvie,1-EXP((T0-t)*PertePVj)+'2022'!Pspv,1-EXP((T0-t)*PertePVj)+Pspv)</f>
        <v>1.1446645447396819E-2</v>
      </c>
      <c r="M353" s="835"/>
      <c r="N353" s="835"/>
      <c r="O353" s="48">
        <f>IF(t&lt;Tnet,'2022'!Resal+('2022'!Salim-'2022'!Resal)*(1-EXP(('2022'!Tnet-t)/('2022'!Tau_j))),Resal+(Salim-Resal)*(1-EXP((Tnet-t)/(Tau_j))))*Salcycl</f>
        <v>4.3062383555878277E-2</v>
      </c>
      <c r="P353" s="165">
        <f>(INDEX(Models!$BJ353:$BT353,,T353)*(1-R353)+INDEX(Models!$BJ353:$BT353,,T353+1)*R353-ERP_i)*Q353*Ramure*Pc/MaxiM</f>
        <v>1.3082746215797778E-3</v>
      </c>
      <c r="Q353" s="301">
        <f t="shared" si="131"/>
        <v>0.5</v>
      </c>
      <c r="R353" s="173">
        <f t="shared" si="132"/>
        <v>0.98936168090977883</v>
      </c>
      <c r="S353" s="801">
        <f t="shared" si="133"/>
        <v>0</v>
      </c>
      <c r="T353" s="172">
        <f t="shared" si="134"/>
        <v>6</v>
      </c>
      <c r="U353" s="247">
        <f t="shared" si="135"/>
        <v>0.98936168090977883</v>
      </c>
      <c r="V353" s="378">
        <f t="shared" si="136"/>
        <v>94.478822361375236</v>
      </c>
      <c r="W353" s="397">
        <f t="shared" si="137"/>
        <v>96.176739272145539</v>
      </c>
      <c r="X353" s="153">
        <f t="shared" si="138"/>
        <v>45265</v>
      </c>
      <c r="Y353" s="380">
        <f t="shared" si="139"/>
        <v>96.176739272145539</v>
      </c>
      <c r="Z353" s="380">
        <f t="shared" si="140"/>
        <v>97.290387847272996</v>
      </c>
      <c r="AA353" s="381">
        <f t="shared" si="141"/>
        <v>101.66847470036106</v>
      </c>
      <c r="AB353" s="193">
        <f t="shared" si="142"/>
        <v>45265</v>
      </c>
      <c r="AC353" s="420">
        <f>IF(OR(t&lt;Tnet,NoTnet),'2022'!Resal_s+('2022'!Salim-'2022'!Resal_s)*(1-EXP(('2022'!Tnet_s-t)/'2022'!Tau_j)),Resal_s+(Salim-Resal_s)*(1-EXP((Tnet_s-t)/Tau_j)))*Salcycl</f>
        <v>4.3062383555878277E-2</v>
      </c>
      <c r="AD353" s="227">
        <f>(INDEX(Models!$BJ353:$BT353,,AH353)*(1-AF353)+INDEX(Models!$BJ353:$BT353,,AH353+1)*AF353-ERP_i)*AE353*Ramure*Pc/MaxiM</f>
        <v>1.3082746215797778E-3</v>
      </c>
      <c r="AE353" s="301">
        <f t="shared" si="143"/>
        <v>0.5</v>
      </c>
      <c r="AF353" s="173">
        <f t="shared" si="144"/>
        <v>0.98936168090977883</v>
      </c>
      <c r="AG353" s="172">
        <f t="shared" si="145"/>
        <v>0</v>
      </c>
      <c r="AH353" s="172">
        <f t="shared" si="146"/>
        <v>6</v>
      </c>
      <c r="AI353" s="221">
        <f t="shared" si="147"/>
        <v>0.98936168090977883</v>
      </c>
      <c r="AJ353" s="261" t="b">
        <f t="shared" si="148"/>
        <v>0</v>
      </c>
      <c r="AK353" s="261" t="b">
        <f t="shared" si="149"/>
        <v>0</v>
      </c>
      <c r="AL353" s="261"/>
      <c r="AM353" s="261"/>
      <c r="AN353" s="75"/>
    </row>
    <row r="354" spans="1:40" s="6" customFormat="1" ht="11.25" x14ac:dyDescent="0.2">
      <c r="A354" s="56">
        <f t="shared" si="150"/>
        <v>45266</v>
      </c>
      <c r="B354" s="406">
        <f>'2022'!Wh/'2022'!Env_an*'2023'!Env_an</f>
        <v>49.981792628456347</v>
      </c>
      <c r="C354" s="385"/>
      <c r="D354" s="388">
        <f t="shared" si="128"/>
        <v>50.561233358225707</v>
      </c>
      <c r="E354" s="380">
        <f t="shared" si="126"/>
        <v>52.837711969900404</v>
      </c>
      <c r="F354" s="380">
        <f t="shared" si="129"/>
        <v>52.860251772160282</v>
      </c>
      <c r="G354" s="110">
        <f t="shared" si="127"/>
        <v>0.53173693641987241</v>
      </c>
      <c r="H354" s="409" t="b">
        <f>Wh_hp&gt;='2022'!Maxi_hp</f>
        <v>0</v>
      </c>
      <c r="I354" s="385">
        <f>IF(H354,Wh_hp,'2022'!Maxi_hp)</f>
        <v>52.883007862036244</v>
      </c>
      <c r="J354" s="85">
        <f>IF(H354,An,'2022'!An_max)</f>
        <v>2022</v>
      </c>
      <c r="K354" s="193">
        <f t="shared" si="130"/>
        <v>45266</v>
      </c>
      <c r="L354" s="143">
        <f>IF(t&lt;Tvie,1-EXP((T0-t)*PertePVj)+'2022'!Pspv,1-EXP((T0-t)*PertePVj)+Pspv)</f>
        <v>1.1460177912671399E-2</v>
      </c>
      <c r="M354" s="835"/>
      <c r="N354" s="835"/>
      <c r="O354" s="48">
        <f>IF(t&lt;Tnet,'2022'!Resal+('2022'!Salim-'2022'!Resal)*(1-EXP(('2022'!Tnet-t)/('2022'!Tau_j))),Resal+(Salim-Resal)*(1-EXP((Tnet-t)/(Tau_j))))*Salcycl</f>
        <v>4.3084352573243896E-2</v>
      </c>
      <c r="P354" s="165">
        <f>(INDEX(Models!$BJ354:$BT354,,T354)*(1-R354)+INDEX(Models!$BJ354:$BT354,,T354+1)*R354-ERP_i)*Q354*Ramure*Pc/MaxiM</f>
        <v>1.285485859376449E-3</v>
      </c>
      <c r="Q354" s="301">
        <f t="shared" si="131"/>
        <v>0.5</v>
      </c>
      <c r="R354" s="173">
        <f t="shared" si="132"/>
        <v>0.98937508270430174</v>
      </c>
      <c r="S354" s="801">
        <f t="shared" si="133"/>
        <v>0</v>
      </c>
      <c r="T354" s="172">
        <f t="shared" si="134"/>
        <v>6</v>
      </c>
      <c r="U354" s="247">
        <f t="shared" si="135"/>
        <v>0.98937508270430174</v>
      </c>
      <c r="V354" s="378">
        <f t="shared" si="136"/>
        <v>93.916432018048354</v>
      </c>
      <c r="W354" s="397">
        <f t="shared" si="137"/>
        <v>49.981792628456347</v>
      </c>
      <c r="X354" s="153">
        <f t="shared" si="138"/>
        <v>45266</v>
      </c>
      <c r="Y354" s="380">
        <f t="shared" si="139"/>
        <v>49.981792628456347</v>
      </c>
      <c r="Z354" s="380">
        <f t="shared" si="140"/>
        <v>50.561233358225707</v>
      </c>
      <c r="AA354" s="381">
        <f t="shared" si="141"/>
        <v>52.837711969900404</v>
      </c>
      <c r="AB354" s="193">
        <f t="shared" si="142"/>
        <v>45266</v>
      </c>
      <c r="AC354" s="420">
        <f>IF(OR(t&lt;Tnet,NoTnet),'2022'!Resal_s+('2022'!Salim-'2022'!Resal_s)*(1-EXP(('2022'!Tnet_s-t)/'2022'!Tau_j)),Resal_s+(Salim-Resal_s)*(1-EXP((Tnet_s-t)/Tau_j)))*Salcycl</f>
        <v>4.3084352573243896E-2</v>
      </c>
      <c r="AD354" s="227">
        <f>(INDEX(Models!$BJ354:$BT354,,AH354)*(1-AF354)+INDEX(Models!$BJ354:$BT354,,AH354+1)*AF354-ERP_i)*AE354*Ramure*Pc/MaxiM</f>
        <v>1.285485859376449E-3</v>
      </c>
      <c r="AE354" s="301">
        <f t="shared" si="143"/>
        <v>0.5</v>
      </c>
      <c r="AF354" s="173">
        <f t="shared" si="144"/>
        <v>0.98937508270430174</v>
      </c>
      <c r="AG354" s="172">
        <f t="shared" si="145"/>
        <v>0</v>
      </c>
      <c r="AH354" s="172">
        <f t="shared" si="146"/>
        <v>6</v>
      </c>
      <c r="AI354" s="221">
        <f t="shared" si="147"/>
        <v>0.98937508270430174</v>
      </c>
      <c r="AJ354" s="261" t="b">
        <f t="shared" si="148"/>
        <v>0</v>
      </c>
      <c r="AK354" s="261" t="b">
        <f t="shared" si="149"/>
        <v>0</v>
      </c>
      <c r="AL354" s="261"/>
      <c r="AM354" s="261"/>
      <c r="AN354" s="75"/>
    </row>
    <row r="355" spans="1:40" s="6" customFormat="1" ht="11.25" x14ac:dyDescent="0.2">
      <c r="A355" s="56">
        <f t="shared" si="150"/>
        <v>45267</v>
      </c>
      <c r="B355" s="406">
        <f>'2022'!Wh/'2022'!Env_an*'2023'!Env_an</f>
        <v>77.315452726456272</v>
      </c>
      <c r="C355" s="385"/>
      <c r="D355" s="388">
        <f t="shared" si="128"/>
        <v>78.212844234550118</v>
      </c>
      <c r="E355" s="380">
        <f t="shared" si="126"/>
        <v>81.736246015528891</v>
      </c>
      <c r="F355" s="380">
        <f t="shared" si="129"/>
        <v>81.814163288508894</v>
      </c>
      <c r="G355" s="110">
        <f t="shared" si="127"/>
        <v>0.82756740009072605</v>
      </c>
      <c r="H355" s="409" t="b">
        <f>Wh_hp&gt;='2022'!Maxi_hp</f>
        <v>0</v>
      </c>
      <c r="I355" s="385">
        <f>IF(H355,Wh_hp,'2022'!Maxi_hp)</f>
        <v>81.826902027230147</v>
      </c>
      <c r="J355" s="85">
        <f>IF(H355,An,'2022'!An_max)</f>
        <v>2022</v>
      </c>
      <c r="K355" s="193">
        <f t="shared" si="130"/>
        <v>45267</v>
      </c>
      <c r="L355" s="143">
        <f>IF(t&lt;Tvie,1-EXP((T0-t)*PertePVj)+'2022'!Pspv,1-EXP((T0-t)*PertePVj)+Pspv)</f>
        <v>1.1473710192697828E-2</v>
      </c>
      <c r="M355" s="835"/>
      <c r="N355" s="835"/>
      <c r="O355" s="48">
        <f>IF(t&lt;Tnet,'2022'!Resal+('2022'!Salim-'2022'!Resal)*(1-EXP(('2022'!Tnet-t)/('2022'!Tau_j))),Resal+(Salim-Resal)*(1-EXP((Tnet-t)/(Tau_j))))*Salcycl</f>
        <v>4.3106968483839672E-2</v>
      </c>
      <c r="P355" s="165">
        <f>(INDEX(Models!$BJ355:$BT355,,T355)*(1-R355)+INDEX(Models!$BJ355:$BT355,,T355+1)*R355-ERP_i)*Q355*Ramure*Pc/MaxiM</f>
        <v>1.2630294721520977E-3</v>
      </c>
      <c r="Q355" s="301">
        <f t="shared" si="131"/>
        <v>0.5</v>
      </c>
      <c r="R355" s="173">
        <f t="shared" si="132"/>
        <v>0.98938794557858678</v>
      </c>
      <c r="S355" s="801">
        <f t="shared" si="133"/>
        <v>0</v>
      </c>
      <c r="T355" s="172">
        <f t="shared" si="134"/>
        <v>6</v>
      </c>
      <c r="U355" s="247">
        <f t="shared" si="135"/>
        <v>0.98938794557858678</v>
      </c>
      <c r="V355" s="378">
        <f t="shared" si="136"/>
        <v>93.395910673152031</v>
      </c>
      <c r="W355" s="397">
        <f t="shared" si="137"/>
        <v>77.315452726456272</v>
      </c>
      <c r="X355" s="153">
        <f t="shared" si="138"/>
        <v>45267</v>
      </c>
      <c r="Y355" s="380">
        <f t="shared" si="139"/>
        <v>77.315452726456272</v>
      </c>
      <c r="Z355" s="380">
        <f t="shared" si="140"/>
        <v>78.212844234550118</v>
      </c>
      <c r="AA355" s="381">
        <f t="shared" si="141"/>
        <v>81.736246015528891</v>
      </c>
      <c r="AB355" s="193">
        <f t="shared" si="142"/>
        <v>45267</v>
      </c>
      <c r="AC355" s="420">
        <f>IF(OR(t&lt;Tnet,NoTnet),'2022'!Resal_s+('2022'!Salim-'2022'!Resal_s)*(1-EXP(('2022'!Tnet_s-t)/'2022'!Tau_j)),Resal_s+(Salim-Resal_s)*(1-EXP((Tnet_s-t)/Tau_j)))*Salcycl</f>
        <v>4.3106968483839672E-2</v>
      </c>
      <c r="AD355" s="227">
        <f>(INDEX(Models!$BJ355:$BT355,,AH355)*(1-AF355)+INDEX(Models!$BJ355:$BT355,,AH355+1)*AF355-ERP_i)*AE355*Ramure*Pc/MaxiM</f>
        <v>1.2630294721520977E-3</v>
      </c>
      <c r="AE355" s="301">
        <f t="shared" si="143"/>
        <v>0.5</v>
      </c>
      <c r="AF355" s="173">
        <f t="shared" si="144"/>
        <v>0.98938794557858678</v>
      </c>
      <c r="AG355" s="172">
        <f t="shared" si="145"/>
        <v>0</v>
      </c>
      <c r="AH355" s="172">
        <f t="shared" si="146"/>
        <v>6</v>
      </c>
      <c r="AI355" s="221">
        <f t="shared" si="147"/>
        <v>0.98938794557858678</v>
      </c>
      <c r="AJ355" s="261" t="b">
        <f t="shared" si="148"/>
        <v>0</v>
      </c>
      <c r="AK355" s="261" t="b">
        <f t="shared" si="149"/>
        <v>0</v>
      </c>
      <c r="AL355" s="261"/>
      <c r="AM355" s="261"/>
      <c r="AN355" s="75"/>
    </row>
    <row r="356" spans="1:40" s="6" customFormat="1" ht="11.25" customHeight="1" x14ac:dyDescent="0.2">
      <c r="A356" s="56">
        <f t="shared" si="150"/>
        <v>45268</v>
      </c>
      <c r="B356" s="406">
        <f>'2022'!Wh/'2022'!Env_an*'2023'!Env_an</f>
        <v>14.630679673639664</v>
      </c>
      <c r="C356" s="385"/>
      <c r="D356" s="388">
        <f t="shared" si="128"/>
        <v>14.800698887787696</v>
      </c>
      <c r="E356" s="380">
        <f t="shared" si="126"/>
        <v>15.467829678092492</v>
      </c>
      <c r="F356" s="380">
        <f t="shared" si="129"/>
        <v>15.467829678092492</v>
      </c>
      <c r="G356" s="110">
        <f t="shared" si="127"/>
        <v>0.1572604631580834</v>
      </c>
      <c r="H356" s="409" t="b">
        <f>Wh_hp&gt;='2022'!Maxi_hp</f>
        <v>0</v>
      </c>
      <c r="I356" s="385">
        <f>IF(H356,Wh_hp,'2022'!Maxi_hp)</f>
        <v>15.477444404663771</v>
      </c>
      <c r="J356" s="85">
        <f>IF(H356,An,'2022'!An_max)</f>
        <v>2022</v>
      </c>
      <c r="K356" s="193">
        <f t="shared" si="130"/>
        <v>45268</v>
      </c>
      <c r="L356" s="143">
        <f>IF(t&lt;Tvie,1-EXP((T0-t)*PertePVj)+'2022'!Pspv,1-EXP((T0-t)*PertePVj)+Pspv)</f>
        <v>1.1487242287478661E-2</v>
      </c>
      <c r="M356" s="835"/>
      <c r="N356" s="835"/>
      <c r="O356" s="48">
        <f>IF(t&lt;Tnet,'2022'!Resal+('2022'!Salim-'2022'!Resal)*(1-EXP(('2022'!Tnet-t)/('2022'!Tau_j))),Resal+(Salim-Resal)*(1-EXP((Tnet-t)/(Tau_j))))*Salcycl</f>
        <v>4.3130213106087702E-2</v>
      </c>
      <c r="P356" s="165">
        <f>(INDEX(Models!$BJ356:$BT356,,T356)*(1-R356)+INDEX(Models!$BJ356:$BT356,,T356+1)*R356-ERP_i)*Q356*Ramure*Pc/MaxiM</f>
        <v>1.240886853368332E-3</v>
      </c>
      <c r="Q356" s="301">
        <f t="shared" si="131"/>
        <v>0.5</v>
      </c>
      <c r="R356" s="173">
        <f t="shared" si="132"/>
        <v>0.98940029117792094</v>
      </c>
      <c r="S356" s="801">
        <f t="shared" si="133"/>
        <v>0</v>
      </c>
      <c r="T356" s="172">
        <f t="shared" si="134"/>
        <v>6</v>
      </c>
      <c r="U356" s="247">
        <f t="shared" si="135"/>
        <v>0.98940029117792094</v>
      </c>
      <c r="V356" s="378">
        <f t="shared" si="136"/>
        <v>92.919252316380422</v>
      </c>
      <c r="W356" s="397">
        <f t="shared" si="137"/>
        <v>14.630679673639664</v>
      </c>
      <c r="X356" s="153">
        <f t="shared" si="138"/>
        <v>45268</v>
      </c>
      <c r="Y356" s="380">
        <f t="shared" si="139"/>
        <v>14.630679673639664</v>
      </c>
      <c r="Z356" s="380">
        <f t="shared" si="140"/>
        <v>14.800698887787696</v>
      </c>
      <c r="AA356" s="381">
        <f t="shared" si="141"/>
        <v>15.467829678092492</v>
      </c>
      <c r="AB356" s="193">
        <f t="shared" si="142"/>
        <v>45268</v>
      </c>
      <c r="AC356" s="420">
        <f>IF(OR(t&lt;Tnet,NoTnet),'2022'!Resal_s+('2022'!Salim-'2022'!Resal_s)*(1-EXP(('2022'!Tnet_s-t)/'2022'!Tau_j)),Resal_s+(Salim-Resal_s)*(1-EXP((Tnet_s-t)/Tau_j)))*Salcycl</f>
        <v>4.3130213106087702E-2</v>
      </c>
      <c r="AD356" s="227">
        <f>(INDEX(Models!$BJ356:$BT356,,AH356)*(1-AF356)+INDEX(Models!$BJ356:$BT356,,AH356+1)*AF356-ERP_i)*AE356*Ramure*Pc/MaxiM</f>
        <v>1.240886853368332E-3</v>
      </c>
      <c r="AE356" s="301">
        <f t="shared" si="143"/>
        <v>0.5</v>
      </c>
      <c r="AF356" s="173">
        <f t="shared" si="144"/>
        <v>0.98940029117792094</v>
      </c>
      <c r="AG356" s="172">
        <f t="shared" si="145"/>
        <v>0</v>
      </c>
      <c r="AH356" s="172">
        <f t="shared" si="146"/>
        <v>6</v>
      </c>
      <c r="AI356" s="221">
        <f t="shared" si="147"/>
        <v>0.98940029117792094</v>
      </c>
      <c r="AJ356" s="261" t="b">
        <f t="shared" si="148"/>
        <v>0</v>
      </c>
      <c r="AK356" s="261" t="b">
        <f t="shared" si="149"/>
        <v>0</v>
      </c>
      <c r="AL356" s="261"/>
      <c r="AM356" s="261"/>
      <c r="AN356" s="75"/>
    </row>
    <row r="357" spans="1:40" s="6" customFormat="1" ht="11.25" x14ac:dyDescent="0.2">
      <c r="A357" s="56">
        <f t="shared" si="150"/>
        <v>45269</v>
      </c>
      <c r="B357" s="406">
        <f>'2022'!Wh/'2022'!Env_an*'2023'!Env_an</f>
        <v>28.124126398028672</v>
      </c>
      <c r="C357" s="385"/>
      <c r="D357" s="388">
        <f t="shared" si="128"/>
        <v>28.451338821416595</v>
      </c>
      <c r="E357" s="380">
        <f t="shared" si="126"/>
        <v>29.734503570896994</v>
      </c>
      <c r="F357" s="380">
        <f t="shared" si="129"/>
        <v>29.734714977406828</v>
      </c>
      <c r="G357" s="110">
        <f t="shared" si="127"/>
        <v>0.30371404741091373</v>
      </c>
      <c r="H357" s="409" t="b">
        <f>Wh_hp&gt;='2022'!Maxi_hp</f>
        <v>0</v>
      </c>
      <c r="I357" s="385">
        <f>IF(H357,Wh_hp,'2022'!Maxi_hp)</f>
        <v>29.752765723166412</v>
      </c>
      <c r="J357" s="85">
        <f>IF(H357,An,'2022'!An_max)</f>
        <v>2022</v>
      </c>
      <c r="K357" s="193">
        <f t="shared" si="130"/>
        <v>45269</v>
      </c>
      <c r="L357" s="143">
        <f>IF(t&lt;Tvie,1-EXP((T0-t)*PertePVj)+'2022'!Pspv,1-EXP((T0-t)*PertePVj)+Pspv)</f>
        <v>1.1500774197016561E-2</v>
      </c>
      <c r="M357" s="835"/>
      <c r="N357" s="835"/>
      <c r="O357" s="48">
        <f>IF(t&lt;Tnet,'2022'!Resal+('2022'!Salim-'2022'!Resal)*(1-EXP(('2022'!Tnet-t)/('2022'!Tau_j))),Resal+(Salim-Resal)*(1-EXP((Tnet-t)/(Tau_j))))*Salcycl</f>
        <v>4.3154066669413307E-2</v>
      </c>
      <c r="P357" s="165">
        <f>(INDEX(Models!$BJ357:$BT357,,T357)*(1-R357)+INDEX(Models!$BJ357:$BT357,,T357+1)*R357-ERP_i)*Q357*Ramure*Pc/MaxiM</f>
        <v>1.2190407358788455E-3</v>
      </c>
      <c r="Q357" s="301">
        <f t="shared" si="131"/>
        <v>0.5</v>
      </c>
      <c r="R357" s="173">
        <f t="shared" si="132"/>
        <v>0.98941214028028091</v>
      </c>
      <c r="S357" s="801">
        <f t="shared" si="133"/>
        <v>0</v>
      </c>
      <c r="T357" s="172">
        <f t="shared" si="134"/>
        <v>6</v>
      </c>
      <c r="U357" s="247">
        <f t="shared" si="135"/>
        <v>0.98941214028028091</v>
      </c>
      <c r="V357" s="378">
        <f t="shared" si="136"/>
        <v>92.488450550891841</v>
      </c>
      <c r="W357" s="397">
        <f t="shared" si="137"/>
        <v>28.124126398028672</v>
      </c>
      <c r="X357" s="153">
        <f t="shared" si="138"/>
        <v>45269</v>
      </c>
      <c r="Y357" s="380">
        <f t="shared" si="139"/>
        <v>28.124126398028672</v>
      </c>
      <c r="Z357" s="380">
        <f t="shared" si="140"/>
        <v>28.451338821416595</v>
      </c>
      <c r="AA357" s="381">
        <f t="shared" si="141"/>
        <v>29.734503570896994</v>
      </c>
      <c r="AB357" s="193">
        <f t="shared" si="142"/>
        <v>45269</v>
      </c>
      <c r="AC357" s="420">
        <f>IF(OR(t&lt;Tnet,NoTnet),'2022'!Resal_s+('2022'!Salim-'2022'!Resal_s)*(1-EXP(('2022'!Tnet_s-t)/'2022'!Tau_j)),Resal_s+(Salim-Resal_s)*(1-EXP((Tnet_s-t)/Tau_j)))*Salcycl</f>
        <v>4.3154066669413307E-2</v>
      </c>
      <c r="AD357" s="227">
        <f>(INDEX(Models!$BJ357:$BT357,,AH357)*(1-AF357)+INDEX(Models!$BJ357:$BT357,,AH357+1)*AF357-ERP_i)*AE357*Ramure*Pc/MaxiM</f>
        <v>1.2190407358788455E-3</v>
      </c>
      <c r="AE357" s="301">
        <f t="shared" si="143"/>
        <v>0.5</v>
      </c>
      <c r="AF357" s="173">
        <f t="shared" si="144"/>
        <v>0.98941214028028091</v>
      </c>
      <c r="AG357" s="172">
        <f t="shared" si="145"/>
        <v>0</v>
      </c>
      <c r="AH357" s="172">
        <f t="shared" si="146"/>
        <v>6</v>
      </c>
      <c r="AI357" s="221">
        <f t="shared" si="147"/>
        <v>0.98941214028028091</v>
      </c>
      <c r="AJ357" s="261" t="b">
        <f t="shared" si="148"/>
        <v>0</v>
      </c>
      <c r="AK357" s="261" t="b">
        <f t="shared" si="149"/>
        <v>0</v>
      </c>
      <c r="AL357" s="261"/>
      <c r="AM357" s="261"/>
      <c r="AN357" s="75"/>
    </row>
    <row r="358" spans="1:40" s="6" customFormat="1" ht="11.25" customHeight="1" x14ac:dyDescent="0.2">
      <c r="A358" s="56">
        <f t="shared" si="150"/>
        <v>45270</v>
      </c>
      <c r="B358" s="406">
        <f>'2022'!Wh/'2022'!Env_an*'2023'!Env_an</f>
        <v>67.790255048927619</v>
      </c>
      <c r="C358" s="385"/>
      <c r="D358" s="388">
        <f t="shared" si="128"/>
        <v>68.579905055794711</v>
      </c>
      <c r="E358" s="380">
        <f t="shared" si="126"/>
        <v>71.674712187869858</v>
      </c>
      <c r="F358" s="380">
        <f t="shared" si="129"/>
        <v>71.728211920082202</v>
      </c>
      <c r="G358" s="110">
        <f t="shared" si="127"/>
        <v>0.73567396841109955</v>
      </c>
      <c r="H358" s="409" t="b">
        <f>Wh_hp&gt;='2022'!Maxi_hp</f>
        <v>0</v>
      </c>
      <c r="I358" s="385">
        <f>IF(H358,Wh_hp,'2022'!Maxi_hp)</f>
        <v>71.744443051435056</v>
      </c>
      <c r="J358" s="85">
        <f>IF(H358,An,'2022'!An_max)</f>
        <v>2022</v>
      </c>
      <c r="K358" s="193">
        <f t="shared" si="130"/>
        <v>45270</v>
      </c>
      <c r="L358" s="143">
        <f>IF(t&lt;Tvie,1-EXP((T0-t)*PertePVj)+'2022'!Pspv,1-EXP((T0-t)*PertePVj)+Pspv)</f>
        <v>1.1514305921313972E-2</v>
      </c>
      <c r="M358" s="835"/>
      <c r="N358" s="835"/>
      <c r="O358" s="48">
        <f>IF(t&lt;Tnet,'2022'!Resal+('2022'!Salim-'2022'!Resal)*(1-EXP(('2022'!Tnet-t)/('2022'!Tau_j))),Resal+(Salim-Resal)*(1-EXP((Tnet-t)/(Tau_j))))*Salcycl</f>
        <v>4.3178507978702513E-2</v>
      </c>
      <c r="P358" s="165">
        <f>(INDEX(Models!$BJ358:$BT358,,T358)*(1-R358)+INDEX(Models!$BJ358:$BT358,,T358+1)*R358-ERP_i)*Q358*Ramure*Pc/MaxiM</f>
        <v>1.197475336188393E-3</v>
      </c>
      <c r="Q358" s="301">
        <f t="shared" si="131"/>
        <v>0.5</v>
      </c>
      <c r="R358" s="173">
        <f t="shared" si="132"/>
        <v>0.98942351283092544</v>
      </c>
      <c r="S358" s="801">
        <f t="shared" si="133"/>
        <v>0</v>
      </c>
      <c r="T358" s="172">
        <f t="shared" si="134"/>
        <v>6</v>
      </c>
      <c r="U358" s="247">
        <f t="shared" si="135"/>
        <v>0.98942351283092544</v>
      </c>
      <c r="V358" s="378">
        <f t="shared" si="136"/>
        <v>92.105498477862497</v>
      </c>
      <c r="W358" s="397">
        <f t="shared" si="137"/>
        <v>67.790255048927619</v>
      </c>
      <c r="X358" s="153">
        <f t="shared" si="138"/>
        <v>45270</v>
      </c>
      <c r="Y358" s="380">
        <f t="shared" si="139"/>
        <v>67.790255048927619</v>
      </c>
      <c r="Z358" s="380">
        <f t="shared" si="140"/>
        <v>68.579905055794711</v>
      </c>
      <c r="AA358" s="381">
        <f t="shared" si="141"/>
        <v>71.674712187869858</v>
      </c>
      <c r="AB358" s="193">
        <f t="shared" si="142"/>
        <v>45270</v>
      </c>
      <c r="AC358" s="420">
        <f>IF(OR(t&lt;Tnet,NoTnet),'2022'!Resal_s+('2022'!Salim-'2022'!Resal_s)*(1-EXP(('2022'!Tnet_s-t)/'2022'!Tau_j)),Resal_s+(Salim-Resal_s)*(1-EXP((Tnet_s-t)/Tau_j)))*Salcycl</f>
        <v>4.3178507978702513E-2</v>
      </c>
      <c r="AD358" s="227">
        <f>(INDEX(Models!$BJ358:$BT358,,AH358)*(1-AF358)+INDEX(Models!$BJ358:$BT358,,AH358+1)*AF358-ERP_i)*AE358*Ramure*Pc/MaxiM</f>
        <v>1.197475336188393E-3</v>
      </c>
      <c r="AE358" s="301">
        <f t="shared" si="143"/>
        <v>0.5</v>
      </c>
      <c r="AF358" s="173">
        <f t="shared" si="144"/>
        <v>0.98942351283092544</v>
      </c>
      <c r="AG358" s="172">
        <f t="shared" si="145"/>
        <v>0</v>
      </c>
      <c r="AH358" s="172">
        <f t="shared" si="146"/>
        <v>6</v>
      </c>
      <c r="AI358" s="221">
        <f t="shared" si="147"/>
        <v>0.98942351283092544</v>
      </c>
      <c r="AJ358" s="261" t="b">
        <f t="shared" si="148"/>
        <v>0</v>
      </c>
      <c r="AK358" s="261" t="b">
        <f t="shared" si="149"/>
        <v>0</v>
      </c>
      <c r="AL358" s="261"/>
      <c r="AM358" s="261"/>
      <c r="AN358" s="75"/>
    </row>
    <row r="359" spans="1:40" s="6" customFormat="1" ht="11.25" customHeight="1" x14ac:dyDescent="0.2">
      <c r="A359" s="56">
        <f t="shared" si="150"/>
        <v>45271</v>
      </c>
      <c r="B359" s="406">
        <f>'2022'!Wh/'2022'!Env_an*'2023'!Env_an</f>
        <v>63.815556441358687</v>
      </c>
      <c r="C359" s="385"/>
      <c r="D359" s="388">
        <f t="shared" si="128"/>
        <v>64.559791221030366</v>
      </c>
      <c r="E359" s="380">
        <f t="shared" si="126"/>
        <v>67.474946036154719</v>
      </c>
      <c r="F359" s="380">
        <f t="shared" si="129"/>
        <v>67.519807892900658</v>
      </c>
      <c r="G359" s="110">
        <f t="shared" si="127"/>
        <v>0.69505242743666051</v>
      </c>
      <c r="H359" s="409" t="b">
        <f>Wh_hp&gt;='2022'!Maxi_hp</f>
        <v>0</v>
      </c>
      <c r="I359" s="385">
        <f>IF(H359,Wh_hp,'2022'!Maxi_hp)</f>
        <v>67.53712274687156</v>
      </c>
      <c r="J359" s="85">
        <f>IF(H359,An,'2022'!An_max)</f>
        <v>2022</v>
      </c>
      <c r="K359" s="193">
        <f t="shared" si="130"/>
        <v>45271</v>
      </c>
      <c r="L359" s="143">
        <f>IF(t&lt;Tvie,1-EXP((T0-t)*PertePVj)+'2022'!Pspv,1-EXP((T0-t)*PertePVj)+Pspv)</f>
        <v>1.1527837460373447E-2</v>
      </c>
      <c r="M359" s="835"/>
      <c r="N359" s="835"/>
      <c r="O359" s="48">
        <f>IF(t&lt;Tnet,'2022'!Resal+('2022'!Salim-'2022'!Resal)*(1-EXP(('2022'!Tnet-t)/('2022'!Tau_j))),Resal+(Salim-Resal)*(1-EXP((Tnet-t)/(Tau_j))))*Salcycl</f>
        <v>4.3203514583951608E-2</v>
      </c>
      <c r="P359" s="165">
        <f>(INDEX(Models!$BJ359:$BT359,,T359)*(1-R359)+INDEX(Models!$BJ359:$BT359,,T359+1)*R359-ERP_i)*Q359*Ramure*Pc/MaxiM</f>
        <v>1.176245535896421E-3</v>
      </c>
      <c r="Q359" s="301">
        <f t="shared" si="131"/>
        <v>0.5</v>
      </c>
      <c r="R359" s="173">
        <f t="shared" si="132"/>
        <v>0.98943442797561687</v>
      </c>
      <c r="S359" s="801">
        <f t="shared" si="133"/>
        <v>0</v>
      </c>
      <c r="T359" s="172">
        <f t="shared" si="134"/>
        <v>6</v>
      </c>
      <c r="U359" s="247">
        <f t="shared" si="135"/>
        <v>0.98943442797561687</v>
      </c>
      <c r="V359" s="378">
        <f t="shared" si="136"/>
        <v>91.766994982331781</v>
      </c>
      <c r="W359" s="397">
        <f t="shared" si="137"/>
        <v>63.815556441358687</v>
      </c>
      <c r="X359" s="153">
        <f t="shared" si="138"/>
        <v>45271</v>
      </c>
      <c r="Y359" s="380">
        <f t="shared" si="139"/>
        <v>63.81555644135868</v>
      </c>
      <c r="Z359" s="380">
        <f t="shared" si="140"/>
        <v>64.559791221030366</v>
      </c>
      <c r="AA359" s="381">
        <f t="shared" si="141"/>
        <v>67.474946036154719</v>
      </c>
      <c r="AB359" s="193">
        <f t="shared" si="142"/>
        <v>45271</v>
      </c>
      <c r="AC359" s="420">
        <f>IF(OR(t&lt;Tnet,NoTnet),'2022'!Resal_s+('2022'!Salim-'2022'!Resal_s)*(1-EXP(('2022'!Tnet_s-t)/'2022'!Tau_j)),Resal_s+(Salim-Resal_s)*(1-EXP((Tnet_s-t)/Tau_j)))*Salcycl</f>
        <v>4.3203514583951608E-2</v>
      </c>
      <c r="AD359" s="227">
        <f>(INDEX(Models!$BJ359:$BT359,,AH359)*(1-AF359)+INDEX(Models!$BJ359:$BT359,,AH359+1)*AF359-ERP_i)*AE359*Ramure*Pc/MaxiM</f>
        <v>1.176245535896421E-3</v>
      </c>
      <c r="AE359" s="301">
        <f t="shared" si="143"/>
        <v>0.5</v>
      </c>
      <c r="AF359" s="173">
        <f t="shared" si="144"/>
        <v>0.98943442797561687</v>
      </c>
      <c r="AG359" s="172">
        <f t="shared" si="145"/>
        <v>0</v>
      </c>
      <c r="AH359" s="172">
        <f t="shared" si="146"/>
        <v>6</v>
      </c>
      <c r="AI359" s="221">
        <f t="shared" si="147"/>
        <v>0.98943442797561687</v>
      </c>
      <c r="AJ359" s="261" t="b">
        <f t="shared" si="148"/>
        <v>0</v>
      </c>
      <c r="AK359" s="261" t="b">
        <f t="shared" si="149"/>
        <v>0</v>
      </c>
      <c r="AL359" s="261"/>
      <c r="AM359" s="261"/>
      <c r="AN359" s="75"/>
    </row>
    <row r="360" spans="1:40" s="6" customFormat="1" ht="11.25" customHeight="1" x14ac:dyDescent="0.2">
      <c r="A360" s="56">
        <f t="shared" si="150"/>
        <v>45272</v>
      </c>
      <c r="B360" s="406">
        <f>'2022'!Wh/'2022'!Env_an*'2023'!Env_an</f>
        <v>22.255478769707217</v>
      </c>
      <c r="C360" s="385"/>
      <c r="D360" s="388">
        <f t="shared" si="128"/>
        <v>22.51533657307284</v>
      </c>
      <c r="E360" s="380">
        <f t="shared" si="126"/>
        <v>23.532630122087646</v>
      </c>
      <c r="F360" s="380">
        <f t="shared" si="129"/>
        <v>23.532630122087646</v>
      </c>
      <c r="G360" s="110">
        <f t="shared" si="127"/>
        <v>0.2430323437746191</v>
      </c>
      <c r="H360" s="409" t="b">
        <f>Wh_hp&gt;='2022'!Maxi_hp</f>
        <v>0</v>
      </c>
      <c r="I360" s="385">
        <f>IF(H360,Wh_hp,'2022'!Maxi_hp)</f>
        <v>23.546248768046997</v>
      </c>
      <c r="J360" s="85">
        <f>IF(H360,An,'2022'!An_max)</f>
        <v>2022</v>
      </c>
      <c r="K360" s="193">
        <f t="shared" si="130"/>
        <v>45272</v>
      </c>
      <c r="L360" s="143">
        <f>IF(t&lt;Tvie,1-EXP((T0-t)*PertePVj)+'2022'!Pspv,1-EXP((T0-t)*PertePVj)+Pspv)</f>
        <v>1.1541368814197539E-2</v>
      </c>
      <c r="M360" s="835"/>
      <c r="N360" s="835"/>
      <c r="O360" s="48">
        <f>IF(t&lt;Tnet,'2022'!Resal+('2022'!Salim-'2022'!Resal)*(1-EXP(('2022'!Tnet-t)/('2022'!Tau_j))),Resal+(Salim-Resal)*(1-EXP((Tnet-t)/(Tau_j))))*Salcycl</f>
        <v>4.3229062953740037E-2</v>
      </c>
      <c r="P360" s="165">
        <f>(INDEX(Models!$BJ360:$BT360,,T360)*(1-R360)+INDEX(Models!$BJ360:$BT360,,T360+1)*R360-ERP_i)*Q360*Ramure*Pc/MaxiM</f>
        <v>1.1554190520285553E-3</v>
      </c>
      <c r="Q360" s="301">
        <f t="shared" si="131"/>
        <v>0.5</v>
      </c>
      <c r="R360" s="173">
        <f t="shared" si="132"/>
        <v>0.9894449040925315</v>
      </c>
      <c r="S360" s="801">
        <f t="shared" si="133"/>
        <v>0</v>
      </c>
      <c r="T360" s="172">
        <f t="shared" si="134"/>
        <v>6</v>
      </c>
      <c r="U360" s="247">
        <f t="shared" si="135"/>
        <v>0.9894449040925315</v>
      </c>
      <c r="V360" s="378">
        <f t="shared" si="136"/>
        <v>91.468337177951483</v>
      </c>
      <c r="W360" s="397">
        <f t="shared" si="137"/>
        <v>22.255478769707217</v>
      </c>
      <c r="X360" s="153">
        <f t="shared" si="138"/>
        <v>45272</v>
      </c>
      <c r="Y360" s="380">
        <f t="shared" si="139"/>
        <v>22.255478769707217</v>
      </c>
      <c r="Z360" s="380">
        <f t="shared" si="140"/>
        <v>22.51533657307284</v>
      </c>
      <c r="AA360" s="381">
        <f t="shared" si="141"/>
        <v>23.532630122087646</v>
      </c>
      <c r="AB360" s="193">
        <f t="shared" si="142"/>
        <v>45272</v>
      </c>
      <c r="AC360" s="420">
        <f>IF(OR(t&lt;Tnet,NoTnet),'2022'!Resal_s+('2022'!Salim-'2022'!Resal_s)*(1-EXP(('2022'!Tnet_s-t)/'2022'!Tau_j)),Resal_s+(Salim-Resal_s)*(1-EXP((Tnet_s-t)/Tau_j)))*Salcycl</f>
        <v>4.3229062953740037E-2</v>
      </c>
      <c r="AD360" s="227">
        <f>(INDEX(Models!$BJ360:$BT360,,AH360)*(1-AF360)+INDEX(Models!$BJ360:$BT360,,AH360+1)*AF360-ERP_i)*AE360*Ramure*Pc/MaxiM</f>
        <v>1.1554190520285553E-3</v>
      </c>
      <c r="AE360" s="301">
        <f t="shared" si="143"/>
        <v>0.5</v>
      </c>
      <c r="AF360" s="173">
        <f t="shared" si="144"/>
        <v>0.9894449040925315</v>
      </c>
      <c r="AG360" s="172">
        <f t="shared" si="145"/>
        <v>0</v>
      </c>
      <c r="AH360" s="172">
        <f t="shared" si="146"/>
        <v>6</v>
      </c>
      <c r="AI360" s="221">
        <f t="shared" si="147"/>
        <v>0.9894449040925315</v>
      </c>
      <c r="AJ360" s="261" t="b">
        <f t="shared" si="148"/>
        <v>0</v>
      </c>
      <c r="AK360" s="261" t="b">
        <f t="shared" si="149"/>
        <v>0</v>
      </c>
      <c r="AL360" s="261"/>
      <c r="AM360" s="261"/>
      <c r="AN360" s="75"/>
    </row>
    <row r="361" spans="1:40" s="6" customFormat="1" ht="11.25" customHeight="1" x14ac:dyDescent="0.2">
      <c r="A361" s="56">
        <f t="shared" si="150"/>
        <v>45273</v>
      </c>
      <c r="B361" s="406">
        <f>'2022'!Wh/'2022'!Env_an*'2023'!Env_an</f>
        <v>23.180684654135124</v>
      </c>
      <c r="C361" s="385"/>
      <c r="D361" s="388">
        <f t="shared" si="128"/>
        <v>23.451666312809373</v>
      </c>
      <c r="E361" s="380">
        <f t="shared" ref="E361:E379" si="151">Wh_pvt/(1-Psa)</f>
        <v>24.511933134009162</v>
      </c>
      <c r="F361" s="380">
        <f t="shared" si="129"/>
        <v>24.511933134009162</v>
      </c>
      <c r="G361" s="110">
        <f t="shared" ref="G361:G379" si="152">+Wh_hp/MaxiM</f>
        <v>0.25385864387566176</v>
      </c>
      <c r="H361" s="409" t="b">
        <f>Wh_hp&gt;='2022'!Maxi_hp</f>
        <v>0</v>
      </c>
      <c r="I361" s="385">
        <f>IF(H361,Wh_hp,'2022'!Maxi_hp)</f>
        <v>24.525889099355748</v>
      </c>
      <c r="J361" s="85">
        <f>IF(H361,An,'2022'!An_max)</f>
        <v>2022</v>
      </c>
      <c r="K361" s="193">
        <f t="shared" si="130"/>
        <v>45273</v>
      </c>
      <c r="L361" s="143">
        <f>IF(t&lt;Tvie,1-EXP((T0-t)*PertePVj)+'2022'!Pspv,1-EXP((T0-t)*PertePVj)+Pspv)</f>
        <v>1.1554899982788691E-2</v>
      </c>
      <c r="M361" s="835"/>
      <c r="N361" s="835"/>
      <c r="O361" s="48">
        <f>IF(t&lt;Tnet,'2022'!Resal+('2022'!Salim-'2022'!Resal)*(1-EXP(('2022'!Tnet-t)/('2022'!Tau_j))),Resal+(Salim-Resal)*(1-EXP((Tnet-t)/(Tau_j))))*Salcycl</f>
        <v>4.3255128651143324E-2</v>
      </c>
      <c r="P361" s="165">
        <f>(INDEX(Models!$BJ361:$BT361,,T361)*(1-R361)+INDEX(Models!$BJ361:$BT361,,T361+1)*R361-ERP_i)*Q361*Ramure*Pc/MaxiM</f>
        <v>1.1367324831353951E-3</v>
      </c>
      <c r="Q361" s="301">
        <f t="shared" si="131"/>
        <v>0.5</v>
      </c>
      <c r="R361" s="173">
        <f t="shared" si="132"/>
        <v>0.98945495882290746</v>
      </c>
      <c r="S361" s="801">
        <f t="shared" si="133"/>
        <v>0</v>
      </c>
      <c r="T361" s="172">
        <f t="shared" si="134"/>
        <v>6</v>
      </c>
      <c r="U361" s="247">
        <f t="shared" si="135"/>
        <v>0.98945495882290746</v>
      </c>
      <c r="V361" s="378">
        <f t="shared" si="136"/>
        <v>91.209556875472344</v>
      </c>
      <c r="W361" s="397">
        <f t="shared" si="137"/>
        <v>23.180684654135124</v>
      </c>
      <c r="X361" s="153">
        <f t="shared" si="138"/>
        <v>45273</v>
      </c>
      <c r="Y361" s="380">
        <f t="shared" si="139"/>
        <v>23.180684654135124</v>
      </c>
      <c r="Z361" s="380">
        <f t="shared" si="140"/>
        <v>23.451666312809373</v>
      </c>
      <c r="AA361" s="381">
        <f t="shared" si="141"/>
        <v>24.511933134009162</v>
      </c>
      <c r="AB361" s="193">
        <f t="shared" si="142"/>
        <v>45273</v>
      </c>
      <c r="AC361" s="420">
        <f>IF(OR(t&lt;Tnet,NoTnet),'2022'!Resal_s+('2022'!Salim-'2022'!Resal_s)*(1-EXP(('2022'!Tnet_s-t)/'2022'!Tau_j)),Resal_s+(Salim-Resal_s)*(1-EXP((Tnet_s-t)/Tau_j)))*Salcycl</f>
        <v>4.3255128651143324E-2</v>
      </c>
      <c r="AD361" s="227">
        <f>(INDEX(Models!$BJ361:$BT361,,AH361)*(1-AF361)+INDEX(Models!$BJ361:$BT361,,AH361+1)*AF361-ERP_i)*AE361*Ramure*Pc/MaxiM</f>
        <v>1.1367324831353951E-3</v>
      </c>
      <c r="AE361" s="301">
        <f t="shared" si="143"/>
        <v>0.5</v>
      </c>
      <c r="AF361" s="173">
        <f t="shared" si="144"/>
        <v>0.98945495882290746</v>
      </c>
      <c r="AG361" s="172">
        <f t="shared" si="145"/>
        <v>0</v>
      </c>
      <c r="AH361" s="172">
        <f t="shared" si="146"/>
        <v>6</v>
      </c>
      <c r="AI361" s="221">
        <f t="shared" si="147"/>
        <v>0.98945495882290746</v>
      </c>
      <c r="AJ361" s="261" t="b">
        <f t="shared" si="148"/>
        <v>0</v>
      </c>
      <c r="AK361" s="261" t="b">
        <f t="shared" si="149"/>
        <v>0</v>
      </c>
      <c r="AL361" s="261"/>
      <c r="AM361" s="261"/>
      <c r="AN361" s="75"/>
    </row>
    <row r="362" spans="1:40" s="6" customFormat="1" ht="11.25" customHeight="1" x14ac:dyDescent="0.2">
      <c r="A362" s="56">
        <f t="shared" si="150"/>
        <v>45274</v>
      </c>
      <c r="B362" s="406">
        <f>'2022'!Wh/'2022'!Env_an*'2023'!Env_an</f>
        <v>68.031354136782497</v>
      </c>
      <c r="C362" s="385"/>
      <c r="D362" s="388">
        <f t="shared" si="128"/>
        <v>68.827581259145973</v>
      </c>
      <c r="E362" s="380">
        <f t="shared" si="151"/>
        <v>71.941323050586547</v>
      </c>
      <c r="F362" s="380">
        <f t="shared" si="129"/>
        <v>71.992898697086915</v>
      </c>
      <c r="G362" s="110">
        <f t="shared" si="152"/>
        <v>0.74737039715976261</v>
      </c>
      <c r="H362" s="409" t="b">
        <f>Wh_hp&gt;='2022'!Maxi_hp</f>
        <v>0</v>
      </c>
      <c r="I362" s="385">
        <f>IF(H362,Wh_hp,'2022'!Maxi_hp)</f>
        <v>72.007464364847081</v>
      </c>
      <c r="J362" s="85">
        <f>IF(H362,An,'2022'!An_max)</f>
        <v>2022</v>
      </c>
      <c r="K362" s="193">
        <f t="shared" si="130"/>
        <v>45274</v>
      </c>
      <c r="L362" s="143">
        <f>IF(t&lt;Tvie,1-EXP((T0-t)*PertePVj)+'2022'!Pspv,1-EXP((T0-t)*PertePVj)+Pspv)</f>
        <v>1.1568430966149568E-2</v>
      </c>
      <c r="M362" s="835"/>
      <c r="N362" s="835"/>
      <c r="O362" s="48">
        <f>IF(t&lt;Tnet,'2022'!Resal+('2022'!Salim-'2022'!Resal)*(1-EXP(('2022'!Tnet-t)/('2022'!Tau_j))),Resal+(Salim-Resal)*(1-EXP((Tnet-t)/(Tau_j))))*Salcycl</f>
        <v>4.3281686510701141E-2</v>
      </c>
      <c r="P362" s="165">
        <f>(INDEX(Models!$BJ362:$BT362,,T362)*(1-R362)+INDEX(Models!$BJ362:$BT362,,T362+1)*R362-ERP_i)*Q362*Ramure*Pc/MaxiM</f>
        <v>1.1201924085419328E-3</v>
      </c>
      <c r="Q362" s="301">
        <f t="shared" si="131"/>
        <v>0.5</v>
      </c>
      <c r="R362" s="173">
        <f t="shared" si="132"/>
        <v>0.98946460910047684</v>
      </c>
      <c r="S362" s="801">
        <f t="shared" si="133"/>
        <v>0</v>
      </c>
      <c r="T362" s="172">
        <f t="shared" si="134"/>
        <v>6</v>
      </c>
      <c r="U362" s="247">
        <f t="shared" si="135"/>
        <v>0.98946460910047684</v>
      </c>
      <c r="V362" s="378">
        <f t="shared" si="136"/>
        <v>90.990844826555943</v>
      </c>
      <c r="W362" s="397">
        <f t="shared" si="137"/>
        <v>68.031354136782497</v>
      </c>
      <c r="X362" s="153">
        <f t="shared" si="138"/>
        <v>45274</v>
      </c>
      <c r="Y362" s="380">
        <f t="shared" si="139"/>
        <v>68.031354136782497</v>
      </c>
      <c r="Z362" s="380">
        <f t="shared" si="140"/>
        <v>68.827581259145973</v>
      </c>
      <c r="AA362" s="381">
        <f t="shared" si="141"/>
        <v>71.941323050586547</v>
      </c>
      <c r="AB362" s="193">
        <f t="shared" si="142"/>
        <v>45274</v>
      </c>
      <c r="AC362" s="420">
        <f>IF(OR(t&lt;Tnet,NoTnet),'2022'!Resal_s+('2022'!Salim-'2022'!Resal_s)*(1-EXP(('2022'!Tnet_s-t)/'2022'!Tau_j)),Resal_s+(Salim-Resal_s)*(1-EXP((Tnet_s-t)/Tau_j)))*Salcycl</f>
        <v>4.3281686510701141E-2</v>
      </c>
      <c r="AD362" s="227">
        <f>(INDEX(Models!$BJ362:$BT362,,AH362)*(1-AF362)+INDEX(Models!$BJ362:$BT362,,AH362+1)*AF362-ERP_i)*AE362*Ramure*Pc/MaxiM</f>
        <v>1.1201924085419328E-3</v>
      </c>
      <c r="AE362" s="301">
        <f t="shared" si="143"/>
        <v>0.5</v>
      </c>
      <c r="AF362" s="173">
        <f t="shared" si="144"/>
        <v>0.98946460910047684</v>
      </c>
      <c r="AG362" s="172">
        <f t="shared" si="145"/>
        <v>0</v>
      </c>
      <c r="AH362" s="172">
        <f t="shared" si="146"/>
        <v>6</v>
      </c>
      <c r="AI362" s="221">
        <f t="shared" si="147"/>
        <v>0.98946460910047684</v>
      </c>
      <c r="AJ362" s="261" t="b">
        <f t="shared" si="148"/>
        <v>0</v>
      </c>
      <c r="AK362" s="261" t="b">
        <f t="shared" si="149"/>
        <v>0</v>
      </c>
      <c r="AL362" s="261"/>
      <c r="AM362" s="261"/>
      <c r="AN362" s="75"/>
    </row>
    <row r="363" spans="1:40" s="6" customFormat="1" ht="11.25" x14ac:dyDescent="0.2">
      <c r="A363" s="56">
        <f t="shared" si="150"/>
        <v>45275</v>
      </c>
      <c r="B363" s="406">
        <f>'2022'!Wh/'2022'!Env_an*'2023'!Env_an</f>
        <v>33.861685231696406</v>
      </c>
      <c r="C363" s="385"/>
      <c r="D363" s="388">
        <f t="shared" si="128"/>
        <v>34.258465468859733</v>
      </c>
      <c r="E363" s="380">
        <f t="shared" si="151"/>
        <v>35.809320996375618</v>
      </c>
      <c r="F363" s="380">
        <f t="shared" si="129"/>
        <v>35.813443919531608</v>
      </c>
      <c r="G363" s="110">
        <f t="shared" si="152"/>
        <v>0.37250572019879685</v>
      </c>
      <c r="H363" s="409" t="b">
        <f>Wh_hp&gt;='2022'!Maxi_hp</f>
        <v>0</v>
      </c>
      <c r="I363" s="385">
        <f>IF(H363,Wh_hp,'2022'!Maxi_hp)</f>
        <v>91.83152399747874</v>
      </c>
      <c r="J363" s="85">
        <f>IF(H363,An,'2022'!An_max)</f>
        <v>2021</v>
      </c>
      <c r="K363" s="193">
        <f t="shared" si="130"/>
        <v>45275</v>
      </c>
      <c r="L363" s="143">
        <f>IF(t&lt;Tvie,1-EXP((T0-t)*PertePVj)+'2022'!Pspv,1-EXP((T0-t)*PertePVj)+Pspv)</f>
        <v>1.1581961764282611E-2</v>
      </c>
      <c r="M363" s="835"/>
      <c r="N363" s="835"/>
      <c r="O363" s="48">
        <f>IF(t&lt;Tnet,'2022'!Resal+('2022'!Salim-'2022'!Resal)*(1-EXP(('2022'!Tnet-t)/('2022'!Tau_j))),Resal+(Salim-Resal)*(1-EXP((Tnet-t)/(Tau_j))))*Salcycl</f>
        <v>4.3308710815065515E-2</v>
      </c>
      <c r="P363" s="165">
        <f>(INDEX(Models!$BJ363:$BT363,,T363)*(1-R363)+INDEX(Models!$BJ363:$BT363,,T363+1)*R363-ERP_i)*Q363*Ramure*Pc/MaxiM</f>
        <v>1.1058027253577141E-3</v>
      </c>
      <c r="Q363" s="301">
        <f t="shared" si="131"/>
        <v>0.5</v>
      </c>
      <c r="R363" s="173">
        <f t="shared" si="132"/>
        <v>0.98947387117973329</v>
      </c>
      <c r="S363" s="801">
        <f t="shared" si="133"/>
        <v>0</v>
      </c>
      <c r="T363" s="172">
        <f t="shared" si="134"/>
        <v>6</v>
      </c>
      <c r="U363" s="247">
        <f t="shared" si="135"/>
        <v>0.98947387117973329</v>
      </c>
      <c r="V363" s="378">
        <f t="shared" si="136"/>
        <v>90.812391390513454</v>
      </c>
      <c r="W363" s="397">
        <f t="shared" si="137"/>
        <v>33.861685231696406</v>
      </c>
      <c r="X363" s="153">
        <f t="shared" si="138"/>
        <v>45275</v>
      </c>
      <c r="Y363" s="380">
        <f t="shared" si="139"/>
        <v>33.861685231696406</v>
      </c>
      <c r="Z363" s="380">
        <f t="shared" si="140"/>
        <v>34.258465468859733</v>
      </c>
      <c r="AA363" s="381">
        <f t="shared" si="141"/>
        <v>35.809320996375618</v>
      </c>
      <c r="AB363" s="193">
        <f t="shared" si="142"/>
        <v>45275</v>
      </c>
      <c r="AC363" s="420">
        <f>IF(OR(t&lt;Tnet,NoTnet),'2022'!Resal_s+('2022'!Salim-'2022'!Resal_s)*(1-EXP(('2022'!Tnet_s-t)/'2022'!Tau_j)),Resal_s+(Salim-Resal_s)*(1-EXP((Tnet_s-t)/Tau_j)))*Salcycl</f>
        <v>4.3308710815065515E-2</v>
      </c>
      <c r="AD363" s="227">
        <f>(INDEX(Models!$BJ363:$BT363,,AH363)*(1-AF363)+INDEX(Models!$BJ363:$BT363,,AH363+1)*AF363-ERP_i)*AE363*Ramure*Pc/MaxiM</f>
        <v>1.1058027253577141E-3</v>
      </c>
      <c r="AE363" s="301">
        <f t="shared" si="143"/>
        <v>0.5</v>
      </c>
      <c r="AF363" s="173">
        <f t="shared" si="144"/>
        <v>0.98947387117973329</v>
      </c>
      <c r="AG363" s="172">
        <f t="shared" si="145"/>
        <v>0</v>
      </c>
      <c r="AH363" s="172">
        <f t="shared" si="146"/>
        <v>6</v>
      </c>
      <c r="AI363" s="221">
        <f t="shared" si="147"/>
        <v>0.98947387117973329</v>
      </c>
      <c r="AJ363" s="261" t="b">
        <f t="shared" si="148"/>
        <v>0</v>
      </c>
      <c r="AK363" s="261" t="b">
        <f t="shared" si="149"/>
        <v>0</v>
      </c>
      <c r="AL363" s="261"/>
      <c r="AM363" s="261"/>
      <c r="AN363" s="75"/>
    </row>
    <row r="364" spans="1:40" s="6" customFormat="1" ht="11.25" customHeight="1" x14ac:dyDescent="0.2">
      <c r="A364" s="56">
        <f t="shared" si="150"/>
        <v>45276</v>
      </c>
      <c r="B364" s="406">
        <f>'2022'!Wh/'2022'!Env_an*'2023'!Env_an</f>
        <v>20.638352364298211</v>
      </c>
      <c r="C364" s="385"/>
      <c r="D364" s="388">
        <f t="shared" si="128"/>
        <v>20.880471714900477</v>
      </c>
      <c r="E364" s="380">
        <f t="shared" si="151"/>
        <v>21.826341897226374</v>
      </c>
      <c r="F364" s="380">
        <f t="shared" si="129"/>
        <v>21.826341897226374</v>
      </c>
      <c r="G364" s="110">
        <f t="shared" si="152"/>
        <v>0.22736060074600684</v>
      </c>
      <c r="H364" s="409" t="b">
        <f>Wh_hp&gt;='2022'!Maxi_hp</f>
        <v>0</v>
      </c>
      <c r="I364" s="385">
        <f>IF(H364,Wh_hp,'2022'!Maxi_hp)</f>
        <v>96.573538746410236</v>
      </c>
      <c r="J364" s="85">
        <f>IF(H364,An,'2022'!An_max)</f>
        <v>2021</v>
      </c>
      <c r="K364" s="193">
        <f t="shared" si="130"/>
        <v>45276</v>
      </c>
      <c r="L364" s="143">
        <f>IF(t&lt;Tvie,1-EXP((T0-t)*PertePVj)+'2022'!Pspv,1-EXP((T0-t)*PertePVj)+Pspv)</f>
        <v>1.1595492377190375E-2</v>
      </c>
      <c r="M364" s="835"/>
      <c r="N364" s="835"/>
      <c r="O364" s="48">
        <f>IF(t&lt;Tnet,'2022'!Resal+('2022'!Salim-'2022'!Resal)*(1-EXP(('2022'!Tnet-t)/('2022'!Tau_j))),Resal+(Salim-Resal)*(1-EXP((Tnet-t)/(Tau_j))))*Salcycl</f>
        <v>4.3336175469976285E-2</v>
      </c>
      <c r="P364" s="165">
        <f>(INDEX(Models!$BJ364:$BT364,,T364)*(1-R364)+INDEX(Models!$BJ364:$BT364,,T364+1)*R364-ERP_i)*Q364*Ramure*Pc/MaxiM</f>
        <v>1.0935644688194891E-3</v>
      </c>
      <c r="Q364" s="301">
        <f t="shared" si="131"/>
        <v>0.5</v>
      </c>
      <c r="R364" s="173">
        <f t="shared" si="132"/>
        <v>0.9894827606630785</v>
      </c>
      <c r="S364" s="801">
        <f t="shared" si="133"/>
        <v>0</v>
      </c>
      <c r="T364" s="172">
        <f t="shared" si="134"/>
        <v>6</v>
      </c>
      <c r="U364" s="247">
        <f t="shared" si="135"/>
        <v>0.9894827606630785</v>
      </c>
      <c r="V364" s="378">
        <f t="shared" si="136"/>
        <v>90.674386537570385</v>
      </c>
      <c r="W364" s="397">
        <f t="shared" si="137"/>
        <v>20.638352364298211</v>
      </c>
      <c r="X364" s="153">
        <f t="shared" si="138"/>
        <v>45276</v>
      </c>
      <c r="Y364" s="380">
        <f t="shared" si="139"/>
        <v>20.638352364298211</v>
      </c>
      <c r="Z364" s="380">
        <f t="shared" si="140"/>
        <v>20.880471714900477</v>
      </c>
      <c r="AA364" s="381">
        <f t="shared" si="141"/>
        <v>21.826341897226374</v>
      </c>
      <c r="AB364" s="193">
        <f t="shared" si="142"/>
        <v>45276</v>
      </c>
      <c r="AC364" s="420">
        <f>IF(OR(t&lt;Tnet,NoTnet),'2022'!Resal_s+('2022'!Salim-'2022'!Resal_s)*(1-EXP(('2022'!Tnet_s-t)/'2022'!Tau_j)),Resal_s+(Salim-Resal_s)*(1-EXP((Tnet_s-t)/Tau_j)))*Salcycl</f>
        <v>4.3336175469976285E-2</v>
      </c>
      <c r="AD364" s="227">
        <f>(INDEX(Models!$BJ364:$BT364,,AH364)*(1-AF364)+INDEX(Models!$BJ364:$BT364,,AH364+1)*AF364-ERP_i)*AE364*Ramure*Pc/MaxiM</f>
        <v>1.0935644688194891E-3</v>
      </c>
      <c r="AE364" s="301">
        <f t="shared" si="143"/>
        <v>0.5</v>
      </c>
      <c r="AF364" s="173">
        <f t="shared" si="144"/>
        <v>0.9894827606630785</v>
      </c>
      <c r="AG364" s="172">
        <f t="shared" si="145"/>
        <v>0</v>
      </c>
      <c r="AH364" s="172">
        <f t="shared" si="146"/>
        <v>6</v>
      </c>
      <c r="AI364" s="221">
        <f t="shared" si="147"/>
        <v>0.9894827606630785</v>
      </c>
      <c r="AJ364" s="261" t="b">
        <f t="shared" si="148"/>
        <v>0</v>
      </c>
      <c r="AK364" s="261" t="b">
        <f t="shared" si="149"/>
        <v>0</v>
      </c>
      <c r="AL364" s="261"/>
      <c r="AM364" s="261"/>
      <c r="AN364" s="75"/>
    </row>
    <row r="365" spans="1:40" s="6" customFormat="1" ht="11.25" customHeight="1" x14ac:dyDescent="0.2">
      <c r="A365" s="56">
        <f t="shared" si="150"/>
        <v>45277</v>
      </c>
      <c r="B365" s="406">
        <f>'2022'!Wh/'2022'!Env_an*'2023'!Env_an</f>
        <v>12.805069543641981</v>
      </c>
      <c r="C365" s="385"/>
      <c r="D365" s="388">
        <f t="shared" si="128"/>
        <v>12.955469889031626</v>
      </c>
      <c r="E365" s="380">
        <f t="shared" si="151"/>
        <v>13.542737909430873</v>
      </c>
      <c r="F365" s="380">
        <f t="shared" si="129"/>
        <v>13.542737909430873</v>
      </c>
      <c r="G365" s="110">
        <f t="shared" si="152"/>
        <v>0.14121899330264837</v>
      </c>
      <c r="H365" s="409" t="b">
        <f>Wh_hp&gt;='2022'!Maxi_hp</f>
        <v>0</v>
      </c>
      <c r="I365" s="385">
        <f>IF(H365,Wh_hp,'2022'!Maxi_hp)</f>
        <v>97.364376896272645</v>
      </c>
      <c r="J365" s="85">
        <f>IF(H365,An,'2022'!An_max)</f>
        <v>2021</v>
      </c>
      <c r="K365" s="193">
        <f t="shared" si="130"/>
        <v>45277</v>
      </c>
      <c r="L365" s="143">
        <f>IF(t&lt;Tvie,1-EXP((T0-t)*PertePVj)+'2022'!Pspv,1-EXP((T0-t)*PertePVj)+Pspv)</f>
        <v>1.1609022804875413E-2</v>
      </c>
      <c r="M365" s="835"/>
      <c r="N365" s="835"/>
      <c r="O365" s="48">
        <f>IF(t&lt;Tnet,'2022'!Resal+('2022'!Salim-'2022'!Resal)*(1-EXP(('2022'!Tnet-t)/('2022'!Tau_j))),Resal+(Salim-Resal)*(1-EXP((Tnet-t)/(Tau_j))))*Salcycl</f>
        <v>4.3364054176244893E-2</v>
      </c>
      <c r="P365" s="165">
        <f>(INDEX(Models!$BJ365:$BT365,,T365)*(1-R365)+INDEX(Models!$BJ365:$BT365,,T365+1)*R365-ERP_i)*Q365*Ramure*Pc/MaxiM</f>
        <v>1.0834756389813916E-3</v>
      </c>
      <c r="Q365" s="301">
        <f t="shared" si="131"/>
        <v>0.5</v>
      </c>
      <c r="R365" s="173">
        <f t="shared" si="132"/>
        <v>0.98949129252689094</v>
      </c>
      <c r="S365" s="801">
        <f t="shared" si="133"/>
        <v>0</v>
      </c>
      <c r="T365" s="172">
        <f t="shared" si="134"/>
        <v>6</v>
      </c>
      <c r="U365" s="247">
        <f t="shared" si="135"/>
        <v>0.98949129252689094</v>
      </c>
      <c r="V365" s="378">
        <f t="shared" si="136"/>
        <v>90.577019872411896</v>
      </c>
      <c r="W365" s="397">
        <f t="shared" si="137"/>
        <v>12.805069543641981</v>
      </c>
      <c r="X365" s="153">
        <f t="shared" si="138"/>
        <v>45277</v>
      </c>
      <c r="Y365" s="380">
        <f t="shared" si="139"/>
        <v>12.805069543641981</v>
      </c>
      <c r="Z365" s="380">
        <f t="shared" si="140"/>
        <v>12.955469889031626</v>
      </c>
      <c r="AA365" s="381">
        <f t="shared" si="141"/>
        <v>13.542737909430873</v>
      </c>
      <c r="AB365" s="193">
        <f t="shared" si="142"/>
        <v>45277</v>
      </c>
      <c r="AC365" s="420">
        <f>IF(OR(t&lt;Tnet,NoTnet),'2022'!Resal_s+('2022'!Salim-'2022'!Resal_s)*(1-EXP(('2022'!Tnet_s-t)/'2022'!Tau_j)),Resal_s+(Salim-Resal_s)*(1-EXP((Tnet_s-t)/Tau_j)))*Salcycl</f>
        <v>4.3364054176244893E-2</v>
      </c>
      <c r="AD365" s="227">
        <f>(INDEX(Models!$BJ365:$BT365,,AH365)*(1-AF365)+INDEX(Models!$BJ365:$BT365,,AH365+1)*AF365-ERP_i)*AE365*Ramure*Pc/MaxiM</f>
        <v>1.0834756389813916E-3</v>
      </c>
      <c r="AE365" s="301">
        <f t="shared" si="143"/>
        <v>0.5</v>
      </c>
      <c r="AF365" s="173">
        <f t="shared" si="144"/>
        <v>0.98949129252689094</v>
      </c>
      <c r="AG365" s="172">
        <f t="shared" si="145"/>
        <v>0</v>
      </c>
      <c r="AH365" s="172">
        <f t="shared" si="146"/>
        <v>6</v>
      </c>
      <c r="AI365" s="221">
        <f t="shared" si="147"/>
        <v>0.98949129252689094</v>
      </c>
      <c r="AJ365" s="261" t="b">
        <f t="shared" si="148"/>
        <v>0</v>
      </c>
      <c r="AK365" s="261" t="b">
        <f t="shared" si="149"/>
        <v>0</v>
      </c>
      <c r="AL365" s="261"/>
      <c r="AM365" s="261"/>
      <c r="AN365" s="75"/>
    </row>
    <row r="366" spans="1:40" s="6" customFormat="1" ht="11.25" customHeight="1" x14ac:dyDescent="0.2">
      <c r="A366" s="56">
        <f t="shared" si="150"/>
        <v>45278</v>
      </c>
      <c r="B366" s="406">
        <f>'2022'!Wh/'2022'!Env_an*'2023'!Env_an</f>
        <v>69.74837433823329</v>
      </c>
      <c r="C366" s="385"/>
      <c r="D366" s="388">
        <f t="shared" si="128"/>
        <v>70.568561184069623</v>
      </c>
      <c r="E366" s="380">
        <f t="shared" si="151"/>
        <v>73.769595105221114</v>
      </c>
      <c r="F366" s="380">
        <f t="shared" si="129"/>
        <v>73.823004060483058</v>
      </c>
      <c r="G366" s="110">
        <f t="shared" si="152"/>
        <v>0.77025442882184647</v>
      </c>
      <c r="H366" s="409" t="b">
        <f>Wh_hp&gt;='2022'!Maxi_hp</f>
        <v>0</v>
      </c>
      <c r="I366" s="385">
        <f>IF(H366,Wh_hp,'2022'!Maxi_hp)</f>
        <v>98.158403846650032</v>
      </c>
      <c r="J366" s="85">
        <f>IF(H366,An,'2022'!An_max)</f>
        <v>2021</v>
      </c>
      <c r="K366" s="193">
        <f t="shared" si="130"/>
        <v>45278</v>
      </c>
      <c r="L366" s="143">
        <f>IF(t&lt;Tvie,1-EXP((T0-t)*PertePVj)+'2022'!Pspv,1-EXP((T0-t)*PertePVj)+Pspv)</f>
        <v>1.1622553047340278E-2</v>
      </c>
      <c r="M366" s="835"/>
      <c r="N366" s="835"/>
      <c r="O366" s="48">
        <f>IF(t&lt;Tnet,'2022'!Resal+('2022'!Salim-'2022'!Resal)*(1-EXP(('2022'!Tnet-t)/('2022'!Tau_j))),Resal+(Salim-Resal)*(1-EXP((Tnet-t)/(Tau_j))))*Salcycl</f>
        <v>4.3392320597472493E-2</v>
      </c>
      <c r="P366" s="165">
        <f>(INDEX(Models!$BJ366:$BT366,,T366)*(1-R366)+INDEX(Models!$BJ366:$BT366,,T366+1)*R366-ERP_i)*Q366*Ramure*Pc/MaxiM</f>
        <v>1.0763074012921207E-3</v>
      </c>
      <c r="Q366" s="301">
        <f t="shared" si="131"/>
        <v>0.5</v>
      </c>
      <c r="R366" s="173">
        <f t="shared" si="132"/>
        <v>0.98949948114656028</v>
      </c>
      <c r="S366" s="801">
        <f t="shared" si="133"/>
        <v>0</v>
      </c>
      <c r="T366" s="172">
        <f t="shared" si="134"/>
        <v>6</v>
      </c>
      <c r="U366" s="247">
        <f t="shared" si="135"/>
        <v>0.98949948114656028</v>
      </c>
      <c r="V366" s="378">
        <f t="shared" si="136"/>
        <v>90.520410257761057</v>
      </c>
      <c r="W366" s="397">
        <f t="shared" si="137"/>
        <v>69.74837433823329</v>
      </c>
      <c r="X366" s="153">
        <f t="shared" si="138"/>
        <v>45278</v>
      </c>
      <c r="Y366" s="380">
        <f t="shared" si="139"/>
        <v>69.74837433823329</v>
      </c>
      <c r="Z366" s="380">
        <f t="shared" si="140"/>
        <v>70.568561184069623</v>
      </c>
      <c r="AA366" s="381">
        <f t="shared" si="141"/>
        <v>73.769595105221114</v>
      </c>
      <c r="AB366" s="193">
        <f t="shared" si="142"/>
        <v>45278</v>
      </c>
      <c r="AC366" s="420">
        <f>IF(OR(t&lt;Tnet,NoTnet),'2022'!Resal_s+('2022'!Salim-'2022'!Resal_s)*(1-EXP(('2022'!Tnet_s-t)/'2022'!Tau_j)),Resal_s+(Salim-Resal_s)*(1-EXP((Tnet_s-t)/Tau_j)))*Salcycl</f>
        <v>4.3392320597472493E-2</v>
      </c>
      <c r="AD366" s="227">
        <f>(INDEX(Models!$BJ366:$BT366,,AH366)*(1-AF366)+INDEX(Models!$BJ366:$BT366,,AH366+1)*AF366-ERP_i)*AE366*Ramure*Pc/MaxiM</f>
        <v>1.0763074012921207E-3</v>
      </c>
      <c r="AE366" s="301">
        <f t="shared" si="143"/>
        <v>0.5</v>
      </c>
      <c r="AF366" s="173">
        <f t="shared" si="144"/>
        <v>0.98949948114656028</v>
      </c>
      <c r="AG366" s="172">
        <f t="shared" si="145"/>
        <v>0</v>
      </c>
      <c r="AH366" s="172">
        <f t="shared" si="146"/>
        <v>6</v>
      </c>
      <c r="AI366" s="221">
        <f t="shared" si="147"/>
        <v>0.98949948114656028</v>
      </c>
      <c r="AJ366" s="261" t="b">
        <f t="shared" si="148"/>
        <v>0</v>
      </c>
      <c r="AK366" s="261" t="b">
        <f t="shared" si="149"/>
        <v>0</v>
      </c>
      <c r="AL366" s="261"/>
      <c r="AM366" s="261"/>
      <c r="AN366" s="75"/>
    </row>
    <row r="367" spans="1:40" s="6" customFormat="1" ht="11.25" customHeight="1" x14ac:dyDescent="0.2">
      <c r="A367" s="56">
        <f t="shared" si="150"/>
        <v>45279</v>
      </c>
      <c r="B367" s="406">
        <f>'2022'!Wh/'2022'!Env_an*'2023'!Env_an</f>
        <v>67.04294252339345</v>
      </c>
      <c r="C367" s="385"/>
      <c r="D367" s="388">
        <f t="shared" si="128"/>
        <v>67.832244153534646</v>
      </c>
      <c r="E367" s="380">
        <f t="shared" si="151"/>
        <v>70.911279155390162</v>
      </c>
      <c r="F367" s="380">
        <f t="shared" si="129"/>
        <v>70.959103445644217</v>
      </c>
      <c r="G367" s="110">
        <f t="shared" si="152"/>
        <v>0.74047205816061046</v>
      </c>
      <c r="H367" s="409" t="b">
        <f>Wh_hp&gt;='2022'!Maxi_hp</f>
        <v>0</v>
      </c>
      <c r="I367" s="385">
        <f>IF(H367,Wh_hp,'2022'!Maxi_hp)</f>
        <v>96.560601713863988</v>
      </c>
      <c r="J367" s="85">
        <f>IF(H367,An,'2022'!An_max)</f>
        <v>2021</v>
      </c>
      <c r="K367" s="193">
        <f t="shared" si="130"/>
        <v>45279</v>
      </c>
      <c r="L367" s="143">
        <f>IF(t&lt;Tvie,1-EXP((T0-t)*PertePVj)+'2022'!Pspv,1-EXP((T0-t)*PertePVj)+Pspv)</f>
        <v>1.1636083104587525E-2</v>
      </c>
      <c r="M367" s="835"/>
      <c r="N367" s="835"/>
      <c r="O367" s="48">
        <f>IF(t&lt;Tnet,'2022'!Resal+('2022'!Salim-'2022'!Resal)*(1-EXP(('2022'!Tnet-t)/('2022'!Tau_j))),Resal+(Salim-Resal)*(1-EXP((Tnet-t)/(Tau_j))))*Salcycl</f>
        <v>4.342094852228421E-2</v>
      </c>
      <c r="P367" s="165">
        <f>(INDEX(Models!$BJ367:$BT367,,T367)*(1-R367)+INDEX(Models!$BJ367:$BT367,,T367+1)*R367-ERP_i)*Q367*Ramure*Pc/MaxiM</f>
        <v>1.0703614920459729E-3</v>
      </c>
      <c r="Q367" s="301">
        <f t="shared" si="131"/>
        <v>0.5</v>
      </c>
      <c r="R367" s="173">
        <f t="shared" si="132"/>
        <v>0.98950734032052645</v>
      </c>
      <c r="S367" s="801">
        <f t="shared" si="133"/>
        <v>0</v>
      </c>
      <c r="T367" s="172">
        <f t="shared" si="134"/>
        <v>6</v>
      </c>
      <c r="U367" s="247">
        <f t="shared" si="135"/>
        <v>0.98950734032052645</v>
      </c>
      <c r="V367" s="378">
        <f t="shared" si="136"/>
        <v>90.504899670446505</v>
      </c>
      <c r="W367" s="397">
        <f t="shared" si="137"/>
        <v>67.04294252339345</v>
      </c>
      <c r="X367" s="153">
        <f t="shared" si="138"/>
        <v>45279</v>
      </c>
      <c r="Y367" s="380">
        <f t="shared" si="139"/>
        <v>67.04294252339345</v>
      </c>
      <c r="Z367" s="380">
        <f t="shared" si="140"/>
        <v>67.832244153534646</v>
      </c>
      <c r="AA367" s="381">
        <f t="shared" si="141"/>
        <v>70.911279155390162</v>
      </c>
      <c r="AB367" s="193">
        <f t="shared" si="142"/>
        <v>45279</v>
      </c>
      <c r="AC367" s="420">
        <f>IF(OR(t&lt;Tnet,NoTnet),'2022'!Resal_s+('2022'!Salim-'2022'!Resal_s)*(1-EXP(('2022'!Tnet_s-t)/'2022'!Tau_j)),Resal_s+(Salim-Resal_s)*(1-EXP((Tnet_s-t)/Tau_j)))*Salcycl</f>
        <v>4.342094852228421E-2</v>
      </c>
      <c r="AD367" s="227">
        <f>(INDEX(Models!$BJ367:$BT367,,AH367)*(1-AF367)+INDEX(Models!$BJ367:$BT367,,AH367+1)*AF367-ERP_i)*AE367*Ramure*Pc/MaxiM</f>
        <v>1.0703614920459729E-3</v>
      </c>
      <c r="AE367" s="301">
        <f t="shared" si="143"/>
        <v>0.5</v>
      </c>
      <c r="AF367" s="173">
        <f t="shared" si="144"/>
        <v>0.98950734032052645</v>
      </c>
      <c r="AG367" s="172">
        <f t="shared" si="145"/>
        <v>0</v>
      </c>
      <c r="AH367" s="172">
        <f t="shared" si="146"/>
        <v>6</v>
      </c>
      <c r="AI367" s="221">
        <f t="shared" si="147"/>
        <v>0.98950734032052645</v>
      </c>
      <c r="AJ367" s="261" t="b">
        <f t="shared" si="148"/>
        <v>0</v>
      </c>
      <c r="AK367" s="261" t="b">
        <f t="shared" si="149"/>
        <v>0</v>
      </c>
      <c r="AL367" s="261"/>
      <c r="AM367" s="261"/>
      <c r="AN367" s="75"/>
    </row>
    <row r="368" spans="1:40" s="6" customFormat="1" ht="11.25" customHeight="1" x14ac:dyDescent="0.2">
      <c r="A368" s="56">
        <f t="shared" si="150"/>
        <v>45280</v>
      </c>
      <c r="B368" s="406">
        <f>'2022'!Wh/'2022'!Env_an*'2023'!Env_an</f>
        <v>17.527585005436986</v>
      </c>
      <c r="C368" s="385"/>
      <c r="D368" s="388">
        <f t="shared" si="128"/>
        <v>17.734181354676146</v>
      </c>
      <c r="E368" s="380">
        <f t="shared" si="151"/>
        <v>18.539731037111768</v>
      </c>
      <c r="F368" s="380">
        <f t="shared" si="129"/>
        <v>18.539731037111768</v>
      </c>
      <c r="G368" s="110">
        <f t="shared" si="152"/>
        <v>0.19340303000386685</v>
      </c>
      <c r="H368" s="409" t="b">
        <f>Wh_hp&gt;='2022'!Maxi_hp</f>
        <v>0</v>
      </c>
      <c r="I368" s="385">
        <f>IF(H368,Wh_hp,'2022'!Maxi_hp)</f>
        <v>98.669245392496961</v>
      </c>
      <c r="J368" s="85">
        <f>IF(H368,An,'2022'!An_max)</f>
        <v>2021</v>
      </c>
      <c r="K368" s="193">
        <f t="shared" si="130"/>
        <v>45280</v>
      </c>
      <c r="L368" s="143">
        <f>IF(t&lt;Tvie,1-EXP((T0-t)*PertePVj)+'2022'!Pspv,1-EXP((T0-t)*PertePVj)+Pspv)</f>
        <v>1.1649612976619594E-2</v>
      </c>
      <c r="M368" s="835"/>
      <c r="N368" s="835"/>
      <c r="O368" s="48">
        <f>IF(t&lt;Tnet,'2022'!Resal+('2022'!Salim-'2022'!Resal)*(1-EXP(('2022'!Tnet-t)/('2022'!Tau_j))),Resal+(Salim-Resal)*(1-EXP((Tnet-t)/(Tau_j))))*Salcycl</f>
        <v>4.3449912019927324E-2</v>
      </c>
      <c r="P368" s="165">
        <f>(INDEX(Models!$BJ368:$BT368,,T368)*(1-R368)+INDEX(Models!$BJ368:$BT368,,T368+1)*R368-ERP_i)*Q368*Ramure*Pc/MaxiM</f>
        <v>1.0656293216087583E-3</v>
      </c>
      <c r="Q368" s="301">
        <f t="shared" si="131"/>
        <v>0.5</v>
      </c>
      <c r="R368" s="173">
        <f t="shared" si="132"/>
        <v>0.98951488329336479</v>
      </c>
      <c r="S368" s="801">
        <f t="shared" si="133"/>
        <v>0</v>
      </c>
      <c r="T368" s="172">
        <f t="shared" si="134"/>
        <v>6</v>
      </c>
      <c r="U368" s="247">
        <f t="shared" si="135"/>
        <v>0.98951488329336479</v>
      </c>
      <c r="V368" s="378">
        <f t="shared" si="136"/>
        <v>90.530676259664247</v>
      </c>
      <c r="W368" s="397">
        <f t="shared" si="137"/>
        <v>17.527585005436986</v>
      </c>
      <c r="X368" s="153">
        <f t="shared" si="138"/>
        <v>45280</v>
      </c>
      <c r="Y368" s="380">
        <f t="shared" si="139"/>
        <v>17.527585005436986</v>
      </c>
      <c r="Z368" s="380">
        <f t="shared" si="140"/>
        <v>17.734181354676146</v>
      </c>
      <c r="AA368" s="381">
        <f t="shared" si="141"/>
        <v>18.539731037111768</v>
      </c>
      <c r="AB368" s="193">
        <f t="shared" si="142"/>
        <v>45280</v>
      </c>
      <c r="AC368" s="420">
        <f>IF(OR(t&lt;Tnet,NoTnet),'2022'!Resal_s+('2022'!Salim-'2022'!Resal_s)*(1-EXP(('2022'!Tnet_s-t)/'2022'!Tau_j)),Resal_s+(Salim-Resal_s)*(1-EXP((Tnet_s-t)/Tau_j)))*Salcycl</f>
        <v>4.3449912019927324E-2</v>
      </c>
      <c r="AD368" s="227">
        <f>(INDEX(Models!$BJ368:$BT368,,AH368)*(1-AF368)+INDEX(Models!$BJ368:$BT368,,AH368+1)*AF368-ERP_i)*AE368*Ramure*Pc/MaxiM</f>
        <v>1.0656293216087583E-3</v>
      </c>
      <c r="AE368" s="301">
        <f t="shared" si="143"/>
        <v>0.5</v>
      </c>
      <c r="AF368" s="173">
        <f t="shared" si="144"/>
        <v>0.98951488329336479</v>
      </c>
      <c r="AG368" s="172">
        <f t="shared" si="145"/>
        <v>0</v>
      </c>
      <c r="AH368" s="172">
        <f t="shared" si="146"/>
        <v>6</v>
      </c>
      <c r="AI368" s="221">
        <f t="shared" si="147"/>
        <v>0.98951488329336479</v>
      </c>
      <c r="AJ368" s="261" t="b">
        <f t="shared" si="148"/>
        <v>0</v>
      </c>
      <c r="AK368" s="261" t="b">
        <f t="shared" si="149"/>
        <v>0</v>
      </c>
      <c r="AL368" s="261"/>
      <c r="AM368" s="261"/>
      <c r="AN368" s="75"/>
    </row>
    <row r="369" spans="1:40" s="18" customFormat="1" ht="11.25" customHeight="1" x14ac:dyDescent="0.2">
      <c r="A369" s="56">
        <f t="shared" si="150"/>
        <v>45281</v>
      </c>
      <c r="B369" s="406">
        <f>'2022'!Wh/'2022'!Env_an*'2023'!Env_an</f>
        <v>82.821449066521524</v>
      </c>
      <c r="C369" s="385"/>
      <c r="D369" s="388">
        <f t="shared" si="128"/>
        <v>83.798806501777676</v>
      </c>
      <c r="E369" s="380">
        <f t="shared" si="151"/>
        <v>87.607927856023579</v>
      </c>
      <c r="F369" s="380">
        <f t="shared" si="129"/>
        <v>87.68964268935018</v>
      </c>
      <c r="G369" s="110">
        <f t="shared" si="152"/>
        <v>0.91404576920675951</v>
      </c>
      <c r="H369" s="409" t="b">
        <f>Wh_hp&gt;='2022'!Maxi_hp</f>
        <v>0</v>
      </c>
      <c r="I369" s="385">
        <f>IF(H369,Wh_hp,'2022'!Maxi_hp)</f>
        <v>87.695365898496206</v>
      </c>
      <c r="J369" s="85">
        <f>IF(H369,An,'2022'!An_max)</f>
        <v>2022</v>
      </c>
      <c r="K369" s="193">
        <f t="shared" si="130"/>
        <v>45281</v>
      </c>
      <c r="L369" s="143">
        <f>IF(t&lt;Tvie,1-EXP((T0-t)*PertePVj)+'2022'!Pspv,1-EXP((T0-t)*PertePVj)+Pspv)</f>
        <v>1.1663142663439041E-2</v>
      </c>
      <c r="M369" s="835"/>
      <c r="N369" s="835"/>
      <c r="O369" s="48">
        <f>IF(t&lt;Tnet,'2022'!Resal+('2022'!Salim-'2022'!Resal)*(1-EXP(('2022'!Tnet-t)/('2022'!Tau_j))),Resal+(Salim-Resal)*(1-EXP((Tnet-t)/(Tau_j))))*Salcycl</f>
        <v>4.3479185588156846E-2</v>
      </c>
      <c r="P369" s="165">
        <f>(INDEX(Models!$BJ369:$BT369,,T369)*(1-R369)+INDEX(Models!$BJ369:$BT369,,T369+1)*R369-ERP_i)*Q369*Ramure*Pc/MaxiM</f>
        <v>1.0621005152050714E-3</v>
      </c>
      <c r="Q369" s="301">
        <f t="shared" si="131"/>
        <v>0.5</v>
      </c>
      <c r="R369" s="173">
        <f t="shared" si="132"/>
        <v>0.98952212277795171</v>
      </c>
      <c r="S369" s="801">
        <f t="shared" si="133"/>
        <v>0</v>
      </c>
      <c r="T369" s="172">
        <f t="shared" si="134"/>
        <v>6</v>
      </c>
      <c r="U369" s="247">
        <f t="shared" si="135"/>
        <v>0.98952212277795171</v>
      </c>
      <c r="V369" s="378">
        <f t="shared" si="136"/>
        <v>90.597927839141349</v>
      </c>
      <c r="W369" s="397">
        <f t="shared" si="137"/>
        <v>82.821449066521524</v>
      </c>
      <c r="X369" s="153">
        <f t="shared" si="138"/>
        <v>45281</v>
      </c>
      <c r="Y369" s="380">
        <f t="shared" si="139"/>
        <v>82.821449066521524</v>
      </c>
      <c r="Z369" s="380">
        <f t="shared" si="140"/>
        <v>83.798806501777676</v>
      </c>
      <c r="AA369" s="381">
        <f t="shared" si="141"/>
        <v>87.607927856023579</v>
      </c>
      <c r="AB369" s="193">
        <f t="shared" si="142"/>
        <v>45281</v>
      </c>
      <c r="AC369" s="420">
        <f>IF(OR(t&lt;Tnet,NoTnet),'2022'!Resal_s+('2022'!Salim-'2022'!Resal_s)*(1-EXP(('2022'!Tnet_s-t)/'2022'!Tau_j)),Resal_s+(Salim-Resal_s)*(1-EXP((Tnet_s-t)/Tau_j)))*Salcycl</f>
        <v>4.3479185588156846E-2</v>
      </c>
      <c r="AD369" s="227">
        <f>(INDEX(Models!$BJ369:$BT369,,AH369)*(1-AF369)+INDEX(Models!$BJ369:$BT369,,AH369+1)*AF369-ERP_i)*AE369*Ramure*Pc/MaxiM</f>
        <v>1.0621005152050714E-3</v>
      </c>
      <c r="AE369" s="301">
        <f t="shared" si="143"/>
        <v>0.5</v>
      </c>
      <c r="AF369" s="173">
        <f t="shared" si="144"/>
        <v>0.98952212277795171</v>
      </c>
      <c r="AG369" s="172">
        <f t="shared" si="145"/>
        <v>0</v>
      </c>
      <c r="AH369" s="172">
        <f t="shared" si="146"/>
        <v>6</v>
      </c>
      <c r="AI369" s="221">
        <f t="shared" si="147"/>
        <v>0.98952212277795171</v>
      </c>
      <c r="AJ369" s="261" t="b">
        <f t="shared" si="148"/>
        <v>0</v>
      </c>
      <c r="AK369" s="261" t="b">
        <f t="shared" si="149"/>
        <v>0</v>
      </c>
      <c r="AL369" s="261"/>
      <c r="AM369" s="261"/>
      <c r="AN369" s="261"/>
    </row>
    <row r="370" spans="1:40" s="18" customFormat="1" ht="11.25" customHeight="1" x14ac:dyDescent="0.2">
      <c r="A370" s="56">
        <f t="shared" si="150"/>
        <v>45282</v>
      </c>
      <c r="B370" s="406">
        <f>'2022'!Wh/'2022'!Env_an*'2023'!Env_an</f>
        <v>68.989891719581934</v>
      </c>
      <c r="C370" s="385"/>
      <c r="D370" s="388">
        <f t="shared" si="128"/>
        <v>69.804981605273966</v>
      </c>
      <c r="E370" s="380">
        <f t="shared" si="151"/>
        <v>72.980261124953287</v>
      </c>
      <c r="F370" s="380">
        <f t="shared" si="129"/>
        <v>73.031185409995018</v>
      </c>
      <c r="G370" s="110">
        <f t="shared" si="152"/>
        <v>0.7603050236072596</v>
      </c>
      <c r="H370" s="409" t="b">
        <f>Wh_hp&gt;='2022'!Maxi_hp</f>
        <v>0</v>
      </c>
      <c r="I370" s="385">
        <f>IF(H370,Wh_hp,'2022'!Maxi_hp)</f>
        <v>94.664901862942699</v>
      </c>
      <c r="J370" s="85">
        <f>IF(H370,An,'2022'!An_max)</f>
        <v>2021</v>
      </c>
      <c r="K370" s="193">
        <f t="shared" si="130"/>
        <v>45282</v>
      </c>
      <c r="L370" s="143">
        <f>IF(t&lt;Tvie,1-EXP((T0-t)*PertePVj)+'2022'!Pspv,1-EXP((T0-t)*PertePVj)+Pspv)</f>
        <v>1.1676672165048529E-2</v>
      </c>
      <c r="M370" s="835"/>
      <c r="N370" s="835"/>
      <c r="O370" s="48">
        <f>IF(t&lt;Tnet,'2022'!Resal+('2022'!Salim-'2022'!Resal)*(1-EXP(('2022'!Tnet-t)/('2022'!Tau_j))),Resal+(Salim-Resal)*(1-EXP((Tnet-t)/(Tau_j))))*Salcycl</f>
        <v>4.3508744292415837E-2</v>
      </c>
      <c r="P370" s="165">
        <f>(INDEX(Models!$BJ370:$BT370,,T370)*(1-R370)+INDEX(Models!$BJ370:$BT370,,T370+1)*R370-ERP_i)*Q370*Ramure*Pc/MaxiM</f>
        <v>1.0597628820431134E-3</v>
      </c>
      <c r="Q370" s="301">
        <f t="shared" si="131"/>
        <v>0.5</v>
      </c>
      <c r="R370" s="173">
        <f t="shared" si="132"/>
        <v>0.98952907097674903</v>
      </c>
      <c r="S370" s="801">
        <f t="shared" si="133"/>
        <v>0</v>
      </c>
      <c r="T370" s="172">
        <f t="shared" si="134"/>
        <v>6</v>
      </c>
      <c r="U370" s="247">
        <f t="shared" si="135"/>
        <v>0.98952907097674903</v>
      </c>
      <c r="V370" s="378">
        <f t="shared" si="136"/>
        <v>90.706842008808692</v>
      </c>
      <c r="W370" s="397">
        <f t="shared" si="137"/>
        <v>68.989891719581934</v>
      </c>
      <c r="X370" s="153">
        <f t="shared" si="138"/>
        <v>45282</v>
      </c>
      <c r="Y370" s="380">
        <f t="shared" si="139"/>
        <v>68.989891719581934</v>
      </c>
      <c r="Z370" s="380">
        <f t="shared" si="140"/>
        <v>69.804981605273966</v>
      </c>
      <c r="AA370" s="381">
        <f t="shared" si="141"/>
        <v>72.980261124953287</v>
      </c>
      <c r="AB370" s="193">
        <f t="shared" si="142"/>
        <v>45282</v>
      </c>
      <c r="AC370" s="420">
        <f>IF(OR(t&lt;Tnet,NoTnet),'2022'!Resal_s+('2022'!Salim-'2022'!Resal_s)*(1-EXP(('2022'!Tnet_s-t)/'2022'!Tau_j)),Resal_s+(Salim-Resal_s)*(1-EXP((Tnet_s-t)/Tau_j)))*Salcycl</f>
        <v>4.3508744292415837E-2</v>
      </c>
      <c r="AD370" s="227">
        <f>(INDEX(Models!$BJ370:$BT370,,AH370)*(1-AF370)+INDEX(Models!$BJ370:$BT370,,AH370+1)*AF370-ERP_i)*AE370*Ramure*Pc/MaxiM</f>
        <v>1.0597628820431134E-3</v>
      </c>
      <c r="AE370" s="301">
        <f t="shared" si="143"/>
        <v>0.5</v>
      </c>
      <c r="AF370" s="173">
        <f t="shared" si="144"/>
        <v>0.98952907097674903</v>
      </c>
      <c r="AG370" s="172">
        <f t="shared" si="145"/>
        <v>0</v>
      </c>
      <c r="AH370" s="172">
        <f t="shared" si="146"/>
        <v>6</v>
      </c>
      <c r="AI370" s="221">
        <f t="shared" si="147"/>
        <v>0.98952907097674903</v>
      </c>
      <c r="AJ370" s="261" t="b">
        <f t="shared" si="148"/>
        <v>0</v>
      </c>
      <c r="AK370" s="261" t="b">
        <f t="shared" si="149"/>
        <v>0</v>
      </c>
      <c r="AL370" s="261"/>
      <c r="AM370" s="261"/>
      <c r="AN370" s="261"/>
    </row>
    <row r="371" spans="1:40" s="6" customFormat="1" ht="11.25" customHeight="1" x14ac:dyDescent="0.2">
      <c r="A371" s="56">
        <f t="shared" si="150"/>
        <v>45283</v>
      </c>
      <c r="B371" s="406">
        <f>'2022'!Wh/'2022'!Env_an*'2023'!Env_an</f>
        <v>70.765121340543985</v>
      </c>
      <c r="C371" s="385"/>
      <c r="D371" s="388">
        <f t="shared" si="128"/>
        <v>71.602165076799849</v>
      </c>
      <c r="E371" s="380">
        <f t="shared" si="151"/>
        <v>74.861528519556614</v>
      </c>
      <c r="F371" s="380">
        <f t="shared" si="129"/>
        <v>74.915780015524803</v>
      </c>
      <c r="G371" s="110">
        <f t="shared" si="152"/>
        <v>0.77859676152972823</v>
      </c>
      <c r="H371" s="409" t="b">
        <f>Wh_hp&gt;='2022'!Maxi_hp</f>
        <v>0</v>
      </c>
      <c r="I371" s="385">
        <f>IF(H371,Wh_hp,'2022'!Maxi_hp)</f>
        <v>74.928334057656301</v>
      </c>
      <c r="J371" s="85">
        <f>IF(H371,An,'2022'!An_max)</f>
        <v>2022</v>
      </c>
      <c r="K371" s="193">
        <f t="shared" si="130"/>
        <v>45283</v>
      </c>
      <c r="L371" s="143">
        <f>IF(t&lt;Tvie,1-EXP((T0-t)*PertePVj)+'2022'!Pspv,1-EXP((T0-t)*PertePVj)+Pspv)</f>
        <v>1.1690201481450502E-2</v>
      </c>
      <c r="M371" s="835"/>
      <c r="N371" s="835"/>
      <c r="O371" s="48">
        <f>IF(t&lt;Tnet,'2022'!Resal+('2022'!Salim-'2022'!Resal)*(1-EXP(('2022'!Tnet-t)/('2022'!Tau_j))),Resal+(Salim-Resal)*(1-EXP((Tnet-t)/(Tau_j))))*Salcycl</f>
        <v>4.3538563895409894E-2</v>
      </c>
      <c r="P371" s="165">
        <f>(INDEX(Models!$BJ371:$BT371,,T371)*(1-R371)+INDEX(Models!$BJ371:$BT371,,T371+1)*R371-ERP_i)*Q371*Ramure*Pc/MaxiM</f>
        <v>1.0585959505530656E-3</v>
      </c>
      <c r="Q371" s="301">
        <f t="shared" si="131"/>
        <v>0.5</v>
      </c>
      <c r="R371" s="173">
        <f t="shared" si="132"/>
        <v>0.98952907097674903</v>
      </c>
      <c r="S371" s="801">
        <f t="shared" si="133"/>
        <v>0</v>
      </c>
      <c r="T371" s="172">
        <f t="shared" si="134"/>
        <v>6</v>
      </c>
      <c r="U371" s="247">
        <f t="shared" si="135"/>
        <v>0.98952907097674903</v>
      </c>
      <c r="V371" s="378">
        <f t="shared" si="136"/>
        <v>90.857606584812856</v>
      </c>
      <c r="W371" s="397">
        <f t="shared" si="137"/>
        <v>70.765121340543985</v>
      </c>
      <c r="X371" s="153">
        <f t="shared" si="138"/>
        <v>45283</v>
      </c>
      <c r="Y371" s="380">
        <f t="shared" si="139"/>
        <v>70.765121340543985</v>
      </c>
      <c r="Z371" s="380">
        <f t="shared" si="140"/>
        <v>71.602165076799849</v>
      </c>
      <c r="AA371" s="381">
        <f t="shared" si="141"/>
        <v>74.861528519556614</v>
      </c>
      <c r="AB371" s="193">
        <f t="shared" si="142"/>
        <v>45283</v>
      </c>
      <c r="AC371" s="420">
        <f>IF(OR(t&lt;Tnet,NoTnet),'2022'!Resal_s+('2022'!Salim-'2022'!Resal_s)*(1-EXP(('2022'!Tnet_s-t)/'2022'!Tau_j)),Resal_s+(Salim-Resal_s)*(1-EXP((Tnet_s-t)/Tau_j)))*Salcycl</f>
        <v>4.3538563895409894E-2</v>
      </c>
      <c r="AD371" s="227">
        <f>(INDEX(Models!$BJ371:$BT371,,AH371)*(1-AF371)+INDEX(Models!$BJ371:$BT371,,AH371+1)*AF371-ERP_i)*AE371*Ramure*Pc/MaxiM</f>
        <v>1.0585959505530656E-3</v>
      </c>
      <c r="AE371" s="301">
        <f t="shared" si="143"/>
        <v>0.5</v>
      </c>
      <c r="AF371" s="173">
        <f t="shared" si="144"/>
        <v>0.98952907097674903</v>
      </c>
      <c r="AG371" s="172">
        <f t="shared" si="145"/>
        <v>0</v>
      </c>
      <c r="AH371" s="172">
        <f t="shared" si="146"/>
        <v>6</v>
      </c>
      <c r="AI371" s="221">
        <f t="shared" si="147"/>
        <v>0.98952907097674903</v>
      </c>
      <c r="AJ371" s="261" t="b">
        <f t="shared" si="148"/>
        <v>0</v>
      </c>
      <c r="AK371" s="261" t="b">
        <f t="shared" si="149"/>
        <v>0</v>
      </c>
      <c r="AL371" s="261"/>
      <c r="AM371" s="261"/>
      <c r="AN371" s="75"/>
    </row>
    <row r="372" spans="1:40" s="6" customFormat="1" ht="11.25" customHeight="1" x14ac:dyDescent="0.2">
      <c r="A372" s="56">
        <f t="shared" si="150"/>
        <v>45284</v>
      </c>
      <c r="B372" s="406">
        <f>'2022'!Wh/'2022'!Env_an*'2023'!Env_an</f>
        <v>85.907279126493762</v>
      </c>
      <c r="C372" s="385"/>
      <c r="D372" s="388">
        <f t="shared" si="128"/>
        <v>86.924621479900864</v>
      </c>
      <c r="E372" s="380">
        <f t="shared" si="151"/>
        <v>90.884326242650985</v>
      </c>
      <c r="F372" s="380">
        <f t="shared" si="129"/>
        <v>90.972857954182189</v>
      </c>
      <c r="G372" s="110">
        <f t="shared" si="152"/>
        <v>0.94343271324499245</v>
      </c>
      <c r="H372" s="409" t="b">
        <f>Wh_hp&gt;='2022'!Maxi_hp</f>
        <v>0</v>
      </c>
      <c r="I372" s="385">
        <f>IF(H372,Wh_hp,'2022'!Maxi_hp)</f>
        <v>90.976752342658557</v>
      </c>
      <c r="J372" s="85">
        <f>IF(H372,An,'2022'!An_max)</f>
        <v>2022</v>
      </c>
      <c r="K372" s="193">
        <f t="shared" si="130"/>
        <v>45284</v>
      </c>
      <c r="L372" s="143">
        <f>IF(t&lt;Tvie,1-EXP((T0-t)*PertePVj)+'2022'!Pspv,1-EXP((T0-t)*PertePVj)+Pspv)</f>
        <v>1.1703730612647401E-2</v>
      </c>
      <c r="M372" s="835"/>
      <c r="N372" s="835"/>
      <c r="O372" s="48">
        <f>IF(t&lt;Tnet,'2022'!Resal+('2022'!Salim-'2022'!Resal)*(1-EXP(('2022'!Tnet-t)/('2022'!Tau_j))),Resal+(Salim-Resal)*(1-EXP((Tnet-t)/(Tau_j))))*Salcycl</f>
        <v>4.35686209762743E-2</v>
      </c>
      <c r="P372" s="165">
        <f>(INDEX(Models!$BJ372:$BT372,,T372)*(1-R372)+INDEX(Models!$BJ372:$BT372,,T372+1)*R372-ERP_i)*Q372*Ramure*Pc/MaxiM</f>
        <v>1.0585892371313232E-3</v>
      </c>
      <c r="Q372" s="301">
        <f t="shared" si="131"/>
        <v>0.5</v>
      </c>
      <c r="R372" s="173">
        <f t="shared" si="132"/>
        <v>0.98952907097674903</v>
      </c>
      <c r="S372" s="801">
        <f t="shared" si="133"/>
        <v>0</v>
      </c>
      <c r="T372" s="172">
        <f t="shared" si="134"/>
        <v>6</v>
      </c>
      <c r="U372" s="247">
        <f t="shared" si="135"/>
        <v>0.98952907097674903</v>
      </c>
      <c r="V372" s="378">
        <f t="shared" si="136"/>
        <v>91.050408060197171</v>
      </c>
      <c r="W372" s="397">
        <f t="shared" si="137"/>
        <v>85.907279126493762</v>
      </c>
      <c r="X372" s="153">
        <f t="shared" si="138"/>
        <v>45284</v>
      </c>
      <c r="Y372" s="380">
        <f t="shared" si="139"/>
        <v>85.907279126493762</v>
      </c>
      <c r="Z372" s="380">
        <f t="shared" si="140"/>
        <v>86.924621479900864</v>
      </c>
      <c r="AA372" s="381">
        <f t="shared" si="141"/>
        <v>90.884326242650985</v>
      </c>
      <c r="AB372" s="193">
        <f t="shared" si="142"/>
        <v>45284</v>
      </c>
      <c r="AC372" s="420">
        <f>IF(OR(t&lt;Tnet,NoTnet),'2022'!Resal_s+('2022'!Salim-'2022'!Resal_s)*(1-EXP(('2022'!Tnet_s-t)/'2022'!Tau_j)),Resal_s+(Salim-Resal_s)*(1-EXP((Tnet_s-t)/Tau_j)))*Salcycl</f>
        <v>4.35686209762743E-2</v>
      </c>
      <c r="AD372" s="227">
        <f>(INDEX(Models!$BJ372:$BT372,,AH372)*(1-AF372)+INDEX(Models!$BJ372:$BT372,,AH372+1)*AF372-ERP_i)*AE372*Ramure*Pc/MaxiM</f>
        <v>1.0585892371313232E-3</v>
      </c>
      <c r="AE372" s="301">
        <f t="shared" si="143"/>
        <v>0.5</v>
      </c>
      <c r="AF372" s="173">
        <f t="shared" si="144"/>
        <v>0.98952907097674903</v>
      </c>
      <c r="AG372" s="172">
        <f t="shared" si="145"/>
        <v>0</v>
      </c>
      <c r="AH372" s="172">
        <f t="shared" si="146"/>
        <v>6</v>
      </c>
      <c r="AI372" s="221">
        <f t="shared" si="147"/>
        <v>0.98952907097674903</v>
      </c>
      <c r="AJ372" s="261" t="b">
        <f t="shared" si="148"/>
        <v>0</v>
      </c>
      <c r="AK372" s="261" t="b">
        <f t="shared" si="149"/>
        <v>0</v>
      </c>
      <c r="AL372" s="261"/>
      <c r="AM372" s="261"/>
      <c r="AN372" s="75"/>
    </row>
    <row r="373" spans="1:40" s="6" customFormat="1" ht="11.25" customHeight="1" x14ac:dyDescent="0.2">
      <c r="A373" s="56">
        <f t="shared" si="150"/>
        <v>45285</v>
      </c>
      <c r="B373" s="406">
        <f>'2022'!Wh/'2022'!Env_an*'2023'!Env_an</f>
        <v>48.400409615220084</v>
      </c>
      <c r="C373" s="385"/>
      <c r="D373" s="388">
        <f t="shared" si="128"/>
        <v>48.974253657010038</v>
      </c>
      <c r="E373" s="380">
        <f t="shared" si="151"/>
        <v>51.206814066337671</v>
      </c>
      <c r="F373" s="380">
        <f t="shared" si="129"/>
        <v>51.224664037567138</v>
      </c>
      <c r="G373" s="110">
        <f t="shared" si="152"/>
        <v>0.52981075434348313</v>
      </c>
      <c r="H373" s="409" t="b">
        <f>Wh_hp&gt;='2022'!Maxi_hp</f>
        <v>0</v>
      </c>
      <c r="I373" s="385">
        <f>IF(H373,Wh_hp,'2022'!Maxi_hp)</f>
        <v>51.242914990757299</v>
      </c>
      <c r="J373" s="85">
        <f>IF(H373,An,'2022'!An_max)</f>
        <v>2022</v>
      </c>
      <c r="K373" s="193">
        <f t="shared" si="130"/>
        <v>45285</v>
      </c>
      <c r="L373" s="143">
        <f>IF(t&lt;Tvie,1-EXP((T0-t)*PertePVj)+'2022'!Pspv,1-EXP((T0-t)*PertePVj)+Pspv)</f>
        <v>1.171725955864189E-2</v>
      </c>
      <c r="M373" s="835"/>
      <c r="N373" s="835"/>
      <c r="O373" s="48">
        <f>IF(t&lt;Tnet,'2022'!Resal+('2022'!Salim-'2022'!Resal)*(1-EXP(('2022'!Tnet-t)/('2022'!Tau_j))),Resal+(Salim-Resal)*(1-EXP((Tnet-t)/(Tau_j))))*Salcycl</f>
        <v>4.3598893038637072E-2</v>
      </c>
      <c r="P373" s="165">
        <f>(INDEX(Models!$BJ373:$BT373,,T373)*(1-R373)+INDEX(Models!$BJ373:$BT373,,T373+1)*R373-ERP_i)*Q373*Ramure*Pc/MaxiM</f>
        <v>1.0596777920839498E-3</v>
      </c>
      <c r="Q373" s="301">
        <f t="shared" si="131"/>
        <v>0.5</v>
      </c>
      <c r="R373" s="173">
        <f t="shared" si="132"/>
        <v>0.98952907097674903</v>
      </c>
      <c r="S373" s="801">
        <f t="shared" si="133"/>
        <v>0</v>
      </c>
      <c r="T373" s="172">
        <f t="shared" si="134"/>
        <v>6</v>
      </c>
      <c r="U373" s="247">
        <f t="shared" si="135"/>
        <v>0.98952907097674903</v>
      </c>
      <c r="V373" s="378">
        <f t="shared" si="136"/>
        <v>91.289152210051284</v>
      </c>
      <c r="W373" s="397">
        <f t="shared" si="137"/>
        <v>48.400409615220084</v>
      </c>
      <c r="X373" s="153">
        <f t="shared" si="138"/>
        <v>45285</v>
      </c>
      <c r="Y373" s="380">
        <f t="shared" si="139"/>
        <v>48.400409615220084</v>
      </c>
      <c r="Z373" s="380">
        <f t="shared" si="140"/>
        <v>48.974253657010038</v>
      </c>
      <c r="AA373" s="381">
        <f t="shared" si="141"/>
        <v>51.206814066337671</v>
      </c>
      <c r="AB373" s="193">
        <f t="shared" si="142"/>
        <v>45285</v>
      </c>
      <c r="AC373" s="420">
        <f>IF(OR(t&lt;Tnet,NoTnet),'2022'!Resal_s+('2022'!Salim-'2022'!Resal_s)*(1-EXP(('2022'!Tnet_s-t)/'2022'!Tau_j)),Resal_s+(Salim-Resal_s)*(1-EXP((Tnet_s-t)/Tau_j)))*Salcycl</f>
        <v>4.3598893038637072E-2</v>
      </c>
      <c r="AD373" s="227">
        <f>(INDEX(Models!$BJ373:$BT373,,AH373)*(1-AF373)+INDEX(Models!$BJ373:$BT373,,AH373+1)*AF373-ERP_i)*AE373*Ramure*Pc/MaxiM</f>
        <v>1.0596777920839498E-3</v>
      </c>
      <c r="AE373" s="301">
        <f t="shared" si="143"/>
        <v>0.5</v>
      </c>
      <c r="AF373" s="173">
        <f t="shared" si="144"/>
        <v>0.98952907097674903</v>
      </c>
      <c r="AG373" s="172">
        <f t="shared" si="145"/>
        <v>0</v>
      </c>
      <c r="AH373" s="172">
        <f t="shared" si="146"/>
        <v>6</v>
      </c>
      <c r="AI373" s="221">
        <f t="shared" si="147"/>
        <v>0.98952907097674903</v>
      </c>
      <c r="AJ373" s="261" t="b">
        <f t="shared" si="148"/>
        <v>0</v>
      </c>
      <c r="AK373" s="261" t="b">
        <f t="shared" si="149"/>
        <v>0</v>
      </c>
      <c r="AL373" s="261"/>
      <c r="AM373" s="261"/>
      <c r="AN373" s="75"/>
    </row>
    <row r="374" spans="1:40" s="6" customFormat="1" ht="11.25" customHeight="1" x14ac:dyDescent="0.2">
      <c r="A374" s="56">
        <f t="shared" si="150"/>
        <v>45286</v>
      </c>
      <c r="B374" s="406">
        <f>'2022'!Wh/'2022'!Env_an*'2023'!Env_an</f>
        <v>82.699028802313279</v>
      </c>
      <c r="C374" s="385"/>
      <c r="D374" s="388">
        <f t="shared" si="128"/>
        <v>83.680669016980303</v>
      </c>
      <c r="E374" s="380">
        <f t="shared" si="151"/>
        <v>87.498157508363661</v>
      </c>
      <c r="F374" s="380">
        <f t="shared" si="129"/>
        <v>87.578271067972267</v>
      </c>
      <c r="G374" s="110">
        <f t="shared" si="152"/>
        <v>0.9029273871697403</v>
      </c>
      <c r="H374" s="409" t="b">
        <f>Wh_hp&gt;='2022'!Maxi_hp</f>
        <v>0</v>
      </c>
      <c r="I374" s="385">
        <f>IF(H374,Wh_hp,'2022'!Maxi_hp)</f>
        <v>87.584724087627364</v>
      </c>
      <c r="J374" s="85">
        <f>IF(H374,An,'2022'!An_max)</f>
        <v>2022</v>
      </c>
      <c r="K374" s="193">
        <f t="shared" si="130"/>
        <v>45286</v>
      </c>
      <c r="L374" s="143">
        <f>IF(t&lt;Tvie,1-EXP((T0-t)*PertePVj)+'2022'!Pspv,1-EXP((T0-t)*PertePVj)+Pspv)</f>
        <v>1.1730788319436525E-2</v>
      </c>
      <c r="M374" s="835"/>
      <c r="N374" s="835"/>
      <c r="O374" s="48">
        <f>IF(t&lt;Tnet,'2022'!Resal+('2022'!Salim-'2022'!Resal)*(1-EXP(('2022'!Tnet-t)/('2022'!Tau_j))),Resal+(Salim-Resal)*(1-EXP((Tnet-t)/(Tau_j))))*Salcycl</f>
        <v>4.362935860699068E-2</v>
      </c>
      <c r="P374" s="165">
        <f>(INDEX(Models!$BJ374:$BT374,,T374)*(1-R374)+INDEX(Models!$BJ374:$BT374,,T374+1)*R374-ERP_i)*Q374*Ramure*Pc/MaxiM</f>
        <v>1.0618103700783406E-3</v>
      </c>
      <c r="Q374" s="301">
        <f t="shared" si="131"/>
        <v>0.5</v>
      </c>
      <c r="R374" s="173">
        <f t="shared" si="132"/>
        <v>0.98952907097674903</v>
      </c>
      <c r="S374" s="801">
        <f t="shared" si="133"/>
        <v>0</v>
      </c>
      <c r="T374" s="172">
        <f t="shared" si="134"/>
        <v>6</v>
      </c>
      <c r="U374" s="247">
        <f t="shared" si="135"/>
        <v>0.98952907097674903</v>
      </c>
      <c r="V374" s="378">
        <f t="shared" si="136"/>
        <v>91.576419493984758</v>
      </c>
      <c r="W374" s="397">
        <f t="shared" si="137"/>
        <v>82.699028802313279</v>
      </c>
      <c r="X374" s="153">
        <f t="shared" si="138"/>
        <v>45286</v>
      </c>
      <c r="Y374" s="380">
        <f t="shared" si="139"/>
        <v>82.699028802313279</v>
      </c>
      <c r="Z374" s="380">
        <f t="shared" si="140"/>
        <v>83.680669016980303</v>
      </c>
      <c r="AA374" s="381">
        <f t="shared" si="141"/>
        <v>87.498157508363661</v>
      </c>
      <c r="AB374" s="193">
        <f t="shared" si="142"/>
        <v>45286</v>
      </c>
      <c r="AC374" s="420">
        <f>IF(OR(t&lt;Tnet,NoTnet),'2022'!Resal_s+('2022'!Salim-'2022'!Resal_s)*(1-EXP(('2022'!Tnet_s-t)/'2022'!Tau_j)),Resal_s+(Salim-Resal_s)*(1-EXP((Tnet_s-t)/Tau_j)))*Salcycl</f>
        <v>4.362935860699068E-2</v>
      </c>
      <c r="AD374" s="227">
        <f>(INDEX(Models!$BJ374:$BT374,,AH374)*(1-AF374)+INDEX(Models!$BJ374:$BT374,,AH374+1)*AF374-ERP_i)*AE374*Ramure*Pc/MaxiM</f>
        <v>1.0618103700783406E-3</v>
      </c>
      <c r="AE374" s="301">
        <f t="shared" si="143"/>
        <v>0.5</v>
      </c>
      <c r="AF374" s="173">
        <f t="shared" si="144"/>
        <v>0.98952907097674903</v>
      </c>
      <c r="AG374" s="172">
        <f t="shared" si="145"/>
        <v>0</v>
      </c>
      <c r="AH374" s="172">
        <f t="shared" si="146"/>
        <v>6</v>
      </c>
      <c r="AI374" s="221">
        <f t="shared" si="147"/>
        <v>0.98952907097674903</v>
      </c>
      <c r="AJ374" s="261" t="b">
        <f t="shared" si="148"/>
        <v>0</v>
      </c>
      <c r="AK374" s="261" t="b">
        <f t="shared" si="149"/>
        <v>0</v>
      </c>
      <c r="AL374" s="261"/>
      <c r="AM374" s="261"/>
      <c r="AN374" s="75"/>
    </row>
    <row r="375" spans="1:40" s="6" customFormat="1" ht="11.25" customHeight="1" x14ac:dyDescent="0.2">
      <c r="A375" s="56">
        <f t="shared" si="150"/>
        <v>45287</v>
      </c>
      <c r="B375" s="406">
        <f>'2022'!Wh/'2022'!Env_an*'2023'!Env_an</f>
        <v>25.632675048471054</v>
      </c>
      <c r="C375" s="385"/>
      <c r="D375" s="388">
        <f t="shared" si="128"/>
        <v>25.937290811155915</v>
      </c>
      <c r="E375" s="380">
        <f t="shared" si="151"/>
        <v>27.121411567249837</v>
      </c>
      <c r="F375" s="380">
        <f t="shared" si="129"/>
        <v>27.121411567249837</v>
      </c>
      <c r="G375" s="110">
        <f t="shared" si="152"/>
        <v>0.27859060647213851</v>
      </c>
      <c r="H375" s="409" t="b">
        <f>Wh_hp&gt;='2022'!Maxi_hp</f>
        <v>0</v>
      </c>
      <c r="I375" s="385">
        <f>IF(H375,Wh_hp,'2022'!Maxi_hp)</f>
        <v>41.855930622746683</v>
      </c>
      <c r="J375" s="85">
        <f>IF(H375,An,'2022'!An_max)</f>
        <v>2021</v>
      </c>
      <c r="K375" s="193">
        <f t="shared" si="130"/>
        <v>45287</v>
      </c>
      <c r="L375" s="143">
        <f>IF(t&lt;Tvie,1-EXP((T0-t)*PertePVj)+'2022'!Pspv,1-EXP((T0-t)*PertePVj)+Pspv)</f>
        <v>1.1744316895033746E-2</v>
      </c>
      <c r="M375" s="835"/>
      <c r="N375" s="835"/>
      <c r="O375" s="48">
        <f>IF(t&lt;Tnet,'2022'!Resal+('2022'!Salim-'2022'!Resal)*(1-EXP(('2022'!Tnet-t)/('2022'!Tau_j))),Resal+(Salim-Resal)*(1-EXP((Tnet-t)/(Tau_j))))*Salcycl</f>
        <v>4.3659997310899271E-2</v>
      </c>
      <c r="P375" s="165">
        <f>(INDEX(Models!$BJ375:$BT375,,T375)*(1-R375)+INDEX(Models!$BJ375:$BT375,,T375+1)*R375-ERP_i)*Q375*Ramure*Pc/MaxiM</f>
        <v>1.0666343211803138E-3</v>
      </c>
      <c r="Q375" s="301">
        <f t="shared" si="131"/>
        <v>0.5</v>
      </c>
      <c r="R375" s="173">
        <f t="shared" si="132"/>
        <v>0.98952907097674903</v>
      </c>
      <c r="S375" s="801">
        <f t="shared" si="133"/>
        <v>0</v>
      </c>
      <c r="T375" s="172">
        <f t="shared" si="134"/>
        <v>6</v>
      </c>
      <c r="U375" s="247">
        <f t="shared" si="135"/>
        <v>0.98952907097674903</v>
      </c>
      <c r="V375" s="378">
        <f t="shared" si="136"/>
        <v>91.910257426721415</v>
      </c>
      <c r="W375" s="397">
        <f t="shared" si="137"/>
        <v>25.632675048471054</v>
      </c>
      <c r="X375" s="153">
        <f t="shared" si="138"/>
        <v>45287</v>
      </c>
      <c r="Y375" s="380">
        <f t="shared" si="139"/>
        <v>25.632675048471054</v>
      </c>
      <c r="Z375" s="380">
        <f t="shared" si="140"/>
        <v>25.937290811155915</v>
      </c>
      <c r="AA375" s="381">
        <f t="shared" si="141"/>
        <v>27.121411567249837</v>
      </c>
      <c r="AB375" s="193">
        <f t="shared" si="142"/>
        <v>45287</v>
      </c>
      <c r="AC375" s="420">
        <f>IF(OR(t&lt;Tnet,NoTnet),'2022'!Resal_s+('2022'!Salim-'2022'!Resal_s)*(1-EXP(('2022'!Tnet_s-t)/'2022'!Tau_j)),Resal_s+(Salim-Resal_s)*(1-EXP((Tnet_s-t)/Tau_j)))*Salcycl</f>
        <v>4.3659997310899271E-2</v>
      </c>
      <c r="AD375" s="227">
        <f>(INDEX(Models!$BJ375:$BT375,,AH375)*(1-AF375)+INDEX(Models!$BJ375:$BT375,,AH375+1)*AF375-ERP_i)*AE375*Ramure*Pc/MaxiM</f>
        <v>1.0666343211803138E-3</v>
      </c>
      <c r="AE375" s="301">
        <f t="shared" si="143"/>
        <v>0.5</v>
      </c>
      <c r="AF375" s="173">
        <f t="shared" si="144"/>
        <v>0.98952907097674903</v>
      </c>
      <c r="AG375" s="172">
        <f t="shared" si="145"/>
        <v>0</v>
      </c>
      <c r="AH375" s="172">
        <f t="shared" si="146"/>
        <v>6</v>
      </c>
      <c r="AI375" s="221">
        <f t="shared" si="147"/>
        <v>0.98952907097674903</v>
      </c>
      <c r="AJ375" s="261" t="b">
        <f t="shared" si="148"/>
        <v>0</v>
      </c>
      <c r="AK375" s="261" t="b">
        <f t="shared" si="149"/>
        <v>0</v>
      </c>
      <c r="AL375" s="261"/>
      <c r="AM375" s="261"/>
      <c r="AN375" s="75"/>
    </row>
    <row r="376" spans="1:40" s="6" customFormat="1" ht="11.25" customHeight="1" x14ac:dyDescent="0.2">
      <c r="A376" s="56">
        <f t="shared" si="150"/>
        <v>45288</v>
      </c>
      <c r="B376" s="406">
        <f>'2022'!Wh/'2022'!Env_an*'2023'!Env_an</f>
        <v>67.269947921181654</v>
      </c>
      <c r="C376" s="385"/>
      <c r="D376" s="388">
        <f t="shared" si="128"/>
        <v>68.070308072024488</v>
      </c>
      <c r="E376" s="380">
        <f t="shared" si="151"/>
        <v>71.180228483778009</v>
      </c>
      <c r="F376" s="380">
        <f t="shared" si="129"/>
        <v>71.227072877415623</v>
      </c>
      <c r="G376" s="110">
        <f t="shared" si="152"/>
        <v>0.72860268398638961</v>
      </c>
      <c r="H376" s="409" t="b">
        <f>Wh_hp&gt;='2022'!Maxi_hp</f>
        <v>0</v>
      </c>
      <c r="I376" s="385">
        <f>IF(H376,Wh_hp,'2022'!Maxi_hp)</f>
        <v>71.241906609353137</v>
      </c>
      <c r="J376" s="85">
        <f>IF(H376,An,'2022'!An_max)</f>
        <v>2022</v>
      </c>
      <c r="K376" s="193">
        <f t="shared" si="130"/>
        <v>45288</v>
      </c>
      <c r="L376" s="143">
        <f>IF(t&lt;Tvie,1-EXP((T0-t)*PertePVj)+'2022'!Pspv,1-EXP((T0-t)*PertePVj)+Pspv)</f>
        <v>1.1757845285436108E-2</v>
      </c>
      <c r="M376" s="835"/>
      <c r="N376" s="835"/>
      <c r="O376" s="48">
        <f>IF(t&lt;Tnet,'2022'!Resal+('2022'!Salim-'2022'!Resal)*(1-EXP(('2022'!Tnet-t)/('2022'!Tau_j))),Resal+(Salim-Resal)*(1-EXP((Tnet-t)/(Tau_j))))*Salcycl</f>
        <v>4.369078995668399E-2</v>
      </c>
      <c r="P376" s="165">
        <f>(INDEX(Models!$BJ376:$BT376,,T376)*(1-R376)+INDEX(Models!$BJ376:$BT376,,T376+1)*R376-ERP_i)*Q376*Ramure*Pc/MaxiM</f>
        <v>1.0733677968486086E-3</v>
      </c>
      <c r="Q376" s="301">
        <f t="shared" si="131"/>
        <v>0.5</v>
      </c>
      <c r="R376" s="173">
        <f t="shared" si="132"/>
        <v>0.98952907097674903</v>
      </c>
      <c r="S376" s="801">
        <f t="shared" si="133"/>
        <v>0</v>
      </c>
      <c r="T376" s="172">
        <f t="shared" si="134"/>
        <v>6</v>
      </c>
      <c r="U376" s="247">
        <f t="shared" si="135"/>
        <v>0.98952907097674903</v>
      </c>
      <c r="V376" s="378">
        <f t="shared" si="136"/>
        <v>92.288935361554792</v>
      </c>
      <c r="W376" s="397">
        <f t="shared" si="137"/>
        <v>67.269947921181654</v>
      </c>
      <c r="X376" s="153">
        <f t="shared" si="138"/>
        <v>45288</v>
      </c>
      <c r="Y376" s="380">
        <f t="shared" si="139"/>
        <v>67.269947921181654</v>
      </c>
      <c r="Z376" s="380">
        <f t="shared" si="140"/>
        <v>68.070308072024488</v>
      </c>
      <c r="AA376" s="381">
        <f t="shared" si="141"/>
        <v>71.180228483778009</v>
      </c>
      <c r="AB376" s="193">
        <f t="shared" si="142"/>
        <v>45288</v>
      </c>
      <c r="AC376" s="420">
        <f>IF(OR(t&lt;Tnet,NoTnet),'2022'!Resal_s+('2022'!Salim-'2022'!Resal_s)*(1-EXP(('2022'!Tnet_s-t)/'2022'!Tau_j)),Resal_s+(Salim-Resal_s)*(1-EXP((Tnet_s-t)/Tau_j)))*Salcycl</f>
        <v>4.369078995668399E-2</v>
      </c>
      <c r="AD376" s="227">
        <f>(INDEX(Models!$BJ376:$BT376,,AH376)*(1-AF376)+INDEX(Models!$BJ376:$BT376,,AH376+1)*AF376-ERP_i)*AE376*Ramure*Pc/MaxiM</f>
        <v>1.0733677968486086E-3</v>
      </c>
      <c r="AE376" s="301">
        <f t="shared" si="143"/>
        <v>0.5</v>
      </c>
      <c r="AF376" s="173">
        <f t="shared" si="144"/>
        <v>0.98952907097674903</v>
      </c>
      <c r="AG376" s="172">
        <f t="shared" si="145"/>
        <v>0</v>
      </c>
      <c r="AH376" s="172">
        <f t="shared" si="146"/>
        <v>6</v>
      </c>
      <c r="AI376" s="221">
        <f t="shared" si="147"/>
        <v>0.98952907097674903</v>
      </c>
      <c r="AJ376" s="261" t="b">
        <f t="shared" si="148"/>
        <v>0</v>
      </c>
      <c r="AK376" s="261" t="b">
        <f t="shared" si="149"/>
        <v>0</v>
      </c>
      <c r="AL376" s="261"/>
      <c r="AM376" s="261"/>
      <c r="AN376" s="75"/>
    </row>
    <row r="377" spans="1:40" s="6" customFormat="1" ht="11.25" x14ac:dyDescent="0.2">
      <c r="A377" s="56">
        <f t="shared" si="150"/>
        <v>45289</v>
      </c>
      <c r="B377" s="406">
        <f>'2022'!Wh/'2022'!Env_an*'2023'!Env_an</f>
        <v>41.602128089377587</v>
      </c>
      <c r="C377" s="385"/>
      <c r="D377" s="388">
        <f t="shared" si="128"/>
        <v>42.097675551380938</v>
      </c>
      <c r="E377" s="380">
        <f t="shared" si="151"/>
        <v>44.02241101737512</v>
      </c>
      <c r="F377" s="380">
        <f t="shared" si="129"/>
        <v>44.03253379581043</v>
      </c>
      <c r="G377" s="110">
        <f t="shared" si="152"/>
        <v>0.44834837881249079</v>
      </c>
      <c r="H377" s="409" t="b">
        <f>Wh_hp&gt;='2022'!Maxi_hp</f>
        <v>0</v>
      </c>
      <c r="I377" s="385">
        <f>IF(H377,Wh_hp,'2022'!Maxi_hp)</f>
        <v>44.051326696562526</v>
      </c>
      <c r="J377" s="85">
        <f>IF(H377,An,'2022'!An_max)</f>
        <v>2022</v>
      </c>
      <c r="K377" s="193">
        <f t="shared" si="130"/>
        <v>45289</v>
      </c>
      <c r="L377" s="143">
        <f>IF(t&lt;Tvie,1-EXP((T0-t)*PertePVj)+'2022'!Pspv,1-EXP((T0-t)*PertePVj)+Pspv)</f>
        <v>1.1771373490646275E-2</v>
      </c>
      <c r="M377" s="835"/>
      <c r="N377" s="835"/>
      <c r="O377" s="48">
        <f>IF(t&lt;Tnet,'2022'!Resal+('2022'!Salim-'2022'!Resal)*(1-EXP(('2022'!Tnet-t)/('2022'!Tau_j))),Resal+(Salim-Resal)*(1-EXP((Tnet-t)/(Tau_j))))*Salcycl</f>
        <v>4.3721718586347082E-2</v>
      </c>
      <c r="P377" s="165">
        <f>(INDEX(Models!$BJ377:$BT377,,T377)*(1-R377)+INDEX(Models!$BJ377:$BT377,,T377+1)*R377-ERP_i)*Q377*Ramure*Pc/MaxiM</f>
        <v>1.0819896250268163E-3</v>
      </c>
      <c r="Q377" s="301">
        <f t="shared" si="131"/>
        <v>0.5</v>
      </c>
      <c r="R377" s="173">
        <f t="shared" si="132"/>
        <v>0.98952907097674903</v>
      </c>
      <c r="S377" s="801">
        <f t="shared" si="133"/>
        <v>0</v>
      </c>
      <c r="T377" s="172">
        <f t="shared" si="134"/>
        <v>6</v>
      </c>
      <c r="U377" s="247">
        <f t="shared" si="135"/>
        <v>0.98952907097674903</v>
      </c>
      <c r="V377" s="378">
        <f t="shared" si="136"/>
        <v>92.710652867575604</v>
      </c>
      <c r="W377" s="397">
        <f t="shared" si="137"/>
        <v>41.602128089377587</v>
      </c>
      <c r="X377" s="153">
        <f t="shared" si="138"/>
        <v>45289</v>
      </c>
      <c r="Y377" s="380">
        <f t="shared" si="139"/>
        <v>41.602128089377587</v>
      </c>
      <c r="Z377" s="380">
        <f t="shared" si="140"/>
        <v>42.097675551380938</v>
      </c>
      <c r="AA377" s="381">
        <f t="shared" si="141"/>
        <v>44.02241101737512</v>
      </c>
      <c r="AB377" s="193">
        <f t="shared" si="142"/>
        <v>45289</v>
      </c>
      <c r="AC377" s="420">
        <f>IF(OR(t&lt;Tnet,NoTnet),'2022'!Resal_s+('2022'!Salim-'2022'!Resal_s)*(1-EXP(('2022'!Tnet_s-t)/'2022'!Tau_j)),Resal_s+(Salim-Resal_s)*(1-EXP((Tnet_s-t)/Tau_j)))*Salcycl</f>
        <v>4.3721718586347082E-2</v>
      </c>
      <c r="AD377" s="227">
        <f>(INDEX(Models!$BJ377:$BT377,,AH377)*(1-AF377)+INDEX(Models!$BJ377:$BT377,,AH377+1)*AF377-ERP_i)*AE377*Ramure*Pc/MaxiM</f>
        <v>1.0819896250268163E-3</v>
      </c>
      <c r="AE377" s="301">
        <f t="shared" si="143"/>
        <v>0.5</v>
      </c>
      <c r="AF377" s="173">
        <f t="shared" si="144"/>
        <v>0.98952907097674903</v>
      </c>
      <c r="AG377" s="172">
        <f t="shared" si="145"/>
        <v>0</v>
      </c>
      <c r="AH377" s="172">
        <f t="shared" si="146"/>
        <v>6</v>
      </c>
      <c r="AI377" s="221">
        <f t="shared" si="147"/>
        <v>0.98952907097674903</v>
      </c>
      <c r="AJ377" s="261" t="b">
        <f t="shared" si="148"/>
        <v>0</v>
      </c>
      <c r="AK377" s="261" t="b">
        <f t="shared" si="149"/>
        <v>0</v>
      </c>
      <c r="AL377" s="261"/>
      <c r="AM377" s="261"/>
      <c r="AN377" s="75"/>
    </row>
    <row r="378" spans="1:40" s="6" customFormat="1" ht="11.25" customHeight="1" x14ac:dyDescent="0.2">
      <c r="A378" s="56">
        <f t="shared" si="150"/>
        <v>45290</v>
      </c>
      <c r="B378" s="406">
        <f>'2022'!Wh/'2022'!Env_an*'2023'!Env_an</f>
        <v>59.577121928307598</v>
      </c>
      <c r="C378" s="385"/>
      <c r="D378" s="388">
        <f t="shared" si="128"/>
        <v>60.287605420502146</v>
      </c>
      <c r="E378" s="380">
        <f t="shared" si="151"/>
        <v>63.046044275945007</v>
      </c>
      <c r="F378" s="380">
        <f t="shared" si="129"/>
        <v>63.079459141013388</v>
      </c>
      <c r="G378" s="110">
        <f t="shared" si="152"/>
        <v>0.63906053920752137</v>
      </c>
      <c r="H378" s="409" t="b">
        <f>Wh_hp&gt;='2022'!Maxi_hp</f>
        <v>0</v>
      </c>
      <c r="I378" s="385">
        <f>IF(H378,Wh_hp,'2022'!Maxi_hp)</f>
        <v>76.342020804358668</v>
      </c>
      <c r="J378" s="85">
        <f>IF(H378,An,'2022'!An_max)</f>
        <v>2021</v>
      </c>
      <c r="K378" s="193">
        <f t="shared" si="130"/>
        <v>45290</v>
      </c>
      <c r="L378" s="143">
        <f>IF(t&lt;Tvie,1-EXP((T0-t)*PertePVj)+'2022'!Pspv,1-EXP((T0-t)*PertePVj)+Pspv)</f>
        <v>1.1784901510666579E-2</v>
      </c>
      <c r="M378" s="835"/>
      <c r="N378" s="835"/>
      <c r="O378" s="48">
        <f>IF(t&lt;Tnet,'2022'!Resal+('2022'!Salim-'2022'!Resal)*(1-EXP(('2022'!Tnet-t)/('2022'!Tau_j))),Resal+(Salim-Resal)*(1-EXP((Tnet-t)/(Tau_j))))*Salcycl</f>
        <v>4.3752766523614192E-2</v>
      </c>
      <c r="P378" s="165">
        <f>(INDEX(Models!$BJ378:$BT378,,T378)*(1-R378)+INDEX(Models!$BJ378:$BT378,,T378+1)*R378-ERP_i)*Q378*Ramure*Pc/MaxiM</f>
        <v>1.0924753366576879E-3</v>
      </c>
      <c r="Q378" s="301">
        <f t="shared" si="131"/>
        <v>0.5</v>
      </c>
      <c r="R378" s="173">
        <f t="shared" si="132"/>
        <v>0.98952907097674903</v>
      </c>
      <c r="S378" s="801">
        <f t="shared" si="133"/>
        <v>0</v>
      </c>
      <c r="T378" s="172">
        <f t="shared" si="134"/>
        <v>6</v>
      </c>
      <c r="U378" s="247">
        <f t="shared" si="135"/>
        <v>0.98952907097674903</v>
      </c>
      <c r="V378" s="378">
        <f t="shared" si="136"/>
        <v>93.173609624363621</v>
      </c>
      <c r="W378" s="397">
        <f t="shared" si="137"/>
        <v>59.577121928307598</v>
      </c>
      <c r="X378" s="153">
        <f t="shared" si="138"/>
        <v>45290</v>
      </c>
      <c r="Y378" s="380">
        <f t="shared" si="139"/>
        <v>59.577121928307598</v>
      </c>
      <c r="Z378" s="380">
        <f t="shared" si="140"/>
        <v>60.287605420502146</v>
      </c>
      <c r="AA378" s="381">
        <f t="shared" si="141"/>
        <v>63.046044275945007</v>
      </c>
      <c r="AB378" s="193">
        <f t="shared" si="142"/>
        <v>45290</v>
      </c>
      <c r="AC378" s="420">
        <f>IF(OR(t&lt;Tnet,NoTnet),'2022'!Resal_s+('2022'!Salim-'2022'!Resal_s)*(1-EXP(('2022'!Tnet_s-t)/'2022'!Tau_j)),Resal_s+(Salim-Resal_s)*(1-EXP((Tnet_s-t)/Tau_j)))*Salcycl</f>
        <v>4.3752766523614192E-2</v>
      </c>
      <c r="AD378" s="227">
        <f>(INDEX(Models!$BJ378:$BT378,,AH378)*(1-AF378)+INDEX(Models!$BJ378:$BT378,,AH378+1)*AF378-ERP_i)*AE378*Ramure*Pc/MaxiM</f>
        <v>1.0924753366576879E-3</v>
      </c>
      <c r="AE378" s="301">
        <f t="shared" si="143"/>
        <v>0.5</v>
      </c>
      <c r="AF378" s="173">
        <f t="shared" si="144"/>
        <v>0.98952907097674903</v>
      </c>
      <c r="AG378" s="172">
        <f t="shared" si="145"/>
        <v>0</v>
      </c>
      <c r="AH378" s="172">
        <f t="shared" si="146"/>
        <v>6</v>
      </c>
      <c r="AI378" s="221">
        <f t="shared" si="147"/>
        <v>0.98952907097674903</v>
      </c>
      <c r="AJ378" s="261" t="b">
        <f t="shared" si="148"/>
        <v>0</v>
      </c>
      <c r="AK378" s="261" t="b">
        <f t="shared" si="149"/>
        <v>0</v>
      </c>
      <c r="AL378" s="261"/>
      <c r="AM378" s="261"/>
      <c r="AN378" s="75"/>
    </row>
    <row r="379" spans="1:40" s="18" customFormat="1" ht="12.75" x14ac:dyDescent="0.2">
      <c r="A379" s="56">
        <f t="shared" si="150"/>
        <v>45291</v>
      </c>
      <c r="B379" s="406">
        <f>'2022'!Wh/'2022'!Env_an*'2023'!Env_an</f>
        <v>47.68811846076369</v>
      </c>
      <c r="C379" s="385"/>
      <c r="D379" s="388">
        <f t="shared" si="128"/>
        <v>48.257480940026383</v>
      </c>
      <c r="E379" s="380">
        <f t="shared" si="151"/>
        <v>50.467129625802613</v>
      </c>
      <c r="F379" s="380">
        <f t="shared" si="129"/>
        <v>50.483788239083943</v>
      </c>
      <c r="G379" s="110">
        <f t="shared" si="152"/>
        <v>0.50868049304836149</v>
      </c>
      <c r="H379" s="409" t="b">
        <f>Wh_hp&gt;='2022'!Maxi_hp</f>
        <v>0</v>
      </c>
      <c r="I379" s="385">
        <f>IF(H379,Wh_hp,'2022'!Maxi_hp)</f>
        <v>98.426511979974805</v>
      </c>
      <c r="J379" s="85">
        <f>IF(H379,An,'2022'!An_max)</f>
        <v>2021</v>
      </c>
      <c r="K379" s="193">
        <f t="shared" si="130"/>
        <v>45291</v>
      </c>
      <c r="L379" s="143">
        <f>IF(t&lt;Tvie,1-EXP((T0-t)*PertePVj)+'2022'!Pspv,1-EXP((T0-t)*PertePVj)+Pspv)</f>
        <v>1.1798429345499573E-2</v>
      </c>
      <c r="M379" s="835"/>
      <c r="N379" s="835"/>
      <c r="O379" s="48">
        <f>IF(t&lt;Tnet,'2022'!Resal+('2022'!Salim-'2022'!Resal)*(1-EXP(('2022'!Tnet-t)/('2022'!Tau_j))),Resal+(Salim-Resal)*(1-EXP((Tnet-t)/(Tau_j))))*Salcycl</f>
        <v>4.378391840709106E-2</v>
      </c>
      <c r="P379" s="165">
        <f>(INDEX(Models!$BJ379:$BT379,,T379)*(1-R379)+INDEX(Models!$BJ379:$BT379,,T379+1)*R379-ERP_i)*Q379*Ramure*Pc/MaxiM</f>
        <v>1.1047975743684361E-3</v>
      </c>
      <c r="Q379" s="302">
        <f t="shared" si="131"/>
        <v>0.5</v>
      </c>
      <c r="R379" s="173">
        <f t="shared" si="132"/>
        <v>0.98952907097674903</v>
      </c>
      <c r="S379" s="801">
        <f t="shared" si="133"/>
        <v>0</v>
      </c>
      <c r="T379" s="172">
        <f t="shared" si="134"/>
        <v>6</v>
      </c>
      <c r="U379" s="303">
        <f t="shared" si="135"/>
        <v>0.98952907097674903</v>
      </c>
      <c r="V379" s="378">
        <f t="shared" si="136"/>
        <v>93.676005463932896</v>
      </c>
      <c r="W379" s="397">
        <f t="shared" si="137"/>
        <v>47.68811846076369</v>
      </c>
      <c r="X379" s="153">
        <f t="shared" si="138"/>
        <v>45291</v>
      </c>
      <c r="Y379" s="380">
        <f t="shared" si="139"/>
        <v>47.68811846076369</v>
      </c>
      <c r="Z379" s="380">
        <f t="shared" si="140"/>
        <v>48.257480940026383</v>
      </c>
      <c r="AA379" s="381">
        <f t="shared" si="141"/>
        <v>50.467129625802613</v>
      </c>
      <c r="AB379" s="193">
        <f t="shared" si="142"/>
        <v>45291</v>
      </c>
      <c r="AC379" s="420">
        <f>IF(OR(t&lt;Tnet,NoTnet),'2022'!Resal_s+('2022'!Salim-'2022'!Resal_s)*(1-EXP(('2022'!Tnet_s-t)/'2022'!Tau_j)),Resal_s+(Salim-Resal_s)*(1-EXP((Tnet_s-t)/Tau_j)))*Salcycl</f>
        <v>4.378391840709106E-2</v>
      </c>
      <c r="AD379" s="227">
        <f>(INDEX(Models!$BJ379:$BT379,,AH379)*(1-AF379)+INDEX(Models!$BJ379:$BT379,,AH379+1)*AF379-ERP_i)*AE379*Ramure*Pc/MaxiM</f>
        <v>1.1047975743684361E-3</v>
      </c>
      <c r="AE379" s="302">
        <f t="shared" si="143"/>
        <v>0.5</v>
      </c>
      <c r="AF379" s="173">
        <f t="shared" si="144"/>
        <v>0.98952907097674903</v>
      </c>
      <c r="AG379" s="172">
        <f t="shared" si="145"/>
        <v>0</v>
      </c>
      <c r="AH379" s="172">
        <f t="shared" si="146"/>
        <v>6</v>
      </c>
      <c r="AI379" s="218">
        <f t="shared" si="147"/>
        <v>0.98952907097674903</v>
      </c>
      <c r="AJ379" s="261" t="b">
        <f t="shared" si="148"/>
        <v>0</v>
      </c>
      <c r="AK379" s="261" t="b">
        <f t="shared" si="149"/>
        <v>0</v>
      </c>
      <c r="AL379" s="261"/>
      <c r="AM379" s="261"/>
      <c r="AN379" s="261"/>
    </row>
    <row r="380" spans="1:40" s="18" customFormat="1" ht="12" thickBot="1" x14ac:dyDescent="0.25">
      <c r="A380" s="103"/>
      <c r="B380" s="609"/>
      <c r="C380" s="843"/>
      <c r="D380" s="389"/>
      <c r="E380" s="390"/>
      <c r="F380" s="390"/>
      <c r="G380" s="97"/>
      <c r="H380" s="409" t="b">
        <f>Wh_hp&gt;='2022'!Maxi_hp</f>
        <v>1</v>
      </c>
      <c r="I380" s="385">
        <f>IF(H380,Wh_hp,'2022'!Maxi_hp)</f>
        <v>0</v>
      </c>
      <c r="J380" s="85">
        <f>IF(H380,An,'2022'!An_max)</f>
        <v>2023</v>
      </c>
      <c r="K380" s="195"/>
      <c r="L380" s="210"/>
      <c r="M380" s="840"/>
      <c r="N380" s="840"/>
      <c r="O380" s="211"/>
      <c r="P380" s="318"/>
      <c r="Q380" s="225"/>
      <c r="R380" s="225"/>
      <c r="S380" s="225"/>
      <c r="T380" s="225"/>
      <c r="U380" s="319"/>
      <c r="V380" s="378">
        <f>(V379+V15)/2</f>
        <v>94.918607767166307</v>
      </c>
      <c r="W380" s="58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8"/>
        <v>1</v>
      </c>
      <c r="AK380" s="261" t="b">
        <f t="shared" si="149"/>
        <v>1</v>
      </c>
      <c r="AL380" s="261"/>
      <c r="AM380" s="261"/>
      <c r="AN380" s="261"/>
    </row>
    <row r="381" spans="1:40" s="104" customFormat="1" ht="11.25" customHeight="1" x14ac:dyDescent="0.2">
      <c r="A381" s="111" t="s">
        <v>7</v>
      </c>
      <c r="B381" s="370">
        <f>MIN(B15:B380)</f>
        <v>7.3725095889848751</v>
      </c>
      <c r="C381" s="370"/>
      <c r="D381" s="368">
        <f>MIN(D15:D380)</f>
        <v>7.4243642666042211</v>
      </c>
      <c r="E381" s="368">
        <f>MIN(E15:E380)</f>
        <v>7.6530918515577566</v>
      </c>
      <c r="F381" s="369">
        <f>MIN(F15:F380)</f>
        <v>7.6530918515577566</v>
      </c>
      <c r="G381" s="125">
        <f>+MIN(G15:G380)</f>
        <v>7.1819393246890351E-2</v>
      </c>
      <c r="H381" s="332"/>
      <c r="I381" s="369">
        <f>MIN(I15:I380)</f>
        <v>0</v>
      </c>
      <c r="J381" s="57">
        <f>MIN(J15:J380)</f>
        <v>2021</v>
      </c>
      <c r="K381" s="196" t="s">
        <v>7</v>
      </c>
      <c r="L381" s="142">
        <f t="shared" ref="L381:T381" si="153">MIN(L15:L380)</f>
        <v>6.8620426518142263E-3</v>
      </c>
      <c r="M381" s="837"/>
      <c r="N381" s="837"/>
      <c r="O381" s="47">
        <f t="shared" si="153"/>
        <v>2.9481875668833833E-2</v>
      </c>
      <c r="P381" s="164">
        <f t="shared" si="153"/>
        <v>2.4738590154827326E-5</v>
      </c>
      <c r="Q381" s="306">
        <f t="shared" si="153"/>
        <v>0.5</v>
      </c>
      <c r="R381" s="307">
        <f t="shared" si="153"/>
        <v>0.48953034401292006</v>
      </c>
      <c r="S381" s="801">
        <f t="shared" si="153"/>
        <v>0</v>
      </c>
      <c r="T381" s="172">
        <f t="shared" si="153"/>
        <v>6</v>
      </c>
      <c r="U381" s="248">
        <f>+MIN(U15:U380)</f>
        <v>0.48953034401292006</v>
      </c>
      <c r="V381" s="368">
        <f>MIN(V15:V380)</f>
        <v>90.504899670446505</v>
      </c>
      <c r="W381" s="58"/>
      <c r="X381" s="112" t="s">
        <v>7</v>
      </c>
      <c r="Y381" s="368">
        <f>MIN(Y15:Y380)</f>
        <v>7.3725095889848751</v>
      </c>
      <c r="Z381" s="368">
        <f>MIN(Z15:Z380)</f>
        <v>7.4243642666042211</v>
      </c>
      <c r="AA381" s="368">
        <f>MIN(AA15:AA380)</f>
        <v>7.6530918515577566</v>
      </c>
      <c r="AB381" s="196" t="s">
        <v>7</v>
      </c>
      <c r="AC381" s="47">
        <f t="shared" ref="AC381:AH381" si="154">MIN(AC15:AC380)</f>
        <v>2.9481875668833833E-2</v>
      </c>
      <c r="AD381" s="164">
        <f t="shared" si="154"/>
        <v>2.4738590154827326E-5</v>
      </c>
      <c r="AE381" s="306">
        <f t="shared" si="154"/>
        <v>0.5</v>
      </c>
      <c r="AF381" s="307">
        <f t="shared" si="154"/>
        <v>0.48953034401292006</v>
      </c>
      <c r="AG381" s="801">
        <f t="shared" si="154"/>
        <v>0</v>
      </c>
      <c r="AH381" s="172">
        <f t="shared" si="154"/>
        <v>6</v>
      </c>
      <c r="AI381" s="222">
        <f>MIN(AI15:AI380)</f>
        <v>0.48953034401292006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125.35455218397276</v>
      </c>
      <c r="C382" s="370"/>
      <c r="D382" s="370">
        <f>AVERAGE(D15:D380)</f>
        <v>126.52622781897978</v>
      </c>
      <c r="E382" s="370">
        <f>AVERAGE(E15:E380)</f>
        <v>131.5156312399879</v>
      </c>
      <c r="F382" s="371">
        <f>AVERAGE(F15:F380)</f>
        <v>131.53104349873234</v>
      </c>
      <c r="G382" s="126">
        <f>AVERAGE(G15:G380)</f>
        <v>0.68239979282841878</v>
      </c>
      <c r="H382" s="332"/>
      <c r="I382" s="371">
        <f>AVERAGE(I15:I380)</f>
        <v>132.38478515800543</v>
      </c>
      <c r="J382" s="59">
        <f>AVERAGE(J15:J380)</f>
        <v>2022.032786885246</v>
      </c>
      <c r="K382" s="196" t="s">
        <v>8</v>
      </c>
      <c r="L382" s="143">
        <f t="shared" ref="L382:V382" si="155">AVERAGE(L15:L380)</f>
        <v>9.3322801552029825E-3</v>
      </c>
      <c r="M382" s="835"/>
      <c r="N382" s="835"/>
      <c r="O382" s="48">
        <f t="shared" si="155"/>
        <v>3.7852729073266395E-2</v>
      </c>
      <c r="P382" s="165">
        <f t="shared" si="155"/>
        <v>3.0926500043188849E-4</v>
      </c>
      <c r="Q382" s="308">
        <f t="shared" si="155"/>
        <v>0.5</v>
      </c>
      <c r="R382" s="173">
        <f t="shared" si="155"/>
        <v>0.76941394101206384</v>
      </c>
      <c r="S382" s="801">
        <f t="shared" si="155"/>
        <v>0</v>
      </c>
      <c r="T382" s="172">
        <f t="shared" si="155"/>
        <v>6</v>
      </c>
      <c r="U382" s="247">
        <f t="shared" si="155"/>
        <v>0.76941394101206384</v>
      </c>
      <c r="V382" s="370">
        <f t="shared" si="155"/>
        <v>177.74271822136677</v>
      </c>
      <c r="X382" s="112" t="s">
        <v>8</v>
      </c>
      <c r="Y382" s="370">
        <f>AVERAGE(Y15:Y380)</f>
        <v>125.35455218397276</v>
      </c>
      <c r="Z382" s="370">
        <f>AVERAGE(Z15:Z380)</f>
        <v>126.52622781897978</v>
      </c>
      <c r="AA382" s="370">
        <f>AVERAGE(AA15:AA380)</f>
        <v>131.5156312399879</v>
      </c>
      <c r="AB382" s="196" t="s">
        <v>8</v>
      </c>
      <c r="AC382" s="48">
        <f t="shared" ref="AC382:AH382" si="156">AVERAGE(AC15:AC380)</f>
        <v>3.7852729073266395E-2</v>
      </c>
      <c r="AD382" s="165">
        <f t="shared" si="156"/>
        <v>3.0926500043188849E-4</v>
      </c>
      <c r="AE382" s="308">
        <f t="shared" si="156"/>
        <v>0.5</v>
      </c>
      <c r="AF382" s="173">
        <f t="shared" si="156"/>
        <v>0.76941394101206384</v>
      </c>
      <c r="AG382" s="801">
        <f t="shared" si="156"/>
        <v>0</v>
      </c>
      <c r="AH382" s="172">
        <f t="shared" si="156"/>
        <v>6</v>
      </c>
      <c r="AI382" s="221">
        <f>AVERAGE(AI15:AI380)</f>
        <v>0.76941394101206384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248.17520254070087</v>
      </c>
      <c r="C383" s="372"/>
      <c r="D383" s="372">
        <f>MAX(D15:D380)</f>
        <v>250.49960421061348</v>
      </c>
      <c r="E383" s="372">
        <f>MAX(E15:E380)</f>
        <v>260.60206033764416</v>
      </c>
      <c r="F383" s="373">
        <f>MAX(F15:F380)</f>
        <v>260.61207165828807</v>
      </c>
      <c r="G383" s="127">
        <f>+MAX(G15:G380)</f>
        <v>1.0401867145003136</v>
      </c>
      <c r="H383" s="332"/>
      <c r="I383" s="373">
        <f>MAX(I15:I380)</f>
        <v>260.61207165828807</v>
      </c>
      <c r="J383" s="60">
        <f>MAX(J15:J380)</f>
        <v>2023</v>
      </c>
      <c r="K383" s="196" t="s">
        <v>9</v>
      </c>
      <c r="L383" s="144">
        <f t="shared" ref="L383:T383" si="157">MAX(L15:L380)</f>
        <v>1.1798429345499573E-2</v>
      </c>
      <c r="M383" s="838"/>
      <c r="N383" s="838"/>
      <c r="O383" s="49">
        <f t="shared" si="157"/>
        <v>4.378391840709106E-2</v>
      </c>
      <c r="P383" s="166">
        <f t="shared" si="157"/>
        <v>1.4171986832979932E-3</v>
      </c>
      <c r="Q383" s="309">
        <f t="shared" si="157"/>
        <v>0.5</v>
      </c>
      <c r="R383" s="310">
        <f t="shared" si="157"/>
        <v>0.98952907097674903</v>
      </c>
      <c r="S383" s="802">
        <f t="shared" si="157"/>
        <v>0</v>
      </c>
      <c r="T383" s="229">
        <f t="shared" si="157"/>
        <v>6</v>
      </c>
      <c r="U383" s="249">
        <f>+MAX(U15:U380)</f>
        <v>0.98952907097674903</v>
      </c>
      <c r="V383" s="372">
        <f>MAX(V15:V380)</f>
        <v>240.27636259355546</v>
      </c>
      <c r="X383" s="112" t="s">
        <v>9</v>
      </c>
      <c r="Y383" s="372">
        <f>MAX(Y15:Y380)</f>
        <v>248.17520254070084</v>
      </c>
      <c r="Z383" s="372">
        <f>MAX(Z15:Z380)</f>
        <v>250.49960421061346</v>
      </c>
      <c r="AA383" s="372">
        <f>MAX(AA15:AA380)</f>
        <v>260.60206033764416</v>
      </c>
      <c r="AB383" s="196" t="s">
        <v>9</v>
      </c>
      <c r="AC383" s="49">
        <f t="shared" ref="AC383:AH383" si="158">MAX(AC15:AC380)</f>
        <v>4.378391840709106E-2</v>
      </c>
      <c r="AD383" s="166">
        <f t="shared" si="158"/>
        <v>1.4171986832979932E-3</v>
      </c>
      <c r="AE383" s="309">
        <f t="shared" si="158"/>
        <v>0.5</v>
      </c>
      <c r="AF383" s="310">
        <f t="shared" si="158"/>
        <v>0.98952907097674903</v>
      </c>
      <c r="AG383" s="802">
        <f t="shared" si="158"/>
        <v>0</v>
      </c>
      <c r="AH383" s="229">
        <f t="shared" si="158"/>
        <v>6</v>
      </c>
      <c r="AI383" s="223">
        <f>MAX(AI15:AI380)</f>
        <v>0.98952907097674903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</row>
  </sheetData>
  <sheetProtection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pane="topRight"/>
      <selection pane="bottomLeft"/>
      <selection pane="bottomRight" activeCell="I384" sqref="I38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'2023'!An+1</f>
        <v>2024</v>
      </c>
      <c r="K1" s="1270"/>
      <c r="L1" s="113" t="str">
        <f>"Calcul pertes et enveloppes en "&amp;TEXT(An,0)</f>
        <v>Calcul pertes et enveloppes en 2024</v>
      </c>
      <c r="M1" s="239"/>
      <c r="N1" s="239"/>
      <c r="V1" s="450"/>
      <c r="W1" s="448"/>
      <c r="X1" s="479" t="str">
        <f>"Prévision sans nettoyage ni taille végétation en "&amp;TEXT(An,0)</f>
        <v>Prévision sans nettoyage ni taille végétation en 2024</v>
      </c>
      <c r="Y1" s="480"/>
      <c r="Z1" s="481"/>
      <c r="AA1" s="482"/>
      <c r="AB1" s="483"/>
      <c r="AC1" s="484"/>
      <c r="AD1" s="484"/>
      <c r="AE1" s="484"/>
      <c r="AF1" s="484"/>
      <c r="AG1" s="484"/>
      <c r="AH1" s="484"/>
      <c r="AI1" s="484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71">
        <f>Tmaj</f>
        <v>44926</v>
      </c>
      <c r="F3" s="1271"/>
      <c r="G3" s="464"/>
      <c r="H3" s="26"/>
      <c r="I3" s="6"/>
      <c r="J3" s="34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/>
      <c r="Y3" s="495"/>
      <c r="Z3" s="496"/>
      <c r="AA3" s="490"/>
      <c r="AB3" s="490"/>
      <c r="AC3" s="422"/>
      <c r="AD3" s="422"/>
      <c r="AE3" s="422"/>
      <c r="AF3" s="422"/>
      <c r="AG3" s="422"/>
      <c r="AH3" s="422"/>
      <c r="AI3" s="422"/>
      <c r="AJ3" s="823">
        <f>AL11-AJ11</f>
        <v>0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9" t="str">
        <f>Station</f>
        <v>Hangar Goussaud Espanès</v>
      </c>
      <c r="F4" s="1200"/>
      <c r="G4" s="1200"/>
      <c r="H4" s="1200"/>
      <c r="I4" s="1201"/>
      <c r="J4" s="154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22"/>
      <c r="AD4" s="422"/>
      <c r="AE4" s="422"/>
      <c r="AF4" s="422"/>
      <c r="AG4" s="422"/>
      <c r="AH4" s="422"/>
      <c r="AI4" s="422"/>
      <c r="AJ4" s="823">
        <f>AL12-AJ12</f>
        <v>1373.6413931438924</v>
      </c>
      <c r="AK4" s="824">
        <f>AM12-AK12</f>
        <v>-0.27343625272676775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72">
        <f>T0</f>
        <v>44424</v>
      </c>
      <c r="F5" s="1272"/>
      <c r="G5" s="34"/>
      <c r="H5" s="154"/>
      <c r="I5" s="154"/>
      <c r="K5" s="188"/>
      <c r="L5" s="498"/>
      <c r="M5" s="497"/>
      <c r="N5" s="497"/>
      <c r="O5" s="19"/>
      <c r="R5" s="39"/>
      <c r="S5" s="174"/>
      <c r="T5" s="174"/>
      <c r="U5" s="41"/>
      <c r="V5" s="499"/>
      <c r="W5" s="500"/>
      <c r="X5" s="501"/>
      <c r="Y5" s="502"/>
      <c r="Z5" s="232">
        <f>Wh_Psa_s-Wh_Psa</f>
        <v>1374.1774298321866</v>
      </c>
      <c r="AA5" s="233">
        <f>Wh_Pvg_s-Wh_Pvg</f>
        <v>-0.27343625272676775</v>
      </c>
      <c r="AB5" s="506" t="s">
        <v>6</v>
      </c>
      <c r="AC5" s="500"/>
      <c r="AD5" s="500"/>
      <c r="AE5" s="500"/>
      <c r="AF5" s="500"/>
      <c r="AG5" s="500"/>
      <c r="AH5" s="500"/>
      <c r="AI5" s="500"/>
      <c r="AJ5" s="508">
        <f>SUMIF(AJ15:AJ380,"VRAI",Wh)</f>
        <v>8158.2163330951325</v>
      </c>
      <c r="AK5" s="508">
        <f>SUMIF(AK15:AK380,"VRAI",Wh)</f>
        <v>0</v>
      </c>
      <c r="AL5" s="508">
        <f>SUMIF(AJ15:AJ380,"VRAI",Wh_s)</f>
        <v>8158.2163330951325</v>
      </c>
      <c r="AM5" s="508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73">
        <f>Tservice</f>
        <v>44536</v>
      </c>
      <c r="F6" s="1273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2"/>
      <c r="W6" s="454"/>
      <c r="X6" s="489"/>
      <c r="Y6" s="490"/>
      <c r="Z6" s="454"/>
      <c r="AA6" s="454"/>
      <c r="AB6" s="508"/>
      <c r="AC6" s="454"/>
      <c r="AD6" s="454"/>
      <c r="AE6" s="454"/>
      <c r="AF6" s="454"/>
      <c r="AG6" s="454"/>
      <c r="AH6" s="454"/>
      <c r="AI6" s="454"/>
      <c r="AJ6" s="508">
        <f>SUMIF(AJ15:AJ380,"FAUX",Wh)</f>
        <v>38177.036390752059</v>
      </c>
      <c r="AK6" s="508">
        <f>SUMIF(AK15:AK380,"FAUX",Wh)</f>
        <v>46335.252723847181</v>
      </c>
      <c r="AL6" s="508">
        <f>SUMIF(AJ15:AJ380,"FAUX",Wh_s)</f>
        <v>36803.30780638694</v>
      </c>
      <c r="AM6" s="508">
        <f>SUMIF(AK15:AK380,"FAUX",Wh_s)</f>
        <v>44961.524139482048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AND(YEAR(Tnet)=An,Resal_2024="I")</f>
        <v>0</v>
      </c>
      <c r="F7" s="316" t="b">
        <f>YEAR(Tnet)=An</f>
        <v>1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2"/>
      <c r="W7" s="510"/>
      <c r="X7" s="511"/>
      <c r="Y7" s="244"/>
      <c r="Z7" s="510"/>
      <c r="AA7" s="510"/>
      <c r="AB7" s="510"/>
      <c r="AC7" s="510"/>
      <c r="AD7" s="244"/>
      <c r="AE7" s="244"/>
      <c r="AF7" s="485"/>
      <c r="AG7" s="485"/>
      <c r="AH7" s="485"/>
      <c r="AI7" s="510"/>
      <c r="AJ7" s="508">
        <f>SUMIF(AJ15:AJ380,"VRAI",Wh_pvt)</f>
        <v>8261.4888147643469</v>
      </c>
      <c r="AK7" s="508">
        <f>SUMIF(AK15:AK380,"VRAI",Wh_sa)</f>
        <v>0</v>
      </c>
      <c r="AL7" s="508">
        <f>SUMIF(AJ15:AJ380,"VRAI",Wh_pvt_s)</f>
        <v>8261.4888147643469</v>
      </c>
      <c r="AM7" s="508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AND(YEAR(Tnet)=An,Resal_2024&lt;&gt;"I")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0"/>
      <c r="W8" s="399"/>
      <c r="X8" s="1267" t="s">
        <v>102</v>
      </c>
      <c r="Y8" s="1268"/>
      <c r="Z8" s="490"/>
      <c r="AA8" s="490"/>
      <c r="AB8" s="454"/>
      <c r="AC8" s="512" t="s">
        <v>61</v>
      </c>
      <c r="AD8" s="454"/>
      <c r="AE8" s="454"/>
      <c r="AF8" s="454"/>
      <c r="AG8" s="454"/>
      <c r="AH8" s="454"/>
      <c r="AI8" s="454"/>
      <c r="AJ8" s="508">
        <f>SUMIF(AJ15:AJ380,"FAUX",Wh_pvt)</f>
        <v>38741.746790086996</v>
      </c>
      <c r="AK8" s="508">
        <f>SUMIF(AK15:AK380,"FAUX",Wh_sa)</f>
        <v>48060.404269351973</v>
      </c>
      <c r="AL8" s="508">
        <f>SUMIF(AJ15:AJ380,"FAUX",Wh_pvt_s)</f>
        <v>37347.782028474787</v>
      </c>
      <c r="AM8" s="508">
        <f>SUMIF(AK15:AK380,"FAUX",Wh_sa_s)</f>
        <v>48060.404269351973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47003.235604851332</v>
      </c>
      <c r="E9" s="180">
        <f>SUM(E$15:E$380)</f>
        <v>48060.404269351973</v>
      </c>
      <c r="F9" s="180">
        <f>SUM(F$15:F$380)</f>
        <v>48069.970538116788</v>
      </c>
      <c r="H9" s="1260">
        <f>+SUM(Wh)</f>
        <v>46335.252723847181</v>
      </c>
      <c r="I9" s="1261"/>
      <c r="J9" s="1262"/>
      <c r="K9" s="187"/>
      <c r="L9" s="228"/>
      <c r="M9" s="228"/>
      <c r="N9" s="228"/>
      <c r="O9" s="219">
        <f>Tnet_2024</f>
        <v>45383</v>
      </c>
      <c r="P9" s="240" t="s">
        <v>91</v>
      </c>
      <c r="Q9" s="241"/>
      <c r="R9" s="241"/>
      <c r="S9" s="241"/>
      <c r="T9" s="241"/>
      <c r="U9" s="242"/>
      <c r="V9" s="454"/>
      <c r="W9" s="513"/>
      <c r="X9" s="1265">
        <f>+SUM(Wh_s)</f>
        <v>44961.524139482048</v>
      </c>
      <c r="Y9" s="1266"/>
      <c r="Z9" s="508">
        <f>SUM(Z$15:Z$380)</f>
        <v>45609.27084323913</v>
      </c>
      <c r="AA9" s="508">
        <f>SUM(AA$15:AA$380)</f>
        <v>48060.404269351973</v>
      </c>
      <c r="AB9" s="508">
        <f>F9</f>
        <v>48069.970538116788</v>
      </c>
      <c r="AC9" s="321">
        <f>IF(An_Tnet,Tnet,'2023'!Tnet_s)</f>
        <v>45383</v>
      </c>
      <c r="AD9" s="312" t="s">
        <v>91</v>
      </c>
      <c r="AE9" s="312"/>
      <c r="AF9" s="312"/>
      <c r="AG9" s="312"/>
      <c r="AH9" s="312"/>
      <c r="AI9" s="313"/>
      <c r="AJ9" s="508">
        <f>SUMIF(AJ15:AJ380,"VRAI",Wh_sa)</f>
        <v>8654.8416639436964</v>
      </c>
      <c r="AK9" s="508">
        <f>SUMIF(AK15:AK380,"VRAI",Wh_hp)</f>
        <v>0</v>
      </c>
      <c r="AL9" s="508">
        <f>SUMIF(AJ15:AJ380,"VRAI",Wh_sa_s)</f>
        <v>8654.8416639436964</v>
      </c>
      <c r="AM9" s="508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IF(Inflex,'2023'!Resal+('2023'!Salim-'2023'!Resal)*(1-EXP(-(Tnet-'2023'!Tnet)/('2023'!Tau_j))),IF(An_Tnet,Resal_2024,'2023'!Resal))</f>
        <v>8.0000000000000002E-3</v>
      </c>
      <c r="P10" s="416" t="b">
        <f>NOT(Acti_tai)</f>
        <v>1</v>
      </c>
      <c r="Q10" s="253">
        <f>IF(Acti_tai,'2023'!PousD,Dens-Dd)</f>
        <v>0</v>
      </c>
      <c r="R10" s="270"/>
      <c r="S10" s="271"/>
      <c r="T10" s="272"/>
      <c r="U10" s="262">
        <f>IF(Acti_tai,'2023'!PousH,Hdtf-Hdd)</f>
        <v>0.5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IF(OR(Inflex,GainD),'2023'!Resal_s+('2023'!Salim-'2023'!Resal_s)*(1-EXP(('2023'!Tnet_s-Tnet)/('2023'!Tau_j))),IF(Acti_net,'2023'!Resal+('2023'!Salim-'2023'!Resal)*(1-EXP(('2023'!Tnet-Tnet)/'2023'!Tau_j)),'2023'!Resal_s))</f>
        <v>4.6677676494824488E-2</v>
      </c>
      <c r="AD10" s="422"/>
      <c r="AE10" s="422"/>
      <c r="AF10" s="256"/>
      <c r="AG10" s="257"/>
      <c r="AH10" s="258"/>
      <c r="AI10" s="515"/>
      <c r="AJ10" s="508">
        <f>SUMIF(AJ15:AJ380,"FAUX",Wh_sa)</f>
        <v>39405.562605408275</v>
      </c>
      <c r="AK10" s="508">
        <f>SUMIF(AK15:AK380,"FAUX",Wh_hp)</f>
        <v>48069.970538116788</v>
      </c>
      <c r="AL10" s="508">
        <f>SUMIF(AJ15:AJ380,"FAUX",Wh_sa_s)</f>
        <v>39405.562605408275</v>
      </c>
      <c r="AM10" s="508">
        <f>SUMIF(AK15:AK380,"FAUX",Wh_hp)</f>
        <v>48069.970538116788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667.98288100415084</v>
      </c>
      <c r="E11" s="51">
        <f>(E$9-D$9)*Prod_an/D$9</f>
        <v>1042.1447930344912</v>
      </c>
      <c r="F11" s="182">
        <f>(F$9-E$9)*Prod_an/E$9</f>
        <v>9.22288290289295</v>
      </c>
      <c r="G11" s="181" t="s">
        <v>6</v>
      </c>
      <c r="K11" s="190"/>
      <c r="L11" s="207">
        <f>Tvie_2024</f>
        <v>44609</v>
      </c>
      <c r="M11" s="834"/>
      <c r="N11" s="834"/>
      <c r="O11" s="198">
        <f>IF(An_Tnet,Salim_2024,'2023'!Salim)</f>
        <v>0.08</v>
      </c>
      <c r="P11" s="252">
        <f>Ttai_2024</f>
        <v>44562</v>
      </c>
      <c r="Q11" s="268">
        <f>Dens_2024</f>
        <v>0.5</v>
      </c>
      <c r="R11" s="273"/>
      <c r="S11" s="226"/>
      <c r="T11" s="226"/>
      <c r="U11" s="262">
        <f>Htf_2024</f>
        <v>1.489529070976749</v>
      </c>
      <c r="V11" s="422"/>
      <c r="W11" s="511"/>
      <c r="X11" s="518" t="s">
        <v>43</v>
      </c>
      <c r="Y11" s="50">
        <f>Z$9-Prod_an_s</f>
        <v>647.74670375708229</v>
      </c>
      <c r="Z11" s="51">
        <f>(AA$9-Z$9)*Prod_an_s/Z$9</f>
        <v>2416.3222228666777</v>
      </c>
      <c r="AA11" s="182">
        <f>(AB$9-AA$9)*Prod_an_s/AA$9</f>
        <v>8.9494466501661822</v>
      </c>
      <c r="AB11" s="519" t="s">
        <v>6</v>
      </c>
      <c r="AC11" s="321"/>
      <c r="AD11" s="422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388.43575423227293</v>
      </c>
      <c r="AK11" s="824">
        <f>IF($AK7=0,0,($AK9-$AK7)*$AK5/$AK7)</f>
        <v>0</v>
      </c>
      <c r="AL11" s="823">
        <f>IF($AL7=0,0,($AL9-$AL7)*$AL5/$AL7)</f>
        <v>388.43575423227293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Pspv_2024</f>
        <v>0</v>
      </c>
      <c r="M12" s="208"/>
      <c r="N12" s="208"/>
      <c r="O12" s="201">
        <f>IF(An_Tnet,Tau_2024*365,'2023'!Tau_j)</f>
        <v>912.5</v>
      </c>
      <c r="P12" s="449">
        <f>INDEX(Croivg,MIN(MAX(Ttai-$A$15,0)+1,366))</f>
        <v>2.3909964587625958E-6</v>
      </c>
      <c r="Q12" s="276">
        <f>'2023'!Df</f>
        <v>0.5</v>
      </c>
      <c r="R12" s="274"/>
      <c r="S12" s="275"/>
      <c r="T12" s="275"/>
      <c r="U12" s="263">
        <f>'2023'!Hdf</f>
        <v>0.98952907097674903</v>
      </c>
      <c r="V12" s="510"/>
      <c r="W12" s="497"/>
      <c r="X12" s="498"/>
      <c r="Y12" s="497"/>
      <c r="Z12" s="422"/>
      <c r="AA12" s="422"/>
      <c r="AB12" s="524" t="s">
        <v>106</v>
      </c>
      <c r="AC12" s="314" t="b">
        <f>NOT(An_Tnet)</f>
        <v>0</v>
      </c>
      <c r="AD12" s="422"/>
      <c r="AE12" s="292">
        <f>'2023'!Df_s</f>
        <v>0.5</v>
      </c>
      <c r="AF12" s="199"/>
      <c r="AG12" s="199"/>
      <c r="AH12" s="199"/>
      <c r="AI12" s="293">
        <f>'2023'!Hdf_s</f>
        <v>0.98952907097674903</v>
      </c>
      <c r="AJ12" s="823">
        <f>IF($AJ8=0,0,($AJ10-$AJ8)*$AJ6/$AJ8)</f>
        <v>654.13985269145644</v>
      </c>
      <c r="AK12" s="824">
        <f>IF($AK8=0,0,($AK10-$AK8)*$AK6/$AK8)</f>
        <v>9.22288290289295</v>
      </c>
      <c r="AL12" s="823">
        <f>IF($AL8=0,0,($AL10-$AL8)*$AL6/$AL8)</f>
        <v>2027.781245835349</v>
      </c>
      <c r="AM12" s="824">
        <f>IF($AM8=0,0,($AM10-$AM8)*$AM6/$AM8)</f>
        <v>8.9494466501661822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260" t="s">
        <v>41</v>
      </c>
      <c r="W13" s="842" t="s">
        <v>46</v>
      </c>
      <c r="X13" s="525"/>
      <c r="Y13" s="260" t="s">
        <v>100</v>
      </c>
      <c r="Z13" s="260" t="s">
        <v>101</v>
      </c>
      <c r="AA13" s="260" t="s">
        <v>74</v>
      </c>
      <c r="AB13" s="496"/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1042.5756069237293</v>
      </c>
      <c r="AK13" s="73">
        <f>+AK11+AK12</f>
        <v>9.22288290289295</v>
      </c>
      <c r="AL13" s="73">
        <f>+AL11+AL12</f>
        <v>2416.2170000676219</v>
      </c>
      <c r="AM13" s="73">
        <f>+AM11+AM12</f>
        <v>8.9494466501661822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411" t="s">
        <v>188</v>
      </c>
      <c r="C14" s="384"/>
      <c r="D14" s="53" t="s">
        <v>30</v>
      </c>
      <c r="E14" s="158" t="s">
        <v>29</v>
      </c>
      <c r="F14" s="158" t="str">
        <f>"Hors pertes "&amp; TEXT(An,0)</f>
        <v>Hors pertes 2024</v>
      </c>
      <c r="G14" s="107" t="s">
        <v>42</v>
      </c>
      <c r="H14" s="408" t="s">
        <v>117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2024</v>
      </c>
      <c r="W14" s="828" t="s">
        <v>116</v>
      </c>
      <c r="X14" s="254" t="s">
        <v>2</v>
      </c>
      <c r="Y14" s="107" t="str">
        <f>"Wh / Jour "&amp; TEXT(An,0)</f>
        <v>Wh / Jour 2024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129">
        <f>DATE(An,1,1)</f>
        <v>45292</v>
      </c>
      <c r="B15" s="405">
        <f>'2023'!Wh/'2023'!Env_an*'2024'!Env_an</f>
        <v>94.327839024569641</v>
      </c>
      <c r="C15" s="385"/>
      <c r="D15" s="388">
        <f t="shared" ref="D15:D78" si="0">Wh/(1-Ppv)</f>
        <v>95.455353555726532</v>
      </c>
      <c r="E15" s="380">
        <f>Wh_pvt/(1-Psa)</f>
        <v>99.829394468077325</v>
      </c>
      <c r="F15" s="380">
        <f t="shared" ref="F15:F78" si="1">Wh_sa/(1-Pvg*MEDIAN((-Sdif+Wh/Env_an)/Csdif,0,1))</f>
        <v>99.941221484103266</v>
      </c>
      <c r="G15" s="110">
        <f>+Wh_hp/MaxiM</f>
        <v>1.0011866221014727</v>
      </c>
      <c r="H15" s="409" t="b">
        <f>Wh_hp&gt;='2023'!Maxi_hp</f>
        <v>1</v>
      </c>
      <c r="I15" s="374">
        <f>IF(H15,Wh_hp,'2023'!Maxi_hp)</f>
        <v>99.941221484103266</v>
      </c>
      <c r="J15" s="84">
        <f>IF(H15,An,'2023'!An_max)</f>
        <v>2024</v>
      </c>
      <c r="K15" s="193">
        <f>t</f>
        <v>45292</v>
      </c>
      <c r="L15" s="142">
        <f>IF(t&lt;Tvie,1-EXP((T0-t)*PertePVj)+'2023'!Pspv,1-EXP((T0-t)*PertePVj)+Pspv)</f>
        <v>1.1811956995148032E-2</v>
      </c>
      <c r="M15" s="837"/>
      <c r="N15" s="837"/>
      <c r="O15" s="47">
        <f>IF(t&lt;Tnet,'2023'!Resal+('2023'!Salim-'2023'!Resal)*(1-EXP(('2023'!Tnet-t)/('2023'!Tau_j))),Resal+(Salim-Resal)*(1-EXP((Tnet-t)/(Tau_j))))*Salcycl</f>
        <v>4.3815160210648178E-2</v>
      </c>
      <c r="P15" s="298">
        <f>(INDEX(Models!$BJ15:$BT15,,T15)*(1-R15)+INDEX(Models!$BJ15:$BT15,,T15+1)*R15-ERP_i)*Q15*Ramure*Pc/MaxiM</f>
        <v>1.1189278494433683E-3</v>
      </c>
      <c r="Q15" s="299">
        <f t="shared" ref="Q15:Q78" si="2">IF(OR(t&lt;Ttai,Notai),Dd+PousD*Croivg,Dens+PousD*(Croivg-Croi_tai))</f>
        <v>0.5</v>
      </c>
      <c r="R15" s="300">
        <f t="shared" ref="R15:R78" si="3">(Hp_vg-S15)/(INDEX(Echel_vg,T15+1)-S15)</f>
        <v>0.98953026647497844</v>
      </c>
      <c r="S15" s="800">
        <f t="shared" ref="S15:S78" si="4">INDEX(Echel_vg,T15)</f>
        <v>0</v>
      </c>
      <c r="T15" s="245">
        <f t="shared" ref="T15:T78" si="5">MIN(MATCH(Hp_vg,Echel_vg),10)</f>
        <v>6</v>
      </c>
      <c r="U15" s="246">
        <f>IF(OR(t&lt;Ttai,Notai),Hdd+PousH*Croivg,Hdtf+PousH*(Croivg-Croi_tai))</f>
        <v>0.98953026647497844</v>
      </c>
      <c r="V15" s="377">
        <f t="shared" ref="V15:V78" si="6">MaxiM*(1-Ppv)*(1-Pvg)*(1-Psa)</f>
        <v>94.216040188968151</v>
      </c>
      <c r="W15" s="397">
        <f t="shared" ref="W15:W78" si="7">Wh*(A15&gt;Tmaj)</f>
        <v>94.327839024569641</v>
      </c>
      <c r="X15" s="152">
        <f t="shared" ref="X15:X78" si="8">t</f>
        <v>45292</v>
      </c>
      <c r="Y15" s="380">
        <f t="shared" ref="Y15:Y78" si="9">Wh_pvt_s*(1-Ppv)</f>
        <v>94.327839024569641</v>
      </c>
      <c r="Z15" s="380">
        <f t="shared" ref="Z15:Z78" si="10">Wh_sa_s*(1-Psa_s)</f>
        <v>95.455353555726532</v>
      </c>
      <c r="AA15" s="381">
        <f t="shared" ref="AA15:AA78" si="11">Wh_hp*(1-Pvg_s*MEDIAN((-Sdif+Wh/Env_an)/Csdif,0,1))</f>
        <v>99.829394468077325</v>
      </c>
      <c r="AB15" s="193">
        <f t="shared" ref="AB15:AB78" si="12">t</f>
        <v>45292</v>
      </c>
      <c r="AC15" s="119">
        <f>IF(OR(t&lt;Tnet,NoTnet),'2023'!Resal_s+('2023'!Salim-'2023'!Resal_s)*(1-EXP(('2023'!Tnet_s-t)/'2023'!Tau_j)),Resal_s+(Salim-Resal_s)*(1-EXP((Tnet_s-t)/Tau_j)))*Salcycl</f>
        <v>4.3815160210648178E-2</v>
      </c>
      <c r="AD15" s="227">
        <f>(INDEX(Models!$BJ15:$BT15,,AH15)*(1-AF15)+INDEX(Models!$BJ15:$BT15,,AH15+1)*AF15-ERP_i)*AE15*Ramure*Pc/MaxiM</f>
        <v>1.1189278494433683E-3</v>
      </c>
      <c r="AE15" s="299">
        <f t="shared" ref="AE15:AE78" si="13">IF(OR(t&lt;Ttai,Notai),Dd_s+PousD*Croivg,Dens_s+PousD*(Croivg-Croi_tai))</f>
        <v>0.5</v>
      </c>
      <c r="AF15" s="300">
        <f>(Hp_vg_s-AG15)/(INDEX(Echel_vg,AH15+1)-AG15)</f>
        <v>0.98953026647497844</v>
      </c>
      <c r="AG15" s="800">
        <f>INDEX(Echel_vg,AH15)</f>
        <v>0</v>
      </c>
      <c r="AH15" s="245">
        <f t="shared" ref="AH15:AH78" si="14">MIN(MATCH(Hp_vg_s,Echel_vg),10)</f>
        <v>6</v>
      </c>
      <c r="AI15" s="220">
        <f>IF(OR(t&lt;Ttai,Notai),Hdd_s+PousH*Croivg,Hdtai_s+PousH*(Croivg-Croi_tai))</f>
        <v>0.98953026647497844</v>
      </c>
      <c r="AJ15" s="261" t="b">
        <f t="shared" ref="AJ15:AJ78" si="15">t&lt;Tnet</f>
        <v>1</v>
      </c>
      <c r="AK15" s="261" t="b">
        <f t="shared" ref="AK15:AK78" si="16">t&lt;Ttai</f>
        <v>0</v>
      </c>
      <c r="AL15" s="261"/>
      <c r="AM15" s="261"/>
      <c r="AN15" s="75"/>
    </row>
    <row r="16" spans="1:40" s="6" customFormat="1" ht="11.25" customHeight="1" x14ac:dyDescent="0.2">
      <c r="A16" s="56">
        <f t="shared" ref="A16:A79" si="17">A15+1</f>
        <v>45293</v>
      </c>
      <c r="B16" s="406">
        <f>'2023'!Wh/'2023'!Env_an*'2024'!Env_an</f>
        <v>68.976901004818004</v>
      </c>
      <c r="C16" s="385"/>
      <c r="D16" s="388">
        <f t="shared" si="0"/>
        <v>69.802347581386272</v>
      </c>
      <c r="E16" s="380">
        <f t="shared" ref="E16:E79" si="18">Wh_pvt/(1-Psa)</f>
        <v>73.003284584180264</v>
      </c>
      <c r="F16" s="380">
        <f t="shared" si="1"/>
        <v>73.053863236124016</v>
      </c>
      <c r="G16" s="110">
        <f t="shared" ref="G16:G79" si="19">+Wh_hp/MaxiM</f>
        <v>0.72734430244714754</v>
      </c>
      <c r="H16" s="409" t="b">
        <f>Wh_hp&gt;='2023'!Maxi_hp</f>
        <v>0</v>
      </c>
      <c r="I16" s="375">
        <f>IF(H16,Wh_hp,'2023'!Maxi_hp)</f>
        <v>73.086107014148709</v>
      </c>
      <c r="J16" s="85">
        <f>IF(H16,An,'2023'!An_max)</f>
        <v>2022</v>
      </c>
      <c r="K16" s="193">
        <f t="shared" ref="K16:K78" si="20">t</f>
        <v>45293</v>
      </c>
      <c r="L16" s="143">
        <f>IF(t&lt;Tvie,1-EXP((T0-t)*PertePVj)+'2023'!Pspv,1-EXP((T0-t)*PertePVj)+Pspv)</f>
        <v>1.1825484459614177E-2</v>
      </c>
      <c r="M16" s="835"/>
      <c r="N16" s="835"/>
      <c r="O16" s="48">
        <f>IF(t&lt;Tnet,'2023'!Resal+('2023'!Salim-'2023'!Resal)*(1-EXP(('2023'!Tnet-t)/('2023'!Tau_j))),Resal+(Salim-Resal)*(1-EXP((Tnet-t)/(Tau_j))))*Salcycl</f>
        <v>4.384647925125864E-2</v>
      </c>
      <c r="P16" s="165">
        <f>(INDEX(Models!$BJ16:$BT16,,T16)*(1-R16)+INDEX(Models!$BJ16:$BT16,,T16+1)*R16-ERP_i)*Q16*Ramure*Pc/MaxiM</f>
        <v>1.1332299625288486E-3</v>
      </c>
      <c r="Q16" s="301">
        <f t="shared" si="2"/>
        <v>0.5</v>
      </c>
      <c r="R16" s="173">
        <f t="shared" si="3"/>
        <v>0.98955948108897263</v>
      </c>
      <c r="S16" s="801">
        <f t="shared" si="4"/>
        <v>0</v>
      </c>
      <c r="T16" s="172">
        <f t="shared" si="5"/>
        <v>6</v>
      </c>
      <c r="U16" s="247">
        <f t="shared" ref="U16:U78" si="21">IF(OR(t&lt;Ttai,Notai),Hdd+PousH*Croivg,Hdtf+PousH*(Croivg-Croi_tai))</f>
        <v>0.98955948108897263</v>
      </c>
      <c r="V16" s="378">
        <f t="shared" si="6"/>
        <v>94.792066137457468</v>
      </c>
      <c r="W16" s="397">
        <f t="shared" si="7"/>
        <v>68.976901004818004</v>
      </c>
      <c r="X16" s="153">
        <f t="shared" si="8"/>
        <v>45293</v>
      </c>
      <c r="Y16" s="380">
        <f t="shared" si="9"/>
        <v>68.976901004818004</v>
      </c>
      <c r="Z16" s="380">
        <f t="shared" si="10"/>
        <v>69.802347581386272</v>
      </c>
      <c r="AA16" s="381">
        <f t="shared" si="11"/>
        <v>73.003284584180264</v>
      </c>
      <c r="AB16" s="193">
        <f t="shared" si="12"/>
        <v>45293</v>
      </c>
      <c r="AC16" s="119">
        <f>IF(OR(t&lt;Tnet,NoTnet),'2023'!Resal_s+('2023'!Salim-'2023'!Resal_s)*(1-EXP(('2023'!Tnet_s-t)/'2023'!Tau_j)),Resal_s+(Salim-Resal_s)*(1-EXP((Tnet_s-t)/Tau_j)))*Salcycl</f>
        <v>4.384647925125864E-2</v>
      </c>
      <c r="AD16" s="227">
        <f>(INDEX(Models!$BJ16:$BT16,,AH16)*(1-AF16)+INDEX(Models!$BJ16:$BT16,,AH16+1)*AF16-ERP_i)*AE16*Ramure*Pc/MaxiM</f>
        <v>1.1332299625288486E-3</v>
      </c>
      <c r="AE16" s="301">
        <f t="shared" si="13"/>
        <v>0.5</v>
      </c>
      <c r="AF16" s="173">
        <f t="shared" ref="AF16:AF78" si="22">(Hp_vg_s-AG16)/(INDEX(Echel_vg,AH16+1)-AG16)</f>
        <v>0.98955948108897263</v>
      </c>
      <c r="AG16" s="801">
        <f t="shared" ref="AG16:AG79" si="23">INDEX(Echel_vg,AH16)</f>
        <v>0</v>
      </c>
      <c r="AH16" s="172">
        <f t="shared" si="14"/>
        <v>6</v>
      </c>
      <c r="AI16" s="221">
        <f t="shared" ref="AI16:AI78" si="24">IF(OR(t&lt;Ttai,Notai),Hdd_s+PousH*Croivg,Hdtai_s+PousH*(Croivg-Croi_tai))</f>
        <v>0.98955948108897263</v>
      </c>
      <c r="AJ16" s="261" t="b">
        <f t="shared" si="15"/>
        <v>1</v>
      </c>
      <c r="AK16" s="261" t="b">
        <f t="shared" si="16"/>
        <v>0</v>
      </c>
      <c r="AL16" s="261"/>
      <c r="AM16" s="261"/>
      <c r="AN16" s="75"/>
    </row>
    <row r="17" spans="1:40" s="6" customFormat="1" ht="11.25" customHeight="1" x14ac:dyDescent="0.2">
      <c r="A17" s="56">
        <f t="shared" si="17"/>
        <v>45294</v>
      </c>
      <c r="B17" s="406">
        <f>'2023'!Wh/'2023'!Env_an*'2024'!Env_an</f>
        <v>71.834464896879069</v>
      </c>
      <c r="C17" s="385"/>
      <c r="D17" s="388">
        <f t="shared" si="0"/>
        <v>72.695103075551117</v>
      </c>
      <c r="E17" s="380">
        <f t="shared" si="18"/>
        <v>76.031189272233703</v>
      </c>
      <c r="F17" s="380">
        <f t="shared" si="1"/>
        <v>76.087695721861309</v>
      </c>
      <c r="G17" s="110">
        <f t="shared" si="19"/>
        <v>0.75265857240003897</v>
      </c>
      <c r="H17" s="409" t="b">
        <f>Wh_hp&gt;='2023'!Maxi_hp</f>
        <v>0</v>
      </c>
      <c r="I17" s="375">
        <f>IF(H17,Wh_hp,'2023'!Maxi_hp)</f>
        <v>76.118546681586153</v>
      </c>
      <c r="J17" s="85">
        <f>IF(H17,An,'2023'!An_max)</f>
        <v>2022</v>
      </c>
      <c r="K17" s="193">
        <f t="shared" si="20"/>
        <v>45294</v>
      </c>
      <c r="L17" s="143">
        <f>IF(t&lt;Tvie,1-EXP((T0-t)*PertePVj)+'2023'!Pspv,1-EXP((T0-t)*PertePVj)+Pspv)</f>
        <v>1.1839011738900784E-2</v>
      </c>
      <c r="M17" s="835"/>
      <c r="N17" s="835"/>
      <c r="O17" s="48">
        <f>IF(t&lt;Tnet,'2023'!Resal+('2023'!Salim-'2023'!Resal)*(1-EXP(('2023'!Tnet-t)/('2023'!Tau_j))),Resal+(Salim-Resal)*(1-EXP((Tnet-t)/(Tau_j))))*Salcycl</f>
        <v>4.3877864184625054E-2</v>
      </c>
      <c r="P17" s="165">
        <f>(INDEX(Models!$BJ17:$BT17,,T17)*(1-R17)+INDEX(Models!$BJ17:$BT17,,T17+1)*R17-ERP_i)*Q17*Ramure*Pc/MaxiM</f>
        <v>1.1476730004125319E-3</v>
      </c>
      <c r="Q17" s="301">
        <f t="shared" si="2"/>
        <v>0.5</v>
      </c>
      <c r="R17" s="173">
        <f t="shared" si="3"/>
        <v>0.98958991768446225</v>
      </c>
      <c r="S17" s="801">
        <f t="shared" si="4"/>
        <v>0</v>
      </c>
      <c r="T17" s="172">
        <f t="shared" si="5"/>
        <v>6</v>
      </c>
      <c r="U17" s="247">
        <f t="shared" si="21"/>
        <v>0.98958991768446225</v>
      </c>
      <c r="V17" s="378">
        <f t="shared" si="6"/>
        <v>95.402286272972574</v>
      </c>
      <c r="W17" s="397">
        <f t="shared" si="7"/>
        <v>71.834464896879069</v>
      </c>
      <c r="X17" s="153">
        <f t="shared" si="8"/>
        <v>45294</v>
      </c>
      <c r="Y17" s="380">
        <f t="shared" si="9"/>
        <v>71.834464896879069</v>
      </c>
      <c r="Z17" s="380">
        <f t="shared" si="10"/>
        <v>72.695103075551117</v>
      </c>
      <c r="AA17" s="381">
        <f t="shared" si="11"/>
        <v>76.031189272233703</v>
      </c>
      <c r="AB17" s="193">
        <f t="shared" si="12"/>
        <v>45294</v>
      </c>
      <c r="AC17" s="119">
        <f>IF(OR(t&lt;Tnet,NoTnet),'2023'!Resal_s+('2023'!Salim-'2023'!Resal_s)*(1-EXP(('2023'!Tnet_s-t)/'2023'!Tau_j)),Resal_s+(Salim-Resal_s)*(1-EXP((Tnet_s-t)/Tau_j)))*Salcycl</f>
        <v>4.3877864184625054E-2</v>
      </c>
      <c r="AD17" s="227">
        <f>(INDEX(Models!$BJ17:$BT17,,AH17)*(1-AF17)+INDEX(Models!$BJ17:$BT17,,AH17+1)*AF17-ERP_i)*AE17*Ramure*Pc/MaxiM</f>
        <v>1.1476730004125319E-3</v>
      </c>
      <c r="AE17" s="301">
        <f t="shared" si="13"/>
        <v>0.5</v>
      </c>
      <c r="AF17" s="173">
        <f>(Hp_vg_s-AG17)/(INDEX(Echel_vg,AH17+1)-AG17)</f>
        <v>0.98958991768446225</v>
      </c>
      <c r="AG17" s="801">
        <f>INDEX(Echel_vg,AH17)</f>
        <v>0</v>
      </c>
      <c r="AH17" s="172">
        <f t="shared" si="14"/>
        <v>6</v>
      </c>
      <c r="AI17" s="221">
        <f t="shared" si="24"/>
        <v>0.98958991768446225</v>
      </c>
      <c r="AJ17" s="261" t="b">
        <f t="shared" si="15"/>
        <v>1</v>
      </c>
      <c r="AK17" s="261" t="b">
        <f t="shared" si="16"/>
        <v>0</v>
      </c>
      <c r="AL17" s="261"/>
      <c r="AM17" s="261"/>
      <c r="AN17" s="75"/>
    </row>
    <row r="18" spans="1:40" s="6" customFormat="1" ht="11.25" customHeight="1" x14ac:dyDescent="0.2">
      <c r="A18" s="56">
        <f t="shared" si="17"/>
        <v>45295</v>
      </c>
      <c r="B18" s="406">
        <f>'2023'!Wh/'2023'!Env_an*'2024'!Env_an</f>
        <v>77.148040790781991</v>
      </c>
      <c r="C18" s="385"/>
      <c r="D18" s="388">
        <f t="shared" si="0"/>
        <v>78.07340890161386</v>
      </c>
      <c r="E18" s="380">
        <f t="shared" si="18"/>
        <v>81.658998784334443</v>
      </c>
      <c r="F18" s="380">
        <f t="shared" si="1"/>
        <v>81.727288397120532</v>
      </c>
      <c r="G18" s="110">
        <f t="shared" si="19"/>
        <v>0.80298710712689358</v>
      </c>
      <c r="H18" s="409" t="b">
        <f>Wh_hp&gt;='2023'!Maxi_hp</f>
        <v>0</v>
      </c>
      <c r="I18" s="375">
        <f>IF(H18,Wh_hp,'2023'!Maxi_hp)</f>
        <v>81.754015578877613</v>
      </c>
      <c r="J18" s="85">
        <f>IF(H18,An,'2023'!An_max)</f>
        <v>2022</v>
      </c>
      <c r="K18" s="193">
        <f t="shared" si="20"/>
        <v>45295</v>
      </c>
      <c r="L18" s="143">
        <f>IF(t&lt;Tvie,1-EXP((T0-t)*PertePVj)+'2023'!Pspv,1-EXP((T0-t)*PertePVj)+Pspv)</f>
        <v>1.1852538833010295E-2</v>
      </c>
      <c r="M18" s="835"/>
      <c r="N18" s="835"/>
      <c r="O18" s="48">
        <f>IF(t&lt;Tnet,'2023'!Resal+('2023'!Salim-'2023'!Resal)*(1-EXP(('2023'!Tnet-t)/('2023'!Tau_j))),Resal+(Salim-Resal)*(1-EXP((Tnet-t)/(Tau_j))))*Salcycl</f>
        <v>4.3909304989035017E-2</v>
      </c>
      <c r="P18" s="165">
        <f>(INDEX(Models!$BJ18:$BT18,,T18)*(1-R18)+INDEX(Models!$BJ18:$BT18,,T18+1)*R18-ERP_i)*Q18*Ramure*Pc/MaxiM</f>
        <v>1.1622566763856256E-3</v>
      </c>
      <c r="Q18" s="301">
        <f t="shared" si="2"/>
        <v>0.5</v>
      </c>
      <c r="R18" s="173">
        <f t="shared" si="3"/>
        <v>0.9896216272157573</v>
      </c>
      <c r="S18" s="801">
        <f t="shared" si="4"/>
        <v>0</v>
      </c>
      <c r="T18" s="172">
        <f t="shared" si="5"/>
        <v>6</v>
      </c>
      <c r="U18" s="247">
        <f t="shared" si="21"/>
        <v>0.9896216272157573</v>
      </c>
      <c r="V18" s="378">
        <f t="shared" si="6"/>
        <v>96.044900962597339</v>
      </c>
      <c r="W18" s="397">
        <f t="shared" si="7"/>
        <v>77.148040790781991</v>
      </c>
      <c r="X18" s="153">
        <f t="shared" si="8"/>
        <v>45295</v>
      </c>
      <c r="Y18" s="380">
        <f t="shared" si="9"/>
        <v>77.148040790781991</v>
      </c>
      <c r="Z18" s="380">
        <f>Wh_sa_s*(1-Psa_s)</f>
        <v>78.07340890161386</v>
      </c>
      <c r="AA18" s="381">
        <f t="shared" si="11"/>
        <v>81.658998784334443</v>
      </c>
      <c r="AB18" s="193">
        <f>t</f>
        <v>45295</v>
      </c>
      <c r="AC18" s="119">
        <f>IF(OR(t&lt;Tnet,NoTnet),'2023'!Resal_s+('2023'!Salim-'2023'!Resal_s)*(1-EXP(('2023'!Tnet_s-t)/'2023'!Tau_j)),Resal_s+(Salim-Resal_s)*(1-EXP((Tnet_s-t)/Tau_j)))*Salcycl</f>
        <v>4.3909304989035017E-2</v>
      </c>
      <c r="AD18" s="227">
        <f>(INDEX(Models!$BJ18:$BT18,,AH18)*(1-AF18)+INDEX(Models!$BJ18:$BT18,,AH18+1)*AF18-ERP_i)*AE18*Ramure*Pc/MaxiM</f>
        <v>1.1622566763856256E-3</v>
      </c>
      <c r="AE18" s="301">
        <f t="shared" si="13"/>
        <v>0.5</v>
      </c>
      <c r="AF18" s="173">
        <f t="shared" si="22"/>
        <v>0.9896216272157573</v>
      </c>
      <c r="AG18" s="801">
        <f t="shared" si="23"/>
        <v>0</v>
      </c>
      <c r="AH18" s="172">
        <f t="shared" si="14"/>
        <v>6</v>
      </c>
      <c r="AI18" s="221">
        <f t="shared" si="24"/>
        <v>0.9896216272157573</v>
      </c>
      <c r="AJ18" s="261" t="b">
        <f t="shared" si="15"/>
        <v>1</v>
      </c>
      <c r="AK18" s="261" t="b">
        <f t="shared" si="16"/>
        <v>0</v>
      </c>
      <c r="AL18" s="261"/>
      <c r="AM18" s="261"/>
      <c r="AN18" s="75"/>
    </row>
    <row r="19" spans="1:40" s="6" customFormat="1" ht="11.25" customHeight="1" x14ac:dyDescent="0.2">
      <c r="A19" s="56">
        <f t="shared" si="17"/>
        <v>45296</v>
      </c>
      <c r="B19" s="406">
        <f>'2023'!Wh/'2023'!Env_an*'2024'!Env_an</f>
        <v>58.010146688720198</v>
      </c>
      <c r="C19" s="385"/>
      <c r="D19" s="388">
        <f t="shared" si="0"/>
        <v>58.706765021967797</v>
      </c>
      <c r="E19" s="380">
        <f t="shared" si="18"/>
        <v>61.404947087298623</v>
      </c>
      <c r="F19" s="380">
        <f t="shared" si="1"/>
        <v>61.435914505256008</v>
      </c>
      <c r="G19" s="110">
        <f t="shared" si="19"/>
        <v>0.5993819593232782</v>
      </c>
      <c r="H19" s="409" t="b">
        <f>Wh_hp&gt;='2023'!Maxi_hp</f>
        <v>0</v>
      </c>
      <c r="I19" s="375">
        <f>IF(H19,Wh_hp,'2023'!Maxi_hp)</f>
        <v>61.477299806338095</v>
      </c>
      <c r="J19" s="85">
        <f>IF(H19,An,'2023'!An_max)</f>
        <v>2022</v>
      </c>
      <c r="K19" s="193">
        <f t="shared" si="20"/>
        <v>45296</v>
      </c>
      <c r="L19" s="143">
        <f>IF(t&lt;Tvie,1-EXP((T0-t)*PertePVj)+'2023'!Pspv,1-EXP((T0-t)*PertePVj)+Pspv)</f>
        <v>1.1866065741945264E-2</v>
      </c>
      <c r="M19" s="835"/>
      <c r="N19" s="835"/>
      <c r="O19" s="48">
        <f>IF(t&lt;Tnet,'2023'!Resal+('2023'!Salim-'2023'!Resal)*(1-EXP(('2023'!Tnet-t)/('2023'!Tau_j))),Resal+(Salim-Resal)*(1-EXP((Tnet-t)/(Tau_j))))*Salcycl</f>
        <v>4.3940792937983621E-2</v>
      </c>
      <c r="P19" s="165">
        <f>(INDEX(Models!$BJ19:$BT19,,T19)*(1-R19)+INDEX(Models!$BJ19:$BT19,,T19+1)*R19-ERP_i)*Q19*Ramure*Pc/MaxiM</f>
        <v>1.1769816503813069E-3</v>
      </c>
      <c r="Q19" s="301">
        <f t="shared" si="2"/>
        <v>0.5</v>
      </c>
      <c r="R19" s="173">
        <f t="shared" si="3"/>
        <v>0.98965466274831904</v>
      </c>
      <c r="S19" s="801">
        <f t="shared" si="4"/>
        <v>0</v>
      </c>
      <c r="T19" s="172">
        <f t="shared" si="5"/>
        <v>6</v>
      </c>
      <c r="U19" s="247">
        <f t="shared" si="21"/>
        <v>0.98965466274831904</v>
      </c>
      <c r="V19" s="378">
        <f t="shared" si="6"/>
        <v>96.718110790546348</v>
      </c>
      <c r="W19" s="397">
        <f t="shared" si="7"/>
        <v>58.010146688720198</v>
      </c>
      <c r="X19" s="153">
        <f t="shared" si="8"/>
        <v>45296</v>
      </c>
      <c r="Y19" s="380">
        <f t="shared" si="9"/>
        <v>58.010146688720198</v>
      </c>
      <c r="Z19" s="380">
        <f t="shared" si="10"/>
        <v>58.706765021967797</v>
      </c>
      <c r="AA19" s="381">
        <f t="shared" si="11"/>
        <v>61.404947087298623</v>
      </c>
      <c r="AB19" s="193">
        <f t="shared" si="12"/>
        <v>45296</v>
      </c>
      <c r="AC19" s="119">
        <f>IF(OR(t&lt;Tnet,NoTnet),'2023'!Resal_s+('2023'!Salim-'2023'!Resal_s)*(1-EXP(('2023'!Tnet_s-t)/'2023'!Tau_j)),Resal_s+(Salim-Resal_s)*(1-EXP((Tnet_s-t)/Tau_j)))*Salcycl</f>
        <v>4.3940792937983621E-2</v>
      </c>
      <c r="AD19" s="227">
        <f>(INDEX(Models!$BJ19:$BT19,,AH19)*(1-AF19)+INDEX(Models!$BJ19:$BT19,,AH19+1)*AF19-ERP_i)*AE19*Ramure*Pc/MaxiM</f>
        <v>1.1769816503813069E-3</v>
      </c>
      <c r="AE19" s="301">
        <f t="shared" si="13"/>
        <v>0.5</v>
      </c>
      <c r="AF19" s="173">
        <f t="shared" si="22"/>
        <v>0.98965466274831904</v>
      </c>
      <c r="AG19" s="801">
        <f t="shared" si="23"/>
        <v>0</v>
      </c>
      <c r="AH19" s="172">
        <f t="shared" si="14"/>
        <v>6</v>
      </c>
      <c r="AI19" s="221">
        <f t="shared" si="24"/>
        <v>0.98965466274831904</v>
      </c>
      <c r="AJ19" s="261" t="b">
        <f t="shared" si="15"/>
        <v>1</v>
      </c>
      <c r="AK19" s="261" t="b">
        <f t="shared" si="16"/>
        <v>0</v>
      </c>
      <c r="AL19" s="261"/>
      <c r="AM19" s="261"/>
      <c r="AN19" s="75"/>
    </row>
    <row r="20" spans="1:40" s="6" customFormat="1" ht="11.25" customHeight="1" x14ac:dyDescent="0.2">
      <c r="A20" s="56">
        <f t="shared" si="17"/>
        <v>45297</v>
      </c>
      <c r="B20" s="406">
        <f>'2023'!Wh/'2023'!Env_an*'2024'!Env_an</f>
        <v>99.364782326268383</v>
      </c>
      <c r="C20" s="385"/>
      <c r="D20" s="388">
        <f t="shared" si="0"/>
        <v>100.55938686077589</v>
      </c>
      <c r="E20" s="380">
        <f t="shared" si="18"/>
        <v>105.18459770946173</v>
      </c>
      <c r="F20" s="380">
        <f t="shared" si="1"/>
        <v>105.31011151518358</v>
      </c>
      <c r="G20" s="110">
        <f t="shared" si="19"/>
        <v>1.0199616450883788</v>
      </c>
      <c r="H20" s="409" t="b">
        <f>Wh_hp&gt;='2023'!Maxi_hp</f>
        <v>1</v>
      </c>
      <c r="I20" s="375">
        <f>IF(H20,Wh_hp,'2023'!Maxi_hp)</f>
        <v>105.31011151518358</v>
      </c>
      <c r="J20" s="85">
        <f>IF(H20,An,'2023'!An_max)</f>
        <v>2024</v>
      </c>
      <c r="K20" s="193">
        <f t="shared" si="20"/>
        <v>45297</v>
      </c>
      <c r="L20" s="143">
        <f>IF(t&lt;Tvie,1-EXP((T0-t)*PertePVj)+'2023'!Pspv,1-EXP((T0-t)*PertePVj)+Pspv)</f>
        <v>1.1879592465708133E-2</v>
      </c>
      <c r="M20" s="835"/>
      <c r="N20" s="835"/>
      <c r="O20" s="48">
        <f>IF(t&lt;Tnet,'2023'!Resal+('2023'!Salim-'2023'!Resal)*(1-EXP(('2023'!Tnet-t)/('2023'!Tau_j))),Resal+(Salim-Resal)*(1-EXP((Tnet-t)/(Tau_j))))*Salcycl</f>
        <v>4.3972320562193662E-2</v>
      </c>
      <c r="P20" s="165">
        <f>(INDEX(Models!$BJ20:$BT20,,T20)*(1-R20)+INDEX(Models!$BJ20:$BT20,,T20+1)*R20-ERP_i)*Q20*Ramure*Pc/MaxiM</f>
        <v>1.1918495186832752E-3</v>
      </c>
      <c r="Q20" s="301">
        <f t="shared" si="2"/>
        <v>0.5</v>
      </c>
      <c r="R20" s="173">
        <f t="shared" si="3"/>
        <v>0.98968907954506968</v>
      </c>
      <c r="S20" s="801">
        <f t="shared" si="4"/>
        <v>0</v>
      </c>
      <c r="T20" s="172">
        <f t="shared" si="5"/>
        <v>6</v>
      </c>
      <c r="U20" s="247">
        <f t="shared" si="21"/>
        <v>0.98968907954506968</v>
      </c>
      <c r="V20" s="378">
        <f t="shared" si="6"/>
        <v>97.420116535517863</v>
      </c>
      <c r="W20" s="397">
        <f t="shared" si="7"/>
        <v>99.364782326268383</v>
      </c>
      <c r="X20" s="153">
        <f t="shared" si="8"/>
        <v>45297</v>
      </c>
      <c r="Y20" s="380">
        <f t="shared" si="9"/>
        <v>99.364782326268383</v>
      </c>
      <c r="Z20" s="380">
        <f t="shared" si="10"/>
        <v>100.55938686077589</v>
      </c>
      <c r="AA20" s="381">
        <f t="shared" si="11"/>
        <v>105.18459770946173</v>
      </c>
      <c r="AB20" s="193">
        <f t="shared" si="12"/>
        <v>45297</v>
      </c>
      <c r="AC20" s="119">
        <f>IF(OR(t&lt;Tnet,NoTnet),'2023'!Resal_s+('2023'!Salim-'2023'!Resal_s)*(1-EXP(('2023'!Tnet_s-t)/'2023'!Tau_j)),Resal_s+(Salim-Resal_s)*(1-EXP((Tnet_s-t)/Tau_j)))*Salcycl</f>
        <v>4.3972320562193662E-2</v>
      </c>
      <c r="AD20" s="227">
        <f>(INDEX(Models!$BJ20:$BT20,,AH20)*(1-AF20)+INDEX(Models!$BJ20:$BT20,,AH20+1)*AF20-ERP_i)*AE20*Ramure*Pc/MaxiM</f>
        <v>1.1918495186832752E-3</v>
      </c>
      <c r="AE20" s="301">
        <f t="shared" si="13"/>
        <v>0.5</v>
      </c>
      <c r="AF20" s="173">
        <f t="shared" si="22"/>
        <v>0.98968907954506968</v>
      </c>
      <c r="AG20" s="801">
        <f t="shared" si="23"/>
        <v>0</v>
      </c>
      <c r="AH20" s="172">
        <f t="shared" si="14"/>
        <v>6</v>
      </c>
      <c r="AI20" s="221">
        <f t="shared" si="24"/>
        <v>0.98968907954506968</v>
      </c>
      <c r="AJ20" s="261" t="b">
        <f t="shared" si="15"/>
        <v>1</v>
      </c>
      <c r="AK20" s="261" t="b">
        <f t="shared" si="16"/>
        <v>0</v>
      </c>
      <c r="AL20" s="261"/>
      <c r="AM20" s="261"/>
      <c r="AN20" s="75"/>
    </row>
    <row r="21" spans="1:40" s="6" customFormat="1" ht="11.25" customHeight="1" x14ac:dyDescent="0.2">
      <c r="A21" s="56">
        <f t="shared" si="17"/>
        <v>45298</v>
      </c>
      <c r="B21" s="406">
        <f>'2023'!Wh/'2023'!Env_an*'2024'!Env_an</f>
        <v>37.58871910592525</v>
      </c>
      <c r="C21" s="385"/>
      <c r="D21" s="388">
        <f t="shared" si="0"/>
        <v>38.041146994187251</v>
      </c>
      <c r="E21" s="380">
        <f t="shared" si="18"/>
        <v>39.792156330011345</v>
      </c>
      <c r="F21" s="380">
        <f t="shared" si="1"/>
        <v>39.797849706955802</v>
      </c>
      <c r="G21" s="110">
        <f t="shared" si="19"/>
        <v>0.38256814335105771</v>
      </c>
      <c r="H21" s="409" t="b">
        <f>Wh_hp&gt;='2023'!Maxi_hp</f>
        <v>0</v>
      </c>
      <c r="I21" s="375">
        <f>IF(H21,Wh_hp,'2023'!Maxi_hp)</f>
        <v>39.840230222025987</v>
      </c>
      <c r="J21" s="85">
        <f>IF(H21,An,'2023'!An_max)</f>
        <v>2022</v>
      </c>
      <c r="K21" s="193">
        <f t="shared" si="20"/>
        <v>45298</v>
      </c>
      <c r="L21" s="143">
        <f>IF(t&lt;Tvie,1-EXP((T0-t)*PertePVj)+'2023'!Pspv,1-EXP((T0-t)*PertePVj)+Pspv)</f>
        <v>1.1893119004301567E-2</v>
      </c>
      <c r="M21" s="835"/>
      <c r="N21" s="835"/>
      <c r="O21" s="48">
        <f>IF(t&lt;Tnet,'2023'!Resal+('2023'!Salim-'2023'!Resal)*(1-EXP(('2023'!Tnet-t)/('2023'!Tau_j))),Resal+(Salim-Resal)*(1-EXP((Tnet-t)/(Tau_j))))*Salcycl</f>
        <v>4.4003881601748569E-2</v>
      </c>
      <c r="P21" s="165">
        <f>(INDEX(Models!$BJ21:$BT21,,T21)*(1-R21)+INDEX(Models!$BJ21:$BT21,,T21+1)*R21-ERP_i)*Q21*Ramure*Pc/MaxiM</f>
        <v>1.2068627983311566E-3</v>
      </c>
      <c r="Q21" s="301">
        <f t="shared" si="2"/>
        <v>0.5</v>
      </c>
      <c r="R21" s="173">
        <f t="shared" si="3"/>
        <v>0.98972493515613291</v>
      </c>
      <c r="S21" s="801">
        <f t="shared" si="4"/>
        <v>0</v>
      </c>
      <c r="T21" s="172">
        <f t="shared" si="5"/>
        <v>6</v>
      </c>
      <c r="U21" s="247">
        <f t="shared" si="21"/>
        <v>0.98972493515613291</v>
      </c>
      <c r="V21" s="378">
        <f t="shared" si="6"/>
        <v>98.14911919610374</v>
      </c>
      <c r="W21" s="397">
        <f t="shared" si="7"/>
        <v>37.58871910592525</v>
      </c>
      <c r="X21" s="153">
        <f t="shared" si="8"/>
        <v>45298</v>
      </c>
      <c r="Y21" s="380">
        <f t="shared" si="9"/>
        <v>37.58871910592525</v>
      </c>
      <c r="Z21" s="380">
        <f t="shared" si="10"/>
        <v>38.041146994187251</v>
      </c>
      <c r="AA21" s="381">
        <f t="shared" si="11"/>
        <v>39.792156330011345</v>
      </c>
      <c r="AB21" s="193">
        <f t="shared" si="12"/>
        <v>45298</v>
      </c>
      <c r="AC21" s="119">
        <f>IF(OR(t&lt;Tnet,NoTnet),'2023'!Resal_s+('2023'!Salim-'2023'!Resal_s)*(1-EXP(('2023'!Tnet_s-t)/'2023'!Tau_j)),Resal_s+(Salim-Resal_s)*(1-EXP((Tnet_s-t)/Tau_j)))*Salcycl</f>
        <v>4.4003881601748569E-2</v>
      </c>
      <c r="AD21" s="227">
        <f>(INDEX(Models!$BJ21:$BT21,,AH21)*(1-AF21)+INDEX(Models!$BJ21:$BT21,,AH21+1)*AF21-ERP_i)*AE21*Ramure*Pc/MaxiM</f>
        <v>1.2068627983311566E-3</v>
      </c>
      <c r="AE21" s="301">
        <f t="shared" si="13"/>
        <v>0.5</v>
      </c>
      <c r="AF21" s="173">
        <f t="shared" si="22"/>
        <v>0.98972493515613291</v>
      </c>
      <c r="AG21" s="801">
        <f t="shared" si="23"/>
        <v>0</v>
      </c>
      <c r="AH21" s="172">
        <f t="shared" si="14"/>
        <v>6</v>
      </c>
      <c r="AI21" s="221">
        <f t="shared" si="24"/>
        <v>0.98972493515613291</v>
      </c>
      <c r="AJ21" s="261" t="b">
        <f t="shared" si="15"/>
        <v>1</v>
      </c>
      <c r="AK21" s="261" t="b">
        <f t="shared" si="16"/>
        <v>0</v>
      </c>
      <c r="AL21" s="261"/>
      <c r="AM21" s="261"/>
      <c r="AN21" s="75"/>
    </row>
    <row r="22" spans="1:40" s="6" customFormat="1" ht="11.25" customHeight="1" x14ac:dyDescent="0.2">
      <c r="A22" s="56">
        <f t="shared" si="17"/>
        <v>45299</v>
      </c>
      <c r="B22" s="406">
        <f>'2023'!Wh/'2023'!Env_an*'2024'!Env_an</f>
        <v>25.167000155006118</v>
      </c>
      <c r="C22" s="385"/>
      <c r="D22" s="388">
        <f t="shared" si="0"/>
        <v>25.470265574367257</v>
      </c>
      <c r="E22" s="380">
        <f t="shared" si="18"/>
        <v>26.643525779827225</v>
      </c>
      <c r="F22" s="380">
        <f t="shared" si="1"/>
        <v>26.643525779827225</v>
      </c>
      <c r="G22" s="110">
        <f t="shared" si="19"/>
        <v>0.2541496630911132</v>
      </c>
      <c r="H22" s="409" t="b">
        <f>Wh_hp&gt;='2023'!Maxi_hp</f>
        <v>0</v>
      </c>
      <c r="I22" s="375">
        <f>IF(H22,Wh_hp,'2023'!Maxi_hp)</f>
        <v>26.676117567913273</v>
      </c>
      <c r="J22" s="85">
        <f>IF(H22,An,'2023'!An_max)</f>
        <v>2022</v>
      </c>
      <c r="K22" s="193">
        <f t="shared" si="20"/>
        <v>45299</v>
      </c>
      <c r="L22" s="143">
        <f>IF(t&lt;Tvie,1-EXP((T0-t)*PertePVj)+'2023'!Pspv,1-EXP((T0-t)*PertePVj)+Pspv)</f>
        <v>1.1906645357728007E-2</v>
      </c>
      <c r="M22" s="835"/>
      <c r="N22" s="835"/>
      <c r="O22" s="48">
        <f>IF(t&lt;Tnet,'2023'!Resal+('2023'!Salim-'2023'!Resal)*(1-EXP(('2023'!Tnet-t)/('2023'!Tau_j))),Resal+(Salim-Resal)*(1-EXP((Tnet-t)/(Tau_j))))*Salcycl</f>
        <v>4.4035470949129608E-2</v>
      </c>
      <c r="P22" s="165">
        <f>(INDEX(Models!$BJ22:$BT22,,T22)*(1-R22)+INDEX(Models!$BJ22:$BT22,,T22+1)*R22-ERP_i)*Q22*Ramure*Pc/MaxiM</f>
        <v>1.2220249076047823E-3</v>
      </c>
      <c r="Q22" s="301">
        <f t="shared" si="2"/>
        <v>0.5</v>
      </c>
      <c r="R22" s="173">
        <f t="shared" si="3"/>
        <v>0.98976228951213008</v>
      </c>
      <c r="S22" s="801">
        <f t="shared" si="4"/>
        <v>0</v>
      </c>
      <c r="T22" s="172">
        <f t="shared" si="5"/>
        <v>6</v>
      </c>
      <c r="U22" s="247">
        <f t="shared" si="21"/>
        <v>0.98976228951213008</v>
      </c>
      <c r="V22" s="378">
        <f t="shared" si="6"/>
        <v>98.903319989669271</v>
      </c>
      <c r="W22" s="397">
        <f t="shared" si="7"/>
        <v>25.167000155006118</v>
      </c>
      <c r="X22" s="153">
        <f t="shared" si="8"/>
        <v>45299</v>
      </c>
      <c r="Y22" s="380">
        <f t="shared" si="9"/>
        <v>25.167000155006118</v>
      </c>
      <c r="Z22" s="380">
        <f t="shared" si="10"/>
        <v>25.470265574367257</v>
      </c>
      <c r="AA22" s="381">
        <f t="shared" si="11"/>
        <v>26.643525779827225</v>
      </c>
      <c r="AB22" s="193">
        <f t="shared" si="12"/>
        <v>45299</v>
      </c>
      <c r="AC22" s="119">
        <f>IF(OR(t&lt;Tnet,NoTnet),'2023'!Resal_s+('2023'!Salim-'2023'!Resal_s)*(1-EXP(('2023'!Tnet_s-t)/'2023'!Tau_j)),Resal_s+(Salim-Resal_s)*(1-EXP((Tnet_s-t)/Tau_j)))*Salcycl</f>
        <v>4.4035470949129608E-2</v>
      </c>
      <c r="AD22" s="227">
        <f>(INDEX(Models!$BJ22:$BT22,,AH22)*(1-AF22)+INDEX(Models!$BJ22:$BT22,,AH22+1)*AF22-ERP_i)*AE22*Ramure*Pc/MaxiM</f>
        <v>1.2220249076047823E-3</v>
      </c>
      <c r="AE22" s="301">
        <f t="shared" si="13"/>
        <v>0.5</v>
      </c>
      <c r="AF22" s="173">
        <f t="shared" si="22"/>
        <v>0.98976228951213008</v>
      </c>
      <c r="AG22" s="801">
        <f t="shared" si="23"/>
        <v>0</v>
      </c>
      <c r="AH22" s="172">
        <f t="shared" si="14"/>
        <v>6</v>
      </c>
      <c r="AI22" s="221">
        <f t="shared" si="24"/>
        <v>0.98976228951213008</v>
      </c>
      <c r="AJ22" s="261" t="b">
        <f t="shared" si="15"/>
        <v>1</v>
      </c>
      <c r="AK22" s="261" t="b">
        <f t="shared" si="16"/>
        <v>0</v>
      </c>
      <c r="AL22" s="261"/>
      <c r="AM22" s="261"/>
      <c r="AN22" s="75"/>
    </row>
    <row r="23" spans="1:40" s="6" customFormat="1" ht="11.25" customHeight="1" x14ac:dyDescent="0.2">
      <c r="A23" s="56">
        <f t="shared" si="17"/>
        <v>45300</v>
      </c>
      <c r="B23" s="406">
        <f>'2023'!Wh/'2023'!Env_an*'2024'!Env_an</f>
        <v>7.857697961949115</v>
      </c>
      <c r="C23" s="385"/>
      <c r="D23" s="388">
        <f t="shared" si="0"/>
        <v>7.9524930430818941</v>
      </c>
      <c r="E23" s="380">
        <f t="shared" si="18"/>
        <v>8.3190911358265041</v>
      </c>
      <c r="F23" s="380">
        <f t="shared" si="1"/>
        <v>8.3190911358265041</v>
      </c>
      <c r="G23" s="110">
        <f t="shared" si="19"/>
        <v>7.8723136072047298E-2</v>
      </c>
      <c r="H23" s="409" t="b">
        <f>Wh_hp&gt;='2023'!Maxi_hp</f>
        <v>0</v>
      </c>
      <c r="I23" s="375">
        <f>IF(H23,Wh_hp,'2023'!Maxi_hp)</f>
        <v>8.3293938096908722</v>
      </c>
      <c r="J23" s="85">
        <f>IF(H23,An,'2023'!An_max)</f>
        <v>2022</v>
      </c>
      <c r="K23" s="193">
        <f t="shared" si="20"/>
        <v>45300</v>
      </c>
      <c r="L23" s="143">
        <f>IF(t&lt;Tvie,1-EXP((T0-t)*PertePVj)+'2023'!Pspv,1-EXP((T0-t)*PertePVj)+Pspv)</f>
        <v>1.192017152599012E-2</v>
      </c>
      <c r="M23" s="835"/>
      <c r="N23" s="835"/>
      <c r="O23" s="48">
        <f>IF(t&lt;Tnet,'2023'!Resal+('2023'!Salim-'2023'!Resal)*(1-EXP(('2023'!Tnet-t)/('2023'!Tau_j))),Resal+(Salim-Resal)*(1-EXP((Tnet-t)/(Tau_j))))*Salcycl</f>
        <v>4.4067084584016765E-2</v>
      </c>
      <c r="P23" s="165">
        <f>(INDEX(Models!$BJ23:$BT23,,T23)*(1-R23)+INDEX(Models!$BJ23:$BT23,,T23+1)*R23-ERP_i)*Q23*Ramure*Pc/MaxiM</f>
        <v>1.2372170611168181E-3</v>
      </c>
      <c r="Q23" s="301">
        <f t="shared" si="2"/>
        <v>0.5</v>
      </c>
      <c r="R23" s="173">
        <f t="shared" si="3"/>
        <v>0.9898012050211652</v>
      </c>
      <c r="S23" s="801">
        <f t="shared" si="4"/>
        <v>0</v>
      </c>
      <c r="T23" s="172">
        <f t="shared" si="5"/>
        <v>6</v>
      </c>
      <c r="U23" s="247">
        <f t="shared" si="21"/>
        <v>0.9898012050211652</v>
      </c>
      <c r="V23" s="378">
        <f t="shared" si="6"/>
        <v>99.690849165193725</v>
      </c>
      <c r="W23" s="397">
        <f t="shared" si="7"/>
        <v>7.857697961949115</v>
      </c>
      <c r="X23" s="153">
        <f t="shared" si="8"/>
        <v>45300</v>
      </c>
      <c r="Y23" s="380">
        <f t="shared" si="9"/>
        <v>7.8576979619491141</v>
      </c>
      <c r="Z23" s="380">
        <f t="shared" si="10"/>
        <v>7.9524930430818932</v>
      </c>
      <c r="AA23" s="381">
        <f t="shared" si="11"/>
        <v>8.3190911358265041</v>
      </c>
      <c r="AB23" s="193">
        <f t="shared" si="12"/>
        <v>45300</v>
      </c>
      <c r="AC23" s="119">
        <f>IF(OR(t&lt;Tnet,NoTnet),'2023'!Resal_s+('2023'!Salim-'2023'!Resal_s)*(1-EXP(('2023'!Tnet_s-t)/'2023'!Tau_j)),Resal_s+(Salim-Resal_s)*(1-EXP((Tnet_s-t)/Tau_j)))*Salcycl</f>
        <v>4.4067084584016765E-2</v>
      </c>
      <c r="AD23" s="227">
        <f>(INDEX(Models!$BJ23:$BT23,,AH23)*(1-AF23)+INDEX(Models!$BJ23:$BT23,,AH23+1)*AF23-ERP_i)*AE23*Ramure*Pc/MaxiM</f>
        <v>1.2372170611168181E-3</v>
      </c>
      <c r="AE23" s="301">
        <f t="shared" si="13"/>
        <v>0.5</v>
      </c>
      <c r="AF23" s="173">
        <f t="shared" si="22"/>
        <v>0.9898012050211652</v>
      </c>
      <c r="AG23" s="801">
        <f t="shared" si="23"/>
        <v>0</v>
      </c>
      <c r="AH23" s="172">
        <f t="shared" si="14"/>
        <v>6</v>
      </c>
      <c r="AI23" s="221">
        <f t="shared" si="24"/>
        <v>0.9898012050211652</v>
      </c>
      <c r="AJ23" s="261" t="b">
        <f t="shared" si="15"/>
        <v>1</v>
      </c>
      <c r="AK23" s="261" t="b">
        <f t="shared" si="16"/>
        <v>0</v>
      </c>
      <c r="AL23" s="261"/>
      <c r="AM23" s="261"/>
      <c r="AN23" s="75"/>
    </row>
    <row r="24" spans="1:40" s="6" customFormat="1" ht="11.25" customHeight="1" x14ac:dyDescent="0.2">
      <c r="A24" s="56">
        <f t="shared" si="17"/>
        <v>45301</v>
      </c>
      <c r="B24" s="406">
        <f>'2023'!Wh/'2023'!Env_an*'2024'!Env_an</f>
        <v>7.2237768093746553</v>
      </c>
      <c r="C24" s="385"/>
      <c r="D24" s="388">
        <f t="shared" si="0"/>
        <v>7.3110243625995066</v>
      </c>
      <c r="E24" s="380">
        <f t="shared" si="18"/>
        <v>7.6483048111215499</v>
      </c>
      <c r="F24" s="380">
        <f t="shared" si="1"/>
        <v>7.6483048111215499</v>
      </c>
      <c r="G24" s="110">
        <f t="shared" si="19"/>
        <v>7.1774469920965978E-2</v>
      </c>
      <c r="H24" s="409" t="b">
        <f>Wh_hp&gt;='2023'!Maxi_hp</f>
        <v>0</v>
      </c>
      <c r="I24" s="375">
        <f>IF(H24,Wh_hp,'2023'!Maxi_hp)</f>
        <v>7.65787086076881</v>
      </c>
      <c r="J24" s="85">
        <f>IF(H24,An,'2023'!An_max)</f>
        <v>2022</v>
      </c>
      <c r="K24" s="193">
        <f t="shared" si="20"/>
        <v>45301</v>
      </c>
      <c r="L24" s="143">
        <f>IF(t&lt;Tvie,1-EXP((T0-t)*PertePVj)+'2023'!Pspv,1-EXP((T0-t)*PertePVj)+Pspv)</f>
        <v>1.1933697509090235E-2</v>
      </c>
      <c r="M24" s="835"/>
      <c r="N24" s="835"/>
      <c r="O24" s="48">
        <f>IF(t&lt;Tnet,'2023'!Resal+('2023'!Salim-'2023'!Resal)*(1-EXP(('2023'!Tnet-t)/('2023'!Tau_j))),Resal+(Salim-Resal)*(1-EXP((Tnet-t)/(Tau_j))))*Salcycl</f>
        <v>4.4098719500770649E-2</v>
      </c>
      <c r="P24" s="165">
        <f>(INDEX(Models!$BJ24:$BT24,,T24)*(1-R24)+INDEX(Models!$BJ24:$BT24,,T24+1)*R24-ERP_i)*Q24*Ramure*Pc/MaxiM</f>
        <v>1.2495369488212578E-3</v>
      </c>
      <c r="Q24" s="301">
        <f t="shared" si="2"/>
        <v>0.5</v>
      </c>
      <c r="R24" s="173">
        <f t="shared" si="3"/>
        <v>0.98984174666963476</v>
      </c>
      <c r="S24" s="801">
        <f t="shared" si="4"/>
        <v>0</v>
      </c>
      <c r="T24" s="172">
        <f t="shared" si="5"/>
        <v>6</v>
      </c>
      <c r="U24" s="247">
        <f t="shared" si="21"/>
        <v>0.98984174666963476</v>
      </c>
      <c r="V24" s="378">
        <f t="shared" si="6"/>
        <v>100.51973133742098</v>
      </c>
      <c r="W24" s="397">
        <f t="shared" si="7"/>
        <v>7.2237768093746553</v>
      </c>
      <c r="X24" s="153">
        <f t="shared" si="8"/>
        <v>45301</v>
      </c>
      <c r="Y24" s="380">
        <f t="shared" si="9"/>
        <v>7.2237768093746553</v>
      </c>
      <c r="Z24" s="380">
        <f t="shared" si="10"/>
        <v>7.3110243625995066</v>
      </c>
      <c r="AA24" s="381">
        <f t="shared" si="11"/>
        <v>7.6483048111215499</v>
      </c>
      <c r="AB24" s="193">
        <f t="shared" si="12"/>
        <v>45301</v>
      </c>
      <c r="AC24" s="119">
        <f>IF(OR(t&lt;Tnet,NoTnet),'2023'!Resal_s+('2023'!Salim-'2023'!Resal_s)*(1-EXP(('2023'!Tnet_s-t)/'2023'!Tau_j)),Resal_s+(Salim-Resal_s)*(1-EXP((Tnet_s-t)/Tau_j)))*Salcycl</f>
        <v>4.4098719500770649E-2</v>
      </c>
      <c r="AD24" s="227">
        <f>(INDEX(Models!$BJ24:$BT24,,AH24)*(1-AF24)+INDEX(Models!$BJ24:$BT24,,AH24+1)*AF24-ERP_i)*AE24*Ramure*Pc/MaxiM</f>
        <v>1.2495369488212578E-3</v>
      </c>
      <c r="AE24" s="301">
        <f t="shared" si="13"/>
        <v>0.5</v>
      </c>
      <c r="AF24" s="173">
        <f t="shared" si="22"/>
        <v>0.98984174666963476</v>
      </c>
      <c r="AG24" s="801">
        <f t="shared" si="23"/>
        <v>0</v>
      </c>
      <c r="AH24" s="172">
        <f t="shared" si="14"/>
        <v>6</v>
      </c>
      <c r="AI24" s="221">
        <f t="shared" si="24"/>
        <v>0.98984174666963476</v>
      </c>
      <c r="AJ24" s="261" t="b">
        <f t="shared" si="15"/>
        <v>1</v>
      </c>
      <c r="AK24" s="261" t="b">
        <f t="shared" si="16"/>
        <v>0</v>
      </c>
      <c r="AL24" s="261"/>
      <c r="AM24" s="261"/>
      <c r="AN24" s="75"/>
    </row>
    <row r="25" spans="1:40" s="6" customFormat="1" ht="11.25" customHeight="1" x14ac:dyDescent="0.2">
      <c r="A25" s="56">
        <f t="shared" si="17"/>
        <v>45302</v>
      </c>
      <c r="B25" s="406">
        <f>'2023'!Wh/'2023'!Env_an*'2024'!Env_an</f>
        <v>96.852015144086664</v>
      </c>
      <c r="C25" s="385"/>
      <c r="D25" s="388">
        <f t="shared" si="0"/>
        <v>98.023119238885371</v>
      </c>
      <c r="E25" s="380">
        <f t="shared" si="18"/>
        <v>102.54862853116481</v>
      </c>
      <c r="F25" s="380">
        <f t="shared" si="1"/>
        <v>102.66949145856793</v>
      </c>
      <c r="G25" s="110">
        <f t="shared" si="19"/>
        <v>0.95518670697187491</v>
      </c>
      <c r="H25" s="409" t="b">
        <f>Wh_hp&gt;='2023'!Maxi_hp</f>
        <v>0</v>
      </c>
      <c r="I25" s="375">
        <f>IF(H25,Wh_hp,'2023'!Maxi_hp)</f>
        <v>102.67775078920764</v>
      </c>
      <c r="J25" s="85">
        <f>IF(H25,An,'2023'!An_max)</f>
        <v>2022</v>
      </c>
      <c r="K25" s="193">
        <f t="shared" si="20"/>
        <v>45302</v>
      </c>
      <c r="L25" s="143">
        <f>IF(t&lt;Tvie,1-EXP((T0-t)*PertePVj)+'2023'!Pspv,1-EXP((T0-t)*PertePVj)+Pspv)</f>
        <v>1.194722330703113E-2</v>
      </c>
      <c r="M25" s="835"/>
      <c r="N25" s="835"/>
      <c r="O25" s="48">
        <f>IF(t&lt;Tnet,'2023'!Resal+('2023'!Salim-'2023'!Resal)*(1-EXP(('2023'!Tnet-t)/('2023'!Tau_j))),Resal+(Salim-Resal)*(1-EXP((Tnet-t)/(Tau_j))))*Salcycl</f>
        <v>4.4130373629561778E-2</v>
      </c>
      <c r="P25" s="165">
        <f>(INDEX(Models!$BJ25:$BT25,,T25)*(1-R25)+INDEX(Models!$BJ25:$BT25,,T25+1)*R25-ERP_i)*Q25*Ramure*Pc/MaxiM</f>
        <v>1.257574471990398E-3</v>
      </c>
      <c r="Q25" s="301">
        <f t="shared" si="2"/>
        <v>0.5</v>
      </c>
      <c r="R25" s="173">
        <f t="shared" si="3"/>
        <v>0.98988398212700079</v>
      </c>
      <c r="S25" s="801">
        <f t="shared" si="4"/>
        <v>0</v>
      </c>
      <c r="T25" s="172">
        <f t="shared" si="5"/>
        <v>6</v>
      </c>
      <c r="U25" s="247">
        <f t="shared" si="21"/>
        <v>0.98988398212700079</v>
      </c>
      <c r="V25" s="378">
        <f t="shared" si="6"/>
        <v>101.38774044143182</v>
      </c>
      <c r="W25" s="397">
        <f t="shared" si="7"/>
        <v>96.852015144086664</v>
      </c>
      <c r="X25" s="153">
        <f t="shared" si="8"/>
        <v>45302</v>
      </c>
      <c r="Y25" s="380">
        <f t="shared" si="9"/>
        <v>96.852015144086664</v>
      </c>
      <c r="Z25" s="380">
        <f t="shared" si="10"/>
        <v>98.023119238885371</v>
      </c>
      <c r="AA25" s="381">
        <f t="shared" si="11"/>
        <v>102.54862853116481</v>
      </c>
      <c r="AB25" s="193">
        <f t="shared" si="12"/>
        <v>45302</v>
      </c>
      <c r="AC25" s="119">
        <f>IF(OR(t&lt;Tnet,NoTnet),'2023'!Resal_s+('2023'!Salim-'2023'!Resal_s)*(1-EXP(('2023'!Tnet_s-t)/'2023'!Tau_j)),Resal_s+(Salim-Resal_s)*(1-EXP((Tnet_s-t)/Tau_j)))*Salcycl</f>
        <v>4.4130373629561778E-2</v>
      </c>
      <c r="AD25" s="227">
        <f>(INDEX(Models!$BJ25:$BT25,,AH25)*(1-AF25)+INDEX(Models!$BJ25:$BT25,,AH25+1)*AF25-ERP_i)*AE25*Ramure*Pc/MaxiM</f>
        <v>1.257574471990398E-3</v>
      </c>
      <c r="AE25" s="301">
        <f t="shared" si="13"/>
        <v>0.5</v>
      </c>
      <c r="AF25" s="173">
        <f t="shared" si="22"/>
        <v>0.98988398212700079</v>
      </c>
      <c r="AG25" s="801">
        <f t="shared" si="23"/>
        <v>0</v>
      </c>
      <c r="AH25" s="172">
        <f t="shared" si="14"/>
        <v>6</v>
      </c>
      <c r="AI25" s="221">
        <f t="shared" si="24"/>
        <v>0.98988398212700079</v>
      </c>
      <c r="AJ25" s="261" t="b">
        <f t="shared" si="15"/>
        <v>1</v>
      </c>
      <c r="AK25" s="261" t="b">
        <f t="shared" si="16"/>
        <v>0</v>
      </c>
      <c r="AL25" s="261"/>
      <c r="AM25" s="261"/>
      <c r="AN25" s="75"/>
    </row>
    <row r="26" spans="1:40" s="6" customFormat="1" ht="11.25" customHeight="1" x14ac:dyDescent="0.2">
      <c r="A26" s="56">
        <f t="shared" si="17"/>
        <v>45303</v>
      </c>
      <c r="B26" s="406">
        <f>'2023'!Wh/'2023'!Env_an*'2024'!Env_an</f>
        <v>83.040484758219861</v>
      </c>
      <c r="C26" s="385"/>
      <c r="D26" s="388">
        <f t="shared" si="0"/>
        <v>84.045734688611731</v>
      </c>
      <c r="E26" s="380">
        <f t="shared" si="18"/>
        <v>87.928852704690499</v>
      </c>
      <c r="F26" s="380">
        <f t="shared" si="1"/>
        <v>88.010023865980799</v>
      </c>
      <c r="G26" s="110">
        <f t="shared" si="19"/>
        <v>0.81151888186087751</v>
      </c>
      <c r="H26" s="409" t="b">
        <f>Wh_hp&gt;='2023'!Maxi_hp</f>
        <v>0</v>
      </c>
      <c r="I26" s="375">
        <f>IF(H26,Wh_hp,'2023'!Maxi_hp)</f>
        <v>88.039900443053</v>
      </c>
      <c r="J26" s="85">
        <f>IF(H26,An,'2023'!An_max)</f>
        <v>2022</v>
      </c>
      <c r="K26" s="193">
        <f t="shared" si="20"/>
        <v>45303</v>
      </c>
      <c r="L26" s="143">
        <f>IF(t&lt;Tvie,1-EXP((T0-t)*PertePVj)+'2023'!Pspv,1-EXP((T0-t)*PertePVj)+Pspv)</f>
        <v>1.1960748919815023E-2</v>
      </c>
      <c r="M26" s="835"/>
      <c r="N26" s="835"/>
      <c r="O26" s="48">
        <f>IF(t&lt;Tnet,'2023'!Resal+('2023'!Salim-'2023'!Resal)*(1-EXP(('2023'!Tnet-t)/('2023'!Tau_j))),Resal+(Salim-Resal)*(1-EXP((Tnet-t)/(Tau_j))))*Salcycl</f>
        <v>4.4162045752151859E-2</v>
      </c>
      <c r="P26" s="165">
        <f>(INDEX(Models!$BJ26:$BT26,,T26)*(1-R26)+INDEX(Models!$BJ26:$BT26,,T26+1)*R26-ERP_i)*Q26*Ramure*Pc/MaxiM</f>
        <v>1.2614559092067239E-3</v>
      </c>
      <c r="Q26" s="301">
        <f t="shared" si="2"/>
        <v>0.5</v>
      </c>
      <c r="R26" s="173">
        <f t="shared" si="3"/>
        <v>0.9899279818546719</v>
      </c>
      <c r="S26" s="801">
        <f t="shared" si="4"/>
        <v>0</v>
      </c>
      <c r="T26" s="172">
        <f t="shared" si="5"/>
        <v>6</v>
      </c>
      <c r="U26" s="247">
        <f t="shared" si="21"/>
        <v>0.9899279818546719</v>
      </c>
      <c r="V26" s="378">
        <f t="shared" si="6"/>
        <v>102.29249927093493</v>
      </c>
      <c r="W26" s="397">
        <f t="shared" si="7"/>
        <v>83.040484758219861</v>
      </c>
      <c r="X26" s="153">
        <f t="shared" si="8"/>
        <v>45303</v>
      </c>
      <c r="Y26" s="380">
        <f t="shared" si="9"/>
        <v>83.040484758219861</v>
      </c>
      <c r="Z26" s="380">
        <f t="shared" si="10"/>
        <v>84.045734688611731</v>
      </c>
      <c r="AA26" s="381">
        <f t="shared" si="11"/>
        <v>87.928852704690499</v>
      </c>
      <c r="AB26" s="193">
        <f t="shared" si="12"/>
        <v>45303</v>
      </c>
      <c r="AC26" s="119">
        <f>IF(OR(t&lt;Tnet,NoTnet),'2023'!Resal_s+('2023'!Salim-'2023'!Resal_s)*(1-EXP(('2023'!Tnet_s-t)/'2023'!Tau_j)),Resal_s+(Salim-Resal_s)*(1-EXP((Tnet_s-t)/Tau_j)))*Salcycl</f>
        <v>4.4162045752151859E-2</v>
      </c>
      <c r="AD26" s="227">
        <f>(INDEX(Models!$BJ26:$BT26,,AH26)*(1-AF26)+INDEX(Models!$BJ26:$BT26,,AH26+1)*AF26-ERP_i)*AE26*Ramure*Pc/MaxiM</f>
        <v>1.2614559092067239E-3</v>
      </c>
      <c r="AE26" s="301">
        <f t="shared" si="13"/>
        <v>0.5</v>
      </c>
      <c r="AF26" s="173">
        <f t="shared" si="22"/>
        <v>0.9899279818546719</v>
      </c>
      <c r="AG26" s="801">
        <f t="shared" si="23"/>
        <v>0</v>
      </c>
      <c r="AH26" s="172">
        <f t="shared" si="14"/>
        <v>6</v>
      </c>
      <c r="AI26" s="221">
        <f t="shared" si="24"/>
        <v>0.9899279818546719</v>
      </c>
      <c r="AJ26" s="261" t="b">
        <f t="shared" si="15"/>
        <v>1</v>
      </c>
      <c r="AK26" s="261" t="b">
        <f t="shared" si="16"/>
        <v>0</v>
      </c>
      <c r="AL26" s="261"/>
      <c r="AM26" s="261"/>
      <c r="AN26" s="75"/>
    </row>
    <row r="27" spans="1:40" s="6" customFormat="1" ht="11.25" customHeight="1" x14ac:dyDescent="0.2">
      <c r="A27" s="56">
        <f t="shared" si="17"/>
        <v>45304</v>
      </c>
      <c r="B27" s="406">
        <f>'2023'!Wh/'2023'!Env_an*'2024'!Env_an</f>
        <v>26.646678496393911</v>
      </c>
      <c r="C27" s="385"/>
      <c r="D27" s="388">
        <f t="shared" si="0"/>
        <v>26.96962012683905</v>
      </c>
      <c r="E27" s="380">
        <f t="shared" si="18"/>
        <v>28.21661787130331</v>
      </c>
      <c r="F27" s="380">
        <f t="shared" si="1"/>
        <v>28.21661787130331</v>
      </c>
      <c r="G27" s="110">
        <f t="shared" si="19"/>
        <v>0.25779955669753929</v>
      </c>
      <c r="H27" s="409" t="b">
        <f>Wh_hp&gt;='2023'!Maxi_hp</f>
        <v>0</v>
      </c>
      <c r="I27" s="375">
        <f>IF(H27,Wh_hp,'2023'!Maxi_hp)</f>
        <v>28.252238664990184</v>
      </c>
      <c r="J27" s="85">
        <f>IF(H27,An,'2023'!An_max)</f>
        <v>2022</v>
      </c>
      <c r="K27" s="193">
        <f t="shared" si="20"/>
        <v>45304</v>
      </c>
      <c r="L27" s="143">
        <f>IF(t&lt;Tvie,1-EXP((T0-t)*PertePVj)+'2023'!Pspv,1-EXP((T0-t)*PertePVj)+Pspv)</f>
        <v>1.1974274347444802E-2</v>
      </c>
      <c r="M27" s="835"/>
      <c r="N27" s="835"/>
      <c r="O27" s="48">
        <f>IF(t&lt;Tnet,'2023'!Resal+('2023'!Salim-'2023'!Resal)*(1-EXP(('2023'!Tnet-t)/('2023'!Tau_j))),Resal+(Salim-Resal)*(1-EXP((Tnet-t)/(Tau_j))))*Salcycl</f>
        <v>4.4193735413359837E-2</v>
      </c>
      <c r="P27" s="165">
        <f>(INDEX(Models!$BJ27:$BT27,,T27)*(1-R27)+INDEX(Models!$BJ27:$BT27,,T27+1)*R27-ERP_i)*Q27*Ramure*Pc/MaxiM</f>
        <v>1.2613126115976964E-3</v>
      </c>
      <c r="Q27" s="301">
        <f t="shared" si="2"/>
        <v>0.5</v>
      </c>
      <c r="R27" s="173">
        <f t="shared" si="3"/>
        <v>0.98997381921914096</v>
      </c>
      <c r="S27" s="801">
        <f t="shared" si="4"/>
        <v>0</v>
      </c>
      <c r="T27" s="172">
        <f t="shared" si="5"/>
        <v>6</v>
      </c>
      <c r="U27" s="247">
        <f t="shared" si="21"/>
        <v>0.98997381921914096</v>
      </c>
      <c r="V27" s="378">
        <f t="shared" si="6"/>
        <v>103.23163098365113</v>
      </c>
      <c r="W27" s="397">
        <f t="shared" si="7"/>
        <v>26.646678496393911</v>
      </c>
      <c r="X27" s="153">
        <f t="shared" si="8"/>
        <v>45304</v>
      </c>
      <c r="Y27" s="380">
        <f t="shared" si="9"/>
        <v>26.646678496393911</v>
      </c>
      <c r="Z27" s="380">
        <f t="shared" si="10"/>
        <v>26.96962012683905</v>
      </c>
      <c r="AA27" s="381">
        <f t="shared" si="11"/>
        <v>28.21661787130331</v>
      </c>
      <c r="AB27" s="193">
        <f t="shared" si="12"/>
        <v>45304</v>
      </c>
      <c r="AC27" s="119">
        <f>IF(OR(t&lt;Tnet,NoTnet),'2023'!Resal_s+('2023'!Salim-'2023'!Resal_s)*(1-EXP(('2023'!Tnet_s-t)/'2023'!Tau_j)),Resal_s+(Salim-Resal_s)*(1-EXP((Tnet_s-t)/Tau_j)))*Salcycl</f>
        <v>4.4193735413359837E-2</v>
      </c>
      <c r="AD27" s="227">
        <f>(INDEX(Models!$BJ27:$BT27,,AH27)*(1-AF27)+INDEX(Models!$BJ27:$BT27,,AH27+1)*AF27-ERP_i)*AE27*Ramure*Pc/MaxiM</f>
        <v>1.2613126115976964E-3</v>
      </c>
      <c r="AE27" s="301">
        <f t="shared" si="13"/>
        <v>0.5</v>
      </c>
      <c r="AF27" s="173">
        <f t="shared" si="22"/>
        <v>0.98997381921914096</v>
      </c>
      <c r="AG27" s="801">
        <f t="shared" si="23"/>
        <v>0</v>
      </c>
      <c r="AH27" s="172">
        <f t="shared" si="14"/>
        <v>6</v>
      </c>
      <c r="AI27" s="221">
        <f t="shared" si="24"/>
        <v>0.98997381921914096</v>
      </c>
      <c r="AJ27" s="261" t="b">
        <f t="shared" si="15"/>
        <v>1</v>
      </c>
      <c r="AK27" s="261" t="b">
        <f t="shared" si="16"/>
        <v>0</v>
      </c>
      <c r="AL27" s="261"/>
      <c r="AM27" s="261"/>
      <c r="AN27" s="75"/>
    </row>
    <row r="28" spans="1:40" s="6" customFormat="1" ht="11.25" customHeight="1" x14ac:dyDescent="0.2">
      <c r="A28" s="56">
        <f t="shared" si="17"/>
        <v>45305</v>
      </c>
      <c r="B28" s="406">
        <f>'2023'!Wh/'2023'!Env_an*'2024'!Env_an</f>
        <v>106.27387325832369</v>
      </c>
      <c r="C28" s="385"/>
      <c r="D28" s="388">
        <f t="shared" si="0"/>
        <v>107.56332079119511</v>
      </c>
      <c r="E28" s="380">
        <f t="shared" si="18"/>
        <v>112.54047304795574</v>
      </c>
      <c r="F28" s="380">
        <f t="shared" si="1"/>
        <v>112.68214599647807</v>
      </c>
      <c r="G28" s="110">
        <f t="shared" si="19"/>
        <v>1.0198758094816887</v>
      </c>
      <c r="H28" s="409" t="b">
        <f>Wh_hp&gt;='2023'!Maxi_hp</f>
        <v>1</v>
      </c>
      <c r="I28" s="375">
        <f>IF(H28,Wh_hp,'2023'!Maxi_hp)</f>
        <v>112.68214599647807</v>
      </c>
      <c r="J28" s="85">
        <f>IF(H28,An,'2023'!An_max)</f>
        <v>2024</v>
      </c>
      <c r="K28" s="193">
        <f t="shared" si="20"/>
        <v>45305</v>
      </c>
      <c r="L28" s="143">
        <f>IF(t&lt;Tvie,1-EXP((T0-t)*PertePVj)+'2023'!Pspv,1-EXP((T0-t)*PertePVj)+Pspv)</f>
        <v>1.1987799589922798E-2</v>
      </c>
      <c r="M28" s="835"/>
      <c r="N28" s="835"/>
      <c r="O28" s="48">
        <f>IF(t&lt;Tnet,'2023'!Resal+('2023'!Salim-'2023'!Resal)*(1-EXP(('2023'!Tnet-t)/('2023'!Tau_j))),Resal+(Salim-Resal)*(1-EXP((Tnet-t)/(Tau_j))))*Salcycl</f>
        <v>4.4225442829263481E-2</v>
      </c>
      <c r="P28" s="165">
        <f>(INDEX(Models!$BJ28:$BT28,,T28)*(1-R28)+INDEX(Models!$BJ28:$BT28,,T28+1)*R28-ERP_i)*Q28*Ramure*Pc/MaxiM</f>
        <v>1.2572794675631581E-3</v>
      </c>
      <c r="Q28" s="301">
        <f t="shared" si="2"/>
        <v>0.5</v>
      </c>
      <c r="R28" s="173">
        <f t="shared" si="3"/>
        <v>0.99002157060953044</v>
      </c>
      <c r="S28" s="801">
        <f t="shared" si="4"/>
        <v>0</v>
      </c>
      <c r="T28" s="172">
        <f t="shared" si="5"/>
        <v>6</v>
      </c>
      <c r="U28" s="247">
        <f t="shared" si="21"/>
        <v>0.99002157060953044</v>
      </c>
      <c r="V28" s="378">
        <f t="shared" si="6"/>
        <v>104.20275907155123</v>
      </c>
      <c r="W28" s="397">
        <f t="shared" si="7"/>
        <v>106.27387325832369</v>
      </c>
      <c r="X28" s="153">
        <f t="shared" si="8"/>
        <v>45305</v>
      </c>
      <c r="Y28" s="380">
        <f t="shared" si="9"/>
        <v>106.27387325832369</v>
      </c>
      <c r="Z28" s="380">
        <f t="shared" si="10"/>
        <v>107.56332079119511</v>
      </c>
      <c r="AA28" s="381">
        <f t="shared" si="11"/>
        <v>112.54047304795574</v>
      </c>
      <c r="AB28" s="193">
        <f t="shared" si="12"/>
        <v>45305</v>
      </c>
      <c r="AC28" s="119">
        <f>IF(OR(t&lt;Tnet,NoTnet),'2023'!Resal_s+('2023'!Salim-'2023'!Resal_s)*(1-EXP(('2023'!Tnet_s-t)/'2023'!Tau_j)),Resal_s+(Salim-Resal_s)*(1-EXP((Tnet_s-t)/Tau_j)))*Salcycl</f>
        <v>4.4225442829263481E-2</v>
      </c>
      <c r="AD28" s="227">
        <f>(INDEX(Models!$BJ28:$BT28,,AH28)*(1-AF28)+INDEX(Models!$BJ28:$BT28,,AH28+1)*AF28-ERP_i)*AE28*Ramure*Pc/MaxiM</f>
        <v>1.2572794675631581E-3</v>
      </c>
      <c r="AE28" s="301">
        <f t="shared" si="13"/>
        <v>0.5</v>
      </c>
      <c r="AF28" s="173">
        <f t="shared" si="22"/>
        <v>0.99002157060953044</v>
      </c>
      <c r="AG28" s="801">
        <f t="shared" si="23"/>
        <v>0</v>
      </c>
      <c r="AH28" s="172">
        <f t="shared" si="14"/>
        <v>6</v>
      </c>
      <c r="AI28" s="221">
        <f t="shared" si="24"/>
        <v>0.99002157060953044</v>
      </c>
      <c r="AJ28" s="261" t="b">
        <f t="shared" si="15"/>
        <v>1</v>
      </c>
      <c r="AK28" s="261" t="b">
        <f t="shared" si="16"/>
        <v>0</v>
      </c>
      <c r="AL28" s="261"/>
      <c r="AM28" s="261"/>
      <c r="AN28" s="75"/>
    </row>
    <row r="29" spans="1:40" s="6" customFormat="1" ht="11.25" customHeight="1" x14ac:dyDescent="0.2">
      <c r="A29" s="56">
        <f t="shared" si="17"/>
        <v>45306</v>
      </c>
      <c r="B29" s="406">
        <f>'2023'!Wh/'2023'!Env_an*'2024'!Env_an</f>
        <v>107.90541703413489</v>
      </c>
      <c r="C29" s="385"/>
      <c r="D29" s="388">
        <f t="shared" si="0"/>
        <v>109.21615557390201</v>
      </c>
      <c r="E29" s="380">
        <f t="shared" si="18"/>
        <v>114.27358072463485</v>
      </c>
      <c r="F29" s="380">
        <f t="shared" si="1"/>
        <v>114.4165434492556</v>
      </c>
      <c r="G29" s="110">
        <f t="shared" si="19"/>
        <v>1.025682695128749</v>
      </c>
      <c r="H29" s="409" t="b">
        <f>Wh_hp&gt;='2023'!Maxi_hp</f>
        <v>1</v>
      </c>
      <c r="I29" s="375">
        <f>IF(H29,Wh_hp,'2023'!Maxi_hp)</f>
        <v>114.4165434492556</v>
      </c>
      <c r="J29" s="85">
        <f>IF(H29,An,'2023'!An_max)</f>
        <v>2024</v>
      </c>
      <c r="K29" s="193">
        <f t="shared" si="20"/>
        <v>45306</v>
      </c>
      <c r="L29" s="143">
        <f>IF(t&lt;Tvie,1-EXP((T0-t)*PertePVj)+'2023'!Pspv,1-EXP((T0-t)*PertePVj)+Pspv)</f>
        <v>1.2001324647251566E-2</v>
      </c>
      <c r="M29" s="835"/>
      <c r="N29" s="835"/>
      <c r="O29" s="48">
        <f>IF(t&lt;Tnet,'2023'!Resal+('2023'!Salim-'2023'!Resal)*(1-EXP(('2023'!Tnet-t)/('2023'!Tau_j))),Resal+(Salim-Resal)*(1-EXP((Tnet-t)/(Tau_j))))*Salcycl</f>
        <v>4.4257168793193996E-2</v>
      </c>
      <c r="P29" s="165">
        <f>(INDEX(Models!$BJ29:$BT29,,T29)*(1-R29)+INDEX(Models!$BJ29:$BT29,,T29+1)*R29-ERP_i)*Q29*Ramure*Pc/MaxiM</f>
        <v>1.2494934763008796E-3</v>
      </c>
      <c r="Q29" s="301">
        <f t="shared" si="2"/>
        <v>0.5</v>
      </c>
      <c r="R29" s="173">
        <f t="shared" si="3"/>
        <v>0.99007131555970274</v>
      </c>
      <c r="S29" s="801">
        <f t="shared" si="4"/>
        <v>0</v>
      </c>
      <c r="T29" s="172">
        <f t="shared" si="5"/>
        <v>6</v>
      </c>
      <c r="U29" s="247">
        <f t="shared" si="21"/>
        <v>0.99007131555970274</v>
      </c>
      <c r="V29" s="378">
        <f t="shared" si="6"/>
        <v>105.20350742642688</v>
      </c>
      <c r="W29" s="397">
        <f t="shared" si="7"/>
        <v>107.90541703413489</v>
      </c>
      <c r="X29" s="153">
        <f t="shared" si="8"/>
        <v>45306</v>
      </c>
      <c r="Y29" s="380">
        <f t="shared" si="9"/>
        <v>107.90541703413489</v>
      </c>
      <c r="Z29" s="380">
        <f t="shared" si="10"/>
        <v>109.21615557390201</v>
      </c>
      <c r="AA29" s="381">
        <f t="shared" si="11"/>
        <v>114.27358072463485</v>
      </c>
      <c r="AB29" s="193">
        <f t="shared" si="12"/>
        <v>45306</v>
      </c>
      <c r="AC29" s="119">
        <f>IF(OR(t&lt;Tnet,NoTnet),'2023'!Resal_s+('2023'!Salim-'2023'!Resal_s)*(1-EXP(('2023'!Tnet_s-t)/'2023'!Tau_j)),Resal_s+(Salim-Resal_s)*(1-EXP((Tnet_s-t)/Tau_j)))*Salcycl</f>
        <v>4.4257168793193996E-2</v>
      </c>
      <c r="AD29" s="227">
        <f>(INDEX(Models!$BJ29:$BT29,,AH29)*(1-AF29)+INDEX(Models!$BJ29:$BT29,,AH29+1)*AF29-ERP_i)*AE29*Ramure*Pc/MaxiM</f>
        <v>1.2494934763008796E-3</v>
      </c>
      <c r="AE29" s="301">
        <f t="shared" si="13"/>
        <v>0.5</v>
      </c>
      <c r="AF29" s="173">
        <f t="shared" si="22"/>
        <v>0.99007131555970274</v>
      </c>
      <c r="AG29" s="801">
        <f t="shared" si="23"/>
        <v>0</v>
      </c>
      <c r="AH29" s="172">
        <f t="shared" si="14"/>
        <v>6</v>
      </c>
      <c r="AI29" s="221">
        <f t="shared" si="24"/>
        <v>0.99007131555970274</v>
      </c>
      <c r="AJ29" s="261" t="b">
        <f t="shared" si="15"/>
        <v>1</v>
      </c>
      <c r="AK29" s="261" t="b">
        <f t="shared" si="16"/>
        <v>0</v>
      </c>
      <c r="AL29" s="261"/>
      <c r="AM29" s="261"/>
      <c r="AN29" s="75"/>
    </row>
    <row r="30" spans="1:40" s="6" customFormat="1" ht="11.25" customHeight="1" x14ac:dyDescent="0.2">
      <c r="A30" s="56">
        <f t="shared" si="17"/>
        <v>45307</v>
      </c>
      <c r="B30" s="406">
        <f>'2023'!Wh/'2023'!Env_an*'2024'!Env_an</f>
        <v>107.31436315979695</v>
      </c>
      <c r="C30" s="385"/>
      <c r="D30" s="388">
        <f t="shared" si="0"/>
        <v>108.61940901398985</v>
      </c>
      <c r="E30" s="380">
        <f t="shared" si="18"/>
        <v>113.65297595802332</v>
      </c>
      <c r="F30" s="380">
        <f t="shared" si="1"/>
        <v>113.79391184138981</v>
      </c>
      <c r="G30" s="110">
        <f t="shared" si="19"/>
        <v>1.0101938567944699</v>
      </c>
      <c r="H30" s="409" t="b">
        <f>Wh_hp&gt;='2023'!Maxi_hp</f>
        <v>1</v>
      </c>
      <c r="I30" s="375">
        <f>IF(H30,Wh_hp,'2023'!Maxi_hp)</f>
        <v>113.79391184138981</v>
      </c>
      <c r="J30" s="85">
        <f>IF(H30,An,'2023'!An_max)</f>
        <v>2024</v>
      </c>
      <c r="K30" s="193">
        <f t="shared" si="20"/>
        <v>45307</v>
      </c>
      <c r="L30" s="143">
        <f>IF(t&lt;Tvie,1-EXP((T0-t)*PertePVj)+'2023'!Pspv,1-EXP((T0-t)*PertePVj)+Pspv)</f>
        <v>1.2014849519433657E-2</v>
      </c>
      <c r="M30" s="835"/>
      <c r="N30" s="835"/>
      <c r="O30" s="48">
        <f>IF(t&lt;Tnet,'2023'!Resal+('2023'!Salim-'2023'!Resal)*(1-EXP(('2023'!Tnet-t)/('2023'!Tau_j))),Resal+(Salim-Resal)*(1-EXP((Tnet-t)/(Tau_j))))*Salcycl</f>
        <v>4.4288914580578764E-2</v>
      </c>
      <c r="P30" s="165">
        <f>(INDEX(Models!$BJ30:$BT30,,T30)*(1-R30)+INDEX(Models!$BJ30:$BT30,,T30+1)*R30-ERP_i)*Q30*Ramure*Pc/MaxiM</f>
        <v>1.2385186613756934E-3</v>
      </c>
      <c r="Q30" s="301">
        <f t="shared" si="2"/>
        <v>0.5</v>
      </c>
      <c r="R30" s="173">
        <f t="shared" si="3"/>
        <v>0.99012313687509601</v>
      </c>
      <c r="S30" s="801">
        <f t="shared" si="4"/>
        <v>0</v>
      </c>
      <c r="T30" s="172">
        <f t="shared" si="5"/>
        <v>6</v>
      </c>
      <c r="U30" s="247">
        <f t="shared" si="21"/>
        <v>0.99012313687509601</v>
      </c>
      <c r="V30" s="378">
        <f t="shared" si="6"/>
        <v>106.2314549212614</v>
      </c>
      <c r="W30" s="397">
        <f t="shared" si="7"/>
        <v>107.31436315979695</v>
      </c>
      <c r="X30" s="153">
        <f t="shared" si="8"/>
        <v>45307</v>
      </c>
      <c r="Y30" s="380">
        <f t="shared" si="9"/>
        <v>107.31436315979695</v>
      </c>
      <c r="Z30" s="380">
        <f t="shared" si="10"/>
        <v>108.61940901398985</v>
      </c>
      <c r="AA30" s="381">
        <f t="shared" si="11"/>
        <v>113.65297595802332</v>
      </c>
      <c r="AB30" s="193">
        <f t="shared" si="12"/>
        <v>45307</v>
      </c>
      <c r="AC30" s="119">
        <f>IF(OR(t&lt;Tnet,NoTnet),'2023'!Resal_s+('2023'!Salim-'2023'!Resal_s)*(1-EXP(('2023'!Tnet_s-t)/'2023'!Tau_j)),Resal_s+(Salim-Resal_s)*(1-EXP((Tnet_s-t)/Tau_j)))*Salcycl</f>
        <v>4.4288914580578764E-2</v>
      </c>
      <c r="AD30" s="227">
        <f>(INDEX(Models!$BJ30:$BT30,,AH30)*(1-AF30)+INDEX(Models!$BJ30:$BT30,,AH30+1)*AF30-ERP_i)*AE30*Ramure*Pc/MaxiM</f>
        <v>1.2385186613756934E-3</v>
      </c>
      <c r="AE30" s="301">
        <f t="shared" si="13"/>
        <v>0.5</v>
      </c>
      <c r="AF30" s="173">
        <f t="shared" si="22"/>
        <v>0.99012313687509601</v>
      </c>
      <c r="AG30" s="801">
        <f t="shared" si="23"/>
        <v>0</v>
      </c>
      <c r="AH30" s="172">
        <f t="shared" si="14"/>
        <v>6</v>
      </c>
      <c r="AI30" s="221">
        <f t="shared" si="24"/>
        <v>0.99012313687509601</v>
      </c>
      <c r="AJ30" s="261" t="b">
        <f t="shared" si="15"/>
        <v>1</v>
      </c>
      <c r="AK30" s="261" t="b">
        <f t="shared" si="16"/>
        <v>0</v>
      </c>
      <c r="AL30" s="261"/>
      <c r="AM30" s="261"/>
      <c r="AN30" s="75"/>
    </row>
    <row r="31" spans="1:40" s="6" customFormat="1" ht="11.25" x14ac:dyDescent="0.2">
      <c r="A31" s="56">
        <f t="shared" si="17"/>
        <v>45308</v>
      </c>
      <c r="B31" s="406">
        <f>'2023'!Wh/'2023'!Env_an*'2024'!Env_an</f>
        <v>84.273680931760012</v>
      </c>
      <c r="C31" s="385"/>
      <c r="D31" s="388">
        <f t="shared" si="0"/>
        <v>85.299697614364447</v>
      </c>
      <c r="E31" s="380">
        <f t="shared" si="18"/>
        <v>89.255565119704684</v>
      </c>
      <c r="F31" s="380">
        <f t="shared" si="1"/>
        <v>89.331483357813894</v>
      </c>
      <c r="G31" s="110">
        <f t="shared" si="19"/>
        <v>0.78522337850292967</v>
      </c>
      <c r="H31" s="409" t="b">
        <f>Wh_hp&gt;='2023'!Maxi_hp</f>
        <v>0</v>
      </c>
      <c r="I31" s="375">
        <f>IF(H31,Wh_hp,'2023'!Maxi_hp)</f>
        <v>89.36504341458523</v>
      </c>
      <c r="J31" s="85">
        <f>IF(H31,An,'2023'!An_max)</f>
        <v>2022</v>
      </c>
      <c r="K31" s="193">
        <f t="shared" si="20"/>
        <v>45308</v>
      </c>
      <c r="L31" s="143">
        <f>IF(t&lt;Tvie,1-EXP((T0-t)*PertePVj)+'2023'!Pspv,1-EXP((T0-t)*PertePVj)+Pspv)</f>
        <v>1.2028374206471515E-2</v>
      </c>
      <c r="M31" s="835"/>
      <c r="N31" s="835"/>
      <c r="O31" s="48">
        <f>IF(t&lt;Tnet,'2023'!Resal+('2023'!Salim-'2023'!Resal)*(1-EXP(('2023'!Tnet-t)/('2023'!Tau_j))),Resal+(Salim-Resal)*(1-EXP((Tnet-t)/(Tau_j))))*Salcycl</f>
        <v>4.4320681853673244E-2</v>
      </c>
      <c r="P31" s="165">
        <f>(INDEX(Models!$BJ31:$BT31,,T31)*(1-R31)+INDEX(Models!$BJ31:$BT31,,T31+1)*R31-ERP_i)*Q31*Ramure*Pc/MaxiM</f>
        <v>1.2252756466786527E-3</v>
      </c>
      <c r="Q31" s="301">
        <f t="shared" si="2"/>
        <v>0.5</v>
      </c>
      <c r="R31" s="173">
        <f t="shared" si="3"/>
        <v>0.99017712076445019</v>
      </c>
      <c r="S31" s="801">
        <f t="shared" si="4"/>
        <v>0</v>
      </c>
      <c r="T31" s="172">
        <f t="shared" si="5"/>
        <v>6</v>
      </c>
      <c r="U31" s="247">
        <f t="shared" si="21"/>
        <v>0.99017712076445019</v>
      </c>
      <c r="V31" s="378">
        <f t="shared" si="6"/>
        <v>107.28414067885694</v>
      </c>
      <c r="W31" s="397">
        <f t="shared" si="7"/>
        <v>84.273680931760012</v>
      </c>
      <c r="X31" s="153">
        <f t="shared" si="8"/>
        <v>45308</v>
      </c>
      <c r="Y31" s="380">
        <f t="shared" si="9"/>
        <v>84.273680931760012</v>
      </c>
      <c r="Z31" s="380">
        <f t="shared" si="10"/>
        <v>85.299697614364447</v>
      </c>
      <c r="AA31" s="381">
        <f t="shared" si="11"/>
        <v>89.255565119704684</v>
      </c>
      <c r="AB31" s="193">
        <f t="shared" si="12"/>
        <v>45308</v>
      </c>
      <c r="AC31" s="119">
        <f>IF(OR(t&lt;Tnet,NoTnet),'2023'!Resal_s+('2023'!Salim-'2023'!Resal_s)*(1-EXP(('2023'!Tnet_s-t)/'2023'!Tau_j)),Resal_s+(Salim-Resal_s)*(1-EXP((Tnet_s-t)/Tau_j)))*Salcycl</f>
        <v>4.4320681853673244E-2</v>
      </c>
      <c r="AD31" s="227">
        <f>(INDEX(Models!$BJ31:$BT31,,AH31)*(1-AF31)+INDEX(Models!$BJ31:$BT31,,AH31+1)*AF31-ERP_i)*AE31*Ramure*Pc/MaxiM</f>
        <v>1.2252756466786527E-3</v>
      </c>
      <c r="AE31" s="301">
        <f t="shared" si="13"/>
        <v>0.5</v>
      </c>
      <c r="AF31" s="173">
        <f t="shared" si="22"/>
        <v>0.99017712076445019</v>
      </c>
      <c r="AG31" s="801">
        <f t="shared" si="23"/>
        <v>0</v>
      </c>
      <c r="AH31" s="172">
        <f t="shared" si="14"/>
        <v>6</v>
      </c>
      <c r="AI31" s="221">
        <f t="shared" si="24"/>
        <v>0.99017712076445019</v>
      </c>
      <c r="AJ31" s="261" t="b">
        <f t="shared" si="15"/>
        <v>1</v>
      </c>
      <c r="AK31" s="261" t="b">
        <f t="shared" si="16"/>
        <v>0</v>
      </c>
      <c r="AL31" s="261"/>
      <c r="AM31" s="261"/>
      <c r="AN31" s="75"/>
    </row>
    <row r="32" spans="1:40" s="6" customFormat="1" ht="11.25" customHeight="1" x14ac:dyDescent="0.2">
      <c r="A32" s="56">
        <f t="shared" si="17"/>
        <v>45309</v>
      </c>
      <c r="B32" s="406">
        <f>'2023'!Wh/'2023'!Env_an*'2024'!Env_an</f>
        <v>22.073389686800816</v>
      </c>
      <c r="C32" s="385"/>
      <c r="D32" s="388">
        <f t="shared" si="0"/>
        <v>22.342435026285639</v>
      </c>
      <c r="E32" s="380">
        <f t="shared" si="18"/>
        <v>23.379367795054268</v>
      </c>
      <c r="F32" s="380">
        <f t="shared" si="1"/>
        <v>23.379367795054268</v>
      </c>
      <c r="G32" s="110">
        <f t="shared" si="19"/>
        <v>0.20345929080276054</v>
      </c>
      <c r="H32" s="409" t="b">
        <f>Wh_hp&gt;='2023'!Maxi_hp</f>
        <v>0</v>
      </c>
      <c r="I32" s="375">
        <f>IF(H32,Wh_hp,'2023'!Maxi_hp)</f>
        <v>23.40767107813555</v>
      </c>
      <c r="J32" s="85">
        <f>IF(H32,An,'2023'!An_max)</f>
        <v>2022</v>
      </c>
      <c r="K32" s="193">
        <f t="shared" si="20"/>
        <v>45309</v>
      </c>
      <c r="L32" s="143">
        <f>IF(t&lt;Tvie,1-EXP((T0-t)*PertePVj)+'2023'!Pspv,1-EXP((T0-t)*PertePVj)+Pspv)</f>
        <v>1.2041898708367915E-2</v>
      </c>
      <c r="M32" s="835"/>
      <c r="N32" s="835"/>
      <c r="O32" s="48">
        <f>IF(t&lt;Tnet,'2023'!Resal+('2023'!Salim-'2023'!Resal)*(1-EXP(('2023'!Tnet-t)/('2023'!Tau_j))),Resal+(Salim-Resal)*(1-EXP((Tnet-t)/(Tau_j))))*Salcycl</f>
        <v>4.4352472567200221E-2</v>
      </c>
      <c r="P32" s="165">
        <f>(INDEX(Models!$BJ32:$BT32,,T32)*(1-R32)+INDEX(Models!$BJ32:$BT32,,T32+1)*R32-ERP_i)*Q32*Ramure*Pc/MaxiM</f>
        <v>1.2098641521230337E-3</v>
      </c>
      <c r="Q32" s="301">
        <f t="shared" si="2"/>
        <v>0.5</v>
      </c>
      <c r="R32" s="173">
        <f t="shared" si="3"/>
        <v>0.99023335697659187</v>
      </c>
      <c r="S32" s="801">
        <f t="shared" si="4"/>
        <v>0</v>
      </c>
      <c r="T32" s="172">
        <f t="shared" si="5"/>
        <v>6</v>
      </c>
      <c r="U32" s="247">
        <f t="shared" si="21"/>
        <v>0.99023335697659187</v>
      </c>
      <c r="V32" s="378">
        <f t="shared" si="6"/>
        <v>108.35918967827143</v>
      </c>
      <c r="W32" s="397">
        <f t="shared" si="7"/>
        <v>22.073389686800816</v>
      </c>
      <c r="X32" s="153">
        <f t="shared" si="8"/>
        <v>45309</v>
      </c>
      <c r="Y32" s="380">
        <f t="shared" si="9"/>
        <v>22.073389686800816</v>
      </c>
      <c r="Z32" s="380">
        <f t="shared" si="10"/>
        <v>22.342435026285639</v>
      </c>
      <c r="AA32" s="381">
        <f t="shared" si="11"/>
        <v>23.379367795054268</v>
      </c>
      <c r="AB32" s="193">
        <f t="shared" si="12"/>
        <v>45309</v>
      </c>
      <c r="AC32" s="119">
        <f>IF(OR(t&lt;Tnet,NoTnet),'2023'!Resal_s+('2023'!Salim-'2023'!Resal_s)*(1-EXP(('2023'!Tnet_s-t)/'2023'!Tau_j)),Resal_s+(Salim-Resal_s)*(1-EXP((Tnet_s-t)/Tau_j)))*Salcycl</f>
        <v>4.4352472567200221E-2</v>
      </c>
      <c r="AD32" s="227">
        <f>(INDEX(Models!$BJ32:$BT32,,AH32)*(1-AF32)+INDEX(Models!$BJ32:$BT32,,AH32+1)*AF32-ERP_i)*AE32*Ramure*Pc/MaxiM</f>
        <v>1.2098641521230337E-3</v>
      </c>
      <c r="AE32" s="301">
        <f t="shared" si="13"/>
        <v>0.5</v>
      </c>
      <c r="AF32" s="173">
        <f t="shared" si="22"/>
        <v>0.99023335697659187</v>
      </c>
      <c r="AG32" s="801">
        <f t="shared" si="23"/>
        <v>0</v>
      </c>
      <c r="AH32" s="172">
        <f t="shared" si="14"/>
        <v>6</v>
      </c>
      <c r="AI32" s="221">
        <f t="shared" si="24"/>
        <v>0.99023335697659187</v>
      </c>
      <c r="AJ32" s="261" t="b">
        <f t="shared" si="15"/>
        <v>1</v>
      </c>
      <c r="AK32" s="261" t="b">
        <f t="shared" si="16"/>
        <v>0</v>
      </c>
      <c r="AL32" s="261"/>
      <c r="AM32" s="261"/>
      <c r="AN32" s="75"/>
    </row>
    <row r="33" spans="1:40" s="6" customFormat="1" ht="11.25" customHeight="1" x14ac:dyDescent="0.2">
      <c r="A33" s="56">
        <f t="shared" si="17"/>
        <v>45310</v>
      </c>
      <c r="B33" s="406">
        <f>'2023'!Wh/'2023'!Env_an*'2024'!Env_an</f>
        <v>45.078616310763977</v>
      </c>
      <c r="C33" s="385"/>
      <c r="D33" s="388">
        <f t="shared" si="0"/>
        <v>45.628689464338649</v>
      </c>
      <c r="E33" s="380">
        <f t="shared" si="18"/>
        <v>47.747948190035835</v>
      </c>
      <c r="F33" s="380">
        <f t="shared" si="1"/>
        <v>47.757047047867573</v>
      </c>
      <c r="G33" s="110">
        <f t="shared" si="19"/>
        <v>0.41143632792505036</v>
      </c>
      <c r="H33" s="409" t="b">
        <f>Wh_hp&gt;='2023'!Maxi_hp</f>
        <v>0</v>
      </c>
      <c r="I33" s="375">
        <f>IF(H33,Wh_hp,'2023'!Maxi_hp)</f>
        <v>47.804919366126292</v>
      </c>
      <c r="J33" s="85">
        <f>IF(H33,An,'2023'!An_max)</f>
        <v>2022</v>
      </c>
      <c r="K33" s="193">
        <f t="shared" si="20"/>
        <v>45310</v>
      </c>
      <c r="L33" s="143">
        <f>IF(t&lt;Tvie,1-EXP((T0-t)*PertePVj)+'2023'!Pspv,1-EXP((T0-t)*PertePVj)+Pspv)</f>
        <v>1.2055423025125189E-2</v>
      </c>
      <c r="M33" s="835"/>
      <c r="N33" s="835"/>
      <c r="O33" s="48">
        <f>IF(t&lt;Tnet,'2023'!Resal+('2023'!Salim-'2023'!Resal)*(1-EXP(('2023'!Tnet-t)/('2023'!Tau_j))),Resal+(Salim-Resal)*(1-EXP((Tnet-t)/(Tau_j))))*Salcycl</f>
        <v>4.4384288875881729E-2</v>
      </c>
      <c r="P33" s="165">
        <f>(INDEX(Models!$BJ33:$BT33,,T33)*(1-R33)+INDEX(Models!$BJ33:$BT33,,T33+1)*R33-ERP_i)*Q33*Ramure*Pc/MaxiM</f>
        <v>1.1923816067306674E-3</v>
      </c>
      <c r="Q33" s="301">
        <f t="shared" si="2"/>
        <v>0.5</v>
      </c>
      <c r="R33" s="173">
        <f t="shared" si="3"/>
        <v>0.99029193894245271</v>
      </c>
      <c r="S33" s="801">
        <f t="shared" si="4"/>
        <v>0</v>
      </c>
      <c r="T33" s="172">
        <f t="shared" si="5"/>
        <v>6</v>
      </c>
      <c r="U33" s="247">
        <f t="shared" si="21"/>
        <v>0.99029193894245271</v>
      </c>
      <c r="V33" s="378">
        <f t="shared" si="6"/>
        <v>109.45422727157259</v>
      </c>
      <c r="W33" s="397">
        <f t="shared" si="7"/>
        <v>45.078616310763977</v>
      </c>
      <c r="X33" s="153">
        <f t="shared" si="8"/>
        <v>45310</v>
      </c>
      <c r="Y33" s="380">
        <f t="shared" si="9"/>
        <v>45.078616310763977</v>
      </c>
      <c r="Z33" s="380">
        <f t="shared" si="10"/>
        <v>45.628689464338649</v>
      </c>
      <c r="AA33" s="381">
        <f t="shared" si="11"/>
        <v>47.747948190035835</v>
      </c>
      <c r="AB33" s="193">
        <f t="shared" si="12"/>
        <v>45310</v>
      </c>
      <c r="AC33" s="119">
        <f>IF(OR(t&lt;Tnet,NoTnet),'2023'!Resal_s+('2023'!Salim-'2023'!Resal_s)*(1-EXP(('2023'!Tnet_s-t)/'2023'!Tau_j)),Resal_s+(Salim-Resal_s)*(1-EXP((Tnet_s-t)/Tau_j)))*Salcycl</f>
        <v>4.4384288875881729E-2</v>
      </c>
      <c r="AD33" s="227">
        <f>(INDEX(Models!$BJ33:$BT33,,AH33)*(1-AF33)+INDEX(Models!$BJ33:$BT33,,AH33+1)*AF33-ERP_i)*AE33*Ramure*Pc/MaxiM</f>
        <v>1.1923816067306674E-3</v>
      </c>
      <c r="AE33" s="301">
        <f t="shared" si="13"/>
        <v>0.5</v>
      </c>
      <c r="AF33" s="173">
        <f t="shared" si="22"/>
        <v>0.99029193894245271</v>
      </c>
      <c r="AG33" s="801">
        <f t="shared" si="23"/>
        <v>0</v>
      </c>
      <c r="AH33" s="172">
        <f t="shared" si="14"/>
        <v>6</v>
      </c>
      <c r="AI33" s="221">
        <f t="shared" si="24"/>
        <v>0.99029193894245271</v>
      </c>
      <c r="AJ33" s="261" t="b">
        <f t="shared" si="15"/>
        <v>1</v>
      </c>
      <c r="AK33" s="261" t="b">
        <f t="shared" si="16"/>
        <v>0</v>
      </c>
      <c r="AL33" s="261"/>
      <c r="AM33" s="261"/>
      <c r="AN33" s="75"/>
    </row>
    <row r="34" spans="1:40" s="6" customFormat="1" ht="11.25" customHeight="1" x14ac:dyDescent="0.2">
      <c r="A34" s="56">
        <f t="shared" si="17"/>
        <v>45311</v>
      </c>
      <c r="B34" s="406">
        <f>'2023'!Wh/'2023'!Env_an*'2024'!Env_an</f>
        <v>23.233167148888064</v>
      </c>
      <c r="C34" s="385"/>
      <c r="D34" s="388">
        <f t="shared" si="0"/>
        <v>23.516992488517573</v>
      </c>
      <c r="E34" s="380">
        <f t="shared" si="18"/>
        <v>24.610076940133482</v>
      </c>
      <c r="F34" s="380">
        <f t="shared" si="1"/>
        <v>24.610076940133482</v>
      </c>
      <c r="G34" s="110">
        <f t="shared" si="19"/>
        <v>0.20988126466547177</v>
      </c>
      <c r="H34" s="409" t="b">
        <f>Wh_hp&gt;='2023'!Maxi_hp</f>
        <v>0</v>
      </c>
      <c r="I34" s="375">
        <f>IF(H34,Wh_hp,'2023'!Maxi_hp)</f>
        <v>24.638956934020555</v>
      </c>
      <c r="J34" s="85">
        <f>IF(H34,An,'2023'!An_max)</f>
        <v>2022</v>
      </c>
      <c r="K34" s="193">
        <f t="shared" si="20"/>
        <v>45311</v>
      </c>
      <c r="L34" s="143">
        <f>IF(t&lt;Tvie,1-EXP((T0-t)*PertePVj)+'2023'!Pspv,1-EXP((T0-t)*PertePVj)+Pspv)</f>
        <v>1.2068947156745891E-2</v>
      </c>
      <c r="M34" s="835"/>
      <c r="N34" s="835"/>
      <c r="O34" s="48">
        <f>IF(t&lt;Tnet,'2023'!Resal+('2023'!Salim-'2023'!Resal)*(1-EXP(('2023'!Tnet-t)/('2023'!Tau_j))),Resal+(Salim-Resal)*(1-EXP((Tnet-t)/(Tau_j))))*Salcycl</f>
        <v>4.4416133044807023E-2</v>
      </c>
      <c r="P34" s="165">
        <f>(INDEX(Models!$BJ34:$BT34,,T34)*(1-R34)+INDEX(Models!$BJ34:$BT34,,T34+1)*R34-ERP_i)*Q34*Ramure*Pc/MaxiM</f>
        <v>1.1729281166373896E-3</v>
      </c>
      <c r="Q34" s="301">
        <f t="shared" si="2"/>
        <v>0.5</v>
      </c>
      <c r="R34" s="173">
        <f t="shared" si="3"/>
        <v>0.99035296392249539</v>
      </c>
      <c r="S34" s="801">
        <f t="shared" si="4"/>
        <v>0</v>
      </c>
      <c r="T34" s="172">
        <f t="shared" si="5"/>
        <v>6</v>
      </c>
      <c r="U34" s="247">
        <f t="shared" si="21"/>
        <v>0.99035296392249539</v>
      </c>
      <c r="V34" s="378">
        <f t="shared" si="6"/>
        <v>110.5668786153368</v>
      </c>
      <c r="W34" s="397">
        <f t="shared" si="7"/>
        <v>23.233167148888064</v>
      </c>
      <c r="X34" s="153">
        <f t="shared" si="8"/>
        <v>45311</v>
      </c>
      <c r="Y34" s="380">
        <f t="shared" si="9"/>
        <v>23.233167148888064</v>
      </c>
      <c r="Z34" s="380">
        <f t="shared" si="10"/>
        <v>23.516992488517573</v>
      </c>
      <c r="AA34" s="381">
        <f t="shared" si="11"/>
        <v>24.610076940133482</v>
      </c>
      <c r="AB34" s="193">
        <f t="shared" si="12"/>
        <v>45311</v>
      </c>
      <c r="AC34" s="119">
        <f>IF(OR(t&lt;Tnet,NoTnet),'2023'!Resal_s+('2023'!Salim-'2023'!Resal_s)*(1-EXP(('2023'!Tnet_s-t)/'2023'!Tau_j)),Resal_s+(Salim-Resal_s)*(1-EXP((Tnet_s-t)/Tau_j)))*Salcycl</f>
        <v>4.4416133044807023E-2</v>
      </c>
      <c r="AD34" s="227">
        <f>(INDEX(Models!$BJ34:$BT34,,AH34)*(1-AF34)+INDEX(Models!$BJ34:$BT34,,AH34+1)*AF34-ERP_i)*AE34*Ramure*Pc/MaxiM</f>
        <v>1.1729281166373896E-3</v>
      </c>
      <c r="AE34" s="301">
        <f t="shared" si="13"/>
        <v>0.5</v>
      </c>
      <c r="AF34" s="173">
        <f t="shared" si="22"/>
        <v>0.99035296392249539</v>
      </c>
      <c r="AG34" s="801">
        <f t="shared" si="23"/>
        <v>0</v>
      </c>
      <c r="AH34" s="172">
        <f t="shared" si="14"/>
        <v>6</v>
      </c>
      <c r="AI34" s="221">
        <f t="shared" si="24"/>
        <v>0.99035296392249539</v>
      </c>
      <c r="AJ34" s="261" t="b">
        <f t="shared" si="15"/>
        <v>1</v>
      </c>
      <c r="AK34" s="261" t="b">
        <f t="shared" si="16"/>
        <v>0</v>
      </c>
      <c r="AL34" s="261"/>
      <c r="AM34" s="261"/>
      <c r="AN34" s="75"/>
    </row>
    <row r="35" spans="1:40" s="6" customFormat="1" ht="11.25" customHeight="1" x14ac:dyDescent="0.2">
      <c r="A35" s="56">
        <f t="shared" si="17"/>
        <v>45312</v>
      </c>
      <c r="B35" s="406">
        <f>'2023'!Wh/'2023'!Env_an*'2024'!Env_an</f>
        <v>58.328284445503527</v>
      </c>
      <c r="C35" s="385"/>
      <c r="D35" s="388">
        <f t="shared" si="0"/>
        <v>59.041653518022102</v>
      </c>
      <c r="E35" s="380">
        <f t="shared" si="18"/>
        <v>61.788007322469028</v>
      </c>
      <c r="F35" s="380">
        <f t="shared" si="1"/>
        <v>61.810603446334909</v>
      </c>
      <c r="G35" s="110">
        <f t="shared" si="19"/>
        <v>0.52180079947056479</v>
      </c>
      <c r="H35" s="409" t="b">
        <f>Wh_hp&gt;='2023'!Maxi_hp</f>
        <v>0</v>
      </c>
      <c r="I35" s="375">
        <f>IF(H35,Wh_hp,'2023'!Maxi_hp)</f>
        <v>61.859209054823204</v>
      </c>
      <c r="J35" s="85">
        <f>IF(H35,An,'2023'!An_max)</f>
        <v>2022</v>
      </c>
      <c r="K35" s="193">
        <f t="shared" si="20"/>
        <v>45312</v>
      </c>
      <c r="L35" s="143">
        <f>IF(t&lt;Tvie,1-EXP((T0-t)*PertePVj)+'2023'!Pspv,1-EXP((T0-t)*PertePVj)+Pspv)</f>
        <v>1.2082471103232573E-2</v>
      </c>
      <c r="M35" s="835"/>
      <c r="N35" s="835"/>
      <c r="O35" s="48">
        <f>IF(t&lt;Tnet,'2023'!Resal+('2023'!Salim-'2023'!Resal)*(1-EXP(('2023'!Tnet-t)/('2023'!Tau_j))),Resal+(Salim-Resal)*(1-EXP((Tnet-t)/(Tau_j))))*Salcycl</f>
        <v>4.4448007363529572E-2</v>
      </c>
      <c r="P35" s="165">
        <f>(INDEX(Models!$BJ35:$BT35,,T35)*(1-R35)+INDEX(Models!$BJ35:$BT35,,T35+1)*R35-ERP_i)*Q35*Ramure*Pc/MaxiM</f>
        <v>1.1516025546089851E-3</v>
      </c>
      <c r="Q35" s="301">
        <f t="shared" si="2"/>
        <v>0.5</v>
      </c>
      <c r="R35" s="173">
        <f t="shared" si="3"/>
        <v>0.99041653315973155</v>
      </c>
      <c r="S35" s="801">
        <f t="shared" si="4"/>
        <v>0</v>
      </c>
      <c r="T35" s="172">
        <f t="shared" si="5"/>
        <v>6</v>
      </c>
      <c r="U35" s="247">
        <f t="shared" si="21"/>
        <v>0.99041653315973155</v>
      </c>
      <c r="V35" s="378">
        <f t="shared" si="6"/>
        <v>111.69476901490611</v>
      </c>
      <c r="W35" s="397">
        <f t="shared" si="7"/>
        <v>58.328284445503527</v>
      </c>
      <c r="X35" s="153">
        <f t="shared" si="8"/>
        <v>45312</v>
      </c>
      <c r="Y35" s="380">
        <f t="shared" si="9"/>
        <v>58.328284445503527</v>
      </c>
      <c r="Z35" s="380">
        <f t="shared" si="10"/>
        <v>59.041653518022102</v>
      </c>
      <c r="AA35" s="381">
        <f t="shared" si="11"/>
        <v>61.788007322469028</v>
      </c>
      <c r="AB35" s="193">
        <f t="shared" si="12"/>
        <v>45312</v>
      </c>
      <c r="AC35" s="119">
        <f>IF(OR(t&lt;Tnet,NoTnet),'2023'!Resal_s+('2023'!Salim-'2023'!Resal_s)*(1-EXP(('2023'!Tnet_s-t)/'2023'!Tau_j)),Resal_s+(Salim-Resal_s)*(1-EXP((Tnet_s-t)/Tau_j)))*Salcycl</f>
        <v>4.4448007363529572E-2</v>
      </c>
      <c r="AD35" s="227">
        <f>(INDEX(Models!$BJ35:$BT35,,AH35)*(1-AF35)+INDEX(Models!$BJ35:$BT35,,AH35+1)*AF35-ERP_i)*AE35*Ramure*Pc/MaxiM</f>
        <v>1.1516025546089851E-3</v>
      </c>
      <c r="AE35" s="301">
        <f t="shared" si="13"/>
        <v>0.5</v>
      </c>
      <c r="AF35" s="173">
        <f t="shared" si="22"/>
        <v>0.99041653315973155</v>
      </c>
      <c r="AG35" s="801">
        <f t="shared" si="23"/>
        <v>0</v>
      </c>
      <c r="AH35" s="172">
        <f t="shared" si="14"/>
        <v>6</v>
      </c>
      <c r="AI35" s="221">
        <f t="shared" si="24"/>
        <v>0.99041653315973155</v>
      </c>
      <c r="AJ35" s="261" t="b">
        <f t="shared" si="15"/>
        <v>1</v>
      </c>
      <c r="AK35" s="261" t="b">
        <f t="shared" si="16"/>
        <v>0</v>
      </c>
      <c r="AL35" s="261"/>
      <c r="AM35" s="261"/>
      <c r="AN35" s="75"/>
    </row>
    <row r="36" spans="1:40" s="6" customFormat="1" ht="11.25" customHeight="1" x14ac:dyDescent="0.2">
      <c r="A36" s="56">
        <f t="shared" si="17"/>
        <v>45313</v>
      </c>
      <c r="B36" s="406">
        <f>'2023'!Wh/'2023'!Env_an*'2024'!Env_an</f>
        <v>112.02034366065695</v>
      </c>
      <c r="C36" s="385"/>
      <c r="D36" s="388">
        <f t="shared" si="0"/>
        <v>113.39193188644103</v>
      </c>
      <c r="E36" s="380">
        <f t="shared" si="18"/>
        <v>118.67038019975472</v>
      </c>
      <c r="F36" s="380">
        <f t="shared" si="1"/>
        <v>118.80306522257013</v>
      </c>
      <c r="G36" s="110">
        <f t="shared" si="19"/>
        <v>0.99276391735341218</v>
      </c>
      <c r="H36" s="409" t="b">
        <f>Wh_hp&gt;='2023'!Maxi_hp</f>
        <v>0</v>
      </c>
      <c r="I36" s="375">
        <f>IF(H36,Wh_hp,'2023'!Maxi_hp)</f>
        <v>118.80444939274724</v>
      </c>
      <c r="J36" s="85">
        <f>IF(H36,An,'2023'!An_max)</f>
        <v>2022</v>
      </c>
      <c r="K36" s="193">
        <f t="shared" si="20"/>
        <v>45313</v>
      </c>
      <c r="L36" s="143">
        <f>IF(t&lt;Tvie,1-EXP((T0-t)*PertePVj)+'2023'!Pspv,1-EXP((T0-t)*PertePVj)+Pspv)</f>
        <v>1.2095994864587789E-2</v>
      </c>
      <c r="M36" s="835"/>
      <c r="N36" s="835"/>
      <c r="O36" s="48">
        <f>IF(t&lt;Tnet,'2023'!Resal+('2023'!Salim-'2023'!Resal)*(1-EXP(('2023'!Tnet-t)/('2023'!Tau_j))),Resal+(Salim-Resal)*(1-EXP((Tnet-t)/(Tau_j))))*Salcycl</f>
        <v>4.4479914064727961E-2</v>
      </c>
      <c r="P36" s="165">
        <f>(INDEX(Models!$BJ36:$BT36,,T36)*(1-R36)+INDEX(Models!$BJ36:$BT36,,T36+1)*R36-ERP_i)*Q36*Ramure*Pc/MaxiM</f>
        <v>1.1284953695401127E-3</v>
      </c>
      <c r="Q36" s="301">
        <f t="shared" si="2"/>
        <v>0.5</v>
      </c>
      <c r="R36" s="173">
        <f t="shared" si="3"/>
        <v>0.99048275203851366</v>
      </c>
      <c r="S36" s="801">
        <f t="shared" si="4"/>
        <v>0</v>
      </c>
      <c r="T36" s="172">
        <f t="shared" si="5"/>
        <v>6</v>
      </c>
      <c r="U36" s="247">
        <f t="shared" si="21"/>
        <v>0.99048275203851366</v>
      </c>
      <c r="V36" s="378">
        <f t="shared" si="6"/>
        <v>112.83552469548921</v>
      </c>
      <c r="W36" s="397">
        <f t="shared" si="7"/>
        <v>112.02034366065695</v>
      </c>
      <c r="X36" s="153">
        <f t="shared" si="8"/>
        <v>45313</v>
      </c>
      <c r="Y36" s="380">
        <f t="shared" si="9"/>
        <v>112.02034366065695</v>
      </c>
      <c r="Z36" s="380">
        <f t="shared" si="10"/>
        <v>113.39193188644103</v>
      </c>
      <c r="AA36" s="381">
        <f t="shared" si="11"/>
        <v>118.67038019975472</v>
      </c>
      <c r="AB36" s="193">
        <f t="shared" si="12"/>
        <v>45313</v>
      </c>
      <c r="AC36" s="119">
        <f>IF(OR(t&lt;Tnet,NoTnet),'2023'!Resal_s+('2023'!Salim-'2023'!Resal_s)*(1-EXP(('2023'!Tnet_s-t)/'2023'!Tau_j)),Resal_s+(Salim-Resal_s)*(1-EXP((Tnet_s-t)/Tau_j)))*Salcycl</f>
        <v>4.4479914064727961E-2</v>
      </c>
      <c r="AD36" s="227">
        <f>(INDEX(Models!$BJ36:$BT36,,AH36)*(1-AF36)+INDEX(Models!$BJ36:$BT36,,AH36+1)*AF36-ERP_i)*AE36*Ramure*Pc/MaxiM</f>
        <v>1.1284953695401127E-3</v>
      </c>
      <c r="AE36" s="301">
        <f t="shared" si="13"/>
        <v>0.5</v>
      </c>
      <c r="AF36" s="173">
        <f t="shared" si="22"/>
        <v>0.99048275203851366</v>
      </c>
      <c r="AG36" s="801">
        <f t="shared" si="23"/>
        <v>0</v>
      </c>
      <c r="AH36" s="172">
        <f t="shared" si="14"/>
        <v>6</v>
      </c>
      <c r="AI36" s="221">
        <f t="shared" si="24"/>
        <v>0.99048275203851366</v>
      </c>
      <c r="AJ36" s="261" t="b">
        <f t="shared" si="15"/>
        <v>1</v>
      </c>
      <c r="AK36" s="261" t="b">
        <f t="shared" si="16"/>
        <v>0</v>
      </c>
      <c r="AL36" s="261"/>
      <c r="AM36" s="261"/>
      <c r="AN36" s="75"/>
    </row>
    <row r="37" spans="1:40" s="6" customFormat="1" ht="11.25" customHeight="1" x14ac:dyDescent="0.2">
      <c r="A37" s="56">
        <f t="shared" si="17"/>
        <v>45314</v>
      </c>
      <c r="B37" s="406">
        <f>'2023'!Wh/'2023'!Env_an*'2024'!Env_an</f>
        <v>113.86414492864861</v>
      </c>
      <c r="C37" s="385"/>
      <c r="D37" s="388">
        <f t="shared" si="0"/>
        <v>115.25988665154159</v>
      </c>
      <c r="E37" s="380">
        <f t="shared" si="18"/>
        <v>120.62932155111328</v>
      </c>
      <c r="F37" s="380">
        <f t="shared" si="1"/>
        <v>120.76237191403911</v>
      </c>
      <c r="G37" s="110">
        <f t="shared" si="19"/>
        <v>0.99883166296642711</v>
      </c>
      <c r="H37" s="409" t="b">
        <f>Wh_hp&gt;='2023'!Maxi_hp</f>
        <v>0</v>
      </c>
      <c r="I37" s="375">
        <f>IF(H37,Wh_hp,'2023'!Maxi_hp)</f>
        <v>120.76259406342568</v>
      </c>
      <c r="J37" s="85">
        <f>IF(H37,An,'2023'!An_max)</f>
        <v>2022</v>
      </c>
      <c r="K37" s="193">
        <f t="shared" si="20"/>
        <v>45314</v>
      </c>
      <c r="L37" s="143">
        <f>IF(t&lt;Tvie,1-EXP((T0-t)*PertePVj)+'2023'!Pspv,1-EXP((T0-t)*PertePVj)+Pspv)</f>
        <v>1.2109518440814093E-2</v>
      </c>
      <c r="M37" s="835"/>
      <c r="N37" s="835"/>
      <c r="O37" s="48">
        <f>IF(t&lt;Tnet,'2023'!Resal+('2023'!Salim-'2023'!Resal)*(1-EXP(('2023'!Tnet-t)/('2023'!Tau_j))),Resal+(Salim-Resal)*(1-EXP((Tnet-t)/(Tau_j))))*Salcycl</f>
        <v>4.4511855248199679E-2</v>
      </c>
      <c r="P37" s="165">
        <f>(INDEX(Models!$BJ37:$BT37,,T37)*(1-R37)+INDEX(Models!$BJ37:$BT37,,T37+1)*R37-ERP_i)*Q37*Ramure*Pc/MaxiM</f>
        <v>1.1035925302926039E-3</v>
      </c>
      <c r="Q37" s="301">
        <f t="shared" si="2"/>
        <v>0.5</v>
      </c>
      <c r="R37" s="173">
        <f t="shared" si="3"/>
        <v>0.990551730249291</v>
      </c>
      <c r="S37" s="801">
        <f t="shared" si="4"/>
        <v>0</v>
      </c>
      <c r="T37" s="172">
        <f t="shared" si="5"/>
        <v>6</v>
      </c>
      <c r="U37" s="247">
        <f t="shared" si="21"/>
        <v>0.990551730249291</v>
      </c>
      <c r="V37" s="378">
        <f t="shared" si="6"/>
        <v>113.99712235501315</v>
      </c>
      <c r="W37" s="397">
        <f t="shared" si="7"/>
        <v>113.86414492864861</v>
      </c>
      <c r="X37" s="153">
        <f t="shared" si="8"/>
        <v>45314</v>
      </c>
      <c r="Y37" s="380">
        <f t="shared" si="9"/>
        <v>113.86414492864861</v>
      </c>
      <c r="Z37" s="380">
        <f t="shared" si="10"/>
        <v>115.25988665154159</v>
      </c>
      <c r="AA37" s="381">
        <f t="shared" si="11"/>
        <v>120.62932155111328</v>
      </c>
      <c r="AB37" s="193">
        <f t="shared" si="12"/>
        <v>45314</v>
      </c>
      <c r="AC37" s="119">
        <f>IF(OR(t&lt;Tnet,NoTnet),'2023'!Resal_s+('2023'!Salim-'2023'!Resal_s)*(1-EXP(('2023'!Tnet_s-t)/'2023'!Tau_j)),Resal_s+(Salim-Resal_s)*(1-EXP((Tnet_s-t)/Tau_j)))*Salcycl</f>
        <v>4.4511855248199679E-2</v>
      </c>
      <c r="AD37" s="227">
        <f>(INDEX(Models!$BJ37:$BT37,,AH37)*(1-AF37)+INDEX(Models!$BJ37:$BT37,,AH37+1)*AF37-ERP_i)*AE37*Ramure*Pc/MaxiM</f>
        <v>1.1035925302926039E-3</v>
      </c>
      <c r="AE37" s="301">
        <f t="shared" si="13"/>
        <v>0.5</v>
      </c>
      <c r="AF37" s="173">
        <f t="shared" si="22"/>
        <v>0.990551730249291</v>
      </c>
      <c r="AG37" s="801">
        <f t="shared" si="23"/>
        <v>0</v>
      </c>
      <c r="AH37" s="172">
        <f t="shared" si="14"/>
        <v>6</v>
      </c>
      <c r="AI37" s="221">
        <f t="shared" si="24"/>
        <v>0.990551730249291</v>
      </c>
      <c r="AJ37" s="261" t="b">
        <f t="shared" si="15"/>
        <v>1</v>
      </c>
      <c r="AK37" s="261" t="b">
        <f t="shared" si="16"/>
        <v>0</v>
      </c>
      <c r="AL37" s="261"/>
      <c r="AM37" s="261"/>
      <c r="AN37" s="75"/>
    </row>
    <row r="38" spans="1:40" s="6" customFormat="1" ht="11.25" customHeight="1" x14ac:dyDescent="0.2">
      <c r="A38" s="56">
        <f t="shared" si="17"/>
        <v>45315</v>
      </c>
      <c r="B38" s="406">
        <f>'2023'!Wh/'2023'!Env_an*'2024'!Env_an</f>
        <v>115.27099591348542</v>
      </c>
      <c r="C38" s="385"/>
      <c r="D38" s="388">
        <f t="shared" si="0"/>
        <v>116.68558008200067</v>
      </c>
      <c r="E38" s="380">
        <f t="shared" si="18"/>
        <v>122.12551877212908</v>
      </c>
      <c r="F38" s="380">
        <f t="shared" si="1"/>
        <v>122.2570683053769</v>
      </c>
      <c r="G38" s="110">
        <f t="shared" si="19"/>
        <v>1.000721756393286</v>
      </c>
      <c r="H38" s="409" t="b">
        <f>Wh_hp&gt;='2023'!Maxi_hp</f>
        <v>1</v>
      </c>
      <c r="I38" s="375">
        <f>IF(H38,Wh_hp,'2023'!Maxi_hp)</f>
        <v>122.2570683053769</v>
      </c>
      <c r="J38" s="85">
        <f>IF(H38,An,'2023'!An_max)</f>
        <v>2024</v>
      </c>
      <c r="K38" s="193">
        <f t="shared" si="20"/>
        <v>45315</v>
      </c>
      <c r="L38" s="143">
        <f>IF(t&lt;Tvie,1-EXP((T0-t)*PertePVj)+'2023'!Pspv,1-EXP((T0-t)*PertePVj)+Pspv)</f>
        <v>1.2123041831914039E-2</v>
      </c>
      <c r="M38" s="835"/>
      <c r="N38" s="835"/>
      <c r="O38" s="48">
        <f>IF(t&lt;Tnet,'2023'!Resal+('2023'!Salim-'2023'!Resal)*(1-EXP(('2023'!Tnet-t)/('2023'!Tau_j))),Resal+(Salim-Resal)*(1-EXP((Tnet-t)/(Tau_j))))*Salcycl</f>
        <v>4.4543832810885794E-2</v>
      </c>
      <c r="P38" s="165">
        <f>(INDEX(Models!$BJ38:$BT38,,T38)*(1-R38)+INDEX(Models!$BJ38:$BT38,,T38+1)*R38-ERP_i)*Q38*Ramure*Pc/MaxiM</f>
        <v>1.076007588528459E-3</v>
      </c>
      <c r="Q38" s="301">
        <f t="shared" si="2"/>
        <v>0.5</v>
      </c>
      <c r="R38" s="173">
        <f t="shared" si="3"/>
        <v>0.99062358195952049</v>
      </c>
      <c r="S38" s="801">
        <f t="shared" si="4"/>
        <v>0</v>
      </c>
      <c r="T38" s="172">
        <f t="shared" si="5"/>
        <v>6</v>
      </c>
      <c r="U38" s="247">
        <f t="shared" si="21"/>
        <v>0.99062358195952049</v>
      </c>
      <c r="V38" s="378">
        <f t="shared" si="6"/>
        <v>115.18785834029939</v>
      </c>
      <c r="W38" s="397">
        <f t="shared" si="7"/>
        <v>115.27099591348542</v>
      </c>
      <c r="X38" s="153">
        <f t="shared" si="8"/>
        <v>45315</v>
      </c>
      <c r="Y38" s="380">
        <f t="shared" si="9"/>
        <v>115.27099591348542</v>
      </c>
      <c r="Z38" s="380">
        <f t="shared" si="10"/>
        <v>116.68558008200067</v>
      </c>
      <c r="AA38" s="381">
        <f t="shared" si="11"/>
        <v>122.12551877212908</v>
      </c>
      <c r="AB38" s="193">
        <f t="shared" si="12"/>
        <v>45315</v>
      </c>
      <c r="AC38" s="119">
        <f>IF(OR(t&lt;Tnet,NoTnet),'2023'!Resal_s+('2023'!Salim-'2023'!Resal_s)*(1-EXP(('2023'!Tnet_s-t)/'2023'!Tau_j)),Resal_s+(Salim-Resal_s)*(1-EXP((Tnet_s-t)/Tau_j)))*Salcycl</f>
        <v>4.4543832810885794E-2</v>
      </c>
      <c r="AD38" s="227">
        <f>(INDEX(Models!$BJ38:$BT38,,AH38)*(1-AF38)+INDEX(Models!$BJ38:$BT38,,AH38+1)*AF38-ERP_i)*AE38*Ramure*Pc/MaxiM</f>
        <v>1.076007588528459E-3</v>
      </c>
      <c r="AE38" s="301">
        <f t="shared" si="13"/>
        <v>0.5</v>
      </c>
      <c r="AF38" s="173">
        <f t="shared" si="22"/>
        <v>0.99062358195952049</v>
      </c>
      <c r="AG38" s="801">
        <f t="shared" si="23"/>
        <v>0</v>
      </c>
      <c r="AH38" s="172">
        <f t="shared" si="14"/>
        <v>6</v>
      </c>
      <c r="AI38" s="221">
        <f t="shared" si="24"/>
        <v>0.99062358195952049</v>
      </c>
      <c r="AJ38" s="261" t="b">
        <f t="shared" si="15"/>
        <v>1</v>
      </c>
      <c r="AK38" s="261" t="b">
        <f t="shared" si="16"/>
        <v>0</v>
      </c>
      <c r="AL38" s="261"/>
      <c r="AM38" s="261"/>
      <c r="AN38" s="75"/>
    </row>
    <row r="39" spans="1:40" s="6" customFormat="1" ht="11.25" customHeight="1" x14ac:dyDescent="0.2">
      <c r="A39" s="56">
        <f t="shared" si="17"/>
        <v>45316</v>
      </c>
      <c r="B39" s="406">
        <f>'2023'!Wh/'2023'!Env_an*'2024'!Env_an</f>
        <v>114.20571935909432</v>
      </c>
      <c r="C39" s="385"/>
      <c r="D39" s="388">
        <f t="shared" si="0"/>
        <v>115.60881323993407</v>
      </c>
      <c r="E39" s="380">
        <f t="shared" si="18"/>
        <v>121.00260710841243</v>
      </c>
      <c r="F39" s="380">
        <f t="shared" si="1"/>
        <v>121.12615236042953</v>
      </c>
      <c r="G39" s="110">
        <f t="shared" si="19"/>
        <v>0.98107542984085316</v>
      </c>
      <c r="H39" s="409" t="b">
        <f>Wh_hp&gt;='2023'!Maxi_hp</f>
        <v>0</v>
      </c>
      <c r="I39" s="375">
        <f>IF(H39,Wh_hp,'2023'!Maxi_hp)</f>
        <v>121.12958041502201</v>
      </c>
      <c r="J39" s="85">
        <f>IF(H39,An,'2023'!An_max)</f>
        <v>2022</v>
      </c>
      <c r="K39" s="193">
        <f t="shared" si="20"/>
        <v>45316</v>
      </c>
      <c r="L39" s="143">
        <f>IF(t&lt;Tvie,1-EXP((T0-t)*PertePVj)+'2023'!Pspv,1-EXP((T0-t)*PertePVj)+Pspv)</f>
        <v>1.2136565037890068E-2</v>
      </c>
      <c r="M39" s="835"/>
      <c r="N39" s="835"/>
      <c r="O39" s="48">
        <f>IF(t&lt;Tnet,'2023'!Resal+('2023'!Salim-'2023'!Resal)*(1-EXP(('2023'!Tnet-t)/('2023'!Tau_j))),Resal+(Salim-Resal)*(1-EXP((Tnet-t)/(Tau_j))))*Salcycl</f>
        <v>4.4575848383545905E-2</v>
      </c>
      <c r="P39" s="165">
        <f>(INDEX(Models!$BJ39:$BT39,,T39)*(1-R39)+INDEX(Models!$BJ39:$BT39,,T39+1)*R39-ERP_i)*Q39*Ramure*Pc/MaxiM</f>
        <v>1.0482702076888542E-3</v>
      </c>
      <c r="Q39" s="301">
        <f t="shared" si="2"/>
        <v>0.5</v>
      </c>
      <c r="R39" s="173">
        <f t="shared" si="3"/>
        <v>0.99069842599092872</v>
      </c>
      <c r="S39" s="801">
        <f t="shared" si="4"/>
        <v>0</v>
      </c>
      <c r="T39" s="172">
        <f t="shared" si="5"/>
        <v>6</v>
      </c>
      <c r="U39" s="247">
        <f t="shared" si="21"/>
        <v>0.99069842599092872</v>
      </c>
      <c r="V39" s="378">
        <f t="shared" si="6"/>
        <v>116.40540649423627</v>
      </c>
      <c r="W39" s="397">
        <f t="shared" si="7"/>
        <v>114.20571935909432</v>
      </c>
      <c r="X39" s="153">
        <f t="shared" si="8"/>
        <v>45316</v>
      </c>
      <c r="Y39" s="380">
        <f t="shared" si="9"/>
        <v>114.20571935909432</v>
      </c>
      <c r="Z39" s="380">
        <f t="shared" si="10"/>
        <v>115.60881323993407</v>
      </c>
      <c r="AA39" s="381">
        <f t="shared" si="11"/>
        <v>121.00260710841243</v>
      </c>
      <c r="AB39" s="193">
        <f t="shared" si="12"/>
        <v>45316</v>
      </c>
      <c r="AC39" s="119">
        <f>IF(OR(t&lt;Tnet,NoTnet),'2023'!Resal_s+('2023'!Salim-'2023'!Resal_s)*(1-EXP(('2023'!Tnet_s-t)/'2023'!Tau_j)),Resal_s+(Salim-Resal_s)*(1-EXP((Tnet_s-t)/Tau_j)))*Salcycl</f>
        <v>4.4575848383545905E-2</v>
      </c>
      <c r="AD39" s="227">
        <f>(INDEX(Models!$BJ39:$BT39,,AH39)*(1-AF39)+INDEX(Models!$BJ39:$BT39,,AH39+1)*AF39-ERP_i)*AE39*Ramure*Pc/MaxiM</f>
        <v>1.0482702076888542E-3</v>
      </c>
      <c r="AE39" s="301">
        <f t="shared" si="13"/>
        <v>0.5</v>
      </c>
      <c r="AF39" s="173">
        <f t="shared" si="22"/>
        <v>0.99069842599092872</v>
      </c>
      <c r="AG39" s="801">
        <f t="shared" si="23"/>
        <v>0</v>
      </c>
      <c r="AH39" s="172">
        <f t="shared" si="14"/>
        <v>6</v>
      </c>
      <c r="AI39" s="221">
        <f t="shared" si="24"/>
        <v>0.99069842599092872</v>
      </c>
      <c r="AJ39" s="261" t="b">
        <f t="shared" si="15"/>
        <v>1</v>
      </c>
      <c r="AK39" s="261" t="b">
        <f t="shared" si="16"/>
        <v>0</v>
      </c>
      <c r="AL39" s="261"/>
      <c r="AM39" s="261"/>
      <c r="AN39" s="75"/>
    </row>
    <row r="40" spans="1:40" s="6" customFormat="1" ht="11.25" x14ac:dyDescent="0.2">
      <c r="A40" s="56">
        <f t="shared" si="17"/>
        <v>45317</v>
      </c>
      <c r="B40" s="406">
        <f>'2023'!Wh/'2023'!Env_an*'2024'!Env_an</f>
        <v>116.21638805905658</v>
      </c>
      <c r="C40" s="385"/>
      <c r="D40" s="388">
        <f t="shared" si="0"/>
        <v>117.64579482593268</v>
      </c>
      <c r="E40" s="380">
        <f t="shared" si="18"/>
        <v>123.13875656828807</v>
      </c>
      <c r="F40" s="380">
        <f t="shared" si="1"/>
        <v>123.26235020864725</v>
      </c>
      <c r="G40" s="110">
        <f t="shared" si="19"/>
        <v>0.98781619644229413</v>
      </c>
      <c r="H40" s="409" t="b">
        <f>Wh_hp&gt;='2023'!Maxi_hp</f>
        <v>0</v>
      </c>
      <c r="I40" s="375">
        <f>IF(H40,Wh_hp,'2023'!Maxi_hp)</f>
        <v>123.264536354387</v>
      </c>
      <c r="J40" s="85">
        <f>IF(H40,An,'2023'!An_max)</f>
        <v>2022</v>
      </c>
      <c r="K40" s="193">
        <f t="shared" si="20"/>
        <v>45317</v>
      </c>
      <c r="L40" s="143">
        <f>IF(t&lt;Tvie,1-EXP((T0-t)*PertePVj)+'2023'!Pspv,1-EXP((T0-t)*PertePVj)+Pspv)</f>
        <v>1.2150088058744735E-2</v>
      </c>
      <c r="M40" s="835"/>
      <c r="N40" s="835"/>
      <c r="O40" s="48">
        <f>IF(t&lt;Tnet,'2023'!Resal+('2023'!Salim-'2023'!Resal)*(1-EXP(('2023'!Tnet-t)/('2023'!Tau_j))),Resal+(Salim-Resal)*(1-EXP((Tnet-t)/(Tau_j))))*Salcycl</f>
        <v>4.4607903274621739E-2</v>
      </c>
      <c r="P40" s="165">
        <f>(INDEX(Models!$BJ40:$BT40,,T40)*(1-R40)+INDEX(Models!$BJ40:$BT40,,T40+1)*R40-ERP_i)*Q40*Ramure*Pc/MaxiM</f>
        <v>1.0204230237263888E-3</v>
      </c>
      <c r="Q40" s="301">
        <f t="shared" si="2"/>
        <v>0.5</v>
      </c>
      <c r="R40" s="173">
        <f t="shared" si="3"/>
        <v>0.99077638600332141</v>
      </c>
      <c r="S40" s="801">
        <f t="shared" si="4"/>
        <v>0</v>
      </c>
      <c r="T40" s="172">
        <f t="shared" si="5"/>
        <v>6</v>
      </c>
      <c r="U40" s="247">
        <f t="shared" si="21"/>
        <v>0.99077638600332141</v>
      </c>
      <c r="V40" s="378">
        <f t="shared" si="6"/>
        <v>117.64772158185593</v>
      </c>
      <c r="W40" s="397">
        <f t="shared" si="7"/>
        <v>116.21638805905658</v>
      </c>
      <c r="X40" s="153">
        <f t="shared" si="8"/>
        <v>45317</v>
      </c>
      <c r="Y40" s="380">
        <f t="shared" si="9"/>
        <v>116.21638805905658</v>
      </c>
      <c r="Z40" s="380">
        <f t="shared" si="10"/>
        <v>117.64579482593268</v>
      </c>
      <c r="AA40" s="381">
        <f t="shared" si="11"/>
        <v>123.13875656828807</v>
      </c>
      <c r="AB40" s="193">
        <f t="shared" si="12"/>
        <v>45317</v>
      </c>
      <c r="AC40" s="119">
        <f>IF(OR(t&lt;Tnet,NoTnet),'2023'!Resal_s+('2023'!Salim-'2023'!Resal_s)*(1-EXP(('2023'!Tnet_s-t)/'2023'!Tau_j)),Resal_s+(Salim-Resal_s)*(1-EXP((Tnet_s-t)/Tau_j)))*Salcycl</f>
        <v>4.4607903274621739E-2</v>
      </c>
      <c r="AD40" s="227">
        <f>(INDEX(Models!$BJ40:$BT40,,AH40)*(1-AF40)+INDEX(Models!$BJ40:$BT40,,AH40+1)*AF40-ERP_i)*AE40*Ramure*Pc/MaxiM</f>
        <v>1.0204230237263888E-3</v>
      </c>
      <c r="AE40" s="301">
        <f t="shared" si="13"/>
        <v>0.5</v>
      </c>
      <c r="AF40" s="173">
        <f t="shared" si="22"/>
        <v>0.99077638600332141</v>
      </c>
      <c r="AG40" s="801">
        <f t="shared" si="23"/>
        <v>0</v>
      </c>
      <c r="AH40" s="172">
        <f t="shared" si="14"/>
        <v>6</v>
      </c>
      <c r="AI40" s="221">
        <f t="shared" si="24"/>
        <v>0.99077638600332141</v>
      </c>
      <c r="AJ40" s="261" t="b">
        <f t="shared" si="15"/>
        <v>1</v>
      </c>
      <c r="AK40" s="261" t="b">
        <f t="shared" si="16"/>
        <v>0</v>
      </c>
      <c r="AL40" s="261"/>
      <c r="AM40" s="261"/>
      <c r="AN40" s="75"/>
    </row>
    <row r="41" spans="1:40" s="6" customFormat="1" ht="11.25" customHeight="1" x14ac:dyDescent="0.2">
      <c r="A41" s="56">
        <f t="shared" si="17"/>
        <v>45318</v>
      </c>
      <c r="B41" s="406">
        <f>'2023'!Wh/'2023'!Env_an*'2024'!Env_an</f>
        <v>118.11042051007776</v>
      </c>
      <c r="C41" s="385"/>
      <c r="D41" s="388">
        <f t="shared" si="0"/>
        <v>119.56475972405322</v>
      </c>
      <c r="E41" s="380">
        <f t="shared" si="18"/>
        <v>125.15152353723384</v>
      </c>
      <c r="F41" s="380">
        <f t="shared" si="1"/>
        <v>125.27466078381423</v>
      </c>
      <c r="G41" s="110">
        <f t="shared" si="19"/>
        <v>0.99324320315957892</v>
      </c>
      <c r="H41" s="409" t="b">
        <f>Wh_hp&gt;='2023'!Maxi_hp</f>
        <v>0</v>
      </c>
      <c r="I41" s="375">
        <f>IF(H41,Wh_hp,'2023'!Maxi_hp)</f>
        <v>125.27585917077172</v>
      </c>
      <c r="J41" s="85">
        <f>IF(H41,An,'2023'!An_max)</f>
        <v>2022</v>
      </c>
      <c r="K41" s="193">
        <f t="shared" si="20"/>
        <v>45318</v>
      </c>
      <c r="L41" s="143">
        <f>IF(t&lt;Tvie,1-EXP((T0-t)*PertePVj)+'2023'!Pspv,1-EXP((T0-t)*PertePVj)+Pspv)</f>
        <v>1.2163610894480703E-2</v>
      </c>
      <c r="M41" s="835"/>
      <c r="N41" s="835"/>
      <c r="O41" s="48">
        <f>IF(t&lt;Tnet,'2023'!Resal+('2023'!Salim-'2023'!Resal)*(1-EXP(('2023'!Tnet-t)/('2023'!Tau_j))),Resal+(Salim-Resal)*(1-EXP((Tnet-t)/(Tau_j))))*Salcycl</f>
        <v>4.4639998421741121E-2</v>
      </c>
      <c r="P41" s="165">
        <f>(INDEX(Models!$BJ41:$BT41,,T41)*(1-R41)+INDEX(Models!$BJ41:$BT41,,T41+1)*R41-ERP_i)*Q41*Ramure*Pc/MaxiM</f>
        <v>9.925049100790455E-4</v>
      </c>
      <c r="Q41" s="301">
        <f t="shared" si="2"/>
        <v>0.5</v>
      </c>
      <c r="R41" s="173">
        <f t="shared" si="3"/>
        <v>0.99085759068514312</v>
      </c>
      <c r="S41" s="801">
        <f t="shared" si="4"/>
        <v>0</v>
      </c>
      <c r="T41" s="172">
        <f t="shared" si="5"/>
        <v>6</v>
      </c>
      <c r="U41" s="247">
        <f t="shared" si="21"/>
        <v>0.99085759068514312</v>
      </c>
      <c r="V41" s="378">
        <f t="shared" si="6"/>
        <v>118.91275882044134</v>
      </c>
      <c r="W41" s="397">
        <f t="shared" si="7"/>
        <v>118.11042051007776</v>
      </c>
      <c r="X41" s="153">
        <f t="shared" si="8"/>
        <v>45318</v>
      </c>
      <c r="Y41" s="380">
        <f t="shared" si="9"/>
        <v>118.11042051007776</v>
      </c>
      <c r="Z41" s="380">
        <f t="shared" si="10"/>
        <v>119.56475972405322</v>
      </c>
      <c r="AA41" s="381">
        <f t="shared" si="11"/>
        <v>125.15152353723384</v>
      </c>
      <c r="AB41" s="193">
        <f t="shared" si="12"/>
        <v>45318</v>
      </c>
      <c r="AC41" s="119">
        <f>IF(OR(t&lt;Tnet,NoTnet),'2023'!Resal_s+('2023'!Salim-'2023'!Resal_s)*(1-EXP(('2023'!Tnet_s-t)/'2023'!Tau_j)),Resal_s+(Salim-Resal_s)*(1-EXP((Tnet_s-t)/Tau_j)))*Salcycl</f>
        <v>4.4639998421741121E-2</v>
      </c>
      <c r="AD41" s="227">
        <f>(INDEX(Models!$BJ41:$BT41,,AH41)*(1-AF41)+INDEX(Models!$BJ41:$BT41,,AH41+1)*AF41-ERP_i)*AE41*Ramure*Pc/MaxiM</f>
        <v>9.925049100790455E-4</v>
      </c>
      <c r="AE41" s="301">
        <f t="shared" si="13"/>
        <v>0.5</v>
      </c>
      <c r="AF41" s="173">
        <f t="shared" si="22"/>
        <v>0.99085759068514312</v>
      </c>
      <c r="AG41" s="801">
        <f t="shared" si="23"/>
        <v>0</v>
      </c>
      <c r="AH41" s="172">
        <f t="shared" si="14"/>
        <v>6</v>
      </c>
      <c r="AI41" s="221">
        <f t="shared" si="24"/>
        <v>0.99085759068514312</v>
      </c>
      <c r="AJ41" s="261" t="b">
        <f t="shared" si="15"/>
        <v>1</v>
      </c>
      <c r="AK41" s="261" t="b">
        <f t="shared" si="16"/>
        <v>0</v>
      </c>
      <c r="AL41" s="261"/>
      <c r="AM41" s="261"/>
      <c r="AN41" s="75"/>
    </row>
    <row r="42" spans="1:40" s="6" customFormat="1" ht="11.25" x14ac:dyDescent="0.2">
      <c r="A42" s="56">
        <f t="shared" si="17"/>
        <v>45319</v>
      </c>
      <c r="B42" s="406">
        <f>'2023'!Wh/'2023'!Env_an*'2024'!Env_an</f>
        <v>18.299166288827262</v>
      </c>
      <c r="C42" s="385"/>
      <c r="D42" s="388">
        <f t="shared" si="0"/>
        <v>18.524744577435566</v>
      </c>
      <c r="E42" s="380">
        <f t="shared" si="18"/>
        <v>19.390981089884978</v>
      </c>
      <c r="F42" s="380">
        <f t="shared" si="1"/>
        <v>19.390981089884978</v>
      </c>
      <c r="G42" s="110">
        <f t="shared" si="19"/>
        <v>0.15209440865676049</v>
      </c>
      <c r="H42" s="409" t="b">
        <f>Wh_hp&gt;='2023'!Maxi_hp</f>
        <v>0</v>
      </c>
      <c r="I42" s="375">
        <f>IF(H42,Wh_hp,'2023'!Maxi_hp)</f>
        <v>19.409681636189191</v>
      </c>
      <c r="J42" s="85">
        <f>IF(H42,An,'2023'!An_max)</f>
        <v>2022</v>
      </c>
      <c r="K42" s="193">
        <f t="shared" si="20"/>
        <v>45319</v>
      </c>
      <c r="L42" s="143">
        <f>IF(t&lt;Tvie,1-EXP((T0-t)*PertePVj)+'2023'!Pspv,1-EXP((T0-t)*PertePVj)+Pspv)</f>
        <v>1.2177133545100305E-2</v>
      </c>
      <c r="M42" s="835"/>
      <c r="N42" s="835"/>
      <c r="O42" s="48">
        <f>IF(t&lt;Tnet,'2023'!Resal+('2023'!Salim-'2023'!Resal)*(1-EXP(('2023'!Tnet-t)/('2023'!Tau_j))),Resal+(Salim-Resal)*(1-EXP((Tnet-t)/(Tau_j))))*Salcycl</f>
        <v>4.4672134351225315E-2</v>
      </c>
      <c r="P42" s="165">
        <f>(INDEX(Models!$BJ42:$BT42,,T42)*(1-R42)+INDEX(Models!$BJ42:$BT42,,T42+1)*R42-ERP_i)*Q42*Ramure*Pc/MaxiM</f>
        <v>9.6455107123268513E-4</v>
      </c>
      <c r="Q42" s="301">
        <f t="shared" si="2"/>
        <v>0.5</v>
      </c>
      <c r="R42" s="173">
        <f t="shared" si="3"/>
        <v>0.99094217395098905</v>
      </c>
      <c r="S42" s="801">
        <f t="shared" si="4"/>
        <v>0</v>
      </c>
      <c r="T42" s="172">
        <f t="shared" si="5"/>
        <v>6</v>
      </c>
      <c r="U42" s="247">
        <f t="shared" si="21"/>
        <v>0.99094217395098905</v>
      </c>
      <c r="V42" s="378">
        <f t="shared" si="6"/>
        <v>120.1984738941822</v>
      </c>
      <c r="W42" s="397">
        <f t="shared" si="7"/>
        <v>18.299166288827262</v>
      </c>
      <c r="X42" s="153">
        <f t="shared" si="8"/>
        <v>45319</v>
      </c>
      <c r="Y42" s="380">
        <f t="shared" si="9"/>
        <v>18.299166288827262</v>
      </c>
      <c r="Z42" s="380">
        <f t="shared" si="10"/>
        <v>18.524744577435566</v>
      </c>
      <c r="AA42" s="381">
        <f t="shared" si="11"/>
        <v>19.390981089884978</v>
      </c>
      <c r="AB42" s="193">
        <f t="shared" si="12"/>
        <v>45319</v>
      </c>
      <c r="AC42" s="119">
        <f>IF(OR(t&lt;Tnet,NoTnet),'2023'!Resal_s+('2023'!Salim-'2023'!Resal_s)*(1-EXP(('2023'!Tnet_s-t)/'2023'!Tau_j)),Resal_s+(Salim-Resal_s)*(1-EXP((Tnet_s-t)/Tau_j)))*Salcycl</f>
        <v>4.4672134351225315E-2</v>
      </c>
      <c r="AD42" s="227">
        <f>(INDEX(Models!$BJ42:$BT42,,AH42)*(1-AF42)+INDEX(Models!$BJ42:$BT42,,AH42+1)*AF42-ERP_i)*AE42*Ramure*Pc/MaxiM</f>
        <v>9.6455107123268513E-4</v>
      </c>
      <c r="AE42" s="301">
        <f t="shared" si="13"/>
        <v>0.5</v>
      </c>
      <c r="AF42" s="173">
        <f t="shared" si="22"/>
        <v>0.99094217395098905</v>
      </c>
      <c r="AG42" s="801">
        <f t="shared" si="23"/>
        <v>0</v>
      </c>
      <c r="AH42" s="172">
        <f t="shared" si="14"/>
        <v>6</v>
      </c>
      <c r="AI42" s="221">
        <f t="shared" si="24"/>
        <v>0.99094217395098905</v>
      </c>
      <c r="AJ42" s="261" t="b">
        <f t="shared" si="15"/>
        <v>1</v>
      </c>
      <c r="AK42" s="261" t="b">
        <f t="shared" si="16"/>
        <v>0</v>
      </c>
      <c r="AL42" s="261"/>
      <c r="AM42" s="261"/>
      <c r="AN42" s="75"/>
    </row>
    <row r="43" spans="1:40" s="6" customFormat="1" ht="11.25" customHeight="1" x14ac:dyDescent="0.2">
      <c r="A43" s="56">
        <f t="shared" si="17"/>
        <v>45320</v>
      </c>
      <c r="B43" s="406">
        <f>'2023'!Wh/'2023'!Env_an*'2024'!Env_an</f>
        <v>28.681464964461199</v>
      </c>
      <c r="C43" s="385"/>
      <c r="D43" s="388">
        <f t="shared" si="0"/>
        <v>29.035425853158518</v>
      </c>
      <c r="E43" s="380">
        <f t="shared" si="18"/>
        <v>30.394176580014054</v>
      </c>
      <c r="F43" s="380">
        <f t="shared" si="1"/>
        <v>30.394176580014054</v>
      </c>
      <c r="G43" s="110">
        <f t="shared" si="19"/>
        <v>0.23583486712629675</v>
      </c>
      <c r="H43" s="409" t="b">
        <f>Wh_hp&gt;='2023'!Maxi_hp</f>
        <v>0</v>
      </c>
      <c r="I43" s="375">
        <f>IF(H43,Wh_hp,'2023'!Maxi_hp)</f>
        <v>30.422636176591364</v>
      </c>
      <c r="J43" s="85">
        <f>IF(H43,An,'2023'!An_max)</f>
        <v>2022</v>
      </c>
      <c r="K43" s="193">
        <f t="shared" si="20"/>
        <v>45320</v>
      </c>
      <c r="L43" s="143">
        <f>IF(t&lt;Tvie,1-EXP((T0-t)*PertePVj)+'2023'!Pspv,1-EXP((T0-t)*PertePVj)+Pspv)</f>
        <v>1.2190656010606205E-2</v>
      </c>
      <c r="M43" s="835"/>
      <c r="N43" s="835"/>
      <c r="O43" s="48">
        <f>IF(t&lt;Tnet,'2023'!Resal+('2023'!Salim-'2023'!Resal)*(1-EXP(('2023'!Tnet-t)/('2023'!Tau_j))),Resal+(Salim-Resal)*(1-EXP((Tnet-t)/(Tau_j))))*Salcycl</f>
        <v>4.4704311145872346E-2</v>
      </c>
      <c r="P43" s="165">
        <f>(INDEX(Models!$BJ43:$BT43,,T43)*(1-R43)+INDEX(Models!$BJ43:$BT43,,T43+1)*R43-ERP_i)*Q43*Ramure*Pc/MaxiM</f>
        <v>9.3659315790347013E-4</v>
      </c>
      <c r="Q43" s="301">
        <f t="shared" si="2"/>
        <v>0.5</v>
      </c>
      <c r="R43" s="173">
        <f t="shared" si="3"/>
        <v>0.99103027514627429</v>
      </c>
      <c r="S43" s="801">
        <f t="shared" si="4"/>
        <v>0</v>
      </c>
      <c r="T43" s="172">
        <f t="shared" si="5"/>
        <v>6</v>
      </c>
      <c r="U43" s="247">
        <f t="shared" si="21"/>
        <v>0.99103027514627429</v>
      </c>
      <c r="V43" s="378">
        <f t="shared" si="6"/>
        <v>121.50282292766923</v>
      </c>
      <c r="W43" s="397">
        <f t="shared" si="7"/>
        <v>28.681464964461199</v>
      </c>
      <c r="X43" s="153">
        <f t="shared" si="8"/>
        <v>45320</v>
      </c>
      <c r="Y43" s="380">
        <f t="shared" si="9"/>
        <v>28.681464964461199</v>
      </c>
      <c r="Z43" s="380">
        <f t="shared" si="10"/>
        <v>29.035425853158518</v>
      </c>
      <c r="AA43" s="381">
        <f t="shared" si="11"/>
        <v>30.394176580014054</v>
      </c>
      <c r="AB43" s="193">
        <f t="shared" si="12"/>
        <v>45320</v>
      </c>
      <c r="AC43" s="119">
        <f>IF(OR(t&lt;Tnet,NoTnet),'2023'!Resal_s+('2023'!Salim-'2023'!Resal_s)*(1-EXP(('2023'!Tnet_s-t)/'2023'!Tau_j)),Resal_s+(Salim-Resal_s)*(1-EXP((Tnet_s-t)/Tau_j)))*Salcycl</f>
        <v>4.4704311145872346E-2</v>
      </c>
      <c r="AD43" s="227">
        <f>(INDEX(Models!$BJ43:$BT43,,AH43)*(1-AF43)+INDEX(Models!$BJ43:$BT43,,AH43+1)*AF43-ERP_i)*AE43*Ramure*Pc/MaxiM</f>
        <v>9.3659315790347013E-4</v>
      </c>
      <c r="AE43" s="301">
        <f t="shared" si="13"/>
        <v>0.5</v>
      </c>
      <c r="AF43" s="173">
        <f t="shared" si="22"/>
        <v>0.99103027514627429</v>
      </c>
      <c r="AG43" s="801">
        <f t="shared" si="23"/>
        <v>0</v>
      </c>
      <c r="AH43" s="172">
        <f t="shared" si="14"/>
        <v>6</v>
      </c>
      <c r="AI43" s="221">
        <f t="shared" si="24"/>
        <v>0.99103027514627429</v>
      </c>
      <c r="AJ43" s="261" t="b">
        <f t="shared" si="15"/>
        <v>1</v>
      </c>
      <c r="AK43" s="261" t="b">
        <f t="shared" si="16"/>
        <v>0</v>
      </c>
      <c r="AL43" s="261"/>
      <c r="AM43" s="261"/>
      <c r="AN43" s="75"/>
    </row>
    <row r="44" spans="1:40" s="6" customFormat="1" ht="11.25" x14ac:dyDescent="0.2">
      <c r="A44" s="56">
        <f t="shared" si="17"/>
        <v>45321</v>
      </c>
      <c r="B44" s="406">
        <f>'2023'!Wh/'2023'!Env_an*'2024'!Env_an</f>
        <v>25.841145535911323</v>
      </c>
      <c r="C44" s="385"/>
      <c r="D44" s="388">
        <f t="shared" si="0"/>
        <v>26.160411866496059</v>
      </c>
      <c r="E44" s="380">
        <f t="shared" si="18"/>
        <v>27.385546129236648</v>
      </c>
      <c r="F44" s="380">
        <f t="shared" si="1"/>
        <v>27.385546129236648</v>
      </c>
      <c r="G44" s="110">
        <f t="shared" si="19"/>
        <v>0.21020089438013004</v>
      </c>
      <c r="H44" s="409" t="b">
        <f>Wh_hp&gt;='2023'!Maxi_hp</f>
        <v>0</v>
      </c>
      <c r="I44" s="375">
        <f>IF(H44,Wh_hp,'2023'!Maxi_hp)</f>
        <v>27.410360787722297</v>
      </c>
      <c r="J44" s="85">
        <f>IF(H44,An,'2023'!An_max)</f>
        <v>2022</v>
      </c>
      <c r="K44" s="193">
        <f t="shared" si="20"/>
        <v>45321</v>
      </c>
      <c r="L44" s="143">
        <f>IF(t&lt;Tvie,1-EXP((T0-t)*PertePVj)+'2023'!Pspv,1-EXP((T0-t)*PertePVj)+Pspv)</f>
        <v>1.2204178291000956E-2</v>
      </c>
      <c r="M44" s="835"/>
      <c r="N44" s="835"/>
      <c r="O44" s="48">
        <f>IF(t&lt;Tnet,'2023'!Resal+('2023'!Salim-'2023'!Resal)*(1-EXP(('2023'!Tnet-t)/('2023'!Tau_j))),Resal+(Salim-Resal)*(1-EXP((Tnet-t)/(Tau_j))))*Salcycl</f>
        <v>4.4736528421196693E-2</v>
      </c>
      <c r="P44" s="165">
        <f>(INDEX(Models!$BJ44:$BT44,,T44)*(1-R44)+INDEX(Models!$BJ44:$BT44,,T44+1)*R44-ERP_i)*Q44*Ramure*Pc/MaxiM</f>
        <v>9.0645045723901385E-4</v>
      </c>
      <c r="Q44" s="301">
        <f t="shared" si="2"/>
        <v>0.5</v>
      </c>
      <c r="R44" s="173">
        <f t="shared" si="3"/>
        <v>0.99112203925926778</v>
      </c>
      <c r="S44" s="801">
        <f t="shared" si="4"/>
        <v>0</v>
      </c>
      <c r="T44" s="172">
        <f t="shared" si="5"/>
        <v>6</v>
      </c>
      <c r="U44" s="247">
        <f t="shared" si="21"/>
        <v>0.99112203925926778</v>
      </c>
      <c r="V44" s="378">
        <f t="shared" si="6"/>
        <v>122.82403409300252</v>
      </c>
      <c r="W44" s="397">
        <f t="shared" si="7"/>
        <v>25.841145535911323</v>
      </c>
      <c r="X44" s="153">
        <f t="shared" si="8"/>
        <v>45321</v>
      </c>
      <c r="Y44" s="380">
        <f t="shared" si="9"/>
        <v>25.841145535911323</v>
      </c>
      <c r="Z44" s="380">
        <f t="shared" si="10"/>
        <v>26.160411866496059</v>
      </c>
      <c r="AA44" s="381">
        <f t="shared" si="11"/>
        <v>27.385546129236648</v>
      </c>
      <c r="AB44" s="193">
        <f t="shared" si="12"/>
        <v>45321</v>
      </c>
      <c r="AC44" s="119">
        <f>IF(OR(t&lt;Tnet,NoTnet),'2023'!Resal_s+('2023'!Salim-'2023'!Resal_s)*(1-EXP(('2023'!Tnet_s-t)/'2023'!Tau_j)),Resal_s+(Salim-Resal_s)*(1-EXP((Tnet_s-t)/Tau_j)))*Salcycl</f>
        <v>4.4736528421196693E-2</v>
      </c>
      <c r="AD44" s="227">
        <f>(INDEX(Models!$BJ44:$BT44,,AH44)*(1-AF44)+INDEX(Models!$BJ44:$BT44,,AH44+1)*AF44-ERP_i)*AE44*Ramure*Pc/MaxiM</f>
        <v>9.0645045723901385E-4</v>
      </c>
      <c r="AE44" s="301">
        <f t="shared" si="13"/>
        <v>0.5</v>
      </c>
      <c r="AF44" s="173">
        <f t="shared" si="22"/>
        <v>0.99112203925926778</v>
      </c>
      <c r="AG44" s="801">
        <f t="shared" si="23"/>
        <v>0</v>
      </c>
      <c r="AH44" s="172">
        <f t="shared" si="14"/>
        <v>6</v>
      </c>
      <c r="AI44" s="221">
        <f t="shared" si="24"/>
        <v>0.99112203925926778</v>
      </c>
      <c r="AJ44" s="261" t="b">
        <f t="shared" si="15"/>
        <v>1</v>
      </c>
      <c r="AK44" s="261" t="b">
        <f t="shared" si="16"/>
        <v>0</v>
      </c>
      <c r="AL44" s="261"/>
      <c r="AM44" s="261"/>
      <c r="AN44" s="75"/>
    </row>
    <row r="45" spans="1:40" s="6" customFormat="1" ht="11.25" x14ac:dyDescent="0.2">
      <c r="A45" s="56">
        <f t="shared" si="17"/>
        <v>45322</v>
      </c>
      <c r="B45" s="406">
        <f>'2023'!Wh/'2023'!Env_an*'2024'!Env_an</f>
        <v>25.682389679760824</v>
      </c>
      <c r="C45" s="385"/>
      <c r="D45" s="388">
        <f t="shared" si="0"/>
        <v>26.000050506882239</v>
      </c>
      <c r="E45" s="380">
        <f t="shared" si="18"/>
        <v>27.218593893339047</v>
      </c>
      <c r="F45" s="380">
        <f t="shared" si="1"/>
        <v>27.218593893339047</v>
      </c>
      <c r="G45" s="110">
        <f t="shared" si="19"/>
        <v>0.20666820491063892</v>
      </c>
      <c r="H45" s="409" t="b">
        <f>Wh_hp&gt;='2023'!Maxi_hp</f>
        <v>0</v>
      </c>
      <c r="I45" s="375">
        <f>IF(H45,Wh_hp,'2023'!Maxi_hp)</f>
        <v>27.242367789857944</v>
      </c>
      <c r="J45" s="85">
        <f>IF(H45,An,'2023'!An_max)</f>
        <v>2022</v>
      </c>
      <c r="K45" s="193">
        <f t="shared" si="20"/>
        <v>45322</v>
      </c>
      <c r="L45" s="143">
        <f>IF(t&lt;Tvie,1-EXP((T0-t)*PertePVj)+'2023'!Pspv,1-EXP((T0-t)*PertePVj)+Pspv)</f>
        <v>1.2217700386287E-2</v>
      </c>
      <c r="M45" s="835"/>
      <c r="N45" s="835"/>
      <c r="O45" s="48">
        <f>IF(t&lt;Tnet,'2023'!Resal+('2023'!Salim-'2023'!Resal)*(1-EXP(('2023'!Tnet-t)/('2023'!Tau_j))),Resal+(Salim-Resal)*(1-EXP((Tnet-t)/(Tau_j))))*Salcycl</f>
        <v>4.476878531021438E-2</v>
      </c>
      <c r="P45" s="165">
        <f>(INDEX(Models!$BJ45:$BT45,,T45)*(1-R45)+INDEX(Models!$BJ45:$BT45,,T45+1)*R45-ERP_i)*Q45*Ramure*Pc/MaxiM</f>
        <v>8.7385391308952864E-4</v>
      </c>
      <c r="Q45" s="301">
        <f t="shared" si="2"/>
        <v>0.5</v>
      </c>
      <c r="R45" s="173">
        <f t="shared" si="3"/>
        <v>0.99121761714069789</v>
      </c>
      <c r="S45" s="801">
        <f t="shared" si="4"/>
        <v>0</v>
      </c>
      <c r="T45" s="172">
        <f t="shared" si="5"/>
        <v>6</v>
      </c>
      <c r="U45" s="247">
        <f t="shared" si="21"/>
        <v>0.99121761714069789</v>
      </c>
      <c r="V45" s="378">
        <f t="shared" si="6"/>
        <v>124.16010984436021</v>
      </c>
      <c r="W45" s="397">
        <f t="shared" si="7"/>
        <v>25.682389679760824</v>
      </c>
      <c r="X45" s="153">
        <f t="shared" si="8"/>
        <v>45322</v>
      </c>
      <c r="Y45" s="380">
        <f t="shared" si="9"/>
        <v>25.682389679760824</v>
      </c>
      <c r="Z45" s="380">
        <f t="shared" si="10"/>
        <v>26.000050506882239</v>
      </c>
      <c r="AA45" s="381">
        <f t="shared" si="11"/>
        <v>27.218593893339047</v>
      </c>
      <c r="AB45" s="193">
        <f t="shared" si="12"/>
        <v>45322</v>
      </c>
      <c r="AC45" s="119">
        <f>IF(OR(t&lt;Tnet,NoTnet),'2023'!Resal_s+('2023'!Salim-'2023'!Resal_s)*(1-EXP(('2023'!Tnet_s-t)/'2023'!Tau_j)),Resal_s+(Salim-Resal_s)*(1-EXP((Tnet_s-t)/Tau_j)))*Salcycl</f>
        <v>4.476878531021438E-2</v>
      </c>
      <c r="AD45" s="227">
        <f>(INDEX(Models!$BJ45:$BT45,,AH45)*(1-AF45)+INDEX(Models!$BJ45:$BT45,,AH45+1)*AF45-ERP_i)*AE45*Ramure*Pc/MaxiM</f>
        <v>8.7385391308952864E-4</v>
      </c>
      <c r="AE45" s="301">
        <f t="shared" si="13"/>
        <v>0.5</v>
      </c>
      <c r="AF45" s="173">
        <f t="shared" si="22"/>
        <v>0.99121761714069789</v>
      </c>
      <c r="AG45" s="801">
        <f t="shared" si="23"/>
        <v>0</v>
      </c>
      <c r="AH45" s="172">
        <f t="shared" si="14"/>
        <v>6</v>
      </c>
      <c r="AI45" s="221">
        <f t="shared" si="24"/>
        <v>0.99121761714069789</v>
      </c>
      <c r="AJ45" s="261" t="b">
        <f t="shared" si="15"/>
        <v>1</v>
      </c>
      <c r="AK45" s="261" t="b">
        <f t="shared" si="16"/>
        <v>0</v>
      </c>
      <c r="AL45" s="261"/>
      <c r="AM45" s="261"/>
      <c r="AN45" s="75"/>
    </row>
    <row r="46" spans="1:40" s="6" customFormat="1" ht="11.25" x14ac:dyDescent="0.2">
      <c r="A46" s="56">
        <f t="shared" si="17"/>
        <v>45323</v>
      </c>
      <c r="B46" s="406">
        <f>'2023'!Wh/'2023'!Env_an*'2024'!Env_an</f>
        <v>55.98338872309003</v>
      </c>
      <c r="C46" s="385"/>
      <c r="D46" s="388">
        <f t="shared" si="0"/>
        <v>56.676612975403003</v>
      </c>
      <c r="E46" s="380">
        <f t="shared" si="18"/>
        <v>59.334879694488635</v>
      </c>
      <c r="F46" s="380">
        <f t="shared" si="1"/>
        <v>59.345267053073769</v>
      </c>
      <c r="G46" s="110">
        <f t="shared" si="19"/>
        <v>0.44575459019603703</v>
      </c>
      <c r="H46" s="409" t="b">
        <f>Wh_hp&gt;='2023'!Maxi_hp</f>
        <v>0</v>
      </c>
      <c r="I46" s="375">
        <f>IF(H46,Wh_hp,'2023'!Maxi_hp)</f>
        <v>59.384641801308028</v>
      </c>
      <c r="J46" s="85">
        <f>IF(H46,An,'2023'!An_max)</f>
        <v>2022</v>
      </c>
      <c r="K46" s="193">
        <f t="shared" si="20"/>
        <v>45323</v>
      </c>
      <c r="L46" s="143">
        <f>IF(t&lt;Tvie,1-EXP((T0-t)*PertePVj)+'2023'!Pspv,1-EXP((T0-t)*PertePVj)+Pspv)</f>
        <v>1.2231222296466893E-2</v>
      </c>
      <c r="M46" s="835"/>
      <c r="N46" s="835"/>
      <c r="O46" s="48">
        <f>IF(t&lt;Tnet,'2023'!Resal+('2023'!Salim-'2023'!Resal)*(1-EXP(('2023'!Tnet-t)/('2023'!Tau_j))),Resal+(Salim-Resal)*(1-EXP((Tnet-t)/(Tau_j))))*Salcycl</f>
        <v>4.4801080456771378E-2</v>
      </c>
      <c r="P46" s="165">
        <f>(INDEX(Models!$BJ46:$BT46,,T46)*(1-R46)+INDEX(Models!$BJ46:$BT46,,T46+1)*R46-ERP_i)*Q46*Ramure*Pc/MaxiM</f>
        <v>8.3890589272478269E-4</v>
      </c>
      <c r="Q46" s="301">
        <f t="shared" si="2"/>
        <v>0.5</v>
      </c>
      <c r="R46" s="173">
        <f t="shared" si="3"/>
        <v>0.99131716573113837</v>
      </c>
      <c r="S46" s="801">
        <f t="shared" si="4"/>
        <v>0</v>
      </c>
      <c r="T46" s="172">
        <f t="shared" si="5"/>
        <v>6</v>
      </c>
      <c r="U46" s="247">
        <f t="shared" si="21"/>
        <v>0.99131716573113837</v>
      </c>
      <c r="V46" s="378">
        <f t="shared" si="6"/>
        <v>125.50900780980642</v>
      </c>
      <c r="W46" s="397">
        <f t="shared" si="7"/>
        <v>55.98338872309003</v>
      </c>
      <c r="X46" s="153">
        <f t="shared" si="8"/>
        <v>45323</v>
      </c>
      <c r="Y46" s="380">
        <f t="shared" si="9"/>
        <v>55.98338872309003</v>
      </c>
      <c r="Z46" s="380">
        <f t="shared" si="10"/>
        <v>56.676612975403003</v>
      </c>
      <c r="AA46" s="381">
        <f t="shared" si="11"/>
        <v>59.334879694488635</v>
      </c>
      <c r="AB46" s="193">
        <f t="shared" si="12"/>
        <v>45323</v>
      </c>
      <c r="AC46" s="119">
        <f>IF(OR(t&lt;Tnet,NoTnet),'2023'!Resal_s+('2023'!Salim-'2023'!Resal_s)*(1-EXP(('2023'!Tnet_s-t)/'2023'!Tau_j)),Resal_s+(Salim-Resal_s)*(1-EXP((Tnet_s-t)/Tau_j)))*Salcycl</f>
        <v>4.4801080456771378E-2</v>
      </c>
      <c r="AD46" s="227">
        <f>(INDEX(Models!$BJ46:$BT46,,AH46)*(1-AF46)+INDEX(Models!$BJ46:$BT46,,AH46+1)*AF46-ERP_i)*AE46*Ramure*Pc/MaxiM</f>
        <v>8.3890589272478269E-4</v>
      </c>
      <c r="AE46" s="301">
        <f t="shared" si="13"/>
        <v>0.5</v>
      </c>
      <c r="AF46" s="173">
        <f t="shared" si="22"/>
        <v>0.99131716573113837</v>
      </c>
      <c r="AG46" s="801">
        <f t="shared" si="23"/>
        <v>0</v>
      </c>
      <c r="AH46" s="172">
        <f t="shared" si="14"/>
        <v>6</v>
      </c>
      <c r="AI46" s="221">
        <f t="shared" si="24"/>
        <v>0.99131716573113837</v>
      </c>
      <c r="AJ46" s="261" t="b">
        <f t="shared" si="15"/>
        <v>1</v>
      </c>
      <c r="AK46" s="261" t="b">
        <f t="shared" si="16"/>
        <v>0</v>
      </c>
      <c r="AL46" s="261"/>
      <c r="AM46" s="261"/>
      <c r="AN46" s="75"/>
    </row>
    <row r="47" spans="1:40" s="6" customFormat="1" ht="11.25" x14ac:dyDescent="0.2">
      <c r="A47" s="56">
        <f t="shared" si="17"/>
        <v>45324</v>
      </c>
      <c r="B47" s="406">
        <f>'2023'!Wh/'2023'!Env_an*'2024'!Env_an</f>
        <v>24.969807853540853</v>
      </c>
      <c r="C47" s="385"/>
      <c r="D47" s="388">
        <f t="shared" si="0"/>
        <v>25.279346986421356</v>
      </c>
      <c r="E47" s="380">
        <f t="shared" si="18"/>
        <v>26.465903753827561</v>
      </c>
      <c r="F47" s="380">
        <f t="shared" si="1"/>
        <v>26.465903753827561</v>
      </c>
      <c r="G47" s="110">
        <f t="shared" si="19"/>
        <v>0.1966583735996289</v>
      </c>
      <c r="H47" s="409" t="b">
        <f>Wh_hp&gt;='2023'!Maxi_hp</f>
        <v>0</v>
      </c>
      <c r="I47" s="375">
        <f>IF(H47,Wh_hp,'2023'!Maxi_hp)</f>
        <v>26.487106634612363</v>
      </c>
      <c r="J47" s="85">
        <f>IF(H47,An,'2023'!An_max)</f>
        <v>2022</v>
      </c>
      <c r="K47" s="193">
        <f t="shared" si="20"/>
        <v>45324</v>
      </c>
      <c r="L47" s="143">
        <f>IF(t&lt;Tvie,1-EXP((T0-t)*PertePVj)+'2023'!Pspv,1-EXP((T0-t)*PertePVj)+Pspv)</f>
        <v>1.2244744021543297E-2</v>
      </c>
      <c r="M47" s="835"/>
      <c r="N47" s="835"/>
      <c r="O47" s="48">
        <f>IF(t&lt;Tnet,'2023'!Resal+('2023'!Salim-'2023'!Resal)*(1-EXP(('2023'!Tnet-t)/('2023'!Tau_j))),Resal+(Salim-Resal)*(1-EXP((Tnet-t)/(Tau_j))))*Salcycl</f>
        <v>4.4833412017324527E-2</v>
      </c>
      <c r="P47" s="165">
        <f>(INDEX(Models!$BJ47:$BT47,,T47)*(1-R47)+INDEX(Models!$BJ47:$BT47,,T47+1)*R47-ERP_i)*Q47*Ramure*Pc/MaxiM</f>
        <v>8.0170322978627699E-4</v>
      </c>
      <c r="Q47" s="301">
        <f t="shared" si="2"/>
        <v>0.5</v>
      </c>
      <c r="R47" s="173">
        <f t="shared" si="3"/>
        <v>0.99142084829638322</v>
      </c>
      <c r="S47" s="801">
        <f t="shared" si="4"/>
        <v>0</v>
      </c>
      <c r="T47" s="172">
        <f t="shared" si="5"/>
        <v>6</v>
      </c>
      <c r="U47" s="247">
        <f t="shared" si="21"/>
        <v>0.99142084829638322</v>
      </c>
      <c r="V47" s="378">
        <f t="shared" si="6"/>
        <v>126.86868614469518</v>
      </c>
      <c r="W47" s="397">
        <f t="shared" si="7"/>
        <v>24.969807853540853</v>
      </c>
      <c r="X47" s="153">
        <f t="shared" si="8"/>
        <v>45324</v>
      </c>
      <c r="Y47" s="380">
        <f t="shared" si="9"/>
        <v>24.969807853540853</v>
      </c>
      <c r="Z47" s="380">
        <f t="shared" si="10"/>
        <v>25.279346986421356</v>
      </c>
      <c r="AA47" s="381">
        <f t="shared" si="11"/>
        <v>26.465903753827561</v>
      </c>
      <c r="AB47" s="193">
        <f t="shared" si="12"/>
        <v>45324</v>
      </c>
      <c r="AC47" s="119">
        <f>IF(OR(t&lt;Tnet,NoTnet),'2023'!Resal_s+('2023'!Salim-'2023'!Resal_s)*(1-EXP(('2023'!Tnet_s-t)/'2023'!Tau_j)),Resal_s+(Salim-Resal_s)*(1-EXP((Tnet_s-t)/Tau_j)))*Salcycl</f>
        <v>4.4833412017324527E-2</v>
      </c>
      <c r="AD47" s="227">
        <f>(INDEX(Models!$BJ47:$BT47,,AH47)*(1-AF47)+INDEX(Models!$BJ47:$BT47,,AH47+1)*AF47-ERP_i)*AE47*Ramure*Pc/MaxiM</f>
        <v>8.0170322978627699E-4</v>
      </c>
      <c r="AE47" s="301">
        <f t="shared" si="13"/>
        <v>0.5</v>
      </c>
      <c r="AF47" s="173">
        <f t="shared" si="22"/>
        <v>0.99142084829638322</v>
      </c>
      <c r="AG47" s="801">
        <f t="shared" si="23"/>
        <v>0</v>
      </c>
      <c r="AH47" s="172">
        <f t="shared" si="14"/>
        <v>6</v>
      </c>
      <c r="AI47" s="221">
        <f t="shared" si="24"/>
        <v>0.99142084829638322</v>
      </c>
      <c r="AJ47" s="261" t="b">
        <f t="shared" si="15"/>
        <v>1</v>
      </c>
      <c r="AK47" s="261" t="b">
        <f t="shared" si="16"/>
        <v>0</v>
      </c>
      <c r="AL47" s="261"/>
      <c r="AM47" s="261"/>
      <c r="AN47" s="75"/>
    </row>
    <row r="48" spans="1:40" s="6" customFormat="1" ht="11.25" x14ac:dyDescent="0.2">
      <c r="A48" s="56">
        <f t="shared" si="17"/>
        <v>45325</v>
      </c>
      <c r="B48" s="406">
        <f>'2023'!Wh/'2023'!Env_an*'2024'!Env_an</f>
        <v>56.048007538013842</v>
      </c>
      <c r="C48" s="385"/>
      <c r="D48" s="388">
        <f t="shared" si="0"/>
        <v>56.743585477712365</v>
      </c>
      <c r="E48" s="380">
        <f t="shared" si="18"/>
        <v>59.409017236706923</v>
      </c>
      <c r="F48" s="380">
        <f t="shared" si="1"/>
        <v>59.417886635804756</v>
      </c>
      <c r="G48" s="110">
        <f t="shared" si="19"/>
        <v>0.43679746173270106</v>
      </c>
      <c r="H48" s="409" t="b">
        <f>Wh_hp&gt;='2023'!Maxi_hp</f>
        <v>0</v>
      </c>
      <c r="I48" s="375">
        <f>IF(H48,Wh_hp,'2023'!Maxi_hp)</f>
        <v>59.454283525557202</v>
      </c>
      <c r="J48" s="85">
        <f>IF(H48,An,'2023'!An_max)</f>
        <v>2022</v>
      </c>
      <c r="K48" s="193">
        <f t="shared" si="20"/>
        <v>45325</v>
      </c>
      <c r="L48" s="143">
        <f>IF(t&lt;Tvie,1-EXP((T0-t)*PertePVj)+'2023'!Pspv,1-EXP((T0-t)*PertePVj)+Pspv)</f>
        <v>1.2258265561518544E-2</v>
      </c>
      <c r="M48" s="835"/>
      <c r="N48" s="835"/>
      <c r="O48" s="48">
        <f>IF(t&lt;Tnet,'2023'!Resal+('2023'!Salim-'2023'!Resal)*(1-EXP(('2023'!Tnet-t)/('2023'!Tau_j))),Resal+(Salim-Resal)*(1-EXP((Tnet-t)/(Tau_j))))*Salcycl</f>
        <v>4.486577767099767E-2</v>
      </c>
      <c r="P48" s="165">
        <f>(INDEX(Models!$BJ48:$BT48,,T48)*(1-R48)+INDEX(Models!$BJ48:$BT48,,T48+1)*R48-ERP_i)*Q48*Ramure*Pc/MaxiM</f>
        <v>7.6233706456772451E-4</v>
      </c>
      <c r="Q48" s="301">
        <f t="shared" si="2"/>
        <v>0.5</v>
      </c>
      <c r="R48" s="173">
        <f t="shared" si="3"/>
        <v>0.99152883467101616</v>
      </c>
      <c r="S48" s="801">
        <f t="shared" si="4"/>
        <v>0</v>
      </c>
      <c r="T48" s="172">
        <f t="shared" si="5"/>
        <v>6</v>
      </c>
      <c r="U48" s="247">
        <f t="shared" si="21"/>
        <v>0.99152883467101616</v>
      </c>
      <c r="V48" s="378">
        <f t="shared" si="6"/>
        <v>128.23710349517731</v>
      </c>
      <c r="W48" s="397">
        <f t="shared" si="7"/>
        <v>56.048007538013842</v>
      </c>
      <c r="X48" s="153">
        <f t="shared" si="8"/>
        <v>45325</v>
      </c>
      <c r="Y48" s="380">
        <f t="shared" si="9"/>
        <v>56.048007538013842</v>
      </c>
      <c r="Z48" s="380">
        <f t="shared" si="10"/>
        <v>56.743585477712365</v>
      </c>
      <c r="AA48" s="381">
        <f t="shared" si="11"/>
        <v>59.409017236706923</v>
      </c>
      <c r="AB48" s="193">
        <f t="shared" si="12"/>
        <v>45325</v>
      </c>
      <c r="AC48" s="119">
        <f>IF(OR(t&lt;Tnet,NoTnet),'2023'!Resal_s+('2023'!Salim-'2023'!Resal_s)*(1-EXP(('2023'!Tnet_s-t)/'2023'!Tau_j)),Resal_s+(Salim-Resal_s)*(1-EXP((Tnet_s-t)/Tau_j)))*Salcycl</f>
        <v>4.486577767099767E-2</v>
      </c>
      <c r="AD48" s="227">
        <f>(INDEX(Models!$BJ48:$BT48,,AH48)*(1-AF48)+INDEX(Models!$BJ48:$BT48,,AH48+1)*AF48-ERP_i)*AE48*Ramure*Pc/MaxiM</f>
        <v>7.6233706456772451E-4</v>
      </c>
      <c r="AE48" s="301">
        <f t="shared" si="13"/>
        <v>0.5</v>
      </c>
      <c r="AF48" s="173">
        <f t="shared" si="22"/>
        <v>0.99152883467101616</v>
      </c>
      <c r="AG48" s="801">
        <f t="shared" si="23"/>
        <v>0</v>
      </c>
      <c r="AH48" s="172">
        <f t="shared" si="14"/>
        <v>6</v>
      </c>
      <c r="AI48" s="221">
        <f t="shared" si="24"/>
        <v>0.99152883467101616</v>
      </c>
      <c r="AJ48" s="261" t="b">
        <f t="shared" si="15"/>
        <v>1</v>
      </c>
      <c r="AK48" s="261" t="b">
        <f t="shared" si="16"/>
        <v>0</v>
      </c>
      <c r="AL48" s="261"/>
      <c r="AM48" s="261"/>
      <c r="AN48" s="75"/>
    </row>
    <row r="49" spans="1:40" s="6" customFormat="1" ht="11.25" x14ac:dyDescent="0.2">
      <c r="A49" s="56">
        <f t="shared" si="17"/>
        <v>45326</v>
      </c>
      <c r="B49" s="406">
        <f>'2023'!Wh/'2023'!Env_an*'2024'!Env_an</f>
        <v>50.994126709678042</v>
      </c>
      <c r="C49" s="385"/>
      <c r="D49" s="388">
        <f t="shared" si="0"/>
        <v>51.627690729293491</v>
      </c>
      <c r="E49" s="380">
        <f t="shared" si="18"/>
        <v>54.054645649647831</v>
      </c>
      <c r="F49" s="380">
        <f t="shared" si="1"/>
        <v>54.05984755152609</v>
      </c>
      <c r="G49" s="110">
        <f t="shared" si="19"/>
        <v>0.39319031514456265</v>
      </c>
      <c r="H49" s="409" t="b">
        <f>Wh_hp&gt;='2023'!Maxi_hp</f>
        <v>0</v>
      </c>
      <c r="I49" s="375">
        <f>IF(H49,Wh_hp,'2023'!Maxi_hp)</f>
        <v>54.093584600989601</v>
      </c>
      <c r="J49" s="85">
        <f>IF(H49,An,'2023'!An_max)</f>
        <v>2022</v>
      </c>
      <c r="K49" s="193">
        <f t="shared" si="20"/>
        <v>45326</v>
      </c>
      <c r="L49" s="143">
        <f>IF(t&lt;Tvie,1-EXP((T0-t)*PertePVj)+'2023'!Pspv,1-EXP((T0-t)*PertePVj)+Pspv)</f>
        <v>1.22717869163953E-2</v>
      </c>
      <c r="M49" s="835"/>
      <c r="N49" s="835"/>
      <c r="O49" s="48">
        <f>IF(t&lt;Tnet,'2023'!Resal+('2023'!Salim-'2023'!Resal)*(1-EXP(('2023'!Tnet-t)/('2023'!Tau_j))),Resal+(Salim-Resal)*(1-EXP((Tnet-t)/(Tau_j))))*Salcycl</f>
        <v>4.4898174637652978E-2</v>
      </c>
      <c r="P49" s="165">
        <f>(INDEX(Models!$BJ49:$BT49,,T49)*(1-R49)+INDEX(Models!$BJ49:$BT49,,T49+1)*R49-ERP_i)*Q49*Ramure*Pc/MaxiM</f>
        <v>7.2089273712896463E-4</v>
      </c>
      <c r="Q49" s="301">
        <f t="shared" si="2"/>
        <v>0.5</v>
      </c>
      <c r="R49" s="173">
        <f t="shared" si="3"/>
        <v>0.99164130151038221</v>
      </c>
      <c r="S49" s="801">
        <f t="shared" si="4"/>
        <v>0</v>
      </c>
      <c r="T49" s="172">
        <f t="shared" si="5"/>
        <v>6</v>
      </c>
      <c r="U49" s="247">
        <f t="shared" si="21"/>
        <v>0.99164130151038221</v>
      </c>
      <c r="V49" s="378">
        <f t="shared" si="6"/>
        <v>129.612219042487</v>
      </c>
      <c r="W49" s="397">
        <f t="shared" si="7"/>
        <v>50.994126709678042</v>
      </c>
      <c r="X49" s="153">
        <f t="shared" si="8"/>
        <v>45326</v>
      </c>
      <c r="Y49" s="380">
        <f t="shared" si="9"/>
        <v>50.994126709678042</v>
      </c>
      <c r="Z49" s="380">
        <f t="shared" si="10"/>
        <v>51.627690729293491</v>
      </c>
      <c r="AA49" s="381">
        <f t="shared" si="11"/>
        <v>54.054645649647831</v>
      </c>
      <c r="AB49" s="193">
        <f t="shared" si="12"/>
        <v>45326</v>
      </c>
      <c r="AC49" s="119">
        <f>IF(OR(t&lt;Tnet,NoTnet),'2023'!Resal_s+('2023'!Salim-'2023'!Resal_s)*(1-EXP(('2023'!Tnet_s-t)/'2023'!Tau_j)),Resal_s+(Salim-Resal_s)*(1-EXP((Tnet_s-t)/Tau_j)))*Salcycl</f>
        <v>4.4898174637652978E-2</v>
      </c>
      <c r="AD49" s="227">
        <f>(INDEX(Models!$BJ49:$BT49,,AH49)*(1-AF49)+INDEX(Models!$BJ49:$BT49,,AH49+1)*AF49-ERP_i)*AE49*Ramure*Pc/MaxiM</f>
        <v>7.2089273712896463E-4</v>
      </c>
      <c r="AE49" s="301">
        <f t="shared" si="13"/>
        <v>0.5</v>
      </c>
      <c r="AF49" s="173">
        <f t="shared" si="22"/>
        <v>0.99164130151038221</v>
      </c>
      <c r="AG49" s="801">
        <f t="shared" si="23"/>
        <v>0</v>
      </c>
      <c r="AH49" s="172">
        <f t="shared" si="14"/>
        <v>6</v>
      </c>
      <c r="AI49" s="221">
        <f t="shared" si="24"/>
        <v>0.99164130151038221</v>
      </c>
      <c r="AJ49" s="261" t="b">
        <f t="shared" si="15"/>
        <v>1</v>
      </c>
      <c r="AK49" s="261" t="b">
        <f t="shared" si="16"/>
        <v>0</v>
      </c>
      <c r="AL49" s="261"/>
      <c r="AM49" s="261"/>
      <c r="AN49" s="75"/>
    </row>
    <row r="50" spans="1:40" s="6" customFormat="1" ht="11.25" x14ac:dyDescent="0.2">
      <c r="A50" s="56">
        <f t="shared" si="17"/>
        <v>45327</v>
      </c>
      <c r="B50" s="406">
        <f>'2023'!Wh/'2023'!Env_an*'2024'!Env_an</f>
        <v>42.747539731940222</v>
      </c>
      <c r="C50" s="385"/>
      <c r="D50" s="388">
        <f t="shared" si="0"/>
        <v>43.279238510780253</v>
      </c>
      <c r="E50" s="380">
        <f t="shared" si="18"/>
        <v>45.315281274167702</v>
      </c>
      <c r="F50" s="380">
        <f t="shared" si="1"/>
        <v>45.316436326938295</v>
      </c>
      <c r="G50" s="110">
        <f t="shared" si="19"/>
        <v>0.32612428044345432</v>
      </c>
      <c r="H50" s="409" t="b">
        <f>Wh_hp&gt;='2023'!Maxi_hp</f>
        <v>0</v>
      </c>
      <c r="I50" s="375">
        <f>IF(H50,Wh_hp,'2023'!Maxi_hp)</f>
        <v>45.345948475362562</v>
      </c>
      <c r="J50" s="85">
        <f>IF(H50,An,'2023'!An_max)</f>
        <v>2022</v>
      </c>
      <c r="K50" s="193">
        <f t="shared" si="20"/>
        <v>45327</v>
      </c>
      <c r="L50" s="143">
        <f>IF(t&lt;Tvie,1-EXP((T0-t)*PertePVj)+'2023'!Pspv,1-EXP((T0-t)*PertePVj)+Pspv)</f>
        <v>1.2285308086176006E-2</v>
      </c>
      <c r="M50" s="835"/>
      <c r="N50" s="835"/>
      <c r="O50" s="48">
        <f>IF(t&lt;Tnet,'2023'!Resal+('2023'!Salim-'2023'!Resal)*(1-EXP(('2023'!Tnet-t)/('2023'!Tau_j))),Resal+(Salim-Resal)*(1-EXP((Tnet-t)/(Tau_j))))*Salcycl</f>
        <v>4.4930599703639294E-2</v>
      </c>
      <c r="P50" s="165">
        <f>(INDEX(Models!$BJ50:$BT50,,T50)*(1-R50)+INDEX(Models!$BJ50:$BT50,,T50+1)*R50-ERP_i)*Q50*Ramure*Pc/MaxiM</f>
        <v>6.774497265300708E-4</v>
      </c>
      <c r="Q50" s="301">
        <f t="shared" si="2"/>
        <v>0.5</v>
      </c>
      <c r="R50" s="173">
        <f t="shared" si="3"/>
        <v>0.99175843255116303</v>
      </c>
      <c r="S50" s="801">
        <f t="shared" si="4"/>
        <v>0</v>
      </c>
      <c r="T50" s="172">
        <f t="shared" si="5"/>
        <v>6</v>
      </c>
      <c r="U50" s="247">
        <f t="shared" si="21"/>
        <v>0.99175843255116303</v>
      </c>
      <c r="V50" s="378">
        <f t="shared" si="6"/>
        <v>130.99199246848423</v>
      </c>
      <c r="W50" s="397">
        <f t="shared" si="7"/>
        <v>42.747539731940222</v>
      </c>
      <c r="X50" s="153">
        <f t="shared" si="8"/>
        <v>45327</v>
      </c>
      <c r="Y50" s="380">
        <f t="shared" si="9"/>
        <v>42.747539731940222</v>
      </c>
      <c r="Z50" s="380">
        <f t="shared" si="10"/>
        <v>43.279238510780253</v>
      </c>
      <c r="AA50" s="381">
        <f t="shared" si="11"/>
        <v>45.315281274167702</v>
      </c>
      <c r="AB50" s="193">
        <f t="shared" si="12"/>
        <v>45327</v>
      </c>
      <c r="AC50" s="119">
        <f>IF(OR(t&lt;Tnet,NoTnet),'2023'!Resal_s+('2023'!Salim-'2023'!Resal_s)*(1-EXP(('2023'!Tnet_s-t)/'2023'!Tau_j)),Resal_s+(Salim-Resal_s)*(1-EXP((Tnet_s-t)/Tau_j)))*Salcycl</f>
        <v>4.4930599703639294E-2</v>
      </c>
      <c r="AD50" s="227">
        <f>(INDEX(Models!$BJ50:$BT50,,AH50)*(1-AF50)+INDEX(Models!$BJ50:$BT50,,AH50+1)*AF50-ERP_i)*AE50*Ramure*Pc/MaxiM</f>
        <v>6.774497265300708E-4</v>
      </c>
      <c r="AE50" s="301">
        <f t="shared" si="13"/>
        <v>0.5</v>
      </c>
      <c r="AF50" s="173">
        <f t="shared" si="22"/>
        <v>0.99175843255116303</v>
      </c>
      <c r="AG50" s="801">
        <f t="shared" si="23"/>
        <v>0</v>
      </c>
      <c r="AH50" s="172">
        <f t="shared" si="14"/>
        <v>6</v>
      </c>
      <c r="AI50" s="221">
        <f t="shared" si="24"/>
        <v>0.99175843255116303</v>
      </c>
      <c r="AJ50" s="261" t="b">
        <f t="shared" si="15"/>
        <v>1</v>
      </c>
      <c r="AK50" s="261" t="b">
        <f t="shared" si="16"/>
        <v>0</v>
      </c>
      <c r="AL50" s="261"/>
      <c r="AM50" s="261"/>
      <c r="AN50" s="75"/>
    </row>
    <row r="51" spans="1:40" s="6" customFormat="1" ht="11.25" x14ac:dyDescent="0.2">
      <c r="A51" s="56">
        <f t="shared" si="17"/>
        <v>45328</v>
      </c>
      <c r="B51" s="406">
        <f>'2023'!Wh/'2023'!Env_an*'2024'!Env_an</f>
        <v>90.691525751934918</v>
      </c>
      <c r="C51" s="385"/>
      <c r="D51" s="388">
        <f t="shared" si="0"/>
        <v>91.820814251562382</v>
      </c>
      <c r="E51" s="380">
        <f t="shared" si="18"/>
        <v>96.143729496452053</v>
      </c>
      <c r="F51" s="380">
        <f t="shared" si="1"/>
        <v>96.177166653545072</v>
      </c>
      <c r="G51" s="110">
        <f t="shared" si="19"/>
        <v>0.68485829131193243</v>
      </c>
      <c r="H51" s="409" t="b">
        <f>Wh_hp&gt;='2023'!Maxi_hp</f>
        <v>0</v>
      </c>
      <c r="I51" s="375">
        <f>IF(H51,Wh_hp,'2023'!Maxi_hp)</f>
        <v>96.204482022680693</v>
      </c>
      <c r="J51" s="85">
        <f>IF(H51,An,'2023'!An_max)</f>
        <v>2022</v>
      </c>
      <c r="K51" s="193">
        <f t="shared" si="20"/>
        <v>45328</v>
      </c>
      <c r="L51" s="143">
        <f>IF(t&lt;Tvie,1-EXP((T0-t)*PertePVj)+'2023'!Pspv,1-EXP((T0-t)*PertePVj)+Pspv)</f>
        <v>1.2298829070863326E-2</v>
      </c>
      <c r="M51" s="835"/>
      <c r="N51" s="835"/>
      <c r="O51" s="48">
        <f>IF(t&lt;Tnet,'2023'!Resal+('2023'!Salim-'2023'!Resal)*(1-EXP(('2023'!Tnet-t)/('2023'!Tau_j))),Resal+(Salim-Resal)*(1-EXP((Tnet-t)/(Tau_j))))*Salcycl</f>
        <v>4.496304925480555E-2</v>
      </c>
      <c r="P51" s="165">
        <f>(INDEX(Models!$BJ51:$BT51,,T51)*(1-R51)+INDEX(Models!$BJ51:$BT51,,T51+1)*R51-ERP_i)*Q51*Ramure*Pc/MaxiM</f>
        <v>6.3202566078549504E-4</v>
      </c>
      <c r="Q51" s="301">
        <f t="shared" si="2"/>
        <v>0.5</v>
      </c>
      <c r="R51" s="173">
        <f t="shared" si="3"/>
        <v>0.99188041888075718</v>
      </c>
      <c r="S51" s="801">
        <f t="shared" si="4"/>
        <v>0</v>
      </c>
      <c r="T51" s="172">
        <f t="shared" si="5"/>
        <v>6</v>
      </c>
      <c r="U51" s="247">
        <f t="shared" si="21"/>
        <v>0.99188041888075718</v>
      </c>
      <c r="V51" s="378">
        <f t="shared" si="6"/>
        <v>132.38611340345886</v>
      </c>
      <c r="W51" s="397">
        <f t="shared" si="7"/>
        <v>90.691525751934918</v>
      </c>
      <c r="X51" s="153">
        <f t="shared" si="8"/>
        <v>45328</v>
      </c>
      <c r="Y51" s="380">
        <f t="shared" si="9"/>
        <v>90.691525751934918</v>
      </c>
      <c r="Z51" s="380">
        <f t="shared" si="10"/>
        <v>91.820814251562382</v>
      </c>
      <c r="AA51" s="381">
        <f t="shared" si="11"/>
        <v>96.143729496452053</v>
      </c>
      <c r="AB51" s="193">
        <f t="shared" si="12"/>
        <v>45328</v>
      </c>
      <c r="AC51" s="119">
        <f>IF(OR(t&lt;Tnet,NoTnet),'2023'!Resal_s+('2023'!Salim-'2023'!Resal_s)*(1-EXP(('2023'!Tnet_s-t)/'2023'!Tau_j)),Resal_s+(Salim-Resal_s)*(1-EXP((Tnet_s-t)/Tau_j)))*Salcycl</f>
        <v>4.496304925480555E-2</v>
      </c>
      <c r="AD51" s="227">
        <f>(INDEX(Models!$BJ51:$BT51,,AH51)*(1-AF51)+INDEX(Models!$BJ51:$BT51,,AH51+1)*AF51-ERP_i)*AE51*Ramure*Pc/MaxiM</f>
        <v>6.3202566078549504E-4</v>
      </c>
      <c r="AE51" s="301">
        <f t="shared" si="13"/>
        <v>0.5</v>
      </c>
      <c r="AF51" s="173">
        <f t="shared" si="22"/>
        <v>0.99188041888075718</v>
      </c>
      <c r="AG51" s="801">
        <f t="shared" si="23"/>
        <v>0</v>
      </c>
      <c r="AH51" s="172">
        <f t="shared" si="14"/>
        <v>6</v>
      </c>
      <c r="AI51" s="221">
        <f t="shared" si="24"/>
        <v>0.99188041888075718</v>
      </c>
      <c r="AJ51" s="261" t="b">
        <f t="shared" si="15"/>
        <v>1</v>
      </c>
      <c r="AK51" s="261" t="b">
        <f t="shared" si="16"/>
        <v>0</v>
      </c>
      <c r="AL51" s="261"/>
      <c r="AM51" s="261"/>
      <c r="AN51" s="75"/>
    </row>
    <row r="52" spans="1:40" s="6" customFormat="1" ht="11.25" x14ac:dyDescent="0.2">
      <c r="A52" s="56">
        <f t="shared" si="17"/>
        <v>45329</v>
      </c>
      <c r="B52" s="406">
        <f>'2023'!Wh/'2023'!Env_an*'2024'!Env_an</f>
        <v>40.979335212629081</v>
      </c>
      <c r="C52" s="385"/>
      <c r="D52" s="388">
        <f t="shared" si="0"/>
        <v>41.490176785398127</v>
      </c>
      <c r="E52" s="380">
        <f t="shared" si="18"/>
        <v>43.445007457655898</v>
      </c>
      <c r="F52" s="380">
        <f t="shared" si="1"/>
        <v>43.445235474450911</v>
      </c>
      <c r="G52" s="110">
        <f t="shared" si="19"/>
        <v>0.30608738884735326</v>
      </c>
      <c r="H52" s="409" t="b">
        <f>Wh_hp&gt;='2023'!Maxi_hp</f>
        <v>0</v>
      </c>
      <c r="I52" s="375">
        <f>IF(H52,Wh_hp,'2023'!Maxi_hp)</f>
        <v>43.470447620371786</v>
      </c>
      <c r="J52" s="85">
        <f>IF(H52,An,'2023'!An_max)</f>
        <v>2022</v>
      </c>
      <c r="K52" s="193">
        <f t="shared" si="20"/>
        <v>45329</v>
      </c>
      <c r="L52" s="143">
        <f>IF(t&lt;Tvie,1-EXP((T0-t)*PertePVj)+'2023'!Pspv,1-EXP((T0-t)*PertePVj)+Pspv)</f>
        <v>1.2312349870459594E-2</v>
      </c>
      <c r="M52" s="835"/>
      <c r="N52" s="835"/>
      <c r="O52" s="48">
        <f>IF(t&lt;Tnet,'2023'!Resal+('2023'!Salim-'2023'!Resal)*(1-EXP(('2023'!Tnet-t)/('2023'!Tau_j))),Resal+(Salim-Resal)*(1-EXP((Tnet-t)/(Tau_j))))*Salcycl</f>
        <v>4.4995519316300379E-2</v>
      </c>
      <c r="P52" s="165">
        <f>(INDEX(Models!$BJ52:$BT52,,T52)*(1-R52)+INDEX(Models!$BJ52:$BT52,,T52+1)*R52-ERP_i)*Q52*Ramure*Pc/MaxiM</f>
        <v>5.863758393755339E-4</v>
      </c>
      <c r="Q52" s="301">
        <f t="shared" si="2"/>
        <v>0.5</v>
      </c>
      <c r="R52" s="173">
        <f t="shared" si="3"/>
        <v>0.99200745921565858</v>
      </c>
      <c r="S52" s="801">
        <f t="shared" si="4"/>
        <v>0</v>
      </c>
      <c r="T52" s="172">
        <f t="shared" si="5"/>
        <v>6</v>
      </c>
      <c r="U52" s="247">
        <f t="shared" si="21"/>
        <v>0.99200745921565858</v>
      </c>
      <c r="V52" s="378">
        <f t="shared" si="6"/>
        <v>133.80335931061771</v>
      </c>
      <c r="W52" s="397">
        <f t="shared" si="7"/>
        <v>40.979335212629081</v>
      </c>
      <c r="X52" s="153">
        <f t="shared" si="8"/>
        <v>45329</v>
      </c>
      <c r="Y52" s="380">
        <f t="shared" si="9"/>
        <v>40.979335212629081</v>
      </c>
      <c r="Z52" s="380">
        <f t="shared" si="10"/>
        <v>41.490176785398127</v>
      </c>
      <c r="AA52" s="381">
        <f t="shared" si="11"/>
        <v>43.445007457655898</v>
      </c>
      <c r="AB52" s="193">
        <f t="shared" si="12"/>
        <v>45329</v>
      </c>
      <c r="AC52" s="119">
        <f>IF(OR(t&lt;Tnet,NoTnet),'2023'!Resal_s+('2023'!Salim-'2023'!Resal_s)*(1-EXP(('2023'!Tnet_s-t)/'2023'!Tau_j)),Resal_s+(Salim-Resal_s)*(1-EXP((Tnet_s-t)/Tau_j)))*Salcycl</f>
        <v>4.4995519316300379E-2</v>
      </c>
      <c r="AD52" s="227">
        <f>(INDEX(Models!$BJ52:$BT52,,AH52)*(1-AF52)+INDEX(Models!$BJ52:$BT52,,AH52+1)*AF52-ERP_i)*AE52*Ramure*Pc/MaxiM</f>
        <v>5.863758393755339E-4</v>
      </c>
      <c r="AE52" s="301">
        <f t="shared" si="13"/>
        <v>0.5</v>
      </c>
      <c r="AF52" s="173">
        <f t="shared" si="22"/>
        <v>0.99200745921565858</v>
      </c>
      <c r="AG52" s="801">
        <f t="shared" si="23"/>
        <v>0</v>
      </c>
      <c r="AH52" s="172">
        <f t="shared" si="14"/>
        <v>6</v>
      </c>
      <c r="AI52" s="221">
        <f t="shared" si="24"/>
        <v>0.99200745921565858</v>
      </c>
      <c r="AJ52" s="261" t="b">
        <f t="shared" si="15"/>
        <v>1</v>
      </c>
      <c r="AK52" s="261" t="b">
        <f t="shared" si="16"/>
        <v>0</v>
      </c>
      <c r="AL52" s="261"/>
      <c r="AM52" s="261"/>
      <c r="AN52" s="75"/>
    </row>
    <row r="53" spans="1:40" s="6" customFormat="1" ht="11.25" x14ac:dyDescent="0.2">
      <c r="A53" s="56">
        <f t="shared" si="17"/>
        <v>45330</v>
      </c>
      <c r="B53" s="406">
        <f>'2023'!Wh/'2023'!Env_an*'2024'!Env_an</f>
        <v>137.12379958826656</v>
      </c>
      <c r="C53" s="385"/>
      <c r="D53" s="388">
        <f t="shared" si="0"/>
        <v>138.83506258850485</v>
      </c>
      <c r="E53" s="380">
        <f t="shared" si="18"/>
        <v>145.381292228923</v>
      </c>
      <c r="F53" s="380">
        <f t="shared" si="1"/>
        <v>145.46002837728116</v>
      </c>
      <c r="G53" s="110">
        <f t="shared" si="19"/>
        <v>1.0139250594819575</v>
      </c>
      <c r="H53" s="409" t="b">
        <f>Wh_hp&gt;='2023'!Maxi_hp</f>
        <v>1</v>
      </c>
      <c r="I53" s="375">
        <f>IF(H53,Wh_hp,'2023'!Maxi_hp)</f>
        <v>145.46002837728116</v>
      </c>
      <c r="J53" s="85">
        <f>IF(H53,An,'2023'!An_max)</f>
        <v>2024</v>
      </c>
      <c r="K53" s="193">
        <f t="shared" si="20"/>
        <v>45330</v>
      </c>
      <c r="L53" s="143">
        <f>IF(t&lt;Tvie,1-EXP((T0-t)*PertePVj)+'2023'!Pspv,1-EXP((T0-t)*PertePVj)+Pspv)</f>
        <v>1.2325870484967583E-2</v>
      </c>
      <c r="M53" s="835"/>
      <c r="N53" s="835"/>
      <c r="O53" s="48">
        <f>IF(t&lt;Tnet,'2023'!Resal+('2023'!Salim-'2023'!Resal)*(1-EXP(('2023'!Tnet-t)/('2023'!Tau_j))),Resal+(Salim-Resal)*(1-EXP((Tnet-t)/(Tau_j))))*Salcycl</f>
        <v>4.5028005598617228E-2</v>
      </c>
      <c r="P53" s="165">
        <f>(INDEX(Models!$BJ53:$BT53,,T53)*(1-R53)+INDEX(Models!$BJ53:$BT53,,T53+1)*R53-ERP_i)*Q53*Ramure*Pc/MaxiM</f>
        <v>5.4129061596169868E-4</v>
      </c>
      <c r="Q53" s="301">
        <f t="shared" si="2"/>
        <v>0.5</v>
      </c>
      <c r="R53" s="173">
        <f t="shared" si="3"/>
        <v>0.99213976018902483</v>
      </c>
      <c r="S53" s="801">
        <f t="shared" si="4"/>
        <v>0</v>
      </c>
      <c r="T53" s="172">
        <f t="shared" si="5"/>
        <v>6</v>
      </c>
      <c r="U53" s="247">
        <f t="shared" si="21"/>
        <v>0.99213976018902483</v>
      </c>
      <c r="V53" s="378">
        <f t="shared" si="6"/>
        <v>135.24056665324647</v>
      </c>
      <c r="W53" s="397">
        <f t="shared" si="7"/>
        <v>137.12379958826656</v>
      </c>
      <c r="X53" s="153">
        <f t="shared" si="8"/>
        <v>45330</v>
      </c>
      <c r="Y53" s="380">
        <f t="shared" si="9"/>
        <v>137.12379958826656</v>
      </c>
      <c r="Z53" s="380">
        <f t="shared" si="10"/>
        <v>138.83506258850485</v>
      </c>
      <c r="AA53" s="381">
        <f t="shared" si="11"/>
        <v>145.381292228923</v>
      </c>
      <c r="AB53" s="193">
        <f t="shared" si="12"/>
        <v>45330</v>
      </c>
      <c r="AC53" s="119">
        <f>IF(OR(t&lt;Tnet,NoTnet),'2023'!Resal_s+('2023'!Salim-'2023'!Resal_s)*(1-EXP(('2023'!Tnet_s-t)/'2023'!Tau_j)),Resal_s+(Salim-Resal_s)*(1-EXP((Tnet_s-t)/Tau_j)))*Salcycl</f>
        <v>4.5028005598617228E-2</v>
      </c>
      <c r="AD53" s="227">
        <f>(INDEX(Models!$BJ53:$BT53,,AH53)*(1-AF53)+INDEX(Models!$BJ53:$BT53,,AH53+1)*AF53-ERP_i)*AE53*Ramure*Pc/MaxiM</f>
        <v>5.4129061596169868E-4</v>
      </c>
      <c r="AE53" s="301">
        <f t="shared" si="13"/>
        <v>0.5</v>
      </c>
      <c r="AF53" s="173">
        <f t="shared" si="22"/>
        <v>0.99213976018902483</v>
      </c>
      <c r="AG53" s="801">
        <f t="shared" si="23"/>
        <v>0</v>
      </c>
      <c r="AH53" s="172">
        <f t="shared" si="14"/>
        <v>6</v>
      </c>
      <c r="AI53" s="221">
        <f t="shared" si="24"/>
        <v>0.99213976018902483</v>
      </c>
      <c r="AJ53" s="261" t="b">
        <f t="shared" si="15"/>
        <v>1</v>
      </c>
      <c r="AK53" s="261" t="b">
        <f t="shared" si="16"/>
        <v>0</v>
      </c>
      <c r="AL53" s="261"/>
      <c r="AM53" s="261"/>
      <c r="AN53" s="75"/>
    </row>
    <row r="54" spans="1:40" s="6" customFormat="1" ht="11.25" x14ac:dyDescent="0.2">
      <c r="A54" s="56">
        <f t="shared" si="17"/>
        <v>45331</v>
      </c>
      <c r="B54" s="406">
        <f>'2023'!Wh/'2023'!Env_an*'2024'!Env_an</f>
        <v>136.468813132105</v>
      </c>
      <c r="C54" s="385"/>
      <c r="D54" s="388">
        <f t="shared" si="0"/>
        <v>138.17379358527793</v>
      </c>
      <c r="E54" s="380">
        <f t="shared" si="18"/>
        <v>144.69376761442803</v>
      </c>
      <c r="F54" s="380">
        <f t="shared" si="1"/>
        <v>144.76551462702199</v>
      </c>
      <c r="G54" s="110">
        <f t="shared" si="19"/>
        <v>0.99834652677753477</v>
      </c>
      <c r="H54" s="409" t="b">
        <f>Wh_hp&gt;='2023'!Maxi_hp</f>
        <v>0</v>
      </c>
      <c r="I54" s="375">
        <f>IF(H54,Wh_hp,'2023'!Maxi_hp)</f>
        <v>144.76568409319361</v>
      </c>
      <c r="J54" s="85">
        <f>IF(H54,An,'2023'!An_max)</f>
        <v>2022</v>
      </c>
      <c r="K54" s="193">
        <f t="shared" si="20"/>
        <v>45331</v>
      </c>
      <c r="L54" s="143">
        <f>IF(t&lt;Tvie,1-EXP((T0-t)*PertePVj)+'2023'!Pspv,1-EXP((T0-t)*PertePVj)+Pspv)</f>
        <v>1.2339390914389736E-2</v>
      </c>
      <c r="M54" s="835"/>
      <c r="N54" s="835"/>
      <c r="O54" s="48">
        <f>IF(t&lt;Tnet,'2023'!Resal+('2023'!Salim-'2023'!Resal)*(1-EXP(('2023'!Tnet-t)/('2023'!Tau_j))),Resal+(Salim-Resal)*(1-EXP((Tnet-t)/(Tau_j))))*Salcycl</f>
        <v>4.5060503549290115E-2</v>
      </c>
      <c r="P54" s="165">
        <f>(INDEX(Models!$BJ54:$BT54,,T54)*(1-R54)+INDEX(Models!$BJ54:$BT54,,T54+1)*R54-ERP_i)*Q54*Ramure*Pc/MaxiM</f>
        <v>4.9678106953041676E-4</v>
      </c>
      <c r="Q54" s="301">
        <f t="shared" si="2"/>
        <v>0.5</v>
      </c>
      <c r="R54" s="173">
        <f t="shared" si="3"/>
        <v>0.99227753664761598</v>
      </c>
      <c r="S54" s="801">
        <f t="shared" si="4"/>
        <v>0</v>
      </c>
      <c r="T54" s="172">
        <f t="shared" si="5"/>
        <v>6</v>
      </c>
      <c r="U54" s="247">
        <f t="shared" si="21"/>
        <v>0.99227753664761598</v>
      </c>
      <c r="V54" s="378">
        <f t="shared" si="6"/>
        <v>136.69467401014975</v>
      </c>
      <c r="W54" s="397">
        <f t="shared" si="7"/>
        <v>136.468813132105</v>
      </c>
      <c r="X54" s="153">
        <f t="shared" si="8"/>
        <v>45331</v>
      </c>
      <c r="Y54" s="380">
        <f t="shared" si="9"/>
        <v>136.468813132105</v>
      </c>
      <c r="Z54" s="380">
        <f t="shared" si="10"/>
        <v>138.17379358527793</v>
      </c>
      <c r="AA54" s="381">
        <f t="shared" si="11"/>
        <v>144.69376761442803</v>
      </c>
      <c r="AB54" s="193">
        <f t="shared" si="12"/>
        <v>45331</v>
      </c>
      <c r="AC54" s="119">
        <f>IF(OR(t&lt;Tnet,NoTnet),'2023'!Resal_s+('2023'!Salim-'2023'!Resal_s)*(1-EXP(('2023'!Tnet_s-t)/'2023'!Tau_j)),Resal_s+(Salim-Resal_s)*(1-EXP((Tnet_s-t)/Tau_j)))*Salcycl</f>
        <v>4.5060503549290115E-2</v>
      </c>
      <c r="AD54" s="227">
        <f>(INDEX(Models!$BJ54:$BT54,,AH54)*(1-AF54)+INDEX(Models!$BJ54:$BT54,,AH54+1)*AF54-ERP_i)*AE54*Ramure*Pc/MaxiM</f>
        <v>4.9678106953041676E-4</v>
      </c>
      <c r="AE54" s="301">
        <f t="shared" si="13"/>
        <v>0.5</v>
      </c>
      <c r="AF54" s="173">
        <f t="shared" si="22"/>
        <v>0.99227753664761598</v>
      </c>
      <c r="AG54" s="801">
        <f t="shared" si="23"/>
        <v>0</v>
      </c>
      <c r="AH54" s="172">
        <f t="shared" si="14"/>
        <v>6</v>
      </c>
      <c r="AI54" s="221">
        <f t="shared" si="24"/>
        <v>0.99227753664761598</v>
      </c>
      <c r="AJ54" s="261" t="b">
        <f t="shared" si="15"/>
        <v>1</v>
      </c>
      <c r="AK54" s="261" t="b">
        <f t="shared" si="16"/>
        <v>0</v>
      </c>
      <c r="AL54" s="261"/>
      <c r="AM54" s="261"/>
      <c r="AN54" s="75"/>
    </row>
    <row r="55" spans="1:40" s="6" customFormat="1" ht="11.25" customHeight="1" x14ac:dyDescent="0.2">
      <c r="A55" s="56">
        <f t="shared" si="17"/>
        <v>45332</v>
      </c>
      <c r="B55" s="406">
        <f>'2023'!Wh/'2023'!Env_an*'2024'!Env_an</f>
        <v>128.17707965685844</v>
      </c>
      <c r="C55" s="385"/>
      <c r="D55" s="388">
        <f t="shared" si="0"/>
        <v>129.78024347465904</v>
      </c>
      <c r="E55" s="380">
        <f t="shared" si="18"/>
        <v>135.90877919797143</v>
      </c>
      <c r="F55" s="380">
        <f t="shared" si="1"/>
        <v>135.96399377357389</v>
      </c>
      <c r="G55" s="110">
        <f t="shared" si="19"/>
        <v>0.9276827811911591</v>
      </c>
      <c r="H55" s="409" t="b">
        <f>Wh_hp&gt;='2023'!Maxi_hp</f>
        <v>0</v>
      </c>
      <c r="I55" s="375">
        <f>IF(H55,Wh_hp,'2023'!Maxi_hp)</f>
        <v>135.97033911419149</v>
      </c>
      <c r="J55" s="85">
        <f>IF(H55,An,'2023'!An_max)</f>
        <v>2022</v>
      </c>
      <c r="K55" s="193">
        <f t="shared" si="20"/>
        <v>45332</v>
      </c>
      <c r="L55" s="143">
        <f>IF(t&lt;Tvie,1-EXP((T0-t)*PertePVj)+'2023'!Pspv,1-EXP((T0-t)*PertePVj)+Pspv)</f>
        <v>1.2352911158728497E-2</v>
      </c>
      <c r="M55" s="835"/>
      <c r="N55" s="835"/>
      <c r="O55" s="48">
        <f>IF(t&lt;Tnet,'2023'!Resal+('2023'!Salim-'2023'!Resal)*(1-EXP(('2023'!Tnet-t)/('2023'!Tau_j))),Resal+(Salim-Resal)*(1-EXP((Tnet-t)/(Tau_j))))*Salcycl</f>
        <v>4.5093008409598553E-2</v>
      </c>
      <c r="P55" s="165">
        <f>(INDEX(Models!$BJ55:$BT55,,T55)*(1-R55)+INDEX(Models!$BJ55:$BT55,,T55+1)*R55-ERP_i)*Q55*Ramure*Pc/MaxiM</f>
        <v>4.5285339350310431E-4</v>
      </c>
      <c r="Q55" s="301">
        <f t="shared" si="2"/>
        <v>0.5</v>
      </c>
      <c r="R55" s="173">
        <f t="shared" si="3"/>
        <v>0.99242101195827848</v>
      </c>
      <c r="S55" s="801">
        <f t="shared" si="4"/>
        <v>0</v>
      </c>
      <c r="T55" s="172">
        <f t="shared" si="5"/>
        <v>6</v>
      </c>
      <c r="U55" s="247">
        <f t="shared" si="21"/>
        <v>0.99242101195827848</v>
      </c>
      <c r="V55" s="378">
        <f t="shared" si="6"/>
        <v>138.16262059412728</v>
      </c>
      <c r="W55" s="397">
        <f t="shared" si="7"/>
        <v>128.17707965685844</v>
      </c>
      <c r="X55" s="153">
        <f t="shared" si="8"/>
        <v>45332</v>
      </c>
      <c r="Y55" s="380">
        <f t="shared" si="9"/>
        <v>128.17707965685844</v>
      </c>
      <c r="Z55" s="380">
        <f t="shared" si="10"/>
        <v>129.78024347465904</v>
      </c>
      <c r="AA55" s="381">
        <f t="shared" si="11"/>
        <v>135.90877919797143</v>
      </c>
      <c r="AB55" s="193">
        <f t="shared" si="12"/>
        <v>45332</v>
      </c>
      <c r="AC55" s="119">
        <f>IF(OR(t&lt;Tnet,NoTnet),'2023'!Resal_s+('2023'!Salim-'2023'!Resal_s)*(1-EXP(('2023'!Tnet_s-t)/'2023'!Tau_j)),Resal_s+(Salim-Resal_s)*(1-EXP((Tnet_s-t)/Tau_j)))*Salcycl</f>
        <v>4.5093008409598553E-2</v>
      </c>
      <c r="AD55" s="227">
        <f>(INDEX(Models!$BJ55:$BT55,,AH55)*(1-AF55)+INDEX(Models!$BJ55:$BT55,,AH55+1)*AF55-ERP_i)*AE55*Ramure*Pc/MaxiM</f>
        <v>4.5285339350310431E-4</v>
      </c>
      <c r="AE55" s="301">
        <f t="shared" si="13"/>
        <v>0.5</v>
      </c>
      <c r="AF55" s="173">
        <f t="shared" si="22"/>
        <v>0.99242101195827848</v>
      </c>
      <c r="AG55" s="801">
        <f t="shared" si="23"/>
        <v>0</v>
      </c>
      <c r="AH55" s="172">
        <f t="shared" si="14"/>
        <v>6</v>
      </c>
      <c r="AI55" s="221">
        <f t="shared" si="24"/>
        <v>0.99242101195827848</v>
      </c>
      <c r="AJ55" s="261" t="b">
        <f t="shared" si="15"/>
        <v>1</v>
      </c>
      <c r="AK55" s="261" t="b">
        <f t="shared" si="16"/>
        <v>0</v>
      </c>
      <c r="AL55" s="261"/>
      <c r="AM55" s="261"/>
      <c r="AN55" s="75"/>
    </row>
    <row r="56" spans="1:40" s="6" customFormat="1" ht="11.25" customHeight="1" x14ac:dyDescent="0.2">
      <c r="A56" s="56">
        <f t="shared" si="17"/>
        <v>45333</v>
      </c>
      <c r="B56" s="406">
        <f>'2023'!Wh/'2023'!Env_an*'2024'!Env_an</f>
        <v>63.931718200782456</v>
      </c>
      <c r="C56" s="385"/>
      <c r="D56" s="388">
        <f t="shared" si="0"/>
        <v>64.732224806438524</v>
      </c>
      <c r="E56" s="380">
        <f t="shared" si="18"/>
        <v>67.791344142075175</v>
      </c>
      <c r="F56" s="380">
        <f t="shared" si="1"/>
        <v>67.797603994752791</v>
      </c>
      <c r="G56" s="110">
        <f t="shared" si="19"/>
        <v>0.4576827731704432</v>
      </c>
      <c r="H56" s="409" t="b">
        <f>Wh_hp&gt;='2023'!Maxi_hp</f>
        <v>0</v>
      </c>
      <c r="I56" s="375">
        <f>IF(H56,Wh_hp,'2023'!Maxi_hp)</f>
        <v>67.819064186061496</v>
      </c>
      <c r="J56" s="85">
        <f>IF(H56,An,'2023'!An_max)</f>
        <v>2022</v>
      </c>
      <c r="K56" s="193">
        <f t="shared" si="20"/>
        <v>45333</v>
      </c>
      <c r="L56" s="143">
        <f>IF(t&lt;Tvie,1-EXP((T0-t)*PertePVj)+'2023'!Pspv,1-EXP((T0-t)*PertePVj)+Pspv)</f>
        <v>1.2366431217986529E-2</v>
      </c>
      <c r="M56" s="835"/>
      <c r="N56" s="835"/>
      <c r="O56" s="48">
        <f>IF(t&lt;Tnet,'2023'!Resal+('2023'!Salim-'2023'!Resal)*(1-EXP(('2023'!Tnet-t)/('2023'!Tau_j))),Resal+(Salim-Resal)*(1-EXP((Tnet-t)/(Tau_j))))*Salcycl</f>
        <v>4.5125515275599853E-2</v>
      </c>
      <c r="P56" s="165">
        <f>(INDEX(Models!$BJ56:$BT56,,T56)*(1-R56)+INDEX(Models!$BJ56:$BT56,,T56+1)*R56-ERP_i)*Q56*Ramure*Pc/MaxiM</f>
        <v>4.0950928656765319E-4</v>
      </c>
      <c r="Q56" s="301">
        <f t="shared" si="2"/>
        <v>0.5</v>
      </c>
      <c r="R56" s="173">
        <f t="shared" si="3"/>
        <v>0.99257041832413972</v>
      </c>
      <c r="S56" s="801">
        <f t="shared" si="4"/>
        <v>0</v>
      </c>
      <c r="T56" s="172">
        <f t="shared" si="5"/>
        <v>6</v>
      </c>
      <c r="U56" s="247">
        <f t="shared" si="21"/>
        <v>0.99257041832413972</v>
      </c>
      <c r="V56" s="378">
        <f t="shared" si="6"/>
        <v>139.64134626053101</v>
      </c>
      <c r="W56" s="397">
        <f t="shared" si="7"/>
        <v>63.931718200782456</v>
      </c>
      <c r="X56" s="153">
        <f t="shared" si="8"/>
        <v>45333</v>
      </c>
      <c r="Y56" s="380">
        <f t="shared" si="9"/>
        <v>63.931718200782463</v>
      </c>
      <c r="Z56" s="380">
        <f t="shared" si="10"/>
        <v>64.732224806438524</v>
      </c>
      <c r="AA56" s="381">
        <f t="shared" si="11"/>
        <v>67.791344142075175</v>
      </c>
      <c r="AB56" s="193">
        <f t="shared" si="12"/>
        <v>45333</v>
      </c>
      <c r="AC56" s="119">
        <f>IF(OR(t&lt;Tnet,NoTnet),'2023'!Resal_s+('2023'!Salim-'2023'!Resal_s)*(1-EXP(('2023'!Tnet_s-t)/'2023'!Tau_j)),Resal_s+(Salim-Resal_s)*(1-EXP((Tnet_s-t)/Tau_j)))*Salcycl</f>
        <v>4.5125515275599853E-2</v>
      </c>
      <c r="AD56" s="227">
        <f>(INDEX(Models!$BJ56:$BT56,,AH56)*(1-AF56)+INDEX(Models!$BJ56:$BT56,,AH56+1)*AF56-ERP_i)*AE56*Ramure*Pc/MaxiM</f>
        <v>4.0950928656765319E-4</v>
      </c>
      <c r="AE56" s="301">
        <f t="shared" si="13"/>
        <v>0.5</v>
      </c>
      <c r="AF56" s="173">
        <f t="shared" si="22"/>
        <v>0.99257041832413972</v>
      </c>
      <c r="AG56" s="801">
        <f t="shared" si="23"/>
        <v>0</v>
      </c>
      <c r="AH56" s="172">
        <f t="shared" si="14"/>
        <v>6</v>
      </c>
      <c r="AI56" s="221">
        <f t="shared" si="24"/>
        <v>0.99257041832413972</v>
      </c>
      <c r="AJ56" s="261" t="b">
        <f t="shared" si="15"/>
        <v>1</v>
      </c>
      <c r="AK56" s="261" t="b">
        <f t="shared" si="16"/>
        <v>0</v>
      </c>
      <c r="AL56" s="261"/>
      <c r="AM56" s="261"/>
      <c r="AN56" s="75"/>
    </row>
    <row r="57" spans="1:40" s="6" customFormat="1" ht="11.25" customHeight="1" x14ac:dyDescent="0.2">
      <c r="A57" s="56">
        <f t="shared" si="17"/>
        <v>45334</v>
      </c>
      <c r="B57" s="406">
        <f>'2023'!Wh/'2023'!Env_an*'2024'!Env_an</f>
        <v>107.07233388530595</v>
      </c>
      <c r="C57" s="385"/>
      <c r="D57" s="388">
        <f t="shared" si="0"/>
        <v>108.41450009415321</v>
      </c>
      <c r="E57" s="380">
        <f t="shared" si="18"/>
        <v>113.54182395614123</v>
      </c>
      <c r="F57" s="380">
        <f t="shared" si="1"/>
        <v>113.56911674100617</v>
      </c>
      <c r="G57" s="110">
        <f t="shared" si="19"/>
        <v>0.75859469350649111</v>
      </c>
      <c r="H57" s="409" t="b">
        <f>Wh_hp&gt;='2023'!Maxi_hp</f>
        <v>0</v>
      </c>
      <c r="I57" s="375">
        <f>IF(H57,Wh_hp,'2023'!Maxi_hp)</f>
        <v>113.58344330581436</v>
      </c>
      <c r="J57" s="85">
        <f>IF(H57,An,'2023'!An_max)</f>
        <v>2022</v>
      </c>
      <c r="K57" s="193">
        <f t="shared" si="20"/>
        <v>45334</v>
      </c>
      <c r="L57" s="143">
        <f>IF(t&lt;Tvie,1-EXP((T0-t)*PertePVj)+'2023'!Pspv,1-EXP((T0-t)*PertePVj)+Pspv)</f>
        <v>1.2379951092166164E-2</v>
      </c>
      <c r="M57" s="835"/>
      <c r="N57" s="835"/>
      <c r="O57" s="48">
        <f>IF(t&lt;Tnet,'2023'!Resal+('2023'!Salim-'2023'!Resal)*(1-EXP(('2023'!Tnet-t)/('2023'!Tau_j))),Resal+(Salim-Resal)*(1-EXP((Tnet-t)/(Tau_j))))*Salcycl</f>
        <v>4.515801916277646E-2</v>
      </c>
      <c r="P57" s="165">
        <f>(INDEX(Models!$BJ57:$BT57,,T57)*(1-R57)+INDEX(Models!$BJ57:$BT57,,T57+1)*R57-ERP_i)*Q57*Ramure*Pc/MaxiM</f>
        <v>3.66746323996613E-4</v>
      </c>
      <c r="Q57" s="301">
        <f t="shared" si="2"/>
        <v>0.5</v>
      </c>
      <c r="R57" s="173">
        <f t="shared" si="3"/>
        <v>0.99272599711066256</v>
      </c>
      <c r="S57" s="801">
        <f t="shared" si="4"/>
        <v>0</v>
      </c>
      <c r="T57" s="172">
        <f t="shared" si="5"/>
        <v>6</v>
      </c>
      <c r="U57" s="247">
        <f t="shared" si="21"/>
        <v>0.99272599711066256</v>
      </c>
      <c r="V57" s="378">
        <f t="shared" si="6"/>
        <v>141.12779149291913</v>
      </c>
      <c r="W57" s="397">
        <f t="shared" si="7"/>
        <v>107.07233388530595</v>
      </c>
      <c r="X57" s="153">
        <f t="shared" si="8"/>
        <v>45334</v>
      </c>
      <c r="Y57" s="380">
        <f t="shared" si="9"/>
        <v>107.07233388530595</v>
      </c>
      <c r="Z57" s="380">
        <f t="shared" si="10"/>
        <v>108.41450009415321</v>
      </c>
      <c r="AA57" s="381">
        <f t="shared" si="11"/>
        <v>113.54182395614123</v>
      </c>
      <c r="AB57" s="193">
        <f t="shared" si="12"/>
        <v>45334</v>
      </c>
      <c r="AC57" s="119">
        <f>IF(OR(t&lt;Tnet,NoTnet),'2023'!Resal_s+('2023'!Salim-'2023'!Resal_s)*(1-EXP(('2023'!Tnet_s-t)/'2023'!Tau_j)),Resal_s+(Salim-Resal_s)*(1-EXP((Tnet_s-t)/Tau_j)))*Salcycl</f>
        <v>4.515801916277646E-2</v>
      </c>
      <c r="AD57" s="227">
        <f>(INDEX(Models!$BJ57:$BT57,,AH57)*(1-AF57)+INDEX(Models!$BJ57:$BT57,,AH57+1)*AF57-ERP_i)*AE57*Ramure*Pc/MaxiM</f>
        <v>3.66746323996613E-4</v>
      </c>
      <c r="AE57" s="301">
        <f t="shared" si="13"/>
        <v>0.5</v>
      </c>
      <c r="AF57" s="173">
        <f t="shared" si="22"/>
        <v>0.99272599711066256</v>
      </c>
      <c r="AG57" s="801">
        <f t="shared" si="23"/>
        <v>0</v>
      </c>
      <c r="AH57" s="172">
        <f t="shared" si="14"/>
        <v>6</v>
      </c>
      <c r="AI57" s="221">
        <f t="shared" si="24"/>
        <v>0.99272599711066256</v>
      </c>
      <c r="AJ57" s="261" t="b">
        <f t="shared" si="15"/>
        <v>1</v>
      </c>
      <c r="AK57" s="261" t="b">
        <f t="shared" si="16"/>
        <v>0</v>
      </c>
      <c r="AL57" s="261"/>
      <c r="AM57" s="261"/>
      <c r="AN57" s="75"/>
    </row>
    <row r="58" spans="1:40" s="6" customFormat="1" ht="11.25" customHeight="1" x14ac:dyDescent="0.2">
      <c r="A58" s="56">
        <f t="shared" si="17"/>
        <v>45335</v>
      </c>
      <c r="B58" s="406">
        <f>'2023'!Wh/'2023'!Env_an*'2024'!Env_an</f>
        <v>130.63740721401817</v>
      </c>
      <c r="C58" s="385"/>
      <c r="D58" s="388">
        <f t="shared" si="0"/>
        <v>132.27677556704901</v>
      </c>
      <c r="E58" s="380">
        <f t="shared" si="18"/>
        <v>138.53734975961211</v>
      </c>
      <c r="F58" s="380">
        <f t="shared" si="1"/>
        <v>138.57712882891028</v>
      </c>
      <c r="G58" s="110">
        <f t="shared" si="19"/>
        <v>0.91595509916255446</v>
      </c>
      <c r="H58" s="409" t="b">
        <f>Wh_hp&gt;='2023'!Maxi_hp</f>
        <v>0</v>
      </c>
      <c r="I58" s="375">
        <f>IF(H58,Wh_hp,'2023'!Maxi_hp)</f>
        <v>138.58254094560056</v>
      </c>
      <c r="J58" s="85">
        <f>IF(H58,An,'2023'!An_max)</f>
        <v>2022</v>
      </c>
      <c r="K58" s="193">
        <f t="shared" si="20"/>
        <v>45335</v>
      </c>
      <c r="L58" s="143">
        <f>IF(t&lt;Tvie,1-EXP((T0-t)*PertePVj)+'2023'!Pspv,1-EXP((T0-t)*PertePVj)+Pspv)</f>
        <v>1.2393470781270177E-2</v>
      </c>
      <c r="M58" s="835"/>
      <c r="N58" s="835"/>
      <c r="O58" s="48">
        <f>IF(t&lt;Tnet,'2023'!Resal+('2023'!Salim-'2023'!Resal)*(1-EXP(('2023'!Tnet-t)/('2023'!Tau_j))),Resal+(Salim-Resal)*(1-EXP((Tnet-t)/(Tau_j))))*Salcycl</f>
        <v>4.5190515073562171E-2</v>
      </c>
      <c r="P58" s="165">
        <f>(INDEX(Models!$BJ58:$BT58,,T58)*(1-R58)+INDEX(Models!$BJ58:$BT58,,T58+1)*R58-ERP_i)*Q58*Ramure*Pc/MaxiM</f>
        <v>3.2620210087314376E-4</v>
      </c>
      <c r="Q58" s="301">
        <f t="shared" si="2"/>
        <v>0.5</v>
      </c>
      <c r="R58" s="173">
        <f t="shared" si="3"/>
        <v>0.99288799918170179</v>
      </c>
      <c r="S58" s="801">
        <f t="shared" si="4"/>
        <v>0</v>
      </c>
      <c r="T58" s="172">
        <f t="shared" si="5"/>
        <v>6</v>
      </c>
      <c r="U58" s="247">
        <f t="shared" si="21"/>
        <v>0.99288799918170179</v>
      </c>
      <c r="V58" s="378">
        <f t="shared" si="6"/>
        <v>142.61866287068702</v>
      </c>
      <c r="W58" s="397">
        <f t="shared" si="7"/>
        <v>130.63740721401817</v>
      </c>
      <c r="X58" s="153">
        <f t="shared" si="8"/>
        <v>45335</v>
      </c>
      <c r="Y58" s="380">
        <f t="shared" si="9"/>
        <v>130.63740721401817</v>
      </c>
      <c r="Z58" s="380">
        <f t="shared" si="10"/>
        <v>132.27677556704901</v>
      </c>
      <c r="AA58" s="381">
        <f t="shared" si="11"/>
        <v>138.53734975961211</v>
      </c>
      <c r="AB58" s="193">
        <f t="shared" si="12"/>
        <v>45335</v>
      </c>
      <c r="AC58" s="119">
        <f>IF(OR(t&lt;Tnet,NoTnet),'2023'!Resal_s+('2023'!Salim-'2023'!Resal_s)*(1-EXP(('2023'!Tnet_s-t)/'2023'!Tau_j)),Resal_s+(Salim-Resal_s)*(1-EXP((Tnet_s-t)/Tau_j)))*Salcycl</f>
        <v>4.5190515073562171E-2</v>
      </c>
      <c r="AD58" s="227">
        <f>(INDEX(Models!$BJ58:$BT58,,AH58)*(1-AF58)+INDEX(Models!$BJ58:$BT58,,AH58+1)*AF58-ERP_i)*AE58*Ramure*Pc/MaxiM</f>
        <v>3.2620210087314376E-4</v>
      </c>
      <c r="AE58" s="301">
        <f t="shared" si="13"/>
        <v>0.5</v>
      </c>
      <c r="AF58" s="173">
        <f t="shared" si="22"/>
        <v>0.99288799918170179</v>
      </c>
      <c r="AG58" s="801">
        <f t="shared" si="23"/>
        <v>0</v>
      </c>
      <c r="AH58" s="172">
        <f t="shared" si="14"/>
        <v>6</v>
      </c>
      <c r="AI58" s="221">
        <f t="shared" si="24"/>
        <v>0.99288799918170179</v>
      </c>
      <c r="AJ58" s="261" t="b">
        <f t="shared" si="15"/>
        <v>1</v>
      </c>
      <c r="AK58" s="261" t="b">
        <f t="shared" si="16"/>
        <v>0</v>
      </c>
      <c r="AL58" s="261"/>
      <c r="AM58" s="261"/>
      <c r="AN58" s="75"/>
    </row>
    <row r="59" spans="1:40" s="6" customFormat="1" ht="11.25" x14ac:dyDescent="0.2">
      <c r="A59" s="56">
        <f t="shared" si="17"/>
        <v>45336</v>
      </c>
      <c r="B59" s="406">
        <f>'2023'!Wh/'2023'!Env_an*'2024'!Env_an</f>
        <v>74.488638802572041</v>
      </c>
      <c r="C59" s="385"/>
      <c r="D59" s="388">
        <f t="shared" si="0"/>
        <v>75.42442895995255</v>
      </c>
      <c r="E59" s="380">
        <f t="shared" si="18"/>
        <v>78.996905881950653</v>
      </c>
      <c r="F59" s="380">
        <f t="shared" si="1"/>
        <v>79.003997372395119</v>
      </c>
      <c r="G59" s="110">
        <f t="shared" si="19"/>
        <v>0.51678175316232799</v>
      </c>
      <c r="H59" s="409" t="b">
        <f>Wh_hp&gt;='2023'!Maxi_hp</f>
        <v>0</v>
      </c>
      <c r="I59" s="375">
        <f>IF(H59,Wh_hp,'2023'!Maxi_hp)</f>
        <v>79.019753092234637</v>
      </c>
      <c r="J59" s="85">
        <f>IF(H59,An,'2023'!An_max)</f>
        <v>2022</v>
      </c>
      <c r="K59" s="193">
        <f t="shared" si="20"/>
        <v>45336</v>
      </c>
      <c r="L59" s="143">
        <f>IF(t&lt;Tvie,1-EXP((T0-t)*PertePVj)+'2023'!Pspv,1-EXP((T0-t)*PertePVj)+Pspv)</f>
        <v>1.2406990285301012E-2</v>
      </c>
      <c r="M59" s="835"/>
      <c r="N59" s="835"/>
      <c r="O59" s="48">
        <f>IF(t&lt;Tnet,'2023'!Resal+('2023'!Salim-'2023'!Resal)*(1-EXP(('2023'!Tnet-t)/('2023'!Tau_j))),Resal+(Salim-Resal)*(1-EXP((Tnet-t)/(Tau_j))))*Salcycl</f>
        <v>4.522299806699577E-2</v>
      </c>
      <c r="P59" s="165">
        <f>(INDEX(Models!$BJ59:$BT59,,T59)*(1-R59)+INDEX(Models!$BJ59:$BT59,,T59+1)*R59-ERP_i)*Q59*Ramure*Pc/MaxiM</f>
        <v>2.8970551163944388E-4</v>
      </c>
      <c r="Q59" s="301">
        <f t="shared" si="2"/>
        <v>0.5</v>
      </c>
      <c r="R59" s="173">
        <f t="shared" si="3"/>
        <v>0.99305668524568347</v>
      </c>
      <c r="S59" s="801">
        <f t="shared" si="4"/>
        <v>0</v>
      </c>
      <c r="T59" s="172">
        <f t="shared" si="5"/>
        <v>6</v>
      </c>
      <c r="U59" s="247">
        <f t="shared" si="21"/>
        <v>0.99305668524568347</v>
      </c>
      <c r="V59" s="378">
        <f t="shared" si="6"/>
        <v>144.11062973347597</v>
      </c>
      <c r="W59" s="397">
        <f t="shared" si="7"/>
        <v>74.488638802572041</v>
      </c>
      <c r="X59" s="153">
        <f t="shared" si="8"/>
        <v>45336</v>
      </c>
      <c r="Y59" s="380">
        <f t="shared" si="9"/>
        <v>74.488638802572041</v>
      </c>
      <c r="Z59" s="380">
        <f t="shared" si="10"/>
        <v>75.42442895995255</v>
      </c>
      <c r="AA59" s="381">
        <f t="shared" si="11"/>
        <v>78.996905881950653</v>
      </c>
      <c r="AB59" s="193">
        <f t="shared" si="12"/>
        <v>45336</v>
      </c>
      <c r="AC59" s="119">
        <f>IF(OR(t&lt;Tnet,NoTnet),'2023'!Resal_s+('2023'!Salim-'2023'!Resal_s)*(1-EXP(('2023'!Tnet_s-t)/'2023'!Tau_j)),Resal_s+(Salim-Resal_s)*(1-EXP((Tnet_s-t)/Tau_j)))*Salcycl</f>
        <v>4.522299806699577E-2</v>
      </c>
      <c r="AD59" s="227">
        <f>(INDEX(Models!$BJ59:$BT59,,AH59)*(1-AF59)+INDEX(Models!$BJ59:$BT59,,AH59+1)*AF59-ERP_i)*AE59*Ramure*Pc/MaxiM</f>
        <v>2.8970551163944388E-4</v>
      </c>
      <c r="AE59" s="301">
        <f t="shared" si="13"/>
        <v>0.5</v>
      </c>
      <c r="AF59" s="173">
        <f t="shared" si="22"/>
        <v>0.99305668524568347</v>
      </c>
      <c r="AG59" s="801">
        <f t="shared" si="23"/>
        <v>0</v>
      </c>
      <c r="AH59" s="172">
        <f t="shared" si="14"/>
        <v>6</v>
      </c>
      <c r="AI59" s="221">
        <f t="shared" si="24"/>
        <v>0.99305668524568347</v>
      </c>
      <c r="AJ59" s="261" t="b">
        <f t="shared" si="15"/>
        <v>1</v>
      </c>
      <c r="AK59" s="261" t="b">
        <f t="shared" si="16"/>
        <v>0</v>
      </c>
      <c r="AL59" s="261"/>
      <c r="AM59" s="261"/>
      <c r="AN59" s="75"/>
    </row>
    <row r="60" spans="1:40" s="6" customFormat="1" ht="11.25" x14ac:dyDescent="0.2">
      <c r="A60" s="56">
        <f t="shared" si="17"/>
        <v>45337</v>
      </c>
      <c r="B60" s="406">
        <f>'2023'!Wh/'2023'!Env_an*'2024'!Env_an</f>
        <v>78.650804303334539</v>
      </c>
      <c r="C60" s="385"/>
      <c r="D60" s="388">
        <f t="shared" si="0"/>
        <v>79.639973357302011</v>
      </c>
      <c r="E60" s="380">
        <f t="shared" si="18"/>
        <v>83.414955832114515</v>
      </c>
      <c r="F60" s="380">
        <f t="shared" si="1"/>
        <v>83.422316107975192</v>
      </c>
      <c r="G60" s="110">
        <f t="shared" si="19"/>
        <v>0.54009049279644816</v>
      </c>
      <c r="H60" s="409" t="b">
        <f>Wh_hp&gt;='2023'!Maxi_hp</f>
        <v>0</v>
      </c>
      <c r="I60" s="375">
        <f>IF(H60,Wh_hp,'2023'!Maxi_hp)</f>
        <v>83.436368101478877</v>
      </c>
      <c r="J60" s="85">
        <f>IF(H60,An,'2023'!An_max)</f>
        <v>2022</v>
      </c>
      <c r="K60" s="193">
        <f t="shared" si="20"/>
        <v>45337</v>
      </c>
      <c r="L60" s="143">
        <f>IF(t&lt;Tvie,1-EXP((T0-t)*PertePVj)+'2023'!Pspv,1-EXP((T0-t)*PertePVj)+Pspv)</f>
        <v>1.2420509604261221E-2</v>
      </c>
      <c r="M60" s="835"/>
      <c r="N60" s="835"/>
      <c r="O60" s="48">
        <f>IF(t&lt;Tnet,'2023'!Resal+('2023'!Salim-'2023'!Resal)*(1-EXP(('2023'!Tnet-t)/('2023'!Tau_j))),Resal+(Salim-Resal)*(1-EXP((Tnet-t)/(Tau_j))))*Salcycl</f>
        <v>4.5255463329744242E-2</v>
      </c>
      <c r="P60" s="165">
        <f>(INDEX(Models!$BJ60:$BT60,,T60)*(1-R60)+INDEX(Models!$BJ60:$BT60,,T60+1)*R60-ERP_i)*Q60*Ramure*Pc/MaxiM</f>
        <v>2.5714015152542848E-4</v>
      </c>
      <c r="Q60" s="301">
        <f t="shared" si="2"/>
        <v>0.5</v>
      </c>
      <c r="R60" s="173">
        <f t="shared" si="3"/>
        <v>0.99323232621201385</v>
      </c>
      <c r="S60" s="801">
        <f t="shared" si="4"/>
        <v>0</v>
      </c>
      <c r="T60" s="172">
        <f t="shared" si="5"/>
        <v>6</v>
      </c>
      <c r="U60" s="247">
        <f t="shared" si="21"/>
        <v>0.99323232621201385</v>
      </c>
      <c r="V60" s="378">
        <f t="shared" si="6"/>
        <v>145.60063394909375</v>
      </c>
      <c r="W60" s="397">
        <f t="shared" si="7"/>
        <v>78.650804303334539</v>
      </c>
      <c r="X60" s="153">
        <f t="shared" si="8"/>
        <v>45337</v>
      </c>
      <c r="Y60" s="380">
        <f t="shared" si="9"/>
        <v>78.650804303334539</v>
      </c>
      <c r="Z60" s="380">
        <f t="shared" si="10"/>
        <v>79.639973357302011</v>
      </c>
      <c r="AA60" s="381">
        <f t="shared" si="11"/>
        <v>83.414955832114515</v>
      </c>
      <c r="AB60" s="193">
        <f t="shared" si="12"/>
        <v>45337</v>
      </c>
      <c r="AC60" s="119">
        <f>IF(OR(t&lt;Tnet,NoTnet),'2023'!Resal_s+('2023'!Salim-'2023'!Resal_s)*(1-EXP(('2023'!Tnet_s-t)/'2023'!Tau_j)),Resal_s+(Salim-Resal_s)*(1-EXP((Tnet_s-t)/Tau_j)))*Salcycl</f>
        <v>4.5255463329744242E-2</v>
      </c>
      <c r="AD60" s="227">
        <f>(INDEX(Models!$BJ60:$BT60,,AH60)*(1-AF60)+INDEX(Models!$BJ60:$BT60,,AH60+1)*AF60-ERP_i)*AE60*Ramure*Pc/MaxiM</f>
        <v>2.5714015152542848E-4</v>
      </c>
      <c r="AE60" s="301">
        <f t="shared" si="13"/>
        <v>0.5</v>
      </c>
      <c r="AF60" s="173">
        <f t="shared" si="22"/>
        <v>0.99323232621201385</v>
      </c>
      <c r="AG60" s="801">
        <f t="shared" si="23"/>
        <v>0</v>
      </c>
      <c r="AH60" s="172">
        <f t="shared" si="14"/>
        <v>6</v>
      </c>
      <c r="AI60" s="221">
        <f t="shared" si="24"/>
        <v>0.99323232621201385</v>
      </c>
      <c r="AJ60" s="261" t="b">
        <f t="shared" si="15"/>
        <v>1</v>
      </c>
      <c r="AK60" s="261" t="b">
        <f t="shared" si="16"/>
        <v>0</v>
      </c>
      <c r="AL60" s="261"/>
      <c r="AM60" s="261"/>
      <c r="AN60" s="75"/>
    </row>
    <row r="61" spans="1:40" s="6" customFormat="1" ht="11.25" customHeight="1" x14ac:dyDescent="0.2">
      <c r="A61" s="56">
        <f t="shared" si="17"/>
        <v>45338</v>
      </c>
      <c r="B61" s="406">
        <f>'2023'!Wh/'2023'!Env_an*'2024'!Env_an</f>
        <v>30.378527920734651</v>
      </c>
      <c r="C61" s="385"/>
      <c r="D61" s="388">
        <f t="shared" si="0"/>
        <v>30.761011218236863</v>
      </c>
      <c r="E61" s="380">
        <f t="shared" si="18"/>
        <v>32.220196454554426</v>
      </c>
      <c r="F61" s="380">
        <f t="shared" si="1"/>
        <v>32.220196454554426</v>
      </c>
      <c r="G61" s="110">
        <f t="shared" si="19"/>
        <v>0.20648918729400495</v>
      </c>
      <c r="H61" s="409" t="b">
        <f>Wh_hp&gt;='2023'!Maxi_hp</f>
        <v>0</v>
      </c>
      <c r="I61" s="375">
        <f>IF(H61,Wh_hp,'2023'!Maxi_hp)</f>
        <v>32.227533516382081</v>
      </c>
      <c r="J61" s="85">
        <f>IF(H61,An,'2023'!An_max)</f>
        <v>2022</v>
      </c>
      <c r="K61" s="193">
        <f t="shared" si="20"/>
        <v>45338</v>
      </c>
      <c r="L61" s="143">
        <f>IF(t&lt;Tvie,1-EXP((T0-t)*PertePVj)+'2023'!Pspv,1-EXP((T0-t)*PertePVj)+Pspv)</f>
        <v>1.2434028738153247E-2</v>
      </c>
      <c r="M61" s="835"/>
      <c r="N61" s="835"/>
      <c r="O61" s="48">
        <f>IF(t&lt;Tnet,'2023'!Resal+('2023'!Salim-'2023'!Resal)*(1-EXP(('2023'!Tnet-t)/('2023'!Tau_j))),Resal+(Salim-Resal)*(1-EXP((Tnet-t)/(Tau_j))))*Salcycl</f>
        <v>4.5287906247738027E-2</v>
      </c>
      <c r="P61" s="165">
        <f>(INDEX(Models!$BJ61:$BT61,,T61)*(1-R61)+INDEX(Models!$BJ61:$BT61,,T61+1)*R61-ERP_i)*Q61*Ramure*Pc/MaxiM</f>
        <v>2.2839198719283807E-4</v>
      </c>
      <c r="Q61" s="301">
        <f t="shared" si="2"/>
        <v>0.5</v>
      </c>
      <c r="R61" s="173">
        <f t="shared" si="3"/>
        <v>0.993415203557802</v>
      </c>
      <c r="S61" s="801">
        <f t="shared" si="4"/>
        <v>0</v>
      </c>
      <c r="T61" s="172">
        <f t="shared" si="5"/>
        <v>6</v>
      </c>
      <c r="U61" s="247">
        <f t="shared" si="21"/>
        <v>0.993415203557802</v>
      </c>
      <c r="V61" s="378">
        <f t="shared" si="6"/>
        <v>147.08561792696167</v>
      </c>
      <c r="W61" s="397">
        <f t="shared" si="7"/>
        <v>30.378527920734651</v>
      </c>
      <c r="X61" s="153">
        <f t="shared" si="8"/>
        <v>45338</v>
      </c>
      <c r="Y61" s="380">
        <f t="shared" si="9"/>
        <v>30.378527920734651</v>
      </c>
      <c r="Z61" s="380">
        <f t="shared" si="10"/>
        <v>30.761011218236863</v>
      </c>
      <c r="AA61" s="381">
        <f t="shared" si="11"/>
        <v>32.220196454554426</v>
      </c>
      <c r="AB61" s="193">
        <f t="shared" si="12"/>
        <v>45338</v>
      </c>
      <c r="AC61" s="119">
        <f>IF(OR(t&lt;Tnet,NoTnet),'2023'!Resal_s+('2023'!Salim-'2023'!Resal_s)*(1-EXP(('2023'!Tnet_s-t)/'2023'!Tau_j)),Resal_s+(Salim-Resal_s)*(1-EXP((Tnet_s-t)/Tau_j)))*Salcycl</f>
        <v>4.5287906247738027E-2</v>
      </c>
      <c r="AD61" s="227">
        <f>(INDEX(Models!$BJ61:$BT61,,AH61)*(1-AF61)+INDEX(Models!$BJ61:$BT61,,AH61+1)*AF61-ERP_i)*AE61*Ramure*Pc/MaxiM</f>
        <v>2.2839198719283807E-4</v>
      </c>
      <c r="AE61" s="301">
        <f t="shared" si="13"/>
        <v>0.5</v>
      </c>
      <c r="AF61" s="173">
        <f t="shared" si="22"/>
        <v>0.993415203557802</v>
      </c>
      <c r="AG61" s="801">
        <f t="shared" si="23"/>
        <v>0</v>
      </c>
      <c r="AH61" s="172">
        <f t="shared" si="14"/>
        <v>6</v>
      </c>
      <c r="AI61" s="221">
        <f t="shared" si="24"/>
        <v>0.993415203557802</v>
      </c>
      <c r="AJ61" s="261" t="b">
        <f t="shared" si="15"/>
        <v>1</v>
      </c>
      <c r="AK61" s="261" t="b">
        <f t="shared" si="16"/>
        <v>0</v>
      </c>
      <c r="AL61" s="261"/>
      <c r="AM61" s="261"/>
      <c r="AN61" s="75"/>
    </row>
    <row r="62" spans="1:40" s="6" customFormat="1" ht="11.25" x14ac:dyDescent="0.2">
      <c r="A62" s="56">
        <f t="shared" si="17"/>
        <v>45339</v>
      </c>
      <c r="B62" s="406">
        <f>'2023'!Wh/'2023'!Env_an*'2024'!Env_an</f>
        <v>44.755056684819337</v>
      </c>
      <c r="C62" s="385"/>
      <c r="D62" s="388">
        <f t="shared" si="0"/>
        <v>45.319169204628245</v>
      </c>
      <c r="E62" s="380">
        <f t="shared" si="18"/>
        <v>47.470549831169166</v>
      </c>
      <c r="F62" s="380">
        <f t="shared" si="1"/>
        <v>47.470567124256434</v>
      </c>
      <c r="G62" s="110">
        <f t="shared" si="19"/>
        <v>0.30119286250082106</v>
      </c>
      <c r="H62" s="409" t="b">
        <f>Wh_hp&gt;='2023'!Maxi_hp</f>
        <v>0</v>
      </c>
      <c r="I62" s="375">
        <f>IF(H62,Wh_hp,'2023'!Maxi_hp)</f>
        <v>47.480172549184005</v>
      </c>
      <c r="J62" s="85">
        <f>IF(H62,An,'2023'!An_max)</f>
        <v>2022</v>
      </c>
      <c r="K62" s="193">
        <f t="shared" si="20"/>
        <v>45339</v>
      </c>
      <c r="L62" s="143">
        <f>IF(t&lt;Tvie,1-EXP((T0-t)*PertePVj)+'2023'!Pspv,1-EXP((T0-t)*PertePVj)+Pspv)</f>
        <v>1.2447547686979643E-2</v>
      </c>
      <c r="M62" s="835"/>
      <c r="N62" s="835"/>
      <c r="O62" s="48">
        <f>IF(t&lt;Tnet,'2023'!Resal+('2023'!Salim-'2023'!Resal)*(1-EXP(('2023'!Tnet-t)/('2023'!Tau_j))),Resal+(Salim-Resal)*(1-EXP((Tnet-t)/(Tau_j))))*Salcycl</f>
        <v>4.532032247767058E-2</v>
      </c>
      <c r="P62" s="165">
        <f>(INDEX(Models!$BJ62:$BT62,,T62)*(1-R62)+INDEX(Models!$BJ62:$BT62,,T62+1)*R62-ERP_i)*Q62*Ramure*Pc/MaxiM</f>
        <v>2.0335000569455137E-4</v>
      </c>
      <c r="Q62" s="301">
        <f t="shared" si="2"/>
        <v>0.5</v>
      </c>
      <c r="R62" s="173">
        <f t="shared" si="3"/>
        <v>0.99360560970495826</v>
      </c>
      <c r="S62" s="801">
        <f t="shared" si="4"/>
        <v>0</v>
      </c>
      <c r="T62" s="172">
        <f t="shared" si="5"/>
        <v>6</v>
      </c>
      <c r="U62" s="247">
        <f t="shared" si="21"/>
        <v>0.99360560970495826</v>
      </c>
      <c r="V62" s="378">
        <f t="shared" si="6"/>
        <v>148.56252459902893</v>
      </c>
      <c r="W62" s="397">
        <f t="shared" si="7"/>
        <v>44.755056684819337</v>
      </c>
      <c r="X62" s="153">
        <f t="shared" si="8"/>
        <v>45339</v>
      </c>
      <c r="Y62" s="380">
        <f t="shared" si="9"/>
        <v>44.755056684819337</v>
      </c>
      <c r="Z62" s="380">
        <f t="shared" si="10"/>
        <v>45.319169204628245</v>
      </c>
      <c r="AA62" s="381">
        <f t="shared" si="11"/>
        <v>47.470549831169166</v>
      </c>
      <c r="AB62" s="193">
        <f t="shared" si="12"/>
        <v>45339</v>
      </c>
      <c r="AC62" s="119">
        <f>IF(OR(t&lt;Tnet,NoTnet),'2023'!Resal_s+('2023'!Salim-'2023'!Resal_s)*(1-EXP(('2023'!Tnet_s-t)/'2023'!Tau_j)),Resal_s+(Salim-Resal_s)*(1-EXP((Tnet_s-t)/Tau_j)))*Salcycl</f>
        <v>4.532032247767058E-2</v>
      </c>
      <c r="AD62" s="227">
        <f>(INDEX(Models!$BJ62:$BT62,,AH62)*(1-AF62)+INDEX(Models!$BJ62:$BT62,,AH62+1)*AF62-ERP_i)*AE62*Ramure*Pc/MaxiM</f>
        <v>2.0335000569455137E-4</v>
      </c>
      <c r="AE62" s="301">
        <f t="shared" si="13"/>
        <v>0.5</v>
      </c>
      <c r="AF62" s="173">
        <f t="shared" si="22"/>
        <v>0.99360560970495826</v>
      </c>
      <c r="AG62" s="801">
        <f t="shared" si="23"/>
        <v>0</v>
      </c>
      <c r="AH62" s="172">
        <f t="shared" si="14"/>
        <v>6</v>
      </c>
      <c r="AI62" s="221">
        <f t="shared" si="24"/>
        <v>0.99360560970495826</v>
      </c>
      <c r="AJ62" s="261" t="b">
        <f t="shared" si="15"/>
        <v>1</v>
      </c>
      <c r="AK62" s="261" t="b">
        <f t="shared" si="16"/>
        <v>0</v>
      </c>
      <c r="AL62" s="261"/>
      <c r="AM62" s="261"/>
      <c r="AN62" s="75"/>
    </row>
    <row r="63" spans="1:40" s="6" customFormat="1" ht="11.25" customHeight="1" x14ac:dyDescent="0.2">
      <c r="A63" s="56">
        <f t="shared" si="17"/>
        <v>45340</v>
      </c>
      <c r="B63" s="406">
        <f>'2023'!Wh/'2023'!Env_an*'2024'!Env_an</f>
        <v>127.2469661390472</v>
      </c>
      <c r="C63" s="385"/>
      <c r="D63" s="388">
        <f t="shared" si="0"/>
        <v>128.85260703769541</v>
      </c>
      <c r="E63" s="380">
        <f t="shared" si="18"/>
        <v>134.97404551384315</v>
      </c>
      <c r="F63" s="380">
        <f t="shared" si="1"/>
        <v>134.9932748751792</v>
      </c>
      <c r="G63" s="110">
        <f t="shared" si="19"/>
        <v>0.84811963113877176</v>
      </c>
      <c r="H63" s="409" t="b">
        <f>Wh_hp&gt;='2023'!Maxi_hp</f>
        <v>0</v>
      </c>
      <c r="I63" s="375">
        <f>IF(H63,Wh_hp,'2023'!Maxi_hp)</f>
        <v>134.99858380946762</v>
      </c>
      <c r="J63" s="85">
        <f>IF(H63,An,'2023'!An_max)</f>
        <v>2022</v>
      </c>
      <c r="K63" s="193">
        <f t="shared" si="20"/>
        <v>45340</v>
      </c>
      <c r="L63" s="143">
        <f>IF(t&lt;Tvie,1-EXP((T0-t)*PertePVj)+'2023'!Pspv,1-EXP((T0-t)*PertePVj)+Pspv)</f>
        <v>1.2461066450743075E-2</v>
      </c>
      <c r="M63" s="835"/>
      <c r="N63" s="835"/>
      <c r="O63" s="48">
        <f>IF(t&lt;Tnet,'2023'!Resal+('2023'!Salim-'2023'!Resal)*(1-EXP(('2023'!Tnet-t)/('2023'!Tau_j))),Resal+(Salim-Resal)*(1-EXP((Tnet-t)/(Tau_j))))*Salcycl</f>
        <v>4.5352708017630861E-2</v>
      </c>
      <c r="P63" s="165">
        <f>(INDEX(Models!$BJ63:$BT63,,T63)*(1-R63)+INDEX(Models!$BJ63:$BT63,,T63+1)*R63-ERP_i)*Q63*Ramure*Pc/MaxiM</f>
        <v>1.8190678125702467E-4</v>
      </c>
      <c r="Q63" s="301">
        <f t="shared" si="2"/>
        <v>0.5</v>
      </c>
      <c r="R63" s="173">
        <f t="shared" si="3"/>
        <v>0.99380384840770664</v>
      </c>
      <c r="S63" s="801">
        <f t="shared" si="4"/>
        <v>0</v>
      </c>
      <c r="T63" s="172">
        <f t="shared" si="5"/>
        <v>6</v>
      </c>
      <c r="U63" s="247">
        <f t="shared" si="21"/>
        <v>0.99380384840770664</v>
      </c>
      <c r="V63" s="378">
        <f t="shared" si="6"/>
        <v>150.02829741269335</v>
      </c>
      <c r="W63" s="397">
        <f t="shared" si="7"/>
        <v>127.2469661390472</v>
      </c>
      <c r="X63" s="153">
        <f t="shared" si="8"/>
        <v>45340</v>
      </c>
      <c r="Y63" s="380">
        <f t="shared" si="9"/>
        <v>127.2469661390472</v>
      </c>
      <c r="Z63" s="380">
        <f t="shared" si="10"/>
        <v>128.85260703769541</v>
      </c>
      <c r="AA63" s="381">
        <f t="shared" si="11"/>
        <v>134.97404551384315</v>
      </c>
      <c r="AB63" s="193">
        <f t="shared" si="12"/>
        <v>45340</v>
      </c>
      <c r="AC63" s="119">
        <f>IF(OR(t&lt;Tnet,NoTnet),'2023'!Resal_s+('2023'!Salim-'2023'!Resal_s)*(1-EXP(('2023'!Tnet_s-t)/'2023'!Tau_j)),Resal_s+(Salim-Resal_s)*(1-EXP((Tnet_s-t)/Tau_j)))*Salcycl</f>
        <v>4.5352708017630861E-2</v>
      </c>
      <c r="AD63" s="227">
        <f>(INDEX(Models!$BJ63:$BT63,,AH63)*(1-AF63)+INDEX(Models!$BJ63:$BT63,,AH63+1)*AF63-ERP_i)*AE63*Ramure*Pc/MaxiM</f>
        <v>1.8190678125702467E-4</v>
      </c>
      <c r="AE63" s="301">
        <f t="shared" si="13"/>
        <v>0.5</v>
      </c>
      <c r="AF63" s="173">
        <f t="shared" si="22"/>
        <v>0.99380384840770664</v>
      </c>
      <c r="AG63" s="801">
        <f t="shared" si="23"/>
        <v>0</v>
      </c>
      <c r="AH63" s="172">
        <f t="shared" si="14"/>
        <v>6</v>
      </c>
      <c r="AI63" s="221">
        <f t="shared" si="24"/>
        <v>0.99380384840770664</v>
      </c>
      <c r="AJ63" s="261" t="b">
        <f t="shared" si="15"/>
        <v>1</v>
      </c>
      <c r="AK63" s="261" t="b">
        <f t="shared" si="16"/>
        <v>0</v>
      </c>
      <c r="AL63" s="261"/>
      <c r="AM63" s="261"/>
      <c r="AN63" s="75"/>
    </row>
    <row r="64" spans="1:40" s="6" customFormat="1" ht="11.25" x14ac:dyDescent="0.2">
      <c r="A64" s="56">
        <f t="shared" si="17"/>
        <v>45341</v>
      </c>
      <c r="B64" s="406">
        <f>'2023'!Wh/'2023'!Env_an*'2024'!Env_an</f>
        <v>72.52933048254576</v>
      </c>
      <c r="C64" s="385"/>
      <c r="D64" s="388">
        <f t="shared" si="0"/>
        <v>73.445533029353413</v>
      </c>
      <c r="E64" s="380">
        <f t="shared" si="18"/>
        <v>76.937338707126457</v>
      </c>
      <c r="F64" s="380">
        <f t="shared" si="1"/>
        <v>76.940561053719648</v>
      </c>
      <c r="G64" s="110">
        <f t="shared" si="19"/>
        <v>0.47874658818412569</v>
      </c>
      <c r="H64" s="409" t="b">
        <f>Wh_hp&gt;='2023'!Maxi_hp</f>
        <v>0</v>
      </c>
      <c r="I64" s="375">
        <f>IF(H64,Wh_hp,'2023'!Maxi_hp)</f>
        <v>76.949920298124354</v>
      </c>
      <c r="J64" s="85">
        <f>IF(H64,An,'2023'!An_max)</f>
        <v>2022</v>
      </c>
      <c r="K64" s="193">
        <f t="shared" si="20"/>
        <v>45341</v>
      </c>
      <c r="L64" s="143">
        <f>IF(t&lt;Tvie,1-EXP((T0-t)*PertePVj)+'2023'!Pspv,1-EXP((T0-t)*PertePVj)+Pspv)</f>
        <v>1.2474585029445984E-2</v>
      </c>
      <c r="M64" s="835"/>
      <c r="N64" s="835"/>
      <c r="O64" s="48">
        <f>IF(t&lt;Tnet,'2023'!Resal+('2023'!Salim-'2023'!Resal)*(1-EXP(('2023'!Tnet-t)/('2023'!Tau_j))),Resal+(Salim-Resal)*(1-EXP((Tnet-t)/(Tau_j))))*Salcycl</f>
        <v>4.5385059276161419E-2</v>
      </c>
      <c r="P64" s="165">
        <f>(INDEX(Models!$BJ64:$BT64,,T64)*(1-R64)+INDEX(Models!$BJ64:$BT64,,T64+1)*R64-ERP_i)*Q64*Ramure*Pc/MaxiM</f>
        <v>1.6395896972806493E-4</v>
      </c>
      <c r="Q64" s="301">
        <f t="shared" si="2"/>
        <v>0.5</v>
      </c>
      <c r="R64" s="173">
        <f t="shared" si="3"/>
        <v>0.99401023515051556</v>
      </c>
      <c r="S64" s="801">
        <f t="shared" si="4"/>
        <v>0</v>
      </c>
      <c r="T64" s="172">
        <f t="shared" si="5"/>
        <v>6</v>
      </c>
      <c r="U64" s="247">
        <f t="shared" si="21"/>
        <v>0.99401023515051556</v>
      </c>
      <c r="V64" s="378">
        <f t="shared" si="6"/>
        <v>151.47988031074874</v>
      </c>
      <c r="W64" s="397">
        <f t="shared" si="7"/>
        <v>72.52933048254576</v>
      </c>
      <c r="X64" s="153">
        <f t="shared" si="8"/>
        <v>45341</v>
      </c>
      <c r="Y64" s="380">
        <f t="shared" si="9"/>
        <v>72.52933048254576</v>
      </c>
      <c r="Z64" s="380">
        <f t="shared" si="10"/>
        <v>73.445533029353413</v>
      </c>
      <c r="AA64" s="381">
        <f t="shared" si="11"/>
        <v>76.937338707126457</v>
      </c>
      <c r="AB64" s="193">
        <f t="shared" si="12"/>
        <v>45341</v>
      </c>
      <c r="AC64" s="119">
        <f>IF(OR(t&lt;Tnet,NoTnet),'2023'!Resal_s+('2023'!Salim-'2023'!Resal_s)*(1-EXP(('2023'!Tnet_s-t)/'2023'!Tau_j)),Resal_s+(Salim-Resal_s)*(1-EXP((Tnet_s-t)/Tau_j)))*Salcycl</f>
        <v>4.5385059276161419E-2</v>
      </c>
      <c r="AD64" s="227">
        <f>(INDEX(Models!$BJ64:$BT64,,AH64)*(1-AF64)+INDEX(Models!$BJ64:$BT64,,AH64+1)*AF64-ERP_i)*AE64*Ramure*Pc/MaxiM</f>
        <v>1.6395896972806493E-4</v>
      </c>
      <c r="AE64" s="301">
        <f t="shared" si="13"/>
        <v>0.5</v>
      </c>
      <c r="AF64" s="173">
        <f t="shared" si="22"/>
        <v>0.99401023515051556</v>
      </c>
      <c r="AG64" s="801">
        <f t="shared" si="23"/>
        <v>0</v>
      </c>
      <c r="AH64" s="172">
        <f t="shared" si="14"/>
        <v>6</v>
      </c>
      <c r="AI64" s="221">
        <f t="shared" si="24"/>
        <v>0.99401023515051556</v>
      </c>
      <c r="AJ64" s="261" t="b">
        <f t="shared" si="15"/>
        <v>1</v>
      </c>
      <c r="AK64" s="261" t="b">
        <f t="shared" si="16"/>
        <v>0</v>
      </c>
      <c r="AL64" s="261"/>
      <c r="AM64" s="261"/>
      <c r="AN64" s="75"/>
    </row>
    <row r="65" spans="1:40" s="6" customFormat="1" ht="11.25" customHeight="1" x14ac:dyDescent="0.2">
      <c r="A65" s="56">
        <f t="shared" si="17"/>
        <v>45342</v>
      </c>
      <c r="B65" s="406">
        <f>'2023'!Wh/'2023'!Env_an*'2024'!Env_an</f>
        <v>91.25296210994189</v>
      </c>
      <c r="C65" s="385"/>
      <c r="D65" s="388">
        <f t="shared" si="0"/>
        <v>92.406949654236342</v>
      </c>
      <c r="E65" s="380">
        <f t="shared" si="18"/>
        <v>96.803510826620567</v>
      </c>
      <c r="F65" s="380">
        <f t="shared" si="1"/>
        <v>96.809641442811071</v>
      </c>
      <c r="G65" s="110">
        <f t="shared" si="19"/>
        <v>0.59666505201340081</v>
      </c>
      <c r="H65" s="409" t="b">
        <f>Wh_hp&gt;='2023'!Maxi_hp</f>
        <v>0</v>
      </c>
      <c r="I65" s="375">
        <f>IF(H65,Wh_hp,'2023'!Maxi_hp)</f>
        <v>96.817942431119334</v>
      </c>
      <c r="J65" s="85">
        <f>IF(H65,An,'2023'!An_max)</f>
        <v>2022</v>
      </c>
      <c r="K65" s="193">
        <f t="shared" si="20"/>
        <v>45342</v>
      </c>
      <c r="L65" s="143">
        <f>IF(t&lt;Tvie,1-EXP((T0-t)*PertePVj)+'2023'!Pspv,1-EXP((T0-t)*PertePVj)+Pspv)</f>
        <v>1.2488103423090813E-2</v>
      </c>
      <c r="M65" s="835"/>
      <c r="N65" s="835"/>
      <c r="O65" s="48">
        <f>IF(t&lt;Tnet,'2023'!Resal+('2023'!Salim-'2023'!Resal)*(1-EXP(('2023'!Tnet-t)/('2023'!Tau_j))),Resal+(Salim-Resal)*(1-EXP((Tnet-t)/(Tau_j))))*Salcycl</f>
        <v>4.5417373139065777E-2</v>
      </c>
      <c r="P65" s="165">
        <f>(INDEX(Models!$BJ65:$BT65,,T65)*(1-R65)+INDEX(Models!$BJ65:$BT65,,T65+1)*R65-ERP_i)*Q65*Ramure*Pc/MaxiM</f>
        <v>1.4939703665014668E-4</v>
      </c>
      <c r="Q65" s="301">
        <f t="shared" si="2"/>
        <v>0.5</v>
      </c>
      <c r="R65" s="173">
        <f t="shared" si="3"/>
        <v>0.99422509755642585</v>
      </c>
      <c r="S65" s="801">
        <f t="shared" si="4"/>
        <v>0</v>
      </c>
      <c r="T65" s="172">
        <f t="shared" si="5"/>
        <v>6</v>
      </c>
      <c r="U65" s="247">
        <f t="shared" si="21"/>
        <v>0.99422509755642585</v>
      </c>
      <c r="V65" s="378">
        <f t="shared" si="6"/>
        <v>152.92517487595336</v>
      </c>
      <c r="W65" s="397">
        <f t="shared" si="7"/>
        <v>91.25296210994189</v>
      </c>
      <c r="X65" s="153">
        <f t="shared" si="8"/>
        <v>45342</v>
      </c>
      <c r="Y65" s="380">
        <f t="shared" si="9"/>
        <v>91.25296210994189</v>
      </c>
      <c r="Z65" s="380">
        <f t="shared" si="10"/>
        <v>92.406949654236342</v>
      </c>
      <c r="AA65" s="381">
        <f t="shared" si="11"/>
        <v>96.803510826620567</v>
      </c>
      <c r="AB65" s="193">
        <f t="shared" si="12"/>
        <v>45342</v>
      </c>
      <c r="AC65" s="119">
        <f>IF(OR(t&lt;Tnet,NoTnet),'2023'!Resal_s+('2023'!Salim-'2023'!Resal_s)*(1-EXP(('2023'!Tnet_s-t)/'2023'!Tau_j)),Resal_s+(Salim-Resal_s)*(1-EXP((Tnet_s-t)/Tau_j)))*Salcycl</f>
        <v>4.5417373139065777E-2</v>
      </c>
      <c r="AD65" s="227">
        <f>(INDEX(Models!$BJ65:$BT65,,AH65)*(1-AF65)+INDEX(Models!$BJ65:$BT65,,AH65+1)*AF65-ERP_i)*AE65*Ramure*Pc/MaxiM</f>
        <v>1.4939703665014668E-4</v>
      </c>
      <c r="AE65" s="301">
        <f t="shared" si="13"/>
        <v>0.5</v>
      </c>
      <c r="AF65" s="173">
        <f t="shared" si="22"/>
        <v>0.99422509755642585</v>
      </c>
      <c r="AG65" s="801">
        <f t="shared" si="23"/>
        <v>0</v>
      </c>
      <c r="AH65" s="172">
        <f t="shared" si="14"/>
        <v>6</v>
      </c>
      <c r="AI65" s="221">
        <f t="shared" si="24"/>
        <v>0.99422509755642585</v>
      </c>
      <c r="AJ65" s="261" t="b">
        <f t="shared" si="15"/>
        <v>1</v>
      </c>
      <c r="AK65" s="261" t="b">
        <f t="shared" si="16"/>
        <v>0</v>
      </c>
      <c r="AL65" s="261"/>
      <c r="AM65" s="261"/>
      <c r="AN65" s="75"/>
    </row>
    <row r="66" spans="1:40" s="6" customFormat="1" ht="11.25" customHeight="1" x14ac:dyDescent="0.2">
      <c r="A66" s="56">
        <f t="shared" si="17"/>
        <v>45343</v>
      </c>
      <c r="B66" s="406">
        <f>'2023'!Wh/'2023'!Env_an*'2024'!Env_an</f>
        <v>99.302718930567977</v>
      </c>
      <c r="C66" s="385"/>
      <c r="D66" s="388">
        <f t="shared" si="0"/>
        <v>100.55988050800605</v>
      </c>
      <c r="E66" s="380">
        <f t="shared" si="18"/>
        <v>105.34790563480826</v>
      </c>
      <c r="F66" s="380">
        <f t="shared" si="1"/>
        <v>105.35502855347514</v>
      </c>
      <c r="G66" s="110">
        <f t="shared" si="19"/>
        <v>0.64321903494756194</v>
      </c>
      <c r="H66" s="409" t="b">
        <f>Wh_hp&gt;='2023'!Maxi_hp</f>
        <v>0</v>
      </c>
      <c r="I66" s="375">
        <f>IF(H66,Wh_hp,'2023'!Maxi_hp)</f>
        <v>105.36240150019904</v>
      </c>
      <c r="J66" s="85">
        <f>IF(H66,An,'2023'!An_max)</f>
        <v>2022</v>
      </c>
      <c r="K66" s="193">
        <f t="shared" si="20"/>
        <v>45343</v>
      </c>
      <c r="L66" s="143">
        <f>IF(t&lt;Tvie,1-EXP((T0-t)*PertePVj)+'2023'!Pspv,1-EXP((T0-t)*PertePVj)+Pspv)</f>
        <v>1.2501621631680226E-2</v>
      </c>
      <c r="M66" s="835"/>
      <c r="N66" s="835"/>
      <c r="O66" s="48">
        <f>IF(t&lt;Tnet,'2023'!Resal+('2023'!Salim-'2023'!Resal)*(1-EXP(('2023'!Tnet-t)/('2023'!Tau_j))),Resal+(Salim-Resal)*(1-EXP((Tnet-t)/(Tau_j))))*Salcycl</f>
        <v>4.544964703332631E-2</v>
      </c>
      <c r="P66" s="165">
        <f>(INDEX(Models!$BJ66:$BT66,,T66)*(1-R66)+INDEX(Models!$BJ66:$BT66,,T66+1)*R66-ERP_i)*Q66*Ramure*Pc/MaxiM</f>
        <v>1.3787076961838601E-4</v>
      </c>
      <c r="Q66" s="301">
        <f t="shared" si="2"/>
        <v>0.5</v>
      </c>
      <c r="R66" s="173">
        <f t="shared" si="3"/>
        <v>0.99444877580571245</v>
      </c>
      <c r="S66" s="801">
        <f t="shared" si="4"/>
        <v>0</v>
      </c>
      <c r="T66" s="172">
        <f t="shared" si="5"/>
        <v>6</v>
      </c>
      <c r="U66" s="247">
        <f t="shared" si="21"/>
        <v>0.99444877580571245</v>
      </c>
      <c r="V66" s="378">
        <f t="shared" si="6"/>
        <v>154.37313862203169</v>
      </c>
      <c r="W66" s="397">
        <f t="shared" si="7"/>
        <v>99.302718930567977</v>
      </c>
      <c r="X66" s="153">
        <f t="shared" si="8"/>
        <v>45343</v>
      </c>
      <c r="Y66" s="380">
        <f t="shared" si="9"/>
        <v>99.302718930567977</v>
      </c>
      <c r="Z66" s="380">
        <f t="shared" si="10"/>
        <v>100.55988050800605</v>
      </c>
      <c r="AA66" s="381">
        <f t="shared" si="11"/>
        <v>105.34790563480826</v>
      </c>
      <c r="AB66" s="193">
        <f t="shared" si="12"/>
        <v>45343</v>
      </c>
      <c r="AC66" s="119">
        <f>IF(OR(t&lt;Tnet,NoTnet),'2023'!Resal_s+('2023'!Salim-'2023'!Resal_s)*(1-EXP(('2023'!Tnet_s-t)/'2023'!Tau_j)),Resal_s+(Salim-Resal_s)*(1-EXP((Tnet_s-t)/Tau_j)))*Salcycl</f>
        <v>4.544964703332631E-2</v>
      </c>
      <c r="AD66" s="227">
        <f>(INDEX(Models!$BJ66:$BT66,,AH66)*(1-AF66)+INDEX(Models!$BJ66:$BT66,,AH66+1)*AF66-ERP_i)*AE66*Ramure*Pc/MaxiM</f>
        <v>1.3787076961838601E-4</v>
      </c>
      <c r="AE66" s="301">
        <f t="shared" si="13"/>
        <v>0.5</v>
      </c>
      <c r="AF66" s="173">
        <f t="shared" si="22"/>
        <v>0.99444877580571245</v>
      </c>
      <c r="AG66" s="801">
        <f t="shared" si="23"/>
        <v>0</v>
      </c>
      <c r="AH66" s="172">
        <f t="shared" si="14"/>
        <v>6</v>
      </c>
      <c r="AI66" s="221">
        <f t="shared" si="24"/>
        <v>0.99444877580571245</v>
      </c>
      <c r="AJ66" s="261" t="b">
        <f t="shared" si="15"/>
        <v>1</v>
      </c>
      <c r="AK66" s="261" t="b">
        <f t="shared" si="16"/>
        <v>0</v>
      </c>
      <c r="AL66" s="261"/>
      <c r="AM66" s="261"/>
      <c r="AN66" s="75"/>
    </row>
    <row r="67" spans="1:40" s="6" customFormat="1" ht="11.25" customHeight="1" x14ac:dyDescent="0.2">
      <c r="A67" s="56">
        <f t="shared" si="17"/>
        <v>45344</v>
      </c>
      <c r="B67" s="406">
        <f>'2023'!Wh/'2023'!Env_an*'2024'!Env_an</f>
        <v>132.93930882100005</v>
      </c>
      <c r="C67" s="385"/>
      <c r="D67" s="388">
        <f t="shared" si="0"/>
        <v>134.62414884475689</v>
      </c>
      <c r="E67" s="380">
        <f t="shared" si="18"/>
        <v>141.03886126536835</v>
      </c>
      <c r="F67" s="380">
        <f t="shared" si="1"/>
        <v>141.05310764323102</v>
      </c>
      <c r="G67" s="110">
        <f t="shared" si="19"/>
        <v>0.85312304692862773</v>
      </c>
      <c r="H67" s="409" t="b">
        <f>Wh_hp&gt;='2023'!Maxi_hp</f>
        <v>0</v>
      </c>
      <c r="I67" s="375">
        <f>IF(H67,Wh_hp,'2023'!Maxi_hp)</f>
        <v>141.0568740138535</v>
      </c>
      <c r="J67" s="85">
        <f>IF(H67,An,'2023'!An_max)</f>
        <v>2022</v>
      </c>
      <c r="K67" s="193">
        <f t="shared" si="20"/>
        <v>45344</v>
      </c>
      <c r="L67" s="143">
        <f>IF(t&lt;Tvie,1-EXP((T0-t)*PertePVj)+'2023'!Pspv,1-EXP((T0-t)*PertePVj)+Pspv)</f>
        <v>1.2515139655216778E-2</v>
      </c>
      <c r="M67" s="835"/>
      <c r="N67" s="835"/>
      <c r="O67" s="48">
        <f>IF(t&lt;Tnet,'2023'!Resal+('2023'!Salim-'2023'!Resal)*(1-EXP(('2023'!Tnet-t)/('2023'!Tau_j))),Resal+(Salim-Resal)*(1-EXP((Tnet-t)/(Tau_j))))*Salcycl</f>
        <v>4.5481878987536799E-2</v>
      </c>
      <c r="P67" s="165">
        <f>(INDEX(Models!$BJ67:$BT67,,T67)*(1-R67)+INDEX(Models!$BJ67:$BT67,,T67+1)*R67-ERP_i)*Q67*Ramure*Pc/MaxiM</f>
        <v>1.2781449908438053E-4</v>
      </c>
      <c r="Q67" s="301">
        <f t="shared" si="2"/>
        <v>0.5</v>
      </c>
      <c r="R67" s="173">
        <f t="shared" si="3"/>
        <v>0.99468162306478169</v>
      </c>
      <c r="S67" s="801">
        <f t="shared" si="4"/>
        <v>0</v>
      </c>
      <c r="T67" s="172">
        <f t="shared" si="5"/>
        <v>6</v>
      </c>
      <c r="U67" s="247">
        <f t="shared" si="21"/>
        <v>0.99468162306478169</v>
      </c>
      <c r="V67" s="378">
        <f t="shared" si="6"/>
        <v>155.82247396988038</v>
      </c>
      <c r="W67" s="397">
        <f t="shared" si="7"/>
        <v>132.93930882100005</v>
      </c>
      <c r="X67" s="153">
        <f t="shared" si="8"/>
        <v>45344</v>
      </c>
      <c r="Y67" s="380">
        <f t="shared" si="9"/>
        <v>132.93930882100005</v>
      </c>
      <c r="Z67" s="380">
        <f t="shared" si="10"/>
        <v>134.62414884475689</v>
      </c>
      <c r="AA67" s="381">
        <f t="shared" si="11"/>
        <v>141.03886126536835</v>
      </c>
      <c r="AB67" s="193">
        <f t="shared" si="12"/>
        <v>45344</v>
      </c>
      <c r="AC67" s="119">
        <f>IF(OR(t&lt;Tnet,NoTnet),'2023'!Resal_s+('2023'!Salim-'2023'!Resal_s)*(1-EXP(('2023'!Tnet_s-t)/'2023'!Tau_j)),Resal_s+(Salim-Resal_s)*(1-EXP((Tnet_s-t)/Tau_j)))*Salcycl</f>
        <v>4.5481878987536799E-2</v>
      </c>
      <c r="AD67" s="227">
        <f>(INDEX(Models!$BJ67:$BT67,,AH67)*(1-AF67)+INDEX(Models!$BJ67:$BT67,,AH67+1)*AF67-ERP_i)*AE67*Ramure*Pc/MaxiM</f>
        <v>1.2781449908438053E-4</v>
      </c>
      <c r="AE67" s="301">
        <f t="shared" si="13"/>
        <v>0.5</v>
      </c>
      <c r="AF67" s="173">
        <f t="shared" si="22"/>
        <v>0.99468162306478169</v>
      </c>
      <c r="AG67" s="801">
        <f t="shared" si="23"/>
        <v>0</v>
      </c>
      <c r="AH67" s="172">
        <f t="shared" si="14"/>
        <v>6</v>
      </c>
      <c r="AI67" s="221">
        <f t="shared" si="24"/>
        <v>0.99468162306478169</v>
      </c>
      <c r="AJ67" s="261" t="b">
        <f t="shared" si="15"/>
        <v>1</v>
      </c>
      <c r="AK67" s="261" t="b">
        <f t="shared" si="16"/>
        <v>0</v>
      </c>
      <c r="AL67" s="261"/>
      <c r="AM67" s="261"/>
      <c r="AN67" s="75"/>
    </row>
    <row r="68" spans="1:40" s="6" customFormat="1" ht="11.25" customHeight="1" x14ac:dyDescent="0.2">
      <c r="A68" s="56">
        <f t="shared" si="17"/>
        <v>45345</v>
      </c>
      <c r="B68" s="406">
        <f>'2023'!Wh/'2023'!Env_an*'2024'!Env_an</f>
        <v>137.37487935941999</v>
      </c>
      <c r="C68" s="385"/>
      <c r="D68" s="388">
        <f t="shared" si="0"/>
        <v>139.11783911698069</v>
      </c>
      <c r="E68" s="380">
        <f t="shared" si="18"/>
        <v>145.75158669970878</v>
      </c>
      <c r="F68" s="380">
        <f t="shared" si="1"/>
        <v>145.76582048429759</v>
      </c>
      <c r="G68" s="110">
        <f t="shared" si="19"/>
        <v>0.8734690442215981</v>
      </c>
      <c r="H68" s="409" t="b">
        <f>Wh_hp&gt;='2023'!Maxi_hp</f>
        <v>0</v>
      </c>
      <c r="I68" s="375">
        <f>IF(H68,Wh_hp,'2023'!Maxi_hp)</f>
        <v>145.76894661808049</v>
      </c>
      <c r="J68" s="85">
        <f>IF(H68,An,'2023'!An_max)</f>
        <v>2022</v>
      </c>
      <c r="K68" s="193">
        <f t="shared" si="20"/>
        <v>45345</v>
      </c>
      <c r="L68" s="143">
        <f>IF(t&lt;Tvie,1-EXP((T0-t)*PertePVj)+'2023'!Pspv,1-EXP((T0-t)*PertePVj)+Pspv)</f>
        <v>1.2528657493702799E-2</v>
      </c>
      <c r="M68" s="835"/>
      <c r="N68" s="835"/>
      <c r="O68" s="48">
        <f>IF(t&lt;Tnet,'2023'!Resal+('2023'!Salim-'2023'!Resal)*(1-EXP(('2023'!Tnet-t)/('2023'!Tau_j))),Resal+(Salim-Resal)*(1-EXP((Tnet-t)/(Tau_j))))*Salcycl</f>
        <v>4.5514067688302788E-2</v>
      </c>
      <c r="P68" s="165">
        <f>(INDEX(Models!$BJ68:$BT68,,T68)*(1-R68)+INDEX(Models!$BJ68:$BT68,,T68+1)*R68-ERP_i)*Q68*Ramure*Pc/MaxiM</f>
        <v>1.1918963697175003E-4</v>
      </c>
      <c r="Q68" s="301">
        <f t="shared" si="2"/>
        <v>0.5</v>
      </c>
      <c r="R68" s="173">
        <f t="shared" si="3"/>
        <v>0.99492400592515962</v>
      </c>
      <c r="S68" s="801">
        <f t="shared" si="4"/>
        <v>0</v>
      </c>
      <c r="T68" s="172">
        <f t="shared" si="5"/>
        <v>6</v>
      </c>
      <c r="U68" s="247">
        <f t="shared" si="21"/>
        <v>0.99492400592515962</v>
      </c>
      <c r="V68" s="378">
        <f t="shared" si="6"/>
        <v>157.27165231630988</v>
      </c>
      <c r="W68" s="397">
        <f t="shared" si="7"/>
        <v>137.37487935941999</v>
      </c>
      <c r="X68" s="153">
        <f t="shared" si="8"/>
        <v>45345</v>
      </c>
      <c r="Y68" s="380">
        <f t="shared" si="9"/>
        <v>137.37487935941999</v>
      </c>
      <c r="Z68" s="380">
        <f t="shared" si="10"/>
        <v>139.11783911698069</v>
      </c>
      <c r="AA68" s="381">
        <f t="shared" si="11"/>
        <v>145.75158669970878</v>
      </c>
      <c r="AB68" s="193">
        <f t="shared" si="12"/>
        <v>45345</v>
      </c>
      <c r="AC68" s="119">
        <f>IF(OR(t&lt;Tnet,NoTnet),'2023'!Resal_s+('2023'!Salim-'2023'!Resal_s)*(1-EXP(('2023'!Tnet_s-t)/'2023'!Tau_j)),Resal_s+(Salim-Resal_s)*(1-EXP((Tnet_s-t)/Tau_j)))*Salcycl</f>
        <v>4.5514067688302788E-2</v>
      </c>
      <c r="AD68" s="227">
        <f>(INDEX(Models!$BJ68:$BT68,,AH68)*(1-AF68)+INDEX(Models!$BJ68:$BT68,,AH68+1)*AF68-ERP_i)*AE68*Ramure*Pc/MaxiM</f>
        <v>1.1918963697175003E-4</v>
      </c>
      <c r="AE68" s="301">
        <f t="shared" si="13"/>
        <v>0.5</v>
      </c>
      <c r="AF68" s="173">
        <f t="shared" si="22"/>
        <v>0.99492400592515962</v>
      </c>
      <c r="AG68" s="801">
        <f t="shared" si="23"/>
        <v>0</v>
      </c>
      <c r="AH68" s="172">
        <f t="shared" si="14"/>
        <v>6</v>
      </c>
      <c r="AI68" s="221">
        <f t="shared" si="24"/>
        <v>0.99492400592515962</v>
      </c>
      <c r="AJ68" s="261" t="b">
        <f t="shared" si="15"/>
        <v>1</v>
      </c>
      <c r="AK68" s="261" t="b">
        <f t="shared" si="16"/>
        <v>0</v>
      </c>
      <c r="AL68" s="261"/>
      <c r="AM68" s="261"/>
      <c r="AN68" s="75"/>
    </row>
    <row r="69" spans="1:40" s="6" customFormat="1" ht="11.25" customHeight="1" x14ac:dyDescent="0.2">
      <c r="A69" s="56">
        <f t="shared" si="17"/>
        <v>45346</v>
      </c>
      <c r="B69" s="406">
        <f>'2023'!Wh/'2023'!Env_an*'2024'!Env_an</f>
        <v>87.078234600348011</v>
      </c>
      <c r="C69" s="385"/>
      <c r="D69" s="388">
        <f t="shared" si="0"/>
        <v>88.184256996822654</v>
      </c>
      <c r="E69" s="380">
        <f t="shared" si="18"/>
        <v>92.392379971345534</v>
      </c>
      <c r="F69" s="380">
        <f t="shared" si="1"/>
        <v>92.396054239682741</v>
      </c>
      <c r="G69" s="110">
        <f t="shared" si="19"/>
        <v>0.54859133632954471</v>
      </c>
      <c r="H69" s="409" t="b">
        <f>Wh_hp&gt;='2023'!Maxi_hp</f>
        <v>0</v>
      </c>
      <c r="I69" s="375">
        <f>IF(H69,Wh_hp,'2023'!Maxi_hp)</f>
        <v>92.402693718208255</v>
      </c>
      <c r="J69" s="85">
        <f>IF(H69,An,'2023'!An_max)</f>
        <v>2022</v>
      </c>
      <c r="K69" s="193">
        <f t="shared" si="20"/>
        <v>45346</v>
      </c>
      <c r="L69" s="143">
        <f>IF(t&lt;Tvie,1-EXP((T0-t)*PertePVj)+'2023'!Pspv,1-EXP((T0-t)*PertePVj)+Pspv)</f>
        <v>1.2542175147141066E-2</v>
      </c>
      <c r="M69" s="835"/>
      <c r="N69" s="835"/>
      <c r="O69" s="48">
        <f>IF(t&lt;Tnet,'2023'!Resal+('2023'!Salim-'2023'!Resal)*(1-EXP(('2023'!Tnet-t)/('2023'!Tau_j))),Resal+(Salim-Resal)*(1-EXP((Tnet-t)/(Tau_j))))*Salcycl</f>
        <v>4.5546212532115597E-2</v>
      </c>
      <c r="P69" s="165">
        <f>(INDEX(Models!$BJ69:$BT69,,T69)*(1-R69)+INDEX(Models!$BJ69:$BT69,,T69+1)*R69-ERP_i)*Q69*Ramure*Pc/MaxiM</f>
        <v>1.1195933347106714E-4</v>
      </c>
      <c r="Q69" s="301">
        <f t="shared" si="2"/>
        <v>0.5</v>
      </c>
      <c r="R69" s="173">
        <f t="shared" si="3"/>
        <v>0.99517630485237785</v>
      </c>
      <c r="S69" s="801">
        <f t="shared" si="4"/>
        <v>0</v>
      </c>
      <c r="T69" s="172">
        <f t="shared" si="5"/>
        <v>6</v>
      </c>
      <c r="U69" s="247">
        <f t="shared" si="21"/>
        <v>0.99517630485237785</v>
      </c>
      <c r="V69" s="378">
        <f t="shared" si="6"/>
        <v>158.71914512730021</v>
      </c>
      <c r="W69" s="397">
        <f t="shared" si="7"/>
        <v>87.078234600348011</v>
      </c>
      <c r="X69" s="153">
        <f t="shared" si="8"/>
        <v>45346</v>
      </c>
      <c r="Y69" s="380">
        <f t="shared" si="9"/>
        <v>87.078234600348011</v>
      </c>
      <c r="Z69" s="380">
        <f t="shared" si="10"/>
        <v>88.184256996822654</v>
      </c>
      <c r="AA69" s="381">
        <f t="shared" si="11"/>
        <v>92.392379971345534</v>
      </c>
      <c r="AB69" s="193">
        <f t="shared" si="12"/>
        <v>45346</v>
      </c>
      <c r="AC69" s="119">
        <f>IF(OR(t&lt;Tnet,NoTnet),'2023'!Resal_s+('2023'!Salim-'2023'!Resal_s)*(1-EXP(('2023'!Tnet_s-t)/'2023'!Tau_j)),Resal_s+(Salim-Resal_s)*(1-EXP((Tnet_s-t)/Tau_j)))*Salcycl</f>
        <v>4.5546212532115597E-2</v>
      </c>
      <c r="AD69" s="227">
        <f>(INDEX(Models!$BJ69:$BT69,,AH69)*(1-AF69)+INDEX(Models!$BJ69:$BT69,,AH69+1)*AF69-ERP_i)*AE69*Ramure*Pc/MaxiM</f>
        <v>1.1195933347106714E-4</v>
      </c>
      <c r="AE69" s="301">
        <f t="shared" si="13"/>
        <v>0.5</v>
      </c>
      <c r="AF69" s="173">
        <f t="shared" si="22"/>
        <v>0.99517630485237785</v>
      </c>
      <c r="AG69" s="801">
        <f t="shared" si="23"/>
        <v>0</v>
      </c>
      <c r="AH69" s="172">
        <f t="shared" si="14"/>
        <v>6</v>
      </c>
      <c r="AI69" s="221">
        <f t="shared" si="24"/>
        <v>0.99517630485237785</v>
      </c>
      <c r="AJ69" s="261" t="b">
        <f t="shared" si="15"/>
        <v>1</v>
      </c>
      <c r="AK69" s="261" t="b">
        <f t="shared" si="16"/>
        <v>0</v>
      </c>
      <c r="AL69" s="261"/>
      <c r="AM69" s="261"/>
      <c r="AN69" s="75"/>
    </row>
    <row r="70" spans="1:40" s="6" customFormat="1" ht="11.25" customHeight="1" x14ac:dyDescent="0.2">
      <c r="A70" s="56">
        <f t="shared" si="17"/>
        <v>45347</v>
      </c>
      <c r="B70" s="406">
        <f>'2023'!Wh/'2023'!Env_an*'2024'!Env_an</f>
        <v>123.33844772740423</v>
      </c>
      <c r="C70" s="385"/>
      <c r="D70" s="388">
        <f t="shared" si="0"/>
        <v>124.90673833960525</v>
      </c>
      <c r="E70" s="380">
        <f t="shared" si="18"/>
        <v>130.87164733253331</v>
      </c>
      <c r="F70" s="380">
        <f t="shared" si="1"/>
        <v>130.88097160711158</v>
      </c>
      <c r="G70" s="110">
        <f t="shared" si="19"/>
        <v>0.77005190404517543</v>
      </c>
      <c r="H70" s="409" t="b">
        <f>Wh_hp&gt;='2023'!Maxi_hp</f>
        <v>0</v>
      </c>
      <c r="I70" s="375">
        <f>IF(H70,Wh_hp,'2023'!Maxi_hp)</f>
        <v>130.88551017631676</v>
      </c>
      <c r="J70" s="85">
        <f>IF(H70,An,'2023'!An_max)</f>
        <v>2022</v>
      </c>
      <c r="K70" s="193">
        <f t="shared" si="20"/>
        <v>45347</v>
      </c>
      <c r="L70" s="143">
        <f>IF(t&lt;Tvie,1-EXP((T0-t)*PertePVj)+'2023'!Pspv,1-EXP((T0-t)*PertePVj)+Pspv)</f>
        <v>1.255569261553402E-2</v>
      </c>
      <c r="M70" s="835"/>
      <c r="N70" s="835"/>
      <c r="O70" s="48">
        <f>IF(t&lt;Tnet,'2023'!Resal+('2023'!Salim-'2023'!Resal)*(1-EXP(('2023'!Tnet-t)/('2023'!Tau_j))),Resal+(Salim-Resal)*(1-EXP((Tnet-t)/(Tau_j))))*Salcycl</f>
        <v>4.5578313672263476E-2</v>
      </c>
      <c r="P70" s="165">
        <f>(INDEX(Models!$BJ70:$BT70,,T70)*(1-R70)+INDEX(Models!$BJ70:$BT70,,T70+1)*R70-ERP_i)*Q70*Ramure*Pc/MaxiM</f>
        <v>1.0608792959879932E-4</v>
      </c>
      <c r="Q70" s="301">
        <f t="shared" si="2"/>
        <v>0.5</v>
      </c>
      <c r="R70" s="173">
        <f t="shared" si="3"/>
        <v>0.99543891464451395</v>
      </c>
      <c r="S70" s="801">
        <f t="shared" si="4"/>
        <v>0</v>
      </c>
      <c r="T70" s="172">
        <f t="shared" si="5"/>
        <v>6</v>
      </c>
      <c r="U70" s="247">
        <f t="shared" si="21"/>
        <v>0.99543891464451395</v>
      </c>
      <c r="V70" s="378">
        <f t="shared" si="6"/>
        <v>160.16342402352512</v>
      </c>
      <c r="W70" s="397">
        <f t="shared" si="7"/>
        <v>123.33844772740423</v>
      </c>
      <c r="X70" s="153">
        <f t="shared" si="8"/>
        <v>45347</v>
      </c>
      <c r="Y70" s="380">
        <f t="shared" si="9"/>
        <v>123.33844772740424</v>
      </c>
      <c r="Z70" s="380">
        <f t="shared" si="10"/>
        <v>124.90673833960527</v>
      </c>
      <c r="AA70" s="381">
        <f t="shared" si="11"/>
        <v>130.87164733253331</v>
      </c>
      <c r="AB70" s="193">
        <f t="shared" si="12"/>
        <v>45347</v>
      </c>
      <c r="AC70" s="119">
        <f>IF(OR(t&lt;Tnet,NoTnet),'2023'!Resal_s+('2023'!Salim-'2023'!Resal_s)*(1-EXP(('2023'!Tnet_s-t)/'2023'!Tau_j)),Resal_s+(Salim-Resal_s)*(1-EXP((Tnet_s-t)/Tau_j)))*Salcycl</f>
        <v>4.5578313672263476E-2</v>
      </c>
      <c r="AD70" s="227">
        <f>(INDEX(Models!$BJ70:$BT70,,AH70)*(1-AF70)+INDEX(Models!$BJ70:$BT70,,AH70+1)*AF70-ERP_i)*AE70*Ramure*Pc/MaxiM</f>
        <v>1.0608792959879932E-4</v>
      </c>
      <c r="AE70" s="301">
        <f t="shared" si="13"/>
        <v>0.5</v>
      </c>
      <c r="AF70" s="173">
        <f t="shared" si="22"/>
        <v>0.99543891464451395</v>
      </c>
      <c r="AG70" s="801">
        <f t="shared" si="23"/>
        <v>0</v>
      </c>
      <c r="AH70" s="172">
        <f t="shared" si="14"/>
        <v>6</v>
      </c>
      <c r="AI70" s="221">
        <f t="shared" si="24"/>
        <v>0.99543891464451395</v>
      </c>
      <c r="AJ70" s="261" t="b">
        <f t="shared" si="15"/>
        <v>1</v>
      </c>
      <c r="AK70" s="261" t="b">
        <f t="shared" si="16"/>
        <v>0</v>
      </c>
      <c r="AL70" s="261"/>
      <c r="AM70" s="261"/>
      <c r="AN70" s="75"/>
    </row>
    <row r="71" spans="1:40" s="6" customFormat="1" ht="11.25" x14ac:dyDescent="0.2">
      <c r="A71" s="56">
        <f t="shared" si="17"/>
        <v>45348</v>
      </c>
      <c r="B71" s="406">
        <f>'2023'!Wh/'2023'!Env_an*'2024'!Env_an</f>
        <v>163.67018665280122</v>
      </c>
      <c r="C71" s="385"/>
      <c r="D71" s="388">
        <f t="shared" si="0"/>
        <v>165.75357816828955</v>
      </c>
      <c r="E71" s="380">
        <f t="shared" si="18"/>
        <v>173.67495760209587</v>
      </c>
      <c r="F71" s="380">
        <f t="shared" si="1"/>
        <v>173.69259452617035</v>
      </c>
      <c r="G71" s="110">
        <f t="shared" si="19"/>
        <v>1.0127920050517856</v>
      </c>
      <c r="H71" s="409" t="b">
        <f>Wh_hp&gt;='2023'!Maxi_hp</f>
        <v>1</v>
      </c>
      <c r="I71" s="375">
        <f>IF(H71,Wh_hp,'2023'!Maxi_hp)</f>
        <v>173.69259452617035</v>
      </c>
      <c r="J71" s="85">
        <f>IF(H71,An,'2023'!An_max)</f>
        <v>2024</v>
      </c>
      <c r="K71" s="193">
        <f t="shared" si="20"/>
        <v>45348</v>
      </c>
      <c r="L71" s="143">
        <f>IF(t&lt;Tvie,1-EXP((T0-t)*PertePVj)+'2023'!Pspv,1-EXP((T0-t)*PertePVj)+Pspv)</f>
        <v>1.2569209898884215E-2</v>
      </c>
      <c r="M71" s="835"/>
      <c r="N71" s="835"/>
      <c r="O71" s="48">
        <f>IF(t&lt;Tnet,'2023'!Resal+('2023'!Salim-'2023'!Resal)*(1-EXP(('2023'!Tnet-t)/('2023'!Tau_j))),Resal+(Salim-Resal)*(1-EXP((Tnet-t)/(Tau_j))))*Salcycl</f>
        <v>4.5610372060403089E-2</v>
      </c>
      <c r="P71" s="165">
        <f>(INDEX(Models!$BJ71:$BT71,,T71)*(1-R71)+INDEX(Models!$BJ71:$BT71,,T71+1)*R71-ERP_i)*Q71*Ramure*Pc/MaxiM</f>
        <v>1.0154102495040131E-4</v>
      </c>
      <c r="Q71" s="301">
        <f t="shared" si="2"/>
        <v>0.5</v>
      </c>
      <c r="R71" s="173">
        <f t="shared" si="3"/>
        <v>0.99571224490007926</v>
      </c>
      <c r="S71" s="801">
        <f t="shared" si="4"/>
        <v>0</v>
      </c>
      <c r="T71" s="172">
        <f t="shared" si="5"/>
        <v>6</v>
      </c>
      <c r="U71" s="247">
        <f t="shared" si="21"/>
        <v>0.99571224490007926</v>
      </c>
      <c r="V71" s="378">
        <f t="shared" si="6"/>
        <v>161.60296076234576</v>
      </c>
      <c r="W71" s="397">
        <f t="shared" si="7"/>
        <v>163.67018665280122</v>
      </c>
      <c r="X71" s="153">
        <f t="shared" si="8"/>
        <v>45348</v>
      </c>
      <c r="Y71" s="380">
        <f t="shared" si="9"/>
        <v>163.67018665280122</v>
      </c>
      <c r="Z71" s="380">
        <f t="shared" si="10"/>
        <v>165.75357816828955</v>
      </c>
      <c r="AA71" s="381">
        <f t="shared" si="11"/>
        <v>173.67495760209587</v>
      </c>
      <c r="AB71" s="193">
        <f t="shared" si="12"/>
        <v>45348</v>
      </c>
      <c r="AC71" s="119">
        <f>IF(OR(t&lt;Tnet,NoTnet),'2023'!Resal_s+('2023'!Salim-'2023'!Resal_s)*(1-EXP(('2023'!Tnet_s-t)/'2023'!Tau_j)),Resal_s+(Salim-Resal_s)*(1-EXP((Tnet_s-t)/Tau_j)))*Salcycl</f>
        <v>4.5610372060403089E-2</v>
      </c>
      <c r="AD71" s="227">
        <f>(INDEX(Models!$BJ71:$BT71,,AH71)*(1-AF71)+INDEX(Models!$BJ71:$BT71,,AH71+1)*AF71-ERP_i)*AE71*Ramure*Pc/MaxiM</f>
        <v>1.0154102495040131E-4</v>
      </c>
      <c r="AE71" s="301">
        <f t="shared" si="13"/>
        <v>0.5</v>
      </c>
      <c r="AF71" s="173">
        <f t="shared" si="22"/>
        <v>0.99571224490007926</v>
      </c>
      <c r="AG71" s="801">
        <f t="shared" si="23"/>
        <v>0</v>
      </c>
      <c r="AH71" s="172">
        <f t="shared" si="14"/>
        <v>6</v>
      </c>
      <c r="AI71" s="221">
        <f t="shared" si="24"/>
        <v>0.99571224490007926</v>
      </c>
      <c r="AJ71" s="261" t="b">
        <f t="shared" si="15"/>
        <v>1</v>
      </c>
      <c r="AK71" s="261" t="b">
        <f t="shared" si="16"/>
        <v>0</v>
      </c>
      <c r="AL71" s="261"/>
      <c r="AM71" s="261"/>
      <c r="AN71" s="75"/>
    </row>
    <row r="72" spans="1:40" s="6" customFormat="1" ht="11.25" customHeight="1" x14ac:dyDescent="0.2">
      <c r="A72" s="56">
        <f t="shared" si="17"/>
        <v>45349</v>
      </c>
      <c r="B72" s="406">
        <f>'2023'!Wh/'2023'!Env_an*'2024'!Env_an</f>
        <v>108.89931150847325</v>
      </c>
      <c r="C72" s="385"/>
      <c r="D72" s="388">
        <f t="shared" si="0"/>
        <v>110.28702301034569</v>
      </c>
      <c r="E72" s="380">
        <f t="shared" si="18"/>
        <v>115.56152724610229</v>
      </c>
      <c r="F72" s="380">
        <f t="shared" si="1"/>
        <v>115.56750060675431</v>
      </c>
      <c r="G72" s="110">
        <f t="shared" si="19"/>
        <v>0.66791435602258709</v>
      </c>
      <c r="H72" s="409" t="b">
        <f>Wh_hp&gt;='2023'!Maxi_hp</f>
        <v>0</v>
      </c>
      <c r="I72" s="375">
        <f>IF(H72,Wh_hp,'2023'!Maxi_hp)</f>
        <v>115.57286305662481</v>
      </c>
      <c r="J72" s="85">
        <f>IF(H72,An,'2023'!An_max)</f>
        <v>2022</v>
      </c>
      <c r="K72" s="193">
        <f t="shared" si="20"/>
        <v>45349</v>
      </c>
      <c r="L72" s="143">
        <f>IF(t&lt;Tvie,1-EXP((T0-t)*PertePVj)+'2023'!Pspv,1-EXP((T0-t)*PertePVj)+Pspv)</f>
        <v>1.2582726997194094E-2</v>
      </c>
      <c r="M72" s="835"/>
      <c r="N72" s="835"/>
      <c r="O72" s="48">
        <f>IF(t&lt;Tnet,'2023'!Resal+('2023'!Salim-'2023'!Resal)*(1-EXP(('2023'!Tnet-t)/('2023'!Tau_j))),Resal+(Salim-Resal)*(1-EXP((Tnet-t)/(Tau_j))))*Salcycl</f>
        <v>4.5642389482477987E-2</v>
      </c>
      <c r="P72" s="165">
        <f>(INDEX(Models!$BJ72:$BT72,,T72)*(1-R72)+INDEX(Models!$BJ72:$BT72,,T72+1)*R72-ERP_i)*Q72*Ramure*Pc/MaxiM</f>
        <v>9.8332604739656077E-5</v>
      </c>
      <c r="Q72" s="301">
        <f t="shared" si="2"/>
        <v>0.5</v>
      </c>
      <c r="R72" s="173">
        <f t="shared" si="3"/>
        <v>0.99599672049488941</v>
      </c>
      <c r="S72" s="801">
        <f t="shared" si="4"/>
        <v>0</v>
      </c>
      <c r="T72" s="172">
        <f t="shared" si="5"/>
        <v>6</v>
      </c>
      <c r="U72" s="247">
        <f t="shared" si="21"/>
        <v>0.99599672049488941</v>
      </c>
      <c r="V72" s="378">
        <f t="shared" si="6"/>
        <v>163.03621955670292</v>
      </c>
      <c r="W72" s="397">
        <f t="shared" si="7"/>
        <v>108.89931150847325</v>
      </c>
      <c r="X72" s="153">
        <f t="shared" si="8"/>
        <v>45349</v>
      </c>
      <c r="Y72" s="380">
        <f t="shared" si="9"/>
        <v>108.89931150847325</v>
      </c>
      <c r="Z72" s="380">
        <f t="shared" si="10"/>
        <v>110.28702301034569</v>
      </c>
      <c r="AA72" s="381">
        <f t="shared" si="11"/>
        <v>115.56152724610229</v>
      </c>
      <c r="AB72" s="193">
        <f t="shared" si="12"/>
        <v>45349</v>
      </c>
      <c r="AC72" s="119">
        <f>IF(OR(t&lt;Tnet,NoTnet),'2023'!Resal_s+('2023'!Salim-'2023'!Resal_s)*(1-EXP(('2023'!Tnet_s-t)/'2023'!Tau_j)),Resal_s+(Salim-Resal_s)*(1-EXP((Tnet_s-t)/Tau_j)))*Salcycl</f>
        <v>4.5642389482477987E-2</v>
      </c>
      <c r="AD72" s="227">
        <f>(INDEX(Models!$BJ72:$BT72,,AH72)*(1-AF72)+INDEX(Models!$BJ72:$BT72,,AH72+1)*AF72-ERP_i)*AE72*Ramure*Pc/MaxiM</f>
        <v>9.8332604739656077E-5</v>
      </c>
      <c r="AE72" s="301">
        <f t="shared" si="13"/>
        <v>0.5</v>
      </c>
      <c r="AF72" s="173">
        <f t="shared" si="22"/>
        <v>0.99599672049488941</v>
      </c>
      <c r="AG72" s="801">
        <f t="shared" si="23"/>
        <v>0</v>
      </c>
      <c r="AH72" s="172">
        <f t="shared" si="14"/>
        <v>6</v>
      </c>
      <c r="AI72" s="221">
        <f t="shared" si="24"/>
        <v>0.99599672049488941</v>
      </c>
      <c r="AJ72" s="261" t="b">
        <f t="shared" si="15"/>
        <v>1</v>
      </c>
      <c r="AK72" s="261" t="b">
        <f t="shared" si="16"/>
        <v>0</v>
      </c>
      <c r="AL72" s="261"/>
      <c r="AM72" s="261"/>
      <c r="AN72" s="75"/>
    </row>
    <row r="73" spans="1:40" s="6" customFormat="1" ht="11.25" customHeight="1" x14ac:dyDescent="0.2">
      <c r="A73" s="56">
        <f t="shared" si="17"/>
        <v>45350</v>
      </c>
      <c r="B73" s="406">
        <f>'2023'!Wh/'2023'!Env_an*'2024'!Env_an</f>
        <v>147.74153092345097</v>
      </c>
      <c r="C73" s="385"/>
      <c r="D73" s="388">
        <f t="shared" si="0"/>
        <v>149.62625978714058</v>
      </c>
      <c r="E73" s="380">
        <f t="shared" si="18"/>
        <v>156.78742649495004</v>
      </c>
      <c r="F73" s="380">
        <f t="shared" si="1"/>
        <v>156.80015855735851</v>
      </c>
      <c r="G73" s="110">
        <f t="shared" si="19"/>
        <v>0.89832043179146981</v>
      </c>
      <c r="H73" s="409" t="b">
        <f>Wh_hp&gt;='2023'!Maxi_hp</f>
        <v>0</v>
      </c>
      <c r="I73" s="375">
        <f>IF(H73,Wh_hp,'2023'!Maxi_hp)</f>
        <v>156.80231017233547</v>
      </c>
      <c r="J73" s="85">
        <f>IF(H73,An,'2023'!An_max)</f>
        <v>2022</v>
      </c>
      <c r="K73" s="193">
        <f t="shared" si="20"/>
        <v>45350</v>
      </c>
      <c r="L73" s="143">
        <f>IF(t&lt;Tvie,1-EXP((T0-t)*PertePVj)+'2023'!Pspv,1-EXP((T0-t)*PertePVj)+Pspv)</f>
        <v>1.2596243910466209E-2</v>
      </c>
      <c r="M73" s="835"/>
      <c r="N73" s="835"/>
      <c r="O73" s="48">
        <f>IF(t&lt;Tnet,'2023'!Resal+('2023'!Salim-'2023'!Resal)*(1-EXP(('2023'!Tnet-t)/('2023'!Tau_j))),Resal+(Salim-Resal)*(1-EXP((Tnet-t)/(Tau_j))))*Salcycl</f>
        <v>4.567436858873454E-2</v>
      </c>
      <c r="P73" s="165">
        <f>(INDEX(Models!$BJ73:$BT73,,T73)*(1-R73)+INDEX(Models!$BJ73:$BT73,,T73+1)*R73-ERP_i)*Q73*Ramure*Pc/MaxiM</f>
        <v>9.4996470623060782E-5</v>
      </c>
      <c r="Q73" s="301">
        <f t="shared" si="2"/>
        <v>0.5</v>
      </c>
      <c r="R73" s="173">
        <f t="shared" si="3"/>
        <v>0.99629278206747707</v>
      </c>
      <c r="S73" s="801">
        <f t="shared" si="4"/>
        <v>0</v>
      </c>
      <c r="T73" s="172">
        <f t="shared" si="5"/>
        <v>6</v>
      </c>
      <c r="U73" s="247">
        <f t="shared" si="21"/>
        <v>0.99629278206747707</v>
      </c>
      <c r="V73" s="378">
        <f t="shared" si="6"/>
        <v>164.46190814954005</v>
      </c>
      <c r="W73" s="397">
        <f t="shared" si="7"/>
        <v>147.74153092345097</v>
      </c>
      <c r="X73" s="153">
        <f t="shared" si="8"/>
        <v>45350</v>
      </c>
      <c r="Y73" s="380">
        <f t="shared" si="9"/>
        <v>147.74153092345097</v>
      </c>
      <c r="Z73" s="380">
        <f t="shared" si="10"/>
        <v>149.62625978714058</v>
      </c>
      <c r="AA73" s="381">
        <f t="shared" si="11"/>
        <v>156.78742649495004</v>
      </c>
      <c r="AB73" s="193">
        <f t="shared" si="12"/>
        <v>45350</v>
      </c>
      <c r="AC73" s="119">
        <f>IF(OR(t&lt;Tnet,NoTnet),'2023'!Resal_s+('2023'!Salim-'2023'!Resal_s)*(1-EXP(('2023'!Tnet_s-t)/'2023'!Tau_j)),Resal_s+(Salim-Resal_s)*(1-EXP((Tnet_s-t)/Tau_j)))*Salcycl</f>
        <v>4.567436858873454E-2</v>
      </c>
      <c r="AD73" s="227">
        <f>(INDEX(Models!$BJ73:$BT73,,AH73)*(1-AF73)+INDEX(Models!$BJ73:$BT73,,AH73+1)*AF73-ERP_i)*AE73*Ramure*Pc/MaxiM</f>
        <v>9.4996470623060782E-5</v>
      </c>
      <c r="AE73" s="301">
        <f t="shared" si="13"/>
        <v>0.5</v>
      </c>
      <c r="AF73" s="173">
        <f t="shared" si="22"/>
        <v>0.99629278206747707</v>
      </c>
      <c r="AG73" s="801">
        <f t="shared" si="23"/>
        <v>0</v>
      </c>
      <c r="AH73" s="172">
        <f t="shared" si="14"/>
        <v>6</v>
      </c>
      <c r="AI73" s="221">
        <f t="shared" si="24"/>
        <v>0.99629278206747707</v>
      </c>
      <c r="AJ73" s="261" t="b">
        <f t="shared" si="15"/>
        <v>1</v>
      </c>
      <c r="AK73" s="261" t="b">
        <f t="shared" si="16"/>
        <v>0</v>
      </c>
      <c r="AL73" s="261"/>
      <c r="AM73" s="261"/>
      <c r="AN73" s="75"/>
    </row>
    <row r="74" spans="1:40" s="6" customFormat="1" ht="11.25" customHeight="1" x14ac:dyDescent="0.2">
      <c r="A74" s="56">
        <f t="shared" si="17"/>
        <v>45351</v>
      </c>
      <c r="B74" s="406">
        <f>'2023'!Wh/'2023'!Env_an*'2024'!Env_an</f>
        <v>165.99017449470247</v>
      </c>
      <c r="C74" s="385"/>
      <c r="D74" s="388">
        <f t="shared" si="0"/>
        <v>168.11000137298791</v>
      </c>
      <c r="E74" s="380">
        <f t="shared" si="18"/>
        <v>176.16170330851335</v>
      </c>
      <c r="F74" s="380">
        <f t="shared" si="1"/>
        <v>176.17782993937288</v>
      </c>
      <c r="G74" s="110">
        <f t="shared" si="19"/>
        <v>1.0006732370823297</v>
      </c>
      <c r="H74" s="409" t="b">
        <f>Wh_hp&gt;='2023'!Maxi_hp</f>
        <v>1</v>
      </c>
      <c r="I74" s="375">
        <f>IF(H74,Wh_hp,'2023'!Maxi_hp)</f>
        <v>176.17782993937288</v>
      </c>
      <c r="J74" s="85">
        <f>IF(H74,An,'2023'!An_max)</f>
        <v>2024</v>
      </c>
      <c r="K74" s="193">
        <f t="shared" si="20"/>
        <v>45351</v>
      </c>
      <c r="L74" s="143">
        <f>IF(t&lt;Tvie,1-EXP((T0-t)*PertePVj)+'2023'!Pspv,1-EXP((T0-t)*PertePVj)+Pspv)</f>
        <v>1.2609760638703116E-2</v>
      </c>
      <c r="M74" s="835"/>
      <c r="N74" s="835"/>
      <c r="O74" s="48">
        <f>IF(t&lt;Tnet,'2023'!Resal+('2023'!Salim-'2023'!Resal)*(1-EXP(('2023'!Tnet-t)/('2023'!Tau_j))),Resal+(Salim-Resal)*(1-EXP((Tnet-t)/(Tau_j))))*Salcycl</f>
        <v>4.5706312917651835E-2</v>
      </c>
      <c r="P74" s="165">
        <f>(INDEX(Models!$BJ74:$BT74,,T74)*(1-R74)+INDEX(Models!$BJ74:$BT74,,T74+1)*R74-ERP_i)*Q74*Ramure*Pc/MaxiM</f>
        <v>9.1536096596779701E-5</v>
      </c>
      <c r="Q74" s="301">
        <f t="shared" si="2"/>
        <v>0.5</v>
      </c>
      <c r="R74" s="173">
        <f t="shared" si="3"/>
        <v>0.99660088651253587</v>
      </c>
      <c r="S74" s="801">
        <f t="shared" si="4"/>
        <v>0</v>
      </c>
      <c r="T74" s="172">
        <f t="shared" si="5"/>
        <v>6</v>
      </c>
      <c r="U74" s="247">
        <f t="shared" si="21"/>
        <v>0.99660088651253587</v>
      </c>
      <c r="V74" s="378">
        <f t="shared" si="6"/>
        <v>165.87849893805614</v>
      </c>
      <c r="W74" s="397">
        <f t="shared" si="7"/>
        <v>165.99017449470247</v>
      </c>
      <c r="X74" s="153">
        <f t="shared" si="8"/>
        <v>45351</v>
      </c>
      <c r="Y74" s="380">
        <f t="shared" si="9"/>
        <v>165.99017449470247</v>
      </c>
      <c r="Z74" s="380">
        <f t="shared" si="10"/>
        <v>168.11000137298791</v>
      </c>
      <c r="AA74" s="381">
        <f t="shared" si="11"/>
        <v>176.16170330851335</v>
      </c>
      <c r="AB74" s="193">
        <f t="shared" si="12"/>
        <v>45351</v>
      </c>
      <c r="AC74" s="119">
        <f>IF(OR(t&lt;Tnet,NoTnet),'2023'!Resal_s+('2023'!Salim-'2023'!Resal_s)*(1-EXP(('2023'!Tnet_s-t)/'2023'!Tau_j)),Resal_s+(Salim-Resal_s)*(1-EXP((Tnet_s-t)/Tau_j)))*Salcycl</f>
        <v>4.5706312917651835E-2</v>
      </c>
      <c r="AD74" s="227">
        <f>(INDEX(Models!$BJ74:$BT74,,AH74)*(1-AF74)+INDEX(Models!$BJ74:$BT74,,AH74+1)*AF74-ERP_i)*AE74*Ramure*Pc/MaxiM</f>
        <v>9.1536096596779701E-5</v>
      </c>
      <c r="AE74" s="301">
        <f t="shared" si="13"/>
        <v>0.5</v>
      </c>
      <c r="AF74" s="173">
        <f t="shared" si="22"/>
        <v>0.99660088651253587</v>
      </c>
      <c r="AG74" s="801">
        <f t="shared" si="23"/>
        <v>0</v>
      </c>
      <c r="AH74" s="172">
        <f t="shared" si="14"/>
        <v>6</v>
      </c>
      <c r="AI74" s="221">
        <f t="shared" si="24"/>
        <v>0.99660088651253587</v>
      </c>
      <c r="AJ74" s="261" t="b">
        <f t="shared" si="15"/>
        <v>1</v>
      </c>
      <c r="AK74" s="261" t="b">
        <f t="shared" si="16"/>
        <v>0</v>
      </c>
      <c r="AL74" s="261"/>
      <c r="AM74" s="261"/>
      <c r="AN74" s="75"/>
    </row>
    <row r="75" spans="1:40" s="6" customFormat="1" ht="11.25" customHeight="1" x14ac:dyDescent="0.2">
      <c r="A75" s="56">
        <f t="shared" si="17"/>
        <v>45352</v>
      </c>
      <c r="B75" s="406">
        <f>'2023'!Wh/'2023'!Env_an*'2024'!Env_an</f>
        <v>50.800630983524506</v>
      </c>
      <c r="C75" s="385"/>
      <c r="D75" s="388">
        <f t="shared" si="0"/>
        <v>51.450099855031382</v>
      </c>
      <c r="E75" s="380">
        <f t="shared" si="18"/>
        <v>53.916127949491532</v>
      </c>
      <c r="F75" s="380">
        <f t="shared" si="1"/>
        <v>53.91615286703324</v>
      </c>
      <c r="G75" s="110">
        <f t="shared" si="19"/>
        <v>0.30365154636051528</v>
      </c>
      <c r="H75" s="409" t="b">
        <f>Wh_hp&gt;='2023'!Maxi_hp</f>
        <v>0</v>
      </c>
      <c r="I75" s="375">
        <f>IF(H75,Wh_hp,'2023'!Maxi_hp)</f>
        <v>53.920842364129726</v>
      </c>
      <c r="J75" s="85">
        <f>IF(H75,An,'2023'!An_max)</f>
        <v>2022</v>
      </c>
      <c r="K75" s="193">
        <f t="shared" si="20"/>
        <v>45352</v>
      </c>
      <c r="L75" s="143">
        <f>IF(t&lt;Tvie,1-EXP((T0-t)*PertePVj)+'2023'!Pspv,1-EXP((T0-t)*PertePVj)+Pspv)</f>
        <v>1.2623277181907477E-2</v>
      </c>
      <c r="M75" s="835"/>
      <c r="N75" s="835"/>
      <c r="O75" s="48">
        <f>IF(t&lt;Tnet,'2023'!Resal+('2023'!Salim-'2023'!Resal)*(1-EXP(('2023'!Tnet-t)/('2023'!Tau_j))),Resal+(Salim-Resal)*(1-EXP((Tnet-t)/(Tau_j))))*Salcycl</f>
        <v>4.5738226913667065E-2</v>
      </c>
      <c r="P75" s="165">
        <f>(INDEX(Models!$BJ75:$BT75,,T75)*(1-R75)+INDEX(Models!$BJ75:$BT75,,T75+1)*R75-ERP_i)*Q75*Ramure*Pc/MaxiM</f>
        <v>8.7954674044143639E-5</v>
      </c>
      <c r="Q75" s="301">
        <f t="shared" si="2"/>
        <v>0.5</v>
      </c>
      <c r="R75" s="173">
        <f t="shared" si="3"/>
        <v>0.99692150748179742</v>
      </c>
      <c r="S75" s="801">
        <f t="shared" si="4"/>
        <v>0</v>
      </c>
      <c r="T75" s="172">
        <f t="shared" si="5"/>
        <v>6</v>
      </c>
      <c r="U75" s="247">
        <f t="shared" si="21"/>
        <v>0.99692150748179742</v>
      </c>
      <c r="V75" s="378">
        <f t="shared" si="6"/>
        <v>167.28446442987837</v>
      </c>
      <c r="W75" s="397">
        <f t="shared" si="7"/>
        <v>50.800630983524506</v>
      </c>
      <c r="X75" s="153">
        <f t="shared" si="8"/>
        <v>45352</v>
      </c>
      <c r="Y75" s="380">
        <f t="shared" si="9"/>
        <v>50.800630983524506</v>
      </c>
      <c r="Z75" s="380">
        <f t="shared" si="10"/>
        <v>51.450099855031382</v>
      </c>
      <c r="AA75" s="381">
        <f t="shared" si="11"/>
        <v>53.916127949491532</v>
      </c>
      <c r="AB75" s="193">
        <f t="shared" si="12"/>
        <v>45352</v>
      </c>
      <c r="AC75" s="119">
        <f>IF(OR(t&lt;Tnet,NoTnet),'2023'!Resal_s+('2023'!Salim-'2023'!Resal_s)*(1-EXP(('2023'!Tnet_s-t)/'2023'!Tau_j)),Resal_s+(Salim-Resal_s)*(1-EXP((Tnet_s-t)/Tau_j)))*Salcycl</f>
        <v>4.5738226913667065E-2</v>
      </c>
      <c r="AD75" s="227">
        <f>(INDEX(Models!$BJ75:$BT75,,AH75)*(1-AF75)+INDEX(Models!$BJ75:$BT75,,AH75+1)*AF75-ERP_i)*AE75*Ramure*Pc/MaxiM</f>
        <v>8.7954674044143639E-5</v>
      </c>
      <c r="AE75" s="301">
        <f t="shared" si="13"/>
        <v>0.5</v>
      </c>
      <c r="AF75" s="173">
        <f t="shared" si="22"/>
        <v>0.99692150748179742</v>
      </c>
      <c r="AG75" s="801">
        <f t="shared" si="23"/>
        <v>0</v>
      </c>
      <c r="AH75" s="172">
        <f t="shared" si="14"/>
        <v>6</v>
      </c>
      <c r="AI75" s="221">
        <f t="shared" si="24"/>
        <v>0.99692150748179742</v>
      </c>
      <c r="AJ75" s="261" t="b">
        <f t="shared" si="15"/>
        <v>1</v>
      </c>
      <c r="AK75" s="261" t="b">
        <f t="shared" si="16"/>
        <v>0</v>
      </c>
      <c r="AL75" s="261"/>
      <c r="AM75" s="261"/>
      <c r="AN75" s="75"/>
    </row>
    <row r="76" spans="1:40" s="6" customFormat="1" ht="11.25" customHeight="1" x14ac:dyDescent="0.2">
      <c r="A76" s="56">
        <f t="shared" si="17"/>
        <v>45353</v>
      </c>
      <c r="B76" s="406">
        <f>'2023'!Wh/'2023'!Env_an*'2024'!Env_an</f>
        <v>153.16506370440422</v>
      </c>
      <c r="C76" s="385"/>
      <c r="D76" s="388">
        <f t="shared" si="0"/>
        <v>155.12535073446844</v>
      </c>
      <c r="E76" s="380">
        <f t="shared" si="18"/>
        <v>162.56601614092179</v>
      </c>
      <c r="F76" s="380">
        <f t="shared" si="1"/>
        <v>162.57791445141206</v>
      </c>
      <c r="G76" s="110">
        <f t="shared" si="19"/>
        <v>0.90802070418714798</v>
      </c>
      <c r="H76" s="409" t="b">
        <f>Wh_hp&gt;='2023'!Maxi_hp</f>
        <v>0</v>
      </c>
      <c r="I76" s="375">
        <f>IF(H76,Wh_hp,'2023'!Maxi_hp)</f>
        <v>162.57970315575704</v>
      </c>
      <c r="J76" s="85">
        <f>IF(H76,An,'2023'!An_max)</f>
        <v>2022</v>
      </c>
      <c r="K76" s="193">
        <f t="shared" si="20"/>
        <v>45353</v>
      </c>
      <c r="L76" s="143">
        <f>IF(t&lt;Tvie,1-EXP((T0-t)*PertePVj)+'2023'!Pspv,1-EXP((T0-t)*PertePVj)+Pspv)</f>
        <v>1.2636793540081626E-2</v>
      </c>
      <c r="M76" s="835"/>
      <c r="N76" s="835"/>
      <c r="O76" s="48">
        <f>IF(t&lt;Tnet,'2023'!Resal+('2023'!Salim-'2023'!Resal)*(1-EXP(('2023'!Tnet-t)/('2023'!Tau_j))),Resal+(Salim-Resal)*(1-EXP((Tnet-t)/(Tau_j))))*Salcycl</f>
        <v>4.5770115938643254E-2</v>
      </c>
      <c r="P76" s="165">
        <f>(INDEX(Models!$BJ76:$BT76,,T76)*(1-R76)+INDEX(Models!$BJ76:$BT76,,T76+1)*R76-ERP_i)*Q76*Ramure*Pc/MaxiM</f>
        <v>8.4255108359601754E-5</v>
      </c>
      <c r="Q76" s="301">
        <f t="shared" si="2"/>
        <v>0.5</v>
      </c>
      <c r="R76" s="173">
        <f t="shared" si="3"/>
        <v>0.99725513589165526</v>
      </c>
      <c r="S76" s="801">
        <f t="shared" si="4"/>
        <v>0</v>
      </c>
      <c r="T76" s="172">
        <f t="shared" si="5"/>
        <v>6</v>
      </c>
      <c r="U76" s="247">
        <f t="shared" si="21"/>
        <v>0.99725513589165526</v>
      </c>
      <c r="V76" s="378">
        <f t="shared" si="6"/>
        <v>168.67827722797941</v>
      </c>
      <c r="W76" s="397">
        <f t="shared" si="7"/>
        <v>153.16506370440422</v>
      </c>
      <c r="X76" s="153">
        <f t="shared" si="8"/>
        <v>45353</v>
      </c>
      <c r="Y76" s="380">
        <f t="shared" si="9"/>
        <v>153.16506370440422</v>
      </c>
      <c r="Z76" s="380">
        <f t="shared" si="10"/>
        <v>155.12535073446844</v>
      </c>
      <c r="AA76" s="381">
        <f t="shared" si="11"/>
        <v>162.56601614092179</v>
      </c>
      <c r="AB76" s="193">
        <f t="shared" si="12"/>
        <v>45353</v>
      </c>
      <c r="AC76" s="119">
        <f>IF(OR(t&lt;Tnet,NoTnet),'2023'!Resal_s+('2023'!Salim-'2023'!Resal_s)*(1-EXP(('2023'!Tnet_s-t)/'2023'!Tau_j)),Resal_s+(Salim-Resal_s)*(1-EXP((Tnet_s-t)/Tau_j)))*Salcycl</f>
        <v>4.5770115938643254E-2</v>
      </c>
      <c r="AD76" s="227">
        <f>(INDEX(Models!$BJ76:$BT76,,AH76)*(1-AF76)+INDEX(Models!$BJ76:$BT76,,AH76+1)*AF76-ERP_i)*AE76*Ramure*Pc/MaxiM</f>
        <v>8.4255108359601754E-5</v>
      </c>
      <c r="AE76" s="301">
        <f t="shared" si="13"/>
        <v>0.5</v>
      </c>
      <c r="AF76" s="173">
        <f t="shared" si="22"/>
        <v>0.99725513589165526</v>
      </c>
      <c r="AG76" s="801">
        <f t="shared" si="23"/>
        <v>0</v>
      </c>
      <c r="AH76" s="172">
        <f t="shared" si="14"/>
        <v>6</v>
      </c>
      <c r="AI76" s="221">
        <f t="shared" si="24"/>
        <v>0.99725513589165526</v>
      </c>
      <c r="AJ76" s="261" t="b">
        <f t="shared" si="15"/>
        <v>1</v>
      </c>
      <c r="AK76" s="261" t="b">
        <f t="shared" si="16"/>
        <v>0</v>
      </c>
      <c r="AL76" s="261"/>
      <c r="AM76" s="261"/>
      <c r="AN76" s="75"/>
    </row>
    <row r="77" spans="1:40" s="6" customFormat="1" ht="11.25" x14ac:dyDescent="0.2">
      <c r="A77" s="56">
        <f t="shared" si="17"/>
        <v>45354</v>
      </c>
      <c r="B77" s="406">
        <f>'2023'!Wh/'2023'!Env_an*'2024'!Env_an</f>
        <v>19.557346761838165</v>
      </c>
      <c r="C77" s="385"/>
      <c r="D77" s="388">
        <f t="shared" si="0"/>
        <v>19.80792312413428</v>
      </c>
      <c r="E77" s="380">
        <f t="shared" si="18"/>
        <v>20.75871343187087</v>
      </c>
      <c r="F77" s="380">
        <f t="shared" si="1"/>
        <v>20.75871343187087</v>
      </c>
      <c r="G77" s="110">
        <f t="shared" si="19"/>
        <v>0.11499445140770417</v>
      </c>
      <c r="H77" s="409" t="b">
        <f>Wh_hp&gt;='2023'!Maxi_hp</f>
        <v>0</v>
      </c>
      <c r="I77" s="375">
        <f>IF(H77,Wh_hp,'2023'!Maxi_hp)</f>
        <v>20.760372655450283</v>
      </c>
      <c r="J77" s="85">
        <f>IF(H77,An,'2023'!An_max)</f>
        <v>2022</v>
      </c>
      <c r="K77" s="193">
        <f t="shared" si="20"/>
        <v>45354</v>
      </c>
      <c r="L77" s="143">
        <f>IF(t&lt;Tvie,1-EXP((T0-t)*PertePVj)+'2023'!Pspv,1-EXP((T0-t)*PertePVj)+Pspv)</f>
        <v>1.2650309713228225E-2</v>
      </c>
      <c r="M77" s="835"/>
      <c r="N77" s="835"/>
      <c r="O77" s="48">
        <f>IF(t&lt;Tnet,'2023'!Resal+('2023'!Salim-'2023'!Resal)*(1-EXP(('2023'!Tnet-t)/('2023'!Tau_j))),Resal+(Salim-Resal)*(1-EXP((Tnet-t)/(Tau_j))))*Salcycl</f>
        <v>4.580198627708975E-2</v>
      </c>
      <c r="P77" s="165">
        <f>(INDEX(Models!$BJ77:$BT77,,T77)*(1-R77)+INDEX(Models!$BJ77:$BT77,,T77+1)*R77-ERP_i)*Q77*Ramure*Pc/MaxiM</f>
        <v>8.0440015055596766E-5</v>
      </c>
      <c r="Q77" s="301">
        <f t="shared" si="2"/>
        <v>0.5</v>
      </c>
      <c r="R77" s="173">
        <f t="shared" si="3"/>
        <v>0.99760228043675359</v>
      </c>
      <c r="S77" s="801">
        <f t="shared" si="4"/>
        <v>0</v>
      </c>
      <c r="T77" s="172">
        <f t="shared" si="5"/>
        <v>6</v>
      </c>
      <c r="U77" s="247">
        <f t="shared" si="21"/>
        <v>0.99760228043675359</v>
      </c>
      <c r="V77" s="378">
        <f t="shared" si="6"/>
        <v>170.05841002916458</v>
      </c>
      <c r="W77" s="397">
        <f t="shared" si="7"/>
        <v>19.557346761838165</v>
      </c>
      <c r="X77" s="153">
        <f t="shared" si="8"/>
        <v>45354</v>
      </c>
      <c r="Y77" s="380">
        <f t="shared" si="9"/>
        <v>19.557346761838165</v>
      </c>
      <c r="Z77" s="380">
        <f t="shared" si="10"/>
        <v>19.80792312413428</v>
      </c>
      <c r="AA77" s="381">
        <f t="shared" si="11"/>
        <v>20.75871343187087</v>
      </c>
      <c r="AB77" s="193">
        <f t="shared" si="12"/>
        <v>45354</v>
      </c>
      <c r="AC77" s="119">
        <f>IF(OR(t&lt;Tnet,NoTnet),'2023'!Resal_s+('2023'!Salim-'2023'!Resal_s)*(1-EXP(('2023'!Tnet_s-t)/'2023'!Tau_j)),Resal_s+(Salim-Resal_s)*(1-EXP((Tnet_s-t)/Tau_j)))*Salcycl</f>
        <v>4.580198627708975E-2</v>
      </c>
      <c r="AD77" s="227">
        <f>(INDEX(Models!$BJ77:$BT77,,AH77)*(1-AF77)+INDEX(Models!$BJ77:$BT77,,AH77+1)*AF77-ERP_i)*AE77*Ramure*Pc/MaxiM</f>
        <v>8.0440015055596766E-5</v>
      </c>
      <c r="AE77" s="301">
        <f t="shared" si="13"/>
        <v>0.5</v>
      </c>
      <c r="AF77" s="173">
        <f t="shared" si="22"/>
        <v>0.99760228043675359</v>
      </c>
      <c r="AG77" s="801">
        <f t="shared" si="23"/>
        <v>0</v>
      </c>
      <c r="AH77" s="172">
        <f t="shared" si="14"/>
        <v>6</v>
      </c>
      <c r="AI77" s="221">
        <f t="shared" si="24"/>
        <v>0.99760228043675359</v>
      </c>
      <c r="AJ77" s="261" t="b">
        <f t="shared" si="15"/>
        <v>1</v>
      </c>
      <c r="AK77" s="261" t="b">
        <f t="shared" si="16"/>
        <v>0</v>
      </c>
      <c r="AL77" s="261"/>
      <c r="AM77" s="261"/>
      <c r="AN77" s="75"/>
    </row>
    <row r="78" spans="1:40" s="6" customFormat="1" ht="11.25" customHeight="1" x14ac:dyDescent="0.2">
      <c r="A78" s="56">
        <f t="shared" si="17"/>
        <v>45355</v>
      </c>
      <c r="B78" s="406">
        <f>'2023'!Wh/'2023'!Env_an*'2024'!Env_an</f>
        <v>64.586240214370463</v>
      </c>
      <c r="C78" s="385"/>
      <c r="D78" s="388">
        <f t="shared" si="0"/>
        <v>65.414639811256791</v>
      </c>
      <c r="E78" s="380">
        <f t="shared" si="18"/>
        <v>68.556864522747802</v>
      </c>
      <c r="F78" s="380">
        <f t="shared" si="1"/>
        <v>68.557439757797184</v>
      </c>
      <c r="G78" s="110">
        <f t="shared" si="19"/>
        <v>0.3767389092965911</v>
      </c>
      <c r="H78" s="409" t="b">
        <f>Wh_hp&gt;='2023'!Maxi_hp</f>
        <v>0</v>
      </c>
      <c r="I78" s="375">
        <f>IF(H78,Wh_hp,'2023'!Maxi_hp)</f>
        <v>68.562079160993505</v>
      </c>
      <c r="J78" s="85">
        <f>IF(H78,An,'2023'!An_max)</f>
        <v>2022</v>
      </c>
      <c r="K78" s="193">
        <f t="shared" si="20"/>
        <v>45355</v>
      </c>
      <c r="L78" s="143">
        <f>IF(t&lt;Tvie,1-EXP((T0-t)*PertePVj)+'2023'!Pspv,1-EXP((T0-t)*PertePVj)+Pspv)</f>
        <v>1.2663825701349718E-2</v>
      </c>
      <c r="M78" s="835"/>
      <c r="N78" s="835"/>
      <c r="O78" s="48">
        <f>IF(t&lt;Tnet,'2023'!Resal+('2023'!Salim-'2023'!Resal)*(1-EXP(('2023'!Tnet-t)/('2023'!Tau_j))),Resal+(Salim-Resal)*(1-EXP((Tnet-t)/(Tau_j))))*Salcycl</f>
        <v>4.5833845135207364E-2</v>
      </c>
      <c r="P78" s="165">
        <f>(INDEX(Models!$BJ78:$BT78,,T78)*(1-R78)+INDEX(Models!$BJ78:$BT78,,T78+1)*R78-ERP_i)*Q78*Ramure*Pc/MaxiM</f>
        <v>7.6511715327858674E-5</v>
      </c>
      <c r="Q78" s="301">
        <f t="shared" si="2"/>
        <v>0.5</v>
      </c>
      <c r="R78" s="173">
        <f t="shared" si="3"/>
        <v>0.99796346810864922</v>
      </c>
      <c r="S78" s="801">
        <f t="shared" si="4"/>
        <v>0</v>
      </c>
      <c r="T78" s="172">
        <f t="shared" si="5"/>
        <v>6</v>
      </c>
      <c r="U78" s="247">
        <f t="shared" si="21"/>
        <v>0.99796346810864922</v>
      </c>
      <c r="V78" s="378">
        <f t="shared" si="6"/>
        <v>171.42333561586767</v>
      </c>
      <c r="W78" s="397">
        <f t="shared" si="7"/>
        <v>64.586240214370463</v>
      </c>
      <c r="X78" s="153">
        <f t="shared" si="8"/>
        <v>45355</v>
      </c>
      <c r="Y78" s="380">
        <f t="shared" si="9"/>
        <v>64.586240214370463</v>
      </c>
      <c r="Z78" s="380">
        <f t="shared" si="10"/>
        <v>65.414639811256791</v>
      </c>
      <c r="AA78" s="381">
        <f t="shared" si="11"/>
        <v>68.556864522747802</v>
      </c>
      <c r="AB78" s="193">
        <f t="shared" si="12"/>
        <v>45355</v>
      </c>
      <c r="AC78" s="119">
        <f>IF(OR(t&lt;Tnet,NoTnet),'2023'!Resal_s+('2023'!Salim-'2023'!Resal_s)*(1-EXP(('2023'!Tnet_s-t)/'2023'!Tau_j)),Resal_s+(Salim-Resal_s)*(1-EXP((Tnet_s-t)/Tau_j)))*Salcycl</f>
        <v>4.5833845135207364E-2</v>
      </c>
      <c r="AD78" s="227">
        <f>(INDEX(Models!$BJ78:$BT78,,AH78)*(1-AF78)+INDEX(Models!$BJ78:$BT78,,AH78+1)*AF78-ERP_i)*AE78*Ramure*Pc/MaxiM</f>
        <v>7.6511715327858674E-5</v>
      </c>
      <c r="AE78" s="301">
        <f t="shared" si="13"/>
        <v>0.5</v>
      </c>
      <c r="AF78" s="173">
        <f t="shared" si="22"/>
        <v>0.99796346810864922</v>
      </c>
      <c r="AG78" s="801">
        <f t="shared" si="23"/>
        <v>0</v>
      </c>
      <c r="AH78" s="172">
        <f t="shared" si="14"/>
        <v>6</v>
      </c>
      <c r="AI78" s="221">
        <f t="shared" si="24"/>
        <v>0.99796346810864922</v>
      </c>
      <c r="AJ78" s="261" t="b">
        <f t="shared" si="15"/>
        <v>1</v>
      </c>
      <c r="AK78" s="261" t="b">
        <f t="shared" si="16"/>
        <v>0</v>
      </c>
      <c r="AL78" s="261"/>
      <c r="AM78" s="261"/>
      <c r="AN78" s="75"/>
    </row>
    <row r="79" spans="1:40" s="6" customFormat="1" ht="11.25" x14ac:dyDescent="0.2">
      <c r="A79" s="56">
        <f t="shared" si="17"/>
        <v>45356</v>
      </c>
      <c r="B79" s="406">
        <f>'2023'!Wh/'2023'!Env_an*'2024'!Env_an</f>
        <v>91.185450056604381</v>
      </c>
      <c r="C79" s="385"/>
      <c r="D79" s="388">
        <f t="shared" ref="D79:D142" si="25">Wh/(1-Ppv)</f>
        <v>92.356282185956999</v>
      </c>
      <c r="E79" s="380">
        <f t="shared" si="18"/>
        <v>96.795893667500337</v>
      </c>
      <c r="F79" s="380">
        <f t="shared" ref="F79:F142" si="26">Wh_sa/(1-Pvg*MEDIAN((-Sdif+Wh/Env_an)/Csdif,0,1))</f>
        <v>96.798176287187587</v>
      </c>
      <c r="G79" s="110">
        <f t="shared" si="19"/>
        <v>0.52774600823775442</v>
      </c>
      <c r="H79" s="409" t="b">
        <f>Wh_hp&gt;='2023'!Maxi_hp</f>
        <v>0</v>
      </c>
      <c r="I79" s="375">
        <f>IF(H79,Wh_hp,'2023'!Maxi_hp)</f>
        <v>96.802876321766419</v>
      </c>
      <c r="J79" s="85">
        <f>IF(H79,An,'2023'!An_max)</f>
        <v>2022</v>
      </c>
      <c r="K79" s="193">
        <f t="shared" ref="K79:K142" si="27">t</f>
        <v>45356</v>
      </c>
      <c r="L79" s="143">
        <f>IF(t&lt;Tvie,1-EXP((T0-t)*PertePVj)+'2023'!Pspv,1-EXP((T0-t)*PertePVj)+Pspv)</f>
        <v>1.2677341504448769E-2</v>
      </c>
      <c r="M79" s="835"/>
      <c r="N79" s="835"/>
      <c r="O79" s="48">
        <f>IF(t&lt;Tnet,'2023'!Resal+('2023'!Salim-'2023'!Resal)*(1-EXP(('2023'!Tnet-t)/('2023'!Tau_j))),Resal+(Salim-Resal)*(1-EXP((Tnet-t)/(Tau_j))))*Salcycl</f>
        <v>4.5865700633889186E-2</v>
      </c>
      <c r="P79" s="165">
        <f>(INDEX(Models!$BJ79:$BT79,,T79)*(1-R79)+INDEX(Models!$BJ79:$BT79,,T79+1)*R79-ERP_i)*Q79*Ramure*Pc/MaxiM</f>
        <v>7.2471032325334322E-5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0.99833924471854729</v>
      </c>
      <c r="S79" s="801">
        <f t="shared" ref="S79:S142" si="30">INDEX(Echel_vg,T79)</f>
        <v>0</v>
      </c>
      <c r="T79" s="172">
        <f t="shared" ref="T79:T142" si="31">MIN(MATCH(Hp_vg,Echel_vg),10)</f>
        <v>6</v>
      </c>
      <c r="U79" s="247">
        <f t="shared" ref="U79:U142" si="32">IF(OR(t&lt;Ttai,Notai),Hdd+PousH*Croivg,Hdtf+PousH*(Croivg-Croi_tai))</f>
        <v>0.99833924471854729</v>
      </c>
      <c r="V79" s="378">
        <f t="shared" ref="V79:V142" si="33">MaxiM*(1-Ppv)*(1-Pvg)*(1-Psa)</f>
        <v>172.77438481622769</v>
      </c>
      <c r="W79" s="397">
        <f t="shared" ref="W79:W142" si="34">Wh*(A79&gt;Tmaj)</f>
        <v>91.185450056604381</v>
      </c>
      <c r="X79" s="153">
        <f t="shared" ref="X79:X142" si="35">t</f>
        <v>45356</v>
      </c>
      <c r="Y79" s="380">
        <f t="shared" ref="Y79:Y142" si="36">Wh_pvt_s*(1-Ppv)</f>
        <v>91.185450056604381</v>
      </c>
      <c r="Z79" s="380">
        <f t="shared" ref="Z79:Z142" si="37">Wh_sa_s*(1-Psa_s)</f>
        <v>92.356282185956999</v>
      </c>
      <c r="AA79" s="381">
        <f t="shared" ref="AA79:AA142" si="38">Wh_hp*(1-Pvg_s*MEDIAN((-Sdif+Wh/Env_an)/Csdif,0,1))</f>
        <v>96.795893667500337</v>
      </c>
      <c r="AB79" s="193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4.5865700633889186E-2</v>
      </c>
      <c r="AD79" s="227">
        <f>(INDEX(Models!$BJ79:$BT79,,AH79)*(1-AF79)+INDEX(Models!$BJ79:$BT79,,AH79+1)*AF79-ERP_i)*AE79*Ramure*Pc/MaxiM</f>
        <v>7.2471032325334322E-5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0.99833924471854729</v>
      </c>
      <c r="AG79" s="801">
        <f t="shared" si="23"/>
        <v>0</v>
      </c>
      <c r="AH79" s="172">
        <f t="shared" ref="AH79:AH142" si="42">MIN(MATCH(Hp_vg_s,Echel_vg),10)</f>
        <v>6</v>
      </c>
      <c r="AI79" s="221">
        <f t="shared" ref="AI79:AI142" si="43">IF(OR(t&lt;Ttai,Notai),Hdd_s+PousH*Croivg,Hdtai_s+PousH*(Croivg-Croi_tai))</f>
        <v>0.99833924471854729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45357</v>
      </c>
      <c r="B80" s="406">
        <f>'2023'!Wh/'2023'!Env_an*'2024'!Env_an</f>
        <v>135.47078824161289</v>
      </c>
      <c r="C80" s="385"/>
      <c r="D80" s="388">
        <f t="shared" si="25"/>
        <v>137.21212775037088</v>
      </c>
      <c r="E80" s="380">
        <f t="shared" ref="E80:E143" si="47">Wh_pvt/(1-Psa)</f>
        <v>143.81278388580475</v>
      </c>
      <c r="F80" s="380">
        <f t="shared" si="26"/>
        <v>143.81951950821338</v>
      </c>
      <c r="G80" s="110">
        <f t="shared" ref="G80:G143" si="48">+Wh_hp/MaxiM</f>
        <v>0.77804036474743032</v>
      </c>
      <c r="H80" s="409" t="b">
        <f>Wh_hp&gt;='2023'!Maxi_hp</f>
        <v>0</v>
      </c>
      <c r="I80" s="375">
        <f>IF(H80,Wh_hp,'2023'!Maxi_hp)</f>
        <v>143.82262435298446</v>
      </c>
      <c r="J80" s="85">
        <f>IF(H80,An,'2023'!An_max)</f>
        <v>2022</v>
      </c>
      <c r="K80" s="193">
        <f t="shared" si="27"/>
        <v>45357</v>
      </c>
      <c r="L80" s="143">
        <f>IF(t&lt;Tvie,1-EXP((T0-t)*PertePVj)+'2023'!Pspv,1-EXP((T0-t)*PertePVj)+Pspv)</f>
        <v>1.269085712252771E-2</v>
      </c>
      <c r="M80" s="835"/>
      <c r="N80" s="835"/>
      <c r="O80" s="48">
        <f>IF(t&lt;Tnet,'2023'!Resal+('2023'!Salim-'2023'!Resal)*(1-EXP(('2023'!Tnet-t)/('2023'!Tau_j))),Resal+(Salim-Resal)*(1-EXP((Tnet-t)/(Tau_j))))*Salcycl</f>
        <v>4.5897561795863337E-2</v>
      </c>
      <c r="P80" s="165">
        <f>(INDEX(Models!$BJ80:$BT80,,T80)*(1-R80)+INDEX(Models!$BJ80:$BT80,,T80+1)*R80-ERP_i)*Q80*Ramure*Pc/MaxiM</f>
        <v>6.8576923973945846E-5</v>
      </c>
      <c r="Q80" s="301">
        <f t="shared" si="28"/>
        <v>0.5</v>
      </c>
      <c r="R80" s="173">
        <f t="shared" si="29"/>
        <v>0.99873017542298292</v>
      </c>
      <c r="S80" s="801">
        <f t="shared" si="30"/>
        <v>0</v>
      </c>
      <c r="T80" s="172">
        <f t="shared" si="31"/>
        <v>6</v>
      </c>
      <c r="U80" s="247">
        <f t="shared" si="32"/>
        <v>0.99873017542298292</v>
      </c>
      <c r="V80" s="378">
        <f t="shared" si="33"/>
        <v>174.11415742784843</v>
      </c>
      <c r="W80" s="397">
        <f t="shared" si="34"/>
        <v>135.47078824161289</v>
      </c>
      <c r="X80" s="153">
        <f t="shared" si="35"/>
        <v>45357</v>
      </c>
      <c r="Y80" s="380">
        <f t="shared" si="36"/>
        <v>135.47078824161289</v>
      </c>
      <c r="Z80" s="380">
        <f t="shared" si="37"/>
        <v>137.21212775037088</v>
      </c>
      <c r="AA80" s="381">
        <f t="shared" si="38"/>
        <v>143.81278388580475</v>
      </c>
      <c r="AB80" s="193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4.5897561795863337E-2</v>
      </c>
      <c r="AD80" s="227">
        <f>(INDEX(Models!$BJ80:$BT80,,AH80)*(1-AF80)+INDEX(Models!$BJ80:$BT80,,AH80+1)*AF80-ERP_i)*AE80*Ramure*Pc/MaxiM</f>
        <v>6.8576923973945846E-5</v>
      </c>
      <c r="AE80" s="301">
        <f t="shared" si="40"/>
        <v>0.5</v>
      </c>
      <c r="AF80" s="173">
        <f t="shared" si="41"/>
        <v>0.99873017542298292</v>
      </c>
      <c r="AG80" s="801">
        <f t="shared" ref="AG80:AG143" si="49">INDEX(Echel_vg,AH80)</f>
        <v>0</v>
      </c>
      <c r="AH80" s="172">
        <f t="shared" si="42"/>
        <v>6</v>
      </c>
      <c r="AI80" s="221">
        <f t="shared" si="43"/>
        <v>0.99873017542298292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45358</v>
      </c>
      <c r="B81" s="406">
        <f>'2023'!Wh/'2023'!Env_an*'2024'!Env_an</f>
        <v>124.9094997448875</v>
      </c>
      <c r="C81" s="385"/>
      <c r="D81" s="388">
        <f t="shared" si="25"/>
        <v>126.51681651645974</v>
      </c>
      <c r="E81" s="380">
        <f t="shared" si="47"/>
        <v>132.60739994027031</v>
      </c>
      <c r="F81" s="380">
        <f t="shared" si="26"/>
        <v>132.6124764195483</v>
      </c>
      <c r="G81" s="110">
        <f t="shared" si="48"/>
        <v>0.71194698486125985</v>
      </c>
      <c r="H81" s="409" t="b">
        <f>Wh_hp&gt;='2023'!Maxi_hp</f>
        <v>0</v>
      </c>
      <c r="I81" s="375">
        <f>IF(H81,Wh_hp,'2023'!Maxi_hp)</f>
        <v>132.61599951897398</v>
      </c>
      <c r="J81" s="85">
        <f>IF(H81,An,'2023'!An_max)</f>
        <v>2022</v>
      </c>
      <c r="K81" s="193">
        <f t="shared" si="27"/>
        <v>45358</v>
      </c>
      <c r="L81" s="143">
        <f>IF(t&lt;Tvie,1-EXP((T0-t)*PertePVj)+'2023'!Pspv,1-EXP((T0-t)*PertePVj)+Pspv)</f>
        <v>1.2704372555589316E-2</v>
      </c>
      <c r="M81" s="835"/>
      <c r="N81" s="835"/>
      <c r="O81" s="48">
        <f>IF(t&lt;Tnet,'2023'!Resal+('2023'!Salim-'2023'!Resal)*(1-EXP(('2023'!Tnet-t)/('2023'!Tau_j))),Resal+(Salim-Resal)*(1-EXP((Tnet-t)/(Tau_j))))*Salcycl</f>
        <v>4.592943852721592E-2</v>
      </c>
      <c r="P81" s="165">
        <f>(INDEX(Models!$BJ81:$BT81,,T81)*(1-R81)+INDEX(Models!$BJ81:$BT81,,T81+1)*R81-ERP_i)*Q81*Ramure*Pc/MaxiM</f>
        <v>6.5045140266316409E-5</v>
      </c>
      <c r="Q81" s="301">
        <f t="shared" si="28"/>
        <v>0.5</v>
      </c>
      <c r="R81" s="173">
        <f t="shared" si="29"/>
        <v>0.99913684525119295</v>
      </c>
      <c r="S81" s="801">
        <f t="shared" si="30"/>
        <v>0</v>
      </c>
      <c r="T81" s="172">
        <f t="shared" si="31"/>
        <v>6</v>
      </c>
      <c r="U81" s="247">
        <f t="shared" si="32"/>
        <v>0.99913684525119295</v>
      </c>
      <c r="V81" s="378">
        <f t="shared" si="33"/>
        <v>175.44305843273634</v>
      </c>
      <c r="W81" s="397">
        <f t="shared" si="34"/>
        <v>124.9094997448875</v>
      </c>
      <c r="X81" s="153">
        <f t="shared" si="35"/>
        <v>45358</v>
      </c>
      <c r="Y81" s="380">
        <f t="shared" si="36"/>
        <v>124.9094997448875</v>
      </c>
      <c r="Z81" s="380">
        <f t="shared" si="37"/>
        <v>126.51681651645974</v>
      </c>
      <c r="AA81" s="381">
        <f t="shared" si="38"/>
        <v>132.60739994027031</v>
      </c>
      <c r="AB81" s="193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4.592943852721592E-2</v>
      </c>
      <c r="AD81" s="227">
        <f>(INDEX(Models!$BJ81:$BT81,,AH81)*(1-AF81)+INDEX(Models!$BJ81:$BT81,,AH81+1)*AF81-ERP_i)*AE81*Ramure*Pc/MaxiM</f>
        <v>6.5045140266316409E-5</v>
      </c>
      <c r="AE81" s="301">
        <f t="shared" si="40"/>
        <v>0.5</v>
      </c>
      <c r="AF81" s="173">
        <f t="shared" si="41"/>
        <v>0.99913684525119295</v>
      </c>
      <c r="AG81" s="801">
        <f t="shared" si="49"/>
        <v>0</v>
      </c>
      <c r="AH81" s="172">
        <f t="shared" si="42"/>
        <v>6</v>
      </c>
      <c r="AI81" s="221">
        <f t="shared" si="43"/>
        <v>0.99913684525119295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45359</v>
      </c>
      <c r="B82" s="406">
        <f>'2023'!Wh/'2023'!Env_an*'2024'!Env_an</f>
        <v>134.55721487499358</v>
      </c>
      <c r="C82" s="385"/>
      <c r="D82" s="388">
        <f t="shared" si="25"/>
        <v>136.29054270582287</v>
      </c>
      <c r="E82" s="380">
        <f t="shared" si="47"/>
        <v>142.85641520384081</v>
      </c>
      <c r="F82" s="380">
        <f t="shared" si="26"/>
        <v>142.86223895469871</v>
      </c>
      <c r="G82" s="110">
        <f t="shared" si="48"/>
        <v>0.76121978854075323</v>
      </c>
      <c r="H82" s="409" t="b">
        <f>Wh_hp&gt;='2023'!Maxi_hp</f>
        <v>0</v>
      </c>
      <c r="I82" s="375">
        <f>IF(H82,Wh_hp,'2023'!Maxi_hp)</f>
        <v>142.86523052784904</v>
      </c>
      <c r="J82" s="85">
        <f>IF(H82,An,'2023'!An_max)</f>
        <v>2022</v>
      </c>
      <c r="K82" s="193">
        <f t="shared" si="27"/>
        <v>45359</v>
      </c>
      <c r="L82" s="143">
        <f>IF(t&lt;Tvie,1-EXP((T0-t)*PertePVj)+'2023'!Pspv,1-EXP((T0-t)*PertePVj)+Pspv)</f>
        <v>1.2717887803635919E-2</v>
      </c>
      <c r="M82" s="835"/>
      <c r="N82" s="835"/>
      <c r="O82" s="48">
        <f>IF(t&lt;Tnet,'2023'!Resal+('2023'!Salim-'2023'!Resal)*(1-EXP(('2023'!Tnet-t)/('2023'!Tau_j))),Resal+(Salim-Resal)*(1-EXP((Tnet-t)/(Tau_j))))*Salcycl</f>
        <v>4.5961341593579313E-2</v>
      </c>
      <c r="P82" s="165">
        <f>(INDEX(Models!$BJ82:$BT82,,T82)*(1-R82)+INDEX(Models!$BJ82:$BT82,,T82+1)*R82-ERP_i)*Q82*Ramure*Pc/MaxiM</f>
        <v>6.1867179405227201E-5</v>
      </c>
      <c r="Q82" s="301">
        <f t="shared" si="28"/>
        <v>0.5</v>
      </c>
      <c r="R82" s="173">
        <f t="shared" si="29"/>
        <v>0.99955985963277993</v>
      </c>
      <c r="S82" s="801">
        <f t="shared" si="30"/>
        <v>0</v>
      </c>
      <c r="T82" s="172">
        <f t="shared" si="31"/>
        <v>6</v>
      </c>
      <c r="U82" s="247">
        <f t="shared" si="32"/>
        <v>0.99955985963277993</v>
      </c>
      <c r="V82" s="378">
        <f t="shared" si="33"/>
        <v>176.76153104219887</v>
      </c>
      <c r="W82" s="397">
        <f t="shared" si="34"/>
        <v>134.55721487499358</v>
      </c>
      <c r="X82" s="153">
        <f t="shared" si="35"/>
        <v>45359</v>
      </c>
      <c r="Y82" s="380">
        <f t="shared" si="36"/>
        <v>134.55721487499358</v>
      </c>
      <c r="Z82" s="380">
        <f t="shared" si="37"/>
        <v>136.29054270582287</v>
      </c>
      <c r="AA82" s="381">
        <f t="shared" si="38"/>
        <v>142.85641520384081</v>
      </c>
      <c r="AB82" s="193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4.5961341593579313E-2</v>
      </c>
      <c r="AD82" s="227">
        <f>(INDEX(Models!$BJ82:$BT82,,AH82)*(1-AF82)+INDEX(Models!$BJ82:$BT82,,AH82+1)*AF82-ERP_i)*AE82*Ramure*Pc/MaxiM</f>
        <v>6.1867179405227201E-5</v>
      </c>
      <c r="AE82" s="301">
        <f t="shared" si="40"/>
        <v>0.5</v>
      </c>
      <c r="AF82" s="173">
        <f t="shared" si="41"/>
        <v>0.99955985963277993</v>
      </c>
      <c r="AG82" s="801">
        <f t="shared" si="49"/>
        <v>0</v>
      </c>
      <c r="AH82" s="172">
        <f t="shared" si="42"/>
        <v>6</v>
      </c>
      <c r="AI82" s="221">
        <f t="shared" si="43"/>
        <v>0.99955985963277993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customHeight="1" x14ac:dyDescent="0.2">
      <c r="A83" s="56">
        <f t="shared" si="46"/>
        <v>45360</v>
      </c>
      <c r="B83" s="406">
        <f>'2023'!Wh/'2023'!Env_an*'2024'!Env_an</f>
        <v>96.723360824224798</v>
      </c>
      <c r="C83" s="385"/>
      <c r="D83" s="388">
        <f t="shared" si="25"/>
        <v>97.970664827256101</v>
      </c>
      <c r="E83" s="380">
        <f t="shared" si="47"/>
        <v>102.69389411991581</v>
      </c>
      <c r="F83" s="380">
        <f t="shared" si="26"/>
        <v>102.69600025209998</v>
      </c>
      <c r="G83" s="110">
        <f t="shared" si="48"/>
        <v>0.54315507646583372</v>
      </c>
      <c r="H83" s="409" t="b">
        <f>Wh_hp&gt;='2023'!Maxi_hp</f>
        <v>0</v>
      </c>
      <c r="I83" s="375">
        <f>IF(H83,Wh_hp,'2023'!Maxi_hp)</f>
        <v>102.6999251260078</v>
      </c>
      <c r="J83" s="85">
        <f>IF(H83,An,'2023'!An_max)</f>
        <v>2022</v>
      </c>
      <c r="K83" s="193">
        <f t="shared" si="27"/>
        <v>45360</v>
      </c>
      <c r="L83" s="143">
        <f>IF(t&lt;Tvie,1-EXP((T0-t)*PertePVj)+'2023'!Pspv,1-EXP((T0-t)*PertePVj)+Pspv)</f>
        <v>1.2731402866670072E-2</v>
      </c>
      <c r="M83" s="835"/>
      <c r="N83" s="835"/>
      <c r="O83" s="48">
        <f>IF(t&lt;Tnet,'2023'!Resal+('2023'!Salim-'2023'!Resal)*(1-EXP(('2023'!Tnet-t)/('2023'!Tau_j))),Resal+(Salim-Resal)*(1-EXP((Tnet-t)/(Tau_j))))*Salcycl</f>
        <v>4.599328259131346E-2</v>
      </c>
      <c r="P83" s="165">
        <f>(INDEX(Models!$BJ83:$BT83,,T83)*(1-R83)+INDEX(Models!$BJ83:$BT83,,T83+1)*R83-ERP_i)*Q83*Ramure*Pc/MaxiM</f>
        <v>5.9034979742923934E-5</v>
      </c>
      <c r="Q83" s="301">
        <f t="shared" si="28"/>
        <v>0.5</v>
      </c>
      <c r="R83" s="173">
        <f t="shared" si="29"/>
        <v>0.99999984492411664</v>
      </c>
      <c r="S83" s="801">
        <f t="shared" si="30"/>
        <v>0</v>
      </c>
      <c r="T83" s="172">
        <f t="shared" si="31"/>
        <v>6</v>
      </c>
      <c r="U83" s="247">
        <f t="shared" si="32"/>
        <v>0.99999984492411664</v>
      </c>
      <c r="V83" s="378">
        <f t="shared" si="33"/>
        <v>178.07001815816398</v>
      </c>
      <c r="W83" s="397">
        <f t="shared" si="34"/>
        <v>96.723360824224798</v>
      </c>
      <c r="X83" s="153">
        <f t="shared" si="35"/>
        <v>45360</v>
      </c>
      <c r="Y83" s="380">
        <f t="shared" si="36"/>
        <v>96.723360824224798</v>
      </c>
      <c r="Z83" s="380">
        <f t="shared" si="37"/>
        <v>97.970664827256101</v>
      </c>
      <c r="AA83" s="381">
        <f t="shared" si="38"/>
        <v>102.69389411991581</v>
      </c>
      <c r="AB83" s="193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4.599328259131346E-2</v>
      </c>
      <c r="AD83" s="227">
        <f>(INDEX(Models!$BJ83:$BT83,,AH83)*(1-AF83)+INDEX(Models!$BJ83:$BT83,,AH83+1)*AF83-ERP_i)*AE83*Ramure*Pc/MaxiM</f>
        <v>5.9034979742923934E-5</v>
      </c>
      <c r="AE83" s="301">
        <f t="shared" si="40"/>
        <v>0.5</v>
      </c>
      <c r="AF83" s="173">
        <f t="shared" si="41"/>
        <v>0.99999984492411664</v>
      </c>
      <c r="AG83" s="801">
        <f t="shared" si="49"/>
        <v>0</v>
      </c>
      <c r="AH83" s="172">
        <f t="shared" si="42"/>
        <v>6</v>
      </c>
      <c r="AI83" s="221">
        <f t="shared" si="43"/>
        <v>0.99999984492411664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customHeight="1" x14ac:dyDescent="0.2">
      <c r="A84" s="56">
        <f t="shared" si="46"/>
        <v>45361</v>
      </c>
      <c r="B84" s="406">
        <f>'2023'!Wh/'2023'!Env_an*'2024'!Env_an</f>
        <v>66.203495628309369</v>
      </c>
      <c r="C84" s="385"/>
      <c r="D84" s="388">
        <f t="shared" si="25"/>
        <v>67.05814618555597</v>
      </c>
      <c r="E84" s="380">
        <f t="shared" si="47"/>
        <v>70.293420100014131</v>
      </c>
      <c r="F84" s="380">
        <f t="shared" si="26"/>
        <v>70.293812438631448</v>
      </c>
      <c r="G84" s="110">
        <f t="shared" si="48"/>
        <v>0.36907233578253767</v>
      </c>
      <c r="H84" s="409" t="b">
        <f>Wh_hp&gt;='2023'!Maxi_hp</f>
        <v>0</v>
      </c>
      <c r="I84" s="375">
        <f>IF(H84,Wh_hp,'2023'!Maxi_hp)</f>
        <v>70.297364846187307</v>
      </c>
      <c r="J84" s="85">
        <f>IF(H84,An,'2023'!An_max)</f>
        <v>2022</v>
      </c>
      <c r="K84" s="193">
        <f t="shared" si="27"/>
        <v>45361</v>
      </c>
      <c r="L84" s="143">
        <f>IF(t&lt;Tvie,1-EXP((T0-t)*PertePVj)+'2023'!Pspv,1-EXP((T0-t)*PertePVj)+Pspv)</f>
        <v>1.2744917744694439E-2</v>
      </c>
      <c r="M84" s="835"/>
      <c r="N84" s="835"/>
      <c r="O84" s="48">
        <f>IF(t&lt;Tnet,'2023'!Resal+('2023'!Salim-'2023'!Resal)*(1-EXP(('2023'!Tnet-t)/('2023'!Tau_j))),Resal+(Salim-Resal)*(1-EXP((Tnet-t)/(Tau_j))))*Salcycl</f>
        <v>4.60252739140447E-2</v>
      </c>
      <c r="P84" s="165">
        <f>(INDEX(Models!$BJ84:$BT84,,T84)*(1-R84)+INDEX(Models!$BJ84:$BT84,,T84+1)*R84-ERP_i)*Q84*Ramure*Pc/MaxiM</f>
        <v>5.6548305344270018E-5</v>
      </c>
      <c r="Q84" s="301">
        <f t="shared" si="28"/>
        <v>0.5</v>
      </c>
      <c r="R84" s="173">
        <f t="shared" si="29"/>
        <v>4.5744893178145674E-4</v>
      </c>
      <c r="S84" s="801">
        <f t="shared" si="30"/>
        <v>1</v>
      </c>
      <c r="T84" s="172">
        <f t="shared" si="31"/>
        <v>7</v>
      </c>
      <c r="U84" s="247">
        <f t="shared" si="32"/>
        <v>1.0004574489317815</v>
      </c>
      <c r="V84" s="378">
        <f t="shared" si="33"/>
        <v>179.3689610534162</v>
      </c>
      <c r="W84" s="397">
        <f t="shared" si="34"/>
        <v>66.203495628309369</v>
      </c>
      <c r="X84" s="153">
        <f t="shared" si="35"/>
        <v>45361</v>
      </c>
      <c r="Y84" s="380">
        <f t="shared" si="36"/>
        <v>66.203495628309369</v>
      </c>
      <c r="Z84" s="380">
        <f t="shared" si="37"/>
        <v>67.05814618555597</v>
      </c>
      <c r="AA84" s="381">
        <f t="shared" si="38"/>
        <v>70.293420100014131</v>
      </c>
      <c r="AB84" s="193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4.60252739140447E-2</v>
      </c>
      <c r="AD84" s="227">
        <f>(INDEX(Models!$BJ84:$BT84,,AH84)*(1-AF84)+INDEX(Models!$BJ84:$BT84,,AH84+1)*AF84-ERP_i)*AE84*Ramure*Pc/MaxiM</f>
        <v>5.6548305344270018E-5</v>
      </c>
      <c r="AE84" s="301">
        <f t="shared" si="40"/>
        <v>0.5</v>
      </c>
      <c r="AF84" s="173">
        <f t="shared" si="41"/>
        <v>4.5744893178145674E-4</v>
      </c>
      <c r="AG84" s="801">
        <f t="shared" si="49"/>
        <v>1</v>
      </c>
      <c r="AH84" s="172">
        <f t="shared" si="42"/>
        <v>7</v>
      </c>
      <c r="AI84" s="221">
        <f t="shared" si="43"/>
        <v>1.0004574489317815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customHeight="1" x14ac:dyDescent="0.2">
      <c r="A85" s="56">
        <f t="shared" si="46"/>
        <v>45362</v>
      </c>
      <c r="B85" s="406">
        <f>'2023'!Wh/'2023'!Env_an*'2024'!Env_an</f>
        <v>61.961110654364418</v>
      </c>
      <c r="C85" s="385"/>
      <c r="D85" s="388">
        <f t="shared" si="25"/>
        <v>62.761853522192858</v>
      </c>
      <c r="E85" s="380">
        <f t="shared" si="47"/>
        <v>65.792060059172428</v>
      </c>
      <c r="F85" s="380">
        <f t="shared" si="26"/>
        <v>65.792279748867855</v>
      </c>
      <c r="G85" s="110">
        <f t="shared" si="48"/>
        <v>0.342955594607393</v>
      </c>
      <c r="H85" s="409" t="b">
        <f>Wh_hp&gt;='2023'!Maxi_hp</f>
        <v>0</v>
      </c>
      <c r="I85" s="375">
        <f>IF(H85,Wh_hp,'2023'!Maxi_hp)</f>
        <v>65.795608679472551</v>
      </c>
      <c r="J85" s="85">
        <f>IF(H85,An,'2023'!An_max)</f>
        <v>2022</v>
      </c>
      <c r="K85" s="193">
        <f t="shared" si="27"/>
        <v>45362</v>
      </c>
      <c r="L85" s="143">
        <f>IF(t&lt;Tvie,1-EXP((T0-t)*PertePVj)+'2023'!Pspv,1-EXP((T0-t)*PertePVj)+Pspv)</f>
        <v>1.2758432437711464E-2</v>
      </c>
      <c r="M85" s="835"/>
      <c r="N85" s="835"/>
      <c r="O85" s="48">
        <f>IF(t&lt;Tnet,'2023'!Resal+('2023'!Salim-'2023'!Resal)*(1-EXP(('2023'!Tnet-t)/('2023'!Tau_j))),Resal+(Salim-Resal)*(1-EXP((Tnet-t)/(Tau_j))))*Salcycl</f>
        <v>4.6057328714958205E-2</v>
      </c>
      <c r="P85" s="165">
        <f>(INDEX(Models!$BJ85:$BT85,,T85)*(1-R85)+INDEX(Models!$BJ85:$BT85,,T85+1)*R85-ERP_i)*Q85*Ramure*Pc/MaxiM</f>
        <v>5.4392129522985223E-5</v>
      </c>
      <c r="Q85" s="301">
        <f t="shared" si="28"/>
        <v>0.5</v>
      </c>
      <c r="R85" s="173">
        <f t="shared" si="29"/>
        <v>9.3334143113676937E-4</v>
      </c>
      <c r="S85" s="801">
        <f t="shared" si="30"/>
        <v>1</v>
      </c>
      <c r="T85" s="172">
        <f t="shared" si="31"/>
        <v>7</v>
      </c>
      <c r="U85" s="247">
        <f t="shared" si="32"/>
        <v>1.0009333414311368</v>
      </c>
      <c r="V85" s="378">
        <f t="shared" si="33"/>
        <v>180.65880340822346</v>
      </c>
      <c r="W85" s="397">
        <f t="shared" si="34"/>
        <v>61.961110654364418</v>
      </c>
      <c r="X85" s="153">
        <f t="shared" si="35"/>
        <v>45362</v>
      </c>
      <c r="Y85" s="380">
        <f t="shared" si="36"/>
        <v>61.961110654364411</v>
      </c>
      <c r="Z85" s="380">
        <f t="shared" si="37"/>
        <v>62.761853522192851</v>
      </c>
      <c r="AA85" s="381">
        <f t="shared" si="38"/>
        <v>65.792060059172428</v>
      </c>
      <c r="AB85" s="193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4.6057328714958205E-2</v>
      </c>
      <c r="AD85" s="227">
        <f>(INDEX(Models!$BJ85:$BT85,,AH85)*(1-AF85)+INDEX(Models!$BJ85:$BT85,,AH85+1)*AF85-ERP_i)*AE85*Ramure*Pc/MaxiM</f>
        <v>5.4392129522985223E-5</v>
      </c>
      <c r="AE85" s="301">
        <f t="shared" si="40"/>
        <v>0.5</v>
      </c>
      <c r="AF85" s="173">
        <f t="shared" si="41"/>
        <v>9.3334143113676937E-4</v>
      </c>
      <c r="AG85" s="801">
        <f t="shared" si="49"/>
        <v>1</v>
      </c>
      <c r="AH85" s="172">
        <f t="shared" si="42"/>
        <v>7</v>
      </c>
      <c r="AI85" s="221">
        <f t="shared" si="43"/>
        <v>1.0009333414311368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customHeight="1" x14ac:dyDescent="0.2">
      <c r="A86" s="56">
        <f t="shared" si="46"/>
        <v>45363</v>
      </c>
      <c r="B86" s="406">
        <f>'2023'!Wh/'2023'!Env_an*'2024'!Env_an</f>
        <v>54.721809200995835</v>
      </c>
      <c r="C86" s="385"/>
      <c r="D86" s="388">
        <f t="shared" si="25"/>
        <v>55.429755092248492</v>
      </c>
      <c r="E86" s="380">
        <f t="shared" si="47"/>
        <v>58.10791769061202</v>
      </c>
      <c r="F86" s="380">
        <f t="shared" si="26"/>
        <v>58.107921048212106</v>
      </c>
      <c r="G86" s="110">
        <f t="shared" si="48"/>
        <v>0.30075266598388639</v>
      </c>
      <c r="H86" s="409" t="b">
        <f>Wh_hp&gt;='2023'!Maxi_hp</f>
        <v>0</v>
      </c>
      <c r="I86" s="375">
        <f>IF(H86,Wh_hp,'2023'!Maxi_hp)</f>
        <v>58.110947281906434</v>
      </c>
      <c r="J86" s="85">
        <f>IF(H86,An,'2023'!An_max)</f>
        <v>2022</v>
      </c>
      <c r="K86" s="193">
        <f t="shared" si="27"/>
        <v>45363</v>
      </c>
      <c r="L86" s="143">
        <f>IF(t&lt;Tvie,1-EXP((T0-t)*PertePVj)+'2023'!Pspv,1-EXP((T0-t)*PertePVj)+Pspv)</f>
        <v>1.27719469457237E-2</v>
      </c>
      <c r="M86" s="835"/>
      <c r="N86" s="835"/>
      <c r="O86" s="48">
        <f>IF(t&lt;Tnet,'2023'!Resal+('2023'!Salim-'2023'!Resal)*(1-EXP(('2023'!Tnet-t)/('2023'!Tau_j))),Resal+(Salim-Resal)*(1-EXP((Tnet-t)/(Tau_j))))*Salcycl</f>
        <v>4.6089460865265455E-2</v>
      </c>
      <c r="P86" s="165">
        <f>(INDEX(Models!$BJ86:$BT86,,T86)*(1-R86)+INDEX(Models!$BJ86:$BT86,,T86+1)*R86-ERP_i)*Q86*Ramure*Pc/MaxiM</f>
        <v>5.2633186090542961E-5</v>
      </c>
      <c r="Q86" s="301">
        <f t="shared" si="28"/>
        <v>0.5</v>
      </c>
      <c r="R86" s="173">
        <f t="shared" si="29"/>
        <v>1.4282146779824867E-3</v>
      </c>
      <c r="S86" s="801">
        <f t="shared" si="30"/>
        <v>1</v>
      </c>
      <c r="T86" s="172">
        <f t="shared" si="31"/>
        <v>7</v>
      </c>
      <c r="U86" s="247">
        <f t="shared" si="32"/>
        <v>1.0014282146779825</v>
      </c>
      <c r="V86" s="378">
        <f t="shared" si="33"/>
        <v>181.93997383397331</v>
      </c>
      <c r="W86" s="397">
        <f t="shared" si="34"/>
        <v>54.721809200995835</v>
      </c>
      <c r="X86" s="153">
        <f t="shared" si="35"/>
        <v>45363</v>
      </c>
      <c r="Y86" s="380">
        <f t="shared" si="36"/>
        <v>54.721809200995835</v>
      </c>
      <c r="Z86" s="380">
        <f t="shared" si="37"/>
        <v>55.429755092248492</v>
      </c>
      <c r="AA86" s="381">
        <f t="shared" si="38"/>
        <v>58.10791769061202</v>
      </c>
      <c r="AB86" s="193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4.6089460865265455E-2</v>
      </c>
      <c r="AD86" s="227">
        <f>(INDEX(Models!$BJ86:$BT86,,AH86)*(1-AF86)+INDEX(Models!$BJ86:$BT86,,AH86+1)*AF86-ERP_i)*AE86*Ramure*Pc/MaxiM</f>
        <v>5.2633186090542961E-5</v>
      </c>
      <c r="AE86" s="301">
        <f t="shared" si="40"/>
        <v>0.5</v>
      </c>
      <c r="AF86" s="173">
        <f t="shared" si="41"/>
        <v>1.4282146779824867E-3</v>
      </c>
      <c r="AG86" s="801">
        <f t="shared" si="49"/>
        <v>1</v>
      </c>
      <c r="AH86" s="172">
        <f t="shared" si="42"/>
        <v>7</v>
      </c>
      <c r="AI86" s="221">
        <f t="shared" si="43"/>
        <v>1.0014282146779825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customHeight="1" x14ac:dyDescent="0.2">
      <c r="A87" s="56">
        <f t="shared" si="46"/>
        <v>45364</v>
      </c>
      <c r="B87" s="406">
        <f>'2023'!Wh/'2023'!Env_an*'2024'!Env_an</f>
        <v>53.702475506862704</v>
      </c>
      <c r="C87" s="385"/>
      <c r="D87" s="388">
        <f t="shared" si="25"/>
        <v>54.39797875736236</v>
      </c>
      <c r="E87" s="380">
        <f t="shared" si="47"/>
        <v>57.028216174711147</v>
      </c>
      <c r="F87" s="380">
        <f t="shared" si="26"/>
        <v>57.028216174711147</v>
      </c>
      <c r="G87" s="110">
        <f t="shared" si="48"/>
        <v>0.29310009512522645</v>
      </c>
      <c r="H87" s="409" t="b">
        <f>Wh_hp&gt;='2023'!Maxi_hp</f>
        <v>0</v>
      </c>
      <c r="I87" s="375">
        <f>IF(H87,Wh_hp,'2023'!Maxi_hp)</f>
        <v>57.031108128817166</v>
      </c>
      <c r="J87" s="85">
        <f>IF(H87,An,'2023'!An_max)</f>
        <v>2022</v>
      </c>
      <c r="K87" s="193">
        <f t="shared" si="27"/>
        <v>45364</v>
      </c>
      <c r="L87" s="143">
        <f>IF(t&lt;Tvie,1-EXP((T0-t)*PertePVj)+'2023'!Pspv,1-EXP((T0-t)*PertePVj)+Pspv)</f>
        <v>1.27854612687337E-2</v>
      </c>
      <c r="M87" s="835"/>
      <c r="N87" s="835"/>
      <c r="O87" s="48">
        <f>IF(t&lt;Tnet,'2023'!Resal+('2023'!Salim-'2023'!Resal)*(1-EXP(('2023'!Tnet-t)/('2023'!Tau_j))),Resal+(Salim-Resal)*(1-EXP((Tnet-t)/(Tau_j))))*Salcycl</f>
        <v>4.6121684909287877E-2</v>
      </c>
      <c r="P87" s="165">
        <f>(INDEX(Models!$BJ87:$BT87,,T87)*(1-R87)+INDEX(Models!$BJ87:$BT87,,T87+1)*R87-ERP_i)*Q87*Ramure*Pc/MaxiM</f>
        <v>5.1221483224169517E-5</v>
      </c>
      <c r="Q87" s="301">
        <f t="shared" si="28"/>
        <v>0.5</v>
      </c>
      <c r="R87" s="173">
        <f t="shared" si="29"/>
        <v>1.9427839110202072E-3</v>
      </c>
      <c r="S87" s="801">
        <f t="shared" si="30"/>
        <v>1</v>
      </c>
      <c r="T87" s="172">
        <f t="shared" si="31"/>
        <v>7</v>
      </c>
      <c r="U87" s="247">
        <f t="shared" si="32"/>
        <v>1.0019427839110202</v>
      </c>
      <c r="V87" s="378">
        <f t="shared" si="33"/>
        <v>183.21292172720496</v>
      </c>
      <c r="W87" s="397">
        <f t="shared" si="34"/>
        <v>53.702475506862704</v>
      </c>
      <c r="X87" s="153">
        <f t="shared" si="35"/>
        <v>45364</v>
      </c>
      <c r="Y87" s="380">
        <f t="shared" si="36"/>
        <v>53.702475506862704</v>
      </c>
      <c r="Z87" s="380">
        <f t="shared" si="37"/>
        <v>54.39797875736236</v>
      </c>
      <c r="AA87" s="381">
        <f t="shared" si="38"/>
        <v>57.028216174711147</v>
      </c>
      <c r="AB87" s="193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4.6121684909287877E-2</v>
      </c>
      <c r="AD87" s="227">
        <f>(INDEX(Models!$BJ87:$BT87,,AH87)*(1-AF87)+INDEX(Models!$BJ87:$BT87,,AH87+1)*AF87-ERP_i)*AE87*Ramure*Pc/MaxiM</f>
        <v>5.1221483224169517E-5</v>
      </c>
      <c r="AE87" s="301">
        <f t="shared" si="40"/>
        <v>0.5</v>
      </c>
      <c r="AF87" s="173">
        <f t="shared" si="41"/>
        <v>1.9427839110202072E-3</v>
      </c>
      <c r="AG87" s="801">
        <f t="shared" si="49"/>
        <v>1</v>
      </c>
      <c r="AH87" s="172">
        <f t="shared" si="42"/>
        <v>7</v>
      </c>
      <c r="AI87" s="221">
        <f t="shared" si="43"/>
        <v>1.0019427839110202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45365</v>
      </c>
      <c r="B88" s="406">
        <f>'2023'!Wh/'2023'!Env_an*'2024'!Env_an</f>
        <v>57.296548832097024</v>
      </c>
      <c r="C88" s="385"/>
      <c r="D88" s="388">
        <f t="shared" si="25"/>
        <v>58.039393603449909</v>
      </c>
      <c r="E88" s="380">
        <f t="shared" si="47"/>
        <v>60.847762194342529</v>
      </c>
      <c r="F88" s="380">
        <f t="shared" si="26"/>
        <v>60.847808348007973</v>
      </c>
      <c r="G88" s="110">
        <f t="shared" si="48"/>
        <v>0.3105719455191514</v>
      </c>
      <c r="H88" s="409" t="b">
        <f>Wh_hp&gt;='2023'!Maxi_hp</f>
        <v>0</v>
      </c>
      <c r="I88" s="375">
        <f>IF(H88,Wh_hp,'2023'!Maxi_hp)</f>
        <v>60.850782095593019</v>
      </c>
      <c r="J88" s="85">
        <f>IF(H88,An,'2023'!An_max)</f>
        <v>2022</v>
      </c>
      <c r="K88" s="193">
        <f t="shared" si="27"/>
        <v>45365</v>
      </c>
      <c r="L88" s="143">
        <f>IF(t&lt;Tvie,1-EXP((T0-t)*PertePVj)+'2023'!Pspv,1-EXP((T0-t)*PertePVj)+Pspv)</f>
        <v>1.2798975406743907E-2</v>
      </c>
      <c r="M88" s="835"/>
      <c r="N88" s="835"/>
      <c r="O88" s="48">
        <f>IF(t&lt;Tnet,'2023'!Resal+('2023'!Salim-'2023'!Resal)*(1-EXP(('2023'!Tnet-t)/('2023'!Tau_j))),Resal+(Salim-Resal)*(1-EXP((Tnet-t)/(Tau_j))))*Salcycl</f>
        <v>4.6154016016610913E-2</v>
      </c>
      <c r="P88" s="165">
        <f>(INDEX(Models!$BJ88:$BT88,,T88)*(1-R88)+INDEX(Models!$BJ88:$BT88,,T88+1)*R88-ERP_i)*Q88*Ramure*Pc/MaxiM</f>
        <v>5.0150428844308933E-5</v>
      </c>
      <c r="Q88" s="301">
        <f t="shared" si="28"/>
        <v>0.5</v>
      </c>
      <c r="R88" s="173">
        <f t="shared" si="29"/>
        <v>2.4777878426518463E-3</v>
      </c>
      <c r="S88" s="801">
        <f t="shared" si="30"/>
        <v>1</v>
      </c>
      <c r="T88" s="172">
        <f t="shared" si="31"/>
        <v>7</v>
      </c>
      <c r="U88" s="247">
        <f t="shared" si="32"/>
        <v>1.0024777878426518</v>
      </c>
      <c r="V88" s="378">
        <f t="shared" si="33"/>
        <v>184.47808847538721</v>
      </c>
      <c r="W88" s="397">
        <f t="shared" si="34"/>
        <v>57.296548832097024</v>
      </c>
      <c r="X88" s="153">
        <f t="shared" si="35"/>
        <v>45365</v>
      </c>
      <c r="Y88" s="380">
        <f t="shared" si="36"/>
        <v>57.296548832097024</v>
      </c>
      <c r="Z88" s="380">
        <f t="shared" si="37"/>
        <v>58.039393603449909</v>
      </c>
      <c r="AA88" s="381">
        <f t="shared" si="38"/>
        <v>60.847762194342529</v>
      </c>
      <c r="AB88" s="193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4.6154016016610913E-2</v>
      </c>
      <c r="AD88" s="227">
        <f>(INDEX(Models!$BJ88:$BT88,,AH88)*(1-AF88)+INDEX(Models!$BJ88:$BT88,,AH88+1)*AF88-ERP_i)*AE88*Ramure*Pc/MaxiM</f>
        <v>5.0150428844308933E-5</v>
      </c>
      <c r="AE88" s="301">
        <f t="shared" si="40"/>
        <v>0.5</v>
      </c>
      <c r="AF88" s="173">
        <f t="shared" si="41"/>
        <v>2.4777878426518463E-3</v>
      </c>
      <c r="AG88" s="801">
        <f t="shared" si="49"/>
        <v>1</v>
      </c>
      <c r="AH88" s="172">
        <f t="shared" si="42"/>
        <v>7</v>
      </c>
      <c r="AI88" s="221">
        <f t="shared" si="43"/>
        <v>1.0024777878426518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customHeight="1" x14ac:dyDescent="0.2">
      <c r="A89" s="56">
        <f t="shared" si="46"/>
        <v>45366</v>
      </c>
      <c r="B89" s="406">
        <f>'2023'!Wh/'2023'!Env_an*'2024'!Env_an</f>
        <v>38.082251407226408</v>
      </c>
      <c r="C89" s="385"/>
      <c r="D89" s="388">
        <f t="shared" si="25"/>
        <v>38.576512563989048</v>
      </c>
      <c r="E89" s="380">
        <f t="shared" si="47"/>
        <v>40.444501307534956</v>
      </c>
      <c r="F89" s="380">
        <f t="shared" si="26"/>
        <v>40.444501307534956</v>
      </c>
      <c r="G89" s="110">
        <f t="shared" si="48"/>
        <v>0.20502426567641591</v>
      </c>
      <c r="H89" s="409" t="b">
        <f>Wh_hp&gt;='2023'!Maxi_hp</f>
        <v>0</v>
      </c>
      <c r="I89" s="375">
        <f>IF(H89,Wh_hp,'2023'!Maxi_hp)</f>
        <v>40.446477610903443</v>
      </c>
      <c r="J89" s="85">
        <f>IF(H89,An,'2023'!An_max)</f>
        <v>2022</v>
      </c>
      <c r="K89" s="193">
        <f t="shared" si="27"/>
        <v>45366</v>
      </c>
      <c r="L89" s="143">
        <f>IF(t&lt;Tvie,1-EXP((T0-t)*PertePVj)+'2023'!Pspv,1-EXP((T0-t)*PertePVj)+Pspv)</f>
        <v>1.2812489359756873E-2</v>
      </c>
      <c r="M89" s="835"/>
      <c r="N89" s="835"/>
      <c r="O89" s="48">
        <f>IF(t&lt;Tnet,'2023'!Resal+('2023'!Salim-'2023'!Resal)*(1-EXP(('2023'!Tnet-t)/('2023'!Tau_j))),Resal+(Salim-Resal)*(1-EXP((Tnet-t)/(Tau_j))))*Salcycl</f>
        <v>4.618646993177028E-2</v>
      </c>
      <c r="P89" s="165">
        <f>(INDEX(Models!$BJ89:$BT89,,T89)*(1-R89)+INDEX(Models!$BJ89:$BT89,,T89+1)*R89-ERP_i)*Q89*Ramure*Pc/MaxiM</f>
        <v>4.941381011322689E-5</v>
      </c>
      <c r="Q89" s="301">
        <f t="shared" si="28"/>
        <v>0.5</v>
      </c>
      <c r="R89" s="173">
        <f t="shared" si="29"/>
        <v>3.0339891354236315E-3</v>
      </c>
      <c r="S89" s="801">
        <f t="shared" si="30"/>
        <v>1</v>
      </c>
      <c r="T89" s="172">
        <f t="shared" si="31"/>
        <v>7</v>
      </c>
      <c r="U89" s="247">
        <f t="shared" si="32"/>
        <v>1.0030339891354236</v>
      </c>
      <c r="V89" s="378">
        <f t="shared" si="33"/>
        <v>185.7359151730258</v>
      </c>
      <c r="W89" s="397">
        <f t="shared" si="34"/>
        <v>38.082251407226408</v>
      </c>
      <c r="X89" s="153">
        <f t="shared" si="35"/>
        <v>45366</v>
      </c>
      <c r="Y89" s="380">
        <f t="shared" si="36"/>
        <v>38.082251407226408</v>
      </c>
      <c r="Z89" s="380">
        <f t="shared" si="37"/>
        <v>38.576512563989048</v>
      </c>
      <c r="AA89" s="381">
        <f t="shared" si="38"/>
        <v>40.444501307534956</v>
      </c>
      <c r="AB89" s="193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4.618646993177028E-2</v>
      </c>
      <c r="AD89" s="227">
        <f>(INDEX(Models!$BJ89:$BT89,,AH89)*(1-AF89)+INDEX(Models!$BJ89:$BT89,,AH89+1)*AF89-ERP_i)*AE89*Ramure*Pc/MaxiM</f>
        <v>4.941381011322689E-5</v>
      </c>
      <c r="AE89" s="301">
        <f t="shared" si="40"/>
        <v>0.5</v>
      </c>
      <c r="AF89" s="173">
        <f t="shared" si="41"/>
        <v>3.0339891354236315E-3</v>
      </c>
      <c r="AG89" s="801">
        <f t="shared" si="49"/>
        <v>1</v>
      </c>
      <c r="AH89" s="172">
        <f t="shared" si="42"/>
        <v>7</v>
      </c>
      <c r="AI89" s="221">
        <f t="shared" si="43"/>
        <v>1.0030339891354236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customHeight="1" x14ac:dyDescent="0.2">
      <c r="A90" s="56">
        <f t="shared" si="46"/>
        <v>45367</v>
      </c>
      <c r="B90" s="406">
        <f>'2023'!Wh/'2023'!Env_an*'2024'!Env_an</f>
        <v>48.914179091173047</v>
      </c>
      <c r="C90" s="385"/>
      <c r="D90" s="388">
        <f t="shared" si="25"/>
        <v>49.549703746404774</v>
      </c>
      <c r="E90" s="380">
        <f t="shared" si="47"/>
        <v>51.950822060044096</v>
      </c>
      <c r="F90" s="380">
        <f t="shared" si="26"/>
        <v>51.950822060044096</v>
      </c>
      <c r="G90" s="110">
        <f t="shared" si="48"/>
        <v>0.26157873638056744</v>
      </c>
      <c r="H90" s="409" t="b">
        <f>Wh_hp&gt;='2023'!Maxi_hp</f>
        <v>0</v>
      </c>
      <c r="I90" s="375">
        <f>IF(H90,Wh_hp,'2023'!Maxi_hp)</f>
        <v>51.95333809562544</v>
      </c>
      <c r="J90" s="85">
        <f>IF(H90,An,'2023'!An_max)</f>
        <v>2022</v>
      </c>
      <c r="K90" s="193">
        <f t="shared" si="27"/>
        <v>45367</v>
      </c>
      <c r="L90" s="143">
        <f>IF(t&lt;Tvie,1-EXP((T0-t)*PertePVj)+'2023'!Pspv,1-EXP((T0-t)*PertePVj)+Pspv)</f>
        <v>1.2826003127775265E-2</v>
      </c>
      <c r="M90" s="835"/>
      <c r="N90" s="835"/>
      <c r="O90" s="48">
        <f>IF(t&lt;Tnet,'2023'!Resal+('2023'!Salim-'2023'!Resal)*(1-EXP(('2023'!Tnet-t)/('2023'!Tau_j))),Resal+(Salim-Resal)*(1-EXP((Tnet-t)/(Tau_j))))*Salcycl</f>
        <v>4.6219062921933049E-2</v>
      </c>
      <c r="P90" s="165">
        <f>(INDEX(Models!$BJ90:$BT90,,T90)*(1-R90)+INDEX(Models!$BJ90:$BT90,,T90+1)*R90-ERP_i)*Q90*Ramure*Pc/MaxiM</f>
        <v>4.9005784601635543E-5</v>
      </c>
      <c r="Q90" s="301">
        <f t="shared" si="28"/>
        <v>0.5</v>
      </c>
      <c r="R90" s="173">
        <f t="shared" si="29"/>
        <v>3.6121748611879223E-3</v>
      </c>
      <c r="S90" s="801">
        <f t="shared" si="30"/>
        <v>1</v>
      </c>
      <c r="T90" s="172">
        <f t="shared" si="31"/>
        <v>7</v>
      </c>
      <c r="U90" s="247">
        <f t="shared" si="32"/>
        <v>1.0036121748611879</v>
      </c>
      <c r="V90" s="378">
        <f t="shared" si="33"/>
        <v>186.98684262426988</v>
      </c>
      <c r="W90" s="397">
        <f t="shared" si="34"/>
        <v>48.914179091173047</v>
      </c>
      <c r="X90" s="153">
        <f t="shared" si="35"/>
        <v>45367</v>
      </c>
      <c r="Y90" s="380">
        <f t="shared" si="36"/>
        <v>48.914179091173047</v>
      </c>
      <c r="Z90" s="380">
        <f t="shared" si="37"/>
        <v>49.549703746404774</v>
      </c>
      <c r="AA90" s="381">
        <f t="shared" si="38"/>
        <v>51.950822060044096</v>
      </c>
      <c r="AB90" s="193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4.6219062921933049E-2</v>
      </c>
      <c r="AD90" s="227">
        <f>(INDEX(Models!$BJ90:$BT90,,AH90)*(1-AF90)+INDEX(Models!$BJ90:$BT90,,AH90+1)*AF90-ERP_i)*AE90*Ramure*Pc/MaxiM</f>
        <v>4.9005784601635543E-5</v>
      </c>
      <c r="AE90" s="301">
        <f t="shared" si="40"/>
        <v>0.5</v>
      </c>
      <c r="AF90" s="173">
        <f t="shared" si="41"/>
        <v>3.6121748611879223E-3</v>
      </c>
      <c r="AG90" s="801">
        <f t="shared" si="49"/>
        <v>1</v>
      </c>
      <c r="AH90" s="172">
        <f t="shared" si="42"/>
        <v>7</v>
      </c>
      <c r="AI90" s="221">
        <f t="shared" si="43"/>
        <v>1.0036121748611879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customHeight="1" x14ac:dyDescent="0.2">
      <c r="A91" s="56">
        <f t="shared" si="46"/>
        <v>45368</v>
      </c>
      <c r="B91" s="406">
        <f>'2023'!Wh/'2023'!Env_an*'2024'!Env_an</f>
        <v>51.642466027120008</v>
      </c>
      <c r="C91" s="385"/>
      <c r="D91" s="388">
        <f t="shared" si="25"/>
        <v>52.314154487878575</v>
      </c>
      <c r="E91" s="380">
        <f t="shared" si="47"/>
        <v>54.851118073826989</v>
      </c>
      <c r="F91" s="380">
        <f t="shared" si="26"/>
        <v>54.851118073826989</v>
      </c>
      <c r="G91" s="110">
        <f t="shared" si="48"/>
        <v>0.27434298395713208</v>
      </c>
      <c r="H91" s="409" t="b">
        <f>Wh_hp&gt;='2023'!Maxi_hp</f>
        <v>0</v>
      </c>
      <c r="I91" s="375">
        <f>IF(H91,Wh_hp,'2023'!Maxi_hp)</f>
        <v>54.853768261754404</v>
      </c>
      <c r="J91" s="85">
        <f>IF(H91,An,'2023'!An_max)</f>
        <v>2022</v>
      </c>
      <c r="K91" s="193">
        <f t="shared" si="27"/>
        <v>45368</v>
      </c>
      <c r="L91" s="143">
        <f>IF(t&lt;Tvie,1-EXP((T0-t)*PertePVj)+'2023'!Pspv,1-EXP((T0-t)*PertePVj)+Pspv)</f>
        <v>1.2839516710801524E-2</v>
      </c>
      <c r="M91" s="835"/>
      <c r="N91" s="835"/>
      <c r="O91" s="48">
        <f>IF(t&lt;Tnet,'2023'!Resal+('2023'!Salim-'2023'!Resal)*(1-EXP(('2023'!Tnet-t)/('2023'!Tau_j))),Resal+(Salim-Resal)*(1-EXP((Tnet-t)/(Tau_j))))*Salcycl</f>
        <v>4.6251811723031479E-2</v>
      </c>
      <c r="P91" s="165">
        <f>(INDEX(Models!$BJ91:$BT91,,T91)*(1-R91)+INDEX(Models!$BJ91:$BT91,,T91+1)*R91-ERP_i)*Q91*Ramure*Pc/MaxiM</f>
        <v>4.8920873184550401E-5</v>
      </c>
      <c r="Q91" s="301">
        <f t="shared" si="28"/>
        <v>0.5</v>
      </c>
      <c r="R91" s="173">
        <f t="shared" si="29"/>
        <v>4.2131569398133895E-3</v>
      </c>
      <c r="S91" s="801">
        <f t="shared" si="30"/>
        <v>1</v>
      </c>
      <c r="T91" s="172">
        <f t="shared" si="31"/>
        <v>7</v>
      </c>
      <c r="U91" s="247">
        <f t="shared" si="32"/>
        <v>1.0042131569398134</v>
      </c>
      <c r="V91" s="378">
        <f t="shared" si="33"/>
        <v>188.23131135971622</v>
      </c>
      <c r="W91" s="397">
        <f t="shared" si="34"/>
        <v>51.642466027120008</v>
      </c>
      <c r="X91" s="153">
        <f t="shared" si="35"/>
        <v>45368</v>
      </c>
      <c r="Y91" s="380">
        <f t="shared" si="36"/>
        <v>51.642466027120008</v>
      </c>
      <c r="Z91" s="380">
        <f t="shared" si="37"/>
        <v>52.314154487878575</v>
      </c>
      <c r="AA91" s="381">
        <f t="shared" si="38"/>
        <v>54.851118073826989</v>
      </c>
      <c r="AB91" s="193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4.6251811723031479E-2</v>
      </c>
      <c r="AD91" s="227">
        <f>(INDEX(Models!$BJ91:$BT91,,AH91)*(1-AF91)+INDEX(Models!$BJ91:$BT91,,AH91+1)*AF91-ERP_i)*AE91*Ramure*Pc/MaxiM</f>
        <v>4.8920873184550401E-5</v>
      </c>
      <c r="AE91" s="301">
        <f t="shared" si="40"/>
        <v>0.5</v>
      </c>
      <c r="AF91" s="173">
        <f t="shared" si="41"/>
        <v>4.2131569398133895E-3</v>
      </c>
      <c r="AG91" s="801">
        <f t="shared" si="49"/>
        <v>1</v>
      </c>
      <c r="AH91" s="172">
        <f t="shared" si="42"/>
        <v>7</v>
      </c>
      <c r="AI91" s="221">
        <f t="shared" si="43"/>
        <v>1.0042131569398134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customHeight="1" x14ac:dyDescent="0.2">
      <c r="A92" s="56">
        <f t="shared" si="46"/>
        <v>45369</v>
      </c>
      <c r="B92" s="406">
        <f>'2023'!Wh/'2023'!Env_an*'2024'!Env_an</f>
        <v>117.36247172520731</v>
      </c>
      <c r="C92" s="385"/>
      <c r="D92" s="388">
        <f t="shared" si="25"/>
        <v>118.89057587660643</v>
      </c>
      <c r="E92" s="380">
        <f t="shared" si="47"/>
        <v>124.66045165767639</v>
      </c>
      <c r="F92" s="380">
        <f t="shared" si="26"/>
        <v>124.66324786227216</v>
      </c>
      <c r="G92" s="110">
        <f t="shared" si="48"/>
        <v>0.619409315058292</v>
      </c>
      <c r="H92" s="409" t="b">
        <f>Wh_hp&gt;='2023'!Maxi_hp</f>
        <v>0</v>
      </c>
      <c r="I92" s="375">
        <f>IF(H92,Wh_hp,'2023'!Maxi_hp)</f>
        <v>124.66653595524753</v>
      </c>
      <c r="J92" s="85">
        <f>IF(H92,An,'2023'!An_max)</f>
        <v>2022</v>
      </c>
      <c r="K92" s="193">
        <f t="shared" si="27"/>
        <v>45369</v>
      </c>
      <c r="L92" s="143">
        <f>IF(t&lt;Tvie,1-EXP((T0-t)*PertePVj)+'2023'!Pspv,1-EXP((T0-t)*PertePVj)+Pspv)</f>
        <v>1.2853030108838093E-2</v>
      </c>
      <c r="M92" s="835"/>
      <c r="N92" s="835"/>
      <c r="O92" s="48">
        <f>IF(t&lt;Tnet,'2023'!Resal+('2023'!Salim-'2023'!Resal)*(1-EXP(('2023'!Tnet-t)/('2023'!Tau_j))),Resal+(Salim-Resal)*(1-EXP((Tnet-t)/(Tau_j))))*Salcycl</f>
        <v>4.6284733484796836E-2</v>
      </c>
      <c r="P92" s="165">
        <f>(INDEX(Models!$BJ92:$BT92,,T92)*(1-R92)+INDEX(Models!$BJ92:$BT92,,T92+1)*R92-ERP_i)*Q92*Ramure*Pc/MaxiM</f>
        <v>4.915395447836628E-5</v>
      </c>
      <c r="Q92" s="301">
        <f t="shared" si="28"/>
        <v>0.5</v>
      </c>
      <c r="R92" s="173">
        <f t="shared" si="29"/>
        <v>4.837772554019848E-3</v>
      </c>
      <c r="S92" s="801">
        <f t="shared" si="30"/>
        <v>1</v>
      </c>
      <c r="T92" s="172">
        <f t="shared" si="31"/>
        <v>7</v>
      </c>
      <c r="U92" s="247">
        <f t="shared" si="32"/>
        <v>1.0048377725540198</v>
      </c>
      <c r="V92" s="378">
        <f t="shared" si="33"/>
        <v>189.46976162594669</v>
      </c>
      <c r="W92" s="397">
        <f t="shared" si="34"/>
        <v>117.36247172520731</v>
      </c>
      <c r="X92" s="153">
        <f t="shared" si="35"/>
        <v>45369</v>
      </c>
      <c r="Y92" s="380">
        <f t="shared" si="36"/>
        <v>117.36247172520731</v>
      </c>
      <c r="Z92" s="380">
        <f t="shared" si="37"/>
        <v>118.89057587660643</v>
      </c>
      <c r="AA92" s="381">
        <f t="shared" si="38"/>
        <v>124.66045165767639</v>
      </c>
      <c r="AB92" s="193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4.6284733484796836E-2</v>
      </c>
      <c r="AD92" s="227">
        <f>(INDEX(Models!$BJ92:$BT92,,AH92)*(1-AF92)+INDEX(Models!$BJ92:$BT92,,AH92+1)*AF92-ERP_i)*AE92*Ramure*Pc/MaxiM</f>
        <v>4.915395447836628E-5</v>
      </c>
      <c r="AE92" s="301">
        <f t="shared" si="40"/>
        <v>0.5</v>
      </c>
      <c r="AF92" s="173">
        <f t="shared" si="41"/>
        <v>4.837772554019848E-3</v>
      </c>
      <c r="AG92" s="801">
        <f t="shared" si="49"/>
        <v>1</v>
      </c>
      <c r="AH92" s="172">
        <f t="shared" si="42"/>
        <v>7</v>
      </c>
      <c r="AI92" s="221">
        <f t="shared" si="43"/>
        <v>1.0048377725540198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45370</v>
      </c>
      <c r="B93" s="406">
        <f>'2023'!Wh/'2023'!Env_an*'2024'!Env_an</f>
        <v>125.35431641818191</v>
      </c>
      <c r="C93" s="385"/>
      <c r="D93" s="388">
        <f t="shared" si="25"/>
        <v>126.98821579811761</v>
      </c>
      <c r="E93" s="380">
        <f t="shared" si="47"/>
        <v>133.1557010137623</v>
      </c>
      <c r="F93" s="380">
        <f t="shared" si="26"/>
        <v>133.15907902028425</v>
      </c>
      <c r="G93" s="110">
        <f t="shared" si="48"/>
        <v>0.65729201057550912</v>
      </c>
      <c r="H93" s="409" t="b">
        <f>Wh_hp&gt;='2023'!Maxi_hp</f>
        <v>0</v>
      </c>
      <c r="I93" s="375">
        <f>IF(H93,Wh_hp,'2023'!Maxi_hp)</f>
        <v>133.16227442268254</v>
      </c>
      <c r="J93" s="85">
        <f>IF(H93,An,'2023'!An_max)</f>
        <v>2022</v>
      </c>
      <c r="K93" s="193">
        <f t="shared" si="27"/>
        <v>45370</v>
      </c>
      <c r="L93" s="143">
        <f>IF(t&lt;Tvie,1-EXP((T0-t)*PertePVj)+'2023'!Pspv,1-EXP((T0-t)*PertePVj)+Pspv)</f>
        <v>1.2866543321887636E-2</v>
      </c>
      <c r="M93" s="835"/>
      <c r="N93" s="835"/>
      <c r="O93" s="48">
        <f>IF(t&lt;Tnet,'2023'!Resal+('2023'!Salim-'2023'!Resal)*(1-EXP(('2023'!Tnet-t)/('2023'!Tau_j))),Resal+(Salim-Resal)*(1-EXP((Tnet-t)/(Tau_j))))*Salcycl</f>
        <v>4.6317845715124588E-2</v>
      </c>
      <c r="P93" s="165">
        <f>(INDEX(Models!$BJ93:$BT93,,T93)*(1-R93)+INDEX(Models!$BJ93:$BT93,,T93+1)*R93-ERP_i)*Q93*Ramure*Pc/MaxiM</f>
        <v>4.9698696318842359E-5</v>
      </c>
      <c r="Q93" s="301">
        <f t="shared" si="28"/>
        <v>0.5</v>
      </c>
      <c r="R93" s="173">
        <f t="shared" si="29"/>
        <v>5.4868845366413677E-3</v>
      </c>
      <c r="S93" s="801">
        <f t="shared" si="30"/>
        <v>1</v>
      </c>
      <c r="T93" s="172">
        <f t="shared" si="31"/>
        <v>7</v>
      </c>
      <c r="U93" s="247">
        <f t="shared" si="32"/>
        <v>1.0054868845366414</v>
      </c>
      <c r="V93" s="378">
        <f t="shared" si="33"/>
        <v>190.70864150420991</v>
      </c>
      <c r="W93" s="397">
        <f t="shared" si="34"/>
        <v>125.35431641818191</v>
      </c>
      <c r="X93" s="153">
        <f t="shared" si="35"/>
        <v>45370</v>
      </c>
      <c r="Y93" s="380">
        <f t="shared" si="36"/>
        <v>125.35431641818191</v>
      </c>
      <c r="Z93" s="380">
        <f t="shared" si="37"/>
        <v>126.98821579811761</v>
      </c>
      <c r="AA93" s="381">
        <f t="shared" si="38"/>
        <v>133.1557010137623</v>
      </c>
      <c r="AB93" s="193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4.6317845715124588E-2</v>
      </c>
      <c r="AD93" s="227">
        <f>(INDEX(Models!$BJ93:$BT93,,AH93)*(1-AF93)+INDEX(Models!$BJ93:$BT93,,AH93+1)*AF93-ERP_i)*AE93*Ramure*Pc/MaxiM</f>
        <v>4.9698696318842359E-5</v>
      </c>
      <c r="AE93" s="301">
        <f t="shared" si="40"/>
        <v>0.5</v>
      </c>
      <c r="AF93" s="173">
        <f t="shared" si="41"/>
        <v>5.4868845366413677E-3</v>
      </c>
      <c r="AG93" s="801">
        <f t="shared" si="49"/>
        <v>1</v>
      </c>
      <c r="AH93" s="172">
        <f t="shared" si="42"/>
        <v>7</v>
      </c>
      <c r="AI93" s="221">
        <f t="shared" si="43"/>
        <v>1.0054868845366414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customHeight="1" x14ac:dyDescent="0.2">
      <c r="A94" s="56">
        <f t="shared" si="46"/>
        <v>45371</v>
      </c>
      <c r="B94" s="406">
        <f>'2023'!Wh/'2023'!Env_an*'2024'!Env_an</f>
        <v>180.6585539276378</v>
      </c>
      <c r="C94" s="385"/>
      <c r="D94" s="388">
        <f t="shared" si="25"/>
        <v>183.01580784562151</v>
      </c>
      <c r="E94" s="380">
        <f t="shared" si="47"/>
        <v>191.91111168353223</v>
      </c>
      <c r="F94" s="380">
        <f t="shared" si="26"/>
        <v>191.91998746609846</v>
      </c>
      <c r="G94" s="110">
        <f t="shared" si="48"/>
        <v>0.94116164099095667</v>
      </c>
      <c r="H94" s="409" t="b">
        <f>Wh_hp&gt;='2023'!Maxi_hp</f>
        <v>0</v>
      </c>
      <c r="I94" s="375">
        <f>IF(H94,Wh_hp,'2023'!Maxi_hp)</f>
        <v>191.92079017384989</v>
      </c>
      <c r="J94" s="85">
        <f>IF(H94,An,'2023'!An_max)</f>
        <v>2022</v>
      </c>
      <c r="K94" s="193">
        <f t="shared" si="27"/>
        <v>45371</v>
      </c>
      <c r="L94" s="143">
        <f>IF(t&lt;Tvie,1-EXP((T0-t)*PertePVj)+'2023'!Pspv,1-EXP((T0-t)*PertePVj)+Pspv)</f>
        <v>1.2880056349952596E-2</v>
      </c>
      <c r="M94" s="835"/>
      <c r="N94" s="835"/>
      <c r="O94" s="48">
        <f>IF(t&lt;Tnet,'2023'!Resal+('2023'!Salim-'2023'!Resal)*(1-EXP(('2023'!Tnet-t)/('2023'!Tau_j))),Resal+(Salim-Resal)*(1-EXP((Tnet-t)/(Tau_j))))*Salcycl</f>
        <v>4.6351166224180826E-2</v>
      </c>
      <c r="P94" s="165">
        <f>(INDEX(Models!$BJ94:$BT94,,T94)*(1-R94)+INDEX(Models!$BJ94:$BT94,,T94+1)*R94-ERP_i)*Q94*Ramure*Pc/MaxiM</f>
        <v>5.0491032382526485E-5</v>
      </c>
      <c r="Q94" s="301">
        <f t="shared" si="28"/>
        <v>0.5</v>
      </c>
      <c r="R94" s="173">
        <f t="shared" si="29"/>
        <v>6.1613817263417303E-3</v>
      </c>
      <c r="S94" s="801">
        <f t="shared" si="30"/>
        <v>1</v>
      </c>
      <c r="T94" s="172">
        <f t="shared" si="31"/>
        <v>7</v>
      </c>
      <c r="U94" s="247">
        <f t="shared" si="32"/>
        <v>1.0061613817263417</v>
      </c>
      <c r="V94" s="378">
        <f t="shared" si="33"/>
        <v>191.95192340888468</v>
      </c>
      <c r="W94" s="397">
        <f t="shared" si="34"/>
        <v>180.6585539276378</v>
      </c>
      <c r="X94" s="153">
        <f t="shared" si="35"/>
        <v>45371</v>
      </c>
      <c r="Y94" s="380">
        <f t="shared" si="36"/>
        <v>180.6585539276378</v>
      </c>
      <c r="Z94" s="380">
        <f t="shared" si="37"/>
        <v>183.01580784562151</v>
      </c>
      <c r="AA94" s="381">
        <f t="shared" si="38"/>
        <v>191.91111168353223</v>
      </c>
      <c r="AB94" s="193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4.6351166224180826E-2</v>
      </c>
      <c r="AD94" s="227">
        <f>(INDEX(Models!$BJ94:$BT94,,AH94)*(1-AF94)+INDEX(Models!$BJ94:$BT94,,AH94+1)*AF94-ERP_i)*AE94*Ramure*Pc/MaxiM</f>
        <v>5.0491032382526485E-5</v>
      </c>
      <c r="AE94" s="301">
        <f t="shared" si="40"/>
        <v>0.5</v>
      </c>
      <c r="AF94" s="173">
        <f t="shared" si="41"/>
        <v>6.1613817263417303E-3</v>
      </c>
      <c r="AG94" s="801">
        <f t="shared" si="49"/>
        <v>1</v>
      </c>
      <c r="AH94" s="172">
        <f t="shared" si="42"/>
        <v>7</v>
      </c>
      <c r="AI94" s="221">
        <f t="shared" si="43"/>
        <v>1.0061613817263417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customHeight="1" x14ac:dyDescent="0.2">
      <c r="A95" s="56">
        <f t="shared" si="46"/>
        <v>45372</v>
      </c>
      <c r="B95" s="406">
        <f>'2023'!Wh/'2023'!Env_an*'2024'!Env_an</f>
        <v>160.85220649082643</v>
      </c>
      <c r="C95" s="385"/>
      <c r="D95" s="388">
        <f t="shared" si="25"/>
        <v>162.95325556670619</v>
      </c>
      <c r="E95" s="380">
        <f t="shared" si="47"/>
        <v>170.87944981573511</v>
      </c>
      <c r="F95" s="380">
        <f t="shared" si="26"/>
        <v>170.8861186459917</v>
      </c>
      <c r="G95" s="110">
        <f t="shared" si="48"/>
        <v>0.83257381587945423</v>
      </c>
      <c r="H95" s="409" t="b">
        <f>Wh_hp&gt;='2023'!Maxi_hp</f>
        <v>0</v>
      </c>
      <c r="I95" s="375">
        <f>IF(H95,Wh_hp,'2023'!Maxi_hp)</f>
        <v>170.88818318875792</v>
      </c>
      <c r="J95" s="85">
        <f>IF(H95,An,'2023'!An_max)</f>
        <v>2022</v>
      </c>
      <c r="K95" s="193">
        <f t="shared" si="27"/>
        <v>45372</v>
      </c>
      <c r="L95" s="143">
        <f>IF(t&lt;Tvie,1-EXP((T0-t)*PertePVj)+'2023'!Pspv,1-EXP((T0-t)*PertePVj)+Pspv)</f>
        <v>1.2893569193035637E-2</v>
      </c>
      <c r="M95" s="835"/>
      <c r="N95" s="835"/>
      <c r="O95" s="48">
        <f>IF(t&lt;Tnet,'2023'!Resal+('2023'!Salim-'2023'!Resal)*(1-EXP(('2023'!Tnet-t)/('2023'!Tau_j))),Resal+(Salim-Resal)*(1-EXP((Tnet-t)/(Tau_j))))*Salcycl</f>
        <v>4.6384713068634134E-2</v>
      </c>
      <c r="P95" s="165">
        <f>(INDEX(Models!$BJ95:$BT95,,T95)*(1-R95)+INDEX(Models!$BJ95:$BT95,,T95+1)*R95-ERP_i)*Q95*Ramure*Pc/MaxiM</f>
        <v>5.129237138522016E-5</v>
      </c>
      <c r="Q95" s="301">
        <f t="shared" si="28"/>
        <v>0.5</v>
      </c>
      <c r="R95" s="173">
        <f t="shared" si="29"/>
        <v>6.8621792875163123E-3</v>
      </c>
      <c r="S95" s="801">
        <f t="shared" si="30"/>
        <v>1</v>
      </c>
      <c r="T95" s="172">
        <f t="shared" si="31"/>
        <v>7</v>
      </c>
      <c r="U95" s="247">
        <f t="shared" si="32"/>
        <v>1.0068621792875163</v>
      </c>
      <c r="V95" s="378">
        <f t="shared" si="33"/>
        <v>193.19636302717811</v>
      </c>
      <c r="W95" s="397">
        <f t="shared" si="34"/>
        <v>160.85220649082643</v>
      </c>
      <c r="X95" s="153">
        <f t="shared" si="35"/>
        <v>45372</v>
      </c>
      <c r="Y95" s="380">
        <f t="shared" si="36"/>
        <v>160.85220649082643</v>
      </c>
      <c r="Z95" s="380">
        <f t="shared" si="37"/>
        <v>162.95325556670619</v>
      </c>
      <c r="AA95" s="381">
        <f t="shared" si="38"/>
        <v>170.87944981573511</v>
      </c>
      <c r="AB95" s="193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4.6384713068634134E-2</v>
      </c>
      <c r="AD95" s="227">
        <f>(INDEX(Models!$BJ95:$BT95,,AH95)*(1-AF95)+INDEX(Models!$BJ95:$BT95,,AH95+1)*AF95-ERP_i)*AE95*Ramure*Pc/MaxiM</f>
        <v>5.129237138522016E-5</v>
      </c>
      <c r="AE95" s="301">
        <f t="shared" si="40"/>
        <v>0.5</v>
      </c>
      <c r="AF95" s="173">
        <f t="shared" si="41"/>
        <v>6.8621792875163123E-3</v>
      </c>
      <c r="AG95" s="801">
        <f t="shared" si="49"/>
        <v>1</v>
      </c>
      <c r="AH95" s="172">
        <f t="shared" si="42"/>
        <v>7</v>
      </c>
      <c r="AI95" s="221">
        <f t="shared" si="43"/>
        <v>1.0068621792875163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45373</v>
      </c>
      <c r="B96" s="406">
        <f>'2023'!Wh/'2023'!Env_an*'2024'!Env_an</f>
        <v>192.5474511867229</v>
      </c>
      <c r="C96" s="385"/>
      <c r="D96" s="388">
        <f t="shared" si="25"/>
        <v>195.06517334539862</v>
      </c>
      <c r="E96" s="380">
        <f t="shared" si="47"/>
        <v>204.56056903912034</v>
      </c>
      <c r="F96" s="380">
        <f t="shared" si="26"/>
        <v>204.57107993190056</v>
      </c>
      <c r="G96" s="110">
        <f t="shared" si="48"/>
        <v>0.99027272051344695</v>
      </c>
      <c r="H96" s="409" t="b">
        <f>Wh_hp&gt;='2023'!Maxi_hp</f>
        <v>0</v>
      </c>
      <c r="I96" s="375">
        <f>IF(H96,Wh_hp,'2023'!Maxi_hp)</f>
        <v>204.57122568175365</v>
      </c>
      <c r="J96" s="85">
        <f>IF(H96,An,'2023'!An_max)</f>
        <v>2022</v>
      </c>
      <c r="K96" s="193">
        <f t="shared" si="27"/>
        <v>45373</v>
      </c>
      <c r="L96" s="143">
        <f>IF(t&lt;Tvie,1-EXP((T0-t)*PertePVj)+'2023'!Pspv,1-EXP((T0-t)*PertePVj)+Pspv)</f>
        <v>1.2907081851139202E-2</v>
      </c>
      <c r="M96" s="835"/>
      <c r="N96" s="835"/>
      <c r="O96" s="48">
        <f>IF(t&lt;Tnet,'2023'!Resal+('2023'!Salim-'2023'!Resal)*(1-EXP(('2023'!Tnet-t)/('2023'!Tau_j))),Resal+(Salim-Resal)*(1-EXP((Tnet-t)/(Tau_j))))*Salcycl</f>
        <v>4.6418504496366676E-2</v>
      </c>
      <c r="P96" s="165">
        <f>(INDEX(Models!$BJ96:$BT96,,T96)*(1-R96)+INDEX(Models!$BJ96:$BT96,,T96+1)*R96-ERP_i)*Q96*Ramure*Pc/MaxiM</f>
        <v>5.2104141738933898E-5</v>
      </c>
      <c r="Q96" s="301">
        <f t="shared" si="28"/>
        <v>0.5</v>
      </c>
      <c r="R96" s="173">
        <f t="shared" si="29"/>
        <v>7.5902189898109373E-3</v>
      </c>
      <c r="S96" s="801">
        <f t="shared" si="30"/>
        <v>1</v>
      </c>
      <c r="T96" s="172">
        <f t="shared" si="31"/>
        <v>7</v>
      </c>
      <c r="U96" s="247">
        <f t="shared" si="32"/>
        <v>1.0075902189898109</v>
      </c>
      <c r="V96" s="378">
        <f t="shared" si="33"/>
        <v>194.43867107332741</v>
      </c>
      <c r="W96" s="397">
        <f t="shared" si="34"/>
        <v>192.5474511867229</v>
      </c>
      <c r="X96" s="153">
        <f t="shared" si="35"/>
        <v>45373</v>
      </c>
      <c r="Y96" s="380">
        <f t="shared" si="36"/>
        <v>192.5474511867229</v>
      </c>
      <c r="Z96" s="380">
        <f t="shared" si="37"/>
        <v>195.06517334539862</v>
      </c>
      <c r="AA96" s="381">
        <f t="shared" si="38"/>
        <v>204.56056903912034</v>
      </c>
      <c r="AB96" s="193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4.6418504496366676E-2</v>
      </c>
      <c r="AD96" s="227">
        <f>(INDEX(Models!$BJ96:$BT96,,AH96)*(1-AF96)+INDEX(Models!$BJ96:$BT96,,AH96+1)*AF96-ERP_i)*AE96*Ramure*Pc/MaxiM</f>
        <v>5.2104141738933898E-5</v>
      </c>
      <c r="AE96" s="301">
        <f t="shared" si="40"/>
        <v>0.5</v>
      </c>
      <c r="AF96" s="173">
        <f t="shared" si="41"/>
        <v>7.5902189898109373E-3</v>
      </c>
      <c r="AG96" s="801">
        <f t="shared" si="49"/>
        <v>1</v>
      </c>
      <c r="AH96" s="172">
        <f t="shared" si="42"/>
        <v>7</v>
      </c>
      <c r="AI96" s="221">
        <f t="shared" si="43"/>
        <v>1.0075902189898109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customHeight="1" x14ac:dyDescent="0.2">
      <c r="A97" s="56">
        <f t="shared" si="46"/>
        <v>45374</v>
      </c>
      <c r="B97" s="406">
        <f>'2023'!Wh/'2023'!Env_an*'2024'!Env_an</f>
        <v>190.94674793456846</v>
      </c>
      <c r="C97" s="385"/>
      <c r="D97" s="388">
        <f t="shared" si="25"/>
        <v>193.44618764875381</v>
      </c>
      <c r="E97" s="380">
        <f t="shared" si="47"/>
        <v>202.87001916126027</v>
      </c>
      <c r="F97" s="380">
        <f t="shared" si="26"/>
        <v>202.88038646414418</v>
      </c>
      <c r="G97" s="110">
        <f t="shared" si="48"/>
        <v>0.97583162757836517</v>
      </c>
      <c r="H97" s="409" t="b">
        <f>Wh_hp&gt;='2023'!Maxi_hp</f>
        <v>0</v>
      </c>
      <c r="I97" s="375">
        <f>IF(H97,Wh_hp,'2023'!Maxi_hp)</f>
        <v>202.880750987478</v>
      </c>
      <c r="J97" s="85">
        <f>IF(H97,An,'2023'!An_max)</f>
        <v>2022</v>
      </c>
      <c r="K97" s="193">
        <f t="shared" si="27"/>
        <v>45374</v>
      </c>
      <c r="L97" s="143">
        <f>IF(t&lt;Tvie,1-EXP((T0-t)*PertePVj)+'2023'!Pspv,1-EXP((T0-t)*PertePVj)+Pspv)</f>
        <v>1.2920594324265733E-2</v>
      </c>
      <c r="M97" s="835"/>
      <c r="N97" s="835"/>
      <c r="O97" s="48">
        <f>IF(t&lt;Tnet,'2023'!Resal+('2023'!Salim-'2023'!Resal)*(1-EXP(('2023'!Tnet-t)/('2023'!Tau_j))),Resal+(Salim-Resal)*(1-EXP((Tnet-t)/(Tau_j))))*Salcycl</f>
        <v>4.6452558891984547E-2</v>
      </c>
      <c r="P97" s="165">
        <f>(INDEX(Models!$BJ97:$BT97,,T97)*(1-R97)+INDEX(Models!$BJ97:$BT97,,T97+1)*R97-ERP_i)*Q97*Ramure*Pc/MaxiM</f>
        <v>5.2927832041249562E-5</v>
      </c>
      <c r="Q97" s="301">
        <f t="shared" si="28"/>
        <v>0.5</v>
      </c>
      <c r="R97" s="173">
        <f t="shared" si="29"/>
        <v>8.3464694423707186E-3</v>
      </c>
      <c r="S97" s="801">
        <f t="shared" si="30"/>
        <v>1</v>
      </c>
      <c r="T97" s="172">
        <f t="shared" si="31"/>
        <v>7</v>
      </c>
      <c r="U97" s="247">
        <f t="shared" si="32"/>
        <v>1.0083464694423707</v>
      </c>
      <c r="V97" s="378">
        <f t="shared" si="33"/>
        <v>195.67555878504567</v>
      </c>
      <c r="W97" s="397">
        <f t="shared" si="34"/>
        <v>190.94674793456846</v>
      </c>
      <c r="X97" s="153">
        <f t="shared" si="35"/>
        <v>45374</v>
      </c>
      <c r="Y97" s="380">
        <f t="shared" si="36"/>
        <v>190.94674793456846</v>
      </c>
      <c r="Z97" s="380">
        <f t="shared" si="37"/>
        <v>193.44618764875381</v>
      </c>
      <c r="AA97" s="381">
        <f t="shared" si="38"/>
        <v>202.87001916126027</v>
      </c>
      <c r="AB97" s="193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4.6452558891984547E-2</v>
      </c>
      <c r="AD97" s="227">
        <f>(INDEX(Models!$BJ97:$BT97,,AH97)*(1-AF97)+INDEX(Models!$BJ97:$BT97,,AH97+1)*AF97-ERP_i)*AE97*Ramure*Pc/MaxiM</f>
        <v>5.2927832041249562E-5</v>
      </c>
      <c r="AE97" s="301">
        <f t="shared" si="40"/>
        <v>0.5</v>
      </c>
      <c r="AF97" s="173">
        <f t="shared" si="41"/>
        <v>8.3464694423707186E-3</v>
      </c>
      <c r="AG97" s="801">
        <f t="shared" si="49"/>
        <v>1</v>
      </c>
      <c r="AH97" s="172">
        <f t="shared" si="42"/>
        <v>7</v>
      </c>
      <c r="AI97" s="221">
        <f t="shared" si="43"/>
        <v>1.0083464694423707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45375</v>
      </c>
      <c r="B98" s="406">
        <f>'2023'!Wh/'2023'!Env_an*'2024'!Env_an</f>
        <v>162.68462820505957</v>
      </c>
      <c r="C98" s="385"/>
      <c r="D98" s="388">
        <f t="shared" si="25"/>
        <v>164.81638084639977</v>
      </c>
      <c r="E98" s="380">
        <f t="shared" si="47"/>
        <v>172.85172058394596</v>
      </c>
      <c r="F98" s="380">
        <f t="shared" si="26"/>
        <v>172.8587070124463</v>
      </c>
      <c r="G98" s="110">
        <f t="shared" si="48"/>
        <v>0.82620298791487379</v>
      </c>
      <c r="H98" s="409" t="b">
        <f>Wh_hp&gt;='2023'!Maxi_hp</f>
        <v>0</v>
      </c>
      <c r="I98" s="375">
        <f>IF(H98,Wh_hp,'2023'!Maxi_hp)</f>
        <v>172.86097391722259</v>
      </c>
      <c r="J98" s="85">
        <f>IF(H98,An,'2023'!An_max)</f>
        <v>2022</v>
      </c>
      <c r="K98" s="193">
        <f t="shared" si="27"/>
        <v>45375</v>
      </c>
      <c r="L98" s="143">
        <f>IF(t&lt;Tvie,1-EXP((T0-t)*PertePVj)+'2023'!Pspv,1-EXP((T0-t)*PertePVj)+Pspv)</f>
        <v>1.2934106612417895E-2</v>
      </c>
      <c r="M98" s="835"/>
      <c r="N98" s="835"/>
      <c r="O98" s="48">
        <f>IF(t&lt;Tnet,'2023'!Resal+('2023'!Salim-'2023'!Resal)*(1-EXP(('2023'!Tnet-t)/('2023'!Tau_j))),Resal+(Salim-Resal)*(1-EXP((Tnet-t)/(Tau_j))))*Salcycl</f>
        <v>4.648689472341002E-2</v>
      </c>
      <c r="P98" s="165">
        <f>(INDEX(Models!$BJ98:$BT98,,T98)*(1-R98)+INDEX(Models!$BJ98:$BT98,,T98+1)*R98-ERP_i)*Q98*Ramure*Pc/MaxiM</f>
        <v>5.37649921281408E-5</v>
      </c>
      <c r="Q98" s="301">
        <f t="shared" si="28"/>
        <v>0.5</v>
      </c>
      <c r="R98" s="173">
        <f t="shared" si="29"/>
        <v>9.1319262776179411E-3</v>
      </c>
      <c r="S98" s="801">
        <f t="shared" si="30"/>
        <v>1</v>
      </c>
      <c r="T98" s="172">
        <f t="shared" si="31"/>
        <v>7</v>
      </c>
      <c r="U98" s="247">
        <f t="shared" si="32"/>
        <v>1.0091319262776179</v>
      </c>
      <c r="V98" s="378">
        <f t="shared" si="33"/>
        <v>196.90373792156208</v>
      </c>
      <c r="W98" s="397">
        <f t="shared" si="34"/>
        <v>162.68462820505957</v>
      </c>
      <c r="X98" s="153">
        <f t="shared" si="35"/>
        <v>45375</v>
      </c>
      <c r="Y98" s="380">
        <f t="shared" si="36"/>
        <v>162.68462820505957</v>
      </c>
      <c r="Z98" s="380">
        <f t="shared" si="37"/>
        <v>164.81638084639977</v>
      </c>
      <c r="AA98" s="381">
        <f t="shared" si="38"/>
        <v>172.85172058394596</v>
      </c>
      <c r="AB98" s="193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4.648689472341002E-2</v>
      </c>
      <c r="AD98" s="227">
        <f>(INDEX(Models!$BJ98:$BT98,,AH98)*(1-AF98)+INDEX(Models!$BJ98:$BT98,,AH98+1)*AF98-ERP_i)*AE98*Ramure*Pc/MaxiM</f>
        <v>5.37649921281408E-5</v>
      </c>
      <c r="AE98" s="301">
        <f t="shared" si="40"/>
        <v>0.5</v>
      </c>
      <c r="AF98" s="173">
        <f t="shared" si="41"/>
        <v>9.1319262776179411E-3</v>
      </c>
      <c r="AG98" s="801">
        <f t="shared" si="49"/>
        <v>1</v>
      </c>
      <c r="AH98" s="172">
        <f t="shared" si="42"/>
        <v>7</v>
      </c>
      <c r="AI98" s="221">
        <f t="shared" si="43"/>
        <v>1.0091319262776179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45376</v>
      </c>
      <c r="B99" s="406">
        <f>'2023'!Wh/'2023'!Env_an*'2024'!Env_an</f>
        <v>179.37465336232927</v>
      </c>
      <c r="C99" s="385"/>
      <c r="D99" s="388">
        <f t="shared" si="25"/>
        <v>181.72759294589616</v>
      </c>
      <c r="E99" s="380">
        <f t="shared" si="47"/>
        <v>190.59433302070155</v>
      </c>
      <c r="F99" s="380">
        <f t="shared" si="26"/>
        <v>190.60333614556589</v>
      </c>
      <c r="G99" s="110">
        <f t="shared" si="48"/>
        <v>0.90537755293770372</v>
      </c>
      <c r="H99" s="409" t="b">
        <f>Wh_hp&gt;='2023'!Maxi_hp</f>
        <v>0</v>
      </c>
      <c r="I99" s="375">
        <f>IF(H99,Wh_hp,'2023'!Maxi_hp)</f>
        <v>190.60471742459274</v>
      </c>
      <c r="J99" s="85">
        <f>IF(H99,An,'2023'!An_max)</f>
        <v>2022</v>
      </c>
      <c r="K99" s="193">
        <f t="shared" si="27"/>
        <v>45376</v>
      </c>
      <c r="L99" s="143">
        <f>IF(t&lt;Tvie,1-EXP((T0-t)*PertePVj)+'2023'!Pspv,1-EXP((T0-t)*PertePVj)+Pspv)</f>
        <v>1.2947618715598241E-2</v>
      </c>
      <c r="M99" s="835"/>
      <c r="N99" s="835"/>
      <c r="O99" s="48">
        <f>IF(t&lt;Tnet,'2023'!Resal+('2023'!Salim-'2023'!Resal)*(1-EXP(('2023'!Tnet-t)/('2023'!Tau_j))),Resal+(Salim-Resal)*(1-EXP((Tnet-t)/(Tau_j))))*Salcycl</f>
        <v>4.6521530489798603E-2</v>
      </c>
      <c r="P99" s="165">
        <f>(INDEX(Models!$BJ99:$BT99,,T99)*(1-R99)+INDEX(Models!$BJ99:$BT99,,T99+1)*R99-ERP_i)*Q99*Ramure*Pc/MaxiM</f>
        <v>5.4617234584263902E-5</v>
      </c>
      <c r="Q99" s="301">
        <f t="shared" si="28"/>
        <v>0.5</v>
      </c>
      <c r="R99" s="173">
        <f t="shared" si="29"/>
        <v>9.9476122790216337E-3</v>
      </c>
      <c r="S99" s="801">
        <f t="shared" si="30"/>
        <v>1</v>
      </c>
      <c r="T99" s="172">
        <f t="shared" si="31"/>
        <v>7</v>
      </c>
      <c r="U99" s="247">
        <f t="shared" si="32"/>
        <v>1.0099476122790216</v>
      </c>
      <c r="V99" s="378">
        <f t="shared" si="33"/>
        <v>198.1199208105713</v>
      </c>
      <c r="W99" s="397">
        <f t="shared" si="34"/>
        <v>179.37465336232927</v>
      </c>
      <c r="X99" s="153">
        <f t="shared" si="35"/>
        <v>45376</v>
      </c>
      <c r="Y99" s="380">
        <f t="shared" si="36"/>
        <v>179.37465336232927</v>
      </c>
      <c r="Z99" s="380">
        <f t="shared" si="37"/>
        <v>181.72759294589616</v>
      </c>
      <c r="AA99" s="381">
        <f t="shared" si="38"/>
        <v>190.59433302070155</v>
      </c>
      <c r="AB99" s="193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4.6521530489798603E-2</v>
      </c>
      <c r="AD99" s="227">
        <f>(INDEX(Models!$BJ99:$BT99,,AH99)*(1-AF99)+INDEX(Models!$BJ99:$BT99,,AH99+1)*AF99-ERP_i)*AE99*Ramure*Pc/MaxiM</f>
        <v>5.4617234584263902E-5</v>
      </c>
      <c r="AE99" s="301">
        <f t="shared" si="40"/>
        <v>0.5</v>
      </c>
      <c r="AF99" s="173">
        <f t="shared" si="41"/>
        <v>9.9476122790216337E-3</v>
      </c>
      <c r="AG99" s="801">
        <f t="shared" si="49"/>
        <v>1</v>
      </c>
      <c r="AH99" s="172">
        <f t="shared" si="42"/>
        <v>7</v>
      </c>
      <c r="AI99" s="221">
        <f t="shared" si="43"/>
        <v>1.0099476122790216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45377</v>
      </c>
      <c r="B100" s="406">
        <f>'2023'!Wh/'2023'!Env_an*'2024'!Env_an</f>
        <v>181.32963941574835</v>
      </c>
      <c r="C100" s="385"/>
      <c r="D100" s="388">
        <f t="shared" si="25"/>
        <v>183.71073829360529</v>
      </c>
      <c r="E100" s="380">
        <f t="shared" si="47"/>
        <v>192.68130239494019</v>
      </c>
      <c r="F100" s="380">
        <f t="shared" si="26"/>
        <v>192.69062067932924</v>
      </c>
      <c r="G100" s="110">
        <f t="shared" si="48"/>
        <v>0.90973108892073262</v>
      </c>
      <c r="H100" s="409" t="b">
        <f>Wh_hp&gt;='2023'!Maxi_hp</f>
        <v>0</v>
      </c>
      <c r="I100" s="375">
        <f>IF(H100,Wh_hp,'2023'!Maxi_hp)</f>
        <v>192.69197360418002</v>
      </c>
      <c r="J100" s="85">
        <f>IF(H100,An,'2023'!An_max)</f>
        <v>2022</v>
      </c>
      <c r="K100" s="193">
        <f t="shared" si="27"/>
        <v>45377</v>
      </c>
      <c r="L100" s="143">
        <f>IF(t&lt;Tvie,1-EXP((T0-t)*PertePVj)+'2023'!Pspv,1-EXP((T0-t)*PertePVj)+Pspv)</f>
        <v>1.2961130633809215E-2</v>
      </c>
      <c r="M100" s="835"/>
      <c r="N100" s="835"/>
      <c r="O100" s="48">
        <f>IF(t&lt;Tnet,'2023'!Resal+('2023'!Salim-'2023'!Resal)*(1-EXP(('2023'!Tnet-t)/('2023'!Tau_j))),Resal+(Salim-Resal)*(1-EXP((Tnet-t)/(Tau_j))))*Salcycl</f>
        <v>4.6556484670982203E-2</v>
      </c>
      <c r="P100" s="165">
        <f>(INDEX(Models!$BJ100:$BT100,,T100)*(1-R100)+INDEX(Models!$BJ100:$BT100,,T100+1)*R100-ERP_i)*Q100*Ramure*Pc/MaxiM</f>
        <v>5.5517569741156289E-5</v>
      </c>
      <c r="Q100" s="301">
        <f t="shared" si="28"/>
        <v>0.5</v>
      </c>
      <c r="R100" s="173">
        <f t="shared" si="29"/>
        <v>1.0794577446986198E-2</v>
      </c>
      <c r="S100" s="801">
        <f t="shared" si="30"/>
        <v>1</v>
      </c>
      <c r="T100" s="172">
        <f t="shared" si="31"/>
        <v>7</v>
      </c>
      <c r="U100" s="247">
        <f t="shared" si="32"/>
        <v>1.0107945774469862</v>
      </c>
      <c r="V100" s="378">
        <f t="shared" si="33"/>
        <v>199.32081409718791</v>
      </c>
      <c r="W100" s="397">
        <f t="shared" si="34"/>
        <v>181.32963941574835</v>
      </c>
      <c r="X100" s="153">
        <f t="shared" si="35"/>
        <v>45377</v>
      </c>
      <c r="Y100" s="380">
        <f t="shared" si="36"/>
        <v>181.32963941574835</v>
      </c>
      <c r="Z100" s="380">
        <f t="shared" si="37"/>
        <v>183.71073829360529</v>
      </c>
      <c r="AA100" s="381">
        <f t="shared" si="38"/>
        <v>192.68130239494019</v>
      </c>
      <c r="AB100" s="193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4.6556484670982203E-2</v>
      </c>
      <c r="AD100" s="227">
        <f>(INDEX(Models!$BJ100:$BT100,,AH100)*(1-AF100)+INDEX(Models!$BJ100:$BT100,,AH100+1)*AF100-ERP_i)*AE100*Ramure*Pc/MaxiM</f>
        <v>5.5517569741156289E-5</v>
      </c>
      <c r="AE100" s="301">
        <f t="shared" si="40"/>
        <v>0.5</v>
      </c>
      <c r="AF100" s="173">
        <f t="shared" si="41"/>
        <v>1.0794577446986198E-2</v>
      </c>
      <c r="AG100" s="801">
        <f t="shared" si="49"/>
        <v>1</v>
      </c>
      <c r="AH100" s="172">
        <f t="shared" si="42"/>
        <v>7</v>
      </c>
      <c r="AI100" s="221">
        <f t="shared" si="43"/>
        <v>1.0107945774469862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45378</v>
      </c>
      <c r="B101" s="406">
        <f>'2023'!Wh/'2023'!Env_an*'2024'!Env_an</f>
        <v>142.97651264612477</v>
      </c>
      <c r="C101" s="385"/>
      <c r="D101" s="388">
        <f t="shared" si="25"/>
        <v>144.85596701285016</v>
      </c>
      <c r="E101" s="380">
        <f t="shared" si="47"/>
        <v>151.93488299930763</v>
      </c>
      <c r="F101" s="380">
        <f t="shared" si="26"/>
        <v>151.93993992298974</v>
      </c>
      <c r="G101" s="110">
        <f t="shared" si="48"/>
        <v>0.71307214375506789</v>
      </c>
      <c r="H101" s="409" t="b">
        <f>Wh_hp&gt;='2023'!Maxi_hp</f>
        <v>0</v>
      </c>
      <c r="I101" s="375">
        <f>IF(H101,Wh_hp,'2023'!Maxi_hp)</f>
        <v>151.9433815966527</v>
      </c>
      <c r="J101" s="85">
        <f>IF(H101,An,'2023'!An_max)</f>
        <v>2022</v>
      </c>
      <c r="K101" s="193">
        <f t="shared" si="27"/>
        <v>45378</v>
      </c>
      <c r="L101" s="143">
        <f>IF(t&lt;Tvie,1-EXP((T0-t)*PertePVj)+'2023'!Pspv,1-EXP((T0-t)*PertePVj)+Pspv)</f>
        <v>1.2974642367053257E-2</v>
      </c>
      <c r="M101" s="835"/>
      <c r="N101" s="835"/>
      <c r="O101" s="48">
        <f>IF(t&lt;Tnet,'2023'!Resal+('2023'!Salim-'2023'!Resal)*(1-EXP(('2023'!Tnet-t)/('2023'!Tau_j))),Resal+(Salim-Resal)*(1-EXP((Tnet-t)/(Tau_j))))*Salcycl</f>
        <v>4.6591775678595994E-2</v>
      </c>
      <c r="P101" s="165">
        <f>(INDEX(Models!$BJ101:$BT101,,T101)*(1-R101)+INDEX(Models!$BJ101:$BT101,,T101+1)*R101-ERP_i)*Q101*Ramure*Pc/MaxiM</f>
        <v>5.6398720241527E-5</v>
      </c>
      <c r="Q101" s="301">
        <f t="shared" si="28"/>
        <v>0.5</v>
      </c>
      <c r="R101" s="173">
        <f t="shared" si="29"/>
        <v>1.16738989966505E-2</v>
      </c>
      <c r="S101" s="801">
        <f t="shared" si="30"/>
        <v>1</v>
      </c>
      <c r="T101" s="172">
        <f t="shared" si="31"/>
        <v>7</v>
      </c>
      <c r="U101" s="247">
        <f t="shared" si="32"/>
        <v>1.0116738989966505</v>
      </c>
      <c r="V101" s="378">
        <f t="shared" si="33"/>
        <v>200.50314501183198</v>
      </c>
      <c r="W101" s="397">
        <f t="shared" si="34"/>
        <v>142.97651264612477</v>
      </c>
      <c r="X101" s="153">
        <f t="shared" si="35"/>
        <v>45378</v>
      </c>
      <c r="Y101" s="380">
        <f t="shared" si="36"/>
        <v>142.97651264612477</v>
      </c>
      <c r="Z101" s="380">
        <f t="shared" si="37"/>
        <v>144.85596701285016</v>
      </c>
      <c r="AA101" s="381">
        <f t="shared" si="38"/>
        <v>151.93488299930763</v>
      </c>
      <c r="AB101" s="193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4.6591775678595994E-2</v>
      </c>
      <c r="AD101" s="227">
        <f>(INDEX(Models!$BJ101:$BT101,,AH101)*(1-AF101)+INDEX(Models!$BJ101:$BT101,,AH101+1)*AF101-ERP_i)*AE101*Ramure*Pc/MaxiM</f>
        <v>5.6398720241527E-5</v>
      </c>
      <c r="AE101" s="301">
        <f t="shared" si="40"/>
        <v>0.5</v>
      </c>
      <c r="AF101" s="173">
        <f t="shared" si="41"/>
        <v>1.16738989966505E-2</v>
      </c>
      <c r="AG101" s="801">
        <f t="shared" si="49"/>
        <v>1</v>
      </c>
      <c r="AH101" s="172">
        <f t="shared" si="42"/>
        <v>7</v>
      </c>
      <c r="AI101" s="221">
        <f t="shared" si="43"/>
        <v>1.0116738989966505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45379</v>
      </c>
      <c r="B102" s="406">
        <f>'2023'!Wh/'2023'!Env_an*'2024'!Env_an</f>
        <v>112.42712910791053</v>
      </c>
      <c r="C102" s="385"/>
      <c r="D102" s="388">
        <f t="shared" si="25"/>
        <v>113.90656510749358</v>
      </c>
      <c r="E102" s="380">
        <f t="shared" si="47"/>
        <v>119.47749254927048</v>
      </c>
      <c r="F102" s="380">
        <f t="shared" si="26"/>
        <v>119.48000932260298</v>
      </c>
      <c r="G102" s="110">
        <f t="shared" si="48"/>
        <v>0.55747811634408895</v>
      </c>
      <c r="H102" s="409" t="b">
        <f>Wh_hp&gt;='2023'!Maxi_hp</f>
        <v>0</v>
      </c>
      <c r="I102" s="375">
        <f>IF(H102,Wh_hp,'2023'!Maxi_hp)</f>
        <v>119.48424336256193</v>
      </c>
      <c r="J102" s="85">
        <f>IF(H102,An,'2023'!An_max)</f>
        <v>2022</v>
      </c>
      <c r="K102" s="193">
        <f t="shared" si="27"/>
        <v>45379</v>
      </c>
      <c r="L102" s="143">
        <f>IF(t&lt;Tvie,1-EXP((T0-t)*PertePVj)+'2023'!Pspv,1-EXP((T0-t)*PertePVj)+Pspv)</f>
        <v>1.2988153915333145E-2</v>
      </c>
      <c r="M102" s="835"/>
      <c r="N102" s="835"/>
      <c r="O102" s="48">
        <f>IF(t&lt;Tnet,'2023'!Resal+('2023'!Salim-'2023'!Resal)*(1-EXP(('2023'!Tnet-t)/('2023'!Tau_j))),Resal+(Salim-Resal)*(1-EXP((Tnet-t)/(Tau_j))))*Salcycl</f>
        <v>4.6627421809003422E-2</v>
      </c>
      <c r="P102" s="165">
        <f>(INDEX(Models!$BJ102:$BT102,,T102)*(1-R102)+INDEX(Models!$BJ102:$BT102,,T102+1)*R102-ERP_i)*Q102*Ramure*Pc/MaxiM</f>
        <v>5.7262793939503172E-5</v>
      </c>
      <c r="Q102" s="301">
        <f t="shared" si="28"/>
        <v>0.5</v>
      </c>
      <c r="R102" s="173">
        <f t="shared" si="29"/>
        <v>1.2586681281036904E-2</v>
      </c>
      <c r="S102" s="801">
        <f t="shared" si="30"/>
        <v>1</v>
      </c>
      <c r="T102" s="172">
        <f t="shared" si="31"/>
        <v>7</v>
      </c>
      <c r="U102" s="247">
        <f t="shared" si="32"/>
        <v>1.0125866812810369</v>
      </c>
      <c r="V102" s="378">
        <f t="shared" si="33"/>
        <v>201.66362776111112</v>
      </c>
      <c r="W102" s="397">
        <f t="shared" si="34"/>
        <v>112.42712910791053</v>
      </c>
      <c r="X102" s="153">
        <f t="shared" si="35"/>
        <v>45379</v>
      </c>
      <c r="Y102" s="380">
        <f t="shared" si="36"/>
        <v>112.42712910791053</v>
      </c>
      <c r="Z102" s="380">
        <f t="shared" si="37"/>
        <v>113.90656510749358</v>
      </c>
      <c r="AA102" s="381">
        <f t="shared" si="38"/>
        <v>119.47749254927048</v>
      </c>
      <c r="AB102" s="193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4.6627421809003422E-2</v>
      </c>
      <c r="AD102" s="227">
        <f>(INDEX(Models!$BJ102:$BT102,,AH102)*(1-AF102)+INDEX(Models!$BJ102:$BT102,,AH102+1)*AF102-ERP_i)*AE102*Ramure*Pc/MaxiM</f>
        <v>5.7262793939503172E-5</v>
      </c>
      <c r="AE102" s="301">
        <f t="shared" si="40"/>
        <v>0.5</v>
      </c>
      <c r="AF102" s="173">
        <f t="shared" si="41"/>
        <v>1.2586681281036904E-2</v>
      </c>
      <c r="AG102" s="801">
        <f t="shared" si="49"/>
        <v>1</v>
      </c>
      <c r="AH102" s="172">
        <f t="shared" si="42"/>
        <v>7</v>
      </c>
      <c r="AI102" s="221">
        <f t="shared" si="43"/>
        <v>1.0125866812810369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45380</v>
      </c>
      <c r="B103" s="406">
        <f>'2023'!Wh/'2023'!Env_an*'2024'!Env_an</f>
        <v>29.535048279993745</v>
      </c>
      <c r="C103" s="385"/>
      <c r="D103" s="388">
        <f t="shared" si="25"/>
        <v>29.924111562287628</v>
      </c>
      <c r="E103" s="380">
        <f t="shared" si="47"/>
        <v>31.388822012547426</v>
      </c>
      <c r="F103" s="380">
        <f t="shared" si="26"/>
        <v>31.388822012547426</v>
      </c>
      <c r="G103" s="110">
        <f t="shared" si="48"/>
        <v>0.14562860400773675</v>
      </c>
      <c r="H103" s="409" t="b">
        <f>Wh_hp&gt;='2023'!Maxi_hp</f>
        <v>0</v>
      </c>
      <c r="I103" s="375">
        <f>IF(H103,Wh_hp,'2023'!Maxi_hp)</f>
        <v>31.39060598359443</v>
      </c>
      <c r="J103" s="85">
        <f>IF(H103,An,'2023'!An_max)</f>
        <v>2022</v>
      </c>
      <c r="K103" s="193">
        <f t="shared" si="27"/>
        <v>45380</v>
      </c>
      <c r="L103" s="143">
        <f>IF(t&lt;Tvie,1-EXP((T0-t)*PertePVj)+'2023'!Pspv,1-EXP((T0-t)*PertePVj)+Pspv)</f>
        <v>1.300166527865132E-2</v>
      </c>
      <c r="M103" s="835"/>
      <c r="N103" s="835"/>
      <c r="O103" s="48">
        <f>IF(t&lt;Tnet,'2023'!Resal+('2023'!Salim-'2023'!Resal)*(1-EXP(('2023'!Tnet-t)/('2023'!Tau_j))),Resal+(Salim-Resal)*(1-EXP((Tnet-t)/(Tau_j))))*Salcycl</f>
        <v>4.666344119808926E-2</v>
      </c>
      <c r="P103" s="165">
        <f>(INDEX(Models!$BJ103:$BT103,,T103)*(1-R103)+INDEX(Models!$BJ103:$BT103,,T103+1)*R103-ERP_i)*Q103*Ramure*Pc/MaxiM</f>
        <v>5.8111897952610617E-5</v>
      </c>
      <c r="Q103" s="301">
        <f t="shared" si="28"/>
        <v>0.5</v>
      </c>
      <c r="R103" s="173">
        <f t="shared" si="29"/>
        <v>1.3534055632655084E-2</v>
      </c>
      <c r="S103" s="801">
        <f t="shared" si="30"/>
        <v>1</v>
      </c>
      <c r="T103" s="172">
        <f t="shared" si="31"/>
        <v>7</v>
      </c>
      <c r="U103" s="247">
        <f t="shared" si="32"/>
        <v>1.0135340556326551</v>
      </c>
      <c r="V103" s="378">
        <f t="shared" si="33"/>
        <v>202.79897718935126</v>
      </c>
      <c r="W103" s="397">
        <f t="shared" si="34"/>
        <v>29.535048279993745</v>
      </c>
      <c r="X103" s="153">
        <f t="shared" si="35"/>
        <v>45380</v>
      </c>
      <c r="Y103" s="380">
        <f t="shared" si="36"/>
        <v>29.535048279993745</v>
      </c>
      <c r="Z103" s="380">
        <f t="shared" si="37"/>
        <v>29.924111562287628</v>
      </c>
      <c r="AA103" s="381">
        <f t="shared" si="38"/>
        <v>31.388822012547426</v>
      </c>
      <c r="AB103" s="193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4.666344119808926E-2</v>
      </c>
      <c r="AD103" s="227">
        <f>(INDEX(Models!$BJ103:$BT103,,AH103)*(1-AF103)+INDEX(Models!$BJ103:$BT103,,AH103+1)*AF103-ERP_i)*AE103*Ramure*Pc/MaxiM</f>
        <v>5.8111897952610617E-5</v>
      </c>
      <c r="AE103" s="301">
        <f t="shared" si="40"/>
        <v>0.5</v>
      </c>
      <c r="AF103" s="173">
        <f t="shared" si="41"/>
        <v>1.3534055632655084E-2</v>
      </c>
      <c r="AG103" s="801">
        <f t="shared" si="49"/>
        <v>1</v>
      </c>
      <c r="AH103" s="172">
        <f t="shared" si="42"/>
        <v>7</v>
      </c>
      <c r="AI103" s="221">
        <f t="shared" si="43"/>
        <v>1.0135340556326551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45381</v>
      </c>
      <c r="B104" s="406">
        <f>'2023'!Wh/'2023'!Env_an*'2024'!Env_an</f>
        <v>85.455880721998895</v>
      </c>
      <c r="C104" s="385"/>
      <c r="D104" s="388">
        <f t="shared" si="25"/>
        <v>86.582770761597942</v>
      </c>
      <c r="E104" s="380">
        <f t="shared" si="47"/>
        <v>90.824249763391592</v>
      </c>
      <c r="F104" s="380">
        <f t="shared" si="26"/>
        <v>90.825160663091054</v>
      </c>
      <c r="G104" s="110">
        <f t="shared" si="48"/>
        <v>0.4190741736968317</v>
      </c>
      <c r="H104" s="409" t="b">
        <f>Wh_hp&gt;='2023'!Maxi_hp</f>
        <v>0</v>
      </c>
      <c r="I104" s="375">
        <f>IF(H104,Wh_hp,'2023'!Maxi_hp)</f>
        <v>90.829501711386541</v>
      </c>
      <c r="J104" s="85">
        <f>IF(H104,An,'2023'!An_max)</f>
        <v>2022</v>
      </c>
      <c r="K104" s="193">
        <f t="shared" si="27"/>
        <v>45381</v>
      </c>
      <c r="L104" s="143">
        <f>IF(t&lt;Tvie,1-EXP((T0-t)*PertePVj)+'2023'!Pspv,1-EXP((T0-t)*PertePVj)+Pspv)</f>
        <v>1.3015176457010114E-2</v>
      </c>
      <c r="M104" s="835"/>
      <c r="N104" s="835"/>
      <c r="O104" s="48">
        <f>IF(t&lt;Tnet,'2023'!Resal+('2023'!Salim-'2023'!Resal)*(1-EXP(('2023'!Tnet-t)/('2023'!Tau_j))),Resal+(Salim-Resal)*(1-EXP((Tnet-t)/(Tau_j))))*Salcycl</f>
        <v>4.6699851777947242E-2</v>
      </c>
      <c r="P104" s="165">
        <f>(INDEX(Models!$BJ104:$BT104,,T104)*(1-R104)+INDEX(Models!$BJ104:$BT104,,T104+1)*R104-ERP_i)*Q104*Ramure*Pc/MaxiM</f>
        <v>5.8948136199984463E-5</v>
      </c>
      <c r="Q104" s="301">
        <f t="shared" si="28"/>
        <v>0.5</v>
      </c>
      <c r="R104" s="173">
        <f t="shared" si="29"/>
        <v>1.4517180116319528E-2</v>
      </c>
      <c r="S104" s="801">
        <f t="shared" si="30"/>
        <v>1</v>
      </c>
      <c r="T104" s="172">
        <f t="shared" si="31"/>
        <v>7</v>
      </c>
      <c r="U104" s="247">
        <f t="shared" si="32"/>
        <v>1.0145171801163195</v>
      </c>
      <c r="V104" s="378">
        <f t="shared" si="33"/>
        <v>203.90590885552402</v>
      </c>
      <c r="W104" s="397">
        <f t="shared" si="34"/>
        <v>85.455880721998895</v>
      </c>
      <c r="X104" s="153">
        <f t="shared" si="35"/>
        <v>45381</v>
      </c>
      <c r="Y104" s="380">
        <f t="shared" si="36"/>
        <v>85.455880721998895</v>
      </c>
      <c r="Z104" s="380">
        <f t="shared" si="37"/>
        <v>86.582770761597942</v>
      </c>
      <c r="AA104" s="381">
        <f t="shared" si="38"/>
        <v>90.824249763391592</v>
      </c>
      <c r="AB104" s="193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4.6699851777947242E-2</v>
      </c>
      <c r="AD104" s="227">
        <f>(INDEX(Models!$BJ104:$BT104,,AH104)*(1-AF104)+INDEX(Models!$BJ104:$BT104,,AH104+1)*AF104-ERP_i)*AE104*Ramure*Pc/MaxiM</f>
        <v>5.8948136199984463E-5</v>
      </c>
      <c r="AE104" s="301">
        <f t="shared" si="40"/>
        <v>0.5</v>
      </c>
      <c r="AF104" s="173">
        <f t="shared" si="41"/>
        <v>1.4517180116319528E-2</v>
      </c>
      <c r="AG104" s="801">
        <f t="shared" si="49"/>
        <v>1</v>
      </c>
      <c r="AH104" s="172">
        <f t="shared" si="42"/>
        <v>7</v>
      </c>
      <c r="AI104" s="221">
        <f t="shared" si="43"/>
        <v>1.0145171801163195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customHeight="1" x14ac:dyDescent="0.2">
      <c r="A105" s="56">
        <f t="shared" si="46"/>
        <v>45382</v>
      </c>
      <c r="B105" s="406">
        <f>'2023'!Wh/'2023'!Env_an*'2024'!Env_an</f>
        <v>145.05768121994154</v>
      </c>
      <c r="C105" s="385"/>
      <c r="D105" s="388">
        <f t="shared" si="25"/>
        <v>146.97254051409271</v>
      </c>
      <c r="E105" s="380">
        <f t="shared" si="47"/>
        <v>154.1783220640323</v>
      </c>
      <c r="F105" s="380">
        <f t="shared" si="26"/>
        <v>154.18368931308081</v>
      </c>
      <c r="G105" s="110">
        <f t="shared" si="48"/>
        <v>0.70764588748640977</v>
      </c>
      <c r="H105" s="409" t="b">
        <f>Wh_hp&gt;='2023'!Maxi_hp</f>
        <v>0</v>
      </c>
      <c r="I105" s="375">
        <f>IF(H105,Wh_hp,'2023'!Maxi_hp)</f>
        <v>154.18744589130031</v>
      </c>
      <c r="J105" s="85">
        <f>IF(H105,An,'2023'!An_max)</f>
        <v>2022</v>
      </c>
      <c r="K105" s="193">
        <f t="shared" si="27"/>
        <v>45382</v>
      </c>
      <c r="L105" s="143">
        <f>IF(t&lt;Tvie,1-EXP((T0-t)*PertePVj)+'2023'!Pspv,1-EXP((T0-t)*PertePVj)+Pspv)</f>
        <v>1.3028687450412302E-2</v>
      </c>
      <c r="M105" s="835"/>
      <c r="N105" s="835"/>
      <c r="O105" s="48">
        <f>IF(t&lt;Tnet,'2023'!Resal+('2023'!Salim-'2023'!Resal)*(1-EXP(('2023'!Tnet-t)/('2023'!Tau_j))),Resal+(Salim-Resal)*(1-EXP((Tnet-t)/(Tau_j))))*Salcycl</f>
        <v>4.6736671235447329E-2</v>
      </c>
      <c r="P105" s="165">
        <f>(INDEX(Models!$BJ105:$BT105,,T105)*(1-R105)+INDEX(Models!$BJ105:$BT105,,T105+1)*R105-ERP_i)*Q105*Ramure*Pc/MaxiM</f>
        <v>5.9773607670843771E-5</v>
      </c>
      <c r="Q105" s="301">
        <f t="shared" si="28"/>
        <v>0.5</v>
      </c>
      <c r="R105" s="173">
        <f t="shared" si="29"/>
        <v>1.553723918560479E-2</v>
      </c>
      <c r="S105" s="801">
        <f t="shared" si="30"/>
        <v>1</v>
      </c>
      <c r="T105" s="172">
        <f t="shared" si="31"/>
        <v>7</v>
      </c>
      <c r="U105" s="247">
        <f t="shared" si="32"/>
        <v>1.0155372391856048</v>
      </c>
      <c r="V105" s="378">
        <f t="shared" si="33"/>
        <v>204.98113901870849</v>
      </c>
      <c r="W105" s="397">
        <f t="shared" si="34"/>
        <v>145.05768121994154</v>
      </c>
      <c r="X105" s="153">
        <f t="shared" si="35"/>
        <v>45382</v>
      </c>
      <c r="Y105" s="380">
        <f t="shared" si="36"/>
        <v>145.05768121994154</v>
      </c>
      <c r="Z105" s="380">
        <f t="shared" si="37"/>
        <v>146.97254051409271</v>
      </c>
      <c r="AA105" s="381">
        <f t="shared" si="38"/>
        <v>154.1783220640323</v>
      </c>
      <c r="AB105" s="193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4.6736671235447329E-2</v>
      </c>
      <c r="AD105" s="227">
        <f>(INDEX(Models!$BJ105:$BT105,,AH105)*(1-AF105)+INDEX(Models!$BJ105:$BT105,,AH105+1)*AF105-ERP_i)*AE105*Ramure*Pc/MaxiM</f>
        <v>5.9773607670843771E-5</v>
      </c>
      <c r="AE105" s="301">
        <f t="shared" si="40"/>
        <v>0.5</v>
      </c>
      <c r="AF105" s="173">
        <f t="shared" si="41"/>
        <v>1.553723918560479E-2</v>
      </c>
      <c r="AG105" s="801">
        <f t="shared" si="49"/>
        <v>1</v>
      </c>
      <c r="AH105" s="172">
        <f t="shared" si="42"/>
        <v>7</v>
      </c>
      <c r="AI105" s="221">
        <f t="shared" si="43"/>
        <v>1.0155372391856048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customHeight="1" x14ac:dyDescent="0.2">
      <c r="A106" s="56">
        <f t="shared" si="46"/>
        <v>45383</v>
      </c>
      <c r="B106" s="406">
        <f>'2023'!Wh/'2023'!Env_an*'2024'!Env_an</f>
        <v>73.845696991848342</v>
      </c>
      <c r="C106" s="385"/>
      <c r="D106" s="388">
        <f t="shared" si="25"/>
        <v>74.821534275906842</v>
      </c>
      <c r="E106" s="380">
        <f t="shared" si="47"/>
        <v>75.426187894521505</v>
      </c>
      <c r="F106" s="380">
        <f t="shared" si="26"/>
        <v>75.426477984159661</v>
      </c>
      <c r="G106" s="110">
        <f t="shared" si="48"/>
        <v>0.34441314148486801</v>
      </c>
      <c r="H106" s="409" t="b">
        <f>Wh_hp&gt;='2023'!Maxi_hp</f>
        <v>0</v>
      </c>
      <c r="I106" s="375">
        <f>IF(H106,Wh_hp,'2023'!Maxi_hp)</f>
        <v>75.430650895015674</v>
      </c>
      <c r="J106" s="85">
        <f>IF(H106,An,'2023'!An_max)</f>
        <v>2022</v>
      </c>
      <c r="K106" s="193">
        <f t="shared" si="27"/>
        <v>45383</v>
      </c>
      <c r="L106" s="143">
        <f>IF(t&lt;Tvie,1-EXP((T0-t)*PertePVj)+'2023'!Pspv,1-EXP((T0-t)*PertePVj)+Pspv)</f>
        <v>1.3042198258860438E-2</v>
      </c>
      <c r="M106" s="835"/>
      <c r="N106" s="835"/>
      <c r="O106" s="48">
        <f>IF(t&lt;Tnet,'2023'!Resal+('2023'!Salim-'2023'!Resal)*(1-EXP(('2023'!Tnet-t)/('2023'!Tau_j))),Resal+(Salim-Resal)*(1-EXP((Tnet-t)/(Tau_j))))*Salcycl</f>
        <v>8.0164944761657204E-3</v>
      </c>
      <c r="P106" s="165">
        <f>(INDEX(Models!$BJ106:$BT106,,T106)*(1-R106)+INDEX(Models!$BJ106:$BT106,,T106+1)*R106-ERP_i)*Q106*Ramure*Pc/MaxiM</f>
        <v>6.0590405351795255E-5</v>
      </c>
      <c r="Q106" s="301">
        <f t="shared" si="28"/>
        <v>0.5</v>
      </c>
      <c r="R106" s="173">
        <f t="shared" si="29"/>
        <v>1.6595443235044138E-2</v>
      </c>
      <c r="S106" s="801">
        <f t="shared" si="30"/>
        <v>1</v>
      </c>
      <c r="T106" s="172">
        <f t="shared" si="31"/>
        <v>7</v>
      </c>
      <c r="U106" s="247">
        <f t="shared" si="32"/>
        <v>1.0165954432350441</v>
      </c>
      <c r="V106" s="378">
        <f t="shared" si="33"/>
        <v>214.39805207963965</v>
      </c>
      <c r="W106" s="397">
        <f t="shared" si="34"/>
        <v>73.845696991848342</v>
      </c>
      <c r="X106" s="153">
        <f t="shared" si="35"/>
        <v>45383</v>
      </c>
      <c r="Y106" s="380">
        <f t="shared" si="36"/>
        <v>70.960498939742308</v>
      </c>
      <c r="Z106" s="380">
        <f t="shared" si="37"/>
        <v>71.898209644381438</v>
      </c>
      <c r="AA106" s="381">
        <f t="shared" si="38"/>
        <v>75.426187894521505</v>
      </c>
      <c r="AB106" s="193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4.6773916972626374E-2</v>
      </c>
      <c r="AD106" s="227">
        <f>(INDEX(Models!$BJ106:$BT106,,AH106)*(1-AF106)+INDEX(Models!$BJ106:$BT106,,AH106+1)*AF106-ERP_i)*AE106*Ramure*Pc/MaxiM</f>
        <v>6.0590405351795255E-5</v>
      </c>
      <c r="AE106" s="301">
        <f t="shared" si="40"/>
        <v>0.5</v>
      </c>
      <c r="AF106" s="173">
        <f t="shared" si="41"/>
        <v>1.6595443235044138E-2</v>
      </c>
      <c r="AG106" s="801">
        <f t="shared" si="49"/>
        <v>1</v>
      </c>
      <c r="AH106" s="172">
        <f t="shared" si="42"/>
        <v>7</v>
      </c>
      <c r="AI106" s="221">
        <f t="shared" si="43"/>
        <v>1.0165954432350441</v>
      </c>
      <c r="AJ106" s="261" t="b">
        <f t="shared" si="44"/>
        <v>0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45384</v>
      </c>
      <c r="B107" s="406">
        <f>'2023'!Wh/'2023'!Env_an*'2024'!Env_an</f>
        <v>118.54154645423328</v>
      </c>
      <c r="C107" s="385"/>
      <c r="D107" s="388">
        <f t="shared" si="25"/>
        <v>120.10966325160415</v>
      </c>
      <c r="E107" s="380">
        <f t="shared" si="47"/>
        <v>121.09010132819115</v>
      </c>
      <c r="F107" s="380">
        <f t="shared" si="26"/>
        <v>121.09275914031839</v>
      </c>
      <c r="G107" s="110">
        <f t="shared" si="48"/>
        <v>0.55021163618874969</v>
      </c>
      <c r="H107" s="409" t="b">
        <f>Wh_hp&gt;='2023'!Maxi_hp</f>
        <v>0</v>
      </c>
      <c r="I107" s="375">
        <f>IF(H107,Wh_hp,'2023'!Maxi_hp)</f>
        <v>121.09741152575187</v>
      </c>
      <c r="J107" s="85">
        <f>IF(H107,An,'2023'!An_max)</f>
        <v>2022</v>
      </c>
      <c r="K107" s="193">
        <f t="shared" si="27"/>
        <v>45384</v>
      </c>
      <c r="L107" s="143">
        <f>IF(t&lt;Tvie,1-EXP((T0-t)*PertePVj)+'2023'!Pspv,1-EXP((T0-t)*PertePVj)+Pspv)</f>
        <v>1.3055708882356853E-2</v>
      </c>
      <c r="M107" s="835"/>
      <c r="N107" s="835"/>
      <c r="O107" s="48">
        <f>IF(t&lt;Tnet,'2023'!Resal+('2023'!Salim-'2023'!Resal)*(1-EXP(('2023'!Tnet-t)/('2023'!Tau_j))),Resal+(Salim-Resal)*(1-EXP((Tnet-t)/(Tau_j))))*Salcycl</f>
        <v>8.0967648538811075E-3</v>
      </c>
      <c r="P107" s="165">
        <f>(INDEX(Models!$BJ107:$BT107,,T107)*(1-R107)+INDEX(Models!$BJ107:$BT107,,T107+1)*R107-ERP_i)*Q107*Ramure*Pc/MaxiM</f>
        <v>6.1398670215567097E-5</v>
      </c>
      <c r="Q107" s="301">
        <f t="shared" si="28"/>
        <v>0.5</v>
      </c>
      <c r="R107" s="173">
        <f t="shared" si="29"/>
        <v>1.7693028039857506E-2</v>
      </c>
      <c r="S107" s="801">
        <f t="shared" si="30"/>
        <v>1</v>
      </c>
      <c r="T107" s="172">
        <f t="shared" si="31"/>
        <v>7</v>
      </c>
      <c r="U107" s="247">
        <f t="shared" si="32"/>
        <v>1.0176930280398575</v>
      </c>
      <c r="V107" s="378">
        <f t="shared" si="33"/>
        <v>215.43868227876013</v>
      </c>
      <c r="W107" s="397">
        <f t="shared" si="34"/>
        <v>118.54154645423328</v>
      </c>
      <c r="X107" s="153">
        <f t="shared" si="35"/>
        <v>45384</v>
      </c>
      <c r="Y107" s="380">
        <f t="shared" si="36"/>
        <v>113.91403911848579</v>
      </c>
      <c r="Z107" s="380">
        <f t="shared" si="37"/>
        <v>115.4209413273837</v>
      </c>
      <c r="AA107" s="381">
        <f t="shared" si="38"/>
        <v>121.09010132819115</v>
      </c>
      <c r="AB107" s="193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4.6817699701499953E-2</v>
      </c>
      <c r="AD107" s="227">
        <f>(INDEX(Models!$BJ107:$BT107,,AH107)*(1-AF107)+INDEX(Models!$BJ107:$BT107,,AH107+1)*AF107-ERP_i)*AE107*Ramure*Pc/MaxiM</f>
        <v>6.1398670215567097E-5</v>
      </c>
      <c r="AE107" s="301">
        <f t="shared" si="40"/>
        <v>0.5</v>
      </c>
      <c r="AF107" s="173">
        <f t="shared" si="41"/>
        <v>1.7693028039857506E-2</v>
      </c>
      <c r="AG107" s="801">
        <f t="shared" si="49"/>
        <v>1</v>
      </c>
      <c r="AH107" s="172">
        <f t="shared" si="42"/>
        <v>7</v>
      </c>
      <c r="AI107" s="221">
        <f t="shared" si="43"/>
        <v>1.0176930280398575</v>
      </c>
      <c r="AJ107" s="261" t="b">
        <f t="shared" si="44"/>
        <v>0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45385</v>
      </c>
      <c r="B108" s="406">
        <f>'2023'!Wh/'2023'!Env_an*'2024'!Env_an</f>
        <v>180.85063370130828</v>
      </c>
      <c r="C108" s="385"/>
      <c r="D108" s="388">
        <f t="shared" si="25"/>
        <v>183.24550945393256</v>
      </c>
      <c r="E108" s="380">
        <f t="shared" si="47"/>
        <v>184.75627193086933</v>
      </c>
      <c r="F108" s="380">
        <f t="shared" si="26"/>
        <v>184.76507197592494</v>
      </c>
      <c r="G108" s="110">
        <f t="shared" si="48"/>
        <v>0.83550875906254152</v>
      </c>
      <c r="H108" s="409" t="b">
        <f>Wh_hp&gt;='2023'!Maxi_hp</f>
        <v>0</v>
      </c>
      <c r="I108" s="375">
        <f>IF(H108,Wh_hp,'2023'!Maxi_hp)</f>
        <v>184.76770122417531</v>
      </c>
      <c r="J108" s="85">
        <f>IF(H108,An,'2023'!An_max)</f>
        <v>2022</v>
      </c>
      <c r="K108" s="193">
        <f t="shared" si="27"/>
        <v>45385</v>
      </c>
      <c r="L108" s="143">
        <f>IF(t&lt;Tvie,1-EXP((T0-t)*PertePVj)+'2023'!Pspv,1-EXP((T0-t)*PertePVj)+Pspv)</f>
        <v>1.3069219320904213E-2</v>
      </c>
      <c r="M108" s="835"/>
      <c r="N108" s="835"/>
      <c r="O108" s="48">
        <f>IF(t&lt;Tnet,'2023'!Resal+('2023'!Salim-'2023'!Resal)*(1-EXP(('2023'!Tnet-t)/('2023'!Tau_j))),Resal+(Salim-Resal)*(1-EXP((Tnet-t)/(Tau_j))))*Salcycl</f>
        <v>8.1770565142278741E-3</v>
      </c>
      <c r="P108" s="165">
        <f>(INDEX(Models!$BJ108:$BT108,,T108)*(1-R108)+INDEX(Models!$BJ108:$BT108,,T108+1)*R108-ERP_i)*Q108*Ramure*Pc/MaxiM</f>
        <v>6.225676768669146E-5</v>
      </c>
      <c r="Q108" s="301">
        <f t="shared" si="28"/>
        <v>0.5</v>
      </c>
      <c r="R108" s="173">
        <f t="shared" si="29"/>
        <v>1.8831254074710202E-2</v>
      </c>
      <c r="S108" s="801">
        <f t="shared" si="30"/>
        <v>1</v>
      </c>
      <c r="T108" s="172">
        <f t="shared" si="31"/>
        <v>7</v>
      </c>
      <c r="U108" s="247">
        <f t="shared" si="32"/>
        <v>1.0188312540747102</v>
      </c>
      <c r="V108" s="378">
        <f t="shared" si="33"/>
        <v>216.45253391402659</v>
      </c>
      <c r="W108" s="397">
        <f t="shared" si="34"/>
        <v>180.85063370130828</v>
      </c>
      <c r="X108" s="153">
        <f t="shared" si="35"/>
        <v>45385</v>
      </c>
      <c r="Y108" s="380">
        <f t="shared" si="36"/>
        <v>173.79676956007634</v>
      </c>
      <c r="Z108" s="380">
        <f t="shared" si="37"/>
        <v>176.09823602876057</v>
      </c>
      <c r="AA108" s="381">
        <f t="shared" si="38"/>
        <v>184.75627193086933</v>
      </c>
      <c r="AB108" s="193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4.686193227230933E-2</v>
      </c>
      <c r="AD108" s="227">
        <f>(INDEX(Models!$BJ108:$BT108,,AH108)*(1-AF108)+INDEX(Models!$BJ108:$BT108,,AH108+1)*AF108-ERP_i)*AE108*Ramure*Pc/MaxiM</f>
        <v>6.225676768669146E-5</v>
      </c>
      <c r="AE108" s="301">
        <f t="shared" si="40"/>
        <v>0.5</v>
      </c>
      <c r="AF108" s="173">
        <f t="shared" si="41"/>
        <v>1.8831254074710202E-2</v>
      </c>
      <c r="AG108" s="801">
        <f t="shared" si="49"/>
        <v>1</v>
      </c>
      <c r="AH108" s="172">
        <f t="shared" si="42"/>
        <v>7</v>
      </c>
      <c r="AI108" s="221">
        <f t="shared" si="43"/>
        <v>1.0188312540747102</v>
      </c>
      <c r="AJ108" s="261" t="b">
        <f t="shared" si="44"/>
        <v>0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45386</v>
      </c>
      <c r="B109" s="406">
        <f>'2023'!Wh/'2023'!Env_an*'2024'!Env_an</f>
        <v>221.58232658737697</v>
      </c>
      <c r="C109" s="385"/>
      <c r="D109" s="388">
        <f t="shared" si="25"/>
        <v>224.51965653802469</v>
      </c>
      <c r="E109" s="380">
        <f t="shared" si="47"/>
        <v>226.38903561900435</v>
      </c>
      <c r="F109" s="380">
        <f t="shared" si="26"/>
        <v>226.40334911043368</v>
      </c>
      <c r="G109" s="110">
        <f t="shared" si="48"/>
        <v>1.0190486017817741</v>
      </c>
      <c r="H109" s="409" t="b">
        <f>Wh_hp&gt;='2023'!Maxi_hp</f>
        <v>1</v>
      </c>
      <c r="I109" s="375">
        <f>IF(H109,Wh_hp,'2023'!Maxi_hp)</f>
        <v>226.40334911043368</v>
      </c>
      <c r="J109" s="85">
        <f>IF(H109,An,'2023'!An_max)</f>
        <v>2024</v>
      </c>
      <c r="K109" s="193">
        <f t="shared" si="27"/>
        <v>45386</v>
      </c>
      <c r="L109" s="143">
        <f>IF(t&lt;Tvie,1-EXP((T0-t)*PertePVj)+'2023'!Pspv,1-EXP((T0-t)*PertePVj)+Pspv)</f>
        <v>1.3082729574504959E-2</v>
      </c>
      <c r="M109" s="835"/>
      <c r="N109" s="835"/>
      <c r="O109" s="48">
        <f>IF(t&lt;Tnet,'2023'!Resal+('2023'!Salim-'2023'!Resal)*(1-EXP(('2023'!Tnet-t)/('2023'!Tau_j))),Resal+(Salim-Resal)*(1-EXP((Tnet-t)/(Tau_j))))*Salcycl</f>
        <v>8.2573746377261545E-3</v>
      </c>
      <c r="P109" s="165">
        <f>(INDEX(Models!$BJ109:$BT109,,T109)*(1-R109)+INDEX(Models!$BJ109:$BT109,,T109+1)*R109-ERP_i)*Q109*Ramure*Pc/MaxiM</f>
        <v>6.3221200064286925E-5</v>
      </c>
      <c r="Q109" s="301">
        <f t="shared" si="28"/>
        <v>0.5</v>
      </c>
      <c r="R109" s="173">
        <f t="shared" si="29"/>
        <v>2.0011405702728968E-2</v>
      </c>
      <c r="S109" s="801">
        <f t="shared" si="30"/>
        <v>1</v>
      </c>
      <c r="T109" s="172">
        <f t="shared" si="31"/>
        <v>7</v>
      </c>
      <c r="U109" s="247">
        <f t="shared" si="32"/>
        <v>1.020011405702729</v>
      </c>
      <c r="V109" s="378">
        <f t="shared" si="33"/>
        <v>217.44039116480539</v>
      </c>
      <c r="W109" s="397">
        <f t="shared" si="34"/>
        <v>221.58232658737697</v>
      </c>
      <c r="X109" s="153">
        <f t="shared" si="35"/>
        <v>45386</v>
      </c>
      <c r="Y109" s="380">
        <f t="shared" si="36"/>
        <v>212.9470295107354</v>
      </c>
      <c r="Z109" s="380">
        <f t="shared" si="37"/>
        <v>215.7698886137907</v>
      </c>
      <c r="AA109" s="381">
        <f t="shared" si="38"/>
        <v>226.38903561900435</v>
      </c>
      <c r="AB109" s="193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4.690663121638481E-2</v>
      </c>
      <c r="AD109" s="227">
        <f>(INDEX(Models!$BJ109:$BT109,,AH109)*(1-AF109)+INDEX(Models!$BJ109:$BT109,,AH109+1)*AF109-ERP_i)*AE109*Ramure*Pc/MaxiM</f>
        <v>6.3221200064286925E-5</v>
      </c>
      <c r="AE109" s="301">
        <f t="shared" si="40"/>
        <v>0.5</v>
      </c>
      <c r="AF109" s="173">
        <f t="shared" si="41"/>
        <v>2.0011405702728968E-2</v>
      </c>
      <c r="AG109" s="801">
        <f t="shared" si="49"/>
        <v>1</v>
      </c>
      <c r="AH109" s="172">
        <f t="shared" si="42"/>
        <v>7</v>
      </c>
      <c r="AI109" s="221">
        <f t="shared" si="43"/>
        <v>1.020011405702729</v>
      </c>
      <c r="AJ109" s="261" t="b">
        <f t="shared" si="44"/>
        <v>0</v>
      </c>
      <c r="AK109" s="261" t="b">
        <f t="shared" si="45"/>
        <v>0</v>
      </c>
      <c r="AL109" s="261"/>
      <c r="AM109" s="261"/>
      <c r="AN109" s="75"/>
    </row>
    <row r="110" spans="1:40" s="6" customFormat="1" ht="11.25" customHeight="1" x14ac:dyDescent="0.2">
      <c r="A110" s="56">
        <f t="shared" si="46"/>
        <v>45387</v>
      </c>
      <c r="B110" s="406">
        <f>'2023'!Wh/'2023'!Env_an*'2024'!Env_an</f>
        <v>55.012405302468856</v>
      </c>
      <c r="C110" s="385"/>
      <c r="D110" s="388">
        <f t="shared" si="25"/>
        <v>55.742421411564813</v>
      </c>
      <c r="E110" s="380">
        <f t="shared" si="47"/>
        <v>56.211094022887536</v>
      </c>
      <c r="F110" s="380">
        <f t="shared" si="26"/>
        <v>56.211094022887536</v>
      </c>
      <c r="G110" s="110">
        <f t="shared" si="48"/>
        <v>0.25186859084275742</v>
      </c>
      <c r="H110" s="409" t="b">
        <f>Wh_hp&gt;='2023'!Maxi_hp</f>
        <v>0</v>
      </c>
      <c r="I110" s="375">
        <f>IF(H110,Wh_hp,'2023'!Maxi_hp)</f>
        <v>56.214601212449267</v>
      </c>
      <c r="J110" s="85">
        <f>IF(H110,An,'2023'!An_max)</f>
        <v>2022</v>
      </c>
      <c r="K110" s="193">
        <f t="shared" si="27"/>
        <v>45387</v>
      </c>
      <c r="L110" s="143">
        <f>IF(t&lt;Tvie,1-EXP((T0-t)*PertePVj)+'2023'!Pspv,1-EXP((T0-t)*PertePVj)+Pspv)</f>
        <v>1.3096239643161645E-2</v>
      </c>
      <c r="M110" s="835"/>
      <c r="N110" s="835"/>
      <c r="O110" s="48">
        <f>IF(t&lt;Tnet,'2023'!Resal+('2023'!Salim-'2023'!Resal)*(1-EXP(('2023'!Tnet-t)/('2023'!Tau_j))),Resal+(Salim-Resal)*(1-EXP((Tnet-t)/(Tau_j))))*Salcycl</f>
        <v>8.3377244202344162E-3</v>
      </c>
      <c r="P110" s="165">
        <f>(INDEX(Models!$BJ110:$BT110,,T110)*(1-R110)+INDEX(Models!$BJ110:$BT110,,T110+1)*R110-ERP_i)*Q110*Ramure*Pc/MaxiM</f>
        <v>6.4292432140888829E-5</v>
      </c>
      <c r="Q110" s="301">
        <f t="shared" si="28"/>
        <v>0.5</v>
      </c>
      <c r="R110" s="173">
        <f t="shared" si="29"/>
        <v>2.123479022576924E-2</v>
      </c>
      <c r="S110" s="801">
        <f t="shared" si="30"/>
        <v>1</v>
      </c>
      <c r="T110" s="172">
        <f t="shared" si="31"/>
        <v>7</v>
      </c>
      <c r="U110" s="247">
        <f t="shared" si="32"/>
        <v>1.0212347902257692</v>
      </c>
      <c r="V110" s="378">
        <f t="shared" si="33"/>
        <v>218.40304992803289</v>
      </c>
      <c r="W110" s="397">
        <f t="shared" si="34"/>
        <v>55.012405302468856</v>
      </c>
      <c r="X110" s="153">
        <f t="shared" si="35"/>
        <v>45387</v>
      </c>
      <c r="Y110" s="380">
        <f t="shared" si="36"/>
        <v>52.87029107255924</v>
      </c>
      <c r="Z110" s="380">
        <f t="shared" si="37"/>
        <v>53.571881267777052</v>
      </c>
      <c r="AA110" s="381">
        <f t="shared" si="38"/>
        <v>56.211094022887536</v>
      </c>
      <c r="AB110" s="193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4.6951812644597822E-2</v>
      </c>
      <c r="AD110" s="227">
        <f>(INDEX(Models!$BJ110:$BT110,,AH110)*(1-AF110)+INDEX(Models!$BJ110:$BT110,,AH110+1)*AF110-ERP_i)*AE110*Ramure*Pc/MaxiM</f>
        <v>6.4292432140888829E-5</v>
      </c>
      <c r="AE110" s="301">
        <f t="shared" si="40"/>
        <v>0.5</v>
      </c>
      <c r="AF110" s="173">
        <f t="shared" si="41"/>
        <v>2.123479022576924E-2</v>
      </c>
      <c r="AG110" s="801">
        <f t="shared" si="49"/>
        <v>1</v>
      </c>
      <c r="AH110" s="172">
        <f t="shared" si="42"/>
        <v>7</v>
      </c>
      <c r="AI110" s="221">
        <f t="shared" si="43"/>
        <v>1.0212347902257692</v>
      </c>
      <c r="AJ110" s="261" t="b">
        <f t="shared" si="44"/>
        <v>0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45388</v>
      </c>
      <c r="B111" s="406">
        <f>'2023'!Wh/'2023'!Env_an*'2024'!Env_an</f>
        <v>169.06118599790364</v>
      </c>
      <c r="C111" s="385"/>
      <c r="D111" s="388">
        <f t="shared" si="25"/>
        <v>171.30697756600023</v>
      </c>
      <c r="E111" s="380">
        <f t="shared" si="47"/>
        <v>172.76130138851599</v>
      </c>
      <c r="F111" s="380">
        <f t="shared" si="26"/>
        <v>172.76890857037981</v>
      </c>
      <c r="G111" s="110">
        <f t="shared" si="48"/>
        <v>0.77075113861592026</v>
      </c>
      <c r="H111" s="409" t="b">
        <f>Wh_hp&gt;='2023'!Maxi_hp</f>
        <v>0</v>
      </c>
      <c r="I111" s="375">
        <f>IF(H111,Wh_hp,'2023'!Maxi_hp)</f>
        <v>172.77249888027328</v>
      </c>
      <c r="J111" s="85">
        <f>IF(H111,An,'2023'!An_max)</f>
        <v>2022</v>
      </c>
      <c r="K111" s="193">
        <f t="shared" si="27"/>
        <v>45388</v>
      </c>
      <c r="L111" s="143">
        <f>IF(t&lt;Tvie,1-EXP((T0-t)*PertePVj)+'2023'!Pspv,1-EXP((T0-t)*PertePVj)+Pspv)</f>
        <v>1.3109749526876935E-2</v>
      </c>
      <c r="M111" s="835"/>
      <c r="N111" s="835"/>
      <c r="O111" s="48">
        <f>IF(t&lt;Tnet,'2023'!Resal+('2023'!Salim-'2023'!Resal)*(1-EXP(('2023'!Tnet-t)/('2023'!Tau_j))),Resal+(Salim-Resal)*(1-EXP((Tnet-t)/(Tau_j))))*Salcycl</f>
        <v>8.4181110632246745E-3</v>
      </c>
      <c r="P111" s="165">
        <f>(INDEX(Models!$BJ111:$BT111,,T111)*(1-R111)+INDEX(Models!$BJ111:$BT111,,T111+1)*R111-ERP_i)*Q111*Ramure*Pc/MaxiM</f>
        <v>6.5471097965604566E-5</v>
      </c>
      <c r="Q111" s="301">
        <f t="shared" si="28"/>
        <v>0.5</v>
      </c>
      <c r="R111" s="173">
        <f t="shared" si="29"/>
        <v>2.2502736786718325E-2</v>
      </c>
      <c r="S111" s="801">
        <f t="shared" si="30"/>
        <v>1</v>
      </c>
      <c r="T111" s="172">
        <f t="shared" si="31"/>
        <v>7</v>
      </c>
      <c r="U111" s="247">
        <f t="shared" si="32"/>
        <v>1.0225027367867183</v>
      </c>
      <c r="V111" s="378">
        <f t="shared" si="33"/>
        <v>219.34130573932327</v>
      </c>
      <c r="W111" s="397">
        <f t="shared" si="34"/>
        <v>169.06118599790364</v>
      </c>
      <c r="X111" s="153">
        <f t="shared" si="35"/>
        <v>45388</v>
      </c>
      <c r="Y111" s="380">
        <f t="shared" si="36"/>
        <v>162.48353869992044</v>
      </c>
      <c r="Z111" s="380">
        <f t="shared" si="37"/>
        <v>164.64195347154816</v>
      </c>
      <c r="AA111" s="381">
        <f t="shared" si="38"/>
        <v>172.76130138851599</v>
      </c>
      <c r="AB111" s="193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4.699749221446619E-2</v>
      </c>
      <c r="AD111" s="227">
        <f>(INDEX(Models!$BJ111:$BT111,,AH111)*(1-AF111)+INDEX(Models!$BJ111:$BT111,,AH111+1)*AF111-ERP_i)*AE111*Ramure*Pc/MaxiM</f>
        <v>6.5471097965604566E-5</v>
      </c>
      <c r="AE111" s="301">
        <f t="shared" si="40"/>
        <v>0.5</v>
      </c>
      <c r="AF111" s="173">
        <f t="shared" si="41"/>
        <v>2.2502736786718325E-2</v>
      </c>
      <c r="AG111" s="801">
        <f t="shared" si="49"/>
        <v>1</v>
      </c>
      <c r="AH111" s="172">
        <f t="shared" si="42"/>
        <v>7</v>
      </c>
      <c r="AI111" s="221">
        <f t="shared" si="43"/>
        <v>1.0225027367867183</v>
      </c>
      <c r="AJ111" s="261" t="b">
        <f t="shared" si="44"/>
        <v>0</v>
      </c>
      <c r="AK111" s="261" t="b">
        <f t="shared" si="45"/>
        <v>0</v>
      </c>
      <c r="AL111" s="261"/>
      <c r="AM111" s="261"/>
      <c r="AN111" s="75"/>
    </row>
    <row r="112" spans="1:40" s="6" customFormat="1" ht="11.25" customHeight="1" x14ac:dyDescent="0.2">
      <c r="A112" s="56">
        <f t="shared" si="46"/>
        <v>45389</v>
      </c>
      <c r="B112" s="406">
        <f>'2023'!Wh/'2023'!Env_an*'2024'!Env_an</f>
        <v>134.5576384132255</v>
      </c>
      <c r="C112" s="385"/>
      <c r="D112" s="388">
        <f t="shared" si="25"/>
        <v>136.34695484630197</v>
      </c>
      <c r="E112" s="380">
        <f t="shared" si="47"/>
        <v>137.51563695512709</v>
      </c>
      <c r="F112" s="380">
        <f t="shared" si="26"/>
        <v>137.51971462185733</v>
      </c>
      <c r="G112" s="110">
        <f t="shared" si="48"/>
        <v>0.61089220507049724</v>
      </c>
      <c r="H112" s="409" t="b">
        <f>Wh_hp&gt;='2023'!Maxi_hp</f>
        <v>0</v>
      </c>
      <c r="I112" s="375">
        <f>IF(H112,Wh_hp,'2023'!Maxi_hp)</f>
        <v>137.5246543062388</v>
      </c>
      <c r="J112" s="85">
        <f>IF(H112,An,'2023'!An_max)</f>
        <v>2022</v>
      </c>
      <c r="K112" s="193">
        <f t="shared" si="27"/>
        <v>45389</v>
      </c>
      <c r="L112" s="143">
        <f>IF(t&lt;Tvie,1-EXP((T0-t)*PertePVj)+'2023'!Pspv,1-EXP((T0-t)*PertePVj)+Pspv)</f>
        <v>1.3123259225653272E-2</v>
      </c>
      <c r="M112" s="835"/>
      <c r="N112" s="835"/>
      <c r="O112" s="48">
        <f>IF(t&lt;Tnet,'2023'!Resal+('2023'!Salim-'2023'!Resal)*(1-EXP(('2023'!Tnet-t)/('2023'!Tau_j))),Resal+(Salim-Resal)*(1-EXP((Tnet-t)/(Tau_j))))*Salcycl</f>
        <v>8.4985397639286402E-3</v>
      </c>
      <c r="P112" s="165">
        <f>(INDEX(Models!$BJ112:$BT112,,T112)*(1-R112)+INDEX(Models!$BJ112:$BT112,,T112+1)*R112-ERP_i)*Q112*Ramure*Pc/MaxiM</f>
        <v>6.675799820230308E-5</v>
      </c>
      <c r="Q112" s="301">
        <f t="shared" si="28"/>
        <v>0.5</v>
      </c>
      <c r="R112" s="173">
        <f t="shared" si="29"/>
        <v>2.3816595114461769E-2</v>
      </c>
      <c r="S112" s="801">
        <f t="shared" si="30"/>
        <v>1</v>
      </c>
      <c r="T112" s="172">
        <f t="shared" si="31"/>
        <v>7</v>
      </c>
      <c r="U112" s="247">
        <f t="shared" si="32"/>
        <v>1.0238165951144618</v>
      </c>
      <c r="V112" s="378">
        <f t="shared" si="33"/>
        <v>220.2559538106554</v>
      </c>
      <c r="W112" s="397">
        <f t="shared" si="34"/>
        <v>134.5576384132255</v>
      </c>
      <c r="X112" s="153">
        <f t="shared" si="35"/>
        <v>45389</v>
      </c>
      <c r="Y112" s="380">
        <f t="shared" si="36"/>
        <v>129.32663882678057</v>
      </c>
      <c r="Z112" s="380">
        <f t="shared" si="37"/>
        <v>131.0463946341518</v>
      </c>
      <c r="AA112" s="381">
        <f t="shared" si="38"/>
        <v>137.51563695512709</v>
      </c>
      <c r="AB112" s="193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4.7043685098053879E-2</v>
      </c>
      <c r="AD112" s="227">
        <f>(INDEX(Models!$BJ112:$BT112,,AH112)*(1-AF112)+INDEX(Models!$BJ112:$BT112,,AH112+1)*AF112-ERP_i)*AE112*Ramure*Pc/MaxiM</f>
        <v>6.675799820230308E-5</v>
      </c>
      <c r="AE112" s="301">
        <f t="shared" si="40"/>
        <v>0.5</v>
      </c>
      <c r="AF112" s="173">
        <f t="shared" si="41"/>
        <v>2.3816595114461769E-2</v>
      </c>
      <c r="AG112" s="801">
        <f t="shared" si="49"/>
        <v>1</v>
      </c>
      <c r="AH112" s="172">
        <f t="shared" si="42"/>
        <v>7</v>
      </c>
      <c r="AI112" s="221">
        <f t="shared" si="43"/>
        <v>1.0238165951144618</v>
      </c>
      <c r="AJ112" s="261" t="b">
        <f t="shared" si="44"/>
        <v>0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45390</v>
      </c>
      <c r="B113" s="406">
        <f>'2023'!Wh/'2023'!Env_an*'2024'!Env_an</f>
        <v>145.24308874307863</v>
      </c>
      <c r="C113" s="385"/>
      <c r="D113" s="388">
        <f t="shared" si="25"/>
        <v>147.17651255236413</v>
      </c>
      <c r="E113" s="380">
        <f t="shared" si="47"/>
        <v>148.45006801734101</v>
      </c>
      <c r="F113" s="380">
        <f t="shared" si="26"/>
        <v>148.45522477771831</v>
      </c>
      <c r="G113" s="110">
        <f t="shared" si="48"/>
        <v>0.65674739724675846</v>
      </c>
      <c r="H113" s="409" t="b">
        <f>Wh_hp&gt;='2023'!Maxi_hp</f>
        <v>0</v>
      </c>
      <c r="I113" s="375">
        <f>IF(H113,Wh_hp,'2023'!Maxi_hp)</f>
        <v>148.46002089262618</v>
      </c>
      <c r="J113" s="85">
        <f>IF(H113,An,'2023'!An_max)</f>
        <v>2022</v>
      </c>
      <c r="K113" s="193">
        <f t="shared" si="27"/>
        <v>45390</v>
      </c>
      <c r="L113" s="143">
        <f>IF(t&lt;Tvie,1-EXP((T0-t)*PertePVj)+'2023'!Pspv,1-EXP((T0-t)*PertePVj)+Pspv)</f>
        <v>1.3136768739493099E-2</v>
      </c>
      <c r="M113" s="835"/>
      <c r="N113" s="835"/>
      <c r="O113" s="48">
        <f>IF(t&lt;Tnet,'2023'!Resal+('2023'!Salim-'2023'!Resal)*(1-EXP(('2023'!Tnet-t)/('2023'!Tau_j))),Resal+(Salim-Resal)*(1-EXP((Tnet-t)/(Tau_j))))*Salcycl</f>
        <v>8.5790157053219664E-3</v>
      </c>
      <c r="P113" s="165">
        <f>(INDEX(Models!$BJ113:$BT113,,T113)*(1-R113)+INDEX(Models!$BJ113:$BT113,,T113+1)*R113-ERP_i)*Q113*Ramure*Pc/MaxiM</f>
        <v>6.8154097652382571E-5</v>
      </c>
      <c r="Q113" s="301">
        <f t="shared" si="28"/>
        <v>0.5</v>
      </c>
      <c r="R113" s="173">
        <f t="shared" si="29"/>
        <v>2.5177734102027838E-2</v>
      </c>
      <c r="S113" s="801">
        <f t="shared" si="30"/>
        <v>1</v>
      </c>
      <c r="T113" s="172">
        <f t="shared" si="31"/>
        <v>7</v>
      </c>
      <c r="U113" s="247">
        <f t="shared" si="32"/>
        <v>1.0251777341020278</v>
      </c>
      <c r="V113" s="378">
        <f t="shared" si="33"/>
        <v>221.14778902038555</v>
      </c>
      <c r="W113" s="397">
        <f t="shared" si="34"/>
        <v>145.24308874307863</v>
      </c>
      <c r="X113" s="153">
        <f t="shared" si="35"/>
        <v>45390</v>
      </c>
      <c r="Y113" s="380">
        <f t="shared" si="36"/>
        <v>139.6011733916821</v>
      </c>
      <c r="Z113" s="380">
        <f t="shared" si="37"/>
        <v>141.45949405103624</v>
      </c>
      <c r="AA113" s="381">
        <f t="shared" si="38"/>
        <v>148.45006801734101</v>
      </c>
      <c r="AB113" s="193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4.7090405950424866E-2</v>
      </c>
      <c r="AD113" s="227">
        <f>(INDEX(Models!$BJ113:$BT113,,AH113)*(1-AF113)+INDEX(Models!$BJ113:$BT113,,AH113+1)*AF113-ERP_i)*AE113*Ramure*Pc/MaxiM</f>
        <v>6.8154097652382571E-5</v>
      </c>
      <c r="AE113" s="301">
        <f t="shared" si="40"/>
        <v>0.5</v>
      </c>
      <c r="AF113" s="173">
        <f t="shared" si="41"/>
        <v>2.5177734102027838E-2</v>
      </c>
      <c r="AG113" s="801">
        <f t="shared" si="49"/>
        <v>1</v>
      </c>
      <c r="AH113" s="172">
        <f t="shared" si="42"/>
        <v>7</v>
      </c>
      <c r="AI113" s="221">
        <f t="shared" si="43"/>
        <v>1.0251777341020278</v>
      </c>
      <c r="AJ113" s="261" t="b">
        <f t="shared" si="44"/>
        <v>0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45391</v>
      </c>
      <c r="B114" s="406">
        <f>'2023'!Wh/'2023'!Env_an*'2024'!Env_an</f>
        <v>226.74575559378687</v>
      </c>
      <c r="C114" s="385"/>
      <c r="D114" s="388">
        <f t="shared" si="25"/>
        <v>229.76725893985989</v>
      </c>
      <c r="E114" s="380">
        <f t="shared" si="47"/>
        <v>231.77431886276261</v>
      </c>
      <c r="F114" s="380">
        <f t="shared" si="26"/>
        <v>231.79044704559422</v>
      </c>
      <c r="G114" s="110">
        <f t="shared" si="48"/>
        <v>1.0212962014267877</v>
      </c>
      <c r="H114" s="409" t="b">
        <f>Wh_hp&gt;='2023'!Maxi_hp</f>
        <v>1</v>
      </c>
      <c r="I114" s="375">
        <f>IF(H114,Wh_hp,'2023'!Maxi_hp)</f>
        <v>231.79044704559422</v>
      </c>
      <c r="J114" s="85">
        <f>IF(H114,An,'2023'!An_max)</f>
        <v>2024</v>
      </c>
      <c r="K114" s="193">
        <f t="shared" si="27"/>
        <v>45391</v>
      </c>
      <c r="L114" s="143">
        <f>IF(t&lt;Tvie,1-EXP((T0-t)*PertePVj)+'2023'!Pspv,1-EXP((T0-t)*PertePVj)+Pspv)</f>
        <v>1.3150278068399079E-2</v>
      </c>
      <c r="M114" s="835"/>
      <c r="N114" s="835"/>
      <c r="O114" s="48">
        <f>IF(t&lt;Tnet,'2023'!Resal+('2023'!Salim-'2023'!Resal)*(1-EXP(('2023'!Tnet-t)/('2023'!Tau_j))),Resal+(Salim-Resal)*(1-EXP((Tnet-t)/(Tau_j))))*Salcycl</f>
        <v>8.6595440459092451E-3</v>
      </c>
      <c r="P114" s="165">
        <f>(INDEX(Models!$BJ114:$BT114,,T114)*(1-R114)+INDEX(Models!$BJ114:$BT114,,T114+1)*R114-ERP_i)*Q114*Ramure*Pc/MaxiM</f>
        <v>6.9580878061071709E-5</v>
      </c>
      <c r="Q114" s="301">
        <f t="shared" si="28"/>
        <v>0.5</v>
      </c>
      <c r="R114" s="173">
        <f t="shared" si="29"/>
        <v>2.6587540208370397E-2</v>
      </c>
      <c r="S114" s="801">
        <f t="shared" si="30"/>
        <v>1</v>
      </c>
      <c r="T114" s="172">
        <f t="shared" si="31"/>
        <v>7</v>
      </c>
      <c r="U114" s="247">
        <f t="shared" si="32"/>
        <v>1.0265875402083704</v>
      </c>
      <c r="V114" s="378">
        <f t="shared" si="33"/>
        <v>222.01762356211142</v>
      </c>
      <c r="W114" s="397">
        <f t="shared" si="34"/>
        <v>226.74575559378687</v>
      </c>
      <c r="X114" s="153">
        <f t="shared" si="35"/>
        <v>45391</v>
      </c>
      <c r="Y114" s="380">
        <f t="shared" si="36"/>
        <v>217.94479177094101</v>
      </c>
      <c r="Z114" s="380">
        <f t="shared" si="37"/>
        <v>220.84901776569268</v>
      </c>
      <c r="AA114" s="381">
        <f t="shared" si="38"/>
        <v>231.77431886276261</v>
      </c>
      <c r="AB114" s="193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4.7137668878401442E-2</v>
      </c>
      <c r="AD114" s="227">
        <f>(INDEX(Models!$BJ114:$BT114,,AH114)*(1-AF114)+INDEX(Models!$BJ114:$BT114,,AH114+1)*AF114-ERP_i)*AE114*Ramure*Pc/MaxiM</f>
        <v>6.9580878061071709E-5</v>
      </c>
      <c r="AE114" s="301">
        <f t="shared" si="40"/>
        <v>0.5</v>
      </c>
      <c r="AF114" s="173">
        <f t="shared" si="41"/>
        <v>2.6587540208370397E-2</v>
      </c>
      <c r="AG114" s="801">
        <f t="shared" si="49"/>
        <v>1</v>
      </c>
      <c r="AH114" s="172">
        <f t="shared" si="42"/>
        <v>7</v>
      </c>
      <c r="AI114" s="221">
        <f t="shared" si="43"/>
        <v>1.0265875402083704</v>
      </c>
      <c r="AJ114" s="261" t="b">
        <f t="shared" si="44"/>
        <v>0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45392</v>
      </c>
      <c r="B115" s="406">
        <f>'2023'!Wh/'2023'!Env_an*'2024'!Env_an</f>
        <v>182.36007625598313</v>
      </c>
      <c r="C115" s="385"/>
      <c r="D115" s="388">
        <f t="shared" si="25"/>
        <v>184.79264734403117</v>
      </c>
      <c r="E115" s="380">
        <f t="shared" si="47"/>
        <v>186.42199984058351</v>
      </c>
      <c r="F115" s="380">
        <f t="shared" si="26"/>
        <v>186.43180095509348</v>
      </c>
      <c r="G115" s="110">
        <f t="shared" si="48"/>
        <v>0.81823383679582717</v>
      </c>
      <c r="H115" s="409" t="b">
        <f>Wh_hp&gt;='2023'!Maxi_hp</f>
        <v>0</v>
      </c>
      <c r="I115" s="375">
        <f>IF(H115,Wh_hp,'2023'!Maxi_hp)</f>
        <v>186.43511486158815</v>
      </c>
      <c r="J115" s="85">
        <f>IF(H115,An,'2023'!An_max)</f>
        <v>2022</v>
      </c>
      <c r="K115" s="193">
        <f t="shared" si="27"/>
        <v>45392</v>
      </c>
      <c r="L115" s="143">
        <f>IF(t&lt;Tvie,1-EXP((T0-t)*PertePVj)+'2023'!Pspv,1-EXP((T0-t)*PertePVj)+Pspv)</f>
        <v>1.3163787212373657E-2</v>
      </c>
      <c r="M115" s="835"/>
      <c r="N115" s="835"/>
      <c r="O115" s="48">
        <f>IF(t&lt;Tnet,'2023'!Resal+('2023'!Salim-'2023'!Resal)*(1-EXP(('2023'!Tnet-t)/('2023'!Tau_j))),Resal+(Salim-Resal)*(1-EXP((Tnet-t)/(Tau_j))))*Salcycl</f>
        <v>8.7401299092685764E-3</v>
      </c>
      <c r="P115" s="165">
        <f>(INDEX(Models!$BJ115:$BT115,,T115)*(1-R115)+INDEX(Models!$BJ115:$BT115,,T115+1)*R115-ERP_i)*Q115*Ramure*Pc/MaxiM</f>
        <v>7.1009278414376146E-5</v>
      </c>
      <c r="Q115" s="301">
        <f t="shared" si="28"/>
        <v>0.5</v>
      </c>
      <c r="R115" s="173">
        <f t="shared" si="29"/>
        <v>2.8047415674267384E-2</v>
      </c>
      <c r="S115" s="801">
        <f t="shared" si="30"/>
        <v>1</v>
      </c>
      <c r="T115" s="172">
        <f t="shared" si="31"/>
        <v>7</v>
      </c>
      <c r="U115" s="247">
        <f t="shared" si="32"/>
        <v>1.0280474156742674</v>
      </c>
      <c r="V115" s="378">
        <f t="shared" si="33"/>
        <v>222.86625861283454</v>
      </c>
      <c r="W115" s="397">
        <f t="shared" si="34"/>
        <v>182.36007625598313</v>
      </c>
      <c r="X115" s="153">
        <f t="shared" si="35"/>
        <v>45392</v>
      </c>
      <c r="Y115" s="380">
        <f t="shared" si="36"/>
        <v>175.28736148466263</v>
      </c>
      <c r="Z115" s="380">
        <f t="shared" si="37"/>
        <v>177.62558691427512</v>
      </c>
      <c r="AA115" s="381">
        <f t="shared" si="38"/>
        <v>186.42199984058351</v>
      </c>
      <c r="AB115" s="193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4.7185487409375157E-2</v>
      </c>
      <c r="AD115" s="227">
        <f>(INDEX(Models!$BJ115:$BT115,,AH115)*(1-AF115)+INDEX(Models!$BJ115:$BT115,,AH115+1)*AF115-ERP_i)*AE115*Ramure*Pc/MaxiM</f>
        <v>7.1009278414376146E-5</v>
      </c>
      <c r="AE115" s="301">
        <f t="shared" si="40"/>
        <v>0.5</v>
      </c>
      <c r="AF115" s="173">
        <f t="shared" si="41"/>
        <v>2.8047415674267384E-2</v>
      </c>
      <c r="AG115" s="801">
        <f t="shared" si="49"/>
        <v>1</v>
      </c>
      <c r="AH115" s="172">
        <f t="shared" si="42"/>
        <v>7</v>
      </c>
      <c r="AI115" s="221">
        <f t="shared" si="43"/>
        <v>1.0280474156742674</v>
      </c>
      <c r="AJ115" s="261" t="b">
        <f t="shared" si="44"/>
        <v>0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45393</v>
      </c>
      <c r="B116" s="406">
        <f>'2023'!Wh/'2023'!Env_an*'2024'!Env_an</f>
        <v>152.68221039964206</v>
      </c>
      <c r="C116" s="385"/>
      <c r="D116" s="388">
        <f t="shared" si="25"/>
        <v>154.72101503875029</v>
      </c>
      <c r="E116" s="380">
        <f t="shared" si="47"/>
        <v>156.09792019734604</v>
      </c>
      <c r="F116" s="380">
        <f t="shared" si="26"/>
        <v>156.10410013665219</v>
      </c>
      <c r="G116" s="110">
        <f t="shared" si="48"/>
        <v>0.6825255079709871</v>
      </c>
      <c r="H116" s="409" t="b">
        <f>Wh_hp&gt;='2023'!Maxi_hp</f>
        <v>0</v>
      </c>
      <c r="I116" s="375">
        <f>IF(H116,Wh_hp,'2023'!Maxi_hp)</f>
        <v>156.10903736270134</v>
      </c>
      <c r="J116" s="85">
        <f>IF(H116,An,'2023'!An_max)</f>
        <v>2022</v>
      </c>
      <c r="K116" s="193">
        <f t="shared" si="27"/>
        <v>45393</v>
      </c>
      <c r="L116" s="143">
        <f>IF(t&lt;Tvie,1-EXP((T0-t)*PertePVj)+'2023'!Pspv,1-EXP((T0-t)*PertePVj)+Pspv)</f>
        <v>1.3177296171419384E-2</v>
      </c>
      <c r="M116" s="835"/>
      <c r="N116" s="835"/>
      <c r="O116" s="48">
        <f>IF(t&lt;Tnet,'2023'!Resal+('2023'!Salim-'2023'!Resal)*(1-EXP(('2023'!Tnet-t)/('2023'!Tau_j))),Resal+(Salim-Resal)*(1-EXP((Tnet-t)/(Tau_j))))*Salcycl</f>
        <v>8.8207783733121135E-3</v>
      </c>
      <c r="P116" s="165">
        <f>(INDEX(Models!$BJ116:$BT116,,T116)*(1-R116)+INDEX(Models!$BJ116:$BT116,,T116+1)*R116-ERP_i)*Q116*Ramure*Pc/MaxiM</f>
        <v>7.2440607083670556E-5</v>
      </c>
      <c r="Q116" s="301">
        <f t="shared" si="28"/>
        <v>0.5</v>
      </c>
      <c r="R116" s="173">
        <f t="shared" si="29"/>
        <v>2.9558776542895737E-2</v>
      </c>
      <c r="S116" s="801">
        <f t="shared" si="30"/>
        <v>1</v>
      </c>
      <c r="T116" s="172">
        <f t="shared" si="31"/>
        <v>7</v>
      </c>
      <c r="U116" s="247">
        <f t="shared" si="32"/>
        <v>1.0295587765428957</v>
      </c>
      <c r="V116" s="378">
        <f t="shared" si="33"/>
        <v>223.69448833419582</v>
      </c>
      <c r="W116" s="397">
        <f t="shared" si="34"/>
        <v>152.68221039964206</v>
      </c>
      <c r="X116" s="153">
        <f t="shared" si="35"/>
        <v>45393</v>
      </c>
      <c r="Y116" s="380">
        <f t="shared" si="36"/>
        <v>146.76501975356308</v>
      </c>
      <c r="Z116" s="380">
        <f t="shared" si="37"/>
        <v>148.72481063128984</v>
      </c>
      <c r="AA116" s="381">
        <f t="shared" si="38"/>
        <v>156.09792019734604</v>
      </c>
      <c r="AB116" s="193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4.7233874459920944E-2</v>
      </c>
      <c r="AD116" s="227">
        <f>(INDEX(Models!$BJ116:$BT116,,AH116)*(1-AF116)+INDEX(Models!$BJ116:$BT116,,AH116+1)*AF116-ERP_i)*AE116*Ramure*Pc/MaxiM</f>
        <v>7.2440607083670556E-5</v>
      </c>
      <c r="AE116" s="301">
        <f t="shared" si="40"/>
        <v>0.5</v>
      </c>
      <c r="AF116" s="173">
        <f t="shared" si="41"/>
        <v>2.9558776542895737E-2</v>
      </c>
      <c r="AG116" s="801">
        <f t="shared" si="49"/>
        <v>1</v>
      </c>
      <c r="AH116" s="172">
        <f t="shared" si="42"/>
        <v>7</v>
      </c>
      <c r="AI116" s="221">
        <f t="shared" si="43"/>
        <v>1.0295587765428957</v>
      </c>
      <c r="AJ116" s="261" t="b">
        <f t="shared" si="44"/>
        <v>0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45394</v>
      </c>
      <c r="B117" s="406">
        <f>'2023'!Wh/'2023'!Env_an*'2024'!Env_an</f>
        <v>25.329257677792807</v>
      </c>
      <c r="C117" s="385"/>
      <c r="D117" s="388">
        <f t="shared" si="25"/>
        <v>25.66783711049116</v>
      </c>
      <c r="E117" s="380">
        <f t="shared" si="47"/>
        <v>25.898371319292593</v>
      </c>
      <c r="F117" s="380">
        <f t="shared" si="26"/>
        <v>25.898371319292593</v>
      </c>
      <c r="G117" s="110">
        <f t="shared" si="48"/>
        <v>0.11281530502269366</v>
      </c>
      <c r="H117" s="409" t="b">
        <f>Wh_hp&gt;='2023'!Maxi_hp</f>
        <v>0</v>
      </c>
      <c r="I117" s="375">
        <f>IF(H117,Wh_hp,'2023'!Maxi_hp)</f>
        <v>25.900210588432266</v>
      </c>
      <c r="J117" s="85">
        <f>IF(H117,An,'2023'!An_max)</f>
        <v>2022</v>
      </c>
      <c r="K117" s="193">
        <f t="shared" si="27"/>
        <v>45394</v>
      </c>
      <c r="L117" s="143">
        <f>IF(t&lt;Tvie,1-EXP((T0-t)*PertePVj)+'2023'!Pspv,1-EXP((T0-t)*PertePVj)+Pspv)</f>
        <v>1.3190804945538925E-2</v>
      </c>
      <c r="M117" s="835"/>
      <c r="N117" s="835"/>
      <c r="O117" s="48">
        <f>IF(t&lt;Tnet,'2023'!Resal+('2023'!Salim-'2023'!Resal)*(1-EXP(('2023'!Tnet-t)/('2023'!Tau_j))),Resal+(Salim-Resal)*(1-EXP((Tnet-t)/(Tau_j))))*Salcycl</f>
        <v>8.9014944592172296E-3</v>
      </c>
      <c r="P117" s="165">
        <f>(INDEX(Models!$BJ117:$BT117,,T117)*(1-R117)+INDEX(Models!$BJ117:$BT117,,T117+1)*R117-ERP_i)*Q117*Ramure*Pc/MaxiM</f>
        <v>7.3876146528676503E-5</v>
      </c>
      <c r="Q117" s="301">
        <f t="shared" si="28"/>
        <v>0.5</v>
      </c>
      <c r="R117" s="173">
        <f t="shared" si="29"/>
        <v>3.1123050475817315E-2</v>
      </c>
      <c r="S117" s="801">
        <f t="shared" si="30"/>
        <v>1</v>
      </c>
      <c r="T117" s="172">
        <f t="shared" si="31"/>
        <v>7</v>
      </c>
      <c r="U117" s="247">
        <f t="shared" si="32"/>
        <v>1.0311230504758173</v>
      </c>
      <c r="V117" s="378">
        <f t="shared" si="33"/>
        <v>224.50310660194856</v>
      </c>
      <c r="W117" s="397">
        <f t="shared" si="34"/>
        <v>25.329257677792807</v>
      </c>
      <c r="X117" s="153">
        <f t="shared" si="35"/>
        <v>45394</v>
      </c>
      <c r="Y117" s="380">
        <f t="shared" si="36"/>
        <v>24.348355129614347</v>
      </c>
      <c r="Z117" s="380">
        <f t="shared" si="37"/>
        <v>24.673822712272745</v>
      </c>
      <c r="AA117" s="381">
        <f t="shared" si="38"/>
        <v>25.898371319292593</v>
      </c>
      <c r="AB117" s="193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4.7282842303972963E-2</v>
      </c>
      <c r="AD117" s="227">
        <f>(INDEX(Models!$BJ117:$BT117,,AH117)*(1-AF117)+INDEX(Models!$BJ117:$BT117,,AH117+1)*AF117-ERP_i)*AE117*Ramure*Pc/MaxiM</f>
        <v>7.3876146528676503E-5</v>
      </c>
      <c r="AE117" s="301">
        <f t="shared" si="40"/>
        <v>0.5</v>
      </c>
      <c r="AF117" s="173">
        <f t="shared" si="41"/>
        <v>3.1123050475817315E-2</v>
      </c>
      <c r="AG117" s="801">
        <f t="shared" si="49"/>
        <v>1</v>
      </c>
      <c r="AH117" s="172">
        <f t="shared" si="42"/>
        <v>7</v>
      </c>
      <c r="AI117" s="221">
        <f t="shared" si="43"/>
        <v>1.0311230504758173</v>
      </c>
      <c r="AJ117" s="261" t="b">
        <f t="shared" si="44"/>
        <v>0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45395</v>
      </c>
      <c r="B118" s="406">
        <f>'2023'!Wh/'2023'!Env_an*'2024'!Env_an</f>
        <v>181.83554383691131</v>
      </c>
      <c r="C118" s="385"/>
      <c r="D118" s="388">
        <f t="shared" si="25"/>
        <v>184.26868533267734</v>
      </c>
      <c r="E118" s="380">
        <f t="shared" si="47"/>
        <v>185.9388406423281</v>
      </c>
      <c r="F118" s="380">
        <f t="shared" si="26"/>
        <v>185.94898651748696</v>
      </c>
      <c r="G118" s="110">
        <f t="shared" si="48"/>
        <v>0.80709052130590231</v>
      </c>
      <c r="H118" s="409" t="b">
        <f>Wh_hp&gt;='2023'!Maxi_hp</f>
        <v>0</v>
      </c>
      <c r="I118" s="375">
        <f>IF(H118,Wh_hp,'2023'!Maxi_hp)</f>
        <v>185.95269093155864</v>
      </c>
      <c r="J118" s="85">
        <f>IF(H118,An,'2023'!An_max)</f>
        <v>2022</v>
      </c>
      <c r="K118" s="193">
        <f t="shared" si="27"/>
        <v>45395</v>
      </c>
      <c r="L118" s="143">
        <f>IF(t&lt;Tvie,1-EXP((T0-t)*PertePVj)+'2023'!Pspv,1-EXP((T0-t)*PertePVj)+Pspv)</f>
        <v>1.3204313534734613E-2</v>
      </c>
      <c r="M118" s="835"/>
      <c r="N118" s="835"/>
      <c r="O118" s="48">
        <f>IF(t&lt;Tnet,'2023'!Resal+('2023'!Salim-'2023'!Resal)*(1-EXP(('2023'!Tnet-t)/('2023'!Tau_j))),Resal+(Salim-Resal)*(1-EXP((Tnet-t)/(Tau_j))))*Salcycl</f>
        <v>8.9822831199828906E-3</v>
      </c>
      <c r="P118" s="165">
        <f>(INDEX(Models!$BJ118:$BT118,,T118)*(1-R118)+INDEX(Models!$BJ118:$BT118,,T118+1)*R118-ERP_i)*Q118*Ramure*Pc/MaxiM</f>
        <v>7.5317153645919769E-5</v>
      </c>
      <c r="Q118" s="301">
        <f t="shared" si="28"/>
        <v>0.5</v>
      </c>
      <c r="R118" s="173">
        <f t="shared" si="29"/>
        <v>3.2741674355381001E-2</v>
      </c>
      <c r="S118" s="801">
        <f t="shared" si="30"/>
        <v>1</v>
      </c>
      <c r="T118" s="172">
        <f t="shared" si="31"/>
        <v>7</v>
      </c>
      <c r="U118" s="247">
        <f t="shared" si="32"/>
        <v>1.032741674355381</v>
      </c>
      <c r="V118" s="378">
        <f t="shared" si="33"/>
        <v>225.29290696647217</v>
      </c>
      <c r="W118" s="397">
        <f t="shared" si="34"/>
        <v>181.83554383691131</v>
      </c>
      <c r="X118" s="153">
        <f t="shared" si="35"/>
        <v>45395</v>
      </c>
      <c r="Y118" s="380">
        <f t="shared" si="36"/>
        <v>174.79892410526389</v>
      </c>
      <c r="Z118" s="380">
        <f t="shared" si="37"/>
        <v>177.13790858916235</v>
      </c>
      <c r="AA118" s="381">
        <f t="shared" si="38"/>
        <v>185.9388406423281</v>
      </c>
      <c r="AB118" s="193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4.7332402540334342E-2</v>
      </c>
      <c r="AD118" s="227">
        <f>(INDEX(Models!$BJ118:$BT118,,AH118)*(1-AF118)+INDEX(Models!$BJ118:$BT118,,AH118+1)*AF118-ERP_i)*AE118*Ramure*Pc/MaxiM</f>
        <v>7.5317153645919769E-5</v>
      </c>
      <c r="AE118" s="301">
        <f t="shared" si="40"/>
        <v>0.5</v>
      </c>
      <c r="AF118" s="173">
        <f t="shared" si="41"/>
        <v>3.2741674355381001E-2</v>
      </c>
      <c r="AG118" s="801">
        <f t="shared" si="49"/>
        <v>1</v>
      </c>
      <c r="AH118" s="172">
        <f t="shared" si="42"/>
        <v>7</v>
      </c>
      <c r="AI118" s="221">
        <f t="shared" si="43"/>
        <v>1.032741674355381</v>
      </c>
      <c r="AJ118" s="261" t="b">
        <f t="shared" si="44"/>
        <v>0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45396</v>
      </c>
      <c r="B119" s="406">
        <f>'2023'!Wh/'2023'!Env_an*'2024'!Env_an</f>
        <v>191.97671143270691</v>
      </c>
      <c r="C119" s="385"/>
      <c r="D119" s="388">
        <f t="shared" si="25"/>
        <v>194.54821509842998</v>
      </c>
      <c r="E119" s="380">
        <f t="shared" si="47"/>
        <v>196.3275610821984</v>
      </c>
      <c r="F119" s="380">
        <f t="shared" si="26"/>
        <v>196.33938636170123</v>
      </c>
      <c r="G119" s="110">
        <f t="shared" si="48"/>
        <v>0.84919738189029514</v>
      </c>
      <c r="H119" s="409" t="b">
        <f>Wh_hp&gt;='2023'!Maxi_hp</f>
        <v>0</v>
      </c>
      <c r="I119" s="375">
        <f>IF(H119,Wh_hp,'2023'!Maxi_hp)</f>
        <v>196.34249793514525</v>
      </c>
      <c r="J119" s="85">
        <f>IF(H119,An,'2023'!An_max)</f>
        <v>2022</v>
      </c>
      <c r="K119" s="193">
        <f t="shared" si="27"/>
        <v>45396</v>
      </c>
      <c r="L119" s="143">
        <f>IF(t&lt;Tvie,1-EXP((T0-t)*PertePVj)+'2023'!Pspv,1-EXP((T0-t)*PertePVj)+Pspv)</f>
        <v>1.3217821939009E-2</v>
      </c>
      <c r="M119" s="835"/>
      <c r="N119" s="835"/>
      <c r="O119" s="48">
        <f>IF(t&lt;Tnet,'2023'!Resal+('2023'!Salim-'2023'!Resal)*(1-EXP(('2023'!Tnet-t)/('2023'!Tau_j))),Resal+(Salim-Resal)*(1-EXP((Tnet-t)/(Tau_j))))*Salcycl</f>
        <v>9.063149228566332E-3</v>
      </c>
      <c r="P119" s="165">
        <f>(INDEX(Models!$BJ119:$BT119,,T119)*(1-R119)+INDEX(Models!$BJ119:$BT119,,T119+1)*R119-ERP_i)*Q119*Ramure*Pc/MaxiM</f>
        <v>7.6764859934730343E-5</v>
      </c>
      <c r="Q119" s="301">
        <f t="shared" si="28"/>
        <v>0.5</v>
      </c>
      <c r="R119" s="173">
        <f t="shared" si="29"/>
        <v>3.4416091664912329E-2</v>
      </c>
      <c r="S119" s="801">
        <f t="shared" si="30"/>
        <v>1</v>
      </c>
      <c r="T119" s="172">
        <f t="shared" si="31"/>
        <v>7</v>
      </c>
      <c r="U119" s="247">
        <f t="shared" si="32"/>
        <v>1.0344160916649123</v>
      </c>
      <c r="V119" s="378">
        <f t="shared" si="33"/>
        <v>226.06468271224168</v>
      </c>
      <c r="W119" s="397">
        <f t="shared" si="34"/>
        <v>191.97671143270691</v>
      </c>
      <c r="X119" s="153">
        <f t="shared" si="35"/>
        <v>45396</v>
      </c>
      <c r="Y119" s="380">
        <f t="shared" si="36"/>
        <v>184.55299354245105</v>
      </c>
      <c r="Z119" s="380">
        <f t="shared" si="37"/>
        <v>187.02505744995753</v>
      </c>
      <c r="AA119" s="381">
        <f t="shared" si="38"/>
        <v>196.3275610821984</v>
      </c>
      <c r="AB119" s="193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4.7382566059311883E-2</v>
      </c>
      <c r="AD119" s="227">
        <f>(INDEX(Models!$BJ119:$BT119,,AH119)*(1-AF119)+INDEX(Models!$BJ119:$BT119,,AH119+1)*AF119-ERP_i)*AE119*Ramure*Pc/MaxiM</f>
        <v>7.6764859934730343E-5</v>
      </c>
      <c r="AE119" s="301">
        <f t="shared" si="40"/>
        <v>0.5</v>
      </c>
      <c r="AF119" s="173">
        <f t="shared" si="41"/>
        <v>3.4416091664912329E-2</v>
      </c>
      <c r="AG119" s="801">
        <f t="shared" si="49"/>
        <v>1</v>
      </c>
      <c r="AH119" s="172">
        <f t="shared" si="42"/>
        <v>7</v>
      </c>
      <c r="AI119" s="221">
        <f t="shared" si="43"/>
        <v>1.0344160916649123</v>
      </c>
      <c r="AJ119" s="261" t="b">
        <f t="shared" si="44"/>
        <v>0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45397</v>
      </c>
      <c r="B120" s="406">
        <f>'2023'!Wh/'2023'!Env_an*'2024'!Env_an</f>
        <v>193.13060842084425</v>
      </c>
      <c r="C120" s="385"/>
      <c r="D120" s="388">
        <f t="shared" si="25"/>
        <v>195.72024763599299</v>
      </c>
      <c r="E120" s="380">
        <f t="shared" si="47"/>
        <v>197.52644875518857</v>
      </c>
      <c r="F120" s="380">
        <f t="shared" si="26"/>
        <v>197.5386218000377</v>
      </c>
      <c r="G120" s="110">
        <f t="shared" si="48"/>
        <v>0.85145957672430039</v>
      </c>
      <c r="H120" s="409" t="b">
        <f>Wh_hp&gt;='2023'!Maxi_hp</f>
        <v>0</v>
      </c>
      <c r="I120" s="375">
        <f>IF(H120,Wh_hp,'2023'!Maxi_hp)</f>
        <v>197.54175886779768</v>
      </c>
      <c r="J120" s="85">
        <f>IF(H120,An,'2023'!An_max)</f>
        <v>2022</v>
      </c>
      <c r="K120" s="193">
        <f t="shared" si="27"/>
        <v>45397</v>
      </c>
      <c r="L120" s="143">
        <f>IF(t&lt;Tvie,1-EXP((T0-t)*PertePVj)+'2023'!Pspv,1-EXP((T0-t)*PertePVj)+Pspv)</f>
        <v>1.3231330158364751E-2</v>
      </c>
      <c r="M120" s="835"/>
      <c r="N120" s="835"/>
      <c r="O120" s="48">
        <f>IF(t&lt;Tnet,'2023'!Resal+('2023'!Salim-'2023'!Resal)*(1-EXP(('2023'!Tnet-t)/('2023'!Tau_j))),Resal+(Salim-Resal)*(1-EXP((Tnet-t)/(Tau_j))))*Salcycl</f>
        <v>9.1440975655576531E-3</v>
      </c>
      <c r="P120" s="165">
        <f>(INDEX(Models!$BJ120:$BT120,,T120)*(1-R120)+INDEX(Models!$BJ120:$BT120,,T120+1)*R120-ERP_i)*Q120*Ramure*Pc/MaxiM</f>
        <v>7.8220471538916617E-5</v>
      </c>
      <c r="Q120" s="301">
        <f t="shared" si="28"/>
        <v>0.5</v>
      </c>
      <c r="R120" s="173">
        <f t="shared" si="29"/>
        <v>3.6147749638554716E-2</v>
      </c>
      <c r="S120" s="801">
        <f t="shared" si="30"/>
        <v>1</v>
      </c>
      <c r="T120" s="172">
        <f t="shared" si="31"/>
        <v>7</v>
      </c>
      <c r="U120" s="247">
        <f t="shared" si="32"/>
        <v>1.0361477496385547</v>
      </c>
      <c r="V120" s="378">
        <f t="shared" si="33"/>
        <v>226.81922682242751</v>
      </c>
      <c r="W120" s="397">
        <f t="shared" si="34"/>
        <v>193.13060842084425</v>
      </c>
      <c r="X120" s="153">
        <f t="shared" si="35"/>
        <v>45397</v>
      </c>
      <c r="Y120" s="380">
        <f t="shared" si="36"/>
        <v>185.66754012790523</v>
      </c>
      <c r="Z120" s="380">
        <f t="shared" si="37"/>
        <v>188.15710895817423</v>
      </c>
      <c r="AA120" s="381">
        <f t="shared" si="38"/>
        <v>197.52644875518857</v>
      </c>
      <c r="AB120" s="193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4.7433343008290253E-2</v>
      </c>
      <c r="AD120" s="227">
        <f>(INDEX(Models!$BJ120:$BT120,,AH120)*(1-AF120)+INDEX(Models!$BJ120:$BT120,,AH120+1)*AF120-ERP_i)*AE120*Ramure*Pc/MaxiM</f>
        <v>7.8220471538916617E-5</v>
      </c>
      <c r="AE120" s="301">
        <f t="shared" si="40"/>
        <v>0.5</v>
      </c>
      <c r="AF120" s="173">
        <f t="shared" si="41"/>
        <v>3.6147749638554716E-2</v>
      </c>
      <c r="AG120" s="801">
        <f t="shared" si="49"/>
        <v>1</v>
      </c>
      <c r="AH120" s="172">
        <f t="shared" si="42"/>
        <v>7</v>
      </c>
      <c r="AI120" s="221">
        <f t="shared" si="43"/>
        <v>1.0361477496385547</v>
      </c>
      <c r="AJ120" s="261" t="b">
        <f t="shared" si="44"/>
        <v>0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45398</v>
      </c>
      <c r="B121" s="406">
        <f>'2023'!Wh/'2023'!Env_an*'2024'!Env_an</f>
        <v>231.67698341321835</v>
      </c>
      <c r="C121" s="385"/>
      <c r="D121" s="388">
        <f t="shared" si="25"/>
        <v>234.78669520097858</v>
      </c>
      <c r="E121" s="380">
        <f t="shared" si="47"/>
        <v>236.97280075947822</v>
      </c>
      <c r="F121" s="380">
        <f t="shared" si="26"/>
        <v>236.99168583798047</v>
      </c>
      <c r="G121" s="110">
        <f t="shared" si="48"/>
        <v>1.0181229862172456</v>
      </c>
      <c r="H121" s="409" t="b">
        <f>Wh_hp&gt;='2023'!Maxi_hp</f>
        <v>1</v>
      </c>
      <c r="I121" s="375">
        <f>IF(H121,Wh_hp,'2023'!Maxi_hp)</f>
        <v>236.99168583798047</v>
      </c>
      <c r="J121" s="85">
        <f>IF(H121,An,'2023'!An_max)</f>
        <v>2024</v>
      </c>
      <c r="K121" s="193">
        <f t="shared" si="27"/>
        <v>45398</v>
      </c>
      <c r="L121" s="143">
        <f>IF(t&lt;Tvie,1-EXP((T0-t)*PertePVj)+'2023'!Pspv,1-EXP((T0-t)*PertePVj)+Pspv)</f>
        <v>1.3244838192804309E-2</v>
      </c>
      <c r="M121" s="835"/>
      <c r="N121" s="835"/>
      <c r="O121" s="48">
        <f>IF(t&lt;Tnet,'2023'!Resal+('2023'!Salim-'2023'!Resal)*(1-EXP(('2023'!Tnet-t)/('2023'!Tau_j))),Resal+(Salim-Resal)*(1-EXP((Tnet-t)/(Tau_j))))*Salcycl</f>
        <v>9.2251328063530178E-3</v>
      </c>
      <c r="P121" s="165">
        <f>(INDEX(Models!$BJ121:$BT121,,T121)*(1-R121)+INDEX(Models!$BJ121:$BT121,,T121+1)*R121-ERP_i)*Q121*Ramure*Pc/MaxiM</f>
        <v>7.968667101335146E-5</v>
      </c>
      <c r="Q121" s="301">
        <f t="shared" si="28"/>
        <v>0.5</v>
      </c>
      <c r="R121" s="173">
        <f t="shared" si="29"/>
        <v>3.7938096173231628E-2</v>
      </c>
      <c r="S121" s="801">
        <f t="shared" si="30"/>
        <v>1</v>
      </c>
      <c r="T121" s="172">
        <f t="shared" si="31"/>
        <v>7</v>
      </c>
      <c r="U121" s="247">
        <f t="shared" si="32"/>
        <v>1.0379380961732316</v>
      </c>
      <c r="V121" s="378">
        <f t="shared" si="33"/>
        <v>227.55304275566513</v>
      </c>
      <c r="W121" s="397">
        <f t="shared" si="34"/>
        <v>231.67698341321835</v>
      </c>
      <c r="X121" s="153">
        <f t="shared" si="35"/>
        <v>45398</v>
      </c>
      <c r="Y121" s="380">
        <f t="shared" si="36"/>
        <v>222.73058063977294</v>
      </c>
      <c r="Z121" s="380">
        <f t="shared" si="37"/>
        <v>225.72020827522437</v>
      </c>
      <c r="AA121" s="381">
        <f t="shared" si="38"/>
        <v>236.97280075947822</v>
      </c>
      <c r="AB121" s="193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4.7484742756089424E-2</v>
      </c>
      <c r="AD121" s="227">
        <f>(INDEX(Models!$BJ121:$BT121,,AH121)*(1-AF121)+INDEX(Models!$BJ121:$BT121,,AH121+1)*AF121-ERP_i)*AE121*Ramure*Pc/MaxiM</f>
        <v>7.968667101335146E-5</v>
      </c>
      <c r="AE121" s="301">
        <f t="shared" si="40"/>
        <v>0.5</v>
      </c>
      <c r="AF121" s="173">
        <f t="shared" si="41"/>
        <v>3.7938096173231628E-2</v>
      </c>
      <c r="AG121" s="801">
        <f t="shared" si="49"/>
        <v>1</v>
      </c>
      <c r="AH121" s="172">
        <f t="shared" si="42"/>
        <v>7</v>
      </c>
      <c r="AI121" s="221">
        <f t="shared" si="43"/>
        <v>1.0379380961732316</v>
      </c>
      <c r="AJ121" s="261" t="b">
        <f t="shared" si="44"/>
        <v>0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45399</v>
      </c>
      <c r="B122" s="406">
        <f>'2023'!Wh/'2023'!Env_an*'2024'!Env_an</f>
        <v>170.97765948862701</v>
      </c>
      <c r="C122" s="385"/>
      <c r="D122" s="388">
        <f t="shared" si="25"/>
        <v>173.27499939103797</v>
      </c>
      <c r="E122" s="380">
        <f t="shared" si="47"/>
        <v>174.9026892053941</v>
      </c>
      <c r="F122" s="380">
        <f t="shared" si="26"/>
        <v>174.91178674521396</v>
      </c>
      <c r="G122" s="110">
        <f t="shared" si="48"/>
        <v>0.74901674014632091</v>
      </c>
      <c r="H122" s="409" t="b">
        <f>Wh_hp&gt;='2023'!Maxi_hp</f>
        <v>0</v>
      </c>
      <c r="I122" s="375">
        <f>IF(H122,Wh_hp,'2023'!Maxi_hp)</f>
        <v>174.91663566375686</v>
      </c>
      <c r="J122" s="85">
        <f>IF(H122,An,'2023'!An_max)</f>
        <v>2022</v>
      </c>
      <c r="K122" s="193">
        <f t="shared" si="27"/>
        <v>45399</v>
      </c>
      <c r="L122" s="143">
        <f>IF(t&lt;Tvie,1-EXP((T0-t)*PertePVj)+'2023'!Pspv,1-EXP((T0-t)*PertePVj)+Pspv)</f>
        <v>1.3258346042330227E-2</v>
      </c>
      <c r="M122" s="835"/>
      <c r="N122" s="835"/>
      <c r="O122" s="48">
        <f>IF(t&lt;Tnet,'2023'!Resal+('2023'!Salim-'2023'!Resal)*(1-EXP(('2023'!Tnet-t)/('2023'!Tau_j))),Resal+(Salim-Resal)*(1-EXP((Tnet-t)/(Tau_j))))*Salcycl</f>
        <v>9.3062595077921563E-3</v>
      </c>
      <c r="P122" s="165">
        <f>(INDEX(Models!$BJ122:$BT122,,T122)*(1-R122)+INDEX(Models!$BJ122:$BT122,,T122+1)*R122-ERP_i)*Q122*Ramure*Pc/MaxiM</f>
        <v>8.1081044746726173E-5</v>
      </c>
      <c r="Q122" s="301">
        <f t="shared" si="28"/>
        <v>0.5</v>
      </c>
      <c r="R122" s="173">
        <f t="shared" si="29"/>
        <v>3.9788576495954464E-2</v>
      </c>
      <c r="S122" s="801">
        <f t="shared" si="30"/>
        <v>1</v>
      </c>
      <c r="T122" s="172">
        <f t="shared" si="31"/>
        <v>7</v>
      </c>
      <c r="U122" s="247">
        <f t="shared" si="32"/>
        <v>1.0397885764959545</v>
      </c>
      <c r="V122" s="378">
        <f t="shared" si="33"/>
        <v>228.26284105053651</v>
      </c>
      <c r="W122" s="397">
        <f t="shared" si="34"/>
        <v>170.97765948862701</v>
      </c>
      <c r="X122" s="153">
        <f t="shared" si="35"/>
        <v>45399</v>
      </c>
      <c r="Y122" s="380">
        <f t="shared" si="36"/>
        <v>164.37969323817688</v>
      </c>
      <c r="Z122" s="380">
        <f t="shared" si="37"/>
        <v>166.58837962183424</v>
      </c>
      <c r="AA122" s="381">
        <f t="shared" si="38"/>
        <v>174.9026892053941</v>
      </c>
      <c r="AB122" s="193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4.7536773855981609E-2</v>
      </c>
      <c r="AD122" s="227">
        <f>(INDEX(Models!$BJ122:$BT122,,AH122)*(1-AF122)+INDEX(Models!$BJ122:$BT122,,AH122+1)*AF122-ERP_i)*AE122*Ramure*Pc/MaxiM</f>
        <v>8.1081044746726173E-5</v>
      </c>
      <c r="AE122" s="301">
        <f t="shared" si="40"/>
        <v>0.5</v>
      </c>
      <c r="AF122" s="173">
        <f t="shared" si="41"/>
        <v>3.9788576495954464E-2</v>
      </c>
      <c r="AG122" s="801">
        <f t="shared" si="49"/>
        <v>1</v>
      </c>
      <c r="AH122" s="172">
        <f t="shared" si="42"/>
        <v>7</v>
      </c>
      <c r="AI122" s="221">
        <f t="shared" si="43"/>
        <v>1.0397885764959545</v>
      </c>
      <c r="AJ122" s="261" t="b">
        <f t="shared" si="44"/>
        <v>0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45400</v>
      </c>
      <c r="B123" s="406">
        <f>'2023'!Wh/'2023'!Env_an*'2024'!Env_an</f>
        <v>38.617275338628467</v>
      </c>
      <c r="C123" s="385"/>
      <c r="D123" s="388">
        <f t="shared" si="25"/>
        <v>39.136691786593936</v>
      </c>
      <c r="E123" s="380">
        <f t="shared" si="47"/>
        <v>39.507568377322684</v>
      </c>
      <c r="F123" s="380">
        <f t="shared" si="26"/>
        <v>39.507568377322684</v>
      </c>
      <c r="G123" s="110">
        <f t="shared" si="48"/>
        <v>0.16865754261515756</v>
      </c>
      <c r="H123" s="409" t="b">
        <f>Wh_hp&gt;='2023'!Maxi_hp</f>
        <v>0</v>
      </c>
      <c r="I123" s="375">
        <f>IF(H123,Wh_hp,'2023'!Maxi_hp)</f>
        <v>39.510665427940808</v>
      </c>
      <c r="J123" s="85">
        <f>IF(H123,An,'2023'!An_max)</f>
        <v>2022</v>
      </c>
      <c r="K123" s="193">
        <f t="shared" si="27"/>
        <v>45400</v>
      </c>
      <c r="L123" s="143">
        <f>IF(t&lt;Tvie,1-EXP((T0-t)*PertePVj)+'2023'!Pspv,1-EXP((T0-t)*PertePVj)+Pspv)</f>
        <v>1.3271853706944947E-2</v>
      </c>
      <c r="M123" s="835"/>
      <c r="N123" s="835"/>
      <c r="O123" s="48">
        <f>IF(t&lt;Tnet,'2023'!Resal+('2023'!Salim-'2023'!Resal)*(1-EXP(('2023'!Tnet-t)/('2023'!Tau_j))),Resal+(Salim-Resal)*(1-EXP((Tnet-t)/(Tau_j))))*Salcycl</f>
        <v>9.3874820942315505E-3</v>
      </c>
      <c r="P123" s="165">
        <f>(INDEX(Models!$BJ123:$BT123,,T123)*(1-R123)+INDEX(Models!$BJ123:$BT123,,T123+1)*R123-ERP_i)*Q123*Ramure*Pc/MaxiM</f>
        <v>8.2343746026950794E-5</v>
      </c>
      <c r="Q123" s="301">
        <f t="shared" si="28"/>
        <v>0.5</v>
      </c>
      <c r="R123" s="173">
        <f t="shared" si="29"/>
        <v>4.1700629580591286E-2</v>
      </c>
      <c r="S123" s="801">
        <f t="shared" si="30"/>
        <v>1</v>
      </c>
      <c r="T123" s="172">
        <f t="shared" si="31"/>
        <v>7</v>
      </c>
      <c r="U123" s="247">
        <f t="shared" si="32"/>
        <v>1.0417006295805913</v>
      </c>
      <c r="V123" s="378">
        <f t="shared" si="33"/>
        <v>228.94970986044365</v>
      </c>
      <c r="W123" s="397">
        <f t="shared" si="34"/>
        <v>38.617275338628467</v>
      </c>
      <c r="X123" s="153">
        <f t="shared" si="35"/>
        <v>45400</v>
      </c>
      <c r="Y123" s="380">
        <f t="shared" si="36"/>
        <v>37.128039482018409</v>
      </c>
      <c r="Z123" s="380">
        <f t="shared" si="37"/>
        <v>37.62742516416624</v>
      </c>
      <c r="AA123" s="381">
        <f t="shared" si="38"/>
        <v>39.507568377322684</v>
      </c>
      <c r="AB123" s="193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4.7589444007281489E-2</v>
      </c>
      <c r="AD123" s="227">
        <f>(INDEX(Models!$BJ123:$BT123,,AH123)*(1-AF123)+INDEX(Models!$BJ123:$BT123,,AH123+1)*AF123-ERP_i)*AE123*Ramure*Pc/MaxiM</f>
        <v>8.2343746026950794E-5</v>
      </c>
      <c r="AE123" s="301">
        <f t="shared" si="40"/>
        <v>0.5</v>
      </c>
      <c r="AF123" s="173">
        <f t="shared" si="41"/>
        <v>4.1700629580591286E-2</v>
      </c>
      <c r="AG123" s="801">
        <f t="shared" si="49"/>
        <v>1</v>
      </c>
      <c r="AH123" s="172">
        <f t="shared" si="42"/>
        <v>7</v>
      </c>
      <c r="AI123" s="221">
        <f t="shared" si="43"/>
        <v>1.0417006295805913</v>
      </c>
      <c r="AJ123" s="261" t="b">
        <f t="shared" si="44"/>
        <v>0</v>
      </c>
      <c r="AK123" s="261" t="b">
        <f t="shared" si="45"/>
        <v>0</v>
      </c>
      <c r="AL123" s="261"/>
      <c r="AM123" s="261"/>
      <c r="AN123" s="261"/>
    </row>
    <row r="124" spans="1:40" s="6" customFormat="1" ht="11.25" customHeight="1" x14ac:dyDescent="0.2">
      <c r="A124" s="56">
        <f t="shared" si="46"/>
        <v>45401</v>
      </c>
      <c r="B124" s="406">
        <f>'2023'!Wh/'2023'!Env_an*'2024'!Env_an</f>
        <v>43.796054084730059</v>
      </c>
      <c r="C124" s="385"/>
      <c r="D124" s="388">
        <f t="shared" si="25"/>
        <v>44.385734600431633</v>
      </c>
      <c r="E124" s="380">
        <f t="shared" si="47"/>
        <v>44.810032048912795</v>
      </c>
      <c r="F124" s="380">
        <f t="shared" si="26"/>
        <v>44.810032048912795</v>
      </c>
      <c r="G124" s="110">
        <f t="shared" si="48"/>
        <v>0.19072121150151841</v>
      </c>
      <c r="H124" s="409" t="b">
        <f>Wh_hp&gt;='2023'!Maxi_hp</f>
        <v>0</v>
      </c>
      <c r="I124" s="375">
        <f>IF(H124,Wh_hp,'2023'!Maxi_hp)</f>
        <v>44.813586575905077</v>
      </c>
      <c r="J124" s="85">
        <f>IF(H124,An,'2023'!An_max)</f>
        <v>2022</v>
      </c>
      <c r="K124" s="193">
        <f t="shared" si="27"/>
        <v>45401</v>
      </c>
      <c r="L124" s="143">
        <f>IF(t&lt;Tvie,1-EXP((T0-t)*PertePVj)+'2023'!Pspv,1-EXP((T0-t)*PertePVj)+Pspv)</f>
        <v>1.3285361186651135E-2</v>
      </c>
      <c r="M124" s="835"/>
      <c r="N124" s="835"/>
      <c r="O124" s="48">
        <f>IF(t&lt;Tnet,'2023'!Resal+('2023'!Salim-'2023'!Resal)*(1-EXP(('2023'!Tnet-t)/('2023'!Tau_j))),Resal+(Salim-Resal)*(1-EXP((Tnet-t)/(Tau_j))))*Salcycl</f>
        <v>9.4688048430320287E-3</v>
      </c>
      <c r="P124" s="165">
        <f>(INDEX(Models!$BJ124:$BT124,,T124)*(1-R124)+INDEX(Models!$BJ124:$BT124,,T124+1)*R124-ERP_i)*Q124*Ramure*Pc/MaxiM</f>
        <v>8.347418916804899E-5</v>
      </c>
      <c r="Q124" s="301">
        <f t="shared" si="28"/>
        <v>0.5</v>
      </c>
      <c r="R124" s="173">
        <f t="shared" si="29"/>
        <v>4.3675684309260498E-2</v>
      </c>
      <c r="S124" s="801">
        <f t="shared" si="30"/>
        <v>1</v>
      </c>
      <c r="T124" s="172">
        <f t="shared" si="31"/>
        <v>7</v>
      </c>
      <c r="U124" s="247">
        <f t="shared" si="32"/>
        <v>1.0436756843092605</v>
      </c>
      <c r="V124" s="378">
        <f t="shared" si="33"/>
        <v>229.61472350063127</v>
      </c>
      <c r="W124" s="397">
        <f t="shared" si="34"/>
        <v>43.796054084730059</v>
      </c>
      <c r="X124" s="153">
        <f t="shared" si="35"/>
        <v>45401</v>
      </c>
      <c r="Y124" s="380">
        <f t="shared" si="36"/>
        <v>42.108203552072233</v>
      </c>
      <c r="Z124" s="380">
        <f t="shared" si="37"/>
        <v>42.675158445721202</v>
      </c>
      <c r="AA124" s="381">
        <f t="shared" si="38"/>
        <v>44.810032048912795</v>
      </c>
      <c r="AB124" s="193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4.7642760015463859E-2</v>
      </c>
      <c r="AD124" s="227">
        <f>(INDEX(Models!$BJ124:$BT124,,AH124)*(1-AF124)+INDEX(Models!$BJ124:$BT124,,AH124+1)*AF124-ERP_i)*AE124*Ramure*Pc/MaxiM</f>
        <v>8.347418916804899E-5</v>
      </c>
      <c r="AE124" s="301">
        <f t="shared" si="40"/>
        <v>0.5</v>
      </c>
      <c r="AF124" s="173">
        <f t="shared" si="41"/>
        <v>4.3675684309260498E-2</v>
      </c>
      <c r="AG124" s="801">
        <f t="shared" si="49"/>
        <v>1</v>
      </c>
      <c r="AH124" s="172">
        <f t="shared" si="42"/>
        <v>7</v>
      </c>
      <c r="AI124" s="221">
        <f t="shared" si="43"/>
        <v>1.0436756843092605</v>
      </c>
      <c r="AJ124" s="261" t="b">
        <f t="shared" si="44"/>
        <v>0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45402</v>
      </c>
      <c r="B125" s="406">
        <f>'2023'!Wh/'2023'!Env_an*'2024'!Env_an</f>
        <v>39.0266238514346</v>
      </c>
      <c r="C125" s="385"/>
      <c r="D125" s="388">
        <f t="shared" si="25"/>
        <v>39.552629063444982</v>
      </c>
      <c r="E125" s="380">
        <f t="shared" si="47"/>
        <v>39.934008100279051</v>
      </c>
      <c r="F125" s="380">
        <f t="shared" si="26"/>
        <v>39.934008100279051</v>
      </c>
      <c r="G125" s="110">
        <f t="shared" si="48"/>
        <v>0.16947582799805055</v>
      </c>
      <c r="H125" s="409" t="b">
        <f>Wh_hp&gt;='2023'!Maxi_hp</f>
        <v>0</v>
      </c>
      <c r="I125" s="375">
        <f>IF(H125,Wh_hp,'2023'!Maxi_hp)</f>
        <v>39.937207740527782</v>
      </c>
      <c r="J125" s="85">
        <f>IF(H125,An,'2023'!An_max)</f>
        <v>2022</v>
      </c>
      <c r="K125" s="193">
        <f t="shared" si="27"/>
        <v>45402</v>
      </c>
      <c r="L125" s="143">
        <f>IF(t&lt;Tvie,1-EXP((T0-t)*PertePVj)+'2023'!Pspv,1-EXP((T0-t)*PertePVj)+Pspv)</f>
        <v>1.3298868481451342E-2</v>
      </c>
      <c r="M125" s="835"/>
      <c r="N125" s="835"/>
      <c r="O125" s="48">
        <f>IF(t&lt;Tnet,'2023'!Resal+('2023'!Salim-'2023'!Resal)*(1-EXP(('2023'!Tnet-t)/('2023'!Tau_j))),Resal+(Salim-Resal)*(1-EXP((Tnet-t)/(Tau_j))))*Salcycl</f>
        <v>9.5502318694478013E-3</v>
      </c>
      <c r="P125" s="165">
        <f>(INDEX(Models!$BJ125:$BT125,,T125)*(1-R125)+INDEX(Models!$BJ125:$BT125,,T125+1)*R125-ERP_i)*Q125*Ramure*Pc/MaxiM</f>
        <v>8.4471671753992125E-5</v>
      </c>
      <c r="Q125" s="301">
        <f t="shared" si="28"/>
        <v>0.5</v>
      </c>
      <c r="R125" s="173">
        <f t="shared" si="29"/>
        <v>4.5715155374733696E-2</v>
      </c>
      <c r="S125" s="801">
        <f t="shared" si="30"/>
        <v>1</v>
      </c>
      <c r="T125" s="172">
        <f t="shared" si="31"/>
        <v>7</v>
      </c>
      <c r="U125" s="247">
        <f t="shared" si="32"/>
        <v>1.0457151553747337</v>
      </c>
      <c r="V125" s="378">
        <f t="shared" si="33"/>
        <v>230.25895591272067</v>
      </c>
      <c r="W125" s="397">
        <f t="shared" si="34"/>
        <v>39.0266238514346</v>
      </c>
      <c r="X125" s="153">
        <f t="shared" si="35"/>
        <v>45402</v>
      </c>
      <c r="Y125" s="380">
        <f t="shared" si="36"/>
        <v>37.523540107145344</v>
      </c>
      <c r="Z125" s="380">
        <f t="shared" si="37"/>
        <v>38.029286587921533</v>
      </c>
      <c r="AA125" s="381">
        <f t="shared" si="38"/>
        <v>39.934008100279051</v>
      </c>
      <c r="AB125" s="193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4.7696727750806633E-2</v>
      </c>
      <c r="AD125" s="227">
        <f>(INDEX(Models!$BJ125:$BT125,,AH125)*(1-AF125)+INDEX(Models!$BJ125:$BT125,,AH125+1)*AF125-ERP_i)*AE125*Ramure*Pc/MaxiM</f>
        <v>8.4471671753992125E-5</v>
      </c>
      <c r="AE125" s="301">
        <f t="shared" si="40"/>
        <v>0.5</v>
      </c>
      <c r="AF125" s="173">
        <f t="shared" si="41"/>
        <v>4.5715155374733696E-2</v>
      </c>
      <c r="AG125" s="801">
        <f t="shared" si="49"/>
        <v>1</v>
      </c>
      <c r="AH125" s="172">
        <f t="shared" si="42"/>
        <v>7</v>
      </c>
      <c r="AI125" s="221">
        <f t="shared" si="43"/>
        <v>1.0457151553747337</v>
      </c>
      <c r="AJ125" s="261" t="b">
        <f t="shared" si="44"/>
        <v>0</v>
      </c>
      <c r="AK125" s="261" t="b">
        <f t="shared" si="45"/>
        <v>0</v>
      </c>
      <c r="AL125" s="261"/>
      <c r="AM125" s="261"/>
      <c r="AN125" s="75"/>
    </row>
    <row r="126" spans="1:40" s="6" customFormat="1" ht="11.25" customHeight="1" x14ac:dyDescent="0.2">
      <c r="A126" s="56">
        <f t="shared" si="46"/>
        <v>45403</v>
      </c>
      <c r="B126" s="406">
        <f>'2023'!Wh/'2023'!Env_an*'2024'!Env_an</f>
        <v>118.75348414092508</v>
      </c>
      <c r="C126" s="385"/>
      <c r="D126" s="388">
        <f t="shared" si="25"/>
        <v>120.35570448357166</v>
      </c>
      <c r="E126" s="380">
        <f t="shared" si="47"/>
        <v>121.5262167007032</v>
      </c>
      <c r="F126" s="380">
        <f t="shared" si="26"/>
        <v>121.52939227543806</v>
      </c>
      <c r="G126" s="110">
        <f t="shared" si="48"/>
        <v>0.51431333575625693</v>
      </c>
      <c r="H126" s="409" t="b">
        <f>Wh_hp&gt;='2023'!Maxi_hp</f>
        <v>0</v>
      </c>
      <c r="I126" s="375">
        <f>IF(H126,Wh_hp,'2023'!Maxi_hp)</f>
        <v>121.53620399370809</v>
      </c>
      <c r="J126" s="85">
        <f>IF(H126,An,'2023'!An_max)</f>
        <v>2022</v>
      </c>
      <c r="K126" s="193">
        <f t="shared" si="27"/>
        <v>45403</v>
      </c>
      <c r="L126" s="143">
        <f>IF(t&lt;Tvie,1-EXP((T0-t)*PertePVj)+'2023'!Pspv,1-EXP((T0-t)*PertePVj)+Pspv)</f>
        <v>1.3312375591347902E-2</v>
      </c>
      <c r="M126" s="835"/>
      <c r="N126" s="835"/>
      <c r="O126" s="48">
        <f>IF(t&lt;Tnet,'2023'!Resal+('2023'!Salim-'2023'!Resal)*(1-EXP(('2023'!Tnet-t)/('2023'!Tau_j))),Resal+(Salim-Resal)*(1-EXP((Tnet-t)/(Tau_j))))*Salcycl</f>
        <v>9.6317671109132329E-3</v>
      </c>
      <c r="P126" s="165">
        <f>(INDEX(Models!$BJ126:$BT126,,T126)*(1-R126)+INDEX(Models!$BJ126:$BT126,,T126+1)*R126-ERP_i)*Q126*Ramure*Pc/MaxiM</f>
        <v>8.5335188012150196E-5</v>
      </c>
      <c r="Q126" s="301">
        <f t="shared" si="28"/>
        <v>0.5</v>
      </c>
      <c r="R126" s="173">
        <f t="shared" si="29"/>
        <v>4.7820438921616137E-2</v>
      </c>
      <c r="S126" s="801">
        <f t="shared" si="30"/>
        <v>1</v>
      </c>
      <c r="T126" s="172">
        <f t="shared" si="31"/>
        <v>7</v>
      </c>
      <c r="U126" s="247">
        <f t="shared" si="32"/>
        <v>1.0478204389216161</v>
      </c>
      <c r="V126" s="378">
        <f t="shared" si="33"/>
        <v>230.88348073201081</v>
      </c>
      <c r="W126" s="397">
        <f t="shared" si="34"/>
        <v>118.75348414092508</v>
      </c>
      <c r="X126" s="153">
        <f t="shared" si="35"/>
        <v>45403</v>
      </c>
      <c r="Y126" s="380">
        <f t="shared" si="36"/>
        <v>114.18262515959449</v>
      </c>
      <c r="Z126" s="380">
        <f t="shared" si="37"/>
        <v>115.72317553696607</v>
      </c>
      <c r="AA126" s="381">
        <f t="shared" si="38"/>
        <v>121.5262167007032</v>
      </c>
      <c r="AB126" s="193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4.7751352105603301E-2</v>
      </c>
      <c r="AD126" s="227">
        <f>(INDEX(Models!$BJ126:$BT126,,AH126)*(1-AF126)+INDEX(Models!$BJ126:$BT126,,AH126+1)*AF126-ERP_i)*AE126*Ramure*Pc/MaxiM</f>
        <v>8.5335188012150196E-5</v>
      </c>
      <c r="AE126" s="301">
        <f t="shared" si="40"/>
        <v>0.5</v>
      </c>
      <c r="AF126" s="173">
        <f t="shared" si="41"/>
        <v>4.7820438921616137E-2</v>
      </c>
      <c r="AG126" s="801">
        <f t="shared" si="49"/>
        <v>1</v>
      </c>
      <c r="AH126" s="172">
        <f t="shared" si="42"/>
        <v>7</v>
      </c>
      <c r="AI126" s="221">
        <f t="shared" si="43"/>
        <v>1.0478204389216161</v>
      </c>
      <c r="AJ126" s="261" t="b">
        <f t="shared" si="44"/>
        <v>0</v>
      </c>
      <c r="AK126" s="261" t="b">
        <f t="shared" si="45"/>
        <v>0</v>
      </c>
      <c r="AL126" s="261"/>
      <c r="AM126" s="261"/>
      <c r="AN126" s="75"/>
    </row>
    <row r="127" spans="1:40" s="6" customFormat="1" ht="11.25" customHeight="1" x14ac:dyDescent="0.2">
      <c r="A127" s="56">
        <f t="shared" si="46"/>
        <v>45404</v>
      </c>
      <c r="B127" s="406">
        <f>'2023'!Wh/'2023'!Env_an*'2024'!Env_an</f>
        <v>43.262561188695273</v>
      </c>
      <c r="C127" s="385"/>
      <c r="D127" s="388">
        <f t="shared" si="25"/>
        <v>43.846859284227541</v>
      </c>
      <c r="E127" s="380">
        <f t="shared" si="47"/>
        <v>44.276939542414347</v>
      </c>
      <c r="F127" s="380">
        <f t="shared" si="26"/>
        <v>44.276939542414347</v>
      </c>
      <c r="G127" s="110">
        <f t="shared" si="48"/>
        <v>0.18687181025550767</v>
      </c>
      <c r="H127" s="409" t="b">
        <f>Wh_hp&gt;='2023'!Maxi_hp</f>
        <v>0</v>
      </c>
      <c r="I127" s="375">
        <f>IF(H127,Wh_hp,'2023'!Maxi_hp)</f>
        <v>44.280539977910685</v>
      </c>
      <c r="J127" s="85">
        <f>IF(H127,An,'2023'!An_max)</f>
        <v>2022</v>
      </c>
      <c r="K127" s="193">
        <f t="shared" si="27"/>
        <v>45404</v>
      </c>
      <c r="L127" s="143">
        <f>IF(t&lt;Tvie,1-EXP((T0-t)*PertePVj)+'2023'!Pspv,1-EXP((T0-t)*PertePVj)+Pspv)</f>
        <v>1.332588251634359E-2</v>
      </c>
      <c r="M127" s="835"/>
      <c r="N127" s="835"/>
      <c r="O127" s="48">
        <f>IF(t&lt;Tnet,'2023'!Resal+('2023'!Salim-'2023'!Resal)*(1-EXP(('2023'!Tnet-t)/('2023'!Tau_j))),Resal+(Salim-Resal)*(1-EXP((Tnet-t)/(Tau_j))))*Salcycl</f>
        <v>9.7134143107343203E-3</v>
      </c>
      <c r="P127" s="165">
        <f>(INDEX(Models!$BJ127:$BT127,,T127)*(1-R127)+INDEX(Models!$BJ127:$BT127,,T127+1)*R127-ERP_i)*Q127*Ramure*Pc/MaxiM</f>
        <v>8.6063219480490212E-5</v>
      </c>
      <c r="Q127" s="301">
        <f t="shared" si="28"/>
        <v>0.5</v>
      </c>
      <c r="R127" s="173">
        <f t="shared" si="29"/>
        <v>4.9992907925649588E-2</v>
      </c>
      <c r="S127" s="801">
        <f t="shared" si="30"/>
        <v>1</v>
      </c>
      <c r="T127" s="172">
        <f t="shared" si="31"/>
        <v>7</v>
      </c>
      <c r="U127" s="247">
        <f t="shared" si="32"/>
        <v>1.0499929079256496</v>
      </c>
      <c r="V127" s="378">
        <f t="shared" si="33"/>
        <v>231.48937131956447</v>
      </c>
      <c r="W127" s="397">
        <f t="shared" si="34"/>
        <v>43.262561188695273</v>
      </c>
      <c r="X127" s="153">
        <f t="shared" si="35"/>
        <v>45404</v>
      </c>
      <c r="Y127" s="380">
        <f t="shared" si="36"/>
        <v>41.598385990199219</v>
      </c>
      <c r="Z127" s="380">
        <f t="shared" si="37"/>
        <v>42.160207968451417</v>
      </c>
      <c r="AA127" s="381">
        <f t="shared" si="38"/>
        <v>44.276939542414347</v>
      </c>
      <c r="AB127" s="193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4.7806636950036743E-2</v>
      </c>
      <c r="AD127" s="227">
        <f>(INDEX(Models!$BJ127:$BT127,,AH127)*(1-AF127)+INDEX(Models!$BJ127:$BT127,,AH127+1)*AF127-ERP_i)*AE127*Ramure*Pc/MaxiM</f>
        <v>8.6063219480490212E-5</v>
      </c>
      <c r="AE127" s="301">
        <f t="shared" si="40"/>
        <v>0.5</v>
      </c>
      <c r="AF127" s="173">
        <f t="shared" si="41"/>
        <v>4.9992907925649588E-2</v>
      </c>
      <c r="AG127" s="801">
        <f t="shared" si="49"/>
        <v>1</v>
      </c>
      <c r="AH127" s="172">
        <f t="shared" si="42"/>
        <v>7</v>
      </c>
      <c r="AI127" s="221">
        <f t="shared" si="43"/>
        <v>1.0499929079256496</v>
      </c>
      <c r="AJ127" s="261" t="b">
        <f t="shared" si="44"/>
        <v>0</v>
      </c>
      <c r="AK127" s="261" t="b">
        <f t="shared" si="45"/>
        <v>0</v>
      </c>
      <c r="AL127" s="261"/>
      <c r="AM127" s="261"/>
      <c r="AN127" s="75"/>
    </row>
    <row r="128" spans="1:40" s="6" customFormat="1" ht="11.25" customHeight="1" x14ac:dyDescent="0.2">
      <c r="A128" s="56">
        <f t="shared" si="46"/>
        <v>45405</v>
      </c>
      <c r="B128" s="406">
        <f>'2023'!Wh/'2023'!Env_an*'2024'!Env_an</f>
        <v>116.85175418997576</v>
      </c>
      <c r="C128" s="385"/>
      <c r="D128" s="388">
        <f t="shared" si="25"/>
        <v>118.43155885377331</v>
      </c>
      <c r="E128" s="380">
        <f t="shared" si="47"/>
        <v>119.60309231286907</v>
      </c>
      <c r="F128" s="380">
        <f t="shared" si="26"/>
        <v>119.60610582959117</v>
      </c>
      <c r="G128" s="110">
        <f t="shared" si="48"/>
        <v>0.50347177726706527</v>
      </c>
      <c r="H128" s="409" t="b">
        <f>Wh_hp&gt;='2023'!Maxi_hp</f>
        <v>0</v>
      </c>
      <c r="I128" s="375">
        <f>IF(H128,Wh_hp,'2023'!Maxi_hp)</f>
        <v>119.61303848340329</v>
      </c>
      <c r="J128" s="85">
        <f>IF(H128,An,'2023'!An_max)</f>
        <v>2022</v>
      </c>
      <c r="K128" s="193">
        <f t="shared" si="27"/>
        <v>45405</v>
      </c>
      <c r="L128" s="143">
        <f>IF(t&lt;Tvie,1-EXP((T0-t)*PertePVj)+'2023'!Pspv,1-EXP((T0-t)*PertePVj)+Pspv)</f>
        <v>1.3339389256440737E-2</v>
      </c>
      <c r="M128" s="835"/>
      <c r="N128" s="835"/>
      <c r="O128" s="48">
        <f>IF(t&lt;Tnet,'2023'!Resal+('2023'!Salim-'2023'!Resal)*(1-EXP(('2023'!Tnet-t)/('2023'!Tau_j))),Resal+(Salim-Resal)*(1-EXP((Tnet-t)/(Tau_j))))*Salcycl</f>
        <v>9.7951770012027675E-3</v>
      </c>
      <c r="P128" s="165">
        <f>(INDEX(Models!$BJ128:$BT128,,T128)*(1-R128)+INDEX(Models!$BJ128:$BT128,,T128+1)*R128-ERP_i)*Q128*Ramure*Pc/MaxiM</f>
        <v>8.666586146048568E-5</v>
      </c>
      <c r="Q128" s="301">
        <f t="shared" si="28"/>
        <v>0.5</v>
      </c>
      <c r="R128" s="173">
        <f t="shared" si="29"/>
        <v>5.2233907312231098E-2</v>
      </c>
      <c r="S128" s="801">
        <f t="shared" si="30"/>
        <v>1</v>
      </c>
      <c r="T128" s="172">
        <f t="shared" si="31"/>
        <v>7</v>
      </c>
      <c r="U128" s="247">
        <f t="shared" si="32"/>
        <v>1.0522339073122311</v>
      </c>
      <c r="V128" s="378">
        <f t="shared" si="33"/>
        <v>232.07769798974391</v>
      </c>
      <c r="W128" s="397">
        <f t="shared" si="34"/>
        <v>116.85175418997576</v>
      </c>
      <c r="X128" s="153">
        <f t="shared" si="35"/>
        <v>45405</v>
      </c>
      <c r="Y128" s="380">
        <f t="shared" si="36"/>
        <v>112.35950843540263</v>
      </c>
      <c r="Z128" s="380">
        <f t="shared" si="37"/>
        <v>113.87857913039333</v>
      </c>
      <c r="AA128" s="381">
        <f t="shared" si="38"/>
        <v>119.60309231286907</v>
      </c>
      <c r="AB128" s="193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4.7862585086855446E-2</v>
      </c>
      <c r="AD128" s="227">
        <f>(INDEX(Models!$BJ128:$BT128,,AH128)*(1-AF128)+INDEX(Models!$BJ128:$BT128,,AH128+1)*AF128-ERP_i)*AE128*Ramure*Pc/MaxiM</f>
        <v>8.666586146048568E-5</v>
      </c>
      <c r="AE128" s="301">
        <f t="shared" si="40"/>
        <v>0.5</v>
      </c>
      <c r="AF128" s="173">
        <f t="shared" si="41"/>
        <v>5.2233907312231098E-2</v>
      </c>
      <c r="AG128" s="801">
        <f t="shared" si="49"/>
        <v>1</v>
      </c>
      <c r="AH128" s="172">
        <f t="shared" si="42"/>
        <v>7</v>
      </c>
      <c r="AI128" s="221">
        <f t="shared" si="43"/>
        <v>1.0522339073122311</v>
      </c>
      <c r="AJ128" s="261" t="b">
        <f t="shared" si="44"/>
        <v>0</v>
      </c>
      <c r="AK128" s="261" t="b">
        <f t="shared" si="45"/>
        <v>0</v>
      </c>
      <c r="AL128" s="261"/>
      <c r="AM128" s="261"/>
      <c r="AN128" s="75"/>
    </row>
    <row r="129" spans="1:40" s="6" customFormat="1" ht="11.25" customHeight="1" x14ac:dyDescent="0.2">
      <c r="A129" s="56">
        <f t="shared" si="46"/>
        <v>45406</v>
      </c>
      <c r="B129" s="406">
        <f>'2023'!Wh/'2023'!Env_an*'2024'!Env_an</f>
        <v>197.53828534936676</v>
      </c>
      <c r="C129" s="385"/>
      <c r="D129" s="388">
        <f t="shared" si="25"/>
        <v>200.21169120226321</v>
      </c>
      <c r="E129" s="380">
        <f t="shared" si="47"/>
        <v>202.20892053682934</v>
      </c>
      <c r="F129" s="380">
        <f t="shared" si="26"/>
        <v>202.22275615633657</v>
      </c>
      <c r="G129" s="110">
        <f t="shared" si="48"/>
        <v>0.84906504466459065</v>
      </c>
      <c r="H129" s="409" t="b">
        <f>Wh_hp&gt;='2023'!Maxi_hp</f>
        <v>0</v>
      </c>
      <c r="I129" s="375">
        <f>IF(H129,Wh_hp,'2023'!Maxi_hp)</f>
        <v>202.22633446721255</v>
      </c>
      <c r="J129" s="85">
        <f>IF(H129,An,'2023'!An_max)</f>
        <v>2022</v>
      </c>
      <c r="K129" s="193">
        <f t="shared" si="27"/>
        <v>45406</v>
      </c>
      <c r="L129" s="143">
        <f>IF(t&lt;Tvie,1-EXP((T0-t)*PertePVj)+'2023'!Pspv,1-EXP((T0-t)*PertePVj)+Pspv)</f>
        <v>1.3352895811642007E-2</v>
      </c>
      <c r="M129" s="835"/>
      <c r="N129" s="835"/>
      <c r="O129" s="48">
        <f>IF(t&lt;Tnet,'2023'!Resal+('2023'!Salim-'2023'!Resal)*(1-EXP(('2023'!Tnet-t)/('2023'!Tau_j))),Resal+(Salim-Resal)*(1-EXP((Tnet-t)/(Tau_j))))*Salcycl</f>
        <v>9.8770584861628489E-3</v>
      </c>
      <c r="P129" s="165">
        <f>(INDEX(Models!$BJ129:$BT129,,T129)*(1-R129)+INDEX(Models!$BJ129:$BT129,,T129+1)*R129-ERP_i)*Q129*Ramure*Pc/MaxiM</f>
        <v>8.7222835051590971E-5</v>
      </c>
      <c r="Q129" s="301">
        <f t="shared" si="28"/>
        <v>0.5</v>
      </c>
      <c r="R129" s="173">
        <f t="shared" si="29"/>
        <v>5.4544748817196842E-2</v>
      </c>
      <c r="S129" s="801">
        <f t="shared" si="30"/>
        <v>1</v>
      </c>
      <c r="T129" s="172">
        <f t="shared" si="31"/>
        <v>7</v>
      </c>
      <c r="U129" s="247">
        <f t="shared" si="32"/>
        <v>1.0545447488171968</v>
      </c>
      <c r="V129" s="378">
        <f t="shared" si="33"/>
        <v>232.64951443461428</v>
      </c>
      <c r="W129" s="397">
        <f t="shared" si="34"/>
        <v>197.53828534936676</v>
      </c>
      <c r="X129" s="153">
        <f t="shared" si="35"/>
        <v>45406</v>
      </c>
      <c r="Y129" s="380">
        <f t="shared" si="36"/>
        <v>189.94854195891565</v>
      </c>
      <c r="Z129" s="380">
        <f t="shared" si="37"/>
        <v>192.51923119479721</v>
      </c>
      <c r="AA129" s="381">
        <f t="shared" si="38"/>
        <v>202.20892053682934</v>
      </c>
      <c r="AB129" s="193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4.7919198205042944E-2</v>
      </c>
      <c r="AD129" s="227">
        <f>(INDEX(Models!$BJ129:$BT129,,AH129)*(1-AF129)+INDEX(Models!$BJ129:$BT129,,AH129+1)*AF129-ERP_i)*AE129*Ramure*Pc/MaxiM</f>
        <v>8.7222835051590971E-5</v>
      </c>
      <c r="AE129" s="301">
        <f t="shared" si="40"/>
        <v>0.5</v>
      </c>
      <c r="AF129" s="173">
        <f t="shared" si="41"/>
        <v>5.4544748817196842E-2</v>
      </c>
      <c r="AG129" s="801">
        <f t="shared" si="49"/>
        <v>1</v>
      </c>
      <c r="AH129" s="172">
        <f t="shared" si="42"/>
        <v>7</v>
      </c>
      <c r="AI129" s="221">
        <f t="shared" si="43"/>
        <v>1.0545447488171968</v>
      </c>
      <c r="AJ129" s="261" t="b">
        <f t="shared" si="44"/>
        <v>0</v>
      </c>
      <c r="AK129" s="261" t="b">
        <f t="shared" si="45"/>
        <v>0</v>
      </c>
      <c r="AL129" s="261"/>
      <c r="AM129" s="261"/>
      <c r="AN129" s="75"/>
    </row>
    <row r="130" spans="1:40" s="6" customFormat="1" ht="11.25" customHeight="1" x14ac:dyDescent="0.2">
      <c r="A130" s="56">
        <f t="shared" si="46"/>
        <v>45407</v>
      </c>
      <c r="B130" s="406">
        <f>'2023'!Wh/'2023'!Env_an*'2024'!Env_an</f>
        <v>232.12413744799977</v>
      </c>
      <c r="C130" s="385"/>
      <c r="D130" s="388">
        <f t="shared" si="25"/>
        <v>235.26883532178974</v>
      </c>
      <c r="E130" s="380">
        <f t="shared" si="47"/>
        <v>237.6354615749695</v>
      </c>
      <c r="F130" s="380">
        <f t="shared" si="26"/>
        <v>237.6561736172057</v>
      </c>
      <c r="G130" s="110">
        <f t="shared" si="48"/>
        <v>0.99536079357337359</v>
      </c>
      <c r="H130" s="409" t="b">
        <f>Wh_hp&gt;='2023'!Maxi_hp</f>
        <v>0</v>
      </c>
      <c r="I130" s="375">
        <f>IF(H130,Wh_hp,'2023'!Maxi_hp)</f>
        <v>237.65630334663595</v>
      </c>
      <c r="J130" s="85">
        <f>IF(H130,An,'2023'!An_max)</f>
        <v>2022</v>
      </c>
      <c r="K130" s="193">
        <f t="shared" si="27"/>
        <v>45407</v>
      </c>
      <c r="L130" s="143">
        <f>IF(t&lt;Tvie,1-EXP((T0-t)*PertePVj)+'2023'!Pspv,1-EXP((T0-t)*PertePVj)+Pspv)</f>
        <v>1.3366402181949844E-2</v>
      </c>
      <c r="M130" s="835"/>
      <c r="N130" s="835"/>
      <c r="O130" s="48">
        <f>IF(t&lt;Tnet,'2023'!Resal+('2023'!Salim-'2023'!Resal)*(1-EXP(('2023'!Tnet-t)/('2023'!Tau_j))),Resal+(Salim-Resal)*(1-EXP((Tnet-t)/(Tau_j))))*Salcycl</f>
        <v>9.95906182307363E-3</v>
      </c>
      <c r="P130" s="165">
        <f>(INDEX(Models!$BJ130:$BT130,,T130)*(1-R130)+INDEX(Models!$BJ130:$BT130,,T130+1)*R130-ERP_i)*Q130*Ramure*Pc/MaxiM</f>
        <v>8.7732660758005365E-5</v>
      </c>
      <c r="Q130" s="301">
        <f t="shared" si="28"/>
        <v>0.5</v>
      </c>
      <c r="R130" s="173">
        <f t="shared" si="29"/>
        <v>5.6926705595055749E-2</v>
      </c>
      <c r="S130" s="801">
        <f t="shared" si="30"/>
        <v>1</v>
      </c>
      <c r="T130" s="172">
        <f t="shared" si="31"/>
        <v>7</v>
      </c>
      <c r="U130" s="247">
        <f t="shared" si="32"/>
        <v>1.0569267055950557</v>
      </c>
      <c r="V130" s="378">
        <f t="shared" si="33"/>
        <v>233.20589276260935</v>
      </c>
      <c r="W130" s="397">
        <f t="shared" si="34"/>
        <v>232.12413744799977</v>
      </c>
      <c r="X130" s="153">
        <f t="shared" si="35"/>
        <v>45407</v>
      </c>
      <c r="Y130" s="380">
        <f t="shared" si="36"/>
        <v>223.21060738391276</v>
      </c>
      <c r="Z130" s="380">
        <f t="shared" si="37"/>
        <v>226.2345493580851</v>
      </c>
      <c r="AA130" s="381">
        <f t="shared" si="38"/>
        <v>237.6354615749695</v>
      </c>
      <c r="AB130" s="193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4.7976476832720646E-2</v>
      </c>
      <c r="AD130" s="227">
        <f>(INDEX(Models!$BJ130:$BT130,,AH130)*(1-AF130)+INDEX(Models!$BJ130:$BT130,,AH130+1)*AF130-ERP_i)*AE130*Ramure*Pc/MaxiM</f>
        <v>8.7732660758005365E-5</v>
      </c>
      <c r="AE130" s="301">
        <f t="shared" si="40"/>
        <v>0.5</v>
      </c>
      <c r="AF130" s="173">
        <f t="shared" si="41"/>
        <v>5.6926705595055749E-2</v>
      </c>
      <c r="AG130" s="801">
        <f t="shared" si="49"/>
        <v>1</v>
      </c>
      <c r="AH130" s="172">
        <f t="shared" si="42"/>
        <v>7</v>
      </c>
      <c r="AI130" s="221">
        <f t="shared" si="43"/>
        <v>1.0569267055950557</v>
      </c>
      <c r="AJ130" s="261" t="b">
        <f t="shared" si="44"/>
        <v>0</v>
      </c>
      <c r="AK130" s="261" t="b">
        <f t="shared" si="45"/>
        <v>0</v>
      </c>
      <c r="AL130" s="261"/>
      <c r="AM130" s="261"/>
      <c r="AN130" s="75"/>
    </row>
    <row r="131" spans="1:40" s="6" customFormat="1" ht="11.25" customHeight="1" x14ac:dyDescent="0.2">
      <c r="A131" s="56">
        <f t="shared" si="46"/>
        <v>45408</v>
      </c>
      <c r="B131" s="406">
        <f>'2023'!Wh/'2023'!Env_an*'2024'!Env_an</f>
        <v>165.35550413951302</v>
      </c>
      <c r="C131" s="385"/>
      <c r="D131" s="388">
        <f t="shared" si="25"/>
        <v>167.59794934429831</v>
      </c>
      <c r="E131" s="380">
        <f t="shared" si="47"/>
        <v>169.29790170888148</v>
      </c>
      <c r="F131" s="380">
        <f t="shared" si="26"/>
        <v>169.30659220425406</v>
      </c>
      <c r="G131" s="110">
        <f t="shared" si="48"/>
        <v>0.70738348804779583</v>
      </c>
      <c r="H131" s="409" t="b">
        <f>Wh_hp&gt;='2023'!Maxi_hp</f>
        <v>0</v>
      </c>
      <c r="I131" s="375">
        <f>IF(H131,Wh_hp,'2023'!Maxi_hp)</f>
        <v>169.3124393699353</v>
      </c>
      <c r="J131" s="85">
        <f>IF(H131,An,'2023'!An_max)</f>
        <v>2022</v>
      </c>
      <c r="K131" s="193">
        <f t="shared" si="27"/>
        <v>45408</v>
      </c>
      <c r="L131" s="143">
        <f>IF(t&lt;Tvie,1-EXP((T0-t)*PertePVj)+'2023'!Pspv,1-EXP((T0-t)*PertePVj)+Pspv)</f>
        <v>1.33799083673668E-2</v>
      </c>
      <c r="M131" s="835"/>
      <c r="N131" s="835"/>
      <c r="O131" s="48">
        <f>IF(t&lt;Tnet,'2023'!Resal+('2023'!Salim-'2023'!Resal)*(1-EXP(('2023'!Tnet-t)/('2023'!Tau_j))),Resal+(Salim-Resal)*(1-EXP((Tnet-t)/(Tau_j))))*Salcycl</f>
        <v>1.0041189804622361E-2</v>
      </c>
      <c r="P131" s="165">
        <f>(INDEX(Models!$BJ131:$BT131,,T131)*(1-R131)+INDEX(Models!$BJ131:$BT131,,T131+1)*R131-ERP_i)*Q131*Ramure*Pc/MaxiM</f>
        <v>8.8193683360789614E-5</v>
      </c>
      <c r="Q131" s="301">
        <f t="shared" si="28"/>
        <v>0.5</v>
      </c>
      <c r="R131" s="173">
        <f t="shared" si="29"/>
        <v>5.9381006582190698E-2</v>
      </c>
      <c r="S131" s="801">
        <f t="shared" si="30"/>
        <v>1</v>
      </c>
      <c r="T131" s="172">
        <f t="shared" si="31"/>
        <v>7</v>
      </c>
      <c r="U131" s="247">
        <f t="shared" si="32"/>
        <v>1.0593810065821907</v>
      </c>
      <c r="V131" s="378">
        <f t="shared" si="33"/>
        <v>233.74790477264452</v>
      </c>
      <c r="W131" s="397">
        <f t="shared" si="34"/>
        <v>165.35550413951302</v>
      </c>
      <c r="X131" s="153">
        <f t="shared" si="35"/>
        <v>45408</v>
      </c>
      <c r="Y131" s="380">
        <f t="shared" si="36"/>
        <v>159.00939184067119</v>
      </c>
      <c r="Z131" s="380">
        <f t="shared" si="37"/>
        <v>161.16577514405427</v>
      </c>
      <c r="AA131" s="381">
        <f t="shared" si="38"/>
        <v>169.29790170888148</v>
      </c>
      <c r="AB131" s="193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4.8034420289572853E-2</v>
      </c>
      <c r="AD131" s="227">
        <f>(INDEX(Models!$BJ131:$BT131,,AH131)*(1-AF131)+INDEX(Models!$BJ131:$BT131,,AH131+1)*AF131-ERP_i)*AE131*Ramure*Pc/MaxiM</f>
        <v>8.8193683360789614E-5</v>
      </c>
      <c r="AE131" s="301">
        <f t="shared" si="40"/>
        <v>0.5</v>
      </c>
      <c r="AF131" s="173">
        <f t="shared" si="41"/>
        <v>5.9381006582190698E-2</v>
      </c>
      <c r="AG131" s="801">
        <f t="shared" si="49"/>
        <v>1</v>
      </c>
      <c r="AH131" s="172">
        <f t="shared" si="42"/>
        <v>7</v>
      </c>
      <c r="AI131" s="221">
        <f t="shared" si="43"/>
        <v>1.0593810065821907</v>
      </c>
      <c r="AJ131" s="261" t="b">
        <f t="shared" si="44"/>
        <v>0</v>
      </c>
      <c r="AK131" s="261" t="b">
        <f t="shared" si="45"/>
        <v>0</v>
      </c>
      <c r="AL131" s="261"/>
      <c r="AM131" s="261"/>
      <c r="AN131" s="75"/>
    </row>
    <row r="132" spans="1:40" s="6" customFormat="1" ht="11.25" customHeight="1" x14ac:dyDescent="0.2">
      <c r="A132" s="56">
        <f t="shared" si="46"/>
        <v>45409</v>
      </c>
      <c r="B132" s="406">
        <f>'2023'!Wh/'2023'!Env_an*'2024'!Env_an</f>
        <v>96.30361463596256</v>
      </c>
      <c r="C132" s="385"/>
      <c r="D132" s="388">
        <f t="shared" si="25"/>
        <v>97.6109586520368</v>
      </c>
      <c r="E132" s="380">
        <f t="shared" si="47"/>
        <v>98.609223698722815</v>
      </c>
      <c r="F132" s="380">
        <f t="shared" si="26"/>
        <v>98.610610033434156</v>
      </c>
      <c r="G132" s="110">
        <f t="shared" si="48"/>
        <v>0.41103732307503427</v>
      </c>
      <c r="H132" s="409" t="b">
        <f>Wh_hp&gt;='2023'!Maxi_hp</f>
        <v>0</v>
      </c>
      <c r="I132" s="375">
        <f>IF(H132,Wh_hp,'2023'!Maxi_hp)</f>
        <v>98.617481089900508</v>
      </c>
      <c r="J132" s="85">
        <f>IF(H132,An,'2023'!An_max)</f>
        <v>2022</v>
      </c>
      <c r="K132" s="193">
        <f t="shared" si="27"/>
        <v>45409</v>
      </c>
      <c r="L132" s="143">
        <f>IF(t&lt;Tvie,1-EXP((T0-t)*PertePVj)+'2023'!Pspv,1-EXP((T0-t)*PertePVj)+Pspv)</f>
        <v>1.3393414367895429E-2</v>
      </c>
      <c r="M132" s="835"/>
      <c r="N132" s="835"/>
      <c r="O132" s="48">
        <f>IF(t&lt;Tnet,'2023'!Resal+('2023'!Salim-'2023'!Resal)*(1-EXP(('2023'!Tnet-t)/('2023'!Tau_j))),Resal+(Salim-Resal)*(1-EXP((Tnet-t)/(Tau_j))))*Salcycl</f>
        <v>1.0123444939957914E-2</v>
      </c>
      <c r="P132" s="165">
        <f>(INDEX(Models!$BJ132:$BT132,,T132)*(1-R132)+INDEX(Models!$BJ132:$BT132,,T132+1)*R132-ERP_i)*Q132*Ramure*Pc/MaxiM</f>
        <v>8.8604069762503317E-5</v>
      </c>
      <c r="Q132" s="301">
        <f t="shared" si="28"/>
        <v>0.5</v>
      </c>
      <c r="R132" s="173">
        <f t="shared" si="29"/>
        <v>6.1908830625068134E-2</v>
      </c>
      <c r="S132" s="801">
        <f t="shared" si="30"/>
        <v>1</v>
      </c>
      <c r="T132" s="172">
        <f t="shared" si="31"/>
        <v>7</v>
      </c>
      <c r="U132" s="247">
        <f t="shared" si="32"/>
        <v>1.0619088306250681</v>
      </c>
      <c r="V132" s="378">
        <f t="shared" si="33"/>
        <v>234.27662194723365</v>
      </c>
      <c r="W132" s="397">
        <f t="shared" si="34"/>
        <v>96.30361463596256</v>
      </c>
      <c r="X132" s="153">
        <f t="shared" si="35"/>
        <v>45409</v>
      </c>
      <c r="Y132" s="380">
        <f t="shared" si="36"/>
        <v>92.60961062591312</v>
      </c>
      <c r="Z132" s="380">
        <f t="shared" si="37"/>
        <v>93.866807676516245</v>
      </c>
      <c r="AA132" s="381">
        <f t="shared" si="38"/>
        <v>98.609223698722815</v>
      </c>
      <c r="AB132" s="193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4.8093026639129656E-2</v>
      </c>
      <c r="AD132" s="227">
        <f>(INDEX(Models!$BJ132:$BT132,,AH132)*(1-AF132)+INDEX(Models!$BJ132:$BT132,,AH132+1)*AF132-ERP_i)*AE132*Ramure*Pc/MaxiM</f>
        <v>8.8604069762503317E-5</v>
      </c>
      <c r="AE132" s="301">
        <f t="shared" si="40"/>
        <v>0.5</v>
      </c>
      <c r="AF132" s="173">
        <f t="shared" si="41"/>
        <v>6.1908830625068134E-2</v>
      </c>
      <c r="AG132" s="801">
        <f t="shared" si="49"/>
        <v>1</v>
      </c>
      <c r="AH132" s="172">
        <f t="shared" si="42"/>
        <v>7</v>
      </c>
      <c r="AI132" s="221">
        <f t="shared" si="43"/>
        <v>1.0619088306250681</v>
      </c>
      <c r="AJ132" s="261" t="b">
        <f t="shared" si="44"/>
        <v>0</v>
      </c>
      <c r="AK132" s="261" t="b">
        <f t="shared" si="45"/>
        <v>0</v>
      </c>
      <c r="AL132" s="261"/>
      <c r="AM132" s="261"/>
      <c r="AN132" s="75"/>
    </row>
    <row r="133" spans="1:40" s="6" customFormat="1" ht="11.25" customHeight="1" x14ac:dyDescent="0.2">
      <c r="A133" s="56">
        <f t="shared" si="46"/>
        <v>45410</v>
      </c>
      <c r="B133" s="406">
        <f>'2023'!Wh/'2023'!Env_an*'2024'!Env_an</f>
        <v>177.96515730275732</v>
      </c>
      <c r="C133" s="385"/>
      <c r="D133" s="388">
        <f t="shared" si="25"/>
        <v>180.38354509425974</v>
      </c>
      <c r="E133" s="380">
        <f t="shared" si="47"/>
        <v>182.24349107997514</v>
      </c>
      <c r="F133" s="380">
        <f t="shared" si="26"/>
        <v>182.25409865054408</v>
      </c>
      <c r="G133" s="110">
        <f t="shared" si="48"/>
        <v>0.7579425080684612</v>
      </c>
      <c r="H133" s="409" t="b">
        <f>Wh_hp&gt;='2023'!Maxi_hp</f>
        <v>0</v>
      </c>
      <c r="I133" s="375">
        <f>IF(H133,Wh_hp,'2023'!Maxi_hp)</f>
        <v>182.25932645810221</v>
      </c>
      <c r="J133" s="85">
        <f>IF(H133,An,'2023'!An_max)</f>
        <v>2022</v>
      </c>
      <c r="K133" s="193">
        <f t="shared" si="27"/>
        <v>45410</v>
      </c>
      <c r="L133" s="143">
        <f>IF(t&lt;Tvie,1-EXP((T0-t)*PertePVj)+'2023'!Pspv,1-EXP((T0-t)*PertePVj)+Pspv)</f>
        <v>1.3406920183538285E-2</v>
      </c>
      <c r="M133" s="835"/>
      <c r="N133" s="835"/>
      <c r="O133" s="48">
        <f>IF(t&lt;Tnet,'2023'!Resal+('2023'!Salim-'2023'!Resal)*(1-EXP(('2023'!Tnet-t)/('2023'!Tau_j))),Resal+(Salim-Resal)*(1-EXP((Tnet-t)/(Tau_j))))*Salcycl</f>
        <v>1.020582943562673E-2</v>
      </c>
      <c r="P133" s="165">
        <f>(INDEX(Models!$BJ133:$BT133,,T133)*(1-R133)+INDEX(Models!$BJ133:$BT133,,T133+1)*R133-ERP_i)*Q133*Ramure*Pc/MaxiM</f>
        <v>8.8961807042991305E-5</v>
      </c>
      <c r="Q133" s="301">
        <f t="shared" si="28"/>
        <v>0.5</v>
      </c>
      <c r="R133" s="173">
        <f t="shared" si="29"/>
        <v>6.4511300386200121E-2</v>
      </c>
      <c r="S133" s="801">
        <f t="shared" si="30"/>
        <v>1</v>
      </c>
      <c r="T133" s="172">
        <f t="shared" si="31"/>
        <v>7</v>
      </c>
      <c r="U133" s="247">
        <f t="shared" si="32"/>
        <v>1.0645113003862001</v>
      </c>
      <c r="V133" s="378">
        <f t="shared" si="33"/>
        <v>234.79311548424883</v>
      </c>
      <c r="W133" s="397">
        <f t="shared" si="34"/>
        <v>177.96515730275732</v>
      </c>
      <c r="X133" s="153">
        <f t="shared" si="35"/>
        <v>45410</v>
      </c>
      <c r="Y133" s="380">
        <f t="shared" si="36"/>
        <v>171.14237687596591</v>
      </c>
      <c r="Z133" s="380">
        <f t="shared" si="37"/>
        <v>173.46804916552216</v>
      </c>
      <c r="AA133" s="381">
        <f t="shared" si="38"/>
        <v>182.24349107997514</v>
      </c>
      <c r="AB133" s="193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4.8152292641288376E-2</v>
      </c>
      <c r="AD133" s="227">
        <f>(INDEX(Models!$BJ133:$BT133,,AH133)*(1-AF133)+INDEX(Models!$BJ133:$BT133,,AH133+1)*AF133-ERP_i)*AE133*Ramure*Pc/MaxiM</f>
        <v>8.8961807042991305E-5</v>
      </c>
      <c r="AE133" s="301">
        <f t="shared" si="40"/>
        <v>0.5</v>
      </c>
      <c r="AF133" s="173">
        <f t="shared" si="41"/>
        <v>6.4511300386200121E-2</v>
      </c>
      <c r="AG133" s="801">
        <f t="shared" si="49"/>
        <v>1</v>
      </c>
      <c r="AH133" s="172">
        <f t="shared" si="42"/>
        <v>7</v>
      </c>
      <c r="AI133" s="221">
        <f t="shared" si="43"/>
        <v>1.0645113003862001</v>
      </c>
      <c r="AJ133" s="261" t="b">
        <f t="shared" si="44"/>
        <v>0</v>
      </c>
      <c r="AK133" s="261" t="b">
        <f t="shared" si="45"/>
        <v>0</v>
      </c>
      <c r="AL133" s="261"/>
      <c r="AM133" s="261"/>
      <c r="AN133" s="75"/>
    </row>
    <row r="134" spans="1:40" s="6" customFormat="1" ht="11.25" customHeight="1" x14ac:dyDescent="0.2">
      <c r="A134" s="56">
        <f t="shared" si="46"/>
        <v>45411</v>
      </c>
      <c r="B134" s="406">
        <f>'2023'!Wh/'2023'!Env_an*'2024'!Env_an</f>
        <v>166.63345378949265</v>
      </c>
      <c r="C134" s="385"/>
      <c r="D134" s="388">
        <f t="shared" si="25"/>
        <v>168.90016593646558</v>
      </c>
      <c r="E134" s="380">
        <f t="shared" si="47"/>
        <v>170.6559330824021</v>
      </c>
      <c r="F134" s="380">
        <f t="shared" si="26"/>
        <v>170.66481642674802</v>
      </c>
      <c r="G134" s="110">
        <f t="shared" si="48"/>
        <v>0.70815276524745874</v>
      </c>
      <c r="H134" s="409" t="b">
        <f>Wh_hp&gt;='2023'!Maxi_hp</f>
        <v>0</v>
      </c>
      <c r="I134" s="375">
        <f>IF(H134,Wh_hp,'2023'!Maxi_hp)</f>
        <v>170.67072459569192</v>
      </c>
      <c r="J134" s="85">
        <f>IF(H134,An,'2023'!An_max)</f>
        <v>2022</v>
      </c>
      <c r="K134" s="193">
        <f t="shared" si="27"/>
        <v>45411</v>
      </c>
      <c r="L134" s="143">
        <f>IF(t&lt;Tvie,1-EXP((T0-t)*PertePVj)+'2023'!Pspv,1-EXP((T0-t)*PertePVj)+Pspv)</f>
        <v>1.3420425814297809E-2</v>
      </c>
      <c r="M134" s="835"/>
      <c r="N134" s="835"/>
      <c r="O134" s="48">
        <f>IF(t&lt;Tnet,'2023'!Resal+('2023'!Salim-'2023'!Resal)*(1-EXP(('2023'!Tnet-t)/('2023'!Tau_j))),Resal+(Salim-Resal)*(1-EXP((Tnet-t)/(Tau_j))))*Salcycl</f>
        <v>1.0288345176307084E-2</v>
      </c>
      <c r="P134" s="165">
        <f>(INDEX(Models!$BJ134:$BT134,,T134)*(1-R134)+INDEX(Models!$BJ134:$BT134,,T134+1)*R134-ERP_i)*Q134*Ramure*Pc/MaxiM</f>
        <v>8.9264700823406352E-5</v>
      </c>
      <c r="Q134" s="301">
        <f t="shared" si="28"/>
        <v>0.5</v>
      </c>
      <c r="R134" s="173">
        <f t="shared" si="29"/>
        <v>6.7189476043479246E-2</v>
      </c>
      <c r="S134" s="801">
        <f t="shared" si="30"/>
        <v>1</v>
      </c>
      <c r="T134" s="172">
        <f t="shared" si="31"/>
        <v>7</v>
      </c>
      <c r="U134" s="247">
        <f t="shared" si="32"/>
        <v>1.0671894760434792</v>
      </c>
      <c r="V134" s="378">
        <f t="shared" si="33"/>
        <v>235.29845630033785</v>
      </c>
      <c r="W134" s="397">
        <f t="shared" si="34"/>
        <v>166.63345378949265</v>
      </c>
      <c r="X134" s="153">
        <f t="shared" si="35"/>
        <v>45411</v>
      </c>
      <c r="Y134" s="380">
        <f t="shared" si="36"/>
        <v>160.24837671853192</v>
      </c>
      <c r="Z134" s="380">
        <f t="shared" si="37"/>
        <v>162.42823276652254</v>
      </c>
      <c r="AA134" s="381">
        <f t="shared" si="38"/>
        <v>170.6559330824021</v>
      </c>
      <c r="AB134" s="193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4.8212213705495784E-2</v>
      </c>
      <c r="AD134" s="227">
        <f>(INDEX(Models!$BJ134:$BT134,,AH134)*(1-AF134)+INDEX(Models!$BJ134:$BT134,,AH134+1)*AF134-ERP_i)*AE134*Ramure*Pc/MaxiM</f>
        <v>8.9264700823406352E-5</v>
      </c>
      <c r="AE134" s="301">
        <f t="shared" si="40"/>
        <v>0.5</v>
      </c>
      <c r="AF134" s="173">
        <f t="shared" si="41"/>
        <v>6.7189476043479246E-2</v>
      </c>
      <c r="AG134" s="801">
        <f t="shared" si="49"/>
        <v>1</v>
      </c>
      <c r="AH134" s="172">
        <f t="shared" si="42"/>
        <v>7</v>
      </c>
      <c r="AI134" s="221">
        <f t="shared" si="43"/>
        <v>1.0671894760434792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customHeight="1" x14ac:dyDescent="0.2">
      <c r="A135" s="56">
        <f t="shared" si="46"/>
        <v>45412</v>
      </c>
      <c r="B135" s="406">
        <f>'2023'!Wh/'2023'!Env_an*'2024'!Env_an</f>
        <v>198.35190647079941</v>
      </c>
      <c r="C135" s="385"/>
      <c r="D135" s="388">
        <f t="shared" si="25"/>
        <v>201.05283645540484</v>
      </c>
      <c r="E135" s="380">
        <f t="shared" si="47"/>
        <v>203.15980551964964</v>
      </c>
      <c r="F135" s="380">
        <f t="shared" si="26"/>
        <v>203.17386685484715</v>
      </c>
      <c r="G135" s="110">
        <f t="shared" si="48"/>
        <v>0.84120603688889661</v>
      </c>
      <c r="H135" s="409" t="b">
        <f>Wh_hp&gt;='2023'!Maxi_hp</f>
        <v>0</v>
      </c>
      <c r="I135" s="375">
        <f>IF(H135,Wh_hp,'2023'!Maxi_hp)</f>
        <v>203.17769484479672</v>
      </c>
      <c r="J135" s="85">
        <f>IF(H135,An,'2023'!An_max)</f>
        <v>2022</v>
      </c>
      <c r="K135" s="193">
        <f t="shared" si="27"/>
        <v>45412</v>
      </c>
      <c r="L135" s="143">
        <f>IF(t&lt;Tvie,1-EXP((T0-t)*PertePVj)+'2023'!Pspv,1-EXP((T0-t)*PertePVj)+Pspv)</f>
        <v>1.3433931260176668E-2</v>
      </c>
      <c r="M135" s="835"/>
      <c r="N135" s="835"/>
      <c r="O135" s="48">
        <f>IF(t&lt;Tnet,'2023'!Resal+('2023'!Salim-'2023'!Resal)*(1-EXP(('2023'!Tnet-t)/('2023'!Tau_j))),Resal+(Salim-Resal)*(1-EXP((Tnet-t)/(Tau_j))))*Salcycl</f>
        <v>1.0370993705450228E-2</v>
      </c>
      <c r="P135" s="165">
        <f>(INDEX(Models!$BJ135:$BT135,,T135)*(1-R135)+INDEX(Models!$BJ135:$BT135,,T135+1)*R135-ERP_i)*Q135*Ramure*Pc/MaxiM</f>
        <v>8.9511825901849099E-5</v>
      </c>
      <c r="Q135" s="301">
        <f t="shared" si="28"/>
        <v>0.5</v>
      </c>
      <c r="R135" s="173">
        <f t="shared" si="29"/>
        <v>6.9944348801539213E-2</v>
      </c>
      <c r="S135" s="801">
        <f t="shared" si="30"/>
        <v>1</v>
      </c>
      <c r="T135" s="172">
        <f t="shared" si="31"/>
        <v>7</v>
      </c>
      <c r="U135" s="247">
        <f t="shared" si="32"/>
        <v>1.0699443488015392</v>
      </c>
      <c r="V135" s="378">
        <f t="shared" si="33"/>
        <v>235.78989007189787</v>
      </c>
      <c r="W135" s="397">
        <f t="shared" si="34"/>
        <v>198.35190647079941</v>
      </c>
      <c r="X135" s="153">
        <f t="shared" si="35"/>
        <v>45412</v>
      </c>
      <c r="Y135" s="380">
        <f t="shared" si="36"/>
        <v>190.75522904417952</v>
      </c>
      <c r="Z135" s="380">
        <f t="shared" si="37"/>
        <v>193.35271614179686</v>
      </c>
      <c r="AA135" s="381">
        <f t="shared" si="38"/>
        <v>203.15980551964964</v>
      </c>
      <c r="AB135" s="193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4.8272783845051639E-2</v>
      </c>
      <c r="AD135" s="227">
        <f>(INDEX(Models!$BJ135:$BT135,,AH135)*(1-AF135)+INDEX(Models!$BJ135:$BT135,,AH135+1)*AF135-ERP_i)*AE135*Ramure*Pc/MaxiM</f>
        <v>8.9511825901849099E-5</v>
      </c>
      <c r="AE135" s="301">
        <f t="shared" si="40"/>
        <v>0.5</v>
      </c>
      <c r="AF135" s="173">
        <f t="shared" si="41"/>
        <v>6.9944348801539213E-2</v>
      </c>
      <c r="AG135" s="801">
        <f t="shared" si="49"/>
        <v>1</v>
      </c>
      <c r="AH135" s="172">
        <f t="shared" si="42"/>
        <v>7</v>
      </c>
      <c r="AI135" s="221">
        <f t="shared" si="43"/>
        <v>1.0699443488015392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customHeight="1" x14ac:dyDescent="0.2">
      <c r="A136" s="56">
        <f t="shared" si="46"/>
        <v>45413</v>
      </c>
      <c r="B136" s="406">
        <f>'2023'!Wh/'2023'!Env_an*'2024'!Env_an</f>
        <v>117.69221016505793</v>
      </c>
      <c r="C136" s="385"/>
      <c r="D136" s="388">
        <f t="shared" si="25"/>
        <v>119.29644148918609</v>
      </c>
      <c r="E136" s="380">
        <f t="shared" si="47"/>
        <v>120.55671440166573</v>
      </c>
      <c r="F136" s="380">
        <f t="shared" si="26"/>
        <v>120.55977509163787</v>
      </c>
      <c r="G136" s="110">
        <f t="shared" si="48"/>
        <v>0.4981058782886873</v>
      </c>
      <c r="H136" s="409" t="b">
        <f>Wh_hp&gt;='2023'!Maxi_hp</f>
        <v>0</v>
      </c>
      <c r="I136" s="375">
        <f>IF(H136,Wh_hp,'2023'!Maxi_hp)</f>
        <v>120.56695071205655</v>
      </c>
      <c r="J136" s="85">
        <f>IF(H136,An,'2023'!An_max)</f>
        <v>2022</v>
      </c>
      <c r="K136" s="193">
        <f t="shared" si="27"/>
        <v>45413</v>
      </c>
      <c r="L136" s="143">
        <f>IF(t&lt;Tvie,1-EXP((T0-t)*PertePVj)+'2023'!Pspv,1-EXP((T0-t)*PertePVj)+Pspv)</f>
        <v>1.3447436521177192E-2</v>
      </c>
      <c r="M136" s="835"/>
      <c r="N136" s="835"/>
      <c r="O136" s="48">
        <f>IF(t&lt;Tnet,'2023'!Resal+('2023'!Salim-'2023'!Resal)*(1-EXP(('2023'!Tnet-t)/('2023'!Tau_j))),Resal+(Salim-Resal)*(1-EXP((Tnet-t)/(Tau_j))))*Salcycl</f>
        <v>1.0453776205949899E-2</v>
      </c>
      <c r="P136" s="165">
        <f>(INDEX(Models!$BJ136:$BT136,,T136)*(1-R136)+INDEX(Models!$BJ136:$BT136,,T136+1)*R136-ERP_i)*Q136*Ramure*Pc/MaxiM</f>
        <v>8.9690691339682066E-5</v>
      </c>
      <c r="Q136" s="301">
        <f t="shared" si="28"/>
        <v>0.5</v>
      </c>
      <c r="R136" s="173">
        <f t="shared" si="29"/>
        <v>7.2776834236974342E-2</v>
      </c>
      <c r="S136" s="801">
        <f t="shared" si="30"/>
        <v>1</v>
      </c>
      <c r="T136" s="172">
        <f t="shared" si="31"/>
        <v>7</v>
      </c>
      <c r="U136" s="247">
        <f t="shared" si="32"/>
        <v>1.0727768342369743</v>
      </c>
      <c r="V136" s="378">
        <f t="shared" si="33"/>
        <v>236.26431065564498</v>
      </c>
      <c r="W136" s="397">
        <f t="shared" si="34"/>
        <v>117.69221016505793</v>
      </c>
      <c r="X136" s="153">
        <f t="shared" si="35"/>
        <v>45413</v>
      </c>
      <c r="Y136" s="380">
        <f t="shared" si="36"/>
        <v>113.18690597743057</v>
      </c>
      <c r="Z136" s="380">
        <f t="shared" si="37"/>
        <v>114.72972669424341</v>
      </c>
      <c r="AA136" s="381">
        <f t="shared" si="38"/>
        <v>120.55671440166573</v>
      </c>
      <c r="AB136" s="193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4.8333995633027975E-2</v>
      </c>
      <c r="AD136" s="227">
        <f>(INDEX(Models!$BJ136:$BT136,,AH136)*(1-AF136)+INDEX(Models!$BJ136:$BT136,,AH136+1)*AF136-ERP_i)*AE136*Ramure*Pc/MaxiM</f>
        <v>8.9690691339682066E-5</v>
      </c>
      <c r="AE136" s="301">
        <f t="shared" si="40"/>
        <v>0.5</v>
      </c>
      <c r="AF136" s="173">
        <f t="shared" si="41"/>
        <v>7.2776834236974342E-2</v>
      </c>
      <c r="AG136" s="801">
        <f t="shared" si="49"/>
        <v>1</v>
      </c>
      <c r="AH136" s="172">
        <f t="shared" si="42"/>
        <v>7</v>
      </c>
      <c r="AI136" s="221">
        <f t="shared" si="43"/>
        <v>1.0727768342369743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customHeight="1" x14ac:dyDescent="0.2">
      <c r="A137" s="56">
        <f t="shared" si="46"/>
        <v>45414</v>
      </c>
      <c r="B137" s="406">
        <f>'2023'!Wh/'2023'!Env_an*'2024'!Env_an</f>
        <v>134.01089699804103</v>
      </c>
      <c r="C137" s="385"/>
      <c r="D137" s="388">
        <f t="shared" si="25"/>
        <v>135.83942354499135</v>
      </c>
      <c r="E137" s="380">
        <f t="shared" si="47"/>
        <v>137.28596366335213</v>
      </c>
      <c r="F137" s="380">
        <f t="shared" si="26"/>
        <v>137.29065525418349</v>
      </c>
      <c r="G137" s="110">
        <f t="shared" si="48"/>
        <v>0.56607876257623679</v>
      </c>
      <c r="H137" s="409" t="b">
        <f>Wh_hp&gt;='2023'!Maxi_hp</f>
        <v>0</v>
      </c>
      <c r="I137" s="375">
        <f>IF(H137,Wh_hp,'2023'!Maxi_hp)</f>
        <v>137.29771718168283</v>
      </c>
      <c r="J137" s="85">
        <f>IF(H137,An,'2023'!An_max)</f>
        <v>2022</v>
      </c>
      <c r="K137" s="193">
        <f t="shared" si="27"/>
        <v>45414</v>
      </c>
      <c r="L137" s="143">
        <f>IF(t&lt;Tvie,1-EXP((T0-t)*PertePVj)+'2023'!Pspv,1-EXP((T0-t)*PertePVj)+Pspv)</f>
        <v>1.3460941597302156E-2</v>
      </c>
      <c r="M137" s="835"/>
      <c r="N137" s="835"/>
      <c r="O137" s="48">
        <f>IF(t&lt;Tnet,'2023'!Resal+('2023'!Salim-'2023'!Resal)*(1-EXP(('2023'!Tnet-t)/('2023'!Tau_j))),Resal+(Salim-Resal)*(1-EXP((Tnet-t)/(Tau_j))))*Salcycl</f>
        <v>1.0536693480973254E-2</v>
      </c>
      <c r="P137" s="165">
        <f>(INDEX(Models!$BJ137:$BT137,,T137)*(1-R137)+INDEX(Models!$BJ137:$BT137,,T137+1)*R137-ERP_i)*Q137*Ramure*Pc/MaxiM</f>
        <v>8.9890851898449673E-5</v>
      </c>
      <c r="Q137" s="301">
        <f t="shared" si="28"/>
        <v>0.5</v>
      </c>
      <c r="R137" s="173">
        <f t="shared" si="29"/>
        <v>7.5687765502538085E-2</v>
      </c>
      <c r="S137" s="801">
        <f t="shared" si="30"/>
        <v>1</v>
      </c>
      <c r="T137" s="172">
        <f t="shared" si="31"/>
        <v>7</v>
      </c>
      <c r="U137" s="247">
        <f t="shared" si="32"/>
        <v>1.0756877655025381</v>
      </c>
      <c r="V137" s="378">
        <f t="shared" si="33"/>
        <v>236.72223506848442</v>
      </c>
      <c r="W137" s="397">
        <f t="shared" si="34"/>
        <v>134.01089699804103</v>
      </c>
      <c r="X137" s="153">
        <f t="shared" si="35"/>
        <v>45414</v>
      </c>
      <c r="Y137" s="380">
        <f t="shared" si="36"/>
        <v>128.88333120287311</v>
      </c>
      <c r="Z137" s="380">
        <f t="shared" si="37"/>
        <v>130.64189410964397</v>
      </c>
      <c r="AA137" s="381">
        <f t="shared" si="38"/>
        <v>137.28596366335213</v>
      </c>
      <c r="AB137" s="193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4.8395840160327788E-2</v>
      </c>
      <c r="AD137" s="227">
        <f>(INDEX(Models!$BJ137:$BT137,,AH137)*(1-AF137)+INDEX(Models!$BJ137:$BT137,,AH137+1)*AF137-ERP_i)*AE137*Ramure*Pc/MaxiM</f>
        <v>8.9890851898449673E-5</v>
      </c>
      <c r="AE137" s="301">
        <f t="shared" si="40"/>
        <v>0.5</v>
      </c>
      <c r="AF137" s="173">
        <f t="shared" si="41"/>
        <v>7.5687765502538085E-2</v>
      </c>
      <c r="AG137" s="801">
        <f t="shared" si="49"/>
        <v>1</v>
      </c>
      <c r="AH137" s="172">
        <f t="shared" si="42"/>
        <v>7</v>
      </c>
      <c r="AI137" s="221">
        <f t="shared" si="43"/>
        <v>1.0756877655025381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customHeight="1" x14ac:dyDescent="0.2">
      <c r="A138" s="56">
        <f t="shared" si="46"/>
        <v>45415</v>
      </c>
      <c r="B138" s="406">
        <f>'2023'!Wh/'2023'!Env_an*'2024'!Env_an</f>
        <v>78.656117403275616</v>
      </c>
      <c r="C138" s="385"/>
      <c r="D138" s="388">
        <f t="shared" si="25"/>
        <v>79.73044096354775</v>
      </c>
      <c r="E138" s="380">
        <f t="shared" si="47"/>
        <v>80.586246426459908</v>
      </c>
      <c r="F138" s="380">
        <f t="shared" si="26"/>
        <v>80.586574788388916</v>
      </c>
      <c r="G138" s="110">
        <f t="shared" si="48"/>
        <v>0.33162403753394104</v>
      </c>
      <c r="H138" s="409" t="b">
        <f>Wh_hp&gt;='2023'!Maxi_hp</f>
        <v>0</v>
      </c>
      <c r="I138" s="375">
        <f>IF(H138,Wh_hp,'2023'!Maxi_hp)</f>
        <v>80.592958342597413</v>
      </c>
      <c r="J138" s="85">
        <f>IF(H138,An,'2023'!An_max)</f>
        <v>2022</v>
      </c>
      <c r="K138" s="193">
        <f t="shared" si="27"/>
        <v>45415</v>
      </c>
      <c r="L138" s="143">
        <f>IF(t&lt;Tvie,1-EXP((T0-t)*PertePVj)+'2023'!Pspv,1-EXP((T0-t)*PertePVj)+Pspv)</f>
        <v>1.3474446488553893E-2</v>
      </c>
      <c r="M138" s="835"/>
      <c r="N138" s="835"/>
      <c r="O138" s="48">
        <f>IF(t&lt;Tnet,'2023'!Resal+('2023'!Salim-'2023'!Resal)*(1-EXP(('2023'!Tnet-t)/('2023'!Tau_j))),Resal+(Salim-Resal)*(1-EXP((Tnet-t)/(Tau_j))))*Salcycl</f>
        <v>1.0619745935097527E-2</v>
      </c>
      <c r="P138" s="165">
        <f>(INDEX(Models!$BJ138:$BT138,,T138)*(1-R138)+INDEX(Models!$BJ138:$BT138,,T138+1)*R138-ERP_i)*Q138*Ramure*Pc/MaxiM</f>
        <v>9.0111275481250243E-5</v>
      </c>
      <c r="Q138" s="301">
        <f t="shared" si="28"/>
        <v>0.5</v>
      </c>
      <c r="R138" s="173">
        <f t="shared" si="29"/>
        <v>7.8677886418828447E-2</v>
      </c>
      <c r="S138" s="801">
        <f t="shared" si="30"/>
        <v>1</v>
      </c>
      <c r="T138" s="172">
        <f t="shared" si="31"/>
        <v>7</v>
      </c>
      <c r="U138" s="247">
        <f t="shared" si="32"/>
        <v>1.0786778864188284</v>
      </c>
      <c r="V138" s="378">
        <f t="shared" si="33"/>
        <v>237.1642015262012</v>
      </c>
      <c r="W138" s="397">
        <f t="shared" si="34"/>
        <v>78.656117403275616</v>
      </c>
      <c r="X138" s="153">
        <f t="shared" si="35"/>
        <v>45415</v>
      </c>
      <c r="Y138" s="380">
        <f t="shared" si="36"/>
        <v>75.647936990352193</v>
      </c>
      <c r="Z138" s="380">
        <f t="shared" si="37"/>
        <v>76.681173357436492</v>
      </c>
      <c r="AA138" s="381">
        <f t="shared" si="38"/>
        <v>80.586246426459908</v>
      </c>
      <c r="AB138" s="193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4.8458306996430701E-2</v>
      </c>
      <c r="AD138" s="227">
        <f>(INDEX(Models!$BJ138:$BT138,,AH138)*(1-AF138)+INDEX(Models!$BJ138:$BT138,,AH138+1)*AF138-ERP_i)*AE138*Ramure*Pc/MaxiM</f>
        <v>9.0111275481250243E-5</v>
      </c>
      <c r="AE138" s="301">
        <f t="shared" si="40"/>
        <v>0.5</v>
      </c>
      <c r="AF138" s="173">
        <f t="shared" si="41"/>
        <v>7.8677886418828447E-2</v>
      </c>
      <c r="AG138" s="801">
        <f t="shared" si="49"/>
        <v>1</v>
      </c>
      <c r="AH138" s="172">
        <f t="shared" si="42"/>
        <v>7</v>
      </c>
      <c r="AI138" s="221">
        <f t="shared" si="43"/>
        <v>1.0786778864188284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customHeight="1" x14ac:dyDescent="0.2">
      <c r="A139" s="56">
        <f t="shared" si="46"/>
        <v>45416</v>
      </c>
      <c r="B139" s="406">
        <f>'2023'!Wh/'2023'!Env_an*'2024'!Env_an</f>
        <v>165.70507545533579</v>
      </c>
      <c r="C139" s="385"/>
      <c r="D139" s="388">
        <f t="shared" si="25"/>
        <v>167.97065545833911</v>
      </c>
      <c r="E139" s="380">
        <f t="shared" si="47"/>
        <v>169.78788389830061</v>
      </c>
      <c r="F139" s="380">
        <f t="shared" si="26"/>
        <v>169.79659421338678</v>
      </c>
      <c r="G139" s="110">
        <f t="shared" si="48"/>
        <v>0.69741185301240438</v>
      </c>
      <c r="H139" s="409" t="b">
        <f>Wh_hp&gt;='2023'!Maxi_hp</f>
        <v>0</v>
      </c>
      <c r="I139" s="375">
        <f>IF(H139,Wh_hp,'2023'!Maxi_hp)</f>
        <v>169.80268251285483</v>
      </c>
      <c r="J139" s="85">
        <f>IF(H139,An,'2023'!An_max)</f>
        <v>2022</v>
      </c>
      <c r="K139" s="193">
        <f t="shared" si="27"/>
        <v>45416</v>
      </c>
      <c r="L139" s="143">
        <f>IF(t&lt;Tvie,1-EXP((T0-t)*PertePVj)+'2023'!Pspv,1-EXP((T0-t)*PertePVj)+Pspv)</f>
        <v>1.3487951194935066E-2</v>
      </c>
      <c r="M139" s="835"/>
      <c r="N139" s="835"/>
      <c r="O139" s="48">
        <f>IF(t&lt;Tnet,'2023'!Resal+('2023'!Salim-'2023'!Resal)*(1-EXP(('2023'!Tnet-t)/('2023'!Tau_j))),Resal+(Salim-Resal)*(1-EXP((Tnet-t)/(Tau_j))))*Salcycl</f>
        <v>1.0702933555906607E-2</v>
      </c>
      <c r="P139" s="165">
        <f>(INDEX(Models!$BJ139:$BT139,,T139)*(1-R139)+INDEX(Models!$BJ139:$BT139,,T139+1)*R139-ERP_i)*Q139*Ramure*Pc/MaxiM</f>
        <v>9.0350872253011654E-5</v>
      </c>
      <c r="Q139" s="301">
        <f t="shared" si="28"/>
        <v>0.5</v>
      </c>
      <c r="R139" s="173">
        <f t="shared" si="29"/>
        <v>8.1747844485404952E-2</v>
      </c>
      <c r="S139" s="801">
        <f t="shared" si="30"/>
        <v>1</v>
      </c>
      <c r="T139" s="172">
        <f t="shared" si="31"/>
        <v>7</v>
      </c>
      <c r="U139" s="247">
        <f t="shared" si="32"/>
        <v>1.081747844485405</v>
      </c>
      <c r="V139" s="378">
        <f t="shared" si="33"/>
        <v>237.59074818665096</v>
      </c>
      <c r="W139" s="397">
        <f t="shared" si="34"/>
        <v>165.70507545533579</v>
      </c>
      <c r="X139" s="153">
        <f t="shared" si="35"/>
        <v>45416</v>
      </c>
      <c r="Y139" s="380">
        <f t="shared" si="36"/>
        <v>159.37056843775716</v>
      </c>
      <c r="Z139" s="380">
        <f t="shared" si="37"/>
        <v>161.5495407590798</v>
      </c>
      <c r="AA139" s="381">
        <f t="shared" si="38"/>
        <v>169.78788389830061</v>
      </c>
      <c r="AB139" s="193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4.8521384153391037E-2</v>
      </c>
      <c r="AD139" s="227">
        <f>(INDEX(Models!$BJ139:$BT139,,AH139)*(1-AF139)+INDEX(Models!$BJ139:$BT139,,AH139+1)*AF139-ERP_i)*AE139*Ramure*Pc/MaxiM</f>
        <v>9.0350872253011654E-5</v>
      </c>
      <c r="AE139" s="301">
        <f t="shared" si="40"/>
        <v>0.5</v>
      </c>
      <c r="AF139" s="173">
        <f t="shared" si="41"/>
        <v>8.1747844485404952E-2</v>
      </c>
      <c r="AG139" s="801">
        <f t="shared" si="49"/>
        <v>1</v>
      </c>
      <c r="AH139" s="172">
        <f t="shared" si="42"/>
        <v>7</v>
      </c>
      <c r="AI139" s="221">
        <f t="shared" si="43"/>
        <v>1.081747844485405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customHeight="1" x14ac:dyDescent="0.2">
      <c r="A140" s="56">
        <f t="shared" si="46"/>
        <v>45417</v>
      </c>
      <c r="B140" s="406">
        <f>'2023'!Wh/'2023'!Env_an*'2024'!Env_an</f>
        <v>154.15245544904155</v>
      </c>
      <c r="C140" s="385"/>
      <c r="D140" s="388">
        <f t="shared" si="25"/>
        <v>156.26222293211322</v>
      </c>
      <c r="E140" s="380">
        <f t="shared" si="47"/>
        <v>157.9660855538194</v>
      </c>
      <c r="F140" s="380">
        <f t="shared" si="26"/>
        <v>157.97319523278534</v>
      </c>
      <c r="G140" s="110">
        <f t="shared" si="48"/>
        <v>0.64766328756974589</v>
      </c>
      <c r="H140" s="409" t="b">
        <f>Wh_hp&gt;='2023'!Maxi_hp</f>
        <v>0</v>
      </c>
      <c r="I140" s="375">
        <f>IF(H140,Wh_hp,'2023'!Maxi_hp)</f>
        <v>157.97979101946427</v>
      </c>
      <c r="J140" s="85">
        <f>IF(H140,An,'2023'!An_max)</f>
        <v>2022</v>
      </c>
      <c r="K140" s="193">
        <f t="shared" si="27"/>
        <v>45417</v>
      </c>
      <c r="L140" s="143">
        <f>IF(t&lt;Tvie,1-EXP((T0-t)*PertePVj)+'2023'!Pspv,1-EXP((T0-t)*PertePVj)+Pspv)</f>
        <v>1.3501455716448119E-2</v>
      </c>
      <c r="M140" s="835"/>
      <c r="N140" s="835"/>
      <c r="O140" s="48">
        <f>IF(t&lt;Tnet,'2023'!Resal+('2023'!Salim-'2023'!Resal)*(1-EXP(('2023'!Tnet-t)/('2023'!Tau_j))),Resal+(Salim-Resal)*(1-EXP((Tnet-t)/(Tau_j))))*Salcycl</f>
        <v>1.0786255896210529E-2</v>
      </c>
      <c r="P140" s="165">
        <f>(INDEX(Models!$BJ140:$BT140,,T140)*(1-R140)+INDEX(Models!$BJ140:$BT140,,T140+1)*R140-ERP_i)*Q140*Ramure*Pc/MaxiM</f>
        <v>9.0608491274338075E-5</v>
      </c>
      <c r="Q140" s="301">
        <f t="shared" si="28"/>
        <v>0.5</v>
      </c>
      <c r="R140" s="173">
        <f t="shared" si="29"/>
        <v>8.4898183846746189E-2</v>
      </c>
      <c r="S140" s="801">
        <f t="shared" si="30"/>
        <v>1</v>
      </c>
      <c r="T140" s="172">
        <f t="shared" si="31"/>
        <v>7</v>
      </c>
      <c r="U140" s="247">
        <f t="shared" si="32"/>
        <v>1.0848981838467462</v>
      </c>
      <c r="V140" s="378">
        <f t="shared" si="33"/>
        <v>238.0024131272063</v>
      </c>
      <c r="W140" s="397">
        <f t="shared" si="34"/>
        <v>154.15245544904155</v>
      </c>
      <c r="X140" s="153">
        <f t="shared" si="35"/>
        <v>45417</v>
      </c>
      <c r="Y140" s="380">
        <f t="shared" si="36"/>
        <v>148.26214286459279</v>
      </c>
      <c r="Z140" s="380">
        <f t="shared" si="37"/>
        <v>150.29129411667677</v>
      </c>
      <c r="AA140" s="381">
        <f t="shared" si="38"/>
        <v>157.9660855538194</v>
      </c>
      <c r="AB140" s="193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4.8585058053665628E-2</v>
      </c>
      <c r="AD140" s="227">
        <f>(INDEX(Models!$BJ140:$BT140,,AH140)*(1-AF140)+INDEX(Models!$BJ140:$BT140,,AH140+1)*AF140-ERP_i)*AE140*Ramure*Pc/MaxiM</f>
        <v>9.0608491274338075E-5</v>
      </c>
      <c r="AE140" s="301">
        <f t="shared" si="40"/>
        <v>0.5</v>
      </c>
      <c r="AF140" s="173">
        <f t="shared" si="41"/>
        <v>8.4898183846746189E-2</v>
      </c>
      <c r="AG140" s="801">
        <f t="shared" si="49"/>
        <v>1</v>
      </c>
      <c r="AH140" s="172">
        <f t="shared" si="42"/>
        <v>7</v>
      </c>
      <c r="AI140" s="221">
        <f t="shared" si="43"/>
        <v>1.0848981838467462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customHeight="1" x14ac:dyDescent="0.2">
      <c r="A141" s="56">
        <f t="shared" si="46"/>
        <v>45418</v>
      </c>
      <c r="B141" s="406">
        <f>'2023'!Wh/'2023'!Env_an*'2024'!Env_an</f>
        <v>195.49800724885185</v>
      </c>
      <c r="C141" s="385"/>
      <c r="D141" s="388">
        <f t="shared" si="25"/>
        <v>198.17635273959567</v>
      </c>
      <c r="E141" s="380">
        <f t="shared" si="47"/>
        <v>200.35414460084507</v>
      </c>
      <c r="F141" s="380">
        <f t="shared" si="26"/>
        <v>200.36767314419046</v>
      </c>
      <c r="G141" s="110">
        <f t="shared" si="48"/>
        <v>0.8200237294606979</v>
      </c>
      <c r="H141" s="409" t="b">
        <f>Wh_hp&gt;='2023'!Maxi_hp</f>
        <v>0</v>
      </c>
      <c r="I141" s="375">
        <f>IF(H141,Wh_hp,'2023'!Maxi_hp)</f>
        <v>200.37194692994947</v>
      </c>
      <c r="J141" s="85">
        <f>IF(H141,An,'2023'!An_max)</f>
        <v>2022</v>
      </c>
      <c r="K141" s="193">
        <f t="shared" si="27"/>
        <v>45418</v>
      </c>
      <c r="L141" s="143">
        <f>IF(t&lt;Tvie,1-EXP((T0-t)*PertePVj)+'2023'!Pspv,1-EXP((T0-t)*PertePVj)+Pspv)</f>
        <v>1.3514960053095604E-2</v>
      </c>
      <c r="M141" s="835"/>
      <c r="N141" s="835"/>
      <c r="O141" s="48">
        <f>IF(t&lt;Tnet,'2023'!Resal+('2023'!Salim-'2023'!Resal)*(1-EXP(('2023'!Tnet-t)/('2023'!Tau_j))),Resal+(Salim-Resal)*(1-EXP((Tnet-t)/(Tau_j))))*Salcycl</f>
        <v>1.0869712057058259E-2</v>
      </c>
      <c r="P141" s="165">
        <f>(INDEX(Models!$BJ141:$BT141,,T141)*(1-R141)+INDEX(Models!$BJ141:$BT141,,T141+1)*R141-ERP_i)*Q141*Ramure*Pc/MaxiM</f>
        <v>9.0882917285018574E-5</v>
      </c>
      <c r="Q141" s="301">
        <f t="shared" si="28"/>
        <v>0.5</v>
      </c>
      <c r="R141" s="173">
        <f t="shared" si="29"/>
        <v>8.8129338251898615E-2</v>
      </c>
      <c r="S141" s="801">
        <f t="shared" si="30"/>
        <v>1</v>
      </c>
      <c r="T141" s="172">
        <f t="shared" si="31"/>
        <v>7</v>
      </c>
      <c r="U141" s="247">
        <f t="shared" si="32"/>
        <v>1.0881293382518986</v>
      </c>
      <c r="V141" s="378">
        <f t="shared" si="33"/>
        <v>238.39973434687255</v>
      </c>
      <c r="W141" s="397">
        <f t="shared" si="34"/>
        <v>195.49800724885185</v>
      </c>
      <c r="X141" s="153">
        <f t="shared" si="35"/>
        <v>45418</v>
      </c>
      <c r="Y141" s="380">
        <f t="shared" si="36"/>
        <v>188.03100630141222</v>
      </c>
      <c r="Z141" s="380">
        <f t="shared" si="37"/>
        <v>190.60705300866258</v>
      </c>
      <c r="AA141" s="381">
        <f t="shared" si="38"/>
        <v>200.35414460084507</v>
      </c>
      <c r="AB141" s="193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4.8649313502354082E-2</v>
      </c>
      <c r="AD141" s="227">
        <f>(INDEX(Models!$BJ141:$BT141,,AH141)*(1-AF141)+INDEX(Models!$BJ141:$BT141,,AH141+1)*AF141-ERP_i)*AE141*Ramure*Pc/MaxiM</f>
        <v>9.0882917285018574E-5</v>
      </c>
      <c r="AE141" s="301">
        <f t="shared" si="40"/>
        <v>0.5</v>
      </c>
      <c r="AF141" s="173">
        <f t="shared" si="41"/>
        <v>8.8129338251898615E-2</v>
      </c>
      <c r="AG141" s="801">
        <f t="shared" si="49"/>
        <v>1</v>
      </c>
      <c r="AH141" s="172">
        <f t="shared" si="42"/>
        <v>7</v>
      </c>
      <c r="AI141" s="221">
        <f t="shared" si="43"/>
        <v>1.0881293382518986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customHeight="1" x14ac:dyDescent="0.2">
      <c r="A142" s="56">
        <f t="shared" si="46"/>
        <v>45419</v>
      </c>
      <c r="B142" s="406">
        <f>'2023'!Wh/'2023'!Env_an*'2024'!Env_an</f>
        <v>213.57927280792418</v>
      </c>
      <c r="C142" s="385"/>
      <c r="D142" s="388">
        <f t="shared" si="25"/>
        <v>216.50829756154508</v>
      </c>
      <c r="E142" s="380">
        <f t="shared" si="47"/>
        <v>218.9060412502146</v>
      </c>
      <c r="F142" s="380">
        <f t="shared" si="26"/>
        <v>218.92298091826416</v>
      </c>
      <c r="G142" s="110">
        <f t="shared" si="48"/>
        <v>0.89443596364215316</v>
      </c>
      <c r="H142" s="409" t="b">
        <f>Wh_hp&gt;='2023'!Maxi_hp</f>
        <v>0</v>
      </c>
      <c r="I142" s="375">
        <f>IF(H142,Wh_hp,'2023'!Maxi_hp)</f>
        <v>218.92571868618484</v>
      </c>
      <c r="J142" s="85">
        <f>IF(H142,An,'2023'!An_max)</f>
        <v>2022</v>
      </c>
      <c r="K142" s="193">
        <f t="shared" si="27"/>
        <v>45419</v>
      </c>
      <c r="L142" s="143">
        <f>IF(t&lt;Tvie,1-EXP((T0-t)*PertePVj)+'2023'!Pspv,1-EXP((T0-t)*PertePVj)+Pspv)</f>
        <v>1.3528464204880075E-2</v>
      </c>
      <c r="M142" s="835"/>
      <c r="N142" s="835"/>
      <c r="O142" s="48">
        <f>IF(t&lt;Tnet,'2023'!Resal+('2023'!Salim-'2023'!Resal)*(1-EXP(('2023'!Tnet-t)/('2023'!Tau_j))),Resal+(Salim-Resal)*(1-EXP((Tnet-t)/(Tau_j))))*Salcycl</f>
        <v>1.0953300671719974E-2</v>
      </c>
      <c r="P142" s="165">
        <f>(INDEX(Models!$BJ142:$BT142,,T142)*(1-R142)+INDEX(Models!$BJ142:$BT142,,T142+1)*R142-ERP_i)*Q142*Ramure*Pc/MaxiM</f>
        <v>9.1116604475296708E-5</v>
      </c>
      <c r="Q142" s="301">
        <f t="shared" si="28"/>
        <v>0.5</v>
      </c>
      <c r="R142" s="173">
        <f t="shared" si="29"/>
        <v>9.1441624050031534E-2</v>
      </c>
      <c r="S142" s="801">
        <f t="shared" si="30"/>
        <v>1</v>
      </c>
      <c r="T142" s="172">
        <f t="shared" si="31"/>
        <v>7</v>
      </c>
      <c r="U142" s="247">
        <f t="shared" si="32"/>
        <v>1.0914416240500315</v>
      </c>
      <c r="V142" s="378">
        <f t="shared" si="33"/>
        <v>238.78326323039363</v>
      </c>
      <c r="W142" s="397">
        <f t="shared" si="34"/>
        <v>213.57927280792418</v>
      </c>
      <c r="X142" s="153">
        <f t="shared" si="35"/>
        <v>45419</v>
      </c>
      <c r="Y142" s="380">
        <f t="shared" si="36"/>
        <v>205.42502563569016</v>
      </c>
      <c r="Z142" s="380">
        <f t="shared" si="37"/>
        <v>208.24222309679988</v>
      </c>
      <c r="AA142" s="381">
        <f t="shared" si="38"/>
        <v>218.9060412502146</v>
      </c>
      <c r="AB142" s="193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4.8714133664432425E-2</v>
      </c>
      <c r="AD142" s="227">
        <f>(INDEX(Models!$BJ142:$BT142,,AH142)*(1-AF142)+INDEX(Models!$BJ142:$BT142,,AH142+1)*AF142-ERP_i)*AE142*Ramure*Pc/MaxiM</f>
        <v>9.1116604475296708E-5</v>
      </c>
      <c r="AE142" s="301">
        <f t="shared" si="40"/>
        <v>0.5</v>
      </c>
      <c r="AF142" s="173">
        <f t="shared" si="41"/>
        <v>9.1441624050031534E-2</v>
      </c>
      <c r="AG142" s="801">
        <f t="shared" si="49"/>
        <v>1</v>
      </c>
      <c r="AH142" s="172">
        <f t="shared" si="42"/>
        <v>7</v>
      </c>
      <c r="AI142" s="221">
        <f t="shared" si="43"/>
        <v>1.0914416240500315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45420</v>
      </c>
      <c r="B143" s="406">
        <f>'2023'!Wh/'2023'!Env_an*'2024'!Env_an</f>
        <v>230.29680414265351</v>
      </c>
      <c r="C143" s="385"/>
      <c r="D143" s="388">
        <f t="shared" ref="D143:D206" si="50">Wh/(1-Ppv)</f>
        <v>233.45828885983727</v>
      </c>
      <c r="E143" s="380">
        <f t="shared" si="47"/>
        <v>236.06372893155583</v>
      </c>
      <c r="F143" s="380">
        <f t="shared" ref="F143:F206" si="51">Wh_sa/(1-Pvg*MEDIAN((-Sdif+Wh/Env_an)/Csdif,0,1))</f>
        <v>236.08414190062598</v>
      </c>
      <c r="G143" s="110">
        <f t="shared" si="48"/>
        <v>0.96296166395600502</v>
      </c>
      <c r="H143" s="409" t="b">
        <f>Wh_hp&gt;='2023'!Maxi_hp</f>
        <v>0</v>
      </c>
      <c r="I143" s="375">
        <f>IF(H143,Wh_hp,'2023'!Maxi_hp)</f>
        <v>236.08517663735407</v>
      </c>
      <c r="J143" s="85">
        <f>IF(H143,An,'2023'!An_max)</f>
        <v>2022</v>
      </c>
      <c r="K143" s="193">
        <f t="shared" ref="K143:K206" si="52">t</f>
        <v>45420</v>
      </c>
      <c r="L143" s="143">
        <f>IF(t&lt;Tvie,1-EXP((T0-t)*PertePVj)+'2023'!Pspv,1-EXP((T0-t)*PertePVj)+Pspv)</f>
        <v>1.3541968171804086E-2</v>
      </c>
      <c r="M143" s="835"/>
      <c r="N143" s="835"/>
      <c r="O143" s="48">
        <f>IF(t&lt;Tnet,'2023'!Resal+('2023'!Salim-'2023'!Resal)*(1-EXP(('2023'!Tnet-t)/('2023'!Tau_j))),Resal+(Salim-Resal)*(1-EXP((Tnet-t)/(Tau_j))))*Salcycl</f>
        <v>1.103701989081929E-2</v>
      </c>
      <c r="P143" s="165">
        <f>(INDEX(Models!$BJ143:$BT143,,T143)*(1-R143)+INDEX(Models!$BJ143:$BT143,,T143+1)*R143-ERP_i)*Q143*Ramure*Pc/MaxiM</f>
        <v>9.1294778373570998E-5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9.4835233267376973E-2</v>
      </c>
      <c r="S143" s="801">
        <f t="shared" ref="S143:S206" si="55">INDEX(Echel_vg,T143)</f>
        <v>1</v>
      </c>
      <c r="T143" s="172">
        <f t="shared" ref="T143:T206" si="56">MIN(MATCH(Hp_vg,Echel_vg),10)</f>
        <v>7</v>
      </c>
      <c r="U143" s="247">
        <f t="shared" ref="U143:U206" si="57">IF(OR(t&lt;Ttai,Notai),Hdd+PousH*Croivg,Hdtf+PousH*(Croivg-Croi_tai))</f>
        <v>1.094835233267377</v>
      </c>
      <c r="V143" s="378">
        <f t="shared" ref="V143:V206" si="58">MaxiM*(1-Ppv)*(1-Pvg)*(1-Psa)</f>
        <v>239.15354093404503</v>
      </c>
      <c r="W143" s="397">
        <f t="shared" ref="W143:W206" si="59">Wh*(A143&gt;Tmaj)</f>
        <v>230.29680414265351</v>
      </c>
      <c r="X143" s="153">
        <f t="shared" ref="X143:X206" si="60">t</f>
        <v>45420</v>
      </c>
      <c r="Y143" s="380">
        <f t="shared" ref="Y143:Y206" si="61">Wh_pvt_s*(1-Ppv)</f>
        <v>221.50782747180423</v>
      </c>
      <c r="Z143" s="380">
        <f t="shared" ref="Z143:Z206" si="62">Wh_sa_s*(1-Psa_s)</f>
        <v>224.54865825491359</v>
      </c>
      <c r="AA143" s="381">
        <f t="shared" ref="AA143:AA206" si="63">Wh_hp*(1-Pvg_s*MEDIAN((-Sdif+Wh/Env_an)/Csdif,0,1))</f>
        <v>236.06372893155583</v>
      </c>
      <c r="AB143" s="193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4.8779500047552486E-2</v>
      </c>
      <c r="AD143" s="227">
        <f>(INDEX(Models!$BJ143:$BT143,,AH143)*(1-AF143)+INDEX(Models!$BJ143:$BT143,,AH143+1)*AF143-ERP_i)*AE143*Ramure*Pc/MaxiM</f>
        <v>9.1294778373570998E-5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9.4835233267376973E-2</v>
      </c>
      <c r="AG143" s="801">
        <f t="shared" si="49"/>
        <v>1</v>
      </c>
      <c r="AH143" s="172">
        <f t="shared" ref="AH143:AH206" si="67">MIN(MATCH(Hp_vg_s,Echel_vg),10)</f>
        <v>7</v>
      </c>
      <c r="AI143" s="221">
        <f t="shared" ref="AI143:AI206" si="68">IF(OR(t&lt;Ttai,Notai),Hdd_s+PousH*Croivg,Hdtai_s+PousH*(Croivg-Croi_tai))</f>
        <v>1.094835233267377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45421</v>
      </c>
      <c r="B144" s="406">
        <f>'2023'!Wh/'2023'!Env_an*'2024'!Env_an</f>
        <v>220.39821038522948</v>
      </c>
      <c r="C144" s="385"/>
      <c r="D144" s="388">
        <f t="shared" si="50"/>
        <v>223.42686701478951</v>
      </c>
      <c r="E144" s="380">
        <f t="shared" ref="E144:E169" si="72">Wh_pvt/(1-Psa)</f>
        <v>225.93951034268167</v>
      </c>
      <c r="F144" s="380">
        <f t="shared" si="51"/>
        <v>225.95781140096491</v>
      </c>
      <c r="G144" s="110">
        <f t="shared" ref="G144:G169" si="73">+Wh_hp/MaxiM</f>
        <v>0.92019078914510621</v>
      </c>
      <c r="H144" s="409" t="b">
        <f>Wh_hp&gt;='2023'!Maxi_hp</f>
        <v>0</v>
      </c>
      <c r="I144" s="375">
        <f>IF(H144,Wh_hp,'2023'!Maxi_hp)</f>
        <v>225.95994154835185</v>
      </c>
      <c r="J144" s="85">
        <f>IF(H144,An,'2023'!An_max)</f>
        <v>2022</v>
      </c>
      <c r="K144" s="193">
        <f t="shared" si="52"/>
        <v>45421</v>
      </c>
      <c r="L144" s="143">
        <f>IF(t&lt;Tvie,1-EXP((T0-t)*PertePVj)+'2023'!Pspv,1-EXP((T0-t)*PertePVj)+Pspv)</f>
        <v>1.355547195387008E-2</v>
      </c>
      <c r="M144" s="835"/>
      <c r="N144" s="835"/>
      <c r="O144" s="48">
        <f>IF(t&lt;Tnet,'2023'!Resal+('2023'!Salim-'2023'!Resal)*(1-EXP(('2023'!Tnet-t)/('2023'!Tau_j))),Resal+(Salim-Resal)*(1-EXP((Tnet-t)/(Tau_j))))*Salcycl</f>
        <v>1.1120867368798101E-2</v>
      </c>
      <c r="P144" s="165">
        <f>(INDEX(Models!$BJ144:$BT144,,T144)*(1-R144)+INDEX(Models!$BJ144:$BT144,,T144+1)*R144-ERP_i)*Q144*Ramure*Pc/MaxiM</f>
        <v>9.1414451318897567E-5</v>
      </c>
      <c r="Q144" s="301">
        <f t="shared" si="53"/>
        <v>0.5</v>
      </c>
      <c r="R144" s="173">
        <f t="shared" si="54"/>
        <v>9.8310226814095181E-2</v>
      </c>
      <c r="S144" s="801">
        <f t="shared" si="55"/>
        <v>1</v>
      </c>
      <c r="T144" s="172">
        <f t="shared" si="56"/>
        <v>7</v>
      </c>
      <c r="U144" s="247">
        <f t="shared" si="57"/>
        <v>1.0983102268140952</v>
      </c>
      <c r="V144" s="378">
        <f t="shared" si="58"/>
        <v>239.51110572469406</v>
      </c>
      <c r="W144" s="397">
        <f t="shared" si="59"/>
        <v>220.39821038522948</v>
      </c>
      <c r="X144" s="153">
        <f t="shared" si="60"/>
        <v>45421</v>
      </c>
      <c r="Y144" s="380">
        <f t="shared" si="61"/>
        <v>211.990289184147</v>
      </c>
      <c r="Z144" s="380">
        <f t="shared" si="62"/>
        <v>214.90340628077723</v>
      </c>
      <c r="AA144" s="381">
        <f t="shared" si="63"/>
        <v>225.93951034268167</v>
      </c>
      <c r="AB144" s="193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4.8845392490963743E-2</v>
      </c>
      <c r="AD144" s="227">
        <f>(INDEX(Models!$BJ144:$BT144,,AH144)*(1-AF144)+INDEX(Models!$BJ144:$BT144,,AH144+1)*AF144-ERP_i)*AE144*Ramure*Pc/MaxiM</f>
        <v>9.1414451318897567E-5</v>
      </c>
      <c r="AE144" s="301">
        <f t="shared" si="65"/>
        <v>0.5</v>
      </c>
      <c r="AF144" s="173">
        <f t="shared" si="66"/>
        <v>9.8310226814095181E-2</v>
      </c>
      <c r="AG144" s="801">
        <f t="shared" ref="AG144:AG207" si="74">INDEX(Echel_vg,AH144)</f>
        <v>1</v>
      </c>
      <c r="AH144" s="172">
        <f t="shared" si="67"/>
        <v>7</v>
      </c>
      <c r="AI144" s="221">
        <f t="shared" si="68"/>
        <v>1.0983102268140952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customHeight="1" x14ac:dyDescent="0.2">
      <c r="A145" s="56">
        <f t="shared" si="71"/>
        <v>45422</v>
      </c>
      <c r="B145" s="406">
        <f>'2023'!Wh/'2023'!Env_an*'2024'!Env_an</f>
        <v>237.38826655541627</v>
      </c>
      <c r="C145" s="385"/>
      <c r="D145" s="388">
        <f t="shared" si="50"/>
        <v>240.65369059943734</v>
      </c>
      <c r="E145" s="380">
        <f t="shared" si="72"/>
        <v>243.38073283120065</v>
      </c>
      <c r="F145" s="380">
        <f t="shared" si="51"/>
        <v>243.40267017104657</v>
      </c>
      <c r="G145" s="110">
        <f t="shared" si="73"/>
        <v>0.98970822729826902</v>
      </c>
      <c r="H145" s="409" t="b">
        <f>Wh_hp&gt;='2023'!Maxi_hp</f>
        <v>0</v>
      </c>
      <c r="I145" s="375">
        <f>IF(H145,Wh_hp,'2023'!Maxi_hp)</f>
        <v>243.40296531394188</v>
      </c>
      <c r="J145" s="85">
        <f>IF(H145,An,'2023'!An_max)</f>
        <v>2022</v>
      </c>
      <c r="K145" s="193">
        <f t="shared" si="52"/>
        <v>45422</v>
      </c>
      <c r="L145" s="143">
        <f>IF(t&lt;Tvie,1-EXP((T0-t)*PertePVj)+'2023'!Pspv,1-EXP((T0-t)*PertePVj)+Pspv)</f>
        <v>1.3568975551080609E-2</v>
      </c>
      <c r="M145" s="835"/>
      <c r="N145" s="835"/>
      <c r="O145" s="48">
        <f>IF(t&lt;Tnet,'2023'!Resal+('2023'!Salim-'2023'!Resal)*(1-EXP(('2023'!Tnet-t)/('2023'!Tau_j))),Resal+(Salim-Resal)*(1-EXP((Tnet-t)/(Tau_j))))*Salcycl</f>
        <v>1.1204840251897238E-2</v>
      </c>
      <c r="P145" s="165">
        <f>(INDEX(Models!$BJ145:$BT145,,T145)*(1-R145)+INDEX(Models!$BJ145:$BT145,,T145+1)*R145-ERP_i)*Q145*Ramure*Pc/MaxiM</f>
        <v>9.1472472956115862E-5</v>
      </c>
      <c r="Q145" s="301">
        <f t="shared" si="53"/>
        <v>0.5</v>
      </c>
      <c r="R145" s="173">
        <f t="shared" si="54"/>
        <v>0.10186652787245953</v>
      </c>
      <c r="S145" s="801">
        <f t="shared" si="55"/>
        <v>1</v>
      </c>
      <c r="T145" s="172">
        <f t="shared" si="56"/>
        <v>7</v>
      </c>
      <c r="U145" s="247">
        <f t="shared" si="57"/>
        <v>1.1018665278724595</v>
      </c>
      <c r="V145" s="378">
        <f t="shared" si="58"/>
        <v>239.85649584619438</v>
      </c>
      <c r="W145" s="397">
        <f t="shared" si="59"/>
        <v>237.38826655541627</v>
      </c>
      <c r="X145" s="153">
        <f t="shared" si="60"/>
        <v>45422</v>
      </c>
      <c r="Y145" s="380">
        <f t="shared" si="61"/>
        <v>228.33564615127969</v>
      </c>
      <c r="Z145" s="380">
        <f t="shared" si="62"/>
        <v>231.47654574108913</v>
      </c>
      <c r="AA145" s="381">
        <f t="shared" si="63"/>
        <v>243.38073283120065</v>
      </c>
      <c r="AB145" s="193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4.8911789161091075E-2</v>
      </c>
      <c r="AD145" s="227">
        <f>(INDEX(Models!$BJ145:$BT145,,AH145)*(1-AF145)+INDEX(Models!$BJ145:$BT145,,AH145+1)*AF145-ERP_i)*AE145*Ramure*Pc/MaxiM</f>
        <v>9.1472472956115862E-5</v>
      </c>
      <c r="AE145" s="301">
        <f t="shared" si="65"/>
        <v>0.5</v>
      </c>
      <c r="AF145" s="173">
        <f t="shared" si="66"/>
        <v>0.10186652787245953</v>
      </c>
      <c r="AG145" s="801">
        <f t="shared" si="74"/>
        <v>1</v>
      </c>
      <c r="AH145" s="172">
        <f t="shared" si="67"/>
        <v>7</v>
      </c>
      <c r="AI145" s="221">
        <f t="shared" si="68"/>
        <v>1.1018665278724595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customHeight="1" x14ac:dyDescent="0.2">
      <c r="A146" s="56">
        <f t="shared" si="71"/>
        <v>45423</v>
      </c>
      <c r="B146" s="406">
        <f>'2023'!Wh/'2023'!Env_an*'2024'!Env_an</f>
        <v>178.30077800897058</v>
      </c>
      <c r="C146" s="385"/>
      <c r="D146" s="388">
        <f t="shared" si="50"/>
        <v>180.75589109731746</v>
      </c>
      <c r="E146" s="380">
        <f t="shared" si="72"/>
        <v>182.81973119012369</v>
      </c>
      <c r="F146" s="380">
        <f t="shared" si="51"/>
        <v>182.83029828054708</v>
      </c>
      <c r="G146" s="110">
        <f t="shared" si="73"/>
        <v>0.74230646311444526</v>
      </c>
      <c r="H146" s="409" t="b">
        <f>Wh_hp&gt;='2023'!Maxi_hp</f>
        <v>0</v>
      </c>
      <c r="I146" s="375">
        <f>IF(H146,Wh_hp,'2023'!Maxi_hp)</f>
        <v>182.83583092034419</v>
      </c>
      <c r="J146" s="85">
        <f>IF(H146,An,'2023'!An_max)</f>
        <v>2022</v>
      </c>
      <c r="K146" s="193">
        <f t="shared" si="52"/>
        <v>45423</v>
      </c>
      <c r="L146" s="143">
        <f>IF(t&lt;Tvie,1-EXP((T0-t)*PertePVj)+'2023'!Pspv,1-EXP((T0-t)*PertePVj)+Pspv)</f>
        <v>1.3582478963438338E-2</v>
      </c>
      <c r="M146" s="835"/>
      <c r="N146" s="835"/>
      <c r="O146" s="48">
        <f>IF(t&lt;Tnet,'2023'!Resal+('2023'!Salim-'2023'!Resal)*(1-EXP(('2023'!Tnet-t)/('2023'!Tau_j))),Resal+(Salim-Resal)*(1-EXP((Tnet-t)/(Tau_j))))*Salcycl</f>
        <v>1.1288935167834467E-2</v>
      </c>
      <c r="P146" s="165">
        <f>(INDEX(Models!$BJ146:$BT146,,T146)*(1-R146)+INDEX(Models!$BJ146:$BT146,,T146+1)*R146-ERP_i)*Q146*Ramure*Pc/MaxiM</f>
        <v>9.1465532994618797E-5</v>
      </c>
      <c r="Q146" s="301">
        <f t="shared" si="53"/>
        <v>0.5</v>
      </c>
      <c r="R146" s="173">
        <f t="shared" si="54"/>
        <v>0.10550391552028815</v>
      </c>
      <c r="S146" s="801">
        <f t="shared" si="55"/>
        <v>1</v>
      </c>
      <c r="T146" s="172">
        <f t="shared" si="56"/>
        <v>7</v>
      </c>
      <c r="U146" s="247">
        <f t="shared" si="57"/>
        <v>1.1055039155202881</v>
      </c>
      <c r="V146" s="378">
        <f t="shared" si="58"/>
        <v>240.19024950260416</v>
      </c>
      <c r="W146" s="397">
        <f t="shared" si="59"/>
        <v>178.30077800897058</v>
      </c>
      <c r="X146" s="153">
        <f t="shared" si="60"/>
        <v>45423</v>
      </c>
      <c r="Y146" s="380">
        <f t="shared" si="61"/>
        <v>171.50394052208389</v>
      </c>
      <c r="Z146" s="380">
        <f t="shared" si="62"/>
        <v>173.86546453662098</v>
      </c>
      <c r="AA146" s="381">
        <f t="shared" si="63"/>
        <v>182.81973119012369</v>
      </c>
      <c r="AB146" s="193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4.8978666554272049E-2</v>
      </c>
      <c r="AD146" s="227">
        <f>(INDEX(Models!$BJ146:$BT146,,AH146)*(1-AF146)+INDEX(Models!$BJ146:$BT146,,AH146+1)*AF146-ERP_i)*AE146*Ramure*Pc/MaxiM</f>
        <v>9.1465532994618797E-5</v>
      </c>
      <c r="AE146" s="301">
        <f t="shared" si="65"/>
        <v>0.5</v>
      </c>
      <c r="AF146" s="173">
        <f t="shared" si="66"/>
        <v>0.10550391552028815</v>
      </c>
      <c r="AG146" s="801">
        <f t="shared" si="74"/>
        <v>1</v>
      </c>
      <c r="AH146" s="172">
        <f t="shared" si="67"/>
        <v>7</v>
      </c>
      <c r="AI146" s="221">
        <f t="shared" si="68"/>
        <v>1.1055039155202881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customHeight="1" x14ac:dyDescent="0.2">
      <c r="A147" s="56">
        <f t="shared" si="71"/>
        <v>45424</v>
      </c>
      <c r="B147" s="406">
        <f>'2023'!Wh/'2023'!Env_an*'2024'!Env_an</f>
        <v>169.42279740470207</v>
      </c>
      <c r="C147" s="385"/>
      <c r="D147" s="388">
        <f t="shared" si="50"/>
        <v>171.7580163359579</v>
      </c>
      <c r="E147" s="380">
        <f t="shared" si="72"/>
        <v>173.73391793501514</v>
      </c>
      <c r="F147" s="380">
        <f t="shared" si="51"/>
        <v>173.74309163858297</v>
      </c>
      <c r="G147" s="110">
        <f t="shared" si="73"/>
        <v>0.70439571285054225</v>
      </c>
      <c r="H147" s="409" t="b">
        <f>Wh_hp&gt;='2023'!Maxi_hp</f>
        <v>0</v>
      </c>
      <c r="I147" s="375">
        <f>IF(H147,Wh_hp,'2023'!Maxi_hp)</f>
        <v>173.74909777889465</v>
      </c>
      <c r="J147" s="85">
        <f>IF(H147,An,'2023'!An_max)</f>
        <v>2022</v>
      </c>
      <c r="K147" s="193">
        <f t="shared" si="52"/>
        <v>45424</v>
      </c>
      <c r="L147" s="143">
        <f>IF(t&lt;Tvie,1-EXP((T0-t)*PertePVj)+'2023'!Pspv,1-EXP((T0-t)*PertePVj)+Pspv)</f>
        <v>1.3595982190945599E-2</v>
      </c>
      <c r="M147" s="835"/>
      <c r="N147" s="835"/>
      <c r="O147" s="48">
        <f>IF(t&lt;Tnet,'2023'!Resal+('2023'!Salim-'2023'!Resal)*(1-EXP(('2023'!Tnet-t)/('2023'!Tau_j))),Resal+(Salim-Resal)*(1-EXP((Tnet-t)/(Tau_j))))*Salcycl</f>
        <v>1.1373148217357968E-2</v>
      </c>
      <c r="P147" s="165">
        <f>(INDEX(Models!$BJ147:$BT147,,T147)*(1-R147)+INDEX(Models!$BJ147:$BT147,,T147+1)*R147-ERP_i)*Q147*Ramure*Pc/MaxiM</f>
        <v>9.1390164837613547E-5</v>
      </c>
      <c r="Q147" s="301">
        <f t="shared" si="53"/>
        <v>0.5</v>
      </c>
      <c r="R147" s="173">
        <f t="shared" si="54"/>
        <v>0.10922201864574022</v>
      </c>
      <c r="S147" s="801">
        <f t="shared" si="55"/>
        <v>1</v>
      </c>
      <c r="T147" s="172">
        <f t="shared" si="56"/>
        <v>7</v>
      </c>
      <c r="U147" s="247">
        <f t="shared" si="57"/>
        <v>1.1092220186457402</v>
      </c>
      <c r="V147" s="378">
        <f t="shared" si="58"/>
        <v>240.5129048654122</v>
      </c>
      <c r="W147" s="397">
        <f t="shared" si="59"/>
        <v>169.42279740470207</v>
      </c>
      <c r="X147" s="153">
        <f t="shared" si="60"/>
        <v>45424</v>
      </c>
      <c r="Y147" s="380">
        <f t="shared" si="61"/>
        <v>162.96673176151836</v>
      </c>
      <c r="Z147" s="380">
        <f t="shared" si="62"/>
        <v>165.21296428160437</v>
      </c>
      <c r="AA147" s="381">
        <f t="shared" si="63"/>
        <v>173.73391793501514</v>
      </c>
      <c r="AB147" s="193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4.9045999507119978E-2</v>
      </c>
      <c r="AD147" s="227">
        <f>(INDEX(Models!$BJ147:$BT147,,AH147)*(1-AF147)+INDEX(Models!$BJ147:$BT147,,AH147+1)*AF147-ERP_i)*AE147*Ramure*Pc/MaxiM</f>
        <v>9.1390164837613547E-5</v>
      </c>
      <c r="AE147" s="301">
        <f t="shared" si="65"/>
        <v>0.5</v>
      </c>
      <c r="AF147" s="173">
        <f t="shared" si="66"/>
        <v>0.10922201864574022</v>
      </c>
      <c r="AG147" s="801">
        <f t="shared" si="74"/>
        <v>1</v>
      </c>
      <c r="AH147" s="172">
        <f t="shared" si="67"/>
        <v>7</v>
      </c>
      <c r="AI147" s="221">
        <f t="shared" si="68"/>
        <v>1.1092220186457402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customHeight="1" x14ac:dyDescent="0.2">
      <c r="A148" s="56">
        <f t="shared" si="71"/>
        <v>45425</v>
      </c>
      <c r="B148" s="406">
        <f>'2023'!Wh/'2023'!Env_an*'2024'!Env_an</f>
        <v>209.03135981437052</v>
      </c>
      <c r="C148" s="385"/>
      <c r="D148" s="388">
        <f t="shared" si="50"/>
        <v>211.91541958802699</v>
      </c>
      <c r="E148" s="380">
        <f t="shared" si="72"/>
        <v>214.37157656028438</v>
      </c>
      <c r="F148" s="380">
        <f t="shared" si="51"/>
        <v>214.38744860828299</v>
      </c>
      <c r="G148" s="110">
        <f t="shared" si="73"/>
        <v>0.86796537898090276</v>
      </c>
      <c r="H148" s="409" t="b">
        <f>Wh_hp&gt;='2023'!Maxi_hp</f>
        <v>0</v>
      </c>
      <c r="I148" s="375">
        <f>IF(H148,Wh_hp,'2023'!Maxi_hp)</f>
        <v>214.39074224471946</v>
      </c>
      <c r="J148" s="85">
        <f>IF(H148,An,'2023'!An_max)</f>
        <v>2022</v>
      </c>
      <c r="K148" s="193">
        <f t="shared" si="52"/>
        <v>45425</v>
      </c>
      <c r="L148" s="143">
        <f>IF(t&lt;Tvie,1-EXP((T0-t)*PertePVj)+'2023'!Pspv,1-EXP((T0-t)*PertePVj)+Pspv)</f>
        <v>1.3609485233605056E-2</v>
      </c>
      <c r="M148" s="835"/>
      <c r="N148" s="835"/>
      <c r="O148" s="48">
        <f>IF(t&lt;Tnet,'2023'!Resal+('2023'!Salim-'2023'!Resal)*(1-EXP(('2023'!Tnet-t)/('2023'!Tau_j))),Resal+(Salim-Resal)*(1-EXP((Tnet-t)/(Tau_j))))*Salcycl</f>
        <v>1.1457474967847221E-2</v>
      </c>
      <c r="P148" s="165">
        <f>(INDEX(Models!$BJ148:$BT148,,T148)*(1-R148)+INDEX(Models!$BJ148:$BT148,,T148+1)*R148-ERP_i)*Q148*Ramure*Pc/MaxiM</f>
        <v>9.1242750150221852E-5</v>
      </c>
      <c r="Q148" s="301">
        <f t="shared" si="53"/>
        <v>0.5</v>
      </c>
      <c r="R148" s="173">
        <f t="shared" si="54"/>
        <v>0.11302031021134273</v>
      </c>
      <c r="S148" s="801">
        <f t="shared" si="55"/>
        <v>1</v>
      </c>
      <c r="T148" s="172">
        <f t="shared" si="56"/>
        <v>7</v>
      </c>
      <c r="U148" s="247">
        <f t="shared" si="57"/>
        <v>1.1130203102113427</v>
      </c>
      <c r="V148" s="378">
        <f t="shared" si="58"/>
        <v>240.82500008290822</v>
      </c>
      <c r="W148" s="397">
        <f t="shared" si="59"/>
        <v>209.03135981437052</v>
      </c>
      <c r="X148" s="153">
        <f t="shared" si="60"/>
        <v>45425</v>
      </c>
      <c r="Y148" s="380">
        <f t="shared" si="61"/>
        <v>201.06878408245453</v>
      </c>
      <c r="Z148" s="380">
        <f t="shared" si="62"/>
        <v>203.84298213783339</v>
      </c>
      <c r="AA148" s="381">
        <f t="shared" si="63"/>
        <v>214.37157656028438</v>
      </c>
      <c r="AB148" s="193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4.9113761214935138E-2</v>
      </c>
      <c r="AD148" s="227">
        <f>(INDEX(Models!$BJ148:$BT148,,AH148)*(1-AF148)+INDEX(Models!$BJ148:$BT148,,AH148+1)*AF148-ERP_i)*AE148*Ramure*Pc/MaxiM</f>
        <v>9.1242750150221852E-5</v>
      </c>
      <c r="AE148" s="301">
        <f t="shared" si="65"/>
        <v>0.5</v>
      </c>
      <c r="AF148" s="173">
        <f t="shared" si="66"/>
        <v>0.11302031021134273</v>
      </c>
      <c r="AG148" s="801">
        <f t="shared" si="74"/>
        <v>1</v>
      </c>
      <c r="AH148" s="172">
        <f t="shared" si="67"/>
        <v>7</v>
      </c>
      <c r="AI148" s="221">
        <f t="shared" si="68"/>
        <v>1.1130203102113427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customHeight="1" x14ac:dyDescent="0.2">
      <c r="A149" s="56">
        <f t="shared" si="71"/>
        <v>45426</v>
      </c>
      <c r="B149" s="406">
        <f>'2023'!Wh/'2023'!Env_an*'2024'!Env_an</f>
        <v>219.93451160038825</v>
      </c>
      <c r="C149" s="385"/>
      <c r="D149" s="388">
        <f t="shared" si="50"/>
        <v>222.97205728145272</v>
      </c>
      <c r="E149" s="380">
        <f t="shared" si="72"/>
        <v>225.57563101412276</v>
      </c>
      <c r="F149" s="380">
        <f t="shared" si="51"/>
        <v>225.59358679039391</v>
      </c>
      <c r="G149" s="110">
        <f t="shared" si="73"/>
        <v>0.91210938638262551</v>
      </c>
      <c r="H149" s="409" t="b">
        <f>Wh_hp&gt;='2023'!Maxi_hp</f>
        <v>0</v>
      </c>
      <c r="I149" s="375">
        <f>IF(H149,Wh_hp,'2023'!Maxi_hp)</f>
        <v>225.59588021543425</v>
      </c>
      <c r="J149" s="85">
        <f>IF(H149,An,'2023'!An_max)</f>
        <v>2022</v>
      </c>
      <c r="K149" s="193">
        <f t="shared" si="52"/>
        <v>45426</v>
      </c>
      <c r="L149" s="143">
        <f>IF(t&lt;Tvie,1-EXP((T0-t)*PertePVj)+'2023'!Pspv,1-EXP((T0-t)*PertePVj)+Pspv)</f>
        <v>1.3622988091419153E-2</v>
      </c>
      <c r="M149" s="835"/>
      <c r="N149" s="835"/>
      <c r="O149" s="48">
        <f>IF(t&lt;Tnet,'2023'!Resal+('2023'!Salim-'2023'!Resal)*(1-EXP(('2023'!Tnet-t)/('2023'!Tau_j))),Resal+(Salim-Resal)*(1-EXP((Tnet-t)/(Tau_j))))*Salcycl</f>
        <v>1.1541910449125829E-2</v>
      </c>
      <c r="P149" s="165">
        <f>(INDEX(Models!$BJ149:$BT149,,T149)*(1-R149)+INDEX(Models!$BJ149:$BT149,,T149+1)*R149-ERP_i)*Q149*Ramure*Pc/MaxiM</f>
        <v>9.1020463224100319E-5</v>
      </c>
      <c r="Q149" s="301">
        <f t="shared" si="53"/>
        <v>0.5</v>
      </c>
      <c r="R149" s="173">
        <f t="shared" si="54"/>
        <v>0.11689810192638239</v>
      </c>
      <c r="S149" s="801">
        <f t="shared" si="55"/>
        <v>1</v>
      </c>
      <c r="T149" s="172">
        <f t="shared" si="56"/>
        <v>7</v>
      </c>
      <c r="U149" s="247">
        <f t="shared" si="57"/>
        <v>1.1168981019263824</v>
      </c>
      <c r="V149" s="378">
        <f t="shared" si="58"/>
        <v>241.12458603489927</v>
      </c>
      <c r="W149" s="397">
        <f t="shared" si="59"/>
        <v>219.93451160038825</v>
      </c>
      <c r="X149" s="153">
        <f t="shared" si="60"/>
        <v>45426</v>
      </c>
      <c r="Y149" s="380">
        <f t="shared" si="61"/>
        <v>211.55951025093154</v>
      </c>
      <c r="Z149" s="380">
        <f t="shared" si="62"/>
        <v>214.48138764059036</v>
      </c>
      <c r="AA149" s="381">
        <f t="shared" si="63"/>
        <v>225.57563101412276</v>
      </c>
      <c r="AB149" s="193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4.9181923258535987E-2</v>
      </c>
      <c r="AD149" s="227">
        <f>(INDEX(Models!$BJ149:$BT149,,AH149)*(1-AF149)+INDEX(Models!$BJ149:$BT149,,AH149+1)*AF149-ERP_i)*AE149*Ramure*Pc/MaxiM</f>
        <v>9.1020463224100319E-5</v>
      </c>
      <c r="AE149" s="301">
        <f t="shared" si="65"/>
        <v>0.5</v>
      </c>
      <c r="AF149" s="173">
        <f t="shared" si="66"/>
        <v>0.11689810192638239</v>
      </c>
      <c r="AG149" s="801">
        <f t="shared" si="74"/>
        <v>1</v>
      </c>
      <c r="AH149" s="172">
        <f t="shared" si="67"/>
        <v>7</v>
      </c>
      <c r="AI149" s="221">
        <f t="shared" si="68"/>
        <v>1.1168981019263824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customHeight="1" x14ac:dyDescent="0.2">
      <c r="A150" s="56">
        <f t="shared" si="71"/>
        <v>45427</v>
      </c>
      <c r="B150" s="406">
        <f>'2023'!Wh/'2023'!Env_an*'2024'!Env_an</f>
        <v>212.68754810883897</v>
      </c>
      <c r="C150" s="385"/>
      <c r="D150" s="388">
        <f t="shared" si="50"/>
        <v>215.62795674959929</v>
      </c>
      <c r="E150" s="380">
        <f t="shared" si="72"/>
        <v>218.16443445346894</v>
      </c>
      <c r="F150" s="380">
        <f t="shared" si="51"/>
        <v>218.18086013726847</v>
      </c>
      <c r="G150" s="110">
        <f t="shared" si="73"/>
        <v>0.88100955372867074</v>
      </c>
      <c r="H150" s="409" t="b">
        <f>Wh_hp&gt;='2023'!Maxi_hp</f>
        <v>0</v>
      </c>
      <c r="I150" s="375">
        <f>IF(H150,Wh_hp,'2023'!Maxi_hp)</f>
        <v>218.18384203188552</v>
      </c>
      <c r="J150" s="85">
        <f>IF(H150,An,'2023'!An_max)</f>
        <v>2022</v>
      </c>
      <c r="K150" s="193">
        <f t="shared" si="52"/>
        <v>45427</v>
      </c>
      <c r="L150" s="143">
        <f>IF(t&lt;Tvie,1-EXP((T0-t)*PertePVj)+'2023'!Pspv,1-EXP((T0-t)*PertePVj)+Pspv)</f>
        <v>1.3636490764390552E-2</v>
      </c>
      <c r="M150" s="835"/>
      <c r="N150" s="835"/>
      <c r="O150" s="48">
        <f>IF(t&lt;Tnet,'2023'!Resal+('2023'!Salim-'2023'!Resal)*(1-EXP(('2023'!Tnet-t)/('2023'!Tau_j))),Resal+(Salim-Resal)*(1-EXP((Tnet-t)/(Tau_j))))*Salcycl</f>
        <v>1.1626449151640491E-2</v>
      </c>
      <c r="P150" s="165">
        <f>(INDEX(Models!$BJ150:$BT150,,T150)*(1-R150)+INDEX(Models!$BJ150:$BT150,,T150+1)*R150-ERP_i)*Q150*Ramure*Pc/MaxiM</f>
        <v>9.0700863579334381E-5</v>
      </c>
      <c r="Q150" s="301">
        <f t="shared" si="53"/>
        <v>0.5</v>
      </c>
      <c r="R150" s="173">
        <f t="shared" si="54"/>
        <v>0.12085453938750845</v>
      </c>
      <c r="S150" s="801">
        <f t="shared" si="55"/>
        <v>1</v>
      </c>
      <c r="T150" s="172">
        <f t="shared" si="56"/>
        <v>7</v>
      </c>
      <c r="U150" s="247">
        <f t="shared" si="57"/>
        <v>1.1208545393875085</v>
      </c>
      <c r="V150" s="378">
        <f t="shared" si="58"/>
        <v>241.40971926913014</v>
      </c>
      <c r="W150" s="397">
        <f t="shared" si="59"/>
        <v>212.68754810883897</v>
      </c>
      <c r="X150" s="153">
        <f t="shared" si="60"/>
        <v>45427</v>
      </c>
      <c r="Y150" s="380">
        <f t="shared" si="61"/>
        <v>204.5912593290202</v>
      </c>
      <c r="Z150" s="380">
        <f t="shared" si="62"/>
        <v>207.41973665223068</v>
      </c>
      <c r="AA150" s="381">
        <f t="shared" si="63"/>
        <v>218.16443445346894</v>
      </c>
      <c r="AB150" s="193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4.925045563982574E-2</v>
      </c>
      <c r="AD150" s="227">
        <f>(INDEX(Models!$BJ150:$BT150,,AH150)*(1-AF150)+INDEX(Models!$BJ150:$BT150,,AH150+1)*AF150-ERP_i)*AE150*Ramure*Pc/MaxiM</f>
        <v>9.0700863579334381E-5</v>
      </c>
      <c r="AE150" s="301">
        <f t="shared" si="65"/>
        <v>0.5</v>
      </c>
      <c r="AF150" s="173">
        <f t="shared" si="66"/>
        <v>0.12085453938750845</v>
      </c>
      <c r="AG150" s="801">
        <f t="shared" si="74"/>
        <v>1</v>
      </c>
      <c r="AH150" s="172">
        <f t="shared" si="67"/>
        <v>7</v>
      </c>
      <c r="AI150" s="221">
        <f t="shared" si="68"/>
        <v>1.1208545393875085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customHeight="1" x14ac:dyDescent="0.2">
      <c r="A151" s="56">
        <f t="shared" si="71"/>
        <v>45428</v>
      </c>
      <c r="B151" s="406">
        <f>'2023'!Wh/'2023'!Env_an*'2024'!Env_an</f>
        <v>231.86161205501546</v>
      </c>
      <c r="C151" s="385"/>
      <c r="D151" s="388">
        <f t="shared" si="50"/>
        <v>235.07032034154565</v>
      </c>
      <c r="E151" s="380">
        <f t="shared" si="72"/>
        <v>237.85587066713487</v>
      </c>
      <c r="F151" s="380">
        <f t="shared" si="51"/>
        <v>237.87610319025541</v>
      </c>
      <c r="G151" s="110">
        <f t="shared" si="73"/>
        <v>0.95936568736009176</v>
      </c>
      <c r="H151" s="409" t="b">
        <f>Wh_hp&gt;='2023'!Maxi_hp</f>
        <v>0</v>
      </c>
      <c r="I151" s="375">
        <f>IF(H151,Wh_hp,'2023'!Maxi_hp)</f>
        <v>237.87720454038168</v>
      </c>
      <c r="J151" s="85">
        <f>IF(H151,An,'2023'!An_max)</f>
        <v>2022</v>
      </c>
      <c r="K151" s="193">
        <f t="shared" si="52"/>
        <v>45428</v>
      </c>
      <c r="L151" s="143">
        <f>IF(t&lt;Tvie,1-EXP((T0-t)*PertePVj)+'2023'!Pspv,1-EXP((T0-t)*PertePVj)+Pspv)</f>
        <v>1.3649993252521586E-2</v>
      </c>
      <c r="M151" s="835"/>
      <c r="N151" s="835"/>
      <c r="O151" s="48">
        <f>IF(t&lt;Tnet,'2023'!Resal+('2023'!Salim-'2023'!Resal)*(1-EXP(('2023'!Tnet-t)/('2023'!Tau_j))),Resal+(Salim-Resal)*(1-EXP((Tnet-t)/(Tau_j))))*Salcycl</f>
        <v>1.1711085027148337E-2</v>
      </c>
      <c r="P151" s="165">
        <f>(INDEX(Models!$BJ151:$BT151,,T151)*(1-R151)+INDEX(Models!$BJ151:$BT151,,T151+1)*R151-ERP_i)*Q151*Ramure*Pc/MaxiM</f>
        <v>9.029581344406596E-5</v>
      </c>
      <c r="Q151" s="301">
        <f t="shared" si="53"/>
        <v>0.5</v>
      </c>
      <c r="R151" s="173">
        <f t="shared" si="54"/>
        <v>0.12488859774748229</v>
      </c>
      <c r="S151" s="801">
        <f t="shared" si="55"/>
        <v>1</v>
      </c>
      <c r="T151" s="172">
        <f t="shared" si="56"/>
        <v>7</v>
      </c>
      <c r="U151" s="247">
        <f t="shared" si="57"/>
        <v>1.1248885977474823</v>
      </c>
      <c r="V151" s="378">
        <f t="shared" si="58"/>
        <v>241.68093547112889</v>
      </c>
      <c r="W151" s="397">
        <f t="shared" si="59"/>
        <v>231.86161205501546</v>
      </c>
      <c r="X151" s="153">
        <f t="shared" si="60"/>
        <v>45428</v>
      </c>
      <c r="Y151" s="380">
        <f t="shared" si="61"/>
        <v>223.03837480322804</v>
      </c>
      <c r="Z151" s="380">
        <f t="shared" si="62"/>
        <v>226.12497924413708</v>
      </c>
      <c r="AA151" s="381">
        <f t="shared" si="63"/>
        <v>237.85587066713487</v>
      </c>
      <c r="AB151" s="193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4.9319326826347265E-2</v>
      </c>
      <c r="AD151" s="227">
        <f>(INDEX(Models!$BJ151:$BT151,,AH151)*(1-AF151)+INDEX(Models!$BJ151:$BT151,,AH151+1)*AF151-ERP_i)*AE151*Ramure*Pc/MaxiM</f>
        <v>9.029581344406596E-5</v>
      </c>
      <c r="AE151" s="301">
        <f t="shared" si="65"/>
        <v>0.5</v>
      </c>
      <c r="AF151" s="173">
        <f t="shared" si="66"/>
        <v>0.12488859774748229</v>
      </c>
      <c r="AG151" s="801">
        <f t="shared" si="74"/>
        <v>1</v>
      </c>
      <c r="AH151" s="172">
        <f t="shared" si="67"/>
        <v>7</v>
      </c>
      <c r="AI151" s="221">
        <f t="shared" si="68"/>
        <v>1.1248885977474823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customHeight="1" x14ac:dyDescent="0.2">
      <c r="A152" s="56">
        <f t="shared" si="71"/>
        <v>45429</v>
      </c>
      <c r="B152" s="406">
        <f>'2023'!Wh/'2023'!Env_an*'2024'!Env_an</f>
        <v>222.68670822815486</v>
      </c>
      <c r="C152" s="385"/>
      <c r="D152" s="388">
        <f t="shared" si="50"/>
        <v>225.7715366153279</v>
      </c>
      <c r="E152" s="380">
        <f t="shared" si="72"/>
        <v>228.4664841951431</v>
      </c>
      <c r="F152" s="380">
        <f t="shared" si="51"/>
        <v>228.48467043208402</v>
      </c>
      <c r="G152" s="110">
        <f t="shared" si="73"/>
        <v>0.92041648169282997</v>
      </c>
      <c r="H152" s="409" t="b">
        <f>Wh_hp&gt;='2023'!Maxi_hp</f>
        <v>0</v>
      </c>
      <c r="I152" s="375">
        <f>IF(H152,Wh_hp,'2023'!Maxi_hp)</f>
        <v>228.48672372776667</v>
      </c>
      <c r="J152" s="85">
        <f>IF(H152,An,'2023'!An_max)</f>
        <v>2022</v>
      </c>
      <c r="K152" s="193">
        <f t="shared" si="52"/>
        <v>45429</v>
      </c>
      <c r="L152" s="143">
        <f>IF(t&lt;Tvie,1-EXP((T0-t)*PertePVj)+'2023'!Pspv,1-EXP((T0-t)*PertePVj)+Pspv)</f>
        <v>1.366349555581492E-2</v>
      </c>
      <c r="M152" s="835"/>
      <c r="N152" s="835"/>
      <c r="O152" s="48">
        <f>IF(t&lt;Tnet,'2023'!Resal+('2023'!Salim-'2023'!Resal)*(1-EXP(('2023'!Tnet-t)/('2023'!Tau_j))),Resal+(Salim-Resal)*(1-EXP((Tnet-t)/(Tau_j))))*Salcycl</f>
        <v>1.179581149204067E-2</v>
      </c>
      <c r="P152" s="165">
        <f>(INDEX(Models!$BJ152:$BT152,,T152)*(1-R152)+INDEX(Models!$BJ152:$BT152,,T152+1)*R152-ERP_i)*Q152*Ramure*Pc/MaxiM</f>
        <v>8.9803634370891992E-5</v>
      </c>
      <c r="Q152" s="301">
        <f t="shared" si="53"/>
        <v>0.5</v>
      </c>
      <c r="R152" s="173">
        <f t="shared" si="54"/>
        <v>0.12899907797143939</v>
      </c>
      <c r="S152" s="801">
        <f t="shared" si="55"/>
        <v>1</v>
      </c>
      <c r="T152" s="172">
        <f t="shared" si="56"/>
        <v>7</v>
      </c>
      <c r="U152" s="247">
        <f t="shared" si="57"/>
        <v>1.1289990779714394</v>
      </c>
      <c r="V152" s="378">
        <f t="shared" si="58"/>
        <v>241.93877353223647</v>
      </c>
      <c r="W152" s="397">
        <f t="shared" si="59"/>
        <v>222.68670822815486</v>
      </c>
      <c r="X152" s="153">
        <f t="shared" si="60"/>
        <v>45429</v>
      </c>
      <c r="Y152" s="380">
        <f t="shared" si="61"/>
        <v>214.21538924169218</v>
      </c>
      <c r="Z152" s="380">
        <f t="shared" si="62"/>
        <v>217.18286637115358</v>
      </c>
      <c r="AA152" s="381">
        <f t="shared" si="63"/>
        <v>228.4664841951431</v>
      </c>
      <c r="AB152" s="193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4.9388503805011898E-2</v>
      </c>
      <c r="AD152" s="227">
        <f>(INDEX(Models!$BJ152:$BT152,,AH152)*(1-AF152)+INDEX(Models!$BJ152:$BT152,,AH152+1)*AF152-ERP_i)*AE152*Ramure*Pc/MaxiM</f>
        <v>8.9803634370891992E-5</v>
      </c>
      <c r="AE152" s="301">
        <f t="shared" si="65"/>
        <v>0.5</v>
      </c>
      <c r="AF152" s="173">
        <f t="shared" si="66"/>
        <v>0.12899907797143939</v>
      </c>
      <c r="AG152" s="801">
        <f t="shared" si="74"/>
        <v>1</v>
      </c>
      <c r="AH152" s="172">
        <f t="shared" si="67"/>
        <v>7</v>
      </c>
      <c r="AI152" s="221">
        <f t="shared" si="68"/>
        <v>1.1289990779714394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customHeight="1" x14ac:dyDescent="0.2">
      <c r="A153" s="56">
        <f t="shared" si="71"/>
        <v>45430</v>
      </c>
      <c r="B153" s="406">
        <f>'2023'!Wh/'2023'!Env_an*'2024'!Env_an</f>
        <v>227.31298184080563</v>
      </c>
      <c r="C153" s="385"/>
      <c r="D153" s="388">
        <f t="shared" si="50"/>
        <v>230.46505181852888</v>
      </c>
      <c r="E153" s="380">
        <f t="shared" si="72"/>
        <v>233.23604092539199</v>
      </c>
      <c r="F153" s="380">
        <f t="shared" si="51"/>
        <v>233.255026998207</v>
      </c>
      <c r="G153" s="110">
        <f t="shared" si="73"/>
        <v>0.93858973505999099</v>
      </c>
      <c r="H153" s="409" t="b">
        <f>Wh_hp&gt;='2023'!Maxi_hp</f>
        <v>0</v>
      </c>
      <c r="I153" s="375">
        <f>IF(H153,Wh_hp,'2023'!Maxi_hp)</f>
        <v>233.25662834485334</v>
      </c>
      <c r="J153" s="85">
        <f>IF(H153,An,'2023'!An_max)</f>
        <v>2022</v>
      </c>
      <c r="K153" s="193">
        <f t="shared" si="52"/>
        <v>45430</v>
      </c>
      <c r="L153" s="143">
        <f>IF(t&lt;Tvie,1-EXP((T0-t)*PertePVj)+'2023'!Pspv,1-EXP((T0-t)*PertePVj)+Pspv)</f>
        <v>1.3676997674273106E-2</v>
      </c>
      <c r="M153" s="835"/>
      <c r="N153" s="835"/>
      <c r="O153" s="48">
        <f>IF(t&lt;Tnet,'2023'!Resal+('2023'!Salim-'2023'!Resal)*(1-EXP(('2023'!Tnet-t)/('2023'!Tau_j))),Resal+(Salim-Resal)*(1-EXP((Tnet-t)/(Tau_j))))*Salcycl</f>
        <v>1.1880621433415124E-2</v>
      </c>
      <c r="P153" s="165">
        <f>(INDEX(Models!$BJ153:$BT153,,T153)*(1-R153)+INDEX(Models!$BJ153:$BT153,,T153+1)*R153-ERP_i)*Q153*Ramure*Pc/MaxiM</f>
        <v>8.9222675148681977E-5</v>
      </c>
      <c r="Q153" s="301">
        <f t="shared" si="53"/>
        <v>0.5</v>
      </c>
      <c r="R153" s="173">
        <f t="shared" si="54"/>
        <v>0.13318460373873586</v>
      </c>
      <c r="S153" s="801">
        <f t="shared" si="55"/>
        <v>1</v>
      </c>
      <c r="T153" s="172">
        <f t="shared" si="56"/>
        <v>7</v>
      </c>
      <c r="U153" s="247">
        <f t="shared" si="57"/>
        <v>1.1331846037387359</v>
      </c>
      <c r="V153" s="378">
        <f t="shared" si="58"/>
        <v>242.18377225491366</v>
      </c>
      <c r="W153" s="397">
        <f t="shared" si="59"/>
        <v>227.31298184080563</v>
      </c>
      <c r="X153" s="153">
        <f t="shared" si="60"/>
        <v>45430</v>
      </c>
      <c r="Y153" s="380">
        <f t="shared" si="61"/>
        <v>218.66846450921972</v>
      </c>
      <c r="Z153" s="380">
        <f t="shared" si="62"/>
        <v>221.70066397478769</v>
      </c>
      <c r="AA153" s="381">
        <f t="shared" si="63"/>
        <v>233.23604092539199</v>
      </c>
      <c r="AB153" s="193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4.9457952145115718E-2</v>
      </c>
      <c r="AD153" s="227">
        <f>(INDEX(Models!$BJ153:$BT153,,AH153)*(1-AF153)+INDEX(Models!$BJ153:$BT153,,AH153+1)*AF153-ERP_i)*AE153*Ramure*Pc/MaxiM</f>
        <v>8.9222675148681977E-5</v>
      </c>
      <c r="AE153" s="301">
        <f t="shared" si="65"/>
        <v>0.5</v>
      </c>
      <c r="AF153" s="173">
        <f t="shared" si="66"/>
        <v>0.13318460373873586</v>
      </c>
      <c r="AG153" s="801">
        <f t="shared" si="74"/>
        <v>1</v>
      </c>
      <c r="AH153" s="172">
        <f t="shared" si="67"/>
        <v>7</v>
      </c>
      <c r="AI153" s="221">
        <f t="shared" si="68"/>
        <v>1.1331846037387359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customHeight="1" x14ac:dyDescent="0.2">
      <c r="A154" s="56">
        <f t="shared" si="71"/>
        <v>45431</v>
      </c>
      <c r="B154" s="406">
        <f>'2023'!Wh/'2023'!Env_an*'2024'!Env_an</f>
        <v>203.88135952125634</v>
      </c>
      <c r="C154" s="385"/>
      <c r="D154" s="388">
        <f t="shared" si="50"/>
        <v>206.71134105491689</v>
      </c>
      <c r="E154" s="380">
        <f t="shared" si="72"/>
        <v>209.21470107068788</v>
      </c>
      <c r="F154" s="380">
        <f t="shared" si="51"/>
        <v>209.22902118105713</v>
      </c>
      <c r="G154" s="110">
        <f t="shared" si="73"/>
        <v>0.84102065785020153</v>
      </c>
      <c r="H154" s="409" t="b">
        <f>Wh_hp&gt;='2023'!Maxi_hp</f>
        <v>0</v>
      </c>
      <c r="I154" s="375">
        <f>IF(H154,Wh_hp,'2023'!Maxi_hp)</f>
        <v>209.23269880862148</v>
      </c>
      <c r="J154" s="85">
        <f>IF(H154,An,'2023'!An_max)</f>
        <v>2022</v>
      </c>
      <c r="K154" s="193">
        <f t="shared" si="52"/>
        <v>45431</v>
      </c>
      <c r="L154" s="143">
        <f>IF(t&lt;Tvie,1-EXP((T0-t)*PertePVj)+'2023'!Pspv,1-EXP((T0-t)*PertePVj)+Pspv)</f>
        <v>1.3690499607898698E-2</v>
      </c>
      <c r="M154" s="835"/>
      <c r="N154" s="835"/>
      <c r="O154" s="48">
        <f>IF(t&lt;Tnet,'2023'!Resal+('2023'!Salim-'2023'!Resal)*(1-EXP(('2023'!Tnet-t)/('2023'!Tau_j))),Resal+(Salim-Resal)*(1-EXP((Tnet-t)/(Tau_j))))*Salcycl</f>
        <v>1.1965507217990242E-2</v>
      </c>
      <c r="P154" s="165">
        <f>(INDEX(Models!$BJ154:$BT154,,T154)*(1-R154)+INDEX(Models!$BJ154:$BT154,,T154+1)*R154-ERP_i)*Q154*Ramure*Pc/MaxiM</f>
        <v>8.8551323555954842E-5</v>
      </c>
      <c r="Q154" s="301">
        <f t="shared" si="53"/>
        <v>0.5</v>
      </c>
      <c r="R154" s="173">
        <f t="shared" si="54"/>
        <v>0.13744361904639657</v>
      </c>
      <c r="S154" s="801">
        <f t="shared" si="55"/>
        <v>1</v>
      </c>
      <c r="T154" s="172">
        <f t="shared" si="56"/>
        <v>7</v>
      </c>
      <c r="U154" s="247">
        <f t="shared" si="57"/>
        <v>1.1374436190463966</v>
      </c>
      <c r="V154" s="378">
        <f t="shared" si="58"/>
        <v>242.41647036564007</v>
      </c>
      <c r="W154" s="397">
        <f t="shared" si="59"/>
        <v>203.88135952125634</v>
      </c>
      <c r="X154" s="153">
        <f t="shared" si="60"/>
        <v>45431</v>
      </c>
      <c r="Y154" s="380">
        <f t="shared" si="61"/>
        <v>196.13039743142485</v>
      </c>
      <c r="Z154" s="380">
        <f t="shared" si="62"/>
        <v>198.85279149542251</v>
      </c>
      <c r="AA154" s="381">
        <f t="shared" si="63"/>
        <v>209.21470107068788</v>
      </c>
      <c r="AB154" s="193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4.9527636070681079E-2</v>
      </c>
      <c r="AD154" s="227">
        <f>(INDEX(Models!$BJ154:$BT154,,AH154)*(1-AF154)+INDEX(Models!$BJ154:$BT154,,AH154+1)*AF154-ERP_i)*AE154*Ramure*Pc/MaxiM</f>
        <v>8.8551323555954842E-5</v>
      </c>
      <c r="AE154" s="301">
        <f t="shared" si="65"/>
        <v>0.5</v>
      </c>
      <c r="AF154" s="173">
        <f t="shared" si="66"/>
        <v>0.13744361904639657</v>
      </c>
      <c r="AG154" s="801">
        <f t="shared" si="74"/>
        <v>1</v>
      </c>
      <c r="AH154" s="172">
        <f t="shared" si="67"/>
        <v>7</v>
      </c>
      <c r="AI154" s="221">
        <f t="shared" si="68"/>
        <v>1.1374436190463966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45432</v>
      </c>
      <c r="B155" s="406">
        <f>'2023'!Wh/'2023'!Env_an*'2024'!Env_an</f>
        <v>211.24380092877934</v>
      </c>
      <c r="C155" s="385"/>
      <c r="D155" s="388">
        <f t="shared" si="50"/>
        <v>214.17890898812789</v>
      </c>
      <c r="E155" s="380">
        <f t="shared" si="72"/>
        <v>216.79134456678352</v>
      </c>
      <c r="F155" s="380">
        <f t="shared" si="51"/>
        <v>216.80685962888805</v>
      </c>
      <c r="G155" s="110">
        <f t="shared" si="73"/>
        <v>0.87060101746341212</v>
      </c>
      <c r="H155" s="409" t="b">
        <f>Wh_hp&gt;='2023'!Maxi_hp</f>
        <v>0</v>
      </c>
      <c r="I155" s="375">
        <f>IF(H155,Wh_hp,'2023'!Maxi_hp)</f>
        <v>216.80992389695143</v>
      </c>
      <c r="J155" s="85">
        <f>IF(H155,An,'2023'!An_max)</f>
        <v>2022</v>
      </c>
      <c r="K155" s="193">
        <f t="shared" si="52"/>
        <v>45432</v>
      </c>
      <c r="L155" s="143">
        <f>IF(t&lt;Tvie,1-EXP((T0-t)*PertePVj)+'2023'!Pspv,1-EXP((T0-t)*PertePVj)+Pspv)</f>
        <v>1.3704001356694029E-2</v>
      </c>
      <c r="M155" s="835"/>
      <c r="N155" s="835"/>
      <c r="O155" s="48">
        <f>IF(t&lt;Tnet,'2023'!Resal+('2023'!Salim-'2023'!Resal)*(1-EXP(('2023'!Tnet-t)/('2023'!Tau_j))),Resal+(Salim-Resal)*(1-EXP((Tnet-t)/(Tau_j))))*Salcycl</f>
        <v>1.2050460703936783E-2</v>
      </c>
      <c r="P155" s="165">
        <f>(INDEX(Models!$BJ155:$BT155,,T155)*(1-R155)+INDEX(Models!$BJ155:$BT155,,T155+1)*R155-ERP_i)*Q155*Ramure*Pc/MaxiM</f>
        <v>8.7788018172849734E-5</v>
      </c>
      <c r="Q155" s="301">
        <f t="shared" si="53"/>
        <v>0.5</v>
      </c>
      <c r="R155" s="173">
        <f t="shared" si="54"/>
        <v>0.14177438656733932</v>
      </c>
      <c r="S155" s="801">
        <f t="shared" si="55"/>
        <v>1</v>
      </c>
      <c r="T155" s="172">
        <f t="shared" si="56"/>
        <v>7</v>
      </c>
      <c r="U155" s="247">
        <f t="shared" si="57"/>
        <v>1.1417743865673393</v>
      </c>
      <c r="V155" s="378">
        <f t="shared" si="58"/>
        <v>242.63740649489347</v>
      </c>
      <c r="W155" s="397">
        <f t="shared" si="59"/>
        <v>211.24380092877934</v>
      </c>
      <c r="X155" s="153">
        <f t="shared" si="60"/>
        <v>45432</v>
      </c>
      <c r="Y155" s="380">
        <f t="shared" si="61"/>
        <v>203.21547266307263</v>
      </c>
      <c r="Z155" s="380">
        <f t="shared" si="62"/>
        <v>206.0390318348696</v>
      </c>
      <c r="AA155" s="381">
        <f t="shared" si="63"/>
        <v>216.79134456678352</v>
      </c>
      <c r="AB155" s="193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4.9597518542081991E-2</v>
      </c>
      <c r="AD155" s="227">
        <f>(INDEX(Models!$BJ155:$BT155,,AH155)*(1-AF155)+INDEX(Models!$BJ155:$BT155,,AH155+1)*AF155-ERP_i)*AE155*Ramure*Pc/MaxiM</f>
        <v>8.7788018172849734E-5</v>
      </c>
      <c r="AE155" s="301">
        <f t="shared" si="65"/>
        <v>0.5</v>
      </c>
      <c r="AF155" s="173">
        <f t="shared" si="66"/>
        <v>0.14177438656733932</v>
      </c>
      <c r="AG155" s="801">
        <f t="shared" si="74"/>
        <v>1</v>
      </c>
      <c r="AH155" s="172">
        <f t="shared" si="67"/>
        <v>7</v>
      </c>
      <c r="AI155" s="221">
        <f t="shared" si="68"/>
        <v>1.1417743865673393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customHeight="1" x14ac:dyDescent="0.2">
      <c r="A156" s="56">
        <f t="shared" si="71"/>
        <v>45433</v>
      </c>
      <c r="B156" s="406">
        <f>'2023'!Wh/'2023'!Env_an*'2024'!Env_an</f>
        <v>157.31690005265969</v>
      </c>
      <c r="C156" s="385"/>
      <c r="D156" s="388">
        <f t="shared" si="50"/>
        <v>159.50490910922537</v>
      </c>
      <c r="E156" s="380">
        <f t="shared" si="72"/>
        <v>161.46435547686028</v>
      </c>
      <c r="F156" s="380">
        <f t="shared" si="51"/>
        <v>161.47133202388591</v>
      </c>
      <c r="G156" s="110">
        <f t="shared" si="73"/>
        <v>0.64777388169053052</v>
      </c>
      <c r="H156" s="409" t="b">
        <f>Wh_hp&gt;='2023'!Maxi_hp</f>
        <v>0</v>
      </c>
      <c r="I156" s="375">
        <f>IF(H156,Wh_hp,'2023'!Maxi_hp)</f>
        <v>161.47746440788973</v>
      </c>
      <c r="J156" s="85">
        <f>IF(H156,An,'2023'!An_max)</f>
        <v>2022</v>
      </c>
      <c r="K156" s="193">
        <f t="shared" si="52"/>
        <v>45433</v>
      </c>
      <c r="L156" s="143">
        <f>IF(t&lt;Tvie,1-EXP((T0-t)*PertePVj)+'2023'!Pspv,1-EXP((T0-t)*PertePVj)+Pspv)</f>
        <v>1.3717502920661762E-2</v>
      </c>
      <c r="M156" s="835"/>
      <c r="N156" s="835"/>
      <c r="O156" s="48">
        <f>IF(t&lt;Tnet,'2023'!Resal+('2023'!Salim-'2023'!Resal)*(1-EXP(('2023'!Tnet-t)/('2023'!Tau_j))),Resal+(Salim-Resal)*(1-EXP((Tnet-t)/(Tau_j))))*Salcycl</f>
        <v>1.2135473255679092E-2</v>
      </c>
      <c r="P156" s="165">
        <f>(INDEX(Models!$BJ156:$BT156,,T156)*(1-R156)+INDEX(Models!$BJ156:$BT156,,T156+1)*R156-ERP_i)*Q156*Ramure*Pc/MaxiM</f>
        <v>8.6958248014508578E-5</v>
      </c>
      <c r="Q156" s="301">
        <f t="shared" si="53"/>
        <v>0.5</v>
      </c>
      <c r="R156" s="173">
        <f t="shared" si="54"/>
        <v>0.14617498681289498</v>
      </c>
      <c r="S156" s="801">
        <f t="shared" si="55"/>
        <v>1</v>
      </c>
      <c r="T156" s="172">
        <f t="shared" si="56"/>
        <v>7</v>
      </c>
      <c r="U156" s="247">
        <f t="shared" si="57"/>
        <v>1.146174986812895</v>
      </c>
      <c r="V156" s="378">
        <f t="shared" si="58"/>
        <v>242.84711262658288</v>
      </c>
      <c r="W156" s="397">
        <f t="shared" si="59"/>
        <v>157.31690005265969</v>
      </c>
      <c r="X156" s="153">
        <f t="shared" si="60"/>
        <v>45433</v>
      </c>
      <c r="Y156" s="380">
        <f t="shared" si="61"/>
        <v>151.33993500213563</v>
      </c>
      <c r="Z156" s="380">
        <f t="shared" si="62"/>
        <v>153.44481469588686</v>
      </c>
      <c r="AA156" s="381">
        <f t="shared" si="63"/>
        <v>161.46435547686028</v>
      </c>
      <c r="AB156" s="193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4.9667561346830563E-2</v>
      </c>
      <c r="AD156" s="227">
        <f>(INDEX(Models!$BJ156:$BT156,,AH156)*(1-AF156)+INDEX(Models!$BJ156:$BT156,,AH156+1)*AF156-ERP_i)*AE156*Ramure*Pc/MaxiM</f>
        <v>8.6958248014508578E-5</v>
      </c>
      <c r="AE156" s="301">
        <f t="shared" si="65"/>
        <v>0.5</v>
      </c>
      <c r="AF156" s="173">
        <f t="shared" si="66"/>
        <v>0.14617498681289498</v>
      </c>
      <c r="AG156" s="801">
        <f t="shared" si="74"/>
        <v>1</v>
      </c>
      <c r="AH156" s="172">
        <f t="shared" si="67"/>
        <v>7</v>
      </c>
      <c r="AI156" s="221">
        <f t="shared" si="68"/>
        <v>1.146174986812895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customHeight="1" x14ac:dyDescent="0.2">
      <c r="A157" s="56">
        <f t="shared" si="71"/>
        <v>45434</v>
      </c>
      <c r="B157" s="406">
        <f>'2023'!Wh/'2023'!Env_an*'2024'!Env_an</f>
        <v>74.366236486328518</v>
      </c>
      <c r="C157" s="385"/>
      <c r="D157" s="388">
        <f t="shared" si="50"/>
        <v>75.401575848516529</v>
      </c>
      <c r="E157" s="380">
        <f t="shared" si="72"/>
        <v>76.334423399518855</v>
      </c>
      <c r="F157" s="380">
        <f t="shared" si="51"/>
        <v>76.334479524710162</v>
      </c>
      <c r="G157" s="110">
        <f t="shared" si="73"/>
        <v>0.3059497060179126</v>
      </c>
      <c r="H157" s="409" t="b">
        <f>Wh_hp&gt;='2023'!Maxi_hp</f>
        <v>0</v>
      </c>
      <c r="I157" s="375">
        <f>IF(H157,Wh_hp,'2023'!Maxi_hp)</f>
        <v>76.340118544005392</v>
      </c>
      <c r="J157" s="85">
        <f>IF(H157,An,'2023'!An_max)</f>
        <v>2022</v>
      </c>
      <c r="K157" s="193">
        <f t="shared" si="52"/>
        <v>45434</v>
      </c>
      <c r="L157" s="143">
        <f>IF(t&lt;Tvie,1-EXP((T0-t)*PertePVj)+'2023'!Pspv,1-EXP((T0-t)*PertePVj)+Pspv)</f>
        <v>1.373100429980445E-2</v>
      </c>
      <c r="M157" s="835"/>
      <c r="N157" s="835"/>
      <c r="O157" s="48">
        <f>IF(t&lt;Tnet,'2023'!Resal+('2023'!Salim-'2023'!Resal)*(1-EXP(('2023'!Tnet-t)/('2023'!Tau_j))),Resal+(Salim-Resal)*(1-EXP((Tnet-t)/(Tau_j))))*Salcycl</f>
        <v>1.2220535761696846E-2</v>
      </c>
      <c r="P157" s="165">
        <f>(INDEX(Models!$BJ157:$BT157,,T157)*(1-R157)+INDEX(Models!$BJ157:$BT157,,T157+1)*R157-ERP_i)*Q157*Ramure*Pc/MaxiM</f>
        <v>8.6126465261872399E-5</v>
      </c>
      <c r="Q157" s="301">
        <f t="shared" si="53"/>
        <v>0.5</v>
      </c>
      <c r="R157" s="173">
        <f t="shared" si="54"/>
        <v>0.15064331814466736</v>
      </c>
      <c r="S157" s="801">
        <f t="shared" si="55"/>
        <v>1</v>
      </c>
      <c r="T157" s="172">
        <f t="shared" si="56"/>
        <v>7</v>
      </c>
      <c r="U157" s="247">
        <f t="shared" si="57"/>
        <v>1.1506433181446674</v>
      </c>
      <c r="V157" s="378">
        <f t="shared" si="58"/>
        <v>243.04611116134325</v>
      </c>
      <c r="W157" s="397">
        <f t="shared" si="59"/>
        <v>74.366236486328518</v>
      </c>
      <c r="X157" s="153">
        <f t="shared" si="60"/>
        <v>45434</v>
      </c>
      <c r="Y157" s="380">
        <f t="shared" si="61"/>
        <v>71.541707041213968</v>
      </c>
      <c r="Z157" s="380">
        <f t="shared" si="62"/>
        <v>72.53772282522516</v>
      </c>
      <c r="AA157" s="381">
        <f t="shared" si="63"/>
        <v>76.334423399518855</v>
      </c>
      <c r="AB157" s="193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4.9737725199318537E-2</v>
      </c>
      <c r="AD157" s="227">
        <f>(INDEX(Models!$BJ157:$BT157,,AH157)*(1-AF157)+INDEX(Models!$BJ157:$BT157,,AH157+1)*AF157-ERP_i)*AE157*Ramure*Pc/MaxiM</f>
        <v>8.6126465261872399E-5</v>
      </c>
      <c r="AE157" s="301">
        <f t="shared" si="65"/>
        <v>0.5</v>
      </c>
      <c r="AF157" s="173">
        <f t="shared" si="66"/>
        <v>0.15064331814466736</v>
      </c>
      <c r="AG157" s="801">
        <f t="shared" si="74"/>
        <v>1</v>
      </c>
      <c r="AH157" s="172">
        <f t="shared" si="67"/>
        <v>7</v>
      </c>
      <c r="AI157" s="221">
        <f t="shared" si="68"/>
        <v>1.1506433181446674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customHeight="1" x14ac:dyDescent="0.2">
      <c r="A158" s="56">
        <f t="shared" si="71"/>
        <v>45435</v>
      </c>
      <c r="B158" s="406">
        <f>'2023'!Wh/'2023'!Env_an*'2024'!Env_an</f>
        <v>69.453426190225073</v>
      </c>
      <c r="C158" s="385"/>
      <c r="D158" s="388">
        <f t="shared" si="50"/>
        <v>70.421332582813122</v>
      </c>
      <c r="E158" s="380">
        <f t="shared" si="72"/>
        <v>71.298708729024412</v>
      </c>
      <c r="F158" s="380">
        <f t="shared" si="51"/>
        <v>71.298708729024412</v>
      </c>
      <c r="G158" s="110">
        <f t="shared" si="73"/>
        <v>0.2855161446322636</v>
      </c>
      <c r="H158" s="409" t="b">
        <f>Wh_hp&gt;='2023'!Maxi_hp</f>
        <v>0</v>
      </c>
      <c r="I158" s="375">
        <f>IF(H158,Wh_hp,'2023'!Maxi_hp)</f>
        <v>71.303952619231396</v>
      </c>
      <c r="J158" s="85">
        <f>IF(H158,An,'2023'!An_max)</f>
        <v>2022</v>
      </c>
      <c r="K158" s="193">
        <f t="shared" si="52"/>
        <v>45435</v>
      </c>
      <c r="L158" s="143">
        <f>IF(t&lt;Tvie,1-EXP((T0-t)*PertePVj)+'2023'!Pspv,1-EXP((T0-t)*PertePVj)+Pspv)</f>
        <v>1.3744505494124648E-2</v>
      </c>
      <c r="M158" s="835"/>
      <c r="N158" s="835"/>
      <c r="O158" s="48">
        <f>IF(t&lt;Tnet,'2023'!Resal+('2023'!Salim-'2023'!Resal)*(1-EXP(('2023'!Tnet-t)/('2023'!Tau_j))),Resal+(Salim-Resal)*(1-EXP((Tnet-t)/(Tau_j))))*Salcycl</f>
        <v>1.230563865533415E-2</v>
      </c>
      <c r="P158" s="165">
        <f>(INDEX(Models!$BJ158:$BT158,,T158)*(1-R158)+INDEX(Models!$BJ158:$BT158,,T158+1)*R158-ERP_i)*Q158*Ramure*Pc/MaxiM</f>
        <v>8.5294388742070327E-5</v>
      </c>
      <c r="Q158" s="301">
        <f t="shared" si="53"/>
        <v>0.5</v>
      </c>
      <c r="R158" s="173">
        <f t="shared" si="54"/>
        <v>0.1551770976754967</v>
      </c>
      <c r="S158" s="801">
        <f t="shared" si="55"/>
        <v>1</v>
      </c>
      <c r="T158" s="172">
        <f t="shared" si="56"/>
        <v>7</v>
      </c>
      <c r="U158" s="247">
        <f t="shared" si="57"/>
        <v>1.1551770976754967</v>
      </c>
      <c r="V158" s="378">
        <f t="shared" si="58"/>
        <v>243.23493962885519</v>
      </c>
      <c r="W158" s="397">
        <f t="shared" si="59"/>
        <v>69.453426190225073</v>
      </c>
      <c r="X158" s="153">
        <f t="shared" si="60"/>
        <v>45435</v>
      </c>
      <c r="Y158" s="380">
        <f t="shared" si="61"/>
        <v>66.81630939228144</v>
      </c>
      <c r="Z158" s="380">
        <f t="shared" si="62"/>
        <v>67.747464794360539</v>
      </c>
      <c r="AA158" s="381">
        <f t="shared" si="63"/>
        <v>71.298708729024412</v>
      </c>
      <c r="AB158" s="193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4.9807969849224178E-2</v>
      </c>
      <c r="AD158" s="227">
        <f>(INDEX(Models!$BJ158:$BT158,,AH158)*(1-AF158)+INDEX(Models!$BJ158:$BT158,,AH158+1)*AF158-ERP_i)*AE158*Ramure*Pc/MaxiM</f>
        <v>8.5294388742070327E-5</v>
      </c>
      <c r="AE158" s="301">
        <f t="shared" si="65"/>
        <v>0.5</v>
      </c>
      <c r="AF158" s="173">
        <f t="shared" si="66"/>
        <v>0.1551770976754967</v>
      </c>
      <c r="AG158" s="801">
        <f t="shared" si="74"/>
        <v>1</v>
      </c>
      <c r="AH158" s="172">
        <f t="shared" si="67"/>
        <v>7</v>
      </c>
      <c r="AI158" s="221">
        <f t="shared" si="68"/>
        <v>1.1551770976754967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customHeight="1" x14ac:dyDescent="0.2">
      <c r="A159" s="56">
        <f t="shared" si="71"/>
        <v>45436</v>
      </c>
      <c r="B159" s="406">
        <f>'2023'!Wh/'2023'!Env_an*'2024'!Env_an</f>
        <v>172.34011927864952</v>
      </c>
      <c r="C159" s="385"/>
      <c r="D159" s="388">
        <f t="shared" si="50"/>
        <v>174.74425183182279</v>
      </c>
      <c r="E159" s="380">
        <f t="shared" si="72"/>
        <v>176.93663330265937</v>
      </c>
      <c r="F159" s="380">
        <f t="shared" si="51"/>
        <v>176.94534469451639</v>
      </c>
      <c r="G159" s="110">
        <f t="shared" si="73"/>
        <v>0.70798701495566907</v>
      </c>
      <c r="H159" s="409" t="b">
        <f>Wh_hp&gt;='2023'!Maxi_hp</f>
        <v>0</v>
      </c>
      <c r="I159" s="375">
        <f>IF(H159,Wh_hp,'2023'!Maxi_hp)</f>
        <v>176.95070353905541</v>
      </c>
      <c r="J159" s="85">
        <f>IF(H159,An,'2023'!An_max)</f>
        <v>2022</v>
      </c>
      <c r="K159" s="193">
        <f t="shared" si="52"/>
        <v>45436</v>
      </c>
      <c r="L159" s="143">
        <f>IF(t&lt;Tvie,1-EXP((T0-t)*PertePVj)+'2023'!Pspv,1-EXP((T0-t)*PertePVj)+Pspv)</f>
        <v>1.3758006503624798E-2</v>
      </c>
      <c r="M159" s="835"/>
      <c r="N159" s="835"/>
      <c r="O159" s="48">
        <f>IF(t&lt;Tnet,'2023'!Resal+('2023'!Salim-'2023'!Resal)*(1-EXP(('2023'!Tnet-t)/('2023'!Tau_j))),Resal+(Salim-Resal)*(1-EXP((Tnet-t)/(Tau_j))))*Salcycl</f>
        <v>1.2390771938597918E-2</v>
      </c>
      <c r="P159" s="165">
        <f>(INDEX(Models!$BJ159:$BT159,,T159)*(1-R159)+INDEX(Models!$BJ159:$BT159,,T159+1)*R159-ERP_i)*Q159*Ramure*Pc/MaxiM</f>
        <v>8.4464371288134891E-5</v>
      </c>
      <c r="Q159" s="301">
        <f t="shared" si="53"/>
        <v>0.5</v>
      </c>
      <c r="R159" s="173">
        <f t="shared" si="54"/>
        <v>0.15977386309321395</v>
      </c>
      <c r="S159" s="801">
        <f t="shared" si="55"/>
        <v>1</v>
      </c>
      <c r="T159" s="172">
        <f t="shared" si="56"/>
        <v>7</v>
      </c>
      <c r="U159" s="247">
        <f t="shared" si="57"/>
        <v>1.159773863093214</v>
      </c>
      <c r="V159" s="378">
        <f t="shared" si="58"/>
        <v>243.41413529679352</v>
      </c>
      <c r="W159" s="397">
        <f t="shared" si="59"/>
        <v>172.34011927864952</v>
      </c>
      <c r="X159" s="153">
        <f t="shared" si="60"/>
        <v>45436</v>
      </c>
      <c r="Y159" s="380">
        <f t="shared" si="61"/>
        <v>165.79846598045225</v>
      </c>
      <c r="Z159" s="380">
        <f t="shared" si="62"/>
        <v>168.11134292981373</v>
      </c>
      <c r="AA159" s="381">
        <f t="shared" si="63"/>
        <v>176.93663330265937</v>
      </c>
      <c r="AB159" s="193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4.9878254198210847E-2</v>
      </c>
      <c r="AD159" s="227">
        <f>(INDEX(Models!$BJ159:$BT159,,AH159)*(1-AF159)+INDEX(Models!$BJ159:$BT159,,AH159+1)*AF159-ERP_i)*AE159*Ramure*Pc/MaxiM</f>
        <v>8.4464371288134891E-5</v>
      </c>
      <c r="AE159" s="301">
        <f t="shared" si="65"/>
        <v>0.5</v>
      </c>
      <c r="AF159" s="173">
        <f t="shared" si="66"/>
        <v>0.15977386309321395</v>
      </c>
      <c r="AG159" s="801">
        <f t="shared" si="74"/>
        <v>1</v>
      </c>
      <c r="AH159" s="172">
        <f t="shared" si="67"/>
        <v>7</v>
      </c>
      <c r="AI159" s="221">
        <f t="shared" si="68"/>
        <v>1.159773863093214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customHeight="1" x14ac:dyDescent="0.2">
      <c r="A160" s="56">
        <f t="shared" si="71"/>
        <v>45437</v>
      </c>
      <c r="B160" s="406">
        <f>'2023'!Wh/'2023'!Env_an*'2024'!Env_an</f>
        <v>110.82971142633208</v>
      </c>
      <c r="C160" s="385"/>
      <c r="D160" s="388">
        <f t="shared" si="50"/>
        <v>112.37731646354533</v>
      </c>
      <c r="E160" s="380">
        <f t="shared" si="72"/>
        <v>113.79703982135094</v>
      </c>
      <c r="F160" s="380">
        <f t="shared" si="51"/>
        <v>113.79914732547287</v>
      </c>
      <c r="G160" s="110">
        <f t="shared" si="73"/>
        <v>0.45496579033266699</v>
      </c>
      <c r="H160" s="409" t="b">
        <f>Wh_hp&gt;='2023'!Maxi_hp</f>
        <v>0</v>
      </c>
      <c r="I160" s="375">
        <f>IF(H160,Wh_hp,'2023'!Maxi_hp)</f>
        <v>113.80549834136734</v>
      </c>
      <c r="J160" s="85">
        <f>IF(H160,An,'2023'!An_max)</f>
        <v>2022</v>
      </c>
      <c r="K160" s="193">
        <f t="shared" si="52"/>
        <v>45437</v>
      </c>
      <c r="L160" s="143">
        <f>IF(t&lt;Tvie,1-EXP((T0-t)*PertePVj)+'2023'!Pspv,1-EXP((T0-t)*PertePVj)+Pspv)</f>
        <v>1.3771507328307453E-2</v>
      </c>
      <c r="M160" s="835"/>
      <c r="N160" s="835"/>
      <c r="O160" s="48">
        <f>IF(t&lt;Tnet,'2023'!Resal+('2023'!Salim-'2023'!Resal)*(1-EXP(('2023'!Tnet-t)/('2023'!Tau_j))),Resal+(Salim-Resal)*(1-EXP((Tnet-t)/(Tau_j))))*Salcycl</f>
        <v>1.247592520890194E-2</v>
      </c>
      <c r="P160" s="165">
        <f>(INDEX(Models!$BJ160:$BT160,,T160)*(1-R160)+INDEX(Models!$BJ160:$BT160,,T160+1)*R160-ERP_i)*Q160*Ramure*Pc/MaxiM</f>
        <v>8.3638955311386639E-5</v>
      </c>
      <c r="Q160" s="301">
        <f t="shared" si="53"/>
        <v>0.5</v>
      </c>
      <c r="R160" s="173">
        <f t="shared" si="54"/>
        <v>0.16443097543404628</v>
      </c>
      <c r="S160" s="801">
        <f t="shared" si="55"/>
        <v>1</v>
      </c>
      <c r="T160" s="172">
        <f t="shared" si="56"/>
        <v>7</v>
      </c>
      <c r="U160" s="247">
        <f t="shared" si="57"/>
        <v>1.1644309754340463</v>
      </c>
      <c r="V160" s="378">
        <f t="shared" si="58"/>
        <v>243.58423529380127</v>
      </c>
      <c r="W160" s="397">
        <f t="shared" si="59"/>
        <v>110.82971142633208</v>
      </c>
      <c r="X160" s="153">
        <f t="shared" si="60"/>
        <v>45437</v>
      </c>
      <c r="Y160" s="380">
        <f t="shared" si="61"/>
        <v>106.62416465190019</v>
      </c>
      <c r="Z160" s="380">
        <f t="shared" si="62"/>
        <v>108.11304423283835</v>
      </c>
      <c r="AA160" s="381">
        <f t="shared" si="63"/>
        <v>113.79703982135094</v>
      </c>
      <c r="AB160" s="193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4.994853642446094E-2</v>
      </c>
      <c r="AD160" s="227">
        <f>(INDEX(Models!$BJ160:$BT160,,AH160)*(1-AF160)+INDEX(Models!$BJ160:$BT160,,AH160+1)*AF160-ERP_i)*AE160*Ramure*Pc/MaxiM</f>
        <v>8.3638955311386639E-5</v>
      </c>
      <c r="AE160" s="301">
        <f t="shared" si="65"/>
        <v>0.5</v>
      </c>
      <c r="AF160" s="173">
        <f t="shared" si="66"/>
        <v>0.16443097543404628</v>
      </c>
      <c r="AG160" s="801">
        <f t="shared" si="74"/>
        <v>1</v>
      </c>
      <c r="AH160" s="172">
        <f t="shared" si="67"/>
        <v>7</v>
      </c>
      <c r="AI160" s="221">
        <f t="shared" si="68"/>
        <v>1.1644309754340463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customHeight="1" x14ac:dyDescent="0.2">
      <c r="A161" s="56">
        <f t="shared" si="71"/>
        <v>45438</v>
      </c>
      <c r="B161" s="406">
        <f>'2023'!Wh/'2023'!Env_an*'2024'!Env_an</f>
        <v>186.59345166360262</v>
      </c>
      <c r="C161" s="385"/>
      <c r="D161" s="388">
        <f t="shared" si="50"/>
        <v>189.20159718843669</v>
      </c>
      <c r="E161" s="380">
        <f t="shared" si="72"/>
        <v>191.60840719307868</v>
      </c>
      <c r="F161" s="380">
        <f t="shared" si="51"/>
        <v>191.61896133940203</v>
      </c>
      <c r="G161" s="110">
        <f t="shared" si="73"/>
        <v>0.76550362229006264</v>
      </c>
      <c r="H161" s="409" t="b">
        <f>Wh_hp&gt;='2023'!Maxi_hp</f>
        <v>0</v>
      </c>
      <c r="I161" s="375">
        <f>IF(H161,Wh_hp,'2023'!Maxi_hp)</f>
        <v>191.62350448293552</v>
      </c>
      <c r="J161" s="85">
        <f>IF(H161,An,'2023'!An_max)</f>
        <v>2022</v>
      </c>
      <c r="K161" s="193">
        <f t="shared" si="52"/>
        <v>45438</v>
      </c>
      <c r="L161" s="143">
        <f>IF(t&lt;Tvie,1-EXP((T0-t)*PertePVj)+'2023'!Pspv,1-EXP((T0-t)*PertePVj)+Pspv)</f>
        <v>1.3785007968175167E-2</v>
      </c>
      <c r="M161" s="835"/>
      <c r="N161" s="835"/>
      <c r="O161" s="48">
        <f>IF(t&lt;Tnet,'2023'!Resal+('2023'!Salim-'2023'!Resal)*(1-EXP(('2023'!Tnet-t)/('2023'!Tau_j))),Resal+(Salim-Resal)*(1-EXP((Tnet-t)/(Tau_j))))*Salcycl</f>
        <v>1.256108768868737E-2</v>
      </c>
      <c r="P161" s="165">
        <f>(INDEX(Models!$BJ161:$BT161,,T161)*(1-R161)+INDEX(Models!$BJ161:$BT161,,T161+1)*R161-ERP_i)*Q161*Ramure*Pc/MaxiM</f>
        <v>8.2820870405580751E-5</v>
      </c>
      <c r="Q161" s="301">
        <f t="shared" si="53"/>
        <v>0.5</v>
      </c>
      <c r="R161" s="173">
        <f t="shared" si="54"/>
        <v>0.1691456228250221</v>
      </c>
      <c r="S161" s="801">
        <f t="shared" si="55"/>
        <v>1</v>
      </c>
      <c r="T161" s="172">
        <f t="shared" si="56"/>
        <v>7</v>
      </c>
      <c r="U161" s="247">
        <f t="shared" si="57"/>
        <v>1.1691456228250221</v>
      </c>
      <c r="V161" s="378">
        <f t="shared" si="58"/>
        <v>243.74577658480541</v>
      </c>
      <c r="W161" s="397">
        <f t="shared" si="59"/>
        <v>186.59345166360262</v>
      </c>
      <c r="X161" s="153">
        <f t="shared" si="60"/>
        <v>45438</v>
      </c>
      <c r="Y161" s="380">
        <f t="shared" si="61"/>
        <v>179.51518189482621</v>
      </c>
      <c r="Z161" s="380">
        <f t="shared" si="62"/>
        <v>182.02438955524752</v>
      </c>
      <c r="AA161" s="381">
        <f t="shared" si="63"/>
        <v>191.60840719307868</v>
      </c>
      <c r="AB161" s="193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5.001877411450744E-2</v>
      </c>
      <c r="AD161" s="227">
        <f>(INDEX(Models!$BJ161:$BT161,,AH161)*(1-AF161)+INDEX(Models!$BJ161:$BT161,,AH161+1)*AF161-ERP_i)*AE161*Ramure*Pc/MaxiM</f>
        <v>8.2820870405580751E-5</v>
      </c>
      <c r="AE161" s="301">
        <f t="shared" si="65"/>
        <v>0.5</v>
      </c>
      <c r="AF161" s="173">
        <f t="shared" si="66"/>
        <v>0.1691456228250221</v>
      </c>
      <c r="AG161" s="801">
        <f t="shared" si="74"/>
        <v>1</v>
      </c>
      <c r="AH161" s="172">
        <f t="shared" si="67"/>
        <v>7</v>
      </c>
      <c r="AI161" s="221">
        <f t="shared" si="68"/>
        <v>1.1691456228250221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customHeight="1" x14ac:dyDescent="0.2">
      <c r="A162" s="56">
        <f t="shared" si="71"/>
        <v>45439</v>
      </c>
      <c r="B162" s="406">
        <f>'2023'!Wh/'2023'!Env_an*'2024'!Env_an</f>
        <v>229.56804596794524</v>
      </c>
      <c r="C162" s="385"/>
      <c r="D162" s="388">
        <f t="shared" si="50"/>
        <v>232.78006363679773</v>
      </c>
      <c r="E162" s="380">
        <f t="shared" si="72"/>
        <v>235.7615628907669</v>
      </c>
      <c r="F162" s="380">
        <f t="shared" si="51"/>
        <v>235.77927669367713</v>
      </c>
      <c r="G162" s="110">
        <f t="shared" si="73"/>
        <v>0.94123463751090719</v>
      </c>
      <c r="H162" s="409" t="b">
        <f>Wh_hp&gt;='2023'!Maxi_hp</f>
        <v>0</v>
      </c>
      <c r="I162" s="375">
        <f>IF(H162,Wh_hp,'2023'!Maxi_hp)</f>
        <v>235.7806603297476</v>
      </c>
      <c r="J162" s="85">
        <f>IF(H162,An,'2023'!An_max)</f>
        <v>2022</v>
      </c>
      <c r="K162" s="193">
        <f t="shared" si="52"/>
        <v>45439</v>
      </c>
      <c r="L162" s="143">
        <f>IF(t&lt;Tvie,1-EXP((T0-t)*PertePVj)+'2023'!Pspv,1-EXP((T0-t)*PertePVj)+Pspv)</f>
        <v>1.3798508423230493E-2</v>
      </c>
      <c r="M162" s="835"/>
      <c r="N162" s="835"/>
      <c r="O162" s="48">
        <f>IF(t&lt;Tnet,'2023'!Resal+('2023'!Salim-'2023'!Resal)*(1-EXP(('2023'!Tnet-t)/('2023'!Tau_j))),Resal+(Salim-Resal)*(1-EXP((Tnet-t)/(Tau_j))))*Salcycl</f>
        <v>1.2646248257823695E-2</v>
      </c>
      <c r="P162" s="165">
        <f>(INDEX(Models!$BJ162:$BT162,,T162)*(1-R162)+INDEX(Models!$BJ162:$BT162,,T162+1)*R162-ERP_i)*Q162*Ramure*Pc/MaxiM</f>
        <v>8.2013029505364652E-5</v>
      </c>
      <c r="Q162" s="301">
        <f t="shared" si="53"/>
        <v>0.5</v>
      </c>
      <c r="R162" s="173">
        <f t="shared" si="54"/>
        <v>0.17391482520656432</v>
      </c>
      <c r="S162" s="801">
        <f t="shared" si="55"/>
        <v>1</v>
      </c>
      <c r="T162" s="172">
        <f t="shared" si="56"/>
        <v>7</v>
      </c>
      <c r="U162" s="247">
        <f t="shared" si="57"/>
        <v>1.1739148252065643</v>
      </c>
      <c r="V162" s="378">
        <f t="shared" si="58"/>
        <v>243.89929597816044</v>
      </c>
      <c r="W162" s="397">
        <f t="shared" si="59"/>
        <v>229.56804596794524</v>
      </c>
      <c r="X162" s="153">
        <f t="shared" si="60"/>
        <v>45439</v>
      </c>
      <c r="Y162" s="380">
        <f t="shared" si="61"/>
        <v>220.86230905956333</v>
      </c>
      <c r="Z162" s="380">
        <f t="shared" si="62"/>
        <v>223.95251979029339</v>
      </c>
      <c r="AA162" s="381">
        <f t="shared" si="63"/>
        <v>235.7615628907669</v>
      </c>
      <c r="AB162" s="193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5.0088924401747746E-2</v>
      </c>
      <c r="AD162" s="227">
        <f>(INDEX(Models!$BJ162:$BT162,,AH162)*(1-AF162)+INDEX(Models!$BJ162:$BT162,,AH162+1)*AF162-ERP_i)*AE162*Ramure*Pc/MaxiM</f>
        <v>8.2013029505364652E-5</v>
      </c>
      <c r="AE162" s="301">
        <f t="shared" si="65"/>
        <v>0.5</v>
      </c>
      <c r="AF162" s="173">
        <f t="shared" si="66"/>
        <v>0.17391482520656432</v>
      </c>
      <c r="AG162" s="801">
        <f t="shared" si="74"/>
        <v>1</v>
      </c>
      <c r="AH162" s="172">
        <f t="shared" si="67"/>
        <v>7</v>
      </c>
      <c r="AI162" s="221">
        <f t="shared" si="68"/>
        <v>1.1739148252065643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45440</v>
      </c>
      <c r="B163" s="406">
        <f>'2023'!Wh/'2023'!Env_an*'2024'!Env_an</f>
        <v>250.07197790464767</v>
      </c>
      <c r="C163" s="385"/>
      <c r="D163" s="388">
        <f t="shared" si="50"/>
        <v>253.57434901772294</v>
      </c>
      <c r="E163" s="380">
        <f t="shared" si="72"/>
        <v>256.84433583627896</v>
      </c>
      <c r="F163" s="380">
        <f t="shared" si="51"/>
        <v>256.86519806358922</v>
      </c>
      <c r="G163" s="110">
        <f t="shared" si="73"/>
        <v>1.0246955333513268</v>
      </c>
      <c r="H163" s="409" t="b">
        <f>Wh_hp&gt;='2023'!Maxi_hp</f>
        <v>1</v>
      </c>
      <c r="I163" s="375">
        <f>IF(H163,Wh_hp,'2023'!Maxi_hp)</f>
        <v>256.86519806358922</v>
      </c>
      <c r="J163" s="85">
        <f>IF(H163,An,'2023'!An_max)</f>
        <v>2024</v>
      </c>
      <c r="K163" s="193">
        <f t="shared" si="52"/>
        <v>45440</v>
      </c>
      <c r="L163" s="143">
        <f>IF(t&lt;Tvie,1-EXP((T0-t)*PertePVj)+'2023'!Pspv,1-EXP((T0-t)*PertePVj)+Pspv)</f>
        <v>1.3812008693475875E-2</v>
      </c>
      <c r="M163" s="835"/>
      <c r="N163" s="835"/>
      <c r="O163" s="48">
        <f>IF(t&lt;Tnet,'2023'!Resal+('2023'!Salim-'2023'!Resal)*(1-EXP(('2023'!Tnet-t)/('2023'!Tau_j))),Resal+(Salim-Resal)*(1-EXP((Tnet-t)/(Tau_j))))*Salcycl</f>
        <v>1.2731395488668419E-2</v>
      </c>
      <c r="P163" s="165">
        <f>(INDEX(Models!$BJ163:$BT163,,T163)*(1-R163)+INDEX(Models!$BJ163:$BT163,,T163+1)*R163-ERP_i)*Q163*Ramure*Pc/MaxiM</f>
        <v>8.1218582616703099E-5</v>
      </c>
      <c r="Q163" s="301">
        <f t="shared" si="53"/>
        <v>0.5</v>
      </c>
      <c r="R163" s="173">
        <f t="shared" si="54"/>
        <v>0.1787354400377863</v>
      </c>
      <c r="S163" s="801">
        <f t="shared" si="55"/>
        <v>1</v>
      </c>
      <c r="T163" s="172">
        <f t="shared" si="56"/>
        <v>7</v>
      </c>
      <c r="U163" s="247">
        <f t="shared" si="57"/>
        <v>1.1787354400377863</v>
      </c>
      <c r="V163" s="378">
        <f t="shared" si="58"/>
        <v>244.04515269698948</v>
      </c>
      <c r="W163" s="397">
        <f t="shared" si="59"/>
        <v>250.07197790464767</v>
      </c>
      <c r="X163" s="153">
        <f t="shared" si="60"/>
        <v>45440</v>
      </c>
      <c r="Y163" s="380">
        <f t="shared" si="61"/>
        <v>240.59169962037186</v>
      </c>
      <c r="Z163" s="380">
        <f t="shared" si="62"/>
        <v>243.96129514985327</v>
      </c>
      <c r="AA163" s="381">
        <f t="shared" si="63"/>
        <v>256.84433583627896</v>
      </c>
      <c r="AB163" s="193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5.0158944110948803E-2</v>
      </c>
      <c r="AD163" s="227">
        <f>(INDEX(Models!$BJ163:$BT163,,AH163)*(1-AF163)+INDEX(Models!$BJ163:$BT163,,AH163+1)*AF163-ERP_i)*AE163*Ramure*Pc/MaxiM</f>
        <v>8.1218582616703099E-5</v>
      </c>
      <c r="AE163" s="301">
        <f t="shared" si="65"/>
        <v>0.5</v>
      </c>
      <c r="AF163" s="173">
        <f t="shared" si="66"/>
        <v>0.1787354400377863</v>
      </c>
      <c r="AG163" s="801">
        <f t="shared" si="74"/>
        <v>1</v>
      </c>
      <c r="AH163" s="172">
        <f t="shared" si="67"/>
        <v>7</v>
      </c>
      <c r="AI163" s="221">
        <f t="shared" si="68"/>
        <v>1.1787354400377863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45441</v>
      </c>
      <c r="B164" s="406">
        <f>'2023'!Wh/'2023'!Env_an*'2024'!Env_an</f>
        <v>210.79586307487187</v>
      </c>
      <c r="C164" s="385"/>
      <c r="D164" s="388">
        <f t="shared" si="50"/>
        <v>213.7510805150348</v>
      </c>
      <c r="E164" s="380">
        <f t="shared" si="72"/>
        <v>216.52619228745769</v>
      </c>
      <c r="F164" s="380">
        <f t="shared" si="51"/>
        <v>216.54020373023278</v>
      </c>
      <c r="G164" s="110">
        <f t="shared" si="73"/>
        <v>0.86325644775060162</v>
      </c>
      <c r="H164" s="409" t="b">
        <f>Wh_hp&gt;='2023'!Maxi_hp</f>
        <v>0</v>
      </c>
      <c r="I164" s="375">
        <f>IF(H164,Wh_hp,'2023'!Maxi_hp)</f>
        <v>216.54308989818958</v>
      </c>
      <c r="J164" s="85">
        <f>IF(H164,An,'2023'!An_max)</f>
        <v>2022</v>
      </c>
      <c r="K164" s="193">
        <f t="shared" si="52"/>
        <v>45441</v>
      </c>
      <c r="L164" s="143">
        <f>IF(t&lt;Tvie,1-EXP((T0-t)*PertePVj)+'2023'!Pspv,1-EXP((T0-t)*PertePVj)+Pspv)</f>
        <v>1.3825508778913864E-2</v>
      </c>
      <c r="M164" s="835"/>
      <c r="N164" s="835"/>
      <c r="O164" s="48">
        <f>IF(t&lt;Tnet,'2023'!Resal+('2023'!Salim-'2023'!Resal)*(1-EXP(('2023'!Tnet-t)/('2023'!Tau_j))),Resal+(Salim-Resal)*(1-EXP((Tnet-t)/(Tau_j))))*Salcycl</f>
        <v>1.2816517683637471E-2</v>
      </c>
      <c r="P164" s="165">
        <f>(INDEX(Models!$BJ164:$BT164,,T164)*(1-R164)+INDEX(Models!$BJ164:$BT164,,T164+1)*R164-ERP_i)*Q164*Ramure*Pc/MaxiM</f>
        <v>8.0412900808997818E-5</v>
      </c>
      <c r="Q164" s="301">
        <f t="shared" si="53"/>
        <v>0.5</v>
      </c>
      <c r="R164" s="173">
        <f t="shared" si="54"/>
        <v>0.18360416897787402</v>
      </c>
      <c r="S164" s="801">
        <f t="shared" si="55"/>
        <v>1</v>
      </c>
      <c r="T164" s="172">
        <f t="shared" si="56"/>
        <v>7</v>
      </c>
      <c r="U164" s="247">
        <f t="shared" si="57"/>
        <v>1.183604168977874</v>
      </c>
      <c r="V164" s="378">
        <f t="shared" si="58"/>
        <v>244.18300315361364</v>
      </c>
      <c r="W164" s="397">
        <f t="shared" si="59"/>
        <v>210.79586307487187</v>
      </c>
      <c r="X164" s="153">
        <f t="shared" si="60"/>
        <v>45441</v>
      </c>
      <c r="Y164" s="380">
        <f t="shared" si="61"/>
        <v>202.80712303374176</v>
      </c>
      <c r="Z164" s="380">
        <f t="shared" si="62"/>
        <v>205.65034366547545</v>
      </c>
      <c r="AA164" s="381">
        <f t="shared" si="63"/>
        <v>216.52619228745769</v>
      </c>
      <c r="AB164" s="193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5.0228789907982921E-2</v>
      </c>
      <c r="AD164" s="227">
        <f>(INDEX(Models!$BJ164:$BT164,,AH164)*(1-AF164)+INDEX(Models!$BJ164:$BT164,,AH164+1)*AF164-ERP_i)*AE164*Ramure*Pc/MaxiM</f>
        <v>8.0412900808997818E-5</v>
      </c>
      <c r="AE164" s="301">
        <f t="shared" si="65"/>
        <v>0.5</v>
      </c>
      <c r="AF164" s="173">
        <f t="shared" si="66"/>
        <v>0.18360416897787402</v>
      </c>
      <c r="AG164" s="801">
        <f t="shared" si="74"/>
        <v>1</v>
      </c>
      <c r="AH164" s="172">
        <f t="shared" si="67"/>
        <v>7</v>
      </c>
      <c r="AI164" s="221">
        <f t="shared" si="68"/>
        <v>1.183604168977874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45442</v>
      </c>
      <c r="B165" s="406">
        <f>'2023'!Wh/'2023'!Env_an*'2024'!Env_an</f>
        <v>231.00859448200688</v>
      </c>
      <c r="C165" s="385"/>
      <c r="D165" s="388">
        <f t="shared" si="50"/>
        <v>234.2503876296002</v>
      </c>
      <c r="E165" s="380">
        <f t="shared" si="72"/>
        <v>237.31209403377807</v>
      </c>
      <c r="F165" s="380">
        <f t="shared" si="51"/>
        <v>237.32951667623846</v>
      </c>
      <c r="G165" s="110">
        <f t="shared" si="73"/>
        <v>0.94554038477392932</v>
      </c>
      <c r="H165" s="409" t="b">
        <f>Wh_hp&gt;='2023'!Maxi_hp</f>
        <v>0</v>
      </c>
      <c r="I165" s="375">
        <f>IF(H165,Wh_hp,'2023'!Maxi_hp)</f>
        <v>237.33076111913962</v>
      </c>
      <c r="J165" s="85">
        <f>IF(H165,An,'2023'!An_max)</f>
        <v>2022</v>
      </c>
      <c r="K165" s="193">
        <f t="shared" si="52"/>
        <v>45442</v>
      </c>
      <c r="L165" s="143">
        <f>IF(t&lt;Tvie,1-EXP((T0-t)*PertePVj)+'2023'!Pspv,1-EXP((T0-t)*PertePVj)+Pspv)</f>
        <v>1.3839008679547127E-2</v>
      </c>
      <c r="M165" s="835"/>
      <c r="N165" s="835"/>
      <c r="O165" s="48">
        <f>IF(t&lt;Tnet,'2023'!Resal+('2023'!Salim-'2023'!Resal)*(1-EXP(('2023'!Tnet-t)/('2023'!Tau_j))),Resal+(Salim-Resal)*(1-EXP((Tnet-t)/(Tau_j))))*Salcycl</f>
        <v>1.2901602915113419E-2</v>
      </c>
      <c r="P165" s="165">
        <f>(INDEX(Models!$BJ165:$BT165,,T165)*(1-R165)+INDEX(Models!$BJ165:$BT165,,T165+1)*R165-ERP_i)*Q165*Ramure*Pc/MaxiM</f>
        <v>7.9603644829342608E-5</v>
      </c>
      <c r="Q165" s="301">
        <f t="shared" si="53"/>
        <v>0.5</v>
      </c>
      <c r="R165" s="173">
        <f t="shared" si="54"/>
        <v>0.18851756552750065</v>
      </c>
      <c r="S165" s="801">
        <f t="shared" si="55"/>
        <v>1</v>
      </c>
      <c r="T165" s="172">
        <f t="shared" si="56"/>
        <v>7</v>
      </c>
      <c r="U165" s="247">
        <f t="shared" si="57"/>
        <v>1.1885175655275007</v>
      </c>
      <c r="V165" s="378">
        <f t="shared" si="58"/>
        <v>244.31231874050761</v>
      </c>
      <c r="W165" s="397">
        <f t="shared" si="59"/>
        <v>231.00859448200688</v>
      </c>
      <c r="X165" s="153">
        <f t="shared" si="60"/>
        <v>45442</v>
      </c>
      <c r="Y165" s="380">
        <f t="shared" si="61"/>
        <v>222.25669515642142</v>
      </c>
      <c r="Z165" s="380">
        <f t="shared" si="62"/>
        <v>225.37567102387965</v>
      </c>
      <c r="AA165" s="381">
        <f t="shared" si="63"/>
        <v>237.31209403377807</v>
      </c>
      <c r="AB165" s="193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5.0298418453968256E-2</v>
      </c>
      <c r="AD165" s="227">
        <f>(INDEX(Models!$BJ165:$BT165,,AH165)*(1-AF165)+INDEX(Models!$BJ165:$BT165,,AH165+1)*AF165-ERP_i)*AE165*Ramure*Pc/MaxiM</f>
        <v>7.9603644829342608E-5</v>
      </c>
      <c r="AE165" s="301">
        <f t="shared" si="65"/>
        <v>0.5</v>
      </c>
      <c r="AF165" s="173">
        <f t="shared" si="66"/>
        <v>0.18851756552750065</v>
      </c>
      <c r="AG165" s="801">
        <f t="shared" si="74"/>
        <v>1</v>
      </c>
      <c r="AH165" s="172">
        <f t="shared" si="67"/>
        <v>7</v>
      </c>
      <c r="AI165" s="221">
        <f t="shared" si="68"/>
        <v>1.1885175655275007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customHeight="1" x14ac:dyDescent="0.2">
      <c r="A166" s="56">
        <f t="shared" si="71"/>
        <v>45443</v>
      </c>
      <c r="B166" s="406">
        <f>'2023'!Wh/'2023'!Env_an*'2024'!Env_an</f>
        <v>241.16398961050649</v>
      </c>
      <c r="C166" s="385"/>
      <c r="D166" s="388">
        <f t="shared" si="50"/>
        <v>244.55164330245725</v>
      </c>
      <c r="E166" s="380">
        <f t="shared" si="72"/>
        <v>247.76933421793882</v>
      </c>
      <c r="F166" s="380">
        <f t="shared" si="51"/>
        <v>247.78848382950477</v>
      </c>
      <c r="G166" s="110">
        <f t="shared" si="73"/>
        <v>0.98662638451302609</v>
      </c>
      <c r="H166" s="409" t="b">
        <f>Wh_hp&gt;='2023'!Maxi_hp</f>
        <v>0</v>
      </c>
      <c r="I166" s="375">
        <f>IF(H166,Wh_hp,'2023'!Maxi_hp)</f>
        <v>247.7887989555031</v>
      </c>
      <c r="J166" s="85">
        <f>IF(H166,An,'2023'!An_max)</f>
        <v>2022</v>
      </c>
      <c r="K166" s="193">
        <f t="shared" si="52"/>
        <v>45443</v>
      </c>
      <c r="L166" s="143">
        <f>IF(t&lt;Tvie,1-EXP((T0-t)*PertePVj)+'2023'!Pspv,1-EXP((T0-t)*PertePVj)+Pspv)</f>
        <v>1.3852508395377994E-2</v>
      </c>
      <c r="M166" s="835"/>
      <c r="N166" s="835"/>
      <c r="O166" s="48">
        <f>IF(t&lt;Tnet,'2023'!Resal+('2023'!Salim-'2023'!Resal)*(1-EXP(('2023'!Tnet-t)/('2023'!Tau_j))),Resal+(Salim-Resal)*(1-EXP((Tnet-t)/(Tau_j))))*Salcycl</f>
        <v>1.2986639067493609E-2</v>
      </c>
      <c r="P166" s="165">
        <f>(INDEX(Models!$BJ166:$BT166,,T166)*(1-R166)+INDEX(Models!$BJ166:$BT166,,T166+1)*R166-ERP_i)*Q166*Ramure*Pc/MaxiM</f>
        <v>7.8787163221734566E-5</v>
      </c>
      <c r="Q166" s="301">
        <f t="shared" si="53"/>
        <v>0.5</v>
      </c>
      <c r="R166" s="173">
        <f t="shared" si="54"/>
        <v>0.19347204360458292</v>
      </c>
      <c r="S166" s="801">
        <f t="shared" si="55"/>
        <v>1</v>
      </c>
      <c r="T166" s="172">
        <f t="shared" si="56"/>
        <v>7</v>
      </c>
      <c r="U166" s="247">
        <f t="shared" si="57"/>
        <v>1.1934720436045829</v>
      </c>
      <c r="V166" s="378">
        <f t="shared" si="58"/>
        <v>244.43257386806005</v>
      </c>
      <c r="W166" s="397">
        <f t="shared" si="59"/>
        <v>241.16398961050649</v>
      </c>
      <c r="X166" s="153">
        <f t="shared" si="60"/>
        <v>45443</v>
      </c>
      <c r="Y166" s="380">
        <f t="shared" si="61"/>
        <v>232.03038815884958</v>
      </c>
      <c r="Z166" s="380">
        <f t="shared" si="62"/>
        <v>235.28974127521076</v>
      </c>
      <c r="AA166" s="381">
        <f t="shared" si="63"/>
        <v>247.76933421793882</v>
      </c>
      <c r="AB166" s="193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5.036778656292857E-2</v>
      </c>
      <c r="AD166" s="227">
        <f>(INDEX(Models!$BJ166:$BT166,,AH166)*(1-AF166)+INDEX(Models!$BJ166:$BT166,,AH166+1)*AF166-ERP_i)*AE166*Ramure*Pc/MaxiM</f>
        <v>7.8787163221734566E-5</v>
      </c>
      <c r="AE166" s="301">
        <f t="shared" si="65"/>
        <v>0.5</v>
      </c>
      <c r="AF166" s="173">
        <f t="shared" si="66"/>
        <v>0.19347204360458292</v>
      </c>
      <c r="AG166" s="801">
        <f t="shared" si="74"/>
        <v>1</v>
      </c>
      <c r="AH166" s="172">
        <f t="shared" si="67"/>
        <v>7</v>
      </c>
      <c r="AI166" s="221">
        <f t="shared" si="68"/>
        <v>1.1934720436045829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customHeight="1" x14ac:dyDescent="0.2">
      <c r="A167" s="56">
        <f t="shared" si="71"/>
        <v>45444</v>
      </c>
      <c r="B167" s="406">
        <f>'2023'!Wh/'2023'!Env_an*'2024'!Env_an</f>
        <v>169.62647818900192</v>
      </c>
      <c r="C167" s="385"/>
      <c r="D167" s="388">
        <f t="shared" si="50"/>
        <v>172.01159229114518</v>
      </c>
      <c r="E167" s="380">
        <f t="shared" si="72"/>
        <v>174.28984180664972</v>
      </c>
      <c r="F167" s="380">
        <f t="shared" si="51"/>
        <v>174.29748313999957</v>
      </c>
      <c r="G167" s="110">
        <f t="shared" si="73"/>
        <v>0.69362247846589953</v>
      </c>
      <c r="H167" s="409" t="b">
        <f>Wh_hp&gt;='2023'!Maxi_hp</f>
        <v>0</v>
      </c>
      <c r="I167" s="375">
        <f>IF(H167,Wh_hp,'2023'!Maxi_hp)</f>
        <v>174.30249761857024</v>
      </c>
      <c r="J167" s="85">
        <f>IF(H167,An,'2023'!An_max)</f>
        <v>2022</v>
      </c>
      <c r="K167" s="193">
        <f t="shared" si="52"/>
        <v>45444</v>
      </c>
      <c r="L167" s="143">
        <f>IF(t&lt;Tvie,1-EXP((T0-t)*PertePVj)+'2023'!Pspv,1-EXP((T0-t)*PertePVj)+Pspv)</f>
        <v>1.386600792640913E-2</v>
      </c>
      <c r="M167" s="835"/>
      <c r="N167" s="835"/>
      <c r="O167" s="48">
        <f>IF(t&lt;Tnet,'2023'!Resal+('2023'!Salim-'2023'!Resal)*(1-EXP(('2023'!Tnet-t)/('2023'!Tau_j))),Resal+(Salim-Resal)*(1-EXP((Tnet-t)/(Tau_j))))*Salcycl</f>
        <v>1.3071613881157454E-2</v>
      </c>
      <c r="P167" s="165">
        <f>(INDEX(Models!$BJ167:$BT167,,T167)*(1-R167)+INDEX(Models!$BJ167:$BT167,,T167+1)*R167-ERP_i)*Q167*Ramure*Pc/MaxiM</f>
        <v>7.7959683318558167E-5</v>
      </c>
      <c r="Q167" s="301">
        <f t="shared" si="53"/>
        <v>0.5</v>
      </c>
      <c r="R167" s="173">
        <f t="shared" si="54"/>
        <v>0.19846388701899542</v>
      </c>
      <c r="S167" s="801">
        <f t="shared" si="55"/>
        <v>1</v>
      </c>
      <c r="T167" s="172">
        <f t="shared" si="56"/>
        <v>7</v>
      </c>
      <c r="U167" s="247">
        <f t="shared" si="57"/>
        <v>1.1984638870189954</v>
      </c>
      <c r="V167" s="378">
        <f t="shared" si="58"/>
        <v>244.54324323061022</v>
      </c>
      <c r="W167" s="397">
        <f t="shared" si="59"/>
        <v>169.62647818900192</v>
      </c>
      <c r="X167" s="153">
        <f t="shared" si="60"/>
        <v>45444</v>
      </c>
      <c r="Y167" s="380">
        <f t="shared" si="61"/>
        <v>163.20439759052803</v>
      </c>
      <c r="Z167" s="380">
        <f t="shared" si="62"/>
        <v>165.49921096153514</v>
      </c>
      <c r="AA167" s="381">
        <f t="shared" si="63"/>
        <v>174.28984180664972</v>
      </c>
      <c r="AB167" s="193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5.0436851362034865E-2</v>
      </c>
      <c r="AD167" s="227">
        <f>(INDEX(Models!$BJ167:$BT167,,AH167)*(1-AF167)+INDEX(Models!$BJ167:$BT167,,AH167+1)*AF167-ERP_i)*AE167*Ramure*Pc/MaxiM</f>
        <v>7.7959683318558167E-5</v>
      </c>
      <c r="AE167" s="301">
        <f t="shared" si="65"/>
        <v>0.5</v>
      </c>
      <c r="AF167" s="173">
        <f t="shared" si="66"/>
        <v>0.19846388701899542</v>
      </c>
      <c r="AG167" s="801">
        <f t="shared" si="74"/>
        <v>1</v>
      </c>
      <c r="AH167" s="172">
        <f t="shared" si="67"/>
        <v>7</v>
      </c>
      <c r="AI167" s="221">
        <f t="shared" si="68"/>
        <v>1.1984638870189954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customHeight="1" x14ac:dyDescent="0.2">
      <c r="A168" s="56">
        <f t="shared" si="71"/>
        <v>45445</v>
      </c>
      <c r="B168" s="406">
        <f>'2023'!Wh/'2023'!Env_an*'2024'!Env_an</f>
        <v>233.04170128417894</v>
      </c>
      <c r="C168" s="385"/>
      <c r="D168" s="388">
        <f t="shared" si="50"/>
        <v>236.32173046079311</v>
      </c>
      <c r="E168" s="380">
        <f t="shared" si="72"/>
        <v>239.47235205220051</v>
      </c>
      <c r="F168" s="380">
        <f t="shared" si="51"/>
        <v>239.4895695995624</v>
      </c>
      <c r="G168" s="110">
        <f t="shared" si="73"/>
        <v>0.95257056152964192</v>
      </c>
      <c r="H168" s="409" t="b">
        <f>Wh_hp&gt;='2023'!Maxi_hp</f>
        <v>0</v>
      </c>
      <c r="I168" s="375">
        <f>IF(H168,Wh_hp,'2023'!Maxi_hp)</f>
        <v>239.49062250139852</v>
      </c>
      <c r="J168" s="85">
        <f>IF(H168,An,'2023'!An_max)</f>
        <v>2022</v>
      </c>
      <c r="K168" s="193">
        <f t="shared" si="52"/>
        <v>45445</v>
      </c>
      <c r="L168" s="143">
        <f>IF(t&lt;Tvie,1-EXP((T0-t)*PertePVj)+'2023'!Pspv,1-EXP((T0-t)*PertePVj)+Pspv)</f>
        <v>1.3879507272642977E-2</v>
      </c>
      <c r="M168" s="835"/>
      <c r="N168" s="835"/>
      <c r="O168" s="48">
        <f>IF(t&lt;Tnet,'2023'!Resal+('2023'!Salim-'2023'!Resal)*(1-EXP(('2023'!Tnet-t)/('2023'!Tau_j))),Resal+(Salim-Resal)*(1-EXP((Tnet-t)/(Tau_j))))*Salcycl</f>
        <v>1.3156514998109761E-2</v>
      </c>
      <c r="P168" s="165">
        <f>(INDEX(Models!$BJ168:$BT168,,T168)*(1-R168)+INDEX(Models!$BJ168:$BT168,,T168+1)*R168-ERP_i)*Q168*Ramure*Pc/MaxiM</f>
        <v>7.7117320673260556E-5</v>
      </c>
      <c r="Q168" s="301">
        <f t="shared" si="53"/>
        <v>0.5</v>
      </c>
      <c r="R168" s="173">
        <f t="shared" si="54"/>
        <v>0.20348925980126742</v>
      </c>
      <c r="S168" s="801">
        <f t="shared" si="55"/>
        <v>1</v>
      </c>
      <c r="T168" s="172">
        <f t="shared" si="56"/>
        <v>7</v>
      </c>
      <c r="U168" s="247">
        <f t="shared" si="57"/>
        <v>1.2034892598012674</v>
      </c>
      <c r="V168" s="378">
        <f t="shared" si="58"/>
        <v>244.64380178160445</v>
      </c>
      <c r="W168" s="397">
        <f t="shared" si="59"/>
        <v>233.04170128417894</v>
      </c>
      <c r="X168" s="153">
        <f t="shared" si="60"/>
        <v>45445</v>
      </c>
      <c r="Y168" s="380">
        <f t="shared" si="61"/>
        <v>224.22177435863213</v>
      </c>
      <c r="Z168" s="380">
        <f t="shared" si="62"/>
        <v>227.37766430397573</v>
      </c>
      <c r="AA168" s="381">
        <f t="shared" si="63"/>
        <v>239.47235205220051</v>
      </c>
      <c r="AB168" s="193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5.0505570453445683E-2</v>
      </c>
      <c r="AD168" s="227">
        <f>(INDEX(Models!$BJ168:$BT168,,AH168)*(1-AF168)+INDEX(Models!$BJ168:$BT168,,AH168+1)*AF168-ERP_i)*AE168*Ramure*Pc/MaxiM</f>
        <v>7.7117320673260556E-5</v>
      </c>
      <c r="AE168" s="301">
        <f t="shared" si="65"/>
        <v>0.5</v>
      </c>
      <c r="AF168" s="173">
        <f t="shared" si="66"/>
        <v>0.20348925980126742</v>
      </c>
      <c r="AG168" s="801">
        <f t="shared" si="74"/>
        <v>1</v>
      </c>
      <c r="AH168" s="172">
        <f t="shared" si="67"/>
        <v>7</v>
      </c>
      <c r="AI168" s="221">
        <f t="shared" si="68"/>
        <v>1.2034892598012674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customHeight="1" x14ac:dyDescent="0.2">
      <c r="A169" s="56">
        <f t="shared" si="71"/>
        <v>45446</v>
      </c>
      <c r="B169" s="406">
        <f>'2023'!Wh/'2023'!Env_an*'2024'!Env_an</f>
        <v>101.53333002468</v>
      </c>
      <c r="C169" s="385"/>
      <c r="D169" s="388">
        <f t="shared" si="50"/>
        <v>102.9638068558053</v>
      </c>
      <c r="E169" s="380">
        <f t="shared" si="72"/>
        <v>104.34547978863797</v>
      </c>
      <c r="F169" s="380">
        <f t="shared" si="51"/>
        <v>104.34678557528105</v>
      </c>
      <c r="G169" s="110">
        <f t="shared" si="73"/>
        <v>0.41484620927180704</v>
      </c>
      <c r="H169" s="409" t="b">
        <f>Wh_hp&gt;='2023'!Maxi_hp</f>
        <v>0</v>
      </c>
      <c r="I169" s="375">
        <f>IF(H169,Wh_hp,'2023'!Maxi_hp)</f>
        <v>104.35237094994316</v>
      </c>
      <c r="J169" s="85">
        <f>IF(H169,An,'2023'!An_max)</f>
        <v>2022</v>
      </c>
      <c r="K169" s="193">
        <f t="shared" si="52"/>
        <v>45446</v>
      </c>
      <c r="L169" s="143">
        <f>IF(t&lt;Tvie,1-EXP((T0-t)*PertePVj)+'2023'!Pspv,1-EXP((T0-t)*PertePVj)+Pspv)</f>
        <v>1.38930064340822E-2</v>
      </c>
      <c r="M169" s="835"/>
      <c r="N169" s="835"/>
      <c r="O169" s="48">
        <f>IF(t&lt;Tnet,'2023'!Resal+('2023'!Salim-'2023'!Resal)*(1-EXP(('2023'!Tnet-t)/('2023'!Tau_j))),Resal+(Salim-Resal)*(1-EXP((Tnet-t)/(Tau_j))))*Salcycl</f>
        <v>1.3241330009037103E-2</v>
      </c>
      <c r="P169" s="165">
        <f>(INDEX(Models!$BJ169:$BT169,,T169)*(1-R169)+INDEX(Models!$BJ169:$BT169,,T169+1)*R169-ERP_i)*Q169*Ramure*Pc/MaxiM</f>
        <v>7.6256089417390765E-5</v>
      </c>
      <c r="Q169" s="301">
        <f t="shared" si="53"/>
        <v>0.5</v>
      </c>
      <c r="R169" s="173">
        <f t="shared" si="54"/>
        <v>0.20854421733092732</v>
      </c>
      <c r="S169" s="801">
        <f t="shared" si="55"/>
        <v>1</v>
      </c>
      <c r="T169" s="172">
        <f t="shared" si="56"/>
        <v>7</v>
      </c>
      <c r="U169" s="247">
        <f t="shared" si="57"/>
        <v>1.2085442173309273</v>
      </c>
      <c r="V169" s="378">
        <f t="shared" si="58"/>
        <v>244.73372473744786</v>
      </c>
      <c r="W169" s="397">
        <f t="shared" si="59"/>
        <v>101.53333002468</v>
      </c>
      <c r="X169" s="153">
        <f t="shared" si="60"/>
        <v>45446</v>
      </c>
      <c r="Y169" s="380">
        <f t="shared" si="61"/>
        <v>97.691964880704575</v>
      </c>
      <c r="Z169" s="380">
        <f t="shared" si="62"/>
        <v>99.068321711658371</v>
      </c>
      <c r="AA169" s="381">
        <f t="shared" si="63"/>
        <v>104.34547978863797</v>
      </c>
      <c r="AB169" s="193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5.057390207672631E-2</v>
      </c>
      <c r="AD169" s="227">
        <f>(INDEX(Models!$BJ169:$BT169,,AH169)*(1-AF169)+INDEX(Models!$BJ169:$BT169,,AH169+1)*AF169-ERP_i)*AE169*Ramure*Pc/MaxiM</f>
        <v>7.6256089417390765E-5</v>
      </c>
      <c r="AE169" s="301">
        <f t="shared" si="65"/>
        <v>0.5</v>
      </c>
      <c r="AF169" s="173">
        <f t="shared" si="66"/>
        <v>0.20854421733092732</v>
      </c>
      <c r="AG169" s="801">
        <f t="shared" si="74"/>
        <v>1</v>
      </c>
      <c r="AH169" s="172">
        <f t="shared" si="67"/>
        <v>7</v>
      </c>
      <c r="AI169" s="221">
        <f t="shared" si="68"/>
        <v>1.2085442173309273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customHeight="1" x14ac:dyDescent="0.2">
      <c r="A170" s="56">
        <f t="shared" si="71"/>
        <v>45447</v>
      </c>
      <c r="B170" s="406">
        <f>'2023'!Wh/'2023'!Env_an*'2024'!Env_an</f>
        <v>131.54839034322657</v>
      </c>
      <c r="C170" s="385"/>
      <c r="D170" s="388">
        <f t="shared" si="50"/>
        <v>133.40356778037491</v>
      </c>
      <c r="E170" s="380">
        <f t="shared" ref="E170:E232" si="75">Wh_pvt/(1-Psa)</f>
        <v>135.20532016413168</v>
      </c>
      <c r="F170" s="380">
        <f t="shared" si="51"/>
        <v>135.20877677085991</v>
      </c>
      <c r="G170" s="110">
        <f t="shared" ref="G170:G232" si="76">+Wh_hp/MaxiM</f>
        <v>0.53731670093550543</v>
      </c>
      <c r="H170" s="409" t="b">
        <f>Wh_hp&gt;='2023'!Maxi_hp</f>
        <v>0</v>
      </c>
      <c r="I170" s="375">
        <f>IF(H170,Wh_hp,'2023'!Maxi_hp)</f>
        <v>135.21442308270213</v>
      </c>
      <c r="J170" s="85">
        <f>IF(H170,An,'2023'!An_max)</f>
        <v>2022</v>
      </c>
      <c r="K170" s="193">
        <f t="shared" si="52"/>
        <v>45447</v>
      </c>
      <c r="L170" s="143">
        <f>IF(t&lt;Tvie,1-EXP((T0-t)*PertePVj)+'2023'!Pspv,1-EXP((T0-t)*PertePVj)+Pspv)</f>
        <v>1.3906505410729131E-2</v>
      </c>
      <c r="M170" s="835"/>
      <c r="N170" s="835"/>
      <c r="O170" s="48">
        <f>IF(t&lt;Tnet,'2023'!Resal+('2023'!Salim-'2023'!Resal)*(1-EXP(('2023'!Tnet-t)/('2023'!Tau_j))),Resal+(Salim-Resal)*(1-EXP((Tnet-t)/(Tau_j))))*Salcycl</f>
        <v>1.3326046501495221E-2</v>
      </c>
      <c r="P170" s="165">
        <f>(INDEX(Models!$BJ170:$BT170,,T170)*(1-R170)+INDEX(Models!$BJ170:$BT170,,T170+1)*R170-ERP_i)*Q170*Ramure*Pc/MaxiM</f>
        <v>7.5399040987499393E-5</v>
      </c>
      <c r="Q170" s="301">
        <f t="shared" si="53"/>
        <v>0.5</v>
      </c>
      <c r="R170" s="173">
        <f t="shared" si="54"/>
        <v>0.21362471820119922</v>
      </c>
      <c r="S170" s="801">
        <f t="shared" si="55"/>
        <v>1</v>
      </c>
      <c r="T170" s="172">
        <f t="shared" si="56"/>
        <v>7</v>
      </c>
      <c r="U170" s="247">
        <f t="shared" si="57"/>
        <v>1.2136247182011992</v>
      </c>
      <c r="V170" s="378">
        <f t="shared" si="58"/>
        <v>244.81248089484697</v>
      </c>
      <c r="W170" s="397">
        <f t="shared" si="59"/>
        <v>131.54839034322657</v>
      </c>
      <c r="X170" s="153">
        <f t="shared" si="60"/>
        <v>45447</v>
      </c>
      <c r="Y170" s="380">
        <f t="shared" si="61"/>
        <v>126.57326357198428</v>
      </c>
      <c r="Z170" s="380">
        <f t="shared" si="62"/>
        <v>128.35827866880388</v>
      </c>
      <c r="AA170" s="381">
        <f t="shared" si="63"/>
        <v>135.20532016413168</v>
      </c>
      <c r="AB170" s="193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5.0641805270797521E-2</v>
      </c>
      <c r="AD170" s="227">
        <f>(INDEX(Models!$BJ170:$BT170,,AH170)*(1-AF170)+INDEX(Models!$BJ170:$BT170,,AH170+1)*AF170-ERP_i)*AE170*Ramure*Pc/MaxiM</f>
        <v>7.5399040987499393E-5</v>
      </c>
      <c r="AE170" s="301">
        <f t="shared" si="65"/>
        <v>0.5</v>
      </c>
      <c r="AF170" s="173">
        <f t="shared" si="66"/>
        <v>0.21362471820119922</v>
      </c>
      <c r="AG170" s="801">
        <f t="shared" si="74"/>
        <v>1</v>
      </c>
      <c r="AH170" s="172">
        <f t="shared" si="67"/>
        <v>7</v>
      </c>
      <c r="AI170" s="221">
        <f t="shared" si="68"/>
        <v>1.2136247182011992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customHeight="1" x14ac:dyDescent="0.2">
      <c r="A171" s="56">
        <f t="shared" si="71"/>
        <v>45448</v>
      </c>
      <c r="B171" s="406">
        <f>'2023'!Wh/'2023'!Env_an*'2024'!Env_an</f>
        <v>193.2920371095567</v>
      </c>
      <c r="C171" s="385"/>
      <c r="D171" s="388">
        <f t="shared" si="50"/>
        <v>196.02064531615125</v>
      </c>
      <c r="E171" s="380">
        <f t="shared" si="75"/>
        <v>198.68514264335437</v>
      </c>
      <c r="F171" s="380">
        <f t="shared" si="51"/>
        <v>198.69549171158292</v>
      </c>
      <c r="G171" s="110">
        <f t="shared" si="76"/>
        <v>0.78931743937405974</v>
      </c>
      <c r="H171" s="409" t="b">
        <f>Wh_hp&gt;='2023'!Maxi_hp</f>
        <v>0</v>
      </c>
      <c r="I171" s="375">
        <f>IF(H171,Wh_hp,'2023'!Maxi_hp)</f>
        <v>198.6992170848427</v>
      </c>
      <c r="J171" s="85">
        <f>IF(H171,An,'2023'!An_max)</f>
        <v>2022</v>
      </c>
      <c r="K171" s="193">
        <f t="shared" si="52"/>
        <v>45448</v>
      </c>
      <c r="L171" s="143">
        <f>IF(t&lt;Tvie,1-EXP((T0-t)*PertePVj)+'2023'!Pspv,1-EXP((T0-t)*PertePVj)+Pspv)</f>
        <v>1.3920004202586544E-2</v>
      </c>
      <c r="M171" s="835"/>
      <c r="N171" s="835"/>
      <c r="O171" s="48">
        <f>IF(t&lt;Tnet,'2023'!Resal+('2023'!Salim-'2023'!Resal)*(1-EXP(('2023'!Tnet-t)/('2023'!Tau_j))),Resal+(Salim-Resal)*(1-EXP((Tnet-t)/(Tau_j))))*Salcycl</f>
        <v>1.3410652108929893E-2</v>
      </c>
      <c r="P171" s="165">
        <f>(INDEX(Models!$BJ171:$BT171,,T171)*(1-R171)+INDEX(Models!$BJ171:$BT171,,T171+1)*R171-ERP_i)*Q171*Ramure*Pc/MaxiM</f>
        <v>7.4508337430910076E-5</v>
      </c>
      <c r="Q171" s="301">
        <f t="shared" si="53"/>
        <v>0.5</v>
      </c>
      <c r="R171" s="173">
        <f t="shared" si="54"/>
        <v>0.21872663674833914</v>
      </c>
      <c r="S171" s="801">
        <f t="shared" si="55"/>
        <v>1</v>
      </c>
      <c r="T171" s="172">
        <f t="shared" si="56"/>
        <v>7</v>
      </c>
      <c r="U171" s="247">
        <f t="shared" si="57"/>
        <v>1.2187266367483391</v>
      </c>
      <c r="V171" s="378">
        <f t="shared" si="58"/>
        <v>244.87955415970458</v>
      </c>
      <c r="W171" s="397">
        <f t="shared" si="59"/>
        <v>193.2920371095567</v>
      </c>
      <c r="X171" s="153">
        <f t="shared" si="60"/>
        <v>45448</v>
      </c>
      <c r="Y171" s="380">
        <f t="shared" si="61"/>
        <v>185.98451847799581</v>
      </c>
      <c r="Z171" s="380">
        <f t="shared" si="62"/>
        <v>188.60997005379434</v>
      </c>
      <c r="AA171" s="381">
        <f t="shared" si="63"/>
        <v>198.68514264335437</v>
      </c>
      <c r="AB171" s="193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5.0709240034345363E-2</v>
      </c>
      <c r="AD171" s="227">
        <f>(INDEX(Models!$BJ171:$BT171,,AH171)*(1-AF171)+INDEX(Models!$BJ171:$BT171,,AH171+1)*AF171-ERP_i)*AE171*Ramure*Pc/MaxiM</f>
        <v>7.4508337430910076E-5</v>
      </c>
      <c r="AE171" s="301">
        <f t="shared" si="65"/>
        <v>0.5</v>
      </c>
      <c r="AF171" s="173">
        <f t="shared" si="66"/>
        <v>0.21872663674833914</v>
      </c>
      <c r="AG171" s="801">
        <f t="shared" si="74"/>
        <v>1</v>
      </c>
      <c r="AH171" s="172">
        <f t="shared" si="67"/>
        <v>7</v>
      </c>
      <c r="AI171" s="221">
        <f t="shared" si="68"/>
        <v>1.2187266367483391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customHeight="1" x14ac:dyDescent="0.2">
      <c r="A172" s="56">
        <f t="shared" si="71"/>
        <v>45449</v>
      </c>
      <c r="B172" s="406">
        <f>'2023'!Wh/'2023'!Env_an*'2024'!Env_an</f>
        <v>120.44394875903235</v>
      </c>
      <c r="C172" s="385"/>
      <c r="D172" s="388">
        <f t="shared" si="50"/>
        <v>122.14586856182652</v>
      </c>
      <c r="E172" s="380">
        <f t="shared" si="75"/>
        <v>123.81679284204466</v>
      </c>
      <c r="F172" s="380">
        <f t="shared" si="51"/>
        <v>123.81928831775376</v>
      </c>
      <c r="G172" s="110">
        <f t="shared" si="76"/>
        <v>0.49171330697441296</v>
      </c>
      <c r="H172" s="409" t="b">
        <f>Wh_hp&gt;='2023'!Maxi_hp</f>
        <v>0</v>
      </c>
      <c r="I172" s="375">
        <f>IF(H172,Wh_hp,'2023'!Maxi_hp)</f>
        <v>123.82480660988531</v>
      </c>
      <c r="J172" s="85">
        <f>IF(H172,An,'2023'!An_max)</f>
        <v>2022</v>
      </c>
      <c r="K172" s="193">
        <f t="shared" si="52"/>
        <v>45449</v>
      </c>
      <c r="L172" s="143">
        <f>IF(t&lt;Tvie,1-EXP((T0-t)*PertePVj)+'2023'!Pspv,1-EXP((T0-t)*PertePVj)+Pspv)</f>
        <v>1.3933502809656662E-2</v>
      </c>
      <c r="M172" s="835"/>
      <c r="N172" s="835"/>
      <c r="O172" s="48">
        <f>IF(t&lt;Tnet,'2023'!Resal+('2023'!Salim-'2023'!Resal)*(1-EXP(('2023'!Tnet-t)/('2023'!Tau_j))),Resal+(Salim-Resal)*(1-EXP((Tnet-t)/(Tau_j))))*Salcycl</f>
        <v>1.3495134560218907E-2</v>
      </c>
      <c r="P172" s="165">
        <f>(INDEX(Models!$BJ172:$BT172,,T172)*(1-R172)+INDEX(Models!$BJ172:$BT172,,T172+1)*R172-ERP_i)*Q172*Ramure*Pc/MaxiM</f>
        <v>7.3578565292423676E-5</v>
      </c>
      <c r="Q172" s="301">
        <f t="shared" si="53"/>
        <v>0.5</v>
      </c>
      <c r="R172" s="173">
        <f t="shared" si="54"/>
        <v>0.22384577616616519</v>
      </c>
      <c r="S172" s="801">
        <f t="shared" si="55"/>
        <v>1</v>
      </c>
      <c r="T172" s="172">
        <f t="shared" si="56"/>
        <v>7</v>
      </c>
      <c r="U172" s="247">
        <f t="shared" si="57"/>
        <v>1.2238457761661652</v>
      </c>
      <c r="V172" s="378">
        <f t="shared" si="58"/>
        <v>244.93442068100507</v>
      </c>
      <c r="W172" s="397">
        <f t="shared" si="59"/>
        <v>120.44394875903235</v>
      </c>
      <c r="X172" s="153">
        <f t="shared" si="60"/>
        <v>45449</v>
      </c>
      <c r="Y172" s="380">
        <f t="shared" si="61"/>
        <v>115.89224812742201</v>
      </c>
      <c r="Z172" s="380">
        <f t="shared" si="62"/>
        <v>117.52985063141334</v>
      </c>
      <c r="AA172" s="381">
        <f t="shared" si="63"/>
        <v>123.81679284204466</v>
      </c>
      <c r="AB172" s="193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5.0776167483611787E-2</v>
      </c>
      <c r="AD172" s="227">
        <f>(INDEX(Models!$BJ172:$BT172,,AH172)*(1-AF172)+INDEX(Models!$BJ172:$BT172,,AH172+1)*AF172-ERP_i)*AE172*Ramure*Pc/MaxiM</f>
        <v>7.3578565292423676E-5</v>
      </c>
      <c r="AE172" s="301">
        <f t="shared" si="65"/>
        <v>0.5</v>
      </c>
      <c r="AF172" s="173">
        <f t="shared" si="66"/>
        <v>0.22384577616616519</v>
      </c>
      <c r="AG172" s="801">
        <f t="shared" si="74"/>
        <v>1</v>
      </c>
      <c r="AH172" s="172">
        <f t="shared" si="67"/>
        <v>7</v>
      </c>
      <c r="AI172" s="221">
        <f t="shared" si="68"/>
        <v>1.2238457761661652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customHeight="1" x14ac:dyDescent="0.2">
      <c r="A173" s="56">
        <f t="shared" si="71"/>
        <v>45450</v>
      </c>
      <c r="B173" s="406">
        <f>'2023'!Wh/'2023'!Env_an*'2024'!Env_an</f>
        <v>91.763938358314974</v>
      </c>
      <c r="C173" s="385"/>
      <c r="D173" s="388">
        <f t="shared" si="50"/>
        <v>93.061872407428226</v>
      </c>
      <c r="E173" s="380">
        <f t="shared" si="75"/>
        <v>94.34300147221812</v>
      </c>
      <c r="F173" s="380">
        <f t="shared" si="51"/>
        <v>94.343731289371235</v>
      </c>
      <c r="G173" s="110">
        <f t="shared" si="76"/>
        <v>0.37455823088249834</v>
      </c>
      <c r="H173" s="409" t="b">
        <f>Wh_hp&gt;='2023'!Maxi_hp</f>
        <v>0</v>
      </c>
      <c r="I173" s="375">
        <f>IF(H173,Wh_hp,'2023'!Maxi_hp)</f>
        <v>94.348824057543851</v>
      </c>
      <c r="J173" s="85">
        <f>IF(H173,An,'2023'!An_max)</f>
        <v>2022</v>
      </c>
      <c r="K173" s="193">
        <f t="shared" si="52"/>
        <v>45450</v>
      </c>
      <c r="L173" s="143">
        <f>IF(t&lt;Tvie,1-EXP((T0-t)*PertePVj)+'2023'!Pspv,1-EXP((T0-t)*PertePVj)+Pspv)</f>
        <v>1.3947001231942258E-2</v>
      </c>
      <c r="M173" s="835"/>
      <c r="N173" s="835"/>
      <c r="O173" s="48">
        <f>IF(t&lt;Tnet,'2023'!Resal+('2023'!Salim-'2023'!Resal)*(1-EXP(('2023'!Tnet-t)/('2023'!Tau_j))),Resal+(Salim-Resal)*(1-EXP((Tnet-t)/(Tau_j))))*Salcycl</f>
        <v>1.3579481729412191E-2</v>
      </c>
      <c r="P173" s="165">
        <f>(INDEX(Models!$BJ173:$BT173,,T173)*(1-R173)+INDEX(Models!$BJ173:$BT173,,T173+1)*R173-ERP_i)*Q173*Ramure*Pc/MaxiM</f>
        <v>7.26042340840364E-5</v>
      </c>
      <c r="Q173" s="301">
        <f t="shared" si="53"/>
        <v>0.5</v>
      </c>
      <c r="R173" s="173">
        <f t="shared" si="54"/>
        <v>0.22897788211943171</v>
      </c>
      <c r="S173" s="801">
        <f t="shared" si="55"/>
        <v>1</v>
      </c>
      <c r="T173" s="172">
        <f t="shared" si="56"/>
        <v>7</v>
      </c>
      <c r="U173" s="247">
        <f t="shared" si="57"/>
        <v>1.2289778821194317</v>
      </c>
      <c r="V173" s="378">
        <f t="shared" si="58"/>
        <v>244.9765567991904</v>
      </c>
      <c r="W173" s="397">
        <f t="shared" si="59"/>
        <v>91.763938358314974</v>
      </c>
      <c r="X173" s="153">
        <f t="shared" si="60"/>
        <v>45450</v>
      </c>
      <c r="Y173" s="380">
        <f t="shared" si="61"/>
        <v>88.297459471182719</v>
      </c>
      <c r="Z173" s="380">
        <f t="shared" si="62"/>
        <v>89.546362702104929</v>
      </c>
      <c r="AA173" s="381">
        <f t="shared" si="63"/>
        <v>94.34300147221812</v>
      </c>
      <c r="AB173" s="193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5.0842550006485548E-2</v>
      </c>
      <c r="AD173" s="227">
        <f>(INDEX(Models!$BJ173:$BT173,,AH173)*(1-AF173)+INDEX(Models!$BJ173:$BT173,,AH173+1)*AF173-ERP_i)*AE173*Ramure*Pc/MaxiM</f>
        <v>7.26042340840364E-5</v>
      </c>
      <c r="AE173" s="301">
        <f t="shared" si="65"/>
        <v>0.5</v>
      </c>
      <c r="AF173" s="173">
        <f t="shared" si="66"/>
        <v>0.22897788211943171</v>
      </c>
      <c r="AG173" s="801">
        <f t="shared" si="74"/>
        <v>1</v>
      </c>
      <c r="AH173" s="172">
        <f t="shared" si="67"/>
        <v>7</v>
      </c>
      <c r="AI173" s="221">
        <f t="shared" si="68"/>
        <v>1.2289778821194317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customHeight="1" x14ac:dyDescent="0.2">
      <c r="A174" s="56">
        <f t="shared" si="71"/>
        <v>45451</v>
      </c>
      <c r="B174" s="406">
        <f>'2023'!Wh/'2023'!Env_an*'2024'!Env_an</f>
        <v>194.67091754010235</v>
      </c>
      <c r="C174" s="385"/>
      <c r="D174" s="388">
        <f t="shared" si="50"/>
        <v>197.4270984431725</v>
      </c>
      <c r="E174" s="380">
        <f t="shared" si="75"/>
        <v>200.16204896572512</v>
      </c>
      <c r="F174" s="380">
        <f t="shared" si="51"/>
        <v>200.17217205172597</v>
      </c>
      <c r="G174" s="110">
        <f t="shared" si="76"/>
        <v>0.79454084158120686</v>
      </c>
      <c r="H174" s="409" t="b">
        <f>Wh_hp&gt;='2023'!Maxi_hp</f>
        <v>0</v>
      </c>
      <c r="I174" s="375">
        <f>IF(H174,Wh_hp,'2023'!Maxi_hp)</f>
        <v>200.17566222023561</v>
      </c>
      <c r="J174" s="85">
        <f>IF(H174,An,'2023'!An_max)</f>
        <v>2022</v>
      </c>
      <c r="K174" s="193">
        <f t="shared" si="52"/>
        <v>45451</v>
      </c>
      <c r="L174" s="143">
        <f>IF(t&lt;Tvie,1-EXP((T0-t)*PertePVj)+'2023'!Pspv,1-EXP((T0-t)*PertePVj)+Pspv)</f>
        <v>1.3960499469445886E-2</v>
      </c>
      <c r="M174" s="835"/>
      <c r="N174" s="835"/>
      <c r="O174" s="48">
        <f>IF(t&lt;Tnet,'2023'!Resal+('2023'!Salim-'2023'!Resal)*(1-EXP(('2023'!Tnet-t)/('2023'!Tau_j))),Resal+(Salim-Resal)*(1-EXP((Tnet-t)/(Tau_j))))*Salcycl</f>
        <v>1.36636816853376E-2</v>
      </c>
      <c r="P174" s="165">
        <f>(INDEX(Models!$BJ174:$BT174,,T174)*(1-R174)+INDEX(Models!$BJ174:$BT174,,T174+1)*R174-ERP_i)*Q174*Ramure*Pc/MaxiM</f>
        <v>7.1579793665710911E-5</v>
      </c>
      <c r="Q174" s="301">
        <f t="shared" si="53"/>
        <v>0.5</v>
      </c>
      <c r="R174" s="173">
        <f t="shared" si="54"/>
        <v>0.23411865676373744</v>
      </c>
      <c r="S174" s="801">
        <f t="shared" si="55"/>
        <v>1</v>
      </c>
      <c r="T174" s="172">
        <f t="shared" si="56"/>
        <v>7</v>
      </c>
      <c r="U174" s="247">
        <f t="shared" si="57"/>
        <v>1.2341186567637374</v>
      </c>
      <c r="V174" s="378">
        <f t="shared" si="58"/>
        <v>245.00543901417871</v>
      </c>
      <c r="W174" s="397">
        <f t="shared" si="59"/>
        <v>194.67091754010235</v>
      </c>
      <c r="X174" s="153">
        <f t="shared" si="60"/>
        <v>45451</v>
      </c>
      <c r="Y174" s="380">
        <f t="shared" si="61"/>
        <v>187.32002323102813</v>
      </c>
      <c r="Z174" s="380">
        <f t="shared" si="62"/>
        <v>189.972129037668</v>
      </c>
      <c r="AA174" s="381">
        <f t="shared" si="63"/>
        <v>200.16204896572512</v>
      </c>
      <c r="AB174" s="193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5.0908351411820207E-2</v>
      </c>
      <c r="AD174" s="227">
        <f>(INDEX(Models!$BJ174:$BT174,,AH174)*(1-AF174)+INDEX(Models!$BJ174:$BT174,,AH174+1)*AF174-ERP_i)*AE174*Ramure*Pc/MaxiM</f>
        <v>7.1579793665710911E-5</v>
      </c>
      <c r="AE174" s="301">
        <f t="shared" si="65"/>
        <v>0.5</v>
      </c>
      <c r="AF174" s="173">
        <f t="shared" si="66"/>
        <v>0.23411865676373744</v>
      </c>
      <c r="AG174" s="801">
        <f t="shared" si="74"/>
        <v>1</v>
      </c>
      <c r="AH174" s="172">
        <f t="shared" si="67"/>
        <v>7</v>
      </c>
      <c r="AI174" s="221">
        <f t="shared" si="68"/>
        <v>1.2341186567637374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customHeight="1" x14ac:dyDescent="0.2">
      <c r="A175" s="56">
        <f t="shared" si="71"/>
        <v>45452</v>
      </c>
      <c r="B175" s="406">
        <f>'2023'!Wh/'2023'!Env_an*'2024'!Env_an</f>
        <v>246.09882858706791</v>
      </c>
      <c r="C175" s="385"/>
      <c r="D175" s="388">
        <f t="shared" si="50"/>
        <v>249.58655042426349</v>
      </c>
      <c r="E175" s="380">
        <f t="shared" si="75"/>
        <v>253.06562649249256</v>
      </c>
      <c r="F175" s="380">
        <f t="shared" si="51"/>
        <v>253.083468788971</v>
      </c>
      <c r="G175" s="110">
        <f t="shared" si="76"/>
        <v>1.0044007926630023</v>
      </c>
      <c r="H175" s="409" t="b">
        <f>Wh_hp&gt;='2023'!Maxi_hp</f>
        <v>1</v>
      </c>
      <c r="I175" s="375">
        <f>IF(H175,Wh_hp,'2023'!Maxi_hp)</f>
        <v>253.083468788971</v>
      </c>
      <c r="J175" s="85">
        <f>IF(H175,An,'2023'!An_max)</f>
        <v>2024</v>
      </c>
      <c r="K175" s="193">
        <f t="shared" si="52"/>
        <v>45452</v>
      </c>
      <c r="L175" s="143">
        <f>IF(t&lt;Tvie,1-EXP((T0-t)*PertePVj)+'2023'!Pspv,1-EXP((T0-t)*PertePVj)+Pspv)</f>
        <v>1.3973997522169879E-2</v>
      </c>
      <c r="M175" s="835"/>
      <c r="N175" s="835"/>
      <c r="O175" s="48">
        <f>IF(t&lt;Tnet,'2023'!Resal+('2023'!Salim-'2023'!Resal)*(1-EXP(('2023'!Tnet-t)/('2023'!Tau_j))),Resal+(Salim-Resal)*(1-EXP((Tnet-t)/(Tau_j))))*Salcycl</f>
        <v>1.3747722740734535E-2</v>
      </c>
      <c r="P175" s="165">
        <f>(INDEX(Models!$BJ175:$BT175,,T175)*(1-R175)+INDEX(Models!$BJ175:$BT175,,T175+1)*R175-ERP_i)*Q175*Ramure*Pc/MaxiM</f>
        <v>7.049965200740338E-5</v>
      </c>
      <c r="Q175" s="301">
        <f t="shared" si="53"/>
        <v>0.5</v>
      </c>
      <c r="R175" s="173">
        <f t="shared" si="54"/>
        <v>0.23926377307474911</v>
      </c>
      <c r="S175" s="801">
        <f t="shared" si="55"/>
        <v>1</v>
      </c>
      <c r="T175" s="172">
        <f t="shared" si="56"/>
        <v>7</v>
      </c>
      <c r="U175" s="247">
        <f t="shared" si="57"/>
        <v>1.2392637730747491</v>
      </c>
      <c r="V175" s="378">
        <f t="shared" si="58"/>
        <v>245.02054397485847</v>
      </c>
      <c r="W175" s="397">
        <f t="shared" si="59"/>
        <v>246.09882858706791</v>
      </c>
      <c r="X175" s="153">
        <f t="shared" si="60"/>
        <v>45452</v>
      </c>
      <c r="Y175" s="380">
        <f t="shared" si="61"/>
        <v>236.80989763949108</v>
      </c>
      <c r="Z175" s="380">
        <f t="shared" si="62"/>
        <v>240.16597639859455</v>
      </c>
      <c r="AA175" s="381">
        <f t="shared" si="63"/>
        <v>253.06562649249256</v>
      </c>
      <c r="AB175" s="193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5.0973537072924686E-2</v>
      </c>
      <c r="AD175" s="227">
        <f>(INDEX(Models!$BJ175:$BT175,,AH175)*(1-AF175)+INDEX(Models!$BJ175:$BT175,,AH175+1)*AF175-ERP_i)*AE175*Ramure*Pc/MaxiM</f>
        <v>7.049965200740338E-5</v>
      </c>
      <c r="AE175" s="301">
        <f t="shared" si="65"/>
        <v>0.5</v>
      </c>
      <c r="AF175" s="173">
        <f t="shared" si="66"/>
        <v>0.23926377307474911</v>
      </c>
      <c r="AG175" s="801">
        <f t="shared" si="74"/>
        <v>1</v>
      </c>
      <c r="AH175" s="172">
        <f t="shared" si="67"/>
        <v>7</v>
      </c>
      <c r="AI175" s="221">
        <f t="shared" si="68"/>
        <v>1.2392637730747491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customHeight="1" x14ac:dyDescent="0.2">
      <c r="A176" s="56">
        <f t="shared" si="71"/>
        <v>45453</v>
      </c>
      <c r="B176" s="406">
        <f>'2023'!Wh/'2023'!Env_an*'2024'!Env_an</f>
        <v>233.74111501650469</v>
      </c>
      <c r="C176" s="385"/>
      <c r="D176" s="388">
        <f t="shared" si="50"/>
        <v>237.05694798362077</v>
      </c>
      <c r="E176" s="380">
        <f t="shared" si="75"/>
        <v>240.38181148501315</v>
      </c>
      <c r="F176" s="380">
        <f t="shared" si="51"/>
        <v>240.39738842513574</v>
      </c>
      <c r="G176" s="110">
        <f t="shared" si="76"/>
        <v>0.95395789058157643</v>
      </c>
      <c r="H176" s="409" t="b">
        <f>Wh_hp&gt;='2023'!Maxi_hp</f>
        <v>0</v>
      </c>
      <c r="I176" s="375">
        <f>IF(H176,Wh_hp,'2023'!Maxi_hp)</f>
        <v>240.39829308903109</v>
      </c>
      <c r="J176" s="85">
        <f>IF(H176,An,'2023'!An_max)</f>
        <v>2022</v>
      </c>
      <c r="K176" s="193">
        <f t="shared" si="52"/>
        <v>45453</v>
      </c>
      <c r="L176" s="143">
        <f>IF(t&lt;Tvie,1-EXP((T0-t)*PertePVj)+'2023'!Pspv,1-EXP((T0-t)*PertePVj)+Pspv)</f>
        <v>1.39874953901169E-2</v>
      </c>
      <c r="M176" s="835"/>
      <c r="N176" s="835"/>
      <c r="O176" s="48">
        <f>IF(t&lt;Tnet,'2023'!Resal+('2023'!Salim-'2023'!Resal)*(1-EXP(('2023'!Tnet-t)/('2023'!Tau_j))),Resal+(Salim-Resal)*(1-EXP((Tnet-t)/(Tau_j))))*Salcycl</f>
        <v>1.3831593500574274E-2</v>
      </c>
      <c r="P176" s="165">
        <f>(INDEX(Models!$BJ176:$BT176,,T176)*(1-R176)+INDEX(Models!$BJ176:$BT176,,T176+1)*R176-ERP_i)*Q176*Ramure*Pc/MaxiM</f>
        <v>6.9358193146107719E-5</v>
      </c>
      <c r="Q176" s="301">
        <f t="shared" si="53"/>
        <v>0.5</v>
      </c>
      <c r="R176" s="173">
        <f t="shared" si="54"/>
        <v>0.24440888938576055</v>
      </c>
      <c r="S176" s="801">
        <f t="shared" si="55"/>
        <v>1</v>
      </c>
      <c r="T176" s="172">
        <f t="shared" si="56"/>
        <v>7</v>
      </c>
      <c r="U176" s="247">
        <f t="shared" si="57"/>
        <v>1.2444088893857606</v>
      </c>
      <c r="V176" s="378">
        <f t="shared" si="58"/>
        <v>245.0213484575967</v>
      </c>
      <c r="W176" s="397">
        <f t="shared" si="59"/>
        <v>233.74111501650469</v>
      </c>
      <c r="X176" s="153">
        <f t="shared" si="60"/>
        <v>45453</v>
      </c>
      <c r="Y176" s="380">
        <f t="shared" si="61"/>
        <v>224.92245463815001</v>
      </c>
      <c r="Z176" s="380">
        <f t="shared" si="62"/>
        <v>228.11318678675462</v>
      </c>
      <c r="AA176" s="381">
        <f t="shared" si="63"/>
        <v>240.38181148501315</v>
      </c>
      <c r="AB176" s="193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5.1038074064199336E-2</v>
      </c>
      <c r="AD176" s="227">
        <f>(INDEX(Models!$BJ176:$BT176,,AH176)*(1-AF176)+INDEX(Models!$BJ176:$BT176,,AH176+1)*AF176-ERP_i)*AE176*Ramure*Pc/MaxiM</f>
        <v>6.9358193146107719E-5</v>
      </c>
      <c r="AE176" s="301">
        <f t="shared" si="65"/>
        <v>0.5</v>
      </c>
      <c r="AF176" s="173">
        <f t="shared" si="66"/>
        <v>0.24440888938576055</v>
      </c>
      <c r="AG176" s="801">
        <f t="shared" si="74"/>
        <v>1</v>
      </c>
      <c r="AH176" s="172">
        <f t="shared" si="67"/>
        <v>7</v>
      </c>
      <c r="AI176" s="221">
        <f t="shared" si="68"/>
        <v>1.2444088893857606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customHeight="1" x14ac:dyDescent="0.2">
      <c r="A177" s="56">
        <f t="shared" si="71"/>
        <v>45454</v>
      </c>
      <c r="B177" s="406">
        <f>'2023'!Wh/'2023'!Env_an*'2024'!Env_an</f>
        <v>184.53109808393432</v>
      </c>
      <c r="C177" s="385"/>
      <c r="D177" s="388">
        <f t="shared" si="50"/>
        <v>187.1514035892437</v>
      </c>
      <c r="E177" s="380">
        <f t="shared" si="75"/>
        <v>189.7924187907432</v>
      </c>
      <c r="F177" s="380">
        <f t="shared" si="51"/>
        <v>189.80079255361119</v>
      </c>
      <c r="G177" s="110">
        <f t="shared" si="76"/>
        <v>0.75314697921565277</v>
      </c>
      <c r="H177" s="409" t="b">
        <f>Wh_hp&gt;='2023'!Maxi_hp</f>
        <v>0</v>
      </c>
      <c r="I177" s="375">
        <f>IF(H177,Wh_hp,'2023'!Maxi_hp)</f>
        <v>189.8045422952159</v>
      </c>
      <c r="J177" s="85">
        <f>IF(H177,An,'2023'!An_max)</f>
        <v>2022</v>
      </c>
      <c r="K177" s="193">
        <f t="shared" si="52"/>
        <v>45454</v>
      </c>
      <c r="L177" s="143">
        <f>IF(t&lt;Tvie,1-EXP((T0-t)*PertePVj)+'2023'!Pspv,1-EXP((T0-t)*PertePVj)+Pspv)</f>
        <v>1.4000993073289392E-2</v>
      </c>
      <c r="M177" s="835"/>
      <c r="N177" s="835"/>
      <c r="O177" s="48">
        <f>IF(t&lt;Tnet,'2023'!Resal+('2023'!Salim-'2023'!Resal)*(1-EXP(('2023'!Tnet-t)/('2023'!Tau_j))),Resal+(Salim-Resal)*(1-EXP((Tnet-t)/(Tau_j))))*Salcycl</f>
        <v>1.3915282909226006E-2</v>
      </c>
      <c r="P177" s="165">
        <f>(INDEX(Models!$BJ177:$BT177,,T177)*(1-R177)+INDEX(Models!$BJ177:$BT177,,T177+1)*R177-ERP_i)*Q177*Ramure*Pc/MaxiM</f>
        <v>6.8149745857045099E-5</v>
      </c>
      <c r="Q177" s="301">
        <f t="shared" si="53"/>
        <v>0.5</v>
      </c>
      <c r="R177" s="173">
        <f t="shared" si="54"/>
        <v>0.24954966403006651</v>
      </c>
      <c r="S177" s="801">
        <f t="shared" si="55"/>
        <v>1</v>
      </c>
      <c r="T177" s="172">
        <f t="shared" si="56"/>
        <v>7</v>
      </c>
      <c r="U177" s="247">
        <f t="shared" si="57"/>
        <v>1.2495496640300665</v>
      </c>
      <c r="V177" s="378">
        <f t="shared" si="58"/>
        <v>245.00750650802914</v>
      </c>
      <c r="W177" s="397">
        <f t="shared" si="59"/>
        <v>184.53109808393432</v>
      </c>
      <c r="X177" s="153">
        <f t="shared" si="60"/>
        <v>45454</v>
      </c>
      <c r="Y177" s="380">
        <f t="shared" si="61"/>
        <v>177.57216956509771</v>
      </c>
      <c r="Z177" s="380">
        <f t="shared" si="62"/>
        <v>180.09365964634958</v>
      </c>
      <c r="AA177" s="381">
        <f t="shared" si="63"/>
        <v>189.7924187907432</v>
      </c>
      <c r="AB177" s="193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5.1101931289927148E-2</v>
      </c>
      <c r="AD177" s="227">
        <f>(INDEX(Models!$BJ177:$BT177,,AH177)*(1-AF177)+INDEX(Models!$BJ177:$BT177,,AH177+1)*AF177-ERP_i)*AE177*Ramure*Pc/MaxiM</f>
        <v>6.8149745857045099E-5</v>
      </c>
      <c r="AE177" s="301">
        <f t="shared" si="65"/>
        <v>0.5</v>
      </c>
      <c r="AF177" s="173">
        <f t="shared" si="66"/>
        <v>0.24954966403006651</v>
      </c>
      <c r="AG177" s="801">
        <f t="shared" si="74"/>
        <v>1</v>
      </c>
      <c r="AH177" s="172">
        <f t="shared" si="67"/>
        <v>7</v>
      </c>
      <c r="AI177" s="221">
        <f t="shared" si="68"/>
        <v>1.2495496640300665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customHeight="1" x14ac:dyDescent="0.2">
      <c r="A178" s="56">
        <f t="shared" si="71"/>
        <v>45455</v>
      </c>
      <c r="B178" s="406">
        <f>'2023'!Wh/'2023'!Env_an*'2024'!Env_an</f>
        <v>226.95070457914144</v>
      </c>
      <c r="C178" s="385"/>
      <c r="D178" s="388">
        <f t="shared" si="50"/>
        <v>230.17651112411482</v>
      </c>
      <c r="E178" s="380">
        <f t="shared" si="75"/>
        <v>233.44444867243158</v>
      </c>
      <c r="F178" s="380">
        <f t="shared" si="51"/>
        <v>233.45844413745965</v>
      </c>
      <c r="G178" s="110">
        <f t="shared" si="76"/>
        <v>0.92640096184742171</v>
      </c>
      <c r="H178" s="409" t="b">
        <f>Wh_hp&gt;='2023'!Maxi_hp</f>
        <v>0</v>
      </c>
      <c r="I178" s="375">
        <f>IF(H178,Wh_hp,'2023'!Maxi_hp)</f>
        <v>233.45979077270493</v>
      </c>
      <c r="J178" s="85">
        <f>IF(H178,An,'2023'!An_max)</f>
        <v>2022</v>
      </c>
      <c r="K178" s="193">
        <f t="shared" si="52"/>
        <v>45455</v>
      </c>
      <c r="L178" s="143">
        <f>IF(t&lt;Tvie,1-EXP((T0-t)*PertePVj)+'2023'!Pspv,1-EXP((T0-t)*PertePVj)+Pspv)</f>
        <v>1.4014490571689908E-2</v>
      </c>
      <c r="M178" s="835"/>
      <c r="N178" s="835"/>
      <c r="O178" s="48">
        <f>IF(t&lt;Tnet,'2023'!Resal+('2023'!Salim-'2023'!Resal)*(1-EXP(('2023'!Tnet-t)/('2023'!Tau_j))),Resal+(Salim-Resal)*(1-EXP((Tnet-t)/(Tau_j))))*Salcycl</f>
        <v>1.3998780296130777E-2</v>
      </c>
      <c r="P178" s="165">
        <f>(INDEX(Models!$BJ178:$BT178,,T178)*(1-R178)+INDEX(Models!$BJ178:$BT178,,T178+1)*R178-ERP_i)*Q178*Ramure*Pc/MaxiM</f>
        <v>6.6991368043889998E-5</v>
      </c>
      <c r="Q178" s="301">
        <f t="shared" si="53"/>
        <v>0.5</v>
      </c>
      <c r="R178" s="173">
        <f t="shared" si="54"/>
        <v>0.25468176998333303</v>
      </c>
      <c r="S178" s="801">
        <f t="shared" si="55"/>
        <v>1</v>
      </c>
      <c r="T178" s="172">
        <f t="shared" si="56"/>
        <v>7</v>
      </c>
      <c r="U178" s="247">
        <f t="shared" si="57"/>
        <v>1.254681769983333</v>
      </c>
      <c r="V178" s="378">
        <f t="shared" si="58"/>
        <v>244.97935065705752</v>
      </c>
      <c r="W178" s="397">
        <f t="shared" si="59"/>
        <v>226.95070457914144</v>
      </c>
      <c r="X178" s="153">
        <f t="shared" si="60"/>
        <v>45455</v>
      </c>
      <c r="Y178" s="380">
        <f t="shared" si="61"/>
        <v>218.39603177953137</v>
      </c>
      <c r="Z178" s="380">
        <f t="shared" si="62"/>
        <v>221.50024487293007</v>
      </c>
      <c r="AA178" s="381">
        <f t="shared" si="63"/>
        <v>233.44444867243158</v>
      </c>
      <c r="AB178" s="193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5.1165079604276964E-2</v>
      </c>
      <c r="AD178" s="227">
        <f>(INDEX(Models!$BJ178:$BT178,,AH178)*(1-AF178)+INDEX(Models!$BJ178:$BT178,,AH178+1)*AF178-ERP_i)*AE178*Ramure*Pc/MaxiM</f>
        <v>6.6991368043889998E-5</v>
      </c>
      <c r="AE178" s="301">
        <f t="shared" si="65"/>
        <v>0.5</v>
      </c>
      <c r="AF178" s="173">
        <f t="shared" si="66"/>
        <v>0.25468176998333303</v>
      </c>
      <c r="AG178" s="801">
        <f t="shared" si="74"/>
        <v>1</v>
      </c>
      <c r="AH178" s="172">
        <f t="shared" si="67"/>
        <v>7</v>
      </c>
      <c r="AI178" s="221">
        <f t="shared" si="68"/>
        <v>1.254681769983333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45456</v>
      </c>
      <c r="B179" s="406">
        <f>'2023'!Wh/'2023'!Env_an*'2024'!Env_an</f>
        <v>204.90516073517119</v>
      </c>
      <c r="C179" s="385"/>
      <c r="D179" s="388">
        <f t="shared" si="50"/>
        <v>207.82046368202444</v>
      </c>
      <c r="E179" s="380">
        <f t="shared" si="75"/>
        <v>210.78880756781285</v>
      </c>
      <c r="F179" s="380">
        <f t="shared" si="51"/>
        <v>210.79946163362391</v>
      </c>
      <c r="G179" s="110">
        <f t="shared" si="76"/>
        <v>0.83654844488646929</v>
      </c>
      <c r="H179" s="409" t="b">
        <f>Wh_hp&gt;='2023'!Maxi_hp</f>
        <v>0</v>
      </c>
      <c r="I179" s="375">
        <f>IF(H179,Wh_hp,'2023'!Maxi_hp)</f>
        <v>210.80210938162338</v>
      </c>
      <c r="J179" s="85">
        <f>IF(H179,An,'2023'!An_max)</f>
        <v>2022</v>
      </c>
      <c r="K179" s="193">
        <f t="shared" si="52"/>
        <v>45456</v>
      </c>
      <c r="L179" s="143">
        <f>IF(t&lt;Tvie,1-EXP((T0-t)*PertePVj)+'2023'!Pspv,1-EXP((T0-t)*PertePVj)+Pspv)</f>
        <v>1.4027987885321114E-2</v>
      </c>
      <c r="M179" s="835"/>
      <c r="N179" s="835"/>
      <c r="O179" s="48">
        <f>IF(t&lt;Tnet,'2023'!Resal+('2023'!Salim-'2023'!Resal)*(1-EXP(('2023'!Tnet-t)/('2023'!Tau_j))),Resal+(Salim-Resal)*(1-EXP((Tnet-t)/(Tau_j))))*Salcycl</f>
        <v>1.4082075419651801E-2</v>
      </c>
      <c r="P179" s="165">
        <f>(INDEX(Models!$BJ179:$BT179,,T179)*(1-R179)+INDEX(Models!$BJ179:$BT179,,T179+1)*R179-ERP_i)*Q179*Ramure*Pc/MaxiM</f>
        <v>6.5936296850382112E-5</v>
      </c>
      <c r="Q179" s="301">
        <f t="shared" si="53"/>
        <v>0.5</v>
      </c>
      <c r="R179" s="173">
        <f t="shared" si="54"/>
        <v>0.25980090940115885</v>
      </c>
      <c r="S179" s="801">
        <f t="shared" si="55"/>
        <v>1</v>
      </c>
      <c r="T179" s="172">
        <f t="shared" si="56"/>
        <v>7</v>
      </c>
      <c r="U179" s="247">
        <f t="shared" si="57"/>
        <v>1.2598009094011589</v>
      </c>
      <c r="V179" s="378">
        <f t="shared" si="58"/>
        <v>244.93740595809493</v>
      </c>
      <c r="W179" s="397">
        <f t="shared" si="59"/>
        <v>204.90516073517119</v>
      </c>
      <c r="X179" s="153">
        <f t="shared" si="60"/>
        <v>45456</v>
      </c>
      <c r="Y179" s="380">
        <f t="shared" si="61"/>
        <v>197.18515955743371</v>
      </c>
      <c r="Z179" s="380">
        <f t="shared" si="62"/>
        <v>199.99062563096265</v>
      </c>
      <c r="AA179" s="381">
        <f t="shared" si="63"/>
        <v>210.78880756781285</v>
      </c>
      <c r="AB179" s="193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5.1227491921630272E-2</v>
      </c>
      <c r="AD179" s="227">
        <f>(INDEX(Models!$BJ179:$BT179,,AH179)*(1-AF179)+INDEX(Models!$BJ179:$BT179,,AH179+1)*AF179-ERP_i)*AE179*Ramure*Pc/MaxiM</f>
        <v>6.5936296850382112E-5</v>
      </c>
      <c r="AE179" s="301">
        <f t="shared" si="65"/>
        <v>0.5</v>
      </c>
      <c r="AF179" s="173">
        <f t="shared" si="66"/>
        <v>0.25980090940115885</v>
      </c>
      <c r="AG179" s="801">
        <f t="shared" si="74"/>
        <v>1</v>
      </c>
      <c r="AH179" s="172">
        <f t="shared" si="67"/>
        <v>7</v>
      </c>
      <c r="AI179" s="221">
        <f t="shared" si="68"/>
        <v>1.2598009094011589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45457</v>
      </c>
      <c r="B180" s="406">
        <f>'2023'!Wh/'2023'!Env_an*'2024'!Env_an</f>
        <v>230.01225414909413</v>
      </c>
      <c r="C180" s="385"/>
      <c r="D180" s="388">
        <f t="shared" si="50"/>
        <v>233.28796359388753</v>
      </c>
      <c r="E180" s="380">
        <f t="shared" si="75"/>
        <v>236.64000679972409</v>
      </c>
      <c r="F180" s="380">
        <f t="shared" si="51"/>
        <v>236.65405258118597</v>
      </c>
      <c r="G180" s="110">
        <f t="shared" si="76"/>
        <v>0.93927181670718041</v>
      </c>
      <c r="H180" s="409" t="b">
        <f>Wh_hp&gt;='2023'!Maxi_hp</f>
        <v>0</v>
      </c>
      <c r="I180" s="375">
        <f>IF(H180,Wh_hp,'2023'!Maxi_hp)</f>
        <v>236.65513691987971</v>
      </c>
      <c r="J180" s="85">
        <f>IF(H180,An,'2023'!An_max)</f>
        <v>2022</v>
      </c>
      <c r="K180" s="193">
        <f t="shared" si="52"/>
        <v>45457</v>
      </c>
      <c r="L180" s="143">
        <f>IF(t&lt;Tvie,1-EXP((T0-t)*PertePVj)+'2023'!Pspv,1-EXP((T0-t)*PertePVj)+Pspv)</f>
        <v>1.404148501418534E-2</v>
      </c>
      <c r="M180" s="835"/>
      <c r="N180" s="835"/>
      <c r="O180" s="48">
        <f>IF(t&lt;Tnet,'2023'!Resal+('2023'!Salim-'2023'!Resal)*(1-EXP(('2023'!Tnet-t)/('2023'!Tau_j))),Resal+(Salim-Resal)*(1-EXP((Tnet-t)/(Tau_j))))*Salcycl</f>
        <v>1.4165158508778711E-2</v>
      </c>
      <c r="P180" s="165">
        <f>(INDEX(Models!$BJ180:$BT180,,T180)*(1-R180)+INDEX(Models!$BJ180:$BT180,,T180+1)*R180-ERP_i)*Q180*Ramure*Pc/MaxiM</f>
        <v>6.4989148249927319E-5</v>
      </c>
      <c r="Q180" s="301">
        <f t="shared" si="53"/>
        <v>0.5</v>
      </c>
      <c r="R180" s="173">
        <f t="shared" si="54"/>
        <v>0.264902827948299</v>
      </c>
      <c r="S180" s="801">
        <f t="shared" si="55"/>
        <v>1</v>
      </c>
      <c r="T180" s="172">
        <f t="shared" si="56"/>
        <v>7</v>
      </c>
      <c r="U180" s="247">
        <f t="shared" si="57"/>
        <v>1.264902827948299</v>
      </c>
      <c r="V180" s="378">
        <f t="shared" si="58"/>
        <v>244.88220902711717</v>
      </c>
      <c r="W180" s="397">
        <f t="shared" si="59"/>
        <v>230.01225414909413</v>
      </c>
      <c r="X180" s="153">
        <f t="shared" si="60"/>
        <v>45457</v>
      </c>
      <c r="Y180" s="380">
        <f t="shared" si="61"/>
        <v>221.3505888587064</v>
      </c>
      <c r="Z180" s="380">
        <f t="shared" si="62"/>
        <v>224.50294357657742</v>
      </c>
      <c r="AA180" s="381">
        <f t="shared" si="63"/>
        <v>236.64000679972409</v>
      </c>
      <c r="AB180" s="193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5.1289143316407403E-2</v>
      </c>
      <c r="AD180" s="227">
        <f>(INDEX(Models!$BJ180:$BT180,,AH180)*(1-AF180)+INDEX(Models!$BJ180:$BT180,,AH180+1)*AF180-ERP_i)*AE180*Ramure*Pc/MaxiM</f>
        <v>6.4989148249927319E-5</v>
      </c>
      <c r="AE180" s="301">
        <f t="shared" si="65"/>
        <v>0.5</v>
      </c>
      <c r="AF180" s="173">
        <f t="shared" si="66"/>
        <v>0.264902827948299</v>
      </c>
      <c r="AG180" s="801">
        <f t="shared" si="74"/>
        <v>1</v>
      </c>
      <c r="AH180" s="172">
        <f t="shared" si="67"/>
        <v>7</v>
      </c>
      <c r="AI180" s="221">
        <f t="shared" si="68"/>
        <v>1.264902827948299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45458</v>
      </c>
      <c r="B181" s="406">
        <f>'2023'!Wh/'2023'!Env_an*'2024'!Env_an</f>
        <v>217.14150450278939</v>
      </c>
      <c r="C181" s="385"/>
      <c r="D181" s="388">
        <f t="shared" si="50"/>
        <v>220.23693058876256</v>
      </c>
      <c r="E181" s="380">
        <f t="shared" si="75"/>
        <v>223.42022651206801</v>
      </c>
      <c r="F181" s="380">
        <f t="shared" si="51"/>
        <v>223.43224603496765</v>
      </c>
      <c r="G181" s="110">
        <f t="shared" si="76"/>
        <v>0.88695496258900974</v>
      </c>
      <c r="H181" s="409" t="b">
        <f>Wh_hp&gt;='2023'!Maxi_hp</f>
        <v>0</v>
      </c>
      <c r="I181" s="375">
        <f>IF(H181,Wh_hp,'2023'!Maxi_hp)</f>
        <v>223.43412002799909</v>
      </c>
      <c r="J181" s="85">
        <f>IF(H181,An,'2023'!An_max)</f>
        <v>2022</v>
      </c>
      <c r="K181" s="193">
        <f t="shared" si="52"/>
        <v>45458</v>
      </c>
      <c r="L181" s="143">
        <f>IF(t&lt;Tvie,1-EXP((T0-t)*PertePVj)+'2023'!Pspv,1-EXP((T0-t)*PertePVj)+Pspv)</f>
        <v>1.4054981958285251E-2</v>
      </c>
      <c r="M181" s="835"/>
      <c r="N181" s="835"/>
      <c r="O181" s="48">
        <f>IF(t&lt;Tnet,'2023'!Resal+('2023'!Salim-'2023'!Resal)*(1-EXP(('2023'!Tnet-t)/('2023'!Tau_j))),Resal+(Salim-Resal)*(1-EXP((Tnet-t)/(Tau_j))))*Salcycl</f>
        <v>1.4248020302376228E-2</v>
      </c>
      <c r="P181" s="165">
        <f>(INDEX(Models!$BJ181:$BT181,,T181)*(1-R181)+INDEX(Models!$BJ181:$BT181,,T181+1)*R181-ERP_i)*Q181*Ramure*Pc/MaxiM</f>
        <v>6.4154605688510708E-5</v>
      </c>
      <c r="Q181" s="301">
        <f t="shared" si="53"/>
        <v>0.5</v>
      </c>
      <c r="R181" s="173">
        <f t="shared" si="54"/>
        <v>0.2699833288185709</v>
      </c>
      <c r="S181" s="801">
        <f t="shared" si="55"/>
        <v>1</v>
      </c>
      <c r="T181" s="172">
        <f t="shared" si="56"/>
        <v>7</v>
      </c>
      <c r="U181" s="247">
        <f t="shared" si="57"/>
        <v>1.2699833288185709</v>
      </c>
      <c r="V181" s="378">
        <f t="shared" si="58"/>
        <v>244.81429613203662</v>
      </c>
      <c r="W181" s="397">
        <f t="shared" si="59"/>
        <v>217.14150450278939</v>
      </c>
      <c r="X181" s="153">
        <f t="shared" si="60"/>
        <v>45458</v>
      </c>
      <c r="Y181" s="380">
        <f t="shared" si="61"/>
        <v>208.96867576868561</v>
      </c>
      <c r="Z181" s="380">
        <f t="shared" si="62"/>
        <v>211.94759539810795</v>
      </c>
      <c r="AA181" s="381">
        <f t="shared" si="63"/>
        <v>223.42022651206801</v>
      </c>
      <c r="AB181" s="193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5.1350011111641024E-2</v>
      </c>
      <c r="AD181" s="227">
        <f>(INDEX(Models!$BJ181:$BT181,,AH181)*(1-AF181)+INDEX(Models!$BJ181:$BT181,,AH181+1)*AF181-ERP_i)*AE181*Ramure*Pc/MaxiM</f>
        <v>6.4154605688510708E-5</v>
      </c>
      <c r="AE181" s="301">
        <f t="shared" si="65"/>
        <v>0.5</v>
      </c>
      <c r="AF181" s="173">
        <f t="shared" si="66"/>
        <v>0.2699833288185709</v>
      </c>
      <c r="AG181" s="801">
        <f t="shared" si="74"/>
        <v>1</v>
      </c>
      <c r="AH181" s="172">
        <f t="shared" si="67"/>
        <v>7</v>
      </c>
      <c r="AI181" s="221">
        <f t="shared" si="68"/>
        <v>1.2699833288185709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45459</v>
      </c>
      <c r="B182" s="406">
        <f>'2023'!Wh/'2023'!Env_an*'2024'!Env_an</f>
        <v>223.91323513522988</v>
      </c>
      <c r="C182" s="385"/>
      <c r="D182" s="388">
        <f t="shared" si="50"/>
        <v>227.10830346918164</v>
      </c>
      <c r="E182" s="380">
        <f t="shared" si="75"/>
        <v>230.41023234591216</v>
      </c>
      <c r="F182" s="380">
        <f t="shared" si="51"/>
        <v>230.42307322859892</v>
      </c>
      <c r="G182" s="110">
        <f t="shared" si="76"/>
        <v>0.91491710502911117</v>
      </c>
      <c r="H182" s="409" t="b">
        <f>Wh_hp&gt;='2023'!Maxi_hp</f>
        <v>0</v>
      </c>
      <c r="I182" s="375">
        <f>IF(H182,Wh_hp,'2023'!Maxi_hp)</f>
        <v>230.42450598250218</v>
      </c>
      <c r="J182" s="85">
        <f>IF(H182,An,'2023'!An_max)</f>
        <v>2022</v>
      </c>
      <c r="K182" s="193">
        <f t="shared" si="52"/>
        <v>45459</v>
      </c>
      <c r="L182" s="143">
        <f>IF(t&lt;Tvie,1-EXP((T0-t)*PertePVj)+'2023'!Pspv,1-EXP((T0-t)*PertePVj)+Pspv)</f>
        <v>1.4068478717623401E-2</v>
      </c>
      <c r="M182" s="835"/>
      <c r="N182" s="835"/>
      <c r="O182" s="48">
        <f>IF(t&lt;Tnet,'2023'!Resal+('2023'!Salim-'2023'!Resal)*(1-EXP(('2023'!Tnet-t)/('2023'!Tau_j))),Resal+(Salim-Resal)*(1-EXP((Tnet-t)/(Tau_j))))*Salcycl</f>
        <v>1.4330652085682478E-2</v>
      </c>
      <c r="P182" s="165">
        <f>(INDEX(Models!$BJ182:$BT182,,T182)*(1-R182)+INDEX(Models!$BJ182:$BT182,,T182+1)*R182-ERP_i)*Q182*Ramure*Pc/MaxiM</f>
        <v>6.3437403287058814E-5</v>
      </c>
      <c r="Q182" s="301">
        <f t="shared" si="53"/>
        <v>0.5</v>
      </c>
      <c r="R182" s="173">
        <f t="shared" si="54"/>
        <v>0.27503828634823058</v>
      </c>
      <c r="S182" s="801">
        <f t="shared" si="55"/>
        <v>1</v>
      </c>
      <c r="T182" s="172">
        <f t="shared" si="56"/>
        <v>7</v>
      </c>
      <c r="U182" s="247">
        <f t="shared" si="57"/>
        <v>1.2750382863482306</v>
      </c>
      <c r="V182" s="378">
        <f t="shared" si="58"/>
        <v>244.73420317562014</v>
      </c>
      <c r="W182" s="397">
        <f t="shared" si="59"/>
        <v>223.91323513522988</v>
      </c>
      <c r="X182" s="153">
        <f t="shared" si="60"/>
        <v>45459</v>
      </c>
      <c r="Y182" s="380">
        <f t="shared" si="61"/>
        <v>215.48995044110393</v>
      </c>
      <c r="Z182" s="380">
        <f t="shared" si="62"/>
        <v>218.56482503046612</v>
      </c>
      <c r="AA182" s="381">
        <f t="shared" si="63"/>
        <v>230.41023234591216</v>
      </c>
      <c r="AB182" s="193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5.1410074955623768E-2</v>
      </c>
      <c r="AD182" s="227">
        <f>(INDEX(Models!$BJ182:$BT182,,AH182)*(1-AF182)+INDEX(Models!$BJ182:$BT182,,AH182+1)*AF182-ERP_i)*AE182*Ramure*Pc/MaxiM</f>
        <v>6.3437403287058814E-5</v>
      </c>
      <c r="AE182" s="301">
        <f t="shared" si="65"/>
        <v>0.5</v>
      </c>
      <c r="AF182" s="173">
        <f t="shared" si="66"/>
        <v>0.27503828634823058</v>
      </c>
      <c r="AG182" s="801">
        <f t="shared" si="74"/>
        <v>1</v>
      </c>
      <c r="AH182" s="172">
        <f t="shared" si="67"/>
        <v>7</v>
      </c>
      <c r="AI182" s="221">
        <f t="shared" si="68"/>
        <v>1.2750382863482306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45460</v>
      </c>
      <c r="B183" s="406">
        <f>'2023'!Wh/'2023'!Env_an*'2024'!Env_an</f>
        <v>230.84209612503912</v>
      </c>
      <c r="C183" s="385"/>
      <c r="D183" s="388">
        <f t="shared" si="50"/>
        <v>234.13923910505147</v>
      </c>
      <c r="E183" s="380">
        <f t="shared" si="75"/>
        <v>237.56324907627786</v>
      </c>
      <c r="F183" s="380">
        <f t="shared" si="51"/>
        <v>237.57697581884315</v>
      </c>
      <c r="G183" s="110">
        <f t="shared" si="76"/>
        <v>0.94358486113695972</v>
      </c>
      <c r="H183" s="409" t="b">
        <f>Wh_hp&gt;='2023'!Maxi_hp</f>
        <v>0</v>
      </c>
      <c r="I183" s="375">
        <f>IF(H183,Wh_hp,'2023'!Maxi_hp)</f>
        <v>237.57794236873499</v>
      </c>
      <c r="J183" s="85">
        <f>IF(H183,An,'2023'!An_max)</f>
        <v>2022</v>
      </c>
      <c r="K183" s="193">
        <f t="shared" si="52"/>
        <v>45460</v>
      </c>
      <c r="L183" s="143">
        <f>IF(t&lt;Tvie,1-EXP((T0-t)*PertePVj)+'2023'!Pspv,1-EXP((T0-t)*PertePVj)+Pspv)</f>
        <v>1.408197529220212E-2</v>
      </c>
      <c r="M183" s="835"/>
      <c r="N183" s="835"/>
      <c r="O183" s="48">
        <f>IF(t&lt;Tnet,'2023'!Resal+('2023'!Salim-'2023'!Resal)*(1-EXP(('2023'!Tnet-t)/('2023'!Tau_j))),Resal+(Salim-Resal)*(1-EXP((Tnet-t)/(Tau_j))))*Salcycl</f>
        <v>1.4413045723781093E-2</v>
      </c>
      <c r="P183" s="165">
        <f>(INDEX(Models!$BJ183:$BT183,,T183)*(1-R183)+INDEX(Models!$BJ183:$BT183,,T183+1)*R183-ERP_i)*Q183*Ramure*Pc/MaxiM</f>
        <v>6.2842309110011112E-5</v>
      </c>
      <c r="Q183" s="301">
        <f t="shared" si="53"/>
        <v>0.5</v>
      </c>
      <c r="R183" s="173">
        <f t="shared" si="54"/>
        <v>0.28006365913050257</v>
      </c>
      <c r="S183" s="801">
        <f t="shared" si="55"/>
        <v>1</v>
      </c>
      <c r="T183" s="172">
        <f t="shared" si="56"/>
        <v>7</v>
      </c>
      <c r="U183" s="247">
        <f t="shared" si="57"/>
        <v>1.2800636591305026</v>
      </c>
      <c r="V183" s="378">
        <f t="shared" si="58"/>
        <v>244.64246569524167</v>
      </c>
      <c r="W183" s="397">
        <f t="shared" si="59"/>
        <v>230.84209612503912</v>
      </c>
      <c r="X183" s="153">
        <f t="shared" si="60"/>
        <v>45460</v>
      </c>
      <c r="Y183" s="380">
        <f t="shared" si="61"/>
        <v>222.16285450910638</v>
      </c>
      <c r="Z183" s="380">
        <f t="shared" si="62"/>
        <v>225.33603092909277</v>
      </c>
      <c r="AA183" s="381">
        <f t="shared" si="63"/>
        <v>237.56324907627786</v>
      </c>
      <c r="AB183" s="193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5.1469316886043677E-2</v>
      </c>
      <c r="AD183" s="227">
        <f>(INDEX(Models!$BJ183:$BT183,,AH183)*(1-AF183)+INDEX(Models!$BJ183:$BT183,,AH183+1)*AF183-ERP_i)*AE183*Ramure*Pc/MaxiM</f>
        <v>6.2842309110011112E-5</v>
      </c>
      <c r="AE183" s="301">
        <f t="shared" si="65"/>
        <v>0.5</v>
      </c>
      <c r="AF183" s="173">
        <f t="shared" si="66"/>
        <v>0.28006365913050257</v>
      </c>
      <c r="AG183" s="801">
        <f t="shared" si="74"/>
        <v>1</v>
      </c>
      <c r="AH183" s="172">
        <f t="shared" si="67"/>
        <v>7</v>
      </c>
      <c r="AI183" s="221">
        <f t="shared" si="68"/>
        <v>1.2800636591305026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45461</v>
      </c>
      <c r="B184" s="406">
        <f>'2023'!Wh/'2023'!Env_an*'2024'!Env_an</f>
        <v>235.22398170394763</v>
      </c>
      <c r="C184" s="385"/>
      <c r="D184" s="388">
        <f t="shared" si="50"/>
        <v>238.58697769170072</v>
      </c>
      <c r="E184" s="380">
        <f t="shared" si="75"/>
        <v>242.09620913516346</v>
      </c>
      <c r="F184" s="380">
        <f t="shared" si="51"/>
        <v>242.11051909961182</v>
      </c>
      <c r="G184" s="110">
        <f t="shared" si="76"/>
        <v>0.9619022627703554</v>
      </c>
      <c r="H184" s="409" t="b">
        <f>Wh_hp&gt;='2023'!Maxi_hp</f>
        <v>0</v>
      </c>
      <c r="I184" s="375">
        <f>IF(H184,Wh_hp,'2023'!Maxi_hp)</f>
        <v>242.11117824883087</v>
      </c>
      <c r="J184" s="85">
        <f>IF(H184,An,'2023'!An_max)</f>
        <v>2022</v>
      </c>
      <c r="K184" s="193">
        <f t="shared" si="52"/>
        <v>45461</v>
      </c>
      <c r="L184" s="143">
        <f>IF(t&lt;Tvie,1-EXP((T0-t)*PertePVj)+'2023'!Pspv,1-EXP((T0-t)*PertePVj)+Pspv)</f>
        <v>1.4095471682024185E-2</v>
      </c>
      <c r="M184" s="835"/>
      <c r="N184" s="835"/>
      <c r="O184" s="48">
        <f>IF(t&lt;Tnet,'2023'!Resal+('2023'!Salim-'2023'!Resal)*(1-EXP(('2023'!Tnet-t)/('2023'!Tau_j))),Resal+(Salim-Resal)*(1-EXP((Tnet-t)/(Tau_j))))*Salcycl</f>
        <v>1.4495193691791905E-2</v>
      </c>
      <c r="P184" s="165">
        <f>(INDEX(Models!$BJ184:$BT184,,T184)*(1-R184)+INDEX(Models!$BJ184:$BT184,,T184+1)*R184-ERP_i)*Q184*Ramure*Pc/MaxiM</f>
        <v>6.2506750653249426E-5</v>
      </c>
      <c r="Q184" s="301">
        <f t="shared" si="53"/>
        <v>0.5</v>
      </c>
      <c r="R184" s="173">
        <f t="shared" si="54"/>
        <v>0.28505550254491507</v>
      </c>
      <c r="S184" s="801">
        <f t="shared" si="55"/>
        <v>1</v>
      </c>
      <c r="T184" s="172">
        <f t="shared" si="56"/>
        <v>7</v>
      </c>
      <c r="U184" s="247">
        <f t="shared" si="57"/>
        <v>1.2850555025449151</v>
      </c>
      <c r="V184" s="378">
        <f t="shared" si="58"/>
        <v>244.53958641020537</v>
      </c>
      <c r="W184" s="397">
        <f t="shared" si="59"/>
        <v>235.22398170394763</v>
      </c>
      <c r="X184" s="153">
        <f t="shared" si="60"/>
        <v>45461</v>
      </c>
      <c r="Y184" s="380">
        <f t="shared" si="61"/>
        <v>226.38491916474428</v>
      </c>
      <c r="Z184" s="380">
        <f t="shared" si="62"/>
        <v>229.62154312342318</v>
      </c>
      <c r="AA184" s="381">
        <f t="shared" si="63"/>
        <v>242.09620913516346</v>
      </c>
      <c r="AB184" s="193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5.1527721381112612E-2</v>
      </c>
      <c r="AD184" s="227">
        <f>(INDEX(Models!$BJ184:$BT184,,AH184)*(1-AF184)+INDEX(Models!$BJ184:$BT184,,AH184+1)*AF184-ERP_i)*AE184*Ramure*Pc/MaxiM</f>
        <v>6.2506750653249426E-5</v>
      </c>
      <c r="AE184" s="301">
        <f t="shared" si="65"/>
        <v>0.5</v>
      </c>
      <c r="AF184" s="173">
        <f t="shared" si="66"/>
        <v>0.28505550254491507</v>
      </c>
      <c r="AG184" s="801">
        <f t="shared" si="74"/>
        <v>1</v>
      </c>
      <c r="AH184" s="172">
        <f t="shared" si="67"/>
        <v>7</v>
      </c>
      <c r="AI184" s="221">
        <f t="shared" si="68"/>
        <v>1.2850555025449151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45462</v>
      </c>
      <c r="B185" s="406">
        <f>'2023'!Wh/'2023'!Env_an*'2024'!Env_an</f>
        <v>126.67395079146911</v>
      </c>
      <c r="C185" s="385"/>
      <c r="D185" s="388">
        <f t="shared" si="50"/>
        <v>128.48676645327464</v>
      </c>
      <c r="E185" s="380">
        <f t="shared" si="75"/>
        <v>130.38743572150952</v>
      </c>
      <c r="F185" s="380">
        <f t="shared" si="51"/>
        <v>130.38997299801028</v>
      </c>
      <c r="G185" s="110">
        <f t="shared" si="76"/>
        <v>0.51822823590527267</v>
      </c>
      <c r="H185" s="409" t="b">
        <f>Wh_hp&gt;='2023'!Maxi_hp</f>
        <v>0</v>
      </c>
      <c r="I185" s="375">
        <f>IF(H185,Wh_hp,'2023'!Maxi_hp)</f>
        <v>130.39443966361594</v>
      </c>
      <c r="J185" s="85">
        <f>IF(H185,An,'2023'!An_max)</f>
        <v>2022</v>
      </c>
      <c r="K185" s="193">
        <f t="shared" si="52"/>
        <v>45462</v>
      </c>
      <c r="L185" s="143">
        <f>IF(t&lt;Tvie,1-EXP((T0-t)*PertePVj)+'2023'!Pspv,1-EXP((T0-t)*PertePVj)+Pspv)</f>
        <v>1.4108967887091928E-2</v>
      </c>
      <c r="M185" s="835"/>
      <c r="N185" s="835"/>
      <c r="O185" s="48">
        <f>IF(t&lt;Tnet,'2023'!Resal+('2023'!Salim-'2023'!Resal)*(1-EXP(('2023'!Tnet-t)/('2023'!Tau_j))),Resal+(Salim-Resal)*(1-EXP((Tnet-t)/(Tau_j))))*Salcycl</f>
        <v>1.4577089101548521E-2</v>
      </c>
      <c r="P185" s="165">
        <f>(INDEX(Models!$BJ185:$BT185,,T185)*(1-R185)+INDEX(Models!$BJ185:$BT185,,T185+1)*R185-ERP_i)*Q185*Ramure*Pc/MaxiM</f>
        <v>6.2411755918823802E-5</v>
      </c>
      <c r="Q185" s="301">
        <f t="shared" si="53"/>
        <v>0.5</v>
      </c>
      <c r="R185" s="173">
        <f t="shared" si="54"/>
        <v>0.29000998062199734</v>
      </c>
      <c r="S185" s="801">
        <f t="shared" si="55"/>
        <v>1</v>
      </c>
      <c r="T185" s="172">
        <f t="shared" si="56"/>
        <v>7</v>
      </c>
      <c r="U185" s="247">
        <f t="shared" si="57"/>
        <v>1.2900099806219973</v>
      </c>
      <c r="V185" s="378">
        <f t="shared" si="58"/>
        <v>244.42610597342536</v>
      </c>
      <c r="W185" s="397">
        <f t="shared" si="59"/>
        <v>126.67395079146911</v>
      </c>
      <c r="X185" s="153">
        <f t="shared" si="60"/>
        <v>45462</v>
      </c>
      <c r="Y185" s="380">
        <f t="shared" si="61"/>
        <v>121.91662972874478</v>
      </c>
      <c r="Z185" s="380">
        <f t="shared" si="62"/>
        <v>123.66136394146895</v>
      </c>
      <c r="AA185" s="381">
        <f t="shared" si="63"/>
        <v>130.38743572150952</v>
      </c>
      <c r="AB185" s="193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5.1585275397290395E-2</v>
      </c>
      <c r="AD185" s="227">
        <f>(INDEX(Models!$BJ185:$BT185,,AH185)*(1-AF185)+INDEX(Models!$BJ185:$BT185,,AH185+1)*AF185-ERP_i)*AE185*Ramure*Pc/MaxiM</f>
        <v>6.2411755918823802E-5</v>
      </c>
      <c r="AE185" s="301">
        <f t="shared" si="65"/>
        <v>0.5</v>
      </c>
      <c r="AF185" s="173">
        <f t="shared" si="66"/>
        <v>0.29000998062199734</v>
      </c>
      <c r="AG185" s="801">
        <f t="shared" si="74"/>
        <v>1</v>
      </c>
      <c r="AH185" s="172">
        <f t="shared" si="67"/>
        <v>7</v>
      </c>
      <c r="AI185" s="221">
        <f t="shared" si="68"/>
        <v>1.2900099806219973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45463</v>
      </c>
      <c r="B186" s="406">
        <f>'2023'!Wh/'2023'!Env_an*'2024'!Env_an</f>
        <v>90.347979292088937</v>
      </c>
      <c r="C186" s="385"/>
      <c r="D186" s="388">
        <f t="shared" si="50"/>
        <v>91.642192853051881</v>
      </c>
      <c r="E186" s="380">
        <f t="shared" si="75"/>
        <v>93.005535488645535</v>
      </c>
      <c r="F186" s="380">
        <f t="shared" si="51"/>
        <v>93.006115899892094</v>
      </c>
      <c r="G186" s="110">
        <f t="shared" si="76"/>
        <v>0.3697991996130513</v>
      </c>
      <c r="H186" s="409" t="b">
        <f>Wh_hp&gt;='2023'!Maxi_hp</f>
        <v>0</v>
      </c>
      <c r="I186" s="375">
        <f>IF(H186,Wh_hp,'2023'!Maxi_hp)</f>
        <v>93.010280369136851</v>
      </c>
      <c r="J186" s="85">
        <f>IF(H186,An,'2023'!An_max)</f>
        <v>2022</v>
      </c>
      <c r="K186" s="193">
        <f t="shared" si="52"/>
        <v>45463</v>
      </c>
      <c r="L186" s="143">
        <f>IF(t&lt;Tvie,1-EXP((T0-t)*PertePVj)+'2023'!Pspv,1-EXP((T0-t)*PertePVj)+Pspv)</f>
        <v>1.4122463907408012E-2</v>
      </c>
      <c r="M186" s="835"/>
      <c r="N186" s="835"/>
      <c r="O186" s="48">
        <f>IF(t&lt;Tnet,'2023'!Resal+('2023'!Salim-'2023'!Resal)*(1-EXP(('2023'!Tnet-t)/('2023'!Tau_j))),Resal+(Salim-Resal)*(1-EXP((Tnet-t)/(Tau_j))))*Salcycl</f>
        <v>1.465872572455755E-2</v>
      </c>
      <c r="P186" s="165">
        <f>(INDEX(Models!$BJ186:$BT186,,T186)*(1-R186)+INDEX(Models!$BJ186:$BT186,,T186+1)*R186-ERP_i)*Q186*Ramure*Pc/MaxiM</f>
        <v>6.2566565951247628E-5</v>
      </c>
      <c r="Q186" s="301">
        <f t="shared" si="53"/>
        <v>0.5</v>
      </c>
      <c r="R186" s="173">
        <f t="shared" si="54"/>
        <v>0.29492337717162398</v>
      </c>
      <c r="S186" s="801">
        <f t="shared" si="55"/>
        <v>1</v>
      </c>
      <c r="T186" s="172">
        <f t="shared" si="56"/>
        <v>7</v>
      </c>
      <c r="U186" s="247">
        <f t="shared" si="57"/>
        <v>1.294923377171624</v>
      </c>
      <c r="V186" s="378">
        <f t="shared" si="58"/>
        <v>244.30255775300608</v>
      </c>
      <c r="W186" s="397">
        <f t="shared" si="59"/>
        <v>90.347979292088937</v>
      </c>
      <c r="X186" s="153">
        <f t="shared" si="60"/>
        <v>45463</v>
      </c>
      <c r="Y186" s="380">
        <f t="shared" si="61"/>
        <v>86.956909284138931</v>
      </c>
      <c r="Z186" s="380">
        <f t="shared" si="62"/>
        <v>88.202546564538096</v>
      </c>
      <c r="AA186" s="381">
        <f t="shared" si="63"/>
        <v>93.005535488645535</v>
      </c>
      <c r="AB186" s="193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5.1641968393309305E-2</v>
      </c>
      <c r="AD186" s="227">
        <f>(INDEX(Models!$BJ186:$BT186,,AH186)*(1-AF186)+INDEX(Models!$BJ186:$BT186,,AH186+1)*AF186-ERP_i)*AE186*Ramure*Pc/MaxiM</f>
        <v>6.2566565951247628E-5</v>
      </c>
      <c r="AE186" s="301">
        <f t="shared" si="65"/>
        <v>0.5</v>
      </c>
      <c r="AF186" s="173">
        <f t="shared" si="66"/>
        <v>0.29492337717162398</v>
      </c>
      <c r="AG186" s="801">
        <f t="shared" si="74"/>
        <v>1</v>
      </c>
      <c r="AH186" s="172">
        <f t="shared" si="67"/>
        <v>7</v>
      </c>
      <c r="AI186" s="221">
        <f t="shared" si="68"/>
        <v>1.294923377171624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45464</v>
      </c>
      <c r="B187" s="406">
        <f>'2023'!Wh/'2023'!Env_an*'2024'!Env_an</f>
        <v>178.58675897498125</v>
      </c>
      <c r="C187" s="385"/>
      <c r="D187" s="388">
        <f t="shared" si="50"/>
        <v>181.14745206491332</v>
      </c>
      <c r="E187" s="380">
        <f t="shared" si="75"/>
        <v>183.85753007833978</v>
      </c>
      <c r="F187" s="380">
        <f t="shared" si="51"/>
        <v>183.86466665895944</v>
      </c>
      <c r="G187" s="110">
        <f t="shared" si="76"/>
        <v>0.73138725978844066</v>
      </c>
      <c r="H187" s="409" t="b">
        <f>Wh_hp&gt;='2023'!Maxi_hp</f>
        <v>0</v>
      </c>
      <c r="I187" s="375">
        <f>IF(H187,Wh_hp,'2023'!Maxi_hp)</f>
        <v>183.86818847597502</v>
      </c>
      <c r="J187" s="85">
        <f>IF(H187,An,'2023'!An_max)</f>
        <v>2022</v>
      </c>
      <c r="K187" s="193">
        <f t="shared" si="52"/>
        <v>45464</v>
      </c>
      <c r="L187" s="143">
        <f>IF(t&lt;Tvie,1-EXP((T0-t)*PertePVj)+'2023'!Pspv,1-EXP((T0-t)*PertePVj)+Pspv)</f>
        <v>1.413595974297488E-2</v>
      </c>
      <c r="M187" s="835"/>
      <c r="N187" s="835"/>
      <c r="O187" s="48">
        <f>IF(t&lt;Tnet,'2023'!Resal+('2023'!Salim-'2023'!Resal)*(1-EXP(('2023'!Tnet-t)/('2023'!Tau_j))),Resal+(Salim-Resal)*(1-EXP((Tnet-t)/(Tau_j))))*Salcycl</f>
        <v>1.4740098011061738E-2</v>
      </c>
      <c r="P187" s="165">
        <f>(INDEX(Models!$BJ187:$BT187,,T187)*(1-R187)+INDEX(Models!$BJ187:$BT187,,T187+1)*R187-ERP_i)*Q187*Ramure*Pc/MaxiM</f>
        <v>6.2980314943888863E-5</v>
      </c>
      <c r="Q187" s="301">
        <f t="shared" si="53"/>
        <v>0.5</v>
      </c>
      <c r="R187" s="173">
        <f t="shared" si="54"/>
        <v>0.2997921061117117</v>
      </c>
      <c r="S187" s="801">
        <f t="shared" si="55"/>
        <v>1</v>
      </c>
      <c r="T187" s="172">
        <f t="shared" si="56"/>
        <v>7</v>
      </c>
      <c r="U187" s="247">
        <f t="shared" si="57"/>
        <v>1.2997921061117117</v>
      </c>
      <c r="V187" s="378">
        <f t="shared" si="58"/>
        <v>244.16947477463</v>
      </c>
      <c r="W187" s="397">
        <f t="shared" si="59"/>
        <v>178.58675897498125</v>
      </c>
      <c r="X187" s="153">
        <f t="shared" si="60"/>
        <v>45464</v>
      </c>
      <c r="Y187" s="380">
        <f t="shared" si="61"/>
        <v>171.88786172347994</v>
      </c>
      <c r="Z187" s="380">
        <f t="shared" si="62"/>
        <v>174.35250166814785</v>
      </c>
      <c r="AA187" s="381">
        <f t="shared" si="63"/>
        <v>183.85753007833978</v>
      </c>
      <c r="AB187" s="193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5.1697792340307962E-2</v>
      </c>
      <c r="AD187" s="227">
        <f>(INDEX(Models!$BJ187:$BT187,,AH187)*(1-AF187)+INDEX(Models!$BJ187:$BT187,,AH187+1)*AF187-ERP_i)*AE187*Ramure*Pc/MaxiM</f>
        <v>6.2980314943888863E-5</v>
      </c>
      <c r="AE187" s="301">
        <f t="shared" si="65"/>
        <v>0.5</v>
      </c>
      <c r="AF187" s="173">
        <f t="shared" si="66"/>
        <v>0.2997921061117117</v>
      </c>
      <c r="AG187" s="801">
        <f t="shared" si="74"/>
        <v>1</v>
      </c>
      <c r="AH187" s="172">
        <f t="shared" si="67"/>
        <v>7</v>
      </c>
      <c r="AI187" s="221">
        <f t="shared" si="68"/>
        <v>1.2997921061117117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customHeight="1" x14ac:dyDescent="0.2">
      <c r="A188" s="56">
        <f t="shared" si="71"/>
        <v>45465</v>
      </c>
      <c r="B188" s="406">
        <f>'2023'!Wh/'2023'!Env_an*'2024'!Env_an</f>
        <v>174.73273206209831</v>
      </c>
      <c r="C188" s="385"/>
      <c r="D188" s="388">
        <f t="shared" si="50"/>
        <v>177.24058988261226</v>
      </c>
      <c r="E188" s="380">
        <f t="shared" si="75"/>
        <v>179.90702812669161</v>
      </c>
      <c r="F188" s="380">
        <f t="shared" si="51"/>
        <v>179.91383543556992</v>
      </c>
      <c r="G188" s="110">
        <f t="shared" si="76"/>
        <v>0.71601888431878946</v>
      </c>
      <c r="H188" s="409" t="b">
        <f>Wh_hp&gt;='2023'!Maxi_hp</f>
        <v>0</v>
      </c>
      <c r="I188" s="375">
        <f>IF(H188,Wh_hp,'2023'!Maxi_hp)</f>
        <v>179.91750851894366</v>
      </c>
      <c r="J188" s="85">
        <f>IF(H188,An,'2023'!An_max)</f>
        <v>2022</v>
      </c>
      <c r="K188" s="193">
        <f t="shared" si="52"/>
        <v>45465</v>
      </c>
      <c r="L188" s="143">
        <f>IF(t&lt;Tvie,1-EXP((T0-t)*PertePVj)+'2023'!Pspv,1-EXP((T0-t)*PertePVj)+Pspv)</f>
        <v>1.4149455393795085E-2</v>
      </c>
      <c r="M188" s="835"/>
      <c r="N188" s="835"/>
      <c r="O188" s="48">
        <f>IF(t&lt;Tnet,'2023'!Resal+('2023'!Salim-'2023'!Resal)*(1-EXP(('2023'!Tnet-t)/('2023'!Tau_j))),Resal+(Salim-Resal)*(1-EXP((Tnet-t)/(Tau_j))))*Salcycl</f>
        <v>1.4821201105059812E-2</v>
      </c>
      <c r="P188" s="165">
        <f>(INDEX(Models!$BJ188:$BT188,,T188)*(1-R188)+INDEX(Models!$BJ188:$BT188,,T188+1)*R188-ERP_i)*Q188*Ramure*Pc/MaxiM</f>
        <v>6.3661458719380148E-5</v>
      </c>
      <c r="Q188" s="301">
        <f t="shared" si="53"/>
        <v>0.5</v>
      </c>
      <c r="R188" s="173">
        <f t="shared" si="54"/>
        <v>0.30461272094293368</v>
      </c>
      <c r="S188" s="801">
        <f t="shared" si="55"/>
        <v>1</v>
      </c>
      <c r="T188" s="172">
        <f t="shared" si="56"/>
        <v>7</v>
      </c>
      <c r="U188" s="247">
        <f t="shared" si="57"/>
        <v>1.3046127209429337</v>
      </c>
      <c r="V188" s="378">
        <f t="shared" si="58"/>
        <v>244.02738985169213</v>
      </c>
      <c r="W188" s="397">
        <f t="shared" si="59"/>
        <v>174.73273206209831</v>
      </c>
      <c r="X188" s="153">
        <f t="shared" si="60"/>
        <v>45465</v>
      </c>
      <c r="Y188" s="380">
        <f t="shared" si="61"/>
        <v>168.18250077636796</v>
      </c>
      <c r="Z188" s="380">
        <f t="shared" si="62"/>
        <v>170.59634616679952</v>
      </c>
      <c r="AA188" s="381">
        <f t="shared" si="63"/>
        <v>179.90702812669161</v>
      </c>
      <c r="AB188" s="193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5.1752741717991546E-2</v>
      </c>
      <c r="AD188" s="227">
        <f>(INDEX(Models!$BJ188:$BT188,,AH188)*(1-AF188)+INDEX(Models!$BJ188:$BT188,,AH188+1)*AF188-ERP_i)*AE188*Ramure*Pc/MaxiM</f>
        <v>6.3661458719380148E-5</v>
      </c>
      <c r="AE188" s="301">
        <f t="shared" si="65"/>
        <v>0.5</v>
      </c>
      <c r="AF188" s="173">
        <f t="shared" si="66"/>
        <v>0.30461272094293368</v>
      </c>
      <c r="AG188" s="801">
        <f t="shared" si="74"/>
        <v>1</v>
      </c>
      <c r="AH188" s="172">
        <f t="shared" si="67"/>
        <v>7</v>
      </c>
      <c r="AI188" s="221">
        <f t="shared" si="68"/>
        <v>1.3046127209429337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45466</v>
      </c>
      <c r="B189" s="406">
        <f>'2023'!Wh/'2023'!Env_an*'2024'!Env_an</f>
        <v>174.59246804946801</v>
      </c>
      <c r="C189" s="385"/>
      <c r="D189" s="388">
        <f t="shared" si="50"/>
        <v>177.1007370860649</v>
      </c>
      <c r="E189" s="380">
        <f t="shared" si="75"/>
        <v>179.77982153369649</v>
      </c>
      <c r="F189" s="380">
        <f t="shared" si="51"/>
        <v>179.78672405937039</v>
      </c>
      <c r="G189" s="110">
        <f t="shared" si="76"/>
        <v>0.71588549514982536</v>
      </c>
      <c r="H189" s="409" t="b">
        <f>Wh_hp&gt;='2023'!Maxi_hp</f>
        <v>0</v>
      </c>
      <c r="I189" s="375">
        <f>IF(H189,Wh_hp,'2023'!Maxi_hp)</f>
        <v>179.79044298559464</v>
      </c>
      <c r="J189" s="85">
        <f>IF(H189,An,'2023'!An_max)</f>
        <v>2022</v>
      </c>
      <c r="K189" s="193">
        <f t="shared" si="52"/>
        <v>45466</v>
      </c>
      <c r="L189" s="143">
        <f>IF(t&lt;Tvie,1-EXP((T0-t)*PertePVj)+'2023'!Pspv,1-EXP((T0-t)*PertePVj)+Pspv)</f>
        <v>1.4162950859871071E-2</v>
      </c>
      <c r="M189" s="835"/>
      <c r="N189" s="835"/>
      <c r="O189" s="48">
        <f>IF(t&lt;Tnet,'2023'!Resal+('2023'!Salim-'2023'!Resal)*(1-EXP(('2023'!Tnet-t)/('2023'!Tau_j))),Resal+(Salim-Resal)*(1-EXP((Tnet-t)/(Tau_j))))*Salcycl</f>
        <v>1.4902030855167215E-2</v>
      </c>
      <c r="P189" s="165">
        <f>(INDEX(Models!$BJ189:$BT189,,T189)*(1-R189)+INDEX(Models!$BJ189:$BT189,,T189+1)*R189-ERP_i)*Q189*Ramure*Pc/MaxiM</f>
        <v>6.4618232057531784E-5</v>
      </c>
      <c r="Q189" s="301">
        <f t="shared" si="53"/>
        <v>0.5</v>
      </c>
      <c r="R189" s="173">
        <f t="shared" si="54"/>
        <v>0.30938192332447612</v>
      </c>
      <c r="S189" s="801">
        <f t="shared" si="55"/>
        <v>1</v>
      </c>
      <c r="T189" s="172">
        <f t="shared" si="56"/>
        <v>7</v>
      </c>
      <c r="U189" s="247">
        <f t="shared" si="57"/>
        <v>1.3093819233244761</v>
      </c>
      <c r="V189" s="378">
        <f t="shared" si="58"/>
        <v>243.8768354761396</v>
      </c>
      <c r="W189" s="397">
        <f t="shared" si="59"/>
        <v>174.59246804946801</v>
      </c>
      <c r="X189" s="153">
        <f t="shared" si="60"/>
        <v>45466</v>
      </c>
      <c r="Y189" s="380">
        <f t="shared" si="61"/>
        <v>168.05170024153827</v>
      </c>
      <c r="Z189" s="380">
        <f t="shared" si="62"/>
        <v>170.46600184900441</v>
      </c>
      <c r="AA189" s="381">
        <f t="shared" si="63"/>
        <v>179.77982153369649</v>
      </c>
      <c r="AB189" s="193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5.1806813496843789E-2</v>
      </c>
      <c r="AD189" s="227">
        <f>(INDEX(Models!$BJ189:$BT189,,AH189)*(1-AF189)+INDEX(Models!$BJ189:$BT189,,AH189+1)*AF189-ERP_i)*AE189*Ramure*Pc/MaxiM</f>
        <v>6.4618232057531784E-5</v>
      </c>
      <c r="AE189" s="301">
        <f t="shared" si="65"/>
        <v>0.5</v>
      </c>
      <c r="AF189" s="173">
        <f t="shared" si="66"/>
        <v>0.30938192332447612</v>
      </c>
      <c r="AG189" s="801">
        <f t="shared" si="74"/>
        <v>1</v>
      </c>
      <c r="AH189" s="172">
        <f t="shared" si="67"/>
        <v>7</v>
      </c>
      <c r="AI189" s="221">
        <f t="shared" si="68"/>
        <v>1.3093819233244761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45467</v>
      </c>
      <c r="B190" s="406">
        <f>'2023'!Wh/'2023'!Env_an*'2024'!Env_an</f>
        <v>148.92179144343982</v>
      </c>
      <c r="C190" s="385"/>
      <c r="D190" s="388">
        <f t="shared" si="50"/>
        <v>151.06333264255807</v>
      </c>
      <c r="E190" s="380">
        <f t="shared" si="75"/>
        <v>153.36107784630525</v>
      </c>
      <c r="F190" s="380">
        <f t="shared" si="51"/>
        <v>153.36556595258</v>
      </c>
      <c r="G190" s="110">
        <f t="shared" si="76"/>
        <v>0.61101819104250799</v>
      </c>
      <c r="H190" s="409" t="b">
        <f>Wh_hp&gt;='2023'!Maxi_hp</f>
        <v>0</v>
      </c>
      <c r="I190" s="375">
        <f>IF(H190,Wh_hp,'2023'!Maxi_hp)</f>
        <v>153.36998421899938</v>
      </c>
      <c r="J190" s="85">
        <f>IF(H190,An,'2023'!An_max)</f>
        <v>2022</v>
      </c>
      <c r="K190" s="193">
        <f t="shared" si="52"/>
        <v>45467</v>
      </c>
      <c r="L190" s="143">
        <f>IF(t&lt;Tvie,1-EXP((T0-t)*PertePVj)+'2023'!Pspv,1-EXP((T0-t)*PertePVj)+Pspv)</f>
        <v>1.4176446141205612E-2</v>
      </c>
      <c r="M190" s="835"/>
      <c r="N190" s="835"/>
      <c r="O190" s="48">
        <f>IF(t&lt;Tnet,'2023'!Resal+('2023'!Salim-'2023'!Resal)*(1-EXP(('2023'!Tnet-t)/('2023'!Tau_j))),Resal+(Salim-Resal)*(1-EXP((Tnet-t)/(Tau_j))))*Salcycl</f>
        <v>1.4982583821234848E-2</v>
      </c>
      <c r="P190" s="165">
        <f>(INDEX(Models!$BJ190:$BT190,,T190)*(1-R190)+INDEX(Models!$BJ190:$BT190,,T190+1)*R190-ERP_i)*Q190*Ramure*Pc/MaxiM</f>
        <v>6.5859176418171664E-5</v>
      </c>
      <c r="Q190" s="301">
        <f t="shared" si="53"/>
        <v>0.5</v>
      </c>
      <c r="R190" s="173">
        <f t="shared" si="54"/>
        <v>0.31409657071545194</v>
      </c>
      <c r="S190" s="801">
        <f t="shared" si="55"/>
        <v>1</v>
      </c>
      <c r="T190" s="172">
        <f t="shared" si="56"/>
        <v>7</v>
      </c>
      <c r="U190" s="247">
        <f t="shared" si="57"/>
        <v>1.3140965707154519</v>
      </c>
      <c r="V190" s="378">
        <f t="shared" si="58"/>
        <v>243.71834368224242</v>
      </c>
      <c r="W190" s="397">
        <f t="shared" si="59"/>
        <v>148.92179144343982</v>
      </c>
      <c r="X190" s="153">
        <f t="shared" si="60"/>
        <v>45467</v>
      </c>
      <c r="Y190" s="380">
        <f t="shared" si="61"/>
        <v>143.34640582156084</v>
      </c>
      <c r="Z190" s="380">
        <f t="shared" si="62"/>
        <v>145.4077712593315</v>
      </c>
      <c r="AA190" s="381">
        <f t="shared" si="63"/>
        <v>153.36107784630525</v>
      </c>
      <c r="AB190" s="193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5.186000710652526E-2</v>
      </c>
      <c r="AD190" s="227">
        <f>(INDEX(Models!$BJ190:$BT190,,AH190)*(1-AF190)+INDEX(Models!$BJ190:$BT190,,AH190+1)*AF190-ERP_i)*AE190*Ramure*Pc/MaxiM</f>
        <v>6.5859176418171664E-5</v>
      </c>
      <c r="AE190" s="301">
        <f t="shared" si="65"/>
        <v>0.5</v>
      </c>
      <c r="AF190" s="173">
        <f t="shared" si="66"/>
        <v>0.31409657071545194</v>
      </c>
      <c r="AG190" s="801">
        <f t="shared" si="74"/>
        <v>1</v>
      </c>
      <c r="AH190" s="172">
        <f t="shared" si="67"/>
        <v>7</v>
      </c>
      <c r="AI190" s="221">
        <f t="shared" si="68"/>
        <v>1.3140965707154519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45468</v>
      </c>
      <c r="B191" s="406">
        <f>'2023'!Wh/'2023'!Env_an*'2024'!Env_an</f>
        <v>49.52523641345929</v>
      </c>
      <c r="C191" s="385"/>
      <c r="D191" s="388">
        <f t="shared" si="50"/>
        <v>50.238112274532966</v>
      </c>
      <c r="E191" s="380">
        <f t="shared" si="75"/>
        <v>51.006414618120751</v>
      </c>
      <c r="F191" s="380">
        <f t="shared" si="51"/>
        <v>51.006414618120751</v>
      </c>
      <c r="G191" s="110">
        <f t="shared" si="76"/>
        <v>0.20333074748704086</v>
      </c>
      <c r="H191" s="409" t="b">
        <f>Wh_hp&gt;='2023'!Maxi_hp</f>
        <v>0</v>
      </c>
      <c r="I191" s="375">
        <f>IF(H191,Wh_hp,'2023'!Maxi_hp)</f>
        <v>51.009116400553765</v>
      </c>
      <c r="J191" s="85">
        <f>IF(H191,An,'2023'!An_max)</f>
        <v>2022</v>
      </c>
      <c r="K191" s="193">
        <f t="shared" si="52"/>
        <v>45468</v>
      </c>
      <c r="L191" s="143">
        <f>IF(t&lt;Tvie,1-EXP((T0-t)*PertePVj)+'2023'!Pspv,1-EXP((T0-t)*PertePVj)+Pspv)</f>
        <v>1.418994123780104E-2</v>
      </c>
      <c r="M191" s="835"/>
      <c r="N191" s="835"/>
      <c r="O191" s="48">
        <f>IF(t&lt;Tnet,'2023'!Resal+('2023'!Salim-'2023'!Resal)*(1-EXP(('2023'!Tnet-t)/('2023'!Tau_j))),Resal+(Salim-Resal)*(1-EXP((Tnet-t)/(Tau_j))))*Salcycl</f>
        <v>1.50628572766773E-2</v>
      </c>
      <c r="P191" s="165">
        <f>(INDEX(Models!$BJ191:$BT191,,T191)*(1-R191)+INDEX(Models!$BJ191:$BT191,,T191+1)*R191-ERP_i)*Q191*Ramure*Pc/MaxiM</f>
        <v>6.7392325364991047E-5</v>
      </c>
      <c r="Q191" s="301">
        <f t="shared" si="53"/>
        <v>0.5</v>
      </c>
      <c r="R191" s="173">
        <f t="shared" si="54"/>
        <v>0.31875368305628404</v>
      </c>
      <c r="S191" s="801">
        <f t="shared" si="55"/>
        <v>1</v>
      </c>
      <c r="T191" s="172">
        <f t="shared" si="56"/>
        <v>7</v>
      </c>
      <c r="U191" s="247">
        <f t="shared" si="57"/>
        <v>1.318753683056284</v>
      </c>
      <c r="V191" s="378">
        <f t="shared" si="58"/>
        <v>243.55341926714445</v>
      </c>
      <c r="W191" s="397">
        <f t="shared" si="59"/>
        <v>49.52523641345929</v>
      </c>
      <c r="X191" s="153">
        <f t="shared" si="60"/>
        <v>45468</v>
      </c>
      <c r="Y191" s="380">
        <f t="shared" si="61"/>
        <v>47.672348049958238</v>
      </c>
      <c r="Z191" s="380">
        <f t="shared" si="62"/>
        <v>48.358553076458264</v>
      </c>
      <c r="AA191" s="381">
        <f t="shared" si="63"/>
        <v>51.006414618120751</v>
      </c>
      <c r="AB191" s="193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5.1912324390701176E-2</v>
      </c>
      <c r="AD191" s="227">
        <f>(INDEX(Models!$BJ191:$BT191,,AH191)*(1-AF191)+INDEX(Models!$BJ191:$BT191,,AH191+1)*AF191-ERP_i)*AE191*Ramure*Pc/MaxiM</f>
        <v>6.7392325364991047E-5</v>
      </c>
      <c r="AE191" s="301">
        <f t="shared" si="65"/>
        <v>0.5</v>
      </c>
      <c r="AF191" s="173">
        <f t="shared" si="66"/>
        <v>0.31875368305628404</v>
      </c>
      <c r="AG191" s="801">
        <f t="shared" si="74"/>
        <v>1</v>
      </c>
      <c r="AH191" s="172">
        <f t="shared" si="67"/>
        <v>7</v>
      </c>
      <c r="AI191" s="221">
        <f t="shared" si="68"/>
        <v>1.318753683056284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customHeight="1" x14ac:dyDescent="0.2">
      <c r="A192" s="56">
        <f t="shared" si="71"/>
        <v>45469</v>
      </c>
      <c r="B192" s="406">
        <f>'2023'!Wh/'2023'!Env_an*'2024'!Env_an</f>
        <v>57.859609826552884</v>
      </c>
      <c r="C192" s="385"/>
      <c r="D192" s="388">
        <f t="shared" si="50"/>
        <v>58.693255736826558</v>
      </c>
      <c r="E192" s="380">
        <f t="shared" si="75"/>
        <v>59.595704503477627</v>
      </c>
      <c r="F192" s="380">
        <f t="shared" si="51"/>
        <v>59.595704503477627</v>
      </c>
      <c r="G192" s="110">
        <f t="shared" si="76"/>
        <v>0.23771472182775755</v>
      </c>
      <c r="H192" s="409" t="b">
        <f>Wh_hp&gt;='2023'!Maxi_hp</f>
        <v>0</v>
      </c>
      <c r="I192" s="375">
        <f>IF(H192,Wh_hp,'2023'!Maxi_hp)</f>
        <v>59.59894424699322</v>
      </c>
      <c r="J192" s="85">
        <f>IF(H192,An,'2023'!An_max)</f>
        <v>2022</v>
      </c>
      <c r="K192" s="193">
        <f t="shared" si="52"/>
        <v>45469</v>
      </c>
      <c r="L192" s="143">
        <f>IF(t&lt;Tvie,1-EXP((T0-t)*PertePVj)+'2023'!Pspv,1-EXP((T0-t)*PertePVj)+Pspv)</f>
        <v>1.4203436149659909E-2</v>
      </c>
      <c r="M192" s="835"/>
      <c r="N192" s="835"/>
      <c r="O192" s="48">
        <f>IF(t&lt;Tnet,'2023'!Resal+('2023'!Salim-'2023'!Resal)*(1-EXP(('2023'!Tnet-t)/('2023'!Tau_j))),Resal+(Salim-Resal)*(1-EXP((Tnet-t)/(Tau_j))))*Salcycl</f>
        <v>1.5142849206496245E-2</v>
      </c>
      <c r="P192" s="165">
        <f>(INDEX(Models!$BJ192:$BT192,,T192)*(1-R192)+INDEX(Models!$BJ192:$BT192,,T192+1)*R192-ERP_i)*Q192*Ramure*Pc/MaxiM</f>
        <v>6.9254715709977203E-5</v>
      </c>
      <c r="Q192" s="301">
        <f t="shared" si="53"/>
        <v>0.5</v>
      </c>
      <c r="R192" s="173">
        <f t="shared" si="54"/>
        <v>0.3233504484740013</v>
      </c>
      <c r="S192" s="801">
        <f t="shared" si="55"/>
        <v>1</v>
      </c>
      <c r="T192" s="172">
        <f t="shared" si="56"/>
        <v>7</v>
      </c>
      <c r="U192" s="247">
        <f t="shared" si="57"/>
        <v>1.3233504484740013</v>
      </c>
      <c r="V192" s="378">
        <f t="shared" si="58"/>
        <v>243.3824978565865</v>
      </c>
      <c r="W192" s="397">
        <f t="shared" si="59"/>
        <v>57.859609826552884</v>
      </c>
      <c r="X192" s="153">
        <f t="shared" si="60"/>
        <v>45469</v>
      </c>
      <c r="Y192" s="380">
        <f t="shared" si="61"/>
        <v>55.696408713848349</v>
      </c>
      <c r="Z192" s="380">
        <f t="shared" si="62"/>
        <v>56.498887048569557</v>
      </c>
      <c r="AA192" s="381">
        <f t="shared" si="63"/>
        <v>59.595704503477627</v>
      </c>
      <c r="AB192" s="193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5.1963769548648515E-2</v>
      </c>
      <c r="AD192" s="227">
        <f>(INDEX(Models!$BJ192:$BT192,,AH192)*(1-AF192)+INDEX(Models!$BJ192:$BT192,,AH192+1)*AF192-ERP_i)*AE192*Ramure*Pc/MaxiM</f>
        <v>6.9254715709977203E-5</v>
      </c>
      <c r="AE192" s="301">
        <f t="shared" si="65"/>
        <v>0.5</v>
      </c>
      <c r="AF192" s="173">
        <f t="shared" si="66"/>
        <v>0.3233504484740013</v>
      </c>
      <c r="AG192" s="801">
        <f t="shared" si="74"/>
        <v>1</v>
      </c>
      <c r="AH192" s="172">
        <f t="shared" si="67"/>
        <v>7</v>
      </c>
      <c r="AI192" s="221">
        <f t="shared" si="68"/>
        <v>1.3233504484740013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45470</v>
      </c>
      <c r="B193" s="406">
        <f>'2023'!Wh/'2023'!Env_an*'2024'!Env_an</f>
        <v>252.9781458044946</v>
      </c>
      <c r="C193" s="385"/>
      <c r="D193" s="388">
        <f t="shared" si="50"/>
        <v>256.62658827108982</v>
      </c>
      <c r="E193" s="380">
        <f t="shared" si="75"/>
        <v>260.59348783248601</v>
      </c>
      <c r="F193" s="380">
        <f t="shared" si="51"/>
        <v>260.61207165828807</v>
      </c>
      <c r="G193" s="110">
        <f t="shared" si="76"/>
        <v>1.0401867145003136</v>
      </c>
      <c r="H193" s="409" t="b">
        <f>Wh_hp&gt;='2023'!Maxi_hp</f>
        <v>1</v>
      </c>
      <c r="I193" s="375">
        <f>IF(H193,Wh_hp,'2023'!Maxi_hp)</f>
        <v>260.61207165828807</v>
      </c>
      <c r="J193" s="85">
        <f>IF(H193,An,'2023'!An_max)</f>
        <v>2024</v>
      </c>
      <c r="K193" s="193">
        <f t="shared" si="52"/>
        <v>45470</v>
      </c>
      <c r="L193" s="143">
        <f>IF(t&lt;Tvie,1-EXP((T0-t)*PertePVj)+'2023'!Pspv,1-EXP((T0-t)*PertePVj)+Pspv)</f>
        <v>1.4216930876784772E-2</v>
      </c>
      <c r="M193" s="835"/>
      <c r="N193" s="835"/>
      <c r="O193" s="48">
        <f>IF(t&lt;Tnet,'2023'!Resal+('2023'!Salim-'2023'!Resal)*(1-EXP(('2023'!Tnet-t)/('2023'!Tau_j))),Resal+(Salim-Resal)*(1-EXP((Tnet-t)/(Tau_j))))*Salcycl</f>
        <v>1.5222558301020178E-2</v>
      </c>
      <c r="P193" s="165">
        <f>(INDEX(Models!$BJ193:$BT193,,T193)*(1-R193)+INDEX(Models!$BJ193:$BT193,,T193+1)*R193-ERP_i)*Q193*Ramure*Pc/MaxiM</f>
        <v>7.1308384465131649E-5</v>
      </c>
      <c r="Q193" s="301">
        <f t="shared" si="53"/>
        <v>0.5</v>
      </c>
      <c r="R193" s="173">
        <f t="shared" si="54"/>
        <v>0.32788422800483086</v>
      </c>
      <c r="S193" s="801">
        <f t="shared" si="55"/>
        <v>1</v>
      </c>
      <c r="T193" s="172">
        <f t="shared" si="56"/>
        <v>7</v>
      </c>
      <c r="U193" s="247">
        <f t="shared" si="57"/>
        <v>1.3278842280048309</v>
      </c>
      <c r="V193" s="378">
        <f t="shared" si="58"/>
        <v>243.20455383437636</v>
      </c>
      <c r="W193" s="397">
        <f t="shared" si="59"/>
        <v>252.9781458044946</v>
      </c>
      <c r="X193" s="153">
        <f t="shared" si="60"/>
        <v>45470</v>
      </c>
      <c r="Y193" s="380">
        <f t="shared" si="61"/>
        <v>243.52675240944265</v>
      </c>
      <c r="Z193" s="380">
        <f t="shared" si="62"/>
        <v>247.03888719253678</v>
      </c>
      <c r="AA193" s="381">
        <f t="shared" si="63"/>
        <v>260.59348783248601</v>
      </c>
      <c r="AB193" s="193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5.201434906409616E-2</v>
      </c>
      <c r="AD193" s="227">
        <f>(INDEX(Models!$BJ193:$BT193,,AH193)*(1-AF193)+INDEX(Models!$BJ193:$BT193,,AH193+1)*AF193-ERP_i)*AE193*Ramure*Pc/MaxiM</f>
        <v>7.1308384465131649E-5</v>
      </c>
      <c r="AE193" s="301">
        <f t="shared" si="65"/>
        <v>0.5</v>
      </c>
      <c r="AF193" s="173">
        <f t="shared" si="66"/>
        <v>0.32788422800483086</v>
      </c>
      <c r="AG193" s="801">
        <f t="shared" si="74"/>
        <v>1</v>
      </c>
      <c r="AH193" s="172">
        <f t="shared" si="67"/>
        <v>7</v>
      </c>
      <c r="AI193" s="221">
        <f t="shared" si="68"/>
        <v>1.3278842280048309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customHeight="1" x14ac:dyDescent="0.2">
      <c r="A194" s="56">
        <f t="shared" si="71"/>
        <v>45471</v>
      </c>
      <c r="B194" s="406">
        <f>'2023'!Wh/'2023'!Env_an*'2024'!Env_an</f>
        <v>240.17850770905204</v>
      </c>
      <c r="C194" s="385"/>
      <c r="D194" s="388">
        <f t="shared" si="50"/>
        <v>243.6456895225063</v>
      </c>
      <c r="E194" s="380">
        <f t="shared" si="75"/>
        <v>247.4318883049325</v>
      </c>
      <c r="F194" s="380">
        <f t="shared" si="51"/>
        <v>247.44978614421416</v>
      </c>
      <c r="G194" s="110">
        <f t="shared" si="76"/>
        <v>0.98831235397973527</v>
      </c>
      <c r="H194" s="409" t="b">
        <f>Wh_hp&gt;='2023'!Maxi_hp</f>
        <v>0</v>
      </c>
      <c r="I194" s="375">
        <f>IF(H194,Wh_hp,'2023'!Maxi_hp)</f>
        <v>247.45002413127429</v>
      </c>
      <c r="J194" s="85">
        <f>IF(H194,An,'2023'!An_max)</f>
        <v>2022</v>
      </c>
      <c r="K194" s="193">
        <f t="shared" si="52"/>
        <v>45471</v>
      </c>
      <c r="L194" s="143">
        <f>IF(t&lt;Tvie,1-EXP((T0-t)*PertePVj)+'2023'!Pspv,1-EXP((T0-t)*PertePVj)+Pspv)</f>
        <v>1.4230425419178183E-2</v>
      </c>
      <c r="M194" s="835"/>
      <c r="N194" s="835"/>
      <c r="O194" s="48">
        <f>IF(t&lt;Tnet,'2023'!Resal+('2023'!Salim-'2023'!Resal)*(1-EXP(('2023'!Tnet-t)/('2023'!Tau_j))),Resal+(Salim-Resal)*(1-EXP((Tnet-t)/(Tau_j))))*Salcycl</f>
        <v>1.5301983945416566E-2</v>
      </c>
      <c r="P194" s="165">
        <f>(INDEX(Models!$BJ194:$BT194,,T194)*(1-R194)+INDEX(Models!$BJ194:$BT194,,T194+1)*R194-ERP_i)*Q194*Ramure*Pc/MaxiM</f>
        <v>7.355720705284232E-5</v>
      </c>
      <c r="Q194" s="301">
        <f t="shared" si="53"/>
        <v>0.5</v>
      </c>
      <c r="R194" s="173">
        <f t="shared" si="54"/>
        <v>0.33235255933660302</v>
      </c>
      <c r="S194" s="801">
        <f t="shared" si="55"/>
        <v>1</v>
      </c>
      <c r="T194" s="172">
        <f t="shared" si="56"/>
        <v>7</v>
      </c>
      <c r="U194" s="247">
        <f t="shared" si="57"/>
        <v>1.332352559336603</v>
      </c>
      <c r="V194" s="378">
        <f t="shared" si="58"/>
        <v>243.01852726422601</v>
      </c>
      <c r="W194" s="397">
        <f t="shared" si="59"/>
        <v>240.17850770905204</v>
      </c>
      <c r="X194" s="153">
        <f t="shared" si="60"/>
        <v>45471</v>
      </c>
      <c r="Y194" s="380">
        <f t="shared" si="61"/>
        <v>231.21183649164371</v>
      </c>
      <c r="Z194" s="380">
        <f t="shared" si="62"/>
        <v>234.54957675069429</v>
      </c>
      <c r="AA194" s="381">
        <f t="shared" si="63"/>
        <v>247.4318883049325</v>
      </c>
      <c r="AB194" s="193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5.2064071621852434E-2</v>
      </c>
      <c r="AD194" s="227">
        <f>(INDEX(Models!$BJ194:$BT194,,AH194)*(1-AF194)+INDEX(Models!$BJ194:$BT194,,AH194+1)*AF194-ERP_i)*AE194*Ramure*Pc/MaxiM</f>
        <v>7.355720705284232E-5</v>
      </c>
      <c r="AE194" s="301">
        <f t="shared" si="65"/>
        <v>0.5</v>
      </c>
      <c r="AF194" s="173">
        <f t="shared" si="66"/>
        <v>0.33235255933660302</v>
      </c>
      <c r="AG194" s="801">
        <f t="shared" si="74"/>
        <v>1</v>
      </c>
      <c r="AH194" s="172">
        <f t="shared" si="67"/>
        <v>7</v>
      </c>
      <c r="AI194" s="221">
        <f t="shared" si="68"/>
        <v>1.332352559336603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customHeight="1" x14ac:dyDescent="0.2">
      <c r="A195" s="56">
        <f t="shared" si="71"/>
        <v>45472</v>
      </c>
      <c r="B195" s="406">
        <f>'2023'!Wh/'2023'!Env_an*'2024'!Env_an</f>
        <v>56.080048495185181</v>
      </c>
      <c r="C195" s="385"/>
      <c r="D195" s="388">
        <f t="shared" si="50"/>
        <v>56.890390655759049</v>
      </c>
      <c r="E195" s="380">
        <f t="shared" si="75"/>
        <v>57.779098258081575</v>
      </c>
      <c r="F195" s="380">
        <f t="shared" si="51"/>
        <v>57.779098258081575</v>
      </c>
      <c r="G195" s="110">
        <f t="shared" si="76"/>
        <v>0.23093242135877859</v>
      </c>
      <c r="H195" s="409" t="b">
        <f>Wh_hp&gt;='2023'!Maxi_hp</f>
        <v>0</v>
      </c>
      <c r="I195" s="375">
        <f>IF(H195,Wh_hp,'2023'!Maxi_hp)</f>
        <v>57.782534053656292</v>
      </c>
      <c r="J195" s="85">
        <f>IF(H195,An,'2023'!An_max)</f>
        <v>2022</v>
      </c>
      <c r="K195" s="193">
        <f t="shared" si="52"/>
        <v>45472</v>
      </c>
      <c r="L195" s="143">
        <f>IF(t&lt;Tvie,1-EXP((T0-t)*PertePVj)+'2023'!Pspv,1-EXP((T0-t)*PertePVj)+Pspv)</f>
        <v>1.4243919776842584E-2</v>
      </c>
      <c r="M195" s="835"/>
      <c r="N195" s="835"/>
      <c r="O195" s="48">
        <f>IF(t&lt;Tnet,'2023'!Resal+('2023'!Salim-'2023'!Resal)*(1-EXP(('2023'!Tnet-t)/('2023'!Tau_j))),Resal+(Salim-Resal)*(1-EXP((Tnet-t)/(Tau_j))))*Salcycl</f>
        <v>1.5381126205067198E-2</v>
      </c>
      <c r="P195" s="165">
        <f>(INDEX(Models!$BJ195:$BT195,,T195)*(1-R195)+INDEX(Models!$BJ195:$BT195,,T195+1)*R195-ERP_i)*Q195*Ramure*Pc/MaxiM</f>
        <v>7.600495576436583E-5</v>
      </c>
      <c r="Q195" s="301">
        <f t="shared" si="53"/>
        <v>0.5</v>
      </c>
      <c r="R195" s="173">
        <f t="shared" si="54"/>
        <v>0.33675315958215868</v>
      </c>
      <c r="S195" s="801">
        <f t="shared" si="55"/>
        <v>1</v>
      </c>
      <c r="T195" s="172">
        <f t="shared" si="56"/>
        <v>7</v>
      </c>
      <c r="U195" s="247">
        <f t="shared" si="57"/>
        <v>1.3367531595821587</v>
      </c>
      <c r="V195" s="378">
        <f t="shared" si="58"/>
        <v>242.8233584684076</v>
      </c>
      <c r="W195" s="397">
        <f t="shared" si="59"/>
        <v>56.080048495185181</v>
      </c>
      <c r="X195" s="153">
        <f t="shared" si="60"/>
        <v>45472</v>
      </c>
      <c r="Y195" s="380">
        <f t="shared" si="61"/>
        <v>53.98794727396983</v>
      </c>
      <c r="Z195" s="380">
        <f t="shared" si="62"/>
        <v>54.768059114327684</v>
      </c>
      <c r="AA195" s="381">
        <f t="shared" si="63"/>
        <v>57.779098258081575</v>
      </c>
      <c r="AB195" s="193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5.2112948012869545E-2</v>
      </c>
      <c r="AD195" s="227">
        <f>(INDEX(Models!$BJ195:$BT195,,AH195)*(1-AF195)+INDEX(Models!$BJ195:$BT195,,AH195+1)*AF195-ERP_i)*AE195*Ramure*Pc/MaxiM</f>
        <v>7.600495576436583E-5</v>
      </c>
      <c r="AE195" s="301">
        <f t="shared" si="65"/>
        <v>0.5</v>
      </c>
      <c r="AF195" s="173">
        <f t="shared" si="66"/>
        <v>0.33675315958215868</v>
      </c>
      <c r="AG195" s="801">
        <f t="shared" si="74"/>
        <v>1</v>
      </c>
      <c r="AH195" s="172">
        <f t="shared" si="67"/>
        <v>7</v>
      </c>
      <c r="AI195" s="221">
        <f t="shared" si="68"/>
        <v>1.3367531595821587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customHeight="1" x14ac:dyDescent="0.2">
      <c r="A196" s="56">
        <f t="shared" si="71"/>
        <v>45473</v>
      </c>
      <c r="B196" s="406">
        <f>'2023'!Wh/'2023'!Env_an*'2024'!Env_an</f>
        <v>215.0514390094408</v>
      </c>
      <c r="C196" s="385"/>
      <c r="D196" s="388">
        <f t="shared" si="50"/>
        <v>218.16186299826234</v>
      </c>
      <c r="E196" s="380">
        <f t="shared" si="75"/>
        <v>221.58760421440911</v>
      </c>
      <c r="F196" s="380">
        <f t="shared" si="51"/>
        <v>221.60220520557382</v>
      </c>
      <c r="G196" s="110">
        <f t="shared" si="76"/>
        <v>0.88636747423919648</v>
      </c>
      <c r="H196" s="409" t="b">
        <f>Wh_hp&gt;='2023'!Maxi_hp</f>
        <v>0</v>
      </c>
      <c r="I196" s="375">
        <f>IF(H196,Wh_hp,'2023'!Maxi_hp)</f>
        <v>221.60441669383138</v>
      </c>
      <c r="J196" s="85">
        <f>IF(H196,An,'2023'!An_max)</f>
        <v>2022</v>
      </c>
      <c r="K196" s="193">
        <f t="shared" si="52"/>
        <v>45473</v>
      </c>
      <c r="L196" s="143">
        <f>IF(t&lt;Tvie,1-EXP((T0-t)*PertePVj)+'2023'!Pspv,1-EXP((T0-t)*PertePVj)+Pspv)</f>
        <v>1.4257413949780529E-2</v>
      </c>
      <c r="M196" s="835"/>
      <c r="N196" s="835"/>
      <c r="O196" s="48">
        <f>IF(t&lt;Tnet,'2023'!Resal+('2023'!Salim-'2023'!Resal)*(1-EXP(('2023'!Tnet-t)/('2023'!Tau_j))),Resal+(Salim-Resal)*(1-EXP((Tnet-t)/(Tau_j))))*Salcycl</f>
        <v>1.5459985806931809E-2</v>
      </c>
      <c r="P196" s="165">
        <f>(INDEX(Models!$BJ196:$BT196,,T196)*(1-R196)+INDEX(Models!$BJ196:$BT196,,T196+1)*R196-ERP_i)*Q196*Ramure*Pc/MaxiM</f>
        <v>7.8655309869262219E-5</v>
      </c>
      <c r="Q196" s="301">
        <f t="shared" si="53"/>
        <v>0.5</v>
      </c>
      <c r="R196" s="173">
        <f t="shared" si="54"/>
        <v>0.34108392710310165</v>
      </c>
      <c r="S196" s="801">
        <f t="shared" si="55"/>
        <v>1</v>
      </c>
      <c r="T196" s="172">
        <f t="shared" si="56"/>
        <v>7</v>
      </c>
      <c r="U196" s="247">
        <f t="shared" si="57"/>
        <v>1.3410839271031016</v>
      </c>
      <c r="V196" s="378">
        <f t="shared" si="58"/>
        <v>242.61798803921351</v>
      </c>
      <c r="W196" s="397">
        <f t="shared" si="59"/>
        <v>215.0514390094408</v>
      </c>
      <c r="X196" s="153">
        <f t="shared" si="60"/>
        <v>45473</v>
      </c>
      <c r="Y196" s="380">
        <f t="shared" si="61"/>
        <v>207.03489943541774</v>
      </c>
      <c r="Z196" s="380">
        <f t="shared" si="62"/>
        <v>210.02937517895791</v>
      </c>
      <c r="AA196" s="381">
        <f t="shared" si="63"/>
        <v>221.58760421440911</v>
      </c>
      <c r="AB196" s="193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5.2160991028484718E-2</v>
      </c>
      <c r="AD196" s="227">
        <f>(INDEX(Models!$BJ196:$BT196,,AH196)*(1-AF196)+INDEX(Models!$BJ196:$BT196,,AH196+1)*AF196-ERP_i)*AE196*Ramure*Pc/MaxiM</f>
        <v>7.8655309869262219E-5</v>
      </c>
      <c r="AE196" s="301">
        <f t="shared" si="65"/>
        <v>0.5</v>
      </c>
      <c r="AF196" s="173">
        <f t="shared" si="66"/>
        <v>0.34108392710310165</v>
      </c>
      <c r="AG196" s="801">
        <f t="shared" si="74"/>
        <v>1</v>
      </c>
      <c r="AH196" s="172">
        <f t="shared" si="67"/>
        <v>7</v>
      </c>
      <c r="AI196" s="221">
        <f t="shared" si="68"/>
        <v>1.3410839271031016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customHeight="1" x14ac:dyDescent="0.2">
      <c r="A197" s="56">
        <f t="shared" si="71"/>
        <v>45474</v>
      </c>
      <c r="B197" s="406">
        <f>'2023'!Wh/'2023'!Env_an*'2024'!Env_an</f>
        <v>237.65613170663156</v>
      </c>
      <c r="C197" s="385"/>
      <c r="D197" s="388">
        <f t="shared" si="50"/>
        <v>241.09680197171483</v>
      </c>
      <c r="E197" s="380">
        <f t="shared" si="75"/>
        <v>244.90223099036916</v>
      </c>
      <c r="F197" s="380">
        <f t="shared" si="51"/>
        <v>244.9216367050814</v>
      </c>
      <c r="G197" s="110">
        <f t="shared" si="76"/>
        <v>0.98042186322066294</v>
      </c>
      <c r="H197" s="409" t="b">
        <f>Wh_hp&gt;='2023'!Maxi_hp</f>
        <v>0</v>
      </c>
      <c r="I197" s="375">
        <f>IF(H197,Wh_hp,'2023'!Maxi_hp)</f>
        <v>244.92207274501186</v>
      </c>
      <c r="J197" s="85">
        <f>IF(H197,An,'2023'!An_max)</f>
        <v>2022</v>
      </c>
      <c r="K197" s="193">
        <f t="shared" si="52"/>
        <v>45474</v>
      </c>
      <c r="L197" s="143">
        <f>IF(t&lt;Tvie,1-EXP((T0-t)*PertePVj)+'2023'!Pspv,1-EXP((T0-t)*PertePVj)+Pspv)</f>
        <v>1.4270907937994681E-2</v>
      </c>
      <c r="M197" s="835"/>
      <c r="N197" s="835"/>
      <c r="O197" s="48">
        <f>IF(t&lt;Tnet,'2023'!Resal+('2023'!Salim-'2023'!Resal)*(1-EXP(('2023'!Tnet-t)/('2023'!Tau_j))),Resal+(Salim-Resal)*(1-EXP((Tnet-t)/(Tau_j))))*Salcycl</f>
        <v>1.553856411705778E-2</v>
      </c>
      <c r="P197" s="165">
        <f>(INDEX(Models!$BJ197:$BT197,,T197)*(1-R197)+INDEX(Models!$BJ197:$BT197,,T197+1)*R197-ERP_i)*Q197*Ramure*Pc/MaxiM</f>
        <v>8.151186745391355E-5</v>
      </c>
      <c r="Q197" s="301">
        <f t="shared" si="53"/>
        <v>0.5</v>
      </c>
      <c r="R197" s="173">
        <f t="shared" si="54"/>
        <v>0.34534294241076235</v>
      </c>
      <c r="S197" s="801">
        <f t="shared" si="55"/>
        <v>1</v>
      </c>
      <c r="T197" s="172">
        <f t="shared" si="56"/>
        <v>7</v>
      </c>
      <c r="U197" s="247">
        <f t="shared" si="57"/>
        <v>1.3453429424107624</v>
      </c>
      <c r="V197" s="378">
        <f t="shared" si="58"/>
        <v>242.40135684004912</v>
      </c>
      <c r="W197" s="397">
        <f t="shared" si="59"/>
        <v>237.65613170663156</v>
      </c>
      <c r="X197" s="153">
        <f t="shared" si="60"/>
        <v>45474</v>
      </c>
      <c r="Y197" s="380">
        <f t="shared" si="61"/>
        <v>228.80381190604186</v>
      </c>
      <c r="Z197" s="380">
        <f t="shared" si="62"/>
        <v>232.11632257643606</v>
      </c>
      <c r="AA197" s="381">
        <f t="shared" si="63"/>
        <v>244.90223099036916</v>
      </c>
      <c r="AB197" s="193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5.2208215344661066E-2</v>
      </c>
      <c r="AD197" s="227">
        <f>(INDEX(Models!$BJ197:$BT197,,AH197)*(1-AF197)+INDEX(Models!$BJ197:$BT197,,AH197+1)*AF197-ERP_i)*AE197*Ramure*Pc/MaxiM</f>
        <v>8.151186745391355E-5</v>
      </c>
      <c r="AE197" s="301">
        <f t="shared" si="65"/>
        <v>0.5</v>
      </c>
      <c r="AF197" s="173">
        <f t="shared" si="66"/>
        <v>0.34534294241076235</v>
      </c>
      <c r="AG197" s="801">
        <f t="shared" si="74"/>
        <v>1</v>
      </c>
      <c r="AH197" s="172">
        <f t="shared" si="67"/>
        <v>7</v>
      </c>
      <c r="AI197" s="221">
        <f t="shared" si="68"/>
        <v>1.3453429424107624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customHeight="1" x14ac:dyDescent="0.2">
      <c r="A198" s="56">
        <f t="shared" si="71"/>
        <v>45475</v>
      </c>
      <c r="B198" s="406">
        <f>'2023'!Wh/'2023'!Env_an*'2024'!Env_an</f>
        <v>196.83146389201741</v>
      </c>
      <c r="C198" s="385"/>
      <c r="D198" s="388">
        <f t="shared" si="50"/>
        <v>199.68382791117875</v>
      </c>
      <c r="E198" s="380">
        <f t="shared" si="75"/>
        <v>202.8517357001314</v>
      </c>
      <c r="F198" s="380">
        <f t="shared" si="51"/>
        <v>202.86429143046655</v>
      </c>
      <c r="G198" s="110">
        <f t="shared" si="76"/>
        <v>0.8127556791783842</v>
      </c>
      <c r="H198" s="409" t="b">
        <f>Wh_hp&gt;='2023'!Maxi_hp</f>
        <v>0</v>
      </c>
      <c r="I198" s="375">
        <f>IF(H198,Wh_hp,'2023'!Maxi_hp)</f>
        <v>202.86786743464688</v>
      </c>
      <c r="J198" s="85">
        <f>IF(H198,An,'2023'!An_max)</f>
        <v>2022</v>
      </c>
      <c r="K198" s="193">
        <f t="shared" si="52"/>
        <v>45475</v>
      </c>
      <c r="L198" s="143">
        <f>IF(t&lt;Tvie,1-EXP((T0-t)*PertePVj)+'2023'!Pspv,1-EXP((T0-t)*PertePVj)+Pspv)</f>
        <v>1.4284401741487485E-2</v>
      </c>
      <c r="M198" s="835"/>
      <c r="N198" s="835"/>
      <c r="O198" s="48">
        <f>IF(t&lt;Tnet,'2023'!Resal+('2023'!Salim-'2023'!Resal)*(1-EXP(('2023'!Tnet-t)/('2023'!Tau_j))),Resal+(Salim-Resal)*(1-EXP((Tnet-t)/(Tau_j))))*Salcycl</f>
        <v>1.5616863114425917E-2</v>
      </c>
      <c r="P198" s="165">
        <f>(INDEX(Models!$BJ198:$BT198,,T198)*(1-R198)+INDEX(Models!$BJ198:$BT198,,T198+1)*R198-ERP_i)*Q198*Ramure*Pc/MaxiM</f>
        <v>8.4490596167664035E-5</v>
      </c>
      <c r="Q198" s="301">
        <f t="shared" si="53"/>
        <v>0.5</v>
      </c>
      <c r="R198" s="173">
        <f t="shared" si="54"/>
        <v>0.34952846817805883</v>
      </c>
      <c r="S198" s="801">
        <f t="shared" si="55"/>
        <v>1</v>
      </c>
      <c r="T198" s="172">
        <f t="shared" si="56"/>
        <v>7</v>
      </c>
      <c r="U198" s="247">
        <f t="shared" si="57"/>
        <v>1.3495284681780588</v>
      </c>
      <c r="V198" s="378">
        <f t="shared" si="58"/>
        <v>242.17242720828781</v>
      </c>
      <c r="W198" s="397">
        <f t="shared" si="59"/>
        <v>196.83146389201741</v>
      </c>
      <c r="X198" s="153">
        <f t="shared" si="60"/>
        <v>45475</v>
      </c>
      <c r="Y198" s="380">
        <f t="shared" si="61"/>
        <v>189.50558997606907</v>
      </c>
      <c r="Z198" s="380">
        <f t="shared" si="62"/>
        <v>192.25179180574312</v>
      </c>
      <c r="AA198" s="381">
        <f t="shared" si="63"/>
        <v>202.8517357001314</v>
      </c>
      <c r="AB198" s="193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5.2254637397127324E-2</v>
      </c>
      <c r="AD198" s="227">
        <f>(INDEX(Models!$BJ198:$BT198,,AH198)*(1-AF198)+INDEX(Models!$BJ198:$BT198,,AH198+1)*AF198-ERP_i)*AE198*Ramure*Pc/MaxiM</f>
        <v>8.4490596167664035E-5</v>
      </c>
      <c r="AE198" s="301">
        <f t="shared" si="65"/>
        <v>0.5</v>
      </c>
      <c r="AF198" s="173">
        <f t="shared" si="66"/>
        <v>0.34952846817805883</v>
      </c>
      <c r="AG198" s="801">
        <f t="shared" si="74"/>
        <v>1</v>
      </c>
      <c r="AH198" s="172">
        <f t="shared" si="67"/>
        <v>7</v>
      </c>
      <c r="AI198" s="221">
        <f t="shared" si="68"/>
        <v>1.3495284681780588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customHeight="1" x14ac:dyDescent="0.2">
      <c r="A199" s="56">
        <f t="shared" si="71"/>
        <v>45476</v>
      </c>
      <c r="B199" s="406">
        <f>'2023'!Wh/'2023'!Env_an*'2024'!Env_an</f>
        <v>192.01252195141785</v>
      </c>
      <c r="C199" s="385"/>
      <c r="D199" s="388">
        <f t="shared" si="50"/>
        <v>194.79771935923375</v>
      </c>
      <c r="E199" s="380">
        <f t="shared" si="75"/>
        <v>197.90379676198947</v>
      </c>
      <c r="F199" s="380">
        <f t="shared" si="51"/>
        <v>197.91600093134463</v>
      </c>
      <c r="G199" s="110">
        <f t="shared" si="76"/>
        <v>0.79364870395018738</v>
      </c>
      <c r="H199" s="409" t="b">
        <f>Wh_hp&gt;='2023'!Maxi_hp</f>
        <v>0</v>
      </c>
      <c r="I199" s="375">
        <f>IF(H199,Wh_hp,'2023'!Maxi_hp)</f>
        <v>197.91997286853493</v>
      </c>
      <c r="J199" s="85">
        <f>IF(H199,An,'2023'!An_max)</f>
        <v>2022</v>
      </c>
      <c r="K199" s="193">
        <f t="shared" si="52"/>
        <v>45476</v>
      </c>
      <c r="L199" s="143">
        <f>IF(t&lt;Tvie,1-EXP((T0-t)*PertePVj)+'2023'!Pspv,1-EXP((T0-t)*PertePVj)+Pspv)</f>
        <v>1.4297895360261381E-2</v>
      </c>
      <c r="M199" s="835"/>
      <c r="N199" s="835"/>
      <c r="O199" s="48">
        <f>IF(t&lt;Tnet,'2023'!Resal+('2023'!Salim-'2023'!Resal)*(1-EXP(('2023'!Tnet-t)/('2023'!Tau_j))),Resal+(Salim-Resal)*(1-EXP((Tnet-t)/(Tau_j))))*Salcycl</f>
        <v>1.569488536135186E-2</v>
      </c>
      <c r="P199" s="165">
        <f>(INDEX(Models!$BJ199:$BT199,,T199)*(1-R199)+INDEX(Models!$BJ199:$BT199,,T199+1)*R199-ERP_i)*Q199*Ramure*Pc/MaxiM</f>
        <v>8.7435814762697311E-5</v>
      </c>
      <c r="Q199" s="301">
        <f t="shared" si="53"/>
        <v>0.5</v>
      </c>
      <c r="R199" s="173">
        <f t="shared" si="54"/>
        <v>0.35363894840201571</v>
      </c>
      <c r="S199" s="801">
        <f t="shared" si="55"/>
        <v>1</v>
      </c>
      <c r="T199" s="172">
        <f t="shared" si="56"/>
        <v>7</v>
      </c>
      <c r="U199" s="247">
        <f t="shared" si="57"/>
        <v>1.3536389484020157</v>
      </c>
      <c r="V199" s="378">
        <f t="shared" si="58"/>
        <v>241.93017900762993</v>
      </c>
      <c r="W199" s="397">
        <f t="shared" si="59"/>
        <v>192.01252195141785</v>
      </c>
      <c r="X199" s="153">
        <f t="shared" si="60"/>
        <v>45476</v>
      </c>
      <c r="Y199" s="380">
        <f t="shared" si="61"/>
        <v>184.87175520674413</v>
      </c>
      <c r="Z199" s="380">
        <f t="shared" si="62"/>
        <v>187.5533737186372</v>
      </c>
      <c r="AA199" s="381">
        <f t="shared" si="63"/>
        <v>197.90379676198947</v>
      </c>
      <c r="AB199" s="193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5.2300275248383828E-2</v>
      </c>
      <c r="AD199" s="227">
        <f>(INDEX(Models!$BJ199:$BT199,,AH199)*(1-AF199)+INDEX(Models!$BJ199:$BT199,,AH199+1)*AF199-ERP_i)*AE199*Ramure*Pc/MaxiM</f>
        <v>8.7435814762697311E-5</v>
      </c>
      <c r="AE199" s="301">
        <f t="shared" si="65"/>
        <v>0.5</v>
      </c>
      <c r="AF199" s="173">
        <f t="shared" si="66"/>
        <v>0.35363894840201571</v>
      </c>
      <c r="AG199" s="801">
        <f t="shared" si="74"/>
        <v>1</v>
      </c>
      <c r="AH199" s="172">
        <f t="shared" si="67"/>
        <v>7</v>
      </c>
      <c r="AI199" s="221">
        <f t="shared" si="68"/>
        <v>1.3536389484020157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customHeight="1" x14ac:dyDescent="0.2">
      <c r="A200" s="56">
        <f t="shared" si="71"/>
        <v>45477</v>
      </c>
      <c r="B200" s="406">
        <f>'2023'!Wh/'2023'!Env_an*'2024'!Env_an</f>
        <v>230.9697496809481</v>
      </c>
      <c r="C200" s="385"/>
      <c r="D200" s="388">
        <f t="shared" si="50"/>
        <v>234.32324068189141</v>
      </c>
      <c r="E200" s="380">
        <f t="shared" si="75"/>
        <v>238.07836356677117</v>
      </c>
      <c r="F200" s="380">
        <f t="shared" si="51"/>
        <v>238.09851299124233</v>
      </c>
      <c r="G200" s="110">
        <f t="shared" si="76"/>
        <v>0.95570418776241883</v>
      </c>
      <c r="H200" s="409" t="b">
        <f>Wh_hp&gt;='2023'!Maxi_hp</f>
        <v>0</v>
      </c>
      <c r="I200" s="375">
        <f>IF(H200,Wh_hp,'2023'!Maxi_hp)</f>
        <v>238.09957047491525</v>
      </c>
      <c r="J200" s="85">
        <f>IF(H200,An,'2023'!An_max)</f>
        <v>2022</v>
      </c>
      <c r="K200" s="193">
        <f t="shared" si="52"/>
        <v>45477</v>
      </c>
      <c r="L200" s="143">
        <f>IF(t&lt;Tvie,1-EXP((T0-t)*PertePVj)+'2023'!Pspv,1-EXP((T0-t)*PertePVj)+Pspv)</f>
        <v>1.4311388794318924E-2</v>
      </c>
      <c r="M200" s="835"/>
      <c r="N200" s="835"/>
      <c r="O200" s="48">
        <f>IF(t&lt;Tnet,'2023'!Resal+('2023'!Salim-'2023'!Resal)*(1-EXP(('2023'!Tnet-t)/('2023'!Tau_j))),Resal+(Salim-Resal)*(1-EXP((Tnet-t)/(Tau_j))))*Salcycl</f>
        <v>1.5772633970690914E-2</v>
      </c>
      <c r="P200" s="165">
        <f>(INDEX(Models!$BJ200:$BT200,,T200)*(1-R200)+INDEX(Models!$BJ200:$BT200,,T200+1)*R200-ERP_i)*Q200*Ramure*Pc/MaxiM</f>
        <v>9.0342567075060883E-5</v>
      </c>
      <c r="Q200" s="301">
        <f t="shared" si="53"/>
        <v>0.5</v>
      </c>
      <c r="R200" s="173">
        <f t="shared" si="54"/>
        <v>0.35767300676198976</v>
      </c>
      <c r="S200" s="801">
        <f t="shared" si="55"/>
        <v>1</v>
      </c>
      <c r="T200" s="172">
        <f t="shared" si="56"/>
        <v>7</v>
      </c>
      <c r="U200" s="247">
        <f t="shared" si="57"/>
        <v>1.3576730067619898</v>
      </c>
      <c r="V200" s="378">
        <f t="shared" si="58"/>
        <v>241.67355576063048</v>
      </c>
      <c r="W200" s="397">
        <f t="shared" si="59"/>
        <v>230.9697496809481</v>
      </c>
      <c r="X200" s="153">
        <f t="shared" si="60"/>
        <v>45477</v>
      </c>
      <c r="Y200" s="380">
        <f t="shared" si="61"/>
        <v>222.38723632530622</v>
      </c>
      <c r="Z200" s="380">
        <f t="shared" si="62"/>
        <v>225.61611628370662</v>
      </c>
      <c r="AA200" s="381">
        <f t="shared" si="63"/>
        <v>238.07836356677117</v>
      </c>
      <c r="AB200" s="193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5.2345148447600937E-2</v>
      </c>
      <c r="AD200" s="227">
        <f>(INDEX(Models!$BJ200:$BT200,,AH200)*(1-AF200)+INDEX(Models!$BJ200:$BT200,,AH200+1)*AF200-ERP_i)*AE200*Ramure*Pc/MaxiM</f>
        <v>9.0342567075060883E-5</v>
      </c>
      <c r="AE200" s="301">
        <f t="shared" si="65"/>
        <v>0.5</v>
      </c>
      <c r="AF200" s="173">
        <f t="shared" si="66"/>
        <v>0.35767300676198976</v>
      </c>
      <c r="AG200" s="801">
        <f t="shared" si="74"/>
        <v>1</v>
      </c>
      <c r="AH200" s="172">
        <f t="shared" si="67"/>
        <v>7</v>
      </c>
      <c r="AI200" s="221">
        <f t="shared" si="68"/>
        <v>1.3576730067619898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customHeight="1" x14ac:dyDescent="0.2">
      <c r="A201" s="56">
        <f t="shared" si="71"/>
        <v>45478</v>
      </c>
      <c r="B201" s="406">
        <f>'2023'!Wh/'2023'!Env_an*'2024'!Env_an</f>
        <v>183.34796066359917</v>
      </c>
      <c r="C201" s="385"/>
      <c r="D201" s="388">
        <f t="shared" si="50"/>
        <v>186.01256876986622</v>
      </c>
      <c r="E201" s="380">
        <f t="shared" si="75"/>
        <v>189.00837275472381</v>
      </c>
      <c r="F201" s="380">
        <f t="shared" si="51"/>
        <v>189.01993796207034</v>
      </c>
      <c r="G201" s="110">
        <f t="shared" si="76"/>
        <v>0.75949026168393796</v>
      </c>
      <c r="H201" s="409" t="b">
        <f>Wh_hp&gt;='2023'!Maxi_hp</f>
        <v>0</v>
      </c>
      <c r="I201" s="375">
        <f>IF(H201,Wh_hp,'2023'!Maxi_hp)</f>
        <v>189.02462826970424</v>
      </c>
      <c r="J201" s="85">
        <f>IF(H201,An,'2023'!An_max)</f>
        <v>2022</v>
      </c>
      <c r="K201" s="193">
        <f t="shared" si="52"/>
        <v>45478</v>
      </c>
      <c r="L201" s="143">
        <f>IF(t&lt;Tvie,1-EXP((T0-t)*PertePVj)+'2023'!Pspv,1-EXP((T0-t)*PertePVj)+Pspv)</f>
        <v>1.4324882043662779E-2</v>
      </c>
      <c r="M201" s="835"/>
      <c r="N201" s="835"/>
      <c r="O201" s="48">
        <f>IF(t&lt;Tnet,'2023'!Resal+('2023'!Salim-'2023'!Resal)*(1-EXP(('2023'!Tnet-t)/('2023'!Tau_j))),Resal+(Salim-Resal)*(1-EXP((Tnet-t)/(Tau_j))))*Salcycl</f>
        <v>1.5850112570120069E-2</v>
      </c>
      <c r="P201" s="165">
        <f>(INDEX(Models!$BJ201:$BT201,,T201)*(1-R201)+INDEX(Models!$BJ201:$BT201,,T201+1)*R201-ERP_i)*Q201*Ramure*Pc/MaxiM</f>
        <v>9.3206145438571032E-5</v>
      </c>
      <c r="Q201" s="301">
        <f t="shared" si="53"/>
        <v>0.5</v>
      </c>
      <c r="R201" s="173">
        <f t="shared" si="54"/>
        <v>0.36162944422311583</v>
      </c>
      <c r="S201" s="801">
        <f t="shared" si="55"/>
        <v>1</v>
      </c>
      <c r="T201" s="172">
        <f t="shared" si="56"/>
        <v>7</v>
      </c>
      <c r="U201" s="247">
        <f t="shared" si="57"/>
        <v>1.3616294442231158</v>
      </c>
      <c r="V201" s="378">
        <f t="shared" si="58"/>
        <v>241.40150119622263</v>
      </c>
      <c r="W201" s="397">
        <f t="shared" si="59"/>
        <v>183.34796066359917</v>
      </c>
      <c r="X201" s="153">
        <f t="shared" si="60"/>
        <v>45478</v>
      </c>
      <c r="Y201" s="380">
        <f t="shared" si="61"/>
        <v>176.54068310323208</v>
      </c>
      <c r="Z201" s="380">
        <f t="shared" si="62"/>
        <v>179.10636059198197</v>
      </c>
      <c r="AA201" s="381">
        <f t="shared" si="63"/>
        <v>189.00837275472381</v>
      </c>
      <c r="AB201" s="193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5.2389277884486572E-2</v>
      </c>
      <c r="AD201" s="227">
        <f>(INDEX(Models!$BJ201:$BT201,,AH201)*(1-AF201)+INDEX(Models!$BJ201:$BT201,,AH201+1)*AF201-ERP_i)*AE201*Ramure*Pc/MaxiM</f>
        <v>9.3206145438571032E-5</v>
      </c>
      <c r="AE201" s="301">
        <f t="shared" si="65"/>
        <v>0.5</v>
      </c>
      <c r="AF201" s="173">
        <f t="shared" si="66"/>
        <v>0.36162944422311583</v>
      </c>
      <c r="AG201" s="801">
        <f t="shared" si="74"/>
        <v>1</v>
      </c>
      <c r="AH201" s="172">
        <f t="shared" si="67"/>
        <v>7</v>
      </c>
      <c r="AI201" s="221">
        <f t="shared" si="68"/>
        <v>1.3616294442231158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customHeight="1" x14ac:dyDescent="0.2">
      <c r="A202" s="56">
        <f t="shared" si="71"/>
        <v>45479</v>
      </c>
      <c r="B202" s="406">
        <f>'2023'!Wh/'2023'!Env_an*'2024'!Env_an</f>
        <v>227.85175716645384</v>
      </c>
      <c r="C202" s="385"/>
      <c r="D202" s="388">
        <f t="shared" si="50"/>
        <v>231.16630637972546</v>
      </c>
      <c r="E202" s="380">
        <f t="shared" si="75"/>
        <v>234.90775865887412</v>
      </c>
      <c r="F202" s="380">
        <f t="shared" si="51"/>
        <v>234.92854455163527</v>
      </c>
      <c r="G202" s="110">
        <f t="shared" si="76"/>
        <v>0.9449929141341209</v>
      </c>
      <c r="H202" s="409" t="b">
        <f>Wh_hp&gt;='2023'!Maxi_hp</f>
        <v>0</v>
      </c>
      <c r="I202" s="375">
        <f>IF(H202,Wh_hp,'2023'!Maxi_hp)</f>
        <v>234.92991381410164</v>
      </c>
      <c r="J202" s="85">
        <f>IF(H202,An,'2023'!An_max)</f>
        <v>2022</v>
      </c>
      <c r="K202" s="193">
        <f t="shared" si="52"/>
        <v>45479</v>
      </c>
      <c r="L202" s="143">
        <f>IF(t&lt;Tvie,1-EXP((T0-t)*PertePVj)+'2023'!Pspv,1-EXP((T0-t)*PertePVj)+Pspv)</f>
        <v>1.4338375108295276E-2</v>
      </c>
      <c r="M202" s="835"/>
      <c r="N202" s="835"/>
      <c r="O202" s="48">
        <f>IF(t&lt;Tnet,'2023'!Resal+('2023'!Salim-'2023'!Resal)*(1-EXP(('2023'!Tnet-t)/('2023'!Tau_j))),Resal+(Salim-Resal)*(1-EXP((Tnet-t)/(Tau_j))))*Salcycl</f>
        <v>1.592732526379385E-2</v>
      </c>
      <c r="P202" s="165">
        <f>(INDEX(Models!$BJ202:$BT202,,T202)*(1-R202)+INDEX(Models!$BJ202:$BT202,,T202+1)*R202-ERP_i)*Q202*Ramure*Pc/MaxiM</f>
        <v>9.6022097780239522E-5</v>
      </c>
      <c r="Q202" s="301">
        <f t="shared" si="53"/>
        <v>0.5</v>
      </c>
      <c r="R202" s="173">
        <f t="shared" si="54"/>
        <v>0.36550723593815526</v>
      </c>
      <c r="S202" s="801">
        <f t="shared" si="55"/>
        <v>1</v>
      </c>
      <c r="T202" s="172">
        <f t="shared" si="56"/>
        <v>7</v>
      </c>
      <c r="U202" s="247">
        <f t="shared" si="57"/>
        <v>1.3655072359381553</v>
      </c>
      <c r="V202" s="378">
        <f t="shared" si="58"/>
        <v>241.11295921794621</v>
      </c>
      <c r="W202" s="397">
        <f t="shared" si="59"/>
        <v>227.85175716645384</v>
      </c>
      <c r="X202" s="153">
        <f t="shared" si="60"/>
        <v>45479</v>
      </c>
      <c r="Y202" s="380">
        <f t="shared" si="61"/>
        <v>219.39932197456949</v>
      </c>
      <c r="Z202" s="380">
        <f t="shared" si="62"/>
        <v>222.59091399512997</v>
      </c>
      <c r="AA202" s="381">
        <f t="shared" si="63"/>
        <v>234.90775865887412</v>
      </c>
      <c r="AB202" s="193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5.2432685638239274E-2</v>
      </c>
      <c r="AD202" s="227">
        <f>(INDEX(Models!$BJ202:$BT202,,AH202)*(1-AF202)+INDEX(Models!$BJ202:$BT202,,AH202+1)*AF202-ERP_i)*AE202*Ramure*Pc/MaxiM</f>
        <v>9.6022097780239522E-5</v>
      </c>
      <c r="AE202" s="301">
        <f t="shared" si="65"/>
        <v>0.5</v>
      </c>
      <c r="AF202" s="173">
        <f t="shared" si="66"/>
        <v>0.36550723593815526</v>
      </c>
      <c r="AG202" s="801">
        <f t="shared" si="74"/>
        <v>1</v>
      </c>
      <c r="AH202" s="172">
        <f t="shared" si="67"/>
        <v>7</v>
      </c>
      <c r="AI202" s="221">
        <f t="shared" si="68"/>
        <v>1.3655072359381553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customHeight="1" x14ac:dyDescent="0.2">
      <c r="A203" s="56">
        <f t="shared" si="71"/>
        <v>45480</v>
      </c>
      <c r="B203" s="406">
        <f>'2023'!Wh/'2023'!Env_an*'2024'!Env_an</f>
        <v>241.63426510032696</v>
      </c>
      <c r="C203" s="385"/>
      <c r="D203" s="388">
        <f t="shared" si="50"/>
        <v>245.15266376768099</v>
      </c>
      <c r="E203" s="380">
        <f t="shared" si="75"/>
        <v>249.13996873739964</v>
      </c>
      <c r="F203" s="380">
        <f t="shared" si="51"/>
        <v>249.16458276776109</v>
      </c>
      <c r="G203" s="110">
        <f t="shared" si="76"/>
        <v>1.0034359116923777</v>
      </c>
      <c r="H203" s="409" t="b">
        <f>Wh_hp&gt;='2023'!Maxi_hp</f>
        <v>1</v>
      </c>
      <c r="I203" s="375">
        <f>IF(H203,Wh_hp,'2023'!Maxi_hp)</f>
        <v>249.16458276776109</v>
      </c>
      <c r="J203" s="85">
        <f>IF(H203,An,'2023'!An_max)</f>
        <v>2024</v>
      </c>
      <c r="K203" s="193">
        <f t="shared" si="52"/>
        <v>45480</v>
      </c>
      <c r="L203" s="143">
        <f>IF(t&lt;Tvie,1-EXP((T0-t)*PertePVj)+'2023'!Pspv,1-EXP((T0-t)*PertePVj)+Pspv)</f>
        <v>1.4351867988219191E-2</v>
      </c>
      <c r="M203" s="835"/>
      <c r="N203" s="835"/>
      <c r="O203" s="48">
        <f>IF(t&lt;Tnet,'2023'!Resal+('2023'!Salim-'2023'!Resal)*(1-EXP(('2023'!Tnet-t)/('2023'!Tau_j))),Resal+(Salim-Resal)*(1-EXP((Tnet-t)/(Tau_j))))*Salcycl</f>
        <v>1.6004276591691204E-2</v>
      </c>
      <c r="P203" s="165">
        <f>(INDEX(Models!$BJ203:$BT203,,T203)*(1-R203)+INDEX(Models!$BJ203:$BT203,,T203+1)*R203-ERP_i)*Q203*Ramure*Pc/MaxiM</f>
        <v>9.8786232328913268E-5</v>
      </c>
      <c r="Q203" s="301">
        <f t="shared" si="53"/>
        <v>0.5</v>
      </c>
      <c r="R203" s="173">
        <f t="shared" si="54"/>
        <v>0.36930552750375778</v>
      </c>
      <c r="S203" s="801">
        <f t="shared" si="55"/>
        <v>1</v>
      </c>
      <c r="T203" s="172">
        <f t="shared" si="56"/>
        <v>7</v>
      </c>
      <c r="U203" s="247">
        <f t="shared" si="57"/>
        <v>1.3693055275037578</v>
      </c>
      <c r="V203" s="378">
        <f t="shared" si="58"/>
        <v>240.80687394652915</v>
      </c>
      <c r="W203" s="397">
        <f t="shared" si="59"/>
        <v>241.63426510032696</v>
      </c>
      <c r="X203" s="153">
        <f t="shared" si="60"/>
        <v>45480</v>
      </c>
      <c r="Y203" s="380">
        <f t="shared" si="61"/>
        <v>232.67825884796227</v>
      </c>
      <c r="Z203" s="380">
        <f t="shared" si="62"/>
        <v>236.06625051178122</v>
      </c>
      <c r="AA203" s="381">
        <f t="shared" si="63"/>
        <v>249.13996873739964</v>
      </c>
      <c r="AB203" s="193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5.2475394822733161E-2</v>
      </c>
      <c r="AD203" s="227">
        <f>(INDEX(Models!$BJ203:$BT203,,AH203)*(1-AF203)+INDEX(Models!$BJ203:$BT203,,AH203+1)*AF203-ERP_i)*AE203*Ramure*Pc/MaxiM</f>
        <v>9.8786232328913268E-5</v>
      </c>
      <c r="AE203" s="301">
        <f t="shared" si="65"/>
        <v>0.5</v>
      </c>
      <c r="AF203" s="173">
        <f t="shared" si="66"/>
        <v>0.36930552750375778</v>
      </c>
      <c r="AG203" s="801">
        <f t="shared" si="74"/>
        <v>1</v>
      </c>
      <c r="AH203" s="172">
        <f t="shared" si="67"/>
        <v>7</v>
      </c>
      <c r="AI203" s="221">
        <f t="shared" si="68"/>
        <v>1.3693055275037578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customHeight="1" x14ac:dyDescent="0.2">
      <c r="A204" s="56">
        <f t="shared" si="71"/>
        <v>45481</v>
      </c>
      <c r="B204" s="406">
        <f>'2023'!Wh/'2023'!Env_an*'2024'!Env_an</f>
        <v>239.10491084956877</v>
      </c>
      <c r="C204" s="385"/>
      <c r="D204" s="388">
        <f t="shared" si="50"/>
        <v>242.58980083671122</v>
      </c>
      <c r="E204" s="380">
        <f t="shared" si="75"/>
        <v>246.5546389557432</v>
      </c>
      <c r="F204" s="380">
        <f t="shared" si="51"/>
        <v>246.5794606864338</v>
      </c>
      <c r="G204" s="110">
        <f t="shared" si="76"/>
        <v>0.99427201889691053</v>
      </c>
      <c r="H204" s="409" t="b">
        <f>Wh_hp&gt;='2023'!Maxi_hp</f>
        <v>0</v>
      </c>
      <c r="I204" s="375">
        <f>IF(H204,Wh_hp,'2023'!Maxi_hp)</f>
        <v>246.57961768675807</v>
      </c>
      <c r="J204" s="85">
        <f>IF(H204,An,'2023'!An_max)</f>
        <v>2022</v>
      </c>
      <c r="K204" s="193">
        <f t="shared" si="52"/>
        <v>45481</v>
      </c>
      <c r="L204" s="143">
        <f>IF(t&lt;Tvie,1-EXP((T0-t)*PertePVj)+'2023'!Pspv,1-EXP((T0-t)*PertePVj)+Pspv)</f>
        <v>1.4365360683436745E-2</v>
      </c>
      <c r="M204" s="835"/>
      <c r="N204" s="835"/>
      <c r="O204" s="48">
        <f>IF(t&lt;Tnet,'2023'!Resal+('2023'!Salim-'2023'!Resal)*(1-EXP(('2023'!Tnet-t)/('2023'!Tau_j))),Resal+(Salim-Resal)*(1-EXP((Tnet-t)/(Tau_j))))*Salcycl</f>
        <v>1.6080971486988213E-2</v>
      </c>
      <c r="P204" s="165">
        <f>(INDEX(Models!$BJ204:$BT204,,T204)*(1-R204)+INDEX(Models!$BJ204:$BT204,,T204+1)*R204-ERP_i)*Q204*Ramure*Pc/MaxiM</f>
        <v>1.0149462005338421E-4</v>
      </c>
      <c r="Q204" s="301">
        <f t="shared" si="53"/>
        <v>0.5</v>
      </c>
      <c r="R204" s="173">
        <f t="shared" si="54"/>
        <v>0.37302363062920985</v>
      </c>
      <c r="S204" s="801">
        <f t="shared" si="55"/>
        <v>1</v>
      </c>
      <c r="T204" s="172">
        <f t="shared" si="56"/>
        <v>7</v>
      </c>
      <c r="U204" s="247">
        <f t="shared" si="57"/>
        <v>1.3730236306292098</v>
      </c>
      <c r="V204" s="378">
        <f t="shared" si="58"/>
        <v>240.48218971673984</v>
      </c>
      <c r="W204" s="397">
        <f t="shared" si="59"/>
        <v>239.10491084956877</v>
      </c>
      <c r="X204" s="153">
        <f t="shared" si="60"/>
        <v>45481</v>
      </c>
      <c r="Y204" s="380">
        <f t="shared" si="61"/>
        <v>230.25038545118363</v>
      </c>
      <c r="Z204" s="380">
        <f t="shared" si="62"/>
        <v>233.60622310396752</v>
      </c>
      <c r="AA204" s="381">
        <f t="shared" si="63"/>
        <v>246.5546389557432</v>
      </c>
      <c r="AB204" s="193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5.2517429429100815E-2</v>
      </c>
      <c r="AD204" s="227">
        <f>(INDEX(Models!$BJ204:$BT204,,AH204)*(1-AF204)+INDEX(Models!$BJ204:$BT204,,AH204+1)*AF204-ERP_i)*AE204*Ramure*Pc/MaxiM</f>
        <v>1.0149462005338421E-4</v>
      </c>
      <c r="AE204" s="301">
        <f t="shared" si="65"/>
        <v>0.5</v>
      </c>
      <c r="AF204" s="173">
        <f t="shared" si="66"/>
        <v>0.37302363062920985</v>
      </c>
      <c r="AG204" s="801">
        <f t="shared" si="74"/>
        <v>1</v>
      </c>
      <c r="AH204" s="172">
        <f t="shared" si="67"/>
        <v>7</v>
      </c>
      <c r="AI204" s="221">
        <f t="shared" si="68"/>
        <v>1.3730236306292098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customHeight="1" x14ac:dyDescent="0.2">
      <c r="A205" s="56">
        <f t="shared" si="71"/>
        <v>45482</v>
      </c>
      <c r="B205" s="406">
        <f>'2023'!Wh/'2023'!Env_an*'2024'!Env_an</f>
        <v>237.17999582953999</v>
      </c>
      <c r="C205" s="385"/>
      <c r="D205" s="388">
        <f t="shared" si="50"/>
        <v>240.64012485743908</v>
      </c>
      <c r="E205" s="380">
        <f t="shared" si="75"/>
        <v>244.59210099564535</v>
      </c>
      <c r="F205" s="380">
        <f t="shared" si="51"/>
        <v>244.61712794506346</v>
      </c>
      <c r="G205" s="110">
        <f t="shared" si="76"/>
        <v>0.98767941419267824</v>
      </c>
      <c r="H205" s="409" t="b">
        <f>Wh_hp&gt;='2023'!Maxi_hp</f>
        <v>0</v>
      </c>
      <c r="I205" s="375">
        <f>IF(H205,Wh_hp,'2023'!Maxi_hp)</f>
        <v>244.61747019264928</v>
      </c>
      <c r="J205" s="85">
        <f>IF(H205,An,'2023'!An_max)</f>
        <v>2022</v>
      </c>
      <c r="K205" s="193">
        <f t="shared" si="52"/>
        <v>45482</v>
      </c>
      <c r="L205" s="143">
        <f>IF(t&lt;Tvie,1-EXP((T0-t)*PertePVj)+'2023'!Pspv,1-EXP((T0-t)*PertePVj)+Pspv)</f>
        <v>1.4378853193950714E-2</v>
      </c>
      <c r="M205" s="835"/>
      <c r="N205" s="835"/>
      <c r="O205" s="48">
        <f>IF(t&lt;Tnet,'2023'!Resal+('2023'!Salim-'2023'!Resal)*(1-EXP(('2023'!Tnet-t)/('2023'!Tau_j))),Resal+(Salim-Resal)*(1-EXP((Tnet-t)/(Tau_j))))*Salcycl</f>
        <v>1.6157415231805222E-2</v>
      </c>
      <c r="P205" s="165">
        <f>(INDEX(Models!$BJ205:$BT205,,T205)*(1-R205)+INDEX(Models!$BJ205:$BT205,,T205+1)*R205-ERP_i)*Q205*Ramure*Pc/MaxiM</f>
        <v>1.0414344167942861E-4</v>
      </c>
      <c r="Q205" s="301">
        <f t="shared" si="53"/>
        <v>0.5</v>
      </c>
      <c r="R205" s="173">
        <f t="shared" si="54"/>
        <v>0.37666101827703846</v>
      </c>
      <c r="S205" s="801">
        <f t="shared" si="55"/>
        <v>1</v>
      </c>
      <c r="T205" s="172">
        <f t="shared" si="56"/>
        <v>7</v>
      </c>
      <c r="U205" s="247">
        <f t="shared" si="57"/>
        <v>1.3766610182770385</v>
      </c>
      <c r="V205" s="378">
        <f t="shared" si="58"/>
        <v>240.13820444875654</v>
      </c>
      <c r="W205" s="397">
        <f t="shared" si="59"/>
        <v>237.17999582953999</v>
      </c>
      <c r="X205" s="153">
        <f t="shared" si="60"/>
        <v>45482</v>
      </c>
      <c r="Y205" s="380">
        <f t="shared" si="61"/>
        <v>228.40452322723684</v>
      </c>
      <c r="Z205" s="380">
        <f t="shared" si="62"/>
        <v>231.73663021272648</v>
      </c>
      <c r="AA205" s="381">
        <f t="shared" si="63"/>
        <v>244.59210099564535</v>
      </c>
      <c r="AB205" s="193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5.2558814166888276E-2</v>
      </c>
      <c r="AD205" s="227">
        <f>(INDEX(Models!$BJ205:$BT205,,AH205)*(1-AF205)+INDEX(Models!$BJ205:$BT205,,AH205+1)*AF205-ERP_i)*AE205*Ramure*Pc/MaxiM</f>
        <v>1.0414344167942861E-4</v>
      </c>
      <c r="AE205" s="301">
        <f t="shared" si="65"/>
        <v>0.5</v>
      </c>
      <c r="AF205" s="173">
        <f t="shared" si="66"/>
        <v>0.37666101827703846</v>
      </c>
      <c r="AG205" s="801">
        <f t="shared" si="74"/>
        <v>1</v>
      </c>
      <c r="AH205" s="172">
        <f t="shared" si="67"/>
        <v>7</v>
      </c>
      <c r="AI205" s="221">
        <f t="shared" si="68"/>
        <v>1.3766610182770385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customHeight="1" x14ac:dyDescent="0.2">
      <c r="A206" s="56">
        <f t="shared" si="71"/>
        <v>45483</v>
      </c>
      <c r="B206" s="406">
        <f>'2023'!Wh/'2023'!Env_an*'2024'!Env_an</f>
        <v>230.75408822127378</v>
      </c>
      <c r="C206" s="385"/>
      <c r="D206" s="388">
        <f t="shared" si="50"/>
        <v>234.12367707611074</v>
      </c>
      <c r="E206" s="380">
        <f t="shared" si="75"/>
        <v>237.98706712073022</v>
      </c>
      <c r="F206" s="380">
        <f t="shared" si="51"/>
        <v>238.01111556604891</v>
      </c>
      <c r="G206" s="110">
        <f t="shared" si="76"/>
        <v>0.96236959376900111</v>
      </c>
      <c r="H206" s="409" t="b">
        <f>Wh_hp&gt;='2023'!Maxi_hp</f>
        <v>0</v>
      </c>
      <c r="I206" s="375">
        <f>IF(H206,Wh_hp,'2023'!Maxi_hp)</f>
        <v>238.01215341902494</v>
      </c>
      <c r="J206" s="85">
        <f>IF(H206,An,'2023'!An_max)</f>
        <v>2022</v>
      </c>
      <c r="K206" s="193">
        <f t="shared" si="52"/>
        <v>45483</v>
      </c>
      <c r="L206" s="143">
        <f>IF(t&lt;Tvie,1-EXP((T0-t)*PertePVj)+'2023'!Pspv,1-EXP((T0-t)*PertePVj)+Pspv)</f>
        <v>1.439234551976365E-2</v>
      </c>
      <c r="M206" s="835"/>
      <c r="N206" s="835"/>
      <c r="O206" s="48">
        <f>IF(t&lt;Tnet,'2023'!Resal+('2023'!Salim-'2023'!Resal)*(1-EXP(('2023'!Tnet-t)/('2023'!Tau_j))),Resal+(Salim-Resal)*(1-EXP((Tnet-t)/(Tau_j))))*Salcycl</f>
        <v>1.6233613411688372E-2</v>
      </c>
      <c r="P206" s="165">
        <f>(INDEX(Models!$BJ206:$BT206,,T206)*(1-R206)+INDEX(Models!$BJ206:$BT206,,T206+1)*R206-ERP_i)*Q206*Ramure*Pc/MaxiM</f>
        <v>1.0677849511082133E-4</v>
      </c>
      <c r="Q206" s="301">
        <f t="shared" si="53"/>
        <v>0.5</v>
      </c>
      <c r="R206" s="173">
        <f t="shared" si="54"/>
        <v>0.38021731933540281</v>
      </c>
      <c r="S206" s="801">
        <f t="shared" si="55"/>
        <v>1</v>
      </c>
      <c r="T206" s="172">
        <f t="shared" si="56"/>
        <v>7</v>
      </c>
      <c r="U206" s="247">
        <f t="shared" si="57"/>
        <v>1.3802173193354028</v>
      </c>
      <c r="V206" s="378">
        <f t="shared" si="58"/>
        <v>239.77561760940299</v>
      </c>
      <c r="W206" s="397">
        <f t="shared" si="59"/>
        <v>230.75408822127378</v>
      </c>
      <c r="X206" s="153">
        <f t="shared" si="60"/>
        <v>45483</v>
      </c>
      <c r="Y206" s="380">
        <f t="shared" si="61"/>
        <v>222.22402024719085</v>
      </c>
      <c r="Z206" s="380">
        <f t="shared" si="62"/>
        <v>225.46904870009504</v>
      </c>
      <c r="AA206" s="381">
        <f t="shared" si="63"/>
        <v>237.98706712073022</v>
      </c>
      <c r="AB206" s="193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5.2599574304955127E-2</v>
      </c>
      <c r="AD206" s="227">
        <f>(INDEX(Models!$BJ206:$BT206,,AH206)*(1-AF206)+INDEX(Models!$BJ206:$BT206,,AH206+1)*AF206-ERP_i)*AE206*Ramure*Pc/MaxiM</f>
        <v>1.0677849511082133E-4</v>
      </c>
      <c r="AE206" s="301">
        <f t="shared" si="65"/>
        <v>0.5</v>
      </c>
      <c r="AF206" s="173">
        <f t="shared" si="66"/>
        <v>0.38021731933540281</v>
      </c>
      <c r="AG206" s="801">
        <f t="shared" si="74"/>
        <v>1</v>
      </c>
      <c r="AH206" s="172">
        <f t="shared" si="67"/>
        <v>7</v>
      </c>
      <c r="AI206" s="221">
        <f t="shared" si="68"/>
        <v>1.3802173193354028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customHeight="1" x14ac:dyDescent="0.2">
      <c r="A207" s="56">
        <f t="shared" si="71"/>
        <v>45484</v>
      </c>
      <c r="B207" s="406">
        <f>'2023'!Wh/'2023'!Env_an*'2024'!Env_an</f>
        <v>228.04589350192418</v>
      </c>
      <c r="C207" s="385"/>
      <c r="D207" s="388">
        <f t="shared" ref="D207:D270" si="77">Wh/(1-Ppv)</f>
        <v>231.37910330221538</v>
      </c>
      <c r="E207" s="380">
        <f t="shared" si="75"/>
        <v>235.21536520577735</v>
      </c>
      <c r="F207" s="380">
        <f t="shared" ref="F207:F270" si="78">Wh_sa/(1-Pvg*MEDIAN((-Sdif+Wh/Env_an)/Csdif,0,1))</f>
        <v>235.23935017459695</v>
      </c>
      <c r="G207" s="110">
        <f t="shared" si="76"/>
        <v>0.95258350182371065</v>
      </c>
      <c r="H207" s="409" t="b">
        <f>Wh_hp&gt;='2023'!Maxi_hp</f>
        <v>0</v>
      </c>
      <c r="I207" s="375">
        <f>IF(H207,Wh_hp,'2023'!Maxi_hp)</f>
        <v>235.24066730819968</v>
      </c>
      <c r="J207" s="85">
        <f>IF(H207,An,'2023'!An_max)</f>
        <v>2022</v>
      </c>
      <c r="K207" s="193">
        <f t="shared" ref="K207:K270" si="79">t</f>
        <v>45484</v>
      </c>
      <c r="L207" s="143">
        <f>IF(t&lt;Tvie,1-EXP((T0-t)*PertePVj)+'2023'!Pspv,1-EXP((T0-t)*PertePVj)+Pspv)</f>
        <v>1.4405837660877885E-2</v>
      </c>
      <c r="M207" s="835"/>
      <c r="N207" s="835"/>
      <c r="O207" s="48">
        <f>IF(t&lt;Tnet,'2023'!Resal+('2023'!Salim-'2023'!Resal)*(1-EXP(('2023'!Tnet-t)/('2023'!Tau_j))),Resal+(Salim-Resal)*(1-EXP((Tnet-t)/(Tau_j))))*Salcycl</f>
        <v>1.6309571869192387E-2</v>
      </c>
      <c r="P207" s="165">
        <f>(INDEX(Models!$BJ207:$BT207,,T207)*(1-R207)+INDEX(Models!$BJ207:$BT207,,T207+1)*R207-ERP_i)*Q207*Ramure*Pc/MaxiM</f>
        <v>1.0936703565502282E-4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0.38369231288212102</v>
      </c>
      <c r="S207" s="801">
        <f t="shared" ref="S207:S270" si="82">INDEX(Echel_vg,T207)</f>
        <v>1</v>
      </c>
      <c r="T207" s="172">
        <f t="shared" ref="T207:T270" si="83">MIN(MATCH(Hp_vg,Echel_vg),10)</f>
        <v>7</v>
      </c>
      <c r="U207" s="247">
        <f t="shared" ref="U207:U270" si="84">IF(OR(t&lt;Ttai,Notai),Hdd+PousH*Croivg,Hdtf+PousH*(Croivg-Croi_tai))</f>
        <v>1.383692312882121</v>
      </c>
      <c r="V207" s="378">
        <f t="shared" ref="V207:V270" si="85">MaxiM*(1-Ppv)*(1-Pvg)*(1-Psa)</f>
        <v>239.39550046246021</v>
      </c>
      <c r="W207" s="397">
        <f t="shared" ref="W207:W270" si="86">Wh*(A207&gt;Tmaj)</f>
        <v>228.04589350192418</v>
      </c>
      <c r="X207" s="153">
        <f t="shared" ref="X207:X270" si="87">t</f>
        <v>45484</v>
      </c>
      <c r="Y207" s="380">
        <f t="shared" ref="Y207:Y270" si="88">Wh_pvt_s*(1-Ppv)</f>
        <v>219.62358462063347</v>
      </c>
      <c r="Z207" s="380">
        <f t="shared" ref="Z207:Z270" si="89">Wh_sa_s*(1-Psa_s)</f>
        <v>222.833690592686</v>
      </c>
      <c r="AA207" s="381">
        <f t="shared" ref="AA207:AA270" si="90">Wh_hp*(1-Pvg_s*MEDIAN((-Sdif+Wh/Env_an)/Csdif,0,1))</f>
        <v>235.21536520577735</v>
      </c>
      <c r="AB207" s="193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5.2639735513278642E-2</v>
      </c>
      <c r="AD207" s="227">
        <f>(INDEX(Models!$BJ207:$BT207,,AH207)*(1-AF207)+INDEX(Models!$BJ207:$BT207,,AH207+1)*AF207-ERP_i)*AE207*Ramure*Pc/MaxiM</f>
        <v>1.0936703565502282E-4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0.38369231288212102</v>
      </c>
      <c r="AG207" s="801">
        <f t="shared" si="74"/>
        <v>1</v>
      </c>
      <c r="AH207" s="172">
        <f t="shared" ref="AH207:AH270" si="94">MIN(MATCH(Hp_vg_s,Echel_vg),10)</f>
        <v>7</v>
      </c>
      <c r="AI207" s="221">
        <f t="shared" ref="AI207:AI270" si="95">IF(OR(t&lt;Ttai,Notai),Hdd_s+PousH*Croivg,Hdtai_s+PousH*(Croivg-Croi_tai))</f>
        <v>1.383692312882121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customHeight="1" x14ac:dyDescent="0.2">
      <c r="A208" s="56">
        <f t="shared" ref="A208:A271" si="98">A207+1</f>
        <v>45485</v>
      </c>
      <c r="B208" s="406">
        <f>'2023'!Wh/'2023'!Env_an*'2024'!Env_an</f>
        <v>228.17613429309785</v>
      </c>
      <c r="C208" s="385"/>
      <c r="D208" s="388">
        <f t="shared" si="77"/>
        <v>231.51441698272791</v>
      </c>
      <c r="E208" s="380">
        <f t="shared" si="75"/>
        <v>235.37104131919477</v>
      </c>
      <c r="F208" s="380">
        <f t="shared" si="78"/>
        <v>235.39567939314662</v>
      </c>
      <c r="G208" s="110">
        <f t="shared" si="76"/>
        <v>0.95470927425468655</v>
      </c>
      <c r="H208" s="409" t="b">
        <f>Wh_hp&gt;='2023'!Maxi_hp</f>
        <v>0</v>
      </c>
      <c r="I208" s="375">
        <f>IF(H208,Wh_hp,'2023'!Maxi_hp)</f>
        <v>235.39696058537044</v>
      </c>
      <c r="J208" s="85">
        <f>IF(H208,An,'2023'!An_max)</f>
        <v>2022</v>
      </c>
      <c r="K208" s="193">
        <f t="shared" si="79"/>
        <v>45485</v>
      </c>
      <c r="L208" s="143">
        <f>IF(t&lt;Tvie,1-EXP((T0-t)*PertePVj)+'2023'!Pspv,1-EXP((T0-t)*PertePVj)+Pspv)</f>
        <v>1.4419329617295973E-2</v>
      </c>
      <c r="M208" s="835"/>
      <c r="N208" s="835"/>
      <c r="O208" s="48">
        <f>IF(t&lt;Tnet,'2023'!Resal+('2023'!Salim-'2023'!Resal)*(1-EXP(('2023'!Tnet-t)/('2023'!Tau_j))),Resal+(Salim-Resal)*(1-EXP((Tnet-t)/(Tau_j))))*Salcycl</f>
        <v>1.6385296656935642E-2</v>
      </c>
      <c r="P208" s="165">
        <f>(INDEX(Models!$BJ208:$BT208,,T208)*(1-R208)+INDEX(Models!$BJ208:$BT208,,T208+1)*R208-ERP_i)*Q208*Ramure*Pc/MaxiM</f>
        <v>1.119059630627953E-4</v>
      </c>
      <c r="Q208" s="301">
        <f t="shared" si="80"/>
        <v>0.5</v>
      </c>
      <c r="R208" s="173">
        <f t="shared" si="81"/>
        <v>0.38708592209946646</v>
      </c>
      <c r="S208" s="801">
        <f t="shared" si="82"/>
        <v>1</v>
      </c>
      <c r="T208" s="172">
        <f t="shared" si="83"/>
        <v>7</v>
      </c>
      <c r="U208" s="247">
        <f t="shared" si="84"/>
        <v>1.3870859220994665</v>
      </c>
      <c r="V208" s="378">
        <f t="shared" si="85"/>
        <v>238.99891666676336</v>
      </c>
      <c r="W208" s="397">
        <f t="shared" si="86"/>
        <v>228.17613429309785</v>
      </c>
      <c r="X208" s="153">
        <f t="shared" si="87"/>
        <v>45485</v>
      </c>
      <c r="Y208" s="380">
        <f t="shared" si="88"/>
        <v>219.75674938351858</v>
      </c>
      <c r="Z208" s="380">
        <f t="shared" si="89"/>
        <v>222.9718540423346</v>
      </c>
      <c r="AA208" s="381">
        <f t="shared" si="90"/>
        <v>235.37104131919477</v>
      </c>
      <c r="AB208" s="193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5.2679323706798835E-2</v>
      </c>
      <c r="AD208" s="227">
        <f>(INDEX(Models!$BJ208:$BT208,,AH208)*(1-AF208)+INDEX(Models!$BJ208:$BT208,,AH208+1)*AF208-ERP_i)*AE208*Ramure*Pc/MaxiM</f>
        <v>1.119059630627953E-4</v>
      </c>
      <c r="AE208" s="301">
        <f t="shared" si="92"/>
        <v>0.5</v>
      </c>
      <c r="AF208" s="173">
        <f t="shared" si="93"/>
        <v>0.38708592209946646</v>
      </c>
      <c r="AG208" s="801">
        <f t="shared" ref="AG208:AG271" si="99">INDEX(Echel_vg,AH208)</f>
        <v>1</v>
      </c>
      <c r="AH208" s="172">
        <f t="shared" si="94"/>
        <v>7</v>
      </c>
      <c r="AI208" s="221">
        <f t="shared" si="95"/>
        <v>1.3870859220994665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customHeight="1" x14ac:dyDescent="0.2">
      <c r="A209" s="56">
        <f t="shared" si="98"/>
        <v>45486</v>
      </c>
      <c r="B209" s="406">
        <f>'2023'!Wh/'2023'!Env_an*'2024'!Env_an</f>
        <v>225.7080321020276</v>
      </c>
      <c r="C209" s="385"/>
      <c r="D209" s="388">
        <f t="shared" si="77"/>
        <v>229.01334074469875</v>
      </c>
      <c r="E209" s="380">
        <f t="shared" si="75"/>
        <v>232.8461736404704</v>
      </c>
      <c r="F209" s="380">
        <f t="shared" si="78"/>
        <v>232.87075804875377</v>
      </c>
      <c r="G209" s="110">
        <f t="shared" si="76"/>
        <v>0.94601175944150806</v>
      </c>
      <c r="H209" s="409" t="b">
        <f>Wh_hp&gt;='2023'!Maxi_hp</f>
        <v>0</v>
      </c>
      <c r="I209" s="375">
        <f>IF(H209,Wh_hp,'2023'!Maxi_hp)</f>
        <v>232.87229363523201</v>
      </c>
      <c r="J209" s="85">
        <f>IF(H209,An,'2023'!An_max)</f>
        <v>2022</v>
      </c>
      <c r="K209" s="193">
        <f t="shared" si="79"/>
        <v>45486</v>
      </c>
      <c r="L209" s="143">
        <f>IF(t&lt;Tvie,1-EXP((T0-t)*PertePVj)+'2023'!Pspv,1-EXP((T0-t)*PertePVj)+Pspv)</f>
        <v>1.4432821389020578E-2</v>
      </c>
      <c r="M209" s="835"/>
      <c r="N209" s="835"/>
      <c r="O209" s="48">
        <f>IF(t&lt;Tnet,'2023'!Resal+('2023'!Salim-'2023'!Resal)*(1-EXP(('2023'!Tnet-t)/('2023'!Tau_j))),Resal+(Salim-Resal)*(1-EXP((Tnet-t)/(Tau_j))))*Salcycl</f>
        <v>1.6460793990498608E-2</v>
      </c>
      <c r="P209" s="165">
        <f>(INDEX(Models!$BJ209:$BT209,,T209)*(1-R209)+INDEX(Models!$BJ209:$BT209,,T209+1)*R209-ERP_i)*Q209*Ramure*Pc/MaxiM</f>
        <v>1.1439230434669731E-4</v>
      </c>
      <c r="Q209" s="301">
        <f t="shared" si="80"/>
        <v>0.5</v>
      </c>
      <c r="R209" s="173">
        <f t="shared" si="81"/>
        <v>0.39039820789759938</v>
      </c>
      <c r="S209" s="801">
        <f t="shared" si="82"/>
        <v>1</v>
      </c>
      <c r="T209" s="172">
        <f t="shared" si="83"/>
        <v>7</v>
      </c>
      <c r="U209" s="247">
        <f t="shared" si="84"/>
        <v>1.3903982078975994</v>
      </c>
      <c r="V209" s="378">
        <f t="shared" si="85"/>
        <v>238.58692940033657</v>
      </c>
      <c r="W209" s="397">
        <f t="shared" si="86"/>
        <v>225.7080321020276</v>
      </c>
      <c r="X209" s="153">
        <f t="shared" si="87"/>
        <v>45486</v>
      </c>
      <c r="Y209" s="380">
        <f t="shared" si="88"/>
        <v>217.38744363227795</v>
      </c>
      <c r="Z209" s="380">
        <f t="shared" si="89"/>
        <v>220.57090409469143</v>
      </c>
      <c r="AA209" s="381">
        <f t="shared" si="90"/>
        <v>232.8461736404704</v>
      </c>
      <c r="AB209" s="193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5.2718364892406507E-2</v>
      </c>
      <c r="AD209" s="227">
        <f>(INDEX(Models!$BJ209:$BT209,,AH209)*(1-AF209)+INDEX(Models!$BJ209:$BT209,,AH209+1)*AF209-ERP_i)*AE209*Ramure*Pc/MaxiM</f>
        <v>1.1439230434669731E-4</v>
      </c>
      <c r="AE209" s="301">
        <f t="shared" si="92"/>
        <v>0.5</v>
      </c>
      <c r="AF209" s="173">
        <f t="shared" si="93"/>
        <v>0.39039820789759938</v>
      </c>
      <c r="AG209" s="801">
        <f t="shared" si="99"/>
        <v>1</v>
      </c>
      <c r="AH209" s="172">
        <f t="shared" si="94"/>
        <v>7</v>
      </c>
      <c r="AI209" s="221">
        <f t="shared" si="95"/>
        <v>1.3903982078975994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45487</v>
      </c>
      <c r="B210" s="406">
        <f>'2023'!Wh/'2023'!Env_an*'2024'!Env_an</f>
        <v>216.50335955629973</v>
      </c>
      <c r="C210" s="385"/>
      <c r="D210" s="388">
        <f t="shared" si="77"/>
        <v>219.67688052598132</v>
      </c>
      <c r="E210" s="380">
        <f t="shared" si="75"/>
        <v>223.37055164900448</v>
      </c>
      <c r="F210" s="380">
        <f t="shared" si="78"/>
        <v>223.39325889596165</v>
      </c>
      <c r="G210" s="110">
        <f t="shared" si="76"/>
        <v>0.90905075100169097</v>
      </c>
      <c r="H210" s="409" t="b">
        <f>Wh_hp&gt;='2023'!Maxi_hp</f>
        <v>0</v>
      </c>
      <c r="I210" s="375">
        <f>IF(H210,Wh_hp,'2023'!Maxi_hp)</f>
        <v>223.39577791236005</v>
      </c>
      <c r="J210" s="85">
        <f>IF(H210,An,'2023'!An_max)</f>
        <v>2022</v>
      </c>
      <c r="K210" s="193">
        <f t="shared" si="79"/>
        <v>45487</v>
      </c>
      <c r="L210" s="143">
        <f>IF(t&lt;Tvie,1-EXP((T0-t)*PertePVj)+'2023'!Pspv,1-EXP((T0-t)*PertePVj)+Pspv)</f>
        <v>1.4446312976054143E-2</v>
      </c>
      <c r="M210" s="835"/>
      <c r="N210" s="835"/>
      <c r="O210" s="48">
        <f>IF(t&lt;Tnet,'2023'!Resal+('2023'!Salim-'2023'!Resal)*(1-EXP(('2023'!Tnet-t)/('2023'!Tau_j))),Resal+(Salim-Resal)*(1-EXP((Tnet-t)/(Tau_j))))*Salcycl</f>
        <v>1.6536070201533377E-2</v>
      </c>
      <c r="P210" s="165">
        <f>(INDEX(Models!$BJ210:$BT210,,T210)*(1-R210)+INDEX(Models!$BJ210:$BT210,,T210+1)*R210-ERP_i)*Q210*Ramure*Pc/MaxiM</f>
        <v>1.1682321070358143E-4</v>
      </c>
      <c r="Q210" s="301">
        <f t="shared" si="80"/>
        <v>0.5</v>
      </c>
      <c r="R210" s="173">
        <f t="shared" si="81"/>
        <v>0.39362936230275181</v>
      </c>
      <c r="S210" s="801">
        <f t="shared" si="82"/>
        <v>1</v>
      </c>
      <c r="T210" s="172">
        <f t="shared" si="83"/>
        <v>7</v>
      </c>
      <c r="U210" s="247">
        <f t="shared" si="84"/>
        <v>1.3936293623027518</v>
      </c>
      <c r="V210" s="378">
        <f t="shared" si="85"/>
        <v>238.16060134785988</v>
      </c>
      <c r="W210" s="397">
        <f t="shared" si="86"/>
        <v>216.50335955629973</v>
      </c>
      <c r="X210" s="153">
        <f t="shared" si="87"/>
        <v>45487</v>
      </c>
      <c r="Y210" s="380">
        <f t="shared" si="88"/>
        <v>208.52957642456821</v>
      </c>
      <c r="Z210" s="380">
        <f t="shared" si="89"/>
        <v>211.58621713877429</v>
      </c>
      <c r="AA210" s="381">
        <f t="shared" si="90"/>
        <v>223.37055164900448</v>
      </c>
      <c r="AB210" s="193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5.275688502013294E-2</v>
      </c>
      <c r="AD210" s="227">
        <f>(INDEX(Models!$BJ210:$BT210,,AH210)*(1-AF210)+INDEX(Models!$BJ210:$BT210,,AH210+1)*AF210-ERP_i)*AE210*Ramure*Pc/MaxiM</f>
        <v>1.1682321070358143E-4</v>
      </c>
      <c r="AE210" s="301">
        <f t="shared" si="92"/>
        <v>0.5</v>
      </c>
      <c r="AF210" s="173">
        <f t="shared" si="93"/>
        <v>0.39362936230275181</v>
      </c>
      <c r="AG210" s="801">
        <f t="shared" si="99"/>
        <v>1</v>
      </c>
      <c r="AH210" s="172">
        <f t="shared" si="94"/>
        <v>7</v>
      </c>
      <c r="AI210" s="221">
        <f t="shared" si="95"/>
        <v>1.3936293623027518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45488</v>
      </c>
      <c r="B211" s="406">
        <f>'2023'!Wh/'2023'!Env_an*'2024'!Env_an</f>
        <v>222.20665363765889</v>
      </c>
      <c r="C211" s="385"/>
      <c r="D211" s="388">
        <f t="shared" si="77"/>
        <v>225.46686033186958</v>
      </c>
      <c r="E211" s="380">
        <f t="shared" si="75"/>
        <v>229.2753839279026</v>
      </c>
      <c r="F211" s="380">
        <f t="shared" si="78"/>
        <v>229.30016737925396</v>
      </c>
      <c r="G211" s="110">
        <f t="shared" si="76"/>
        <v>0.9347267969628551</v>
      </c>
      <c r="H211" s="409" t="b">
        <f>Wh_hp&gt;='2023'!Maxi_hp</f>
        <v>0</v>
      </c>
      <c r="I211" s="375">
        <f>IF(H211,Wh_hp,'2023'!Maxi_hp)</f>
        <v>229.30204866300306</v>
      </c>
      <c r="J211" s="85">
        <f>IF(H211,An,'2023'!An_max)</f>
        <v>2022</v>
      </c>
      <c r="K211" s="193">
        <f t="shared" si="79"/>
        <v>45488</v>
      </c>
      <c r="L211" s="143">
        <f>IF(t&lt;Tvie,1-EXP((T0-t)*PertePVj)+'2023'!Pspv,1-EXP((T0-t)*PertePVj)+Pspv)</f>
        <v>1.4459804378399221E-2</v>
      </c>
      <c r="M211" s="835"/>
      <c r="N211" s="835"/>
      <c r="O211" s="48">
        <f>IF(t&lt;Tnet,'2023'!Resal+('2023'!Salim-'2023'!Resal)*(1-EXP(('2023'!Tnet-t)/('2023'!Tau_j))),Resal+(Salim-Resal)*(1-EXP((Tnet-t)/(Tau_j))))*Salcycl</f>
        <v>1.6611131691445041E-2</v>
      </c>
      <c r="P211" s="165">
        <f>(INDEX(Models!$BJ211:$BT211,,T211)*(1-R211)+INDEX(Models!$BJ211:$BT211,,T211+1)*R211-ERP_i)*Q211*Ramure*Pc/MaxiM</f>
        <v>1.1919595361576398E-4</v>
      </c>
      <c r="Q211" s="301">
        <f t="shared" si="80"/>
        <v>0.5</v>
      </c>
      <c r="R211" s="173">
        <f t="shared" si="81"/>
        <v>0.39677970166409327</v>
      </c>
      <c r="S211" s="801">
        <f t="shared" si="82"/>
        <v>1</v>
      </c>
      <c r="T211" s="172">
        <f t="shared" si="83"/>
        <v>7</v>
      </c>
      <c r="U211" s="247">
        <f t="shared" si="84"/>
        <v>1.3967797016640933</v>
      </c>
      <c r="V211" s="378">
        <f t="shared" si="85"/>
        <v>237.72099475676697</v>
      </c>
      <c r="W211" s="397">
        <f t="shared" si="86"/>
        <v>222.20665363765889</v>
      </c>
      <c r="X211" s="153">
        <f t="shared" si="87"/>
        <v>45488</v>
      </c>
      <c r="Y211" s="380">
        <f t="shared" si="88"/>
        <v>214.03056326550879</v>
      </c>
      <c r="Z211" s="380">
        <f t="shared" si="89"/>
        <v>217.17081070500149</v>
      </c>
      <c r="AA211" s="381">
        <f t="shared" si="90"/>
        <v>229.2753839279026</v>
      </c>
      <c r="AB211" s="193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5.2794909839546787E-2</v>
      </c>
      <c r="AD211" s="227">
        <f>(INDEX(Models!$BJ211:$BT211,,AH211)*(1-AF211)+INDEX(Models!$BJ211:$BT211,,AH211+1)*AF211-ERP_i)*AE211*Ramure*Pc/MaxiM</f>
        <v>1.1919595361576398E-4</v>
      </c>
      <c r="AE211" s="301">
        <f t="shared" si="92"/>
        <v>0.5</v>
      </c>
      <c r="AF211" s="173">
        <f t="shared" si="93"/>
        <v>0.39677970166409327</v>
      </c>
      <c r="AG211" s="801">
        <f t="shared" si="99"/>
        <v>1</v>
      </c>
      <c r="AH211" s="172">
        <f t="shared" si="94"/>
        <v>7</v>
      </c>
      <c r="AI211" s="221">
        <f t="shared" si="95"/>
        <v>1.3967797016640933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45489</v>
      </c>
      <c r="B212" s="406">
        <f>'2023'!Wh/'2023'!Env_an*'2024'!Env_an</f>
        <v>221.47494609644465</v>
      </c>
      <c r="C212" s="385"/>
      <c r="D212" s="388">
        <f t="shared" si="77"/>
        <v>224.72749353899582</v>
      </c>
      <c r="E212" s="380">
        <f t="shared" si="75"/>
        <v>228.54092394171869</v>
      </c>
      <c r="F212" s="380">
        <f t="shared" si="78"/>
        <v>228.56606290640937</v>
      </c>
      <c r="G212" s="110">
        <f t="shared" si="76"/>
        <v>0.9334225452645607</v>
      </c>
      <c r="H212" s="409" t="b">
        <f>Wh_hp&gt;='2023'!Maxi_hp</f>
        <v>0</v>
      </c>
      <c r="I212" s="375">
        <f>IF(H212,Wh_hp,'2023'!Maxi_hp)</f>
        <v>228.56800088470703</v>
      </c>
      <c r="J212" s="85">
        <f>IF(H212,An,'2023'!An_max)</f>
        <v>2022</v>
      </c>
      <c r="K212" s="193">
        <f t="shared" si="79"/>
        <v>45489</v>
      </c>
      <c r="L212" s="143">
        <f>IF(t&lt;Tvie,1-EXP((T0-t)*PertePVj)+'2023'!Pspv,1-EXP((T0-t)*PertePVj)+Pspv)</f>
        <v>1.4473295596058255E-2</v>
      </c>
      <c r="M212" s="835"/>
      <c r="N212" s="835"/>
      <c r="O212" s="48">
        <f>IF(t&lt;Tnet,'2023'!Resal+('2023'!Salim-'2023'!Resal)*(1-EXP(('2023'!Tnet-t)/('2023'!Tau_j))),Resal+(Salim-Resal)*(1-EXP((Tnet-t)/(Tau_j))))*Salcycl</f>
        <v>1.6685984885995118E-2</v>
      </c>
      <c r="P212" s="165">
        <f>(INDEX(Models!$BJ212:$BT212,,T212)*(1-R212)+INDEX(Models!$BJ212:$BT212,,T212+1)*R212-ERP_i)*Q212*Ramure*Pc/MaxiM</f>
        <v>1.2154378747778946E-4</v>
      </c>
      <c r="Q212" s="301">
        <f t="shared" si="80"/>
        <v>0.5</v>
      </c>
      <c r="R212" s="173">
        <f t="shared" si="81"/>
        <v>0.39984965973066955</v>
      </c>
      <c r="S212" s="801">
        <f t="shared" si="82"/>
        <v>1</v>
      </c>
      <c r="T212" s="172">
        <f t="shared" si="83"/>
        <v>7</v>
      </c>
      <c r="U212" s="247">
        <f t="shared" si="84"/>
        <v>1.3998496597306695</v>
      </c>
      <c r="V212" s="378">
        <f t="shared" si="85"/>
        <v>237.26916290907155</v>
      </c>
      <c r="W212" s="397">
        <f t="shared" si="86"/>
        <v>221.47494609644465</v>
      </c>
      <c r="X212" s="153">
        <f t="shared" si="87"/>
        <v>45489</v>
      </c>
      <c r="Y212" s="380">
        <f t="shared" si="88"/>
        <v>213.33355935819819</v>
      </c>
      <c r="Z212" s="380">
        <f t="shared" si="89"/>
        <v>216.46654363082413</v>
      </c>
      <c r="AA212" s="381">
        <f t="shared" si="90"/>
        <v>228.54092394171869</v>
      </c>
      <c r="AB212" s="193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5.2832464762301003E-2</v>
      </c>
      <c r="AD212" s="227">
        <f>(INDEX(Models!$BJ212:$BT212,,AH212)*(1-AF212)+INDEX(Models!$BJ212:$BT212,,AH212+1)*AF212-ERP_i)*AE212*Ramure*Pc/MaxiM</f>
        <v>1.2154378747778946E-4</v>
      </c>
      <c r="AE212" s="301">
        <f t="shared" si="92"/>
        <v>0.5</v>
      </c>
      <c r="AF212" s="173">
        <f t="shared" si="93"/>
        <v>0.39984965973066955</v>
      </c>
      <c r="AG212" s="801">
        <f t="shared" si="99"/>
        <v>1</v>
      </c>
      <c r="AH212" s="172">
        <f t="shared" si="94"/>
        <v>7</v>
      </c>
      <c r="AI212" s="221">
        <f t="shared" si="95"/>
        <v>1.3998496597306695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customHeight="1" x14ac:dyDescent="0.2">
      <c r="A213" s="56">
        <f t="shared" si="98"/>
        <v>45490</v>
      </c>
      <c r="B213" s="406">
        <f>'2023'!Wh/'2023'!Env_an*'2024'!Env_an</f>
        <v>225.11233540273298</v>
      </c>
      <c r="C213" s="385"/>
      <c r="D213" s="388">
        <f t="shared" si="77"/>
        <v>228.42142789007579</v>
      </c>
      <c r="E213" s="380">
        <f t="shared" si="75"/>
        <v>232.31517807141614</v>
      </c>
      <c r="F213" s="380">
        <f t="shared" si="78"/>
        <v>232.34195067375808</v>
      </c>
      <c r="G213" s="110">
        <f t="shared" si="76"/>
        <v>0.95061034091459429</v>
      </c>
      <c r="H213" s="409" t="b">
        <f>Wh_hp&gt;='2023'!Maxi_hp</f>
        <v>0</v>
      </c>
      <c r="I213" s="375">
        <f>IF(H213,Wh_hp,'2023'!Maxi_hp)</f>
        <v>232.34343250983852</v>
      </c>
      <c r="J213" s="85">
        <f>IF(H213,An,'2023'!An_max)</f>
        <v>2022</v>
      </c>
      <c r="K213" s="193">
        <f t="shared" si="79"/>
        <v>45490</v>
      </c>
      <c r="L213" s="143">
        <f>IF(t&lt;Tvie,1-EXP((T0-t)*PertePVj)+'2023'!Pspv,1-EXP((T0-t)*PertePVj)+Pspv)</f>
        <v>1.4486786629034021E-2</v>
      </c>
      <c r="M213" s="835"/>
      <c r="N213" s="835"/>
      <c r="O213" s="48">
        <f>IF(t&lt;Tnet,'2023'!Resal+('2023'!Salim-'2023'!Resal)*(1-EXP(('2023'!Tnet-t)/('2023'!Tau_j))),Resal+(Salim-Resal)*(1-EXP((Tnet-t)/(Tau_j))))*Salcycl</f>
        <v>1.6760636191163383E-2</v>
      </c>
      <c r="P213" s="165">
        <f>(INDEX(Models!$BJ213:$BT213,,T213)*(1-R213)+INDEX(Models!$BJ213:$BT213,,T213+1)*R213-ERP_i)*Q213*Ramure*Pc/MaxiM</f>
        <v>1.2397510480745147E-4</v>
      </c>
      <c r="Q213" s="301">
        <f t="shared" si="80"/>
        <v>0.5</v>
      </c>
      <c r="R213" s="173">
        <f t="shared" si="81"/>
        <v>0.40283978064695991</v>
      </c>
      <c r="S213" s="801">
        <f t="shared" si="82"/>
        <v>1</v>
      </c>
      <c r="T213" s="172">
        <f t="shared" si="83"/>
        <v>7</v>
      </c>
      <c r="U213" s="247">
        <f t="shared" si="84"/>
        <v>1.4028397806469599</v>
      </c>
      <c r="V213" s="378">
        <f t="shared" si="85"/>
        <v>236.80614096061797</v>
      </c>
      <c r="W213" s="397">
        <f t="shared" si="86"/>
        <v>225.11233540273298</v>
      </c>
      <c r="X213" s="153">
        <f t="shared" si="87"/>
        <v>45490</v>
      </c>
      <c r="Y213" s="380">
        <f t="shared" si="88"/>
        <v>216.84520556337594</v>
      </c>
      <c r="Z213" s="380">
        <f t="shared" si="89"/>
        <v>220.03277340306067</v>
      </c>
      <c r="AA213" s="381">
        <f t="shared" si="90"/>
        <v>232.31517807141614</v>
      </c>
      <c r="AB213" s="193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5.2869574731702229E-2</v>
      </c>
      <c r="AD213" s="227">
        <f>(INDEX(Models!$BJ213:$BT213,,AH213)*(1-AF213)+INDEX(Models!$BJ213:$BT213,,AH213+1)*AF213-ERP_i)*AE213*Ramure*Pc/MaxiM</f>
        <v>1.2397510480745147E-4</v>
      </c>
      <c r="AE213" s="301">
        <f t="shared" si="92"/>
        <v>0.5</v>
      </c>
      <c r="AF213" s="173">
        <f t="shared" si="93"/>
        <v>0.40283978064695991</v>
      </c>
      <c r="AG213" s="801">
        <f t="shared" si="99"/>
        <v>1</v>
      </c>
      <c r="AH213" s="172">
        <f t="shared" si="94"/>
        <v>7</v>
      </c>
      <c r="AI213" s="221">
        <f t="shared" si="95"/>
        <v>1.4028397806469599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customHeight="1" x14ac:dyDescent="0.2">
      <c r="A214" s="56">
        <f t="shared" si="98"/>
        <v>45491</v>
      </c>
      <c r="B214" s="406">
        <f>'2023'!Wh/'2023'!Env_an*'2024'!Env_an</f>
        <v>159.32416018140862</v>
      </c>
      <c r="C214" s="385"/>
      <c r="D214" s="388">
        <f t="shared" si="77"/>
        <v>161.66839679423998</v>
      </c>
      <c r="E214" s="380">
        <f t="shared" si="75"/>
        <v>164.43670382315426</v>
      </c>
      <c r="F214" s="380">
        <f t="shared" si="78"/>
        <v>164.44782228316043</v>
      </c>
      <c r="G214" s="110">
        <f t="shared" si="76"/>
        <v>0.67411146883022233</v>
      </c>
      <c r="H214" s="409" t="b">
        <f>Wh_hp&gt;='2023'!Maxi_hp</f>
        <v>0</v>
      </c>
      <c r="I214" s="375">
        <f>IF(H214,Wh_hp,'2023'!Maxi_hp)</f>
        <v>164.45484514625312</v>
      </c>
      <c r="J214" s="85">
        <f>IF(H214,An,'2023'!An_max)</f>
        <v>2022</v>
      </c>
      <c r="K214" s="193">
        <f t="shared" si="79"/>
        <v>45491</v>
      </c>
      <c r="L214" s="143">
        <f>IF(t&lt;Tvie,1-EXP((T0-t)*PertePVj)+'2023'!Pspv,1-EXP((T0-t)*PertePVj)+Pspv)</f>
        <v>1.4500277477328738E-2</v>
      </c>
      <c r="M214" s="835"/>
      <c r="N214" s="835"/>
      <c r="O214" s="48">
        <f>IF(t&lt;Tnet,'2023'!Resal+('2023'!Salim-'2023'!Resal)*(1-EXP(('2023'!Tnet-t)/('2023'!Tau_j))),Resal+(Salim-Resal)*(1-EXP((Tnet-t)/(Tau_j))))*Salcycl</f>
        <v>1.6835091950587151E-2</v>
      </c>
      <c r="P214" s="165">
        <f>(INDEX(Models!$BJ214:$BT214,,T214)*(1-R214)+INDEX(Models!$BJ214:$BT214,,T214+1)*R214-ERP_i)*Q214*Ramure*Pc/MaxiM</f>
        <v>1.2649327800608705E-4</v>
      </c>
      <c r="Q214" s="301">
        <f t="shared" si="80"/>
        <v>0.5</v>
      </c>
      <c r="R214" s="173">
        <f t="shared" si="81"/>
        <v>0.40575071191252365</v>
      </c>
      <c r="S214" s="801">
        <f t="shared" si="82"/>
        <v>1</v>
      </c>
      <c r="T214" s="172">
        <f t="shared" si="83"/>
        <v>7</v>
      </c>
      <c r="U214" s="247">
        <f t="shared" si="84"/>
        <v>1.4057507119125237</v>
      </c>
      <c r="V214" s="378">
        <f t="shared" si="85"/>
        <v>236.33298871626681</v>
      </c>
      <c r="W214" s="397">
        <f t="shared" si="86"/>
        <v>159.32416018140862</v>
      </c>
      <c r="X214" s="153">
        <f t="shared" si="87"/>
        <v>45491</v>
      </c>
      <c r="Y214" s="380">
        <f t="shared" si="88"/>
        <v>153.4787428333855</v>
      </c>
      <c r="Z214" s="380">
        <f t="shared" si="89"/>
        <v>155.73697214293711</v>
      </c>
      <c r="AA214" s="381">
        <f t="shared" si="90"/>
        <v>164.43670382315426</v>
      </c>
      <c r="AB214" s="193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5.2906264100096627E-2</v>
      </c>
      <c r="AD214" s="227">
        <f>(INDEX(Models!$BJ214:$BT214,,AH214)*(1-AF214)+INDEX(Models!$BJ214:$BT214,,AH214+1)*AF214-ERP_i)*AE214*Ramure*Pc/MaxiM</f>
        <v>1.2649327800608705E-4</v>
      </c>
      <c r="AE214" s="301">
        <f t="shared" si="92"/>
        <v>0.5</v>
      </c>
      <c r="AF214" s="173">
        <f t="shared" si="93"/>
        <v>0.40575071191252365</v>
      </c>
      <c r="AG214" s="801">
        <f t="shared" si="99"/>
        <v>1</v>
      </c>
      <c r="AH214" s="172">
        <f t="shared" si="94"/>
        <v>7</v>
      </c>
      <c r="AI214" s="221">
        <f t="shared" si="95"/>
        <v>1.4057507119125237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customHeight="1" x14ac:dyDescent="0.2">
      <c r="A215" s="56">
        <f t="shared" si="98"/>
        <v>45492</v>
      </c>
      <c r="B215" s="406">
        <f>'2023'!Wh/'2023'!Env_an*'2024'!Env_an</f>
        <v>163.35968639910217</v>
      </c>
      <c r="C215" s="385"/>
      <c r="D215" s="388">
        <f t="shared" si="77"/>
        <v>165.76556943970172</v>
      </c>
      <c r="E215" s="380">
        <f t="shared" si="75"/>
        <v>168.61677085109594</v>
      </c>
      <c r="F215" s="380">
        <f t="shared" si="78"/>
        <v>168.62898210465042</v>
      </c>
      <c r="G215" s="110">
        <f t="shared" si="76"/>
        <v>0.69260078492475607</v>
      </c>
      <c r="H215" s="409" t="b">
        <f>Wh_hp&gt;='2023'!Maxi_hp</f>
        <v>0</v>
      </c>
      <c r="I215" s="375">
        <f>IF(H215,Wh_hp,'2023'!Maxi_hp)</f>
        <v>168.63588062194077</v>
      </c>
      <c r="J215" s="85">
        <f>IF(H215,An,'2023'!An_max)</f>
        <v>2022</v>
      </c>
      <c r="K215" s="193">
        <f t="shared" si="79"/>
        <v>45492</v>
      </c>
      <c r="L215" s="143">
        <f>IF(t&lt;Tvie,1-EXP((T0-t)*PertePVj)+'2023'!Pspv,1-EXP((T0-t)*PertePVj)+Pspv)</f>
        <v>1.4513768140945071E-2</v>
      </c>
      <c r="M215" s="835"/>
      <c r="N215" s="835"/>
      <c r="O215" s="48">
        <f>IF(t&lt;Tnet,'2023'!Resal+('2023'!Salim-'2023'!Resal)*(1-EXP(('2023'!Tnet-t)/('2023'!Tau_j))),Resal+(Salim-Resal)*(1-EXP((Tnet-t)/(Tau_j))))*Salcycl</f>
        <v>1.6909358404877031E-2</v>
      </c>
      <c r="P215" s="165">
        <f>(INDEX(Models!$BJ215:$BT215,,T215)*(1-R215)+INDEX(Models!$BJ215:$BT215,,T215+1)*R215-ERP_i)*Q215*Ramure*Pc/MaxiM</f>
        <v>1.2910155487769962E-4</v>
      </c>
      <c r="Q215" s="301">
        <f t="shared" si="80"/>
        <v>0.5</v>
      </c>
      <c r="R215" s="173">
        <f t="shared" si="81"/>
        <v>0.40858319734795878</v>
      </c>
      <c r="S215" s="801">
        <f t="shared" si="82"/>
        <v>1</v>
      </c>
      <c r="T215" s="172">
        <f t="shared" si="83"/>
        <v>7</v>
      </c>
      <c r="U215" s="247">
        <f t="shared" si="84"/>
        <v>1.4085831973479588</v>
      </c>
      <c r="V215" s="378">
        <f t="shared" si="85"/>
        <v>235.85076565376113</v>
      </c>
      <c r="W215" s="397">
        <f t="shared" si="86"/>
        <v>163.35968639910217</v>
      </c>
      <c r="X215" s="153">
        <f t="shared" si="87"/>
        <v>45492</v>
      </c>
      <c r="Y215" s="380">
        <f t="shared" si="88"/>
        <v>157.37206766474043</v>
      </c>
      <c r="Z215" s="380">
        <f t="shared" si="89"/>
        <v>159.68976793097187</v>
      </c>
      <c r="AA215" s="381">
        <f t="shared" si="90"/>
        <v>168.61677085109594</v>
      </c>
      <c r="AB215" s="193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5.2942556514781344E-2</v>
      </c>
      <c r="AD215" s="227">
        <f>(INDEX(Models!$BJ215:$BT215,,AH215)*(1-AF215)+INDEX(Models!$BJ215:$BT215,,AH215+1)*AF215-ERP_i)*AE215*Ramure*Pc/MaxiM</f>
        <v>1.2910155487769962E-4</v>
      </c>
      <c r="AE215" s="301">
        <f t="shared" si="92"/>
        <v>0.5</v>
      </c>
      <c r="AF215" s="173">
        <f t="shared" si="93"/>
        <v>0.40858319734795878</v>
      </c>
      <c r="AG215" s="801">
        <f t="shared" si="99"/>
        <v>1</v>
      </c>
      <c r="AH215" s="172">
        <f t="shared" si="94"/>
        <v>7</v>
      </c>
      <c r="AI215" s="221">
        <f t="shared" si="95"/>
        <v>1.4085831973479588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customHeight="1" x14ac:dyDescent="0.2">
      <c r="A216" s="56">
        <f t="shared" si="98"/>
        <v>45493</v>
      </c>
      <c r="B216" s="406">
        <f>'2023'!Wh/'2023'!Env_an*'2024'!Env_an</f>
        <v>218.22663325356731</v>
      </c>
      <c r="C216" s="385"/>
      <c r="D216" s="388">
        <f t="shared" si="77"/>
        <v>221.44360172555338</v>
      </c>
      <c r="E216" s="380">
        <f t="shared" si="75"/>
        <v>225.26945232534317</v>
      </c>
      <c r="F216" s="380">
        <f t="shared" si="78"/>
        <v>225.29605884727476</v>
      </c>
      <c r="G216" s="110">
        <f t="shared" si="76"/>
        <v>0.92718877179048231</v>
      </c>
      <c r="H216" s="409" t="b">
        <f>Wh_hp&gt;='2023'!Maxi_hp</f>
        <v>0</v>
      </c>
      <c r="I216" s="375">
        <f>IF(H216,Wh_hp,'2023'!Maxi_hp)</f>
        <v>225.29827757588035</v>
      </c>
      <c r="J216" s="85">
        <f>IF(H216,An,'2023'!An_max)</f>
        <v>2022</v>
      </c>
      <c r="K216" s="193">
        <f t="shared" si="79"/>
        <v>45493</v>
      </c>
      <c r="L216" s="143">
        <f>IF(t&lt;Tvie,1-EXP((T0-t)*PertePVj)+'2023'!Pspv,1-EXP((T0-t)*PertePVj)+Pspv)</f>
        <v>1.4527258619885575E-2</v>
      </c>
      <c r="M216" s="835"/>
      <c r="N216" s="835"/>
      <c r="O216" s="48">
        <f>IF(t&lt;Tnet,'2023'!Resal+('2023'!Salim-'2023'!Resal)*(1-EXP(('2023'!Tnet-t)/('2023'!Tau_j))),Resal+(Salim-Resal)*(1-EXP((Tnet-t)/(Tau_j))))*Salcycl</f>
        <v>1.698344165308463E-2</v>
      </c>
      <c r="P216" s="165">
        <f>(INDEX(Models!$BJ216:$BT216,,T216)*(1-R216)+INDEX(Models!$BJ216:$BT216,,T216+1)*R216-ERP_i)*Q216*Ramure*Pc/MaxiM</f>
        <v>1.3180305459822066E-4</v>
      </c>
      <c r="Q216" s="301">
        <f t="shared" si="80"/>
        <v>0.5</v>
      </c>
      <c r="R216" s="173">
        <f t="shared" si="81"/>
        <v>0.41133807010601875</v>
      </c>
      <c r="S216" s="801">
        <f t="shared" si="82"/>
        <v>1</v>
      </c>
      <c r="T216" s="172">
        <f t="shared" si="83"/>
        <v>7</v>
      </c>
      <c r="U216" s="247">
        <f t="shared" si="84"/>
        <v>1.4113380701060187</v>
      </c>
      <c r="V216" s="378">
        <f t="shared" si="85"/>
        <v>235.36053094597753</v>
      </c>
      <c r="W216" s="397">
        <f t="shared" si="86"/>
        <v>218.22663325356731</v>
      </c>
      <c r="X216" s="153">
        <f t="shared" si="87"/>
        <v>45493</v>
      </c>
      <c r="Y216" s="380">
        <f t="shared" si="88"/>
        <v>210.23584730631813</v>
      </c>
      <c r="Z216" s="380">
        <f t="shared" si="89"/>
        <v>213.33502031917331</v>
      </c>
      <c r="AA216" s="381">
        <f t="shared" si="90"/>
        <v>225.26945232534317</v>
      </c>
      <c r="AB216" s="193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5.297847481305927E-2</v>
      </c>
      <c r="AD216" s="227">
        <f>(INDEX(Models!$BJ216:$BT216,,AH216)*(1-AF216)+INDEX(Models!$BJ216:$BT216,,AH216+1)*AF216-ERP_i)*AE216*Ramure*Pc/MaxiM</f>
        <v>1.3180305459822066E-4</v>
      </c>
      <c r="AE216" s="301">
        <f t="shared" si="92"/>
        <v>0.5</v>
      </c>
      <c r="AF216" s="173">
        <f t="shared" si="93"/>
        <v>0.41133807010601875</v>
      </c>
      <c r="AG216" s="801">
        <f t="shared" si="99"/>
        <v>1</v>
      </c>
      <c r="AH216" s="172">
        <f t="shared" si="94"/>
        <v>7</v>
      </c>
      <c r="AI216" s="221">
        <f t="shared" si="95"/>
        <v>1.4113380701060187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customHeight="1" x14ac:dyDescent="0.2">
      <c r="A217" s="56">
        <f t="shared" si="98"/>
        <v>45494</v>
      </c>
      <c r="B217" s="406">
        <f>'2023'!Wh/'2023'!Env_an*'2024'!Env_an</f>
        <v>165.54449144304985</v>
      </c>
      <c r="C217" s="385"/>
      <c r="D217" s="388">
        <f t="shared" si="77"/>
        <v>167.98715041808322</v>
      </c>
      <c r="E217" s="380">
        <f t="shared" si="75"/>
        <v>170.90229019032796</v>
      </c>
      <c r="F217" s="380">
        <f t="shared" si="78"/>
        <v>170.91559565909557</v>
      </c>
      <c r="G217" s="110">
        <f t="shared" si="76"/>
        <v>0.70481452405459555</v>
      </c>
      <c r="H217" s="409" t="b">
        <f>Wh_hp&gt;='2023'!Maxi_hp</f>
        <v>0</v>
      </c>
      <c r="I217" s="375">
        <f>IF(H217,Wh_hp,'2023'!Maxi_hp)</f>
        <v>170.9225367239975</v>
      </c>
      <c r="J217" s="85">
        <f>IF(H217,An,'2023'!An_max)</f>
        <v>2022</v>
      </c>
      <c r="K217" s="193">
        <f t="shared" si="79"/>
        <v>45494</v>
      </c>
      <c r="L217" s="143">
        <f>IF(t&lt;Tvie,1-EXP((T0-t)*PertePVj)+'2023'!Pspv,1-EXP((T0-t)*PertePVj)+Pspv)</f>
        <v>1.4540748914152801E-2</v>
      </c>
      <c r="M217" s="835"/>
      <c r="N217" s="835"/>
      <c r="O217" s="48">
        <f>IF(t&lt;Tnet,'2023'!Resal+('2023'!Salim-'2023'!Resal)*(1-EXP(('2023'!Tnet-t)/('2023'!Tau_j))),Resal+(Salim-Resal)*(1-EXP((Tnet-t)/(Tau_j))))*Salcycl</f>
        <v>1.7057347616572356E-2</v>
      </c>
      <c r="P217" s="165">
        <f>(INDEX(Models!$BJ217:$BT217,,T217)*(1-R217)+INDEX(Models!$BJ217:$BT217,,T217+1)*R217-ERP_i)*Q217*Ramure*Pc/MaxiM</f>
        <v>1.3460076384843269E-4</v>
      </c>
      <c r="Q217" s="301">
        <f t="shared" si="80"/>
        <v>0.5</v>
      </c>
      <c r="R217" s="173">
        <f t="shared" si="81"/>
        <v>0.41401624576329787</v>
      </c>
      <c r="S217" s="801">
        <f t="shared" si="82"/>
        <v>1</v>
      </c>
      <c r="T217" s="172">
        <f t="shared" si="83"/>
        <v>7</v>
      </c>
      <c r="U217" s="247">
        <f t="shared" si="84"/>
        <v>1.4140162457632979</v>
      </c>
      <c r="V217" s="378">
        <f t="shared" si="85"/>
        <v>234.86334345436819</v>
      </c>
      <c r="W217" s="397">
        <f t="shared" si="86"/>
        <v>165.54449144304985</v>
      </c>
      <c r="X217" s="153">
        <f t="shared" si="87"/>
        <v>45494</v>
      </c>
      <c r="Y217" s="380">
        <f t="shared" si="88"/>
        <v>159.48876429192018</v>
      </c>
      <c r="Z217" s="380">
        <f t="shared" si="89"/>
        <v>161.84206918366681</v>
      </c>
      <c r="AA217" s="381">
        <f t="shared" si="90"/>
        <v>170.90229019032796</v>
      </c>
      <c r="AB217" s="193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5.3014040926959487E-2</v>
      </c>
      <c r="AD217" s="227">
        <f>(INDEX(Models!$BJ217:$BT217,,AH217)*(1-AF217)+INDEX(Models!$BJ217:$BT217,,AH217+1)*AF217-ERP_i)*AE217*Ramure*Pc/MaxiM</f>
        <v>1.3460076384843269E-4</v>
      </c>
      <c r="AE217" s="301">
        <f t="shared" si="92"/>
        <v>0.5</v>
      </c>
      <c r="AF217" s="173">
        <f t="shared" si="93"/>
        <v>0.41401624576329787</v>
      </c>
      <c r="AG217" s="801">
        <f t="shared" si="99"/>
        <v>1</v>
      </c>
      <c r="AH217" s="172">
        <f t="shared" si="94"/>
        <v>7</v>
      </c>
      <c r="AI217" s="221">
        <f t="shared" si="95"/>
        <v>1.4140162457632979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45495</v>
      </c>
      <c r="B218" s="406">
        <f>'2023'!Wh/'2023'!Env_an*'2024'!Env_an</f>
        <v>190.516290474936</v>
      </c>
      <c r="C218" s="385"/>
      <c r="D218" s="388">
        <f t="shared" si="77"/>
        <v>193.33006241378254</v>
      </c>
      <c r="E218" s="380">
        <f t="shared" si="75"/>
        <v>196.69974182138674</v>
      </c>
      <c r="F218" s="380">
        <f t="shared" si="78"/>
        <v>196.71956140729409</v>
      </c>
      <c r="G218" s="110">
        <f t="shared" si="76"/>
        <v>0.81289074961691776</v>
      </c>
      <c r="H218" s="409" t="b">
        <f>Wh_hp&gt;='2023'!Maxi_hp</f>
        <v>0</v>
      </c>
      <c r="I218" s="375">
        <f>IF(H218,Wh_hp,'2023'!Maxi_hp)</f>
        <v>196.7247161303259</v>
      </c>
      <c r="J218" s="85">
        <f>IF(H218,An,'2023'!An_max)</f>
        <v>2022</v>
      </c>
      <c r="K218" s="193">
        <f t="shared" si="79"/>
        <v>45495</v>
      </c>
      <c r="L218" s="143">
        <f>IF(t&lt;Tvie,1-EXP((T0-t)*PertePVj)+'2023'!Pspv,1-EXP((T0-t)*PertePVj)+Pspv)</f>
        <v>1.4554239023749194E-2</v>
      </c>
      <c r="M218" s="835"/>
      <c r="N218" s="835"/>
      <c r="O218" s="48">
        <f>IF(t&lt;Tnet,'2023'!Resal+('2023'!Salim-'2023'!Resal)*(1-EXP(('2023'!Tnet-t)/('2023'!Tau_j))),Resal+(Salim-Resal)*(1-EXP((Tnet-t)/(Tau_j))))*Salcycl</f>
        <v>1.7131082005506865E-2</v>
      </c>
      <c r="P218" s="165">
        <f>(INDEX(Models!$BJ218:$BT218,,T218)*(1-R218)+INDEX(Models!$BJ218:$BT218,,T218+1)*R218-ERP_i)*Q218*Ramure*Pc/MaxiM</f>
        <v>1.3749753303764572E-4</v>
      </c>
      <c r="Q218" s="301">
        <f t="shared" si="80"/>
        <v>0.5</v>
      </c>
      <c r="R218" s="173">
        <f t="shared" si="81"/>
        <v>0.41661871552443008</v>
      </c>
      <c r="S218" s="801">
        <f t="shared" si="82"/>
        <v>1</v>
      </c>
      <c r="T218" s="172">
        <f t="shared" si="83"/>
        <v>7</v>
      </c>
      <c r="U218" s="247">
        <f t="shared" si="84"/>
        <v>1.4166187155244301</v>
      </c>
      <c r="V218" s="378">
        <f t="shared" si="85"/>
        <v>234.36026174842652</v>
      </c>
      <c r="W218" s="397">
        <f t="shared" si="86"/>
        <v>190.516290474936</v>
      </c>
      <c r="X218" s="153">
        <f t="shared" si="87"/>
        <v>45495</v>
      </c>
      <c r="Y218" s="380">
        <f t="shared" si="88"/>
        <v>183.55401817531219</v>
      </c>
      <c r="Z218" s="380">
        <f t="shared" si="89"/>
        <v>186.2649629680997</v>
      </c>
      <c r="AA218" s="381">
        <f t="shared" si="90"/>
        <v>196.69974182138674</v>
      </c>
      <c r="AB218" s="193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5.3049275798045185E-2</v>
      </c>
      <c r="AD218" s="227">
        <f>(INDEX(Models!$BJ218:$BT218,,AH218)*(1-AF218)+INDEX(Models!$BJ218:$BT218,,AH218+1)*AF218-ERP_i)*AE218*Ramure*Pc/MaxiM</f>
        <v>1.3749753303764572E-4</v>
      </c>
      <c r="AE218" s="301">
        <f t="shared" si="92"/>
        <v>0.5</v>
      </c>
      <c r="AF218" s="173">
        <f t="shared" si="93"/>
        <v>0.41661871552443008</v>
      </c>
      <c r="AG218" s="801">
        <f t="shared" si="99"/>
        <v>1</v>
      </c>
      <c r="AH218" s="172">
        <f t="shared" si="94"/>
        <v>7</v>
      </c>
      <c r="AI218" s="221">
        <f t="shared" si="95"/>
        <v>1.4166187155244301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customHeight="1" x14ac:dyDescent="0.2">
      <c r="A219" s="56">
        <f t="shared" si="98"/>
        <v>45496</v>
      </c>
      <c r="B219" s="406">
        <f>'2023'!Wh/'2023'!Env_an*'2024'!Env_an</f>
        <v>221.09595126112885</v>
      </c>
      <c r="C219" s="385"/>
      <c r="D219" s="388">
        <f t="shared" si="77"/>
        <v>224.36443148472236</v>
      </c>
      <c r="E219" s="380">
        <f t="shared" si="75"/>
        <v>228.29211753037785</v>
      </c>
      <c r="F219" s="380">
        <f t="shared" si="78"/>
        <v>228.32169685067282</v>
      </c>
      <c r="G219" s="110">
        <f t="shared" si="76"/>
        <v>0.94545143097917861</v>
      </c>
      <c r="H219" s="409" t="b">
        <f>Wh_hp&gt;='2023'!Maxi_hp</f>
        <v>0</v>
      </c>
      <c r="I219" s="375">
        <f>IF(H219,Wh_hp,'2023'!Maxi_hp)</f>
        <v>228.32347365293612</v>
      </c>
      <c r="J219" s="85">
        <f>IF(H219,An,'2023'!An_max)</f>
        <v>2022</v>
      </c>
      <c r="K219" s="193">
        <f t="shared" si="79"/>
        <v>45496</v>
      </c>
      <c r="L219" s="143">
        <f>IF(t&lt;Tvie,1-EXP((T0-t)*PertePVj)+'2023'!Pspv,1-EXP((T0-t)*PertePVj)+Pspv)</f>
        <v>1.4567728948677305E-2</v>
      </c>
      <c r="M219" s="835"/>
      <c r="N219" s="835"/>
      <c r="O219" s="48">
        <f>IF(t&lt;Tnet,'2023'!Resal+('2023'!Salim-'2023'!Resal)*(1-EXP(('2023'!Tnet-t)/('2023'!Tau_j))),Resal+(Salim-Resal)*(1-EXP((Tnet-t)/(Tau_j))))*Salcycl</f>
        <v>1.7204650288167946E-2</v>
      </c>
      <c r="P219" s="165">
        <f>(INDEX(Models!$BJ219:$BT219,,T219)*(1-R219)+INDEX(Models!$BJ219:$BT219,,T219+1)*R219-ERP_i)*Q219*Ramure*Pc/MaxiM</f>
        <v>1.4049747338964634E-4</v>
      </c>
      <c r="Q219" s="301">
        <f t="shared" si="80"/>
        <v>0.5</v>
      </c>
      <c r="R219" s="173">
        <f t="shared" si="81"/>
        <v>0.4191465395673073</v>
      </c>
      <c r="S219" s="801">
        <f t="shared" si="82"/>
        <v>1</v>
      </c>
      <c r="T219" s="172">
        <f t="shared" si="83"/>
        <v>7</v>
      </c>
      <c r="U219" s="247">
        <f t="shared" si="84"/>
        <v>1.4191465395673073</v>
      </c>
      <c r="V219" s="378">
        <f t="shared" si="85"/>
        <v>233.849697084128</v>
      </c>
      <c r="W219" s="397">
        <f t="shared" si="86"/>
        <v>221.09595126112885</v>
      </c>
      <c r="X219" s="153">
        <f t="shared" si="87"/>
        <v>45496</v>
      </c>
      <c r="Y219" s="380">
        <f t="shared" si="88"/>
        <v>213.02425757383332</v>
      </c>
      <c r="Z219" s="380">
        <f t="shared" si="89"/>
        <v>216.17341326417625</v>
      </c>
      <c r="AA219" s="381">
        <f t="shared" si="90"/>
        <v>228.29211753037785</v>
      </c>
      <c r="AB219" s="193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5.308419930262822E-2</v>
      </c>
      <c r="AD219" s="227">
        <f>(INDEX(Models!$BJ219:$BT219,,AH219)*(1-AF219)+INDEX(Models!$BJ219:$BT219,,AH219+1)*AF219-ERP_i)*AE219*Ramure*Pc/MaxiM</f>
        <v>1.4049747338964634E-4</v>
      </c>
      <c r="AE219" s="301">
        <f t="shared" si="92"/>
        <v>0.5</v>
      </c>
      <c r="AF219" s="173">
        <f t="shared" si="93"/>
        <v>0.4191465395673073</v>
      </c>
      <c r="AG219" s="801">
        <f t="shared" si="99"/>
        <v>1</v>
      </c>
      <c r="AH219" s="172">
        <f t="shared" si="94"/>
        <v>7</v>
      </c>
      <c r="AI219" s="221">
        <f t="shared" si="95"/>
        <v>1.4191465395673073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customHeight="1" x14ac:dyDescent="0.2">
      <c r="A220" s="56">
        <f t="shared" si="98"/>
        <v>45497</v>
      </c>
      <c r="B220" s="406">
        <f>'2023'!Wh/'2023'!Env_an*'2024'!Env_an</f>
        <v>119.03012992144546</v>
      </c>
      <c r="C220" s="385"/>
      <c r="D220" s="388">
        <f t="shared" si="77"/>
        <v>120.79141597350176</v>
      </c>
      <c r="E220" s="380">
        <f t="shared" si="75"/>
        <v>122.91515104087084</v>
      </c>
      <c r="F220" s="380">
        <f t="shared" si="78"/>
        <v>122.92044629112119</v>
      </c>
      <c r="G220" s="110">
        <f t="shared" si="76"/>
        <v>0.51008654033512024</v>
      </c>
      <c r="H220" s="409" t="b">
        <f>Wh_hp&gt;='2023'!Maxi_hp</f>
        <v>0</v>
      </c>
      <c r="I220" s="375">
        <f>IF(H220,Wh_hp,'2023'!Maxi_hp)</f>
        <v>122.92919914878539</v>
      </c>
      <c r="J220" s="85">
        <f>IF(H220,An,'2023'!An_max)</f>
        <v>2022</v>
      </c>
      <c r="K220" s="193">
        <f t="shared" si="79"/>
        <v>45497</v>
      </c>
      <c r="L220" s="143">
        <f>IF(t&lt;Tvie,1-EXP((T0-t)*PertePVj)+'2023'!Pspv,1-EXP((T0-t)*PertePVj)+Pspv)</f>
        <v>1.4581218688939579E-2</v>
      </c>
      <c r="M220" s="835"/>
      <c r="N220" s="835"/>
      <c r="O220" s="48">
        <f>IF(t&lt;Tnet,'2023'!Resal+('2023'!Salim-'2023'!Resal)*(1-EXP(('2023'!Tnet-t)/('2023'!Tau_j))),Resal+(Salim-Resal)*(1-EXP((Tnet-t)/(Tau_j))))*Salcycl</f>
        <v>1.7278057663232364E-2</v>
      </c>
      <c r="P220" s="165">
        <f>(INDEX(Models!$BJ220:$BT220,,T220)*(1-R220)+INDEX(Models!$BJ220:$BT220,,T220+1)*R220-ERP_i)*Q220*Ramure*Pc/MaxiM</f>
        <v>1.4350144615685845E-4</v>
      </c>
      <c r="Q220" s="301">
        <f t="shared" si="80"/>
        <v>0.5</v>
      </c>
      <c r="R220" s="173">
        <f t="shared" si="81"/>
        <v>0.42160084055444225</v>
      </c>
      <c r="S220" s="801">
        <f t="shared" si="82"/>
        <v>1</v>
      </c>
      <c r="T220" s="172">
        <f t="shared" si="83"/>
        <v>7</v>
      </c>
      <c r="U220" s="247">
        <f t="shared" si="84"/>
        <v>1.4216008405544422</v>
      </c>
      <c r="V220" s="378">
        <f t="shared" si="85"/>
        <v>233.32937974227386</v>
      </c>
      <c r="W220" s="397">
        <f t="shared" si="86"/>
        <v>119.03012992144546</v>
      </c>
      <c r="X220" s="153">
        <f t="shared" si="87"/>
        <v>45497</v>
      </c>
      <c r="Y220" s="380">
        <f t="shared" si="88"/>
        <v>114.68899167442841</v>
      </c>
      <c r="Z220" s="380">
        <f t="shared" si="89"/>
        <v>116.38604200524702</v>
      </c>
      <c r="AA220" s="381">
        <f t="shared" si="90"/>
        <v>122.91515104087084</v>
      </c>
      <c r="AB220" s="193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5.311883018760493E-2</v>
      </c>
      <c r="AD220" s="227">
        <f>(INDEX(Models!$BJ220:$BT220,,AH220)*(1-AF220)+INDEX(Models!$BJ220:$BT220,,AH220+1)*AF220-ERP_i)*AE220*Ramure*Pc/MaxiM</f>
        <v>1.4350144615685845E-4</v>
      </c>
      <c r="AE220" s="301">
        <f t="shared" si="92"/>
        <v>0.5</v>
      </c>
      <c r="AF220" s="173">
        <f t="shared" si="93"/>
        <v>0.42160084055444225</v>
      </c>
      <c r="AG220" s="801">
        <f t="shared" si="99"/>
        <v>1</v>
      </c>
      <c r="AH220" s="172">
        <f t="shared" si="94"/>
        <v>7</v>
      </c>
      <c r="AI220" s="221">
        <f t="shared" si="95"/>
        <v>1.4216008405544422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customHeight="1" x14ac:dyDescent="0.2">
      <c r="A221" s="56">
        <f t="shared" si="98"/>
        <v>45498</v>
      </c>
      <c r="B221" s="406">
        <f>'2023'!Wh/'2023'!Env_an*'2024'!Env_an</f>
        <v>212.38457933968701</v>
      </c>
      <c r="C221" s="385"/>
      <c r="D221" s="388">
        <f t="shared" si="77"/>
        <v>215.53017942630706</v>
      </c>
      <c r="E221" s="380">
        <f t="shared" si="75"/>
        <v>219.33594519388487</v>
      </c>
      <c r="F221" s="380">
        <f t="shared" si="78"/>
        <v>219.36404775624152</v>
      </c>
      <c r="G221" s="110">
        <f t="shared" si="76"/>
        <v>0.91229080524316031</v>
      </c>
      <c r="H221" s="409" t="b">
        <f>Wh_hp&gt;='2023'!Maxi_hp</f>
        <v>0</v>
      </c>
      <c r="I221" s="375">
        <f>IF(H221,Wh_hp,'2023'!Maxi_hp)</f>
        <v>219.36689548137969</v>
      </c>
      <c r="J221" s="85">
        <f>IF(H221,An,'2023'!An_max)</f>
        <v>2022</v>
      </c>
      <c r="K221" s="193">
        <f t="shared" si="79"/>
        <v>45498</v>
      </c>
      <c r="L221" s="143">
        <f>IF(t&lt;Tvie,1-EXP((T0-t)*PertePVj)+'2023'!Pspv,1-EXP((T0-t)*PertePVj)+Pspv)</f>
        <v>1.459470824453879E-2</v>
      </c>
      <c r="M221" s="835"/>
      <c r="N221" s="835"/>
      <c r="O221" s="48">
        <f>IF(t&lt;Tnet,'2023'!Resal+('2023'!Salim-'2023'!Resal)*(1-EXP(('2023'!Tnet-t)/('2023'!Tau_j))),Resal+(Salim-Resal)*(1-EXP((Tnet-t)/(Tau_j))))*Salcycl</f>
        <v>1.7351309035159107E-2</v>
      </c>
      <c r="P221" s="165">
        <f>(INDEX(Models!$BJ221:$BT221,,T221)*(1-R221)+INDEX(Models!$BJ221:$BT221,,T221+1)*R221-ERP_i)*Q221*Ramure*Pc/MaxiM</f>
        <v>1.4645658302801754E-4</v>
      </c>
      <c r="Q221" s="301">
        <f t="shared" si="80"/>
        <v>0.5</v>
      </c>
      <c r="R221" s="173">
        <f t="shared" si="81"/>
        <v>0.42398279733230115</v>
      </c>
      <c r="S221" s="801">
        <f t="shared" si="82"/>
        <v>1</v>
      </c>
      <c r="T221" s="172">
        <f t="shared" si="83"/>
        <v>7</v>
      </c>
      <c r="U221" s="247">
        <f t="shared" si="84"/>
        <v>1.4239827973323012</v>
      </c>
      <c r="V221" s="378">
        <f t="shared" si="85"/>
        <v>232.79932333853608</v>
      </c>
      <c r="W221" s="397">
        <f t="shared" si="86"/>
        <v>212.38457933968701</v>
      </c>
      <c r="X221" s="153">
        <f t="shared" si="87"/>
        <v>45498</v>
      </c>
      <c r="Y221" s="380">
        <f t="shared" si="88"/>
        <v>204.64654778041412</v>
      </c>
      <c r="Z221" s="380">
        <f t="shared" si="89"/>
        <v>207.67754089877502</v>
      </c>
      <c r="AA221" s="381">
        <f t="shared" si="90"/>
        <v>219.33594519388487</v>
      </c>
      <c r="AB221" s="193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5.3153186017021799E-2</v>
      </c>
      <c r="AD221" s="227">
        <f>(INDEX(Models!$BJ221:$BT221,,AH221)*(1-AF221)+INDEX(Models!$BJ221:$BT221,,AH221+1)*AF221-ERP_i)*AE221*Ramure*Pc/MaxiM</f>
        <v>1.4645658302801754E-4</v>
      </c>
      <c r="AE221" s="301">
        <f t="shared" si="92"/>
        <v>0.5</v>
      </c>
      <c r="AF221" s="173">
        <f t="shared" si="93"/>
        <v>0.42398279733230115</v>
      </c>
      <c r="AG221" s="801">
        <f t="shared" si="99"/>
        <v>1</v>
      </c>
      <c r="AH221" s="172">
        <f t="shared" si="94"/>
        <v>7</v>
      </c>
      <c r="AI221" s="221">
        <f t="shared" si="95"/>
        <v>1.4239827973323012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customHeight="1" x14ac:dyDescent="0.2">
      <c r="A222" s="56">
        <f t="shared" si="98"/>
        <v>45499</v>
      </c>
      <c r="B222" s="406">
        <f>'2023'!Wh/'2023'!Env_an*'2024'!Env_an</f>
        <v>233.07182376013176</v>
      </c>
      <c r="C222" s="385"/>
      <c r="D222" s="388">
        <f t="shared" si="77"/>
        <v>236.52705776131648</v>
      </c>
      <c r="E222" s="380">
        <f t="shared" si="75"/>
        <v>240.72148741131875</v>
      </c>
      <c r="F222" s="380">
        <f t="shared" si="78"/>
        <v>240.75744789111329</v>
      </c>
      <c r="G222" s="110">
        <f t="shared" si="76"/>
        <v>1.0034973585030091</v>
      </c>
      <c r="H222" s="409" t="b">
        <f>Wh_hp&gt;='2023'!Maxi_hp</f>
        <v>1</v>
      </c>
      <c r="I222" s="375">
        <f>IF(H222,Wh_hp,'2023'!Maxi_hp)</f>
        <v>240.75744789111329</v>
      </c>
      <c r="J222" s="85">
        <f>IF(H222,An,'2023'!An_max)</f>
        <v>2024</v>
      </c>
      <c r="K222" s="193">
        <f t="shared" si="79"/>
        <v>45499</v>
      </c>
      <c r="L222" s="143">
        <f>IF(t&lt;Tvie,1-EXP((T0-t)*PertePVj)+'2023'!Pspv,1-EXP((T0-t)*PertePVj)+Pspv)</f>
        <v>1.460819761547727E-2</v>
      </c>
      <c r="M222" s="835"/>
      <c r="N222" s="835"/>
      <c r="O222" s="48">
        <f>IF(t&lt;Tnet,'2023'!Resal+('2023'!Salim-'2023'!Resal)*(1-EXP(('2023'!Tnet-t)/('2023'!Tau_j))),Resal+(Salim-Resal)*(1-EXP((Tnet-t)/(Tau_j))))*Salcycl</f>
        <v>1.7424408992767978E-2</v>
      </c>
      <c r="P222" s="165">
        <f>(INDEX(Models!$BJ222:$BT222,,T222)*(1-R222)+INDEX(Models!$BJ222:$BT222,,T222+1)*R222-ERP_i)*Q222*Ramure*Pc/MaxiM</f>
        <v>1.4936393498738879E-4</v>
      </c>
      <c r="Q222" s="301">
        <f t="shared" si="80"/>
        <v>0.5</v>
      </c>
      <c r="R222" s="173">
        <f t="shared" si="81"/>
        <v>0.42629363883726712</v>
      </c>
      <c r="S222" s="801">
        <f t="shared" si="82"/>
        <v>1</v>
      </c>
      <c r="T222" s="172">
        <f t="shared" si="83"/>
        <v>7</v>
      </c>
      <c r="U222" s="247">
        <f t="shared" si="84"/>
        <v>1.4262936388372671</v>
      </c>
      <c r="V222" s="378">
        <f t="shared" si="85"/>
        <v>232.25952892175238</v>
      </c>
      <c r="W222" s="397">
        <f t="shared" si="86"/>
        <v>233.07182376013176</v>
      </c>
      <c r="X222" s="153">
        <f t="shared" si="87"/>
        <v>45499</v>
      </c>
      <c r="Y222" s="380">
        <f t="shared" si="88"/>
        <v>224.58869190319393</v>
      </c>
      <c r="Z222" s="380">
        <f t="shared" si="89"/>
        <v>227.91816550504873</v>
      </c>
      <c r="AA222" s="381">
        <f t="shared" si="90"/>
        <v>240.72148741131875</v>
      </c>
      <c r="AB222" s="193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5.3187283129374666E-2</v>
      </c>
      <c r="AD222" s="227">
        <f>(INDEX(Models!$BJ222:$BT222,,AH222)*(1-AF222)+INDEX(Models!$BJ222:$BT222,,AH222+1)*AF222-ERP_i)*AE222*Ramure*Pc/MaxiM</f>
        <v>1.4936393498738879E-4</v>
      </c>
      <c r="AE222" s="301">
        <f t="shared" si="92"/>
        <v>0.5</v>
      </c>
      <c r="AF222" s="173">
        <f t="shared" si="93"/>
        <v>0.42629363883726712</v>
      </c>
      <c r="AG222" s="801">
        <f t="shared" si="99"/>
        <v>1</v>
      </c>
      <c r="AH222" s="172">
        <f t="shared" si="94"/>
        <v>7</v>
      </c>
      <c r="AI222" s="221">
        <f t="shared" si="95"/>
        <v>1.4262936388372671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customHeight="1" x14ac:dyDescent="0.2">
      <c r="A223" s="56">
        <f t="shared" si="98"/>
        <v>45500</v>
      </c>
      <c r="B223" s="406">
        <f>'2023'!Wh/'2023'!Env_an*'2024'!Env_an</f>
        <v>188.26496001965131</v>
      </c>
      <c r="C223" s="385"/>
      <c r="D223" s="388">
        <f t="shared" si="77"/>
        <v>191.05855842168853</v>
      </c>
      <c r="E223" s="380">
        <f t="shared" si="75"/>
        <v>194.46111490344876</v>
      </c>
      <c r="F223" s="380">
        <f t="shared" si="78"/>
        <v>194.48279013386863</v>
      </c>
      <c r="G223" s="110">
        <f t="shared" si="76"/>
        <v>0.81246940056263373</v>
      </c>
      <c r="H223" s="409" t="b">
        <f>Wh_hp&gt;='2023'!Maxi_hp</f>
        <v>0</v>
      </c>
      <c r="I223" s="375">
        <f>IF(H223,Wh_hp,'2023'!Maxi_hp)</f>
        <v>194.48838294022485</v>
      </c>
      <c r="J223" s="85">
        <f>IF(H223,An,'2023'!An_max)</f>
        <v>2022</v>
      </c>
      <c r="K223" s="193">
        <f t="shared" si="79"/>
        <v>45500</v>
      </c>
      <c r="L223" s="143">
        <f>IF(t&lt;Tvie,1-EXP((T0-t)*PertePVj)+'2023'!Pspv,1-EXP((T0-t)*PertePVj)+Pspv)</f>
        <v>1.4621686801757572E-2</v>
      </c>
      <c r="M223" s="835"/>
      <c r="N223" s="835"/>
      <c r="O223" s="48">
        <f>IF(t&lt;Tnet,'2023'!Resal+('2023'!Salim-'2023'!Resal)*(1-EXP(('2023'!Tnet-t)/('2023'!Tau_j))),Resal+(Salim-Resal)*(1-EXP((Tnet-t)/(Tau_j))))*Salcycl</f>
        <v>1.7497361791068738E-2</v>
      </c>
      <c r="P223" s="165">
        <f>(INDEX(Models!$BJ223:$BT223,,T223)*(1-R223)+INDEX(Models!$BJ223:$BT223,,T223+1)*R223-ERP_i)*Q223*Ramure*Pc/MaxiM</f>
        <v>1.5222450490205266E-4</v>
      </c>
      <c r="Q223" s="301">
        <f t="shared" si="80"/>
        <v>0.5</v>
      </c>
      <c r="R223" s="173">
        <f t="shared" si="81"/>
        <v>0.42853463822384863</v>
      </c>
      <c r="S223" s="801">
        <f t="shared" si="82"/>
        <v>1</v>
      </c>
      <c r="T223" s="172">
        <f t="shared" si="83"/>
        <v>7</v>
      </c>
      <c r="U223" s="247">
        <f t="shared" si="84"/>
        <v>1.4285346382238486</v>
      </c>
      <c r="V223" s="378">
        <f t="shared" si="85"/>
        <v>231.70999762284916</v>
      </c>
      <c r="W223" s="397">
        <f t="shared" si="86"/>
        <v>188.26496001965131</v>
      </c>
      <c r="X223" s="153">
        <f t="shared" si="87"/>
        <v>45500</v>
      </c>
      <c r="Y223" s="380">
        <f t="shared" si="88"/>
        <v>181.41965011854191</v>
      </c>
      <c r="Z223" s="380">
        <f t="shared" si="89"/>
        <v>184.11167334270647</v>
      </c>
      <c r="AA223" s="381">
        <f t="shared" si="90"/>
        <v>194.46111490344876</v>
      </c>
      <c r="AB223" s="193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5.3221136605541217E-2</v>
      </c>
      <c r="AD223" s="227">
        <f>(INDEX(Models!$BJ223:$BT223,,AH223)*(1-AF223)+INDEX(Models!$BJ223:$BT223,,AH223+1)*AF223-ERP_i)*AE223*Ramure*Pc/MaxiM</f>
        <v>1.5222450490205266E-4</v>
      </c>
      <c r="AE223" s="301">
        <f t="shared" si="92"/>
        <v>0.5</v>
      </c>
      <c r="AF223" s="173">
        <f t="shared" si="93"/>
        <v>0.42853463822384863</v>
      </c>
      <c r="AG223" s="801">
        <f t="shared" si="99"/>
        <v>1</v>
      </c>
      <c r="AH223" s="172">
        <f t="shared" si="94"/>
        <v>7</v>
      </c>
      <c r="AI223" s="221">
        <f t="shared" si="95"/>
        <v>1.4285346382238486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customHeight="1" x14ac:dyDescent="0.2">
      <c r="A224" s="56">
        <f t="shared" si="98"/>
        <v>45501</v>
      </c>
      <c r="B224" s="406">
        <f>'2023'!Wh/'2023'!Env_an*'2024'!Env_an</f>
        <v>114.35638586110925</v>
      </c>
      <c r="C224" s="385"/>
      <c r="D224" s="388">
        <f t="shared" si="77"/>
        <v>116.05486927579911</v>
      </c>
      <c r="E224" s="380">
        <f t="shared" si="75"/>
        <v>118.13044137072283</v>
      </c>
      <c r="F224" s="380">
        <f t="shared" si="78"/>
        <v>118.13553642904319</v>
      </c>
      <c r="G224" s="110">
        <f t="shared" si="76"/>
        <v>0.49467110621941768</v>
      </c>
      <c r="H224" s="409" t="b">
        <f>Wh_hp&gt;='2023'!Maxi_hp</f>
        <v>0</v>
      </c>
      <c r="I224" s="375">
        <f>IF(H224,Wh_hp,'2023'!Maxi_hp)</f>
        <v>118.14485084617337</v>
      </c>
      <c r="J224" s="85">
        <f>IF(H224,An,'2023'!An_max)</f>
        <v>2022</v>
      </c>
      <c r="K224" s="193">
        <f t="shared" si="79"/>
        <v>45501</v>
      </c>
      <c r="L224" s="143">
        <f>IF(t&lt;Tvie,1-EXP((T0-t)*PertePVj)+'2023'!Pspv,1-EXP((T0-t)*PertePVj)+Pspv)</f>
        <v>1.463517580338225E-2</v>
      </c>
      <c r="M224" s="835"/>
      <c r="N224" s="835"/>
      <c r="O224" s="48">
        <f>IF(t&lt;Tnet,'2023'!Resal+('2023'!Salim-'2023'!Resal)*(1-EXP(('2023'!Tnet-t)/('2023'!Tau_j))),Resal+(Salim-Resal)*(1-EXP((Tnet-t)/(Tau_j))))*Salcycl</f>
        <v>1.7570171336362492E-2</v>
      </c>
      <c r="P224" s="165">
        <f>(INDEX(Models!$BJ224:$BT224,,T224)*(1-R224)+INDEX(Models!$BJ224:$BT224,,T224+1)*R224-ERP_i)*Q224*Ramure*Pc/MaxiM</f>
        <v>1.5503924426722211E-4</v>
      </c>
      <c r="Q224" s="301">
        <f t="shared" si="80"/>
        <v>0.5</v>
      </c>
      <c r="R224" s="173">
        <f t="shared" si="81"/>
        <v>0.43070710722788208</v>
      </c>
      <c r="S224" s="801">
        <f t="shared" si="82"/>
        <v>1</v>
      </c>
      <c r="T224" s="172">
        <f t="shared" si="83"/>
        <v>7</v>
      </c>
      <c r="U224" s="247">
        <f t="shared" si="84"/>
        <v>1.4307071072278821</v>
      </c>
      <c r="V224" s="378">
        <f t="shared" si="85"/>
        <v>231.15073068045209</v>
      </c>
      <c r="W224" s="397">
        <f t="shared" si="86"/>
        <v>114.35638586110925</v>
      </c>
      <c r="X224" s="153">
        <f t="shared" si="87"/>
        <v>45501</v>
      </c>
      <c r="Y224" s="380">
        <f t="shared" si="88"/>
        <v>110.20264327337917</v>
      </c>
      <c r="Z224" s="380">
        <f t="shared" si="89"/>
        <v>111.83943303763556</v>
      </c>
      <c r="AA224" s="381">
        <f t="shared" si="90"/>
        <v>118.13044137072283</v>
      </c>
      <c r="AB224" s="193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5.3254760247145101E-2</v>
      </c>
      <c r="AD224" s="227">
        <f>(INDEX(Models!$BJ224:$BT224,,AH224)*(1-AF224)+INDEX(Models!$BJ224:$BT224,,AH224+1)*AF224-ERP_i)*AE224*Ramure*Pc/MaxiM</f>
        <v>1.5503924426722211E-4</v>
      </c>
      <c r="AE224" s="301">
        <f t="shared" si="92"/>
        <v>0.5</v>
      </c>
      <c r="AF224" s="173">
        <f t="shared" si="93"/>
        <v>0.43070710722788208</v>
      </c>
      <c r="AG224" s="801">
        <f t="shared" si="99"/>
        <v>1</v>
      </c>
      <c r="AH224" s="172">
        <f t="shared" si="94"/>
        <v>7</v>
      </c>
      <c r="AI224" s="221">
        <f t="shared" si="95"/>
        <v>1.4307071072278821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customHeight="1" x14ac:dyDescent="0.2">
      <c r="A225" s="56">
        <f t="shared" si="98"/>
        <v>45502</v>
      </c>
      <c r="B225" s="406">
        <f>'2023'!Wh/'2023'!Env_an*'2024'!Env_an</f>
        <v>197.93759568852033</v>
      </c>
      <c r="C225" s="385"/>
      <c r="D225" s="388">
        <f t="shared" si="77"/>
        <v>200.88022269971037</v>
      </c>
      <c r="E225" s="380">
        <f t="shared" si="75"/>
        <v>204.48797150305538</v>
      </c>
      <c r="F225" s="380">
        <f t="shared" si="78"/>
        <v>204.51371827373973</v>
      </c>
      <c r="G225" s="110">
        <f t="shared" si="76"/>
        <v>0.85839965696999021</v>
      </c>
      <c r="H225" s="409" t="b">
        <f>Wh_hp&gt;='2023'!Maxi_hp</f>
        <v>0</v>
      </c>
      <c r="I225" s="375">
        <f>IF(H225,Wh_hp,'2023'!Maxi_hp)</f>
        <v>204.51831402539628</v>
      </c>
      <c r="J225" s="85">
        <f>IF(H225,An,'2023'!An_max)</f>
        <v>2022</v>
      </c>
      <c r="K225" s="193">
        <f t="shared" si="79"/>
        <v>45502</v>
      </c>
      <c r="L225" s="143">
        <f>IF(t&lt;Tvie,1-EXP((T0-t)*PertePVj)+'2023'!Pspv,1-EXP((T0-t)*PertePVj)+Pspv)</f>
        <v>1.4648664620353746E-2</v>
      </c>
      <c r="M225" s="835"/>
      <c r="N225" s="835"/>
      <c r="O225" s="48">
        <f>IF(t&lt;Tnet,'2023'!Resal+('2023'!Salim-'2023'!Resal)*(1-EXP(('2023'!Tnet-t)/('2023'!Tau_j))),Resal+(Salim-Resal)*(1-EXP((Tnet-t)/(Tau_j))))*Salcycl</f>
        <v>1.7642841174602263E-2</v>
      </c>
      <c r="P225" s="165">
        <f>(INDEX(Models!$BJ225:$BT225,,T225)*(1-R225)+INDEX(Models!$BJ225:$BT225,,T225+1)*R225-ERP_i)*Q225*Ramure*Pc/MaxiM</f>
        <v>1.5780905042216706E-4</v>
      </c>
      <c r="Q225" s="301">
        <f t="shared" si="80"/>
        <v>0.5</v>
      </c>
      <c r="R225" s="173">
        <f t="shared" si="81"/>
        <v>0.4328123907747643</v>
      </c>
      <c r="S225" s="801">
        <f t="shared" si="82"/>
        <v>1</v>
      </c>
      <c r="T225" s="172">
        <f t="shared" si="83"/>
        <v>7</v>
      </c>
      <c r="U225" s="247">
        <f t="shared" si="84"/>
        <v>1.4328123907747643</v>
      </c>
      <c r="V225" s="378">
        <f t="shared" si="85"/>
        <v>230.58172941615061</v>
      </c>
      <c r="W225" s="397">
        <f t="shared" si="86"/>
        <v>197.93759568852033</v>
      </c>
      <c r="X225" s="153">
        <f t="shared" si="87"/>
        <v>45502</v>
      </c>
      <c r="Y225" s="380">
        <f t="shared" si="88"/>
        <v>190.75533011236581</v>
      </c>
      <c r="Z225" s="380">
        <f t="shared" si="89"/>
        <v>193.5911824170509</v>
      </c>
      <c r="AA225" s="381">
        <f t="shared" si="90"/>
        <v>204.48797150305538</v>
      </c>
      <c r="AB225" s="193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5.3288166565052357E-2</v>
      </c>
      <c r="AD225" s="227">
        <f>(INDEX(Models!$BJ225:$BT225,,AH225)*(1-AF225)+INDEX(Models!$BJ225:$BT225,,AH225+1)*AF225-ERP_i)*AE225*Ramure*Pc/MaxiM</f>
        <v>1.5780905042216706E-4</v>
      </c>
      <c r="AE225" s="301">
        <f t="shared" si="92"/>
        <v>0.5</v>
      </c>
      <c r="AF225" s="173">
        <f t="shared" si="93"/>
        <v>0.4328123907747643</v>
      </c>
      <c r="AG225" s="801">
        <f t="shared" si="99"/>
        <v>1</v>
      </c>
      <c r="AH225" s="172">
        <f t="shared" si="94"/>
        <v>7</v>
      </c>
      <c r="AI225" s="221">
        <f t="shared" si="95"/>
        <v>1.4328123907747643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customHeight="1" x14ac:dyDescent="0.2">
      <c r="A226" s="56">
        <f t="shared" si="98"/>
        <v>45503</v>
      </c>
      <c r="B226" s="406">
        <f>'2023'!Wh/'2023'!Env_an*'2024'!Env_an</f>
        <v>226.51269496295731</v>
      </c>
      <c r="C226" s="385"/>
      <c r="D226" s="388">
        <f t="shared" si="77"/>
        <v>229.88327882735129</v>
      </c>
      <c r="E226" s="380">
        <f t="shared" si="75"/>
        <v>234.02919363249725</v>
      </c>
      <c r="F226" s="380">
        <f t="shared" si="78"/>
        <v>234.06594730379419</v>
      </c>
      <c r="G226" s="110">
        <f t="shared" si="76"/>
        <v>0.98482151964793729</v>
      </c>
      <c r="H226" s="409" t="b">
        <f>Wh_hp&gt;='2023'!Maxi_hp</f>
        <v>0</v>
      </c>
      <c r="I226" s="375">
        <f>IF(H226,Wh_hp,'2023'!Maxi_hp)</f>
        <v>234.06652052001985</v>
      </c>
      <c r="J226" s="85">
        <f>IF(H226,An,'2023'!An_max)</f>
        <v>2022</v>
      </c>
      <c r="K226" s="193">
        <f t="shared" si="79"/>
        <v>45503</v>
      </c>
      <c r="L226" s="143">
        <f>IF(t&lt;Tvie,1-EXP((T0-t)*PertePVj)+'2023'!Pspv,1-EXP((T0-t)*PertePVj)+Pspv)</f>
        <v>1.4662153252674726E-2</v>
      </c>
      <c r="M226" s="835"/>
      <c r="N226" s="835"/>
      <c r="O226" s="48">
        <f>IF(t&lt;Tnet,'2023'!Resal+('2023'!Salim-'2023'!Resal)*(1-EXP(('2023'!Tnet-t)/('2023'!Tau_j))),Resal+(Salim-Resal)*(1-EXP((Tnet-t)/(Tau_j))))*Salcycl</f>
        <v>1.7715374482964757E-2</v>
      </c>
      <c r="P226" s="165">
        <f>(INDEX(Models!$BJ226:$BT226,,T226)*(1-R226)+INDEX(Models!$BJ226:$BT226,,T226+1)*R226-ERP_i)*Q226*Ramure*Pc/MaxiM</f>
        <v>1.605021886020948E-4</v>
      </c>
      <c r="Q226" s="301">
        <f t="shared" si="80"/>
        <v>0.5</v>
      </c>
      <c r="R226" s="173">
        <f t="shared" si="81"/>
        <v>0.4348518618402375</v>
      </c>
      <c r="S226" s="801">
        <f t="shared" si="82"/>
        <v>1</v>
      </c>
      <c r="T226" s="172">
        <f t="shared" si="83"/>
        <v>7</v>
      </c>
      <c r="U226" s="247">
        <f t="shared" si="84"/>
        <v>1.4348518618402375</v>
      </c>
      <c r="V226" s="378">
        <f t="shared" si="85"/>
        <v>230.00300275318088</v>
      </c>
      <c r="W226" s="397">
        <f t="shared" si="86"/>
        <v>226.51269496295731</v>
      </c>
      <c r="X226" s="153">
        <f t="shared" si="87"/>
        <v>45503</v>
      </c>
      <c r="Y226" s="380">
        <f t="shared" si="88"/>
        <v>218.30203069928271</v>
      </c>
      <c r="Z226" s="380">
        <f t="shared" si="89"/>
        <v>221.55043716215124</v>
      </c>
      <c r="AA226" s="381">
        <f t="shared" si="90"/>
        <v>234.02919363249725</v>
      </c>
      <c r="AB226" s="193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5.3321366777607099E-2</v>
      </c>
      <c r="AD226" s="227">
        <f>(INDEX(Models!$BJ226:$BT226,,AH226)*(1-AF226)+INDEX(Models!$BJ226:$BT226,,AH226+1)*AF226-ERP_i)*AE226*Ramure*Pc/MaxiM</f>
        <v>1.605021886020948E-4</v>
      </c>
      <c r="AE226" s="301">
        <f t="shared" si="92"/>
        <v>0.5</v>
      </c>
      <c r="AF226" s="173">
        <f t="shared" si="93"/>
        <v>0.4348518618402375</v>
      </c>
      <c r="AG226" s="801">
        <f t="shared" si="99"/>
        <v>1</v>
      </c>
      <c r="AH226" s="172">
        <f t="shared" si="94"/>
        <v>7</v>
      </c>
      <c r="AI226" s="221">
        <f t="shared" si="95"/>
        <v>1.4348518618402375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customHeight="1" x14ac:dyDescent="0.2">
      <c r="A227" s="56">
        <f t="shared" si="98"/>
        <v>45504</v>
      </c>
      <c r="B227" s="406">
        <f>'2023'!Wh/'2023'!Env_an*'2024'!Env_an</f>
        <v>225.41075380603485</v>
      </c>
      <c r="C227" s="385"/>
      <c r="D227" s="388">
        <f t="shared" si="77"/>
        <v>228.76807206412732</v>
      </c>
      <c r="E227" s="380">
        <f t="shared" si="75"/>
        <v>232.91104103927353</v>
      </c>
      <c r="F227" s="380">
        <f t="shared" si="78"/>
        <v>232.94808162271281</v>
      </c>
      <c r="G227" s="110">
        <f t="shared" si="76"/>
        <v>0.98254371726951217</v>
      </c>
      <c r="H227" s="409" t="b">
        <f>Wh_hp&gt;='2023'!Maxi_hp</f>
        <v>0</v>
      </c>
      <c r="I227" s="375">
        <f>IF(H227,Wh_hp,'2023'!Maxi_hp)</f>
        <v>232.94874797360882</v>
      </c>
      <c r="J227" s="85">
        <f>IF(H227,An,'2023'!An_max)</f>
        <v>2022</v>
      </c>
      <c r="K227" s="193">
        <f t="shared" si="79"/>
        <v>45504</v>
      </c>
      <c r="L227" s="143">
        <f>IF(t&lt;Tvie,1-EXP((T0-t)*PertePVj)+'2023'!Pspv,1-EXP((T0-t)*PertePVj)+Pspv)</f>
        <v>1.4675641700347741E-2</v>
      </c>
      <c r="M227" s="835"/>
      <c r="N227" s="835"/>
      <c r="O227" s="48">
        <f>IF(t&lt;Tnet,'2023'!Resal+('2023'!Salim-'2023'!Resal)*(1-EXP(('2023'!Tnet-t)/('2023'!Tau_j))),Resal+(Salim-Resal)*(1-EXP((Tnet-t)/(Tau_j))))*Salcycl</f>
        <v>1.778777406455205E-2</v>
      </c>
      <c r="P227" s="165">
        <f>(INDEX(Models!$BJ227:$BT227,,T227)*(1-R227)+INDEX(Models!$BJ227:$BT227,,T227+1)*R227-ERP_i)*Q227*Ramure*Pc/MaxiM</f>
        <v>1.6307361732882216E-4</v>
      </c>
      <c r="Q227" s="301">
        <f t="shared" si="80"/>
        <v>0.5</v>
      </c>
      <c r="R227" s="173">
        <f t="shared" si="81"/>
        <v>0.43682691656890671</v>
      </c>
      <c r="S227" s="801">
        <f t="shared" si="82"/>
        <v>1</v>
      </c>
      <c r="T227" s="172">
        <f t="shared" si="83"/>
        <v>7</v>
      </c>
      <c r="U227" s="247">
        <f t="shared" si="84"/>
        <v>1.4368269165689067</v>
      </c>
      <c r="V227" s="378">
        <f t="shared" si="85"/>
        <v>229.41456267057922</v>
      </c>
      <c r="W227" s="397">
        <f t="shared" si="86"/>
        <v>225.41075380603485</v>
      </c>
      <c r="X227" s="153">
        <f t="shared" si="87"/>
        <v>45504</v>
      </c>
      <c r="Y227" s="380">
        <f t="shared" si="88"/>
        <v>217.24847158957897</v>
      </c>
      <c r="Z227" s="380">
        <f t="shared" si="89"/>
        <v>220.48421898802829</v>
      </c>
      <c r="AA227" s="381">
        <f t="shared" si="90"/>
        <v>232.91104103927353</v>
      </c>
      <c r="AB227" s="193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5.3354370818126357E-2</v>
      </c>
      <c r="AD227" s="227">
        <f>(INDEX(Models!$BJ227:$BT227,,AH227)*(1-AF227)+INDEX(Models!$BJ227:$BT227,,AH227+1)*AF227-ERP_i)*AE227*Ramure*Pc/MaxiM</f>
        <v>1.6307361732882216E-4</v>
      </c>
      <c r="AE227" s="301">
        <f t="shared" si="92"/>
        <v>0.5</v>
      </c>
      <c r="AF227" s="173">
        <f t="shared" si="93"/>
        <v>0.43682691656890671</v>
      </c>
      <c r="AG227" s="801">
        <f t="shared" si="99"/>
        <v>1</v>
      </c>
      <c r="AH227" s="172">
        <f t="shared" si="94"/>
        <v>7</v>
      </c>
      <c r="AI227" s="221">
        <f t="shared" si="95"/>
        <v>1.4368269165689067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customHeight="1" x14ac:dyDescent="0.2">
      <c r="A228" s="56">
        <f t="shared" si="98"/>
        <v>45505</v>
      </c>
      <c r="B228" s="406">
        <f>'2023'!Wh/'2023'!Env_an*'2024'!Env_an</f>
        <v>225.46627727077612</v>
      </c>
      <c r="C228" s="385"/>
      <c r="D228" s="388">
        <f t="shared" si="77"/>
        <v>228.82755496485626</v>
      </c>
      <c r="E228" s="380">
        <f t="shared" si="75"/>
        <v>232.98874379520541</v>
      </c>
      <c r="F228" s="380">
        <f t="shared" si="78"/>
        <v>233.02650805408871</v>
      </c>
      <c r="G228" s="110">
        <f t="shared" si="76"/>
        <v>0.98535544482670134</v>
      </c>
      <c r="H228" s="409" t="b">
        <f>Wh_hp&gt;='2023'!Maxi_hp</f>
        <v>0</v>
      </c>
      <c r="I228" s="375">
        <f>IF(H228,Wh_hp,'2023'!Maxi_hp)</f>
        <v>233.02707544021914</v>
      </c>
      <c r="J228" s="85">
        <f>IF(H228,An,'2023'!An_max)</f>
        <v>2022</v>
      </c>
      <c r="K228" s="193">
        <f t="shared" si="79"/>
        <v>45505</v>
      </c>
      <c r="L228" s="143">
        <f>IF(t&lt;Tvie,1-EXP((T0-t)*PertePVj)+'2023'!Pspv,1-EXP((T0-t)*PertePVj)+Pspv)</f>
        <v>1.4689129963375125E-2</v>
      </c>
      <c r="M228" s="835"/>
      <c r="N228" s="835"/>
      <c r="O228" s="48">
        <f>IF(t&lt;Tnet,'2023'!Resal+('2023'!Salim-'2023'!Resal)*(1-EXP(('2023'!Tnet-t)/('2023'!Tau_j))),Resal+(Salim-Resal)*(1-EXP((Tnet-t)/(Tau_j))))*Salcycl</f>
        <v>1.7860042346109162E-2</v>
      </c>
      <c r="P228" s="165">
        <f>(INDEX(Models!$BJ228:$BT228,,T228)*(1-R228)+INDEX(Models!$BJ228:$BT228,,T228+1)*R228-ERP_i)*Q228*Ramure*Pc/MaxiM</f>
        <v>1.655219711281703E-4</v>
      </c>
      <c r="Q228" s="301">
        <f t="shared" si="80"/>
        <v>0.5</v>
      </c>
      <c r="R228" s="173">
        <f t="shared" si="81"/>
        <v>0.43873896965354353</v>
      </c>
      <c r="S228" s="801">
        <f t="shared" si="82"/>
        <v>1</v>
      </c>
      <c r="T228" s="172">
        <f t="shared" si="83"/>
        <v>7</v>
      </c>
      <c r="U228" s="247">
        <f t="shared" si="84"/>
        <v>1.4387389696535435</v>
      </c>
      <c r="V228" s="378">
        <f t="shared" si="85"/>
        <v>228.8164111273644</v>
      </c>
      <c r="W228" s="397">
        <f t="shared" si="86"/>
        <v>225.46627727077612</v>
      </c>
      <c r="X228" s="153">
        <f t="shared" si="87"/>
        <v>45505</v>
      </c>
      <c r="Y228" s="380">
        <f t="shared" si="88"/>
        <v>217.31044055533795</v>
      </c>
      <c r="Z228" s="380">
        <f t="shared" si="89"/>
        <v>220.55013007951524</v>
      </c>
      <c r="AA228" s="381">
        <f t="shared" si="90"/>
        <v>232.98874379520541</v>
      </c>
      <c r="AB228" s="193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5.3387187351091804E-2</v>
      </c>
      <c r="AD228" s="227">
        <f>(INDEX(Models!$BJ228:$BT228,,AH228)*(1-AF228)+INDEX(Models!$BJ228:$BT228,,AH228+1)*AF228-ERP_i)*AE228*Ramure*Pc/MaxiM</f>
        <v>1.655219711281703E-4</v>
      </c>
      <c r="AE228" s="301">
        <f t="shared" si="92"/>
        <v>0.5</v>
      </c>
      <c r="AF228" s="173">
        <f t="shared" si="93"/>
        <v>0.43873896965354353</v>
      </c>
      <c r="AG228" s="801">
        <f t="shared" si="99"/>
        <v>1</v>
      </c>
      <c r="AH228" s="172">
        <f t="shared" si="94"/>
        <v>7</v>
      </c>
      <c r="AI228" s="221">
        <f t="shared" si="95"/>
        <v>1.4387389696535435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customHeight="1" x14ac:dyDescent="0.2">
      <c r="A229" s="56">
        <f t="shared" si="98"/>
        <v>45506</v>
      </c>
      <c r="B229" s="406">
        <f>'2023'!Wh/'2023'!Env_an*'2024'!Env_an</f>
        <v>214.07242223066223</v>
      </c>
      <c r="C229" s="385"/>
      <c r="D229" s="388">
        <f t="shared" si="77"/>
        <v>217.26681319826668</v>
      </c>
      <c r="E229" s="380">
        <f t="shared" si="75"/>
        <v>221.23402180438291</v>
      </c>
      <c r="F229" s="380">
        <f t="shared" si="78"/>
        <v>221.2678742380707</v>
      </c>
      <c r="G229" s="110">
        <f t="shared" si="76"/>
        <v>0.9380421636217886</v>
      </c>
      <c r="H229" s="409" t="b">
        <f>Wh_hp&gt;='2023'!Maxi_hp</f>
        <v>0</v>
      </c>
      <c r="I229" s="375">
        <f>IF(H229,Wh_hp,'2023'!Maxi_hp)</f>
        <v>221.2701847087576</v>
      </c>
      <c r="J229" s="85">
        <f>IF(H229,An,'2023'!An_max)</f>
        <v>2022</v>
      </c>
      <c r="K229" s="193">
        <f t="shared" si="79"/>
        <v>45506</v>
      </c>
      <c r="L229" s="143">
        <f>IF(t&lt;Tvie,1-EXP((T0-t)*PertePVj)+'2023'!Pspv,1-EXP((T0-t)*PertePVj)+Pspv)</f>
        <v>1.4702618041759541E-2</v>
      </c>
      <c r="M229" s="835"/>
      <c r="N229" s="835"/>
      <c r="O229" s="48">
        <f>IF(t&lt;Tnet,'2023'!Resal+('2023'!Salim-'2023'!Resal)*(1-EXP(('2023'!Tnet-t)/('2023'!Tau_j))),Resal+(Salim-Resal)*(1-EXP((Tnet-t)/(Tau_j))))*Salcycl</f>
        <v>1.7932181378613115E-2</v>
      </c>
      <c r="P229" s="165">
        <f>(INDEX(Models!$BJ229:$BT229,,T229)*(1-R229)+INDEX(Models!$BJ229:$BT229,,T229+1)*R229-ERP_i)*Q229*Ramure*Pc/MaxiM</f>
        <v>1.6784588892468415E-4</v>
      </c>
      <c r="Q229" s="301">
        <f t="shared" si="80"/>
        <v>0.5</v>
      </c>
      <c r="R229" s="173">
        <f t="shared" si="81"/>
        <v>0.44058944997626659</v>
      </c>
      <c r="S229" s="801">
        <f t="shared" si="82"/>
        <v>1</v>
      </c>
      <c r="T229" s="172">
        <f t="shared" si="83"/>
        <v>7</v>
      </c>
      <c r="U229" s="247">
        <f t="shared" si="84"/>
        <v>1.4405894499762666</v>
      </c>
      <c r="V229" s="378">
        <f t="shared" si="85"/>
        <v>228.208550158956</v>
      </c>
      <c r="W229" s="397">
        <f t="shared" si="86"/>
        <v>214.07242223066223</v>
      </c>
      <c r="X229" s="153">
        <f t="shared" si="87"/>
        <v>45506</v>
      </c>
      <c r="Y229" s="380">
        <f t="shared" si="88"/>
        <v>206.33677971434776</v>
      </c>
      <c r="Z229" s="380">
        <f t="shared" si="89"/>
        <v>209.41573934182327</v>
      </c>
      <c r="AA229" s="381">
        <f t="shared" si="90"/>
        <v>221.23402180438291</v>
      </c>
      <c r="AB229" s="193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5.3419823796402623E-2</v>
      </c>
      <c r="AD229" s="227">
        <f>(INDEX(Models!$BJ229:$BT229,,AH229)*(1-AF229)+INDEX(Models!$BJ229:$BT229,,AH229+1)*AF229-ERP_i)*AE229*Ramure*Pc/MaxiM</f>
        <v>1.6784588892468415E-4</v>
      </c>
      <c r="AE229" s="301">
        <f t="shared" si="92"/>
        <v>0.5</v>
      </c>
      <c r="AF229" s="173">
        <f t="shared" si="93"/>
        <v>0.44058944997626659</v>
      </c>
      <c r="AG229" s="801">
        <f t="shared" si="99"/>
        <v>1</v>
      </c>
      <c r="AH229" s="172">
        <f t="shared" si="94"/>
        <v>7</v>
      </c>
      <c r="AI229" s="221">
        <f t="shared" si="95"/>
        <v>1.4405894499762666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customHeight="1" x14ac:dyDescent="0.2">
      <c r="A230" s="56">
        <f t="shared" si="98"/>
        <v>45507</v>
      </c>
      <c r="B230" s="406">
        <f>'2023'!Wh/'2023'!Env_an*'2024'!Env_an</f>
        <v>203.1527001138825</v>
      </c>
      <c r="C230" s="385"/>
      <c r="D230" s="388">
        <f t="shared" si="77"/>
        <v>206.18696939806486</v>
      </c>
      <c r="E230" s="380">
        <f t="shared" si="75"/>
        <v>209.96726044532662</v>
      </c>
      <c r="F230" s="380">
        <f t="shared" si="78"/>
        <v>209.99749162653168</v>
      </c>
      <c r="G230" s="110">
        <f t="shared" si="76"/>
        <v>0.89259863719480181</v>
      </c>
      <c r="H230" s="409" t="b">
        <f>Wh_hp&gt;='2023'!Maxi_hp</f>
        <v>0</v>
      </c>
      <c r="I230" s="375">
        <f>IF(H230,Wh_hp,'2023'!Maxi_hp)</f>
        <v>210.00134100981151</v>
      </c>
      <c r="J230" s="85">
        <f>IF(H230,An,'2023'!An_max)</f>
        <v>2022</v>
      </c>
      <c r="K230" s="193">
        <f t="shared" si="79"/>
        <v>45507</v>
      </c>
      <c r="L230" s="143">
        <f>IF(t&lt;Tvie,1-EXP((T0-t)*PertePVj)+'2023'!Pspv,1-EXP((T0-t)*PertePVj)+Pspv)</f>
        <v>1.4716105935503543E-2</v>
      </c>
      <c r="M230" s="835"/>
      <c r="N230" s="835"/>
      <c r="O230" s="48">
        <f>IF(t&lt;Tnet,'2023'!Resal+('2023'!Salim-'2023'!Resal)*(1-EXP(('2023'!Tnet-t)/('2023'!Tau_j))),Resal+(Salim-Resal)*(1-EXP((Tnet-t)/(Tau_j))))*Salcycl</f>
        <v>1.8004192840560058E-2</v>
      </c>
      <c r="P230" s="165">
        <f>(INDEX(Models!$BJ230:$BT230,,T230)*(1-R230)+INDEX(Models!$BJ230:$BT230,,T230+1)*R230-ERP_i)*Q230*Ramure*Pc/MaxiM</f>
        <v>1.7004400888125242E-4</v>
      </c>
      <c r="Q230" s="301">
        <f t="shared" si="80"/>
        <v>0.5</v>
      </c>
      <c r="R230" s="173">
        <f t="shared" si="81"/>
        <v>0.44237979651094328</v>
      </c>
      <c r="S230" s="801">
        <f t="shared" si="82"/>
        <v>1</v>
      </c>
      <c r="T230" s="172">
        <f t="shared" si="83"/>
        <v>7</v>
      </c>
      <c r="U230" s="247">
        <f t="shared" si="84"/>
        <v>1.4423797965109433</v>
      </c>
      <c r="V230" s="378">
        <f t="shared" si="85"/>
        <v>227.59098187367999</v>
      </c>
      <c r="W230" s="397">
        <f t="shared" si="86"/>
        <v>203.1527001138825</v>
      </c>
      <c r="X230" s="153">
        <f t="shared" si="87"/>
        <v>45507</v>
      </c>
      <c r="Y230" s="380">
        <f t="shared" si="88"/>
        <v>195.81929210942758</v>
      </c>
      <c r="Z230" s="380">
        <f t="shared" si="89"/>
        <v>198.74403031357102</v>
      </c>
      <c r="AA230" s="381">
        <f t="shared" si="90"/>
        <v>209.96726044532662</v>
      </c>
      <c r="AB230" s="193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5.345228636098729E-2</v>
      </c>
      <c r="AD230" s="227">
        <f>(INDEX(Models!$BJ230:$BT230,,AH230)*(1-AF230)+INDEX(Models!$BJ230:$BT230,,AH230+1)*AF230-ERP_i)*AE230*Ramure*Pc/MaxiM</f>
        <v>1.7004400888125242E-4</v>
      </c>
      <c r="AE230" s="301">
        <f t="shared" si="92"/>
        <v>0.5</v>
      </c>
      <c r="AF230" s="173">
        <f t="shared" si="93"/>
        <v>0.44237979651094328</v>
      </c>
      <c r="AG230" s="801">
        <f t="shared" si="99"/>
        <v>1</v>
      </c>
      <c r="AH230" s="172">
        <f t="shared" si="94"/>
        <v>7</v>
      </c>
      <c r="AI230" s="221">
        <f t="shared" si="95"/>
        <v>1.4423797965109433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customHeight="1" x14ac:dyDescent="0.2">
      <c r="A231" s="56">
        <f t="shared" si="98"/>
        <v>45508</v>
      </c>
      <c r="B231" s="406">
        <f>'2023'!Wh/'2023'!Env_an*'2024'!Env_an</f>
        <v>189.01614148576442</v>
      </c>
      <c r="C231" s="385"/>
      <c r="D231" s="388">
        <f t="shared" si="77"/>
        <v>191.84189463779106</v>
      </c>
      <c r="E231" s="380">
        <f t="shared" si="75"/>
        <v>195.37348092670138</v>
      </c>
      <c r="F231" s="380">
        <f t="shared" si="78"/>
        <v>195.39907916433526</v>
      </c>
      <c r="G231" s="110">
        <f t="shared" si="76"/>
        <v>0.83276912992207586</v>
      </c>
      <c r="H231" s="409" t="b">
        <f>Wh_hp&gt;='2023'!Maxi_hp</f>
        <v>0</v>
      </c>
      <c r="I231" s="375">
        <f>IF(H231,Wh_hp,'2023'!Maxi_hp)</f>
        <v>195.40472194340191</v>
      </c>
      <c r="J231" s="85">
        <f>IF(H231,An,'2023'!An_max)</f>
        <v>2022</v>
      </c>
      <c r="K231" s="193">
        <f t="shared" si="79"/>
        <v>45508</v>
      </c>
      <c r="L231" s="143">
        <f>IF(t&lt;Tvie,1-EXP((T0-t)*PertePVj)+'2023'!Pspv,1-EXP((T0-t)*PertePVj)+Pspv)</f>
        <v>1.4729593644609462E-2</v>
      </c>
      <c r="M231" s="835"/>
      <c r="N231" s="835"/>
      <c r="O231" s="48">
        <f>IF(t&lt;Tnet,'2023'!Resal+('2023'!Salim-'2023'!Resal)*(1-EXP(('2023'!Tnet-t)/('2023'!Tau_j))),Resal+(Salim-Resal)*(1-EXP((Tnet-t)/(Tau_j))))*Salcycl</f>
        <v>1.8076078043750846E-2</v>
      </c>
      <c r="P231" s="165">
        <f>(INDEX(Models!$BJ231:$BT231,,T231)*(1-R231)+INDEX(Models!$BJ231:$BT231,,T231+1)*R231-ERP_i)*Q231*Ramure*Pc/MaxiM</f>
        <v>1.7211496376484024E-4</v>
      </c>
      <c r="Q231" s="301">
        <f t="shared" si="80"/>
        <v>0.5</v>
      </c>
      <c r="R231" s="173">
        <f t="shared" si="81"/>
        <v>0.44411145448458567</v>
      </c>
      <c r="S231" s="801">
        <f t="shared" si="82"/>
        <v>1</v>
      </c>
      <c r="T231" s="172">
        <f t="shared" si="83"/>
        <v>7</v>
      </c>
      <c r="U231" s="247">
        <f t="shared" si="84"/>
        <v>1.4441114544845857</v>
      </c>
      <c r="V231" s="378">
        <f t="shared" si="85"/>
        <v>226.96370844161865</v>
      </c>
      <c r="W231" s="397">
        <f t="shared" si="86"/>
        <v>189.01614148576442</v>
      </c>
      <c r="X231" s="153">
        <f t="shared" si="87"/>
        <v>45508</v>
      </c>
      <c r="Y231" s="380">
        <f t="shared" si="88"/>
        <v>182.20015678423619</v>
      </c>
      <c r="Z231" s="380">
        <f t="shared" si="89"/>
        <v>184.92401234115209</v>
      </c>
      <c r="AA231" s="381">
        <f t="shared" si="90"/>
        <v>195.37348092670138</v>
      </c>
      <c r="AB231" s="193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5.3484580077014801E-2</v>
      </c>
      <c r="AD231" s="227">
        <f>(INDEX(Models!$BJ231:$BT231,,AH231)*(1-AF231)+INDEX(Models!$BJ231:$BT231,,AH231+1)*AF231-ERP_i)*AE231*Ramure*Pc/MaxiM</f>
        <v>1.7211496376484024E-4</v>
      </c>
      <c r="AE231" s="301">
        <f t="shared" si="92"/>
        <v>0.5</v>
      </c>
      <c r="AF231" s="173">
        <f t="shared" si="93"/>
        <v>0.44411145448458567</v>
      </c>
      <c r="AG231" s="801">
        <f t="shared" si="99"/>
        <v>1</v>
      </c>
      <c r="AH231" s="172">
        <f t="shared" si="94"/>
        <v>7</v>
      </c>
      <c r="AI231" s="221">
        <f t="shared" si="95"/>
        <v>1.4441114544845857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customHeight="1" x14ac:dyDescent="0.2">
      <c r="A232" s="56">
        <f t="shared" si="98"/>
        <v>45509</v>
      </c>
      <c r="B232" s="406">
        <f>'2023'!Wh/'2023'!Env_an*'2024'!Env_an</f>
        <v>202.73630882461572</v>
      </c>
      <c r="C232" s="385"/>
      <c r="D232" s="388">
        <f t="shared" si="77"/>
        <v>205.76999252659633</v>
      </c>
      <c r="E232" s="380">
        <f t="shared" si="75"/>
        <v>209.57329471593624</v>
      </c>
      <c r="F232" s="380">
        <f t="shared" si="78"/>
        <v>209.6043454632445</v>
      </c>
      <c r="G232" s="110">
        <f t="shared" si="76"/>
        <v>0.89574506607083315</v>
      </c>
      <c r="H232" s="409" t="b">
        <f>Wh_hp&gt;='2023'!Maxi_hp</f>
        <v>0</v>
      </c>
      <c r="I232" s="375">
        <f>IF(H232,Wh_hp,'2023'!Maxi_hp)</f>
        <v>209.60816001041005</v>
      </c>
      <c r="J232" s="85">
        <f>IF(H232,An,'2023'!An_max)</f>
        <v>2022</v>
      </c>
      <c r="K232" s="193">
        <f t="shared" si="79"/>
        <v>45509</v>
      </c>
      <c r="L232" s="143">
        <f>IF(t&lt;Tvie,1-EXP((T0-t)*PertePVj)+'2023'!Pspv,1-EXP((T0-t)*PertePVj)+Pspv)</f>
        <v>1.4743081169080074E-2</v>
      </c>
      <c r="M232" s="835"/>
      <c r="N232" s="835"/>
      <c r="O232" s="48">
        <f>IF(t&lt;Tnet,'2023'!Resal+('2023'!Salim-'2023'!Resal)*(1-EXP(('2023'!Tnet-t)/('2023'!Tau_j))),Resal+(Salim-Resal)*(1-EXP((Tnet-t)/(Tau_j))))*Salcycl</f>
        <v>1.8147837941351594E-2</v>
      </c>
      <c r="P232" s="165">
        <f>(INDEX(Models!$BJ232:$BT232,,T232)*(1-R232)+INDEX(Models!$BJ232:$BT232,,T232+1)*R232-ERP_i)*Q232*Ramure*Pc/MaxiM</f>
        <v>1.7405737680500989E-4</v>
      </c>
      <c r="Q232" s="301">
        <f t="shared" si="80"/>
        <v>0.5</v>
      </c>
      <c r="R232" s="173">
        <f t="shared" si="81"/>
        <v>0.44578587179411722</v>
      </c>
      <c r="S232" s="801">
        <f t="shared" si="82"/>
        <v>1</v>
      </c>
      <c r="T232" s="172">
        <f t="shared" si="83"/>
        <v>7</v>
      </c>
      <c r="U232" s="247">
        <f t="shared" si="84"/>
        <v>1.4457858717941172</v>
      </c>
      <c r="V232" s="378">
        <f t="shared" si="85"/>
        <v>226.32673211695538</v>
      </c>
      <c r="W232" s="397">
        <f t="shared" si="86"/>
        <v>202.73630882461572</v>
      </c>
      <c r="X232" s="153">
        <f t="shared" si="87"/>
        <v>45509</v>
      </c>
      <c r="Y232" s="380">
        <f t="shared" si="88"/>
        <v>195.43321920321327</v>
      </c>
      <c r="Z232" s="380">
        <f t="shared" si="89"/>
        <v>198.35762172074794</v>
      </c>
      <c r="AA232" s="381">
        <f t="shared" si="90"/>
        <v>209.57329471593624</v>
      </c>
      <c r="AB232" s="193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5.3516708845897841E-2</v>
      </c>
      <c r="AD232" s="227">
        <f>(INDEX(Models!$BJ232:$BT232,,AH232)*(1-AF232)+INDEX(Models!$BJ232:$BT232,,AH232+1)*AF232-ERP_i)*AE232*Ramure*Pc/MaxiM</f>
        <v>1.7405737680500989E-4</v>
      </c>
      <c r="AE232" s="301">
        <f t="shared" si="92"/>
        <v>0.5</v>
      </c>
      <c r="AF232" s="173">
        <f t="shared" si="93"/>
        <v>0.44578587179411722</v>
      </c>
      <c r="AG232" s="801">
        <f t="shared" si="99"/>
        <v>1</v>
      </c>
      <c r="AH232" s="172">
        <f t="shared" si="94"/>
        <v>7</v>
      </c>
      <c r="AI232" s="221">
        <f t="shared" si="95"/>
        <v>1.4457858717941172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customHeight="1" x14ac:dyDescent="0.2">
      <c r="A233" s="56">
        <f t="shared" si="98"/>
        <v>45510</v>
      </c>
      <c r="B233" s="406">
        <f>'2023'!Wh/'2023'!Env_an*'2024'!Env_an</f>
        <v>216.65402513567855</v>
      </c>
      <c r="C233" s="385"/>
      <c r="D233" s="388">
        <f t="shared" si="77"/>
        <v>219.89897949158728</v>
      </c>
      <c r="E233" s="380">
        <f t="shared" ref="E233:E296" si="100">Wh_pvt/(1-Psa)</f>
        <v>223.97977294827021</v>
      </c>
      <c r="F233" s="380">
        <f t="shared" si="78"/>
        <v>224.01691929735171</v>
      </c>
      <c r="G233" s="110">
        <f t="shared" ref="G233:G296" si="101">+Wh_hp/MaxiM</f>
        <v>0.95999067116803793</v>
      </c>
      <c r="H233" s="409" t="b">
        <f>Wh_hp&gt;='2023'!Maxi_hp</f>
        <v>0</v>
      </c>
      <c r="I233" s="375">
        <f>IF(H233,Wh_hp,'2023'!Maxi_hp)</f>
        <v>224.01849945723848</v>
      </c>
      <c r="J233" s="85">
        <f>IF(H233,An,'2023'!An_max)</f>
        <v>2022</v>
      </c>
      <c r="K233" s="193">
        <f t="shared" si="79"/>
        <v>45510</v>
      </c>
      <c r="L233" s="143">
        <f>IF(t&lt;Tvie,1-EXP((T0-t)*PertePVj)+'2023'!Pspv,1-EXP((T0-t)*PertePVj)+Pspv)</f>
        <v>1.4756568508917822E-2</v>
      </c>
      <c r="M233" s="835"/>
      <c r="N233" s="835"/>
      <c r="O233" s="48">
        <f>IF(t&lt;Tnet,'2023'!Resal+('2023'!Salim-'2023'!Resal)*(1-EXP(('2023'!Tnet-t)/('2023'!Tau_j))),Resal+(Salim-Resal)*(1-EXP((Tnet-t)/(Tau_j))))*Salcycl</f>
        <v>1.8219473137984776E-2</v>
      </c>
      <c r="P233" s="165">
        <f>(INDEX(Models!$BJ233:$BT233,,T233)*(1-R233)+INDEX(Models!$BJ233:$BT233,,T233+1)*R233-ERP_i)*Q233*Ramure*Pc/MaxiM</f>
        <v>1.7586896545690475E-4</v>
      </c>
      <c r="Q233" s="301">
        <f t="shared" si="80"/>
        <v>0.5</v>
      </c>
      <c r="R233" s="173">
        <f t="shared" si="81"/>
        <v>0.44740449567368068</v>
      </c>
      <c r="S233" s="801">
        <f t="shared" si="82"/>
        <v>1</v>
      </c>
      <c r="T233" s="172">
        <f t="shared" si="83"/>
        <v>7</v>
      </c>
      <c r="U233" s="247">
        <f t="shared" si="84"/>
        <v>1.4474044956736807</v>
      </c>
      <c r="V233" s="378">
        <f t="shared" si="85"/>
        <v>225.68120087060186</v>
      </c>
      <c r="W233" s="397">
        <f t="shared" si="86"/>
        <v>216.65402513567855</v>
      </c>
      <c r="X233" s="153">
        <f t="shared" si="87"/>
        <v>45510</v>
      </c>
      <c r="Y233" s="380">
        <f t="shared" si="88"/>
        <v>208.85776753596437</v>
      </c>
      <c r="Z233" s="380">
        <f t="shared" si="89"/>
        <v>211.98595277095723</v>
      </c>
      <c r="AA233" s="381">
        <f t="shared" si="90"/>
        <v>223.97977294827021</v>
      </c>
      <c r="AB233" s="193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5.3548675487241598E-2</v>
      </c>
      <c r="AD233" s="227">
        <f>(INDEX(Models!$BJ233:$BT233,,AH233)*(1-AF233)+INDEX(Models!$BJ233:$BT233,,AH233+1)*AF233-ERP_i)*AE233*Ramure*Pc/MaxiM</f>
        <v>1.7586896545690475E-4</v>
      </c>
      <c r="AE233" s="301">
        <f t="shared" si="92"/>
        <v>0.5</v>
      </c>
      <c r="AF233" s="173">
        <f t="shared" si="93"/>
        <v>0.44740449567368068</v>
      </c>
      <c r="AG233" s="801">
        <f t="shared" si="99"/>
        <v>1</v>
      </c>
      <c r="AH233" s="172">
        <f t="shared" si="94"/>
        <v>7</v>
      </c>
      <c r="AI233" s="221">
        <f t="shared" si="95"/>
        <v>1.4474044956736807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customHeight="1" x14ac:dyDescent="0.2">
      <c r="A234" s="56">
        <f t="shared" si="98"/>
        <v>45511</v>
      </c>
      <c r="B234" s="406">
        <f>'2023'!Wh/'2023'!Env_an*'2024'!Env_an</f>
        <v>220.45133185670969</v>
      </c>
      <c r="C234" s="385"/>
      <c r="D234" s="388">
        <f t="shared" si="77"/>
        <v>223.75622373649213</v>
      </c>
      <c r="E234" s="380">
        <f t="shared" si="100"/>
        <v>227.92519989860392</v>
      </c>
      <c r="F234" s="380">
        <f t="shared" si="78"/>
        <v>227.9645005355961</v>
      </c>
      <c r="G234" s="110">
        <f t="shared" si="101"/>
        <v>0.97965713029782586</v>
      </c>
      <c r="H234" s="409" t="b">
        <f>Wh_hp&gt;='2023'!Maxi_hp</f>
        <v>0</v>
      </c>
      <c r="I234" s="375">
        <f>IF(H234,Wh_hp,'2023'!Maxi_hp)</f>
        <v>227.96532559207185</v>
      </c>
      <c r="J234" s="85">
        <f>IF(H234,An,'2023'!An_max)</f>
        <v>2022</v>
      </c>
      <c r="K234" s="193">
        <f t="shared" si="79"/>
        <v>45511</v>
      </c>
      <c r="L234" s="143">
        <f>IF(t&lt;Tvie,1-EXP((T0-t)*PertePVj)+'2023'!Pspv,1-EXP((T0-t)*PertePVj)+Pspv)</f>
        <v>1.4770055664125259E-2</v>
      </c>
      <c r="M234" s="835"/>
      <c r="N234" s="835"/>
      <c r="O234" s="48">
        <f>IF(t&lt;Tnet,'2023'!Resal+('2023'!Salim-'2023'!Resal)*(1-EXP(('2023'!Tnet-t)/('2023'!Tau_j))),Resal+(Salim-Resal)*(1-EXP((Tnet-t)/(Tau_j))))*Salcycl</f>
        <v>1.8290983901588915E-2</v>
      </c>
      <c r="P234" s="165">
        <f>(INDEX(Models!$BJ234:$BT234,,T234)*(1-R234)+INDEX(Models!$BJ234:$BT234,,T234+1)*R234-ERP_i)*Q234*Ramure*Pc/MaxiM</f>
        <v>1.7755679611436277E-4</v>
      </c>
      <c r="Q234" s="301">
        <f t="shared" si="80"/>
        <v>0.5</v>
      </c>
      <c r="R234" s="173">
        <f t="shared" si="81"/>
        <v>0.44896876960660226</v>
      </c>
      <c r="S234" s="801">
        <f t="shared" si="82"/>
        <v>1</v>
      </c>
      <c r="T234" s="172">
        <f t="shared" si="83"/>
        <v>7</v>
      </c>
      <c r="U234" s="247">
        <f t="shared" si="84"/>
        <v>1.4489687696066023</v>
      </c>
      <c r="V234" s="378">
        <f t="shared" si="85"/>
        <v>225.02790781783233</v>
      </c>
      <c r="W234" s="397">
        <f t="shared" si="86"/>
        <v>220.45133185670969</v>
      </c>
      <c r="X234" s="153">
        <f t="shared" si="87"/>
        <v>45511</v>
      </c>
      <c r="Y234" s="380">
        <f t="shared" si="88"/>
        <v>212.52676695724062</v>
      </c>
      <c r="Z234" s="380">
        <f t="shared" si="89"/>
        <v>215.71285787552975</v>
      </c>
      <c r="AA234" s="381">
        <f t="shared" si="90"/>
        <v>227.92519989860392</v>
      </c>
      <c r="AB234" s="193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5.3580481791864219E-2</v>
      </c>
      <c r="AD234" s="227">
        <f>(INDEX(Models!$BJ234:$BT234,,AH234)*(1-AF234)+INDEX(Models!$BJ234:$BT234,,AH234+1)*AF234-ERP_i)*AE234*Ramure*Pc/MaxiM</f>
        <v>1.7755679611436277E-4</v>
      </c>
      <c r="AE234" s="301">
        <f t="shared" si="92"/>
        <v>0.5</v>
      </c>
      <c r="AF234" s="173">
        <f t="shared" si="93"/>
        <v>0.44896876960660226</v>
      </c>
      <c r="AG234" s="801">
        <f t="shared" si="99"/>
        <v>1</v>
      </c>
      <c r="AH234" s="172">
        <f t="shared" si="94"/>
        <v>7</v>
      </c>
      <c r="AI234" s="221">
        <f t="shared" si="95"/>
        <v>1.4489687696066023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customHeight="1" x14ac:dyDescent="0.2">
      <c r="A235" s="56">
        <f t="shared" si="98"/>
        <v>45512</v>
      </c>
      <c r="B235" s="406">
        <f>'2023'!Wh/'2023'!Env_an*'2024'!Env_an</f>
        <v>210.09677911518042</v>
      </c>
      <c r="C235" s="385"/>
      <c r="D235" s="388">
        <f t="shared" si="77"/>
        <v>213.24936012237302</v>
      </c>
      <c r="E235" s="380">
        <f t="shared" si="100"/>
        <v>217.23837151676258</v>
      </c>
      <c r="F235" s="380">
        <f t="shared" si="78"/>
        <v>217.27377528287079</v>
      </c>
      <c r="G235" s="110">
        <f t="shared" si="101"/>
        <v>0.93638552585361234</v>
      </c>
      <c r="H235" s="409" t="b">
        <f>Wh_hp&gt;='2023'!Maxi_hp</f>
        <v>0</v>
      </c>
      <c r="I235" s="375">
        <f>IF(H235,Wh_hp,'2023'!Maxi_hp)</f>
        <v>217.27625624973561</v>
      </c>
      <c r="J235" s="85">
        <f>IF(H235,An,'2023'!An_max)</f>
        <v>2022</v>
      </c>
      <c r="K235" s="193">
        <f t="shared" si="79"/>
        <v>45512</v>
      </c>
      <c r="L235" s="143">
        <f>IF(t&lt;Tvie,1-EXP((T0-t)*PertePVj)+'2023'!Pspv,1-EXP((T0-t)*PertePVj)+Pspv)</f>
        <v>1.4783542634704716E-2</v>
      </c>
      <c r="M235" s="835"/>
      <c r="N235" s="835"/>
      <c r="O235" s="48">
        <f>IF(t&lt;Tnet,'2023'!Resal+('2023'!Salim-'2023'!Resal)*(1-EXP(('2023'!Tnet-t)/('2023'!Tau_j))),Resal+(Salim-Resal)*(1-EXP((Tnet-t)/(Tau_j))))*Salcycl</f>
        <v>1.8362370176770389E-2</v>
      </c>
      <c r="P235" s="165">
        <f>(INDEX(Models!$BJ235:$BT235,,T235)*(1-R235)+INDEX(Models!$BJ235:$BT235,,T235+1)*R235-ERP_i)*Q235*Ramure*Pc/MaxiM</f>
        <v>1.792294992111973E-4</v>
      </c>
      <c r="Q235" s="301">
        <f t="shared" si="80"/>
        <v>0.5</v>
      </c>
      <c r="R235" s="173">
        <f t="shared" si="81"/>
        <v>0.45048013047523061</v>
      </c>
      <c r="S235" s="801">
        <f t="shared" si="82"/>
        <v>1</v>
      </c>
      <c r="T235" s="172">
        <f t="shared" si="83"/>
        <v>7</v>
      </c>
      <c r="U235" s="247">
        <f t="shared" si="84"/>
        <v>1.4504801304752306</v>
      </c>
      <c r="V235" s="378">
        <f t="shared" si="85"/>
        <v>224.366301618188</v>
      </c>
      <c r="W235" s="397">
        <f t="shared" si="86"/>
        <v>210.09677911518042</v>
      </c>
      <c r="X235" s="153">
        <f t="shared" si="87"/>
        <v>45512</v>
      </c>
      <c r="Y235" s="380">
        <f t="shared" si="88"/>
        <v>202.55238546146575</v>
      </c>
      <c r="Z235" s="380">
        <f t="shared" si="89"/>
        <v>205.59176001093132</v>
      </c>
      <c r="AA235" s="381">
        <f t="shared" si="90"/>
        <v>217.23837151676258</v>
      </c>
      <c r="AB235" s="193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5.3612128577996569E-2</v>
      </c>
      <c r="AD235" s="227">
        <f>(INDEX(Models!$BJ235:$BT235,,AH235)*(1-AF235)+INDEX(Models!$BJ235:$BT235,,AH235+1)*AF235-ERP_i)*AE235*Ramure*Pc/MaxiM</f>
        <v>1.792294992111973E-4</v>
      </c>
      <c r="AE235" s="301">
        <f t="shared" si="92"/>
        <v>0.5</v>
      </c>
      <c r="AF235" s="173">
        <f t="shared" si="93"/>
        <v>0.45048013047523061</v>
      </c>
      <c r="AG235" s="801">
        <f t="shared" si="99"/>
        <v>1</v>
      </c>
      <c r="AH235" s="172">
        <f t="shared" si="94"/>
        <v>7</v>
      </c>
      <c r="AI235" s="221">
        <f t="shared" si="95"/>
        <v>1.4504801304752306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customHeight="1" x14ac:dyDescent="0.2">
      <c r="A236" s="56">
        <f t="shared" si="98"/>
        <v>45513</v>
      </c>
      <c r="B236" s="406">
        <f>'2023'!Wh/'2023'!Env_an*'2024'!Env_an</f>
        <v>204.2332253025819</v>
      </c>
      <c r="C236" s="385"/>
      <c r="D236" s="388">
        <f t="shared" si="77"/>
        <v>207.30065925652266</v>
      </c>
      <c r="E236" s="380">
        <f t="shared" si="100"/>
        <v>211.19372660892759</v>
      </c>
      <c r="F236" s="380">
        <f t="shared" si="78"/>
        <v>211.22718589754319</v>
      </c>
      <c r="G236" s="110">
        <f t="shared" si="101"/>
        <v>0.91297459282202031</v>
      </c>
      <c r="H236" s="409" t="b">
        <f>Wh_hp&gt;='2023'!Maxi_hp</f>
        <v>0</v>
      </c>
      <c r="I236" s="375">
        <f>IF(H236,Wh_hp,'2023'!Maxi_hp)</f>
        <v>211.23051410692491</v>
      </c>
      <c r="J236" s="85">
        <f>IF(H236,An,'2023'!An_max)</f>
        <v>2022</v>
      </c>
      <c r="K236" s="193">
        <f t="shared" si="79"/>
        <v>45513</v>
      </c>
      <c r="L236" s="143">
        <f>IF(t&lt;Tvie,1-EXP((T0-t)*PertePVj)+'2023'!Pspv,1-EXP((T0-t)*PertePVj)+Pspv)</f>
        <v>1.4797029420658969E-2</v>
      </c>
      <c r="M236" s="835"/>
      <c r="N236" s="835"/>
      <c r="O236" s="48">
        <f>IF(t&lt;Tnet,'2023'!Resal+('2023'!Salim-'2023'!Resal)*(1-EXP(('2023'!Tnet-t)/('2023'!Tau_j))),Resal+(Salim-Resal)*(1-EXP((Tnet-t)/(Tau_j))))*Salcycl</f>
        <v>1.8433631599360109E-2</v>
      </c>
      <c r="P236" s="165">
        <f>(INDEX(Models!$BJ236:$BT236,,T236)*(1-R236)+INDEX(Models!$BJ236:$BT236,,T236+1)*R236-ERP_i)*Q236*Ramure*Pc/MaxiM</f>
        <v>1.8088723103896123E-4</v>
      </c>
      <c r="Q236" s="301">
        <f t="shared" si="80"/>
        <v>0.5</v>
      </c>
      <c r="R236" s="173">
        <f t="shared" si="81"/>
        <v>0.4519400059411276</v>
      </c>
      <c r="S236" s="801">
        <f t="shared" si="82"/>
        <v>1</v>
      </c>
      <c r="T236" s="172">
        <f t="shared" si="83"/>
        <v>7</v>
      </c>
      <c r="U236" s="247">
        <f t="shared" si="84"/>
        <v>1.4519400059411276</v>
      </c>
      <c r="V236" s="378">
        <f t="shared" si="85"/>
        <v>223.69585573745778</v>
      </c>
      <c r="W236" s="397">
        <f t="shared" si="86"/>
        <v>204.2332253025819</v>
      </c>
      <c r="X236" s="153">
        <f t="shared" si="87"/>
        <v>45513</v>
      </c>
      <c r="Y236" s="380">
        <f t="shared" si="88"/>
        <v>196.90713013735487</v>
      </c>
      <c r="Z236" s="380">
        <f t="shared" si="89"/>
        <v>199.86453148995801</v>
      </c>
      <c r="AA236" s="381">
        <f t="shared" si="90"/>
        <v>211.19372660892759</v>
      </c>
      <c r="AB236" s="193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5.3643615749761973E-2</v>
      </c>
      <c r="AD236" s="227">
        <f>(INDEX(Models!$BJ236:$BT236,,AH236)*(1-AF236)+INDEX(Models!$BJ236:$BT236,,AH236+1)*AF236-ERP_i)*AE236*Ramure*Pc/MaxiM</f>
        <v>1.8088723103896123E-4</v>
      </c>
      <c r="AE236" s="301">
        <f t="shared" si="92"/>
        <v>0.5</v>
      </c>
      <c r="AF236" s="173">
        <f t="shared" si="93"/>
        <v>0.4519400059411276</v>
      </c>
      <c r="AG236" s="801">
        <f t="shared" si="99"/>
        <v>1</v>
      </c>
      <c r="AH236" s="172">
        <f t="shared" si="94"/>
        <v>7</v>
      </c>
      <c r="AI236" s="221">
        <f t="shared" si="95"/>
        <v>1.4519400059411276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customHeight="1" x14ac:dyDescent="0.2">
      <c r="A237" s="56">
        <f t="shared" si="98"/>
        <v>45514</v>
      </c>
      <c r="B237" s="406">
        <f>'2023'!Wh/'2023'!Env_an*'2024'!Env_an</f>
        <v>189.542038636916</v>
      </c>
      <c r="C237" s="385"/>
      <c r="D237" s="388">
        <f t="shared" si="77"/>
        <v>192.39145536915493</v>
      </c>
      <c r="E237" s="380">
        <f t="shared" si="100"/>
        <v>196.01873651636279</v>
      </c>
      <c r="F237" s="380">
        <f t="shared" si="78"/>
        <v>196.0468479293506</v>
      </c>
      <c r="G237" s="110">
        <f t="shared" si="101"/>
        <v>0.84986988295207233</v>
      </c>
      <c r="H237" s="409" t="b">
        <f>Wh_hp&gt;='2023'!Maxi_hp</f>
        <v>0</v>
      </c>
      <c r="I237" s="375">
        <f>IF(H237,Wh_hp,'2023'!Maxi_hp)</f>
        <v>196.05222207585885</v>
      </c>
      <c r="J237" s="85">
        <f>IF(H237,An,'2023'!An_max)</f>
        <v>2022</v>
      </c>
      <c r="K237" s="193">
        <f t="shared" si="79"/>
        <v>45514</v>
      </c>
      <c r="L237" s="143">
        <f>IF(t&lt;Tvie,1-EXP((T0-t)*PertePVj)+'2023'!Pspv,1-EXP((T0-t)*PertePVj)+Pspv)</f>
        <v>1.4810516021990461E-2</v>
      </c>
      <c r="M237" s="835"/>
      <c r="N237" s="835"/>
      <c r="O237" s="48">
        <f>IF(t&lt;Tnet,'2023'!Resal+('2023'!Salim-'2023'!Resal)*(1-EXP(('2023'!Tnet-t)/('2023'!Tau_j))),Resal+(Salim-Resal)*(1-EXP((Tnet-t)/(Tau_j))))*Salcycl</f>
        <v>1.850476751188062E-2</v>
      </c>
      <c r="P237" s="165">
        <f>(INDEX(Models!$BJ237:$BT237,,T237)*(1-R237)+INDEX(Models!$BJ237:$BT237,,T237+1)*R237-ERP_i)*Q237*Ramure*Pc/MaxiM</f>
        <v>1.8253016334293299E-4</v>
      </c>
      <c r="Q237" s="301">
        <f t="shared" si="80"/>
        <v>0.5</v>
      </c>
      <c r="R237" s="173">
        <f t="shared" si="81"/>
        <v>0.45334981204747016</v>
      </c>
      <c r="S237" s="801">
        <f t="shared" si="82"/>
        <v>1</v>
      </c>
      <c r="T237" s="172">
        <f t="shared" si="83"/>
        <v>7</v>
      </c>
      <c r="U237" s="247">
        <f t="shared" si="84"/>
        <v>1.4533498120474702</v>
      </c>
      <c r="V237" s="378">
        <f t="shared" si="85"/>
        <v>223.01604388579551</v>
      </c>
      <c r="W237" s="397">
        <f t="shared" si="86"/>
        <v>189.542038636916</v>
      </c>
      <c r="X237" s="153">
        <f t="shared" si="87"/>
        <v>45514</v>
      </c>
      <c r="Y237" s="380">
        <f t="shared" si="88"/>
        <v>182.75012929419901</v>
      </c>
      <c r="Z237" s="380">
        <f t="shared" si="89"/>
        <v>185.49744213294727</v>
      </c>
      <c r="AA237" s="381">
        <f t="shared" si="90"/>
        <v>196.01873651636279</v>
      </c>
      <c r="AB237" s="193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5.3674942357039603E-2</v>
      </c>
      <c r="AD237" s="227">
        <f>(INDEX(Models!$BJ237:$BT237,,AH237)*(1-AF237)+INDEX(Models!$BJ237:$BT237,,AH237+1)*AF237-ERP_i)*AE237*Ramure*Pc/MaxiM</f>
        <v>1.8253016334293299E-4</v>
      </c>
      <c r="AE237" s="301">
        <f t="shared" si="92"/>
        <v>0.5</v>
      </c>
      <c r="AF237" s="173">
        <f t="shared" si="93"/>
        <v>0.45334981204747016</v>
      </c>
      <c r="AG237" s="801">
        <f t="shared" si="99"/>
        <v>1</v>
      </c>
      <c r="AH237" s="172">
        <f t="shared" si="94"/>
        <v>7</v>
      </c>
      <c r="AI237" s="221">
        <f t="shared" si="95"/>
        <v>1.4533498120474702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customHeight="1" x14ac:dyDescent="0.2">
      <c r="A238" s="56">
        <f t="shared" si="98"/>
        <v>45515</v>
      </c>
      <c r="B238" s="406">
        <f>'2023'!Wh/'2023'!Env_an*'2024'!Env_an</f>
        <v>198.57331633178916</v>
      </c>
      <c r="C238" s="385"/>
      <c r="D238" s="388">
        <f t="shared" si="77"/>
        <v>201.5612609557449</v>
      </c>
      <c r="E238" s="380">
        <f t="shared" si="100"/>
        <v>205.37628502324068</v>
      </c>
      <c r="F238" s="380">
        <f t="shared" si="78"/>
        <v>205.40833920377963</v>
      </c>
      <c r="G238" s="110">
        <f t="shared" si="101"/>
        <v>0.89313634209382364</v>
      </c>
      <c r="H238" s="409" t="b">
        <f>Wh_hp&gt;='2023'!Maxi_hp</f>
        <v>0</v>
      </c>
      <c r="I238" s="375">
        <f>IF(H238,Wh_hp,'2023'!Maxi_hp)</f>
        <v>205.41238028032569</v>
      </c>
      <c r="J238" s="85">
        <f>IF(H238,An,'2023'!An_max)</f>
        <v>2022</v>
      </c>
      <c r="K238" s="193">
        <f t="shared" si="79"/>
        <v>45515</v>
      </c>
      <c r="L238" s="143">
        <f>IF(t&lt;Tvie,1-EXP((T0-t)*PertePVj)+'2023'!Pspv,1-EXP((T0-t)*PertePVj)+Pspv)</f>
        <v>1.4824002438701633E-2</v>
      </c>
      <c r="M238" s="835"/>
      <c r="N238" s="835"/>
      <c r="O238" s="48">
        <f>IF(t&lt;Tnet,'2023'!Resal+('2023'!Salim-'2023'!Resal)*(1-EXP(('2023'!Tnet-t)/('2023'!Tau_j))),Resal+(Salim-Resal)*(1-EXP((Tnet-t)/(Tau_j))))*Salcycl</f>
        <v>1.8575776979625751E-2</v>
      </c>
      <c r="P238" s="165">
        <f>(INDEX(Models!$BJ238:$BT238,,T238)*(1-R238)+INDEX(Models!$BJ238:$BT238,,T238+1)*R238-ERP_i)*Q238*Ramure*Pc/MaxiM</f>
        <v>1.8415848306980166E-4</v>
      </c>
      <c r="Q238" s="301">
        <f t="shared" si="80"/>
        <v>0.5</v>
      </c>
      <c r="R238" s="173">
        <f t="shared" si="81"/>
        <v>0.45471095103503623</v>
      </c>
      <c r="S238" s="801">
        <f t="shared" si="82"/>
        <v>1</v>
      </c>
      <c r="T238" s="172">
        <f t="shared" si="83"/>
        <v>7</v>
      </c>
      <c r="U238" s="247">
        <f t="shared" si="84"/>
        <v>1.4547109510350362</v>
      </c>
      <c r="V238" s="378">
        <f t="shared" si="85"/>
        <v>222.32634001064574</v>
      </c>
      <c r="W238" s="397">
        <f t="shared" si="86"/>
        <v>198.57331633178916</v>
      </c>
      <c r="X238" s="153">
        <f t="shared" si="87"/>
        <v>45515</v>
      </c>
      <c r="Y238" s="380">
        <f t="shared" si="88"/>
        <v>191.46533396901029</v>
      </c>
      <c r="Z238" s="380">
        <f t="shared" si="89"/>
        <v>194.34632435520453</v>
      </c>
      <c r="AA238" s="381">
        <f t="shared" si="90"/>
        <v>205.37628502324068</v>
      </c>
      <c r="AB238" s="193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5.3706106655829242E-2</v>
      </c>
      <c r="AD238" s="227">
        <f>(INDEX(Models!$BJ238:$BT238,,AH238)*(1-AF238)+INDEX(Models!$BJ238:$BT238,,AH238+1)*AF238-ERP_i)*AE238*Ramure*Pc/MaxiM</f>
        <v>1.8415848306980166E-4</v>
      </c>
      <c r="AE238" s="301">
        <f t="shared" si="92"/>
        <v>0.5</v>
      </c>
      <c r="AF238" s="173">
        <f t="shared" si="93"/>
        <v>0.45471095103503623</v>
      </c>
      <c r="AG238" s="801">
        <f t="shared" si="99"/>
        <v>1</v>
      </c>
      <c r="AH238" s="172">
        <f t="shared" si="94"/>
        <v>7</v>
      </c>
      <c r="AI238" s="221">
        <f t="shared" si="95"/>
        <v>1.4547109510350362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customHeight="1" x14ac:dyDescent="0.2">
      <c r="A239" s="56">
        <f t="shared" si="98"/>
        <v>45516</v>
      </c>
      <c r="B239" s="406">
        <f>'2023'!Wh/'2023'!Env_an*'2024'!Env_an</f>
        <v>138.0307272703817</v>
      </c>
      <c r="C239" s="385"/>
      <c r="D239" s="388">
        <f t="shared" si="77"/>
        <v>140.1096019012613</v>
      </c>
      <c r="E239" s="380">
        <f t="shared" si="100"/>
        <v>142.77181930306818</v>
      </c>
      <c r="F239" s="380">
        <f t="shared" si="78"/>
        <v>142.7840515997917</v>
      </c>
      <c r="G239" s="110">
        <f t="shared" si="101"/>
        <v>0.62274630655085716</v>
      </c>
      <c r="H239" s="409" t="b">
        <f>Wh_hp&gt;='2023'!Maxi_hp</f>
        <v>0</v>
      </c>
      <c r="I239" s="375">
        <f>IF(H239,Wh_hp,'2023'!Maxi_hp)</f>
        <v>142.79404848596596</v>
      </c>
      <c r="J239" s="85">
        <f>IF(H239,An,'2023'!An_max)</f>
        <v>2022</v>
      </c>
      <c r="K239" s="193">
        <f t="shared" si="79"/>
        <v>45516</v>
      </c>
      <c r="L239" s="143">
        <f>IF(t&lt;Tvie,1-EXP((T0-t)*PertePVj)+'2023'!Pspv,1-EXP((T0-t)*PertePVj)+Pspv)</f>
        <v>1.4837488670795151E-2</v>
      </c>
      <c r="M239" s="835"/>
      <c r="N239" s="835"/>
      <c r="O239" s="48">
        <f>IF(t&lt;Tnet,'2023'!Resal+('2023'!Salim-'2023'!Resal)*(1-EXP(('2023'!Tnet-t)/('2023'!Tau_j))),Resal+(Salim-Resal)*(1-EXP((Tnet-t)/(Tau_j))))*Salcycl</f>
        <v>1.8646658807055436E-2</v>
      </c>
      <c r="P239" s="165">
        <f>(INDEX(Models!$BJ239:$BT239,,T239)*(1-R239)+INDEX(Models!$BJ239:$BT239,,T239+1)*R239-ERP_i)*Q239*Ramure*Pc/MaxiM</f>
        <v>1.8577239227199341E-4</v>
      </c>
      <c r="Q239" s="301">
        <f t="shared" si="80"/>
        <v>0.5</v>
      </c>
      <c r="R239" s="173">
        <f t="shared" si="81"/>
        <v>0.45602480936277989</v>
      </c>
      <c r="S239" s="801">
        <f t="shared" si="82"/>
        <v>1</v>
      </c>
      <c r="T239" s="172">
        <f t="shared" si="83"/>
        <v>7</v>
      </c>
      <c r="U239" s="247">
        <f t="shared" si="84"/>
        <v>1.4560248093627799</v>
      </c>
      <c r="V239" s="378">
        <f t="shared" si="85"/>
        <v>221.62621827888324</v>
      </c>
      <c r="W239" s="397">
        <f t="shared" si="86"/>
        <v>138.0307272703817</v>
      </c>
      <c r="X239" s="153">
        <f t="shared" si="87"/>
        <v>45516</v>
      </c>
      <c r="Y239" s="380">
        <f t="shared" si="88"/>
        <v>133.09513499571528</v>
      </c>
      <c r="Z239" s="380">
        <f t="shared" si="89"/>
        <v>135.09967489134371</v>
      </c>
      <c r="AA239" s="381">
        <f t="shared" si="90"/>
        <v>142.77181930306818</v>
      </c>
      <c r="AB239" s="193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5.3737106168259011E-2</v>
      </c>
      <c r="AD239" s="227">
        <f>(INDEX(Models!$BJ239:$BT239,,AH239)*(1-AF239)+INDEX(Models!$BJ239:$BT239,,AH239+1)*AF239-ERP_i)*AE239*Ramure*Pc/MaxiM</f>
        <v>1.8577239227199341E-4</v>
      </c>
      <c r="AE239" s="301">
        <f t="shared" si="92"/>
        <v>0.5</v>
      </c>
      <c r="AF239" s="173">
        <f t="shared" si="93"/>
        <v>0.45602480936277989</v>
      </c>
      <c r="AG239" s="801">
        <f t="shared" si="99"/>
        <v>1</v>
      </c>
      <c r="AH239" s="172">
        <f t="shared" si="94"/>
        <v>7</v>
      </c>
      <c r="AI239" s="221">
        <f t="shared" si="95"/>
        <v>1.4560248093627799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customHeight="1" x14ac:dyDescent="0.2">
      <c r="A240" s="56">
        <f t="shared" si="98"/>
        <v>45517</v>
      </c>
      <c r="B240" s="406">
        <f>'2023'!Wh/'2023'!Env_an*'2024'!Env_an</f>
        <v>151.39871339604952</v>
      </c>
      <c r="C240" s="385"/>
      <c r="D240" s="388">
        <f t="shared" si="77"/>
        <v>153.68102643430367</v>
      </c>
      <c r="E240" s="380">
        <f t="shared" si="100"/>
        <v>156.61240527839448</v>
      </c>
      <c r="F240" s="380">
        <f t="shared" si="78"/>
        <v>156.62854321927938</v>
      </c>
      <c r="G240" s="110">
        <f t="shared" si="101"/>
        <v>0.68526735789062931</v>
      </c>
      <c r="H240" s="409" t="b">
        <f>Wh_hp&gt;='2023'!Maxi_hp</f>
        <v>0</v>
      </c>
      <c r="I240" s="375">
        <f>IF(H240,Wh_hp,'2023'!Maxi_hp)</f>
        <v>156.63775376535247</v>
      </c>
      <c r="J240" s="85">
        <f>IF(H240,An,'2023'!An_max)</f>
        <v>2022</v>
      </c>
      <c r="K240" s="193">
        <f t="shared" si="79"/>
        <v>45517</v>
      </c>
      <c r="L240" s="143">
        <f>IF(t&lt;Tvie,1-EXP((T0-t)*PertePVj)+'2023'!Pspv,1-EXP((T0-t)*PertePVj)+Pspv)</f>
        <v>1.4850974718273457E-2</v>
      </c>
      <c r="M240" s="835"/>
      <c r="N240" s="835"/>
      <c r="O240" s="48">
        <f>IF(t&lt;Tnet,'2023'!Resal+('2023'!Salim-'2023'!Resal)*(1-EXP(('2023'!Tnet-t)/('2023'!Tau_j))),Resal+(Salim-Resal)*(1-EXP((Tnet-t)/(Tau_j))))*Salcycl</f>
        <v>1.871741155421236E-2</v>
      </c>
      <c r="P240" s="165">
        <f>(INDEX(Models!$BJ240:$BT240,,T240)*(1-R240)+INDEX(Models!$BJ240:$BT240,,T240+1)*R240-ERP_i)*Q240*Ramure*Pc/MaxiM</f>
        <v>1.8717508222750997E-4</v>
      </c>
      <c r="Q240" s="301">
        <f t="shared" si="80"/>
        <v>0.5</v>
      </c>
      <c r="R240" s="173">
        <f t="shared" si="81"/>
        <v>0.45729275592372876</v>
      </c>
      <c r="S240" s="801">
        <f t="shared" si="82"/>
        <v>1</v>
      </c>
      <c r="T240" s="172">
        <f t="shared" si="83"/>
        <v>7</v>
      </c>
      <c r="U240" s="247">
        <f t="shared" si="84"/>
        <v>1.4572927559237288</v>
      </c>
      <c r="V240" s="378">
        <f t="shared" si="85"/>
        <v>220.91519662850132</v>
      </c>
      <c r="W240" s="397">
        <f t="shared" si="86"/>
        <v>151.39871339604952</v>
      </c>
      <c r="X240" s="153">
        <f t="shared" si="87"/>
        <v>45517</v>
      </c>
      <c r="Y240" s="380">
        <f t="shared" si="88"/>
        <v>145.99088834027074</v>
      </c>
      <c r="Z240" s="380">
        <f t="shared" si="89"/>
        <v>148.19167922185298</v>
      </c>
      <c r="AA240" s="381">
        <f t="shared" si="90"/>
        <v>156.61240527839448</v>
      </c>
      <c r="AB240" s="193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5.3767937741411982E-2</v>
      </c>
      <c r="AD240" s="227">
        <f>(INDEX(Models!$BJ240:$BT240,,AH240)*(1-AF240)+INDEX(Models!$BJ240:$BT240,,AH240+1)*AF240-ERP_i)*AE240*Ramure*Pc/MaxiM</f>
        <v>1.8717508222750997E-4</v>
      </c>
      <c r="AE240" s="301">
        <f t="shared" si="92"/>
        <v>0.5</v>
      </c>
      <c r="AF240" s="173">
        <f t="shared" si="93"/>
        <v>0.45729275592372876</v>
      </c>
      <c r="AG240" s="801">
        <f t="shared" si="99"/>
        <v>1</v>
      </c>
      <c r="AH240" s="172">
        <f t="shared" si="94"/>
        <v>7</v>
      </c>
      <c r="AI240" s="221">
        <f t="shared" si="95"/>
        <v>1.4572927559237288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customHeight="1" x14ac:dyDescent="0.2">
      <c r="A241" s="56">
        <f t="shared" si="98"/>
        <v>45518</v>
      </c>
      <c r="B241" s="406">
        <f>'2023'!Wh/'2023'!Env_an*'2024'!Env_an</f>
        <v>155.84550191913812</v>
      </c>
      <c r="C241" s="385"/>
      <c r="D241" s="388">
        <f t="shared" si="77"/>
        <v>158.19701521586825</v>
      </c>
      <c r="E241" s="380">
        <f t="shared" si="100"/>
        <v>161.22613729292823</v>
      </c>
      <c r="F241" s="380">
        <f t="shared" si="78"/>
        <v>161.2438334302667</v>
      </c>
      <c r="G241" s="110">
        <f t="shared" si="101"/>
        <v>0.70771289550672434</v>
      </c>
      <c r="H241" s="409" t="b">
        <f>Wh_hp&gt;='2023'!Maxi_hp</f>
        <v>0</v>
      </c>
      <c r="I241" s="375">
        <f>IF(H241,Wh_hp,'2023'!Maxi_hp)</f>
        <v>161.2526894058478</v>
      </c>
      <c r="J241" s="85">
        <f>IF(H241,An,'2023'!An_max)</f>
        <v>2022</v>
      </c>
      <c r="K241" s="193">
        <f t="shared" si="79"/>
        <v>45518</v>
      </c>
      <c r="L241" s="143">
        <f>IF(t&lt;Tvie,1-EXP((T0-t)*PertePVj)+'2023'!Pspv,1-EXP((T0-t)*PertePVj)+Pspv)</f>
        <v>1.4864460581139105E-2</v>
      </c>
      <c r="M241" s="835"/>
      <c r="N241" s="835"/>
      <c r="O241" s="48">
        <f>IF(t&lt;Tnet,'2023'!Resal+('2023'!Salim-'2023'!Resal)*(1-EXP(('2023'!Tnet-t)/('2023'!Tau_j))),Resal+(Salim-Resal)*(1-EXP((Tnet-t)/(Tau_j))))*Salcycl</f>
        <v>1.8788033552875193E-2</v>
      </c>
      <c r="P241" s="165">
        <f>(INDEX(Models!$BJ241:$BT241,,T241)*(1-R241)+INDEX(Models!$BJ241:$BT241,,T241+1)*R241-ERP_i)*Q241*Ramure*Pc/MaxiM</f>
        <v>1.8839946216000982E-4</v>
      </c>
      <c r="Q241" s="301">
        <f t="shared" si="80"/>
        <v>0.5</v>
      </c>
      <c r="R241" s="173">
        <f t="shared" si="81"/>
        <v>0.45851614044676903</v>
      </c>
      <c r="S241" s="801">
        <f t="shared" si="82"/>
        <v>1</v>
      </c>
      <c r="T241" s="172">
        <f t="shared" si="83"/>
        <v>7</v>
      </c>
      <c r="U241" s="247">
        <f t="shared" si="84"/>
        <v>1.458516140446769</v>
      </c>
      <c r="V241" s="378">
        <f t="shared" si="85"/>
        <v>220.19274205310666</v>
      </c>
      <c r="W241" s="397">
        <f t="shared" si="86"/>
        <v>155.84550191913812</v>
      </c>
      <c r="X241" s="153">
        <f t="shared" si="87"/>
        <v>45518</v>
      </c>
      <c r="Y241" s="380">
        <f t="shared" si="88"/>
        <v>150.28478811455011</v>
      </c>
      <c r="Z241" s="380">
        <f t="shared" si="89"/>
        <v>152.55239720942794</v>
      </c>
      <c r="AA241" s="381">
        <f t="shared" si="90"/>
        <v>161.22613729292823</v>
      </c>
      <c r="AB241" s="193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5.3798597604190979E-2</v>
      </c>
      <c r="AD241" s="227">
        <f>(INDEX(Models!$BJ241:$BT241,,AH241)*(1-AF241)+INDEX(Models!$BJ241:$BT241,,AH241+1)*AF241-ERP_i)*AE241*Ramure*Pc/MaxiM</f>
        <v>1.8839946216000982E-4</v>
      </c>
      <c r="AE241" s="301">
        <f t="shared" si="92"/>
        <v>0.5</v>
      </c>
      <c r="AF241" s="173">
        <f t="shared" si="93"/>
        <v>0.45851614044676903</v>
      </c>
      <c r="AG241" s="801">
        <f t="shared" si="99"/>
        <v>1</v>
      </c>
      <c r="AH241" s="172">
        <f t="shared" si="94"/>
        <v>7</v>
      </c>
      <c r="AI241" s="221">
        <f t="shared" si="95"/>
        <v>1.458516140446769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customHeight="1" x14ac:dyDescent="0.2">
      <c r="A242" s="56">
        <f t="shared" si="98"/>
        <v>45519</v>
      </c>
      <c r="B242" s="406">
        <f>'2023'!Wh/'2023'!Env_an*'2024'!Env_an</f>
        <v>140.19843008030898</v>
      </c>
      <c r="C242" s="385"/>
      <c r="D242" s="388">
        <f t="shared" si="77"/>
        <v>142.31579685782259</v>
      </c>
      <c r="E242" s="380">
        <f t="shared" si="100"/>
        <v>145.05124916509257</v>
      </c>
      <c r="F242" s="380">
        <f t="shared" si="78"/>
        <v>145.06455177187991</v>
      </c>
      <c r="G242" s="110">
        <f t="shared" si="101"/>
        <v>0.63877605296519901</v>
      </c>
      <c r="H242" s="409" t="b">
        <f>Wh_hp&gt;='2023'!Maxi_hp</f>
        <v>0</v>
      </c>
      <c r="I242" s="375">
        <f>IF(H242,Wh_hp,'2023'!Maxi_hp)</f>
        <v>145.07444437533258</v>
      </c>
      <c r="J242" s="85">
        <f>IF(H242,An,'2023'!An_max)</f>
        <v>2022</v>
      </c>
      <c r="K242" s="193">
        <f t="shared" si="79"/>
        <v>45519</v>
      </c>
      <c r="L242" s="143">
        <f>IF(t&lt;Tvie,1-EXP((T0-t)*PertePVj)+'2023'!Pspv,1-EXP((T0-t)*PertePVj)+Pspv)</f>
        <v>1.4877946259394648E-2</v>
      </c>
      <c r="M242" s="835"/>
      <c r="N242" s="835"/>
      <c r="O242" s="48">
        <f>IF(t&lt;Tnet,'2023'!Resal+('2023'!Salim-'2023'!Resal)*(1-EXP(('2023'!Tnet-t)/('2023'!Tau_j))),Resal+(Salim-Resal)*(1-EXP((Tnet-t)/(Tau_j))))*Salcycl</f>
        <v>1.8858522922174836E-2</v>
      </c>
      <c r="P242" s="165">
        <f>(INDEX(Models!$BJ242:$BT242,,T242)*(1-R242)+INDEX(Models!$BJ242:$BT242,,T242+1)*R242-ERP_i)*Q242*Ramure*Pc/MaxiM</f>
        <v>1.8944395087906428E-4</v>
      </c>
      <c r="Q242" s="301">
        <f t="shared" si="80"/>
        <v>0.5</v>
      </c>
      <c r="R242" s="173">
        <f t="shared" si="81"/>
        <v>0.45969629207478779</v>
      </c>
      <c r="S242" s="801">
        <f t="shared" si="82"/>
        <v>1</v>
      </c>
      <c r="T242" s="172">
        <f t="shared" si="83"/>
        <v>7</v>
      </c>
      <c r="U242" s="247">
        <f t="shared" si="84"/>
        <v>1.4596962920747878</v>
      </c>
      <c r="V242" s="378">
        <f t="shared" si="85"/>
        <v>219.45832941839396</v>
      </c>
      <c r="W242" s="397">
        <f t="shared" si="86"/>
        <v>140.19843008030898</v>
      </c>
      <c r="X242" s="153">
        <f t="shared" si="87"/>
        <v>45519</v>
      </c>
      <c r="Y242" s="380">
        <f t="shared" si="88"/>
        <v>135.20137561346647</v>
      </c>
      <c r="Z242" s="380">
        <f t="shared" si="89"/>
        <v>137.24327366349533</v>
      </c>
      <c r="AA242" s="381">
        <f t="shared" si="90"/>
        <v>145.05124916509257</v>
      </c>
      <c r="AB242" s="193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5.382908142149434E-2</v>
      </c>
      <c r="AD242" s="227">
        <f>(INDEX(Models!$BJ242:$BT242,,AH242)*(1-AF242)+INDEX(Models!$BJ242:$BT242,,AH242+1)*AF242-ERP_i)*AE242*Ramure*Pc/MaxiM</f>
        <v>1.8944395087906428E-4</v>
      </c>
      <c r="AE242" s="301">
        <f t="shared" si="92"/>
        <v>0.5</v>
      </c>
      <c r="AF242" s="173">
        <f t="shared" si="93"/>
        <v>0.45969629207478779</v>
      </c>
      <c r="AG242" s="801">
        <f t="shared" si="99"/>
        <v>1</v>
      </c>
      <c r="AH242" s="172">
        <f t="shared" si="94"/>
        <v>7</v>
      </c>
      <c r="AI242" s="221">
        <f t="shared" si="95"/>
        <v>1.4596962920747878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45520</v>
      </c>
      <c r="B243" s="406">
        <f>'2023'!Wh/'2023'!Env_an*'2024'!Env_an</f>
        <v>107.97358313134369</v>
      </c>
      <c r="C243" s="385"/>
      <c r="D243" s="388">
        <f t="shared" si="77"/>
        <v>109.60576997466103</v>
      </c>
      <c r="E243" s="380">
        <f t="shared" si="100"/>
        <v>111.72051390594287</v>
      </c>
      <c r="F243" s="380">
        <f t="shared" si="78"/>
        <v>111.72639690019955</v>
      </c>
      <c r="G243" s="110">
        <f t="shared" si="101"/>
        <v>0.49361260060439932</v>
      </c>
      <c r="H243" s="409" t="b">
        <f>Wh_hp&gt;='2023'!Maxi_hp</f>
        <v>0</v>
      </c>
      <c r="I243" s="375">
        <f>IF(H243,Wh_hp,'2023'!Maxi_hp)</f>
        <v>111.73711703322597</v>
      </c>
      <c r="J243" s="85">
        <f>IF(H243,An,'2023'!An_max)</f>
        <v>2022</v>
      </c>
      <c r="K243" s="193">
        <f t="shared" si="79"/>
        <v>45520</v>
      </c>
      <c r="L243" s="143">
        <f>IF(t&lt;Tvie,1-EXP((T0-t)*PertePVj)+'2023'!Pspv,1-EXP((T0-t)*PertePVj)+Pspv)</f>
        <v>1.4891431753042528E-2</v>
      </c>
      <c r="M243" s="835"/>
      <c r="N243" s="835"/>
      <c r="O243" s="48">
        <f>IF(t&lt;Tnet,'2023'!Resal+('2023'!Salim-'2023'!Resal)*(1-EXP(('2023'!Tnet-t)/('2023'!Tau_j))),Resal+(Salim-Resal)*(1-EXP((Tnet-t)/(Tau_j))))*Salcycl</f>
        <v>1.8928877583415216E-2</v>
      </c>
      <c r="P243" s="165">
        <f>(INDEX(Models!$BJ243:$BT243,,T243)*(1-R243)+INDEX(Models!$BJ243:$BT243,,T243+1)*R243-ERP_i)*Q243*Ramure*Pc/MaxiM</f>
        <v>1.9030694552817266E-4</v>
      </c>
      <c r="Q243" s="301">
        <f t="shared" si="80"/>
        <v>0.5</v>
      </c>
      <c r="R243" s="173">
        <f t="shared" si="81"/>
        <v>0.46083451810964049</v>
      </c>
      <c r="S243" s="801">
        <f t="shared" si="82"/>
        <v>1</v>
      </c>
      <c r="T243" s="172">
        <f t="shared" si="83"/>
        <v>7</v>
      </c>
      <c r="U243" s="247">
        <f t="shared" si="84"/>
        <v>1.4608345181096405</v>
      </c>
      <c r="V243" s="378">
        <f t="shared" si="85"/>
        <v>218.71143378873145</v>
      </c>
      <c r="W243" s="397">
        <f t="shared" si="86"/>
        <v>107.97358313134369</v>
      </c>
      <c r="X243" s="153">
        <f t="shared" si="87"/>
        <v>45520</v>
      </c>
      <c r="Y243" s="380">
        <f t="shared" si="88"/>
        <v>104.12924209482881</v>
      </c>
      <c r="Z243" s="380">
        <f t="shared" si="89"/>
        <v>105.70331580825778</v>
      </c>
      <c r="AA243" s="381">
        <f t="shared" si="90"/>
        <v>111.72051390594287</v>
      </c>
      <c r="AB243" s="193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5.3859384345035635E-2</v>
      </c>
      <c r="AD243" s="227">
        <f>(INDEX(Models!$BJ243:$BT243,,AH243)*(1-AF243)+INDEX(Models!$BJ243:$BT243,,AH243+1)*AF243-ERP_i)*AE243*Ramure*Pc/MaxiM</f>
        <v>1.9030694552817266E-4</v>
      </c>
      <c r="AE243" s="301">
        <f t="shared" si="92"/>
        <v>0.5</v>
      </c>
      <c r="AF243" s="173">
        <f t="shared" si="93"/>
        <v>0.46083451810964049</v>
      </c>
      <c r="AG243" s="801">
        <f t="shared" si="99"/>
        <v>1</v>
      </c>
      <c r="AH243" s="172">
        <f t="shared" si="94"/>
        <v>7</v>
      </c>
      <c r="AI243" s="221">
        <f t="shared" si="95"/>
        <v>1.4608345181096405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45521</v>
      </c>
      <c r="B244" s="406">
        <f>'2023'!Wh/'2023'!Env_an*'2024'!Env_an</f>
        <v>132.57865916790985</v>
      </c>
      <c r="C244" s="385"/>
      <c r="D244" s="388">
        <f t="shared" si="77"/>
        <v>134.58463194487956</v>
      </c>
      <c r="E244" s="380">
        <f t="shared" si="100"/>
        <v>137.1911394744846</v>
      </c>
      <c r="F244" s="380">
        <f t="shared" si="78"/>
        <v>137.20268020623715</v>
      </c>
      <c r="G244" s="110">
        <f t="shared" si="101"/>
        <v>0.60822921833467924</v>
      </c>
      <c r="H244" s="409" t="b">
        <f>Wh_hp&gt;='2023'!Maxi_hp</f>
        <v>0</v>
      </c>
      <c r="I244" s="375">
        <f>IF(H244,Wh_hp,'2023'!Maxi_hp)</f>
        <v>137.21289143208358</v>
      </c>
      <c r="J244" s="85">
        <f>IF(H244,An,'2023'!An_max)</f>
        <v>2022</v>
      </c>
      <c r="K244" s="193">
        <f t="shared" si="79"/>
        <v>45521</v>
      </c>
      <c r="L244" s="143">
        <f>IF(t&lt;Tvie,1-EXP((T0-t)*PertePVj)+'2023'!Pspv,1-EXP((T0-t)*PertePVj)+Pspv)</f>
        <v>1.4904917062085299E-2</v>
      </c>
      <c r="M244" s="835"/>
      <c r="N244" s="835"/>
      <c r="O244" s="48">
        <f>IF(t&lt;Tnet,'2023'!Resal+('2023'!Salim-'2023'!Resal)*(1-EXP(('2023'!Tnet-t)/('2023'!Tau_j))),Resal+(Salim-Resal)*(1-EXP((Tnet-t)/(Tau_j))))*Salcycl</f>
        <v>1.8999095273859106E-2</v>
      </c>
      <c r="P244" s="165">
        <f>(INDEX(Models!$BJ244:$BT244,,T244)*(1-R244)+INDEX(Models!$BJ244:$BT244,,T244+1)*R244-ERP_i)*Q244*Ramure*Pc/MaxiM</f>
        <v>1.9098681650026443E-4</v>
      </c>
      <c r="Q244" s="301">
        <f t="shared" si="80"/>
        <v>0.5</v>
      </c>
      <c r="R244" s="173">
        <f t="shared" si="81"/>
        <v>0.46193210291445408</v>
      </c>
      <c r="S244" s="801">
        <f t="shared" si="82"/>
        <v>1</v>
      </c>
      <c r="T244" s="172">
        <f t="shared" si="83"/>
        <v>7</v>
      </c>
      <c r="U244" s="247">
        <f t="shared" si="84"/>
        <v>1.4619321029144541</v>
      </c>
      <c r="V244" s="378">
        <f t="shared" si="85"/>
        <v>217.95153042390874</v>
      </c>
      <c r="W244" s="397">
        <f t="shared" si="86"/>
        <v>132.57865916790985</v>
      </c>
      <c r="X244" s="153">
        <f t="shared" si="87"/>
        <v>45521</v>
      </c>
      <c r="Y244" s="380">
        <f t="shared" si="88"/>
        <v>127.86334933007633</v>
      </c>
      <c r="Z244" s="380">
        <f t="shared" si="89"/>
        <v>129.79797741832286</v>
      </c>
      <c r="AA244" s="381">
        <f t="shared" si="90"/>
        <v>137.1911394744846</v>
      </c>
      <c r="AB244" s="193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5.388950106021069E-2</v>
      </c>
      <c r="AD244" s="227">
        <f>(INDEX(Models!$BJ244:$BT244,,AH244)*(1-AF244)+INDEX(Models!$BJ244:$BT244,,AH244+1)*AF244-ERP_i)*AE244*Ramure*Pc/MaxiM</f>
        <v>1.9098681650026443E-4</v>
      </c>
      <c r="AE244" s="301">
        <f t="shared" si="92"/>
        <v>0.5</v>
      </c>
      <c r="AF244" s="173">
        <f t="shared" si="93"/>
        <v>0.46193210291445408</v>
      </c>
      <c r="AG244" s="801">
        <f t="shared" si="99"/>
        <v>1</v>
      </c>
      <c r="AH244" s="172">
        <f t="shared" si="94"/>
        <v>7</v>
      </c>
      <c r="AI244" s="221">
        <f t="shared" si="95"/>
        <v>1.4619321029144541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customHeight="1" x14ac:dyDescent="0.2">
      <c r="A245" s="56">
        <f t="shared" si="98"/>
        <v>45522</v>
      </c>
      <c r="B245" s="406">
        <f>'2023'!Wh/'2023'!Env_an*'2024'!Env_an</f>
        <v>143.04361183872464</v>
      </c>
      <c r="C245" s="385"/>
      <c r="D245" s="388">
        <f t="shared" si="77"/>
        <v>145.20991170297955</v>
      </c>
      <c r="E245" s="380">
        <f t="shared" si="100"/>
        <v>148.03277436989805</v>
      </c>
      <c r="F245" s="380">
        <f t="shared" si="78"/>
        <v>148.04729872601652</v>
      </c>
      <c r="G245" s="110">
        <f t="shared" si="101"/>
        <v>0.65858508374266611</v>
      </c>
      <c r="H245" s="409" t="b">
        <f>Wh_hp&gt;='2023'!Maxi_hp</f>
        <v>0</v>
      </c>
      <c r="I245" s="375">
        <f>IF(H245,Wh_hp,'2023'!Maxi_hp)</f>
        <v>148.05691589601781</v>
      </c>
      <c r="J245" s="85">
        <f>IF(H245,An,'2023'!An_max)</f>
        <v>2022</v>
      </c>
      <c r="K245" s="193">
        <f t="shared" si="79"/>
        <v>45522</v>
      </c>
      <c r="L245" s="143">
        <f>IF(t&lt;Tvie,1-EXP((T0-t)*PertePVj)+'2023'!Pspv,1-EXP((T0-t)*PertePVj)+Pspv)</f>
        <v>1.4918402186525515E-2</v>
      </c>
      <c r="M245" s="835"/>
      <c r="N245" s="835"/>
      <c r="O245" s="48">
        <f>IF(t&lt;Tnet,'2023'!Resal+('2023'!Salim-'2023'!Resal)*(1-EXP(('2023'!Tnet-t)/('2023'!Tau_j))),Resal+(Salim-Resal)*(1-EXP((Tnet-t)/(Tau_j))))*Salcycl</f>
        <v>1.9069173559260917E-2</v>
      </c>
      <c r="P245" s="165">
        <f>(INDEX(Models!$BJ245:$BT245,,T245)*(1-R245)+INDEX(Models!$BJ245:$BT245,,T245+1)*R245-ERP_i)*Q245*Ramure*Pc/MaxiM</f>
        <v>1.9148190234230785E-4</v>
      </c>
      <c r="Q245" s="301">
        <f t="shared" si="80"/>
        <v>0.5</v>
      </c>
      <c r="R245" s="173">
        <f t="shared" si="81"/>
        <v>0.46299030696389343</v>
      </c>
      <c r="S245" s="801">
        <f t="shared" si="82"/>
        <v>1</v>
      </c>
      <c r="T245" s="172">
        <f t="shared" si="83"/>
        <v>7</v>
      </c>
      <c r="U245" s="247">
        <f t="shared" si="84"/>
        <v>1.4629903069638934</v>
      </c>
      <c r="V245" s="378">
        <f t="shared" si="85"/>
        <v>217.17809476635219</v>
      </c>
      <c r="W245" s="397">
        <f t="shared" si="86"/>
        <v>143.04361183872464</v>
      </c>
      <c r="X245" s="153">
        <f t="shared" si="87"/>
        <v>45522</v>
      </c>
      <c r="Y245" s="380">
        <f t="shared" si="88"/>
        <v>137.96159603933395</v>
      </c>
      <c r="Z245" s="380">
        <f t="shared" si="89"/>
        <v>140.05093217207477</v>
      </c>
      <c r="AA245" s="381">
        <f t="shared" si="90"/>
        <v>148.03277436989805</v>
      </c>
      <c r="AB245" s="193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5.3919425828489791E-2</v>
      </c>
      <c r="AD245" s="227">
        <f>(INDEX(Models!$BJ245:$BT245,,AH245)*(1-AF245)+INDEX(Models!$BJ245:$BT245,,AH245+1)*AF245-ERP_i)*AE245*Ramure*Pc/MaxiM</f>
        <v>1.9148190234230785E-4</v>
      </c>
      <c r="AE245" s="301">
        <f t="shared" si="92"/>
        <v>0.5</v>
      </c>
      <c r="AF245" s="173">
        <f t="shared" si="93"/>
        <v>0.46299030696389343</v>
      </c>
      <c r="AG245" s="801">
        <f t="shared" si="99"/>
        <v>1</v>
      </c>
      <c r="AH245" s="172">
        <f t="shared" si="94"/>
        <v>7</v>
      </c>
      <c r="AI245" s="221">
        <f t="shared" si="95"/>
        <v>1.4629903069638934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45523</v>
      </c>
      <c r="B246" s="406">
        <f>'2023'!Wh/'2023'!Env_an*'2024'!Env_an</f>
        <v>208.9453010848033</v>
      </c>
      <c r="C246" s="385"/>
      <c r="D246" s="388">
        <f t="shared" si="77"/>
        <v>212.11254161427419</v>
      </c>
      <c r="E246" s="380">
        <f t="shared" si="100"/>
        <v>216.25140093081416</v>
      </c>
      <c r="F246" s="380">
        <f t="shared" si="78"/>
        <v>216.29084448984878</v>
      </c>
      <c r="G246" s="110">
        <f t="shared" si="101"/>
        <v>0.96558412718040154</v>
      </c>
      <c r="H246" s="409" t="b">
        <f>Wh_hp&gt;='2023'!Maxi_hp</f>
        <v>0</v>
      </c>
      <c r="I246" s="375">
        <f>IF(H246,Wh_hp,'2023'!Maxi_hp)</f>
        <v>216.29226150112041</v>
      </c>
      <c r="J246" s="85">
        <f>IF(H246,An,'2023'!An_max)</f>
        <v>2022</v>
      </c>
      <c r="K246" s="193">
        <f t="shared" si="79"/>
        <v>45523</v>
      </c>
      <c r="L246" s="143">
        <f>IF(t&lt;Tvie,1-EXP((T0-t)*PertePVj)+'2023'!Pspv,1-EXP((T0-t)*PertePVj)+Pspv)</f>
        <v>1.4931887126365728E-2</v>
      </c>
      <c r="M246" s="835"/>
      <c r="N246" s="835"/>
      <c r="O246" s="48">
        <f>IF(t&lt;Tnet,'2023'!Resal+('2023'!Salim-'2023'!Resal)*(1-EXP(('2023'!Tnet-t)/('2023'!Tau_j))),Resal+(Salim-Resal)*(1-EXP((Tnet-t)/(Tau_j))))*Salcycl</f>
        <v>1.9139109844953584E-2</v>
      </c>
      <c r="P246" s="165">
        <f>(INDEX(Models!$BJ246:$BT246,,T246)*(1-R246)+INDEX(Models!$BJ246:$BT246,,T246+1)*R246-ERP_i)*Q246*Ramure*Pc/MaxiM</f>
        <v>1.917905045668471E-4</v>
      </c>
      <c r="Q246" s="301">
        <f t="shared" si="80"/>
        <v>0.5</v>
      </c>
      <c r="R246" s="173">
        <f t="shared" si="81"/>
        <v>0.46401036603317869</v>
      </c>
      <c r="S246" s="801">
        <f t="shared" si="82"/>
        <v>1</v>
      </c>
      <c r="T246" s="172">
        <f t="shared" si="83"/>
        <v>7</v>
      </c>
      <c r="U246" s="247">
        <f t="shared" si="84"/>
        <v>1.4640103660331787</v>
      </c>
      <c r="V246" s="378">
        <f t="shared" si="85"/>
        <v>216.39060245413481</v>
      </c>
      <c r="W246" s="397">
        <f t="shared" si="86"/>
        <v>208.9453010848033</v>
      </c>
      <c r="X246" s="153">
        <f t="shared" si="87"/>
        <v>45523</v>
      </c>
      <c r="Y246" s="380">
        <f t="shared" si="88"/>
        <v>201.52998366156939</v>
      </c>
      <c r="Z246" s="380">
        <f t="shared" si="89"/>
        <v>204.58482111827519</v>
      </c>
      <c r="AA246" s="381">
        <f t="shared" si="90"/>
        <v>216.25140093081416</v>
      </c>
      <c r="AB246" s="193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5.3949152524896196E-2</v>
      </c>
      <c r="AD246" s="227">
        <f>(INDEX(Models!$BJ246:$BT246,,AH246)*(1-AF246)+INDEX(Models!$BJ246:$BT246,,AH246+1)*AF246-ERP_i)*AE246*Ramure*Pc/MaxiM</f>
        <v>1.917905045668471E-4</v>
      </c>
      <c r="AE246" s="301">
        <f t="shared" si="92"/>
        <v>0.5</v>
      </c>
      <c r="AF246" s="173">
        <f t="shared" si="93"/>
        <v>0.46401036603317869</v>
      </c>
      <c r="AG246" s="801">
        <f t="shared" si="99"/>
        <v>1</v>
      </c>
      <c r="AH246" s="172">
        <f t="shared" si="94"/>
        <v>7</v>
      </c>
      <c r="AI246" s="221">
        <f t="shared" si="95"/>
        <v>1.4640103660331787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customHeight="1" x14ac:dyDescent="0.2">
      <c r="A247" s="56">
        <f t="shared" si="98"/>
        <v>45524</v>
      </c>
      <c r="B247" s="406">
        <f>'2023'!Wh/'2023'!Env_an*'2024'!Env_an</f>
        <v>133.30024465646756</v>
      </c>
      <c r="C247" s="385"/>
      <c r="D247" s="388">
        <f t="shared" si="77"/>
        <v>135.32269262171977</v>
      </c>
      <c r="E247" s="380">
        <f t="shared" si="100"/>
        <v>137.97300241902383</v>
      </c>
      <c r="F247" s="380">
        <f t="shared" si="78"/>
        <v>137.9850437402732</v>
      </c>
      <c r="G247" s="110">
        <f t="shared" si="101"/>
        <v>0.61824011916919386</v>
      </c>
      <c r="H247" s="409" t="b">
        <f>Wh_hp&gt;='2023'!Maxi_hp</f>
        <v>0</v>
      </c>
      <c r="I247" s="375">
        <f>IF(H247,Wh_hp,'2023'!Maxi_hp)</f>
        <v>137.99506704811625</v>
      </c>
      <c r="J247" s="85">
        <f>IF(H247,An,'2023'!An_max)</f>
        <v>2022</v>
      </c>
      <c r="K247" s="193">
        <f t="shared" si="79"/>
        <v>45524</v>
      </c>
      <c r="L247" s="143">
        <f>IF(t&lt;Tvie,1-EXP((T0-t)*PertePVj)+'2023'!Pspv,1-EXP((T0-t)*PertePVj)+Pspv)</f>
        <v>1.4945371881608494E-2</v>
      </c>
      <c r="M247" s="835"/>
      <c r="N247" s="835"/>
      <c r="O247" s="48">
        <f>IF(t&lt;Tnet,'2023'!Resal+('2023'!Salim-'2023'!Resal)*(1-EXP(('2023'!Tnet-t)/('2023'!Tau_j))),Resal+(Salim-Resal)*(1-EXP((Tnet-t)/(Tau_j))))*Salcycl</f>
        <v>1.9208901385323874E-2</v>
      </c>
      <c r="P247" s="165">
        <f>(INDEX(Models!$BJ247:$BT247,,T247)*(1-R247)+INDEX(Models!$BJ247:$BT247,,T247+1)*R247-ERP_i)*Q247*Ramure*Pc/MaxiM</f>
        <v>1.919097072830393E-4</v>
      </c>
      <c r="Q247" s="301">
        <f t="shared" si="80"/>
        <v>0.5</v>
      </c>
      <c r="R247" s="173">
        <f t="shared" si="81"/>
        <v>0.46499349051684291</v>
      </c>
      <c r="S247" s="801">
        <f t="shared" si="82"/>
        <v>1</v>
      </c>
      <c r="T247" s="172">
        <f t="shared" si="83"/>
        <v>7</v>
      </c>
      <c r="U247" s="247">
        <f t="shared" si="84"/>
        <v>1.4649934905168429</v>
      </c>
      <c r="V247" s="378">
        <f t="shared" si="85"/>
        <v>215.58984963254937</v>
      </c>
      <c r="W247" s="397">
        <f t="shared" si="86"/>
        <v>133.30024465646756</v>
      </c>
      <c r="X247" s="153">
        <f t="shared" si="87"/>
        <v>45524</v>
      </c>
      <c r="Y247" s="380">
        <f t="shared" si="88"/>
        <v>128.57465192619827</v>
      </c>
      <c r="Z247" s="380">
        <f t="shared" si="89"/>
        <v>130.52540260817409</v>
      </c>
      <c r="AA247" s="381">
        <f t="shared" si="90"/>
        <v>137.97300241902383</v>
      </c>
      <c r="AB247" s="193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5.3978674670218323E-2</v>
      </c>
      <c r="AD247" s="227">
        <f>(INDEX(Models!$BJ247:$BT247,,AH247)*(1-AF247)+INDEX(Models!$BJ247:$BT247,,AH247+1)*AF247-ERP_i)*AE247*Ramure*Pc/MaxiM</f>
        <v>1.919097072830393E-4</v>
      </c>
      <c r="AE247" s="301">
        <f t="shared" si="92"/>
        <v>0.5</v>
      </c>
      <c r="AF247" s="173">
        <f t="shared" si="93"/>
        <v>0.46499349051684291</v>
      </c>
      <c r="AG247" s="801">
        <f t="shared" si="99"/>
        <v>1</v>
      </c>
      <c r="AH247" s="172">
        <f t="shared" si="94"/>
        <v>7</v>
      </c>
      <c r="AI247" s="221">
        <f t="shared" si="95"/>
        <v>1.4649934905168429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customHeight="1" x14ac:dyDescent="0.2">
      <c r="A248" s="56">
        <f t="shared" si="98"/>
        <v>45525</v>
      </c>
      <c r="B248" s="406">
        <f>'2023'!Wh/'2023'!Env_an*'2024'!Env_an</f>
        <v>105.12232647674097</v>
      </c>
      <c r="C248" s="385"/>
      <c r="D248" s="388">
        <f t="shared" si="77"/>
        <v>106.71871643668639</v>
      </c>
      <c r="E248" s="380">
        <f t="shared" si="100"/>
        <v>108.81654105182274</v>
      </c>
      <c r="F248" s="380">
        <f t="shared" si="78"/>
        <v>108.82218642739902</v>
      </c>
      <c r="G248" s="110">
        <f t="shared" si="101"/>
        <v>0.48938024365878213</v>
      </c>
      <c r="H248" s="409" t="b">
        <f>Wh_hp&gt;='2023'!Maxi_hp</f>
        <v>0</v>
      </c>
      <c r="I248" s="375">
        <f>IF(H248,Wh_hp,'2023'!Maxi_hp)</f>
        <v>108.83273565768181</v>
      </c>
      <c r="J248" s="85">
        <f>IF(H248,An,'2023'!An_max)</f>
        <v>2022</v>
      </c>
      <c r="K248" s="193">
        <f t="shared" si="79"/>
        <v>45525</v>
      </c>
      <c r="L248" s="143">
        <f>IF(t&lt;Tvie,1-EXP((T0-t)*PertePVj)+'2023'!Pspv,1-EXP((T0-t)*PertePVj)+Pspv)</f>
        <v>1.4958856452256253E-2</v>
      </c>
      <c r="M248" s="835"/>
      <c r="N248" s="835"/>
      <c r="O248" s="48">
        <f>IF(t&lt;Tnet,'2023'!Resal+('2023'!Salim-'2023'!Resal)*(1-EXP(('2023'!Tnet-t)/('2023'!Tau_j))),Resal+(Salim-Resal)*(1-EXP((Tnet-t)/(Tau_j))))*Salcycl</f>
        <v>1.9278545291540477E-2</v>
      </c>
      <c r="P248" s="165">
        <f>(INDEX(Models!$BJ248:$BT248,,T248)*(1-R248)+INDEX(Models!$BJ248:$BT248,,T248+1)*R248-ERP_i)*Q248*Ramure*Pc/MaxiM</f>
        <v>1.916822335272556E-4</v>
      </c>
      <c r="Q248" s="301">
        <f t="shared" si="80"/>
        <v>0.5</v>
      </c>
      <c r="R248" s="173">
        <f t="shared" si="81"/>
        <v>0.46594086486846131</v>
      </c>
      <c r="S248" s="801">
        <f t="shared" si="82"/>
        <v>1</v>
      </c>
      <c r="T248" s="172">
        <f t="shared" si="83"/>
        <v>7</v>
      </c>
      <c r="U248" s="247">
        <f t="shared" si="84"/>
        <v>1.4659408648684613</v>
      </c>
      <c r="V248" s="378">
        <f t="shared" si="85"/>
        <v>214.77701732262611</v>
      </c>
      <c r="W248" s="397">
        <f t="shared" si="86"/>
        <v>105.12232647674097</v>
      </c>
      <c r="X248" s="153">
        <f t="shared" si="87"/>
        <v>45525</v>
      </c>
      <c r="Y248" s="380">
        <f t="shared" si="88"/>
        <v>101.39972050134074</v>
      </c>
      <c r="Z248" s="380">
        <f t="shared" si="89"/>
        <v>102.93957888513924</v>
      </c>
      <c r="AA248" s="381">
        <f t="shared" si="90"/>
        <v>108.81654105182274</v>
      </c>
      <c r="AB248" s="193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5.4007985457694863E-2</v>
      </c>
      <c r="AD248" s="227">
        <f>(INDEX(Models!$BJ248:$BT248,,AH248)*(1-AF248)+INDEX(Models!$BJ248:$BT248,,AH248+1)*AF248-ERP_i)*AE248*Ramure*Pc/MaxiM</f>
        <v>1.916822335272556E-4</v>
      </c>
      <c r="AE248" s="301">
        <f t="shared" si="92"/>
        <v>0.5</v>
      </c>
      <c r="AF248" s="173">
        <f t="shared" si="93"/>
        <v>0.46594086486846131</v>
      </c>
      <c r="AG248" s="801">
        <f t="shared" si="99"/>
        <v>1</v>
      </c>
      <c r="AH248" s="172">
        <f t="shared" si="94"/>
        <v>7</v>
      </c>
      <c r="AI248" s="221">
        <f t="shared" si="95"/>
        <v>1.4659408648684613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customHeight="1" x14ac:dyDescent="0.2">
      <c r="A249" s="56">
        <f t="shared" si="98"/>
        <v>45526</v>
      </c>
      <c r="B249" s="406">
        <f>'2023'!Wh/'2023'!Env_an*'2024'!Env_an</f>
        <v>182.4450116479307</v>
      </c>
      <c r="C249" s="385"/>
      <c r="D249" s="388">
        <f t="shared" si="77"/>
        <v>185.21816108514275</v>
      </c>
      <c r="E249" s="380">
        <f t="shared" si="100"/>
        <v>188.87247297084252</v>
      </c>
      <c r="F249" s="380">
        <f t="shared" si="78"/>
        <v>188.9009768754664</v>
      </c>
      <c r="G249" s="110">
        <f t="shared" si="101"/>
        <v>0.85270332316716224</v>
      </c>
      <c r="H249" s="409" t="b">
        <f>Wh_hp&gt;='2023'!Maxi_hp</f>
        <v>0</v>
      </c>
      <c r="I249" s="375">
        <f>IF(H249,Wh_hp,'2023'!Maxi_hp)</f>
        <v>188.9062372791623</v>
      </c>
      <c r="J249" s="85">
        <f>IF(H249,An,'2023'!An_max)</f>
        <v>2022</v>
      </c>
      <c r="K249" s="193">
        <f t="shared" si="79"/>
        <v>45526</v>
      </c>
      <c r="L249" s="143">
        <f>IF(t&lt;Tvie,1-EXP((T0-t)*PertePVj)+'2023'!Pspv,1-EXP((T0-t)*PertePVj)+Pspv)</f>
        <v>1.497234083831156E-2</v>
      </c>
      <c r="M249" s="835"/>
      <c r="N249" s="835"/>
      <c r="O249" s="48">
        <f>IF(t&lt;Tnet,'2023'!Resal+('2023'!Salim-'2023'!Resal)*(1-EXP(('2023'!Tnet-t)/('2023'!Tau_j))),Resal+(Salim-Resal)*(1-EXP((Tnet-t)/(Tau_j))))*Salcycl</f>
        <v>1.9348038537431042E-2</v>
      </c>
      <c r="P249" s="165">
        <f>(INDEX(Models!$BJ249:$BT249,,T249)*(1-R249)+INDEX(Models!$BJ249:$BT249,,T249+1)*R249-ERP_i)*Q249*Ramure*Pc/MaxiM</f>
        <v>1.9109493502538603E-4</v>
      </c>
      <c r="Q249" s="301">
        <f t="shared" si="80"/>
        <v>0.5</v>
      </c>
      <c r="R249" s="173">
        <f t="shared" si="81"/>
        <v>0.4668536471528475</v>
      </c>
      <c r="S249" s="801">
        <f t="shared" si="82"/>
        <v>1</v>
      </c>
      <c r="T249" s="172">
        <f t="shared" si="83"/>
        <v>7</v>
      </c>
      <c r="U249" s="247">
        <f t="shared" si="84"/>
        <v>1.4668536471528475</v>
      </c>
      <c r="V249" s="378">
        <f t="shared" si="85"/>
        <v>213.95211090305611</v>
      </c>
      <c r="W249" s="397">
        <f t="shared" si="86"/>
        <v>182.4450116479307</v>
      </c>
      <c r="X249" s="153">
        <f t="shared" si="87"/>
        <v>45526</v>
      </c>
      <c r="Y249" s="380">
        <f t="shared" si="88"/>
        <v>175.99130287429668</v>
      </c>
      <c r="Z249" s="380">
        <f t="shared" si="89"/>
        <v>178.6663564595483</v>
      </c>
      <c r="AA249" s="381">
        <f t="shared" si="90"/>
        <v>188.87247297084252</v>
      </c>
      <c r="AB249" s="193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5.4037077774005786E-2</v>
      </c>
      <c r="AD249" s="227">
        <f>(INDEX(Models!$BJ249:$BT249,,AH249)*(1-AF249)+INDEX(Models!$BJ249:$BT249,,AH249+1)*AF249-ERP_i)*AE249*Ramure*Pc/MaxiM</f>
        <v>1.9109493502538603E-4</v>
      </c>
      <c r="AE249" s="301">
        <f t="shared" si="92"/>
        <v>0.5</v>
      </c>
      <c r="AF249" s="173">
        <f t="shared" si="93"/>
        <v>0.4668536471528475</v>
      </c>
      <c r="AG249" s="801">
        <f t="shared" si="99"/>
        <v>1</v>
      </c>
      <c r="AH249" s="172">
        <f t="shared" si="94"/>
        <v>7</v>
      </c>
      <c r="AI249" s="221">
        <f t="shared" si="95"/>
        <v>1.4668536471528475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45527</v>
      </c>
      <c r="B250" s="406">
        <f>'2023'!Wh/'2023'!Env_an*'2024'!Env_an</f>
        <v>194.32208082937552</v>
      </c>
      <c r="C250" s="385"/>
      <c r="D250" s="388">
        <f t="shared" si="77"/>
        <v>197.27846133505909</v>
      </c>
      <c r="E250" s="380">
        <f t="shared" si="100"/>
        <v>201.18494546164138</v>
      </c>
      <c r="F250" s="380">
        <f t="shared" si="78"/>
        <v>201.21838602666816</v>
      </c>
      <c r="G250" s="110">
        <f t="shared" si="101"/>
        <v>0.91179552553103393</v>
      </c>
      <c r="H250" s="409" t="b">
        <f>Wh_hp&gt;='2023'!Maxi_hp</f>
        <v>0</v>
      </c>
      <c r="I250" s="375">
        <f>IF(H250,Wh_hp,'2023'!Maxi_hp)</f>
        <v>201.22172147178324</v>
      </c>
      <c r="J250" s="85">
        <f>IF(H250,An,'2023'!An_max)</f>
        <v>2022</v>
      </c>
      <c r="K250" s="193">
        <f t="shared" si="79"/>
        <v>45527</v>
      </c>
      <c r="L250" s="143">
        <f>IF(t&lt;Tvie,1-EXP((T0-t)*PertePVj)+'2023'!Pspv,1-EXP((T0-t)*PertePVj)+Pspv)</f>
        <v>1.4985825039776857E-2</v>
      </c>
      <c r="M250" s="835"/>
      <c r="N250" s="835"/>
      <c r="O250" s="48">
        <f>IF(t&lt;Tnet,'2023'!Resal+('2023'!Salim-'2023'!Resal)*(1-EXP(('2023'!Tnet-t)/('2023'!Tau_j))),Resal+(Salim-Resal)*(1-EXP((Tnet-t)/(Tau_j))))*Salcycl</f>
        <v>1.9417377963437711E-2</v>
      </c>
      <c r="P250" s="165">
        <f>(INDEX(Models!$BJ250:$BT250,,T250)*(1-R250)+INDEX(Models!$BJ250:$BT250,,T250+1)*R250-ERP_i)*Q250*Ramure*Pc/MaxiM</f>
        <v>1.9014380599300878E-4</v>
      </c>
      <c r="Q250" s="301">
        <f t="shared" si="80"/>
        <v>0.5</v>
      </c>
      <c r="R250" s="173">
        <f t="shared" si="81"/>
        <v>0.4677329687025118</v>
      </c>
      <c r="S250" s="801">
        <f t="shared" si="82"/>
        <v>1</v>
      </c>
      <c r="T250" s="172">
        <f t="shared" si="83"/>
        <v>7</v>
      </c>
      <c r="U250" s="247">
        <f t="shared" si="84"/>
        <v>1.4677329687025118</v>
      </c>
      <c r="V250" s="378">
        <f t="shared" si="85"/>
        <v>213.11513375518081</v>
      </c>
      <c r="W250" s="397">
        <f t="shared" si="86"/>
        <v>194.32208082937552</v>
      </c>
      <c r="X250" s="153">
        <f t="shared" si="87"/>
        <v>45527</v>
      </c>
      <c r="Y250" s="380">
        <f t="shared" si="88"/>
        <v>187.45577365611862</v>
      </c>
      <c r="Z250" s="380">
        <f t="shared" si="89"/>
        <v>190.30769142351528</v>
      </c>
      <c r="AA250" s="381">
        <f t="shared" si="90"/>
        <v>201.18494546164138</v>
      </c>
      <c r="AB250" s="193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5.4065944214498805E-2</v>
      </c>
      <c r="AD250" s="227">
        <f>(INDEX(Models!$BJ250:$BT250,,AH250)*(1-AF250)+INDEX(Models!$BJ250:$BT250,,AH250+1)*AF250-ERP_i)*AE250*Ramure*Pc/MaxiM</f>
        <v>1.9014380599300878E-4</v>
      </c>
      <c r="AE250" s="301">
        <f t="shared" si="92"/>
        <v>0.5</v>
      </c>
      <c r="AF250" s="173">
        <f t="shared" si="93"/>
        <v>0.4677329687025118</v>
      </c>
      <c r="AG250" s="801">
        <f t="shared" si="99"/>
        <v>1</v>
      </c>
      <c r="AH250" s="172">
        <f t="shared" si="94"/>
        <v>7</v>
      </c>
      <c r="AI250" s="221">
        <f t="shared" si="95"/>
        <v>1.4677329687025118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45528</v>
      </c>
      <c r="B251" s="406">
        <f>'2023'!Wh/'2023'!Env_an*'2024'!Env_an</f>
        <v>136.11396684876485</v>
      </c>
      <c r="C251" s="385"/>
      <c r="D251" s="388">
        <f t="shared" si="77"/>
        <v>138.18667144122216</v>
      </c>
      <c r="E251" s="380">
        <f t="shared" si="100"/>
        <v>140.93297026146658</v>
      </c>
      <c r="F251" s="380">
        <f t="shared" si="78"/>
        <v>140.94594433179662</v>
      </c>
      <c r="G251" s="110">
        <f t="shared" si="101"/>
        <v>0.6411801043113935</v>
      </c>
      <c r="H251" s="409" t="b">
        <f>Wh_hp&gt;='2023'!Maxi_hp</f>
        <v>0</v>
      </c>
      <c r="I251" s="375">
        <f>IF(H251,Wh_hp,'2023'!Maxi_hp)</f>
        <v>140.95537461468533</v>
      </c>
      <c r="J251" s="85">
        <f>IF(H251,An,'2023'!An_max)</f>
        <v>2022</v>
      </c>
      <c r="K251" s="193">
        <f t="shared" si="79"/>
        <v>45528</v>
      </c>
      <c r="L251" s="143">
        <f>IF(t&lt;Tvie,1-EXP((T0-t)*PertePVj)+'2023'!Pspv,1-EXP((T0-t)*PertePVj)+Pspv)</f>
        <v>1.4999309056654919E-2</v>
      </c>
      <c r="M251" s="835"/>
      <c r="N251" s="835"/>
      <c r="O251" s="48">
        <f>IF(t&lt;Tnet,'2023'!Resal+('2023'!Salim-'2023'!Resal)*(1-EXP(('2023'!Tnet-t)/('2023'!Tau_j))),Resal+(Salim-Resal)*(1-EXP((Tnet-t)/(Tau_j))))*Salcycl</f>
        <v>1.9486560278615669E-2</v>
      </c>
      <c r="P251" s="165">
        <f>(INDEX(Models!$BJ251:$BT251,,T251)*(1-R251)+INDEX(Models!$BJ251:$BT251,,T251+1)*R251-ERP_i)*Q251*Ramure*Pc/MaxiM</f>
        <v>1.8882479159420209E-4</v>
      </c>
      <c r="Q251" s="301">
        <f t="shared" si="80"/>
        <v>0.5</v>
      </c>
      <c r="R251" s="173">
        <f t="shared" si="81"/>
        <v>0.46857993387047636</v>
      </c>
      <c r="S251" s="801">
        <f t="shared" si="82"/>
        <v>1</v>
      </c>
      <c r="T251" s="172">
        <f t="shared" si="83"/>
        <v>7</v>
      </c>
      <c r="U251" s="247">
        <f t="shared" si="84"/>
        <v>1.4685799338704764</v>
      </c>
      <c r="V251" s="378">
        <f t="shared" si="85"/>
        <v>212.26608922591706</v>
      </c>
      <c r="W251" s="397">
        <f t="shared" si="86"/>
        <v>136.11396684876485</v>
      </c>
      <c r="X251" s="153">
        <f t="shared" si="87"/>
        <v>45528</v>
      </c>
      <c r="Y251" s="380">
        <f t="shared" si="88"/>
        <v>131.30971403335289</v>
      </c>
      <c r="Z251" s="380">
        <f t="shared" si="89"/>
        <v>133.30926083675763</v>
      </c>
      <c r="AA251" s="381">
        <f t="shared" si="90"/>
        <v>140.93297026146658</v>
      </c>
      <c r="AB251" s="193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5.4094577092677759E-2</v>
      </c>
      <c r="AD251" s="227">
        <f>(INDEX(Models!$BJ251:$BT251,,AH251)*(1-AF251)+INDEX(Models!$BJ251:$BT251,,AH251+1)*AF251-ERP_i)*AE251*Ramure*Pc/MaxiM</f>
        <v>1.8882479159420209E-4</v>
      </c>
      <c r="AE251" s="301">
        <f t="shared" si="92"/>
        <v>0.5</v>
      </c>
      <c r="AF251" s="173">
        <f t="shared" si="93"/>
        <v>0.46857993387047636</v>
      </c>
      <c r="AG251" s="801">
        <f t="shared" si="99"/>
        <v>1</v>
      </c>
      <c r="AH251" s="172">
        <f t="shared" si="94"/>
        <v>7</v>
      </c>
      <c r="AI251" s="221">
        <f t="shared" si="95"/>
        <v>1.4685799338704764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customHeight="1" x14ac:dyDescent="0.2">
      <c r="A252" s="56">
        <f t="shared" si="98"/>
        <v>45529</v>
      </c>
      <c r="B252" s="406">
        <f>'2023'!Wh/'2023'!Env_an*'2024'!Env_an</f>
        <v>183.78342534535204</v>
      </c>
      <c r="C252" s="385"/>
      <c r="D252" s="388">
        <f t="shared" si="77"/>
        <v>186.58458101642273</v>
      </c>
      <c r="E252" s="380">
        <f t="shared" si="100"/>
        <v>190.30612812155303</v>
      </c>
      <c r="F252" s="380">
        <f t="shared" si="78"/>
        <v>190.33509799619389</v>
      </c>
      <c r="G252" s="110">
        <f t="shared" si="101"/>
        <v>0.86931256017167746</v>
      </c>
      <c r="H252" s="409" t="b">
        <f>Wh_hp&gt;='2023'!Maxi_hp</f>
        <v>0</v>
      </c>
      <c r="I252" s="375">
        <f>IF(H252,Wh_hp,'2023'!Maxi_hp)</f>
        <v>190.33969049923974</v>
      </c>
      <c r="J252" s="85">
        <f>IF(H252,An,'2023'!An_max)</f>
        <v>2022</v>
      </c>
      <c r="K252" s="193">
        <f t="shared" si="79"/>
        <v>45529</v>
      </c>
      <c r="L252" s="143">
        <f>IF(t&lt;Tvie,1-EXP((T0-t)*PertePVj)+'2023'!Pspv,1-EXP((T0-t)*PertePVj)+Pspv)</f>
        <v>1.5012792888947968E-2</v>
      </c>
      <c r="M252" s="835"/>
      <c r="N252" s="835"/>
      <c r="O252" s="48">
        <f>IF(t&lt;Tnet,'2023'!Resal+('2023'!Salim-'2023'!Resal)*(1-EXP(('2023'!Tnet-t)/('2023'!Tau_j))),Resal+(Salim-Resal)*(1-EXP((Tnet-t)/(Tau_j))))*Salcycl</f>
        <v>1.955558206067461E-2</v>
      </c>
      <c r="P252" s="165">
        <f>(INDEX(Models!$BJ252:$BT252,,T252)*(1-R252)+INDEX(Models!$BJ252:$BT252,,T252+1)*R252-ERP_i)*Q252*Ramure*Pc/MaxiM</f>
        <v>1.8713363073428319E-4</v>
      </c>
      <c r="Q252" s="301">
        <f t="shared" si="80"/>
        <v>0.5</v>
      </c>
      <c r="R252" s="173">
        <f t="shared" si="81"/>
        <v>0.46939561987188005</v>
      </c>
      <c r="S252" s="801">
        <f t="shared" si="82"/>
        <v>1</v>
      </c>
      <c r="T252" s="172">
        <f t="shared" si="83"/>
        <v>7</v>
      </c>
      <c r="U252" s="247">
        <f t="shared" si="84"/>
        <v>1.4693956198718801</v>
      </c>
      <c r="V252" s="378">
        <f t="shared" si="85"/>
        <v>211.40498068061939</v>
      </c>
      <c r="W252" s="397">
        <f t="shared" si="86"/>
        <v>183.78342534535204</v>
      </c>
      <c r="X252" s="153">
        <f t="shared" si="87"/>
        <v>45529</v>
      </c>
      <c r="Y252" s="380">
        <f t="shared" si="88"/>
        <v>177.30379982192852</v>
      </c>
      <c r="Z252" s="380">
        <f t="shared" si="89"/>
        <v>180.00619555451593</v>
      </c>
      <c r="AA252" s="381">
        <f t="shared" si="90"/>
        <v>190.30612812155303</v>
      </c>
      <c r="AB252" s="193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5.4122968444076068E-2</v>
      </c>
      <c r="AD252" s="227">
        <f>(INDEX(Models!$BJ252:$BT252,,AH252)*(1-AF252)+INDEX(Models!$BJ252:$BT252,,AH252+1)*AF252-ERP_i)*AE252*Ramure*Pc/MaxiM</f>
        <v>1.8713363073428319E-4</v>
      </c>
      <c r="AE252" s="301">
        <f t="shared" si="92"/>
        <v>0.5</v>
      </c>
      <c r="AF252" s="173">
        <f t="shared" si="93"/>
        <v>0.46939561987188005</v>
      </c>
      <c r="AG252" s="801">
        <f t="shared" si="99"/>
        <v>1</v>
      </c>
      <c r="AH252" s="172">
        <f t="shared" si="94"/>
        <v>7</v>
      </c>
      <c r="AI252" s="221">
        <f t="shared" si="95"/>
        <v>1.4693956198718801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customHeight="1" x14ac:dyDescent="0.2">
      <c r="A253" s="56">
        <f t="shared" si="98"/>
        <v>45530</v>
      </c>
      <c r="B253" s="406">
        <f>'2023'!Wh/'2023'!Env_an*'2024'!Env_an</f>
        <v>201.03873035405485</v>
      </c>
      <c r="C253" s="385"/>
      <c r="D253" s="388">
        <f t="shared" si="77"/>
        <v>204.10567872528338</v>
      </c>
      <c r="E253" s="380">
        <f t="shared" si="100"/>
        <v>208.19131667673253</v>
      </c>
      <c r="F253" s="380">
        <f t="shared" si="78"/>
        <v>208.22737016556206</v>
      </c>
      <c r="G253" s="110">
        <f t="shared" si="101"/>
        <v>0.95489765624792</v>
      </c>
      <c r="H253" s="409" t="b">
        <f>Wh_hp&gt;='2023'!Maxi_hp</f>
        <v>0</v>
      </c>
      <c r="I253" s="375">
        <f>IF(H253,Wh_hp,'2023'!Maxi_hp)</f>
        <v>208.22908354447418</v>
      </c>
      <c r="J253" s="85">
        <f>IF(H253,An,'2023'!An_max)</f>
        <v>2022</v>
      </c>
      <c r="K253" s="193">
        <f t="shared" si="79"/>
        <v>45530</v>
      </c>
      <c r="L253" s="143">
        <f>IF(t&lt;Tvie,1-EXP((T0-t)*PertePVj)+'2023'!Pspv,1-EXP((T0-t)*PertePVj)+Pspv)</f>
        <v>1.5026276536658778E-2</v>
      </c>
      <c r="M253" s="835"/>
      <c r="N253" s="835"/>
      <c r="O253" s="48">
        <f>IF(t&lt;Tnet,'2023'!Resal+('2023'!Salim-'2023'!Resal)*(1-EXP(('2023'!Tnet-t)/('2023'!Tau_j))),Resal+(Salim-Resal)*(1-EXP((Tnet-t)/(Tau_j))))*Salcycl</f>
        <v>1.9624439754099245E-2</v>
      </c>
      <c r="P253" s="165">
        <f>(INDEX(Models!$BJ253:$BT253,,T253)*(1-R253)+INDEX(Models!$BJ253:$BT253,,T253+1)*R253-ERP_i)*Q253*Ramure*Pc/MaxiM</f>
        <v>1.8506595657510644E-4</v>
      </c>
      <c r="Q253" s="301">
        <f t="shared" si="80"/>
        <v>0.5</v>
      </c>
      <c r="R253" s="173">
        <f t="shared" si="81"/>
        <v>0.47018107670712728</v>
      </c>
      <c r="S253" s="801">
        <f t="shared" si="82"/>
        <v>1</v>
      </c>
      <c r="T253" s="172">
        <f t="shared" si="83"/>
        <v>7</v>
      </c>
      <c r="U253" s="247">
        <f t="shared" si="84"/>
        <v>1.4701810767071273</v>
      </c>
      <c r="V253" s="378">
        <f t="shared" si="85"/>
        <v>210.53181145836569</v>
      </c>
      <c r="W253" s="397">
        <f t="shared" si="86"/>
        <v>201.03873035405485</v>
      </c>
      <c r="X253" s="153">
        <f t="shared" si="87"/>
        <v>45530</v>
      </c>
      <c r="Y253" s="380">
        <f t="shared" si="88"/>
        <v>193.95858858387402</v>
      </c>
      <c r="Z253" s="380">
        <f t="shared" si="89"/>
        <v>196.91752578117661</v>
      </c>
      <c r="AA253" s="381">
        <f t="shared" si="90"/>
        <v>208.19131667673253</v>
      </c>
      <c r="AB253" s="193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5.4151110024733738E-2</v>
      </c>
      <c r="AD253" s="227">
        <f>(INDEX(Models!$BJ253:$BT253,,AH253)*(1-AF253)+INDEX(Models!$BJ253:$BT253,,AH253+1)*AF253-ERP_i)*AE253*Ramure*Pc/MaxiM</f>
        <v>1.8506595657510644E-4</v>
      </c>
      <c r="AE253" s="301">
        <f t="shared" si="92"/>
        <v>0.5</v>
      </c>
      <c r="AF253" s="173">
        <f t="shared" si="93"/>
        <v>0.47018107670712728</v>
      </c>
      <c r="AG253" s="801">
        <f t="shared" si="99"/>
        <v>1</v>
      </c>
      <c r="AH253" s="172">
        <f t="shared" si="94"/>
        <v>7</v>
      </c>
      <c r="AI253" s="221">
        <f t="shared" si="95"/>
        <v>1.4701810767071273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45531</v>
      </c>
      <c r="B254" s="406">
        <f>'2023'!Wh/'2023'!Env_an*'2024'!Env_an</f>
        <v>197.98287206615692</v>
      </c>
      <c r="C254" s="385"/>
      <c r="D254" s="388">
        <f t="shared" si="77"/>
        <v>201.00595336326941</v>
      </c>
      <c r="E254" s="380">
        <f t="shared" si="100"/>
        <v>205.04390966358423</v>
      </c>
      <c r="F254" s="380">
        <f t="shared" si="78"/>
        <v>205.07841098654228</v>
      </c>
      <c r="G254" s="110">
        <f t="shared" si="101"/>
        <v>0.94435129577462251</v>
      </c>
      <c r="H254" s="409" t="b">
        <f>Wh_hp&gt;='2023'!Maxi_hp</f>
        <v>0</v>
      </c>
      <c r="I254" s="375">
        <f>IF(H254,Wh_hp,'2023'!Maxi_hp)</f>
        <v>205.08046560040967</v>
      </c>
      <c r="J254" s="85">
        <f>IF(H254,An,'2023'!An_max)</f>
        <v>2022</v>
      </c>
      <c r="K254" s="193">
        <f t="shared" si="79"/>
        <v>45531</v>
      </c>
      <c r="L254" s="143">
        <f>IF(t&lt;Tvie,1-EXP((T0-t)*PertePVj)+'2023'!Pspv,1-EXP((T0-t)*PertePVj)+Pspv)</f>
        <v>1.5039759999789681E-2</v>
      </c>
      <c r="M254" s="835"/>
      <c r="N254" s="835"/>
      <c r="O254" s="48">
        <f>IF(t&lt;Tnet,'2023'!Resal+('2023'!Salim-'2023'!Resal)*(1-EXP(('2023'!Tnet-t)/('2023'!Tau_j))),Resal+(Salim-Resal)*(1-EXP((Tnet-t)/(Tau_j))))*Salcycl</f>
        <v>1.9693129666420627E-2</v>
      </c>
      <c r="P254" s="165">
        <f>(INDEX(Models!$BJ254:$BT254,,T254)*(1-R254)+INDEX(Models!$BJ254:$BT254,,T254+1)*R254-ERP_i)*Q254*Ramure*Pc/MaxiM</f>
        <v>1.8276031231102979E-4</v>
      </c>
      <c r="Q254" s="301">
        <f t="shared" si="80"/>
        <v>0.5</v>
      </c>
      <c r="R254" s="173">
        <f t="shared" si="81"/>
        <v>0.47093732715968706</v>
      </c>
      <c r="S254" s="801">
        <f t="shared" si="82"/>
        <v>1</v>
      </c>
      <c r="T254" s="172">
        <f t="shared" si="83"/>
        <v>7</v>
      </c>
      <c r="U254" s="247">
        <f t="shared" si="84"/>
        <v>1.4709373271596871</v>
      </c>
      <c r="V254" s="378">
        <f t="shared" si="85"/>
        <v>209.64655490286637</v>
      </c>
      <c r="W254" s="397">
        <f t="shared" si="86"/>
        <v>197.98287206615692</v>
      </c>
      <c r="X254" s="153">
        <f t="shared" si="87"/>
        <v>45531</v>
      </c>
      <c r="Y254" s="380">
        <f t="shared" si="88"/>
        <v>191.01810364987205</v>
      </c>
      <c r="Z254" s="380">
        <f t="shared" si="89"/>
        <v>193.93483705477416</v>
      </c>
      <c r="AA254" s="381">
        <f t="shared" si="90"/>
        <v>205.04390966358423</v>
      </c>
      <c r="AB254" s="193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5.4178993304588995E-2</v>
      </c>
      <c r="AD254" s="227">
        <f>(INDEX(Models!$BJ254:$BT254,,AH254)*(1-AF254)+INDEX(Models!$BJ254:$BT254,,AH254+1)*AF254-ERP_i)*AE254*Ramure*Pc/MaxiM</f>
        <v>1.8276031231102979E-4</v>
      </c>
      <c r="AE254" s="301">
        <f t="shared" si="92"/>
        <v>0.5</v>
      </c>
      <c r="AF254" s="173">
        <f t="shared" si="93"/>
        <v>0.47093732715968706</v>
      </c>
      <c r="AG254" s="801">
        <f t="shared" si="99"/>
        <v>1</v>
      </c>
      <c r="AH254" s="172">
        <f t="shared" si="94"/>
        <v>7</v>
      </c>
      <c r="AI254" s="221">
        <f t="shared" si="95"/>
        <v>1.4709373271596871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45532</v>
      </c>
      <c r="B255" s="406">
        <f>'2023'!Wh/'2023'!Env_an*'2024'!Env_an</f>
        <v>133.27280531033128</v>
      </c>
      <c r="C255" s="385"/>
      <c r="D255" s="388">
        <f t="shared" si="77"/>
        <v>135.30965445677774</v>
      </c>
      <c r="E255" s="380">
        <f t="shared" si="100"/>
        <v>138.0375029966541</v>
      </c>
      <c r="F255" s="380">
        <f t="shared" si="78"/>
        <v>138.04954514983541</v>
      </c>
      <c r="G255" s="110">
        <f t="shared" si="101"/>
        <v>0.63837563420333665</v>
      </c>
      <c r="H255" s="409" t="b">
        <f>Wh_hp&gt;='2023'!Maxi_hp</f>
        <v>0</v>
      </c>
      <c r="I255" s="375">
        <f>IF(H255,Wh_hp,'2023'!Maxi_hp)</f>
        <v>138.05841280962883</v>
      </c>
      <c r="J255" s="85">
        <f>IF(H255,An,'2023'!An_max)</f>
        <v>2022</v>
      </c>
      <c r="K255" s="193">
        <f t="shared" si="79"/>
        <v>45532</v>
      </c>
      <c r="L255" s="143">
        <f>IF(t&lt;Tvie,1-EXP((T0-t)*PertePVj)+'2023'!Pspv,1-EXP((T0-t)*PertePVj)+Pspv)</f>
        <v>1.5053243278343342E-2</v>
      </c>
      <c r="M255" s="835"/>
      <c r="N255" s="835"/>
      <c r="O255" s="48">
        <f>IF(t&lt;Tnet,'2023'!Resal+('2023'!Salim-'2023'!Resal)*(1-EXP(('2023'!Tnet-t)/('2023'!Tau_j))),Resal+(Salim-Resal)*(1-EXP((Tnet-t)/(Tau_j))))*Salcycl</f>
        <v>1.9761647962745949E-2</v>
      </c>
      <c r="P255" s="165">
        <f>(INDEX(Models!$BJ255:$BT255,,T255)*(1-R255)+INDEX(Models!$BJ255:$BT255,,T255+1)*R255-ERP_i)*Q255*Ramure*Pc/MaxiM</f>
        <v>1.8042294264426447E-4</v>
      </c>
      <c r="Q255" s="301">
        <f t="shared" si="80"/>
        <v>0.5</v>
      </c>
      <c r="R255" s="173">
        <f t="shared" si="81"/>
        <v>0.47166536686198168</v>
      </c>
      <c r="S255" s="801">
        <f t="shared" si="82"/>
        <v>1</v>
      </c>
      <c r="T255" s="172">
        <f t="shared" si="83"/>
        <v>7</v>
      </c>
      <c r="U255" s="247">
        <f t="shared" si="84"/>
        <v>1.4716653668619817</v>
      </c>
      <c r="V255" s="378">
        <f t="shared" si="85"/>
        <v>208.7491706923158</v>
      </c>
      <c r="W255" s="397">
        <f t="shared" si="86"/>
        <v>133.27280531033128</v>
      </c>
      <c r="X255" s="153">
        <f t="shared" si="87"/>
        <v>45532</v>
      </c>
      <c r="Y255" s="380">
        <f t="shared" si="88"/>
        <v>128.58968243771952</v>
      </c>
      <c r="Z255" s="380">
        <f t="shared" si="89"/>
        <v>130.55495798140754</v>
      </c>
      <c r="AA255" s="381">
        <f t="shared" si="90"/>
        <v>138.0375029966541</v>
      </c>
      <c r="AB255" s="193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5.4206609456184718E-2</v>
      </c>
      <c r="AD255" s="227">
        <f>(INDEX(Models!$BJ255:$BT255,,AH255)*(1-AF255)+INDEX(Models!$BJ255:$BT255,,AH255+1)*AF255-ERP_i)*AE255*Ramure*Pc/MaxiM</f>
        <v>1.8042294264426447E-4</v>
      </c>
      <c r="AE255" s="301">
        <f t="shared" si="92"/>
        <v>0.5</v>
      </c>
      <c r="AF255" s="173">
        <f t="shared" si="93"/>
        <v>0.47166536686198168</v>
      </c>
      <c r="AG255" s="801">
        <f t="shared" si="99"/>
        <v>1</v>
      </c>
      <c r="AH255" s="172">
        <f t="shared" si="94"/>
        <v>7</v>
      </c>
      <c r="AI255" s="221">
        <f t="shared" si="95"/>
        <v>1.4716653668619817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customHeight="1" x14ac:dyDescent="0.2">
      <c r="A256" s="56">
        <f t="shared" si="98"/>
        <v>45533</v>
      </c>
      <c r="B256" s="406">
        <f>'2023'!Wh/'2023'!Env_an*'2024'!Env_an</f>
        <v>197.89244193038539</v>
      </c>
      <c r="C256" s="385"/>
      <c r="D256" s="388">
        <f t="shared" si="77"/>
        <v>200.91964321756913</v>
      </c>
      <c r="E256" s="380">
        <f t="shared" si="100"/>
        <v>204.98448361278685</v>
      </c>
      <c r="F256" s="380">
        <f t="shared" si="78"/>
        <v>205.01849202738453</v>
      </c>
      <c r="G256" s="110">
        <f t="shared" si="101"/>
        <v>0.95212833943755926</v>
      </c>
      <c r="H256" s="409" t="b">
        <f>Wh_hp&gt;='2023'!Maxi_hp</f>
        <v>0</v>
      </c>
      <c r="I256" s="375">
        <f>IF(H256,Wh_hp,'2023'!Maxi_hp)</f>
        <v>205.02021150821608</v>
      </c>
      <c r="J256" s="85">
        <f>IF(H256,An,'2023'!An_max)</f>
        <v>2022</v>
      </c>
      <c r="K256" s="193">
        <f t="shared" si="79"/>
        <v>45533</v>
      </c>
      <c r="L256" s="143">
        <f>IF(t&lt;Tvie,1-EXP((T0-t)*PertePVj)+'2023'!Pspv,1-EXP((T0-t)*PertePVj)+Pspv)</f>
        <v>1.5066726372322314E-2</v>
      </c>
      <c r="M256" s="835"/>
      <c r="N256" s="835"/>
      <c r="O256" s="48">
        <f>IF(t&lt;Tnet,'2023'!Resal+('2023'!Salim-'2023'!Resal)*(1-EXP(('2023'!Tnet-t)/('2023'!Tau_j))),Resal+(Salim-Resal)*(1-EXP((Tnet-t)/(Tau_j))))*Salcycl</f>
        <v>1.9829990658688807E-2</v>
      </c>
      <c r="P256" s="165">
        <f>(INDEX(Models!$BJ256:$BT256,,T256)*(1-R256)+INDEX(Models!$BJ256:$BT256,,T256+1)*R256-ERP_i)*Q256*Ramure*Pc/MaxiM</f>
        <v>1.7805353380490917E-4</v>
      </c>
      <c r="Q256" s="301">
        <f t="shared" si="80"/>
        <v>0.5</v>
      </c>
      <c r="R256" s="173">
        <f t="shared" si="81"/>
        <v>0.47236616442315649</v>
      </c>
      <c r="S256" s="801">
        <f t="shared" si="82"/>
        <v>1</v>
      </c>
      <c r="T256" s="172">
        <f t="shared" si="83"/>
        <v>7</v>
      </c>
      <c r="U256" s="247">
        <f t="shared" si="84"/>
        <v>1.4723661644231565</v>
      </c>
      <c r="V256" s="378">
        <f t="shared" si="85"/>
        <v>207.83966218907145</v>
      </c>
      <c r="W256" s="397">
        <f t="shared" si="86"/>
        <v>197.89244193038539</v>
      </c>
      <c r="X256" s="153">
        <f t="shared" si="87"/>
        <v>45533</v>
      </c>
      <c r="Y256" s="380">
        <f t="shared" si="88"/>
        <v>190.94641896450364</v>
      </c>
      <c r="Z256" s="380">
        <f t="shared" si="89"/>
        <v>193.86736551321422</v>
      </c>
      <c r="AA256" s="381">
        <f t="shared" si="90"/>
        <v>204.98448361278685</v>
      </c>
      <c r="AB256" s="193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5.4233949339173991E-2</v>
      </c>
      <c r="AD256" s="227">
        <f>(INDEX(Models!$BJ256:$BT256,,AH256)*(1-AF256)+INDEX(Models!$BJ256:$BT256,,AH256+1)*AF256-ERP_i)*AE256*Ramure*Pc/MaxiM</f>
        <v>1.7805353380490917E-4</v>
      </c>
      <c r="AE256" s="301">
        <f t="shared" si="92"/>
        <v>0.5</v>
      </c>
      <c r="AF256" s="173">
        <f t="shared" si="93"/>
        <v>0.47236616442315649</v>
      </c>
      <c r="AG256" s="801">
        <f t="shared" si="99"/>
        <v>1</v>
      </c>
      <c r="AH256" s="172">
        <f t="shared" si="94"/>
        <v>7</v>
      </c>
      <c r="AI256" s="221">
        <f t="shared" si="95"/>
        <v>1.4723661644231565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45534</v>
      </c>
      <c r="B257" s="406">
        <f>'2023'!Wh/'2023'!Env_an*'2024'!Env_an</f>
        <v>88.033894421468545</v>
      </c>
      <c r="C257" s="385"/>
      <c r="D257" s="388">
        <f t="shared" si="77"/>
        <v>89.381790528615724</v>
      </c>
      <c r="E257" s="380">
        <f t="shared" si="100"/>
        <v>91.196431123975387</v>
      </c>
      <c r="F257" s="380">
        <f t="shared" si="78"/>
        <v>91.199302082625863</v>
      </c>
      <c r="G257" s="110">
        <f t="shared" si="101"/>
        <v>0.42539164351530834</v>
      </c>
      <c r="H257" s="409" t="b">
        <f>Wh_hp&gt;='2023'!Maxi_hp</f>
        <v>0</v>
      </c>
      <c r="I257" s="375">
        <f>IF(H257,Wh_hp,'2023'!Maxi_hp)</f>
        <v>91.208356380608777</v>
      </c>
      <c r="J257" s="85">
        <f>IF(H257,An,'2023'!An_max)</f>
        <v>2022</v>
      </c>
      <c r="K257" s="193">
        <f t="shared" si="79"/>
        <v>45534</v>
      </c>
      <c r="L257" s="143">
        <f>IF(t&lt;Tvie,1-EXP((T0-t)*PertePVj)+'2023'!Pspv,1-EXP((T0-t)*PertePVj)+Pspv)</f>
        <v>1.5080209281728929E-2</v>
      </c>
      <c r="M257" s="835"/>
      <c r="N257" s="835"/>
      <c r="O257" s="48">
        <f>IF(t&lt;Tnet,'2023'!Resal+('2023'!Salim-'2023'!Resal)*(1-EXP(('2023'!Tnet-t)/('2023'!Tau_j))),Resal+(Salim-Resal)*(1-EXP((Tnet-t)/(Tau_j))))*Salcycl</f>
        <v>1.9898153611875243E-2</v>
      </c>
      <c r="P257" s="165">
        <f>(INDEX(Models!$BJ257:$BT257,,T257)*(1-R257)+INDEX(Models!$BJ257:$BT257,,T257+1)*R257-ERP_i)*Q257*Ramure*Pc/MaxiM</f>
        <v>1.7565174469138725E-4</v>
      </c>
      <c r="Q257" s="301">
        <f t="shared" si="80"/>
        <v>0.5</v>
      </c>
      <c r="R257" s="173">
        <f t="shared" si="81"/>
        <v>0.47304066161285663</v>
      </c>
      <c r="S257" s="801">
        <f t="shared" si="82"/>
        <v>1</v>
      </c>
      <c r="T257" s="172">
        <f t="shared" si="83"/>
        <v>7</v>
      </c>
      <c r="U257" s="247">
        <f t="shared" si="84"/>
        <v>1.4730406616128566</v>
      </c>
      <c r="V257" s="378">
        <f t="shared" si="85"/>
        <v>206.91803275410027</v>
      </c>
      <c r="W257" s="397">
        <f t="shared" si="86"/>
        <v>88.033894421468545</v>
      </c>
      <c r="X257" s="153">
        <f t="shared" si="87"/>
        <v>45534</v>
      </c>
      <c r="Y257" s="380">
        <f t="shared" si="88"/>
        <v>84.947383046590602</v>
      </c>
      <c r="Z257" s="380">
        <f t="shared" si="89"/>
        <v>86.248021257285473</v>
      </c>
      <c r="AA257" s="381">
        <f t="shared" si="90"/>
        <v>91.196431123975387</v>
      </c>
      <c r="AB257" s="193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5.4261003481187606E-2</v>
      </c>
      <c r="AD257" s="227">
        <f>(INDEX(Models!$BJ257:$BT257,,AH257)*(1-AF257)+INDEX(Models!$BJ257:$BT257,,AH257+1)*AF257-ERP_i)*AE257*Ramure*Pc/MaxiM</f>
        <v>1.7565174469138725E-4</v>
      </c>
      <c r="AE257" s="301">
        <f t="shared" si="92"/>
        <v>0.5</v>
      </c>
      <c r="AF257" s="173">
        <f t="shared" si="93"/>
        <v>0.47304066161285663</v>
      </c>
      <c r="AG257" s="801">
        <f t="shared" si="99"/>
        <v>1</v>
      </c>
      <c r="AH257" s="172">
        <f t="shared" si="94"/>
        <v>7</v>
      </c>
      <c r="AI257" s="221">
        <f t="shared" si="95"/>
        <v>1.4730406616128566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customHeight="1" x14ac:dyDescent="0.2">
      <c r="A258" s="56">
        <f t="shared" si="98"/>
        <v>45535</v>
      </c>
      <c r="B258" s="406">
        <f>'2023'!Wh/'2023'!Env_an*'2024'!Env_an</f>
        <v>175.08839993804443</v>
      </c>
      <c r="C258" s="385"/>
      <c r="D258" s="388">
        <f t="shared" si="77"/>
        <v>177.77163017135604</v>
      </c>
      <c r="E258" s="380">
        <f t="shared" si="100"/>
        <v>181.39335391240948</v>
      </c>
      <c r="F258" s="380">
        <f t="shared" si="78"/>
        <v>181.41804515236021</v>
      </c>
      <c r="G258" s="110">
        <f t="shared" si="101"/>
        <v>0.84997697686938911</v>
      </c>
      <c r="H258" s="409" t="b">
        <f>Wh_hp&gt;='2023'!Maxi_hp</f>
        <v>0</v>
      </c>
      <c r="I258" s="375">
        <f>IF(H258,Wh_hp,'2023'!Maxi_hp)</f>
        <v>181.4226808178222</v>
      </c>
      <c r="J258" s="85">
        <f>IF(H258,An,'2023'!An_max)</f>
        <v>2022</v>
      </c>
      <c r="K258" s="193">
        <f t="shared" si="79"/>
        <v>45535</v>
      </c>
      <c r="L258" s="143">
        <f>IF(t&lt;Tvie,1-EXP((T0-t)*PertePVj)+'2023'!Pspv,1-EXP((T0-t)*PertePVj)+Pspv)</f>
        <v>1.5093692006565962E-2</v>
      </c>
      <c r="M258" s="835"/>
      <c r="N258" s="835"/>
      <c r="O258" s="48">
        <f>IF(t&lt;Tnet,'2023'!Resal+('2023'!Salim-'2023'!Resal)*(1-EXP(('2023'!Tnet-t)/('2023'!Tau_j))),Resal+(Salim-Resal)*(1-EXP((Tnet-t)/(Tau_j))))*Salcycl</f>
        <v>1.9966132512232438E-2</v>
      </c>
      <c r="P258" s="165">
        <f>(INDEX(Models!$BJ258:$BT258,,T258)*(1-R258)+INDEX(Models!$BJ258:$BT258,,T258+1)*R258-ERP_i)*Q258*Ramure*Pc/MaxiM</f>
        <v>1.7321720719400745E-4</v>
      </c>
      <c r="Q258" s="301">
        <f t="shared" si="80"/>
        <v>0.5</v>
      </c>
      <c r="R258" s="173">
        <f t="shared" si="81"/>
        <v>0.47368977359547815</v>
      </c>
      <c r="S258" s="801">
        <f t="shared" si="82"/>
        <v>1</v>
      </c>
      <c r="T258" s="172">
        <f t="shared" si="83"/>
        <v>7</v>
      </c>
      <c r="U258" s="247">
        <f t="shared" si="84"/>
        <v>1.4736897735954781</v>
      </c>
      <c r="V258" s="378">
        <f t="shared" si="85"/>
        <v>205.98428576429538</v>
      </c>
      <c r="W258" s="397">
        <f t="shared" si="86"/>
        <v>175.08839993804443</v>
      </c>
      <c r="X258" s="153">
        <f t="shared" si="87"/>
        <v>45535</v>
      </c>
      <c r="Y258" s="380">
        <f t="shared" si="88"/>
        <v>168.9566534756124</v>
      </c>
      <c r="Z258" s="380">
        <f t="shared" si="89"/>
        <v>171.54591467672756</v>
      </c>
      <c r="AA258" s="381">
        <f t="shared" si="90"/>
        <v>181.39335391240948</v>
      </c>
      <c r="AB258" s="193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5.4287762055698074E-2</v>
      </c>
      <c r="AD258" s="227">
        <f>(INDEX(Models!$BJ258:$BT258,,AH258)*(1-AF258)+INDEX(Models!$BJ258:$BT258,,AH258+1)*AF258-ERP_i)*AE258*Ramure*Pc/MaxiM</f>
        <v>1.7321720719400745E-4</v>
      </c>
      <c r="AE258" s="301">
        <f t="shared" si="92"/>
        <v>0.5</v>
      </c>
      <c r="AF258" s="173">
        <f t="shared" si="93"/>
        <v>0.47368977359547815</v>
      </c>
      <c r="AG258" s="801">
        <f t="shared" si="99"/>
        <v>1</v>
      </c>
      <c r="AH258" s="172">
        <f t="shared" si="94"/>
        <v>7</v>
      </c>
      <c r="AI258" s="221">
        <f t="shared" si="95"/>
        <v>1.4736897735954781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45536</v>
      </c>
      <c r="B259" s="406">
        <f>'2023'!Wh/'2023'!Env_an*'2024'!Env_an</f>
        <v>172.57824492131112</v>
      </c>
      <c r="C259" s="385"/>
      <c r="D259" s="388">
        <f t="shared" si="77"/>
        <v>175.22540571041853</v>
      </c>
      <c r="E259" s="380">
        <f t="shared" si="100"/>
        <v>178.80762385554016</v>
      </c>
      <c r="F259" s="380">
        <f t="shared" si="78"/>
        <v>178.83125330313788</v>
      </c>
      <c r="G259" s="110">
        <f t="shared" si="101"/>
        <v>0.84165482613563081</v>
      </c>
      <c r="H259" s="409" t="b">
        <f>Wh_hp&gt;='2023'!Maxi_hp</f>
        <v>0</v>
      </c>
      <c r="I259" s="375">
        <f>IF(H259,Wh_hp,'2023'!Maxi_hp)</f>
        <v>178.8360068834514</v>
      </c>
      <c r="J259" s="85">
        <f>IF(H259,An,'2023'!An_max)</f>
        <v>2022</v>
      </c>
      <c r="K259" s="193">
        <f t="shared" si="79"/>
        <v>45536</v>
      </c>
      <c r="L259" s="143">
        <f>IF(t&lt;Tvie,1-EXP((T0-t)*PertePVj)+'2023'!Pspv,1-EXP((T0-t)*PertePVj)+Pspv)</f>
        <v>1.5107174546835744E-2</v>
      </c>
      <c r="M259" s="835"/>
      <c r="N259" s="835"/>
      <c r="O259" s="48">
        <f>IF(t&lt;Tnet,'2023'!Resal+('2023'!Salim-'2023'!Resal)*(1-EXP(('2023'!Tnet-t)/('2023'!Tau_j))),Resal+(Salim-Resal)*(1-EXP((Tnet-t)/(Tau_j))))*Salcycl</f>
        <v>2.003392287129609E-2</v>
      </c>
      <c r="P259" s="165">
        <f>(INDEX(Models!$BJ259:$BT259,,T259)*(1-R259)+INDEX(Models!$BJ259:$BT259,,T259+1)*R259-ERP_i)*Q259*Ramure*Pc/MaxiM</f>
        <v>1.707495265286556E-4</v>
      </c>
      <c r="Q259" s="301">
        <f t="shared" si="80"/>
        <v>0.5</v>
      </c>
      <c r="R259" s="173">
        <f t="shared" si="81"/>
        <v>0.47431438920968461</v>
      </c>
      <c r="S259" s="801">
        <f t="shared" si="82"/>
        <v>1</v>
      </c>
      <c r="T259" s="172">
        <f t="shared" si="83"/>
        <v>7</v>
      </c>
      <c r="U259" s="247">
        <f t="shared" si="84"/>
        <v>1.4743143892096846</v>
      </c>
      <c r="V259" s="378">
        <f t="shared" si="85"/>
        <v>205.03842460021676</v>
      </c>
      <c r="W259" s="397">
        <f t="shared" si="86"/>
        <v>172.57824492131112</v>
      </c>
      <c r="X259" s="153">
        <f t="shared" si="87"/>
        <v>45536</v>
      </c>
      <c r="Y259" s="380">
        <f t="shared" si="88"/>
        <v>166.54126796419374</v>
      </c>
      <c r="Z259" s="380">
        <f t="shared" si="89"/>
        <v>169.09582815527725</v>
      </c>
      <c r="AA259" s="381">
        <f t="shared" si="90"/>
        <v>178.80762385554016</v>
      </c>
      <c r="AB259" s="193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5.4314214857578744E-2</v>
      </c>
      <c r="AD259" s="227">
        <f>(INDEX(Models!$BJ259:$BT259,,AH259)*(1-AF259)+INDEX(Models!$BJ259:$BT259,,AH259+1)*AF259-ERP_i)*AE259*Ramure*Pc/MaxiM</f>
        <v>1.707495265286556E-4</v>
      </c>
      <c r="AE259" s="301">
        <f t="shared" si="92"/>
        <v>0.5</v>
      </c>
      <c r="AF259" s="173">
        <f t="shared" si="93"/>
        <v>0.47431438920968461</v>
      </c>
      <c r="AG259" s="801">
        <f t="shared" si="99"/>
        <v>1</v>
      </c>
      <c r="AH259" s="172">
        <f t="shared" si="94"/>
        <v>7</v>
      </c>
      <c r="AI259" s="221">
        <f t="shared" si="95"/>
        <v>1.4743143892096846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45537</v>
      </c>
      <c r="B260" s="406">
        <f>'2023'!Wh/'2023'!Env_an*'2024'!Env_an</f>
        <v>134.80365436837292</v>
      </c>
      <c r="C260" s="385"/>
      <c r="D260" s="388">
        <f t="shared" si="77"/>
        <v>136.87326809435717</v>
      </c>
      <c r="E260" s="380">
        <f t="shared" si="100"/>
        <v>139.68106991641181</v>
      </c>
      <c r="F260" s="380">
        <f t="shared" si="78"/>
        <v>139.69317543279536</v>
      </c>
      <c r="G260" s="110">
        <f t="shared" si="101"/>
        <v>0.6604878271193757</v>
      </c>
      <c r="H260" s="409" t="b">
        <f>Wh_hp&gt;='2023'!Maxi_hp</f>
        <v>0</v>
      </c>
      <c r="I260" s="375">
        <f>IF(H260,Wh_hp,'2023'!Maxi_hp)</f>
        <v>139.70102045088095</v>
      </c>
      <c r="J260" s="85">
        <f>IF(H260,An,'2023'!An_max)</f>
        <v>2022</v>
      </c>
      <c r="K260" s="193">
        <f t="shared" si="79"/>
        <v>45537</v>
      </c>
      <c r="L260" s="143">
        <f>IF(t&lt;Tvie,1-EXP((T0-t)*PertePVj)+'2023'!Pspv,1-EXP((T0-t)*PertePVj)+Pspv)</f>
        <v>1.512065690254083E-2</v>
      </c>
      <c r="M260" s="835"/>
      <c r="N260" s="835"/>
      <c r="O260" s="48">
        <f>IF(t&lt;Tnet,'2023'!Resal+('2023'!Salim-'2023'!Resal)*(1-EXP(('2023'!Tnet-t)/('2023'!Tau_j))),Resal+(Salim-Resal)*(1-EXP((Tnet-t)/(Tau_j))))*Salcycl</f>
        <v>2.0101520010799439E-2</v>
      </c>
      <c r="P260" s="165">
        <f>(INDEX(Models!$BJ260:$BT260,,T260)*(1-R260)+INDEX(Models!$BJ260:$BT260,,T260+1)*R260-ERP_i)*Q260*Ramure*Pc/MaxiM</f>
        <v>1.68248281563126E-4</v>
      </c>
      <c r="Q260" s="301">
        <f t="shared" si="80"/>
        <v>0.5</v>
      </c>
      <c r="R260" s="173">
        <f t="shared" si="81"/>
        <v>0.47491537128831007</v>
      </c>
      <c r="S260" s="801">
        <f t="shared" si="82"/>
        <v>1</v>
      </c>
      <c r="T260" s="172">
        <f t="shared" si="83"/>
        <v>7</v>
      </c>
      <c r="U260" s="247">
        <f t="shared" si="84"/>
        <v>1.4749153712883101</v>
      </c>
      <c r="V260" s="378">
        <f t="shared" si="85"/>
        <v>204.08045265669239</v>
      </c>
      <c r="W260" s="397">
        <f t="shared" si="86"/>
        <v>134.80365436837292</v>
      </c>
      <c r="X260" s="153">
        <f t="shared" si="87"/>
        <v>45537</v>
      </c>
      <c r="Y260" s="380">
        <f t="shared" si="88"/>
        <v>130.09345257680374</v>
      </c>
      <c r="Z260" s="380">
        <f t="shared" si="89"/>
        <v>132.09075151039113</v>
      </c>
      <c r="AA260" s="381">
        <f t="shared" si="90"/>
        <v>139.68106991641181</v>
      </c>
      <c r="AB260" s="193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5.4340351277112189E-2</v>
      </c>
      <c r="AD260" s="227">
        <f>(INDEX(Models!$BJ260:$BT260,,AH260)*(1-AF260)+INDEX(Models!$BJ260:$BT260,,AH260+1)*AF260-ERP_i)*AE260*Ramure*Pc/MaxiM</f>
        <v>1.68248281563126E-4</v>
      </c>
      <c r="AE260" s="301">
        <f t="shared" si="92"/>
        <v>0.5</v>
      </c>
      <c r="AF260" s="173">
        <f t="shared" si="93"/>
        <v>0.47491537128831007</v>
      </c>
      <c r="AG260" s="801">
        <f t="shared" si="99"/>
        <v>1</v>
      </c>
      <c r="AH260" s="172">
        <f t="shared" si="94"/>
        <v>7</v>
      </c>
      <c r="AI260" s="221">
        <f t="shared" si="95"/>
        <v>1.4749153712883101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45538</v>
      </c>
      <c r="B261" s="406">
        <f>'2023'!Wh/'2023'!Env_an*'2024'!Env_an</f>
        <v>189.88685227973386</v>
      </c>
      <c r="C261" s="385"/>
      <c r="D261" s="388">
        <f t="shared" si="77"/>
        <v>192.80478673627258</v>
      </c>
      <c r="E261" s="380">
        <f t="shared" si="100"/>
        <v>196.77349543709227</v>
      </c>
      <c r="F261" s="380">
        <f t="shared" si="78"/>
        <v>196.80307503897967</v>
      </c>
      <c r="G261" s="110">
        <f t="shared" si="101"/>
        <v>0.93488048928635781</v>
      </c>
      <c r="H261" s="409" t="b">
        <f>Wh_hp&gt;='2023'!Maxi_hp</f>
        <v>0</v>
      </c>
      <c r="I261" s="375">
        <f>IF(H261,Wh_hp,'2023'!Maxi_hp)</f>
        <v>196.80516308145275</v>
      </c>
      <c r="J261" s="85">
        <f>IF(H261,An,'2023'!An_max)</f>
        <v>2022</v>
      </c>
      <c r="K261" s="193">
        <f t="shared" si="79"/>
        <v>45538</v>
      </c>
      <c r="L261" s="143">
        <f>IF(t&lt;Tvie,1-EXP((T0-t)*PertePVj)+'2023'!Pspv,1-EXP((T0-t)*PertePVj)+Pspv)</f>
        <v>1.5134139073683883E-2</v>
      </c>
      <c r="M261" s="835"/>
      <c r="N261" s="835"/>
      <c r="O261" s="48">
        <f>IF(t&lt;Tnet,'2023'!Resal+('2023'!Salim-'2023'!Resal)*(1-EXP(('2023'!Tnet-t)/('2023'!Tau_j))),Resal+(Salim-Resal)*(1-EXP((Tnet-t)/(Tau_j))))*Salcycl</f>
        <v>2.0168919050830514E-2</v>
      </c>
      <c r="P261" s="165">
        <f>(INDEX(Models!$BJ261:$BT261,,T261)*(1-R261)+INDEX(Models!$BJ261:$BT261,,T261+1)*R261-ERP_i)*Q261*Ramure*Pc/MaxiM</f>
        <v>1.6571302519766817E-4</v>
      </c>
      <c r="Q261" s="301">
        <f t="shared" si="80"/>
        <v>0.5</v>
      </c>
      <c r="R261" s="173">
        <f t="shared" si="81"/>
        <v>0.47549355701407436</v>
      </c>
      <c r="S261" s="801">
        <f t="shared" si="82"/>
        <v>1</v>
      </c>
      <c r="T261" s="172">
        <f t="shared" si="83"/>
        <v>7</v>
      </c>
      <c r="U261" s="247">
        <f t="shared" si="84"/>
        <v>1.4754935570140744</v>
      </c>
      <c r="V261" s="378">
        <f t="shared" si="85"/>
        <v>203.11037333778063</v>
      </c>
      <c r="W261" s="397">
        <f t="shared" si="86"/>
        <v>189.88685227973386</v>
      </c>
      <c r="X261" s="153">
        <f t="shared" si="87"/>
        <v>45538</v>
      </c>
      <c r="Y261" s="380">
        <f t="shared" si="88"/>
        <v>183.25958088711243</v>
      </c>
      <c r="Z261" s="380">
        <f t="shared" si="89"/>
        <v>186.07567604663191</v>
      </c>
      <c r="AA261" s="381">
        <f t="shared" si="90"/>
        <v>196.77349543709227</v>
      </c>
      <c r="AB261" s="193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5.4366160273248761E-2</v>
      </c>
      <c r="AD261" s="227">
        <f>(INDEX(Models!$BJ261:$BT261,,AH261)*(1-AF261)+INDEX(Models!$BJ261:$BT261,,AH261+1)*AF261-ERP_i)*AE261*Ramure*Pc/MaxiM</f>
        <v>1.6571302519766817E-4</v>
      </c>
      <c r="AE261" s="301">
        <f t="shared" si="92"/>
        <v>0.5</v>
      </c>
      <c r="AF261" s="173">
        <f t="shared" si="93"/>
        <v>0.47549355701407436</v>
      </c>
      <c r="AG261" s="801">
        <f t="shared" si="99"/>
        <v>1</v>
      </c>
      <c r="AH261" s="172">
        <f t="shared" si="94"/>
        <v>7</v>
      </c>
      <c r="AI261" s="221">
        <f t="shared" si="95"/>
        <v>1.4754935570140744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45539</v>
      </c>
      <c r="B262" s="406">
        <f>'2023'!Wh/'2023'!Env_an*'2024'!Env_an</f>
        <v>167.70189257745389</v>
      </c>
      <c r="C262" s="385"/>
      <c r="D262" s="388">
        <f t="shared" si="77"/>
        <v>170.28124840191535</v>
      </c>
      <c r="E262" s="380">
        <f t="shared" si="100"/>
        <v>173.79824975296413</v>
      </c>
      <c r="F262" s="380">
        <f t="shared" si="78"/>
        <v>173.81971576989864</v>
      </c>
      <c r="G262" s="110">
        <f t="shared" si="101"/>
        <v>0.82964797124504985</v>
      </c>
      <c r="H262" s="409" t="b">
        <f>Wh_hp&gt;='2023'!Maxi_hp</f>
        <v>0</v>
      </c>
      <c r="I262" s="375">
        <f>IF(H262,Wh_hp,'2023'!Maxi_hp)</f>
        <v>173.8244682935279</v>
      </c>
      <c r="J262" s="85">
        <f>IF(H262,An,'2023'!An_max)</f>
        <v>2022</v>
      </c>
      <c r="K262" s="193">
        <f t="shared" si="79"/>
        <v>45539</v>
      </c>
      <c r="L262" s="143">
        <f>IF(t&lt;Tvie,1-EXP((T0-t)*PertePVj)+'2023'!Pspv,1-EXP((T0-t)*PertePVj)+Pspv)</f>
        <v>1.5147621060267236E-2</v>
      </c>
      <c r="M262" s="835"/>
      <c r="N262" s="835"/>
      <c r="O262" s="48">
        <f>IF(t&lt;Tnet,'2023'!Resal+('2023'!Salim-'2023'!Resal)*(1-EXP(('2023'!Tnet-t)/('2023'!Tau_j))),Resal+(Salim-Resal)*(1-EXP((Tnet-t)/(Tau_j))))*Salcycl</f>
        <v>2.0236114897864785E-2</v>
      </c>
      <c r="P262" s="165">
        <f>(INDEX(Models!$BJ262:$BT262,,T262)*(1-R262)+INDEX(Models!$BJ262:$BT262,,T262+1)*R262-ERP_i)*Q262*Ramure*Pc/MaxiM</f>
        <v>1.632060077057846E-4</v>
      </c>
      <c r="Q262" s="301">
        <f t="shared" si="80"/>
        <v>0.5</v>
      </c>
      <c r="R262" s="173">
        <f t="shared" si="81"/>
        <v>0.47604975830684637</v>
      </c>
      <c r="S262" s="801">
        <f t="shared" si="82"/>
        <v>1</v>
      </c>
      <c r="T262" s="172">
        <f t="shared" si="83"/>
        <v>7</v>
      </c>
      <c r="U262" s="247">
        <f t="shared" si="84"/>
        <v>1.4760497583068464</v>
      </c>
      <c r="V262" s="378">
        <f t="shared" si="85"/>
        <v>202.12817737376477</v>
      </c>
      <c r="W262" s="397">
        <f t="shared" si="86"/>
        <v>167.70189257745389</v>
      </c>
      <c r="X262" s="153">
        <f t="shared" si="87"/>
        <v>45539</v>
      </c>
      <c r="Y262" s="380">
        <f t="shared" si="88"/>
        <v>161.85564260859192</v>
      </c>
      <c r="Z262" s="380">
        <f t="shared" si="89"/>
        <v>164.3450795974536</v>
      </c>
      <c r="AA262" s="381">
        <f t="shared" si="90"/>
        <v>173.79824975296413</v>
      </c>
      <c r="AB262" s="193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5.4391630346952394E-2</v>
      </c>
      <c r="AD262" s="227">
        <f>(INDEX(Models!$BJ262:$BT262,,AH262)*(1-AF262)+INDEX(Models!$BJ262:$BT262,,AH262+1)*AF262-ERP_i)*AE262*Ramure*Pc/MaxiM</f>
        <v>1.632060077057846E-4</v>
      </c>
      <c r="AE262" s="301">
        <f t="shared" si="92"/>
        <v>0.5</v>
      </c>
      <c r="AF262" s="173">
        <f t="shared" si="93"/>
        <v>0.47604975830684637</v>
      </c>
      <c r="AG262" s="801">
        <f t="shared" si="99"/>
        <v>1</v>
      </c>
      <c r="AH262" s="172">
        <f t="shared" si="94"/>
        <v>7</v>
      </c>
      <c r="AI262" s="221">
        <f t="shared" si="95"/>
        <v>1.4760497583068464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45540</v>
      </c>
      <c r="B263" s="406">
        <f>'2023'!Wh/'2023'!Env_an*'2024'!Env_an</f>
        <v>188.06504423089152</v>
      </c>
      <c r="C263" s="385"/>
      <c r="D263" s="388">
        <f t="shared" si="77"/>
        <v>190.96021164220431</v>
      </c>
      <c r="E263" s="380">
        <f t="shared" si="100"/>
        <v>194.91764450561692</v>
      </c>
      <c r="F263" s="380">
        <f t="shared" si="78"/>
        <v>194.9460981469021</v>
      </c>
      <c r="G263" s="110">
        <f t="shared" si="101"/>
        <v>0.93501043642750625</v>
      </c>
      <c r="H263" s="409" t="b">
        <f>Wh_hp&gt;='2023'!Maxi_hp</f>
        <v>0</v>
      </c>
      <c r="I263" s="375">
        <f>IF(H263,Wh_hp,'2023'!Maxi_hp)</f>
        <v>194.94810319538493</v>
      </c>
      <c r="J263" s="85">
        <f>IF(H263,An,'2023'!An_max)</f>
        <v>2022</v>
      </c>
      <c r="K263" s="193">
        <f t="shared" si="79"/>
        <v>45540</v>
      </c>
      <c r="L263" s="143">
        <f>IF(t&lt;Tvie,1-EXP((T0-t)*PertePVj)+'2023'!Pspv,1-EXP((T0-t)*PertePVj)+Pspv)</f>
        <v>1.5161102862293552E-2</v>
      </c>
      <c r="M263" s="835"/>
      <c r="N263" s="835"/>
      <c r="O263" s="48">
        <f>IF(t&lt;Tnet,'2023'!Resal+('2023'!Salim-'2023'!Resal)*(1-EXP(('2023'!Tnet-t)/('2023'!Tau_j))),Resal+(Salim-Resal)*(1-EXP((Tnet-t)/(Tau_j))))*Salcycl</f>
        <v>2.0303102232997423E-2</v>
      </c>
      <c r="P263" s="165">
        <f>(INDEX(Models!$BJ263:$BT263,,T263)*(1-R263)+INDEX(Models!$BJ263:$BT263,,T263+1)*R263-ERP_i)*Q263*Ramure*Pc/MaxiM</f>
        <v>1.6089069601803779E-4</v>
      </c>
      <c r="Q263" s="301">
        <f t="shared" si="80"/>
        <v>0.5</v>
      </c>
      <c r="R263" s="173">
        <f t="shared" si="81"/>
        <v>0.47658476223847801</v>
      </c>
      <c r="S263" s="801">
        <f t="shared" si="82"/>
        <v>1</v>
      </c>
      <c r="T263" s="172">
        <f t="shared" si="83"/>
        <v>7</v>
      </c>
      <c r="U263" s="247">
        <f t="shared" si="84"/>
        <v>1.476584762238478</v>
      </c>
      <c r="V263" s="378">
        <f t="shared" si="85"/>
        <v>201.13383539400539</v>
      </c>
      <c r="W263" s="397">
        <f t="shared" si="86"/>
        <v>188.06504423089152</v>
      </c>
      <c r="X263" s="153">
        <f t="shared" si="87"/>
        <v>45540</v>
      </c>
      <c r="Y263" s="380">
        <f t="shared" si="88"/>
        <v>181.51650396330135</v>
      </c>
      <c r="Z263" s="380">
        <f t="shared" si="89"/>
        <v>184.31085986840398</v>
      </c>
      <c r="AA263" s="381">
        <f t="shared" si="90"/>
        <v>194.91764450561692</v>
      </c>
      <c r="AB263" s="193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5.4416749515497423E-2</v>
      </c>
      <c r="AD263" s="227">
        <f>(INDEX(Models!$BJ263:$BT263,,AH263)*(1-AF263)+INDEX(Models!$BJ263:$BT263,,AH263+1)*AF263-ERP_i)*AE263*Ramure*Pc/MaxiM</f>
        <v>1.6089069601803779E-4</v>
      </c>
      <c r="AE263" s="301">
        <f t="shared" si="92"/>
        <v>0.5</v>
      </c>
      <c r="AF263" s="173">
        <f t="shared" si="93"/>
        <v>0.47658476223847801</v>
      </c>
      <c r="AG263" s="801">
        <f t="shared" si="99"/>
        <v>1</v>
      </c>
      <c r="AH263" s="172">
        <f t="shared" si="94"/>
        <v>7</v>
      </c>
      <c r="AI263" s="221">
        <f t="shared" si="95"/>
        <v>1.476584762238478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customHeight="1" x14ac:dyDescent="0.2">
      <c r="A264" s="56">
        <f t="shared" si="98"/>
        <v>45541</v>
      </c>
      <c r="B264" s="406">
        <f>'2023'!Wh/'2023'!Env_an*'2024'!Env_an</f>
        <v>142.9363900676864</v>
      </c>
      <c r="C264" s="385"/>
      <c r="D264" s="388">
        <f t="shared" si="77"/>
        <v>145.13881121983451</v>
      </c>
      <c r="E264" s="380">
        <f t="shared" si="100"/>
        <v>148.15674568400846</v>
      </c>
      <c r="F264" s="380">
        <f t="shared" si="78"/>
        <v>148.17066665561268</v>
      </c>
      <c r="G264" s="110">
        <f t="shared" si="101"/>
        <v>0.71418086427333349</v>
      </c>
      <c r="H264" s="409" t="b">
        <f>Wh_hp&gt;='2023'!Maxi_hp</f>
        <v>0</v>
      </c>
      <c r="I264" s="375">
        <f>IF(H264,Wh_hp,'2023'!Maxi_hp)</f>
        <v>148.17728238486964</v>
      </c>
      <c r="J264" s="85">
        <f>IF(H264,An,'2023'!An_max)</f>
        <v>2022</v>
      </c>
      <c r="K264" s="193">
        <f t="shared" si="79"/>
        <v>45541</v>
      </c>
      <c r="L264" s="143">
        <f>IF(t&lt;Tvie,1-EXP((T0-t)*PertePVj)+'2023'!Pspv,1-EXP((T0-t)*PertePVj)+Pspv)</f>
        <v>1.5174584479765385E-2</v>
      </c>
      <c r="M264" s="835"/>
      <c r="N264" s="835"/>
      <c r="O264" s="48">
        <f>IF(t&lt;Tnet,'2023'!Resal+('2023'!Salim-'2023'!Resal)*(1-EXP(('2023'!Tnet-t)/('2023'!Tau_j))),Resal+(Salim-Resal)*(1-EXP((Tnet-t)/(Tau_j))))*Salcycl</f>
        <v>2.0369875500712266E-2</v>
      </c>
      <c r="P264" s="165">
        <f>(INDEX(Models!$BJ264:$BT264,,T264)*(1-R264)+INDEX(Models!$BJ264:$BT264,,T264+1)*R264-ERP_i)*Q264*Ramure*Pc/MaxiM</f>
        <v>1.5876939086607349E-4</v>
      </c>
      <c r="Q264" s="301">
        <f t="shared" si="80"/>
        <v>0.5</v>
      </c>
      <c r="R264" s="173">
        <f t="shared" si="81"/>
        <v>0.47709933147151551</v>
      </c>
      <c r="S264" s="801">
        <f t="shared" si="82"/>
        <v>1</v>
      </c>
      <c r="T264" s="172">
        <f t="shared" si="83"/>
        <v>7</v>
      </c>
      <c r="U264" s="247">
        <f t="shared" si="84"/>
        <v>1.4770993314715155</v>
      </c>
      <c r="V264" s="378">
        <f t="shared" si="85"/>
        <v>200.12735095948301</v>
      </c>
      <c r="W264" s="397">
        <f t="shared" si="86"/>
        <v>142.9363900676864</v>
      </c>
      <c r="X264" s="153">
        <f t="shared" si="87"/>
        <v>45541</v>
      </c>
      <c r="Y264" s="380">
        <f t="shared" si="88"/>
        <v>137.96504869729733</v>
      </c>
      <c r="Z264" s="380">
        <f t="shared" si="89"/>
        <v>140.09086943031139</v>
      </c>
      <c r="AA264" s="381">
        <f t="shared" si="90"/>
        <v>148.15674568400846</v>
      </c>
      <c r="AB264" s="193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5.4441505288595544E-2</v>
      </c>
      <c r="AD264" s="227">
        <f>(INDEX(Models!$BJ264:$BT264,,AH264)*(1-AF264)+INDEX(Models!$BJ264:$BT264,,AH264+1)*AF264-ERP_i)*AE264*Ramure*Pc/MaxiM</f>
        <v>1.5876939086607349E-4</v>
      </c>
      <c r="AE264" s="301">
        <f t="shared" si="92"/>
        <v>0.5</v>
      </c>
      <c r="AF264" s="173">
        <f t="shared" si="93"/>
        <v>0.47709933147151551</v>
      </c>
      <c r="AG264" s="801">
        <f t="shared" si="99"/>
        <v>1</v>
      </c>
      <c r="AH264" s="172">
        <f t="shared" si="94"/>
        <v>7</v>
      </c>
      <c r="AI264" s="221">
        <f t="shared" si="95"/>
        <v>1.4770993314715155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customHeight="1" x14ac:dyDescent="0.2">
      <c r="A265" s="56">
        <f t="shared" si="98"/>
        <v>45542</v>
      </c>
      <c r="B265" s="406">
        <f>'2023'!Wh/'2023'!Env_an*'2024'!Env_an</f>
        <v>166.15569338442714</v>
      </c>
      <c r="C265" s="385"/>
      <c r="D265" s="388">
        <f t="shared" si="77"/>
        <v>168.7181964731304</v>
      </c>
      <c r="E265" s="380">
        <f t="shared" si="100"/>
        <v>172.23812874484088</v>
      </c>
      <c r="F265" s="380">
        <f t="shared" si="78"/>
        <v>172.25875868154174</v>
      </c>
      <c r="G265" s="110">
        <f t="shared" si="101"/>
        <v>0.83446633923277247</v>
      </c>
      <c r="H265" s="409" t="b">
        <f>Wh_hp&gt;='2023'!Maxi_hp</f>
        <v>0</v>
      </c>
      <c r="I265" s="375">
        <f>IF(H265,Wh_hp,'2023'!Maxi_hp)</f>
        <v>172.26316013998238</v>
      </c>
      <c r="J265" s="85">
        <f>IF(H265,An,'2023'!An_max)</f>
        <v>2022</v>
      </c>
      <c r="K265" s="193">
        <f t="shared" si="79"/>
        <v>45542</v>
      </c>
      <c r="L265" s="143">
        <f>IF(t&lt;Tvie,1-EXP((T0-t)*PertePVj)+'2023'!Pspv,1-EXP((T0-t)*PertePVj)+Pspv)</f>
        <v>1.5188065912685178E-2</v>
      </c>
      <c r="M265" s="835"/>
      <c r="N265" s="835"/>
      <c r="O265" s="48">
        <f>IF(t&lt;Tnet,'2023'!Resal+('2023'!Salim-'2023'!Resal)*(1-EXP(('2023'!Tnet-t)/('2023'!Tau_j))),Resal+(Salim-Resal)*(1-EXP((Tnet-t)/(Tau_j))))*Salcycl</f>
        <v>2.0436428898533931E-2</v>
      </c>
      <c r="P265" s="165">
        <f>(INDEX(Models!$BJ265:$BT265,,T265)*(1-R265)+INDEX(Models!$BJ265:$BT265,,T265+1)*R265-ERP_i)*Q265*Ramure*Pc/MaxiM</f>
        <v>1.5684443553869829E-4</v>
      </c>
      <c r="Q265" s="301">
        <f t="shared" si="80"/>
        <v>0.5</v>
      </c>
      <c r="R265" s="173">
        <f t="shared" si="81"/>
        <v>0.47759420471836145</v>
      </c>
      <c r="S265" s="801">
        <f t="shared" si="82"/>
        <v>1</v>
      </c>
      <c r="T265" s="172">
        <f t="shared" si="83"/>
        <v>7</v>
      </c>
      <c r="U265" s="247">
        <f t="shared" si="84"/>
        <v>1.4775942047183614</v>
      </c>
      <c r="V265" s="378">
        <f t="shared" si="85"/>
        <v>199.10872765553799</v>
      </c>
      <c r="W265" s="397">
        <f t="shared" si="86"/>
        <v>166.15569338442714</v>
      </c>
      <c r="X265" s="153">
        <f t="shared" si="87"/>
        <v>45542</v>
      </c>
      <c r="Y265" s="380">
        <f t="shared" si="88"/>
        <v>160.38354343701482</v>
      </c>
      <c r="Z265" s="380">
        <f t="shared" si="89"/>
        <v>162.85702669276853</v>
      </c>
      <c r="AA265" s="381">
        <f t="shared" si="90"/>
        <v>172.23812874484088</v>
      </c>
      <c r="AB265" s="193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5.4465884647236472E-2</v>
      </c>
      <c r="AD265" s="227">
        <f>(INDEX(Models!$BJ265:$BT265,,AH265)*(1-AF265)+INDEX(Models!$BJ265:$BT265,,AH265+1)*AF265-ERP_i)*AE265*Ramure*Pc/MaxiM</f>
        <v>1.5684443553869829E-4</v>
      </c>
      <c r="AE265" s="301">
        <f t="shared" si="92"/>
        <v>0.5</v>
      </c>
      <c r="AF265" s="173">
        <f t="shared" si="93"/>
        <v>0.47759420471836145</v>
      </c>
      <c r="AG265" s="801">
        <f t="shared" si="99"/>
        <v>1</v>
      </c>
      <c r="AH265" s="172">
        <f t="shared" si="94"/>
        <v>7</v>
      </c>
      <c r="AI265" s="221">
        <f t="shared" si="95"/>
        <v>1.4775942047183614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45543</v>
      </c>
      <c r="B266" s="406">
        <f>'2023'!Wh/'2023'!Env_an*'2024'!Env_an</f>
        <v>88.865441820983051</v>
      </c>
      <c r="C266" s="385"/>
      <c r="D266" s="388">
        <f t="shared" si="77"/>
        <v>90.237186669825363</v>
      </c>
      <c r="E266" s="380">
        <f t="shared" si="100"/>
        <v>92.126024097031348</v>
      </c>
      <c r="F266" s="380">
        <f t="shared" si="78"/>
        <v>92.129058639947175</v>
      </c>
      <c r="G266" s="110">
        <f t="shared" si="101"/>
        <v>0.44858387970416513</v>
      </c>
      <c r="H266" s="409" t="b">
        <f>Wh_hp&gt;='2023'!Maxi_hp</f>
        <v>0</v>
      </c>
      <c r="I266" s="375">
        <f>IF(H266,Wh_hp,'2023'!Maxi_hp)</f>
        <v>92.136816423786186</v>
      </c>
      <c r="J266" s="85">
        <f>IF(H266,An,'2023'!An_max)</f>
        <v>2022</v>
      </c>
      <c r="K266" s="193">
        <f t="shared" si="79"/>
        <v>45543</v>
      </c>
      <c r="L266" s="143">
        <f>IF(t&lt;Tvie,1-EXP((T0-t)*PertePVj)+'2023'!Pspv,1-EXP((T0-t)*PertePVj)+Pspv)</f>
        <v>1.5201547161055373E-2</v>
      </c>
      <c r="M266" s="835"/>
      <c r="N266" s="835"/>
      <c r="O266" s="48">
        <f>IF(t&lt;Tnet,'2023'!Resal+('2023'!Salim-'2023'!Resal)*(1-EXP(('2023'!Tnet-t)/('2023'!Tau_j))),Resal+(Salim-Resal)*(1-EXP((Tnet-t)/(Tau_j))))*Salcycl</f>
        <v>2.050275636791378E-2</v>
      </c>
      <c r="P266" s="165">
        <f>(INDEX(Models!$BJ266:$BT266,,T266)*(1-R266)+INDEX(Models!$BJ266:$BT266,,T266+1)*R266-ERP_i)*Q266*Ramure*Pc/MaxiM</f>
        <v>1.5511821650305264E-4</v>
      </c>
      <c r="Q266" s="301">
        <f t="shared" si="80"/>
        <v>0.5</v>
      </c>
      <c r="R266" s="173">
        <f t="shared" si="81"/>
        <v>0.47807009721771654</v>
      </c>
      <c r="S266" s="801">
        <f t="shared" si="82"/>
        <v>1</v>
      </c>
      <c r="T266" s="172">
        <f t="shared" si="83"/>
        <v>7</v>
      </c>
      <c r="U266" s="247">
        <f t="shared" si="84"/>
        <v>1.4780700972177165</v>
      </c>
      <c r="V266" s="378">
        <f t="shared" si="85"/>
        <v>198.0779690949789</v>
      </c>
      <c r="W266" s="397">
        <f t="shared" si="86"/>
        <v>88.865441820983051</v>
      </c>
      <c r="X266" s="153">
        <f t="shared" si="87"/>
        <v>45543</v>
      </c>
      <c r="Y266" s="380">
        <f t="shared" si="88"/>
        <v>85.781941334837086</v>
      </c>
      <c r="Z266" s="380">
        <f t="shared" si="89"/>
        <v>87.106088649456879</v>
      </c>
      <c r="AA266" s="381">
        <f t="shared" si="90"/>
        <v>92.126024097031348</v>
      </c>
      <c r="AB266" s="193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5.4489874026119323E-2</v>
      </c>
      <c r="AD266" s="227">
        <f>(INDEX(Models!$BJ266:$BT266,,AH266)*(1-AF266)+INDEX(Models!$BJ266:$BT266,,AH266+1)*AF266-ERP_i)*AE266*Ramure*Pc/MaxiM</f>
        <v>1.5511821650305264E-4</v>
      </c>
      <c r="AE266" s="301">
        <f t="shared" si="92"/>
        <v>0.5</v>
      </c>
      <c r="AF266" s="173">
        <f t="shared" si="93"/>
        <v>0.47807009721771654</v>
      </c>
      <c r="AG266" s="801">
        <f t="shared" si="99"/>
        <v>1</v>
      </c>
      <c r="AH266" s="172">
        <f t="shared" si="94"/>
        <v>7</v>
      </c>
      <c r="AI266" s="221">
        <f t="shared" si="95"/>
        <v>1.4780700972177165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45544</v>
      </c>
      <c r="B267" s="406">
        <f>'2023'!Wh/'2023'!Env_an*'2024'!Env_an</f>
        <v>184.86104684639437</v>
      </c>
      <c r="C267" s="385"/>
      <c r="D267" s="388">
        <f t="shared" si="77"/>
        <v>187.71716886903101</v>
      </c>
      <c r="E267" s="380">
        <f t="shared" si="100"/>
        <v>191.6593822578925</v>
      </c>
      <c r="F267" s="380">
        <f t="shared" si="78"/>
        <v>191.68622525472912</v>
      </c>
      <c r="G267" s="110">
        <f t="shared" si="101"/>
        <v>0.93820116369202156</v>
      </c>
      <c r="H267" s="409" t="b">
        <f>Wh_hp&gt;='2023'!Maxi_hp</f>
        <v>0</v>
      </c>
      <c r="I267" s="375">
        <f>IF(H267,Wh_hp,'2023'!Maxi_hp)</f>
        <v>191.68801678499003</v>
      </c>
      <c r="J267" s="85">
        <f>IF(H267,An,'2023'!An_max)</f>
        <v>2022</v>
      </c>
      <c r="K267" s="193">
        <f t="shared" si="79"/>
        <v>45544</v>
      </c>
      <c r="L267" s="143">
        <f>IF(t&lt;Tvie,1-EXP((T0-t)*PertePVj)+'2023'!Pspv,1-EXP((T0-t)*PertePVj)+Pspv)</f>
        <v>1.5215028224878746E-2</v>
      </c>
      <c r="M267" s="835"/>
      <c r="N267" s="835"/>
      <c r="O267" s="48">
        <f>IF(t&lt;Tnet,'2023'!Resal+('2023'!Salim-'2023'!Resal)*(1-EXP(('2023'!Tnet-t)/('2023'!Tau_j))),Resal+(Salim-Resal)*(1-EXP((Tnet-t)/(Tau_j))))*Salcycl</f>
        <v>2.0568851586701558E-2</v>
      </c>
      <c r="P267" s="165">
        <f>(INDEX(Models!$BJ267:$BT267,,T267)*(1-R267)+INDEX(Models!$BJ267:$BT267,,T267+1)*R267-ERP_i)*Q267*Ramure*Pc/MaxiM</f>
        <v>1.5359316390055807E-4</v>
      </c>
      <c r="Q267" s="301">
        <f t="shared" si="80"/>
        <v>0.5</v>
      </c>
      <c r="R267" s="173">
        <f t="shared" si="81"/>
        <v>0.47852770122538146</v>
      </c>
      <c r="S267" s="801">
        <f t="shared" si="82"/>
        <v>1</v>
      </c>
      <c r="T267" s="172">
        <f t="shared" si="83"/>
        <v>7</v>
      </c>
      <c r="U267" s="247">
        <f t="shared" si="84"/>
        <v>1.4785277012253815</v>
      </c>
      <c r="V267" s="378">
        <f t="shared" si="85"/>
        <v>197.03507891649119</v>
      </c>
      <c r="W267" s="397">
        <f t="shared" si="86"/>
        <v>184.86104684639437</v>
      </c>
      <c r="X267" s="153">
        <f t="shared" si="87"/>
        <v>45544</v>
      </c>
      <c r="Y267" s="380">
        <f t="shared" si="88"/>
        <v>178.45423027032894</v>
      </c>
      <c r="Z267" s="380">
        <f t="shared" si="89"/>
        <v>181.21136632361151</v>
      </c>
      <c r="AA267" s="381">
        <f t="shared" si="90"/>
        <v>191.6593822578925</v>
      </c>
      <c r="AB267" s="193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5.4513459300533418E-2</v>
      </c>
      <c r="AD267" s="227">
        <f>(INDEX(Models!$BJ267:$BT267,,AH267)*(1-AF267)+INDEX(Models!$BJ267:$BT267,,AH267+1)*AF267-ERP_i)*AE267*Ramure*Pc/MaxiM</f>
        <v>1.5359316390055807E-4</v>
      </c>
      <c r="AE267" s="301">
        <f t="shared" si="92"/>
        <v>0.5</v>
      </c>
      <c r="AF267" s="173">
        <f t="shared" si="93"/>
        <v>0.47852770122538146</v>
      </c>
      <c r="AG267" s="801">
        <f t="shared" si="99"/>
        <v>1</v>
      </c>
      <c r="AH267" s="172">
        <f t="shared" si="94"/>
        <v>7</v>
      </c>
      <c r="AI267" s="221">
        <f t="shared" si="95"/>
        <v>1.4785277012253815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45545</v>
      </c>
      <c r="B268" s="406">
        <f>'2023'!Wh/'2023'!Env_an*'2024'!Env_an</f>
        <v>188.43452294960372</v>
      </c>
      <c r="C268" s="385"/>
      <c r="D268" s="388">
        <f t="shared" si="77"/>
        <v>191.34847494232963</v>
      </c>
      <c r="E268" s="380">
        <f t="shared" si="100"/>
        <v>195.38008595796543</v>
      </c>
      <c r="F268" s="380">
        <f t="shared" si="78"/>
        <v>195.40817938586386</v>
      </c>
      <c r="G268" s="110">
        <f t="shared" si="101"/>
        <v>0.96149026359539924</v>
      </c>
      <c r="H268" s="409" t="b">
        <f>Wh_hp&gt;='2023'!Maxi_hp</f>
        <v>0</v>
      </c>
      <c r="I268" s="375">
        <f>IF(H268,Wh_hp,'2023'!Maxi_hp)</f>
        <v>195.40930696041534</v>
      </c>
      <c r="J268" s="85">
        <f>IF(H268,An,'2023'!An_max)</f>
        <v>2022</v>
      </c>
      <c r="K268" s="193">
        <f t="shared" si="79"/>
        <v>45545</v>
      </c>
      <c r="L268" s="143">
        <f>IF(t&lt;Tvie,1-EXP((T0-t)*PertePVj)+'2023'!Pspv,1-EXP((T0-t)*PertePVj)+Pspv)</f>
        <v>1.5228509104157517E-2</v>
      </c>
      <c r="M268" s="835"/>
      <c r="N268" s="835"/>
      <c r="O268" s="48">
        <f>IF(t&lt;Tnet,'2023'!Resal+('2023'!Salim-'2023'!Resal)*(1-EXP(('2023'!Tnet-t)/('2023'!Tau_j))),Resal+(Salim-Resal)*(1-EXP((Tnet-t)/(Tau_j))))*Salcycl</f>
        <v>2.0634707963549437E-2</v>
      </c>
      <c r="P268" s="165">
        <f>(INDEX(Models!$BJ268:$BT268,,T268)*(1-R268)+INDEX(Models!$BJ268:$BT268,,T268+1)*R268-ERP_i)*Q268*Ramure*Pc/MaxiM</f>
        <v>1.5213575581197073E-4</v>
      </c>
      <c r="Q268" s="301">
        <f t="shared" si="80"/>
        <v>0.5</v>
      </c>
      <c r="R268" s="173">
        <f t="shared" si="81"/>
        <v>0.47896768651671806</v>
      </c>
      <c r="S268" s="801">
        <f t="shared" si="82"/>
        <v>1</v>
      </c>
      <c r="T268" s="172">
        <f t="shared" si="83"/>
        <v>7</v>
      </c>
      <c r="U268" s="247">
        <f t="shared" si="84"/>
        <v>1.4789676865167181</v>
      </c>
      <c r="V268" s="378">
        <f t="shared" si="85"/>
        <v>195.98008744205731</v>
      </c>
      <c r="W268" s="397">
        <f t="shared" si="86"/>
        <v>188.43452294960372</v>
      </c>
      <c r="X268" s="153">
        <f t="shared" si="87"/>
        <v>45545</v>
      </c>
      <c r="Y268" s="380">
        <f t="shared" si="88"/>
        <v>181.91163331640388</v>
      </c>
      <c r="Z268" s="380">
        <f t="shared" si="89"/>
        <v>184.72471532550117</v>
      </c>
      <c r="AA268" s="381">
        <f t="shared" si="90"/>
        <v>195.38008595796543</v>
      </c>
      <c r="AB268" s="193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5.4536625778518102E-2</v>
      </c>
      <c r="AD268" s="227">
        <f>(INDEX(Models!$BJ268:$BT268,,AH268)*(1-AF268)+INDEX(Models!$BJ268:$BT268,,AH268+1)*AF268-ERP_i)*AE268*Ramure*Pc/MaxiM</f>
        <v>1.5213575581197073E-4</v>
      </c>
      <c r="AE268" s="301">
        <f t="shared" si="92"/>
        <v>0.5</v>
      </c>
      <c r="AF268" s="173">
        <f t="shared" si="93"/>
        <v>0.47896768651671806</v>
      </c>
      <c r="AG268" s="801">
        <f t="shared" si="99"/>
        <v>1</v>
      </c>
      <c r="AH268" s="172">
        <f t="shared" si="94"/>
        <v>7</v>
      </c>
      <c r="AI268" s="221">
        <f t="shared" si="95"/>
        <v>1.4789676865167181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45546</v>
      </c>
      <c r="B269" s="406">
        <f>'2023'!Wh/'2023'!Env_an*'2024'!Env_an</f>
        <v>130.46703296449752</v>
      </c>
      <c r="C269" s="385"/>
      <c r="D269" s="388">
        <f t="shared" si="77"/>
        <v>132.48638915651347</v>
      </c>
      <c r="E269" s="380">
        <f t="shared" si="100"/>
        <v>135.28687048257902</v>
      </c>
      <c r="F269" s="380">
        <f t="shared" si="78"/>
        <v>135.29762152904544</v>
      </c>
      <c r="G269" s="110">
        <f t="shared" si="101"/>
        <v>0.66931263229754123</v>
      </c>
      <c r="H269" s="409" t="b">
        <f>Wh_hp&gt;='2023'!Maxi_hp</f>
        <v>0</v>
      </c>
      <c r="I269" s="375">
        <f>IF(H269,Wh_hp,'2023'!Maxi_hp)</f>
        <v>135.30425984199042</v>
      </c>
      <c r="J269" s="85">
        <f>IF(H269,An,'2023'!An_max)</f>
        <v>2022</v>
      </c>
      <c r="K269" s="193">
        <f t="shared" si="79"/>
        <v>45546</v>
      </c>
      <c r="L269" s="143">
        <f>IF(t&lt;Tvie,1-EXP((T0-t)*PertePVj)+'2023'!Pspv,1-EXP((T0-t)*PertePVj)+Pspv)</f>
        <v>1.5241989798894462E-2</v>
      </c>
      <c r="M269" s="835"/>
      <c r="N269" s="835"/>
      <c r="O269" s="48">
        <f>IF(t&lt;Tnet,'2023'!Resal+('2023'!Salim-'2023'!Resal)*(1-EXP(('2023'!Tnet-t)/('2023'!Tau_j))),Resal+(Salim-Resal)*(1-EXP((Tnet-t)/(Tau_j))))*Salcycl</f>
        <v>2.0700318634587475E-2</v>
      </c>
      <c r="P269" s="165">
        <f>(INDEX(Models!$BJ269:$BT269,,T269)*(1-R269)+INDEX(Models!$BJ269:$BT269,,T269+1)*R269-ERP_i)*Q269*Ramure*Pc/MaxiM</f>
        <v>1.5059427518677109E-4</v>
      </c>
      <c r="Q269" s="301">
        <f t="shared" si="80"/>
        <v>0.5</v>
      </c>
      <c r="R269" s="173">
        <f t="shared" si="81"/>
        <v>0.47939070089830516</v>
      </c>
      <c r="S269" s="801">
        <f t="shared" si="82"/>
        <v>1</v>
      </c>
      <c r="T269" s="172">
        <f t="shared" si="83"/>
        <v>7</v>
      </c>
      <c r="U269" s="247">
        <f t="shared" si="84"/>
        <v>1.4793907008983052</v>
      </c>
      <c r="V269" s="378">
        <f t="shared" si="85"/>
        <v>194.91302799439424</v>
      </c>
      <c r="W269" s="397">
        <f t="shared" si="86"/>
        <v>130.46703296449752</v>
      </c>
      <c r="X269" s="153">
        <f t="shared" si="87"/>
        <v>45546</v>
      </c>
      <c r="Y269" s="380">
        <f t="shared" si="88"/>
        <v>125.95616819545246</v>
      </c>
      <c r="Z269" s="380">
        <f t="shared" si="89"/>
        <v>127.90570565628597</v>
      </c>
      <c r="AA269" s="381">
        <f t="shared" si="90"/>
        <v>135.28687048257902</v>
      </c>
      <c r="AB269" s="193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5.4559358199090913E-2</v>
      </c>
      <c r="AD269" s="227">
        <f>(INDEX(Models!$BJ269:$BT269,,AH269)*(1-AF269)+INDEX(Models!$BJ269:$BT269,,AH269+1)*AF269-ERP_i)*AE269*Ramure*Pc/MaxiM</f>
        <v>1.5059427518677109E-4</v>
      </c>
      <c r="AE269" s="301">
        <f t="shared" si="92"/>
        <v>0.5</v>
      </c>
      <c r="AF269" s="173">
        <f t="shared" si="93"/>
        <v>0.47939070089830516</v>
      </c>
      <c r="AG269" s="801">
        <f t="shared" si="99"/>
        <v>1</v>
      </c>
      <c r="AH269" s="172">
        <f t="shared" si="94"/>
        <v>7</v>
      </c>
      <c r="AI269" s="221">
        <f t="shared" si="95"/>
        <v>1.4793907008983052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45547</v>
      </c>
      <c r="B270" s="406">
        <f>'2023'!Wh/'2023'!Env_an*'2024'!Env_an</f>
        <v>46.967447311881628</v>
      </c>
      <c r="C270" s="385"/>
      <c r="D270" s="388">
        <f t="shared" si="77"/>
        <v>47.695057850815168</v>
      </c>
      <c r="E270" s="380">
        <f t="shared" si="100"/>
        <v>48.706480874287081</v>
      </c>
      <c r="F270" s="380">
        <f t="shared" si="78"/>
        <v>48.706480874287081</v>
      </c>
      <c r="G270" s="110">
        <f t="shared" si="101"/>
        <v>0.2422716031731641</v>
      </c>
      <c r="H270" s="409" t="b">
        <f>Wh_hp&gt;='2023'!Maxi_hp</f>
        <v>0</v>
      </c>
      <c r="I270" s="375">
        <f>IF(H270,Wh_hp,'2023'!Maxi_hp)</f>
        <v>48.711486880695645</v>
      </c>
      <c r="J270" s="85">
        <f>IF(H270,An,'2023'!An_max)</f>
        <v>2022</v>
      </c>
      <c r="K270" s="193">
        <f t="shared" si="79"/>
        <v>45547</v>
      </c>
      <c r="L270" s="143">
        <f>IF(t&lt;Tvie,1-EXP((T0-t)*PertePVj)+'2023'!Pspv,1-EXP((T0-t)*PertePVj)+Pspv)</f>
        <v>1.5255470309092023E-2</v>
      </c>
      <c r="M270" s="835"/>
      <c r="N270" s="835"/>
      <c r="O270" s="48">
        <f>IF(t&lt;Tnet,'2023'!Resal+('2023'!Salim-'2023'!Resal)*(1-EXP(('2023'!Tnet-t)/('2023'!Tau_j))),Resal+(Salim-Resal)*(1-EXP((Tnet-t)/(Tau_j))))*Salcycl</f>
        <v>2.0765676462695604E-2</v>
      </c>
      <c r="P270" s="165">
        <f>(INDEX(Models!$BJ270:$BT270,,T270)*(1-R270)+INDEX(Models!$BJ270:$BT270,,T270+1)*R270-ERP_i)*Q270*Ramure*Pc/MaxiM</f>
        <v>1.4896741672328249E-4</v>
      </c>
      <c r="Q270" s="301">
        <f t="shared" si="80"/>
        <v>0.5</v>
      </c>
      <c r="R270" s="173">
        <f t="shared" si="81"/>
        <v>0.47979737072651529</v>
      </c>
      <c r="S270" s="801">
        <f t="shared" si="82"/>
        <v>1</v>
      </c>
      <c r="T270" s="172">
        <f t="shared" si="83"/>
        <v>7</v>
      </c>
      <c r="U270" s="247">
        <f t="shared" si="84"/>
        <v>1.4797973707265153</v>
      </c>
      <c r="V270" s="378">
        <f t="shared" si="85"/>
        <v>193.83390408747331</v>
      </c>
      <c r="W270" s="397">
        <f t="shared" si="86"/>
        <v>46.967447311881628</v>
      </c>
      <c r="X270" s="153">
        <f t="shared" si="87"/>
        <v>45547</v>
      </c>
      <c r="Y270" s="380">
        <f t="shared" si="88"/>
        <v>45.345517318016782</v>
      </c>
      <c r="Z270" s="380">
        <f t="shared" si="89"/>
        <v>46.048001233629449</v>
      </c>
      <c r="AA270" s="381">
        <f t="shared" si="90"/>
        <v>48.706480874287081</v>
      </c>
      <c r="AB270" s="193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5.4581640737282007E-2</v>
      </c>
      <c r="AD270" s="227">
        <f>(INDEX(Models!$BJ270:$BT270,,AH270)*(1-AF270)+INDEX(Models!$BJ270:$BT270,,AH270+1)*AF270-ERP_i)*AE270*Ramure*Pc/MaxiM</f>
        <v>1.4896741672328249E-4</v>
      </c>
      <c r="AE270" s="301">
        <f t="shared" si="92"/>
        <v>0.5</v>
      </c>
      <c r="AF270" s="173">
        <f t="shared" si="93"/>
        <v>0.47979737072651529</v>
      </c>
      <c r="AG270" s="801">
        <f t="shared" si="99"/>
        <v>1</v>
      </c>
      <c r="AH270" s="172">
        <f t="shared" si="94"/>
        <v>7</v>
      </c>
      <c r="AI270" s="221">
        <f t="shared" si="95"/>
        <v>1.4797973707265153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45548</v>
      </c>
      <c r="B271" s="406">
        <f>'2023'!Wh/'2023'!Env_an*'2024'!Env_an</f>
        <v>149.7799677951194</v>
      </c>
      <c r="C271" s="385"/>
      <c r="D271" s="388">
        <f t="shared" ref="D271:D334" si="102">Wh/(1-Ppv)</f>
        <v>152.10241201561263</v>
      </c>
      <c r="E271" s="380">
        <f t="shared" si="100"/>
        <v>155.33822753307859</v>
      </c>
      <c r="F271" s="380">
        <f t="shared" ref="F271:F334" si="103">Wh_sa/(1-Pvg*MEDIAN((-Sdif+Wh/Env_an)/Csdif,0,1))</f>
        <v>155.35381939841602</v>
      </c>
      <c r="G271" s="110">
        <f t="shared" si="101"/>
        <v>0.77706148620581961</v>
      </c>
      <c r="H271" s="409" t="b">
        <f>Wh_hp&gt;='2023'!Maxi_hp</f>
        <v>0</v>
      </c>
      <c r="I271" s="375">
        <f>IF(H271,Wh_hp,'2023'!Maxi_hp)</f>
        <v>155.35884692302292</v>
      </c>
      <c r="J271" s="85">
        <f>IF(H271,An,'2023'!An_max)</f>
        <v>2022</v>
      </c>
      <c r="K271" s="193">
        <f t="shared" ref="K271:K334" si="104">t</f>
        <v>45548</v>
      </c>
      <c r="L271" s="143">
        <f>IF(t&lt;Tvie,1-EXP((T0-t)*PertePVj)+'2023'!Pspv,1-EXP((T0-t)*PertePVj)+Pspv)</f>
        <v>1.5268950634752754E-2</v>
      </c>
      <c r="M271" s="835"/>
      <c r="N271" s="835"/>
      <c r="O271" s="48">
        <f>IF(t&lt;Tnet,'2023'!Resal+('2023'!Salim-'2023'!Resal)*(1-EXP(('2023'!Tnet-t)/('2023'!Tau_j))),Resal+(Salim-Resal)*(1-EXP((Tnet-t)/(Tau_j))))*Salcycl</f>
        <v>2.083077403968004E-2</v>
      </c>
      <c r="P271" s="165">
        <f>(INDEX(Models!$BJ271:$BT271,,T271)*(1-R271)+INDEX(Models!$BJ271:$BT271,,T271+1)*R271-ERP_i)*Q271*Ramure*Pc/MaxiM</f>
        <v>1.4725384705998028E-4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0.48018830143095093</v>
      </c>
      <c r="S271" s="801">
        <f t="shared" ref="S271:S334" si="107">INDEX(Echel_vg,T271)</f>
        <v>1</v>
      </c>
      <c r="T271" s="172">
        <f t="shared" ref="T271:T334" si="108">MIN(MATCH(Hp_vg,Echel_vg),10)</f>
        <v>7</v>
      </c>
      <c r="U271" s="247">
        <f t="shared" ref="U271:U334" si="109">IF(OR(t&lt;Ttai,Notai),Hdd+PousH*Croivg,Hdtf+PousH*(Croivg-Croi_tai))</f>
        <v>1.4801883014309509</v>
      </c>
      <c r="V271" s="378">
        <f t="shared" ref="V271:V334" si="110">MaxiM*(1-Ppv)*(1-Pvg)*(1-Psa)</f>
        <v>192.74271923917436</v>
      </c>
      <c r="W271" s="397">
        <f t="shared" ref="W271:W334" si="111">Wh*(A271&gt;Tmaj)</f>
        <v>149.7799677951194</v>
      </c>
      <c r="X271" s="153">
        <f t="shared" ref="X271:X334" si="112">t</f>
        <v>45548</v>
      </c>
      <c r="Y271" s="380">
        <f t="shared" ref="Y271:Y334" si="113">Wh_pvt_s*(1-Ppv)</f>
        <v>144.6138828789145</v>
      </c>
      <c r="Z271" s="380">
        <f t="shared" ref="Z271:Z334" si="114">Wh_sa_s*(1-Psa_s)</f>
        <v>146.85622330293322</v>
      </c>
      <c r="AA271" s="381">
        <f t="shared" ref="AA271:AA334" si="115">Wh_hp*(1-Pvg_s*MEDIAN((-Sdif+Wh/Env_an)/Csdif,0,1))</f>
        <v>155.33822753307859</v>
      </c>
      <c r="AB271" s="193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5.4603457016652063E-2</v>
      </c>
      <c r="AD271" s="227">
        <f>(INDEX(Models!$BJ271:$BT271,,AH271)*(1-AF271)+INDEX(Models!$BJ271:$BT271,,AH271+1)*AF271-ERP_i)*AE271*Ramure*Pc/MaxiM</f>
        <v>1.4725384705998028E-4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0.48018830143095093</v>
      </c>
      <c r="AG271" s="801">
        <f t="shared" si="99"/>
        <v>1</v>
      </c>
      <c r="AH271" s="172">
        <f t="shared" ref="AH271:AH334" si="119">MIN(MATCH(Hp_vg_s,Echel_vg),10)</f>
        <v>7</v>
      </c>
      <c r="AI271" s="221">
        <f t="shared" ref="AI271:AI334" si="120">IF(OR(t&lt;Ttai,Notai),Hdd_s+PousH*Croivg,Hdtai_s+PousH*(Croivg-Croi_tai))</f>
        <v>1.4801883014309509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45549</v>
      </c>
      <c r="B272" s="406">
        <f>'2023'!Wh/'2023'!Env_an*'2024'!Env_an</f>
        <v>167.59963646013659</v>
      </c>
      <c r="C272" s="385"/>
      <c r="D272" s="388">
        <f t="shared" si="102"/>
        <v>170.20071713780001</v>
      </c>
      <c r="E272" s="380">
        <f t="shared" si="100"/>
        <v>173.83306395061553</v>
      </c>
      <c r="F272" s="380">
        <f t="shared" si="103"/>
        <v>173.85381975611716</v>
      </c>
      <c r="G272" s="110">
        <f t="shared" si="101"/>
        <v>0.8745341513353766</v>
      </c>
      <c r="H272" s="409" t="b">
        <f>Wh_hp&gt;='2023'!Maxi_hp</f>
        <v>0</v>
      </c>
      <c r="I272" s="375">
        <f>IF(H272,Wh_hp,'2023'!Maxi_hp)</f>
        <v>173.8569482012538</v>
      </c>
      <c r="J272" s="85">
        <f>IF(H272,An,'2023'!An_max)</f>
        <v>2022</v>
      </c>
      <c r="K272" s="193">
        <f t="shared" si="104"/>
        <v>45549</v>
      </c>
      <c r="L272" s="143">
        <f>IF(t&lt;Tvie,1-EXP((T0-t)*PertePVj)+'2023'!Pspv,1-EXP((T0-t)*PertePVj)+Pspv)</f>
        <v>1.5282430775879097E-2</v>
      </c>
      <c r="M272" s="835"/>
      <c r="N272" s="835"/>
      <c r="O272" s="48">
        <f>IF(t&lt;Tnet,'2023'!Resal+('2023'!Salim-'2023'!Resal)*(1-EXP(('2023'!Tnet-t)/('2023'!Tau_j))),Resal+(Salim-Resal)*(1-EXP((Tnet-t)/(Tau_j))))*Salcycl</f>
        <v>2.0895603691639657E-2</v>
      </c>
      <c r="P272" s="165">
        <f>(INDEX(Models!$BJ272:$BT272,,T272)*(1-R272)+INDEX(Models!$BJ272:$BT272,,T272+1)*R272-ERP_i)*Q272*Ramure*Pc/MaxiM</f>
        <v>1.4545220621186973E-4</v>
      </c>
      <c r="Q272" s="301">
        <f t="shared" si="105"/>
        <v>0.5</v>
      </c>
      <c r="R272" s="173">
        <f t="shared" si="106"/>
        <v>0.48056407804084889</v>
      </c>
      <c r="S272" s="801">
        <f t="shared" si="107"/>
        <v>1</v>
      </c>
      <c r="T272" s="172">
        <f t="shared" si="108"/>
        <v>7</v>
      </c>
      <c r="U272" s="247">
        <f t="shared" si="109"/>
        <v>1.4805640780408489</v>
      </c>
      <c r="V272" s="378">
        <f t="shared" si="110"/>
        <v>191.63947695575291</v>
      </c>
      <c r="W272" s="397">
        <f t="shared" si="111"/>
        <v>167.59963646013659</v>
      </c>
      <c r="X272" s="153">
        <f t="shared" si="112"/>
        <v>45549</v>
      </c>
      <c r="Y272" s="380">
        <f t="shared" si="113"/>
        <v>161.82599331599113</v>
      </c>
      <c r="Z272" s="380">
        <f t="shared" si="114"/>
        <v>164.33746931467581</v>
      </c>
      <c r="AA272" s="381">
        <f t="shared" si="115"/>
        <v>173.83306395061553</v>
      </c>
      <c r="AB272" s="193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5.4624790129899091E-2</v>
      </c>
      <c r="AD272" s="227">
        <f>(INDEX(Models!$BJ272:$BT272,,AH272)*(1-AF272)+INDEX(Models!$BJ272:$BT272,,AH272+1)*AF272-ERP_i)*AE272*Ramure*Pc/MaxiM</f>
        <v>1.4545220621186973E-4</v>
      </c>
      <c r="AE272" s="301">
        <f t="shared" si="117"/>
        <v>0.5</v>
      </c>
      <c r="AF272" s="173">
        <f t="shared" si="118"/>
        <v>0.48056407804084889</v>
      </c>
      <c r="AG272" s="801">
        <f t="shared" ref="AG272:AG335" si="124">INDEX(Echel_vg,AH272)</f>
        <v>1</v>
      </c>
      <c r="AH272" s="172">
        <f t="shared" si="119"/>
        <v>7</v>
      </c>
      <c r="AI272" s="221">
        <f t="shared" si="120"/>
        <v>1.4805640780408489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45550</v>
      </c>
      <c r="B273" s="406">
        <f>'2023'!Wh/'2023'!Env_an*'2024'!Env_an</f>
        <v>106.99378617820294</v>
      </c>
      <c r="C273" s="385"/>
      <c r="D273" s="388">
        <f t="shared" si="102"/>
        <v>108.65577521648197</v>
      </c>
      <c r="E273" s="380">
        <f t="shared" si="100"/>
        <v>110.98197488844893</v>
      </c>
      <c r="F273" s="380">
        <f t="shared" si="103"/>
        <v>110.98792893495956</v>
      </c>
      <c r="G273" s="110">
        <f t="shared" si="101"/>
        <v>0.56152539210488772</v>
      </c>
      <c r="H273" s="409" t="b">
        <f>Wh_hp&gt;='2023'!Maxi_hp</f>
        <v>0</v>
      </c>
      <c r="I273" s="375">
        <f>IF(H273,Wh_hp,'2023'!Maxi_hp)</f>
        <v>110.99482020790059</v>
      </c>
      <c r="J273" s="85">
        <f>IF(H273,An,'2023'!An_max)</f>
        <v>2022</v>
      </c>
      <c r="K273" s="193">
        <f t="shared" si="104"/>
        <v>45550</v>
      </c>
      <c r="L273" s="143">
        <f>IF(t&lt;Tvie,1-EXP((T0-t)*PertePVj)+'2023'!Pspv,1-EXP((T0-t)*PertePVj)+Pspv)</f>
        <v>1.5295910732473605E-2</v>
      </c>
      <c r="M273" s="835"/>
      <c r="N273" s="835"/>
      <c r="O273" s="48">
        <f>IF(t&lt;Tnet,'2023'!Resal+('2023'!Salim-'2023'!Resal)*(1-EXP(('2023'!Tnet-t)/('2023'!Tau_j))),Resal+(Salim-Resal)*(1-EXP((Tnet-t)/(Tau_j))))*Salcycl</f>
        <v>2.0960157487781971E-2</v>
      </c>
      <c r="P273" s="165">
        <f>(INDEX(Models!$BJ273:$BT273,,T273)*(1-R273)+INDEX(Models!$BJ273:$BT273,,T273+1)*R273-ERP_i)*Q273*Ramure*Pc/MaxiM</f>
        <v>1.4356110927492676E-4</v>
      </c>
      <c r="Q273" s="301">
        <f t="shared" si="105"/>
        <v>0.5</v>
      </c>
      <c r="R273" s="173">
        <f t="shared" si="106"/>
        <v>0.48092526571274452</v>
      </c>
      <c r="S273" s="801">
        <f t="shared" si="107"/>
        <v>1</v>
      </c>
      <c r="T273" s="172">
        <f t="shared" si="108"/>
        <v>7</v>
      </c>
      <c r="U273" s="247">
        <f t="shared" si="109"/>
        <v>1.4809252657127445</v>
      </c>
      <c r="V273" s="378">
        <f t="shared" si="110"/>
        <v>190.52418073486953</v>
      </c>
      <c r="W273" s="397">
        <f t="shared" si="111"/>
        <v>106.99378617820294</v>
      </c>
      <c r="X273" s="153">
        <f t="shared" si="112"/>
        <v>45550</v>
      </c>
      <c r="Y273" s="380">
        <f t="shared" si="113"/>
        <v>103.31249017541118</v>
      </c>
      <c r="Z273" s="380">
        <f t="shared" si="114"/>
        <v>104.91729576573643</v>
      </c>
      <c r="AA273" s="381">
        <f t="shared" si="115"/>
        <v>110.98197488844893</v>
      </c>
      <c r="AB273" s="193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5.4645622668079888E-2</v>
      </c>
      <c r="AD273" s="227">
        <f>(INDEX(Models!$BJ273:$BT273,,AH273)*(1-AF273)+INDEX(Models!$BJ273:$BT273,,AH273+1)*AF273-ERP_i)*AE273*Ramure*Pc/MaxiM</f>
        <v>1.4356110927492676E-4</v>
      </c>
      <c r="AE273" s="301">
        <f t="shared" si="117"/>
        <v>0.5</v>
      </c>
      <c r="AF273" s="173">
        <f t="shared" si="118"/>
        <v>0.48092526571274452</v>
      </c>
      <c r="AG273" s="801">
        <f t="shared" si="124"/>
        <v>1</v>
      </c>
      <c r="AH273" s="172">
        <f t="shared" si="119"/>
        <v>7</v>
      </c>
      <c r="AI273" s="221">
        <f t="shared" si="120"/>
        <v>1.4809252657127445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customHeight="1" x14ac:dyDescent="0.2">
      <c r="A274" s="56">
        <f t="shared" si="123"/>
        <v>45551</v>
      </c>
      <c r="B274" s="406">
        <f>'2023'!Wh/'2023'!Env_an*'2024'!Env_an</f>
        <v>194.42958540935027</v>
      </c>
      <c r="C274" s="385"/>
      <c r="D274" s="388">
        <f t="shared" si="102"/>
        <v>197.45246226017397</v>
      </c>
      <c r="E274" s="380">
        <f t="shared" si="100"/>
        <v>201.69294082191132</v>
      </c>
      <c r="F274" s="380">
        <f t="shared" si="103"/>
        <v>201.72150038015275</v>
      </c>
      <c r="G274" s="110">
        <f t="shared" si="101"/>
        <v>1.0265725210341587</v>
      </c>
      <c r="H274" s="409" t="b">
        <f>Wh_hp&gt;='2023'!Maxi_hp</f>
        <v>1</v>
      </c>
      <c r="I274" s="375">
        <f>IF(H274,Wh_hp,'2023'!Maxi_hp)</f>
        <v>201.72150038015275</v>
      </c>
      <c r="J274" s="85">
        <f>IF(H274,An,'2023'!An_max)</f>
        <v>2024</v>
      </c>
      <c r="K274" s="193">
        <f t="shared" si="104"/>
        <v>45551</v>
      </c>
      <c r="L274" s="143">
        <f>IF(t&lt;Tvie,1-EXP((T0-t)*PertePVj)+'2023'!Pspv,1-EXP((T0-t)*PertePVj)+Pspv)</f>
        <v>1.5309390504538833E-2</v>
      </c>
      <c r="M274" s="835"/>
      <c r="N274" s="835"/>
      <c r="O274" s="48">
        <f>IF(t&lt;Tnet,'2023'!Resal+('2023'!Salim-'2023'!Resal)*(1-EXP(('2023'!Tnet-t)/('2023'!Tau_j))),Resal+(Salim-Resal)*(1-EXP((Tnet-t)/(Tau_j))))*Salcycl</f>
        <v>2.102442725291789E-2</v>
      </c>
      <c r="P274" s="165">
        <f>(INDEX(Models!$BJ274:$BT274,,T274)*(1-R274)+INDEX(Models!$BJ274:$BT274,,T274+1)*R274-ERP_i)*Q274*Ramure*Pc/MaxiM</f>
        <v>1.4157914841797081E-4</v>
      </c>
      <c r="Q274" s="301">
        <f t="shared" si="105"/>
        <v>0.5</v>
      </c>
      <c r="R274" s="173">
        <f t="shared" si="106"/>
        <v>0.48127241025784295</v>
      </c>
      <c r="S274" s="801">
        <f t="shared" si="107"/>
        <v>1</v>
      </c>
      <c r="T274" s="172">
        <f t="shared" si="108"/>
        <v>7</v>
      </c>
      <c r="U274" s="247">
        <f t="shared" si="109"/>
        <v>1.481272410257843</v>
      </c>
      <c r="V274" s="378">
        <f t="shared" si="110"/>
        <v>189.39683405268229</v>
      </c>
      <c r="W274" s="397">
        <f t="shared" si="111"/>
        <v>194.42958540935027</v>
      </c>
      <c r="X274" s="153">
        <f t="shared" si="112"/>
        <v>45551</v>
      </c>
      <c r="Y274" s="380">
        <f t="shared" si="113"/>
        <v>187.74820854165654</v>
      </c>
      <c r="Z274" s="380">
        <f t="shared" si="114"/>
        <v>190.66720727422754</v>
      </c>
      <c r="AA274" s="381">
        <f t="shared" si="115"/>
        <v>201.69294082191132</v>
      </c>
      <c r="AB274" s="193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5.4665936758883246E-2</v>
      </c>
      <c r="AD274" s="227">
        <f>(INDEX(Models!$BJ274:$BT274,,AH274)*(1-AF274)+INDEX(Models!$BJ274:$BT274,,AH274+1)*AF274-ERP_i)*AE274*Ramure*Pc/MaxiM</f>
        <v>1.4157914841797081E-4</v>
      </c>
      <c r="AE274" s="301">
        <f t="shared" si="117"/>
        <v>0.5</v>
      </c>
      <c r="AF274" s="173">
        <f t="shared" si="118"/>
        <v>0.48127241025784295</v>
      </c>
      <c r="AG274" s="801">
        <f t="shared" si="124"/>
        <v>1</v>
      </c>
      <c r="AH274" s="172">
        <f t="shared" si="119"/>
        <v>7</v>
      </c>
      <c r="AI274" s="221">
        <f t="shared" si="120"/>
        <v>1.481272410257843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45552</v>
      </c>
      <c r="B275" s="406">
        <f>'2023'!Wh/'2023'!Env_an*'2024'!Env_an</f>
        <v>187.76198172888667</v>
      </c>
      <c r="C275" s="385"/>
      <c r="D275" s="388">
        <f t="shared" si="102"/>
        <v>190.6838049000329</v>
      </c>
      <c r="E275" s="380">
        <f t="shared" si="100"/>
        <v>194.79165002531877</v>
      </c>
      <c r="F275" s="380">
        <f t="shared" si="103"/>
        <v>194.81872720579091</v>
      </c>
      <c r="G275" s="110">
        <f t="shared" si="101"/>
        <v>0.99738581151190753</v>
      </c>
      <c r="H275" s="409" t="b">
        <f>Wh_hp&gt;='2023'!Maxi_hp</f>
        <v>0</v>
      </c>
      <c r="I275" s="375">
        <f>IF(H275,Wh_hp,'2023'!Maxi_hp)</f>
        <v>194.81879732421061</v>
      </c>
      <c r="J275" s="85">
        <f>IF(H275,An,'2023'!An_max)</f>
        <v>2022</v>
      </c>
      <c r="K275" s="193">
        <f t="shared" si="104"/>
        <v>45552</v>
      </c>
      <c r="L275" s="143">
        <f>IF(t&lt;Tvie,1-EXP((T0-t)*PertePVj)+'2023'!Pspv,1-EXP((T0-t)*PertePVj)+Pspv)</f>
        <v>1.5322870092077334E-2</v>
      </c>
      <c r="M275" s="835"/>
      <c r="N275" s="835"/>
      <c r="O275" s="48">
        <f>IF(t&lt;Tnet,'2023'!Resal+('2023'!Salim-'2023'!Resal)*(1-EXP(('2023'!Tnet-t)/('2023'!Tau_j))),Resal+(Salim-Resal)*(1-EXP((Tnet-t)/(Tau_j))))*Salcycl</f>
        <v>2.1088404583830614E-2</v>
      </c>
      <c r="P275" s="165">
        <f>(INDEX(Models!$BJ275:$BT275,,T275)*(1-R275)+INDEX(Models!$BJ275:$BT275,,T275+1)*R275-ERP_i)*Q275*Ramure*Pc/MaxiM</f>
        <v>1.3950743282954456E-4</v>
      </c>
      <c r="Q275" s="301">
        <f t="shared" si="105"/>
        <v>0.5</v>
      </c>
      <c r="R275" s="173">
        <f t="shared" si="106"/>
        <v>0.4816060386677008</v>
      </c>
      <c r="S275" s="801">
        <f t="shared" si="107"/>
        <v>1</v>
      </c>
      <c r="T275" s="172">
        <f t="shared" si="108"/>
        <v>7</v>
      </c>
      <c r="U275" s="247">
        <f t="shared" si="109"/>
        <v>1.4816060386677008</v>
      </c>
      <c r="V275" s="378">
        <f t="shared" si="110"/>
        <v>188.25401539095685</v>
      </c>
      <c r="W275" s="397">
        <f t="shared" si="111"/>
        <v>187.76198172888667</v>
      </c>
      <c r="X275" s="153">
        <f t="shared" si="112"/>
        <v>45552</v>
      </c>
      <c r="Y275" s="380">
        <f t="shared" si="113"/>
        <v>181.31778651479576</v>
      </c>
      <c r="Z275" s="380">
        <f t="shared" si="114"/>
        <v>184.13932954018219</v>
      </c>
      <c r="AA275" s="381">
        <f t="shared" si="115"/>
        <v>194.79165002531877</v>
      </c>
      <c r="AB275" s="193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5.4685714114295979E-2</v>
      </c>
      <c r="AD275" s="227">
        <f>(INDEX(Models!$BJ275:$BT275,,AH275)*(1-AF275)+INDEX(Models!$BJ275:$BT275,,AH275+1)*AF275-ERP_i)*AE275*Ramure*Pc/MaxiM</f>
        <v>1.3950743282954456E-4</v>
      </c>
      <c r="AE275" s="301">
        <f t="shared" si="117"/>
        <v>0.5</v>
      </c>
      <c r="AF275" s="173">
        <f t="shared" si="118"/>
        <v>0.4816060386677008</v>
      </c>
      <c r="AG275" s="801">
        <f t="shared" si="124"/>
        <v>1</v>
      </c>
      <c r="AH275" s="172">
        <f t="shared" si="119"/>
        <v>7</v>
      </c>
      <c r="AI275" s="221">
        <f t="shared" si="120"/>
        <v>1.4816060386677008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45553</v>
      </c>
      <c r="B276" s="406">
        <f>'2023'!Wh/'2023'!Env_an*'2024'!Env_an</f>
        <v>185.26712132935847</v>
      </c>
      <c r="C276" s="385"/>
      <c r="D276" s="388">
        <f t="shared" si="102"/>
        <v>188.15269684664258</v>
      </c>
      <c r="E276" s="380">
        <f t="shared" si="100"/>
        <v>192.2185184944874</v>
      </c>
      <c r="F276" s="380">
        <f t="shared" si="103"/>
        <v>192.24459149069247</v>
      </c>
      <c r="G276" s="110">
        <f t="shared" si="101"/>
        <v>0.99023719600040272</v>
      </c>
      <c r="H276" s="409" t="b">
        <f>Wh_hp&gt;='2023'!Maxi_hp</f>
        <v>0</v>
      </c>
      <c r="I276" s="375">
        <f>IF(H276,Wh_hp,'2023'!Maxi_hp)</f>
        <v>192.2448463410021</v>
      </c>
      <c r="J276" s="85">
        <f>IF(H276,An,'2023'!An_max)</f>
        <v>2022</v>
      </c>
      <c r="K276" s="193">
        <f t="shared" si="104"/>
        <v>45553</v>
      </c>
      <c r="L276" s="143">
        <f>IF(t&lt;Tvie,1-EXP((T0-t)*PertePVj)+'2023'!Pspv,1-EXP((T0-t)*PertePVj)+Pspv)</f>
        <v>1.533634949509155E-2</v>
      </c>
      <c r="M276" s="835"/>
      <c r="N276" s="835"/>
      <c r="O276" s="48">
        <f>IF(t&lt;Tnet,'2023'!Resal+('2023'!Salim-'2023'!Resal)*(1-EXP(('2023'!Tnet-t)/('2023'!Tau_j))),Resal+(Salim-Resal)*(1-EXP((Tnet-t)/(Tau_j))))*Salcycl</f>
        <v>2.1152080869676567E-2</v>
      </c>
      <c r="P276" s="165">
        <f>(INDEX(Models!$BJ276:$BT276,,T276)*(1-R276)+INDEX(Models!$BJ276:$BT276,,T276+1)*R276-ERP_i)*Q276*Ramure*Pc/MaxiM</f>
        <v>1.3754198783876329E-4</v>
      </c>
      <c r="Q276" s="301">
        <f t="shared" si="105"/>
        <v>0.5</v>
      </c>
      <c r="R276" s="173">
        <f t="shared" si="106"/>
        <v>0.48192665963696224</v>
      </c>
      <c r="S276" s="801">
        <f t="shared" si="107"/>
        <v>1</v>
      </c>
      <c r="T276" s="172">
        <f t="shared" si="108"/>
        <v>7</v>
      </c>
      <c r="U276" s="247">
        <f t="shared" si="109"/>
        <v>1.4819266596369622</v>
      </c>
      <c r="V276" s="378">
        <f t="shared" si="110"/>
        <v>187.09332138252478</v>
      </c>
      <c r="W276" s="397">
        <f t="shared" si="111"/>
        <v>185.26712132935847</v>
      </c>
      <c r="X276" s="153">
        <f t="shared" si="112"/>
        <v>45553</v>
      </c>
      <c r="Y276" s="380">
        <f t="shared" si="113"/>
        <v>178.91655268925342</v>
      </c>
      <c r="Z276" s="380">
        <f t="shared" si="114"/>
        <v>181.70321672533552</v>
      </c>
      <c r="AA276" s="381">
        <f t="shared" si="115"/>
        <v>192.2185184944874</v>
      </c>
      <c r="AB276" s="193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5.4704936087900641E-2</v>
      </c>
      <c r="AD276" s="227">
        <f>(INDEX(Models!$BJ276:$BT276,,AH276)*(1-AF276)+INDEX(Models!$BJ276:$BT276,,AH276+1)*AF276-ERP_i)*AE276*Ramure*Pc/MaxiM</f>
        <v>1.3754198783876329E-4</v>
      </c>
      <c r="AE276" s="301">
        <f t="shared" si="117"/>
        <v>0.5</v>
      </c>
      <c r="AF276" s="173">
        <f t="shared" si="118"/>
        <v>0.48192665963696224</v>
      </c>
      <c r="AG276" s="801">
        <f t="shared" si="124"/>
        <v>1</v>
      </c>
      <c r="AH276" s="172">
        <f t="shared" si="119"/>
        <v>7</v>
      </c>
      <c r="AI276" s="221">
        <f t="shared" si="120"/>
        <v>1.4819266596369622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customHeight="1" x14ac:dyDescent="0.2">
      <c r="A277" s="56">
        <f t="shared" si="123"/>
        <v>45554</v>
      </c>
      <c r="B277" s="406">
        <f>'2023'!Wh/'2023'!Env_an*'2024'!Env_an</f>
        <v>189.47755325169908</v>
      </c>
      <c r="C277" s="385"/>
      <c r="D277" s="388">
        <f t="shared" si="102"/>
        <v>192.43134138102303</v>
      </c>
      <c r="E277" s="380">
        <f t="shared" si="100"/>
        <v>196.60234814030088</v>
      </c>
      <c r="F277" s="380">
        <f t="shared" si="103"/>
        <v>196.62901416079936</v>
      </c>
      <c r="G277" s="110">
        <f t="shared" si="101"/>
        <v>1.0191548690504904</v>
      </c>
      <c r="H277" s="409" t="b">
        <f>Wh_hp&gt;='2023'!Maxi_hp</f>
        <v>1</v>
      </c>
      <c r="I277" s="375">
        <f>IF(H277,Wh_hp,'2023'!Maxi_hp)</f>
        <v>196.62901416079936</v>
      </c>
      <c r="J277" s="85">
        <f>IF(H277,An,'2023'!An_max)</f>
        <v>2024</v>
      </c>
      <c r="K277" s="193">
        <f t="shared" si="104"/>
        <v>45554</v>
      </c>
      <c r="L277" s="143">
        <f>IF(t&lt;Tvie,1-EXP((T0-t)*PertePVj)+'2023'!Pspv,1-EXP((T0-t)*PertePVj)+Pspv)</f>
        <v>1.5349828713584146E-2</v>
      </c>
      <c r="M277" s="835"/>
      <c r="N277" s="835"/>
      <c r="O277" s="48">
        <f>IF(t&lt;Tnet,'2023'!Resal+('2023'!Salim-'2023'!Resal)*(1-EXP(('2023'!Tnet-t)/('2023'!Tau_j))),Resal+(Salim-Resal)*(1-EXP((Tnet-t)/(Tau_j))))*Salcycl</f>
        <v>2.1215447316536087E-2</v>
      </c>
      <c r="P277" s="165">
        <f>(INDEX(Models!$BJ277:$BT277,,T277)*(1-R277)+INDEX(Models!$BJ277:$BT277,,T277+1)*R277-ERP_i)*Q277*Ramure*Pc/MaxiM</f>
        <v>1.3561589886552542E-4</v>
      </c>
      <c r="Q277" s="301">
        <f t="shared" si="105"/>
        <v>0.5</v>
      </c>
      <c r="R277" s="173">
        <f t="shared" si="106"/>
        <v>0.48223476408202104</v>
      </c>
      <c r="S277" s="801">
        <f t="shared" si="107"/>
        <v>1</v>
      </c>
      <c r="T277" s="172">
        <f t="shared" si="108"/>
        <v>7</v>
      </c>
      <c r="U277" s="247">
        <f t="shared" si="109"/>
        <v>1.482234764082021</v>
      </c>
      <c r="V277" s="378">
        <f t="shared" si="110"/>
        <v>185.9163499147372</v>
      </c>
      <c r="W277" s="397">
        <f t="shared" si="111"/>
        <v>189.47755325169908</v>
      </c>
      <c r="X277" s="153">
        <f t="shared" si="112"/>
        <v>45554</v>
      </c>
      <c r="Y277" s="380">
        <f t="shared" si="113"/>
        <v>182.99089621721467</v>
      </c>
      <c r="Z277" s="380">
        <f t="shared" si="114"/>
        <v>185.8435630779839</v>
      </c>
      <c r="AA277" s="381">
        <f t="shared" si="115"/>
        <v>196.60234814030088</v>
      </c>
      <c r="AB277" s="193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5.4723583741935748E-2</v>
      </c>
      <c r="AD277" s="227">
        <f>(INDEX(Models!$BJ277:$BT277,,AH277)*(1-AF277)+INDEX(Models!$BJ277:$BT277,,AH277+1)*AF277-ERP_i)*AE277*Ramure*Pc/MaxiM</f>
        <v>1.3561589886552542E-4</v>
      </c>
      <c r="AE277" s="301">
        <f t="shared" si="117"/>
        <v>0.5</v>
      </c>
      <c r="AF277" s="173">
        <f t="shared" si="118"/>
        <v>0.48223476408202104</v>
      </c>
      <c r="AG277" s="801">
        <f t="shared" si="124"/>
        <v>1</v>
      </c>
      <c r="AH277" s="172">
        <f t="shared" si="119"/>
        <v>7</v>
      </c>
      <c r="AI277" s="221">
        <f t="shared" si="120"/>
        <v>1.482234764082021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45555</v>
      </c>
      <c r="B278" s="406">
        <f>'2023'!Wh/'2023'!Env_an*'2024'!Env_an</f>
        <v>184.34562159366308</v>
      </c>
      <c r="C278" s="385"/>
      <c r="D278" s="388">
        <f t="shared" si="102"/>
        <v>187.22197034111775</v>
      </c>
      <c r="E278" s="380">
        <f t="shared" si="100"/>
        <v>191.29238438115516</v>
      </c>
      <c r="F278" s="380">
        <f t="shared" si="103"/>
        <v>191.31789400223897</v>
      </c>
      <c r="G278" s="110">
        <f t="shared" si="101"/>
        <v>0.99794755909351451</v>
      </c>
      <c r="H278" s="409" t="b">
        <f>Wh_hp&gt;='2023'!Maxi_hp</f>
        <v>0</v>
      </c>
      <c r="I278" s="375">
        <f>IF(H278,Wh_hp,'2023'!Maxi_hp)</f>
        <v>191.3179458974538</v>
      </c>
      <c r="J278" s="85">
        <f>IF(H278,An,'2023'!An_max)</f>
        <v>2022</v>
      </c>
      <c r="K278" s="193">
        <f t="shared" si="104"/>
        <v>45555</v>
      </c>
      <c r="L278" s="143">
        <f>IF(t&lt;Tvie,1-EXP((T0-t)*PertePVj)+'2023'!Pspv,1-EXP((T0-t)*PertePVj)+Pspv)</f>
        <v>1.5363307747557453E-2</v>
      </c>
      <c r="M278" s="835"/>
      <c r="N278" s="835"/>
      <c r="O278" s="48">
        <f>IF(t&lt;Tnet,'2023'!Resal+('2023'!Salim-'2023'!Resal)*(1-EXP(('2023'!Tnet-t)/('2023'!Tau_j))),Resal+(Salim-Resal)*(1-EXP((Tnet-t)/(Tau_j))))*Salcycl</f>
        <v>2.1278494976187792E-2</v>
      </c>
      <c r="P278" s="165">
        <f>(INDEX(Models!$BJ278:$BT278,,T278)*(1-R278)+INDEX(Models!$BJ278:$BT278,,T278+1)*R278-ERP_i)*Q278*Ramure*Pc/MaxiM</f>
        <v>1.3372832961811999E-4</v>
      </c>
      <c r="Q278" s="301">
        <f t="shared" si="105"/>
        <v>0.5</v>
      </c>
      <c r="R278" s="173">
        <f t="shared" si="106"/>
        <v>0.48253082565460881</v>
      </c>
      <c r="S278" s="801">
        <f t="shared" si="107"/>
        <v>1</v>
      </c>
      <c r="T278" s="172">
        <f t="shared" si="108"/>
        <v>7</v>
      </c>
      <c r="U278" s="247">
        <f t="shared" si="109"/>
        <v>1.4825308256546088</v>
      </c>
      <c r="V278" s="378">
        <f t="shared" si="110"/>
        <v>184.7246858176303</v>
      </c>
      <c r="W278" s="397">
        <f t="shared" si="111"/>
        <v>184.34562159366308</v>
      </c>
      <c r="X278" s="153">
        <f t="shared" si="112"/>
        <v>45555</v>
      </c>
      <c r="Y278" s="380">
        <f t="shared" si="113"/>
        <v>178.04272147799927</v>
      </c>
      <c r="Z278" s="380">
        <f t="shared" si="114"/>
        <v>180.82072593771716</v>
      </c>
      <c r="AA278" s="381">
        <f t="shared" si="115"/>
        <v>191.29238438115516</v>
      </c>
      <c r="AB278" s="193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5.4741637924136874E-2</v>
      </c>
      <c r="AD278" s="227">
        <f>(INDEX(Models!$BJ278:$BT278,,AH278)*(1-AF278)+INDEX(Models!$BJ278:$BT278,,AH278+1)*AF278-ERP_i)*AE278*Ramure*Pc/MaxiM</f>
        <v>1.3372832961811999E-4</v>
      </c>
      <c r="AE278" s="301">
        <f t="shared" si="117"/>
        <v>0.5</v>
      </c>
      <c r="AF278" s="173">
        <f t="shared" si="118"/>
        <v>0.48253082565460881</v>
      </c>
      <c r="AG278" s="801">
        <f t="shared" si="124"/>
        <v>1</v>
      </c>
      <c r="AH278" s="172">
        <f t="shared" si="119"/>
        <v>7</v>
      </c>
      <c r="AI278" s="221">
        <f t="shared" si="120"/>
        <v>1.4825308256546088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45556</v>
      </c>
      <c r="B279" s="406">
        <f>'2023'!Wh/'2023'!Env_an*'2024'!Env_an</f>
        <v>179.05971140346173</v>
      </c>
      <c r="C279" s="385"/>
      <c r="D279" s="388">
        <f t="shared" si="102"/>
        <v>181.85607343605895</v>
      </c>
      <c r="E279" s="380">
        <f t="shared" si="100"/>
        <v>185.82173499318009</v>
      </c>
      <c r="F279" s="380">
        <f t="shared" si="103"/>
        <v>185.84539306485019</v>
      </c>
      <c r="G279" s="110">
        <f t="shared" si="101"/>
        <v>0.97569189154697966</v>
      </c>
      <c r="H279" s="409" t="b">
        <f>Wh_hp&gt;='2023'!Maxi_hp</f>
        <v>0</v>
      </c>
      <c r="I279" s="375">
        <f>IF(H279,Wh_hp,'2023'!Maxi_hp)</f>
        <v>185.84598226608634</v>
      </c>
      <c r="J279" s="85">
        <f>IF(H279,An,'2023'!An_max)</f>
        <v>2022</v>
      </c>
      <c r="K279" s="193">
        <f t="shared" si="104"/>
        <v>45556</v>
      </c>
      <c r="L279" s="143">
        <f>IF(t&lt;Tvie,1-EXP((T0-t)*PertePVj)+'2023'!Pspv,1-EXP((T0-t)*PertePVj)+Pspv)</f>
        <v>1.5376786597014136E-2</v>
      </c>
      <c r="M279" s="835"/>
      <c r="N279" s="835"/>
      <c r="O279" s="48">
        <f>IF(t&lt;Tnet,'2023'!Resal+('2023'!Salim-'2023'!Resal)*(1-EXP(('2023'!Tnet-t)/('2023'!Tau_j))),Resal+(Salim-Resal)*(1-EXP((Tnet-t)/(Tau_j))))*Salcycl</f>
        <v>2.1341214779135947E-2</v>
      </c>
      <c r="P279" s="165">
        <f>(INDEX(Models!$BJ279:$BT279,,T279)*(1-R279)+INDEX(Models!$BJ279:$BT279,,T279+1)*R279-ERP_i)*Q279*Ramure*Pc/MaxiM</f>
        <v>1.3187850164843342E-4</v>
      </c>
      <c r="Q279" s="301">
        <f t="shared" si="105"/>
        <v>0.5</v>
      </c>
      <c r="R279" s="173">
        <f t="shared" si="106"/>
        <v>0.48281530124941874</v>
      </c>
      <c r="S279" s="801">
        <f t="shared" si="107"/>
        <v>1</v>
      </c>
      <c r="T279" s="172">
        <f t="shared" si="108"/>
        <v>7</v>
      </c>
      <c r="U279" s="247">
        <f t="shared" si="109"/>
        <v>1.4828153012494187</v>
      </c>
      <c r="V279" s="378">
        <f t="shared" si="110"/>
        <v>183.51991338663061</v>
      </c>
      <c r="W279" s="397">
        <f t="shared" si="111"/>
        <v>179.05971140346173</v>
      </c>
      <c r="X279" s="153">
        <f t="shared" si="112"/>
        <v>45556</v>
      </c>
      <c r="Y279" s="380">
        <f t="shared" si="113"/>
        <v>172.9454320684107</v>
      </c>
      <c r="Z279" s="380">
        <f t="shared" si="114"/>
        <v>175.64630786094185</v>
      </c>
      <c r="AA279" s="381">
        <f t="shared" si="115"/>
        <v>185.82173499318009</v>
      </c>
      <c r="AB279" s="193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5.4759079354262309E-2</v>
      </c>
      <c r="AD279" s="227">
        <f>(INDEX(Models!$BJ279:$BT279,,AH279)*(1-AF279)+INDEX(Models!$BJ279:$BT279,,AH279+1)*AF279-ERP_i)*AE279*Ramure*Pc/MaxiM</f>
        <v>1.3187850164843342E-4</v>
      </c>
      <c r="AE279" s="301">
        <f t="shared" si="117"/>
        <v>0.5</v>
      </c>
      <c r="AF279" s="173">
        <f t="shared" si="118"/>
        <v>0.48281530124941874</v>
      </c>
      <c r="AG279" s="801">
        <f t="shared" si="124"/>
        <v>1</v>
      </c>
      <c r="AH279" s="172">
        <f t="shared" si="119"/>
        <v>7</v>
      </c>
      <c r="AI279" s="221">
        <f t="shared" si="120"/>
        <v>1.4828153012494187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45557</v>
      </c>
      <c r="B280" s="406">
        <f>'2023'!Wh/'2023'!Env_an*'2024'!Env_an</f>
        <v>114.81484574809339</v>
      </c>
      <c r="C280" s="385"/>
      <c r="D280" s="388">
        <f t="shared" si="102"/>
        <v>116.60949683646997</v>
      </c>
      <c r="E280" s="380">
        <f t="shared" si="100"/>
        <v>119.15994841911782</v>
      </c>
      <c r="F280" s="380">
        <f t="shared" si="103"/>
        <v>119.16725096712652</v>
      </c>
      <c r="G280" s="110">
        <f t="shared" si="101"/>
        <v>0.62975683046921305</v>
      </c>
      <c r="H280" s="409" t="b">
        <f>Wh_hp&gt;='2023'!Maxi_hp</f>
        <v>0</v>
      </c>
      <c r="I280" s="375">
        <f>IF(H280,Wh_hp,'2023'!Maxi_hp)</f>
        <v>119.17293135937119</v>
      </c>
      <c r="J280" s="85">
        <f>IF(H280,An,'2023'!An_max)</f>
        <v>2022</v>
      </c>
      <c r="K280" s="193">
        <f t="shared" si="104"/>
        <v>45557</v>
      </c>
      <c r="L280" s="143">
        <f>IF(t&lt;Tvie,1-EXP((T0-t)*PertePVj)+'2023'!Pspv,1-EXP((T0-t)*PertePVj)+Pspv)</f>
        <v>1.5390265261956748E-2</v>
      </c>
      <c r="M280" s="835"/>
      <c r="N280" s="835"/>
      <c r="O280" s="48">
        <f>IF(t&lt;Tnet,'2023'!Resal+('2023'!Salim-'2023'!Resal)*(1-EXP(('2023'!Tnet-t)/('2023'!Tau_j))),Resal+(Salim-Resal)*(1-EXP((Tnet-t)/(Tau_j))))*Salcycl</f>
        <v>2.1403597571872223E-2</v>
      </c>
      <c r="P280" s="165">
        <f>(INDEX(Models!$BJ280:$BT280,,T280)*(1-R280)+INDEX(Models!$BJ280:$BT280,,T280+1)*R280-ERP_i)*Q280*Ramure*Pc/MaxiM</f>
        <v>1.3006626967157508E-4</v>
      </c>
      <c r="Q280" s="301">
        <f t="shared" si="105"/>
        <v>0.5</v>
      </c>
      <c r="R280" s="173">
        <f t="shared" si="106"/>
        <v>0.48308863150498405</v>
      </c>
      <c r="S280" s="801">
        <f t="shared" si="107"/>
        <v>1</v>
      </c>
      <c r="T280" s="172">
        <f t="shared" si="108"/>
        <v>7</v>
      </c>
      <c r="U280" s="247">
        <f t="shared" si="109"/>
        <v>1.483088631504984</v>
      </c>
      <c r="V280" s="378">
        <f t="shared" si="110"/>
        <v>182.30361625971369</v>
      </c>
      <c r="W280" s="397">
        <f t="shared" si="111"/>
        <v>114.81484574809339</v>
      </c>
      <c r="X280" s="153">
        <f t="shared" si="112"/>
        <v>45557</v>
      </c>
      <c r="Y280" s="380">
        <f t="shared" si="113"/>
        <v>110.89940680826517</v>
      </c>
      <c r="Z280" s="380">
        <f t="shared" si="114"/>
        <v>112.63285634462075</v>
      </c>
      <c r="AA280" s="381">
        <f t="shared" si="115"/>
        <v>119.15994841911782</v>
      </c>
      <c r="AB280" s="193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5.4775888720088463E-2</v>
      </c>
      <c r="AD280" s="227">
        <f>(INDEX(Models!$BJ280:$BT280,,AH280)*(1-AF280)+INDEX(Models!$BJ280:$BT280,,AH280+1)*AF280-ERP_i)*AE280*Ramure*Pc/MaxiM</f>
        <v>1.3006626967157508E-4</v>
      </c>
      <c r="AE280" s="301">
        <f t="shared" si="117"/>
        <v>0.5</v>
      </c>
      <c r="AF280" s="173">
        <f t="shared" si="118"/>
        <v>0.48308863150498405</v>
      </c>
      <c r="AG280" s="801">
        <f t="shared" si="124"/>
        <v>1</v>
      </c>
      <c r="AH280" s="172">
        <f t="shared" si="119"/>
        <v>7</v>
      </c>
      <c r="AI280" s="221">
        <f t="shared" si="120"/>
        <v>1.483088631504984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45558</v>
      </c>
      <c r="B281" s="406">
        <f>'2023'!Wh/'2023'!Env_an*'2024'!Env_an</f>
        <v>77.239074923657782</v>
      </c>
      <c r="C281" s="385"/>
      <c r="D281" s="388">
        <f t="shared" si="102"/>
        <v>78.447459486834319</v>
      </c>
      <c r="E281" s="380">
        <f t="shared" si="100"/>
        <v>80.168323387760665</v>
      </c>
      <c r="F281" s="380">
        <f t="shared" si="103"/>
        <v>80.170182834666548</v>
      </c>
      <c r="G281" s="110">
        <f t="shared" si="101"/>
        <v>0.42650803835651102</v>
      </c>
      <c r="H281" s="409" t="b">
        <f>Wh_hp&gt;='2023'!Maxi_hp</f>
        <v>0</v>
      </c>
      <c r="I281" s="375">
        <f>IF(H281,Wh_hp,'2023'!Maxi_hp)</f>
        <v>80.176027230313849</v>
      </c>
      <c r="J281" s="85">
        <f>IF(H281,An,'2023'!An_max)</f>
        <v>2022</v>
      </c>
      <c r="K281" s="193">
        <f t="shared" si="104"/>
        <v>45558</v>
      </c>
      <c r="L281" s="143">
        <f>IF(t&lt;Tvie,1-EXP((T0-t)*PertePVj)+'2023'!Pspv,1-EXP((T0-t)*PertePVj)+Pspv)</f>
        <v>1.5403743742387732E-2</v>
      </c>
      <c r="M281" s="835"/>
      <c r="N281" s="835"/>
      <c r="O281" s="48">
        <f>IF(t&lt;Tnet,'2023'!Resal+('2023'!Salim-'2023'!Resal)*(1-EXP(('2023'!Tnet-t)/('2023'!Tau_j))),Resal+(Salim-Resal)*(1-EXP((Tnet-t)/(Tau_j))))*Salcycl</f>
        <v>2.1465634158304905E-2</v>
      </c>
      <c r="P281" s="165">
        <f>(INDEX(Models!$BJ281:$BT281,,T281)*(1-R281)+INDEX(Models!$BJ281:$BT281,,T281+1)*R281-ERP_i)*Q281*Ramure*Pc/MaxiM</f>
        <v>1.2829122522236143E-4</v>
      </c>
      <c r="Q281" s="301">
        <f t="shared" si="105"/>
        <v>0.5</v>
      </c>
      <c r="R281" s="173">
        <f t="shared" si="106"/>
        <v>0.48335124129712015</v>
      </c>
      <c r="S281" s="801">
        <f t="shared" si="107"/>
        <v>1</v>
      </c>
      <c r="T281" s="172">
        <f t="shared" si="108"/>
        <v>7</v>
      </c>
      <c r="U281" s="247">
        <f t="shared" si="109"/>
        <v>1.4833512412971201</v>
      </c>
      <c r="V281" s="378">
        <f t="shared" si="110"/>
        <v>181.07737758225733</v>
      </c>
      <c r="W281" s="397">
        <f t="shared" si="111"/>
        <v>77.239074923657782</v>
      </c>
      <c r="X281" s="153">
        <f t="shared" si="112"/>
        <v>45558</v>
      </c>
      <c r="Y281" s="380">
        <f t="shared" si="113"/>
        <v>74.608506829704197</v>
      </c>
      <c r="Z281" s="380">
        <f t="shared" si="114"/>
        <v>75.775736862220441</v>
      </c>
      <c r="AA281" s="381">
        <f t="shared" si="115"/>
        <v>80.168323387760665</v>
      </c>
      <c r="AB281" s="193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5.4792046782543104E-2</v>
      </c>
      <c r="AD281" s="227">
        <f>(INDEX(Models!$BJ281:$BT281,,AH281)*(1-AF281)+INDEX(Models!$BJ281:$BT281,,AH281+1)*AF281-ERP_i)*AE281*Ramure*Pc/MaxiM</f>
        <v>1.2829122522236143E-4</v>
      </c>
      <c r="AE281" s="301">
        <f t="shared" si="117"/>
        <v>0.5</v>
      </c>
      <c r="AF281" s="173">
        <f t="shared" si="118"/>
        <v>0.48335124129712015</v>
      </c>
      <c r="AG281" s="801">
        <f t="shared" si="124"/>
        <v>1</v>
      </c>
      <c r="AH281" s="172">
        <f t="shared" si="119"/>
        <v>7</v>
      </c>
      <c r="AI281" s="221">
        <f t="shared" si="120"/>
        <v>1.4833512412971201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45559</v>
      </c>
      <c r="B282" s="406">
        <f>'2023'!Wh/'2023'!Env_an*'2024'!Env_an</f>
        <v>134.15177078639039</v>
      </c>
      <c r="C282" s="385"/>
      <c r="D282" s="388">
        <f t="shared" si="102"/>
        <v>136.25240435762544</v>
      </c>
      <c r="E282" s="380">
        <f t="shared" si="100"/>
        <v>139.25008484595563</v>
      </c>
      <c r="F282" s="380">
        <f t="shared" si="103"/>
        <v>139.26136450143244</v>
      </c>
      <c r="G282" s="110">
        <f t="shared" si="101"/>
        <v>0.74590516679933383</v>
      </c>
      <c r="H282" s="409" t="b">
        <f>Wh_hp&gt;='2023'!Maxi_hp</f>
        <v>0</v>
      </c>
      <c r="I282" s="375">
        <f>IF(H282,Wh_hp,'2023'!Maxi_hp)</f>
        <v>139.26582651103067</v>
      </c>
      <c r="J282" s="85">
        <f>IF(H282,An,'2023'!An_max)</f>
        <v>2022</v>
      </c>
      <c r="K282" s="193">
        <f t="shared" si="104"/>
        <v>45559</v>
      </c>
      <c r="L282" s="143">
        <f>IF(t&lt;Tvie,1-EXP((T0-t)*PertePVj)+'2023'!Pspv,1-EXP((T0-t)*PertePVj)+Pspv)</f>
        <v>1.5417222038309641E-2</v>
      </c>
      <c r="M282" s="835"/>
      <c r="N282" s="835"/>
      <c r="O282" s="48">
        <f>IF(t&lt;Tnet,'2023'!Resal+('2023'!Salim-'2023'!Resal)*(1-EXP(('2023'!Tnet-t)/('2023'!Tau_j))),Resal+(Salim-Resal)*(1-EXP((Tnet-t)/(Tau_j))))*Salcycl</f>
        <v>2.1527315345239086E-2</v>
      </c>
      <c r="P282" s="165">
        <f>(INDEX(Models!$BJ282:$BT282,,T282)*(1-R282)+INDEX(Models!$BJ282:$BT282,,T282+1)*R282-ERP_i)*Q282*Ramure*Pc/MaxiM</f>
        <v>1.2714146094016984E-4</v>
      </c>
      <c r="Q282" s="301">
        <f t="shared" si="105"/>
        <v>0.5</v>
      </c>
      <c r="R282" s="173">
        <f t="shared" si="106"/>
        <v>0.48360354022433838</v>
      </c>
      <c r="S282" s="801">
        <f t="shared" si="107"/>
        <v>1</v>
      </c>
      <c r="T282" s="172">
        <f t="shared" si="108"/>
        <v>7</v>
      </c>
      <c r="U282" s="247">
        <f t="shared" si="109"/>
        <v>1.4836035402243384</v>
      </c>
      <c r="V282" s="378">
        <f t="shared" si="110"/>
        <v>179.84267411059778</v>
      </c>
      <c r="W282" s="397">
        <f t="shared" si="111"/>
        <v>134.15177078639039</v>
      </c>
      <c r="X282" s="153">
        <f t="shared" si="112"/>
        <v>45559</v>
      </c>
      <c r="Y282" s="380">
        <f t="shared" si="113"/>
        <v>129.58894506791822</v>
      </c>
      <c r="Z282" s="380">
        <f t="shared" si="114"/>
        <v>131.61813101809147</v>
      </c>
      <c r="AA282" s="381">
        <f t="shared" si="115"/>
        <v>139.25008484595563</v>
      </c>
      <c r="AB282" s="193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5.4807534489526098E-2</v>
      </c>
      <c r="AD282" s="227">
        <f>(INDEX(Models!$BJ282:$BT282,,AH282)*(1-AF282)+INDEX(Models!$BJ282:$BT282,,AH282+1)*AF282-ERP_i)*AE282*Ramure*Pc/MaxiM</f>
        <v>1.2714146094016984E-4</v>
      </c>
      <c r="AE282" s="301">
        <f t="shared" si="117"/>
        <v>0.5</v>
      </c>
      <c r="AF282" s="173">
        <f t="shared" si="118"/>
        <v>0.48360354022433838</v>
      </c>
      <c r="AG282" s="801">
        <f t="shared" si="124"/>
        <v>1</v>
      </c>
      <c r="AH282" s="172">
        <f t="shared" si="119"/>
        <v>7</v>
      </c>
      <c r="AI282" s="221">
        <f t="shared" si="120"/>
        <v>1.4836035402243384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45560</v>
      </c>
      <c r="B283" s="406">
        <f>'2023'!Wh/'2023'!Env_an*'2024'!Env_an</f>
        <v>135.78121139064805</v>
      </c>
      <c r="C283" s="385"/>
      <c r="D283" s="388">
        <f t="shared" si="102"/>
        <v>137.90924763883712</v>
      </c>
      <c r="E283" s="380">
        <f t="shared" si="100"/>
        <v>140.95221309578355</v>
      </c>
      <c r="F283" s="380">
        <f t="shared" si="103"/>
        <v>140.96396260057</v>
      </c>
      <c r="G283" s="110">
        <f t="shared" si="101"/>
        <v>0.76021560785435449</v>
      </c>
      <c r="H283" s="409" t="b">
        <f>Wh_hp&gt;='2023'!Maxi_hp</f>
        <v>0</v>
      </c>
      <c r="I283" s="375">
        <f>IF(H283,Wh_hp,'2023'!Maxi_hp)</f>
        <v>140.96821646202747</v>
      </c>
      <c r="J283" s="85">
        <f>IF(H283,An,'2023'!An_max)</f>
        <v>2022</v>
      </c>
      <c r="K283" s="193">
        <f t="shared" si="104"/>
        <v>45560</v>
      </c>
      <c r="L283" s="143">
        <f>IF(t&lt;Tvie,1-EXP((T0-t)*PertePVj)+'2023'!Pspv,1-EXP((T0-t)*PertePVj)+Pspv)</f>
        <v>1.5430700149724919E-2</v>
      </c>
      <c r="M283" s="835"/>
      <c r="N283" s="835"/>
      <c r="O283" s="48">
        <f>IF(t&lt;Tnet,'2023'!Resal+('2023'!Salim-'2023'!Resal)*(1-EXP(('2023'!Tnet-t)/('2023'!Tau_j))),Resal+(Salim-Resal)*(1-EXP((Tnet-t)/(Tau_j))))*Salcycl</f>
        <v>2.1588631991741651E-2</v>
      </c>
      <c r="P283" s="165">
        <f>(INDEX(Models!$BJ283:$BT283,,T283)*(1-R283)+INDEX(Models!$BJ283:$BT283,,T283+1)*R283-ERP_i)*Q283*Ramure*Pc/MaxiM</f>
        <v>1.2677015113377025E-4</v>
      </c>
      <c r="Q283" s="301">
        <f t="shared" si="105"/>
        <v>0.5</v>
      </c>
      <c r="R283" s="173">
        <f t="shared" si="106"/>
        <v>0.4838459230847163</v>
      </c>
      <c r="S283" s="801">
        <f t="shared" si="107"/>
        <v>1</v>
      </c>
      <c r="T283" s="172">
        <f t="shared" si="108"/>
        <v>7</v>
      </c>
      <c r="U283" s="247">
        <f t="shared" si="109"/>
        <v>1.4838459230847163</v>
      </c>
      <c r="V283" s="378">
        <f t="shared" si="110"/>
        <v>178.60106265692502</v>
      </c>
      <c r="W283" s="397">
        <f t="shared" si="111"/>
        <v>135.78121139064805</v>
      </c>
      <c r="X283" s="153">
        <f t="shared" si="112"/>
        <v>45560</v>
      </c>
      <c r="Y283" s="380">
        <f t="shared" si="113"/>
        <v>131.16913068233774</v>
      </c>
      <c r="Z283" s="380">
        <f t="shared" si="114"/>
        <v>133.22488391856706</v>
      </c>
      <c r="AA283" s="381">
        <f t="shared" si="115"/>
        <v>140.95221309578355</v>
      </c>
      <c r="AB283" s="193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5.4822333097852123E-2</v>
      </c>
      <c r="AD283" s="227">
        <f>(INDEX(Models!$BJ283:$BT283,,AH283)*(1-AF283)+INDEX(Models!$BJ283:$BT283,,AH283+1)*AF283-ERP_i)*AE283*Ramure*Pc/MaxiM</f>
        <v>1.2677015113377025E-4</v>
      </c>
      <c r="AE283" s="301">
        <f t="shared" si="117"/>
        <v>0.5</v>
      </c>
      <c r="AF283" s="173">
        <f t="shared" si="118"/>
        <v>0.4838459230847163</v>
      </c>
      <c r="AG283" s="801">
        <f t="shared" si="124"/>
        <v>1</v>
      </c>
      <c r="AH283" s="172">
        <f t="shared" si="119"/>
        <v>7</v>
      </c>
      <c r="AI283" s="221">
        <f t="shared" si="120"/>
        <v>1.4838459230847163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45561</v>
      </c>
      <c r="B284" s="406">
        <f>'2023'!Wh/'2023'!Env_an*'2024'!Env_an</f>
        <v>62.355740995406634</v>
      </c>
      <c r="C284" s="385"/>
      <c r="D284" s="388">
        <f t="shared" si="102"/>
        <v>63.333880727648882</v>
      </c>
      <c r="E284" s="380">
        <f t="shared" si="100"/>
        <v>64.735374067705663</v>
      </c>
      <c r="F284" s="380">
        <f t="shared" si="103"/>
        <v>64.735980868736945</v>
      </c>
      <c r="G284" s="110">
        <f t="shared" si="101"/>
        <v>0.35154747218187976</v>
      </c>
      <c r="H284" s="409" t="b">
        <f>Wh_hp&gt;='2023'!Maxi_hp</f>
        <v>0</v>
      </c>
      <c r="I284" s="375">
        <f>IF(H284,Wh_hp,'2023'!Maxi_hp)</f>
        <v>64.741286379220085</v>
      </c>
      <c r="J284" s="85">
        <f>IF(H284,An,'2023'!An_max)</f>
        <v>2022</v>
      </c>
      <c r="K284" s="193">
        <f t="shared" si="104"/>
        <v>45561</v>
      </c>
      <c r="L284" s="143">
        <f>IF(t&lt;Tvie,1-EXP((T0-t)*PertePVj)+'2023'!Pspv,1-EXP((T0-t)*PertePVj)+Pspv)</f>
        <v>1.5444178076636228E-2</v>
      </c>
      <c r="M284" s="835"/>
      <c r="N284" s="835"/>
      <c r="O284" s="48">
        <f>IF(t&lt;Tnet,'2023'!Resal+('2023'!Salim-'2023'!Resal)*(1-EXP(('2023'!Tnet-t)/('2023'!Tau_j))),Resal+(Salim-Resal)*(1-EXP((Tnet-t)/(Tau_j))))*Salcycl</f>
        <v>2.1649575062175231E-2</v>
      </c>
      <c r="P284" s="165">
        <f>(INDEX(Models!$BJ284:$BT284,,T284)*(1-R284)+INDEX(Models!$BJ284:$BT284,,T284+1)*R284-ERP_i)*Q284*Ramure*Pc/MaxiM</f>
        <v>1.2718690415345165E-4</v>
      </c>
      <c r="Q284" s="301">
        <f t="shared" si="105"/>
        <v>0.5</v>
      </c>
      <c r="R284" s="173">
        <f t="shared" si="106"/>
        <v>0.48407877034378566</v>
      </c>
      <c r="S284" s="801">
        <f t="shared" si="107"/>
        <v>1</v>
      </c>
      <c r="T284" s="172">
        <f t="shared" si="108"/>
        <v>7</v>
      </c>
      <c r="U284" s="247">
        <f t="shared" si="109"/>
        <v>1.4840787703437857</v>
      </c>
      <c r="V284" s="378">
        <f t="shared" si="110"/>
        <v>177.35412573397625</v>
      </c>
      <c r="W284" s="397">
        <f t="shared" si="111"/>
        <v>62.355740995406634</v>
      </c>
      <c r="X284" s="153">
        <f t="shared" si="112"/>
        <v>45561</v>
      </c>
      <c r="Y284" s="380">
        <f t="shared" si="113"/>
        <v>60.24055759798199</v>
      </c>
      <c r="Z284" s="380">
        <f t="shared" si="114"/>
        <v>61.185517627939049</v>
      </c>
      <c r="AA284" s="381">
        <f t="shared" si="115"/>
        <v>64.735374067705663</v>
      </c>
      <c r="AB284" s="193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5.4836424302636744E-2</v>
      </c>
      <c r="AD284" s="227">
        <f>(INDEX(Models!$BJ284:$BT284,,AH284)*(1-AF284)+INDEX(Models!$BJ284:$BT284,,AH284+1)*AF284-ERP_i)*AE284*Ramure*Pc/MaxiM</f>
        <v>1.2718690415345165E-4</v>
      </c>
      <c r="AE284" s="301">
        <f t="shared" si="117"/>
        <v>0.5</v>
      </c>
      <c r="AF284" s="173">
        <f t="shared" si="118"/>
        <v>0.48407877034378566</v>
      </c>
      <c r="AG284" s="801">
        <f t="shared" si="124"/>
        <v>1</v>
      </c>
      <c r="AH284" s="172">
        <f t="shared" si="119"/>
        <v>7</v>
      </c>
      <c r="AI284" s="221">
        <f t="shared" si="120"/>
        <v>1.4840787703437857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45562</v>
      </c>
      <c r="B285" s="406">
        <f>'2023'!Wh/'2023'!Env_an*'2024'!Env_an</f>
        <v>62.543553060346554</v>
      </c>
      <c r="C285" s="385"/>
      <c r="D285" s="388">
        <f t="shared" si="102"/>
        <v>63.525508506571015</v>
      </c>
      <c r="E285" s="380">
        <f t="shared" si="100"/>
        <v>64.935261851964682</v>
      </c>
      <c r="F285" s="380">
        <f t="shared" si="103"/>
        <v>64.935918783833216</v>
      </c>
      <c r="G285" s="110">
        <f t="shared" si="101"/>
        <v>0.35511034389137686</v>
      </c>
      <c r="H285" s="409" t="b">
        <f>Wh_hp&gt;='2023'!Maxi_hp</f>
        <v>0</v>
      </c>
      <c r="I285" s="375">
        <f>IF(H285,Wh_hp,'2023'!Maxi_hp)</f>
        <v>64.941266554955206</v>
      </c>
      <c r="J285" s="85">
        <f>IF(H285,An,'2023'!An_max)</f>
        <v>2022</v>
      </c>
      <c r="K285" s="193">
        <f t="shared" si="104"/>
        <v>45562</v>
      </c>
      <c r="L285" s="143">
        <f>IF(t&lt;Tvie,1-EXP((T0-t)*PertePVj)+'2023'!Pspv,1-EXP((T0-t)*PertePVj)+Pspv)</f>
        <v>1.5457655819046123E-2</v>
      </c>
      <c r="M285" s="835"/>
      <c r="N285" s="835"/>
      <c r="O285" s="48">
        <f>IF(t&lt;Tnet,'2023'!Resal+('2023'!Salim-'2023'!Resal)*(1-EXP(('2023'!Tnet-t)/('2023'!Tau_j))),Resal+(Salim-Resal)*(1-EXP((Tnet-t)/(Tau_j))))*Salcycl</f>
        <v>2.1710135682636359E-2</v>
      </c>
      <c r="P285" s="165">
        <f>(INDEX(Models!$BJ285:$BT285,,T285)*(1-R285)+INDEX(Models!$BJ285:$BT285,,T285+1)*R285-ERP_i)*Q285*Ramure*Pc/MaxiM</f>
        <v>1.2840127372920046E-4</v>
      </c>
      <c r="Q285" s="301">
        <f t="shared" si="105"/>
        <v>0.5</v>
      </c>
      <c r="R285" s="173">
        <f t="shared" si="106"/>
        <v>0.48430244859307225</v>
      </c>
      <c r="S285" s="801">
        <f t="shared" si="107"/>
        <v>1</v>
      </c>
      <c r="T285" s="172">
        <f t="shared" si="108"/>
        <v>7</v>
      </c>
      <c r="U285" s="247">
        <f t="shared" si="109"/>
        <v>1.4843024485930723</v>
      </c>
      <c r="V285" s="378">
        <f t="shared" si="110"/>
        <v>176.10344536169029</v>
      </c>
      <c r="W285" s="397">
        <f t="shared" si="111"/>
        <v>62.543553060346554</v>
      </c>
      <c r="X285" s="153">
        <f t="shared" si="112"/>
        <v>45562</v>
      </c>
      <c r="Y285" s="380">
        <f t="shared" si="113"/>
        <v>60.424884731920393</v>
      </c>
      <c r="Z285" s="380">
        <f t="shared" si="114"/>
        <v>61.373576351546546</v>
      </c>
      <c r="AA285" s="381">
        <f t="shared" si="115"/>
        <v>64.935261851964682</v>
      </c>
      <c r="AB285" s="193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5.4849790373338904E-2</v>
      </c>
      <c r="AD285" s="227">
        <f>(INDEX(Models!$BJ285:$BT285,,AH285)*(1-AF285)+INDEX(Models!$BJ285:$BT285,,AH285+1)*AF285-ERP_i)*AE285*Ramure*Pc/MaxiM</f>
        <v>1.2840127372920046E-4</v>
      </c>
      <c r="AE285" s="301">
        <f t="shared" si="117"/>
        <v>0.5</v>
      </c>
      <c r="AF285" s="173">
        <f t="shared" si="118"/>
        <v>0.48430244859307225</v>
      </c>
      <c r="AG285" s="801">
        <f t="shared" si="124"/>
        <v>1</v>
      </c>
      <c r="AH285" s="172">
        <f t="shared" si="119"/>
        <v>7</v>
      </c>
      <c r="AI285" s="221">
        <f t="shared" si="120"/>
        <v>1.4843024485930723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45563</v>
      </c>
      <c r="B286" s="406">
        <f>'2023'!Wh/'2023'!Env_an*'2024'!Env_an</f>
        <v>93.072904092862856</v>
      </c>
      <c r="C286" s="385"/>
      <c r="D286" s="388">
        <f t="shared" si="102"/>
        <v>94.535475035998772</v>
      </c>
      <c r="E286" s="380">
        <f t="shared" si="100"/>
        <v>96.639343028094842</v>
      </c>
      <c r="F286" s="380">
        <f t="shared" si="103"/>
        <v>96.643525916015307</v>
      </c>
      <c r="G286" s="110">
        <f t="shared" si="101"/>
        <v>0.53225320149481825</v>
      </c>
      <c r="H286" s="409" t="b">
        <f>Wh_hp&gt;='2023'!Maxi_hp</f>
        <v>0</v>
      </c>
      <c r="I286" s="375">
        <f>IF(H286,Wh_hp,'2023'!Maxi_hp)</f>
        <v>96.649393993788266</v>
      </c>
      <c r="J286" s="85">
        <f>IF(H286,An,'2023'!An_max)</f>
        <v>2022</v>
      </c>
      <c r="K286" s="193">
        <f t="shared" si="104"/>
        <v>45563</v>
      </c>
      <c r="L286" s="143">
        <f>IF(t&lt;Tvie,1-EXP((T0-t)*PertePVj)+'2023'!Pspv,1-EXP((T0-t)*PertePVj)+Pspv)</f>
        <v>1.5471133376956936E-2</v>
      </c>
      <c r="M286" s="835"/>
      <c r="N286" s="835"/>
      <c r="O286" s="48">
        <f>IF(t&lt;Tnet,'2023'!Resal+('2023'!Salim-'2023'!Resal)*(1-EXP(('2023'!Tnet-t)/('2023'!Tau_j))),Resal+(Salim-Resal)*(1-EXP((Tnet-t)/(Tau_j))))*Salcycl</f>
        <v>2.1770305200485802E-2</v>
      </c>
      <c r="P286" s="165">
        <f>(INDEX(Models!$BJ286:$BT286,,T286)*(1-R286)+INDEX(Models!$BJ286:$BT286,,T286+1)*R286-ERP_i)*Q286*Ramure*Pc/MaxiM</f>
        <v>1.3042266223074089E-4</v>
      </c>
      <c r="Q286" s="301">
        <f t="shared" si="105"/>
        <v>0.5</v>
      </c>
      <c r="R286" s="173">
        <f t="shared" si="106"/>
        <v>0.48451731099898243</v>
      </c>
      <c r="S286" s="801">
        <f t="shared" si="107"/>
        <v>1</v>
      </c>
      <c r="T286" s="172">
        <f t="shared" si="108"/>
        <v>7</v>
      </c>
      <c r="U286" s="247">
        <f t="shared" si="109"/>
        <v>1.4845173109989824</v>
      </c>
      <c r="V286" s="378">
        <f t="shared" si="110"/>
        <v>174.85060307791505</v>
      </c>
      <c r="W286" s="397">
        <f t="shared" si="111"/>
        <v>93.072904092862856</v>
      </c>
      <c r="X286" s="153">
        <f t="shared" si="112"/>
        <v>45563</v>
      </c>
      <c r="Y286" s="380">
        <f t="shared" si="113"/>
        <v>89.924381090125152</v>
      </c>
      <c r="Z286" s="380">
        <f t="shared" si="114"/>
        <v>91.337475353635767</v>
      </c>
      <c r="AA286" s="381">
        <f t="shared" si="115"/>
        <v>96.639343028094842</v>
      </c>
      <c r="AB286" s="193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5.4862414295570379E-2</v>
      </c>
      <c r="AD286" s="227">
        <f>(INDEX(Models!$BJ286:$BT286,,AH286)*(1-AF286)+INDEX(Models!$BJ286:$BT286,,AH286+1)*AF286-ERP_i)*AE286*Ramure*Pc/MaxiM</f>
        <v>1.3042266223074089E-4</v>
      </c>
      <c r="AE286" s="301">
        <f t="shared" si="117"/>
        <v>0.5</v>
      </c>
      <c r="AF286" s="173">
        <f t="shared" si="118"/>
        <v>0.48451731099898243</v>
      </c>
      <c r="AG286" s="801">
        <f t="shared" si="124"/>
        <v>1</v>
      </c>
      <c r="AH286" s="172">
        <f t="shared" si="119"/>
        <v>7</v>
      </c>
      <c r="AI286" s="221">
        <f t="shared" si="120"/>
        <v>1.4845173109989824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customHeight="1" x14ac:dyDescent="0.2">
      <c r="A287" s="56">
        <f t="shared" si="123"/>
        <v>45564</v>
      </c>
      <c r="B287" s="406">
        <f>'2023'!Wh/'2023'!Env_an*'2024'!Env_an</f>
        <v>133.45590993100649</v>
      </c>
      <c r="C287" s="385"/>
      <c r="D287" s="388">
        <f t="shared" si="102"/>
        <v>135.55492518275719</v>
      </c>
      <c r="E287" s="380">
        <f t="shared" si="100"/>
        <v>138.58014006813065</v>
      </c>
      <c r="F287" s="380">
        <f t="shared" si="103"/>
        <v>138.59250808148624</v>
      </c>
      <c r="G287" s="110">
        <f t="shared" si="101"/>
        <v>0.76873388563233669</v>
      </c>
      <c r="H287" s="409" t="b">
        <f>Wh_hp&gt;='2023'!Maxi_hp</f>
        <v>0</v>
      </c>
      <c r="I287" s="375">
        <f>IF(H287,Wh_hp,'2023'!Maxi_hp)</f>
        <v>138.5967620238211</v>
      </c>
      <c r="J287" s="85">
        <f>IF(H287,An,'2023'!An_max)</f>
        <v>2022</v>
      </c>
      <c r="K287" s="193">
        <f t="shared" si="104"/>
        <v>45564</v>
      </c>
      <c r="L287" s="143">
        <f>IF(t&lt;Tvie,1-EXP((T0-t)*PertePVj)+'2023'!Pspv,1-EXP((T0-t)*PertePVj)+Pspv)</f>
        <v>1.548461075037133E-2</v>
      </c>
      <c r="M287" s="835"/>
      <c r="N287" s="835"/>
      <c r="O287" s="48">
        <f>IF(t&lt;Tnet,'2023'!Resal+('2023'!Salim-'2023'!Resal)*(1-EXP(('2023'!Tnet-t)/('2023'!Tau_j))),Resal+(Salim-Resal)*(1-EXP((Tnet-t)/(Tau_j))))*Salcycl</f>
        <v>2.1830075246612912E-2</v>
      </c>
      <c r="P287" s="165">
        <f>(INDEX(Models!$BJ287:$BT287,,T287)*(1-R287)+INDEX(Models!$BJ287:$BT287,,T287+1)*R287-ERP_i)*Q287*Ramure*Pc/MaxiM</f>
        <v>1.332602195101072E-4</v>
      </c>
      <c r="Q287" s="301">
        <f t="shared" si="105"/>
        <v>0.5</v>
      </c>
      <c r="R287" s="173">
        <f t="shared" si="106"/>
        <v>0.48472369774179147</v>
      </c>
      <c r="S287" s="801">
        <f t="shared" si="107"/>
        <v>1</v>
      </c>
      <c r="T287" s="172">
        <f t="shared" si="108"/>
        <v>7</v>
      </c>
      <c r="U287" s="247">
        <f t="shared" si="109"/>
        <v>1.4847236977417915</v>
      </c>
      <c r="V287" s="378">
        <f t="shared" si="110"/>
        <v>173.59717993404803</v>
      </c>
      <c r="W287" s="397">
        <f t="shared" si="111"/>
        <v>133.45590993100649</v>
      </c>
      <c r="X287" s="153">
        <f t="shared" si="112"/>
        <v>45564</v>
      </c>
      <c r="Y287" s="380">
        <f t="shared" si="113"/>
        <v>128.94754764064439</v>
      </c>
      <c r="Z287" s="380">
        <f t="shared" si="114"/>
        <v>130.97565467099989</v>
      </c>
      <c r="AA287" s="381">
        <f t="shared" si="115"/>
        <v>138.58014006813065</v>
      </c>
      <c r="AB287" s="193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5.4874279917686071E-2</v>
      </c>
      <c r="AD287" s="227">
        <f>(INDEX(Models!$BJ287:$BT287,,AH287)*(1-AF287)+INDEX(Models!$BJ287:$BT287,,AH287+1)*AF287-ERP_i)*AE287*Ramure*Pc/MaxiM</f>
        <v>1.332602195101072E-4</v>
      </c>
      <c r="AE287" s="301">
        <f t="shared" si="117"/>
        <v>0.5</v>
      </c>
      <c r="AF287" s="173">
        <f t="shared" si="118"/>
        <v>0.48472369774179147</v>
      </c>
      <c r="AG287" s="801">
        <f t="shared" si="124"/>
        <v>1</v>
      </c>
      <c r="AH287" s="172">
        <f t="shared" si="119"/>
        <v>7</v>
      </c>
      <c r="AI287" s="221">
        <f t="shared" si="120"/>
        <v>1.4847236977417915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45565</v>
      </c>
      <c r="B288" s="406">
        <f>'2023'!Wh/'2023'!Env_an*'2024'!Env_an</f>
        <v>151.27162413160792</v>
      </c>
      <c r="C288" s="385"/>
      <c r="D288" s="388">
        <f t="shared" si="102"/>
        <v>153.65295107957081</v>
      </c>
      <c r="E288" s="380">
        <f t="shared" si="100"/>
        <v>157.09159783938378</v>
      </c>
      <c r="F288" s="380">
        <f t="shared" si="103"/>
        <v>157.10935208157767</v>
      </c>
      <c r="G288" s="110">
        <f t="shared" si="101"/>
        <v>0.87770587755071328</v>
      </c>
      <c r="H288" s="409" t="b">
        <f>Wh_hp&gt;='2023'!Maxi_hp</f>
        <v>0</v>
      </c>
      <c r="I288" s="375">
        <f>IF(H288,Wh_hp,'2023'!Maxi_hp)</f>
        <v>157.11197366226085</v>
      </c>
      <c r="J288" s="85">
        <f>IF(H288,An,'2023'!An_max)</f>
        <v>2022</v>
      </c>
      <c r="K288" s="193">
        <f t="shared" si="104"/>
        <v>45565</v>
      </c>
      <c r="L288" s="143">
        <f>IF(t&lt;Tvie,1-EXP((T0-t)*PertePVj)+'2023'!Pspv,1-EXP((T0-t)*PertePVj)+Pspv)</f>
        <v>1.5498087939291749E-2</v>
      </c>
      <c r="M288" s="835"/>
      <c r="N288" s="835"/>
      <c r="O288" s="48">
        <f>IF(t&lt;Tnet,'2023'!Resal+('2023'!Salim-'2023'!Resal)*(1-EXP(('2023'!Tnet-t)/('2023'!Tau_j))),Resal+(Salim-Resal)*(1-EXP((Tnet-t)/(Tau_j))))*Salcycl</f>
        <v>2.1889437800032847E-2</v>
      </c>
      <c r="P288" s="165">
        <f>(INDEX(Models!$BJ288:$BT288,,T288)*(1-R288)+INDEX(Models!$BJ288:$BT288,,T288+1)*R288-ERP_i)*Q288*Ramure*Pc/MaxiM</f>
        <v>1.3692273751670392E-4</v>
      </c>
      <c r="Q288" s="301">
        <f t="shared" si="105"/>
        <v>0.5</v>
      </c>
      <c r="R288" s="173">
        <f t="shared" si="106"/>
        <v>0.48492193644453963</v>
      </c>
      <c r="S288" s="801">
        <f t="shared" si="107"/>
        <v>1</v>
      </c>
      <c r="T288" s="172">
        <f t="shared" si="108"/>
        <v>7</v>
      </c>
      <c r="U288" s="247">
        <f t="shared" si="109"/>
        <v>1.4849219364445396</v>
      </c>
      <c r="V288" s="378">
        <f t="shared" si="110"/>
        <v>172.34475649859274</v>
      </c>
      <c r="W288" s="397">
        <f t="shared" si="111"/>
        <v>151.27162413160792</v>
      </c>
      <c r="X288" s="153">
        <f t="shared" si="112"/>
        <v>45565</v>
      </c>
      <c r="Y288" s="380">
        <f t="shared" si="113"/>
        <v>146.168572631752</v>
      </c>
      <c r="Z288" s="380">
        <f t="shared" si="114"/>
        <v>148.46956703801573</v>
      </c>
      <c r="AA288" s="381">
        <f t="shared" si="115"/>
        <v>157.09159783938378</v>
      </c>
      <c r="AB288" s="193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5.4885372101081527E-2</v>
      </c>
      <c r="AD288" s="227">
        <f>(INDEX(Models!$BJ288:$BT288,,AH288)*(1-AF288)+INDEX(Models!$BJ288:$BT288,,AH288+1)*AF288-ERP_i)*AE288*Ramure*Pc/MaxiM</f>
        <v>1.3692273751670392E-4</v>
      </c>
      <c r="AE288" s="301">
        <f t="shared" si="117"/>
        <v>0.5</v>
      </c>
      <c r="AF288" s="173">
        <f t="shared" si="118"/>
        <v>0.48492193644453963</v>
      </c>
      <c r="AG288" s="801">
        <f t="shared" si="124"/>
        <v>1</v>
      </c>
      <c r="AH288" s="172">
        <f t="shared" si="119"/>
        <v>7</v>
      </c>
      <c r="AI288" s="221">
        <f t="shared" si="120"/>
        <v>1.4849219364445396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customHeight="1" x14ac:dyDescent="0.2">
      <c r="A289" s="56">
        <f t="shared" si="123"/>
        <v>45566</v>
      </c>
      <c r="B289" s="406">
        <f>'2023'!Wh/'2023'!Env_an*'2024'!Env_an</f>
        <v>156.60046432754166</v>
      </c>
      <c r="C289" s="385"/>
      <c r="D289" s="388">
        <f t="shared" si="102"/>
        <v>159.06785570171726</v>
      </c>
      <c r="E289" s="380">
        <f t="shared" si="100"/>
        <v>162.63748589903216</v>
      </c>
      <c r="F289" s="380">
        <f t="shared" si="103"/>
        <v>162.65770634920921</v>
      </c>
      <c r="G289" s="110">
        <f t="shared" si="101"/>
        <v>0.91529572150562122</v>
      </c>
      <c r="H289" s="409" t="b">
        <f>Wh_hp&gt;='2023'!Maxi_hp</f>
        <v>0</v>
      </c>
      <c r="I289" s="375">
        <f>IF(H289,Wh_hp,'2023'!Maxi_hp)</f>
        <v>162.65964891476867</v>
      </c>
      <c r="J289" s="85">
        <f>IF(H289,An,'2023'!An_max)</f>
        <v>2022</v>
      </c>
      <c r="K289" s="193">
        <f t="shared" si="104"/>
        <v>45566</v>
      </c>
      <c r="L289" s="143">
        <f>IF(t&lt;Tvie,1-EXP((T0-t)*PertePVj)+'2023'!Pspv,1-EXP((T0-t)*PertePVj)+Pspv)</f>
        <v>1.5511564943720857E-2</v>
      </c>
      <c r="M289" s="835"/>
      <c r="N289" s="835"/>
      <c r="O289" s="48">
        <f>IF(t&lt;Tnet,'2023'!Resal+('2023'!Salim-'2023'!Resal)*(1-EXP(('2023'!Tnet-t)/('2023'!Tau_j))),Resal+(Salim-Resal)*(1-EXP((Tnet-t)/(Tau_j))))*Salcycl</f>
        <v>2.1948385254374737E-2</v>
      </c>
      <c r="P289" s="165">
        <f>(INDEX(Models!$BJ289:$BT289,,T289)*(1-R289)+INDEX(Models!$BJ289:$BT289,,T289+1)*R289-ERP_i)*Q289*Ramure*Pc/MaxiM</f>
        <v>1.4142274609125468E-4</v>
      </c>
      <c r="Q289" s="301">
        <f t="shared" si="105"/>
        <v>0.5</v>
      </c>
      <c r="R289" s="173">
        <f t="shared" si="106"/>
        <v>0.48511234259169611</v>
      </c>
      <c r="S289" s="801">
        <f t="shared" si="107"/>
        <v>1</v>
      </c>
      <c r="T289" s="172">
        <f t="shared" si="108"/>
        <v>7</v>
      </c>
      <c r="U289" s="247">
        <f t="shared" si="109"/>
        <v>1.4851123425916961</v>
      </c>
      <c r="V289" s="378">
        <f t="shared" si="110"/>
        <v>171.08982474648403</v>
      </c>
      <c r="W289" s="397">
        <f t="shared" si="111"/>
        <v>156.60046432754166</v>
      </c>
      <c r="X289" s="153">
        <f t="shared" si="112"/>
        <v>45566</v>
      </c>
      <c r="Y289" s="380">
        <f t="shared" si="113"/>
        <v>151.32511782432007</v>
      </c>
      <c r="Z289" s="380">
        <f t="shared" si="114"/>
        <v>153.70939102567462</v>
      </c>
      <c r="AA289" s="381">
        <f t="shared" si="115"/>
        <v>162.63748589903216</v>
      </c>
      <c r="AB289" s="193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5.4895676873044079E-2</v>
      </c>
      <c r="AD289" s="227">
        <f>(INDEX(Models!$BJ289:$BT289,,AH289)*(1-AF289)+INDEX(Models!$BJ289:$BT289,,AH289+1)*AF289-ERP_i)*AE289*Ramure*Pc/MaxiM</f>
        <v>1.4142274609125468E-4</v>
      </c>
      <c r="AE289" s="301">
        <f t="shared" si="117"/>
        <v>0.5</v>
      </c>
      <c r="AF289" s="173">
        <f t="shared" si="118"/>
        <v>0.48511234259169611</v>
      </c>
      <c r="AG289" s="801">
        <f t="shared" si="124"/>
        <v>1</v>
      </c>
      <c r="AH289" s="172">
        <f t="shared" si="119"/>
        <v>7</v>
      </c>
      <c r="AI289" s="221">
        <f t="shared" si="120"/>
        <v>1.4851123425916961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45567</v>
      </c>
      <c r="B290" s="406">
        <f>'2023'!Wh/'2023'!Env_an*'2024'!Env_an</f>
        <v>147.08797023058281</v>
      </c>
      <c r="C290" s="385"/>
      <c r="D290" s="388">
        <f t="shared" si="102"/>
        <v>149.40752834799073</v>
      </c>
      <c r="E290" s="380">
        <f t="shared" si="100"/>
        <v>152.76951335331353</v>
      </c>
      <c r="F290" s="380">
        <f t="shared" si="103"/>
        <v>152.78765364213098</v>
      </c>
      <c r="G290" s="110">
        <f t="shared" si="101"/>
        <v>0.86607445379648729</v>
      </c>
      <c r="H290" s="409" t="b">
        <f>Wh_hp&gt;='2023'!Maxi_hp</f>
        <v>0</v>
      </c>
      <c r="I290" s="375">
        <f>IF(H290,Wh_hp,'2023'!Maxi_hp)</f>
        <v>152.79064899002728</v>
      </c>
      <c r="J290" s="85">
        <f>IF(H290,An,'2023'!An_max)</f>
        <v>2022</v>
      </c>
      <c r="K290" s="193">
        <f t="shared" si="104"/>
        <v>45567</v>
      </c>
      <c r="L290" s="143">
        <f>IF(t&lt;Tvie,1-EXP((T0-t)*PertePVj)+'2023'!Pspv,1-EXP((T0-t)*PertePVj)+Pspv)</f>
        <v>1.5525041763660985E-2</v>
      </c>
      <c r="M290" s="835"/>
      <c r="N290" s="835"/>
      <c r="O290" s="48">
        <f>IF(t&lt;Tnet,'2023'!Resal+('2023'!Salim-'2023'!Resal)*(1-EXP(('2023'!Tnet-t)/('2023'!Tau_j))),Resal+(Salim-Resal)*(1-EXP((Tnet-t)/(Tau_j))))*Salcycl</f>
        <v>2.200691048578159E-2</v>
      </c>
      <c r="P290" s="165">
        <f>(INDEX(Models!$BJ290:$BT290,,T290)*(1-R290)+INDEX(Models!$BJ290:$BT290,,T290+1)*R290-ERP_i)*Q290*Ramure*Pc/MaxiM</f>
        <v>1.468120683436389E-4</v>
      </c>
      <c r="Q290" s="301">
        <f t="shared" si="105"/>
        <v>0.5</v>
      </c>
      <c r="R290" s="173">
        <f t="shared" si="106"/>
        <v>0.48529521993748426</v>
      </c>
      <c r="S290" s="801">
        <f t="shared" si="107"/>
        <v>1</v>
      </c>
      <c r="T290" s="172">
        <f t="shared" si="108"/>
        <v>7</v>
      </c>
      <c r="U290" s="247">
        <f t="shared" si="109"/>
        <v>1.4852952199374843</v>
      </c>
      <c r="V290" s="378">
        <f t="shared" si="110"/>
        <v>169.82816936658151</v>
      </c>
      <c r="W290" s="397">
        <f t="shared" si="111"/>
        <v>147.08797023058281</v>
      </c>
      <c r="X290" s="153">
        <f t="shared" si="112"/>
        <v>45567</v>
      </c>
      <c r="Y290" s="380">
        <f t="shared" si="113"/>
        <v>142.14014394084376</v>
      </c>
      <c r="Z290" s="380">
        <f t="shared" si="114"/>
        <v>144.38167548261876</v>
      </c>
      <c r="AA290" s="381">
        <f t="shared" si="115"/>
        <v>152.76951335331353</v>
      </c>
      <c r="AB290" s="193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5.4905181580935068E-2</v>
      </c>
      <c r="AD290" s="227">
        <f>(INDEX(Models!$BJ290:$BT290,,AH290)*(1-AF290)+INDEX(Models!$BJ290:$BT290,,AH290+1)*AF290-ERP_i)*AE290*Ramure*Pc/MaxiM</f>
        <v>1.468120683436389E-4</v>
      </c>
      <c r="AE290" s="301">
        <f t="shared" si="117"/>
        <v>0.5</v>
      </c>
      <c r="AF290" s="173">
        <f t="shared" si="118"/>
        <v>0.48529521993748426</v>
      </c>
      <c r="AG290" s="801">
        <f t="shared" si="124"/>
        <v>1</v>
      </c>
      <c r="AH290" s="172">
        <f t="shared" si="119"/>
        <v>7</v>
      </c>
      <c r="AI290" s="221">
        <f t="shared" si="120"/>
        <v>1.4852952199374843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customHeight="1" x14ac:dyDescent="0.2">
      <c r="A291" s="56">
        <f t="shared" si="123"/>
        <v>45568</v>
      </c>
      <c r="B291" s="406">
        <f>'2023'!Wh/'2023'!Env_an*'2024'!Env_an</f>
        <v>168.30605348184983</v>
      </c>
      <c r="C291" s="385"/>
      <c r="D291" s="388">
        <f t="shared" si="102"/>
        <v>170.96255834017845</v>
      </c>
      <c r="E291" s="380">
        <f t="shared" si="100"/>
        <v>174.81996201202685</v>
      </c>
      <c r="F291" s="380">
        <f t="shared" si="103"/>
        <v>174.84663684733829</v>
      </c>
      <c r="G291" s="110">
        <f t="shared" si="101"/>
        <v>0.99849100504018751</v>
      </c>
      <c r="H291" s="409" t="b">
        <f>Wh_hp&gt;='2023'!Maxi_hp</f>
        <v>0</v>
      </c>
      <c r="I291" s="375">
        <f>IF(H291,Wh_hp,'2023'!Maxi_hp)</f>
        <v>174.84667705924409</v>
      </c>
      <c r="J291" s="85">
        <f>IF(H291,An,'2023'!An_max)</f>
        <v>2022</v>
      </c>
      <c r="K291" s="193">
        <f t="shared" si="104"/>
        <v>45568</v>
      </c>
      <c r="L291" s="143">
        <f>IF(t&lt;Tvie,1-EXP((T0-t)*PertePVj)+'2023'!Pspv,1-EXP((T0-t)*PertePVj)+Pspv)</f>
        <v>1.5538518399114909E-2</v>
      </c>
      <c r="M291" s="835"/>
      <c r="N291" s="835"/>
      <c r="O291" s="48">
        <f>IF(t&lt;Tnet,'2023'!Resal+('2023'!Salim-'2023'!Resal)*(1-EXP(('2023'!Tnet-t)/('2023'!Tau_j))),Resal+(Salim-Resal)*(1-EXP((Tnet-t)/(Tau_j))))*Salcycl</f>
        <v>2.2065006921709641E-2</v>
      </c>
      <c r="P291" s="165">
        <f>(INDEX(Models!$BJ291:$BT291,,T291)*(1-R291)+INDEX(Models!$BJ291:$BT291,,T291+1)*R291-ERP_i)*Q291*Ramure*Pc/MaxiM</f>
        <v>1.5289084513490139E-4</v>
      </c>
      <c r="Q291" s="301">
        <f t="shared" si="105"/>
        <v>0.5</v>
      </c>
      <c r="R291" s="173">
        <f t="shared" si="106"/>
        <v>0.48547086090381475</v>
      </c>
      <c r="S291" s="801">
        <f t="shared" si="107"/>
        <v>1</v>
      </c>
      <c r="T291" s="172">
        <f t="shared" si="108"/>
        <v>7</v>
      </c>
      <c r="U291" s="247">
        <f t="shared" si="109"/>
        <v>1.4854708609038147</v>
      </c>
      <c r="V291" s="378">
        <f t="shared" si="110"/>
        <v>168.56035473957553</v>
      </c>
      <c r="W291" s="397">
        <f t="shared" si="111"/>
        <v>168.30605348184983</v>
      </c>
      <c r="X291" s="153">
        <f t="shared" si="112"/>
        <v>45568</v>
      </c>
      <c r="Y291" s="380">
        <f t="shared" si="113"/>
        <v>162.65264768847175</v>
      </c>
      <c r="Z291" s="380">
        <f t="shared" si="114"/>
        <v>165.21992046247826</v>
      </c>
      <c r="AA291" s="381">
        <f t="shared" si="115"/>
        <v>174.81996201202685</v>
      </c>
      <c r="AB291" s="193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5.4913875046421527E-2</v>
      </c>
      <c r="AD291" s="227">
        <f>(INDEX(Models!$BJ291:$BT291,,AH291)*(1-AF291)+INDEX(Models!$BJ291:$BT291,,AH291+1)*AF291-ERP_i)*AE291*Ramure*Pc/MaxiM</f>
        <v>1.5289084513490139E-4</v>
      </c>
      <c r="AE291" s="301">
        <f t="shared" si="117"/>
        <v>0.5</v>
      </c>
      <c r="AF291" s="173">
        <f t="shared" si="118"/>
        <v>0.48547086090381475</v>
      </c>
      <c r="AG291" s="801">
        <f t="shared" si="124"/>
        <v>1</v>
      </c>
      <c r="AH291" s="172">
        <f t="shared" si="119"/>
        <v>7</v>
      </c>
      <c r="AI291" s="221">
        <f t="shared" si="120"/>
        <v>1.4854708609038147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45569</v>
      </c>
      <c r="B292" s="406">
        <f>'2023'!Wh/'2023'!Env_an*'2024'!Env_an</f>
        <v>171.04821988428338</v>
      </c>
      <c r="C292" s="385"/>
      <c r="D292" s="388">
        <f t="shared" si="102"/>
        <v>173.75038497664036</v>
      </c>
      <c r="E292" s="380">
        <f t="shared" si="100"/>
        <v>177.68116654230926</v>
      </c>
      <c r="F292" s="380">
        <f t="shared" si="103"/>
        <v>177.70954073163574</v>
      </c>
      <c r="G292" s="110">
        <f t="shared" si="101"/>
        <v>1.022484189466115</v>
      </c>
      <c r="H292" s="409" t="b">
        <f>Wh_hp&gt;='2023'!Maxi_hp</f>
        <v>1</v>
      </c>
      <c r="I292" s="375">
        <f>IF(H292,Wh_hp,'2023'!Maxi_hp)</f>
        <v>177.70954073163574</v>
      </c>
      <c r="J292" s="85">
        <f>IF(H292,An,'2023'!An_max)</f>
        <v>2024</v>
      </c>
      <c r="K292" s="193">
        <f t="shared" si="104"/>
        <v>45569</v>
      </c>
      <c r="L292" s="143">
        <f>IF(t&lt;Tvie,1-EXP((T0-t)*PertePVj)+'2023'!Pspv,1-EXP((T0-t)*PertePVj)+Pspv)</f>
        <v>1.5551994850084849E-2</v>
      </c>
      <c r="M292" s="835"/>
      <c r="N292" s="835"/>
      <c r="O292" s="48">
        <f>IF(t&lt;Tnet,'2023'!Resal+('2023'!Salim-'2023'!Resal)*(1-EXP(('2023'!Tnet-t)/('2023'!Tau_j))),Resal+(Salim-Resal)*(1-EXP((Tnet-t)/(Tau_j))))*Salcycl</f>
        <v>2.2122668610085414E-2</v>
      </c>
      <c r="P292" s="165">
        <f>(INDEX(Models!$BJ292:$BT292,,T292)*(1-R292)+INDEX(Models!$BJ292:$BT292,,T292+1)*R292-ERP_i)*Q292*Ramure*Pc/MaxiM</f>
        <v>1.5966610014111804E-4</v>
      </c>
      <c r="Q292" s="301">
        <f t="shared" si="105"/>
        <v>0.5</v>
      </c>
      <c r="R292" s="173">
        <f t="shared" si="106"/>
        <v>0.48563954696779632</v>
      </c>
      <c r="S292" s="801">
        <f t="shared" si="107"/>
        <v>1</v>
      </c>
      <c r="T292" s="172">
        <f t="shared" si="108"/>
        <v>7</v>
      </c>
      <c r="U292" s="247">
        <f t="shared" si="109"/>
        <v>1.4856395469677963</v>
      </c>
      <c r="V292" s="378">
        <f t="shared" si="110"/>
        <v>167.28690931993322</v>
      </c>
      <c r="W292" s="397">
        <f t="shared" si="111"/>
        <v>171.04821988428338</v>
      </c>
      <c r="X292" s="153">
        <f t="shared" si="112"/>
        <v>45569</v>
      </c>
      <c r="Y292" s="380">
        <f t="shared" si="113"/>
        <v>165.31107483015697</v>
      </c>
      <c r="Z292" s="380">
        <f t="shared" si="114"/>
        <v>167.92260633915635</v>
      </c>
      <c r="AA292" s="381">
        <f t="shared" si="115"/>
        <v>177.68116654230926</v>
      </c>
      <c r="AB292" s="193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5.4921747718429129E-2</v>
      </c>
      <c r="AD292" s="227">
        <f>(INDEX(Models!$BJ292:$BT292,,AH292)*(1-AF292)+INDEX(Models!$BJ292:$BT292,,AH292+1)*AF292-ERP_i)*AE292*Ramure*Pc/MaxiM</f>
        <v>1.5966610014111804E-4</v>
      </c>
      <c r="AE292" s="301">
        <f t="shared" si="117"/>
        <v>0.5</v>
      </c>
      <c r="AF292" s="173">
        <f t="shared" si="118"/>
        <v>0.48563954696779632</v>
      </c>
      <c r="AG292" s="801">
        <f t="shared" si="124"/>
        <v>1</v>
      </c>
      <c r="AH292" s="172">
        <f t="shared" si="119"/>
        <v>7</v>
      </c>
      <c r="AI292" s="221">
        <f t="shared" si="120"/>
        <v>1.4856395469677963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45570</v>
      </c>
      <c r="B293" s="406">
        <f>'2023'!Wh/'2023'!Env_an*'2024'!Env_an</f>
        <v>57.431681637800985</v>
      </c>
      <c r="C293" s="385"/>
      <c r="D293" s="388">
        <f t="shared" si="102"/>
        <v>58.339767605410621</v>
      </c>
      <c r="E293" s="380">
        <f t="shared" si="100"/>
        <v>59.663088359482352</v>
      </c>
      <c r="F293" s="380">
        <f t="shared" si="103"/>
        <v>59.663743074636869</v>
      </c>
      <c r="G293" s="110">
        <f t="shared" si="101"/>
        <v>0.34590253107795249</v>
      </c>
      <c r="H293" s="409" t="b">
        <f>Wh_hp&gt;='2023'!Maxi_hp</f>
        <v>0</v>
      </c>
      <c r="I293" s="375">
        <f>IF(H293,Wh_hp,'2023'!Maxi_hp)</f>
        <v>59.670237446224867</v>
      </c>
      <c r="J293" s="85">
        <f>IF(H293,An,'2023'!An_max)</f>
        <v>2022</v>
      </c>
      <c r="K293" s="193">
        <f t="shared" si="104"/>
        <v>45570</v>
      </c>
      <c r="L293" s="143">
        <f>IF(t&lt;Tvie,1-EXP((T0-t)*PertePVj)+'2023'!Pspv,1-EXP((T0-t)*PertePVj)+Pspv)</f>
        <v>1.5565471116573582E-2</v>
      </c>
      <c r="M293" s="835"/>
      <c r="N293" s="835"/>
      <c r="O293" s="48">
        <f>IF(t&lt;Tnet,'2023'!Resal+('2023'!Salim-'2023'!Resal)*(1-EXP(('2023'!Tnet-t)/('2023'!Tau_j))),Resal+(Salim-Resal)*(1-EXP((Tnet-t)/(Tau_j))))*Salcycl</f>
        <v>2.2179890288254199E-2</v>
      </c>
      <c r="P293" s="165">
        <f>(INDEX(Models!$BJ293:$BT293,,T293)*(1-R293)+INDEX(Models!$BJ293:$BT293,,T293+1)*R293-ERP_i)*Q293*Ramure*Pc/MaxiM</f>
        <v>1.6714462824852971E-4</v>
      </c>
      <c r="Q293" s="301">
        <f t="shared" si="105"/>
        <v>0.5</v>
      </c>
      <c r="R293" s="173">
        <f t="shared" si="106"/>
        <v>0.48580154903883543</v>
      </c>
      <c r="S293" s="801">
        <f t="shared" si="107"/>
        <v>1</v>
      </c>
      <c r="T293" s="172">
        <f t="shared" si="108"/>
        <v>7</v>
      </c>
      <c r="U293" s="247">
        <f t="shared" si="109"/>
        <v>1.4858015490388354</v>
      </c>
      <c r="V293" s="378">
        <f t="shared" si="110"/>
        <v>166.00836132989261</v>
      </c>
      <c r="W293" s="397">
        <f t="shared" si="111"/>
        <v>57.431681637800985</v>
      </c>
      <c r="X293" s="153">
        <f t="shared" si="112"/>
        <v>45570</v>
      </c>
      <c r="Y293" s="380">
        <f t="shared" si="113"/>
        <v>55.508194415277345</v>
      </c>
      <c r="Z293" s="380">
        <f t="shared" si="114"/>
        <v>56.38586699944009</v>
      </c>
      <c r="AA293" s="381">
        <f t="shared" si="115"/>
        <v>59.663088359482352</v>
      </c>
      <c r="AB293" s="193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5.4928791823452561E-2</v>
      </c>
      <c r="AD293" s="227">
        <f>(INDEX(Models!$BJ293:$BT293,,AH293)*(1-AF293)+INDEX(Models!$BJ293:$BT293,,AH293+1)*AF293-ERP_i)*AE293*Ramure*Pc/MaxiM</f>
        <v>1.6714462824852971E-4</v>
      </c>
      <c r="AE293" s="301">
        <f t="shared" si="117"/>
        <v>0.5</v>
      </c>
      <c r="AF293" s="173">
        <f t="shared" si="118"/>
        <v>0.48580154903883543</v>
      </c>
      <c r="AG293" s="801">
        <f t="shared" si="124"/>
        <v>1</v>
      </c>
      <c r="AH293" s="172">
        <f t="shared" si="119"/>
        <v>7</v>
      </c>
      <c r="AI293" s="221">
        <f t="shared" si="120"/>
        <v>1.4858015490388354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customHeight="1" x14ac:dyDescent="0.2">
      <c r="A294" s="56">
        <f t="shared" si="123"/>
        <v>45571</v>
      </c>
      <c r="B294" s="406">
        <f>'2023'!Wh/'2023'!Env_an*'2024'!Env_an</f>
        <v>118.01402389912327</v>
      </c>
      <c r="C294" s="385"/>
      <c r="D294" s="388">
        <f t="shared" si="102"/>
        <v>119.881653854603</v>
      </c>
      <c r="E294" s="380">
        <f t="shared" si="100"/>
        <v>122.60804825037931</v>
      </c>
      <c r="F294" s="380">
        <f t="shared" si="103"/>
        <v>122.62083827354917</v>
      </c>
      <c r="G294" s="110">
        <f t="shared" si="101"/>
        <v>0.71637862950789521</v>
      </c>
      <c r="H294" s="409" t="b">
        <f>Wh_hp&gt;='2023'!Maxi_hp</f>
        <v>0</v>
      </c>
      <c r="I294" s="375">
        <f>IF(H294,Wh_hp,'2023'!Maxi_hp)</f>
        <v>122.62690257230749</v>
      </c>
      <c r="J294" s="85">
        <f>IF(H294,An,'2023'!An_max)</f>
        <v>2022</v>
      </c>
      <c r="K294" s="193">
        <f t="shared" si="104"/>
        <v>45571</v>
      </c>
      <c r="L294" s="143">
        <f>IF(t&lt;Tvie,1-EXP((T0-t)*PertePVj)+'2023'!Pspv,1-EXP((T0-t)*PertePVj)+Pspv)</f>
        <v>1.5578947198583548E-2</v>
      </c>
      <c r="M294" s="835"/>
      <c r="N294" s="835"/>
      <c r="O294" s="48">
        <f>IF(t&lt;Tnet,'2023'!Resal+('2023'!Salim-'2023'!Resal)*(1-EXP(('2023'!Tnet-t)/('2023'!Tau_j))),Resal+(Salim-Resal)*(1-EXP((Tnet-t)/(Tau_j))))*Salcycl</f>
        <v>2.2236667451134295E-2</v>
      </c>
      <c r="P294" s="165">
        <f>(INDEX(Models!$BJ294:$BT294,,T294)*(1-R294)+INDEX(Models!$BJ294:$BT294,,T294+1)*R294-ERP_i)*Q294*Ramure*Pc/MaxiM</f>
        <v>1.7533296660619973E-4</v>
      </c>
      <c r="Q294" s="301">
        <f t="shared" si="105"/>
        <v>0.5</v>
      </c>
      <c r="R294" s="173">
        <f t="shared" si="106"/>
        <v>0.48595712782535827</v>
      </c>
      <c r="S294" s="801">
        <f t="shared" si="107"/>
        <v>1</v>
      </c>
      <c r="T294" s="172">
        <f t="shared" si="108"/>
        <v>7</v>
      </c>
      <c r="U294" s="247">
        <f t="shared" si="109"/>
        <v>1.4859571278253583</v>
      </c>
      <c r="V294" s="378">
        <f t="shared" si="110"/>
        <v>164.72523875277798</v>
      </c>
      <c r="W294" s="397">
        <f t="shared" si="111"/>
        <v>118.01402389912327</v>
      </c>
      <c r="X294" s="153">
        <f t="shared" si="112"/>
        <v>45571</v>
      </c>
      <c r="Y294" s="380">
        <f t="shared" si="113"/>
        <v>114.06740220771455</v>
      </c>
      <c r="Z294" s="380">
        <f t="shared" si="114"/>
        <v>115.87257493438119</v>
      </c>
      <c r="AA294" s="381">
        <f t="shared" si="115"/>
        <v>122.60804825037931</v>
      </c>
      <c r="AB294" s="193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5.4935001511838152E-2</v>
      </c>
      <c r="AD294" s="227">
        <f>(INDEX(Models!$BJ294:$BT294,,AH294)*(1-AF294)+INDEX(Models!$BJ294:$BT294,,AH294+1)*AF294-ERP_i)*AE294*Ramure*Pc/MaxiM</f>
        <v>1.7533296660619973E-4</v>
      </c>
      <c r="AE294" s="301">
        <f t="shared" si="117"/>
        <v>0.5</v>
      </c>
      <c r="AF294" s="173">
        <f t="shared" si="118"/>
        <v>0.48595712782535827</v>
      </c>
      <c r="AG294" s="801">
        <f t="shared" si="124"/>
        <v>1</v>
      </c>
      <c r="AH294" s="172">
        <f t="shared" si="119"/>
        <v>7</v>
      </c>
      <c r="AI294" s="221">
        <f t="shared" si="120"/>
        <v>1.4859571278253583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customHeight="1" x14ac:dyDescent="0.2">
      <c r="A295" s="56">
        <f t="shared" si="123"/>
        <v>45572</v>
      </c>
      <c r="B295" s="406">
        <f>'2023'!Wh/'2023'!Env_an*'2024'!Env_an</f>
        <v>65.936271264134646</v>
      </c>
      <c r="C295" s="385"/>
      <c r="D295" s="388">
        <f t="shared" si="102"/>
        <v>66.980662086647726</v>
      </c>
      <c r="E295" s="380">
        <f t="shared" si="100"/>
        <v>68.507908648757549</v>
      </c>
      <c r="F295" s="380">
        <f t="shared" si="103"/>
        <v>68.509773698088225</v>
      </c>
      <c r="G295" s="110">
        <f t="shared" si="101"/>
        <v>0.40336941275827554</v>
      </c>
      <c r="H295" s="409" t="b">
        <f>Wh_hp&gt;='2023'!Maxi_hp</f>
        <v>0</v>
      </c>
      <c r="I295" s="375">
        <f>IF(H295,Wh_hp,'2023'!Maxi_hp)</f>
        <v>68.517254335797233</v>
      </c>
      <c r="J295" s="85">
        <f>IF(H295,An,'2023'!An_max)</f>
        <v>2022</v>
      </c>
      <c r="K295" s="193">
        <f t="shared" si="104"/>
        <v>45572</v>
      </c>
      <c r="L295" s="143">
        <f>IF(t&lt;Tvie,1-EXP((T0-t)*PertePVj)+'2023'!Pspv,1-EXP((T0-t)*PertePVj)+Pspv)</f>
        <v>1.5592423096117303E-2</v>
      </c>
      <c r="M295" s="835"/>
      <c r="N295" s="835"/>
      <c r="O295" s="48">
        <f>IF(t&lt;Tnet,'2023'!Resal+('2023'!Salim-'2023'!Resal)*(1-EXP(('2023'!Tnet-t)/('2023'!Tau_j))),Resal+(Salim-Resal)*(1-EXP((Tnet-t)/(Tau_j))))*Salcycl</f>
        <v>2.2292996417976624E-2</v>
      </c>
      <c r="P295" s="165">
        <f>(INDEX(Models!$BJ295:$BT295,,T295)*(1-R295)+INDEX(Models!$BJ295:$BT295,,T295+1)*R295-ERP_i)*Q295*Ramure*Pc/MaxiM</f>
        <v>1.8423736785859582E-4</v>
      </c>
      <c r="Q295" s="301">
        <f t="shared" si="105"/>
        <v>0.5</v>
      </c>
      <c r="R295" s="173">
        <f t="shared" si="106"/>
        <v>0.48610653419121963</v>
      </c>
      <c r="S295" s="801">
        <f t="shared" si="107"/>
        <v>1</v>
      </c>
      <c r="T295" s="172">
        <f t="shared" si="108"/>
        <v>7</v>
      </c>
      <c r="U295" s="247">
        <f t="shared" si="109"/>
        <v>1.4861065341912196</v>
      </c>
      <c r="V295" s="378">
        <f t="shared" si="110"/>
        <v>163.43806932954806</v>
      </c>
      <c r="W295" s="397">
        <f t="shared" si="111"/>
        <v>65.936271264134646</v>
      </c>
      <c r="X295" s="153">
        <f t="shared" si="112"/>
        <v>45572</v>
      </c>
      <c r="Y295" s="380">
        <f t="shared" si="113"/>
        <v>63.734541839676623</v>
      </c>
      <c r="Z295" s="380">
        <f t="shared" si="114"/>
        <v>64.744058594237785</v>
      </c>
      <c r="AA295" s="381">
        <f t="shared" si="115"/>
        <v>68.507908648757549</v>
      </c>
      <c r="AB295" s="193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5.4940372998643849E-2</v>
      </c>
      <c r="AD295" s="227">
        <f>(INDEX(Models!$BJ295:$BT295,,AH295)*(1-AF295)+INDEX(Models!$BJ295:$BT295,,AH295+1)*AF295-ERP_i)*AE295*Ramure*Pc/MaxiM</f>
        <v>1.8423736785859582E-4</v>
      </c>
      <c r="AE295" s="301">
        <f t="shared" si="117"/>
        <v>0.5</v>
      </c>
      <c r="AF295" s="173">
        <f t="shared" si="118"/>
        <v>0.48610653419121963</v>
      </c>
      <c r="AG295" s="801">
        <f t="shared" si="124"/>
        <v>1</v>
      </c>
      <c r="AH295" s="172">
        <f t="shared" si="119"/>
        <v>7</v>
      </c>
      <c r="AI295" s="221">
        <f t="shared" si="120"/>
        <v>1.4861065341912196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customHeight="1" x14ac:dyDescent="0.2">
      <c r="A296" s="56">
        <f t="shared" si="123"/>
        <v>45573</v>
      </c>
      <c r="B296" s="406">
        <f>'2023'!Wh/'2023'!Env_an*'2024'!Env_an</f>
        <v>155.47797247937791</v>
      </c>
      <c r="C296" s="385"/>
      <c r="D296" s="388">
        <f t="shared" si="102"/>
        <v>157.9428120214211</v>
      </c>
      <c r="E296" s="380">
        <f t="shared" si="100"/>
        <v>161.55334749297606</v>
      </c>
      <c r="F296" s="380">
        <f t="shared" si="103"/>
        <v>161.58275138467528</v>
      </c>
      <c r="G296" s="110">
        <f t="shared" si="101"/>
        <v>0.95885683162753066</v>
      </c>
      <c r="H296" s="409" t="b">
        <f>Wh_hp&gt;='2023'!Maxi_hp</f>
        <v>0</v>
      </c>
      <c r="I296" s="375">
        <f>IF(H296,Wh_hp,'2023'!Maxi_hp)</f>
        <v>161.58402633756273</v>
      </c>
      <c r="J296" s="85">
        <f>IF(H296,An,'2023'!An_max)</f>
        <v>2022</v>
      </c>
      <c r="K296" s="193">
        <f t="shared" si="104"/>
        <v>45573</v>
      </c>
      <c r="L296" s="143">
        <f>IF(t&lt;Tvie,1-EXP((T0-t)*PertePVj)+'2023'!Pspv,1-EXP((T0-t)*PertePVj)+Pspv)</f>
        <v>1.5605898809177288E-2</v>
      </c>
      <c r="M296" s="835"/>
      <c r="N296" s="835"/>
      <c r="O296" s="48">
        <f>IF(t&lt;Tnet,'2023'!Resal+('2023'!Salim-'2023'!Resal)*(1-EXP(('2023'!Tnet-t)/('2023'!Tau_j))),Resal+(Salim-Resal)*(1-EXP((Tnet-t)/(Tau_j))))*Salcycl</f>
        <v>2.2348874397120928E-2</v>
      </c>
      <c r="P296" s="165">
        <f>(INDEX(Models!$BJ296:$BT296,,T296)*(1-R296)+INDEX(Models!$BJ296:$BT296,,T296+1)*R296-ERP_i)*Q296*Ramure*Pc/MaxiM</f>
        <v>1.9333461616809845E-4</v>
      </c>
      <c r="Q296" s="301">
        <f t="shared" si="105"/>
        <v>0.5</v>
      </c>
      <c r="R296" s="173">
        <f t="shared" si="106"/>
        <v>0.48625000950188202</v>
      </c>
      <c r="S296" s="801">
        <f t="shared" si="107"/>
        <v>1</v>
      </c>
      <c r="T296" s="172">
        <f t="shared" si="108"/>
        <v>7</v>
      </c>
      <c r="U296" s="247">
        <f t="shared" si="109"/>
        <v>1.486250009501882</v>
      </c>
      <c r="V296" s="378">
        <f t="shared" si="110"/>
        <v>162.14746637338698</v>
      </c>
      <c r="W296" s="397">
        <f t="shared" si="111"/>
        <v>155.47797247937791</v>
      </c>
      <c r="X296" s="153">
        <f t="shared" si="112"/>
        <v>45573</v>
      </c>
      <c r="Y296" s="380">
        <f t="shared" si="113"/>
        <v>150.2941552982918</v>
      </c>
      <c r="Z296" s="380">
        <f t="shared" si="114"/>
        <v>152.67681421138218</v>
      </c>
      <c r="AA296" s="381">
        <f t="shared" si="115"/>
        <v>161.55334749297606</v>
      </c>
      <c r="AB296" s="193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5.4944904697686939E-2</v>
      </c>
      <c r="AD296" s="227">
        <f>(INDEX(Models!$BJ296:$BT296,,AH296)*(1-AF296)+INDEX(Models!$BJ296:$BT296,,AH296+1)*AF296-ERP_i)*AE296*Ramure*Pc/MaxiM</f>
        <v>1.9333461616809845E-4</v>
      </c>
      <c r="AE296" s="301">
        <f t="shared" si="117"/>
        <v>0.5</v>
      </c>
      <c r="AF296" s="173">
        <f t="shared" si="118"/>
        <v>0.48625000950188202</v>
      </c>
      <c r="AG296" s="801">
        <f t="shared" si="124"/>
        <v>1</v>
      </c>
      <c r="AH296" s="172">
        <f t="shared" si="119"/>
        <v>7</v>
      </c>
      <c r="AI296" s="221">
        <f t="shared" si="120"/>
        <v>1.486250009501882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customHeight="1" x14ac:dyDescent="0.2">
      <c r="A297" s="56">
        <f t="shared" si="123"/>
        <v>45574</v>
      </c>
      <c r="B297" s="406">
        <f>'2023'!Wh/'2023'!Env_an*'2024'!Env_an</f>
        <v>124.39047510625039</v>
      </c>
      <c r="C297" s="385"/>
      <c r="D297" s="388">
        <f t="shared" si="102"/>
        <v>126.36420492588192</v>
      </c>
      <c r="E297" s="380">
        <f t="shared" ref="E297:E360" si="125">Wh_pvt/(1-Psa)</f>
        <v>129.2601889180506</v>
      </c>
      <c r="F297" s="380">
        <f t="shared" si="103"/>
        <v>129.27784589420182</v>
      </c>
      <c r="G297" s="110">
        <f t="shared" ref="G297:G360" si="126">+Wh_hp/MaxiM</f>
        <v>0.77326204441665258</v>
      </c>
      <c r="H297" s="409" t="b">
        <f>Wh_hp&gt;='2023'!Maxi_hp</f>
        <v>0</v>
      </c>
      <c r="I297" s="375">
        <f>IF(H297,Wh_hp,'2023'!Maxi_hp)</f>
        <v>129.28371187059687</v>
      </c>
      <c r="J297" s="85">
        <f>IF(H297,An,'2023'!An_max)</f>
        <v>2022</v>
      </c>
      <c r="K297" s="193">
        <f t="shared" si="104"/>
        <v>45574</v>
      </c>
      <c r="L297" s="143">
        <f>IF(t&lt;Tvie,1-EXP((T0-t)*PertePVj)+'2023'!Pspv,1-EXP((T0-t)*PertePVj)+Pspv)</f>
        <v>1.5619374337766057E-2</v>
      </c>
      <c r="M297" s="835"/>
      <c r="N297" s="835"/>
      <c r="O297" s="48">
        <f>IF(t&lt;Tnet,'2023'!Resal+('2023'!Salim-'2023'!Resal)*(1-EXP(('2023'!Tnet-t)/('2023'!Tau_j))),Resal+(Salim-Resal)*(1-EXP((Tnet-t)/(Tau_j))))*Salcycl</f>
        <v>2.2404299548136292E-2</v>
      </c>
      <c r="P297" s="165">
        <f>(INDEX(Models!$BJ297:$BT297,,T297)*(1-R297)+INDEX(Models!$BJ297:$BT297,,T297+1)*R297-ERP_i)*Q297*Ramure*Pc/MaxiM</f>
        <v>2.0199571822900533E-4</v>
      </c>
      <c r="Q297" s="301">
        <f t="shared" si="105"/>
        <v>0.5</v>
      </c>
      <c r="R297" s="173">
        <f t="shared" si="106"/>
        <v>0.48638778596047327</v>
      </c>
      <c r="S297" s="801">
        <f t="shared" si="107"/>
        <v>1</v>
      </c>
      <c r="T297" s="172">
        <f t="shared" si="108"/>
        <v>7</v>
      </c>
      <c r="U297" s="247">
        <f t="shared" si="109"/>
        <v>1.4863877859604733</v>
      </c>
      <c r="V297" s="378">
        <f t="shared" si="110"/>
        <v>160.8540571733476</v>
      </c>
      <c r="W297" s="397">
        <f t="shared" si="111"/>
        <v>124.39047510625039</v>
      </c>
      <c r="X297" s="153">
        <f t="shared" si="112"/>
        <v>45574</v>
      </c>
      <c r="Y297" s="380">
        <f t="shared" si="113"/>
        <v>120.24949876666595</v>
      </c>
      <c r="Z297" s="380">
        <f t="shared" si="114"/>
        <v>122.15752284414283</v>
      </c>
      <c r="AA297" s="381">
        <f t="shared" si="115"/>
        <v>129.2601889180506</v>
      </c>
      <c r="AB297" s="193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5.4948597347407271E-2</v>
      </c>
      <c r="AD297" s="227">
        <f>(INDEX(Models!$BJ297:$BT297,,AH297)*(1-AF297)+INDEX(Models!$BJ297:$BT297,,AH297+1)*AF297-ERP_i)*AE297*Ramure*Pc/MaxiM</f>
        <v>2.0199571822900533E-4</v>
      </c>
      <c r="AE297" s="301">
        <f t="shared" si="117"/>
        <v>0.5</v>
      </c>
      <c r="AF297" s="173">
        <f t="shared" si="118"/>
        <v>0.48638778596047327</v>
      </c>
      <c r="AG297" s="801">
        <f t="shared" si="124"/>
        <v>1</v>
      </c>
      <c r="AH297" s="172">
        <f t="shared" si="119"/>
        <v>7</v>
      </c>
      <c r="AI297" s="221">
        <f t="shared" si="120"/>
        <v>1.4863877859604733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customHeight="1" x14ac:dyDescent="0.2">
      <c r="A298" s="56">
        <f t="shared" si="123"/>
        <v>45575</v>
      </c>
      <c r="B298" s="406">
        <f>'2023'!Wh/'2023'!Env_an*'2024'!Env_an</f>
        <v>95.76158223306868</v>
      </c>
      <c r="C298" s="385"/>
      <c r="D298" s="388">
        <f t="shared" si="102"/>
        <v>97.282383104842339</v>
      </c>
      <c r="E298" s="380">
        <f t="shared" si="125"/>
        <v>99.517473004335926</v>
      </c>
      <c r="F298" s="380">
        <f t="shared" si="103"/>
        <v>99.526444429055047</v>
      </c>
      <c r="G298" s="110">
        <f t="shared" si="126"/>
        <v>0.600094405383929</v>
      </c>
      <c r="H298" s="409" t="b">
        <f>Wh_hp&gt;='2023'!Maxi_hp</f>
        <v>0</v>
      </c>
      <c r="I298" s="375">
        <f>IF(H298,Wh_hp,'2023'!Maxi_hp)</f>
        <v>99.534723219686853</v>
      </c>
      <c r="J298" s="85">
        <f>IF(H298,An,'2023'!An_max)</f>
        <v>2022</v>
      </c>
      <c r="K298" s="193">
        <f t="shared" si="104"/>
        <v>45575</v>
      </c>
      <c r="L298" s="143">
        <f>IF(t&lt;Tvie,1-EXP((T0-t)*PertePVj)+'2023'!Pspv,1-EXP((T0-t)*PertePVj)+Pspv)</f>
        <v>1.5632849681886163E-2</v>
      </c>
      <c r="M298" s="835"/>
      <c r="N298" s="835"/>
      <c r="O298" s="48">
        <f>IF(t&lt;Tnet,'2023'!Resal+('2023'!Salim-'2023'!Resal)*(1-EXP(('2023'!Tnet-t)/('2023'!Tau_j))),Resal+(Salim-Resal)*(1-EXP((Tnet-t)/(Tau_j))))*Salcycl</f>
        <v>2.2459271040736705E-2</v>
      </c>
      <c r="P298" s="165">
        <f>(INDEX(Models!$BJ298:$BT298,,T298)*(1-R298)+INDEX(Models!$BJ298:$BT298,,T298+1)*R298-ERP_i)*Q298*Ramure*Pc/MaxiM</f>
        <v>2.1021261909321995E-4</v>
      </c>
      <c r="Q298" s="301">
        <f t="shared" si="105"/>
        <v>0.5</v>
      </c>
      <c r="R298" s="173">
        <f t="shared" si="106"/>
        <v>0.48652008693383952</v>
      </c>
      <c r="S298" s="801">
        <f t="shared" si="107"/>
        <v>1</v>
      </c>
      <c r="T298" s="172">
        <f t="shared" si="108"/>
        <v>7</v>
      </c>
      <c r="U298" s="247">
        <f t="shared" si="109"/>
        <v>1.4865200869338395</v>
      </c>
      <c r="V298" s="378">
        <f t="shared" si="110"/>
        <v>159.55836631751919</v>
      </c>
      <c r="W298" s="397">
        <f t="shared" si="111"/>
        <v>95.76158223306868</v>
      </c>
      <c r="X298" s="153">
        <f t="shared" si="112"/>
        <v>45575</v>
      </c>
      <c r="Y298" s="380">
        <f t="shared" si="113"/>
        <v>92.578591723937109</v>
      </c>
      <c r="Z298" s="380">
        <f t="shared" si="114"/>
        <v>94.048843151682647</v>
      </c>
      <c r="AA298" s="381">
        <f t="shared" si="115"/>
        <v>99.517473004335926</v>
      </c>
      <c r="AB298" s="193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5.4951454127206589E-2</v>
      </c>
      <c r="AD298" s="227">
        <f>(INDEX(Models!$BJ298:$BT298,,AH298)*(1-AF298)+INDEX(Models!$BJ298:$BT298,,AH298+1)*AF298-ERP_i)*AE298*Ramure*Pc/MaxiM</f>
        <v>2.1021261909321995E-4</v>
      </c>
      <c r="AE298" s="301">
        <f t="shared" si="117"/>
        <v>0.5</v>
      </c>
      <c r="AF298" s="173">
        <f t="shared" si="118"/>
        <v>0.48652008693383952</v>
      </c>
      <c r="AG298" s="801">
        <f t="shared" si="124"/>
        <v>1</v>
      </c>
      <c r="AH298" s="172">
        <f t="shared" si="119"/>
        <v>7</v>
      </c>
      <c r="AI298" s="221">
        <f t="shared" si="120"/>
        <v>1.4865200869338395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customHeight="1" x14ac:dyDescent="0.2">
      <c r="A299" s="56">
        <f t="shared" si="123"/>
        <v>45576</v>
      </c>
      <c r="B299" s="406">
        <f>'2023'!Wh/'2023'!Env_an*'2024'!Env_an</f>
        <v>120.27880721875196</v>
      </c>
      <c r="C299" s="385"/>
      <c r="D299" s="388">
        <f t="shared" si="102"/>
        <v>122.1906416912495</v>
      </c>
      <c r="E299" s="380">
        <f t="shared" si="125"/>
        <v>125.00497738988967</v>
      </c>
      <c r="F299" s="380">
        <f t="shared" si="103"/>
        <v>125.02288607586789</v>
      </c>
      <c r="G299" s="110">
        <f t="shared" si="126"/>
        <v>0.75994641341001834</v>
      </c>
      <c r="H299" s="409" t="b">
        <f>Wh_hp&gt;='2023'!Maxi_hp</f>
        <v>0</v>
      </c>
      <c r="I299" s="375">
        <f>IF(H299,Wh_hp,'2023'!Maxi_hp)</f>
        <v>125.02935085466613</v>
      </c>
      <c r="J299" s="85">
        <f>IF(H299,An,'2023'!An_max)</f>
        <v>2022</v>
      </c>
      <c r="K299" s="193">
        <f t="shared" si="104"/>
        <v>45576</v>
      </c>
      <c r="L299" s="143">
        <f>IF(t&lt;Tvie,1-EXP((T0-t)*PertePVj)+'2023'!Pspv,1-EXP((T0-t)*PertePVj)+Pspv)</f>
        <v>1.564632484154016E-2</v>
      </c>
      <c r="M299" s="835"/>
      <c r="N299" s="835"/>
      <c r="O299" s="48">
        <f>IF(t&lt;Tnet,'2023'!Resal+('2023'!Salim-'2023'!Resal)*(1-EXP(('2023'!Tnet-t)/('2023'!Tau_j))),Resal+(Salim-Resal)*(1-EXP((Tnet-t)/(Tau_j))))*Salcycl</f>
        <v>2.251378910987108E-2</v>
      </c>
      <c r="P299" s="165">
        <f>(INDEX(Models!$BJ299:$BT299,,T299)*(1-R299)+INDEX(Models!$BJ299:$BT299,,T299+1)*R299-ERP_i)*Q299*Ramure*Pc/MaxiM</f>
        <v>2.1797735067579765E-4</v>
      </c>
      <c r="Q299" s="301">
        <f t="shared" si="105"/>
        <v>0.5</v>
      </c>
      <c r="R299" s="173">
        <f t="shared" si="106"/>
        <v>0.48664712726874093</v>
      </c>
      <c r="S299" s="801">
        <f t="shared" si="107"/>
        <v>1</v>
      </c>
      <c r="T299" s="172">
        <f t="shared" si="108"/>
        <v>7</v>
      </c>
      <c r="U299" s="247">
        <f t="shared" si="109"/>
        <v>1.4866471272687409</v>
      </c>
      <c r="V299" s="378">
        <f t="shared" si="110"/>
        <v>158.26091798262593</v>
      </c>
      <c r="W299" s="397">
        <f t="shared" si="111"/>
        <v>120.27880721875196</v>
      </c>
      <c r="X299" s="153">
        <f t="shared" si="112"/>
        <v>45576</v>
      </c>
      <c r="Y299" s="380">
        <f t="shared" si="113"/>
        <v>116.28713206762566</v>
      </c>
      <c r="Z299" s="380">
        <f t="shared" si="114"/>
        <v>118.13551876961898</v>
      </c>
      <c r="AA299" s="381">
        <f t="shared" si="115"/>
        <v>125.00497738988967</v>
      </c>
      <c r="AB299" s="193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5.495348076296918E-2</v>
      </c>
      <c r="AD299" s="227">
        <f>(INDEX(Models!$BJ299:$BT299,,AH299)*(1-AF299)+INDEX(Models!$BJ299:$BT299,,AH299+1)*AF299-ERP_i)*AE299*Ramure*Pc/MaxiM</f>
        <v>2.1797735067579765E-4</v>
      </c>
      <c r="AE299" s="301">
        <f t="shared" si="117"/>
        <v>0.5</v>
      </c>
      <c r="AF299" s="173">
        <f t="shared" si="118"/>
        <v>0.48664712726874093</v>
      </c>
      <c r="AG299" s="801">
        <f t="shared" si="124"/>
        <v>1</v>
      </c>
      <c r="AH299" s="172">
        <f t="shared" si="119"/>
        <v>7</v>
      </c>
      <c r="AI299" s="221">
        <f t="shared" si="120"/>
        <v>1.4866471272687409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customHeight="1" x14ac:dyDescent="0.2">
      <c r="A300" s="56">
        <f t="shared" si="123"/>
        <v>45577</v>
      </c>
      <c r="B300" s="406">
        <f>'2023'!Wh/'2023'!Env_an*'2024'!Env_an</f>
        <v>92.993179300664224</v>
      </c>
      <c r="C300" s="385"/>
      <c r="D300" s="388">
        <f t="shared" si="102"/>
        <v>94.472601325588727</v>
      </c>
      <c r="E300" s="380">
        <f t="shared" si="125"/>
        <v>96.65387190214912</v>
      </c>
      <c r="F300" s="380">
        <f t="shared" si="103"/>
        <v>96.66296996399214</v>
      </c>
      <c r="G300" s="110">
        <f t="shared" si="126"/>
        <v>0.59237803640599551</v>
      </c>
      <c r="H300" s="409" t="b">
        <f>Wh_hp&gt;='2023'!Maxi_hp</f>
        <v>0</v>
      </c>
      <c r="I300" s="375">
        <f>IF(H300,Wh_hp,'2023'!Maxi_hp)</f>
        <v>96.671730861785207</v>
      </c>
      <c r="J300" s="85">
        <f>IF(H300,An,'2023'!An_max)</f>
        <v>2022</v>
      </c>
      <c r="K300" s="193">
        <f t="shared" si="104"/>
        <v>45577</v>
      </c>
      <c r="L300" s="143">
        <f>IF(t&lt;Tvie,1-EXP((T0-t)*PertePVj)+'2023'!Pspv,1-EXP((T0-t)*PertePVj)+Pspv)</f>
        <v>1.5659799816730491E-2</v>
      </c>
      <c r="M300" s="835"/>
      <c r="N300" s="835"/>
      <c r="O300" s="48">
        <f>IF(t&lt;Tnet,'2023'!Resal+('2023'!Salim-'2023'!Resal)*(1-EXP(('2023'!Tnet-t)/('2023'!Tau_j))),Resal+(Salim-Resal)*(1-EXP((Tnet-t)/(Tau_j))))*Salcycl</f>
        <v>2.2567855106401517E-2</v>
      </c>
      <c r="P300" s="165">
        <f>(INDEX(Models!$BJ300:$BT300,,T300)*(1-R300)+INDEX(Models!$BJ300:$BT300,,T300+1)*R300-ERP_i)*Q300*Ramure*Pc/MaxiM</f>
        <v>2.2528206823163059E-4</v>
      </c>
      <c r="Q300" s="301">
        <f t="shared" si="105"/>
        <v>0.5</v>
      </c>
      <c r="R300" s="173">
        <f t="shared" si="106"/>
        <v>0.48676911359833497</v>
      </c>
      <c r="S300" s="801">
        <f t="shared" si="107"/>
        <v>1</v>
      </c>
      <c r="T300" s="172">
        <f t="shared" si="108"/>
        <v>7</v>
      </c>
      <c r="U300" s="247">
        <f t="shared" si="109"/>
        <v>1.486769113598335</v>
      </c>
      <c r="V300" s="378">
        <f t="shared" si="110"/>
        <v>156.96223593403974</v>
      </c>
      <c r="W300" s="397">
        <f t="shared" si="111"/>
        <v>92.993179300664224</v>
      </c>
      <c r="X300" s="153">
        <f t="shared" si="112"/>
        <v>45577</v>
      </c>
      <c r="Y300" s="380">
        <f t="shared" si="113"/>
        <v>89.911886801011192</v>
      </c>
      <c r="Z300" s="380">
        <f t="shared" si="114"/>
        <v>91.342288757759704</v>
      </c>
      <c r="AA300" s="381">
        <f t="shared" si="115"/>
        <v>96.65387190214912</v>
      </c>
      <c r="AB300" s="193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5.4954685620528257E-2</v>
      </c>
      <c r="AD300" s="227">
        <f>(INDEX(Models!$BJ300:$BT300,,AH300)*(1-AF300)+INDEX(Models!$BJ300:$BT300,,AH300+1)*AF300-ERP_i)*AE300*Ramure*Pc/MaxiM</f>
        <v>2.2528206823163059E-4</v>
      </c>
      <c r="AE300" s="301">
        <f t="shared" si="117"/>
        <v>0.5</v>
      </c>
      <c r="AF300" s="173">
        <f t="shared" si="118"/>
        <v>0.48676911359833497</v>
      </c>
      <c r="AG300" s="801">
        <f t="shared" si="124"/>
        <v>1</v>
      </c>
      <c r="AH300" s="172">
        <f t="shared" si="119"/>
        <v>7</v>
      </c>
      <c r="AI300" s="221">
        <f t="shared" si="120"/>
        <v>1.486769113598335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customHeight="1" x14ac:dyDescent="0.2">
      <c r="A301" s="56">
        <f t="shared" si="123"/>
        <v>45578</v>
      </c>
      <c r="B301" s="406">
        <f>'2023'!Wh/'2023'!Env_an*'2024'!Env_an</f>
        <v>82.875939969086588</v>
      </c>
      <c r="C301" s="385"/>
      <c r="D301" s="388">
        <f t="shared" si="102"/>
        <v>84.195560103314719</v>
      </c>
      <c r="E301" s="380">
        <f t="shared" si="125"/>
        <v>86.144270261613485</v>
      </c>
      <c r="F301" s="380">
        <f t="shared" si="103"/>
        <v>86.150909546623396</v>
      </c>
      <c r="G301" s="110">
        <f t="shared" si="126"/>
        <v>0.53232413666047085</v>
      </c>
      <c r="H301" s="409" t="b">
        <f>Wh_hp&gt;='2023'!Maxi_hp</f>
        <v>0</v>
      </c>
      <c r="I301" s="375">
        <f>IF(H301,Wh_hp,'2023'!Maxi_hp)</f>
        <v>86.160128113136821</v>
      </c>
      <c r="J301" s="85">
        <f>IF(H301,An,'2023'!An_max)</f>
        <v>2022</v>
      </c>
      <c r="K301" s="193">
        <f t="shared" si="104"/>
        <v>45578</v>
      </c>
      <c r="L301" s="143">
        <f>IF(t&lt;Tvie,1-EXP((T0-t)*PertePVj)+'2023'!Pspv,1-EXP((T0-t)*PertePVj)+Pspv)</f>
        <v>1.5673274607459708E-2</v>
      </c>
      <c r="M301" s="835"/>
      <c r="N301" s="835"/>
      <c r="O301" s="48">
        <f>IF(t&lt;Tnet,'2023'!Resal+('2023'!Salim-'2023'!Resal)*(1-EXP(('2023'!Tnet-t)/('2023'!Tau_j))),Resal+(Salim-Resal)*(1-EXP((Tnet-t)/(Tau_j))))*Salcycl</f>
        <v>2.2621471542804698E-2</v>
      </c>
      <c r="P301" s="165">
        <f>(INDEX(Models!$BJ301:$BT301,,T301)*(1-R301)+INDEX(Models!$BJ301:$BT301,,T301+1)*R301-ERP_i)*Q301*Ramure*Pc/MaxiM</f>
        <v>2.3211908596788993E-4</v>
      </c>
      <c r="Q301" s="301">
        <f t="shared" si="105"/>
        <v>0.5</v>
      </c>
      <c r="R301" s="173">
        <f t="shared" si="106"/>
        <v>0.48688624463911578</v>
      </c>
      <c r="S301" s="801">
        <f t="shared" si="107"/>
        <v>1</v>
      </c>
      <c r="T301" s="172">
        <f t="shared" si="108"/>
        <v>7</v>
      </c>
      <c r="U301" s="247">
        <f t="shared" si="109"/>
        <v>1.4868862446391158</v>
      </c>
      <c r="V301" s="378">
        <f t="shared" si="110"/>
        <v>155.66284352257452</v>
      </c>
      <c r="W301" s="397">
        <f t="shared" si="111"/>
        <v>82.875939969086588</v>
      </c>
      <c r="X301" s="153">
        <f t="shared" si="112"/>
        <v>45578</v>
      </c>
      <c r="Y301" s="380">
        <f t="shared" si="113"/>
        <v>80.134240517217279</v>
      </c>
      <c r="Z301" s="380">
        <f t="shared" si="114"/>
        <v>81.410205016287136</v>
      </c>
      <c r="AA301" s="381">
        <f t="shared" si="115"/>
        <v>86.144270261613485</v>
      </c>
      <c r="AB301" s="193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5.4955079785914435E-2</v>
      </c>
      <c r="AD301" s="227">
        <f>(INDEX(Models!$BJ301:$BT301,,AH301)*(1-AF301)+INDEX(Models!$BJ301:$BT301,,AH301+1)*AF301-ERP_i)*AE301*Ramure*Pc/MaxiM</f>
        <v>2.3211908596788993E-4</v>
      </c>
      <c r="AE301" s="301">
        <f t="shared" si="117"/>
        <v>0.5</v>
      </c>
      <c r="AF301" s="173">
        <f t="shared" si="118"/>
        <v>0.48688624463911578</v>
      </c>
      <c r="AG301" s="801">
        <f t="shared" si="124"/>
        <v>1</v>
      </c>
      <c r="AH301" s="172">
        <f t="shared" si="119"/>
        <v>7</v>
      </c>
      <c r="AI301" s="221">
        <f t="shared" si="120"/>
        <v>1.4868862446391158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customHeight="1" x14ac:dyDescent="0.2">
      <c r="A302" s="56">
        <f t="shared" si="123"/>
        <v>45579</v>
      </c>
      <c r="B302" s="406">
        <f>'2023'!Wh/'2023'!Env_an*'2024'!Env_an</f>
        <v>151.39133416388501</v>
      </c>
      <c r="C302" s="385"/>
      <c r="D302" s="388">
        <f t="shared" si="102"/>
        <v>153.8040192417948</v>
      </c>
      <c r="E302" s="380">
        <f t="shared" si="125"/>
        <v>157.37238167801797</v>
      </c>
      <c r="F302" s="380">
        <f t="shared" si="103"/>
        <v>157.4088882185124</v>
      </c>
      <c r="G302" s="110">
        <f t="shared" si="126"/>
        <v>0.98074073656166383</v>
      </c>
      <c r="H302" s="409" t="b">
        <f>Wh_hp&gt;='2023'!Maxi_hp</f>
        <v>0</v>
      </c>
      <c r="I302" s="375">
        <f>IF(H302,Wh_hp,'2023'!Maxi_hp)</f>
        <v>157.4095998459747</v>
      </c>
      <c r="J302" s="85">
        <f>IF(H302,An,'2023'!An_max)</f>
        <v>2022</v>
      </c>
      <c r="K302" s="193">
        <f t="shared" si="104"/>
        <v>45579</v>
      </c>
      <c r="L302" s="143">
        <f>IF(t&lt;Tvie,1-EXP((T0-t)*PertePVj)+'2023'!Pspv,1-EXP((T0-t)*PertePVj)+Pspv)</f>
        <v>1.5686749213730478E-2</v>
      </c>
      <c r="M302" s="835"/>
      <c r="N302" s="835"/>
      <c r="O302" s="48">
        <f>IF(t&lt;Tnet,'2023'!Resal+('2023'!Salim-'2023'!Resal)*(1-EXP(('2023'!Tnet-t)/('2023'!Tau_j))),Resal+(Salim-Resal)*(1-EXP((Tnet-t)/(Tau_j))))*Salcycl</f>
        <v>2.2674642133357299E-2</v>
      </c>
      <c r="P302" s="165">
        <f>(INDEX(Models!$BJ302:$BT302,,T302)*(1-R302)+INDEX(Models!$BJ302:$BT302,,T302+1)*R302-ERP_i)*Q302*Ramure*Pc/MaxiM</f>
        <v>2.3848091139315792E-4</v>
      </c>
      <c r="Q302" s="301">
        <f t="shared" si="105"/>
        <v>0.5</v>
      </c>
      <c r="R302" s="173">
        <f t="shared" si="106"/>
        <v>0.48699871147848195</v>
      </c>
      <c r="S302" s="801">
        <f t="shared" si="107"/>
        <v>1</v>
      </c>
      <c r="T302" s="172">
        <f t="shared" si="108"/>
        <v>7</v>
      </c>
      <c r="U302" s="247">
        <f t="shared" si="109"/>
        <v>1.4869987114784819</v>
      </c>
      <c r="V302" s="378">
        <f t="shared" si="110"/>
        <v>154.36326368977944</v>
      </c>
      <c r="W302" s="397">
        <f t="shared" si="111"/>
        <v>151.39133416388501</v>
      </c>
      <c r="X302" s="153">
        <f t="shared" si="112"/>
        <v>45579</v>
      </c>
      <c r="Y302" s="380">
        <f t="shared" si="113"/>
        <v>146.39103664181536</v>
      </c>
      <c r="Z302" s="380">
        <f t="shared" si="114"/>
        <v>148.7240332535178</v>
      </c>
      <c r="AA302" s="381">
        <f t="shared" si="115"/>
        <v>157.37238167801797</v>
      </c>
      <c r="AB302" s="193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5.4954677131306272E-2</v>
      </c>
      <c r="AD302" s="227">
        <f>(INDEX(Models!$BJ302:$BT302,,AH302)*(1-AF302)+INDEX(Models!$BJ302:$BT302,,AH302+1)*AF302-ERP_i)*AE302*Ramure*Pc/MaxiM</f>
        <v>2.3848091139315792E-4</v>
      </c>
      <c r="AE302" s="301">
        <f t="shared" si="117"/>
        <v>0.5</v>
      </c>
      <c r="AF302" s="173">
        <f t="shared" si="118"/>
        <v>0.48699871147848195</v>
      </c>
      <c r="AG302" s="801">
        <f t="shared" si="124"/>
        <v>1</v>
      </c>
      <c r="AH302" s="172">
        <f t="shared" si="119"/>
        <v>7</v>
      </c>
      <c r="AI302" s="221">
        <f t="shared" si="120"/>
        <v>1.4869987114784819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customHeight="1" x14ac:dyDescent="0.2">
      <c r="A303" s="56">
        <f t="shared" si="123"/>
        <v>45580</v>
      </c>
      <c r="B303" s="406">
        <f>'2023'!Wh/'2023'!Env_an*'2024'!Env_an</f>
        <v>135.73143689706731</v>
      </c>
      <c r="C303" s="385"/>
      <c r="D303" s="388">
        <f t="shared" si="102"/>
        <v>137.89644187301968</v>
      </c>
      <c r="E303" s="380">
        <f t="shared" si="125"/>
        <v>141.10335017875079</v>
      </c>
      <c r="F303" s="380">
        <f t="shared" si="103"/>
        <v>141.13226009549703</v>
      </c>
      <c r="G303" s="110">
        <f t="shared" si="126"/>
        <v>0.88674829287438961</v>
      </c>
      <c r="H303" s="409" t="b">
        <f>Wh_hp&gt;='2023'!Maxi_hp</f>
        <v>0</v>
      </c>
      <c r="I303" s="375">
        <f>IF(H303,Wh_hp,'2023'!Maxi_hp)</f>
        <v>141.13609952426535</v>
      </c>
      <c r="J303" s="85">
        <f>IF(H303,An,'2023'!An_max)</f>
        <v>2022</v>
      </c>
      <c r="K303" s="193">
        <f t="shared" si="104"/>
        <v>45580</v>
      </c>
      <c r="L303" s="143">
        <f>IF(t&lt;Tvie,1-EXP((T0-t)*PertePVj)+'2023'!Pspv,1-EXP((T0-t)*PertePVj)+Pspv)</f>
        <v>1.570022363554513E-2</v>
      </c>
      <c r="M303" s="835"/>
      <c r="N303" s="835"/>
      <c r="O303" s="48">
        <f>IF(t&lt;Tnet,'2023'!Resal+('2023'!Salim-'2023'!Resal)*(1-EXP(('2023'!Tnet-t)/('2023'!Tau_j))),Resal+(Salim-Resal)*(1-EXP((Tnet-t)/(Tau_j))))*Salcycl</f>
        <v>2.2727371828298728E-2</v>
      </c>
      <c r="P303" s="165">
        <f>(INDEX(Models!$BJ303:$BT303,,T303)*(1-R303)+INDEX(Models!$BJ303:$BT303,,T303+1)*R303-ERP_i)*Q303*Ramure*Pc/MaxiM</f>
        <v>2.4436601318755796E-4</v>
      </c>
      <c r="Q303" s="301">
        <f t="shared" si="105"/>
        <v>0.5</v>
      </c>
      <c r="R303" s="173">
        <f t="shared" si="106"/>
        <v>0.48710669785311489</v>
      </c>
      <c r="S303" s="801">
        <f t="shared" si="107"/>
        <v>1</v>
      </c>
      <c r="T303" s="172">
        <f t="shared" si="108"/>
        <v>7</v>
      </c>
      <c r="U303" s="247">
        <f t="shared" si="109"/>
        <v>1.4871066978531149</v>
      </c>
      <c r="V303" s="378">
        <f t="shared" si="110"/>
        <v>153.06042575543444</v>
      </c>
      <c r="W303" s="397">
        <f t="shared" si="111"/>
        <v>135.73143689706731</v>
      </c>
      <c r="X303" s="153">
        <f t="shared" si="112"/>
        <v>45580</v>
      </c>
      <c r="Y303" s="380">
        <f t="shared" si="113"/>
        <v>131.25561531818457</v>
      </c>
      <c r="Z303" s="380">
        <f t="shared" si="114"/>
        <v>133.34922801972149</v>
      </c>
      <c r="AA303" s="381">
        <f t="shared" si="115"/>
        <v>141.10335017875079</v>
      </c>
      <c r="AB303" s="193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5.4953494365699386E-2</v>
      </c>
      <c r="AD303" s="227">
        <f>(INDEX(Models!$BJ303:$BT303,,AH303)*(1-AF303)+INDEX(Models!$BJ303:$BT303,,AH303+1)*AF303-ERP_i)*AE303*Ramure*Pc/MaxiM</f>
        <v>2.4436601318755796E-4</v>
      </c>
      <c r="AE303" s="301">
        <f t="shared" si="117"/>
        <v>0.5</v>
      </c>
      <c r="AF303" s="173">
        <f t="shared" si="118"/>
        <v>0.48710669785311489</v>
      </c>
      <c r="AG303" s="801">
        <f t="shared" si="124"/>
        <v>1</v>
      </c>
      <c r="AH303" s="172">
        <f t="shared" si="119"/>
        <v>7</v>
      </c>
      <c r="AI303" s="221">
        <f t="shared" si="120"/>
        <v>1.4871066978531149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customHeight="1" x14ac:dyDescent="0.2">
      <c r="A304" s="56">
        <f t="shared" si="123"/>
        <v>45581</v>
      </c>
      <c r="B304" s="406">
        <f>'2023'!Wh/'2023'!Env_an*'2024'!Env_an</f>
        <v>86.982212879091918</v>
      </c>
      <c r="C304" s="385"/>
      <c r="D304" s="388">
        <f t="shared" si="102"/>
        <v>88.370845648383849</v>
      </c>
      <c r="E304" s="380">
        <f t="shared" si="125"/>
        <v>90.430829823974548</v>
      </c>
      <c r="F304" s="380">
        <f t="shared" si="103"/>
        <v>90.439751016227191</v>
      </c>
      <c r="G304" s="110">
        <f t="shared" si="126"/>
        <v>0.57310143730799057</v>
      </c>
      <c r="H304" s="409" t="b">
        <f>Wh_hp&gt;='2023'!Maxi_hp</f>
        <v>0</v>
      </c>
      <c r="I304" s="375">
        <f>IF(H304,Wh_hp,'2023'!Maxi_hp)</f>
        <v>90.44932204480186</v>
      </c>
      <c r="J304" s="85">
        <f>IF(H304,An,'2023'!An_max)</f>
        <v>2022</v>
      </c>
      <c r="K304" s="193">
        <f t="shared" si="104"/>
        <v>45581</v>
      </c>
      <c r="L304" s="143">
        <f>IF(t&lt;Tvie,1-EXP((T0-t)*PertePVj)+'2023'!Pspv,1-EXP((T0-t)*PertePVj)+Pspv)</f>
        <v>1.5713697872906218E-2</v>
      </c>
      <c r="M304" s="835"/>
      <c r="N304" s="835"/>
      <c r="O304" s="48">
        <f>IF(t&lt;Tnet,'2023'!Resal+('2023'!Salim-'2023'!Resal)*(1-EXP(('2023'!Tnet-t)/('2023'!Tau_j))),Resal+(Salim-Resal)*(1-EXP((Tnet-t)/(Tau_j))))*Salcycl</f>
        <v>2.2779666841502056E-2</v>
      </c>
      <c r="P304" s="165">
        <f>(INDEX(Models!$BJ304:$BT304,,T304)*(1-R304)+INDEX(Models!$BJ304:$BT304,,T304+1)*R304-ERP_i)*Q304*Ramure*Pc/MaxiM</f>
        <v>2.5275347233415577E-4</v>
      </c>
      <c r="Q304" s="301">
        <f t="shared" si="105"/>
        <v>0.5</v>
      </c>
      <c r="R304" s="173">
        <f t="shared" si="106"/>
        <v>0.48721038041835962</v>
      </c>
      <c r="S304" s="801">
        <f t="shared" si="107"/>
        <v>1</v>
      </c>
      <c r="T304" s="172">
        <f t="shared" si="108"/>
        <v>7</v>
      </c>
      <c r="U304" s="247">
        <f t="shared" si="109"/>
        <v>1.4872103804183596</v>
      </c>
      <c r="V304" s="378">
        <f t="shared" si="110"/>
        <v>151.75115777288937</v>
      </c>
      <c r="W304" s="397">
        <f t="shared" si="111"/>
        <v>86.982212879091918</v>
      </c>
      <c r="X304" s="153">
        <f t="shared" si="112"/>
        <v>45581</v>
      </c>
      <c r="Y304" s="380">
        <f t="shared" si="113"/>
        <v>84.118599026943215</v>
      </c>
      <c r="Z304" s="380">
        <f t="shared" si="114"/>
        <v>85.46151546065262</v>
      </c>
      <c r="AA304" s="381">
        <f t="shared" si="115"/>
        <v>90.430829823974548</v>
      </c>
      <c r="AB304" s="193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5.4951551069417348E-2</v>
      </c>
      <c r="AD304" s="227">
        <f>(INDEX(Models!$BJ304:$BT304,,AH304)*(1-AF304)+INDEX(Models!$BJ304:$BT304,,AH304+1)*AF304-ERP_i)*AE304*Ramure*Pc/MaxiM</f>
        <v>2.5275347233415577E-4</v>
      </c>
      <c r="AE304" s="301">
        <f t="shared" si="117"/>
        <v>0.5</v>
      </c>
      <c r="AF304" s="173">
        <f t="shared" si="118"/>
        <v>0.48721038041835962</v>
      </c>
      <c r="AG304" s="801">
        <f t="shared" si="124"/>
        <v>1</v>
      </c>
      <c r="AH304" s="172">
        <f t="shared" si="119"/>
        <v>7</v>
      </c>
      <c r="AI304" s="221">
        <f t="shared" si="120"/>
        <v>1.4872103804183596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customHeight="1" x14ac:dyDescent="0.2">
      <c r="A305" s="56">
        <f t="shared" si="123"/>
        <v>45582</v>
      </c>
      <c r="B305" s="406">
        <f>'2023'!Wh/'2023'!Env_an*'2024'!Env_an</f>
        <v>138.86368538853827</v>
      </c>
      <c r="C305" s="385"/>
      <c r="D305" s="388">
        <f t="shared" si="102"/>
        <v>141.08251434740637</v>
      </c>
      <c r="E305" s="380">
        <f t="shared" si="125"/>
        <v>144.37890635361268</v>
      </c>
      <c r="F305" s="380">
        <f t="shared" si="103"/>
        <v>144.41279340705634</v>
      </c>
      <c r="G305" s="110">
        <f t="shared" si="126"/>
        <v>0.92304487966493765</v>
      </c>
      <c r="H305" s="409" t="b">
        <f>Wh_hp&gt;='2023'!Maxi_hp</f>
        <v>0</v>
      </c>
      <c r="I305" s="375">
        <f>IF(H305,Wh_hp,'2023'!Maxi_hp)</f>
        <v>144.41565792808763</v>
      </c>
      <c r="J305" s="85">
        <f>IF(H305,An,'2023'!An_max)</f>
        <v>2022</v>
      </c>
      <c r="K305" s="193">
        <f t="shared" si="104"/>
        <v>45582</v>
      </c>
      <c r="L305" s="143">
        <f>IF(t&lt;Tvie,1-EXP((T0-t)*PertePVj)+'2023'!Pspv,1-EXP((T0-t)*PertePVj)+Pspv)</f>
        <v>1.5727171925816297E-2</v>
      </c>
      <c r="M305" s="835"/>
      <c r="N305" s="835"/>
      <c r="O305" s="48">
        <f>IF(t&lt;Tnet,'2023'!Resal+('2023'!Salim-'2023'!Resal)*(1-EXP(('2023'!Tnet-t)/('2023'!Tau_j))),Resal+(Salim-Resal)*(1-EXP((Tnet-t)/(Tau_j))))*Salcycl</f>
        <v>2.2831534671226658E-2</v>
      </c>
      <c r="P305" s="165">
        <f>(INDEX(Models!$BJ305:$BT305,,T305)*(1-R305)+INDEX(Models!$BJ305:$BT305,,T305+1)*R305-ERP_i)*Q305*Ramure*Pc/MaxiM</f>
        <v>2.6362597705355603E-4</v>
      </c>
      <c r="Q305" s="301">
        <f t="shared" si="105"/>
        <v>0.5</v>
      </c>
      <c r="R305" s="173">
        <f t="shared" si="106"/>
        <v>0.48730992900880032</v>
      </c>
      <c r="S305" s="801">
        <f t="shared" si="107"/>
        <v>1</v>
      </c>
      <c r="T305" s="172">
        <f t="shared" si="108"/>
        <v>7</v>
      </c>
      <c r="U305" s="247">
        <f t="shared" si="109"/>
        <v>1.4873099290088003</v>
      </c>
      <c r="V305" s="378">
        <f t="shared" si="110"/>
        <v>150.4365219516275</v>
      </c>
      <c r="W305" s="397">
        <f t="shared" si="111"/>
        <v>138.86368538853827</v>
      </c>
      <c r="X305" s="153">
        <f t="shared" si="112"/>
        <v>45582</v>
      </c>
      <c r="Y305" s="380">
        <f t="shared" si="113"/>
        <v>134.29954761002469</v>
      </c>
      <c r="Z305" s="380">
        <f t="shared" si="114"/>
        <v>136.44544863926961</v>
      </c>
      <c r="AA305" s="381">
        <f t="shared" si="115"/>
        <v>144.37890635361268</v>
      </c>
      <c r="AB305" s="193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5.4948869711704595E-2</v>
      </c>
      <c r="AD305" s="227">
        <f>(INDEX(Models!$BJ305:$BT305,,AH305)*(1-AF305)+INDEX(Models!$BJ305:$BT305,,AH305+1)*AF305-ERP_i)*AE305*Ramure*Pc/MaxiM</f>
        <v>2.6362597705355603E-4</v>
      </c>
      <c r="AE305" s="301">
        <f t="shared" si="117"/>
        <v>0.5</v>
      </c>
      <c r="AF305" s="173">
        <f t="shared" si="118"/>
        <v>0.48730992900880032</v>
      </c>
      <c r="AG305" s="801">
        <f t="shared" si="124"/>
        <v>1</v>
      </c>
      <c r="AH305" s="172">
        <f t="shared" si="119"/>
        <v>7</v>
      </c>
      <c r="AI305" s="221">
        <f t="shared" si="120"/>
        <v>1.4873099290088003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customHeight="1" x14ac:dyDescent="0.2">
      <c r="A306" s="56">
        <f t="shared" si="123"/>
        <v>45583</v>
      </c>
      <c r="B306" s="406">
        <f>'2023'!Wh/'2023'!Env_an*'2024'!Env_an</f>
        <v>61.292690262859445</v>
      </c>
      <c r="C306" s="385"/>
      <c r="D306" s="388">
        <f t="shared" si="102"/>
        <v>62.272906019086243</v>
      </c>
      <c r="E306" s="380">
        <f t="shared" si="125"/>
        <v>63.731267603187945</v>
      </c>
      <c r="F306" s="380">
        <f t="shared" si="103"/>
        <v>63.734068043243376</v>
      </c>
      <c r="G306" s="110">
        <f t="shared" si="126"/>
        <v>0.41094019096780604</v>
      </c>
      <c r="H306" s="409" t="b">
        <f>Wh_hp&gt;='2023'!Maxi_hp</f>
        <v>0</v>
      </c>
      <c r="I306" s="375">
        <f>IF(H306,Wh_hp,'2023'!Maxi_hp)</f>
        <v>63.744201053360378</v>
      </c>
      <c r="J306" s="85">
        <f>IF(H306,An,'2023'!An_max)</f>
        <v>2022</v>
      </c>
      <c r="K306" s="193">
        <f t="shared" si="104"/>
        <v>45583</v>
      </c>
      <c r="L306" s="143">
        <f>IF(t&lt;Tvie,1-EXP((T0-t)*PertePVj)+'2023'!Pspv,1-EXP((T0-t)*PertePVj)+Pspv)</f>
        <v>1.574064579427803E-2</v>
      </c>
      <c r="M306" s="835"/>
      <c r="N306" s="835"/>
      <c r="O306" s="48">
        <f>IF(t&lt;Tnet,'2023'!Resal+('2023'!Salim-'2023'!Resal)*(1-EXP(('2023'!Tnet-t)/('2023'!Tau_j))),Resal+(Salim-Resal)*(1-EXP((Tnet-t)/(Tau_j))))*Salcycl</f>
        <v>2.2882984113574284E-2</v>
      </c>
      <c r="P306" s="165">
        <f>(INDEX(Models!$BJ306:$BT306,,T306)*(1-R306)+INDEX(Models!$BJ306:$BT306,,T306+1)*R306-ERP_i)*Q306*Ramure*Pc/MaxiM</f>
        <v>2.7700582203427266E-4</v>
      </c>
      <c r="Q306" s="301">
        <f t="shared" si="105"/>
        <v>0.5</v>
      </c>
      <c r="R306" s="173">
        <f t="shared" si="106"/>
        <v>0.48740550689023032</v>
      </c>
      <c r="S306" s="801">
        <f t="shared" si="107"/>
        <v>1</v>
      </c>
      <c r="T306" s="172">
        <f t="shared" si="108"/>
        <v>7</v>
      </c>
      <c r="U306" s="247">
        <f t="shared" si="109"/>
        <v>1.4874055068902303</v>
      </c>
      <c r="V306" s="378">
        <f t="shared" si="110"/>
        <v>149.11757408305505</v>
      </c>
      <c r="W306" s="397">
        <f t="shared" si="111"/>
        <v>61.292690262859445</v>
      </c>
      <c r="X306" s="153">
        <f t="shared" si="112"/>
        <v>45583</v>
      </c>
      <c r="Y306" s="380">
        <f t="shared" si="113"/>
        <v>59.281471206294363</v>
      </c>
      <c r="Z306" s="380">
        <f t="shared" si="114"/>
        <v>60.229522790904383</v>
      </c>
      <c r="AA306" s="381">
        <f t="shared" si="115"/>
        <v>63.731267603187945</v>
      </c>
      <c r="AB306" s="193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5.4945475650768384E-2</v>
      </c>
      <c r="AD306" s="227">
        <f>(INDEX(Models!$BJ306:$BT306,,AH306)*(1-AF306)+INDEX(Models!$BJ306:$BT306,,AH306+1)*AF306-ERP_i)*AE306*Ramure*Pc/MaxiM</f>
        <v>2.7700582203427266E-4</v>
      </c>
      <c r="AE306" s="301">
        <f t="shared" si="117"/>
        <v>0.5</v>
      </c>
      <c r="AF306" s="173">
        <f t="shared" si="118"/>
        <v>0.48740550689023032</v>
      </c>
      <c r="AG306" s="801">
        <f t="shared" si="124"/>
        <v>1</v>
      </c>
      <c r="AH306" s="172">
        <f t="shared" si="119"/>
        <v>7</v>
      </c>
      <c r="AI306" s="221">
        <f t="shared" si="120"/>
        <v>1.4874055068902303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customHeight="1" x14ac:dyDescent="0.2">
      <c r="A307" s="56">
        <f t="shared" si="123"/>
        <v>45584</v>
      </c>
      <c r="B307" s="406">
        <f>'2023'!Wh/'2023'!Env_an*'2024'!Env_an</f>
        <v>39.005277156567203</v>
      </c>
      <c r="C307" s="385"/>
      <c r="D307" s="388">
        <f t="shared" si="102"/>
        <v>39.629606715643241</v>
      </c>
      <c r="E307" s="380">
        <f t="shared" si="125"/>
        <v>40.559806339102458</v>
      </c>
      <c r="F307" s="380">
        <f t="shared" si="103"/>
        <v>40.559806339102458</v>
      </c>
      <c r="G307" s="110">
        <f t="shared" si="126"/>
        <v>0.26383676300149972</v>
      </c>
      <c r="H307" s="409" t="b">
        <f>Wh_hp&gt;='2023'!Maxi_hp</f>
        <v>0</v>
      </c>
      <c r="I307" s="375">
        <f>IF(H307,Wh_hp,'2023'!Maxi_hp)</f>
        <v>40.567878446480144</v>
      </c>
      <c r="J307" s="85">
        <f>IF(H307,An,'2023'!An_max)</f>
        <v>2022</v>
      </c>
      <c r="K307" s="193">
        <f t="shared" si="104"/>
        <v>45584</v>
      </c>
      <c r="L307" s="143">
        <f>IF(t&lt;Tvie,1-EXP((T0-t)*PertePVj)+'2023'!Pspv,1-EXP((T0-t)*PertePVj)+Pspv)</f>
        <v>1.5754119478293749E-2</v>
      </c>
      <c r="M307" s="835"/>
      <c r="N307" s="835"/>
      <c r="O307" s="48">
        <f>IF(t&lt;Tnet,'2023'!Resal+('2023'!Salim-'2023'!Resal)*(1-EXP(('2023'!Tnet-t)/('2023'!Tau_j))),Resal+(Salim-Resal)*(1-EXP((Tnet-t)/(Tau_j))))*Salcycl</f>
        <v>2.2934025268321778E-2</v>
      </c>
      <c r="P307" s="165">
        <f>(INDEX(Models!$BJ307:$BT307,,T307)*(1-R307)+INDEX(Models!$BJ307:$BT307,,T307+1)*R307-ERP_i)*Q307*Ramure*Pc/MaxiM</f>
        <v>2.9291462408771859E-4</v>
      </c>
      <c r="Q307" s="301">
        <f t="shared" si="105"/>
        <v>0.5</v>
      </c>
      <c r="R307" s="173">
        <f t="shared" si="106"/>
        <v>0.48749727100322371</v>
      </c>
      <c r="S307" s="801">
        <f t="shared" si="107"/>
        <v>1</v>
      </c>
      <c r="T307" s="172">
        <f t="shared" si="108"/>
        <v>7</v>
      </c>
      <c r="U307" s="247">
        <f t="shared" si="109"/>
        <v>1.4874972710032237</v>
      </c>
      <c r="V307" s="378">
        <f t="shared" si="110"/>
        <v>147.79536974629195</v>
      </c>
      <c r="W307" s="397">
        <f t="shared" si="111"/>
        <v>39.005277156567203</v>
      </c>
      <c r="X307" s="153">
        <f t="shared" si="112"/>
        <v>45584</v>
      </c>
      <c r="Y307" s="380">
        <f t="shared" si="113"/>
        <v>37.727516552626533</v>
      </c>
      <c r="Z307" s="380">
        <f t="shared" si="114"/>
        <v>38.331393912087094</v>
      </c>
      <c r="AA307" s="381">
        <f t="shared" si="115"/>
        <v>40.559806339102458</v>
      </c>
      <c r="AB307" s="193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5.4941397115770313E-2</v>
      </c>
      <c r="AD307" s="227">
        <f>(INDEX(Models!$BJ307:$BT307,,AH307)*(1-AF307)+INDEX(Models!$BJ307:$BT307,,AH307+1)*AF307-ERP_i)*AE307*Ramure*Pc/MaxiM</f>
        <v>2.9291462408771859E-4</v>
      </c>
      <c r="AE307" s="301">
        <f t="shared" si="117"/>
        <v>0.5</v>
      </c>
      <c r="AF307" s="173">
        <f t="shared" si="118"/>
        <v>0.48749727100322371</v>
      </c>
      <c r="AG307" s="801">
        <f t="shared" si="124"/>
        <v>1</v>
      </c>
      <c r="AH307" s="172">
        <f t="shared" si="119"/>
        <v>7</v>
      </c>
      <c r="AI307" s="221">
        <f t="shared" si="120"/>
        <v>1.4874972710032237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customHeight="1" x14ac:dyDescent="0.2">
      <c r="A308" s="56">
        <f t="shared" si="123"/>
        <v>45585</v>
      </c>
      <c r="B308" s="406">
        <f>'2023'!Wh/'2023'!Env_an*'2024'!Env_an</f>
        <v>63.557027942901414</v>
      </c>
      <c r="C308" s="385"/>
      <c r="D308" s="388">
        <f t="shared" si="102"/>
        <v>64.575223788045932</v>
      </c>
      <c r="E308" s="380">
        <f t="shared" si="125"/>
        <v>66.094381300480748</v>
      </c>
      <c r="F308" s="380">
        <f t="shared" si="103"/>
        <v>66.098318857048909</v>
      </c>
      <c r="G308" s="110">
        <f t="shared" si="126"/>
        <v>0.43381310081039304</v>
      </c>
      <c r="H308" s="409" t="b">
        <f>Wh_hp&gt;='2023'!Maxi_hp</f>
        <v>0</v>
      </c>
      <c r="I308" s="375">
        <f>IF(H308,Wh_hp,'2023'!Maxi_hp)</f>
        <v>66.109579565729476</v>
      </c>
      <c r="J308" s="85">
        <f>IF(H308,An,'2023'!An_max)</f>
        <v>2022</v>
      </c>
      <c r="K308" s="193">
        <f t="shared" si="104"/>
        <v>45585</v>
      </c>
      <c r="L308" s="143">
        <f>IF(t&lt;Tvie,1-EXP((T0-t)*PertePVj)+'2023'!Pspv,1-EXP((T0-t)*PertePVj)+Pspv)</f>
        <v>1.5767592977866007E-2</v>
      </c>
      <c r="M308" s="835"/>
      <c r="N308" s="835"/>
      <c r="O308" s="48">
        <f>IF(t&lt;Tnet,'2023'!Resal+('2023'!Salim-'2023'!Resal)*(1-EXP(('2023'!Tnet-t)/('2023'!Tau_j))),Resal+(Salim-Resal)*(1-EXP((Tnet-t)/(Tau_j))))*Salcycl</f>
        <v>2.2984669536860649E-2</v>
      </c>
      <c r="P308" s="165">
        <f>(INDEX(Models!$BJ308:$BT308,,T308)*(1-R308)+INDEX(Models!$BJ308:$BT308,,T308+1)*R308-ERP_i)*Q308*Ramure*Pc/MaxiM</f>
        <v>3.1137325478568348E-4</v>
      </c>
      <c r="Q308" s="301">
        <f t="shared" si="105"/>
        <v>0.5</v>
      </c>
      <c r="R308" s="173">
        <f t="shared" si="106"/>
        <v>0.48758537219850906</v>
      </c>
      <c r="S308" s="801">
        <f t="shared" si="107"/>
        <v>1</v>
      </c>
      <c r="T308" s="172">
        <f t="shared" si="108"/>
        <v>7</v>
      </c>
      <c r="U308" s="247">
        <f t="shared" si="109"/>
        <v>1.4875853721985091</v>
      </c>
      <c r="V308" s="378">
        <f t="shared" si="110"/>
        <v>146.47096429528997</v>
      </c>
      <c r="W308" s="397">
        <f t="shared" si="111"/>
        <v>63.557027942901414</v>
      </c>
      <c r="X308" s="153">
        <f t="shared" si="112"/>
        <v>45585</v>
      </c>
      <c r="Y308" s="380">
        <f t="shared" si="113"/>
        <v>61.47847931014833</v>
      </c>
      <c r="Z308" s="380">
        <f t="shared" si="114"/>
        <v>62.463376405330827</v>
      </c>
      <c r="AA308" s="381">
        <f t="shared" si="115"/>
        <v>66.094381300480748</v>
      </c>
      <c r="AB308" s="193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5.4936665170410022E-2</v>
      </c>
      <c r="AD308" s="227">
        <f>(INDEX(Models!$BJ308:$BT308,,AH308)*(1-AF308)+INDEX(Models!$BJ308:$BT308,,AH308+1)*AF308-ERP_i)*AE308*Ramure*Pc/MaxiM</f>
        <v>3.1137325478568348E-4</v>
      </c>
      <c r="AE308" s="301">
        <f t="shared" si="117"/>
        <v>0.5</v>
      </c>
      <c r="AF308" s="173">
        <f t="shared" si="118"/>
        <v>0.48758537219850906</v>
      </c>
      <c r="AG308" s="801">
        <f t="shared" si="124"/>
        <v>1</v>
      </c>
      <c r="AH308" s="172">
        <f t="shared" si="119"/>
        <v>7</v>
      </c>
      <c r="AI308" s="221">
        <f t="shared" si="120"/>
        <v>1.4875853721985091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customHeight="1" x14ac:dyDescent="0.2">
      <c r="A309" s="56">
        <f t="shared" si="123"/>
        <v>45586</v>
      </c>
      <c r="B309" s="406">
        <f>'2023'!Wh/'2023'!Env_an*'2024'!Env_an</f>
        <v>133.20872934693028</v>
      </c>
      <c r="C309" s="385"/>
      <c r="D309" s="388">
        <f t="shared" si="102"/>
        <v>135.3446116355509</v>
      </c>
      <c r="E309" s="380">
        <f t="shared" si="125"/>
        <v>138.53577342514777</v>
      </c>
      <c r="F309" s="380">
        <f t="shared" si="103"/>
        <v>138.57642475964352</v>
      </c>
      <c r="G309" s="110">
        <f t="shared" si="126"/>
        <v>0.91772466728240742</v>
      </c>
      <c r="H309" s="409" t="b">
        <f>Wh_hp&gt;='2023'!Maxi_hp</f>
        <v>0</v>
      </c>
      <c r="I309" s="375">
        <f>IF(H309,Wh_hp,'2023'!Maxi_hp)</f>
        <v>138.58007051254708</v>
      </c>
      <c r="J309" s="85">
        <f>IF(H309,An,'2023'!An_max)</f>
        <v>2022</v>
      </c>
      <c r="K309" s="193">
        <f t="shared" si="104"/>
        <v>45586</v>
      </c>
      <c r="L309" s="143">
        <f>IF(t&lt;Tvie,1-EXP((T0-t)*PertePVj)+'2023'!Pspv,1-EXP((T0-t)*PertePVj)+Pspv)</f>
        <v>1.578106629299747E-2</v>
      </c>
      <c r="M309" s="835"/>
      <c r="N309" s="835"/>
      <c r="O309" s="48">
        <f>IF(t&lt;Tnet,'2023'!Resal+('2023'!Salim-'2023'!Resal)*(1-EXP(('2023'!Tnet-t)/('2023'!Tau_j))),Resal+(Salim-Resal)*(1-EXP((Tnet-t)/(Tau_j))))*Salcycl</f>
        <v>2.3034929612033132E-2</v>
      </c>
      <c r="P309" s="165">
        <f>(INDEX(Models!$BJ309:$BT309,,T309)*(1-R309)+INDEX(Models!$BJ309:$BT309,,T309+1)*R309-ERP_i)*Q309*Ramure*Pc/MaxiM</f>
        <v>3.3240178400210647E-4</v>
      </c>
      <c r="Q309" s="301">
        <f t="shared" si="105"/>
        <v>0.5</v>
      </c>
      <c r="R309" s="173">
        <f t="shared" si="106"/>
        <v>0.48766995546435488</v>
      </c>
      <c r="S309" s="801">
        <f t="shared" si="107"/>
        <v>1</v>
      </c>
      <c r="T309" s="172">
        <f t="shared" si="108"/>
        <v>7</v>
      </c>
      <c r="U309" s="247">
        <f t="shared" si="109"/>
        <v>1.4876699554643549</v>
      </c>
      <c r="V309" s="378">
        <f t="shared" si="110"/>
        <v>145.14541286002</v>
      </c>
      <c r="W309" s="397">
        <f t="shared" si="111"/>
        <v>133.20872934693028</v>
      </c>
      <c r="X309" s="153">
        <f t="shared" si="112"/>
        <v>45586</v>
      </c>
      <c r="Y309" s="380">
        <f t="shared" si="113"/>
        <v>128.85967233527791</v>
      </c>
      <c r="Z309" s="380">
        <f t="shared" si="114"/>
        <v>130.92582140229263</v>
      </c>
      <c r="AA309" s="381">
        <f t="shared" si="115"/>
        <v>138.53577342514777</v>
      </c>
      <c r="AB309" s="193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5.493131365788971E-2</v>
      </c>
      <c r="AD309" s="227">
        <f>(INDEX(Models!$BJ309:$BT309,,AH309)*(1-AF309)+INDEX(Models!$BJ309:$BT309,,AH309+1)*AF309-ERP_i)*AE309*Ramure*Pc/MaxiM</f>
        <v>3.3240178400210647E-4</v>
      </c>
      <c r="AE309" s="301">
        <f t="shared" si="117"/>
        <v>0.5</v>
      </c>
      <c r="AF309" s="173">
        <f t="shared" si="118"/>
        <v>0.48766995546435488</v>
      </c>
      <c r="AG309" s="801">
        <f t="shared" si="124"/>
        <v>1</v>
      </c>
      <c r="AH309" s="172">
        <f t="shared" si="119"/>
        <v>7</v>
      </c>
      <c r="AI309" s="221">
        <f t="shared" si="120"/>
        <v>1.4876699554643549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customHeight="1" x14ac:dyDescent="0.2">
      <c r="A310" s="56">
        <f t="shared" si="123"/>
        <v>45587</v>
      </c>
      <c r="B310" s="406">
        <f>'2023'!Wh/'2023'!Env_an*'2024'!Env_an</f>
        <v>80.90187466853213</v>
      </c>
      <c r="C310" s="385"/>
      <c r="D310" s="388">
        <f t="shared" si="102"/>
        <v>82.200188791026804</v>
      </c>
      <c r="E310" s="380">
        <f t="shared" si="125"/>
        <v>84.142605651358622</v>
      </c>
      <c r="F310" s="380">
        <f t="shared" si="103"/>
        <v>84.153954494062518</v>
      </c>
      <c r="G310" s="110">
        <f t="shared" si="126"/>
        <v>0.56239819952520798</v>
      </c>
      <c r="H310" s="409" t="b">
        <f>Wh_hp&gt;='2023'!Maxi_hp</f>
        <v>0</v>
      </c>
      <c r="I310" s="375">
        <f>IF(H310,Wh_hp,'2023'!Maxi_hp)</f>
        <v>84.166642562822275</v>
      </c>
      <c r="J310" s="85">
        <f>IF(H310,An,'2023'!An_max)</f>
        <v>2022</v>
      </c>
      <c r="K310" s="193">
        <f t="shared" si="104"/>
        <v>45587</v>
      </c>
      <c r="L310" s="143">
        <f>IF(t&lt;Tvie,1-EXP((T0-t)*PertePVj)+'2023'!Pspv,1-EXP((T0-t)*PertePVj)+Pspv)</f>
        <v>1.5794539423690468E-2</v>
      </c>
      <c r="M310" s="835"/>
      <c r="N310" s="835"/>
      <c r="O310" s="48">
        <f>IF(t&lt;Tnet,'2023'!Resal+('2023'!Salim-'2023'!Resal)*(1-EXP(('2023'!Tnet-t)/('2023'!Tau_j))),Resal+(Salim-Resal)*(1-EXP((Tnet-t)/(Tau_j))))*Salcycl</f>
        <v>2.3084819459717444E-2</v>
      </c>
      <c r="P310" s="165">
        <f>(INDEX(Models!$BJ310:$BT310,,T310)*(1-R310)+INDEX(Models!$BJ310:$BT310,,T310+1)*R310-ERP_i)*Q310*Ramure*Pc/MaxiM</f>
        <v>3.5958786611375057E-4</v>
      </c>
      <c r="Q310" s="301">
        <f t="shared" si="105"/>
        <v>0.5</v>
      </c>
      <c r="R310" s="173">
        <f t="shared" si="106"/>
        <v>0.48775116014617659</v>
      </c>
      <c r="S310" s="801">
        <f t="shared" si="107"/>
        <v>1</v>
      </c>
      <c r="T310" s="172">
        <f t="shared" si="108"/>
        <v>7</v>
      </c>
      <c r="U310" s="247">
        <f t="shared" si="109"/>
        <v>1.4877511601461766</v>
      </c>
      <c r="V310" s="378">
        <f t="shared" si="110"/>
        <v>143.81925693491212</v>
      </c>
      <c r="W310" s="397">
        <f t="shared" si="111"/>
        <v>80.90187466853213</v>
      </c>
      <c r="X310" s="153">
        <f t="shared" si="112"/>
        <v>45587</v>
      </c>
      <c r="Y310" s="380">
        <f t="shared" si="113"/>
        <v>78.265042915984338</v>
      </c>
      <c r="Z310" s="380">
        <f t="shared" si="114"/>
        <v>79.521041135207284</v>
      </c>
      <c r="AA310" s="381">
        <f t="shared" si="115"/>
        <v>84.142605651358622</v>
      </c>
      <c r="AB310" s="193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5.4925379127199726E-2</v>
      </c>
      <c r="AD310" s="227">
        <f>(INDEX(Models!$BJ310:$BT310,,AH310)*(1-AF310)+INDEX(Models!$BJ310:$BT310,,AH310+1)*AF310-ERP_i)*AE310*Ramure*Pc/MaxiM</f>
        <v>3.5958786611375057E-4</v>
      </c>
      <c r="AE310" s="301">
        <f t="shared" si="117"/>
        <v>0.5</v>
      </c>
      <c r="AF310" s="173">
        <f t="shared" si="118"/>
        <v>0.48775116014617659</v>
      </c>
      <c r="AG310" s="801">
        <f t="shared" si="124"/>
        <v>1</v>
      </c>
      <c r="AH310" s="172">
        <f t="shared" si="119"/>
        <v>7</v>
      </c>
      <c r="AI310" s="221">
        <f t="shared" si="120"/>
        <v>1.4877511601461766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customHeight="1" x14ac:dyDescent="0.2">
      <c r="A311" s="56">
        <f t="shared" si="123"/>
        <v>45588</v>
      </c>
      <c r="B311" s="406">
        <f>'2023'!Wh/'2023'!Env_an*'2024'!Env_an</f>
        <v>104.06190656975109</v>
      </c>
      <c r="C311" s="385"/>
      <c r="D311" s="388">
        <f t="shared" si="102"/>
        <v>105.73334052468114</v>
      </c>
      <c r="E311" s="380">
        <f t="shared" si="125"/>
        <v>108.23734153129912</v>
      </c>
      <c r="F311" s="380">
        <f t="shared" si="103"/>
        <v>108.26353182770679</v>
      </c>
      <c r="G311" s="110">
        <f t="shared" si="126"/>
        <v>0.73018164226066529</v>
      </c>
      <c r="H311" s="409" t="b">
        <f>Wh_hp&gt;='2023'!Maxi_hp</f>
        <v>0</v>
      </c>
      <c r="I311" s="375">
        <f>IF(H311,Wh_hp,'2023'!Maxi_hp)</f>
        <v>108.27450579494256</v>
      </c>
      <c r="J311" s="85">
        <f>IF(H311,An,'2023'!An_max)</f>
        <v>2022</v>
      </c>
      <c r="K311" s="193">
        <f t="shared" si="104"/>
        <v>45588</v>
      </c>
      <c r="L311" s="143">
        <f>IF(t&lt;Tvie,1-EXP((T0-t)*PertePVj)+'2023'!Pspv,1-EXP((T0-t)*PertePVj)+Pspv)</f>
        <v>1.5808012369947666E-2</v>
      </c>
      <c r="M311" s="835"/>
      <c r="N311" s="835"/>
      <c r="O311" s="48">
        <f>IF(t&lt;Tnet,'2023'!Resal+('2023'!Salim-'2023'!Resal)*(1-EXP(('2023'!Tnet-t)/('2023'!Tau_j))),Resal+(Salim-Resal)*(1-EXP((Tnet-t)/(Tau_j))))*Salcycl</f>
        <v>2.3134354292080474E-2</v>
      </c>
      <c r="P311" s="165">
        <f>(INDEX(Models!$BJ311:$BT311,,T311)*(1-R311)+INDEX(Models!$BJ311:$BT311,,T311+1)*R311-ERP_i)*Q311*Ramure*Pc/MaxiM</f>
        <v>3.9354335468827793E-4</v>
      </c>
      <c r="Q311" s="301">
        <f t="shared" si="105"/>
        <v>0.5</v>
      </c>
      <c r="R311" s="173">
        <f t="shared" si="106"/>
        <v>0.48782912015856938</v>
      </c>
      <c r="S311" s="801">
        <f t="shared" si="107"/>
        <v>1</v>
      </c>
      <c r="T311" s="172">
        <f t="shared" si="108"/>
        <v>7</v>
      </c>
      <c r="U311" s="247">
        <f t="shared" si="109"/>
        <v>1.4878291201585694</v>
      </c>
      <c r="V311" s="378">
        <f t="shared" si="110"/>
        <v>142.49348070254754</v>
      </c>
      <c r="W311" s="397">
        <f t="shared" si="111"/>
        <v>104.06190656975109</v>
      </c>
      <c r="X311" s="153">
        <f t="shared" si="112"/>
        <v>45588</v>
      </c>
      <c r="Y311" s="380">
        <f t="shared" si="113"/>
        <v>100.67601566710437</v>
      </c>
      <c r="Z311" s="380">
        <f t="shared" si="114"/>
        <v>102.29306571529156</v>
      </c>
      <c r="AA311" s="381">
        <f t="shared" si="115"/>
        <v>108.23734153129912</v>
      </c>
      <c r="AB311" s="193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5.4918900740819128E-2</v>
      </c>
      <c r="AD311" s="227">
        <f>(INDEX(Models!$BJ311:$BT311,,AH311)*(1-AF311)+INDEX(Models!$BJ311:$BT311,,AH311+1)*AF311-ERP_i)*AE311*Ramure*Pc/MaxiM</f>
        <v>3.9354335468827793E-4</v>
      </c>
      <c r="AE311" s="301">
        <f t="shared" si="117"/>
        <v>0.5</v>
      </c>
      <c r="AF311" s="173">
        <f t="shared" si="118"/>
        <v>0.48782912015856938</v>
      </c>
      <c r="AG311" s="801">
        <f t="shared" si="124"/>
        <v>1</v>
      </c>
      <c r="AH311" s="172">
        <f t="shared" si="119"/>
        <v>7</v>
      </c>
      <c r="AI311" s="221">
        <f t="shared" si="120"/>
        <v>1.4878291201585694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customHeight="1" x14ac:dyDescent="0.2">
      <c r="A312" s="56">
        <f t="shared" si="123"/>
        <v>45589</v>
      </c>
      <c r="B312" s="406">
        <f>'2023'!Wh/'2023'!Env_an*'2024'!Env_an</f>
        <v>89.989778485778771</v>
      </c>
      <c r="C312" s="385"/>
      <c r="D312" s="388">
        <f t="shared" si="102"/>
        <v>91.436438741834849</v>
      </c>
      <c r="E312" s="380">
        <f t="shared" si="125"/>
        <v>93.60657142053536</v>
      </c>
      <c r="F312" s="380">
        <f t="shared" si="103"/>
        <v>93.62617513075179</v>
      </c>
      <c r="G312" s="110">
        <f t="shared" si="126"/>
        <v>0.63731723332196399</v>
      </c>
      <c r="H312" s="409" t="b">
        <f>Wh_hp&gt;='2023'!Maxi_hp</f>
        <v>0</v>
      </c>
      <c r="I312" s="375">
        <f>IF(H312,Wh_hp,'2023'!Maxi_hp)</f>
        <v>93.640209590302121</v>
      </c>
      <c r="J312" s="85">
        <f>IF(H312,An,'2023'!An_max)</f>
        <v>2022</v>
      </c>
      <c r="K312" s="193">
        <f t="shared" si="104"/>
        <v>45589</v>
      </c>
      <c r="L312" s="143">
        <f>IF(t&lt;Tvie,1-EXP((T0-t)*PertePVj)+'2023'!Pspv,1-EXP((T0-t)*PertePVj)+Pspv)</f>
        <v>1.5821485131771507E-2</v>
      </c>
      <c r="M312" s="835"/>
      <c r="N312" s="835"/>
      <c r="O312" s="48">
        <f>IF(t&lt;Tnet,'2023'!Resal+('2023'!Salim-'2023'!Resal)*(1-EXP(('2023'!Tnet-t)/('2023'!Tau_j))),Resal+(Salim-Resal)*(1-EXP((Tnet-t)/(Tau_j))))*Salcycl</f>
        <v>2.3183550532483586E-2</v>
      </c>
      <c r="P312" s="165">
        <f>(INDEX(Models!$BJ312:$BT312,,T312)*(1-R312)+INDEX(Models!$BJ312:$BT312,,T312+1)*R312-ERP_i)*Q312*Ramure*Pc/MaxiM</f>
        <v>4.3432605797245958E-4</v>
      </c>
      <c r="Q312" s="301">
        <f t="shared" si="105"/>
        <v>0.5</v>
      </c>
      <c r="R312" s="173">
        <f t="shared" si="106"/>
        <v>0.48790396418997761</v>
      </c>
      <c r="S312" s="801">
        <f t="shared" si="107"/>
        <v>1</v>
      </c>
      <c r="T312" s="172">
        <f t="shared" si="108"/>
        <v>7</v>
      </c>
      <c r="U312" s="247">
        <f t="shared" si="109"/>
        <v>1.4879039641899776</v>
      </c>
      <c r="V312" s="378">
        <f t="shared" si="110"/>
        <v>141.16914928387803</v>
      </c>
      <c r="W312" s="397">
        <f t="shared" si="111"/>
        <v>89.989778485778771</v>
      </c>
      <c r="X312" s="153">
        <f t="shared" si="112"/>
        <v>45589</v>
      </c>
      <c r="Y312" s="380">
        <f t="shared" si="113"/>
        <v>87.066784143884959</v>
      </c>
      <c r="Z312" s="380">
        <f t="shared" si="114"/>
        <v>88.466454843857591</v>
      </c>
      <c r="AA312" s="381">
        <f t="shared" si="115"/>
        <v>93.60657142053536</v>
      </c>
      <c r="AB312" s="193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5.4911920164080877E-2</v>
      </c>
      <c r="AD312" s="227">
        <f>(INDEX(Models!$BJ312:$BT312,,AH312)*(1-AF312)+INDEX(Models!$BJ312:$BT312,,AH312+1)*AF312-ERP_i)*AE312*Ramure*Pc/MaxiM</f>
        <v>4.3432605797245958E-4</v>
      </c>
      <c r="AE312" s="301">
        <f t="shared" si="117"/>
        <v>0.5</v>
      </c>
      <c r="AF312" s="173">
        <f t="shared" si="118"/>
        <v>0.48790396418997761</v>
      </c>
      <c r="AG312" s="801">
        <f t="shared" si="124"/>
        <v>1</v>
      </c>
      <c r="AH312" s="172">
        <f t="shared" si="119"/>
        <v>7</v>
      </c>
      <c r="AI312" s="221">
        <f t="shared" si="120"/>
        <v>1.4879039641899776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customHeight="1" x14ac:dyDescent="0.2">
      <c r="A313" s="56">
        <f t="shared" si="123"/>
        <v>45590</v>
      </c>
      <c r="B313" s="406">
        <f>'2023'!Wh/'2023'!Env_an*'2024'!Env_an</f>
        <v>59.428279607539572</v>
      </c>
      <c r="C313" s="385"/>
      <c r="D313" s="388">
        <f t="shared" si="102"/>
        <v>60.384465058023913</v>
      </c>
      <c r="E313" s="380">
        <f t="shared" si="125"/>
        <v>61.820710116995251</v>
      </c>
      <c r="F313" s="380">
        <f t="shared" si="103"/>
        <v>61.826029378616603</v>
      </c>
      <c r="G313" s="110">
        <f t="shared" si="126"/>
        <v>0.42478285104271207</v>
      </c>
      <c r="H313" s="409" t="b">
        <f>Wh_hp&gt;='2023'!Maxi_hp</f>
        <v>0</v>
      </c>
      <c r="I313" s="375">
        <f>IF(H313,Wh_hp,'2023'!Maxi_hp)</f>
        <v>61.842299177452915</v>
      </c>
      <c r="J313" s="85">
        <f>IF(H313,An,'2023'!An_max)</f>
        <v>2022</v>
      </c>
      <c r="K313" s="193">
        <f t="shared" si="104"/>
        <v>45590</v>
      </c>
      <c r="L313" s="143">
        <f>IF(t&lt;Tvie,1-EXP((T0-t)*PertePVj)+'2023'!Pspv,1-EXP((T0-t)*PertePVj)+Pspv)</f>
        <v>1.5834957709164654E-2</v>
      </c>
      <c r="M313" s="835"/>
      <c r="N313" s="835"/>
      <c r="O313" s="48">
        <f>IF(t&lt;Tnet,'2023'!Resal+('2023'!Salim-'2023'!Resal)*(1-EXP(('2023'!Tnet-t)/('2023'!Tau_j))),Resal+(Salim-Resal)*(1-EXP((Tnet-t)/(Tau_j))))*Salcycl</f>
        <v>2.3232425772095722E-2</v>
      </c>
      <c r="P313" s="165">
        <f>(INDEX(Models!$BJ313:$BT313,,T313)*(1-R313)+INDEX(Models!$BJ313:$BT313,,T313+1)*R313-ERP_i)*Q313*Ramure*Pc/MaxiM</f>
        <v>4.8198981268336515E-4</v>
      </c>
      <c r="Q313" s="301">
        <f t="shared" si="105"/>
        <v>0.5</v>
      </c>
      <c r="R313" s="173">
        <f t="shared" si="106"/>
        <v>0.487975815900207</v>
      </c>
      <c r="S313" s="801">
        <f t="shared" si="107"/>
        <v>1</v>
      </c>
      <c r="T313" s="172">
        <f t="shared" si="108"/>
        <v>7</v>
      </c>
      <c r="U313" s="247">
        <f t="shared" si="109"/>
        <v>1.487975815900207</v>
      </c>
      <c r="V313" s="378">
        <f t="shared" si="110"/>
        <v>139.84732806565407</v>
      </c>
      <c r="W313" s="397">
        <f t="shared" si="111"/>
        <v>59.428279607539572</v>
      </c>
      <c r="X313" s="153">
        <f t="shared" si="112"/>
        <v>45590</v>
      </c>
      <c r="Y313" s="380">
        <f t="shared" si="113"/>
        <v>57.501295308061863</v>
      </c>
      <c r="Z313" s="380">
        <f t="shared" si="114"/>
        <v>58.426476085978855</v>
      </c>
      <c r="AA313" s="381">
        <f t="shared" si="115"/>
        <v>61.820710116995251</v>
      </c>
      <c r="AB313" s="193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5.4904481436606367E-2</v>
      </c>
      <c r="AD313" s="227">
        <f>(INDEX(Models!$BJ313:$BT313,,AH313)*(1-AF313)+INDEX(Models!$BJ313:$BT313,,AH313+1)*AF313-ERP_i)*AE313*Ramure*Pc/MaxiM</f>
        <v>4.8198981268336515E-4</v>
      </c>
      <c r="AE313" s="301">
        <f t="shared" si="117"/>
        <v>0.5</v>
      </c>
      <c r="AF313" s="173">
        <f t="shared" si="118"/>
        <v>0.487975815900207</v>
      </c>
      <c r="AG313" s="801">
        <f t="shared" si="124"/>
        <v>1</v>
      </c>
      <c r="AH313" s="172">
        <f t="shared" si="119"/>
        <v>7</v>
      </c>
      <c r="AI313" s="221">
        <f t="shared" si="120"/>
        <v>1.487975815900207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customHeight="1" x14ac:dyDescent="0.2">
      <c r="A314" s="56">
        <f t="shared" si="123"/>
        <v>45591</v>
      </c>
      <c r="B314" s="406">
        <f>'2023'!Wh/'2023'!Env_an*'2024'!Env_an</f>
        <v>53.334905242357308</v>
      </c>
      <c r="C314" s="385"/>
      <c r="D314" s="388">
        <f t="shared" si="102"/>
        <v>54.193791763083901</v>
      </c>
      <c r="E314" s="380">
        <f t="shared" si="125"/>
        <v>55.485550800148424</v>
      </c>
      <c r="F314" s="380">
        <f t="shared" si="103"/>
        <v>55.489166676738478</v>
      </c>
      <c r="G314" s="110">
        <f t="shared" si="126"/>
        <v>0.38482721036362205</v>
      </c>
      <c r="H314" s="409" t="b">
        <f>Wh_hp&gt;='2023'!Maxi_hp</f>
        <v>0</v>
      </c>
      <c r="I314" s="375">
        <f>IF(H314,Wh_hp,'2023'!Maxi_hp)</f>
        <v>55.506514695537248</v>
      </c>
      <c r="J314" s="85">
        <f>IF(H314,An,'2023'!An_max)</f>
        <v>2022</v>
      </c>
      <c r="K314" s="193">
        <f t="shared" si="104"/>
        <v>45591</v>
      </c>
      <c r="L314" s="143">
        <f>IF(t&lt;Tvie,1-EXP((T0-t)*PertePVj)+'2023'!Pspv,1-EXP((T0-t)*PertePVj)+Pspv)</f>
        <v>1.584843010212944E-2</v>
      </c>
      <c r="M314" s="835"/>
      <c r="N314" s="835"/>
      <c r="O314" s="48">
        <f>IF(t&lt;Tnet,'2023'!Resal+('2023'!Salim-'2023'!Resal)*(1-EXP(('2023'!Tnet-t)/('2023'!Tau_j))),Resal+(Salim-Resal)*(1-EXP((Tnet-t)/(Tau_j))))*Salcycl</f>
        <v>2.3280998718337803E-2</v>
      </c>
      <c r="P314" s="165">
        <f>(INDEX(Models!$BJ314:$BT314,,T314)*(1-R314)+INDEX(Models!$BJ314:$BT314,,T314+1)*R314-ERP_i)*Q314*Ramure*Pc/MaxiM</f>
        <v>5.3658674272091225E-4</v>
      </c>
      <c r="Q314" s="301">
        <f t="shared" si="105"/>
        <v>0.5</v>
      </c>
      <c r="R314" s="173">
        <f t="shared" si="106"/>
        <v>0.48804479411098445</v>
      </c>
      <c r="S314" s="801">
        <f t="shared" si="107"/>
        <v>1</v>
      </c>
      <c r="T314" s="172">
        <f t="shared" si="108"/>
        <v>7</v>
      </c>
      <c r="U314" s="247">
        <f t="shared" si="109"/>
        <v>1.4880447941109844</v>
      </c>
      <c r="V314" s="378">
        <f t="shared" si="110"/>
        <v>138.529082305342</v>
      </c>
      <c r="W314" s="397">
        <f t="shared" si="111"/>
        <v>53.334905242357308</v>
      </c>
      <c r="X314" s="153">
        <f t="shared" si="112"/>
        <v>45591</v>
      </c>
      <c r="Y314" s="380">
        <f t="shared" si="113"/>
        <v>51.608495967584943</v>
      </c>
      <c r="Z314" s="380">
        <f t="shared" si="114"/>
        <v>52.439581001674945</v>
      </c>
      <c r="AA314" s="381">
        <f t="shared" si="115"/>
        <v>55.485550800148424</v>
      </c>
      <c r="AB314" s="193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5.4896630826368739E-2</v>
      </c>
      <c r="AD314" s="227">
        <f>(INDEX(Models!$BJ314:$BT314,,AH314)*(1-AF314)+INDEX(Models!$BJ314:$BT314,,AH314+1)*AF314-ERP_i)*AE314*Ramure*Pc/MaxiM</f>
        <v>5.3658674272091225E-4</v>
      </c>
      <c r="AE314" s="301">
        <f t="shared" si="117"/>
        <v>0.5</v>
      </c>
      <c r="AF314" s="173">
        <f t="shared" si="118"/>
        <v>0.48804479411098445</v>
      </c>
      <c r="AG314" s="801">
        <f t="shared" si="124"/>
        <v>1</v>
      </c>
      <c r="AH314" s="172">
        <f t="shared" si="119"/>
        <v>7</v>
      </c>
      <c r="AI314" s="221">
        <f t="shared" si="120"/>
        <v>1.4880447941109844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customHeight="1" x14ac:dyDescent="0.2">
      <c r="A315" s="56">
        <f t="shared" si="123"/>
        <v>45592</v>
      </c>
      <c r="B315" s="406">
        <f>'2023'!Wh/'2023'!Env_an*'2024'!Env_an</f>
        <v>70.37961212395814</v>
      </c>
      <c r="C315" s="385"/>
      <c r="D315" s="388">
        <f t="shared" si="102"/>
        <v>71.513959564418045</v>
      </c>
      <c r="E315" s="380">
        <f t="shared" si="125"/>
        <v>73.222180995994648</v>
      </c>
      <c r="F315" s="380">
        <f t="shared" si="103"/>
        <v>73.235505424691496</v>
      </c>
      <c r="G315" s="110">
        <f t="shared" si="126"/>
        <v>0.51269954634610315</v>
      </c>
      <c r="H315" s="409" t="b">
        <f>Wh_hp&gt;='2023'!Maxi_hp</f>
        <v>0</v>
      </c>
      <c r="I315" s="375">
        <f>IF(H315,Wh_hp,'2023'!Maxi_hp)</f>
        <v>73.255686968497727</v>
      </c>
      <c r="J315" s="85">
        <f>IF(H315,An,'2023'!An_max)</f>
        <v>2022</v>
      </c>
      <c r="K315" s="193">
        <f t="shared" si="104"/>
        <v>45592</v>
      </c>
      <c r="L315" s="143">
        <f>IF(t&lt;Tvie,1-EXP((T0-t)*PertePVj)+'2023'!Pspv,1-EXP((T0-t)*PertePVj)+Pspv)</f>
        <v>1.586190231066853E-2</v>
      </c>
      <c r="M315" s="835"/>
      <c r="N315" s="835"/>
      <c r="O315" s="48">
        <f>IF(t&lt;Tnet,'2023'!Resal+('2023'!Salim-'2023'!Resal)*(1-EXP(('2023'!Tnet-t)/('2023'!Tau_j))),Resal+(Salim-Resal)*(1-EXP((Tnet-t)/(Tau_j))))*Salcycl</f>
        <v>2.3329289135351556E-2</v>
      </c>
      <c r="P315" s="165">
        <f>(INDEX(Models!$BJ315:$BT315,,T315)*(1-R315)+INDEX(Models!$BJ315:$BT315,,T315+1)*R315-ERP_i)*Q315*Ramure*Pc/MaxiM</f>
        <v>5.9816723975242216E-4</v>
      </c>
      <c r="Q315" s="301">
        <f t="shared" si="105"/>
        <v>0.5</v>
      </c>
      <c r="R315" s="173">
        <f t="shared" si="106"/>
        <v>0.48811101298976656</v>
      </c>
      <c r="S315" s="801">
        <f t="shared" si="107"/>
        <v>1</v>
      </c>
      <c r="T315" s="172">
        <f t="shared" si="108"/>
        <v>7</v>
      </c>
      <c r="U315" s="247">
        <f t="shared" si="109"/>
        <v>1.4881110129897666</v>
      </c>
      <c r="V315" s="378">
        <f t="shared" si="110"/>
        <v>137.21547706704987</v>
      </c>
      <c r="W315" s="397">
        <f t="shared" si="111"/>
        <v>70.37961212395814</v>
      </c>
      <c r="X315" s="153">
        <f t="shared" si="112"/>
        <v>45592</v>
      </c>
      <c r="Y315" s="380">
        <f t="shared" si="113"/>
        <v>68.105438106096713</v>
      </c>
      <c r="Z315" s="380">
        <f t="shared" si="114"/>
        <v>69.20313141621304</v>
      </c>
      <c r="AA315" s="381">
        <f t="shared" si="115"/>
        <v>73.222180995994648</v>
      </c>
      <c r="AB315" s="193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5.4888416667095055E-2</v>
      </c>
      <c r="AD315" s="227">
        <f>(INDEX(Models!$BJ315:$BT315,,AH315)*(1-AF315)+INDEX(Models!$BJ315:$BT315,,AH315+1)*AF315-ERP_i)*AE315*Ramure*Pc/MaxiM</f>
        <v>5.9816723975242216E-4</v>
      </c>
      <c r="AE315" s="301">
        <f t="shared" si="117"/>
        <v>0.5</v>
      </c>
      <c r="AF315" s="173">
        <f t="shared" si="118"/>
        <v>0.48811101298976656</v>
      </c>
      <c r="AG315" s="801">
        <f t="shared" si="124"/>
        <v>1</v>
      </c>
      <c r="AH315" s="172">
        <f t="shared" si="119"/>
        <v>7</v>
      </c>
      <c r="AI315" s="221">
        <f t="shared" si="120"/>
        <v>1.4881110129897666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customHeight="1" x14ac:dyDescent="0.2">
      <c r="A316" s="56">
        <f t="shared" si="123"/>
        <v>45593</v>
      </c>
      <c r="B316" s="406">
        <f>'2023'!Wh/'2023'!Env_an*'2024'!Env_an</f>
        <v>102.1689511986017</v>
      </c>
      <c r="C316" s="385"/>
      <c r="D316" s="388">
        <f t="shared" si="102"/>
        <v>103.81708630605698</v>
      </c>
      <c r="E316" s="380">
        <f t="shared" si="125"/>
        <v>106.30214533797357</v>
      </c>
      <c r="F316" s="380">
        <f t="shared" si="103"/>
        <v>106.34790835596966</v>
      </c>
      <c r="G316" s="110">
        <f t="shared" si="126"/>
        <v>0.75157532407045702</v>
      </c>
      <c r="H316" s="409" t="b">
        <f>Wh_hp&gt;='2023'!Maxi_hp</f>
        <v>0</v>
      </c>
      <c r="I316" s="375">
        <f>IF(H316,Wh_hp,'2023'!Maxi_hp)</f>
        <v>106.36453669934818</v>
      </c>
      <c r="J316" s="85">
        <f>IF(H316,An,'2023'!An_max)</f>
        <v>2022</v>
      </c>
      <c r="K316" s="193">
        <f t="shared" si="104"/>
        <v>45593</v>
      </c>
      <c r="L316" s="143">
        <f>IF(t&lt;Tvie,1-EXP((T0-t)*PertePVj)+'2023'!Pspv,1-EXP((T0-t)*PertePVj)+Pspv)</f>
        <v>1.5875374334784365E-2</v>
      </c>
      <c r="M316" s="835"/>
      <c r="N316" s="835"/>
      <c r="O316" s="48">
        <f>IF(t&lt;Tnet,'2023'!Resal+('2023'!Salim-'2023'!Resal)*(1-EXP(('2023'!Tnet-t)/('2023'!Tau_j))),Resal+(Salim-Resal)*(1-EXP((Tnet-t)/(Tau_j))))*Salcycl</f>
        <v>2.3377317776754936E-2</v>
      </c>
      <c r="P316" s="165">
        <f>(INDEX(Models!$BJ316:$BT316,,T316)*(1-R316)+INDEX(Models!$BJ316:$BT316,,T316+1)*R316-ERP_i)*Q316*Ramure*Pc/MaxiM</f>
        <v>6.6677996463231353E-4</v>
      </c>
      <c r="Q316" s="301">
        <f t="shared" si="105"/>
        <v>0.5</v>
      </c>
      <c r="R316" s="173">
        <f t="shared" si="106"/>
        <v>0.48817458222700272</v>
      </c>
      <c r="S316" s="801">
        <f t="shared" si="107"/>
        <v>1</v>
      </c>
      <c r="T316" s="172">
        <f t="shared" si="108"/>
        <v>7</v>
      </c>
      <c r="U316" s="247">
        <f t="shared" si="109"/>
        <v>1.4881745822270027</v>
      </c>
      <c r="V316" s="378">
        <f t="shared" si="110"/>
        <v>135.90757715191103</v>
      </c>
      <c r="W316" s="397">
        <f t="shared" si="111"/>
        <v>102.1689511986017</v>
      </c>
      <c r="X316" s="153">
        <f t="shared" si="112"/>
        <v>45593</v>
      </c>
      <c r="Y316" s="380">
        <f t="shared" si="113"/>
        <v>98.873323584272939</v>
      </c>
      <c r="Z316" s="380">
        <f t="shared" si="114"/>
        <v>100.46829538224374</v>
      </c>
      <c r="AA316" s="381">
        <f t="shared" si="115"/>
        <v>106.30214533797357</v>
      </c>
      <c r="AB316" s="193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5.487988917986443E-2</v>
      </c>
      <c r="AD316" s="227">
        <f>(INDEX(Models!$BJ316:$BT316,,AH316)*(1-AF316)+INDEX(Models!$BJ316:$BT316,,AH316+1)*AF316-ERP_i)*AE316*Ramure*Pc/MaxiM</f>
        <v>6.6677996463231353E-4</v>
      </c>
      <c r="AE316" s="301">
        <f t="shared" si="117"/>
        <v>0.5</v>
      </c>
      <c r="AF316" s="173">
        <f t="shared" si="118"/>
        <v>0.48817458222700272</v>
      </c>
      <c r="AG316" s="801">
        <f t="shared" si="124"/>
        <v>1</v>
      </c>
      <c r="AH316" s="172">
        <f t="shared" si="119"/>
        <v>7</v>
      </c>
      <c r="AI316" s="221">
        <f t="shared" si="120"/>
        <v>1.4881745822270027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customHeight="1" x14ac:dyDescent="0.2">
      <c r="A317" s="56">
        <f t="shared" si="123"/>
        <v>45594</v>
      </c>
      <c r="B317" s="406">
        <f>'2023'!Wh/'2023'!Env_an*'2024'!Env_an</f>
        <v>85.4135951094581</v>
      </c>
      <c r="C317" s="385"/>
      <c r="D317" s="388">
        <f t="shared" si="102"/>
        <v>86.792629854291476</v>
      </c>
      <c r="E317" s="380">
        <f t="shared" si="125"/>
        <v>88.874525051974871</v>
      </c>
      <c r="F317" s="380">
        <f t="shared" si="103"/>
        <v>88.906077466875516</v>
      </c>
      <c r="G317" s="110">
        <f t="shared" si="126"/>
        <v>0.63433091102900574</v>
      </c>
      <c r="H317" s="409" t="b">
        <f>Wh_hp&gt;='2023'!Maxi_hp</f>
        <v>0</v>
      </c>
      <c r="I317" s="375">
        <f>IF(H317,Wh_hp,'2023'!Maxi_hp)</f>
        <v>88.928840015230989</v>
      </c>
      <c r="J317" s="85">
        <f>IF(H317,An,'2023'!An_max)</f>
        <v>2022</v>
      </c>
      <c r="K317" s="193">
        <f t="shared" si="104"/>
        <v>45594</v>
      </c>
      <c r="L317" s="143">
        <f>IF(t&lt;Tvie,1-EXP((T0-t)*PertePVj)+'2023'!Pspv,1-EXP((T0-t)*PertePVj)+Pspv)</f>
        <v>1.5888846174479498E-2</v>
      </c>
      <c r="M317" s="835"/>
      <c r="N317" s="835"/>
      <c r="O317" s="48">
        <f>IF(t&lt;Tnet,'2023'!Resal+('2023'!Salim-'2023'!Resal)*(1-EXP(('2023'!Tnet-t)/('2023'!Tau_j))),Resal+(Salim-Resal)*(1-EXP((Tnet-t)/(Tau_j))))*Salcycl</f>
        <v>2.3425106311014039E-2</v>
      </c>
      <c r="P317" s="165">
        <f>(INDEX(Models!$BJ317:$BT317,,T317)*(1-R317)+INDEX(Models!$BJ317:$BT317,,T317+1)*R317-ERP_i)*Q317*Ramure*Pc/MaxiM</f>
        <v>7.4251144206466965E-4</v>
      </c>
      <c r="Q317" s="301">
        <f t="shared" si="105"/>
        <v>0.5</v>
      </c>
      <c r="R317" s="173">
        <f t="shared" si="106"/>
        <v>0.48823560720704529</v>
      </c>
      <c r="S317" s="801">
        <f t="shared" si="107"/>
        <v>1</v>
      </c>
      <c r="T317" s="172">
        <f t="shared" si="108"/>
        <v>7</v>
      </c>
      <c r="U317" s="247">
        <f t="shared" si="109"/>
        <v>1.4882356072070453</v>
      </c>
      <c r="V317" s="378">
        <f t="shared" si="110"/>
        <v>134.59926711135807</v>
      </c>
      <c r="W317" s="397">
        <f t="shared" si="111"/>
        <v>85.4135951094581</v>
      </c>
      <c r="X317" s="153">
        <f t="shared" si="112"/>
        <v>45594</v>
      </c>
      <c r="Y317" s="380">
        <f t="shared" si="113"/>
        <v>82.663252648239393</v>
      </c>
      <c r="Z317" s="380">
        <f t="shared" si="114"/>
        <v>83.997882075519385</v>
      </c>
      <c r="AA317" s="381">
        <f t="shared" si="115"/>
        <v>88.874525051974871</v>
      </c>
      <c r="AB317" s="193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5.4871100279901004E-2</v>
      </c>
      <c r="AD317" s="227">
        <f>(INDEX(Models!$BJ317:$BT317,,AH317)*(1-AF317)+INDEX(Models!$BJ317:$BT317,,AH317+1)*AF317-ERP_i)*AE317*Ramure*Pc/MaxiM</f>
        <v>7.4251144206466965E-4</v>
      </c>
      <c r="AE317" s="301">
        <f t="shared" si="117"/>
        <v>0.5</v>
      </c>
      <c r="AF317" s="173">
        <f t="shared" si="118"/>
        <v>0.48823560720704529</v>
      </c>
      <c r="AG317" s="801">
        <f t="shared" si="124"/>
        <v>1</v>
      </c>
      <c r="AH317" s="172">
        <f t="shared" si="119"/>
        <v>7</v>
      </c>
      <c r="AI317" s="221">
        <f t="shared" si="120"/>
        <v>1.4882356072070453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customHeight="1" x14ac:dyDescent="0.2">
      <c r="A318" s="56">
        <f t="shared" si="123"/>
        <v>45595</v>
      </c>
      <c r="B318" s="406">
        <f>'2023'!Wh/'2023'!Env_an*'2024'!Env_an</f>
        <v>86.471430911422772</v>
      </c>
      <c r="C318" s="385"/>
      <c r="D318" s="388">
        <f t="shared" si="102"/>
        <v>87.868747664079635</v>
      </c>
      <c r="E318" s="380">
        <f t="shared" si="125"/>
        <v>89.980838852226825</v>
      </c>
      <c r="F318" s="380">
        <f t="shared" si="103"/>
        <v>90.017729225516476</v>
      </c>
      <c r="G318" s="110">
        <f t="shared" si="126"/>
        <v>0.64850049094094431</v>
      </c>
      <c r="H318" s="409" t="b">
        <f>Wh_hp&gt;='2023'!Maxi_hp</f>
        <v>0</v>
      </c>
      <c r="I318" s="375">
        <f>IF(H318,Wh_hp,'2023'!Maxi_hp)</f>
        <v>90.042264193669411</v>
      </c>
      <c r="J318" s="85">
        <f>IF(H318,An,'2023'!An_max)</f>
        <v>2022</v>
      </c>
      <c r="K318" s="193">
        <f t="shared" si="104"/>
        <v>45595</v>
      </c>
      <c r="L318" s="143">
        <f>IF(t&lt;Tvie,1-EXP((T0-t)*PertePVj)+'2023'!Pspv,1-EXP((T0-t)*PertePVj)+Pspv)</f>
        <v>1.5902317829756374E-2</v>
      </c>
      <c r="M318" s="835"/>
      <c r="N318" s="835"/>
      <c r="O318" s="48">
        <f>IF(t&lt;Tnet,'2023'!Resal+('2023'!Salim-'2023'!Resal)*(1-EXP(('2023'!Tnet-t)/('2023'!Tau_j))),Resal+(Salim-Resal)*(1-EXP((Tnet-t)/(Tau_j))))*Salcycl</f>
        <v>2.3472677239826791E-2</v>
      </c>
      <c r="P318" s="165">
        <f>(INDEX(Models!$BJ318:$BT318,,T318)*(1-R318)+INDEX(Models!$BJ318:$BT318,,T318+1)*R318-ERP_i)*Q318*Ramure*Pc/MaxiM</f>
        <v>8.2251905445370626E-4</v>
      </c>
      <c r="Q318" s="301">
        <f t="shared" si="105"/>
        <v>0.5</v>
      </c>
      <c r="R318" s="173">
        <f t="shared" si="106"/>
        <v>0.48829418917290623</v>
      </c>
      <c r="S318" s="801">
        <f t="shared" si="107"/>
        <v>1</v>
      </c>
      <c r="T318" s="172">
        <f t="shared" si="108"/>
        <v>7</v>
      </c>
      <c r="U318" s="247">
        <f t="shared" si="109"/>
        <v>1.4882941891729062</v>
      </c>
      <c r="V318" s="378">
        <f t="shared" si="110"/>
        <v>133.28552583191677</v>
      </c>
      <c r="W318" s="397">
        <f t="shared" si="111"/>
        <v>86.471430911422772</v>
      </c>
      <c r="X318" s="153">
        <f t="shared" si="112"/>
        <v>45595</v>
      </c>
      <c r="Y318" s="380">
        <f t="shared" si="113"/>
        <v>83.691899269373081</v>
      </c>
      <c r="Z318" s="380">
        <f t="shared" si="114"/>
        <v>85.044300769824218</v>
      </c>
      <c r="AA318" s="381">
        <f t="shared" si="115"/>
        <v>89.980838852226825</v>
      </c>
      <c r="AB318" s="193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5.4862103369693591E-2</v>
      </c>
      <c r="AD318" s="227">
        <f>(INDEX(Models!$BJ318:$BT318,,AH318)*(1-AF318)+INDEX(Models!$BJ318:$BT318,,AH318+1)*AF318-ERP_i)*AE318*Ramure*Pc/MaxiM</f>
        <v>8.2251905445370626E-4</v>
      </c>
      <c r="AE318" s="301">
        <f t="shared" si="117"/>
        <v>0.5</v>
      </c>
      <c r="AF318" s="173">
        <f t="shared" si="118"/>
        <v>0.48829418917290623</v>
      </c>
      <c r="AG318" s="801">
        <f t="shared" si="124"/>
        <v>1</v>
      </c>
      <c r="AH318" s="172">
        <f t="shared" si="119"/>
        <v>7</v>
      </c>
      <c r="AI318" s="221">
        <f t="shared" si="120"/>
        <v>1.4882941891729062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customHeight="1" x14ac:dyDescent="0.2">
      <c r="A319" s="56">
        <f t="shared" si="123"/>
        <v>45596</v>
      </c>
      <c r="B319" s="406">
        <f>'2023'!Wh/'2023'!Env_an*'2024'!Env_an</f>
        <v>85.812778080955283</v>
      </c>
      <c r="C319" s="385"/>
      <c r="D319" s="388">
        <f t="shared" si="102"/>
        <v>87.200645176461776</v>
      </c>
      <c r="E319" s="380">
        <f t="shared" si="125"/>
        <v>89.301009730611042</v>
      </c>
      <c r="F319" s="380">
        <f t="shared" si="103"/>
        <v>89.341408765612371</v>
      </c>
      <c r="G319" s="110">
        <f t="shared" si="126"/>
        <v>0.64995638900792618</v>
      </c>
      <c r="H319" s="409" t="b">
        <f>Wh_hp&gt;='2023'!Maxi_hp</f>
        <v>0</v>
      </c>
      <c r="I319" s="375">
        <f>IF(H319,Wh_hp,'2023'!Maxi_hp)</f>
        <v>89.368067113464861</v>
      </c>
      <c r="J319" s="85">
        <f>IF(H319,An,'2023'!An_max)</f>
        <v>2022</v>
      </c>
      <c r="K319" s="193">
        <f t="shared" si="104"/>
        <v>45596</v>
      </c>
      <c r="L319" s="143">
        <f>IF(t&lt;Tvie,1-EXP((T0-t)*PertePVj)+'2023'!Pspv,1-EXP((T0-t)*PertePVj)+Pspv)</f>
        <v>1.5915789300617766E-2</v>
      </c>
      <c r="M319" s="835"/>
      <c r="N319" s="835"/>
      <c r="O319" s="48">
        <f>IF(t&lt;Tnet,'2023'!Resal+('2023'!Salim-'2023'!Resal)*(1-EXP(('2023'!Tnet-t)/('2023'!Tau_j))),Resal+(Salim-Resal)*(1-EXP((Tnet-t)/(Tau_j))))*Salcycl</f>
        <v>2.3520053809977272E-2</v>
      </c>
      <c r="P319" s="165">
        <f>(INDEX(Models!$BJ319:$BT319,,T319)*(1-R319)+INDEX(Models!$BJ319:$BT319,,T319+1)*R319-ERP_i)*Q319*Ramure*Pc/MaxiM</f>
        <v>9.0372838212416642E-4</v>
      </c>
      <c r="Q319" s="301">
        <f t="shared" si="105"/>
        <v>0.5</v>
      </c>
      <c r="R319" s="173">
        <f t="shared" si="106"/>
        <v>0.48835042538504791</v>
      </c>
      <c r="S319" s="801">
        <f t="shared" si="107"/>
        <v>1</v>
      </c>
      <c r="T319" s="172">
        <f t="shared" si="108"/>
        <v>7</v>
      </c>
      <c r="U319" s="247">
        <f t="shared" si="109"/>
        <v>1.4883504253850479</v>
      </c>
      <c r="V319" s="378">
        <f t="shared" si="110"/>
        <v>131.96887359339243</v>
      </c>
      <c r="W319" s="397">
        <f t="shared" si="111"/>
        <v>85.812778080955283</v>
      </c>
      <c r="X319" s="153">
        <f t="shared" si="112"/>
        <v>45596</v>
      </c>
      <c r="Y319" s="380">
        <f t="shared" si="113"/>
        <v>83.059251860996426</v>
      </c>
      <c r="Z319" s="380">
        <f t="shared" si="114"/>
        <v>84.402585630315883</v>
      </c>
      <c r="AA319" s="381">
        <f t="shared" si="115"/>
        <v>89.301009730611042</v>
      </c>
      <c r="AB319" s="193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5.4852953119700981E-2</v>
      </c>
      <c r="AD319" s="227">
        <f>(INDEX(Models!$BJ319:$BT319,,AH319)*(1-AF319)+INDEX(Models!$BJ319:$BT319,,AH319+1)*AF319-ERP_i)*AE319*Ramure*Pc/MaxiM</f>
        <v>9.0372838212416642E-4</v>
      </c>
      <c r="AE319" s="301">
        <f t="shared" si="117"/>
        <v>0.5</v>
      </c>
      <c r="AF319" s="173">
        <f t="shared" si="118"/>
        <v>0.48835042538504791</v>
      </c>
      <c r="AG319" s="801">
        <f t="shared" si="124"/>
        <v>1</v>
      </c>
      <c r="AH319" s="172">
        <f t="shared" si="119"/>
        <v>7</v>
      </c>
      <c r="AI319" s="221">
        <f t="shared" si="120"/>
        <v>1.4883504253850479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customHeight="1" x14ac:dyDescent="0.2">
      <c r="A320" s="56">
        <f t="shared" si="123"/>
        <v>45597</v>
      </c>
      <c r="B320" s="406">
        <f>'2023'!Wh/'2023'!Env_an*'2024'!Env_an</f>
        <v>113.97446864181721</v>
      </c>
      <c r="C320" s="385"/>
      <c r="D320" s="388">
        <f t="shared" si="102"/>
        <v>115.81938581957108</v>
      </c>
      <c r="E320" s="380">
        <f t="shared" si="125"/>
        <v>118.61481192241109</v>
      </c>
      <c r="F320" s="380">
        <f t="shared" si="103"/>
        <v>118.71053181989481</v>
      </c>
      <c r="G320" s="110">
        <f t="shared" si="126"/>
        <v>0.8721984494519428</v>
      </c>
      <c r="H320" s="409" t="b">
        <f>Wh_hp&gt;='2023'!Maxi_hp</f>
        <v>0</v>
      </c>
      <c r="I320" s="375">
        <f>IF(H320,Wh_hp,'2023'!Maxi_hp)</f>
        <v>118.72465698577568</v>
      </c>
      <c r="J320" s="85">
        <f>IF(H320,An,'2023'!An_max)</f>
        <v>2022</v>
      </c>
      <c r="K320" s="193">
        <f t="shared" si="104"/>
        <v>45597</v>
      </c>
      <c r="L320" s="143">
        <f>IF(t&lt;Tvie,1-EXP((T0-t)*PertePVj)+'2023'!Pspv,1-EXP((T0-t)*PertePVj)+Pspv)</f>
        <v>1.5929260587065897E-2</v>
      </c>
      <c r="M320" s="835"/>
      <c r="N320" s="835"/>
      <c r="O320" s="48">
        <f>IF(t&lt;Tnet,'2023'!Resal+('2023'!Salim-'2023'!Resal)*(1-EXP(('2023'!Tnet-t)/('2023'!Tau_j))),Resal+(Salim-Resal)*(1-EXP((Tnet-t)/(Tau_j))))*Salcycl</f>
        <v>2.3567259919179181E-2</v>
      </c>
      <c r="P320" s="165">
        <f>(INDEX(Models!$BJ320:$BT320,,T320)*(1-R320)+INDEX(Models!$BJ320:$BT320,,T320+1)*R320-ERP_i)*Q320*Ramure*Pc/MaxiM</f>
        <v>9.8615502908887048E-4</v>
      </c>
      <c r="Q320" s="301">
        <f t="shared" si="105"/>
        <v>0.5</v>
      </c>
      <c r="R320" s="173">
        <f t="shared" si="106"/>
        <v>0.48840440927440198</v>
      </c>
      <c r="S320" s="801">
        <f t="shared" si="107"/>
        <v>1</v>
      </c>
      <c r="T320" s="172">
        <f t="shared" si="108"/>
        <v>7</v>
      </c>
      <c r="U320" s="247">
        <f t="shared" si="109"/>
        <v>1.488404409274402</v>
      </c>
      <c r="V320" s="378">
        <f t="shared" si="110"/>
        <v>130.65140937231854</v>
      </c>
      <c r="W320" s="397">
        <f t="shared" si="111"/>
        <v>113.97446864181721</v>
      </c>
      <c r="X320" s="153">
        <f t="shared" si="112"/>
        <v>45597</v>
      </c>
      <c r="Y320" s="380">
        <f t="shared" si="113"/>
        <v>110.32371412499887</v>
      </c>
      <c r="Z320" s="380">
        <f t="shared" si="114"/>
        <v>112.10953614047558</v>
      </c>
      <c r="AA320" s="381">
        <f t="shared" si="115"/>
        <v>118.61481192241109</v>
      </c>
      <c r="AB320" s="193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5.4843705238016689E-2</v>
      </c>
      <c r="AD320" s="227">
        <f>(INDEX(Models!$BJ320:$BT320,,AH320)*(1-AF320)+INDEX(Models!$BJ320:$BT320,,AH320+1)*AF320-ERP_i)*AE320*Ramure*Pc/MaxiM</f>
        <v>9.8615502908887048E-4</v>
      </c>
      <c r="AE320" s="301">
        <f t="shared" si="117"/>
        <v>0.5</v>
      </c>
      <c r="AF320" s="173">
        <f t="shared" si="118"/>
        <v>0.48840440927440198</v>
      </c>
      <c r="AG320" s="801">
        <f t="shared" si="124"/>
        <v>1</v>
      </c>
      <c r="AH320" s="172">
        <f t="shared" si="119"/>
        <v>7</v>
      </c>
      <c r="AI320" s="221">
        <f t="shared" si="120"/>
        <v>1.488404409274402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customHeight="1" x14ac:dyDescent="0.2">
      <c r="A321" s="56">
        <f t="shared" si="123"/>
        <v>45598</v>
      </c>
      <c r="B321" s="406">
        <f>'2023'!Wh/'2023'!Env_an*'2024'!Env_an</f>
        <v>43.520311930658949</v>
      </c>
      <c r="C321" s="385"/>
      <c r="D321" s="388">
        <f t="shared" si="102"/>
        <v>44.22538538367813</v>
      </c>
      <c r="E321" s="380">
        <f t="shared" si="125"/>
        <v>45.294995912296407</v>
      </c>
      <c r="F321" s="380">
        <f t="shared" si="103"/>
        <v>45.297522217697605</v>
      </c>
      <c r="G321" s="110">
        <f t="shared" si="126"/>
        <v>0.33615108296499718</v>
      </c>
      <c r="H321" s="409" t="b">
        <f>Wh_hp&gt;='2023'!Maxi_hp</f>
        <v>0</v>
      </c>
      <c r="I321" s="375">
        <f>IF(H321,Wh_hp,'2023'!Maxi_hp)</f>
        <v>45.327958657850239</v>
      </c>
      <c r="J321" s="85">
        <f>IF(H321,An,'2023'!An_max)</f>
        <v>2022</v>
      </c>
      <c r="K321" s="193">
        <f t="shared" si="104"/>
        <v>45598</v>
      </c>
      <c r="L321" s="143">
        <f>IF(t&lt;Tvie,1-EXP((T0-t)*PertePVj)+'2023'!Pspv,1-EXP((T0-t)*PertePVj)+Pspv)</f>
        <v>1.594273168910354E-2</v>
      </c>
      <c r="M321" s="835"/>
      <c r="N321" s="835"/>
      <c r="O321" s="48">
        <f>IF(t&lt;Tnet,'2023'!Resal+('2023'!Salim-'2023'!Resal)*(1-EXP(('2023'!Tnet-t)/('2023'!Tau_j))),Resal+(Salim-Resal)*(1-EXP((Tnet-t)/(Tau_j))))*Salcycl</f>
        <v>2.3614320016483458E-2</v>
      </c>
      <c r="P321" s="165">
        <f>(INDEX(Models!$BJ321:$BT321,,T321)*(1-R321)+INDEX(Models!$BJ321:$BT321,,T321+1)*R321-ERP_i)*Q321*Ramure*Pc/MaxiM</f>
        <v>1.0698132629230882E-3</v>
      </c>
      <c r="Q321" s="301">
        <f t="shared" si="105"/>
        <v>0.5</v>
      </c>
      <c r="R321" s="173">
        <f t="shared" si="106"/>
        <v>0.48845623058979526</v>
      </c>
      <c r="S321" s="801">
        <f t="shared" si="107"/>
        <v>1</v>
      </c>
      <c r="T321" s="172">
        <f t="shared" si="108"/>
        <v>7</v>
      </c>
      <c r="U321" s="247">
        <f t="shared" si="109"/>
        <v>1.4884562305897953</v>
      </c>
      <c r="V321" s="378">
        <f t="shared" si="110"/>
        <v>129.33523125015941</v>
      </c>
      <c r="W321" s="397">
        <f t="shared" si="111"/>
        <v>43.520311930658949</v>
      </c>
      <c r="X321" s="153">
        <f t="shared" si="112"/>
        <v>45598</v>
      </c>
      <c r="Y321" s="380">
        <f t="shared" si="113"/>
        <v>42.128742642423418</v>
      </c>
      <c r="Z321" s="380">
        <f t="shared" si="114"/>
        <v>42.811271253283955</v>
      </c>
      <c r="AA321" s="381">
        <f t="shared" si="115"/>
        <v>45.294995912296407</v>
      </c>
      <c r="AB321" s="193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5.4834416230473394E-2</v>
      </c>
      <c r="AD321" s="227">
        <f>(INDEX(Models!$BJ321:$BT321,,AH321)*(1-AF321)+INDEX(Models!$BJ321:$BT321,,AH321+1)*AF321-ERP_i)*AE321*Ramure*Pc/MaxiM</f>
        <v>1.0698132629230882E-3</v>
      </c>
      <c r="AE321" s="301">
        <f t="shared" si="117"/>
        <v>0.5</v>
      </c>
      <c r="AF321" s="173">
        <f t="shared" si="118"/>
        <v>0.48845623058979526</v>
      </c>
      <c r="AG321" s="801">
        <f t="shared" si="124"/>
        <v>1</v>
      </c>
      <c r="AH321" s="172">
        <f t="shared" si="119"/>
        <v>7</v>
      </c>
      <c r="AI321" s="221">
        <f t="shared" si="120"/>
        <v>1.4884562305897953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customHeight="1" x14ac:dyDescent="0.2">
      <c r="A322" s="56">
        <f t="shared" si="123"/>
        <v>45599</v>
      </c>
      <c r="B322" s="406">
        <f>'2023'!Wh/'2023'!Env_an*'2024'!Env_an</f>
        <v>51.576043282087795</v>
      </c>
      <c r="C322" s="385"/>
      <c r="D322" s="388">
        <f t="shared" si="102"/>
        <v>52.412345282509563</v>
      </c>
      <c r="E322" s="380">
        <f t="shared" si="125"/>
        <v>53.682541807890409</v>
      </c>
      <c r="F322" s="380">
        <f t="shared" si="103"/>
        <v>53.691652699169722</v>
      </c>
      <c r="G322" s="110">
        <f t="shared" si="126"/>
        <v>0.40247031941792843</v>
      </c>
      <c r="H322" s="409" t="b">
        <f>Wh_hp&gt;='2023'!Maxi_hp</f>
        <v>0</v>
      </c>
      <c r="I322" s="375">
        <f>IF(H322,Wh_hp,'2023'!Maxi_hp)</f>
        <v>53.726769074168885</v>
      </c>
      <c r="J322" s="85">
        <f>IF(H322,An,'2023'!An_max)</f>
        <v>2022</v>
      </c>
      <c r="K322" s="193">
        <f t="shared" si="104"/>
        <v>45599</v>
      </c>
      <c r="L322" s="143">
        <f>IF(t&lt;Tvie,1-EXP((T0-t)*PertePVj)+'2023'!Pspv,1-EXP((T0-t)*PertePVj)+Pspv)</f>
        <v>1.5956202606733028E-2</v>
      </c>
      <c r="M322" s="835"/>
      <c r="N322" s="835"/>
      <c r="O322" s="48">
        <f>IF(t&lt;Tnet,'2023'!Resal+('2023'!Salim-'2023'!Resal)*(1-EXP(('2023'!Tnet-t)/('2023'!Tau_j))),Resal+(Salim-Resal)*(1-EXP((Tnet-t)/(Tau_j))))*Salcycl</f>
        <v>2.366125899787682E-2</v>
      </c>
      <c r="P322" s="165">
        <f>(INDEX(Models!$BJ322:$BT322,,T322)*(1-R322)+INDEX(Models!$BJ322:$BT322,,T322+1)*R322-ERP_i)*Q322*Ramure*Pc/MaxiM</f>
        <v>1.154715834998799E-3</v>
      </c>
      <c r="Q322" s="301">
        <f t="shared" si="105"/>
        <v>0.5</v>
      </c>
      <c r="R322" s="173">
        <f t="shared" si="106"/>
        <v>0.48850597553996766</v>
      </c>
      <c r="S322" s="801">
        <f t="shared" si="107"/>
        <v>1</v>
      </c>
      <c r="T322" s="172">
        <f t="shared" si="108"/>
        <v>7</v>
      </c>
      <c r="U322" s="247">
        <f t="shared" si="109"/>
        <v>1.4885059755399677</v>
      </c>
      <c r="V322" s="378">
        <f t="shared" si="110"/>
        <v>128.0224364263907</v>
      </c>
      <c r="W322" s="397">
        <f t="shared" si="111"/>
        <v>51.576043282087795</v>
      </c>
      <c r="X322" s="153">
        <f t="shared" si="112"/>
        <v>45599</v>
      </c>
      <c r="Y322" s="380">
        <f t="shared" si="113"/>
        <v>49.929780801137305</v>
      </c>
      <c r="Z322" s="380">
        <f t="shared" si="114"/>
        <v>50.739388768468785</v>
      </c>
      <c r="AA322" s="381">
        <f t="shared" si="115"/>
        <v>53.682541807890409</v>
      </c>
      <c r="AB322" s="193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5.4825143152760165E-2</v>
      </c>
      <c r="AD322" s="227">
        <f>(INDEX(Models!$BJ322:$BT322,,AH322)*(1-AF322)+INDEX(Models!$BJ322:$BT322,,AH322+1)*AF322-ERP_i)*AE322*Ramure*Pc/MaxiM</f>
        <v>1.154715834998799E-3</v>
      </c>
      <c r="AE322" s="301">
        <f t="shared" si="117"/>
        <v>0.5</v>
      </c>
      <c r="AF322" s="173">
        <f t="shared" si="118"/>
        <v>0.48850597553996766</v>
      </c>
      <c r="AG322" s="801">
        <f t="shared" si="124"/>
        <v>1</v>
      </c>
      <c r="AH322" s="172">
        <f t="shared" si="119"/>
        <v>7</v>
      </c>
      <c r="AI322" s="221">
        <f t="shared" si="120"/>
        <v>1.4885059755399677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customHeight="1" x14ac:dyDescent="0.2">
      <c r="A323" s="56">
        <f t="shared" si="123"/>
        <v>45600</v>
      </c>
      <c r="B323" s="406">
        <f>'2023'!Wh/'2023'!Env_an*'2024'!Env_an</f>
        <v>121.28254114353322</v>
      </c>
      <c r="C323" s="385"/>
      <c r="D323" s="388">
        <f t="shared" si="102"/>
        <v>123.25081642065408</v>
      </c>
      <c r="E323" s="380">
        <f t="shared" si="125"/>
        <v>126.24381774086362</v>
      </c>
      <c r="F323" s="380">
        <f t="shared" si="103"/>
        <v>126.39104749593741</v>
      </c>
      <c r="G323" s="110">
        <f t="shared" si="126"/>
        <v>0.95705478464233784</v>
      </c>
      <c r="H323" s="409" t="b">
        <f>Wh_hp&gt;='2023'!Maxi_hp</f>
        <v>0</v>
      </c>
      <c r="I323" s="375">
        <f>IF(H323,Wh_hp,'2023'!Maxi_hp)</f>
        <v>126.39744220222137</v>
      </c>
      <c r="J323" s="85">
        <f>IF(H323,An,'2023'!An_max)</f>
        <v>2022</v>
      </c>
      <c r="K323" s="193">
        <f t="shared" si="104"/>
        <v>45600</v>
      </c>
      <c r="L323" s="143">
        <f>IF(t&lt;Tvie,1-EXP((T0-t)*PertePVj)+'2023'!Pspv,1-EXP((T0-t)*PertePVj)+Pspv)</f>
        <v>1.5969673339957025E-2</v>
      </c>
      <c r="M323" s="835"/>
      <c r="N323" s="835"/>
      <c r="O323" s="48">
        <f>IF(t&lt;Tnet,'2023'!Resal+('2023'!Salim-'2023'!Resal)*(1-EXP(('2023'!Tnet-t)/('2023'!Tau_j))),Resal+(Salim-Resal)*(1-EXP((Tnet-t)/(Tau_j))))*Salcycl</f>
        <v>2.3708102097745268E-2</v>
      </c>
      <c r="P323" s="165">
        <f>(INDEX(Models!$BJ323:$BT323,,T323)*(1-R323)+INDEX(Models!$BJ323:$BT323,,T323+1)*R323-ERP_i)*Q323*Ramure*Pc/MaxiM</f>
        <v>1.240873761420003E-3</v>
      </c>
      <c r="Q323" s="301">
        <f t="shared" si="105"/>
        <v>0.5</v>
      </c>
      <c r="R323" s="173">
        <f t="shared" si="106"/>
        <v>0.48855372693035704</v>
      </c>
      <c r="S323" s="801">
        <f t="shared" si="107"/>
        <v>1</v>
      </c>
      <c r="T323" s="172">
        <f t="shared" si="108"/>
        <v>7</v>
      </c>
      <c r="U323" s="247">
        <f t="shared" si="109"/>
        <v>1.488553726930357</v>
      </c>
      <c r="V323" s="378">
        <f t="shared" si="110"/>
        <v>126.71512122543911</v>
      </c>
      <c r="W323" s="397">
        <f t="shared" si="111"/>
        <v>121.28254114353322</v>
      </c>
      <c r="X323" s="153">
        <f t="shared" si="112"/>
        <v>45600</v>
      </c>
      <c r="Y323" s="380">
        <f t="shared" si="113"/>
        <v>117.41808416563296</v>
      </c>
      <c r="Z323" s="380">
        <f t="shared" si="114"/>
        <v>119.32364377850915</v>
      </c>
      <c r="AA323" s="381">
        <f t="shared" si="115"/>
        <v>126.24381774086362</v>
      </c>
      <c r="AB323" s="193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5.4815943356206785E-2</v>
      </c>
      <c r="AD323" s="227">
        <f>(INDEX(Models!$BJ323:$BT323,,AH323)*(1-AF323)+INDEX(Models!$BJ323:$BT323,,AH323+1)*AF323-ERP_i)*AE323*Ramure*Pc/MaxiM</f>
        <v>1.240873761420003E-3</v>
      </c>
      <c r="AE323" s="301">
        <f t="shared" si="117"/>
        <v>0.5</v>
      </c>
      <c r="AF323" s="173">
        <f t="shared" si="118"/>
        <v>0.48855372693035704</v>
      </c>
      <c r="AG323" s="801">
        <f t="shared" si="124"/>
        <v>1</v>
      </c>
      <c r="AH323" s="172">
        <f t="shared" si="119"/>
        <v>7</v>
      </c>
      <c r="AI323" s="221">
        <f t="shared" si="120"/>
        <v>1.488553726930357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customHeight="1" x14ac:dyDescent="0.2">
      <c r="A324" s="56">
        <f t="shared" si="123"/>
        <v>45601</v>
      </c>
      <c r="B324" s="406">
        <f>'2023'!Wh/'2023'!Env_an*'2024'!Env_an</f>
        <v>121.70126046188406</v>
      </c>
      <c r="C324" s="385"/>
      <c r="D324" s="388">
        <f t="shared" si="102"/>
        <v>123.6780241172295</v>
      </c>
      <c r="E324" s="380">
        <f t="shared" si="125"/>
        <v>126.68746908105463</v>
      </c>
      <c r="F324" s="380">
        <f t="shared" si="103"/>
        <v>126.84862064578401</v>
      </c>
      <c r="G324" s="110">
        <f t="shared" si="126"/>
        <v>0.97032921601006739</v>
      </c>
      <c r="H324" s="409" t="b">
        <f>Wh_hp&gt;='2023'!Maxi_hp</f>
        <v>0</v>
      </c>
      <c r="I324" s="375">
        <f>IF(H324,Wh_hp,'2023'!Maxi_hp)</f>
        <v>126.85337190072234</v>
      </c>
      <c r="J324" s="85">
        <f>IF(H324,An,'2023'!An_max)</f>
        <v>2022</v>
      </c>
      <c r="K324" s="193">
        <f t="shared" si="104"/>
        <v>45601</v>
      </c>
      <c r="L324" s="143">
        <f>IF(t&lt;Tvie,1-EXP((T0-t)*PertePVj)+'2023'!Pspv,1-EXP((T0-t)*PertePVj)+Pspv)</f>
        <v>1.5983143888777973E-2</v>
      </c>
      <c r="M324" s="835"/>
      <c r="N324" s="835"/>
      <c r="O324" s="48">
        <f>IF(t&lt;Tnet,'2023'!Resal+('2023'!Salim-'2023'!Resal)*(1-EXP(('2023'!Tnet-t)/('2023'!Tau_j))),Resal+(Salim-Resal)*(1-EXP((Tnet-t)/(Tau_j))))*Salcycl</f>
        <v>2.3754874776918122E-2</v>
      </c>
      <c r="P324" s="165">
        <f>(INDEX(Models!$BJ324:$BT324,,T324)*(1-R324)+INDEX(Models!$BJ324:$BT324,,T324+1)*R324-ERP_i)*Q324*Ramure*Pc/MaxiM</f>
        <v>1.326549134177497E-3</v>
      </c>
      <c r="Q324" s="301">
        <f t="shared" si="105"/>
        <v>0.5</v>
      </c>
      <c r="R324" s="173">
        <f t="shared" si="106"/>
        <v>0.48859956429482621</v>
      </c>
      <c r="S324" s="801">
        <f t="shared" si="107"/>
        <v>1</v>
      </c>
      <c r="T324" s="172">
        <f t="shared" si="108"/>
        <v>7</v>
      </c>
      <c r="U324" s="247">
        <f t="shared" si="109"/>
        <v>1.4885995642948262</v>
      </c>
      <c r="V324" s="378">
        <f t="shared" si="110"/>
        <v>125.41560049634238</v>
      </c>
      <c r="W324" s="397">
        <f t="shared" si="111"/>
        <v>121.70126046188406</v>
      </c>
      <c r="X324" s="153">
        <f t="shared" si="112"/>
        <v>45601</v>
      </c>
      <c r="Y324" s="380">
        <f t="shared" si="113"/>
        <v>117.83023731868397</v>
      </c>
      <c r="Z324" s="380">
        <f t="shared" si="114"/>
        <v>119.74412489674444</v>
      </c>
      <c r="AA324" s="381">
        <f t="shared" si="115"/>
        <v>126.68746908105463</v>
      </c>
      <c r="AB324" s="193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5.4806874228956581E-2</v>
      </c>
      <c r="AD324" s="227">
        <f>(INDEX(Models!$BJ324:$BT324,,AH324)*(1-AF324)+INDEX(Models!$BJ324:$BT324,,AH324+1)*AF324-ERP_i)*AE324*Ramure*Pc/MaxiM</f>
        <v>1.326549134177497E-3</v>
      </c>
      <c r="AE324" s="301">
        <f t="shared" si="117"/>
        <v>0.5</v>
      </c>
      <c r="AF324" s="173">
        <f t="shared" si="118"/>
        <v>0.48859956429482621</v>
      </c>
      <c r="AG324" s="801">
        <f t="shared" si="124"/>
        <v>1</v>
      </c>
      <c r="AH324" s="172">
        <f t="shared" si="119"/>
        <v>7</v>
      </c>
      <c r="AI324" s="221">
        <f t="shared" si="120"/>
        <v>1.4885995642948262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customHeight="1" x14ac:dyDescent="0.2">
      <c r="A325" s="56">
        <f t="shared" si="123"/>
        <v>45602</v>
      </c>
      <c r="B325" s="406">
        <f>'2023'!Wh/'2023'!Env_an*'2024'!Env_an</f>
        <v>117.49897724130552</v>
      </c>
      <c r="C325" s="385"/>
      <c r="D325" s="388">
        <f t="shared" si="102"/>
        <v>119.4091188539261</v>
      </c>
      <c r="E325" s="380">
        <f t="shared" si="125"/>
        <v>122.32054382894246</v>
      </c>
      <c r="F325" s="380">
        <f t="shared" si="103"/>
        <v>122.47984207594799</v>
      </c>
      <c r="G325" s="110">
        <f t="shared" si="126"/>
        <v>0.9465054632983968</v>
      </c>
      <c r="H325" s="409" t="b">
        <f>Wh_hp&gt;='2023'!Maxi_hp</f>
        <v>0</v>
      </c>
      <c r="I325" s="375">
        <f>IF(H325,Wh_hp,'2023'!Maxi_hp)</f>
        <v>122.48864217227751</v>
      </c>
      <c r="J325" s="85">
        <f>IF(H325,An,'2023'!An_max)</f>
        <v>2022</v>
      </c>
      <c r="K325" s="193">
        <f t="shared" si="104"/>
        <v>45602</v>
      </c>
      <c r="L325" s="143">
        <f>IF(t&lt;Tvie,1-EXP((T0-t)*PertePVj)+'2023'!Pspv,1-EXP((T0-t)*PertePVj)+Pspv)</f>
        <v>1.5996614253198427E-2</v>
      </c>
      <c r="M325" s="835"/>
      <c r="N325" s="835"/>
      <c r="O325" s="48">
        <f>IF(t&lt;Tnet,'2023'!Resal+('2023'!Salim-'2023'!Resal)*(1-EXP(('2023'!Tnet-t)/('2023'!Tau_j))),Resal+(Salim-Resal)*(1-EXP((Tnet-t)/(Tau_j))))*Salcycl</f>
        <v>2.3801602608044314E-2</v>
      </c>
      <c r="P325" s="165">
        <f>(INDEX(Models!$BJ325:$BT325,,T325)*(1-R325)+INDEX(Models!$BJ325:$BT325,,T325+1)*R325-ERP_i)*Q325*Ramure*Pc/MaxiM</f>
        <v>1.4080038558194987E-3</v>
      </c>
      <c r="Q325" s="301">
        <f t="shared" si="105"/>
        <v>0.5</v>
      </c>
      <c r="R325" s="173">
        <f t="shared" si="106"/>
        <v>0.48864356402249731</v>
      </c>
      <c r="S325" s="801">
        <f t="shared" si="107"/>
        <v>1</v>
      </c>
      <c r="T325" s="172">
        <f t="shared" si="108"/>
        <v>7</v>
      </c>
      <c r="U325" s="247">
        <f t="shared" si="109"/>
        <v>1.4886435640224973</v>
      </c>
      <c r="V325" s="378">
        <f t="shared" si="110"/>
        <v>124.12642762802582</v>
      </c>
      <c r="W325" s="397">
        <f t="shared" si="111"/>
        <v>117.49897724130552</v>
      </c>
      <c r="X325" s="153">
        <f t="shared" si="112"/>
        <v>45602</v>
      </c>
      <c r="Y325" s="380">
        <f t="shared" si="113"/>
        <v>113.76813300796341</v>
      </c>
      <c r="Z325" s="380">
        <f t="shared" si="114"/>
        <v>115.61762353248407</v>
      </c>
      <c r="AA325" s="381">
        <f t="shared" si="115"/>
        <v>122.32054382894246</v>
      </c>
      <c r="AB325" s="193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5.4797992934302237E-2</v>
      </c>
      <c r="AD325" s="227">
        <f>(INDEX(Models!$BJ325:$BT325,,AH325)*(1-AF325)+INDEX(Models!$BJ325:$BT325,,AH325+1)*AF325-ERP_i)*AE325*Ramure*Pc/MaxiM</f>
        <v>1.4080038558194987E-3</v>
      </c>
      <c r="AE325" s="301">
        <f t="shared" si="117"/>
        <v>0.5</v>
      </c>
      <c r="AF325" s="173">
        <f t="shared" si="118"/>
        <v>0.48864356402249731</v>
      </c>
      <c r="AG325" s="801">
        <f t="shared" si="124"/>
        <v>1</v>
      </c>
      <c r="AH325" s="172">
        <f t="shared" si="119"/>
        <v>7</v>
      </c>
      <c r="AI325" s="221">
        <f t="shared" si="120"/>
        <v>1.4886435640224973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customHeight="1" x14ac:dyDescent="0.2">
      <c r="A326" s="56">
        <f t="shared" si="123"/>
        <v>45603</v>
      </c>
      <c r="B326" s="406">
        <f>'2023'!Wh/'2023'!Env_an*'2024'!Env_an</f>
        <v>78.647098762320198</v>
      </c>
      <c r="C326" s="385"/>
      <c r="D326" s="388">
        <f t="shared" si="102"/>
        <v>79.926732498086025</v>
      </c>
      <c r="E326" s="380">
        <f t="shared" si="125"/>
        <v>81.879418344285241</v>
      </c>
      <c r="F326" s="380">
        <f t="shared" si="103"/>
        <v>81.938560043165893</v>
      </c>
      <c r="G326" s="110">
        <f t="shared" si="126"/>
        <v>0.63970060191879541</v>
      </c>
      <c r="H326" s="409" t="b">
        <f>Wh_hp&gt;='2023'!Maxi_hp</f>
        <v>0</v>
      </c>
      <c r="I326" s="375">
        <f>IF(H326,Wh_hp,'2023'!Maxi_hp)</f>
        <v>81.980504790373274</v>
      </c>
      <c r="J326" s="85">
        <f>IF(H326,An,'2023'!An_max)</f>
        <v>2022</v>
      </c>
      <c r="K326" s="193">
        <f t="shared" si="104"/>
        <v>45603</v>
      </c>
      <c r="L326" s="143">
        <f>IF(t&lt;Tvie,1-EXP((T0-t)*PertePVj)+'2023'!Pspv,1-EXP((T0-t)*PertePVj)+Pspv)</f>
        <v>1.6010084433220939E-2</v>
      </c>
      <c r="M326" s="835"/>
      <c r="N326" s="835"/>
      <c r="O326" s="48">
        <f>IF(t&lt;Tnet,'2023'!Resal+('2023'!Salim-'2023'!Resal)*(1-EXP(('2023'!Tnet-t)/('2023'!Tau_j))),Resal+(Salim-Resal)*(1-EXP((Tnet-t)/(Tau_j))))*Salcycl</f>
        <v>2.3848311159082553E-2</v>
      </c>
      <c r="P326" s="165">
        <f>(INDEX(Models!$BJ326:$BT326,,T326)*(1-R326)+INDEX(Models!$BJ326:$BT326,,T326+1)*R326-ERP_i)*Q326*Ramure*Pc/MaxiM</f>
        <v>1.4851912113530486E-3</v>
      </c>
      <c r="Q326" s="301">
        <f t="shared" si="105"/>
        <v>0.5</v>
      </c>
      <c r="R326" s="173">
        <f t="shared" si="106"/>
        <v>0.48868579947986346</v>
      </c>
      <c r="S326" s="801">
        <f t="shared" si="107"/>
        <v>1</v>
      </c>
      <c r="T326" s="172">
        <f t="shared" si="108"/>
        <v>7</v>
      </c>
      <c r="U326" s="247">
        <f t="shared" si="109"/>
        <v>1.4886857994798635</v>
      </c>
      <c r="V326" s="378">
        <f t="shared" si="110"/>
        <v>122.84968181087744</v>
      </c>
      <c r="W326" s="397">
        <f t="shared" si="111"/>
        <v>78.647098762320198</v>
      </c>
      <c r="X326" s="153">
        <f t="shared" si="112"/>
        <v>45603</v>
      </c>
      <c r="Y326" s="380">
        <f t="shared" si="113"/>
        <v>76.154224500183773</v>
      </c>
      <c r="Z326" s="380">
        <f t="shared" si="114"/>
        <v>77.393297731429357</v>
      </c>
      <c r="AA326" s="381">
        <f t="shared" si="115"/>
        <v>81.879418344285241</v>
      </c>
      <c r="AB326" s="193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5.4789356147997063E-2</v>
      </c>
      <c r="AD326" s="227">
        <f>(INDEX(Models!$BJ326:$BT326,,AH326)*(1-AF326)+INDEX(Models!$BJ326:$BT326,,AH326+1)*AF326-ERP_i)*AE326*Ramure*Pc/MaxiM</f>
        <v>1.4851912113530486E-3</v>
      </c>
      <c r="AE326" s="301">
        <f t="shared" si="117"/>
        <v>0.5</v>
      </c>
      <c r="AF326" s="173">
        <f t="shared" si="118"/>
        <v>0.48868579947986346</v>
      </c>
      <c r="AG326" s="801">
        <f t="shared" si="124"/>
        <v>1</v>
      </c>
      <c r="AH326" s="172">
        <f t="shared" si="119"/>
        <v>7</v>
      </c>
      <c r="AI326" s="221">
        <f t="shared" si="120"/>
        <v>1.4886857994798635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customHeight="1" x14ac:dyDescent="0.2">
      <c r="A327" s="56">
        <f t="shared" si="123"/>
        <v>45604</v>
      </c>
      <c r="B327" s="406">
        <f>'2023'!Wh/'2023'!Env_an*'2024'!Env_an</f>
        <v>44.370798270269376</v>
      </c>
      <c r="C327" s="385"/>
      <c r="D327" s="388">
        <f t="shared" si="102"/>
        <v>45.093354083810631</v>
      </c>
      <c r="E327" s="380">
        <f t="shared" si="125"/>
        <v>46.197238288090908</v>
      </c>
      <c r="F327" s="380">
        <f t="shared" si="103"/>
        <v>46.203915647296448</v>
      </c>
      <c r="G327" s="110">
        <f t="shared" si="126"/>
        <v>0.36441320432511337</v>
      </c>
      <c r="H327" s="409" t="b">
        <f>Wh_hp&gt;='2023'!Maxi_hp</f>
        <v>0</v>
      </c>
      <c r="I327" s="375">
        <f>IF(H327,Wh_hp,'2023'!Maxi_hp)</f>
        <v>46.247813119200636</v>
      </c>
      <c r="J327" s="85">
        <f>IF(H327,An,'2023'!An_max)</f>
        <v>2022</v>
      </c>
      <c r="K327" s="193">
        <f t="shared" si="104"/>
        <v>45604</v>
      </c>
      <c r="L327" s="143">
        <f>IF(t&lt;Tvie,1-EXP((T0-t)*PertePVj)+'2023'!Pspv,1-EXP((T0-t)*PertePVj)+Pspv)</f>
        <v>1.6023554428847953E-2</v>
      </c>
      <c r="M327" s="835"/>
      <c r="N327" s="835"/>
      <c r="O327" s="48">
        <f>IF(t&lt;Tnet,'2023'!Resal+('2023'!Salim-'2023'!Resal)*(1-EXP(('2023'!Tnet-t)/('2023'!Tau_j))),Resal+(Salim-Resal)*(1-EXP((Tnet-t)/(Tau_j))))*Salcycl</f>
        <v>2.3895025875710095E-2</v>
      </c>
      <c r="P327" s="165">
        <f>(INDEX(Models!$BJ327:$BT327,,T327)*(1-R327)+INDEX(Models!$BJ327:$BT327,,T327+1)*R327-ERP_i)*Q327*Ramure*Pc/MaxiM</f>
        <v>1.5580610505587943E-3</v>
      </c>
      <c r="Q327" s="301">
        <f t="shared" si="105"/>
        <v>0.5</v>
      </c>
      <c r="R327" s="173">
        <f t="shared" si="106"/>
        <v>0.48872634112833291</v>
      </c>
      <c r="S327" s="801">
        <f t="shared" si="107"/>
        <v>1</v>
      </c>
      <c r="T327" s="172">
        <f t="shared" si="108"/>
        <v>7</v>
      </c>
      <c r="U327" s="247">
        <f t="shared" si="109"/>
        <v>1.4887263411283329</v>
      </c>
      <c r="V327" s="378">
        <f t="shared" si="110"/>
        <v>121.58744168587526</v>
      </c>
      <c r="W327" s="397">
        <f t="shared" si="111"/>
        <v>44.370798270269376</v>
      </c>
      <c r="X327" s="153">
        <f t="shared" si="112"/>
        <v>45604</v>
      </c>
      <c r="Y327" s="380">
        <f t="shared" si="113"/>
        <v>42.966813819867241</v>
      </c>
      <c r="Z327" s="380">
        <f t="shared" si="114"/>
        <v>43.666506462893047</v>
      </c>
      <c r="AA327" s="381">
        <f t="shared" si="115"/>
        <v>46.197238288090908</v>
      </c>
      <c r="AB327" s="193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5.4781019796377221E-2</v>
      </c>
      <c r="AD327" s="227">
        <f>(INDEX(Models!$BJ327:$BT327,,AH327)*(1-AF327)+INDEX(Models!$BJ327:$BT327,,AH327+1)*AF327-ERP_i)*AE327*Ramure*Pc/MaxiM</f>
        <v>1.5580610505587943E-3</v>
      </c>
      <c r="AE327" s="301">
        <f t="shared" si="117"/>
        <v>0.5</v>
      </c>
      <c r="AF327" s="173">
        <f t="shared" si="118"/>
        <v>0.48872634112833291</v>
      </c>
      <c r="AG327" s="801">
        <f t="shared" si="124"/>
        <v>1</v>
      </c>
      <c r="AH327" s="172">
        <f t="shared" si="119"/>
        <v>7</v>
      </c>
      <c r="AI327" s="221">
        <f t="shared" si="120"/>
        <v>1.4887263411283329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customHeight="1" x14ac:dyDescent="0.2">
      <c r="A328" s="56">
        <f t="shared" si="123"/>
        <v>45605</v>
      </c>
      <c r="B328" s="406">
        <f>'2023'!Wh/'2023'!Env_an*'2024'!Env_an</f>
        <v>92.13032437429834</v>
      </c>
      <c r="C328" s="385"/>
      <c r="D328" s="388">
        <f t="shared" si="102"/>
        <v>93.631901447456158</v>
      </c>
      <c r="E328" s="380">
        <f t="shared" si="125"/>
        <v>95.928602165271684</v>
      </c>
      <c r="F328" s="380">
        <f t="shared" si="103"/>
        <v>96.032492995963594</v>
      </c>
      <c r="G328" s="110">
        <f t="shared" si="126"/>
        <v>0.76515470969179344</v>
      </c>
      <c r="H328" s="409" t="b">
        <f>Wh_hp&gt;='2023'!Maxi_hp</f>
        <v>0</v>
      </c>
      <c r="I328" s="375">
        <f>IF(H328,Wh_hp,'2023'!Maxi_hp)</f>
        <v>96.067755850477184</v>
      </c>
      <c r="J328" s="85">
        <f>IF(H328,An,'2023'!An_max)</f>
        <v>2022</v>
      </c>
      <c r="K328" s="193">
        <f t="shared" si="104"/>
        <v>45605</v>
      </c>
      <c r="L328" s="143">
        <f>IF(t&lt;Tvie,1-EXP((T0-t)*PertePVj)+'2023'!Pspv,1-EXP((T0-t)*PertePVj)+Pspv)</f>
        <v>1.6037024240082021E-2</v>
      </c>
      <c r="M328" s="835"/>
      <c r="N328" s="835"/>
      <c r="O328" s="48">
        <f>IF(t&lt;Tnet,'2023'!Resal+('2023'!Salim-'2023'!Resal)*(1-EXP(('2023'!Tnet-t)/('2023'!Tau_j))),Resal+(Salim-Resal)*(1-EXP((Tnet-t)/(Tau_j))))*Salcycl</f>
        <v>2.3941771963471678E-2</v>
      </c>
      <c r="P328" s="165">
        <f>(INDEX(Models!$BJ328:$BT328,,T328)*(1-R328)+INDEX(Models!$BJ328:$BT328,,T328+1)*R328-ERP_i)*Q328*Ramure*Pc/MaxiM</f>
        <v>1.6265597588511461E-3</v>
      </c>
      <c r="Q328" s="301">
        <f t="shared" si="105"/>
        <v>0.5</v>
      </c>
      <c r="R328" s="173">
        <f t="shared" si="106"/>
        <v>0.48876525663736814</v>
      </c>
      <c r="S328" s="801">
        <f t="shared" si="107"/>
        <v>1</v>
      </c>
      <c r="T328" s="172">
        <f t="shared" si="108"/>
        <v>7</v>
      </c>
      <c r="U328" s="247">
        <f t="shared" si="109"/>
        <v>1.4887652566373681</v>
      </c>
      <c r="V328" s="378">
        <f t="shared" si="110"/>
        <v>120.34178542688709</v>
      </c>
      <c r="W328" s="397">
        <f t="shared" si="111"/>
        <v>92.13032437429834</v>
      </c>
      <c r="X328" s="153">
        <f t="shared" si="112"/>
        <v>45605</v>
      </c>
      <c r="Y328" s="380">
        <f t="shared" si="113"/>
        <v>89.220155152150369</v>
      </c>
      <c r="Z328" s="380">
        <f t="shared" si="114"/>
        <v>90.674301117118091</v>
      </c>
      <c r="AA328" s="381">
        <f t="shared" si="115"/>
        <v>95.928602165271684</v>
      </c>
      <c r="AB328" s="193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5.4773038797137442E-2</v>
      </c>
      <c r="AD328" s="227">
        <f>(INDEX(Models!$BJ328:$BT328,,AH328)*(1-AF328)+INDEX(Models!$BJ328:$BT328,,AH328+1)*AF328-ERP_i)*AE328*Ramure*Pc/MaxiM</f>
        <v>1.6265597588511461E-3</v>
      </c>
      <c r="AE328" s="301">
        <f t="shared" si="117"/>
        <v>0.5</v>
      </c>
      <c r="AF328" s="173">
        <f t="shared" si="118"/>
        <v>0.48876525663736814</v>
      </c>
      <c r="AG328" s="801">
        <f t="shared" si="124"/>
        <v>1</v>
      </c>
      <c r="AH328" s="172">
        <f t="shared" si="119"/>
        <v>7</v>
      </c>
      <c r="AI328" s="221">
        <f t="shared" si="120"/>
        <v>1.4887652566373681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customHeight="1" x14ac:dyDescent="0.2">
      <c r="A329" s="56">
        <f t="shared" si="123"/>
        <v>45606</v>
      </c>
      <c r="B329" s="406">
        <f>'2023'!Wh/'2023'!Env_an*'2024'!Env_an</f>
        <v>112.0983544962121</v>
      </c>
      <c r="C329" s="385"/>
      <c r="D329" s="388">
        <f t="shared" si="102"/>
        <v>113.92693811774865</v>
      </c>
      <c r="E329" s="380">
        <f t="shared" si="125"/>
        <v>116.72705371517166</v>
      </c>
      <c r="F329" s="380">
        <f t="shared" si="103"/>
        <v>116.9080699762664</v>
      </c>
      <c r="G329" s="110">
        <f t="shared" si="126"/>
        <v>0.94096107781506111</v>
      </c>
      <c r="H329" s="409" t="b">
        <f>Wh_hp&gt;='2023'!Maxi_hp</f>
        <v>0</v>
      </c>
      <c r="I329" s="375">
        <f>IF(H329,Wh_hp,'2023'!Maxi_hp)</f>
        <v>116.91931335378777</v>
      </c>
      <c r="J329" s="85">
        <f>IF(H329,An,'2023'!An_max)</f>
        <v>2022</v>
      </c>
      <c r="K329" s="193">
        <f t="shared" si="104"/>
        <v>45606</v>
      </c>
      <c r="L329" s="143">
        <f>IF(t&lt;Tvie,1-EXP((T0-t)*PertePVj)+'2023'!Pspv,1-EXP((T0-t)*PertePVj)+Pspv)</f>
        <v>1.6050493866925697E-2</v>
      </c>
      <c r="M329" s="835"/>
      <c r="N329" s="835"/>
      <c r="O329" s="48">
        <f>IF(t&lt;Tnet,'2023'!Resal+('2023'!Salim-'2023'!Resal)*(1-EXP(('2023'!Tnet-t)/('2023'!Tau_j))),Resal+(Salim-Resal)*(1-EXP((Tnet-t)/(Tau_j))))*Salcycl</f>
        <v>2.3988574270499857E-2</v>
      </c>
      <c r="P329" s="165">
        <f>(INDEX(Models!$BJ329:$BT329,,T329)*(1-R329)+INDEX(Models!$BJ329:$BT329,,T329+1)*R329-ERP_i)*Q329*Ramure*Pc/MaxiM</f>
        <v>1.6906302427148029E-3</v>
      </c>
      <c r="Q329" s="301">
        <f t="shared" si="105"/>
        <v>0.5</v>
      </c>
      <c r="R329" s="173">
        <f t="shared" si="106"/>
        <v>0.48880261099336519</v>
      </c>
      <c r="S329" s="801">
        <f t="shared" si="107"/>
        <v>1</v>
      </c>
      <c r="T329" s="172">
        <f t="shared" si="108"/>
        <v>7</v>
      </c>
      <c r="U329" s="247">
        <f t="shared" si="109"/>
        <v>1.4888026109933652</v>
      </c>
      <c r="V329" s="378">
        <f t="shared" si="110"/>
        <v>119.11479083398325</v>
      </c>
      <c r="W329" s="397">
        <f t="shared" si="111"/>
        <v>112.0983544962121</v>
      </c>
      <c r="X329" s="153">
        <f t="shared" si="112"/>
        <v>45606</v>
      </c>
      <c r="Y329" s="380">
        <f t="shared" si="113"/>
        <v>108.56351984302133</v>
      </c>
      <c r="Z329" s="380">
        <f t="shared" si="114"/>
        <v>110.33444212973531</v>
      </c>
      <c r="AA329" s="381">
        <f t="shared" si="115"/>
        <v>116.72705371517166</v>
      </c>
      <c r="AB329" s="193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5.476546680459448E-2</v>
      </c>
      <c r="AD329" s="227">
        <f>(INDEX(Models!$BJ329:$BT329,,AH329)*(1-AF329)+INDEX(Models!$BJ329:$BT329,,AH329+1)*AF329-ERP_i)*AE329*Ramure*Pc/MaxiM</f>
        <v>1.6906302427148029E-3</v>
      </c>
      <c r="AE329" s="301">
        <f t="shared" si="117"/>
        <v>0.5</v>
      </c>
      <c r="AF329" s="173">
        <f t="shared" si="118"/>
        <v>0.48880261099336519</v>
      </c>
      <c r="AG329" s="801">
        <f t="shared" si="124"/>
        <v>1</v>
      </c>
      <c r="AH329" s="172">
        <f t="shared" si="119"/>
        <v>7</v>
      </c>
      <c r="AI329" s="221">
        <f t="shared" si="120"/>
        <v>1.4888026109933652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customHeight="1" x14ac:dyDescent="0.2">
      <c r="A330" s="56">
        <f t="shared" si="123"/>
        <v>45607</v>
      </c>
      <c r="B330" s="406">
        <f>'2023'!Wh/'2023'!Env_an*'2024'!Env_an</f>
        <v>110.53851106471706</v>
      </c>
      <c r="C330" s="385"/>
      <c r="D330" s="388">
        <f t="shared" si="102"/>
        <v>112.34318791341714</v>
      </c>
      <c r="E330" s="380">
        <f t="shared" si="125"/>
        <v>115.10990715691875</v>
      </c>
      <c r="F330" s="380">
        <f t="shared" si="103"/>
        <v>115.2936768967069</v>
      </c>
      <c r="G330" s="110">
        <f t="shared" si="126"/>
        <v>0.93734696666260497</v>
      </c>
      <c r="H330" s="409" t="b">
        <f>Wh_hp&gt;='2023'!Maxi_hp</f>
        <v>0</v>
      </c>
      <c r="I330" s="375">
        <f>IF(H330,Wh_hp,'2023'!Maxi_hp)</f>
        <v>115.3058916610667</v>
      </c>
      <c r="J330" s="85">
        <f>IF(H330,An,'2023'!An_max)</f>
        <v>2022</v>
      </c>
      <c r="K330" s="193">
        <f t="shared" si="104"/>
        <v>45607</v>
      </c>
      <c r="L330" s="143">
        <f>IF(t&lt;Tvie,1-EXP((T0-t)*PertePVj)+'2023'!Pspv,1-EXP((T0-t)*PertePVj)+Pspv)</f>
        <v>1.6063963309381535E-2</v>
      </c>
      <c r="M330" s="835"/>
      <c r="N330" s="835"/>
      <c r="O330" s="48">
        <f>IF(t&lt;Tnet,'2023'!Resal+('2023'!Salim-'2023'!Resal)*(1-EXP(('2023'!Tnet-t)/('2023'!Tau_j))),Resal+(Salim-Resal)*(1-EXP((Tnet-t)/(Tau_j))))*Salcycl</f>
        <v>2.4035457171640257E-2</v>
      </c>
      <c r="P330" s="165">
        <f>(INDEX(Models!$BJ330:$BT330,,T330)*(1-R330)+INDEX(Models!$BJ330:$BT330,,T330+1)*R330-ERP_i)*Q330*Ramure*Pc/MaxiM</f>
        <v>1.7502119397825697E-3</v>
      </c>
      <c r="Q330" s="301">
        <f t="shared" si="105"/>
        <v>0.5</v>
      </c>
      <c r="R330" s="173">
        <f t="shared" si="106"/>
        <v>0.48883846660442831</v>
      </c>
      <c r="S330" s="801">
        <f t="shared" si="107"/>
        <v>1</v>
      </c>
      <c r="T330" s="172">
        <f t="shared" si="108"/>
        <v>7</v>
      </c>
      <c r="U330" s="247">
        <f t="shared" si="109"/>
        <v>1.4888384666044283</v>
      </c>
      <c r="V330" s="378">
        <f t="shared" si="110"/>
        <v>117.9085354142378</v>
      </c>
      <c r="W330" s="397">
        <f t="shared" si="111"/>
        <v>110.53851106471706</v>
      </c>
      <c r="X330" s="153">
        <f t="shared" si="112"/>
        <v>45607</v>
      </c>
      <c r="Y330" s="380">
        <f t="shared" si="113"/>
        <v>107.05881140477507</v>
      </c>
      <c r="Z330" s="380">
        <f t="shared" si="114"/>
        <v>108.80667788615395</v>
      </c>
      <c r="AA330" s="381">
        <f t="shared" si="115"/>
        <v>115.10990715691875</v>
      </c>
      <c r="AB330" s="193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5.4758355961248388E-2</v>
      </c>
      <c r="AD330" s="227">
        <f>(INDEX(Models!$BJ330:$BT330,,AH330)*(1-AF330)+INDEX(Models!$BJ330:$BT330,,AH330+1)*AF330-ERP_i)*AE330*Ramure*Pc/MaxiM</f>
        <v>1.7502119397825697E-3</v>
      </c>
      <c r="AE330" s="301">
        <f t="shared" si="117"/>
        <v>0.5</v>
      </c>
      <c r="AF330" s="173">
        <f t="shared" si="118"/>
        <v>0.48883846660442831</v>
      </c>
      <c r="AG330" s="801">
        <f t="shared" si="124"/>
        <v>1</v>
      </c>
      <c r="AH330" s="172">
        <f t="shared" si="119"/>
        <v>7</v>
      </c>
      <c r="AI330" s="221">
        <f t="shared" si="120"/>
        <v>1.4888384666044283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customHeight="1" x14ac:dyDescent="0.2">
      <c r="A331" s="56">
        <f t="shared" si="123"/>
        <v>45608</v>
      </c>
      <c r="B331" s="406">
        <f>'2023'!Wh/'2023'!Env_an*'2024'!Env_an</f>
        <v>109.16670151904013</v>
      </c>
      <c r="C331" s="385"/>
      <c r="D331" s="388">
        <f t="shared" si="102"/>
        <v>110.95050071257154</v>
      </c>
      <c r="E331" s="380">
        <f t="shared" si="125"/>
        <v>113.68839517451849</v>
      </c>
      <c r="F331" s="380">
        <f t="shared" si="103"/>
        <v>113.87500713851969</v>
      </c>
      <c r="G331" s="110">
        <f t="shared" si="126"/>
        <v>0.93520496102163397</v>
      </c>
      <c r="H331" s="409" t="b">
        <f>Wh_hp&gt;='2023'!Maxi_hp</f>
        <v>0</v>
      </c>
      <c r="I331" s="375">
        <f>IF(H331,Wh_hp,'2023'!Maxi_hp)</f>
        <v>113.88791436897183</v>
      </c>
      <c r="J331" s="85">
        <f>IF(H331,An,'2023'!An_max)</f>
        <v>2022</v>
      </c>
      <c r="K331" s="193">
        <f t="shared" si="104"/>
        <v>45608</v>
      </c>
      <c r="L331" s="143">
        <f>IF(t&lt;Tvie,1-EXP((T0-t)*PertePVj)+'2023'!Pspv,1-EXP((T0-t)*PertePVj)+Pspv)</f>
        <v>1.6077432567451977E-2</v>
      </c>
      <c r="M331" s="835"/>
      <c r="N331" s="835"/>
      <c r="O331" s="48">
        <f>IF(t&lt;Tnet,'2023'!Resal+('2023'!Salim-'2023'!Resal)*(1-EXP(('2023'!Tnet-t)/('2023'!Tau_j))),Resal+(Salim-Resal)*(1-EXP((Tnet-t)/(Tau_j))))*Salcycl</f>
        <v>2.4082444454810972E-2</v>
      </c>
      <c r="P331" s="165">
        <f>(INDEX(Models!$BJ331:$BT331,,T331)*(1-R331)+INDEX(Models!$BJ331:$BT331,,T331+1)*R331-ERP_i)*Q331*Ramure*Pc/MaxiM</f>
        <v>1.8054623837396048E-3</v>
      </c>
      <c r="Q331" s="301">
        <f t="shared" si="105"/>
        <v>0.5</v>
      </c>
      <c r="R331" s="173">
        <f t="shared" si="106"/>
        <v>0.48887288340117907</v>
      </c>
      <c r="S331" s="801">
        <f t="shared" si="107"/>
        <v>1</v>
      </c>
      <c r="T331" s="172">
        <f t="shared" si="108"/>
        <v>7</v>
      </c>
      <c r="U331" s="247">
        <f t="shared" si="109"/>
        <v>1.4888728834011791</v>
      </c>
      <c r="V331" s="378">
        <f t="shared" si="110"/>
        <v>116.71074906365349</v>
      </c>
      <c r="W331" s="397">
        <f t="shared" si="111"/>
        <v>109.16670151904013</v>
      </c>
      <c r="X331" s="153">
        <f t="shared" si="112"/>
        <v>45608</v>
      </c>
      <c r="Y331" s="380">
        <f t="shared" si="113"/>
        <v>105.73601453939543</v>
      </c>
      <c r="Z331" s="380">
        <f t="shared" si="114"/>
        <v>107.46375582715159</v>
      </c>
      <c r="AA331" s="381">
        <f t="shared" si="115"/>
        <v>113.68839517451849</v>
      </c>
      <c r="AB331" s="193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5.4751756657411679E-2</v>
      </c>
      <c r="AD331" s="227">
        <f>(INDEX(Models!$BJ331:$BT331,,AH331)*(1-AF331)+INDEX(Models!$BJ331:$BT331,,AH331+1)*AF331-ERP_i)*AE331*Ramure*Pc/MaxiM</f>
        <v>1.8054623837396048E-3</v>
      </c>
      <c r="AE331" s="301">
        <f t="shared" si="117"/>
        <v>0.5</v>
      </c>
      <c r="AF331" s="173">
        <f t="shared" si="118"/>
        <v>0.48887288340117907</v>
      </c>
      <c r="AG331" s="801">
        <f t="shared" si="124"/>
        <v>1</v>
      </c>
      <c r="AH331" s="172">
        <f t="shared" si="119"/>
        <v>7</v>
      </c>
      <c r="AI331" s="221">
        <f t="shared" si="120"/>
        <v>1.4888728834011791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customHeight="1" x14ac:dyDescent="0.2">
      <c r="A332" s="56">
        <f t="shared" si="123"/>
        <v>45609</v>
      </c>
      <c r="B332" s="406">
        <f>'2023'!Wh/'2023'!Env_an*'2024'!Env_an</f>
        <v>41.655488104882032</v>
      </c>
      <c r="C332" s="385"/>
      <c r="D332" s="388">
        <f t="shared" si="102"/>
        <v>42.336724169298265</v>
      </c>
      <c r="E332" s="380">
        <f t="shared" si="125"/>
        <v>43.383550110446215</v>
      </c>
      <c r="F332" s="380">
        <f t="shared" si="103"/>
        <v>43.390524240022422</v>
      </c>
      <c r="G332" s="110">
        <f t="shared" si="126"/>
        <v>0.36000894557282137</v>
      </c>
      <c r="H332" s="409" t="b">
        <f>Wh_hp&gt;='2023'!Maxi_hp</f>
        <v>0</v>
      </c>
      <c r="I332" s="375">
        <f>IF(H332,Wh_hp,'2023'!Maxi_hp)</f>
        <v>43.440643377111911</v>
      </c>
      <c r="J332" s="85">
        <f>IF(H332,An,'2023'!An_max)</f>
        <v>2022</v>
      </c>
      <c r="K332" s="193">
        <f t="shared" si="104"/>
        <v>45609</v>
      </c>
      <c r="L332" s="143">
        <f>IF(t&lt;Tvie,1-EXP((T0-t)*PertePVj)+'2023'!Pspv,1-EXP((T0-t)*PertePVj)+Pspv)</f>
        <v>1.6090901641139577E-2</v>
      </c>
      <c r="M332" s="835"/>
      <c r="N332" s="835"/>
      <c r="O332" s="48">
        <f>IF(t&lt;Tnet,'2023'!Resal+('2023'!Salim-'2023'!Resal)*(1-EXP(('2023'!Tnet-t)/('2023'!Tau_j))),Resal+(Salim-Resal)*(1-EXP((Tnet-t)/(Tau_j))))*Salcycl</f>
        <v>2.4129559210413334E-2</v>
      </c>
      <c r="P332" s="165">
        <f>(INDEX(Models!$BJ332:$BT332,,T332)*(1-R332)+INDEX(Models!$BJ332:$BT332,,T332+1)*R332-ERP_i)*Q332*Ramure*Pc/MaxiM</f>
        <v>1.8559849322958343E-3</v>
      </c>
      <c r="Q332" s="301">
        <f t="shared" si="105"/>
        <v>0.5</v>
      </c>
      <c r="R332" s="173">
        <f t="shared" si="106"/>
        <v>0.4889059189337408</v>
      </c>
      <c r="S332" s="801">
        <f t="shared" si="107"/>
        <v>1</v>
      </c>
      <c r="T332" s="172">
        <f t="shared" si="108"/>
        <v>7</v>
      </c>
      <c r="U332" s="247">
        <f t="shared" si="109"/>
        <v>1.4889059189337408</v>
      </c>
      <c r="V332" s="378">
        <f t="shared" si="110"/>
        <v>115.51062984515355</v>
      </c>
      <c r="W332" s="397">
        <f t="shared" si="111"/>
        <v>41.655488104882032</v>
      </c>
      <c r="X332" s="153">
        <f t="shared" si="112"/>
        <v>45609</v>
      </c>
      <c r="Y332" s="380">
        <f t="shared" si="113"/>
        <v>40.348623017225535</v>
      </c>
      <c r="Z332" s="380">
        <f t="shared" si="114"/>
        <v>41.008486540602362</v>
      </c>
      <c r="AA332" s="381">
        <f t="shared" si="115"/>
        <v>43.383550110446215</v>
      </c>
      <c r="AB332" s="193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5.474571730062186E-2</v>
      </c>
      <c r="AD332" s="227">
        <f>(INDEX(Models!$BJ332:$BT332,,AH332)*(1-AF332)+INDEX(Models!$BJ332:$BT332,,AH332+1)*AF332-ERP_i)*AE332*Ramure*Pc/MaxiM</f>
        <v>1.8559849322958343E-3</v>
      </c>
      <c r="AE332" s="301">
        <f t="shared" si="117"/>
        <v>0.5</v>
      </c>
      <c r="AF332" s="173">
        <f t="shared" si="118"/>
        <v>0.4889059189337408</v>
      </c>
      <c r="AG332" s="801">
        <f t="shared" si="124"/>
        <v>1</v>
      </c>
      <c r="AH332" s="172">
        <f t="shared" si="119"/>
        <v>7</v>
      </c>
      <c r="AI332" s="221">
        <f t="shared" si="120"/>
        <v>1.4889059189337408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customHeight="1" x14ac:dyDescent="0.2">
      <c r="A333" s="56">
        <f t="shared" si="123"/>
        <v>45610</v>
      </c>
      <c r="B333" s="406">
        <f>'2023'!Wh/'2023'!Env_an*'2024'!Env_an</f>
        <v>52.40154120917088</v>
      </c>
      <c r="C333" s="385"/>
      <c r="D333" s="388">
        <f t="shared" si="102"/>
        <v>53.259247871059337</v>
      </c>
      <c r="E333" s="380">
        <f t="shared" si="125"/>
        <v>54.578789647467765</v>
      </c>
      <c r="F333" s="380">
        <f t="shared" si="103"/>
        <v>54.602325949962484</v>
      </c>
      <c r="G333" s="110">
        <f t="shared" si="126"/>
        <v>0.45773216326311367</v>
      </c>
      <c r="H333" s="409" t="b">
        <f>Wh_hp&gt;='2023'!Maxi_hp</f>
        <v>0</v>
      </c>
      <c r="I333" s="375">
        <f>IF(H333,Wh_hp,'2023'!Maxi_hp)</f>
        <v>54.6572788100165</v>
      </c>
      <c r="J333" s="85">
        <f>IF(H333,An,'2023'!An_max)</f>
        <v>2022</v>
      </c>
      <c r="K333" s="193">
        <f t="shared" si="104"/>
        <v>45610</v>
      </c>
      <c r="L333" s="143">
        <f>IF(t&lt;Tvie,1-EXP((T0-t)*PertePVj)+'2023'!Pspv,1-EXP((T0-t)*PertePVj)+Pspv)</f>
        <v>1.6104370530446888E-2</v>
      </c>
      <c r="M333" s="835"/>
      <c r="N333" s="835"/>
      <c r="O333" s="48">
        <f>IF(t&lt;Tnet,'2023'!Resal+('2023'!Salim-'2023'!Resal)*(1-EXP(('2023'!Tnet-t)/('2023'!Tau_j))),Resal+(Salim-Resal)*(1-EXP((Tnet-t)/(Tau_j))))*Salcycl</f>
        <v>2.4176823724592345E-2</v>
      </c>
      <c r="P333" s="165">
        <f>(INDEX(Models!$BJ333:$BT333,,T333)*(1-R333)+INDEX(Models!$BJ333:$BT333,,T333+1)*R333-ERP_i)*Q333*Ramure*Pc/MaxiM</f>
        <v>1.9047936683142326E-3</v>
      </c>
      <c r="Q333" s="301">
        <f t="shared" si="105"/>
        <v>0.5</v>
      </c>
      <c r="R333" s="173">
        <f t="shared" si="106"/>
        <v>0.48893762846503597</v>
      </c>
      <c r="S333" s="801">
        <f t="shared" si="107"/>
        <v>1</v>
      </c>
      <c r="T333" s="172">
        <f t="shared" si="108"/>
        <v>7</v>
      </c>
      <c r="U333" s="247">
        <f t="shared" si="109"/>
        <v>1.488937628465036</v>
      </c>
      <c r="V333" s="378">
        <f t="shared" si="110"/>
        <v>114.31200522357121</v>
      </c>
      <c r="W333" s="397">
        <f t="shared" si="111"/>
        <v>52.40154120917088</v>
      </c>
      <c r="X333" s="153">
        <f t="shared" si="112"/>
        <v>45610</v>
      </c>
      <c r="Y333" s="380">
        <f t="shared" si="113"/>
        <v>50.760288503649512</v>
      </c>
      <c r="Z333" s="380">
        <f t="shared" si="114"/>
        <v>51.591131196523222</v>
      </c>
      <c r="AA333" s="381">
        <f t="shared" si="115"/>
        <v>54.578789647467765</v>
      </c>
      <c r="AB333" s="193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5.4740284096482496E-2</v>
      </c>
      <c r="AD333" s="227">
        <f>(INDEX(Models!$BJ333:$BT333,,AH333)*(1-AF333)+INDEX(Models!$BJ333:$BT333,,AH333+1)*AF333-ERP_i)*AE333*Ramure*Pc/MaxiM</f>
        <v>1.9047936683142326E-3</v>
      </c>
      <c r="AE333" s="301">
        <f t="shared" si="117"/>
        <v>0.5</v>
      </c>
      <c r="AF333" s="173">
        <f t="shared" si="118"/>
        <v>0.48893762846503597</v>
      </c>
      <c r="AG333" s="801">
        <f t="shared" si="124"/>
        <v>1</v>
      </c>
      <c r="AH333" s="172">
        <f t="shared" si="119"/>
        <v>7</v>
      </c>
      <c r="AI333" s="221">
        <f t="shared" si="120"/>
        <v>1.488937628465036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customHeight="1" x14ac:dyDescent="0.2">
      <c r="A334" s="56">
        <f t="shared" si="123"/>
        <v>45611</v>
      </c>
      <c r="B334" s="406">
        <f>'2023'!Wh/'2023'!Env_an*'2024'!Env_an</f>
        <v>109.23897007943275</v>
      </c>
      <c r="C334" s="385"/>
      <c r="D334" s="388">
        <f t="shared" si="102"/>
        <v>111.02850975012873</v>
      </c>
      <c r="E334" s="380">
        <f t="shared" si="125"/>
        <v>113.78486380410969</v>
      </c>
      <c r="F334" s="380">
        <f t="shared" si="103"/>
        <v>113.99646400652013</v>
      </c>
      <c r="G334" s="110">
        <f t="shared" si="126"/>
        <v>0.96560650855893826</v>
      </c>
      <c r="H334" s="409" t="b">
        <f>Wh_hp&gt;='2023'!Maxi_hp</f>
        <v>0</v>
      </c>
      <c r="I334" s="375">
        <f>IF(H334,Wh_hp,'2023'!Maxi_hp)</f>
        <v>114.00392589977223</v>
      </c>
      <c r="J334" s="85">
        <f>IF(H334,An,'2023'!An_max)</f>
        <v>2022</v>
      </c>
      <c r="K334" s="193">
        <f t="shared" si="104"/>
        <v>45611</v>
      </c>
      <c r="L334" s="143">
        <f>IF(t&lt;Tvie,1-EXP((T0-t)*PertePVj)+'2023'!Pspv,1-EXP((T0-t)*PertePVj)+Pspv)</f>
        <v>1.6117839235376352E-2</v>
      </c>
      <c r="M334" s="835"/>
      <c r="N334" s="835"/>
      <c r="O334" s="48">
        <f>IF(t&lt;Tnet,'2023'!Resal+('2023'!Salim-'2023'!Resal)*(1-EXP(('2023'!Tnet-t)/('2023'!Tau_j))),Resal+(Salim-Resal)*(1-EXP((Tnet-t)/(Tau_j))))*Salcycl</f>
        <v>2.4224259377119351E-2</v>
      </c>
      <c r="P334" s="165">
        <f>(INDEX(Models!$BJ334:$BT334,,T334)*(1-R334)+INDEX(Models!$BJ334:$BT334,,T334+1)*R334-ERP_i)*Q334*Ramure*Pc/MaxiM</f>
        <v>1.9518426609055675E-3</v>
      </c>
      <c r="Q334" s="301">
        <f t="shared" si="105"/>
        <v>0.5</v>
      </c>
      <c r="R334" s="173">
        <f t="shared" si="106"/>
        <v>0.48896806506052548</v>
      </c>
      <c r="S334" s="801">
        <f t="shared" si="107"/>
        <v>1</v>
      </c>
      <c r="T334" s="172">
        <f t="shared" si="108"/>
        <v>7</v>
      </c>
      <c r="U334" s="247">
        <f t="shared" si="109"/>
        <v>1.4889680650605255</v>
      </c>
      <c r="V334" s="378">
        <f t="shared" si="110"/>
        <v>113.11906220939812</v>
      </c>
      <c r="W334" s="397">
        <f t="shared" si="111"/>
        <v>109.23897007943275</v>
      </c>
      <c r="X334" s="153">
        <f t="shared" si="112"/>
        <v>45611</v>
      </c>
      <c r="Y334" s="380">
        <f t="shared" si="113"/>
        <v>105.82320920860516</v>
      </c>
      <c r="Z334" s="380">
        <f t="shared" si="114"/>
        <v>107.55679229549675</v>
      </c>
      <c r="AA334" s="381">
        <f t="shared" si="115"/>
        <v>113.78486380410969</v>
      </c>
      <c r="AB334" s="193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5.4735500842494275E-2</v>
      </c>
      <c r="AD334" s="227">
        <f>(INDEX(Models!$BJ334:$BT334,,AH334)*(1-AF334)+INDEX(Models!$BJ334:$BT334,,AH334+1)*AF334-ERP_i)*AE334*Ramure*Pc/MaxiM</f>
        <v>1.9518426609055675E-3</v>
      </c>
      <c r="AE334" s="301">
        <f t="shared" si="117"/>
        <v>0.5</v>
      </c>
      <c r="AF334" s="173">
        <f t="shared" si="118"/>
        <v>0.48896806506052548</v>
      </c>
      <c r="AG334" s="801">
        <f t="shared" si="124"/>
        <v>1</v>
      </c>
      <c r="AH334" s="172">
        <f t="shared" si="119"/>
        <v>7</v>
      </c>
      <c r="AI334" s="221">
        <f t="shared" si="120"/>
        <v>1.4889680650605255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customHeight="1" x14ac:dyDescent="0.2">
      <c r="A335" s="56">
        <f t="shared" si="123"/>
        <v>45612</v>
      </c>
      <c r="B335" s="406">
        <f>'2023'!Wh/'2023'!Env_an*'2024'!Env_an</f>
        <v>64.871879430554955</v>
      </c>
      <c r="C335" s="385"/>
      <c r="D335" s="388">
        <f t="shared" ref="D335:D380" si="127">Wh/(1-Ppv)</f>
        <v>65.935505359552707</v>
      </c>
      <c r="E335" s="380">
        <f t="shared" si="125"/>
        <v>67.57569496081662</v>
      </c>
      <c r="F335" s="380">
        <f t="shared" ref="F335:F380" si="128">Wh_sa/(1-Pvg*MEDIAN((-Sdif+Wh/Env_an)/Csdif,0,1))</f>
        <v>67.62963166382886</v>
      </c>
      <c r="G335" s="110">
        <f t="shared" si="126"/>
        <v>0.57884869917293946</v>
      </c>
      <c r="H335" s="409" t="b">
        <f>Wh_hp&gt;='2023'!Maxi_hp</f>
        <v>0</v>
      </c>
      <c r="I335" s="375">
        <f>IF(H335,Wh_hp,'2023'!Maxi_hp)</f>
        <v>67.685207187062332</v>
      </c>
      <c r="J335" s="85">
        <f>IF(H335,An,'2023'!An_max)</f>
        <v>2022</v>
      </c>
      <c r="K335" s="193">
        <f t="shared" ref="K335:K380" si="129">t</f>
        <v>45612</v>
      </c>
      <c r="L335" s="143">
        <f>IF(t&lt;Tvie,1-EXP((T0-t)*PertePVj)+'2023'!Pspv,1-EXP((T0-t)*PertePVj)+Pspv)</f>
        <v>1.6131307755930635E-2</v>
      </c>
      <c r="M335" s="835"/>
      <c r="N335" s="835"/>
      <c r="O335" s="48">
        <f>IF(t&lt;Tnet,'2023'!Resal+('2023'!Salim-'2023'!Resal)*(1-EXP(('2023'!Tnet-t)/('2023'!Tau_j))),Resal+(Salim-Resal)*(1-EXP((Tnet-t)/(Tau_j))))*Salcycl</f>
        <v>2.4271886544636512E-2</v>
      </c>
      <c r="P335" s="165">
        <f>(INDEX(Models!$BJ335:$BT335,,T335)*(1-R335)+INDEX(Models!$BJ335:$BT335,,T335+1)*R335-ERP_i)*Q335*Ramure*Pc/MaxiM</f>
        <v>1.9970758001039281E-3</v>
      </c>
      <c r="Q335" s="301">
        <f t="shared" ref="Q335:Q380" si="130">IF(OR(t&lt;Ttai,Notai),Dd+PousD*Croivg,Dens+PousD*(Croivg-Croi_tai))</f>
        <v>0.5</v>
      </c>
      <c r="R335" s="173">
        <f t="shared" ref="R335:R379" si="131">(Hp_vg-S335)/(INDEX(Echel_vg,T335+1)-S335)</f>
        <v>0.48899727967451967</v>
      </c>
      <c r="S335" s="801">
        <f t="shared" ref="S335:S379" si="132">INDEX(Echel_vg,T335)</f>
        <v>1</v>
      </c>
      <c r="T335" s="172">
        <f t="shared" ref="T335:T380" si="133">MIN(MATCH(Hp_vg,Echel_vg),10)</f>
        <v>7</v>
      </c>
      <c r="U335" s="247">
        <f t="shared" ref="U335:U380" si="134">IF(OR(t&lt;Ttai,Notai),Hdd+PousH*Croivg,Hdtf+PousH*(Croivg-Croi_tai))</f>
        <v>1.4889972796745197</v>
      </c>
      <c r="V335" s="378">
        <f t="shared" ref="V335:V380" si="135">MaxiM*(1-Ppv)*(1-Pvg)*(1-Psa)</f>
        <v>111.9359871810432</v>
      </c>
      <c r="W335" s="397">
        <f t="shared" ref="W335:W380" si="136">Wh*(A335&gt;Tmaj)</f>
        <v>64.871879430554955</v>
      </c>
      <c r="X335" s="153">
        <f t="shared" ref="X335:X380" si="137">t</f>
        <v>45612</v>
      </c>
      <c r="Y335" s="380">
        <f t="shared" ref="Y335:Y380" si="138">Wh_pvt_s*(1-Ppv)</f>
        <v>62.84675949818471</v>
      </c>
      <c r="Z335" s="380">
        <f t="shared" ref="Z335:Z380" si="139">Wh_sa_s*(1-Psa_s)</f>
        <v>63.877181979273963</v>
      </c>
      <c r="AA335" s="381">
        <f t="shared" ref="AA335:AA380" si="140">Wh_hp*(1-Pvg_s*MEDIAN((-Sdif+Wh/Env_an)/Csdif,0,1))</f>
        <v>67.57569496081662</v>
      </c>
      <c r="AB335" s="193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5.4731408736339512E-2</v>
      </c>
      <c r="AD335" s="227">
        <f>(INDEX(Models!$BJ335:$BT335,,AH335)*(1-AF335)+INDEX(Models!$BJ335:$BT335,,AH335+1)*AF335-ERP_i)*AE335*Ramure*Pc/MaxiM</f>
        <v>1.9970758001039281E-3</v>
      </c>
      <c r="AE335" s="301">
        <f t="shared" ref="AE335:AE380" si="142">IF(OR(t&lt;Ttai,Notai),Dd_s+PousD*Croivg,Dens_s+PousD*(Croivg-Croi_tai))</f>
        <v>0.5</v>
      </c>
      <c r="AF335" s="173">
        <f t="shared" ref="AF335:AF379" si="143">(Hp_vg_s-AG335)/(INDEX(Echel_vg,AH335+1)-AG335)</f>
        <v>0.48899727967451967</v>
      </c>
      <c r="AG335" s="801">
        <f t="shared" si="124"/>
        <v>1</v>
      </c>
      <c r="AH335" s="172">
        <f t="shared" ref="AH335:AH380" si="144">MIN(MATCH(Hp_vg_s,Echel_vg),10)</f>
        <v>7</v>
      </c>
      <c r="AI335" s="221">
        <f t="shared" ref="AI335:AI380" si="145">IF(OR(t&lt;Ttai,Notai),Hdd_s+PousH*Croivg,Hdtai_s+PousH*(Croivg-Croi_tai))</f>
        <v>1.4889972796745197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customHeight="1" x14ac:dyDescent="0.2">
      <c r="A336" s="56">
        <f t="shared" ref="A336:A380" si="148">A335+1</f>
        <v>45613</v>
      </c>
      <c r="B336" s="406">
        <f>'2023'!Wh/'2023'!Env_an*'2024'!Env_an</f>
        <v>51.481169014576338</v>
      </c>
      <c r="C336" s="385"/>
      <c r="D336" s="388">
        <f t="shared" si="127"/>
        <v>52.325959921310734</v>
      </c>
      <c r="E336" s="380">
        <f t="shared" si="125"/>
        <v>53.630232398651259</v>
      </c>
      <c r="F336" s="380">
        <f t="shared" si="128"/>
        <v>53.656002702474083</v>
      </c>
      <c r="G336" s="110">
        <f t="shared" si="126"/>
        <v>0.46404460228302535</v>
      </c>
      <c r="H336" s="409" t="b">
        <f>Wh_hp&gt;='2023'!Maxi_hp</f>
        <v>0</v>
      </c>
      <c r="I336" s="375">
        <f>IF(H336,Wh_hp,'2023'!Maxi_hp)</f>
        <v>53.713397448687658</v>
      </c>
      <c r="J336" s="85">
        <f>IF(H336,An,'2023'!An_max)</f>
        <v>2022</v>
      </c>
      <c r="K336" s="193">
        <f t="shared" si="129"/>
        <v>45613</v>
      </c>
      <c r="L336" s="143">
        <f>IF(t&lt;Tvie,1-EXP((T0-t)*PertePVj)+'2023'!Pspv,1-EXP((T0-t)*PertePVj)+Pspv)</f>
        <v>1.6144776092112179E-2</v>
      </c>
      <c r="M336" s="835"/>
      <c r="N336" s="835"/>
      <c r="O336" s="48">
        <f>IF(t&lt;Tnet,'2023'!Resal+('2023'!Salim-'2023'!Resal)*(1-EXP(('2023'!Tnet-t)/('2023'!Tau_j))),Resal+(Salim-Resal)*(1-EXP((Tnet-t)/(Tau_j))))*Salcycl</f>
        <v>2.431972450996369E-2</v>
      </c>
      <c r="P336" s="165">
        <f>(INDEX(Models!$BJ336:$BT336,,T336)*(1-R336)+INDEX(Models!$BJ336:$BT336,,T336+1)*R336-ERP_i)*Q336*Ramure*Pc/MaxiM</f>
        <v>2.0404265808595017E-3</v>
      </c>
      <c r="Q336" s="301">
        <f t="shared" si="130"/>
        <v>0.5</v>
      </c>
      <c r="R336" s="173">
        <f t="shared" si="131"/>
        <v>0.48902532123318299</v>
      </c>
      <c r="S336" s="801">
        <f t="shared" si="132"/>
        <v>1</v>
      </c>
      <c r="T336" s="172">
        <f t="shared" si="133"/>
        <v>7</v>
      </c>
      <c r="U336" s="247">
        <f t="shared" si="134"/>
        <v>1.489025321233183</v>
      </c>
      <c r="V336" s="378">
        <f t="shared" si="135"/>
        <v>110.76696589162812</v>
      </c>
      <c r="W336" s="397">
        <f t="shared" si="136"/>
        <v>51.481169014576338</v>
      </c>
      <c r="X336" s="153">
        <f t="shared" si="137"/>
        <v>45613</v>
      </c>
      <c r="Y336" s="380">
        <f t="shared" si="138"/>
        <v>49.876692642860448</v>
      </c>
      <c r="Z336" s="380">
        <f t="shared" si="139"/>
        <v>50.695154562222548</v>
      </c>
      <c r="AA336" s="381">
        <f t="shared" si="140"/>
        <v>53.630232398651259</v>
      </c>
      <c r="AB336" s="193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5.4728046199973707E-2</v>
      </c>
      <c r="AD336" s="227">
        <f>(INDEX(Models!$BJ336:$BT336,,AH336)*(1-AF336)+INDEX(Models!$BJ336:$BT336,,AH336+1)*AF336-ERP_i)*AE336*Ramure*Pc/MaxiM</f>
        <v>2.0404265808595017E-3</v>
      </c>
      <c r="AE336" s="301">
        <f t="shared" si="142"/>
        <v>0.5</v>
      </c>
      <c r="AF336" s="173">
        <f t="shared" si="143"/>
        <v>0.48902532123318299</v>
      </c>
      <c r="AG336" s="801">
        <f t="shared" ref="AG336:AG379" si="149">INDEX(Echel_vg,AH336)</f>
        <v>1</v>
      </c>
      <c r="AH336" s="172">
        <f t="shared" si="144"/>
        <v>7</v>
      </c>
      <c r="AI336" s="221">
        <f t="shared" si="145"/>
        <v>1.489025321233183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customHeight="1" x14ac:dyDescent="0.2">
      <c r="A337" s="56">
        <f t="shared" si="148"/>
        <v>45614</v>
      </c>
      <c r="B337" s="406">
        <f>'2023'!Wh/'2023'!Env_an*'2024'!Env_an</f>
        <v>24.479494702190848</v>
      </c>
      <c r="C337" s="385"/>
      <c r="D337" s="388">
        <f t="shared" si="127"/>
        <v>24.881536648521799</v>
      </c>
      <c r="E337" s="380">
        <f t="shared" si="125"/>
        <v>25.502988143111885</v>
      </c>
      <c r="F337" s="380">
        <f t="shared" si="128"/>
        <v>25.502988143111885</v>
      </c>
      <c r="G337" s="110">
        <f t="shared" si="126"/>
        <v>0.22285516672810685</v>
      </c>
      <c r="H337" s="409" t="b">
        <f>Wh_hp&gt;='2023'!Maxi_hp</f>
        <v>0</v>
      </c>
      <c r="I337" s="375">
        <f>IF(H337,Wh_hp,'2023'!Maxi_hp)</f>
        <v>25.539405273460016</v>
      </c>
      <c r="J337" s="85">
        <f>IF(H337,An,'2023'!An_max)</f>
        <v>2022</v>
      </c>
      <c r="K337" s="193">
        <f t="shared" si="129"/>
        <v>45614</v>
      </c>
      <c r="L337" s="143">
        <f>IF(t&lt;Tvie,1-EXP((T0-t)*PertePVj)+'2023'!Pspv,1-EXP((T0-t)*PertePVj)+Pspv)</f>
        <v>1.6158244243923536E-2</v>
      </c>
      <c r="M337" s="835"/>
      <c r="N337" s="835"/>
      <c r="O337" s="48">
        <f>IF(t&lt;Tnet,'2023'!Resal+('2023'!Salim-'2023'!Resal)*(1-EXP(('2023'!Tnet-t)/('2023'!Tau_j))),Resal+(Salim-Resal)*(1-EXP((Tnet-t)/(Tau_j))))*Salcycl</f>
        <v>2.4367791378122772E-2</v>
      </c>
      <c r="P337" s="165">
        <f>(INDEX(Models!$BJ337:$BT337,,T337)*(1-R337)+INDEX(Models!$BJ337:$BT337,,T337+1)*R337-ERP_i)*Q337*Ramure*Pc/MaxiM</f>
        <v>2.0818179528755486E-3</v>
      </c>
      <c r="Q337" s="301">
        <f t="shared" si="130"/>
        <v>0.5</v>
      </c>
      <c r="R337" s="173">
        <f t="shared" si="131"/>
        <v>0.48905223671435349</v>
      </c>
      <c r="S337" s="801">
        <f t="shared" si="132"/>
        <v>1</v>
      </c>
      <c r="T337" s="172">
        <f t="shared" si="133"/>
        <v>7</v>
      </c>
      <c r="U337" s="247">
        <f t="shared" si="134"/>
        <v>1.4890522367143535</v>
      </c>
      <c r="V337" s="378">
        <f t="shared" si="135"/>
        <v>109.61618350292231</v>
      </c>
      <c r="W337" s="397">
        <f t="shared" si="136"/>
        <v>24.479494702190848</v>
      </c>
      <c r="X337" s="153">
        <f t="shared" si="137"/>
        <v>45614</v>
      </c>
      <c r="Y337" s="380">
        <f t="shared" si="138"/>
        <v>23.71779361696365</v>
      </c>
      <c r="Z337" s="380">
        <f t="shared" si="139"/>
        <v>24.107325673259993</v>
      </c>
      <c r="AA337" s="381">
        <f t="shared" si="140"/>
        <v>25.502988143111885</v>
      </c>
      <c r="AB337" s="193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5.472544872075507E-2</v>
      </c>
      <c r="AD337" s="227">
        <f>(INDEX(Models!$BJ337:$BT337,,AH337)*(1-AF337)+INDEX(Models!$BJ337:$BT337,,AH337+1)*AF337-ERP_i)*AE337*Ramure*Pc/MaxiM</f>
        <v>2.0818179528755486E-3</v>
      </c>
      <c r="AE337" s="301">
        <f t="shared" si="142"/>
        <v>0.5</v>
      </c>
      <c r="AF337" s="173">
        <f t="shared" si="143"/>
        <v>0.48905223671435349</v>
      </c>
      <c r="AG337" s="801">
        <f t="shared" si="149"/>
        <v>1</v>
      </c>
      <c r="AH337" s="172">
        <f t="shared" si="144"/>
        <v>7</v>
      </c>
      <c r="AI337" s="221">
        <f t="shared" si="145"/>
        <v>1.4890522367143535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customHeight="1" x14ac:dyDescent="0.2">
      <c r="A338" s="56">
        <f t="shared" si="148"/>
        <v>45615</v>
      </c>
      <c r="B338" s="406">
        <f>'2023'!Wh/'2023'!Env_an*'2024'!Env_an</f>
        <v>71.580453361638348</v>
      </c>
      <c r="C338" s="385"/>
      <c r="D338" s="388">
        <f t="shared" si="127"/>
        <v>72.757059590684179</v>
      </c>
      <c r="E338" s="380">
        <f t="shared" si="125"/>
        <v>74.577962888658163</v>
      </c>
      <c r="F338" s="380">
        <f t="shared" si="128"/>
        <v>74.659189604764506</v>
      </c>
      <c r="G338" s="110">
        <f t="shared" si="126"/>
        <v>0.65911927402829129</v>
      </c>
      <c r="H338" s="409" t="b">
        <f>Wh_hp&gt;='2023'!Maxi_hp</f>
        <v>0</v>
      </c>
      <c r="I338" s="375">
        <f>IF(H338,Wh_hp,'2023'!Maxi_hp)</f>
        <v>74.711901468469961</v>
      </c>
      <c r="J338" s="85">
        <f>IF(H338,An,'2023'!An_max)</f>
        <v>2022</v>
      </c>
      <c r="K338" s="193">
        <f t="shared" si="129"/>
        <v>45615</v>
      </c>
      <c r="L338" s="143">
        <f>IF(t&lt;Tvie,1-EXP((T0-t)*PertePVj)+'2023'!Pspv,1-EXP((T0-t)*PertePVj)+Pspv)</f>
        <v>1.6171712211367151E-2</v>
      </c>
      <c r="M338" s="835"/>
      <c r="N338" s="835"/>
      <c r="O338" s="48">
        <f>IF(t&lt;Tnet,'2023'!Resal+('2023'!Salim-'2023'!Resal)*(1-EXP(('2023'!Tnet-t)/('2023'!Tau_j))),Resal+(Salim-Resal)*(1-EXP((Tnet-t)/(Tau_j))))*Salcycl</f>
        <v>2.4416103999683088E-2</v>
      </c>
      <c r="P338" s="165">
        <f>(INDEX(Models!$BJ338:$BT338,,T338)*(1-R338)+INDEX(Models!$BJ338:$BT338,,T338+1)*R338-ERP_i)*Q338*Ramure*Pc/MaxiM</f>
        <v>2.1166741700196614E-3</v>
      </c>
      <c r="Q338" s="301">
        <f t="shared" si="130"/>
        <v>0.5</v>
      </c>
      <c r="R338" s="173">
        <f t="shared" si="131"/>
        <v>0.48907807122429259</v>
      </c>
      <c r="S338" s="801">
        <f t="shared" si="132"/>
        <v>1</v>
      </c>
      <c r="T338" s="172">
        <f t="shared" si="133"/>
        <v>7</v>
      </c>
      <c r="U338" s="247">
        <f t="shared" si="134"/>
        <v>1.4890780712242926</v>
      </c>
      <c r="V338" s="378">
        <f t="shared" si="135"/>
        <v>108.48831256485452</v>
      </c>
      <c r="W338" s="397">
        <f t="shared" si="136"/>
        <v>71.580453361638348</v>
      </c>
      <c r="X338" s="153">
        <f t="shared" si="137"/>
        <v>45615</v>
      </c>
      <c r="Y338" s="380">
        <f t="shared" si="138"/>
        <v>69.356730932857303</v>
      </c>
      <c r="Z338" s="380">
        <f t="shared" si="139"/>
        <v>70.496784645978792</v>
      </c>
      <c r="AA338" s="381">
        <f t="shared" si="140"/>
        <v>74.577962888658163</v>
      </c>
      <c r="AB338" s="193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5.4723648710710969E-2</v>
      </c>
      <c r="AD338" s="227">
        <f>(INDEX(Models!$BJ338:$BT338,,AH338)*(1-AF338)+INDEX(Models!$BJ338:$BT338,,AH338+1)*AF338-ERP_i)*AE338*Ramure*Pc/MaxiM</f>
        <v>2.1166741700196614E-3</v>
      </c>
      <c r="AE338" s="301">
        <f t="shared" si="142"/>
        <v>0.5</v>
      </c>
      <c r="AF338" s="173">
        <f t="shared" si="143"/>
        <v>0.48907807122429259</v>
      </c>
      <c r="AG338" s="801">
        <f t="shared" si="149"/>
        <v>1</v>
      </c>
      <c r="AH338" s="172">
        <f t="shared" si="144"/>
        <v>7</v>
      </c>
      <c r="AI338" s="221">
        <f t="shared" si="145"/>
        <v>1.4890780712242926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customHeight="1" x14ac:dyDescent="0.2">
      <c r="A339" s="56">
        <f t="shared" si="148"/>
        <v>45616</v>
      </c>
      <c r="B339" s="406">
        <f>'2023'!Wh/'2023'!Env_an*'2024'!Env_an</f>
        <v>14.179671323172244</v>
      </c>
      <c r="C339" s="385"/>
      <c r="D339" s="388">
        <f t="shared" si="127"/>
        <v>14.412947472261282</v>
      </c>
      <c r="E339" s="380">
        <f t="shared" si="125"/>
        <v>14.774398369568235</v>
      </c>
      <c r="F339" s="380">
        <f t="shared" si="128"/>
        <v>14.774398369568235</v>
      </c>
      <c r="G339" s="110">
        <f t="shared" si="126"/>
        <v>0.13175885873658078</v>
      </c>
      <c r="H339" s="409" t="b">
        <f>Wh_hp&gt;='2023'!Maxi_hp</f>
        <v>0</v>
      </c>
      <c r="I339" s="375">
        <f>IF(H339,Wh_hp,'2023'!Maxi_hp)</f>
        <v>14.796158423320728</v>
      </c>
      <c r="J339" s="85">
        <f>IF(H339,An,'2023'!An_max)</f>
        <v>2022</v>
      </c>
      <c r="K339" s="193">
        <f t="shared" si="129"/>
        <v>45616</v>
      </c>
      <c r="L339" s="143">
        <f>IF(t&lt;Tvie,1-EXP((T0-t)*PertePVj)+'2023'!Pspv,1-EXP((T0-t)*PertePVj)+Pspv)</f>
        <v>1.6185179994445575E-2</v>
      </c>
      <c r="M339" s="835"/>
      <c r="N339" s="835"/>
      <c r="O339" s="48">
        <f>IF(t&lt;Tnet,'2023'!Resal+('2023'!Salim-'2023'!Resal)*(1-EXP(('2023'!Tnet-t)/('2023'!Tau_j))),Resal+(Salim-Resal)*(1-EXP((Tnet-t)/(Tau_j))))*Salcycl</f>
        <v>2.4464677901975165E-2</v>
      </c>
      <c r="P339" s="165">
        <f>(INDEX(Models!$BJ339:$BT339,,T339)*(1-R339)+INDEX(Models!$BJ339:$BT339,,T339+1)*R339-ERP_i)*Q339*Ramure*Pc/MaxiM</f>
        <v>2.1466829780485367E-3</v>
      </c>
      <c r="Q339" s="301">
        <f t="shared" si="130"/>
        <v>0.5</v>
      </c>
      <c r="R339" s="173">
        <f t="shared" si="131"/>
        <v>0.48910286807147774</v>
      </c>
      <c r="S339" s="801">
        <f t="shared" si="132"/>
        <v>1</v>
      </c>
      <c r="T339" s="172">
        <f t="shared" si="133"/>
        <v>7</v>
      </c>
      <c r="U339" s="247">
        <f t="shared" si="134"/>
        <v>1.4891028680714777</v>
      </c>
      <c r="V339" s="378">
        <f t="shared" si="135"/>
        <v>107.38733015588997</v>
      </c>
      <c r="W339" s="397">
        <f t="shared" si="136"/>
        <v>14.179671323172244</v>
      </c>
      <c r="X339" s="153">
        <f t="shared" si="137"/>
        <v>45616</v>
      </c>
      <c r="Y339" s="380">
        <f t="shared" si="138"/>
        <v>13.739863097384497</v>
      </c>
      <c r="Z339" s="380">
        <f t="shared" si="139"/>
        <v>13.965903763583196</v>
      </c>
      <c r="AA339" s="381">
        <f t="shared" si="140"/>
        <v>14.774398369568235</v>
      </c>
      <c r="AB339" s="193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5.4722675384897425E-2</v>
      </c>
      <c r="AD339" s="227">
        <f>(INDEX(Models!$BJ339:$BT339,,AH339)*(1-AF339)+INDEX(Models!$BJ339:$BT339,,AH339+1)*AF339-ERP_i)*AE339*Ramure*Pc/MaxiM</f>
        <v>2.1466829780485367E-3</v>
      </c>
      <c r="AE339" s="301">
        <f t="shared" si="142"/>
        <v>0.5</v>
      </c>
      <c r="AF339" s="173">
        <f t="shared" si="143"/>
        <v>0.48910286807147774</v>
      </c>
      <c r="AG339" s="801">
        <f t="shared" si="149"/>
        <v>1</v>
      </c>
      <c r="AH339" s="172">
        <f t="shared" si="144"/>
        <v>7</v>
      </c>
      <c r="AI339" s="221">
        <f t="shared" si="145"/>
        <v>1.4891028680714777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customHeight="1" x14ac:dyDescent="0.2">
      <c r="A340" s="56">
        <f t="shared" si="148"/>
        <v>45617</v>
      </c>
      <c r="B340" s="406">
        <f>'2023'!Wh/'2023'!Env_an*'2024'!Env_an</f>
        <v>34.425319913888011</v>
      </c>
      <c r="C340" s="385"/>
      <c r="D340" s="388">
        <f t="shared" si="127"/>
        <v>34.992145344858045</v>
      </c>
      <c r="E340" s="380">
        <f t="shared" si="125"/>
        <v>35.871481892973783</v>
      </c>
      <c r="F340" s="380">
        <f t="shared" si="128"/>
        <v>35.874130494385781</v>
      </c>
      <c r="G340" s="110">
        <f t="shared" si="126"/>
        <v>0.32311822694663805</v>
      </c>
      <c r="H340" s="409" t="b">
        <f>Wh_hp&gt;='2023'!Maxi_hp</f>
        <v>0</v>
      </c>
      <c r="I340" s="375">
        <f>IF(H340,Wh_hp,'2023'!Maxi_hp)</f>
        <v>35.925753134499537</v>
      </c>
      <c r="J340" s="85">
        <f>IF(H340,An,'2023'!An_max)</f>
        <v>2022</v>
      </c>
      <c r="K340" s="193">
        <f t="shared" si="129"/>
        <v>45617</v>
      </c>
      <c r="L340" s="143">
        <f>IF(t&lt;Tvie,1-EXP((T0-t)*PertePVj)+'2023'!Pspv,1-EXP((T0-t)*PertePVj)+Pspv)</f>
        <v>1.6198647593161364E-2</v>
      </c>
      <c r="M340" s="835"/>
      <c r="N340" s="835"/>
      <c r="O340" s="48">
        <f>IF(t&lt;Tnet,'2023'!Resal+('2023'!Salim-'2023'!Resal)*(1-EXP(('2023'!Tnet-t)/('2023'!Tau_j))),Resal+(Salim-Resal)*(1-EXP((Tnet-t)/(Tau_j))))*Salcycl</f>
        <v>2.4513527228658429E-2</v>
      </c>
      <c r="P340" s="165">
        <f>(INDEX(Models!$BJ340:$BT340,,T340)*(1-R340)+INDEX(Models!$BJ340:$BT340,,T340+1)*R340-ERP_i)*Q340*Ramure*Pc/MaxiM</f>
        <v>2.1717046690629977E-3</v>
      </c>
      <c r="Q340" s="301">
        <f t="shared" si="130"/>
        <v>0.5</v>
      </c>
      <c r="R340" s="173">
        <f t="shared" si="131"/>
        <v>0.48912666883754641</v>
      </c>
      <c r="S340" s="801">
        <f t="shared" si="132"/>
        <v>1</v>
      </c>
      <c r="T340" s="172">
        <f t="shared" si="133"/>
        <v>7</v>
      </c>
      <c r="U340" s="247">
        <f t="shared" si="134"/>
        <v>1.4891266688375464</v>
      </c>
      <c r="V340" s="378">
        <f t="shared" si="135"/>
        <v>106.31741487704021</v>
      </c>
      <c r="W340" s="397">
        <f t="shared" si="136"/>
        <v>34.425319913888011</v>
      </c>
      <c r="X340" s="153">
        <f t="shared" si="137"/>
        <v>45617</v>
      </c>
      <c r="Y340" s="380">
        <f t="shared" si="138"/>
        <v>33.359230877670946</v>
      </c>
      <c r="Z340" s="380">
        <f t="shared" si="139"/>
        <v>33.908502764362595</v>
      </c>
      <c r="AA340" s="381">
        <f t="shared" si="140"/>
        <v>35.871481892973783</v>
      </c>
      <c r="AB340" s="193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5.4722554659658057E-2</v>
      </c>
      <c r="AD340" s="227">
        <f>(INDEX(Models!$BJ340:$BT340,,AH340)*(1-AF340)+INDEX(Models!$BJ340:$BT340,,AH340+1)*AF340-ERP_i)*AE340*Ramure*Pc/MaxiM</f>
        <v>2.1717046690629977E-3</v>
      </c>
      <c r="AE340" s="301">
        <f t="shared" si="142"/>
        <v>0.5</v>
      </c>
      <c r="AF340" s="173">
        <f t="shared" si="143"/>
        <v>0.48912666883754641</v>
      </c>
      <c r="AG340" s="801">
        <f t="shared" si="149"/>
        <v>1</v>
      </c>
      <c r="AH340" s="172">
        <f t="shared" si="144"/>
        <v>7</v>
      </c>
      <c r="AI340" s="221">
        <f t="shared" si="145"/>
        <v>1.4891266688375464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customHeight="1" x14ac:dyDescent="0.2">
      <c r="A341" s="56">
        <f t="shared" si="148"/>
        <v>45618</v>
      </c>
      <c r="B341" s="406">
        <f>'2023'!Wh/'2023'!Env_an*'2024'!Env_an</f>
        <v>56.773797138614874</v>
      </c>
      <c r="C341" s="385"/>
      <c r="D341" s="388">
        <f t="shared" si="127"/>
        <v>57.709388380045645</v>
      </c>
      <c r="E341" s="380">
        <f t="shared" si="125"/>
        <v>59.162578969350818</v>
      </c>
      <c r="F341" s="380">
        <f t="shared" si="128"/>
        <v>59.206928093348253</v>
      </c>
      <c r="G341" s="110">
        <f t="shared" si="126"/>
        <v>0.53847225650770791</v>
      </c>
      <c r="H341" s="409" t="b">
        <f>Wh_hp&gt;='2023'!Maxi_hp</f>
        <v>0</v>
      </c>
      <c r="I341" s="375">
        <f>IF(H341,Wh_hp,'2023'!Maxi_hp)</f>
        <v>59.26549414271846</v>
      </c>
      <c r="J341" s="85">
        <f>IF(H341,An,'2023'!An_max)</f>
        <v>2022</v>
      </c>
      <c r="K341" s="193">
        <f t="shared" si="129"/>
        <v>45618</v>
      </c>
      <c r="L341" s="143">
        <f>IF(t&lt;Tvie,1-EXP((T0-t)*PertePVj)+'2023'!Pspv,1-EXP((T0-t)*PertePVj)+Pspv)</f>
        <v>1.6212115007517069E-2</v>
      </c>
      <c r="M341" s="835"/>
      <c r="N341" s="835"/>
      <c r="O341" s="48">
        <f>IF(t&lt;Tnet,'2023'!Resal+('2023'!Salim-'2023'!Resal)*(1-EXP(('2023'!Tnet-t)/('2023'!Tau_j))),Resal+(Salim-Resal)*(1-EXP((Tnet-t)/(Tau_j))))*Salcycl</f>
        <v>2.4562664688062365E-2</v>
      </c>
      <c r="P341" s="165">
        <f>(INDEX(Models!$BJ341:$BT341,,T341)*(1-R341)+INDEX(Models!$BJ341:$BT341,,T341+1)*R341-ERP_i)*Q341*Ramure*Pc/MaxiM</f>
        <v>2.1915798455794792E-3</v>
      </c>
      <c r="Q341" s="301">
        <f t="shared" si="130"/>
        <v>0.5</v>
      </c>
      <c r="R341" s="173">
        <f t="shared" si="131"/>
        <v>0.48914951344549595</v>
      </c>
      <c r="S341" s="801">
        <f t="shared" si="132"/>
        <v>1</v>
      </c>
      <c r="T341" s="172">
        <f t="shared" si="133"/>
        <v>7</v>
      </c>
      <c r="U341" s="247">
        <f t="shared" si="134"/>
        <v>1.489149513445496</v>
      </c>
      <c r="V341" s="378">
        <f t="shared" si="135"/>
        <v>105.28274638528258</v>
      </c>
      <c r="W341" s="397">
        <f t="shared" si="136"/>
        <v>56.773797138614874</v>
      </c>
      <c r="X341" s="153">
        <f t="shared" si="137"/>
        <v>45618</v>
      </c>
      <c r="Y341" s="380">
        <f t="shared" si="138"/>
        <v>55.018344231695245</v>
      </c>
      <c r="Z341" s="380">
        <f t="shared" si="139"/>
        <v>55.925006874948089</v>
      </c>
      <c r="AA341" s="381">
        <f t="shared" si="140"/>
        <v>59.162578969350818</v>
      </c>
      <c r="AB341" s="193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5.4723309071430963E-2</v>
      </c>
      <c r="AD341" s="227">
        <f>(INDEX(Models!$BJ341:$BT341,,AH341)*(1-AF341)+INDEX(Models!$BJ341:$BT341,,AH341+1)*AF341-ERP_i)*AE341*Ramure*Pc/MaxiM</f>
        <v>2.1915798455794792E-3</v>
      </c>
      <c r="AE341" s="301">
        <f t="shared" si="142"/>
        <v>0.5</v>
      </c>
      <c r="AF341" s="173">
        <f t="shared" si="143"/>
        <v>0.48914951344549595</v>
      </c>
      <c r="AG341" s="801">
        <f t="shared" si="149"/>
        <v>1</v>
      </c>
      <c r="AH341" s="172">
        <f t="shared" si="144"/>
        <v>7</v>
      </c>
      <c r="AI341" s="221">
        <f t="shared" si="145"/>
        <v>1.489149513445496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45619</v>
      </c>
      <c r="B342" s="406">
        <f>'2023'!Wh/'2023'!Env_an*'2024'!Env_an</f>
        <v>55.865823629244808</v>
      </c>
      <c r="C342" s="385"/>
      <c r="D342" s="388">
        <f t="shared" si="127"/>
        <v>56.787229491398136</v>
      </c>
      <c r="E342" s="380">
        <f t="shared" si="125"/>
        <v>58.220149726430371</v>
      </c>
      <c r="F342" s="380">
        <f t="shared" si="128"/>
        <v>58.263428514157809</v>
      </c>
      <c r="G342" s="110">
        <f t="shared" si="126"/>
        <v>0.53490600980758762</v>
      </c>
      <c r="H342" s="409" t="b">
        <f>Wh_hp&gt;='2023'!Maxi_hp</f>
        <v>0</v>
      </c>
      <c r="I342" s="375">
        <f>IF(H342,Wh_hp,'2023'!Maxi_hp)</f>
        <v>58.321847918347885</v>
      </c>
      <c r="J342" s="85">
        <f>IF(H342,An,'2023'!An_max)</f>
        <v>2022</v>
      </c>
      <c r="K342" s="193">
        <f t="shared" si="129"/>
        <v>45619</v>
      </c>
      <c r="L342" s="143">
        <f>IF(t&lt;Tvie,1-EXP((T0-t)*PertePVj)+'2023'!Pspv,1-EXP((T0-t)*PertePVj)+Pspv)</f>
        <v>1.6225582237515246E-2</v>
      </c>
      <c r="M342" s="835"/>
      <c r="N342" s="835"/>
      <c r="O342" s="48">
        <f>IF(t&lt;Tnet,'2023'!Resal+('2023'!Salim-'2023'!Resal)*(1-EXP(('2023'!Tnet-t)/('2023'!Tau_j))),Resal+(Salim-Resal)*(1-EXP((Tnet-t)/(Tau_j))))*Salcycl</f>
        <v>2.4612101510651505E-2</v>
      </c>
      <c r="P342" s="165">
        <f>(INDEX(Models!$BJ342:$BT342,,T342)*(1-R342)+INDEX(Models!$BJ342:$BT342,,T342+1)*R342-ERP_i)*Q342*Ramure*Pc/MaxiM</f>
        <v>2.2061499791396133E-3</v>
      </c>
      <c r="Q342" s="301">
        <f t="shared" si="130"/>
        <v>0.5</v>
      </c>
      <c r="R342" s="173">
        <f t="shared" si="131"/>
        <v>0.48917144022524406</v>
      </c>
      <c r="S342" s="801">
        <f t="shared" si="132"/>
        <v>1</v>
      </c>
      <c r="T342" s="172">
        <f t="shared" si="133"/>
        <v>7</v>
      </c>
      <c r="U342" s="247">
        <f t="shared" si="134"/>
        <v>1.4891714402252441</v>
      </c>
      <c r="V342" s="378">
        <f t="shared" si="135"/>
        <v>104.2875033516454</v>
      </c>
      <c r="W342" s="397">
        <f t="shared" si="136"/>
        <v>55.865823629244808</v>
      </c>
      <c r="X342" s="153">
        <f t="shared" si="137"/>
        <v>45619</v>
      </c>
      <c r="Y342" s="380">
        <f t="shared" si="138"/>
        <v>54.141094917335167</v>
      </c>
      <c r="Z342" s="380">
        <f t="shared" si="139"/>
        <v>55.034054494397914</v>
      </c>
      <c r="AA342" s="381">
        <f t="shared" si="140"/>
        <v>58.220149726430371</v>
      </c>
      <c r="AB342" s="193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5.4724957716590243E-2</v>
      </c>
      <c r="AD342" s="227">
        <f>(INDEX(Models!$BJ342:$BT342,,AH342)*(1-AF342)+INDEX(Models!$BJ342:$BT342,,AH342+1)*AF342-ERP_i)*AE342*Ramure*Pc/MaxiM</f>
        <v>2.2061499791396133E-3</v>
      </c>
      <c r="AE342" s="301">
        <f t="shared" si="142"/>
        <v>0.5</v>
      </c>
      <c r="AF342" s="173">
        <f t="shared" si="143"/>
        <v>0.48917144022524406</v>
      </c>
      <c r="AG342" s="801">
        <f t="shared" si="149"/>
        <v>1</v>
      </c>
      <c r="AH342" s="172">
        <f t="shared" si="144"/>
        <v>7</v>
      </c>
      <c r="AI342" s="221">
        <f t="shared" si="145"/>
        <v>1.4891714402252441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customHeight="1" x14ac:dyDescent="0.2">
      <c r="A343" s="56">
        <f t="shared" si="148"/>
        <v>45620</v>
      </c>
      <c r="B343" s="406">
        <f>'2023'!Wh/'2023'!Env_an*'2024'!Env_an</f>
        <v>18.090246788467294</v>
      </c>
      <c r="C343" s="385"/>
      <c r="D343" s="388">
        <f t="shared" si="127"/>
        <v>18.388864464772045</v>
      </c>
      <c r="E343" s="380">
        <f t="shared" si="125"/>
        <v>18.85383486337706</v>
      </c>
      <c r="F343" s="380">
        <f t="shared" si="128"/>
        <v>18.85383486337706</v>
      </c>
      <c r="G343" s="110">
        <f t="shared" si="126"/>
        <v>0.1746748088161377</v>
      </c>
      <c r="H343" s="409" t="b">
        <f>Wh_hp&gt;='2023'!Maxi_hp</f>
        <v>0</v>
      </c>
      <c r="I343" s="375">
        <f>IF(H343,Wh_hp,'2023'!Maxi_hp)</f>
        <v>18.882417047930645</v>
      </c>
      <c r="J343" s="85">
        <f>IF(H343,An,'2023'!An_max)</f>
        <v>2022</v>
      </c>
      <c r="K343" s="193">
        <f t="shared" si="129"/>
        <v>45620</v>
      </c>
      <c r="L343" s="143">
        <f>IF(t&lt;Tvie,1-EXP((T0-t)*PertePVj)+'2023'!Pspv,1-EXP((T0-t)*PertePVj)+Pspv)</f>
        <v>1.6239049283158224E-2</v>
      </c>
      <c r="M343" s="835"/>
      <c r="N343" s="835"/>
      <c r="O343" s="48">
        <f>IF(t&lt;Tnet,'2023'!Resal+('2023'!Salim-'2023'!Resal)*(1-EXP(('2023'!Tnet-t)/('2023'!Tau_j))),Resal+(Salim-Resal)*(1-EXP((Tnet-t)/(Tau_j))))*Salcycl</f>
        <v>2.4661847415891325E-2</v>
      </c>
      <c r="P343" s="165">
        <f>(INDEX(Models!$BJ343:$BT343,,T343)*(1-R343)+INDEX(Models!$BJ343:$BT343,,T343+1)*R343-ERP_i)*Q343*Ramure*Pc/MaxiM</f>
        <v>2.2152617597242402E-3</v>
      </c>
      <c r="Q343" s="301">
        <f t="shared" si="130"/>
        <v>0.5</v>
      </c>
      <c r="R343" s="173">
        <f t="shared" si="131"/>
        <v>0.48919248597664122</v>
      </c>
      <c r="S343" s="801">
        <f t="shared" si="132"/>
        <v>1</v>
      </c>
      <c r="T343" s="172">
        <f t="shared" si="133"/>
        <v>7</v>
      </c>
      <c r="U343" s="247">
        <f t="shared" si="134"/>
        <v>1.4891924859766412</v>
      </c>
      <c r="V343" s="378">
        <f t="shared" si="135"/>
        <v>103.33586324707186</v>
      </c>
      <c r="W343" s="397">
        <f t="shared" si="136"/>
        <v>18.090246788467294</v>
      </c>
      <c r="X343" s="153">
        <f t="shared" si="137"/>
        <v>45620</v>
      </c>
      <c r="Y343" s="380">
        <f t="shared" si="138"/>
        <v>17.532598790229443</v>
      </c>
      <c r="Z343" s="380">
        <f t="shared" si="139"/>
        <v>17.822011310221129</v>
      </c>
      <c r="AA343" s="381">
        <f t="shared" si="140"/>
        <v>18.85383486337706</v>
      </c>
      <c r="AB343" s="193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5.4727516212641242E-2</v>
      </c>
      <c r="AD343" s="227">
        <f>(INDEX(Models!$BJ343:$BT343,,AH343)*(1-AF343)+INDEX(Models!$BJ343:$BT343,,AH343+1)*AF343-ERP_i)*AE343*Ramure*Pc/MaxiM</f>
        <v>2.2152617597242402E-3</v>
      </c>
      <c r="AE343" s="301">
        <f t="shared" si="142"/>
        <v>0.5</v>
      </c>
      <c r="AF343" s="173">
        <f t="shared" si="143"/>
        <v>0.48919248597664122</v>
      </c>
      <c r="AG343" s="801">
        <f t="shared" si="149"/>
        <v>1</v>
      </c>
      <c r="AH343" s="172">
        <f t="shared" si="144"/>
        <v>7</v>
      </c>
      <c r="AI343" s="221">
        <f t="shared" si="145"/>
        <v>1.4891924859766412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45621</v>
      </c>
      <c r="B344" s="406">
        <f>'2023'!Wh/'2023'!Env_an*'2024'!Env_an</f>
        <v>54.454395462795247</v>
      </c>
      <c r="C344" s="385"/>
      <c r="D344" s="388">
        <f t="shared" si="127"/>
        <v>55.354037856722051</v>
      </c>
      <c r="E344" s="380">
        <f t="shared" si="125"/>
        <v>56.756601928908673</v>
      </c>
      <c r="F344" s="380">
        <f t="shared" si="128"/>
        <v>56.798299854244547</v>
      </c>
      <c r="G344" s="110">
        <f t="shared" si="126"/>
        <v>0.53082523225308953</v>
      </c>
      <c r="H344" s="409" t="b">
        <f>Wh_hp&gt;='2023'!Maxi_hp</f>
        <v>0</v>
      </c>
      <c r="I344" s="375">
        <f>IF(H344,Wh_hp,'2023'!Maxi_hp)</f>
        <v>56.855945185650661</v>
      </c>
      <c r="J344" s="85">
        <f>IF(H344,An,'2023'!An_max)</f>
        <v>2022</v>
      </c>
      <c r="K344" s="193">
        <f t="shared" si="129"/>
        <v>45621</v>
      </c>
      <c r="L344" s="143">
        <f>IF(t&lt;Tvie,1-EXP((T0-t)*PertePVj)+'2023'!Pspv,1-EXP((T0-t)*PertePVj)+Pspv)</f>
        <v>1.6252516144448781E-2</v>
      </c>
      <c r="M344" s="835"/>
      <c r="N344" s="835"/>
      <c r="O344" s="48">
        <f>IF(t&lt;Tnet,'2023'!Resal+('2023'!Salim-'2023'!Resal)*(1-EXP(('2023'!Tnet-t)/('2023'!Tau_j))),Resal+(Salim-Resal)*(1-EXP((Tnet-t)/(Tau_j))))*Salcycl</f>
        <v>2.4711910588717412E-2</v>
      </c>
      <c r="P344" s="165">
        <f>(INDEX(Models!$BJ344:$BT344,,T344)*(1-R344)+INDEX(Models!$BJ344:$BT344,,T344+1)*R344-ERP_i)*Q344*Ramure*Pc/MaxiM</f>
        <v>2.2187601637046568E-3</v>
      </c>
      <c r="Q344" s="301">
        <f t="shared" si="130"/>
        <v>0.5</v>
      </c>
      <c r="R344" s="173">
        <f t="shared" si="131"/>
        <v>0.48921268603003965</v>
      </c>
      <c r="S344" s="801">
        <f t="shared" si="132"/>
        <v>1</v>
      </c>
      <c r="T344" s="172">
        <f t="shared" si="133"/>
        <v>7</v>
      </c>
      <c r="U344" s="247">
        <f t="shared" si="134"/>
        <v>1.4892126860300396</v>
      </c>
      <c r="V344" s="378">
        <f t="shared" si="135"/>
        <v>102.43200340080409</v>
      </c>
      <c r="W344" s="397">
        <f t="shared" si="136"/>
        <v>54.454395462795247</v>
      </c>
      <c r="X344" s="153">
        <f t="shared" si="137"/>
        <v>45621</v>
      </c>
      <c r="Y344" s="380">
        <f t="shared" si="138"/>
        <v>52.778304876593928</v>
      </c>
      <c r="Z344" s="380">
        <f t="shared" si="139"/>
        <v>53.650256537117244</v>
      </c>
      <c r="AA344" s="381">
        <f t="shared" si="140"/>
        <v>56.756601928908673</v>
      </c>
      <c r="AB344" s="193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5.4730996680920511E-2</v>
      </c>
      <c r="AD344" s="227">
        <f>(INDEX(Models!$BJ344:$BT344,,AH344)*(1-AF344)+INDEX(Models!$BJ344:$BT344,,AH344+1)*AF344-ERP_i)*AE344*Ramure*Pc/MaxiM</f>
        <v>2.2187601637046568E-3</v>
      </c>
      <c r="AE344" s="301">
        <f t="shared" si="142"/>
        <v>0.5</v>
      </c>
      <c r="AF344" s="173">
        <f t="shared" si="143"/>
        <v>0.48921268603003965</v>
      </c>
      <c r="AG344" s="801">
        <f t="shared" si="149"/>
        <v>1</v>
      </c>
      <c r="AH344" s="172">
        <f t="shared" si="144"/>
        <v>7</v>
      </c>
      <c r="AI344" s="221">
        <f t="shared" si="145"/>
        <v>1.4892126860300396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customHeight="1" x14ac:dyDescent="0.2">
      <c r="A345" s="56">
        <f t="shared" si="148"/>
        <v>45622</v>
      </c>
      <c r="B345" s="406">
        <f>'2023'!Wh/'2023'!Env_an*'2024'!Env_an</f>
        <v>59.309994212164696</v>
      </c>
      <c r="C345" s="385"/>
      <c r="D345" s="388">
        <f t="shared" si="127"/>
        <v>60.290681400108717</v>
      </c>
      <c r="E345" s="380">
        <f t="shared" si="125"/>
        <v>61.821524389183018</v>
      </c>
      <c r="F345" s="380">
        <f t="shared" si="128"/>
        <v>61.877168397513607</v>
      </c>
      <c r="G345" s="110">
        <f t="shared" si="126"/>
        <v>0.58318953237895055</v>
      </c>
      <c r="H345" s="409" t="b">
        <f>Wh_hp&gt;='2023'!Maxi_hp</f>
        <v>0</v>
      </c>
      <c r="I345" s="375">
        <f>IF(H345,Wh_hp,'2023'!Maxi_hp)</f>
        <v>61.932817208554482</v>
      </c>
      <c r="J345" s="85">
        <f>IF(H345,An,'2023'!An_max)</f>
        <v>2022</v>
      </c>
      <c r="K345" s="193">
        <f t="shared" si="129"/>
        <v>45622</v>
      </c>
      <c r="L345" s="143">
        <f>IF(t&lt;Tvie,1-EXP((T0-t)*PertePVj)+'2023'!Pspv,1-EXP((T0-t)*PertePVj)+Pspv)</f>
        <v>1.6265982821389247E-2</v>
      </c>
      <c r="M345" s="835"/>
      <c r="N345" s="835"/>
      <c r="O345" s="48">
        <f>IF(t&lt;Tnet,'2023'!Resal+('2023'!Salim-'2023'!Resal)*(1-EXP(('2023'!Tnet-t)/('2023'!Tau_j))),Resal+(Salim-Resal)*(1-EXP((Tnet-t)/(Tau_j))))*Salcycl</f>
        <v>2.4762297665732663E-2</v>
      </c>
      <c r="P345" s="165">
        <f>(INDEX(Models!$BJ345:$BT345,,T345)*(1-R345)+INDEX(Models!$BJ345:$BT345,,T345+1)*R345-ERP_i)*Q345*Ramure*Pc/MaxiM</f>
        <v>2.2168148829063618E-3</v>
      </c>
      <c r="Q345" s="301">
        <f t="shared" si="130"/>
        <v>0.5</v>
      </c>
      <c r="R345" s="173">
        <f t="shared" si="131"/>
        <v>0.48923207430450022</v>
      </c>
      <c r="S345" s="801">
        <f t="shared" si="132"/>
        <v>1</v>
      </c>
      <c r="T345" s="172">
        <f t="shared" si="133"/>
        <v>7</v>
      </c>
      <c r="U345" s="247">
        <f t="shared" si="134"/>
        <v>1.4892320743045002</v>
      </c>
      <c r="V345" s="378">
        <f t="shared" si="135"/>
        <v>101.56523179398798</v>
      </c>
      <c r="W345" s="397">
        <f t="shared" si="136"/>
        <v>59.309994212164696</v>
      </c>
      <c r="X345" s="153">
        <f t="shared" si="137"/>
        <v>45622</v>
      </c>
      <c r="Y345" s="380">
        <f t="shared" si="138"/>
        <v>57.487151451461578</v>
      </c>
      <c r="Z345" s="380">
        <f t="shared" si="139"/>
        <v>58.437698043966265</v>
      </c>
      <c r="AA345" s="381">
        <f t="shared" si="140"/>
        <v>61.821524389183018</v>
      </c>
      <c r="AB345" s="193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5.4735407750780403E-2</v>
      </c>
      <c r="AD345" s="227">
        <f>(INDEX(Models!$BJ345:$BT345,,AH345)*(1-AF345)+INDEX(Models!$BJ345:$BT345,,AH345+1)*AF345-ERP_i)*AE345*Ramure*Pc/MaxiM</f>
        <v>2.2168148829063618E-3</v>
      </c>
      <c r="AE345" s="301">
        <f t="shared" si="142"/>
        <v>0.5</v>
      </c>
      <c r="AF345" s="173">
        <f t="shared" si="143"/>
        <v>0.48923207430450022</v>
      </c>
      <c r="AG345" s="801">
        <f t="shared" si="149"/>
        <v>1</v>
      </c>
      <c r="AH345" s="172">
        <f t="shared" si="144"/>
        <v>7</v>
      </c>
      <c r="AI345" s="221">
        <f t="shared" si="145"/>
        <v>1.4892320743045002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customHeight="1" x14ac:dyDescent="0.2">
      <c r="A346" s="56">
        <f t="shared" si="148"/>
        <v>45623</v>
      </c>
      <c r="B346" s="406">
        <f>'2023'!Wh/'2023'!Env_an*'2024'!Env_an</f>
        <v>38.55380375929461</v>
      </c>
      <c r="C346" s="385"/>
      <c r="D346" s="388">
        <f t="shared" si="127"/>
        <v>39.191825089359291</v>
      </c>
      <c r="E346" s="380">
        <f t="shared" si="125"/>
        <v>40.189036196342009</v>
      </c>
      <c r="F346" s="380">
        <f t="shared" si="128"/>
        <v>40.199536726902267</v>
      </c>
      <c r="G346" s="110">
        <f t="shared" si="126"/>
        <v>0.38202305175553969</v>
      </c>
      <c r="H346" s="409" t="b">
        <f>Wh_hp&gt;='2023'!Maxi_hp</f>
        <v>0</v>
      </c>
      <c r="I346" s="375">
        <f>IF(H346,Wh_hp,'2023'!Maxi_hp)</f>
        <v>40.252888141714507</v>
      </c>
      <c r="J346" s="85">
        <f>IF(H346,An,'2023'!An_max)</f>
        <v>2022</v>
      </c>
      <c r="K346" s="193">
        <f t="shared" si="129"/>
        <v>45623</v>
      </c>
      <c r="L346" s="143">
        <f>IF(t&lt;Tvie,1-EXP((T0-t)*PertePVj)+'2023'!Pspv,1-EXP((T0-t)*PertePVj)+Pspv)</f>
        <v>1.6279449313982175E-2</v>
      </c>
      <c r="M346" s="835"/>
      <c r="N346" s="835"/>
      <c r="O346" s="48">
        <f>IF(t&lt;Tnet,'2023'!Resal+('2023'!Salim-'2023'!Resal)*(1-EXP(('2023'!Tnet-t)/('2023'!Tau_j))),Resal+(Salim-Resal)*(1-EXP((Tnet-t)/(Tau_j))))*Salcycl</f>
        <v>2.4813013731179837E-2</v>
      </c>
      <c r="P346" s="165">
        <f>(INDEX(Models!$BJ346:$BT346,,T346)*(1-R346)+INDEX(Models!$BJ346:$BT346,,T346+1)*R346-ERP_i)*Q346*Ramure*Pc/MaxiM</f>
        <v>2.2091302155174404E-3</v>
      </c>
      <c r="Q346" s="301">
        <f t="shared" si="130"/>
        <v>0.5</v>
      </c>
      <c r="R346" s="173">
        <f t="shared" si="131"/>
        <v>0.48925068336373512</v>
      </c>
      <c r="S346" s="801">
        <f t="shared" si="132"/>
        <v>1</v>
      </c>
      <c r="T346" s="172">
        <f t="shared" si="133"/>
        <v>7</v>
      </c>
      <c r="U346" s="247">
        <f t="shared" si="134"/>
        <v>1.4892506833637351</v>
      </c>
      <c r="V346" s="378">
        <f t="shared" si="135"/>
        <v>100.72346219941527</v>
      </c>
      <c r="W346" s="397">
        <f t="shared" si="136"/>
        <v>38.55380375929461</v>
      </c>
      <c r="X346" s="153">
        <f t="shared" si="137"/>
        <v>45623</v>
      </c>
      <c r="Y346" s="380">
        <f t="shared" si="138"/>
        <v>37.370617084240045</v>
      </c>
      <c r="Z346" s="380">
        <f t="shared" si="139"/>
        <v>37.989058028907571</v>
      </c>
      <c r="AA346" s="381">
        <f t="shared" si="140"/>
        <v>40.189036196342009</v>
      </c>
      <c r="AB346" s="193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5.474075458506953E-2</v>
      </c>
      <c r="AD346" s="227">
        <f>(INDEX(Models!$BJ346:$BT346,,AH346)*(1-AF346)+INDEX(Models!$BJ346:$BT346,,AH346+1)*AF346-ERP_i)*AE346*Ramure*Pc/MaxiM</f>
        <v>2.2091302155174404E-3</v>
      </c>
      <c r="AE346" s="301">
        <f t="shared" si="142"/>
        <v>0.5</v>
      </c>
      <c r="AF346" s="173">
        <f t="shared" si="143"/>
        <v>0.48925068336373512</v>
      </c>
      <c r="AG346" s="801">
        <f t="shared" si="149"/>
        <v>1</v>
      </c>
      <c r="AH346" s="172">
        <f t="shared" si="144"/>
        <v>7</v>
      </c>
      <c r="AI346" s="221">
        <f t="shared" si="145"/>
        <v>1.4892506833637351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customHeight="1" x14ac:dyDescent="0.2">
      <c r="A347" s="56">
        <f t="shared" si="148"/>
        <v>45624</v>
      </c>
      <c r="B347" s="406">
        <f>'2023'!Wh/'2023'!Env_an*'2024'!Env_an</f>
        <v>54.927313222974966</v>
      </c>
      <c r="C347" s="385"/>
      <c r="D347" s="388">
        <f t="shared" si="127"/>
        <v>55.837061758804424</v>
      </c>
      <c r="E347" s="380">
        <f t="shared" si="125"/>
        <v>57.26079780404941</v>
      </c>
      <c r="F347" s="380">
        <f t="shared" si="128"/>
        <v>57.305705583914431</v>
      </c>
      <c r="G347" s="110">
        <f t="shared" si="126"/>
        <v>0.54899819286461526</v>
      </c>
      <c r="H347" s="409" t="b">
        <f>Wh_hp&gt;='2023'!Maxi_hp</f>
        <v>0</v>
      </c>
      <c r="I347" s="375">
        <f>IF(H347,Wh_hp,'2023'!Maxi_hp)</f>
        <v>57.360785760520933</v>
      </c>
      <c r="J347" s="85">
        <f>IF(H347,An,'2023'!An_max)</f>
        <v>2022</v>
      </c>
      <c r="K347" s="193">
        <f t="shared" si="129"/>
        <v>45624</v>
      </c>
      <c r="L347" s="143">
        <f>IF(t&lt;Tvie,1-EXP((T0-t)*PertePVj)+'2023'!Pspv,1-EXP((T0-t)*PertePVj)+Pspv)</f>
        <v>1.6292915622230231E-2</v>
      </c>
      <c r="M347" s="835"/>
      <c r="N347" s="835"/>
      <c r="O347" s="48">
        <f>IF(t&lt;Tnet,'2023'!Resal+('2023'!Salim-'2023'!Resal)*(1-EXP(('2023'!Tnet-t)/('2023'!Tau_j))),Resal+(Salim-Resal)*(1-EXP((Tnet-t)/(Tau_j))))*Salcycl</f>
        <v>2.486406232265766E-2</v>
      </c>
      <c r="P347" s="165">
        <f>(INDEX(Models!$BJ347:$BT347,,T347)*(1-R347)+INDEX(Models!$BJ347:$BT347,,T347+1)*R347-ERP_i)*Q347*Ramure*Pc/MaxiM</f>
        <v>2.1962011859518347E-3</v>
      </c>
      <c r="Q347" s="301">
        <f t="shared" si="130"/>
        <v>0.5</v>
      </c>
      <c r="R347" s="173">
        <f t="shared" si="131"/>
        <v>0.48926854446986412</v>
      </c>
      <c r="S347" s="801">
        <f t="shared" si="132"/>
        <v>1</v>
      </c>
      <c r="T347" s="172">
        <f t="shared" si="133"/>
        <v>7</v>
      </c>
      <c r="U347" s="247">
        <f t="shared" si="134"/>
        <v>1.4892685444698641</v>
      </c>
      <c r="V347" s="378">
        <f t="shared" si="135"/>
        <v>99.908643784222576</v>
      </c>
      <c r="W347" s="397">
        <f t="shared" si="136"/>
        <v>54.927313222974966</v>
      </c>
      <c r="X347" s="153">
        <f t="shared" si="137"/>
        <v>45624</v>
      </c>
      <c r="Y347" s="380">
        <f t="shared" si="138"/>
        <v>53.244069325855811</v>
      </c>
      <c r="Z347" s="380">
        <f t="shared" si="139"/>
        <v>54.125938677705676</v>
      </c>
      <c r="AA347" s="381">
        <f t="shared" si="140"/>
        <v>57.26079780404941</v>
      </c>
      <c r="AB347" s="193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5.4747038926552298E-2</v>
      </c>
      <c r="AD347" s="227">
        <f>(INDEX(Models!$BJ347:$BT347,,AH347)*(1-AF347)+INDEX(Models!$BJ347:$BT347,,AH347+1)*AF347-ERP_i)*AE347*Ramure*Pc/MaxiM</f>
        <v>2.1962011859518347E-3</v>
      </c>
      <c r="AE347" s="301">
        <f t="shared" si="142"/>
        <v>0.5</v>
      </c>
      <c r="AF347" s="173">
        <f t="shared" si="143"/>
        <v>0.48926854446986412</v>
      </c>
      <c r="AG347" s="801">
        <f t="shared" si="149"/>
        <v>1</v>
      </c>
      <c r="AH347" s="172">
        <f t="shared" si="144"/>
        <v>7</v>
      </c>
      <c r="AI347" s="221">
        <f t="shared" si="145"/>
        <v>1.4892685444698641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customHeight="1" x14ac:dyDescent="0.2">
      <c r="A348" s="56">
        <f t="shared" si="148"/>
        <v>45625</v>
      </c>
      <c r="B348" s="406">
        <f>'2023'!Wh/'2023'!Env_an*'2024'!Env_an</f>
        <v>21.787226366048767</v>
      </c>
      <c r="C348" s="385"/>
      <c r="D348" s="388">
        <f t="shared" si="127"/>
        <v>22.14838640990968</v>
      </c>
      <c r="E348" s="380">
        <f t="shared" si="125"/>
        <v>22.714323908095295</v>
      </c>
      <c r="F348" s="380">
        <f t="shared" si="128"/>
        <v>22.714323908095295</v>
      </c>
      <c r="G348" s="110">
        <f t="shared" si="126"/>
        <v>0.21932167196382868</v>
      </c>
      <c r="H348" s="409" t="b">
        <f>Wh_hp&gt;='2023'!Maxi_hp</f>
        <v>0</v>
      </c>
      <c r="I348" s="375">
        <f>IF(H348,Wh_hp,'2023'!Maxi_hp)</f>
        <v>22.747934672139031</v>
      </c>
      <c r="J348" s="85">
        <f>IF(H348,An,'2023'!An_max)</f>
        <v>2022</v>
      </c>
      <c r="K348" s="193">
        <f t="shared" si="129"/>
        <v>45625</v>
      </c>
      <c r="L348" s="143">
        <f>IF(t&lt;Tvie,1-EXP((T0-t)*PertePVj)+'2023'!Pspv,1-EXP((T0-t)*PertePVj)+Pspv)</f>
        <v>1.6306381746135745E-2</v>
      </c>
      <c r="M348" s="835"/>
      <c r="N348" s="835"/>
      <c r="O348" s="48">
        <f>IF(t&lt;Tnet,'2023'!Resal+('2023'!Salim-'2023'!Resal)*(1-EXP(('2023'!Tnet-t)/('2023'!Tau_j))),Resal+(Salim-Resal)*(1-EXP((Tnet-t)/(Tau_j))))*Salcycl</f>
        <v>2.4915445446470865E-2</v>
      </c>
      <c r="P348" s="165">
        <f>(INDEX(Models!$BJ348:$BT348,,T348)*(1-R348)+INDEX(Models!$BJ348:$BT348,,T348+1)*R348-ERP_i)*Q348*Ramure*Pc/MaxiM</f>
        <v>2.1779316146188282E-3</v>
      </c>
      <c r="Q348" s="301">
        <f t="shared" si="130"/>
        <v>0.5</v>
      </c>
      <c r="R348" s="173">
        <f t="shared" si="131"/>
        <v>0.4892856876350733</v>
      </c>
      <c r="S348" s="801">
        <f t="shared" si="132"/>
        <v>1</v>
      </c>
      <c r="T348" s="172">
        <f t="shared" si="133"/>
        <v>7</v>
      </c>
      <c r="U348" s="247">
        <f t="shared" si="134"/>
        <v>1.4892856876350733</v>
      </c>
      <c r="V348" s="378">
        <f t="shared" si="135"/>
        <v>99.122786554977083</v>
      </c>
      <c r="W348" s="397">
        <f t="shared" si="136"/>
        <v>21.787226366048767</v>
      </c>
      <c r="X348" s="153">
        <f t="shared" si="137"/>
        <v>45625</v>
      </c>
      <c r="Y348" s="380">
        <f t="shared" si="138"/>
        <v>21.12050983778613</v>
      </c>
      <c r="Z348" s="380">
        <f t="shared" si="139"/>
        <v>21.470617930079431</v>
      </c>
      <c r="AA348" s="381">
        <f t="shared" si="140"/>
        <v>22.714323908095295</v>
      </c>
      <c r="AB348" s="193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5.4754259164747271E-2</v>
      </c>
      <c r="AD348" s="227">
        <f>(INDEX(Models!$BJ348:$BT348,,AH348)*(1-AF348)+INDEX(Models!$BJ348:$BT348,,AH348+1)*AF348-ERP_i)*AE348*Ramure*Pc/MaxiM</f>
        <v>2.1779316146188282E-3</v>
      </c>
      <c r="AE348" s="301">
        <f t="shared" si="142"/>
        <v>0.5</v>
      </c>
      <c r="AF348" s="173">
        <f t="shared" si="143"/>
        <v>0.4892856876350733</v>
      </c>
      <c r="AG348" s="801">
        <f t="shared" si="149"/>
        <v>1</v>
      </c>
      <c r="AH348" s="172">
        <f t="shared" si="144"/>
        <v>7</v>
      </c>
      <c r="AI348" s="221">
        <f t="shared" si="145"/>
        <v>1.4892856876350733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customHeight="1" x14ac:dyDescent="0.2">
      <c r="A349" s="56">
        <f t="shared" si="148"/>
        <v>45626</v>
      </c>
      <c r="B349" s="406">
        <f>'2023'!Wh/'2023'!Env_an*'2024'!Env_an</f>
        <v>16.363780672093387</v>
      </c>
      <c r="C349" s="385"/>
      <c r="D349" s="388">
        <f t="shared" si="127"/>
        <v>16.635265674105973</v>
      </c>
      <c r="E349" s="380">
        <f t="shared" si="125"/>
        <v>17.061236353401018</v>
      </c>
      <c r="F349" s="380">
        <f t="shared" si="128"/>
        <v>17.061236353401018</v>
      </c>
      <c r="G349" s="110">
        <f t="shared" si="126"/>
        <v>0.16599448866248087</v>
      </c>
      <c r="H349" s="409" t="b">
        <f>Wh_hp&gt;='2023'!Maxi_hp</f>
        <v>0</v>
      </c>
      <c r="I349" s="375">
        <f>IF(H349,Wh_hp,'2023'!Maxi_hp)</f>
        <v>17.086180397127045</v>
      </c>
      <c r="J349" s="85">
        <f>IF(H349,An,'2023'!An_max)</f>
        <v>2022</v>
      </c>
      <c r="K349" s="193">
        <f t="shared" si="129"/>
        <v>45626</v>
      </c>
      <c r="L349" s="143">
        <f>IF(t&lt;Tvie,1-EXP((T0-t)*PertePVj)+'2023'!Pspv,1-EXP((T0-t)*PertePVj)+Pspv)</f>
        <v>1.6319847685701383E-2</v>
      </c>
      <c r="M349" s="835"/>
      <c r="N349" s="835"/>
      <c r="O349" s="48">
        <f>IF(t&lt;Tnet,'2023'!Resal+('2023'!Salim-'2023'!Resal)*(1-EXP(('2023'!Tnet-t)/('2023'!Tau_j))),Resal+(Salim-Resal)*(1-EXP((Tnet-t)/(Tau_j))))*Salcycl</f>
        <v>2.4967163602427334E-2</v>
      </c>
      <c r="P349" s="165">
        <f>(INDEX(Models!$BJ349:$BT349,,T349)*(1-R349)+INDEX(Models!$BJ349:$BT349,,T349+1)*R349-ERP_i)*Q349*Ramure*Pc/MaxiM</f>
        <v>2.1542243492318819E-3</v>
      </c>
      <c r="Q349" s="301">
        <f t="shared" si="130"/>
        <v>0.5</v>
      </c>
      <c r="R349" s="173">
        <f t="shared" si="131"/>
        <v>0.48930214167124886</v>
      </c>
      <c r="S349" s="801">
        <f t="shared" si="132"/>
        <v>1</v>
      </c>
      <c r="T349" s="172">
        <f t="shared" si="133"/>
        <v>7</v>
      </c>
      <c r="U349" s="247">
        <f t="shared" si="134"/>
        <v>1.4893021416712489</v>
      </c>
      <c r="V349" s="378">
        <f t="shared" si="135"/>
        <v>98.367900939922905</v>
      </c>
      <c r="W349" s="397">
        <f t="shared" si="136"/>
        <v>16.363780672093387</v>
      </c>
      <c r="X349" s="153">
        <f t="shared" si="137"/>
        <v>45626</v>
      </c>
      <c r="Y349" s="380">
        <f t="shared" si="138"/>
        <v>15.863733016430812</v>
      </c>
      <c r="Z349" s="380">
        <f t="shared" si="139"/>
        <v>16.12692192590071</v>
      </c>
      <c r="AA349" s="381">
        <f t="shared" si="140"/>
        <v>17.061236353401018</v>
      </c>
      <c r="AB349" s="193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5.4762410422504931E-2</v>
      </c>
      <c r="AD349" s="227">
        <f>(INDEX(Models!$BJ349:$BT349,,AH349)*(1-AF349)+INDEX(Models!$BJ349:$BT349,,AH349+1)*AF349-ERP_i)*AE349*Ramure*Pc/MaxiM</f>
        <v>2.1542243492318819E-3</v>
      </c>
      <c r="AE349" s="301">
        <f t="shared" si="142"/>
        <v>0.5</v>
      </c>
      <c r="AF349" s="173">
        <f t="shared" si="143"/>
        <v>0.48930214167124886</v>
      </c>
      <c r="AG349" s="801">
        <f t="shared" si="149"/>
        <v>1</v>
      </c>
      <c r="AH349" s="172">
        <f t="shared" si="144"/>
        <v>7</v>
      </c>
      <c r="AI349" s="221">
        <f t="shared" si="145"/>
        <v>1.4893021416712489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customHeight="1" x14ac:dyDescent="0.2">
      <c r="A350" s="56">
        <f t="shared" si="148"/>
        <v>45627</v>
      </c>
      <c r="B350" s="406">
        <f>'2023'!Wh/'2023'!Env_an*'2024'!Env_an</f>
        <v>26.386748784341908</v>
      </c>
      <c r="C350" s="385"/>
      <c r="D350" s="388">
        <f t="shared" si="127"/>
        <v>26.824888089525995</v>
      </c>
      <c r="E350" s="380">
        <f t="shared" si="125"/>
        <v>27.513247978550552</v>
      </c>
      <c r="F350" s="380">
        <f t="shared" si="128"/>
        <v>27.513247978550552</v>
      </c>
      <c r="G350" s="110">
        <f t="shared" si="126"/>
        <v>0.26965444577552922</v>
      </c>
      <c r="H350" s="409" t="b">
        <f>Wh_hp&gt;='2023'!Maxi_hp</f>
        <v>0</v>
      </c>
      <c r="I350" s="375">
        <f>IF(H350,Wh_hp,'2023'!Maxi_hp)</f>
        <v>27.5528918378476</v>
      </c>
      <c r="J350" s="85">
        <f>IF(H350,An,'2023'!An_max)</f>
        <v>2022</v>
      </c>
      <c r="K350" s="193">
        <f t="shared" si="129"/>
        <v>45627</v>
      </c>
      <c r="L350" s="143">
        <f>IF(t&lt;Tvie,1-EXP((T0-t)*PertePVj)+'2023'!Pspv,1-EXP((T0-t)*PertePVj)+Pspv)</f>
        <v>1.6333313440929587E-2</v>
      </c>
      <c r="M350" s="835"/>
      <c r="N350" s="835"/>
      <c r="O350" s="48">
        <f>IF(t&lt;Tnet,'2023'!Resal+('2023'!Salim-'2023'!Resal)*(1-EXP(('2023'!Tnet-t)/('2023'!Tau_j))),Resal+(Salim-Resal)*(1-EXP((Tnet-t)/(Tau_j))))*Salcycl</f>
        <v>2.5019215817820066E-2</v>
      </c>
      <c r="P350" s="165">
        <f>(INDEX(Models!$BJ350:$BT350,,T350)*(1-R350)+INDEX(Models!$BJ350:$BT350,,T350+1)*R350-ERP_i)*Q350*Ramure*Pc/MaxiM</f>
        <v>2.1249827701404016E-3</v>
      </c>
      <c r="Q350" s="301">
        <f t="shared" si="130"/>
        <v>0.5</v>
      </c>
      <c r="R350" s="173">
        <f t="shared" si="131"/>
        <v>0.48931793423767056</v>
      </c>
      <c r="S350" s="801">
        <f t="shared" si="132"/>
        <v>1</v>
      </c>
      <c r="T350" s="172">
        <f t="shared" si="133"/>
        <v>7</v>
      </c>
      <c r="U350" s="247">
        <f t="shared" si="134"/>
        <v>1.4893179342376706</v>
      </c>
      <c r="V350" s="378">
        <f t="shared" si="135"/>
        <v>97.645997721594512</v>
      </c>
      <c r="W350" s="397">
        <f t="shared" si="136"/>
        <v>26.386748784341908</v>
      </c>
      <c r="X350" s="153">
        <f t="shared" si="137"/>
        <v>45627</v>
      </c>
      <c r="Y350" s="380">
        <f t="shared" si="138"/>
        <v>25.581537382764662</v>
      </c>
      <c r="Z350" s="380">
        <f t="shared" si="139"/>
        <v>26.006306538905502</v>
      </c>
      <c r="AA350" s="381">
        <f t="shared" si="140"/>
        <v>27.513247978550552</v>
      </c>
      <c r="AB350" s="193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5.4771484661493466E-2</v>
      </c>
      <c r="AD350" s="227">
        <f>(INDEX(Models!$BJ350:$BT350,,AH350)*(1-AF350)+INDEX(Models!$BJ350:$BT350,,AH350+1)*AF350-ERP_i)*AE350*Ramure*Pc/MaxiM</f>
        <v>2.1249827701404016E-3</v>
      </c>
      <c r="AE350" s="301">
        <f t="shared" si="142"/>
        <v>0.5</v>
      </c>
      <c r="AF350" s="173">
        <f t="shared" si="143"/>
        <v>0.48931793423767056</v>
      </c>
      <c r="AG350" s="801">
        <f t="shared" si="149"/>
        <v>1</v>
      </c>
      <c r="AH350" s="172">
        <f t="shared" si="144"/>
        <v>7</v>
      </c>
      <c r="AI350" s="221">
        <f t="shared" si="145"/>
        <v>1.4893179342376706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customHeight="1" x14ac:dyDescent="0.2">
      <c r="A351" s="56">
        <f t="shared" si="148"/>
        <v>45628</v>
      </c>
      <c r="B351" s="406">
        <f>'2023'!Wh/'2023'!Env_an*'2024'!Env_an</f>
        <v>36.179865733610995</v>
      </c>
      <c r="C351" s="385"/>
      <c r="D351" s="388">
        <f t="shared" si="127"/>
        <v>36.781118550361413</v>
      </c>
      <c r="E351" s="380">
        <f t="shared" si="125"/>
        <v>37.726994657941866</v>
      </c>
      <c r="F351" s="380">
        <f t="shared" si="128"/>
        <v>37.735236180016791</v>
      </c>
      <c r="G351" s="110">
        <f t="shared" si="126"/>
        <v>0.37244711688331067</v>
      </c>
      <c r="H351" s="409" t="b">
        <f>Wh_hp&gt;='2023'!Maxi_hp</f>
        <v>0</v>
      </c>
      <c r="I351" s="375">
        <f>IF(H351,Wh_hp,'2023'!Maxi_hp)</f>
        <v>37.783098286209089</v>
      </c>
      <c r="J351" s="85">
        <f>IF(H351,An,'2023'!An_max)</f>
        <v>2022</v>
      </c>
      <c r="K351" s="193">
        <f t="shared" si="129"/>
        <v>45628</v>
      </c>
      <c r="L351" s="143">
        <f>IF(t&lt;Tvie,1-EXP((T0-t)*PertePVj)+'2023'!Pspv,1-EXP((T0-t)*PertePVj)+Pspv)</f>
        <v>1.6346779011822909E-2</v>
      </c>
      <c r="M351" s="835"/>
      <c r="N351" s="835"/>
      <c r="O351" s="48">
        <f>IF(t&lt;Tnet,'2023'!Resal+('2023'!Salim-'2023'!Resal)*(1-EXP(('2023'!Tnet-t)/('2023'!Tau_j))),Resal+(Salim-Resal)*(1-EXP((Tnet-t)/(Tau_j))))*Salcycl</f>
        <v>2.507159969025884E-2</v>
      </c>
      <c r="P351" s="165">
        <f>(INDEX(Models!$BJ351:$BT351,,T351)*(1-R351)+INDEX(Models!$BJ351:$BT351,,T351+1)*R351-ERP_i)*Q351*Ramure*Pc/MaxiM</f>
        <v>2.0901124680514716E-3</v>
      </c>
      <c r="Q351" s="301">
        <f t="shared" si="130"/>
        <v>0.5</v>
      </c>
      <c r="R351" s="173">
        <f t="shared" si="131"/>
        <v>0.48933309188683327</v>
      </c>
      <c r="S351" s="801">
        <f t="shared" si="132"/>
        <v>1</v>
      </c>
      <c r="T351" s="172">
        <f t="shared" si="133"/>
        <v>7</v>
      </c>
      <c r="U351" s="247">
        <f t="shared" si="134"/>
        <v>1.4893330918868333</v>
      </c>
      <c r="V351" s="378">
        <f t="shared" si="135"/>
        <v>96.959087983631889</v>
      </c>
      <c r="W351" s="397">
        <f t="shared" si="136"/>
        <v>36.179865733610995</v>
      </c>
      <c r="X351" s="153">
        <f t="shared" si="137"/>
        <v>45628</v>
      </c>
      <c r="Y351" s="380">
        <f t="shared" si="138"/>
        <v>35.0773241032974</v>
      </c>
      <c r="Z351" s="380">
        <f t="shared" si="139"/>
        <v>35.660254401504176</v>
      </c>
      <c r="AA351" s="381">
        <f t="shared" si="140"/>
        <v>37.726994657941866</v>
      </c>
      <c r="AB351" s="193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5.4781470805616427E-2</v>
      </c>
      <c r="AD351" s="227">
        <f>(INDEX(Models!$BJ351:$BT351,,AH351)*(1-AF351)+INDEX(Models!$BJ351:$BT351,,AH351+1)*AF351-ERP_i)*AE351*Ramure*Pc/MaxiM</f>
        <v>2.0901124680514716E-3</v>
      </c>
      <c r="AE351" s="301">
        <f t="shared" si="142"/>
        <v>0.5</v>
      </c>
      <c r="AF351" s="173">
        <f t="shared" si="143"/>
        <v>0.48933309188683327</v>
      </c>
      <c r="AG351" s="801">
        <f t="shared" si="149"/>
        <v>1</v>
      </c>
      <c r="AH351" s="172">
        <f t="shared" si="144"/>
        <v>7</v>
      </c>
      <c r="AI351" s="221">
        <f t="shared" si="145"/>
        <v>1.4893330918868333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customHeight="1" x14ac:dyDescent="0.2">
      <c r="A352" s="56">
        <f t="shared" si="148"/>
        <v>45629</v>
      </c>
      <c r="B352" s="406">
        <f>'2023'!Wh/'2023'!Env_an*'2024'!Env_an</f>
        <v>77.62560738123679</v>
      </c>
      <c r="C352" s="385"/>
      <c r="D352" s="388">
        <f t="shared" si="127"/>
        <v>78.916703944890102</v>
      </c>
      <c r="E352" s="380">
        <f t="shared" si="125"/>
        <v>80.950530278761576</v>
      </c>
      <c r="F352" s="380">
        <f t="shared" si="128"/>
        <v>81.07077311723306</v>
      </c>
      <c r="G352" s="110">
        <f t="shared" si="126"/>
        <v>0.80554706313619595</v>
      </c>
      <c r="H352" s="409" t="b">
        <f>Wh_hp&gt;='2023'!Maxi_hp</f>
        <v>0</v>
      </c>
      <c r="I352" s="375">
        <f>IF(H352,Wh_hp,'2023'!Maxi_hp)</f>
        <v>81.102007560946589</v>
      </c>
      <c r="J352" s="85">
        <f>IF(H352,An,'2023'!An_max)</f>
        <v>2022</v>
      </c>
      <c r="K352" s="193">
        <f t="shared" si="129"/>
        <v>45629</v>
      </c>
      <c r="L352" s="143">
        <f>IF(t&lt;Tvie,1-EXP((T0-t)*PertePVj)+'2023'!Pspv,1-EXP((T0-t)*PertePVj)+Pspv)</f>
        <v>1.6360244398383905E-2</v>
      </c>
      <c r="M352" s="835"/>
      <c r="N352" s="835"/>
      <c r="O352" s="48">
        <f>IF(t&lt;Tnet,'2023'!Resal+('2023'!Salim-'2023'!Resal)*(1-EXP(('2023'!Tnet-t)/('2023'!Tau_j))),Resal+(Salim-Resal)*(1-EXP((Tnet-t)/(Tau_j))))*Salcycl</f>
        <v>2.5124311438946435E-2</v>
      </c>
      <c r="P352" s="165">
        <f>(INDEX(Models!$BJ352:$BT352,,T352)*(1-R352)+INDEX(Models!$BJ352:$BT352,,T352+1)*R352-ERP_i)*Q352*Ramure*Pc/MaxiM</f>
        <v>2.0518103990094958E-3</v>
      </c>
      <c r="Q352" s="301">
        <f t="shared" si="130"/>
        <v>0.5</v>
      </c>
      <c r="R352" s="173">
        <f t="shared" si="131"/>
        <v>0.48934764010846821</v>
      </c>
      <c r="S352" s="801">
        <f t="shared" si="132"/>
        <v>1</v>
      </c>
      <c r="T352" s="172">
        <f t="shared" si="133"/>
        <v>7</v>
      </c>
      <c r="U352" s="247">
        <f t="shared" si="134"/>
        <v>1.4893476401084682</v>
      </c>
      <c r="V352" s="378">
        <f t="shared" si="135"/>
        <v>96.30896239759339</v>
      </c>
      <c r="W352" s="397">
        <f t="shared" si="136"/>
        <v>77.62560738123679</v>
      </c>
      <c r="X352" s="153">
        <f t="shared" si="137"/>
        <v>45629</v>
      </c>
      <c r="Y352" s="380">
        <f t="shared" si="138"/>
        <v>75.263255012576266</v>
      </c>
      <c r="Z352" s="380">
        <f t="shared" si="139"/>
        <v>76.515060095902257</v>
      </c>
      <c r="AA352" s="381">
        <f t="shared" si="140"/>
        <v>80.950530278761576</v>
      </c>
      <c r="AB352" s="193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5.4792354881250574E-2</v>
      </c>
      <c r="AD352" s="227">
        <f>(INDEX(Models!$BJ352:$BT352,,AH352)*(1-AF352)+INDEX(Models!$BJ352:$BT352,,AH352+1)*AF352-ERP_i)*AE352*Ramure*Pc/MaxiM</f>
        <v>2.0518103990094958E-3</v>
      </c>
      <c r="AE352" s="301">
        <f t="shared" si="142"/>
        <v>0.5</v>
      </c>
      <c r="AF352" s="173">
        <f t="shared" si="143"/>
        <v>0.48934764010846821</v>
      </c>
      <c r="AG352" s="801">
        <f t="shared" si="149"/>
        <v>1</v>
      </c>
      <c r="AH352" s="172">
        <f t="shared" si="144"/>
        <v>7</v>
      </c>
      <c r="AI352" s="221">
        <f t="shared" si="145"/>
        <v>1.4893476401084682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customHeight="1" x14ac:dyDescent="0.2">
      <c r="A353" s="56">
        <f t="shared" si="148"/>
        <v>45630</v>
      </c>
      <c r="B353" s="406">
        <f>'2023'!Wh/'2023'!Env_an*'2024'!Env_an</f>
        <v>97.416995406843867</v>
      </c>
      <c r="C353" s="385"/>
      <c r="D353" s="388">
        <f t="shared" si="127"/>
        <v>99.038625093366846</v>
      </c>
      <c r="E353" s="380">
        <f t="shared" si="125"/>
        <v>101.59655675144178</v>
      </c>
      <c r="F353" s="380">
        <f t="shared" si="128"/>
        <v>101.80165922756321</v>
      </c>
      <c r="G353" s="110">
        <f t="shared" si="126"/>
        <v>1.0179714021442381</v>
      </c>
      <c r="H353" s="409" t="b">
        <f>Wh_hp&gt;='2023'!Maxi_hp</f>
        <v>1</v>
      </c>
      <c r="I353" s="375">
        <f>IF(H353,Wh_hp,'2023'!Maxi_hp)</f>
        <v>101.80165922756321</v>
      </c>
      <c r="J353" s="85">
        <f>IF(H353,An,'2023'!An_max)</f>
        <v>2024</v>
      </c>
      <c r="K353" s="193">
        <f t="shared" si="129"/>
        <v>45630</v>
      </c>
      <c r="L353" s="143">
        <f>IF(t&lt;Tvie,1-EXP((T0-t)*PertePVj)+'2023'!Pspv,1-EXP((T0-t)*PertePVj)+Pspv)</f>
        <v>1.6373709600615127E-2</v>
      </c>
      <c r="M353" s="835"/>
      <c r="N353" s="835"/>
      <c r="O353" s="48">
        <f>IF(t&lt;Tnet,'2023'!Resal+('2023'!Salim-'2023'!Resal)*(1-EXP(('2023'!Tnet-t)/('2023'!Tau_j))),Resal+(Salim-Resal)*(1-EXP((Tnet-t)/(Tau_j))))*Salcycl</f>
        <v>2.5177345963928403E-2</v>
      </c>
      <c r="P353" s="165">
        <f>(INDEX(Models!$BJ353:$BT353,,T353)*(1-R353)+INDEX(Models!$BJ353:$BT353,,T353+1)*R353-ERP_i)*Q353*Ramure*Pc/MaxiM</f>
        <v>2.0147262596471719E-3</v>
      </c>
      <c r="Q353" s="301">
        <f t="shared" si="130"/>
        <v>0.5</v>
      </c>
      <c r="R353" s="173">
        <f t="shared" si="131"/>
        <v>0.4893616033718371</v>
      </c>
      <c r="S353" s="801">
        <f t="shared" si="132"/>
        <v>1</v>
      </c>
      <c r="T353" s="172">
        <f t="shared" si="133"/>
        <v>7</v>
      </c>
      <c r="U353" s="247">
        <f t="shared" si="134"/>
        <v>1.4893616033718371</v>
      </c>
      <c r="V353" s="378">
        <f t="shared" si="135"/>
        <v>95.697182849779793</v>
      </c>
      <c r="W353" s="397">
        <f t="shared" si="136"/>
        <v>97.416995406843867</v>
      </c>
      <c r="X353" s="153">
        <f t="shared" si="137"/>
        <v>45630</v>
      </c>
      <c r="Y353" s="380">
        <f t="shared" si="138"/>
        <v>94.456301669268385</v>
      </c>
      <c r="Z353" s="380">
        <f t="shared" si="139"/>
        <v>96.028646846065897</v>
      </c>
      <c r="AA353" s="381">
        <f t="shared" si="140"/>
        <v>101.59655675144178</v>
      </c>
      <c r="AB353" s="193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5.4804120173067475E-2</v>
      </c>
      <c r="AD353" s="227">
        <f>(INDEX(Models!$BJ353:$BT353,,AH353)*(1-AF353)+INDEX(Models!$BJ353:$BT353,,AH353+1)*AF353-ERP_i)*AE353*Ramure*Pc/MaxiM</f>
        <v>2.0147262596471719E-3</v>
      </c>
      <c r="AE353" s="301">
        <f t="shared" si="142"/>
        <v>0.5</v>
      </c>
      <c r="AF353" s="173">
        <f t="shared" si="143"/>
        <v>0.4893616033718371</v>
      </c>
      <c r="AG353" s="801">
        <f t="shared" si="149"/>
        <v>1</v>
      </c>
      <c r="AH353" s="172">
        <f t="shared" si="144"/>
        <v>7</v>
      </c>
      <c r="AI353" s="221">
        <f t="shared" si="145"/>
        <v>1.4893616033718371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45631</v>
      </c>
      <c r="B354" s="406">
        <f>'2023'!Wh/'2023'!Env_an*'2024'!Env_an</f>
        <v>50.625394522210968</v>
      </c>
      <c r="C354" s="385"/>
      <c r="D354" s="388">
        <f t="shared" si="127"/>
        <v>51.468823113989579</v>
      </c>
      <c r="E354" s="380">
        <f t="shared" si="125"/>
        <v>52.801029895977798</v>
      </c>
      <c r="F354" s="380">
        <f t="shared" si="128"/>
        <v>52.835710803100199</v>
      </c>
      <c r="G354" s="110">
        <f t="shared" si="126"/>
        <v>0.53149007153998062</v>
      </c>
      <c r="H354" s="409" t="b">
        <f>Wh_hp&gt;='2023'!Maxi_hp</f>
        <v>0</v>
      </c>
      <c r="I354" s="375">
        <f>IF(H354,Wh_hp,'2023'!Maxi_hp)</f>
        <v>52.883007862036244</v>
      </c>
      <c r="J354" s="85">
        <f>IF(H354,An,'2023'!An_max)</f>
        <v>2022</v>
      </c>
      <c r="K354" s="193">
        <f t="shared" si="129"/>
        <v>45631</v>
      </c>
      <c r="L354" s="143">
        <f>IF(t&lt;Tvie,1-EXP((T0-t)*PertePVj)+'2023'!Pspv,1-EXP((T0-t)*PertePVj)+Pspv)</f>
        <v>1.6387174618518907E-2</v>
      </c>
      <c r="M354" s="835"/>
      <c r="N354" s="835"/>
      <c r="O354" s="48">
        <f>IF(t&lt;Tnet,'2023'!Resal+('2023'!Salim-'2023'!Resal)*(1-EXP(('2023'!Tnet-t)/('2023'!Tau_j))),Resal+(Salim-Resal)*(1-EXP((Tnet-t)/(Tau_j))))*Salcycl</f>
        <v>2.5230696912783249E-2</v>
      </c>
      <c r="P354" s="165">
        <f>(INDEX(Models!$BJ354:$BT354,,T354)*(1-R354)+INDEX(Models!$BJ354:$BT354,,T354+1)*R354-ERP_i)*Q354*Ramure*Pc/MaxiM</f>
        <v>1.9788338161568892E-3</v>
      </c>
      <c r="Q354" s="301">
        <f t="shared" si="130"/>
        <v>0.5</v>
      </c>
      <c r="R354" s="173">
        <f t="shared" si="131"/>
        <v>0.48937500516636012</v>
      </c>
      <c r="S354" s="801">
        <f t="shared" si="132"/>
        <v>1</v>
      </c>
      <c r="T354" s="172">
        <f t="shared" si="133"/>
        <v>7</v>
      </c>
      <c r="U354" s="247">
        <f t="shared" si="134"/>
        <v>1.4893750051663601</v>
      </c>
      <c r="V354" s="378">
        <f t="shared" si="135"/>
        <v>95.125768264765526</v>
      </c>
      <c r="W354" s="397">
        <f t="shared" si="136"/>
        <v>50.625394522210968</v>
      </c>
      <c r="X354" s="153">
        <f t="shared" si="137"/>
        <v>45631</v>
      </c>
      <c r="Y354" s="380">
        <f t="shared" si="138"/>
        <v>49.088820203316871</v>
      </c>
      <c r="Z354" s="380">
        <f t="shared" si="139"/>
        <v>49.906649178022285</v>
      </c>
      <c r="AA354" s="381">
        <f t="shared" si="140"/>
        <v>52.801029895977798</v>
      </c>
      <c r="AB354" s="193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5.4816747394088178E-2</v>
      </c>
      <c r="AD354" s="227">
        <f>(INDEX(Models!$BJ354:$BT354,,AH354)*(1-AF354)+INDEX(Models!$BJ354:$BT354,,AH354+1)*AF354-ERP_i)*AE354*Ramure*Pc/MaxiM</f>
        <v>1.9788338161568892E-3</v>
      </c>
      <c r="AE354" s="301">
        <f t="shared" si="142"/>
        <v>0.5</v>
      </c>
      <c r="AF354" s="173">
        <f t="shared" si="143"/>
        <v>0.48937500516636012</v>
      </c>
      <c r="AG354" s="801">
        <f t="shared" si="149"/>
        <v>1</v>
      </c>
      <c r="AH354" s="172">
        <f t="shared" si="144"/>
        <v>7</v>
      </c>
      <c r="AI354" s="221">
        <f t="shared" si="145"/>
        <v>1.4893750051663601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45632</v>
      </c>
      <c r="B355" s="406">
        <f>'2023'!Wh/'2023'!Env_an*'2024'!Env_an</f>
        <v>78.3095264512027</v>
      </c>
      <c r="C355" s="385"/>
      <c r="D355" s="388">
        <f t="shared" si="127"/>
        <v>79.61526775249358</v>
      </c>
      <c r="E355" s="380">
        <f t="shared" si="125"/>
        <v>81.680506826967502</v>
      </c>
      <c r="F355" s="380">
        <f t="shared" si="128"/>
        <v>81.800420208653875</v>
      </c>
      <c r="G355" s="110">
        <f t="shared" si="126"/>
        <v>0.82742838595909274</v>
      </c>
      <c r="H355" s="409" t="b">
        <f>Wh_hp&gt;='2023'!Maxi_hp</f>
        <v>0</v>
      </c>
      <c r="I355" s="375">
        <f>IF(H355,Wh_hp,'2023'!Maxi_hp)</f>
        <v>81.826902027230147</v>
      </c>
      <c r="J355" s="85">
        <f>IF(H355,An,'2023'!An_max)</f>
        <v>2022</v>
      </c>
      <c r="K355" s="193">
        <f t="shared" si="129"/>
        <v>45632</v>
      </c>
      <c r="L355" s="143">
        <f>IF(t&lt;Tvie,1-EXP((T0-t)*PertePVj)+'2023'!Pspv,1-EXP((T0-t)*PertePVj)+Pspv)</f>
        <v>1.6400639452097909E-2</v>
      </c>
      <c r="M355" s="835"/>
      <c r="N355" s="835"/>
      <c r="O355" s="48">
        <f>IF(t&lt;Tnet,'2023'!Resal+('2023'!Salim-'2023'!Resal)*(1-EXP(('2023'!Tnet-t)/('2023'!Tau_j))),Resal+(Salim-Resal)*(1-EXP((Tnet-t)/(Tau_j))))*Salcycl</f>
        <v>2.5284356754163316E-2</v>
      </c>
      <c r="P355" s="165">
        <f>(INDEX(Models!$BJ355:$BT355,,T355)*(1-R355)+INDEX(Models!$BJ355:$BT355,,T355+1)*R355-ERP_i)*Q355*Ramure*Pc/MaxiM</f>
        <v>1.9441078313526508E-3</v>
      </c>
      <c r="Q355" s="301">
        <f t="shared" si="130"/>
        <v>0.5</v>
      </c>
      <c r="R355" s="173">
        <f t="shared" si="131"/>
        <v>0.48938786804064516</v>
      </c>
      <c r="S355" s="801">
        <f t="shared" si="132"/>
        <v>1</v>
      </c>
      <c r="T355" s="172">
        <f t="shared" si="133"/>
        <v>7</v>
      </c>
      <c r="U355" s="247">
        <f t="shared" si="134"/>
        <v>1.4893878680406452</v>
      </c>
      <c r="V355" s="378">
        <f t="shared" si="135"/>
        <v>94.596736866687024</v>
      </c>
      <c r="W355" s="397">
        <f t="shared" si="136"/>
        <v>78.3095264512027</v>
      </c>
      <c r="X355" s="153">
        <f t="shared" si="137"/>
        <v>45632</v>
      </c>
      <c r="Y355" s="380">
        <f t="shared" si="138"/>
        <v>75.935785787900286</v>
      </c>
      <c r="Z355" s="380">
        <f t="shared" si="139"/>
        <v>77.201947087075354</v>
      </c>
      <c r="AA355" s="381">
        <f t="shared" si="140"/>
        <v>81.680506826967502</v>
      </c>
      <c r="AB355" s="193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5.4830214868518815E-2</v>
      </c>
      <c r="AD355" s="227">
        <f>(INDEX(Models!$BJ355:$BT355,,AH355)*(1-AF355)+INDEX(Models!$BJ355:$BT355,,AH355+1)*AF355-ERP_i)*AE355*Ramure*Pc/MaxiM</f>
        <v>1.9441078313526508E-3</v>
      </c>
      <c r="AE355" s="301">
        <f t="shared" si="142"/>
        <v>0.5</v>
      </c>
      <c r="AF355" s="173">
        <f t="shared" si="143"/>
        <v>0.48938786804064516</v>
      </c>
      <c r="AG355" s="801">
        <f t="shared" si="149"/>
        <v>1</v>
      </c>
      <c r="AH355" s="172">
        <f t="shared" si="144"/>
        <v>7</v>
      </c>
      <c r="AI355" s="221">
        <f t="shared" si="145"/>
        <v>1.4893878680406452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customHeight="1" x14ac:dyDescent="0.2">
      <c r="A356" s="56">
        <f t="shared" si="148"/>
        <v>45633</v>
      </c>
      <c r="B356" s="406">
        <f>'2023'!Wh/'2023'!Env_an*'2024'!Env_an</f>
        <v>14.818501486610398</v>
      </c>
      <c r="C356" s="385"/>
      <c r="D356" s="388">
        <f t="shared" si="127"/>
        <v>15.065792980969489</v>
      </c>
      <c r="E356" s="380">
        <f t="shared" si="125"/>
        <v>15.457458974272097</v>
      </c>
      <c r="F356" s="380">
        <f t="shared" si="128"/>
        <v>15.457458974272097</v>
      </c>
      <c r="G356" s="110">
        <f t="shared" si="126"/>
        <v>0.15715502485678243</v>
      </c>
      <c r="H356" s="409" t="b">
        <f>Wh_hp&gt;='2023'!Maxi_hp</f>
        <v>0</v>
      </c>
      <c r="I356" s="375">
        <f>IF(H356,Wh_hp,'2023'!Maxi_hp)</f>
        <v>15.477444404663771</v>
      </c>
      <c r="J356" s="85">
        <f>IF(H356,An,'2023'!An_max)</f>
        <v>2022</v>
      </c>
      <c r="K356" s="193">
        <f t="shared" si="129"/>
        <v>45633</v>
      </c>
      <c r="L356" s="143">
        <f>IF(t&lt;Tvie,1-EXP((T0-t)*PertePVj)+'2023'!Pspv,1-EXP((T0-t)*PertePVj)+Pspv)</f>
        <v>1.6414104101354687E-2</v>
      </c>
      <c r="M356" s="835"/>
      <c r="N356" s="835"/>
      <c r="O356" s="48">
        <f>IF(t&lt;Tnet,'2023'!Resal+('2023'!Salim-'2023'!Resal)*(1-EXP(('2023'!Tnet-t)/('2023'!Tau_j))),Resal+(Salim-Resal)*(1-EXP((Tnet-t)/(Tau_j))))*Salcycl</f>
        <v>2.5338316857545007E-2</v>
      </c>
      <c r="P356" s="165">
        <f>(INDEX(Models!$BJ356:$BT356,,T356)*(1-R356)+INDEX(Models!$BJ356:$BT356,,T356+1)*R356-ERP_i)*Q356*Ramure*Pc/MaxiM</f>
        <v>1.9105241047428939E-3</v>
      </c>
      <c r="Q356" s="301">
        <f t="shared" si="130"/>
        <v>0.5</v>
      </c>
      <c r="R356" s="173">
        <f t="shared" si="131"/>
        <v>0.48940021363997932</v>
      </c>
      <c r="S356" s="801">
        <f t="shared" si="132"/>
        <v>1</v>
      </c>
      <c r="T356" s="172">
        <f t="shared" si="133"/>
        <v>7</v>
      </c>
      <c r="U356" s="247">
        <f t="shared" si="134"/>
        <v>1.4894002136399793</v>
      </c>
      <c r="V356" s="378">
        <f t="shared" si="135"/>
        <v>94.112106156341909</v>
      </c>
      <c r="W356" s="397">
        <f t="shared" si="136"/>
        <v>14.818501486610398</v>
      </c>
      <c r="X356" s="153">
        <f t="shared" si="137"/>
        <v>45633</v>
      </c>
      <c r="Y356" s="380">
        <f t="shared" si="138"/>
        <v>14.369897209411747</v>
      </c>
      <c r="Z356" s="380">
        <f t="shared" si="139"/>
        <v>14.609702385253101</v>
      </c>
      <c r="AA356" s="381">
        <f t="shared" si="140"/>
        <v>15.457458974272097</v>
      </c>
      <c r="AB356" s="193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5.4844498725827376E-2</v>
      </c>
      <c r="AD356" s="227">
        <f>(INDEX(Models!$BJ356:$BT356,,AH356)*(1-AF356)+INDEX(Models!$BJ356:$BT356,,AH356+1)*AF356-ERP_i)*AE356*Ramure*Pc/MaxiM</f>
        <v>1.9105241047428939E-3</v>
      </c>
      <c r="AE356" s="301">
        <f t="shared" si="142"/>
        <v>0.5</v>
      </c>
      <c r="AF356" s="173">
        <f t="shared" si="143"/>
        <v>0.48940021363997932</v>
      </c>
      <c r="AG356" s="801">
        <f t="shared" si="149"/>
        <v>1</v>
      </c>
      <c r="AH356" s="172">
        <f t="shared" si="144"/>
        <v>7</v>
      </c>
      <c r="AI356" s="221">
        <f t="shared" si="145"/>
        <v>1.4894002136399793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45634</v>
      </c>
      <c r="B357" s="406">
        <f>'2023'!Wh/'2023'!Env_an*'2024'!Env_an</f>
        <v>28.48459877306826</v>
      </c>
      <c r="C357" s="385"/>
      <c r="D357" s="388">
        <f t="shared" si="127"/>
        <v>28.960346856761298</v>
      </c>
      <c r="E357" s="380">
        <f t="shared" si="125"/>
        <v>29.714884058298985</v>
      </c>
      <c r="F357" s="380">
        <f t="shared" si="128"/>
        <v>29.715209538444164</v>
      </c>
      <c r="G357" s="110">
        <f t="shared" si="126"/>
        <v>0.30351481645079259</v>
      </c>
      <c r="H357" s="409" t="b">
        <f>Wh_hp&gt;='2023'!Maxi_hp</f>
        <v>0</v>
      </c>
      <c r="I357" s="375">
        <f>IF(H357,Wh_hp,'2023'!Maxi_hp)</f>
        <v>29.752765723166412</v>
      </c>
      <c r="J357" s="85">
        <f>IF(H357,An,'2023'!An_max)</f>
        <v>2022</v>
      </c>
      <c r="K357" s="193">
        <f t="shared" si="129"/>
        <v>45634</v>
      </c>
      <c r="L357" s="143">
        <f>IF(t&lt;Tvie,1-EXP((T0-t)*PertePVj)+'2023'!Pspv,1-EXP((T0-t)*PertePVj)+Pspv)</f>
        <v>1.6427568566291795E-2</v>
      </c>
      <c r="M357" s="835"/>
      <c r="N357" s="835"/>
      <c r="O357" s="48">
        <f>IF(t&lt;Tnet,'2023'!Resal+('2023'!Salim-'2023'!Resal)*(1-EXP(('2023'!Tnet-t)/('2023'!Tau_j))),Resal+(Salim-Resal)*(1-EXP((Tnet-t)/(Tau_j))))*Salcycl</f>
        <v>2.5392567578501255E-2</v>
      </c>
      <c r="P357" s="165">
        <f>(INDEX(Models!$BJ357:$BT357,,T357)*(1-R357)+INDEX(Models!$BJ357:$BT357,,T357+1)*R357-ERP_i)*Q357*Ramure*Pc/MaxiM</f>
        <v>1.8780594938752337E-3</v>
      </c>
      <c r="Q357" s="301">
        <f t="shared" si="130"/>
        <v>0.5</v>
      </c>
      <c r="R357" s="173">
        <f t="shared" si="131"/>
        <v>0.48941206274233928</v>
      </c>
      <c r="S357" s="801">
        <f t="shared" si="132"/>
        <v>1</v>
      </c>
      <c r="T357" s="172">
        <f t="shared" si="133"/>
        <v>7</v>
      </c>
      <c r="U357" s="247">
        <f t="shared" si="134"/>
        <v>1.4894120627423393</v>
      </c>
      <c r="V357" s="378">
        <f t="shared" si="135"/>
        <v>93.673892934487029</v>
      </c>
      <c r="W357" s="397">
        <f t="shared" si="136"/>
        <v>28.48459877306826</v>
      </c>
      <c r="X357" s="153">
        <f t="shared" si="137"/>
        <v>45634</v>
      </c>
      <c r="Y357" s="380">
        <f t="shared" si="138"/>
        <v>27.623374241499814</v>
      </c>
      <c r="Z357" s="380">
        <f t="shared" si="139"/>
        <v>28.084738204012584</v>
      </c>
      <c r="AA357" s="381">
        <f t="shared" si="140"/>
        <v>29.714884058298985</v>
      </c>
      <c r="AB357" s="193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5.4859573104446391E-2</v>
      </c>
      <c r="AD357" s="227">
        <f>(INDEX(Models!$BJ357:$BT357,,AH357)*(1-AF357)+INDEX(Models!$BJ357:$BT357,,AH357+1)*AF357-ERP_i)*AE357*Ramure*Pc/MaxiM</f>
        <v>1.8780594938752337E-3</v>
      </c>
      <c r="AE357" s="301">
        <f t="shared" si="142"/>
        <v>0.5</v>
      </c>
      <c r="AF357" s="173">
        <f t="shared" si="143"/>
        <v>0.48941206274233928</v>
      </c>
      <c r="AG357" s="801">
        <f t="shared" si="149"/>
        <v>1</v>
      </c>
      <c r="AH357" s="172">
        <f t="shared" si="144"/>
        <v>7</v>
      </c>
      <c r="AI357" s="221">
        <f t="shared" si="145"/>
        <v>1.4894120627423393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customHeight="1" x14ac:dyDescent="0.2">
      <c r="A358" s="56">
        <f t="shared" si="148"/>
        <v>45635</v>
      </c>
      <c r="B358" s="406">
        <f>'2023'!Wh/'2023'!Env_an*'2024'!Env_an</f>
        <v>68.657723262522524</v>
      </c>
      <c r="C358" s="385"/>
      <c r="D358" s="388">
        <f t="shared" si="127"/>
        <v>69.805396072237855</v>
      </c>
      <c r="E358" s="380">
        <f t="shared" si="125"/>
        <v>71.628123987895734</v>
      </c>
      <c r="F358" s="380">
        <f t="shared" si="128"/>
        <v>71.710608589943689</v>
      </c>
      <c r="G358" s="110">
        <f t="shared" si="126"/>
        <v>0.73549342143531993</v>
      </c>
      <c r="H358" s="409" t="b">
        <f>Wh_hp&gt;='2023'!Maxi_hp</f>
        <v>0</v>
      </c>
      <c r="I358" s="375">
        <f>IF(H358,Wh_hp,'2023'!Maxi_hp)</f>
        <v>71.744443051435056</v>
      </c>
      <c r="J358" s="85">
        <f>IF(H358,An,'2023'!An_max)</f>
        <v>2022</v>
      </c>
      <c r="K358" s="193">
        <f t="shared" si="129"/>
        <v>45635</v>
      </c>
      <c r="L358" s="143">
        <f>IF(t&lt;Tvie,1-EXP((T0-t)*PertePVj)+'2023'!Pspv,1-EXP((T0-t)*PertePVj)+Pspv)</f>
        <v>1.6441032846911563E-2</v>
      </c>
      <c r="M358" s="835"/>
      <c r="N358" s="835"/>
      <c r="O358" s="48">
        <f>IF(t&lt;Tnet,'2023'!Resal+('2023'!Salim-'2023'!Resal)*(1-EXP(('2023'!Tnet-t)/('2023'!Tau_j))),Resal+(Salim-Resal)*(1-EXP((Tnet-t)/(Tau_j))))*Salcycl</f>
        <v>2.5447098348770063E-2</v>
      </c>
      <c r="P358" s="165">
        <f>(INDEX(Models!$BJ358:$BT358,,T358)*(1-R358)+INDEX(Models!$BJ358:$BT358,,T358+1)*R358-ERP_i)*Q358*Ramure*Pc/MaxiM</f>
        <v>1.8466919194615372E-3</v>
      </c>
      <c r="Q358" s="301">
        <f t="shared" si="130"/>
        <v>0.5</v>
      </c>
      <c r="R358" s="173">
        <f t="shared" si="131"/>
        <v>0.48942343529298382</v>
      </c>
      <c r="S358" s="801">
        <f t="shared" si="132"/>
        <v>1</v>
      </c>
      <c r="T358" s="172">
        <f t="shared" si="133"/>
        <v>7</v>
      </c>
      <c r="U358" s="247">
        <f t="shared" si="134"/>
        <v>1.4894234352929838</v>
      </c>
      <c r="V358" s="378">
        <f t="shared" si="135"/>
        <v>93.28411319422834</v>
      </c>
      <c r="W358" s="397">
        <f t="shared" si="136"/>
        <v>68.657723262522524</v>
      </c>
      <c r="X358" s="153">
        <f t="shared" si="137"/>
        <v>45635</v>
      </c>
      <c r="Y358" s="380">
        <f t="shared" si="138"/>
        <v>66.58448444812656</v>
      </c>
      <c r="Z358" s="380">
        <f t="shared" si="139"/>
        <v>67.69750129049747</v>
      </c>
      <c r="AA358" s="381">
        <f t="shared" si="140"/>
        <v>71.628123987895734</v>
      </c>
      <c r="AB358" s="193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5.4875410363427725E-2</v>
      </c>
      <c r="AD358" s="227">
        <f>(INDEX(Models!$BJ358:$BT358,,AH358)*(1-AF358)+INDEX(Models!$BJ358:$BT358,,AH358+1)*AF358-ERP_i)*AE358*Ramure*Pc/MaxiM</f>
        <v>1.8466919194615372E-3</v>
      </c>
      <c r="AE358" s="301">
        <f t="shared" si="142"/>
        <v>0.5</v>
      </c>
      <c r="AF358" s="173">
        <f t="shared" si="143"/>
        <v>0.48942343529298382</v>
      </c>
      <c r="AG358" s="801">
        <f t="shared" si="149"/>
        <v>1</v>
      </c>
      <c r="AH358" s="172">
        <f t="shared" si="144"/>
        <v>7</v>
      </c>
      <c r="AI358" s="221">
        <f t="shared" si="145"/>
        <v>1.4894234352929838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customHeight="1" x14ac:dyDescent="0.2">
      <c r="A359" s="56">
        <f t="shared" si="148"/>
        <v>45636</v>
      </c>
      <c r="B359" s="406">
        <f>'2023'!Wh/'2023'!Env_an*'2024'!Env_an</f>
        <v>64.630798550858032</v>
      </c>
      <c r="C359" s="385"/>
      <c r="D359" s="388">
        <f t="shared" si="127"/>
        <v>65.712057398453368</v>
      </c>
      <c r="E359" s="380">
        <f t="shared" si="125"/>
        <v>67.431693553948392</v>
      </c>
      <c r="F359" s="380">
        <f t="shared" si="128"/>
        <v>67.500955557594352</v>
      </c>
      <c r="G359" s="110">
        <f t="shared" si="126"/>
        <v>0.69485836051279892</v>
      </c>
      <c r="H359" s="409" t="b">
        <f>Wh_hp&gt;='2023'!Maxi_hp</f>
        <v>0</v>
      </c>
      <c r="I359" s="375">
        <f>IF(H359,Wh_hp,'2023'!Maxi_hp)</f>
        <v>67.53712274687156</v>
      </c>
      <c r="J359" s="85">
        <f>IF(H359,An,'2023'!An_max)</f>
        <v>2022</v>
      </c>
      <c r="K359" s="193">
        <f t="shared" si="129"/>
        <v>45636</v>
      </c>
      <c r="L359" s="143">
        <f>IF(t&lt;Tvie,1-EXP((T0-t)*PertePVj)+'2023'!Pspv,1-EXP((T0-t)*PertePVj)+Pspv)</f>
        <v>1.6454496943216768E-2</v>
      </c>
      <c r="M359" s="835"/>
      <c r="N359" s="835"/>
      <c r="O359" s="48">
        <f>IF(t&lt;Tnet,'2023'!Resal+('2023'!Salim-'2023'!Resal)*(1-EXP(('2023'!Tnet-t)/('2023'!Tau_j))),Resal+(Salim-Resal)*(1-EXP((Tnet-t)/(Tau_j))))*Salcycl</f>
        <v>2.5501897770359917E-2</v>
      </c>
      <c r="P359" s="165">
        <f>(INDEX(Models!$BJ359:$BT359,,T359)*(1-R359)+INDEX(Models!$BJ359:$BT359,,T359+1)*R359-ERP_i)*Q359*Ramure*Pc/MaxiM</f>
        <v>1.8165069841098978E-3</v>
      </c>
      <c r="Q359" s="301">
        <f t="shared" si="130"/>
        <v>0.5</v>
      </c>
      <c r="R359" s="173">
        <f t="shared" si="131"/>
        <v>0.48943435043767525</v>
      </c>
      <c r="S359" s="801">
        <f t="shared" si="132"/>
        <v>1</v>
      </c>
      <c r="T359" s="172">
        <f t="shared" si="133"/>
        <v>7</v>
      </c>
      <c r="U359" s="247">
        <f t="shared" si="134"/>
        <v>1.4894343504376752</v>
      </c>
      <c r="V359" s="378">
        <f t="shared" si="135"/>
        <v>92.939316007857244</v>
      </c>
      <c r="W359" s="397">
        <f t="shared" si="136"/>
        <v>64.630798550858032</v>
      </c>
      <c r="X359" s="153">
        <f t="shared" si="137"/>
        <v>45636</v>
      </c>
      <c r="Y359" s="380">
        <f t="shared" si="138"/>
        <v>62.68158534698177</v>
      </c>
      <c r="Z359" s="380">
        <f t="shared" si="139"/>
        <v>63.730234292335496</v>
      </c>
      <c r="AA359" s="381">
        <f t="shared" si="140"/>
        <v>67.431693553948392</v>
      </c>
      <c r="AB359" s="193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5.489198130032974E-2</v>
      </c>
      <c r="AD359" s="227">
        <f>(INDEX(Models!$BJ359:$BT359,,AH359)*(1-AF359)+INDEX(Models!$BJ359:$BT359,,AH359+1)*AF359-ERP_i)*AE359*Ramure*Pc/MaxiM</f>
        <v>1.8165069841098978E-3</v>
      </c>
      <c r="AE359" s="301">
        <f t="shared" si="142"/>
        <v>0.5</v>
      </c>
      <c r="AF359" s="173">
        <f t="shared" si="143"/>
        <v>0.48943435043767525</v>
      </c>
      <c r="AG359" s="801">
        <f t="shared" si="149"/>
        <v>1</v>
      </c>
      <c r="AH359" s="172">
        <f t="shared" si="144"/>
        <v>7</v>
      </c>
      <c r="AI359" s="221">
        <f t="shared" si="145"/>
        <v>1.4894343504376752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customHeight="1" x14ac:dyDescent="0.2">
      <c r="A360" s="56">
        <f t="shared" si="148"/>
        <v>45637</v>
      </c>
      <c r="B360" s="406">
        <f>'2023'!Wh/'2023'!Env_an*'2024'!Env_an</f>
        <v>22.539302907140947</v>
      </c>
      <c r="C360" s="385"/>
      <c r="D360" s="388">
        <f t="shared" si="127"/>
        <v>22.916694128987931</v>
      </c>
      <c r="E360" s="380">
        <f t="shared" si="125"/>
        <v>23.517735814634932</v>
      </c>
      <c r="F360" s="380">
        <f t="shared" si="128"/>
        <v>23.517735814634932</v>
      </c>
      <c r="G360" s="110">
        <f t="shared" si="126"/>
        <v>0.24287852338011356</v>
      </c>
      <c r="H360" s="409" t="b">
        <f>Wh_hp&gt;='2023'!Maxi_hp</f>
        <v>0</v>
      </c>
      <c r="I360" s="375">
        <f>IF(H360,Wh_hp,'2023'!Maxi_hp)</f>
        <v>23.546248768046997</v>
      </c>
      <c r="J360" s="85">
        <f>IF(H360,An,'2023'!An_max)</f>
        <v>2022</v>
      </c>
      <c r="K360" s="193">
        <f t="shared" si="129"/>
        <v>45637</v>
      </c>
      <c r="L360" s="143">
        <f>IF(t&lt;Tvie,1-EXP((T0-t)*PertePVj)+'2023'!Pspv,1-EXP((T0-t)*PertePVj)+Pspv)</f>
        <v>1.6467960855209629E-2</v>
      </c>
      <c r="M360" s="835"/>
      <c r="N360" s="835"/>
      <c r="O360" s="48">
        <f>IF(t&lt;Tnet,'2023'!Resal+('2023'!Salim-'2023'!Resal)*(1-EXP(('2023'!Tnet-t)/('2023'!Tau_j))),Resal+(Salim-Resal)*(1-EXP((Tnet-t)/(Tau_j))))*Salcycl</f>
        <v>2.5556953712907036E-2</v>
      </c>
      <c r="P360" s="165">
        <f>(INDEX(Models!$BJ360:$BT360,,T360)*(1-R360)+INDEX(Models!$BJ360:$BT360,,T360+1)*R360-ERP_i)*Q360*Ramure*Pc/MaxiM</f>
        <v>1.7876092580929777E-3</v>
      </c>
      <c r="Q360" s="301">
        <f t="shared" si="130"/>
        <v>0.5</v>
      </c>
      <c r="R360" s="173">
        <f t="shared" si="131"/>
        <v>0.48944482655458987</v>
      </c>
      <c r="S360" s="801">
        <f t="shared" si="132"/>
        <v>1</v>
      </c>
      <c r="T360" s="172">
        <f t="shared" si="133"/>
        <v>7</v>
      </c>
      <c r="U360" s="247">
        <f t="shared" si="134"/>
        <v>1.4894448265545899</v>
      </c>
      <c r="V360" s="378">
        <f t="shared" si="135"/>
        <v>92.634832950550447</v>
      </c>
      <c r="W360" s="397">
        <f t="shared" si="136"/>
        <v>22.539302907140947</v>
      </c>
      <c r="X360" s="153">
        <f t="shared" si="137"/>
        <v>45637</v>
      </c>
      <c r="Y360" s="380">
        <f t="shared" si="138"/>
        <v>21.86037105917643</v>
      </c>
      <c r="Z360" s="380">
        <f t="shared" si="139"/>
        <v>22.226394452980561</v>
      </c>
      <c r="AA360" s="381">
        <f t="shared" si="140"/>
        <v>23.517735814634932</v>
      </c>
      <c r="AB360" s="193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5.4909255373588144E-2</v>
      </c>
      <c r="AD360" s="227">
        <f>(INDEX(Models!$BJ360:$BT360,,AH360)*(1-AF360)+INDEX(Models!$BJ360:$BT360,,AH360+1)*AF360-ERP_i)*AE360*Ramure*Pc/MaxiM</f>
        <v>1.7876092580929777E-3</v>
      </c>
      <c r="AE360" s="301">
        <f t="shared" si="142"/>
        <v>0.5</v>
      </c>
      <c r="AF360" s="173">
        <f t="shared" si="143"/>
        <v>0.48944482655458987</v>
      </c>
      <c r="AG360" s="801">
        <f t="shared" si="149"/>
        <v>1</v>
      </c>
      <c r="AH360" s="172">
        <f t="shared" si="144"/>
        <v>7</v>
      </c>
      <c r="AI360" s="221">
        <f t="shared" si="145"/>
        <v>1.4894448265545899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customHeight="1" x14ac:dyDescent="0.2">
      <c r="A361" s="56">
        <f t="shared" si="148"/>
        <v>45638</v>
      </c>
      <c r="B361" s="406">
        <f>'2023'!Wh/'2023'!Env_an*'2024'!Env_an</f>
        <v>23.475787050969281</v>
      </c>
      <c r="C361" s="385"/>
      <c r="D361" s="388">
        <f t="shared" si="127"/>
        <v>23.869185227145586</v>
      </c>
      <c r="E361" s="380">
        <f t="shared" ref="E361:E380" si="150">Wh_pvt/(1-Psa)</f>
        <v>24.496598310851358</v>
      </c>
      <c r="F361" s="380">
        <f t="shared" si="128"/>
        <v>24.496598310851358</v>
      </c>
      <c r="G361" s="110">
        <f t="shared" ref="G361:G380" si="151">+Wh_hp/MaxiM</f>
        <v>0.25369982827390447</v>
      </c>
      <c r="H361" s="409" t="b">
        <f>Wh_hp&gt;='2023'!Maxi_hp</f>
        <v>0</v>
      </c>
      <c r="I361" s="375">
        <f>IF(H361,Wh_hp,'2023'!Maxi_hp)</f>
        <v>24.525889099355748</v>
      </c>
      <c r="J361" s="85">
        <f>IF(H361,An,'2023'!An_max)</f>
        <v>2022</v>
      </c>
      <c r="K361" s="193">
        <f t="shared" si="129"/>
        <v>45638</v>
      </c>
      <c r="L361" s="143">
        <f>IF(t&lt;Tvie,1-EXP((T0-t)*PertePVj)+'2023'!Pspv,1-EXP((T0-t)*PertePVj)+Pspv)</f>
        <v>1.6481424582893034E-2</v>
      </c>
      <c r="M361" s="835"/>
      <c r="N361" s="835"/>
      <c r="O361" s="48">
        <f>IF(t&lt;Tnet,'2023'!Resal+('2023'!Salim-'2023'!Resal)*(1-EXP(('2023'!Tnet-t)/('2023'!Tau_j))),Resal+(Salim-Resal)*(1-EXP((Tnet-t)/(Tau_j))))*Salcycl</f>
        <v>2.561225341348081E-2</v>
      </c>
      <c r="P361" s="165">
        <f>(INDEX(Models!$BJ361:$BT361,,T361)*(1-R361)+INDEX(Models!$BJ361:$BT361,,T361+1)*R361-ERP_i)*Q361*Ramure*Pc/MaxiM</f>
        <v>1.7616277732154396E-3</v>
      </c>
      <c r="Q361" s="301">
        <f t="shared" si="130"/>
        <v>0.5</v>
      </c>
      <c r="R361" s="173">
        <f t="shared" si="131"/>
        <v>0.48945488128496573</v>
      </c>
      <c r="S361" s="801">
        <f t="shared" si="132"/>
        <v>1</v>
      </c>
      <c r="T361" s="172">
        <f t="shared" si="133"/>
        <v>7</v>
      </c>
      <c r="U361" s="247">
        <f t="shared" si="134"/>
        <v>1.4894548812849657</v>
      </c>
      <c r="V361" s="378">
        <f t="shared" si="135"/>
        <v>92.370702857557546</v>
      </c>
      <c r="W361" s="397">
        <f t="shared" si="136"/>
        <v>23.475787050969281</v>
      </c>
      <c r="X361" s="153">
        <f t="shared" si="137"/>
        <v>45638</v>
      </c>
      <c r="Y361" s="380">
        <f t="shared" si="138"/>
        <v>22.769506140045614</v>
      </c>
      <c r="Z361" s="380">
        <f t="shared" si="139"/>
        <v>23.151068733388328</v>
      </c>
      <c r="AA361" s="381">
        <f t="shared" si="140"/>
        <v>24.496598310851358</v>
      </c>
      <c r="AB361" s="193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5.4927200927607764E-2</v>
      </c>
      <c r="AD361" s="227">
        <f>(INDEX(Models!$BJ361:$BT361,,AH361)*(1-AF361)+INDEX(Models!$BJ361:$BT361,,AH361+1)*AF361-ERP_i)*AE361*Ramure*Pc/MaxiM</f>
        <v>1.7616277732154396E-3</v>
      </c>
      <c r="AE361" s="301">
        <f t="shared" si="142"/>
        <v>0.5</v>
      </c>
      <c r="AF361" s="173">
        <f t="shared" si="143"/>
        <v>0.48945488128496573</v>
      </c>
      <c r="AG361" s="801">
        <f t="shared" si="149"/>
        <v>1</v>
      </c>
      <c r="AH361" s="172">
        <f t="shared" si="144"/>
        <v>7</v>
      </c>
      <c r="AI361" s="221">
        <f t="shared" si="145"/>
        <v>1.4894548812849657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customHeight="1" x14ac:dyDescent="0.2">
      <c r="A362" s="56">
        <f t="shared" si="148"/>
        <v>45639</v>
      </c>
      <c r="B362" s="406">
        <f>'2023'!Wh/'2023'!Env_an*'2024'!Env_an</f>
        <v>68.895865869024249</v>
      </c>
      <c r="C362" s="385"/>
      <c r="D362" s="388">
        <f t="shared" si="127"/>
        <v>70.051355135070793</v>
      </c>
      <c r="E362" s="380">
        <f t="shared" si="150"/>
        <v>71.896786285399742</v>
      </c>
      <c r="F362" s="380">
        <f t="shared" si="128"/>
        <v>71.97681523386359</v>
      </c>
      <c r="G362" s="110">
        <f t="shared" si="151"/>
        <v>0.74720343202133288</v>
      </c>
      <c r="H362" s="409" t="b">
        <f>Wh_hp&gt;='2023'!Maxi_hp</f>
        <v>0</v>
      </c>
      <c r="I362" s="375">
        <f>IF(H362,Wh_hp,'2023'!Maxi_hp)</f>
        <v>72.007464364847081</v>
      </c>
      <c r="J362" s="85">
        <f>IF(H362,An,'2023'!An_max)</f>
        <v>2022</v>
      </c>
      <c r="K362" s="193">
        <f t="shared" si="129"/>
        <v>45639</v>
      </c>
      <c r="L362" s="143">
        <f>IF(t&lt;Tvie,1-EXP((T0-t)*PertePVj)+'2023'!Pspv,1-EXP((T0-t)*PertePVj)+Pspv)</f>
        <v>1.6494888126269203E-2</v>
      </c>
      <c r="M362" s="835"/>
      <c r="N362" s="835"/>
      <c r="O362" s="48">
        <f>IF(t&lt;Tnet,'2023'!Resal+('2023'!Salim-'2023'!Resal)*(1-EXP(('2023'!Tnet-t)/('2023'!Tau_j))),Resal+(Salim-Resal)*(1-EXP((Tnet-t)/(Tau_j))))*Salcycl</f>
        <v>2.5667783578022144E-2</v>
      </c>
      <c r="P362" s="165">
        <f>(INDEX(Models!$BJ362:$BT362,,T362)*(1-R362)+INDEX(Models!$BJ362:$BT362,,T362+1)*R362-ERP_i)*Q362*Ramure*Pc/MaxiM</f>
        <v>1.7385696297843843E-3</v>
      </c>
      <c r="Q362" s="301">
        <f t="shared" si="130"/>
        <v>0.5</v>
      </c>
      <c r="R362" s="173">
        <f t="shared" si="131"/>
        <v>0.48946453156253522</v>
      </c>
      <c r="S362" s="801">
        <f t="shared" si="132"/>
        <v>1</v>
      </c>
      <c r="T362" s="172">
        <f t="shared" si="133"/>
        <v>7</v>
      </c>
      <c r="U362" s="247">
        <f t="shared" si="134"/>
        <v>1.4894645315625352</v>
      </c>
      <c r="V362" s="378">
        <f t="shared" si="135"/>
        <v>92.147115400282715</v>
      </c>
      <c r="W362" s="397">
        <f t="shared" si="136"/>
        <v>68.895865869024249</v>
      </c>
      <c r="X362" s="153">
        <f t="shared" si="137"/>
        <v>45639</v>
      </c>
      <c r="Y362" s="380">
        <f t="shared" si="138"/>
        <v>66.825593272328547</v>
      </c>
      <c r="Z362" s="380">
        <f t="shared" si="139"/>
        <v>67.946360893859875</v>
      </c>
      <c r="AA362" s="381">
        <f t="shared" si="140"/>
        <v>71.896786285399742</v>
      </c>
      <c r="AB362" s="193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5.4945785418813536E-2</v>
      </c>
      <c r="AD362" s="227">
        <f>(INDEX(Models!$BJ362:$BT362,,AH362)*(1-AF362)+INDEX(Models!$BJ362:$BT362,,AH362+1)*AF362-ERP_i)*AE362*Ramure*Pc/MaxiM</f>
        <v>1.7385696297843843E-3</v>
      </c>
      <c r="AE362" s="301">
        <f t="shared" si="142"/>
        <v>0.5</v>
      </c>
      <c r="AF362" s="173">
        <f t="shared" si="143"/>
        <v>0.48946453156253522</v>
      </c>
      <c r="AG362" s="801">
        <f t="shared" si="149"/>
        <v>1</v>
      </c>
      <c r="AH362" s="172">
        <f t="shared" si="144"/>
        <v>7</v>
      </c>
      <c r="AI362" s="221">
        <f t="shared" si="145"/>
        <v>1.4894645315625352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45640</v>
      </c>
      <c r="B363" s="406">
        <f>'2023'!Wh/'2023'!Env_an*'2024'!Env_an</f>
        <v>34.291188351924525</v>
      </c>
      <c r="C363" s="385"/>
      <c r="D363" s="388">
        <f t="shared" si="127"/>
        <v>34.866781435016328</v>
      </c>
      <c r="E363" s="380">
        <f t="shared" si="150"/>
        <v>35.787358646076015</v>
      </c>
      <c r="F363" s="380">
        <f t="shared" si="128"/>
        <v>35.793762225391184</v>
      </c>
      <c r="G363" s="110">
        <f t="shared" si="151"/>
        <v>0.37230100535297012</v>
      </c>
      <c r="H363" s="409" t="b">
        <f>Wh_hp&gt;='2023'!Maxi_hp</f>
        <v>0</v>
      </c>
      <c r="I363" s="375">
        <f>IF(H363,Wh_hp,'2023'!Maxi_hp)</f>
        <v>91.83152399747874</v>
      </c>
      <c r="J363" s="85">
        <f>IF(H363,An,'2023'!An_max)</f>
        <v>2021</v>
      </c>
      <c r="K363" s="193">
        <f t="shared" si="129"/>
        <v>45640</v>
      </c>
      <c r="L363" s="143">
        <f>IF(t&lt;Tvie,1-EXP((T0-t)*PertePVj)+'2023'!Pspv,1-EXP((T0-t)*PertePVj)+Pspv)</f>
        <v>1.65083514853408E-2</v>
      </c>
      <c r="M363" s="835"/>
      <c r="N363" s="835"/>
      <c r="O363" s="48">
        <f>IF(t&lt;Tnet,'2023'!Resal+('2023'!Salim-'2023'!Resal)*(1-EXP(('2023'!Tnet-t)/('2023'!Tau_j))),Resal+(Salim-Resal)*(1-EXP((Tnet-t)/(Tau_j))))*Salcycl</f>
        <v>2.5723530483595134E-2</v>
      </c>
      <c r="P363" s="165">
        <f>(INDEX(Models!$BJ363:$BT363,,T363)*(1-R363)+INDEX(Models!$BJ363:$BT363,,T363+1)*R363-ERP_i)*Q363*Ramure*Pc/MaxiM</f>
        <v>1.7184383091213358E-3</v>
      </c>
      <c r="Q363" s="301">
        <f t="shared" si="130"/>
        <v>0.5</v>
      </c>
      <c r="R363" s="173">
        <f t="shared" si="131"/>
        <v>0.48947379364179167</v>
      </c>
      <c r="S363" s="801">
        <f t="shared" si="132"/>
        <v>1</v>
      </c>
      <c r="T363" s="172">
        <f t="shared" si="133"/>
        <v>7</v>
      </c>
      <c r="U363" s="247">
        <f t="shared" si="134"/>
        <v>1.4894737936417917</v>
      </c>
      <c r="V363" s="378">
        <f t="shared" si="135"/>
        <v>91.964259798441731</v>
      </c>
      <c r="W363" s="397">
        <f t="shared" si="136"/>
        <v>34.291188351924525</v>
      </c>
      <c r="X363" s="153">
        <f t="shared" si="137"/>
        <v>45640</v>
      </c>
      <c r="Y363" s="380">
        <f t="shared" si="138"/>
        <v>33.261989828768272</v>
      </c>
      <c r="Z363" s="380">
        <f t="shared" si="139"/>
        <v>33.820307349841713</v>
      </c>
      <c r="AA363" s="381">
        <f t="shared" si="140"/>
        <v>35.787358646076015</v>
      </c>
      <c r="AB363" s="193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5.4964975640916201E-2</v>
      </c>
      <c r="AD363" s="227">
        <f>(INDEX(Models!$BJ363:$BT363,,AH363)*(1-AF363)+INDEX(Models!$BJ363:$BT363,,AH363+1)*AF363-ERP_i)*AE363*Ramure*Pc/MaxiM</f>
        <v>1.7184383091213358E-3</v>
      </c>
      <c r="AE363" s="301">
        <f t="shared" si="142"/>
        <v>0.5</v>
      </c>
      <c r="AF363" s="173">
        <f t="shared" si="143"/>
        <v>0.48947379364179167</v>
      </c>
      <c r="AG363" s="801">
        <f t="shared" si="149"/>
        <v>1</v>
      </c>
      <c r="AH363" s="172">
        <f t="shared" si="144"/>
        <v>7</v>
      </c>
      <c r="AI363" s="221">
        <f t="shared" si="145"/>
        <v>1.4894737936417917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customHeight="1" x14ac:dyDescent="0.2">
      <c r="A364" s="56">
        <f t="shared" si="148"/>
        <v>45641</v>
      </c>
      <c r="B364" s="406">
        <f>'2023'!Wh/'2023'!Env_an*'2024'!Env_an</f>
        <v>20.899634032017392</v>
      </c>
      <c r="C364" s="385"/>
      <c r="D364" s="388">
        <f t="shared" si="127"/>
        <v>21.250734732661595</v>
      </c>
      <c r="E364" s="380">
        <f t="shared" si="150"/>
        <v>21.813064186351266</v>
      </c>
      <c r="F364" s="380">
        <f t="shared" si="128"/>
        <v>21.813064186351266</v>
      </c>
      <c r="G364" s="110">
        <f t="shared" si="151"/>
        <v>0.22722228951019319</v>
      </c>
      <c r="H364" s="409" t="b">
        <f>Wh_hp&gt;='2023'!Maxi_hp</f>
        <v>0</v>
      </c>
      <c r="I364" s="375">
        <f>IF(H364,Wh_hp,'2023'!Maxi_hp)</f>
        <v>96.573538746410236</v>
      </c>
      <c r="J364" s="85">
        <f>IF(H364,An,'2023'!An_max)</f>
        <v>2021</v>
      </c>
      <c r="K364" s="193">
        <f t="shared" si="129"/>
        <v>45641</v>
      </c>
      <c r="L364" s="143">
        <f>IF(t&lt;Tvie,1-EXP((T0-t)*PertePVj)+'2023'!Pspv,1-EXP((T0-t)*PertePVj)+Pspv)</f>
        <v>1.6521814660110268E-2</v>
      </c>
      <c r="M364" s="835"/>
      <c r="N364" s="835"/>
      <c r="O364" s="48">
        <f>IF(t&lt;Tnet,'2023'!Resal+('2023'!Salim-'2023'!Resal)*(1-EXP(('2023'!Tnet-t)/('2023'!Tau_j))),Resal+(Salim-Resal)*(1-EXP((Tnet-t)/(Tau_j))))*Salcycl</f>
        <v>2.577948008063571E-2</v>
      </c>
      <c r="P364" s="165">
        <f>(INDEX(Models!$BJ364:$BT364,,T364)*(1-R364)+INDEX(Models!$BJ364:$BT364,,T364+1)*R364-ERP_i)*Q364*Ramure*Pc/MaxiM</f>
        <v>1.7012334453582352E-3</v>
      </c>
      <c r="Q364" s="301">
        <f t="shared" si="130"/>
        <v>0.5</v>
      </c>
      <c r="R364" s="173">
        <f t="shared" si="131"/>
        <v>0.48948268312513687</v>
      </c>
      <c r="S364" s="801">
        <f t="shared" si="132"/>
        <v>1</v>
      </c>
      <c r="T364" s="172">
        <f t="shared" si="133"/>
        <v>7</v>
      </c>
      <c r="U364" s="247">
        <f t="shared" si="134"/>
        <v>1.4894826831251369</v>
      </c>
      <c r="V364" s="378">
        <f t="shared" si="135"/>
        <v>91.822324828174118</v>
      </c>
      <c r="W364" s="397">
        <f t="shared" si="136"/>
        <v>20.899634032017392</v>
      </c>
      <c r="X364" s="153">
        <f t="shared" si="137"/>
        <v>45641</v>
      </c>
      <c r="Y364" s="380">
        <f t="shared" si="138"/>
        <v>20.273103191461463</v>
      </c>
      <c r="Z364" s="380">
        <f t="shared" si="139"/>
        <v>20.613678568228828</v>
      </c>
      <c r="AA364" s="381">
        <f t="shared" si="140"/>
        <v>21.813064186351266</v>
      </c>
      <c r="AB364" s="193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5.4984737947679566E-2</v>
      </c>
      <c r="AD364" s="227">
        <f>(INDEX(Models!$BJ364:$BT364,,AH364)*(1-AF364)+INDEX(Models!$BJ364:$BT364,,AH364+1)*AF364-ERP_i)*AE364*Ramure*Pc/MaxiM</f>
        <v>1.7012334453582352E-3</v>
      </c>
      <c r="AE364" s="301">
        <f t="shared" si="142"/>
        <v>0.5</v>
      </c>
      <c r="AF364" s="173">
        <f t="shared" si="143"/>
        <v>0.48948268312513687</v>
      </c>
      <c r="AG364" s="801">
        <f t="shared" si="149"/>
        <v>1</v>
      </c>
      <c r="AH364" s="172">
        <f t="shared" si="144"/>
        <v>7</v>
      </c>
      <c r="AI364" s="221">
        <f t="shared" si="145"/>
        <v>1.4894826831251369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customHeight="1" x14ac:dyDescent="0.2">
      <c r="A365" s="56">
        <f t="shared" si="148"/>
        <v>45642</v>
      </c>
      <c r="B365" s="406">
        <f>'2023'!Wh/'2023'!Env_an*'2024'!Env_an</f>
        <v>12.966867016431888</v>
      </c>
      <c r="C365" s="385"/>
      <c r="D365" s="388">
        <f t="shared" si="127"/>
        <v>13.184882712879688</v>
      </c>
      <c r="E365" s="380">
        <f t="shared" si="150"/>
        <v>13.534556341598242</v>
      </c>
      <c r="F365" s="380">
        <f t="shared" si="128"/>
        <v>13.534556341598242</v>
      </c>
      <c r="G365" s="110">
        <f t="shared" si="151"/>
        <v>0.14113367873917615</v>
      </c>
      <c r="H365" s="409" t="b">
        <f>Wh_hp&gt;='2023'!Maxi_hp</f>
        <v>0</v>
      </c>
      <c r="I365" s="375">
        <f>IF(H365,Wh_hp,'2023'!Maxi_hp)</f>
        <v>97.364376896272645</v>
      </c>
      <c r="J365" s="85">
        <f>IF(H365,An,'2023'!An_max)</f>
        <v>2021</v>
      </c>
      <c r="K365" s="193">
        <f t="shared" si="129"/>
        <v>45642</v>
      </c>
      <c r="L365" s="143">
        <f>IF(t&lt;Tvie,1-EXP((T0-t)*PertePVj)+'2023'!Pspv,1-EXP((T0-t)*PertePVj)+Pspv)</f>
        <v>1.653527765058016E-2</v>
      </c>
      <c r="M365" s="835"/>
      <c r="N365" s="835"/>
      <c r="O365" s="48">
        <f>IF(t&lt;Tnet,'2023'!Resal+('2023'!Salim-'2023'!Resal)*(1-EXP(('2023'!Tnet-t)/('2023'!Tau_j))),Resal+(Salim-Resal)*(1-EXP((Tnet-t)/(Tau_j))))*Salcycl</f>
        <v>2.5835618094391301E-2</v>
      </c>
      <c r="P365" s="165">
        <f>(INDEX(Models!$BJ365:$BT365,,T365)*(1-R365)+INDEX(Models!$BJ365:$BT365,,T365+1)*R365-ERP_i)*Q365*Ramure*Pc/MaxiM</f>
        <v>1.6869506052585022E-3</v>
      </c>
      <c r="Q365" s="301">
        <f t="shared" si="130"/>
        <v>0.5</v>
      </c>
      <c r="R365" s="173">
        <f t="shared" si="131"/>
        <v>0.48949121498894943</v>
      </c>
      <c r="S365" s="801">
        <f t="shared" si="132"/>
        <v>1</v>
      </c>
      <c r="T365" s="172">
        <f t="shared" si="133"/>
        <v>7</v>
      </c>
      <c r="U365" s="247">
        <f t="shared" si="134"/>
        <v>1.4894912149889494</v>
      </c>
      <c r="V365" s="378">
        <f t="shared" si="135"/>
        <v>91.721498850698595</v>
      </c>
      <c r="W365" s="397">
        <f t="shared" si="136"/>
        <v>12.966867016431888</v>
      </c>
      <c r="X365" s="153">
        <f t="shared" si="137"/>
        <v>45642</v>
      </c>
      <c r="Y365" s="380">
        <f t="shared" si="138"/>
        <v>12.578599900530167</v>
      </c>
      <c r="Z365" s="380">
        <f t="shared" si="139"/>
        <v>12.790087549333627</v>
      </c>
      <c r="AA365" s="381">
        <f t="shared" si="140"/>
        <v>13.534556341598242</v>
      </c>
      <c r="AB365" s="193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5.5005038471523438E-2</v>
      </c>
      <c r="AD365" s="227">
        <f>(INDEX(Models!$BJ365:$BT365,,AH365)*(1-AF365)+INDEX(Models!$BJ365:$BT365,,AH365+1)*AF365-ERP_i)*AE365*Ramure*Pc/MaxiM</f>
        <v>1.6869506052585022E-3</v>
      </c>
      <c r="AE365" s="301">
        <f t="shared" si="142"/>
        <v>0.5</v>
      </c>
      <c r="AF365" s="173">
        <f t="shared" si="143"/>
        <v>0.48949121498894943</v>
      </c>
      <c r="AG365" s="801">
        <f t="shared" si="149"/>
        <v>1</v>
      </c>
      <c r="AH365" s="172">
        <f t="shared" si="144"/>
        <v>7</v>
      </c>
      <c r="AI365" s="221">
        <f t="shared" si="145"/>
        <v>1.4894912149889494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customHeight="1" x14ac:dyDescent="0.2">
      <c r="A366" s="56">
        <f t="shared" si="148"/>
        <v>45643</v>
      </c>
      <c r="B366" s="406">
        <f>'2023'!Wh/'2023'!Env_an*'2024'!Env_an</f>
        <v>70.627898579152088</v>
      </c>
      <c r="C366" s="385"/>
      <c r="D366" s="388">
        <f t="shared" si="127"/>
        <v>71.816369030789019</v>
      </c>
      <c r="E366" s="380">
        <f t="shared" si="150"/>
        <v>73.725258266248844</v>
      </c>
      <c r="F366" s="380">
        <f t="shared" si="128"/>
        <v>73.808442655147104</v>
      </c>
      <c r="G366" s="110">
        <f t="shared" si="151"/>
        <v>0.77010249803695585</v>
      </c>
      <c r="H366" s="409" t="b">
        <f>Wh_hp&gt;='2023'!Maxi_hp</f>
        <v>0</v>
      </c>
      <c r="I366" s="375">
        <f>IF(H366,Wh_hp,'2023'!Maxi_hp)</f>
        <v>98.158403846650032</v>
      </c>
      <c r="J366" s="85">
        <f>IF(H366,An,'2023'!An_max)</f>
        <v>2021</v>
      </c>
      <c r="K366" s="193">
        <f t="shared" si="129"/>
        <v>45643</v>
      </c>
      <c r="L366" s="143">
        <f>IF(t&lt;Tvie,1-EXP((T0-t)*PertePVj)+'2023'!Pspv,1-EXP((T0-t)*PertePVj)+Pspv)</f>
        <v>1.6548740456753142E-2</v>
      </c>
      <c r="M366" s="835"/>
      <c r="N366" s="835"/>
      <c r="O366" s="48">
        <f>IF(t&lt;Tnet,'2023'!Resal+('2023'!Salim-'2023'!Resal)*(1-EXP(('2023'!Tnet-t)/('2023'!Tau_j))),Resal+(Salim-Resal)*(1-EXP((Tnet-t)/(Tau_j))))*Salcycl</f>
        <v>2.589193012476294E-2</v>
      </c>
      <c r="P366" s="165">
        <f>(INDEX(Models!$BJ366:$BT366,,T366)*(1-R366)+INDEX(Models!$BJ366:$BT366,,T366+1)*R366-ERP_i)*Q366*Ramure*Pc/MaxiM</f>
        <v>1.6766783107591136E-3</v>
      </c>
      <c r="Q366" s="301">
        <f t="shared" si="130"/>
        <v>0.5</v>
      </c>
      <c r="R366" s="173">
        <f t="shared" si="131"/>
        <v>0.48949940360861866</v>
      </c>
      <c r="S366" s="801">
        <f t="shared" si="132"/>
        <v>1</v>
      </c>
      <c r="T366" s="172">
        <f t="shared" si="133"/>
        <v>7</v>
      </c>
      <c r="U366" s="247">
        <f t="shared" si="134"/>
        <v>1.4894994036086187</v>
      </c>
      <c r="V366" s="378">
        <f t="shared" si="135"/>
        <v>91.661869049811699</v>
      </c>
      <c r="W366" s="397">
        <f t="shared" si="136"/>
        <v>70.627898579152088</v>
      </c>
      <c r="X366" s="153">
        <f t="shared" si="137"/>
        <v>45643</v>
      </c>
      <c r="Y366" s="380">
        <f t="shared" si="138"/>
        <v>68.515538430256285</v>
      </c>
      <c r="Z366" s="380">
        <f t="shared" si="139"/>
        <v>69.668463754957799</v>
      </c>
      <c r="AA366" s="381">
        <f t="shared" si="140"/>
        <v>73.725258266248844</v>
      </c>
      <c r="AB366" s="193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5.5025843336356572E-2</v>
      </c>
      <c r="AD366" s="227">
        <f>(INDEX(Models!$BJ366:$BT366,,AH366)*(1-AF366)+INDEX(Models!$BJ366:$BT366,,AH366+1)*AF366-ERP_i)*AE366*Ramure*Pc/MaxiM</f>
        <v>1.6766783107591136E-3</v>
      </c>
      <c r="AE366" s="301">
        <f t="shared" si="142"/>
        <v>0.5</v>
      </c>
      <c r="AF366" s="173">
        <f t="shared" si="143"/>
        <v>0.48949940360861866</v>
      </c>
      <c r="AG366" s="801">
        <f t="shared" si="149"/>
        <v>1</v>
      </c>
      <c r="AH366" s="172">
        <f t="shared" si="144"/>
        <v>7</v>
      </c>
      <c r="AI366" s="221">
        <f t="shared" si="145"/>
        <v>1.4894994036086187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customHeight="1" x14ac:dyDescent="0.2">
      <c r="A367" s="56">
        <f t="shared" si="148"/>
        <v>45644</v>
      </c>
      <c r="B367" s="406">
        <f>'2023'!Wh/'2023'!Env_an*'2024'!Env_an</f>
        <v>67.886627621040972</v>
      </c>
      <c r="C367" s="385"/>
      <c r="D367" s="388">
        <f t="shared" si="127"/>
        <v>69.029915093317186</v>
      </c>
      <c r="E367" s="380">
        <f t="shared" si="150"/>
        <v>70.868848443857871</v>
      </c>
      <c r="F367" s="380">
        <f t="shared" si="128"/>
        <v>70.943362761109427</v>
      </c>
      <c r="G367" s="110">
        <f t="shared" si="151"/>
        <v>0.74030780105322946</v>
      </c>
      <c r="H367" s="409" t="b">
        <f>Wh_hp&gt;='2023'!Maxi_hp</f>
        <v>0</v>
      </c>
      <c r="I367" s="375">
        <f>IF(H367,Wh_hp,'2023'!Maxi_hp)</f>
        <v>96.560601713863988</v>
      </c>
      <c r="J367" s="85">
        <f>IF(H367,An,'2023'!An_max)</f>
        <v>2021</v>
      </c>
      <c r="K367" s="193">
        <f t="shared" si="129"/>
        <v>45644</v>
      </c>
      <c r="L367" s="143">
        <f>IF(t&lt;Tvie,1-EXP((T0-t)*PertePVj)+'2023'!Pspv,1-EXP((T0-t)*PertePVj)+Pspv)</f>
        <v>1.6562203078631543E-2</v>
      </c>
      <c r="M367" s="835"/>
      <c r="N367" s="835"/>
      <c r="O367" s="48">
        <f>IF(t&lt;Tnet,'2023'!Resal+('2023'!Salim-'2023'!Resal)*(1-EXP(('2023'!Tnet-t)/('2023'!Tau_j))),Resal+(Salim-Resal)*(1-EXP((Tnet-t)/(Tau_j))))*Salcycl</f>
        <v>2.5948401743785741E-2</v>
      </c>
      <c r="P367" s="165">
        <f>(INDEX(Models!$BJ367:$BT367,,T367)*(1-R367)+INDEX(Models!$BJ367:$BT367,,T367+1)*R367-ERP_i)*Q367*Ramure*Pc/MaxiM</f>
        <v>1.6680843908207089E-3</v>
      </c>
      <c r="Q367" s="301">
        <f t="shared" si="130"/>
        <v>0.5</v>
      </c>
      <c r="R367" s="173">
        <f t="shared" si="131"/>
        <v>0.48950726278258472</v>
      </c>
      <c r="S367" s="801">
        <f t="shared" si="132"/>
        <v>1</v>
      </c>
      <c r="T367" s="172">
        <f t="shared" si="133"/>
        <v>7</v>
      </c>
      <c r="U367" s="247">
        <f t="shared" si="134"/>
        <v>1.4895072627825847</v>
      </c>
      <c r="V367" s="378">
        <f t="shared" si="135"/>
        <v>91.643835884193336</v>
      </c>
      <c r="W367" s="397">
        <f t="shared" si="136"/>
        <v>67.886627621040972</v>
      </c>
      <c r="X367" s="153">
        <f t="shared" si="137"/>
        <v>45644</v>
      </c>
      <c r="Y367" s="380">
        <f t="shared" si="138"/>
        <v>65.858589499789574</v>
      </c>
      <c r="Z367" s="380">
        <f t="shared" si="139"/>
        <v>66.967722519877228</v>
      </c>
      <c r="AA367" s="381">
        <f t="shared" si="140"/>
        <v>70.868848443857871</v>
      </c>
      <c r="AB367" s="193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5.5047118863108195E-2</v>
      </c>
      <c r="AD367" s="227">
        <f>(INDEX(Models!$BJ367:$BT367,,AH367)*(1-AF367)+INDEX(Models!$BJ367:$BT367,,AH367+1)*AF367-ERP_i)*AE367*Ramure*Pc/MaxiM</f>
        <v>1.6680843908207089E-3</v>
      </c>
      <c r="AE367" s="301">
        <f t="shared" si="142"/>
        <v>0.5</v>
      </c>
      <c r="AF367" s="173">
        <f t="shared" si="143"/>
        <v>0.48950726278258472</v>
      </c>
      <c r="AG367" s="801">
        <f t="shared" si="149"/>
        <v>1</v>
      </c>
      <c r="AH367" s="172">
        <f t="shared" si="144"/>
        <v>7</v>
      </c>
      <c r="AI367" s="221">
        <f t="shared" si="145"/>
        <v>1.4895072627825847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customHeight="1" x14ac:dyDescent="0.2">
      <c r="A368" s="56">
        <f t="shared" si="148"/>
        <v>45645</v>
      </c>
      <c r="B368" s="406">
        <f>'2023'!Wh/'2023'!Env_an*'2024'!Env_an</f>
        <v>17.747701357719954</v>
      </c>
      <c r="C368" s="385"/>
      <c r="D368" s="388">
        <f t="shared" si="127"/>
        <v>18.04683973682231</v>
      </c>
      <c r="E368" s="380">
        <f t="shared" si="150"/>
        <v>18.528678362076512</v>
      </c>
      <c r="F368" s="380">
        <f t="shared" si="128"/>
        <v>18.528678362076512</v>
      </c>
      <c r="G368" s="110">
        <f t="shared" si="151"/>
        <v>0.19328773055118398</v>
      </c>
      <c r="H368" s="409" t="b">
        <f>Wh_hp&gt;='2023'!Maxi_hp</f>
        <v>0</v>
      </c>
      <c r="I368" s="375">
        <f>IF(H368,Wh_hp,'2023'!Maxi_hp)</f>
        <v>98.669245392496961</v>
      </c>
      <c r="J368" s="85">
        <f>IF(H368,An,'2023'!An_max)</f>
        <v>2021</v>
      </c>
      <c r="K368" s="193">
        <f t="shared" si="129"/>
        <v>45645</v>
      </c>
      <c r="L368" s="143">
        <f>IF(t&lt;Tvie,1-EXP((T0-t)*PertePVj)+'2023'!Pspv,1-EXP((T0-t)*PertePVj)+Pspv)</f>
        <v>1.6575665516217919E-2</v>
      </c>
      <c r="M368" s="835"/>
      <c r="N368" s="835"/>
      <c r="O368" s="48">
        <f>IF(t&lt;Tnet,'2023'!Resal+('2023'!Salim-'2023'!Resal)*(1-EXP(('2023'!Tnet-t)/('2023'!Tau_j))),Resal+(Salim-Resal)*(1-EXP((Tnet-t)/(Tau_j))))*Salcycl</f>
        <v>2.6005018590014625E-2</v>
      </c>
      <c r="P368" s="165">
        <f>(INDEX(Models!$BJ368:$BT368,,T368)*(1-R368)+INDEX(Models!$BJ368:$BT368,,T368+1)*R368-ERP_i)*Q368*Ramure*Pc/MaxiM</f>
        <v>1.6611555975055107E-3</v>
      </c>
      <c r="Q368" s="301">
        <f t="shared" si="130"/>
        <v>0.5</v>
      </c>
      <c r="R368" s="173">
        <f t="shared" si="131"/>
        <v>0.48951480575542305</v>
      </c>
      <c r="S368" s="801">
        <f t="shared" si="132"/>
        <v>1</v>
      </c>
      <c r="T368" s="172">
        <f t="shared" si="133"/>
        <v>7</v>
      </c>
      <c r="U368" s="247">
        <f t="shared" si="134"/>
        <v>1.4895148057554231</v>
      </c>
      <c r="V368" s="378">
        <f t="shared" si="135"/>
        <v>91.667586006318231</v>
      </c>
      <c r="W368" s="397">
        <f t="shared" si="136"/>
        <v>17.747701357719954</v>
      </c>
      <c r="X368" s="153">
        <f t="shared" si="137"/>
        <v>45645</v>
      </c>
      <c r="Y368" s="380">
        <f t="shared" si="138"/>
        <v>17.218113540104753</v>
      </c>
      <c r="Z368" s="380">
        <f t="shared" si="139"/>
        <v>17.508325690499476</v>
      </c>
      <c r="AA368" s="381">
        <f t="shared" si="140"/>
        <v>18.528678362076512</v>
      </c>
      <c r="AB368" s="193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5.5068831766513851E-2</v>
      </c>
      <c r="AD368" s="227">
        <f>(INDEX(Models!$BJ368:$BT368,,AH368)*(1-AF368)+INDEX(Models!$BJ368:$BT368,,AH368+1)*AF368-ERP_i)*AE368*Ramure*Pc/MaxiM</f>
        <v>1.6611555975055107E-3</v>
      </c>
      <c r="AE368" s="301">
        <f t="shared" si="142"/>
        <v>0.5</v>
      </c>
      <c r="AF368" s="173">
        <f t="shared" si="143"/>
        <v>0.48951480575542305</v>
      </c>
      <c r="AG368" s="801">
        <f t="shared" si="149"/>
        <v>1</v>
      </c>
      <c r="AH368" s="172">
        <f t="shared" si="144"/>
        <v>7</v>
      </c>
      <c r="AI368" s="221">
        <f t="shared" si="145"/>
        <v>1.4895148057554231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customHeight="1" x14ac:dyDescent="0.2">
      <c r="A369" s="56">
        <f t="shared" si="148"/>
        <v>45646</v>
      </c>
      <c r="B369" s="406">
        <f>'2023'!Wh/'2023'!Env_an*'2024'!Env_an</f>
        <v>83.859371720514574</v>
      </c>
      <c r="C369" s="385"/>
      <c r="D369" s="388">
        <f t="shared" si="127"/>
        <v>85.273992883881988</v>
      </c>
      <c r="E369" s="380">
        <f t="shared" si="150"/>
        <v>87.555853078954698</v>
      </c>
      <c r="F369" s="380">
        <f t="shared" si="128"/>
        <v>87.683241946013965</v>
      </c>
      <c r="G369" s="110">
        <f t="shared" si="151"/>
        <v>0.91397905012584169</v>
      </c>
      <c r="H369" s="409" t="b">
        <f>Wh_hp&gt;='2023'!Maxi_hp</f>
        <v>0</v>
      </c>
      <c r="I369" s="375">
        <f>IF(H369,Wh_hp,'2023'!Maxi_hp)</f>
        <v>87.695365898496206</v>
      </c>
      <c r="J369" s="85">
        <f>IF(H369,An,'2023'!An_max)</f>
        <v>2022</v>
      </c>
      <c r="K369" s="193">
        <f t="shared" si="129"/>
        <v>45646</v>
      </c>
      <c r="L369" s="143">
        <f>IF(t&lt;Tvie,1-EXP((T0-t)*PertePVj)+'2023'!Pspv,1-EXP((T0-t)*PertePVj)+Pspv)</f>
        <v>1.6589127769514822E-2</v>
      </c>
      <c r="M369" s="835"/>
      <c r="N369" s="835"/>
      <c r="O369" s="48">
        <f>IF(t&lt;Tnet,'2023'!Resal+('2023'!Salim-'2023'!Resal)*(1-EXP(('2023'!Tnet-t)/('2023'!Tau_j))),Resal+(Salim-Resal)*(1-EXP((Tnet-t)/(Tau_j))))*Salcycl</f>
        <v>2.6061766459119739E-2</v>
      </c>
      <c r="P369" s="165">
        <f>(INDEX(Models!$BJ369:$BT369,,T369)*(1-R369)+INDEX(Models!$BJ369:$BT369,,T369+1)*R369-ERP_i)*Q369*Ramure*Pc/MaxiM</f>
        <v>1.6558763263032994E-3</v>
      </c>
      <c r="Q369" s="301">
        <f t="shared" si="130"/>
        <v>0.5</v>
      </c>
      <c r="R369" s="173">
        <f t="shared" si="131"/>
        <v>0.48952204524000997</v>
      </c>
      <c r="S369" s="801">
        <f t="shared" si="132"/>
        <v>1</v>
      </c>
      <c r="T369" s="172">
        <f t="shared" si="133"/>
        <v>7</v>
      </c>
      <c r="U369" s="247">
        <f t="shared" si="134"/>
        <v>1.48952204524001</v>
      </c>
      <c r="V369" s="378">
        <f t="shared" si="135"/>
        <v>91.733305724567444</v>
      </c>
      <c r="W369" s="397">
        <f t="shared" si="136"/>
        <v>83.859371720514574</v>
      </c>
      <c r="X369" s="153">
        <f t="shared" si="137"/>
        <v>45646</v>
      </c>
      <c r="Y369" s="380">
        <f t="shared" si="138"/>
        <v>81.359861018227164</v>
      </c>
      <c r="Z369" s="380">
        <f t="shared" si="139"/>
        <v>82.732318012403056</v>
      </c>
      <c r="AA369" s="381">
        <f t="shared" si="140"/>
        <v>87.555853078954698</v>
      </c>
      <c r="AB369" s="193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5.5090949341809803E-2</v>
      </c>
      <c r="AD369" s="227">
        <f>(INDEX(Models!$BJ369:$BT369,,AH369)*(1-AF369)+INDEX(Models!$BJ369:$BT369,,AH369+1)*AF369-ERP_i)*AE369*Ramure*Pc/MaxiM</f>
        <v>1.6558763263032994E-3</v>
      </c>
      <c r="AE369" s="301">
        <f t="shared" si="142"/>
        <v>0.5</v>
      </c>
      <c r="AF369" s="173">
        <f t="shared" si="143"/>
        <v>0.48952204524000997</v>
      </c>
      <c r="AG369" s="801">
        <f t="shared" si="149"/>
        <v>1</v>
      </c>
      <c r="AH369" s="172">
        <f t="shared" si="144"/>
        <v>7</v>
      </c>
      <c r="AI369" s="221">
        <f t="shared" si="145"/>
        <v>1.48952204524001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customHeight="1" x14ac:dyDescent="0.2">
      <c r="A370" s="56">
        <f t="shared" si="148"/>
        <v>45647</v>
      </c>
      <c r="B370" s="406">
        <f>'2023'!Wh/'2023'!Env_an*'2024'!Env_an</f>
        <v>69.852648390597764</v>
      </c>
      <c r="C370" s="385"/>
      <c r="D370" s="388">
        <f t="shared" si="127"/>
        <v>71.031962936660435</v>
      </c>
      <c r="E370" s="380">
        <f t="shared" si="150"/>
        <v>72.936976952383532</v>
      </c>
      <c r="F370" s="380">
        <f t="shared" si="128"/>
        <v>73.016354588947209</v>
      </c>
      <c r="G370" s="110">
        <f t="shared" si="151"/>
        <v>0.76015062452851578</v>
      </c>
      <c r="H370" s="409" t="b">
        <f>Wh_hp&gt;='2023'!Maxi_hp</f>
        <v>0</v>
      </c>
      <c r="I370" s="375">
        <f>IF(H370,Wh_hp,'2023'!Maxi_hp)</f>
        <v>94.664901862942699</v>
      </c>
      <c r="J370" s="85">
        <f>IF(H370,An,'2023'!An_max)</f>
        <v>2021</v>
      </c>
      <c r="K370" s="193">
        <f t="shared" si="129"/>
        <v>45647</v>
      </c>
      <c r="L370" s="143">
        <f>IF(t&lt;Tvie,1-EXP((T0-t)*PertePVj)+'2023'!Pspv,1-EXP((T0-t)*PertePVj)+Pspv)</f>
        <v>1.6602589838524806E-2</v>
      </c>
      <c r="M370" s="835"/>
      <c r="N370" s="835"/>
      <c r="O370" s="48">
        <f>IF(t&lt;Tnet,'2023'!Resal+('2023'!Salim-'2023'!Resal)*(1-EXP(('2023'!Tnet-t)/('2023'!Tau_j))),Resal+(Salim-Resal)*(1-EXP((Tnet-t)/(Tau_j))))*Salcycl</f>
        <v>2.6118631390039181E-2</v>
      </c>
      <c r="P370" s="165">
        <f>(INDEX(Models!$BJ370:$BT370,,T370)*(1-R370)+INDEX(Models!$BJ370:$BT370,,T370+1)*R370-ERP_i)*Q370*Ramure*Pc/MaxiM</f>
        <v>1.6522285836423837E-3</v>
      </c>
      <c r="Q370" s="301">
        <f t="shared" si="130"/>
        <v>0.5</v>
      </c>
      <c r="R370" s="173">
        <f t="shared" si="131"/>
        <v>0.4895289934388074</v>
      </c>
      <c r="S370" s="801">
        <f t="shared" si="132"/>
        <v>1</v>
      </c>
      <c r="T370" s="172">
        <f t="shared" si="133"/>
        <v>7</v>
      </c>
      <c r="U370" s="247">
        <f t="shared" si="134"/>
        <v>1.4895289934388074</v>
      </c>
      <c r="V370" s="378">
        <f t="shared" si="135"/>
        <v>91.84118112863176</v>
      </c>
      <c r="W370" s="397">
        <f t="shared" si="136"/>
        <v>69.852648390597764</v>
      </c>
      <c r="X370" s="153">
        <f t="shared" si="137"/>
        <v>45647</v>
      </c>
      <c r="Y370" s="380">
        <f t="shared" si="138"/>
        <v>67.772965781272248</v>
      </c>
      <c r="Z370" s="380">
        <f t="shared" si="139"/>
        <v>68.917169275587</v>
      </c>
      <c r="AA370" s="381">
        <f t="shared" si="140"/>
        <v>72.936976952383532</v>
      </c>
      <c r="AB370" s="193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5.5113439640099612E-2</v>
      </c>
      <c r="AD370" s="227">
        <f>(INDEX(Models!$BJ370:$BT370,,AH370)*(1-AF370)+INDEX(Models!$BJ370:$BT370,,AH370+1)*AF370-ERP_i)*AE370*Ramure*Pc/MaxiM</f>
        <v>1.6522285836423837E-3</v>
      </c>
      <c r="AE370" s="301">
        <f t="shared" si="142"/>
        <v>0.5</v>
      </c>
      <c r="AF370" s="173">
        <f t="shared" si="143"/>
        <v>0.4895289934388074</v>
      </c>
      <c r="AG370" s="801">
        <f t="shared" si="149"/>
        <v>1</v>
      </c>
      <c r="AH370" s="172">
        <f t="shared" si="144"/>
        <v>7</v>
      </c>
      <c r="AI370" s="221">
        <f t="shared" si="145"/>
        <v>1.4895289934388074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customHeight="1" x14ac:dyDescent="0.2">
      <c r="A371" s="56">
        <f t="shared" si="148"/>
        <v>45648</v>
      </c>
      <c r="B371" s="406">
        <f>'2023'!Wh/'2023'!Env_an*'2024'!Env_an</f>
        <v>71.648183646976861</v>
      </c>
      <c r="C371" s="385"/>
      <c r="D371" s="388">
        <f t="shared" si="127"/>
        <v>72.858809392334337</v>
      </c>
      <c r="E371" s="380">
        <f t="shared" si="150"/>
        <v>74.817194325113604</v>
      </c>
      <c r="F371" s="380">
        <f t="shared" si="128"/>
        <v>74.901748056805488</v>
      </c>
      <c r="G371" s="110">
        <f t="shared" si="151"/>
        <v>0.77845092793346171</v>
      </c>
      <c r="H371" s="409" t="b">
        <f>Wh_hp&gt;='2023'!Maxi_hp</f>
        <v>0</v>
      </c>
      <c r="I371" s="375">
        <f>IF(H371,Wh_hp,'2023'!Maxi_hp)</f>
        <v>74.928334057656301</v>
      </c>
      <c r="J371" s="85">
        <f>IF(H371,An,'2023'!An_max)</f>
        <v>2022</v>
      </c>
      <c r="K371" s="193">
        <f t="shared" si="129"/>
        <v>45648</v>
      </c>
      <c r="L371" s="143">
        <f>IF(t&lt;Tvie,1-EXP((T0-t)*PertePVj)+'2023'!Pspv,1-EXP((T0-t)*PertePVj)+Pspv)</f>
        <v>1.6616051723250425E-2</v>
      </c>
      <c r="M371" s="835"/>
      <c r="N371" s="835"/>
      <c r="O371" s="48">
        <f>IF(t&lt;Tnet,'2023'!Resal+('2023'!Salim-'2023'!Resal)*(1-EXP(('2023'!Tnet-t)/('2023'!Tau_j))),Resal+(Salim-Resal)*(1-EXP((Tnet-t)/(Tau_j))))*Salcycl</f>
        <v>2.6175599746085382E-2</v>
      </c>
      <c r="P371" s="165">
        <f>(INDEX(Models!$BJ371:$BT371,,T371)*(1-R371)+INDEX(Models!$BJ371:$BT371,,T371+1)*R371-ERP_i)*Q371*Ramure*Pc/MaxiM</f>
        <v>1.6501850260117073E-3</v>
      </c>
      <c r="Q371" s="301">
        <f t="shared" si="130"/>
        <v>0.5</v>
      </c>
      <c r="R371" s="173">
        <f t="shared" si="131"/>
        <v>0.4895289934388074</v>
      </c>
      <c r="S371" s="801">
        <f t="shared" si="132"/>
        <v>1</v>
      </c>
      <c r="T371" s="172">
        <f t="shared" si="133"/>
        <v>7</v>
      </c>
      <c r="U371" s="247">
        <f t="shared" si="134"/>
        <v>1.4895289934388074</v>
      </c>
      <c r="V371" s="378">
        <f t="shared" si="135"/>
        <v>91.991398573123746</v>
      </c>
      <c r="W371" s="397">
        <f t="shared" si="136"/>
        <v>71.648183646976861</v>
      </c>
      <c r="X371" s="153">
        <f t="shared" si="137"/>
        <v>45648</v>
      </c>
      <c r="Y371" s="380">
        <f t="shared" si="138"/>
        <v>69.517430364117132</v>
      </c>
      <c r="Z371" s="380">
        <f t="shared" si="139"/>
        <v>70.692053176114214</v>
      </c>
      <c r="AA371" s="381">
        <f t="shared" si="140"/>
        <v>74.817194325113604</v>
      </c>
      <c r="AB371" s="193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5.5136271631275574E-2</v>
      </c>
      <c r="AD371" s="227">
        <f>(INDEX(Models!$BJ371:$BT371,,AH371)*(1-AF371)+INDEX(Models!$BJ371:$BT371,,AH371+1)*AF371-ERP_i)*AE371*Ramure*Pc/MaxiM</f>
        <v>1.6501850260117073E-3</v>
      </c>
      <c r="AE371" s="301">
        <f t="shared" si="142"/>
        <v>0.5</v>
      </c>
      <c r="AF371" s="173">
        <f t="shared" si="143"/>
        <v>0.4895289934388074</v>
      </c>
      <c r="AG371" s="801">
        <f t="shared" si="149"/>
        <v>1</v>
      </c>
      <c r="AH371" s="172">
        <f t="shared" si="144"/>
        <v>7</v>
      </c>
      <c r="AI371" s="221">
        <f t="shared" si="145"/>
        <v>1.4895289934388074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customHeight="1" x14ac:dyDescent="0.2">
      <c r="A372" s="56">
        <f t="shared" si="148"/>
        <v>45649</v>
      </c>
      <c r="B372" s="406">
        <f>'2023'!Wh/'2023'!Env_an*'2024'!Env_an</f>
        <v>86.976973267564077</v>
      </c>
      <c r="C372" s="385"/>
      <c r="D372" s="388">
        <f t="shared" si="127"/>
        <v>88.447817434894091</v>
      </c>
      <c r="E372" s="380">
        <f t="shared" si="150"/>
        <v>90.83054405954428</v>
      </c>
      <c r="F372" s="380">
        <f t="shared" si="128"/>
        <v>90.968507166392484</v>
      </c>
      <c r="G372" s="110">
        <f t="shared" si="151"/>
        <v>0.94338759346287826</v>
      </c>
      <c r="H372" s="409" t="b">
        <f>Wh_hp&gt;='2023'!Maxi_hp</f>
        <v>0</v>
      </c>
      <c r="I372" s="375">
        <f>IF(H372,Wh_hp,'2023'!Maxi_hp)</f>
        <v>90.976752342658557</v>
      </c>
      <c r="J372" s="85">
        <f>IF(H372,An,'2023'!An_max)</f>
        <v>2022</v>
      </c>
      <c r="K372" s="193">
        <f t="shared" si="129"/>
        <v>45649</v>
      </c>
      <c r="L372" s="143">
        <f>IF(t&lt;Tvie,1-EXP((T0-t)*PertePVj)+'2023'!Pspv,1-EXP((T0-t)*PertePVj)+Pspv)</f>
        <v>1.662951342369412E-2</v>
      </c>
      <c r="M372" s="835"/>
      <c r="N372" s="835"/>
      <c r="O372" s="48">
        <f>IF(t&lt;Tnet,'2023'!Resal+('2023'!Salim-'2023'!Resal)*(1-EXP(('2023'!Tnet-t)/('2023'!Tau_j))),Resal+(Salim-Resal)*(1-EXP((Tnet-t)/(Tau_j))))*Salcycl</f>
        <v>2.6232658290455495E-2</v>
      </c>
      <c r="P372" s="165">
        <f>(INDEX(Models!$BJ372:$BT372,,T372)*(1-R372)+INDEX(Models!$BJ372:$BT372,,T372+1)*R372-ERP_i)*Q372*Ramure*Pc/MaxiM</f>
        <v>1.6497280185653765E-3</v>
      </c>
      <c r="Q372" s="301">
        <f t="shared" si="130"/>
        <v>0.5</v>
      </c>
      <c r="R372" s="173">
        <f t="shared" si="131"/>
        <v>0.4895289934388074</v>
      </c>
      <c r="S372" s="801">
        <f t="shared" si="132"/>
        <v>1</v>
      </c>
      <c r="T372" s="172">
        <f t="shared" si="133"/>
        <v>7</v>
      </c>
      <c r="U372" s="247">
        <f t="shared" si="134"/>
        <v>1.4895289934388074</v>
      </c>
      <c r="V372" s="378">
        <f t="shared" si="135"/>
        <v>92.184143047899937</v>
      </c>
      <c r="W372" s="397">
        <f t="shared" si="136"/>
        <v>86.976973267564077</v>
      </c>
      <c r="X372" s="153">
        <f t="shared" si="137"/>
        <v>45649</v>
      </c>
      <c r="Y372" s="380">
        <f t="shared" si="138"/>
        <v>84.393233119354548</v>
      </c>
      <c r="Z372" s="380">
        <f t="shared" si="139"/>
        <v>85.820384352979005</v>
      </c>
      <c r="AA372" s="381">
        <f t="shared" si="140"/>
        <v>90.83054405954428</v>
      </c>
      <c r="AB372" s="193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5.5159415353505367E-2</v>
      </c>
      <c r="AD372" s="227">
        <f>(INDEX(Models!$BJ372:$BT372,,AH372)*(1-AF372)+INDEX(Models!$BJ372:$BT372,,AH372+1)*AF372-ERP_i)*AE372*Ramure*Pc/MaxiM</f>
        <v>1.6497280185653765E-3</v>
      </c>
      <c r="AE372" s="301">
        <f t="shared" si="142"/>
        <v>0.5</v>
      </c>
      <c r="AF372" s="173">
        <f t="shared" si="143"/>
        <v>0.4895289934388074</v>
      </c>
      <c r="AG372" s="801">
        <f t="shared" si="149"/>
        <v>1</v>
      </c>
      <c r="AH372" s="172">
        <f t="shared" si="144"/>
        <v>7</v>
      </c>
      <c r="AI372" s="221">
        <f t="shared" si="145"/>
        <v>1.4895289934388074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customHeight="1" x14ac:dyDescent="0.2">
      <c r="A373" s="56">
        <f t="shared" si="148"/>
        <v>45650</v>
      </c>
      <c r="B373" s="406">
        <f>'2023'!Wh/'2023'!Env_an*'2024'!Env_an</f>
        <v>49.001756887511661</v>
      </c>
      <c r="C373" s="385"/>
      <c r="D373" s="388">
        <f t="shared" si="127"/>
        <v>49.831094545254039</v>
      </c>
      <c r="E373" s="380">
        <f t="shared" si="150"/>
        <v>51.176514584399385</v>
      </c>
      <c r="F373" s="380">
        <f t="shared" si="128"/>
        <v>51.204310098036927</v>
      </c>
      <c r="G373" s="110">
        <f t="shared" si="151"/>
        <v>0.5296002359094637</v>
      </c>
      <c r="H373" s="409" t="b">
        <f>Wh_hp&gt;='2023'!Maxi_hp</f>
        <v>0</v>
      </c>
      <c r="I373" s="375">
        <f>IF(H373,Wh_hp,'2023'!Maxi_hp)</f>
        <v>51.242914990757299</v>
      </c>
      <c r="J373" s="85">
        <f>IF(H373,An,'2023'!An_max)</f>
        <v>2022</v>
      </c>
      <c r="K373" s="193">
        <f t="shared" si="129"/>
        <v>45650</v>
      </c>
      <c r="L373" s="143">
        <f>IF(t&lt;Tvie,1-EXP((T0-t)*PertePVj)+'2023'!Pspv,1-EXP((T0-t)*PertePVj)+Pspv)</f>
        <v>1.6642974939858446E-2</v>
      </c>
      <c r="M373" s="835"/>
      <c r="N373" s="835"/>
      <c r="O373" s="48">
        <f>IF(t&lt;Tnet,'2023'!Resal+('2023'!Salim-'2023'!Resal)*(1-EXP(('2023'!Tnet-t)/('2023'!Tau_j))),Resal+(Salim-Resal)*(1-EXP((Tnet-t)/(Tau_j))))*Salcycl</f>
        <v>2.6289794255654138E-2</v>
      </c>
      <c r="P373" s="165">
        <f>(INDEX(Models!$BJ373:$BT373,,T373)*(1-R373)+INDEX(Models!$BJ373:$BT373,,T373+1)*R373-ERP_i)*Q373*Ramure*Pc/MaxiM</f>
        <v>1.6507587800740965E-3</v>
      </c>
      <c r="Q373" s="301">
        <f t="shared" si="130"/>
        <v>0.5</v>
      </c>
      <c r="R373" s="173">
        <f t="shared" si="131"/>
        <v>0.4895289934388074</v>
      </c>
      <c r="S373" s="801">
        <f t="shared" si="132"/>
        <v>1</v>
      </c>
      <c r="T373" s="172">
        <f t="shared" si="133"/>
        <v>7</v>
      </c>
      <c r="U373" s="247">
        <f t="shared" si="134"/>
        <v>1.4895289934388074</v>
      </c>
      <c r="V373" s="378">
        <f t="shared" si="135"/>
        <v>92.423367459627642</v>
      </c>
      <c r="W373" s="397">
        <f t="shared" si="136"/>
        <v>49.001756887511661</v>
      </c>
      <c r="X373" s="153">
        <f t="shared" si="137"/>
        <v>45650</v>
      </c>
      <c r="Y373" s="380">
        <f t="shared" si="138"/>
        <v>47.547720465454759</v>
      </c>
      <c r="Z373" s="380">
        <f t="shared" si="139"/>
        <v>48.352449063499364</v>
      </c>
      <c r="AA373" s="381">
        <f t="shared" si="140"/>
        <v>51.176514584399385</v>
      </c>
      <c r="AB373" s="193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5.5182842048428687E-2</v>
      </c>
      <c r="AD373" s="227">
        <f>(INDEX(Models!$BJ373:$BT373,,AH373)*(1-AF373)+INDEX(Models!$BJ373:$BT373,,AH373+1)*AF373-ERP_i)*AE373*Ramure*Pc/MaxiM</f>
        <v>1.6507587800740965E-3</v>
      </c>
      <c r="AE373" s="301">
        <f t="shared" si="142"/>
        <v>0.5</v>
      </c>
      <c r="AF373" s="173">
        <f t="shared" si="143"/>
        <v>0.4895289934388074</v>
      </c>
      <c r="AG373" s="801">
        <f t="shared" si="149"/>
        <v>1</v>
      </c>
      <c r="AH373" s="172">
        <f t="shared" si="144"/>
        <v>7</v>
      </c>
      <c r="AI373" s="221">
        <f t="shared" si="145"/>
        <v>1.4895289934388074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customHeight="1" x14ac:dyDescent="0.2">
      <c r="A374" s="56">
        <f t="shared" si="148"/>
        <v>45651</v>
      </c>
      <c r="B374" s="406">
        <f>'2023'!Wh/'2023'!Env_an*'2024'!Env_an</f>
        <v>83.724239099353994</v>
      </c>
      <c r="C374" s="385"/>
      <c r="D374" s="388">
        <f t="shared" si="127"/>
        <v>85.142408195485061</v>
      </c>
      <c r="E374" s="380">
        <f t="shared" si="150"/>
        <v>87.446356960633196</v>
      </c>
      <c r="F374" s="380">
        <f t="shared" si="128"/>
        <v>87.571080645084336</v>
      </c>
      <c r="G374" s="110">
        <f t="shared" si="151"/>
        <v>0.90285325428641583</v>
      </c>
      <c r="H374" s="409" t="b">
        <f>Wh_hp&gt;='2023'!Maxi_hp</f>
        <v>0</v>
      </c>
      <c r="I374" s="375">
        <f>IF(H374,Wh_hp,'2023'!Maxi_hp)</f>
        <v>87.584724087627364</v>
      </c>
      <c r="J374" s="85">
        <f>IF(H374,An,'2023'!An_max)</f>
        <v>2022</v>
      </c>
      <c r="K374" s="193">
        <f t="shared" si="129"/>
        <v>45651</v>
      </c>
      <c r="L374" s="143">
        <f>IF(t&lt;Tvie,1-EXP((T0-t)*PertePVj)+'2023'!Pspv,1-EXP((T0-t)*PertePVj)+Pspv)</f>
        <v>1.6656436271745845E-2</v>
      </c>
      <c r="M374" s="835"/>
      <c r="N374" s="835"/>
      <c r="O374" s="48">
        <f>IF(t&lt;Tnet,'2023'!Resal+('2023'!Salim-'2023'!Resal)*(1-EXP(('2023'!Tnet-t)/('2023'!Tau_j))),Resal+(Salim-Resal)*(1-EXP((Tnet-t)/(Tau_j))))*Salcycl</f>
        <v>2.634699540639901E-2</v>
      </c>
      <c r="P374" s="165">
        <f>(INDEX(Models!$BJ374:$BT374,,T374)*(1-R374)+INDEX(Models!$BJ374:$BT374,,T374+1)*R374-ERP_i)*Q374*Ramure*Pc/MaxiM</f>
        <v>1.6532004843988919E-3</v>
      </c>
      <c r="Q374" s="301">
        <f t="shared" si="130"/>
        <v>0.5</v>
      </c>
      <c r="R374" s="173">
        <f t="shared" si="131"/>
        <v>0.4895289934388074</v>
      </c>
      <c r="S374" s="801">
        <f t="shared" si="132"/>
        <v>1</v>
      </c>
      <c r="T374" s="172">
        <f t="shared" si="133"/>
        <v>7</v>
      </c>
      <c r="U374" s="247">
        <f t="shared" si="134"/>
        <v>1.4895289934388074</v>
      </c>
      <c r="V374" s="378">
        <f t="shared" si="135"/>
        <v>92.711681776880241</v>
      </c>
      <c r="W374" s="397">
        <f t="shared" si="136"/>
        <v>83.724239099353994</v>
      </c>
      <c r="X374" s="153">
        <f t="shared" si="137"/>
        <v>45651</v>
      </c>
      <c r="Y374" s="380">
        <f t="shared" si="138"/>
        <v>81.242613628656073</v>
      </c>
      <c r="Z374" s="380">
        <f t="shared" si="139"/>
        <v>82.618747531770467</v>
      </c>
      <c r="AA374" s="381">
        <f t="shared" si="140"/>
        <v>87.446356960633196</v>
      </c>
      <c r="AB374" s="193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5.5206524281349291E-2</v>
      </c>
      <c r="AD374" s="227">
        <f>(INDEX(Models!$BJ374:$BT374,,AH374)*(1-AF374)+INDEX(Models!$BJ374:$BT374,,AH374+1)*AF374-ERP_i)*AE374*Ramure*Pc/MaxiM</f>
        <v>1.6532004843988919E-3</v>
      </c>
      <c r="AE374" s="301">
        <f t="shared" si="142"/>
        <v>0.5</v>
      </c>
      <c r="AF374" s="173">
        <f t="shared" si="143"/>
        <v>0.4895289934388074</v>
      </c>
      <c r="AG374" s="801">
        <f t="shared" si="149"/>
        <v>1</v>
      </c>
      <c r="AH374" s="172">
        <f t="shared" si="144"/>
        <v>7</v>
      </c>
      <c r="AI374" s="221">
        <f t="shared" si="145"/>
        <v>1.4895289934388074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customHeight="1" x14ac:dyDescent="0.2">
      <c r="A375" s="56">
        <f t="shared" si="148"/>
        <v>45652</v>
      </c>
      <c r="B375" s="406">
        <f>'2023'!Wh/'2023'!Env_an*'2024'!Env_an</f>
        <v>25.949712034405948</v>
      </c>
      <c r="C375" s="385"/>
      <c r="D375" s="388">
        <f t="shared" si="127"/>
        <v>26.389624365514493</v>
      </c>
      <c r="E375" s="380">
        <f t="shared" si="150"/>
        <v>27.105320014088996</v>
      </c>
      <c r="F375" s="380">
        <f t="shared" si="128"/>
        <v>27.105320014088996</v>
      </c>
      <c r="G375" s="110">
        <f t="shared" si="151"/>
        <v>0.27842531435439455</v>
      </c>
      <c r="H375" s="409" t="b">
        <f>Wh_hp&gt;='2023'!Maxi_hp</f>
        <v>0</v>
      </c>
      <c r="I375" s="375">
        <f>IF(H375,Wh_hp,'2023'!Maxi_hp)</f>
        <v>41.855930622746683</v>
      </c>
      <c r="J375" s="85">
        <f>IF(H375,An,'2023'!An_max)</f>
        <v>2021</v>
      </c>
      <c r="K375" s="193">
        <f t="shared" si="129"/>
        <v>45652</v>
      </c>
      <c r="L375" s="143">
        <f>IF(t&lt;Tvie,1-EXP((T0-t)*PertePVj)+'2023'!Pspv,1-EXP((T0-t)*PertePVj)+Pspv)</f>
        <v>1.6669897419358981E-2</v>
      </c>
      <c r="M375" s="835"/>
      <c r="N375" s="835"/>
      <c r="O375" s="48">
        <f>IF(t&lt;Tnet,'2023'!Resal+('2023'!Salim-'2023'!Resal)*(1-EXP(('2023'!Tnet-t)/('2023'!Tau_j))),Resal+(Salim-Resal)*(1-EXP((Tnet-t)/(Tau_j))))*Salcycl</f>
        <v>2.6404250095645204E-2</v>
      </c>
      <c r="P375" s="165">
        <f>(INDEX(Models!$BJ375:$BT375,,T375)*(1-R375)+INDEX(Models!$BJ375:$BT375,,T375+1)*R375-ERP_i)*Q375*Ramure*Pc/MaxiM</f>
        <v>1.6593169445790561E-3</v>
      </c>
      <c r="Q375" s="301">
        <f t="shared" si="130"/>
        <v>0.5</v>
      </c>
      <c r="R375" s="173">
        <f t="shared" si="131"/>
        <v>0.4895289934388074</v>
      </c>
      <c r="S375" s="801">
        <f t="shared" si="132"/>
        <v>1</v>
      </c>
      <c r="T375" s="172">
        <f t="shared" si="133"/>
        <v>7</v>
      </c>
      <c r="U375" s="247">
        <f t="shared" si="134"/>
        <v>1.4895289934388074</v>
      </c>
      <c r="V375" s="378">
        <f t="shared" si="135"/>
        <v>93.047046737082766</v>
      </c>
      <c r="W375" s="397">
        <f t="shared" si="136"/>
        <v>25.949712034405948</v>
      </c>
      <c r="X375" s="153">
        <f t="shared" si="137"/>
        <v>45652</v>
      </c>
      <c r="Y375" s="380">
        <f t="shared" si="138"/>
        <v>25.181393947015348</v>
      </c>
      <c r="Z375" s="380">
        <f t="shared" si="139"/>
        <v>25.608281370548472</v>
      </c>
      <c r="AA375" s="381">
        <f t="shared" si="140"/>
        <v>27.105320014088996</v>
      </c>
      <c r="AB375" s="193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5.5230436045853065E-2</v>
      </c>
      <c r="AD375" s="227">
        <f>(INDEX(Models!$BJ375:$BT375,,AH375)*(1-AF375)+INDEX(Models!$BJ375:$BT375,,AH375+1)*AF375-ERP_i)*AE375*Ramure*Pc/MaxiM</f>
        <v>1.6593169445790561E-3</v>
      </c>
      <c r="AE375" s="301">
        <f t="shared" si="142"/>
        <v>0.5</v>
      </c>
      <c r="AF375" s="173">
        <f t="shared" si="143"/>
        <v>0.4895289934388074</v>
      </c>
      <c r="AG375" s="801">
        <f t="shared" si="149"/>
        <v>1</v>
      </c>
      <c r="AH375" s="172">
        <f t="shared" si="144"/>
        <v>7</v>
      </c>
      <c r="AI375" s="221">
        <f t="shared" si="145"/>
        <v>1.4895289934388074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customHeight="1" x14ac:dyDescent="0.2">
      <c r="A376" s="56">
        <f t="shared" si="148"/>
        <v>45653</v>
      </c>
      <c r="B376" s="406">
        <f>'2023'!Wh/'2023'!Env_an*'2024'!Env_an</f>
        <v>68.100025358525428</v>
      </c>
      <c r="C376" s="385"/>
      <c r="D376" s="388">
        <f t="shared" si="127"/>
        <v>69.255438661669174</v>
      </c>
      <c r="E376" s="380">
        <f t="shared" si="150"/>
        <v>71.137856414970045</v>
      </c>
      <c r="F376" s="380">
        <f t="shared" si="128"/>
        <v>71.210635537791461</v>
      </c>
      <c r="G376" s="110">
        <f t="shared" si="151"/>
        <v>0.72843454160338905</v>
      </c>
      <c r="H376" s="409" t="b">
        <f>Wh_hp&gt;='2023'!Maxi_hp</f>
        <v>0</v>
      </c>
      <c r="I376" s="375">
        <f>IF(H376,Wh_hp,'2023'!Maxi_hp)</f>
        <v>71.241906609353137</v>
      </c>
      <c r="J376" s="85">
        <f>IF(H376,An,'2023'!An_max)</f>
        <v>2022</v>
      </c>
      <c r="K376" s="193">
        <f t="shared" si="129"/>
        <v>45653</v>
      </c>
      <c r="L376" s="143">
        <f>IF(t&lt;Tvie,1-EXP((T0-t)*PertePVj)+'2023'!Pspv,1-EXP((T0-t)*PertePVj)+Pspv)</f>
        <v>1.6683358382700297E-2</v>
      </c>
      <c r="M376" s="835"/>
      <c r="N376" s="835"/>
      <c r="O376" s="48">
        <f>IF(t&lt;Tnet,'2023'!Resal+('2023'!Salim-'2023'!Resal)*(1-EXP(('2023'!Tnet-t)/('2023'!Tau_j))),Resal+(Salim-Resal)*(1-EXP((Tnet-t)/(Tau_j))))*Salcycl</f>
        <v>2.646154731343207E-2</v>
      </c>
      <c r="P376" s="165">
        <f>(INDEX(Models!$BJ376:$BT376,,T376)*(1-R376)+INDEX(Models!$BJ376:$BT376,,T376+1)*R376-ERP_i)*Q376*Ramure*Pc/MaxiM</f>
        <v>1.6680074727169654E-3</v>
      </c>
      <c r="Q376" s="301">
        <f t="shared" si="130"/>
        <v>0.5</v>
      </c>
      <c r="R376" s="173">
        <f t="shared" si="131"/>
        <v>0.4895289934388074</v>
      </c>
      <c r="S376" s="801">
        <f t="shared" si="132"/>
        <v>1</v>
      </c>
      <c r="T376" s="172">
        <f t="shared" si="133"/>
        <v>7</v>
      </c>
      <c r="U376" s="247">
        <f t="shared" si="134"/>
        <v>1.4895289934388074</v>
      </c>
      <c r="V376" s="378">
        <f t="shared" si="135"/>
        <v>93.427734562794882</v>
      </c>
      <c r="W376" s="397">
        <f t="shared" si="136"/>
        <v>68.100025358525428</v>
      </c>
      <c r="X376" s="153">
        <f t="shared" si="137"/>
        <v>45653</v>
      </c>
      <c r="Y376" s="380">
        <f t="shared" si="138"/>
        <v>66.085924732152705</v>
      </c>
      <c r="Z376" s="380">
        <f t="shared" si="139"/>
        <v>67.207165967880471</v>
      </c>
      <c r="AA376" s="381">
        <f t="shared" si="140"/>
        <v>71.137856414970045</v>
      </c>
      <c r="AB376" s="193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5.5254552852430548E-2</v>
      </c>
      <c r="AD376" s="227">
        <f>(INDEX(Models!$BJ376:$BT376,,AH376)*(1-AF376)+INDEX(Models!$BJ376:$BT376,,AH376+1)*AF376-ERP_i)*AE376*Ramure*Pc/MaxiM</f>
        <v>1.6680074727169654E-3</v>
      </c>
      <c r="AE376" s="301">
        <f t="shared" si="142"/>
        <v>0.5</v>
      </c>
      <c r="AF376" s="173">
        <f t="shared" si="143"/>
        <v>0.4895289934388074</v>
      </c>
      <c r="AG376" s="801">
        <f t="shared" si="149"/>
        <v>1</v>
      </c>
      <c r="AH376" s="172">
        <f t="shared" si="144"/>
        <v>7</v>
      </c>
      <c r="AI376" s="221">
        <f t="shared" si="145"/>
        <v>1.4895289934388074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customHeight="1" x14ac:dyDescent="0.2">
      <c r="A377" s="56">
        <f t="shared" si="148"/>
        <v>45654</v>
      </c>
      <c r="B377" s="406">
        <f>'2023'!Wh/'2023'!Env_an*'2024'!Env_an</f>
        <v>42.114248830628071</v>
      </c>
      <c r="C377" s="385"/>
      <c r="D377" s="388">
        <f t="shared" si="127"/>
        <v>42.82936295876447</v>
      </c>
      <c r="E377" s="380">
        <f t="shared" si="150"/>
        <v>43.996089841807724</v>
      </c>
      <c r="F377" s="380">
        <f t="shared" si="128"/>
        <v>44.011792982511302</v>
      </c>
      <c r="G377" s="110">
        <f t="shared" si="151"/>
        <v>0.44813719155579013</v>
      </c>
      <c r="H377" s="409" t="b">
        <f>Wh_hp&gt;='2023'!Maxi_hp</f>
        <v>0</v>
      </c>
      <c r="I377" s="375">
        <f>IF(H377,Wh_hp,'2023'!Maxi_hp)</f>
        <v>44.051326696562526</v>
      </c>
      <c r="J377" s="85">
        <f>IF(H377,An,'2023'!An_max)</f>
        <v>2022</v>
      </c>
      <c r="K377" s="193">
        <f t="shared" si="129"/>
        <v>45654</v>
      </c>
      <c r="L377" s="143">
        <f>IF(t&lt;Tvie,1-EXP((T0-t)*PertePVj)+'2023'!Pspv,1-EXP((T0-t)*PertePVj)+Pspv)</f>
        <v>1.6696819161772347E-2</v>
      </c>
      <c r="M377" s="835"/>
      <c r="N377" s="835"/>
      <c r="O377" s="48">
        <f>IF(t&lt;Tnet,'2023'!Resal+('2023'!Salim-'2023'!Resal)*(1-EXP(('2023'!Tnet-t)/('2023'!Tau_j))),Resal+(Salim-Resal)*(1-EXP((Tnet-t)/(Tau_j))))*Salcycl</f>
        <v>2.6518876728325928E-2</v>
      </c>
      <c r="P377" s="165">
        <f>(INDEX(Models!$BJ377:$BT377,,T377)*(1-R377)+INDEX(Models!$BJ377:$BT377,,T377+1)*R377-ERP_i)*Q377*Ramure*Pc/MaxiM</f>
        <v>1.6792466975242499E-3</v>
      </c>
      <c r="Q377" s="301">
        <f t="shared" si="130"/>
        <v>0.5</v>
      </c>
      <c r="R377" s="173">
        <f t="shared" si="131"/>
        <v>0.4895289934388074</v>
      </c>
      <c r="S377" s="801">
        <f t="shared" si="132"/>
        <v>1</v>
      </c>
      <c r="T377" s="172">
        <f t="shared" si="133"/>
        <v>7</v>
      </c>
      <c r="U377" s="247">
        <f t="shared" si="134"/>
        <v>1.4895289934388074</v>
      </c>
      <c r="V377" s="378">
        <f t="shared" si="135"/>
        <v>93.851917760716546</v>
      </c>
      <c r="W377" s="397">
        <f t="shared" si="136"/>
        <v>42.114248830628071</v>
      </c>
      <c r="X377" s="153">
        <f t="shared" si="137"/>
        <v>45654</v>
      </c>
      <c r="Y377" s="380">
        <f t="shared" si="138"/>
        <v>40.870049310358411</v>
      </c>
      <c r="Z377" s="380">
        <f t="shared" si="139"/>
        <v>41.564036511626341</v>
      </c>
      <c r="AA377" s="381">
        <f t="shared" si="140"/>
        <v>43.996089841807724</v>
      </c>
      <c r="AB377" s="193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5.5278851800832141E-2</v>
      </c>
      <c r="AD377" s="227">
        <f>(INDEX(Models!$BJ377:$BT377,,AH377)*(1-AF377)+INDEX(Models!$BJ377:$BT377,,AH377+1)*AF377-ERP_i)*AE377*Ramure*Pc/MaxiM</f>
        <v>1.6792466975242499E-3</v>
      </c>
      <c r="AE377" s="301">
        <f t="shared" si="142"/>
        <v>0.5</v>
      </c>
      <c r="AF377" s="173">
        <f t="shared" si="143"/>
        <v>0.4895289934388074</v>
      </c>
      <c r="AG377" s="801">
        <f t="shared" si="149"/>
        <v>1</v>
      </c>
      <c r="AH377" s="172">
        <f t="shared" si="144"/>
        <v>7</v>
      </c>
      <c r="AI377" s="221">
        <f t="shared" si="145"/>
        <v>1.4895289934388074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customHeight="1" x14ac:dyDescent="0.2">
      <c r="A378" s="56">
        <f t="shared" si="148"/>
        <v>45655</v>
      </c>
      <c r="B378" s="406">
        <f>'2023'!Wh/'2023'!Env_an*'2024'!Env_an</f>
        <v>60.308721071039436</v>
      </c>
      <c r="C378" s="385"/>
      <c r="D378" s="388">
        <f t="shared" si="127"/>
        <v>61.333623071041018</v>
      </c>
      <c r="E378" s="380">
        <f t="shared" si="150"/>
        <v>63.008141860428097</v>
      </c>
      <c r="F378" s="380">
        <f t="shared" si="128"/>
        <v>63.059908698662738</v>
      </c>
      <c r="G378" s="110">
        <f t="shared" si="151"/>
        <v>0.63886247288925413</v>
      </c>
      <c r="H378" s="409" t="b">
        <f>Wh_hp&gt;='2023'!Maxi_hp</f>
        <v>0</v>
      </c>
      <c r="I378" s="375">
        <f>IF(H378,Wh_hp,'2023'!Maxi_hp)</f>
        <v>76.342020804358668</v>
      </c>
      <c r="J378" s="85">
        <f>IF(H378,An,'2023'!An_max)</f>
        <v>2021</v>
      </c>
      <c r="K378" s="193">
        <f t="shared" si="129"/>
        <v>45655</v>
      </c>
      <c r="L378" s="143">
        <f>IF(t&lt;Tvie,1-EXP((T0-t)*PertePVj)+'2023'!Pspv,1-EXP((T0-t)*PertePVj)+Pspv)</f>
        <v>1.6710279756577684E-2</v>
      </c>
      <c r="M378" s="835"/>
      <c r="N378" s="835"/>
      <c r="O378" s="48">
        <f>IF(t&lt;Tnet,'2023'!Resal+('2023'!Salim-'2023'!Resal)*(1-EXP(('2023'!Tnet-t)/('2023'!Tau_j))),Resal+(Salim-Resal)*(1-EXP((Tnet-t)/(Tau_j))))*Salcycl</f>
        <v>2.657622872130366E-2</v>
      </c>
      <c r="P378" s="165">
        <f>(INDEX(Models!$BJ378:$BT378,,T378)*(1-R378)+INDEX(Models!$BJ378:$BT378,,T378+1)*R378-ERP_i)*Q378*Ramure*Pc/MaxiM</f>
        <v>1.6930048147170711E-3</v>
      </c>
      <c r="Q378" s="301">
        <f t="shared" si="130"/>
        <v>0.5</v>
      </c>
      <c r="R378" s="173">
        <f t="shared" si="131"/>
        <v>0.4895289934388074</v>
      </c>
      <c r="S378" s="801">
        <f t="shared" si="132"/>
        <v>1</v>
      </c>
      <c r="T378" s="172">
        <f t="shared" si="133"/>
        <v>7</v>
      </c>
      <c r="U378" s="247">
        <f t="shared" si="134"/>
        <v>1.4895289934388074</v>
      </c>
      <c r="V378" s="378">
        <f t="shared" si="135"/>
        <v>94.317769172863507</v>
      </c>
      <c r="W378" s="397">
        <f t="shared" si="136"/>
        <v>60.308721071039436</v>
      </c>
      <c r="X378" s="153">
        <f t="shared" si="137"/>
        <v>45655</v>
      </c>
      <c r="Y378" s="380">
        <f t="shared" si="138"/>
        <v>58.528927232212872</v>
      </c>
      <c r="Z378" s="380">
        <f t="shared" si="139"/>
        <v>59.523582955513362</v>
      </c>
      <c r="AA378" s="381">
        <f t="shared" si="140"/>
        <v>63.008141860428097</v>
      </c>
      <c r="AB378" s="193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5.5303311636034601E-2</v>
      </c>
      <c r="AD378" s="227">
        <f>(INDEX(Models!$BJ378:$BT378,,AH378)*(1-AF378)+INDEX(Models!$BJ378:$BT378,,AH378+1)*AF378-ERP_i)*AE378*Ramure*Pc/MaxiM</f>
        <v>1.6930048147170711E-3</v>
      </c>
      <c r="AE378" s="301">
        <f t="shared" si="142"/>
        <v>0.5</v>
      </c>
      <c r="AF378" s="173">
        <f t="shared" si="143"/>
        <v>0.4895289934388074</v>
      </c>
      <c r="AG378" s="801">
        <f t="shared" si="149"/>
        <v>1</v>
      </c>
      <c r="AH378" s="172">
        <f t="shared" si="144"/>
        <v>7</v>
      </c>
      <c r="AI378" s="221">
        <f t="shared" si="145"/>
        <v>1.4895289934388074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45656</v>
      </c>
      <c r="B379" s="406">
        <f>'2023'!Wh/'2023'!Env_an*'2024'!Env_an</f>
        <v>48.272259980670341</v>
      </c>
      <c r="C379" s="385"/>
      <c r="D379" s="388">
        <f t="shared" si="127"/>
        <v>49.093283294437263</v>
      </c>
      <c r="E379" s="380">
        <f t="shared" si="150"/>
        <v>50.436591002727496</v>
      </c>
      <c r="F379" s="380">
        <f t="shared" si="128"/>
        <v>50.462352838362122</v>
      </c>
      <c r="G379" s="110">
        <f t="shared" si="151"/>
        <v>0.50846450746985805</v>
      </c>
      <c r="H379" s="409" t="b">
        <f>Wh_hp&gt;='2023'!Maxi_hp</f>
        <v>0</v>
      </c>
      <c r="I379" s="375">
        <f>IF(H379,Wh_hp,'2023'!Maxi_hp)</f>
        <v>98.426511979974805</v>
      </c>
      <c r="J379" s="85">
        <f>IF(H379,An,'2023'!An_max)</f>
        <v>2021</v>
      </c>
      <c r="K379" s="193">
        <f t="shared" si="129"/>
        <v>45656</v>
      </c>
      <c r="L379" s="143">
        <f>IF(t&lt;Tvie,1-EXP((T0-t)*PertePVj)+'2023'!Pspv,1-EXP((T0-t)*PertePVj)+Pspv)</f>
        <v>1.672374016711875E-2</v>
      </c>
      <c r="M379" s="835"/>
      <c r="N379" s="835"/>
      <c r="O379" s="48">
        <f>IF(t&lt;Tnet,'2023'!Resal+('2023'!Salim-'2023'!Resal)*(1-EXP(('2023'!Tnet-t)/('2023'!Tau_j))),Resal+(Salim-Resal)*(1-EXP((Tnet-t)/(Tau_j))))*Salcycl</f>
        <v>2.6633594411993193E-2</v>
      </c>
      <c r="P379" s="165">
        <f>(INDEX(Models!$BJ379:$BT379,,T379)*(1-R379)+INDEX(Models!$BJ379:$BT379,,T379+1)*R379-ERP_i)*Q379*Ramure*Pc/MaxiM</f>
        <v>1.7092481207857484E-3</v>
      </c>
      <c r="Q379" s="302">
        <f t="shared" si="130"/>
        <v>0.5</v>
      </c>
      <c r="R379" s="173">
        <f t="shared" si="131"/>
        <v>0.4895289934388074</v>
      </c>
      <c r="S379" s="801">
        <f t="shared" si="132"/>
        <v>1</v>
      </c>
      <c r="T379" s="172">
        <f t="shared" si="133"/>
        <v>7</v>
      </c>
      <c r="U379" s="303">
        <f t="shared" si="134"/>
        <v>1.4895289934388074</v>
      </c>
      <c r="V379" s="378">
        <f t="shared" si="135"/>
        <v>94.823462020758626</v>
      </c>
      <c r="W379" s="397">
        <f t="shared" si="136"/>
        <v>48.272259980670341</v>
      </c>
      <c r="X379" s="153">
        <f t="shared" si="137"/>
        <v>45656</v>
      </c>
      <c r="Y379" s="380">
        <f t="shared" si="138"/>
        <v>46.849219706570771</v>
      </c>
      <c r="Z379" s="380">
        <f t="shared" si="139"/>
        <v>47.646039694412352</v>
      </c>
      <c r="AA379" s="381">
        <f t="shared" si="140"/>
        <v>50.436591002727496</v>
      </c>
      <c r="AB379" s="193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5.5327912787845657E-2</v>
      </c>
      <c r="AD379" s="227">
        <f>(INDEX(Models!$BJ379:$BT379,,AH379)*(1-AF379)+INDEX(Models!$BJ379:$BT379,,AH379+1)*AF379-ERP_i)*AE379*Ramure*Pc/MaxiM</f>
        <v>1.7092481207857484E-3</v>
      </c>
      <c r="AE379" s="302">
        <f t="shared" si="142"/>
        <v>0.5</v>
      </c>
      <c r="AF379" s="173">
        <f t="shared" si="143"/>
        <v>0.4895289934388074</v>
      </c>
      <c r="AG379" s="801">
        <f t="shared" si="149"/>
        <v>1</v>
      </c>
      <c r="AH379" s="172">
        <f t="shared" si="144"/>
        <v>7</v>
      </c>
      <c r="AI379" s="218">
        <f t="shared" si="145"/>
        <v>1.4895289934388074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1.25" customHeight="1" thickBot="1" x14ac:dyDescent="0.25">
      <c r="A380" s="56">
        <f t="shared" si="148"/>
        <v>45657</v>
      </c>
      <c r="B380" s="793">
        <f>AVERAGE(B366:B379)</f>
        <v>60.433597703264368</v>
      </c>
      <c r="C380" s="385"/>
      <c r="D380" s="388">
        <f t="shared" si="127"/>
        <v>61.462304612198807</v>
      </c>
      <c r="E380" s="380">
        <f t="shared" si="150"/>
        <v>63.147779836407459</v>
      </c>
      <c r="F380" s="380">
        <f t="shared" si="128"/>
        <v>63.199838713856806</v>
      </c>
      <c r="G380" s="110">
        <f t="shared" si="151"/>
        <v>0.63312046921100118</v>
      </c>
      <c r="H380" s="409" t="b">
        <f>Wh_hp&gt;='2023'!Maxi_hp</f>
        <v>1</v>
      </c>
      <c r="I380" s="376">
        <f>IF(H380,Wh_hp,'2023'!Maxi_hp)</f>
        <v>63.199838713856806</v>
      </c>
      <c r="J380" s="128">
        <f>IF(H380,An,'2023'!An_max)</f>
        <v>2024</v>
      </c>
      <c r="K380" s="230">
        <f t="shared" si="129"/>
        <v>45657</v>
      </c>
      <c r="L380" s="143">
        <f>IF(t&lt;Tvie,1-EXP((T0-t)*PertePVj)+'2023'!Pspv,1-EXP((T0-t)*PertePVj)+Pspv)</f>
        <v>1.6737200393397988E-2</v>
      </c>
      <c r="M380" s="835"/>
      <c r="N380" s="835"/>
      <c r="O380" s="320">
        <f>IF(t&lt;Tnet,'2023'!Resal+('2023'!Salim-'2023'!Resal)*(1-EXP(('2023'!Tnet-t)/('2023'!Tau_j))),Resal+(Salim-Resal)*(1-EXP((Tnet-t)/(Tau_j))))*Salcycl</f>
        <v>2.669096567725893E-2</v>
      </c>
      <c r="P380" s="227">
        <f>(INDEX(Models!$BJ380:$BT380,,T380)*(1-R380)+INDEX(Models!$BJ380:$BT380,,T380+1)*R380-ERP_i)*Q380*Ramure*Pc/MaxiM</f>
        <v>1.7279395619785043E-3</v>
      </c>
      <c r="Q380" s="324">
        <f t="shared" si="130"/>
        <v>0.5</v>
      </c>
      <c r="R380" s="310">
        <f>(Hp_vg-S380)/(INDEX(Echel_vg,T380+1)-S380)</f>
        <v>0.4895289934388074</v>
      </c>
      <c r="S380" s="802">
        <f>INDEX(Echel_vg,T380)</f>
        <v>1</v>
      </c>
      <c r="T380" s="229">
        <f t="shared" si="133"/>
        <v>7</v>
      </c>
      <c r="U380" s="297">
        <f t="shared" si="134"/>
        <v>1.4895289934388074</v>
      </c>
      <c r="V380" s="378">
        <f t="shared" si="135"/>
        <v>95.367169850298694</v>
      </c>
      <c r="W380" s="397">
        <f t="shared" si="136"/>
        <v>60.433597703264368</v>
      </c>
      <c r="X380" s="322">
        <f t="shared" si="137"/>
        <v>45657</v>
      </c>
      <c r="Y380" s="393">
        <f t="shared" si="138"/>
        <v>58.653969777322828</v>
      </c>
      <c r="Z380" s="393">
        <f t="shared" si="139"/>
        <v>59.652383676866407</v>
      </c>
      <c r="AA380" s="394">
        <f t="shared" si="140"/>
        <v>63.147779836407459</v>
      </c>
      <c r="AB380" s="194">
        <f t="shared" si="141"/>
        <v>45657</v>
      </c>
      <c r="AC380" s="323">
        <f>IF(OR(t&lt;Tnet,NoTnet),'2023'!Resal_s+('2023'!Salim-'2023'!Resal_s)*(1-EXP(('2023'!Tnet_s-t)/'2023'!Tau_j)),Resal_s+(Salim-Resal_s)*(1-EXP((Tnet_s-t)/Tau_j)))*Salcycl</f>
        <v>5.5352637394320565E-2</v>
      </c>
      <c r="AD380" s="803">
        <f>(INDEX(Models!$BJ380:$BT380,,AH380)*(1-AF380)+INDEX(Models!$BJ380:$BT380,,AH380+1)*AF380-ERP_i)*AE380*Ramure*Pc/MaxiM</f>
        <v>1.7279395619785043E-3</v>
      </c>
      <c r="AE380" s="324">
        <f t="shared" si="142"/>
        <v>0.5</v>
      </c>
      <c r="AF380" s="310">
        <f>(Hp_vg_s-AG380)/(INDEX(Echel_vg,AH380+1)-AG380)</f>
        <v>0.4895289934388074</v>
      </c>
      <c r="AG380" s="802">
        <f>INDEX(Echel_vg,AH380)</f>
        <v>1</v>
      </c>
      <c r="AH380" s="229">
        <f t="shared" si="144"/>
        <v>7</v>
      </c>
      <c r="AI380" s="223">
        <f t="shared" si="145"/>
        <v>1.4895289934388074</v>
      </c>
      <c r="AJ380" s="261" t="b">
        <f t="shared" si="146"/>
        <v>0</v>
      </c>
      <c r="AK380" s="261" t="b">
        <f t="shared" si="147"/>
        <v>0</v>
      </c>
      <c r="AL380" s="261"/>
      <c r="AM380" s="261"/>
      <c r="AN380" s="261"/>
    </row>
    <row r="381" spans="1:40" s="104" customFormat="1" ht="11.25" customHeight="1" x14ac:dyDescent="0.2">
      <c r="A381" s="111" t="s">
        <v>7</v>
      </c>
      <c r="B381" s="370">
        <f>MIN(B15:B380)</f>
        <v>7.2237768093746553</v>
      </c>
      <c r="C381" s="370"/>
      <c r="D381" s="368">
        <f>MIN(D15:D380)</f>
        <v>7.3110243625995066</v>
      </c>
      <c r="E381" s="368">
        <f>MIN(E15:E380)</f>
        <v>7.6483048111215499</v>
      </c>
      <c r="F381" s="369">
        <f>MIN(F15:F380)</f>
        <v>7.6483048111215499</v>
      </c>
      <c r="G381" s="125">
        <f>+MIN(G15:G380)</f>
        <v>7.1774469920965978E-2</v>
      </c>
      <c r="H381" s="94"/>
      <c r="I381" s="369">
        <f>MIN(I15:I380)</f>
        <v>7.65787086076881</v>
      </c>
      <c r="J381" s="57">
        <f>MIN(J15:J380)</f>
        <v>2021</v>
      </c>
      <c r="K381" s="196" t="s">
        <v>7</v>
      </c>
      <c r="L381" s="142">
        <f t="shared" ref="L381:T381" si="152">MIN(L15:L380)</f>
        <v>1.1811956995148032E-2</v>
      </c>
      <c r="M381" s="837"/>
      <c r="N381" s="837"/>
      <c r="O381" s="47">
        <f t="shared" si="152"/>
        <v>8.0164944761657204E-3</v>
      </c>
      <c r="P381" s="164">
        <f t="shared" si="152"/>
        <v>4.8920873184550401E-5</v>
      </c>
      <c r="Q381" s="306">
        <f t="shared" si="152"/>
        <v>0.5</v>
      </c>
      <c r="R381" s="307">
        <f t="shared" si="152"/>
        <v>4.5744893178145674E-4</v>
      </c>
      <c r="S381" s="801">
        <f t="shared" si="152"/>
        <v>0</v>
      </c>
      <c r="T381" s="172">
        <f t="shared" si="152"/>
        <v>6</v>
      </c>
      <c r="U381" s="248">
        <f>+MIN(U15:U380)</f>
        <v>0.98953026647497844</v>
      </c>
      <c r="V381" s="368">
        <f>MIN(V15:V380)</f>
        <v>91.643835884193336</v>
      </c>
      <c r="W381" s="794" t="s">
        <v>40</v>
      </c>
      <c r="X381" s="112" t="s">
        <v>7</v>
      </c>
      <c r="Y381" s="370">
        <f>MIN(Y15:Y380)</f>
        <v>7.2237768093746553</v>
      </c>
      <c r="Z381" s="370">
        <f>MIN(Z15:Z380)</f>
        <v>7.3110243625995066</v>
      </c>
      <c r="AA381" s="370">
        <f>MIN(AA15:AA380)</f>
        <v>7.6483048111215499</v>
      </c>
      <c r="AB381" s="196" t="s">
        <v>7</v>
      </c>
      <c r="AC381" s="48">
        <f t="shared" ref="AC381:AH381" si="153">MIN(AC15:AC380)</f>
        <v>4.3815160210648178E-2</v>
      </c>
      <c r="AD381" s="165">
        <f t="shared" si="153"/>
        <v>4.8920873184550401E-5</v>
      </c>
      <c r="AE381" s="306">
        <f t="shared" si="153"/>
        <v>0.5</v>
      </c>
      <c r="AF381" s="307">
        <f t="shared" si="153"/>
        <v>4.5744893178145674E-4</v>
      </c>
      <c r="AG381" s="801">
        <f t="shared" si="153"/>
        <v>0</v>
      </c>
      <c r="AH381" s="172">
        <f t="shared" si="153"/>
        <v>6</v>
      </c>
      <c r="AI381" s="221">
        <f>MIN(AI15:AI380)</f>
        <v>0.98953026647497844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126.5990511580524</v>
      </c>
      <c r="C382" s="370"/>
      <c r="D382" s="370">
        <f>AVERAGE(D15:D380)</f>
        <v>128.42414099686155</v>
      </c>
      <c r="E382" s="370">
        <f>AVERAGE(E15:E380)</f>
        <v>131.31257997090702</v>
      </c>
      <c r="F382" s="371">
        <f>AVERAGE(F15:F380)</f>
        <v>131.33871731725898</v>
      </c>
      <c r="G382" s="126">
        <f>AVERAGE(G15:G380)</f>
        <v>0.6822205265340554</v>
      </c>
      <c r="H382" s="94"/>
      <c r="I382" s="371">
        <f>AVERAGE(I15:I380)</f>
        <v>132.55746231296132</v>
      </c>
      <c r="J382" s="59">
        <f>AVERAGE(J15:J380)</f>
        <v>2022.0928961748634</v>
      </c>
      <c r="K382" s="196" t="s">
        <v>8</v>
      </c>
      <c r="L382" s="143">
        <f t="shared" ref="L382:V382" si="154">AVERAGE(L15:L380)</f>
        <v>1.4276623854951754E-2</v>
      </c>
      <c r="M382" s="835"/>
      <c r="N382" s="835"/>
      <c r="O382" s="48">
        <f t="shared" si="154"/>
        <v>2.5008439160172639E-2</v>
      </c>
      <c r="P382" s="165">
        <f t="shared" si="154"/>
        <v>5.163804575973735E-4</v>
      </c>
      <c r="Q382" s="308">
        <f t="shared" si="154"/>
        <v>0.5</v>
      </c>
      <c r="R382" s="173">
        <f t="shared" si="154"/>
        <v>0.45853986109697659</v>
      </c>
      <c r="S382" s="801">
        <f t="shared" si="154"/>
        <v>0.81147540983606559</v>
      </c>
      <c r="T382" s="172">
        <f t="shared" si="154"/>
        <v>6.8114754098360653</v>
      </c>
      <c r="U382" s="247">
        <f t="shared" si="154"/>
        <v>1.2700152709330408</v>
      </c>
      <c r="V382" s="370">
        <f t="shared" si="154"/>
        <v>179.56100502320561</v>
      </c>
      <c r="X382" s="112" t="s">
        <v>8</v>
      </c>
      <c r="Y382" s="370">
        <f>AVERAGE(Y15:Y380)</f>
        <v>122.84569437016953</v>
      </c>
      <c r="Z382" s="370">
        <f>AVERAGE(Z15:Z380)</f>
        <v>124.61549410721074</v>
      </c>
      <c r="AA382" s="370">
        <f>AVERAGE(AA15:AA380)</f>
        <v>131.31257997090702</v>
      </c>
      <c r="AB382" s="196" t="s">
        <v>8</v>
      </c>
      <c r="AC382" s="48">
        <f t="shared" ref="AC382:AH382" si="155">AVERAGE(AC15:AC380)</f>
        <v>5.0845651912015719E-2</v>
      </c>
      <c r="AD382" s="165">
        <f t="shared" si="155"/>
        <v>5.163804575973735E-4</v>
      </c>
      <c r="AE382" s="308">
        <f t="shared" si="155"/>
        <v>0.5</v>
      </c>
      <c r="AF382" s="173">
        <f t="shared" si="155"/>
        <v>0.45853986109697659</v>
      </c>
      <c r="AG382" s="801">
        <f t="shared" si="155"/>
        <v>0.81147540983606559</v>
      </c>
      <c r="AH382" s="172">
        <f t="shared" si="155"/>
        <v>6.8114754098360653</v>
      </c>
      <c r="AI382" s="221">
        <f>AVERAGE(AI15:AI380)</f>
        <v>1.2700152709330408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252.9781458044946</v>
      </c>
      <c r="C383" s="372"/>
      <c r="D383" s="372">
        <f>MAX(D15:D380)</f>
        <v>256.62658827108982</v>
      </c>
      <c r="E383" s="372">
        <f>MAX(E15:E380)</f>
        <v>260.59348783248601</v>
      </c>
      <c r="F383" s="373">
        <f>MAX(F15:F380)</f>
        <v>260.61207165828807</v>
      </c>
      <c r="G383" s="127">
        <f>+MAX(G15:G380)</f>
        <v>1.0401867145003136</v>
      </c>
      <c r="H383" s="94"/>
      <c r="I383" s="373">
        <f>MAX(I15:I380)</f>
        <v>260.61207165828807</v>
      </c>
      <c r="J383" s="60">
        <f>MAX(J15:J380)</f>
        <v>2024</v>
      </c>
      <c r="K383" s="196" t="s">
        <v>9</v>
      </c>
      <c r="L383" s="144">
        <f t="shared" ref="L383:T383" si="156">MAX(L15:L380)</f>
        <v>1.6737200393397988E-2</v>
      </c>
      <c r="M383" s="838"/>
      <c r="N383" s="838"/>
      <c r="O383" s="49">
        <f t="shared" si="156"/>
        <v>4.6736671235447329E-2</v>
      </c>
      <c r="P383" s="166">
        <f t="shared" si="156"/>
        <v>2.2187601637046568E-3</v>
      </c>
      <c r="Q383" s="309">
        <f t="shared" si="156"/>
        <v>0.5</v>
      </c>
      <c r="R383" s="310">
        <f t="shared" si="156"/>
        <v>0.99999984492411664</v>
      </c>
      <c r="S383" s="802">
        <f t="shared" si="156"/>
        <v>1</v>
      </c>
      <c r="T383" s="229">
        <f t="shared" si="156"/>
        <v>7</v>
      </c>
      <c r="U383" s="249">
        <f>+MAX(U15:U380)</f>
        <v>1.4895289934388074</v>
      </c>
      <c r="V383" s="372">
        <f>MAX(V15:V380)</f>
        <v>245.0213484575967</v>
      </c>
      <c r="X383" s="112" t="s">
        <v>9</v>
      </c>
      <c r="Y383" s="372">
        <f>MAX(Y15:Y380)</f>
        <v>243.52675240944265</v>
      </c>
      <c r="Z383" s="372">
        <f>MAX(Z15:Z380)</f>
        <v>247.03888719253678</v>
      </c>
      <c r="AA383" s="372">
        <f>MAX(AA15:AA380)</f>
        <v>260.59348783248601</v>
      </c>
      <c r="AB383" s="196" t="s">
        <v>9</v>
      </c>
      <c r="AC383" s="49">
        <f t="shared" ref="AC383:AH383" si="157">MAX(AC15:AC380)</f>
        <v>5.5352637394320565E-2</v>
      </c>
      <c r="AD383" s="166">
        <f t="shared" si="157"/>
        <v>2.2187601637046568E-3</v>
      </c>
      <c r="AE383" s="309">
        <f t="shared" si="157"/>
        <v>0.5</v>
      </c>
      <c r="AF383" s="310">
        <f t="shared" si="157"/>
        <v>0.99999984492411664</v>
      </c>
      <c r="AG383" s="802">
        <f t="shared" si="157"/>
        <v>1</v>
      </c>
      <c r="AH383" s="229">
        <f t="shared" si="157"/>
        <v>7</v>
      </c>
      <c r="AI383" s="223">
        <f>MAX(AI15:AI380)</f>
        <v>1.4895289934388074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</row>
  </sheetData>
  <sheetProtection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W367" activePane="bottomRight" state="frozen"/>
      <selection pane="topRight"/>
      <selection pane="bottomLeft"/>
      <selection pane="bottomRight" activeCell="B371" sqref="B37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'2024'!An+1</f>
        <v>2025</v>
      </c>
      <c r="K1" s="1270"/>
      <c r="L1" s="113" t="str">
        <f>"Calcul pertes et enveloppes en "&amp;TEXT(An,0)</f>
        <v>Calcul pertes et enveloppes en 2025</v>
      </c>
      <c r="M1" s="239"/>
      <c r="N1" s="239"/>
      <c r="V1" s="450"/>
      <c r="W1" s="448"/>
      <c r="X1" s="479" t="str">
        <f>"Prévision sans nettoyage ni taille végétation en "&amp;TEXT(An,0)</f>
        <v>Prévision sans nettoyage ni taille végétation en 2025</v>
      </c>
      <c r="Y1" s="480"/>
      <c r="Z1" s="481"/>
      <c r="AA1" s="482"/>
      <c r="AB1" s="483"/>
      <c r="AC1" s="484"/>
      <c r="AD1" s="484"/>
      <c r="AE1" s="484"/>
      <c r="AF1" s="484"/>
      <c r="AG1" s="484"/>
      <c r="AH1" s="484"/>
      <c r="AI1" s="484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71">
        <f>Tmaj</f>
        <v>44926</v>
      </c>
      <c r="F3" s="1271"/>
      <c r="G3" s="8"/>
      <c r="H3" s="26"/>
      <c r="I3" s="6"/>
      <c r="J3" s="34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 t="s">
        <v>96</v>
      </c>
      <c r="Y3" s="495"/>
      <c r="Z3" s="496"/>
      <c r="AA3" s="490"/>
      <c r="AB3" s="490"/>
      <c r="AC3" s="422"/>
      <c r="AD3" s="422"/>
      <c r="AE3" s="422"/>
      <c r="AF3" s="422"/>
      <c r="AG3" s="422"/>
      <c r="AH3" s="422"/>
      <c r="AI3" s="422"/>
      <c r="AJ3" s="823">
        <f>AL11-AJ11</f>
        <v>0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9" t="str">
        <f>Station</f>
        <v>Hangar Goussaud Espanès</v>
      </c>
      <c r="F4" s="1200"/>
      <c r="G4" s="1200"/>
      <c r="H4" s="1200"/>
      <c r="I4" s="1201"/>
      <c r="J4" s="154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22"/>
      <c r="AD4" s="422"/>
      <c r="AE4" s="422"/>
      <c r="AF4" s="422"/>
      <c r="AG4" s="422"/>
      <c r="AH4" s="422"/>
      <c r="AI4" s="422"/>
      <c r="AJ4" s="823">
        <f>AL12-AJ12</f>
        <v>1144.1158692661911</v>
      </c>
      <c r="AK4" s="824">
        <f>AM12-AK12</f>
        <v>-0.3248914757905883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72">
        <f>T0</f>
        <v>44424</v>
      </c>
      <c r="F5" s="1272"/>
      <c r="G5" s="34"/>
      <c r="H5" s="154"/>
      <c r="I5" s="154"/>
      <c r="K5" s="188"/>
      <c r="L5" s="498"/>
      <c r="M5" s="497"/>
      <c r="N5" s="497"/>
      <c r="O5" s="19"/>
      <c r="R5" s="39"/>
      <c r="S5" s="174"/>
      <c r="T5" s="174"/>
      <c r="U5" s="41"/>
      <c r="V5" s="499"/>
      <c r="W5" s="500"/>
      <c r="X5" s="501"/>
      <c r="Y5" s="502"/>
      <c r="Z5" s="232">
        <f>Wh_Psa_s-Wh_Psa</f>
        <v>1144.1158692661911</v>
      </c>
      <c r="AA5" s="233">
        <f>Wh_Pvg_s-Wh_Pvg</f>
        <v>-0.3248914757905883</v>
      </c>
      <c r="AB5" s="506" t="s">
        <v>6</v>
      </c>
      <c r="AC5" s="500"/>
      <c r="AD5" s="500"/>
      <c r="AE5" s="500"/>
      <c r="AF5" s="500"/>
      <c r="AG5" s="500"/>
      <c r="AH5" s="500"/>
      <c r="AI5" s="500"/>
      <c r="AJ5" s="508">
        <f>SUMIF(AJ15:AJ380,"VRAI",Wh)</f>
        <v>0</v>
      </c>
      <c r="AK5" s="508">
        <f>SUMIF(AK15:AK380,"VRAI",Wh)</f>
        <v>0</v>
      </c>
      <c r="AL5" s="508">
        <f>SUMIF(AJ15:AJ380,"VRAI",Wh_s)</f>
        <v>0</v>
      </c>
      <c r="AM5" s="508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73">
        <f>Tservice</f>
        <v>44536</v>
      </c>
      <c r="F6" s="1273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2"/>
      <c r="W6" s="454"/>
      <c r="X6" s="489"/>
      <c r="AB6" s="508"/>
      <c r="AC6" s="454"/>
      <c r="AD6" s="454"/>
      <c r="AE6" s="454"/>
      <c r="AF6" s="454"/>
      <c r="AG6" s="454"/>
      <c r="AH6" s="454"/>
      <c r="AI6" s="454"/>
      <c r="AJ6" s="508">
        <f>SUMIF(AJ15:AJ380,"FAUX",Wh)</f>
        <v>45332.61322713003</v>
      </c>
      <c r="AK6" s="508">
        <f>SUMIF(AK15:AK380,"FAUX",Wh)</f>
        <v>45332.61322713003</v>
      </c>
      <c r="AL6" s="508">
        <f>SUMIF(AJ15:AJ380,"FAUX",Wh_s)</f>
        <v>44188.386360484037</v>
      </c>
      <c r="AM6" s="508">
        <f>SUMIF(AK15:AK380,"FAUX",Wh_s)</f>
        <v>44188.386360484037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AND(YEAR(Tnet)=An,Resal_2025="I")</f>
        <v>0</v>
      </c>
      <c r="F7" s="316" t="b">
        <f>YEAR(Tnet)=An</f>
        <v>0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2"/>
      <c r="W7" s="510"/>
      <c r="X7" s="511"/>
      <c r="AB7" s="510"/>
      <c r="AC7" s="510"/>
      <c r="AD7" s="244"/>
      <c r="AE7" s="244"/>
      <c r="AF7" s="485"/>
      <c r="AG7" s="485"/>
      <c r="AH7" s="485"/>
      <c r="AI7" s="510"/>
      <c r="AJ7" s="508">
        <f>SUMIF(AJ15:AJ380,"VRAI",Wh_pvt)</f>
        <v>0</v>
      </c>
      <c r="AK7" s="508">
        <f>SUMIF(AK15:AK380,"VRAI",Wh_sa)</f>
        <v>0</v>
      </c>
      <c r="AL7" s="508">
        <f>SUMIF(AJ15:AJ380,"VRAI",Wh_pvt_s)</f>
        <v>0</v>
      </c>
      <c r="AM7" s="508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AND(YEAR(Tnet)=An,Resal_2025&lt;&gt;"I")</f>
        <v>0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0"/>
      <c r="W8" s="399"/>
      <c r="X8" s="1267" t="s">
        <v>102</v>
      </c>
      <c r="Y8" s="1268"/>
      <c r="Z8" s="490"/>
      <c r="AA8" s="490"/>
      <c r="AB8" s="454"/>
      <c r="AC8" s="512" t="s">
        <v>61</v>
      </c>
      <c r="AD8" s="454"/>
      <c r="AE8" s="454"/>
      <c r="AF8" s="454"/>
      <c r="AG8" s="454"/>
      <c r="AH8" s="454"/>
      <c r="AI8" s="454"/>
      <c r="AJ8" s="508">
        <f>SUMIF(AJ15:AJ380,"FAUX",Wh_pvt)</f>
        <v>46216.461369998207</v>
      </c>
      <c r="AK8" s="508">
        <f>SUMIF(AK15:AK380,"FAUX",Wh_sa)</f>
        <v>47991.007768572643</v>
      </c>
      <c r="AL8" s="508">
        <f>SUMIF(AJ15:AJ380,"FAUX",Wh_pvt_s)</f>
        <v>45050.031784751023</v>
      </c>
      <c r="AM8" s="508">
        <f>SUMIF(AK15:AK380,"FAUX",Wh_sa_s)</f>
        <v>47991.007768572643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46216.461369998207</v>
      </c>
      <c r="E9" s="180">
        <f>SUM(E$15:E$380)</f>
        <v>47991.007768572643</v>
      </c>
      <c r="F9" s="180">
        <f>SUM(F$15:F$380)</f>
        <v>48004.634322705489</v>
      </c>
      <c r="H9" s="1260">
        <f>+SUM(Wh)</f>
        <v>45332.61322713003</v>
      </c>
      <c r="I9" s="1261"/>
      <c r="J9" s="1262"/>
      <c r="K9" s="187" t="s">
        <v>10</v>
      </c>
      <c r="L9" s="228"/>
      <c r="M9" s="228"/>
      <c r="N9" s="228"/>
      <c r="O9" s="219">
        <f>Tnet_2025</f>
        <v>45383</v>
      </c>
      <c r="P9" s="240" t="s">
        <v>91</v>
      </c>
      <c r="Q9" s="241"/>
      <c r="R9" s="241"/>
      <c r="S9" s="241"/>
      <c r="T9" s="241"/>
      <c r="U9" s="242"/>
      <c r="V9" s="454"/>
      <c r="W9" s="513"/>
      <c r="X9" s="1265">
        <f>+SUM(Wh_s)</f>
        <v>44188.386360484037</v>
      </c>
      <c r="Y9" s="1266"/>
      <c r="Z9" s="508">
        <f>SUM(Wh_pvt_s)</f>
        <v>45050.031784751023</v>
      </c>
      <c r="AA9" s="508">
        <f>SUM(Wh_sa_s)</f>
        <v>47991.007768572643</v>
      </c>
      <c r="AB9" s="508">
        <f>F9</f>
        <v>48004.634322705489</v>
      </c>
      <c r="AC9" s="321">
        <f>IF(An_Tnet,Tnet,'2024'!Tnet_s)</f>
        <v>45383</v>
      </c>
      <c r="AD9" s="312" t="s">
        <v>91</v>
      </c>
      <c r="AE9" s="312"/>
      <c r="AF9" s="312"/>
      <c r="AG9" s="312"/>
      <c r="AH9" s="312"/>
      <c r="AI9" s="313"/>
      <c r="AJ9" s="508">
        <f>SUMIF(AJ15:AJ380,"VRAI",Wh_sa)</f>
        <v>0</v>
      </c>
      <c r="AK9" s="508">
        <f>SUMIF(AK15:AK380,"VRAI",Wh_hp)</f>
        <v>0</v>
      </c>
      <c r="AL9" s="508">
        <f>SUMIF(AJ15:AJ380,"VRAI",Wh_sa_s)</f>
        <v>0</v>
      </c>
      <c r="AM9" s="508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IF(Inflex,'2024'!Resal+('2024'!Salim-'2024'!Resal)*(1-EXP(-(Tnet-'2024'!Tnet)/('2024'!Tau_j))),IF(An_Tnet,Resal_2025,'2024'!Resal))</f>
        <v>8.0000000000000002E-3</v>
      </c>
      <c r="P10" s="416" t="b">
        <f>NOT(Acti_tai)</f>
        <v>1</v>
      </c>
      <c r="Q10" s="253">
        <f>IF(Acti_tai,'2024'!PousD,Dens-Dd)</f>
        <v>0</v>
      </c>
      <c r="R10" s="270"/>
      <c r="S10" s="271"/>
      <c r="T10" s="272"/>
      <c r="U10" s="262">
        <f>IF(Acti_tai,'2024'!PousH,Hdtf-Hdd)</f>
        <v>0.5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IF(OR(Inflex,GainD),'2024'!Resal_s+('2024'!Salim-'2024'!Resal_s)*(1-EXP(('2024'!Tnet_s-Tnet)/('2024'!Tau_j))),IF(Acti_net,'2024'!Resal+('2024'!Salim-'2024'!Resal)*(1-EXP(('2024'!Tnet-Tnet)/'2024'!Tau_j)),'2024'!Resal_s))</f>
        <v>4.6677676494824488E-2</v>
      </c>
      <c r="AD10" s="422"/>
      <c r="AE10" s="422"/>
      <c r="AF10" s="256"/>
      <c r="AG10" s="257"/>
      <c r="AH10" s="258"/>
      <c r="AI10" s="465"/>
      <c r="AJ10" s="508">
        <f>SUMIF(AJ15:AJ380,"FAUX",Wh_sa)</f>
        <v>47991.007768572643</v>
      </c>
      <c r="AK10" s="508">
        <f>SUMIF(AK15:AK380,"FAUX",Wh_hp)</f>
        <v>48004.634322705489</v>
      </c>
      <c r="AL10" s="508">
        <f>SUMIF(AJ15:AJ380,"FAUX",Wh_sa_s)</f>
        <v>47991.007768572643</v>
      </c>
      <c r="AM10" s="508">
        <f>SUMIF(AK15:AK380,"FAUX",Wh_hp)</f>
        <v>48004.634322705489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883.84814286817709</v>
      </c>
      <c r="E11" s="51">
        <f>(E$9-D$9)*Prod_an/D$9</f>
        <v>1740.6097990962335</v>
      </c>
      <c r="F11" s="182">
        <f>(F$9-E$9)*Prod_an/E$9</f>
        <v>12.871730285426759</v>
      </c>
      <c r="G11" s="181" t="s">
        <v>6</v>
      </c>
      <c r="K11" s="190"/>
      <c r="L11" s="207">
        <f>Tvie_2025</f>
        <v>44609</v>
      </c>
      <c r="M11" s="834"/>
      <c r="N11" s="834"/>
      <c r="O11" s="198">
        <f>IF(An_Tnet,Salim_2025,'2024'!Salim)</f>
        <v>0.08</v>
      </c>
      <c r="P11" s="252">
        <f>Ttai_2025</f>
        <v>44562</v>
      </c>
      <c r="Q11" s="268">
        <f>Dens_2025</f>
        <v>0.5</v>
      </c>
      <c r="R11" s="273"/>
      <c r="S11" s="226"/>
      <c r="T11" s="226"/>
      <c r="U11" s="262">
        <f>Htf_2025</f>
        <v>1.9895289934388074</v>
      </c>
      <c r="V11" s="19"/>
      <c r="W11" s="826"/>
      <c r="X11" s="231" t="s">
        <v>43</v>
      </c>
      <c r="Y11" s="50">
        <f>Z$9-Prod_an_s</f>
        <v>861.64542426698608</v>
      </c>
      <c r="Z11" s="51">
        <f>(AA$9-Z$9)*Prod_an_s/Z$9</f>
        <v>2884.7256683624246</v>
      </c>
      <c r="AA11" s="182">
        <f>(AB$9-AA$9)*Prod_an_s/AA$9</f>
        <v>12.546838809636171</v>
      </c>
      <c r="AB11" s="181" t="s">
        <v>6</v>
      </c>
      <c r="AC11" s="321"/>
      <c r="AD11" s="19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0</v>
      </c>
      <c r="AK11" s="824">
        <f>IF($AK7=0,0,($AK9-$AK7)*$AK5/$AK7)</f>
        <v>0</v>
      </c>
      <c r="AL11" s="823">
        <f>IF($AL7=0,0,($AL9-$AL7)*$AL5/$AL7)</f>
        <v>0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Pspv_2025</f>
        <v>0</v>
      </c>
      <c r="M12" s="208"/>
      <c r="N12" s="208"/>
      <c r="O12" s="201">
        <f>IF(An_Tnet,Tau_2025*365,'2024'!Tau_j)</f>
        <v>912.5</v>
      </c>
      <c r="P12" s="277">
        <f>INDEX(Croivg,MIN(MAX(Ttai-$A$15,0)+1,366))</f>
        <v>2.3909964587625958E-6</v>
      </c>
      <c r="Q12" s="276">
        <f>'2024'!Df</f>
        <v>0.5</v>
      </c>
      <c r="R12" s="274"/>
      <c r="S12" s="275"/>
      <c r="T12" s="275"/>
      <c r="U12" s="263">
        <f>'2024'!Hdf</f>
        <v>1.4895289934388074</v>
      </c>
      <c r="V12" s="40"/>
      <c r="W12" s="34"/>
      <c r="X12" s="54"/>
      <c r="Y12" s="34"/>
      <c r="AB12" s="315" t="s">
        <v>106</v>
      </c>
      <c r="AC12" s="314" t="b">
        <f>NOT(An_Tnet)</f>
        <v>1</v>
      </c>
      <c r="AE12" s="292">
        <f>'2024'!Df_s</f>
        <v>0.5</v>
      </c>
      <c r="AF12" s="199"/>
      <c r="AG12" s="199"/>
      <c r="AH12" s="199"/>
      <c r="AI12" s="293">
        <f>'2024'!Hdf_s</f>
        <v>1.4895289934388074</v>
      </c>
      <c r="AJ12" s="823">
        <f>IF($AJ8=0,0,($AJ10-$AJ8)*$AJ6/$AJ8)</f>
        <v>1740.6097990962335</v>
      </c>
      <c r="AK12" s="824">
        <f>IF($AK8=0,0,($AK10-$AK8)*$AK6/$AK8)</f>
        <v>12.871730285426759</v>
      </c>
      <c r="AL12" s="823">
        <f>IF($AL8=0,0,($AL10-$AL8)*$AL6/$AL8)</f>
        <v>2884.7256683624246</v>
      </c>
      <c r="AM12" s="824">
        <f>IF($AM8=0,0,($AM10-$AM8)*$AM6/$AM8)</f>
        <v>12.546838809636171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272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1740.6097990962335</v>
      </c>
      <c r="AK13" s="73">
        <f>+AK11+AK12</f>
        <v>12.871730285426759</v>
      </c>
      <c r="AL13" s="73">
        <f>+AL11+AL12</f>
        <v>2884.7256683624246</v>
      </c>
      <c r="AM13" s="73">
        <f>+AM11+AM12</f>
        <v>12.546838809636171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411" t="s">
        <v>188</v>
      </c>
      <c r="C14" s="384"/>
      <c r="D14" s="53" t="s">
        <v>30</v>
      </c>
      <c r="E14" s="158" t="s">
        <v>29</v>
      </c>
      <c r="F14" s="158" t="str">
        <f>"Hors pertes "&amp; TEXT(An,0)</f>
        <v>Hors pertes 2025</v>
      </c>
      <c r="G14" s="107" t="s">
        <v>42</v>
      </c>
      <c r="H14" s="408" t="s">
        <v>117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2025</v>
      </c>
      <c r="W14" s="828" t="s">
        <v>116</v>
      </c>
      <c r="X14" s="254" t="s">
        <v>2</v>
      </c>
      <c r="Y14" s="107" t="str">
        <f>"Wh / Jour "&amp; TEXT(An,0)</f>
        <v>Wh / Jour 2025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56">
        <f>DATE(An,1,1)</f>
        <v>45658</v>
      </c>
      <c r="B15" s="405">
        <f>'2024'!Wh/'2024'!Env_an*'2025'!Env_an</f>
        <v>95.473294746065946</v>
      </c>
      <c r="C15" s="385"/>
      <c r="D15" s="388">
        <f t="shared" ref="D15:D78" si="0">Wh/(1-Ppv)</f>
        <v>97.099780192422969</v>
      </c>
      <c r="E15" s="395">
        <f t="shared" ref="E15:E79" si="1">Wh_pvt/(1-Psa)</f>
        <v>99.768528947847983</v>
      </c>
      <c r="F15" s="395">
        <f t="shared" ref="F15:F78" si="2">Wh_sa/(1-Pvg*MEDIAN((-Sdif+Wh/Env_an)/Csdif,0,1))</f>
        <v>99.941221484103295</v>
      </c>
      <c r="G15" s="123">
        <f>+Wh_hp/MaxiM</f>
        <v>1.0011866221014729</v>
      </c>
      <c r="H15" s="409" t="b">
        <f>Wh_hp&gt;='2024'!Maxi_hp</f>
        <v>1</v>
      </c>
      <c r="I15" s="374">
        <f>IF(H15,Wh_hp,'2024'!Maxi_hp)</f>
        <v>99.941221484103295</v>
      </c>
      <c r="J15" s="84">
        <f>IF(H15,An,'2024'!An_max)</f>
        <v>2025</v>
      </c>
      <c r="K15" s="193">
        <f t="shared" ref="K15:K78" si="3">t</f>
        <v>45658</v>
      </c>
      <c r="L15" s="142">
        <f>IF(t&lt;Tvie,1-EXP((T0-t)*PertePVj)+'2024'!Pspv,1-EXP((T0-t)*PertePVj)+Pspv)</f>
        <v>1.6750660435418174E-2</v>
      </c>
      <c r="M15" s="835"/>
      <c r="N15" s="835"/>
      <c r="O15" s="48">
        <f>IF(t&lt;Tnet,'2024'!Resal+('2024'!Salim-'2024'!Resal)*(1-EXP(('2024'!Tnet-t)/('2024'!Tau_j))),Resal+(Salim-Resal)*(1-EXP((Tnet-t)/(Tau_j))))*Salcycl</f>
        <v>2.6749404682713612E-2</v>
      </c>
      <c r="P15" s="298">
        <f>(INDEX(Models!$BJ15:$BT15,,T15)*(1-R15)+INDEX(Models!$BJ15:$BT15,,T15+1)*R15-ERP_i)*Q15*Ramure*Pc/MaxiM</f>
        <v>1.7279410206406094E-3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0.4895301889370367</v>
      </c>
      <c r="S15" s="800">
        <f t="shared" ref="S15:S78" si="6">INDEX(Echel_vg,T15)</f>
        <v>1</v>
      </c>
      <c r="T15" s="245">
        <f t="shared" ref="T15:T78" si="7">MIN(MATCH(Hp_vg,Echel_vg),10)</f>
        <v>7</v>
      </c>
      <c r="U15" s="246">
        <f t="shared" ref="U15:U78" si="8">IF(OR(t&lt;Ttai,Notai),Hdd+PousH*Croivg,Hdtf+PousH*(Croivg-Croi_tai))</f>
        <v>1.4895301889370367</v>
      </c>
      <c r="V15" s="377">
        <f t="shared" ref="V15:V78" si="9">MaxiM*(1-Ppv)*(1-Pvg)*(1-Psa)</f>
        <v>95.360138298361591</v>
      </c>
      <c r="W15" s="397">
        <f t="shared" ref="W15:W78" si="10">Wh*(A15&gt;Tmaj)</f>
        <v>95.473294746065946</v>
      </c>
      <c r="X15" s="152">
        <f t="shared" ref="X15:X78" si="11">t</f>
        <v>45658</v>
      </c>
      <c r="Y15" s="380">
        <f t="shared" ref="Y15:Y78" si="12">Wh_pvt_s*(1-Ppv)</f>
        <v>92.664740539756394</v>
      </c>
      <c r="Z15" s="380">
        <f t="shared" ref="Z15:Z78" si="13">Wh_sa_s*(1-Psa_s)</f>
        <v>94.243379386139907</v>
      </c>
      <c r="AA15" s="381">
        <f t="shared" ref="AA15:AA78" si="14">Wh_hp*(1-Pvg_s*MEDIAN((-Sdif+Wh/Env_an)/Csdif,0,1))</f>
        <v>99.768528947847983</v>
      </c>
      <c r="AB15" s="193">
        <f t="shared" ref="AB15:AB78" si="15">t</f>
        <v>45658</v>
      </c>
      <c r="AC15" s="119">
        <f>IF(OR(t&lt;Tnet,NoTnet),'2024'!Resal_s+('2024'!Salim-'2024'!Resal_s)*(1-EXP(('2024'!Tnet_s-t)/'2024'!Tau_j)),Resal_s+(Salim-Resal_s)*(1-EXP((Tnet_s-t)/Tau_j)))*Salcycl</f>
        <v>5.5379683553280032E-2</v>
      </c>
      <c r="AD15" s="227">
        <f>(INDEX(Models!$BJ15:$BT15,,AH15)*(1-AF15)+INDEX(Models!$BJ15:$BT15,,AH15+1)*AF15-ERP_i)*AE15*Ramure*Pc/MaxiM</f>
        <v>1.7279410206406094E-3</v>
      </c>
      <c r="AE15" s="299">
        <f t="shared" ref="AE15:AE78" si="16">IF(OR(t&lt;Ttai,Notai),Dd_s+PousD*Croivg,Dens_s+PousD*(Croivg-Croi_tai))</f>
        <v>0.5</v>
      </c>
      <c r="AF15" s="300">
        <f>(Hp_vg_s-AG15)/(INDEX(Echel_vg,AH15+1)-AG15)</f>
        <v>0.4895301889370367</v>
      </c>
      <c r="AG15" s="800">
        <f>INDEX(Echel_vg,AH15)</f>
        <v>1</v>
      </c>
      <c r="AH15" s="245">
        <f t="shared" ref="AH15:AH78" si="17">MIN(MATCH(Hp_vg_s,Echel_vg),10)</f>
        <v>7</v>
      </c>
      <c r="AI15" s="220">
        <f t="shared" ref="AI15:AI78" si="18">IF(OR(t&lt;Ttai,Notai),Hdd_s+PousH*Croivg,Hdtai_s+PousH*(Croivg-Croi_tai))</f>
        <v>1.4895301889370367</v>
      </c>
      <c r="AJ15" s="261" t="b">
        <f t="shared" ref="AJ15:AJ78" si="19">t&lt;Tnet</f>
        <v>0</v>
      </c>
      <c r="AK15" s="261" t="b">
        <f t="shared" ref="AK15:AK78" si="20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1">A15+1</f>
        <v>45659</v>
      </c>
      <c r="B16" s="406">
        <f>'2024'!Wh/'2024'!Env_an*'2025'!Env_an</f>
        <v>69.81231617928168</v>
      </c>
      <c r="C16" s="385"/>
      <c r="D16" s="388">
        <f t="shared" si="0"/>
        <v>71.002612516640809</v>
      </c>
      <c r="E16" s="380">
        <f t="shared" si="1"/>
        <v>72.958386671600763</v>
      </c>
      <c r="F16" s="380">
        <f t="shared" si="2"/>
        <v>73.036364940764145</v>
      </c>
      <c r="G16" s="110">
        <f t="shared" ref="G16:G79" si="22">+Wh_hp/MaxiM</f>
        <v>0.72717008461842847</v>
      </c>
      <c r="H16" s="409" t="b">
        <f>Wh_hp&gt;='2024'!Maxi_hp</f>
        <v>0</v>
      </c>
      <c r="I16" s="375">
        <f>IF(H16,Wh_hp,'2024'!Maxi_hp)</f>
        <v>73.086107014148709</v>
      </c>
      <c r="J16" s="85">
        <f>IF(H16,An,'2024'!An_max)</f>
        <v>2022</v>
      </c>
      <c r="K16" s="193">
        <f t="shared" si="3"/>
        <v>45659</v>
      </c>
      <c r="L16" s="143">
        <f>IF(t&lt;Tvie,1-EXP((T0-t)*PertePVj)+'2024'!Pspv,1-EXP((T0-t)*PertePVj)+Pspv)</f>
        <v>1.6764120293181639E-2</v>
      </c>
      <c r="M16" s="835"/>
      <c r="N16" s="835"/>
      <c r="O16" s="48">
        <f>IF(t&lt;Tnet,'2024'!Resal+('2024'!Salim-'2024'!Resal)*(1-EXP(('2024'!Tnet-t)/('2024'!Tau_j))),Resal+(Salim-Resal)*(1-EXP((Tnet-t)/(Tau_j))))*Salcycl</f>
        <v>2.680670782597299E-2</v>
      </c>
      <c r="P16" s="165">
        <f>(INDEX(Models!$BJ16:$BT16,,T16)*(1-R16)+INDEX(Models!$BJ16:$BT16,,T16+1)*R16-ERP_i)*Q16*Ramure*Pc/MaxiM</f>
        <v>1.7475452385488568E-3</v>
      </c>
      <c r="Q16" s="301">
        <f t="shared" si="4"/>
        <v>0.5</v>
      </c>
      <c r="R16" s="173">
        <f t="shared" si="5"/>
        <v>0.48955940355103111</v>
      </c>
      <c r="S16" s="801">
        <f t="shared" si="6"/>
        <v>1</v>
      </c>
      <c r="T16" s="172">
        <f t="shared" si="7"/>
        <v>7</v>
      </c>
      <c r="U16" s="247">
        <f t="shared" si="8"/>
        <v>1.4895594035510311</v>
      </c>
      <c r="V16" s="378">
        <f t="shared" si="9"/>
        <v>95.940142222587269</v>
      </c>
      <c r="W16" s="397">
        <f t="shared" si="10"/>
        <v>69.81231617928168</v>
      </c>
      <c r="X16" s="153">
        <f t="shared" si="11"/>
        <v>45659</v>
      </c>
      <c r="Y16" s="380">
        <f t="shared" si="12"/>
        <v>67.760845971128944</v>
      </c>
      <c r="Z16" s="380">
        <f t="shared" si="13"/>
        <v>68.916164848798942</v>
      </c>
      <c r="AA16" s="381">
        <f t="shared" si="14"/>
        <v>72.958386671600763</v>
      </c>
      <c r="AB16" s="193">
        <f t="shared" si="15"/>
        <v>45659</v>
      </c>
      <c r="AC16" s="119">
        <f>IF(OR(t&lt;Tnet,NoTnet),'2024'!Resal_s+('2024'!Salim-'2024'!Resal_s)*(1-EXP(('2024'!Tnet_s-t)/'2024'!Tau_j)),Resal_s+(Salim-Resal_s)*(1-EXP((Tnet_s-t)/Tau_j)))*Salcycl</f>
        <v>5.5404484764672954E-2</v>
      </c>
      <c r="AD16" s="227">
        <f>(INDEX(Models!$BJ16:$BT16,,AH16)*(1-AF16)+INDEX(Models!$BJ16:$BT16,,AH16+1)*AF16-ERP_i)*AE16*Ramure*Pc/MaxiM</f>
        <v>1.7475452385488568E-3</v>
      </c>
      <c r="AE16" s="301">
        <f t="shared" si="16"/>
        <v>0.5</v>
      </c>
      <c r="AF16" s="173">
        <f t="shared" ref="AF16:AF78" si="23">(Hp_vg_s-AG16)/(INDEX(Echel_vg,AH16+1)-AG16)</f>
        <v>0.48955940355103111</v>
      </c>
      <c r="AG16" s="801">
        <f t="shared" ref="AG16:AG79" si="24">INDEX(Echel_vg,AH16)</f>
        <v>1</v>
      </c>
      <c r="AH16" s="172">
        <f t="shared" si="17"/>
        <v>7</v>
      </c>
      <c r="AI16" s="221">
        <f t="shared" si="18"/>
        <v>1.4895594035510311</v>
      </c>
      <c r="AJ16" s="261" t="b">
        <f t="shared" si="19"/>
        <v>0</v>
      </c>
      <c r="AK16" s="261" t="b">
        <f t="shared" si="20"/>
        <v>0</v>
      </c>
      <c r="AL16" s="261"/>
      <c r="AM16" s="261"/>
      <c r="AN16" s="75"/>
    </row>
    <row r="17" spans="1:40" s="6" customFormat="1" ht="11.25" x14ac:dyDescent="0.2">
      <c r="A17" s="56">
        <f t="shared" si="21"/>
        <v>45660</v>
      </c>
      <c r="B17" s="406">
        <f>'2024'!Wh/'2024'!Env_an*'2025'!Env_an</f>
        <v>72.702155884180712</v>
      </c>
      <c r="C17" s="385"/>
      <c r="D17" s="388">
        <f t="shared" si="0"/>
        <v>73.942736051236253</v>
      </c>
      <c r="E17" s="380">
        <f t="shared" si="1"/>
        <v>75.983969624917677</v>
      </c>
      <c r="F17" s="380">
        <f t="shared" si="2"/>
        <v>76.071000001989162</v>
      </c>
      <c r="G17" s="110">
        <f t="shared" si="22"/>
        <v>0.75249341853955021</v>
      </c>
      <c r="H17" s="409" t="b">
        <f>Wh_hp&gt;='2024'!Maxi_hp</f>
        <v>0</v>
      </c>
      <c r="I17" s="375">
        <f>IF(H17,Wh_hp,'2024'!Maxi_hp)</f>
        <v>76.118546681586153</v>
      </c>
      <c r="J17" s="85">
        <f>IF(H17,An,'2024'!An_max)</f>
        <v>2022</v>
      </c>
      <c r="K17" s="193">
        <f t="shared" si="3"/>
        <v>45660</v>
      </c>
      <c r="L17" s="143">
        <f>IF(t&lt;Tvie,1-EXP((T0-t)*PertePVj)+'2024'!Pspv,1-EXP((T0-t)*PertePVj)+Pspv)</f>
        <v>1.6777579966690936E-2</v>
      </c>
      <c r="M17" s="835"/>
      <c r="N17" s="835"/>
      <c r="O17" s="48">
        <f>IF(t&lt;Tnet,'2024'!Resal+('2024'!Salim-'2024'!Resal)*(1-EXP(('2024'!Tnet-t)/('2024'!Tau_j))),Resal+(Salim-Resal)*(1-EXP((Tnet-t)/(Tau_j))))*Salcycl</f>
        <v>2.6864002812140918E-2</v>
      </c>
      <c r="P17" s="165">
        <f>(INDEX(Models!$BJ17:$BT17,,T17)*(1-R17)+INDEX(Models!$BJ17:$BT17,,T17+1)*R17-ERP_i)*Q17*Ramure*Pc/MaxiM</f>
        <v>1.7680165075073672E-3</v>
      </c>
      <c r="Q17" s="301">
        <f t="shared" si="4"/>
        <v>0.5</v>
      </c>
      <c r="R17" s="173">
        <f t="shared" si="5"/>
        <v>0.48958984014652063</v>
      </c>
      <c r="S17" s="801">
        <f t="shared" si="6"/>
        <v>1</v>
      </c>
      <c r="T17" s="172">
        <f t="shared" si="7"/>
        <v>7</v>
      </c>
      <c r="U17" s="247">
        <f t="shared" si="8"/>
        <v>1.4895898401465206</v>
      </c>
      <c r="V17" s="378">
        <f t="shared" si="9"/>
        <v>96.554653790234141</v>
      </c>
      <c r="W17" s="397">
        <f t="shared" si="10"/>
        <v>72.702155884180712</v>
      </c>
      <c r="X17" s="153">
        <f t="shared" si="11"/>
        <v>45660</v>
      </c>
      <c r="Y17" s="380">
        <f t="shared" si="12"/>
        <v>70.568061128386091</v>
      </c>
      <c r="Z17" s="380">
        <f t="shared" si="13"/>
        <v>71.772225379070818</v>
      </c>
      <c r="AA17" s="381">
        <f t="shared" si="14"/>
        <v>75.983969624917677</v>
      </c>
      <c r="AB17" s="193">
        <f t="shared" si="15"/>
        <v>45660</v>
      </c>
      <c r="AC17" s="119">
        <f>IF(OR(t&lt;Tnet,NoTnet),'2024'!Resal_s+('2024'!Salim-'2024'!Resal_s)*(1-EXP(('2024'!Tnet_s-t)/'2024'!Tau_j)),Resal_s+(Salim-Resal_s)*(1-EXP((Tnet_s-t)/Tau_j)))*Salcycl</f>
        <v>5.5429378941866871E-2</v>
      </c>
      <c r="AD17" s="227">
        <f>(INDEX(Models!$BJ17:$BT17,,AH17)*(1-AF17)+INDEX(Models!$BJ17:$BT17,,AH17+1)*AF17-ERP_i)*AE17*Ramure*Pc/MaxiM</f>
        <v>1.7680165075073672E-3</v>
      </c>
      <c r="AE17" s="301">
        <f t="shared" si="16"/>
        <v>0.5</v>
      </c>
      <c r="AF17" s="173">
        <f>(Hp_vg_s-AG17)/(INDEX(Echel_vg,AH17+1)-AG17)</f>
        <v>0.48958984014652063</v>
      </c>
      <c r="AG17" s="801">
        <f>INDEX(Echel_vg,AH17)</f>
        <v>1</v>
      </c>
      <c r="AH17" s="172">
        <f t="shared" si="17"/>
        <v>7</v>
      </c>
      <c r="AI17" s="221">
        <f t="shared" si="18"/>
        <v>1.4895898401465206</v>
      </c>
      <c r="AJ17" s="261" t="b">
        <f t="shared" si="19"/>
        <v>0</v>
      </c>
      <c r="AK17" s="261" t="b">
        <f t="shared" si="20"/>
        <v>0</v>
      </c>
      <c r="AL17" s="261"/>
      <c r="AM17" s="261"/>
      <c r="AN17" s="75"/>
    </row>
    <row r="18" spans="1:40" s="6" customFormat="1" ht="11.25" x14ac:dyDescent="0.2">
      <c r="A18" s="56">
        <f t="shared" si="21"/>
        <v>45661</v>
      </c>
      <c r="B18" s="406">
        <f>'2024'!Wh/'2024'!Env_an*'2025'!Env_an</f>
        <v>78.077358025326532</v>
      </c>
      <c r="C18" s="385"/>
      <c r="D18" s="388">
        <f t="shared" si="0"/>
        <v>79.410747011625077</v>
      </c>
      <c r="E18" s="380">
        <f t="shared" si="1"/>
        <v>81.607731923996212</v>
      </c>
      <c r="F18" s="380">
        <f t="shared" si="2"/>
        <v>81.712848101071046</v>
      </c>
      <c r="G18" s="110">
        <f t="shared" si="22"/>
        <v>0.80284522830308525</v>
      </c>
      <c r="H18" s="409" t="b">
        <f>Wh_hp&gt;='2024'!Maxi_hp</f>
        <v>0</v>
      </c>
      <c r="I18" s="375">
        <f>IF(H18,Wh_hp,'2024'!Maxi_hp)</f>
        <v>81.754015578877613</v>
      </c>
      <c r="J18" s="85">
        <f>IF(H18,An,'2024'!An_max)</f>
        <v>2022</v>
      </c>
      <c r="K18" s="193">
        <f t="shared" si="3"/>
        <v>45661</v>
      </c>
      <c r="L18" s="143">
        <f>IF(t&lt;Tvie,1-EXP((T0-t)*PertePVj)+'2024'!Pspv,1-EXP((T0-t)*PertePVj)+Pspv)</f>
        <v>1.679103945594862E-2</v>
      </c>
      <c r="M18" s="835"/>
      <c r="N18" s="835"/>
      <c r="O18" s="48">
        <f>IF(t&lt;Tnet,'2024'!Resal+('2024'!Salim-'2024'!Resal)*(1-EXP(('2024'!Tnet-t)/('2024'!Tau_j))),Resal+(Salim-Resal)*(1-EXP((Tnet-t)/(Tau_j))))*Salcycl</f>
        <v>2.6921283811897293E-2</v>
      </c>
      <c r="P18" s="165">
        <f>(INDEX(Models!$BJ18:$BT18,,T18)*(1-R18)+INDEX(Models!$BJ18:$BT18,,T18+1)*R18-ERP_i)*Q18*Ramure*Pc/MaxiM</f>
        <v>1.7893434133017612E-3</v>
      </c>
      <c r="Q18" s="301">
        <f t="shared" si="4"/>
        <v>0.5</v>
      </c>
      <c r="R18" s="173">
        <f t="shared" si="5"/>
        <v>0.48962154967781579</v>
      </c>
      <c r="S18" s="801">
        <f t="shared" si="6"/>
        <v>1</v>
      </c>
      <c r="T18" s="172">
        <f t="shared" si="7"/>
        <v>7</v>
      </c>
      <c r="U18" s="247">
        <f t="shared" si="8"/>
        <v>1.4896215496778158</v>
      </c>
      <c r="V18" s="378">
        <f t="shared" si="9"/>
        <v>97.201847799351356</v>
      </c>
      <c r="W18" s="397">
        <f t="shared" si="10"/>
        <v>78.077358025326532</v>
      </c>
      <c r="X18" s="153">
        <f t="shared" si="11"/>
        <v>45661</v>
      </c>
      <c r="Y18" s="380">
        <f t="shared" si="12"/>
        <v>75.787937193386895</v>
      </c>
      <c r="Z18" s="380">
        <f>Wh_sa_s*(1-Psa_s)</f>
        <v>77.082227923807977</v>
      </c>
      <c r="AA18" s="381">
        <f t="shared" si="14"/>
        <v>81.607731923996212</v>
      </c>
      <c r="AB18" s="193">
        <f>t</f>
        <v>45661</v>
      </c>
      <c r="AC18" s="119">
        <f>IF(OR(t&lt;Tnet,NoTnet),'2024'!Resal_s+('2024'!Salim-'2024'!Resal_s)*(1-EXP(('2024'!Tnet_s-t)/'2024'!Tau_j)),Resal_s+(Salim-Resal_s)*(1-EXP((Tnet_s-t)/Tau_j)))*Salcycl</f>
        <v>5.5454353325282708E-2</v>
      </c>
      <c r="AD18" s="227">
        <f>(INDEX(Models!$BJ18:$BT18,,AH18)*(1-AF18)+INDEX(Models!$BJ18:$BT18,,AH18+1)*AF18-ERP_i)*AE18*Ramure*Pc/MaxiM</f>
        <v>1.7893434133017612E-3</v>
      </c>
      <c r="AE18" s="301">
        <f t="shared" si="16"/>
        <v>0.5</v>
      </c>
      <c r="AF18" s="173">
        <f t="shared" si="23"/>
        <v>0.48962154967781579</v>
      </c>
      <c r="AG18" s="801">
        <f t="shared" si="24"/>
        <v>1</v>
      </c>
      <c r="AH18" s="172">
        <f t="shared" si="17"/>
        <v>7</v>
      </c>
      <c r="AI18" s="221">
        <f t="shared" si="18"/>
        <v>1.4896215496778158</v>
      </c>
      <c r="AJ18" s="261" t="b">
        <f t="shared" si="19"/>
        <v>0</v>
      </c>
      <c r="AK18" s="261" t="b">
        <f t="shared" si="20"/>
        <v>0</v>
      </c>
      <c r="AL18" s="261"/>
      <c r="AM18" s="261"/>
      <c r="AN18" s="75"/>
    </row>
    <row r="19" spans="1:40" s="6" customFormat="1" ht="11.25" x14ac:dyDescent="0.2">
      <c r="A19" s="56">
        <f t="shared" si="21"/>
        <v>45662</v>
      </c>
      <c r="B19" s="406">
        <f>'2024'!Wh/'2024'!Env_an*'2025'!Env_an</f>
        <v>58.706971023015768</v>
      </c>
      <c r="C19" s="385"/>
      <c r="D19" s="388">
        <f t="shared" si="0"/>
        <v>59.71037392770009</v>
      </c>
      <c r="E19" s="380">
        <f t="shared" si="1"/>
        <v>61.365937685340121</v>
      </c>
      <c r="F19" s="380">
        <f t="shared" si="2"/>
        <v>61.413582907149028</v>
      </c>
      <c r="G19" s="110">
        <f t="shared" si="22"/>
        <v>0.59916408746223448</v>
      </c>
      <c r="H19" s="409" t="b">
        <f>Wh_hp&gt;='2024'!Maxi_hp</f>
        <v>0</v>
      </c>
      <c r="I19" s="375">
        <f>IF(H19,Wh_hp,'2024'!Maxi_hp)</f>
        <v>61.477299806338095</v>
      </c>
      <c r="J19" s="85">
        <f>IF(H19,An,'2024'!An_max)</f>
        <v>2022</v>
      </c>
      <c r="K19" s="193">
        <f t="shared" si="3"/>
        <v>45662</v>
      </c>
      <c r="L19" s="143">
        <f>IF(t&lt;Tvie,1-EXP((T0-t)*PertePVj)+'2024'!Pspv,1-EXP((T0-t)*PertePVj)+Pspv)</f>
        <v>1.6804498760957132E-2</v>
      </c>
      <c r="M19" s="835"/>
      <c r="N19" s="835"/>
      <c r="O19" s="48">
        <f>IF(t&lt;Tnet,'2024'!Resal+('2024'!Salim-'2024'!Resal)*(1-EXP(('2024'!Tnet-t)/('2024'!Tau_j))),Resal+(Salim-Resal)*(1-EXP((Tnet-t)/(Tau_j))))*Salcycl</f>
        <v>2.6978545754960951E-2</v>
      </c>
      <c r="P19" s="165">
        <f>(INDEX(Models!$BJ19:$BT19,,T19)*(1-R19)+INDEX(Models!$BJ19:$BT19,,T19+1)*R19-ERP_i)*Q19*Ramure*Pc/MaxiM</f>
        <v>1.8115150301237616E-3</v>
      </c>
      <c r="Q19" s="301">
        <f t="shared" si="4"/>
        <v>0.5</v>
      </c>
      <c r="R19" s="173">
        <f t="shared" si="5"/>
        <v>0.4896545852103773</v>
      </c>
      <c r="S19" s="801">
        <f t="shared" si="6"/>
        <v>1</v>
      </c>
      <c r="T19" s="172">
        <f t="shared" si="7"/>
        <v>7</v>
      </c>
      <c r="U19" s="247">
        <f t="shared" si="8"/>
        <v>1.4896545852103773</v>
      </c>
      <c r="V19" s="378">
        <f t="shared" si="9"/>
        <v>97.879899494987811</v>
      </c>
      <c r="W19" s="397">
        <f t="shared" si="10"/>
        <v>58.706971023015768</v>
      </c>
      <c r="X19" s="153">
        <f t="shared" si="11"/>
        <v>45662</v>
      </c>
      <c r="Y19" s="380">
        <f t="shared" si="12"/>
        <v>56.987380330128545</v>
      </c>
      <c r="Z19" s="380">
        <f t="shared" si="13"/>
        <v>57.961392478212005</v>
      </c>
      <c r="AA19" s="381">
        <f t="shared" si="14"/>
        <v>61.365937685340121</v>
      </c>
      <c r="AB19" s="193">
        <f t="shared" si="15"/>
        <v>45662</v>
      </c>
      <c r="AC19" s="119">
        <f>IF(OR(t&lt;Tnet,NoTnet),'2024'!Resal_s+('2024'!Salim-'2024'!Resal_s)*(1-EXP(('2024'!Tnet_s-t)/'2024'!Tau_j)),Resal_s+(Salim-Resal_s)*(1-EXP((Tnet_s-t)/Tau_j)))*Salcycl</f>
        <v>5.5479396804547366E-2</v>
      </c>
      <c r="AD19" s="227">
        <f>(INDEX(Models!$BJ19:$BT19,,AH19)*(1-AF19)+INDEX(Models!$BJ19:$BT19,,AH19+1)*AF19-ERP_i)*AE19*Ramure*Pc/MaxiM</f>
        <v>1.8115150301237616E-3</v>
      </c>
      <c r="AE19" s="301">
        <f t="shared" si="16"/>
        <v>0.5</v>
      </c>
      <c r="AF19" s="173">
        <f t="shared" si="23"/>
        <v>0.4896545852103773</v>
      </c>
      <c r="AG19" s="801">
        <f t="shared" si="24"/>
        <v>1</v>
      </c>
      <c r="AH19" s="172">
        <f t="shared" si="17"/>
        <v>7</v>
      </c>
      <c r="AI19" s="221">
        <f t="shared" si="18"/>
        <v>1.4896545852103773</v>
      </c>
      <c r="AJ19" s="261" t="b">
        <f t="shared" si="19"/>
        <v>0</v>
      </c>
      <c r="AK19" s="261" t="b">
        <f t="shared" si="20"/>
        <v>0</v>
      </c>
      <c r="AL19" s="261"/>
      <c r="AM19" s="261"/>
      <c r="AN19" s="75"/>
    </row>
    <row r="20" spans="1:40" s="6" customFormat="1" ht="11.25" x14ac:dyDescent="0.2">
      <c r="A20" s="56">
        <f t="shared" si="21"/>
        <v>45663</v>
      </c>
      <c r="B20" s="406">
        <f>'2024'!Wh/'2024'!Env_an*'2025'!Env_an</f>
        <v>100.55494294253313</v>
      </c>
      <c r="C20" s="385"/>
      <c r="D20" s="388">
        <f t="shared" si="0"/>
        <v>102.27499957778517</v>
      </c>
      <c r="E20" s="380">
        <f t="shared" si="1"/>
        <v>105.11691789766749</v>
      </c>
      <c r="F20" s="380">
        <f t="shared" si="2"/>
        <v>105.31011151518358</v>
      </c>
      <c r="G20" s="110">
        <f t="shared" si="22"/>
        <v>1.0199616450883788</v>
      </c>
      <c r="H20" s="409" t="b">
        <f>Wh_hp&gt;='2024'!Maxi_hp</f>
        <v>1</v>
      </c>
      <c r="I20" s="375">
        <f>IF(H20,Wh_hp,'2024'!Maxi_hp)</f>
        <v>105.31011151518358</v>
      </c>
      <c r="J20" s="85">
        <f>IF(H20,An,'2024'!An_max)</f>
        <v>2025</v>
      </c>
      <c r="K20" s="193">
        <f t="shared" si="3"/>
        <v>45663</v>
      </c>
      <c r="L20" s="143">
        <f>IF(t&lt;Tvie,1-EXP((T0-t)*PertePVj)+'2024'!Pspv,1-EXP((T0-t)*PertePVj)+Pspv)</f>
        <v>1.6817957881719137E-2</v>
      </c>
      <c r="M20" s="835"/>
      <c r="N20" s="835"/>
      <c r="O20" s="48">
        <f>IF(t&lt;Tnet,'2024'!Resal+('2024'!Salim-'2024'!Resal)*(1-EXP(('2024'!Tnet-t)/('2024'!Tau_j))),Resal+(Salim-Resal)*(1-EXP((Tnet-t)/(Tau_j))))*Salcycl</f>
        <v>2.703578431255917E-2</v>
      </c>
      <c r="P20" s="165">
        <f>(INDEX(Models!$BJ20:$BT20,,T20)*(1-R20)+INDEX(Models!$BJ20:$BT20,,T20+1)*R20-ERP_i)*Q20*Ramure*Pc/MaxiM</f>
        <v>1.8345210610496935E-3</v>
      </c>
      <c r="Q20" s="301">
        <f t="shared" si="4"/>
        <v>0.5</v>
      </c>
      <c r="R20" s="173">
        <f t="shared" si="5"/>
        <v>0.48968900200712806</v>
      </c>
      <c r="S20" s="801">
        <f t="shared" si="6"/>
        <v>1</v>
      </c>
      <c r="T20" s="172">
        <f t="shared" si="7"/>
        <v>7</v>
      </c>
      <c r="U20" s="247">
        <f t="shared" si="8"/>
        <v>1.4896890020071281</v>
      </c>
      <c r="V20" s="378">
        <f t="shared" si="9"/>
        <v>98.586984546678835</v>
      </c>
      <c r="W20" s="397">
        <f t="shared" si="10"/>
        <v>100.55494294253313</v>
      </c>
      <c r="X20" s="153">
        <f t="shared" si="11"/>
        <v>45663</v>
      </c>
      <c r="Y20" s="380">
        <f t="shared" si="12"/>
        <v>97.612727779631498</v>
      </c>
      <c r="Z20" s="380">
        <f t="shared" si="13"/>
        <v>99.282455942058675</v>
      </c>
      <c r="AA20" s="381">
        <f t="shared" si="14"/>
        <v>105.11691789766749</v>
      </c>
      <c r="AB20" s="193">
        <f t="shared" si="15"/>
        <v>45663</v>
      </c>
      <c r="AC20" s="119">
        <f>IF(OR(t&lt;Tnet,NoTnet),'2024'!Resal_s+('2024'!Salim-'2024'!Resal_s)*(1-EXP(('2024'!Tnet_s-t)/'2024'!Tau_j)),Resal_s+(Salim-Resal_s)*(1-EXP((Tnet_s-t)/Tau_j)))*Salcycl</f>
        <v>5.5504499868315536E-2</v>
      </c>
      <c r="AD20" s="227">
        <f>(INDEX(Models!$BJ20:$BT20,,AH20)*(1-AF20)+INDEX(Models!$BJ20:$BT20,,AH20+1)*AF20-ERP_i)*AE20*Ramure*Pc/MaxiM</f>
        <v>1.8345210610496935E-3</v>
      </c>
      <c r="AE20" s="301">
        <f t="shared" si="16"/>
        <v>0.5</v>
      </c>
      <c r="AF20" s="173">
        <f t="shared" si="23"/>
        <v>0.48968900200712806</v>
      </c>
      <c r="AG20" s="801">
        <f t="shared" si="24"/>
        <v>1</v>
      </c>
      <c r="AH20" s="172">
        <f t="shared" si="17"/>
        <v>7</v>
      </c>
      <c r="AI20" s="221">
        <f t="shared" si="18"/>
        <v>1.4896890020071281</v>
      </c>
      <c r="AJ20" s="261" t="b">
        <f t="shared" si="19"/>
        <v>0</v>
      </c>
      <c r="AK20" s="261" t="b">
        <f t="shared" si="20"/>
        <v>0</v>
      </c>
      <c r="AL20" s="261"/>
      <c r="AM20" s="261"/>
      <c r="AN20" s="75"/>
    </row>
    <row r="21" spans="1:40" s="6" customFormat="1" ht="11.25" x14ac:dyDescent="0.2">
      <c r="A21" s="56">
        <f t="shared" si="21"/>
        <v>45664</v>
      </c>
      <c r="B21" s="406">
        <f>'2024'!Wh/'2024'!Env_an*'2025'!Env_an</f>
        <v>38.037627753979429</v>
      </c>
      <c r="C21" s="385"/>
      <c r="D21" s="388">
        <f t="shared" si="0"/>
        <v>38.688815331019619</v>
      </c>
      <c r="E21" s="380">
        <f t="shared" si="1"/>
        <v>39.766200846460215</v>
      </c>
      <c r="F21" s="380">
        <f t="shared" si="2"/>
        <v>39.774962582833943</v>
      </c>
      <c r="G21" s="110">
        <f t="shared" si="22"/>
        <v>0.3823481343644814</v>
      </c>
      <c r="H21" s="409" t="b">
        <f>Wh_hp&gt;='2024'!Maxi_hp</f>
        <v>0</v>
      </c>
      <c r="I21" s="375">
        <f>IF(H21,Wh_hp,'2024'!Maxi_hp)</f>
        <v>39.840230222025987</v>
      </c>
      <c r="J21" s="85">
        <f>IF(H21,An,'2024'!An_max)</f>
        <v>2022</v>
      </c>
      <c r="K21" s="193">
        <f t="shared" si="3"/>
        <v>45664</v>
      </c>
      <c r="L21" s="143">
        <f>IF(t&lt;Tvie,1-EXP((T0-t)*PertePVj)+'2024'!Pspv,1-EXP((T0-t)*PertePVj)+Pspv)</f>
        <v>1.6831416818237077E-2</v>
      </c>
      <c r="M21" s="835"/>
      <c r="N21" s="835"/>
      <c r="O21" s="48">
        <f>IF(t&lt;Tnet,'2024'!Resal+('2024'!Salim-'2024'!Resal)*(1-EXP(('2024'!Tnet-t)/('2024'!Tau_j))),Resal+(Salim-Resal)*(1-EXP((Tnet-t)/(Tau_j))))*Salcycl</f>
        <v>2.7092995873567255E-2</v>
      </c>
      <c r="P21" s="165">
        <f>(INDEX(Models!$BJ21:$BT21,,T21)*(1-R21)+INDEX(Models!$BJ21:$BT21,,T21+1)*R21-ERP_i)*Q21*Ramure*Pc/MaxiM</f>
        <v>1.8583519669154644E-3</v>
      </c>
      <c r="Q21" s="301">
        <f t="shared" si="4"/>
        <v>0.5</v>
      </c>
      <c r="R21" s="173">
        <f t="shared" si="5"/>
        <v>0.48972485761819118</v>
      </c>
      <c r="S21" s="801">
        <f t="shared" si="6"/>
        <v>1</v>
      </c>
      <c r="T21" s="172">
        <f t="shared" si="7"/>
        <v>7</v>
      </c>
      <c r="U21" s="247">
        <f t="shared" si="8"/>
        <v>1.4897248576181912</v>
      </c>
      <c r="V21" s="378">
        <f t="shared" si="9"/>
        <v>99.321279074227547</v>
      </c>
      <c r="W21" s="397">
        <f t="shared" si="10"/>
        <v>38.037627753979429</v>
      </c>
      <c r="X21" s="153">
        <f t="shared" si="11"/>
        <v>45664</v>
      </c>
      <c r="Y21" s="380">
        <f t="shared" si="12"/>
        <v>36.925843141063837</v>
      </c>
      <c r="Z21" s="380">
        <f t="shared" si="13"/>
        <v>37.557997451020242</v>
      </c>
      <c r="AA21" s="381">
        <f t="shared" si="14"/>
        <v>39.766200846460215</v>
      </c>
      <c r="AB21" s="193">
        <f t="shared" si="15"/>
        <v>45664</v>
      </c>
      <c r="AC21" s="119">
        <f>IF(OR(t&lt;Tnet,NoTnet),'2024'!Resal_s+('2024'!Salim-'2024'!Resal_s)*(1-EXP(('2024'!Tnet_s-t)/'2024'!Tau_j)),Resal_s+(Salim-Resal_s)*(1-EXP((Tnet_s-t)/Tau_j)))*Salcycl</f>
        <v>5.5529654541704603E-2</v>
      </c>
      <c r="AD21" s="227">
        <f>(INDEX(Models!$BJ21:$BT21,,AH21)*(1-AF21)+INDEX(Models!$BJ21:$BT21,,AH21+1)*AF21-ERP_i)*AE21*Ramure*Pc/MaxiM</f>
        <v>1.8583519669154644E-3</v>
      </c>
      <c r="AE21" s="301">
        <f t="shared" si="16"/>
        <v>0.5</v>
      </c>
      <c r="AF21" s="173">
        <f t="shared" si="23"/>
        <v>0.48972485761819118</v>
      </c>
      <c r="AG21" s="801">
        <f t="shared" si="24"/>
        <v>1</v>
      </c>
      <c r="AH21" s="172">
        <f t="shared" si="17"/>
        <v>7</v>
      </c>
      <c r="AI21" s="221">
        <f t="shared" si="18"/>
        <v>1.4897248576181912</v>
      </c>
      <c r="AJ21" s="261" t="b">
        <f t="shared" si="19"/>
        <v>0</v>
      </c>
      <c r="AK21" s="261" t="b">
        <f t="shared" si="20"/>
        <v>0</v>
      </c>
      <c r="AL21" s="261"/>
      <c r="AM21" s="261"/>
      <c r="AN21" s="75"/>
    </row>
    <row r="22" spans="1:40" s="6" customFormat="1" ht="11.25" x14ac:dyDescent="0.2">
      <c r="A22" s="56">
        <f t="shared" si="21"/>
        <v>45665</v>
      </c>
      <c r="B22" s="406">
        <f>'2024'!Wh/'2024'!Env_an*'2025'!Env_an</f>
        <v>25.466663072520046</v>
      </c>
      <c r="C22" s="385"/>
      <c r="D22" s="388">
        <f t="shared" si="0"/>
        <v>25.902995813908873</v>
      </c>
      <c r="E22" s="380">
        <f t="shared" si="1"/>
        <v>26.625893550288005</v>
      </c>
      <c r="F22" s="380">
        <f t="shared" si="2"/>
        <v>26.625893550288005</v>
      </c>
      <c r="G22" s="110">
        <f t="shared" si="22"/>
        <v>0.25398147119211417</v>
      </c>
      <c r="H22" s="409" t="b">
        <f>Wh_hp&gt;='2024'!Maxi_hp</f>
        <v>0</v>
      </c>
      <c r="I22" s="375">
        <f>IF(H22,Wh_hp,'2024'!Maxi_hp)</f>
        <v>26.676117567913273</v>
      </c>
      <c r="J22" s="85">
        <f>IF(H22,An,'2024'!An_max)</f>
        <v>2022</v>
      </c>
      <c r="K22" s="193">
        <f t="shared" si="3"/>
        <v>45665</v>
      </c>
      <c r="L22" s="143">
        <f>IF(t&lt;Tvie,1-EXP((T0-t)*PertePVj)+'2024'!Pspv,1-EXP((T0-t)*PertePVj)+Pspv)</f>
        <v>1.6844875570513507E-2</v>
      </c>
      <c r="M22" s="835"/>
      <c r="N22" s="835"/>
      <c r="O22" s="48">
        <f>IF(t&lt;Tnet,'2024'!Resal+('2024'!Salim-'2024'!Resal)*(1-EXP(('2024'!Tnet-t)/('2024'!Tau_j))),Resal+(Salim-Resal)*(1-EXP((Tnet-t)/(Tau_j))))*Salcycl</f>
        <v>2.7150177514748981E-2</v>
      </c>
      <c r="P22" s="165">
        <f>(INDEX(Models!$BJ22:$BT22,,T22)*(1-R22)+INDEX(Models!$BJ22:$BT22,,T22+1)*R22-ERP_i)*Q22*Ramure*Pc/MaxiM</f>
        <v>1.8829990842611989E-3</v>
      </c>
      <c r="Q22" s="301">
        <f t="shared" si="4"/>
        <v>0.5</v>
      </c>
      <c r="R22" s="173">
        <f t="shared" si="5"/>
        <v>0.48976221197418845</v>
      </c>
      <c r="S22" s="801">
        <f t="shared" si="6"/>
        <v>1</v>
      </c>
      <c r="T22" s="172">
        <f t="shared" si="7"/>
        <v>7</v>
      </c>
      <c r="U22" s="247">
        <f t="shared" si="8"/>
        <v>1.4897622119741885</v>
      </c>
      <c r="V22" s="378">
        <f t="shared" si="9"/>
        <v>100.08095964625832</v>
      </c>
      <c r="W22" s="397">
        <f t="shared" si="10"/>
        <v>25.466663072520046</v>
      </c>
      <c r="X22" s="153">
        <f t="shared" si="11"/>
        <v>45665</v>
      </c>
      <c r="Y22" s="380">
        <f t="shared" si="12"/>
        <v>24.723102949498447</v>
      </c>
      <c r="Z22" s="380">
        <f t="shared" si="13"/>
        <v>25.146695913165257</v>
      </c>
      <c r="AA22" s="381">
        <f t="shared" si="14"/>
        <v>26.625893550288005</v>
      </c>
      <c r="AB22" s="193">
        <f t="shared" si="15"/>
        <v>45665</v>
      </c>
      <c r="AC22" s="119">
        <f>IF(OR(t&lt;Tnet,NoTnet),'2024'!Resal_s+('2024'!Salim-'2024'!Resal_s)*(1-EXP(('2024'!Tnet_s-t)/'2024'!Tau_j)),Resal_s+(Salim-Resal_s)*(1-EXP((Tnet_s-t)/Tau_j)))*Salcycl</f>
        <v>5.5554854312363469E-2</v>
      </c>
      <c r="AD22" s="227">
        <f>(INDEX(Models!$BJ22:$BT22,,AH22)*(1-AF22)+INDEX(Models!$BJ22:$BT22,,AH22+1)*AF22-ERP_i)*AE22*Ramure*Pc/MaxiM</f>
        <v>1.8829990842611989E-3</v>
      </c>
      <c r="AE22" s="301">
        <f t="shared" si="16"/>
        <v>0.5</v>
      </c>
      <c r="AF22" s="173">
        <f t="shared" si="23"/>
        <v>0.48976221197418845</v>
      </c>
      <c r="AG22" s="801">
        <f t="shared" si="24"/>
        <v>1</v>
      </c>
      <c r="AH22" s="172">
        <f t="shared" si="17"/>
        <v>7</v>
      </c>
      <c r="AI22" s="221">
        <f t="shared" si="18"/>
        <v>1.4897622119741885</v>
      </c>
      <c r="AJ22" s="261" t="b">
        <f t="shared" si="19"/>
        <v>0</v>
      </c>
      <c r="AK22" s="261" t="b">
        <f t="shared" si="20"/>
        <v>0</v>
      </c>
      <c r="AL22" s="261"/>
      <c r="AM22" s="261"/>
      <c r="AN22" s="75"/>
    </row>
    <row r="23" spans="1:40" s="6" customFormat="1" ht="11.25" x14ac:dyDescent="0.2">
      <c r="A23" s="56">
        <f t="shared" si="21"/>
        <v>45666</v>
      </c>
      <c r="B23" s="406">
        <f>'2024'!Wh/'2024'!Env_an*'2025'!Env_an</f>
        <v>7.9509749189532082</v>
      </c>
      <c r="C23" s="385"/>
      <c r="D23" s="388">
        <f t="shared" si="0"/>
        <v>8.0873135531148499</v>
      </c>
      <c r="E23" s="380">
        <f t="shared" si="1"/>
        <v>8.3135017124339221</v>
      </c>
      <c r="F23" s="380">
        <f t="shared" si="2"/>
        <v>8.3135017124339221</v>
      </c>
      <c r="G23" s="110">
        <f t="shared" si="22"/>
        <v>7.8670243642920801E-2</v>
      </c>
      <c r="H23" s="409" t="b">
        <f>Wh_hp&gt;='2024'!Maxi_hp</f>
        <v>0</v>
      </c>
      <c r="I23" s="375">
        <f>IF(H23,Wh_hp,'2024'!Maxi_hp)</f>
        <v>8.3293938096908722</v>
      </c>
      <c r="J23" s="85">
        <f>IF(H23,An,'2024'!An_max)</f>
        <v>2022</v>
      </c>
      <c r="K23" s="193">
        <f t="shared" si="3"/>
        <v>45666</v>
      </c>
      <c r="L23" s="143">
        <f>IF(t&lt;Tvie,1-EXP((T0-t)*PertePVj)+'2024'!Pspv,1-EXP((T0-t)*PertePVj)+Pspv)</f>
        <v>1.6858334138550868E-2</v>
      </c>
      <c r="M23" s="835"/>
      <c r="N23" s="835"/>
      <c r="O23" s="48">
        <f>IF(t&lt;Tnet,'2024'!Resal+('2024'!Salim-'2024'!Resal)*(1-EXP(('2024'!Tnet-t)/('2024'!Tau_j))),Resal+(Salim-Resal)*(1-EXP((Tnet-t)/(Tau_j))))*Salcycl</f>
        <v>2.7207326965576834E-2</v>
      </c>
      <c r="P23" s="165">
        <f>(INDEX(Models!$BJ23:$BT23,,T23)*(1-R23)+INDEX(Models!$BJ23:$BT23,,T23+1)*R23-ERP_i)*Q23*Ramure*Pc/MaxiM</f>
        <v>1.9082648921183861E-3</v>
      </c>
      <c r="Q23" s="301">
        <f t="shared" si="4"/>
        <v>0.5</v>
      </c>
      <c r="R23" s="173">
        <f t="shared" si="5"/>
        <v>0.48980112748322346</v>
      </c>
      <c r="S23" s="801">
        <f t="shared" si="6"/>
        <v>1</v>
      </c>
      <c r="T23" s="172">
        <f t="shared" si="7"/>
        <v>7</v>
      </c>
      <c r="U23" s="247">
        <f t="shared" si="8"/>
        <v>1.4898011274832235</v>
      </c>
      <c r="V23" s="378">
        <f t="shared" si="9"/>
        <v>100.87425670978413</v>
      </c>
      <c r="W23" s="397">
        <f t="shared" si="10"/>
        <v>7.9509749189532082</v>
      </c>
      <c r="X23" s="153">
        <f t="shared" si="11"/>
        <v>45666</v>
      </c>
      <c r="Y23" s="380">
        <f t="shared" si="12"/>
        <v>7.7190743653272387</v>
      </c>
      <c r="Z23" s="380">
        <f t="shared" si="13"/>
        <v>7.8514365054029378</v>
      </c>
      <c r="AA23" s="381">
        <f t="shared" si="14"/>
        <v>8.3135017124339221</v>
      </c>
      <c r="AB23" s="193">
        <f t="shared" si="15"/>
        <v>45666</v>
      </c>
      <c r="AC23" s="119">
        <f>IF(OR(t&lt;Tnet,NoTnet),'2024'!Resal_s+('2024'!Salim-'2024'!Resal_s)*(1-EXP(('2024'!Tnet_s-t)/'2024'!Tau_j)),Resal_s+(Salim-Resal_s)*(1-EXP((Tnet_s-t)/Tau_j)))*Salcycl</f>
        <v>5.5580094046279643E-2</v>
      </c>
      <c r="AD23" s="227">
        <f>(INDEX(Models!$BJ23:$BT23,,AH23)*(1-AF23)+INDEX(Models!$BJ23:$BT23,,AH23+1)*AF23-ERP_i)*AE23*Ramure*Pc/MaxiM</f>
        <v>1.9082648921183861E-3</v>
      </c>
      <c r="AE23" s="301">
        <f t="shared" si="16"/>
        <v>0.5</v>
      </c>
      <c r="AF23" s="173">
        <f t="shared" si="23"/>
        <v>0.48980112748322346</v>
      </c>
      <c r="AG23" s="801">
        <f t="shared" si="24"/>
        <v>1</v>
      </c>
      <c r="AH23" s="172">
        <f t="shared" si="17"/>
        <v>7</v>
      </c>
      <c r="AI23" s="221">
        <f t="shared" si="18"/>
        <v>1.4898011274832235</v>
      </c>
      <c r="AJ23" s="261" t="b">
        <f t="shared" si="19"/>
        <v>0</v>
      </c>
      <c r="AK23" s="261" t="b">
        <f t="shared" si="20"/>
        <v>0</v>
      </c>
      <c r="AL23" s="261"/>
      <c r="AM23" s="261"/>
      <c r="AN23" s="75"/>
    </row>
    <row r="24" spans="1:40" s="6" customFormat="1" ht="11.25" x14ac:dyDescent="0.2">
      <c r="A24" s="56">
        <f t="shared" si="21"/>
        <v>45667</v>
      </c>
      <c r="B24" s="406">
        <f>'2024'!Wh/'2024'!Env_an*'2025'!Env_an</f>
        <v>7.3092744741671645</v>
      </c>
      <c r="C24" s="385"/>
      <c r="D24" s="388">
        <f t="shared" si="0"/>
        <v>7.4347113820689996</v>
      </c>
      <c r="E24" s="380">
        <f t="shared" si="1"/>
        <v>7.6430961377598257</v>
      </c>
      <c r="F24" s="380">
        <f t="shared" si="2"/>
        <v>7.6430961377598257</v>
      </c>
      <c r="G24" s="110">
        <f t="shared" si="22"/>
        <v>7.1725589838547502E-2</v>
      </c>
      <c r="H24" s="409" t="b">
        <f>Wh_hp&gt;='2024'!Maxi_hp</f>
        <v>0</v>
      </c>
      <c r="I24" s="375">
        <f>IF(H24,Wh_hp,'2024'!Maxi_hp)</f>
        <v>7.65787086076881</v>
      </c>
      <c r="J24" s="85">
        <f>IF(H24,An,'2024'!An_max)</f>
        <v>2022</v>
      </c>
      <c r="K24" s="193">
        <f t="shared" si="3"/>
        <v>45667</v>
      </c>
      <c r="L24" s="143">
        <f>IF(t&lt;Tvie,1-EXP((T0-t)*PertePVj)+'2024'!Pspv,1-EXP((T0-t)*PertePVj)+Pspv)</f>
        <v>1.6871792522351714E-2</v>
      </c>
      <c r="M24" s="835"/>
      <c r="N24" s="835"/>
      <c r="O24" s="48">
        <f>IF(t&lt;Tnet,'2024'!Resal+('2024'!Salim-'2024'!Resal)*(1-EXP(('2024'!Tnet-t)/('2024'!Tau_j))),Resal+(Salim-Resal)*(1-EXP((Tnet-t)/(Tau_j))))*Salcycl</f>
        <v>2.7264442568153184E-2</v>
      </c>
      <c r="P24" s="165">
        <f>(INDEX(Models!$BJ24:$BT24,,T24)*(1-R24)+INDEX(Models!$BJ24:$BT24,,T24+1)*R24-ERP_i)*Q24*Ramure*Pc/MaxiM</f>
        <v>1.9297092301796518E-3</v>
      </c>
      <c r="Q24" s="301">
        <f t="shared" si="4"/>
        <v>0.5</v>
      </c>
      <c r="R24" s="173">
        <f t="shared" si="5"/>
        <v>0.48984166913169314</v>
      </c>
      <c r="S24" s="801">
        <f t="shared" si="6"/>
        <v>1</v>
      </c>
      <c r="T24" s="172">
        <f t="shared" si="7"/>
        <v>7</v>
      </c>
      <c r="U24" s="247">
        <f t="shared" si="8"/>
        <v>1.4898416691316931</v>
      </c>
      <c r="V24" s="378">
        <f t="shared" si="9"/>
        <v>101.70944172323561</v>
      </c>
      <c r="W24" s="397">
        <f t="shared" si="10"/>
        <v>7.3092744741671645</v>
      </c>
      <c r="X24" s="153">
        <f t="shared" si="11"/>
        <v>45667</v>
      </c>
      <c r="Y24" s="380">
        <f t="shared" si="12"/>
        <v>7.096316681992282</v>
      </c>
      <c r="Z24" s="380">
        <f t="shared" si="13"/>
        <v>7.2180989498804697</v>
      </c>
      <c r="AA24" s="381">
        <f t="shared" si="14"/>
        <v>7.6430961377598257</v>
      </c>
      <c r="AB24" s="193">
        <f t="shared" si="15"/>
        <v>45667</v>
      </c>
      <c r="AC24" s="119">
        <f>IF(OR(t&lt;Tnet,NoTnet),'2024'!Resal_s+('2024'!Salim-'2024'!Resal_s)*(1-EXP(('2024'!Tnet_s-t)/'2024'!Tau_j)),Resal_s+(Salim-Resal_s)*(1-EXP((Tnet_s-t)/Tau_j)))*Salcycl</f>
        <v>5.5605369894499511E-2</v>
      </c>
      <c r="AD24" s="227">
        <f>(INDEX(Models!$BJ24:$BT24,,AH24)*(1-AF24)+INDEX(Models!$BJ24:$BT24,,AH24+1)*AF24-ERP_i)*AE24*Ramure*Pc/MaxiM</f>
        <v>1.9297092301796518E-3</v>
      </c>
      <c r="AE24" s="301">
        <f t="shared" si="16"/>
        <v>0.5</v>
      </c>
      <c r="AF24" s="173">
        <f t="shared" si="23"/>
        <v>0.48984166913169314</v>
      </c>
      <c r="AG24" s="801">
        <f t="shared" si="24"/>
        <v>1</v>
      </c>
      <c r="AH24" s="172">
        <f t="shared" si="17"/>
        <v>7</v>
      </c>
      <c r="AI24" s="221">
        <f t="shared" si="18"/>
        <v>1.4898416691316931</v>
      </c>
      <c r="AJ24" s="261" t="b">
        <f t="shared" si="19"/>
        <v>0</v>
      </c>
      <c r="AK24" s="261" t="b">
        <f t="shared" si="20"/>
        <v>0</v>
      </c>
      <c r="AL24" s="261"/>
      <c r="AM24" s="261"/>
      <c r="AN24" s="75"/>
    </row>
    <row r="25" spans="1:40" s="6" customFormat="1" ht="11.25" x14ac:dyDescent="0.2">
      <c r="A25" s="56">
        <f t="shared" si="21"/>
        <v>45668</v>
      </c>
      <c r="B25" s="406">
        <f>'2024'!Wh/'2024'!Env_an*'2025'!Env_an</f>
        <v>97.995059065220872</v>
      </c>
      <c r="C25" s="385"/>
      <c r="D25" s="388">
        <f t="shared" si="0"/>
        <v>99.678149612932145</v>
      </c>
      <c r="E25" s="380">
        <f t="shared" si="1"/>
        <v>102.47800480197945</v>
      </c>
      <c r="F25" s="380">
        <f t="shared" si="2"/>
        <v>102.66496439013386</v>
      </c>
      <c r="G25" s="110">
        <f t="shared" si="22"/>
        <v>0.95514458934249602</v>
      </c>
      <c r="H25" s="409" t="b">
        <f>Wh_hp&gt;='2024'!Maxi_hp</f>
        <v>0</v>
      </c>
      <c r="I25" s="375">
        <f>IF(H25,Wh_hp,'2024'!Maxi_hp)</f>
        <v>102.67775078920764</v>
      </c>
      <c r="J25" s="85">
        <f>IF(H25,An,'2024'!An_max)</f>
        <v>2022</v>
      </c>
      <c r="K25" s="193">
        <f t="shared" si="3"/>
        <v>45668</v>
      </c>
      <c r="L25" s="143">
        <f>IF(t&lt;Tvie,1-EXP((T0-t)*PertePVj)+'2024'!Pspv,1-EXP((T0-t)*PertePVj)+Pspv)</f>
        <v>1.6885250721918599E-2</v>
      </c>
      <c r="M25" s="835"/>
      <c r="N25" s="835"/>
      <c r="O25" s="48">
        <f>IF(t&lt;Tnet,'2024'!Resal+('2024'!Salim-'2024'!Resal)*(1-EXP(('2024'!Tnet-t)/('2024'!Tau_j))),Resal+(Salim-Resal)*(1-EXP((Tnet-t)/(Tau_j))))*Salcycl</f>
        <v>2.7321523232790568E-2</v>
      </c>
      <c r="P25" s="165">
        <f>(INDEX(Models!$BJ25:$BT25,,T25)*(1-R25)+INDEX(Models!$BJ25:$BT25,,T25+1)*R25-ERP_i)*Q25*Ramure*Pc/MaxiM</f>
        <v>1.9453936617417553E-3</v>
      </c>
      <c r="Q25" s="301">
        <f t="shared" si="4"/>
        <v>0.5</v>
      </c>
      <c r="R25" s="173">
        <f t="shared" si="5"/>
        <v>0.48988390458905906</v>
      </c>
      <c r="S25" s="801">
        <f t="shared" si="6"/>
        <v>1</v>
      </c>
      <c r="T25" s="172">
        <f t="shared" si="7"/>
        <v>7</v>
      </c>
      <c r="U25" s="247">
        <f t="shared" si="8"/>
        <v>1.4898839045890591</v>
      </c>
      <c r="V25" s="378">
        <f t="shared" si="9"/>
        <v>102.58431482573039</v>
      </c>
      <c r="W25" s="397">
        <f t="shared" si="10"/>
        <v>97.995059065220872</v>
      </c>
      <c r="X25" s="153">
        <f t="shared" si="11"/>
        <v>45668</v>
      </c>
      <c r="Y25" s="380">
        <f t="shared" si="12"/>
        <v>95.142978468630446</v>
      </c>
      <c r="Z25" s="380">
        <f t="shared" si="13"/>
        <v>96.777083792604699</v>
      </c>
      <c r="AA25" s="381">
        <f t="shared" si="14"/>
        <v>102.47800480197945</v>
      </c>
      <c r="AB25" s="193">
        <f t="shared" si="15"/>
        <v>45668</v>
      </c>
      <c r="AC25" s="119">
        <f>IF(OR(t&lt;Tnet,NoTnet),'2024'!Resal_s+('2024'!Salim-'2024'!Resal_s)*(1-EXP(('2024'!Tnet_s-t)/'2024'!Tau_j)),Resal_s+(Salim-Resal_s)*(1-EXP((Tnet_s-t)/Tau_j)))*Salcycl</f>
        <v>5.5630679191996067E-2</v>
      </c>
      <c r="AD25" s="227">
        <f>(INDEX(Models!$BJ25:$BT25,,AH25)*(1-AF25)+INDEX(Models!$BJ25:$BT25,,AH25+1)*AF25-ERP_i)*AE25*Ramure*Pc/MaxiM</f>
        <v>1.9453936617417553E-3</v>
      </c>
      <c r="AE25" s="301">
        <f t="shared" si="16"/>
        <v>0.5</v>
      </c>
      <c r="AF25" s="173">
        <f t="shared" si="23"/>
        <v>0.48988390458905906</v>
      </c>
      <c r="AG25" s="801">
        <f t="shared" si="24"/>
        <v>1</v>
      </c>
      <c r="AH25" s="172">
        <f t="shared" si="17"/>
        <v>7</v>
      </c>
      <c r="AI25" s="221">
        <f t="shared" si="18"/>
        <v>1.4898839045890591</v>
      </c>
      <c r="AJ25" s="261" t="b">
        <f t="shared" si="19"/>
        <v>0</v>
      </c>
      <c r="AK25" s="261" t="b">
        <f t="shared" si="20"/>
        <v>0</v>
      </c>
      <c r="AL25" s="261"/>
      <c r="AM25" s="261"/>
      <c r="AN25" s="75"/>
    </row>
    <row r="26" spans="1:40" s="6" customFormat="1" ht="11.25" x14ac:dyDescent="0.2">
      <c r="A26" s="56">
        <f t="shared" si="21"/>
        <v>45669</v>
      </c>
      <c r="B26" s="406">
        <f>'2024'!Wh/'2024'!Env_an*'2025'!Env_an</f>
        <v>84.017858544516926</v>
      </c>
      <c r="C26" s="385"/>
      <c r="D26" s="388">
        <f t="shared" si="0"/>
        <v>85.462056953053192</v>
      </c>
      <c r="E26" s="380">
        <f t="shared" si="1"/>
        <v>87.867750160072092</v>
      </c>
      <c r="F26" s="380">
        <f t="shared" si="2"/>
        <v>87.993556818183379</v>
      </c>
      <c r="G26" s="110">
        <f t="shared" si="22"/>
        <v>0.81136704324489828</v>
      </c>
      <c r="H26" s="409" t="b">
        <f>Wh_hp&gt;='2024'!Maxi_hp</f>
        <v>0</v>
      </c>
      <c r="I26" s="375">
        <f>IF(H26,Wh_hp,'2024'!Maxi_hp)</f>
        <v>88.039900443053</v>
      </c>
      <c r="J26" s="85">
        <f>IF(H26,An,'2024'!An_max)</f>
        <v>2022</v>
      </c>
      <c r="K26" s="193">
        <f t="shared" si="3"/>
        <v>45669</v>
      </c>
      <c r="L26" s="143">
        <f>IF(t&lt;Tvie,1-EXP((T0-t)*PertePVj)+'2024'!Pspv,1-EXP((T0-t)*PertePVj)+Pspv)</f>
        <v>1.6898708737254076E-2</v>
      </c>
      <c r="M26" s="835"/>
      <c r="N26" s="835"/>
      <c r="O26" s="48">
        <f>IF(t&lt;Tnet,'2024'!Resal+('2024'!Salim-'2024'!Resal)*(1-EXP(('2024'!Tnet-t)/('2024'!Tau_j))),Resal+(Salim-Resal)*(1-EXP((Tnet-t)/(Tau_j))))*Salcycl</f>
        <v>2.7378568389839902E-2</v>
      </c>
      <c r="P26" s="165">
        <f>(INDEX(Models!$BJ26:$BT26,,T26)*(1-R26)+INDEX(Models!$BJ26:$BT26,,T26+1)*R26-ERP_i)*Q26*Ramure*Pc/MaxiM</f>
        <v>1.9554882384739654E-3</v>
      </c>
      <c r="Q26" s="301">
        <f t="shared" si="4"/>
        <v>0.5</v>
      </c>
      <c r="R26" s="173">
        <f t="shared" si="5"/>
        <v>0.48992790431673017</v>
      </c>
      <c r="S26" s="801">
        <f t="shared" si="6"/>
        <v>1</v>
      </c>
      <c r="T26" s="172">
        <f t="shared" si="7"/>
        <v>7</v>
      </c>
      <c r="U26" s="247">
        <f t="shared" si="8"/>
        <v>1.4899279043167302</v>
      </c>
      <c r="V26" s="378">
        <f t="shared" si="9"/>
        <v>103.49646631921648</v>
      </c>
      <c r="W26" s="397">
        <f t="shared" si="10"/>
        <v>84.017858544516926</v>
      </c>
      <c r="X26" s="153">
        <f t="shared" si="11"/>
        <v>45669</v>
      </c>
      <c r="Y26" s="380">
        <f t="shared" si="12"/>
        <v>81.575170277971225</v>
      </c>
      <c r="Z26" s="380">
        <f t="shared" si="13"/>
        <v>82.977380869057626</v>
      </c>
      <c r="AA26" s="381">
        <f t="shared" si="14"/>
        <v>87.867750160072092</v>
      </c>
      <c r="AB26" s="193">
        <f t="shared" si="15"/>
        <v>45669</v>
      </c>
      <c r="AC26" s="119">
        <f>IF(OR(t&lt;Tnet,NoTnet),'2024'!Resal_s+('2024'!Salim-'2024'!Resal_s)*(1-EXP(('2024'!Tnet_s-t)/'2024'!Tau_j)),Resal_s+(Salim-Resal_s)*(1-EXP((Tnet_s-t)/Tau_j)))*Salcycl</f>
        <v>5.5656020349963281E-2</v>
      </c>
      <c r="AD26" s="227">
        <f>(INDEX(Models!$BJ26:$BT26,,AH26)*(1-AF26)+INDEX(Models!$BJ26:$BT26,,AH26+1)*AF26-ERP_i)*AE26*Ramure*Pc/MaxiM</f>
        <v>1.9554882384739654E-3</v>
      </c>
      <c r="AE26" s="301">
        <f t="shared" si="16"/>
        <v>0.5</v>
      </c>
      <c r="AF26" s="173">
        <f t="shared" si="23"/>
        <v>0.48992790431673017</v>
      </c>
      <c r="AG26" s="801">
        <f t="shared" si="24"/>
        <v>1</v>
      </c>
      <c r="AH26" s="172">
        <f t="shared" si="17"/>
        <v>7</v>
      </c>
      <c r="AI26" s="221">
        <f t="shared" si="18"/>
        <v>1.4899279043167302</v>
      </c>
      <c r="AJ26" s="261" t="b">
        <f t="shared" si="19"/>
        <v>0</v>
      </c>
      <c r="AK26" s="261" t="b">
        <f t="shared" si="20"/>
        <v>0</v>
      </c>
      <c r="AL26" s="261"/>
      <c r="AM26" s="261"/>
      <c r="AN26" s="75"/>
    </row>
    <row r="27" spans="1:40" s="6" customFormat="1" ht="11.25" x14ac:dyDescent="0.2">
      <c r="A27" s="56">
        <f t="shared" si="21"/>
        <v>45670</v>
      </c>
      <c r="B27" s="406">
        <f>'2024'!Wh/'2024'!Env_an*'2025'!Env_an</f>
        <v>26.959489032673869</v>
      </c>
      <c r="C27" s="385"/>
      <c r="D27" s="388">
        <f t="shared" si="0"/>
        <v>27.423276044996989</v>
      </c>
      <c r="E27" s="380">
        <f t="shared" si="1"/>
        <v>28.196873567373316</v>
      </c>
      <c r="F27" s="380">
        <f t="shared" si="2"/>
        <v>28.196873567373316</v>
      </c>
      <c r="G27" s="110">
        <f t="shared" si="22"/>
        <v>0.25761916396501305</v>
      </c>
      <c r="H27" s="409" t="b">
        <f>Wh_hp&gt;='2024'!Maxi_hp</f>
        <v>0</v>
      </c>
      <c r="I27" s="375">
        <f>IF(H27,Wh_hp,'2024'!Maxi_hp)</f>
        <v>28.252238664990184</v>
      </c>
      <c r="J27" s="85">
        <f>IF(H27,An,'2024'!An_max)</f>
        <v>2022</v>
      </c>
      <c r="K27" s="193">
        <f t="shared" si="3"/>
        <v>45670</v>
      </c>
      <c r="L27" s="143">
        <f>IF(t&lt;Tvie,1-EXP((T0-t)*PertePVj)+'2024'!Pspv,1-EXP((T0-t)*PertePVj)+Pspv)</f>
        <v>1.6912166568360587E-2</v>
      </c>
      <c r="M27" s="835"/>
      <c r="N27" s="835"/>
      <c r="O27" s="48">
        <f>IF(t&lt;Tnet,'2024'!Resal+('2024'!Salim-'2024'!Resal)*(1-EXP(('2024'!Tnet-t)/('2024'!Tau_j))),Resal+(Salim-Resal)*(1-EXP((Tnet-t)/(Tau_j))))*Salcycl</f>
        <v>2.7435577938380341E-2</v>
      </c>
      <c r="P27" s="165">
        <f>(INDEX(Models!$BJ27:$BT27,,T27)*(1-R27)+INDEX(Models!$BJ27:$BT27,,T27+1)*R27-ERP_i)*Q27*Ramure*Pc/MaxiM</f>
        <v>1.9601702946968418E-3</v>
      </c>
      <c r="Q27" s="301">
        <f t="shared" si="4"/>
        <v>0.5</v>
      </c>
      <c r="R27" s="173">
        <f t="shared" si="5"/>
        <v>0.48997374168119934</v>
      </c>
      <c r="S27" s="801">
        <f t="shared" si="6"/>
        <v>1</v>
      </c>
      <c r="T27" s="172">
        <f t="shared" si="7"/>
        <v>7</v>
      </c>
      <c r="U27" s="247">
        <f t="shared" si="8"/>
        <v>1.4899737416811993</v>
      </c>
      <c r="V27" s="378">
        <f t="shared" si="9"/>
        <v>104.44348715752363</v>
      </c>
      <c r="W27" s="397">
        <f t="shared" si="10"/>
        <v>26.959489032673869</v>
      </c>
      <c r="X27" s="153">
        <f t="shared" si="11"/>
        <v>45670</v>
      </c>
      <c r="Y27" s="380">
        <f t="shared" si="12"/>
        <v>26.176514951814681</v>
      </c>
      <c r="Z27" s="380">
        <f t="shared" si="13"/>
        <v>26.626832376147913</v>
      </c>
      <c r="AA27" s="381">
        <f t="shared" si="14"/>
        <v>28.196873567373316</v>
      </c>
      <c r="AB27" s="193">
        <f t="shared" si="15"/>
        <v>45670</v>
      </c>
      <c r="AC27" s="119">
        <f>IF(OR(t&lt;Tnet,NoTnet),'2024'!Resal_s+('2024'!Salim-'2024'!Resal_s)*(1-EXP(('2024'!Tnet_s-t)/'2024'!Tau_j)),Resal_s+(Salim-Resal_s)*(1-EXP((Tnet_s-t)/Tau_j)))*Salcycl</f>
        <v>5.5681392742850069E-2</v>
      </c>
      <c r="AD27" s="227">
        <f>(INDEX(Models!$BJ27:$BT27,,AH27)*(1-AF27)+INDEX(Models!$BJ27:$BT27,,AH27+1)*AF27-ERP_i)*AE27*Ramure*Pc/MaxiM</f>
        <v>1.9601702946968418E-3</v>
      </c>
      <c r="AE27" s="301">
        <f t="shared" si="16"/>
        <v>0.5</v>
      </c>
      <c r="AF27" s="173">
        <f t="shared" si="23"/>
        <v>0.48997374168119934</v>
      </c>
      <c r="AG27" s="801">
        <f t="shared" si="24"/>
        <v>1</v>
      </c>
      <c r="AH27" s="172">
        <f t="shared" si="17"/>
        <v>7</v>
      </c>
      <c r="AI27" s="221">
        <f t="shared" si="18"/>
        <v>1.4899737416811993</v>
      </c>
      <c r="AJ27" s="261" t="b">
        <f t="shared" si="19"/>
        <v>0</v>
      </c>
      <c r="AK27" s="261" t="b">
        <f t="shared" si="20"/>
        <v>0</v>
      </c>
      <c r="AL27" s="261"/>
      <c r="AM27" s="261"/>
      <c r="AN27" s="75"/>
    </row>
    <row r="28" spans="1:40" s="6" customFormat="1" ht="11.25" x14ac:dyDescent="0.2">
      <c r="A28" s="56">
        <f t="shared" si="21"/>
        <v>45671</v>
      </c>
      <c r="B28" s="406">
        <f>'2024'!Wh/'2024'!Env_an*'2025'!Env_an</f>
        <v>107.51833575495168</v>
      </c>
      <c r="C28" s="385"/>
      <c r="D28" s="388">
        <f t="shared" si="0"/>
        <v>109.36948251664373</v>
      </c>
      <c r="E28" s="380">
        <f t="shared" si="1"/>
        <v>112.46133154373702</v>
      </c>
      <c r="F28" s="380">
        <f t="shared" si="2"/>
        <v>112.68214599647807</v>
      </c>
      <c r="G28" s="110">
        <f t="shared" si="22"/>
        <v>1.0198758094816887</v>
      </c>
      <c r="H28" s="409" t="b">
        <f>Wh_hp&gt;='2024'!Maxi_hp</f>
        <v>1</v>
      </c>
      <c r="I28" s="375">
        <f>IF(H28,Wh_hp,'2024'!Maxi_hp)</f>
        <v>112.68214599647807</v>
      </c>
      <c r="J28" s="85">
        <f>IF(H28,An,'2024'!An_max)</f>
        <v>2025</v>
      </c>
      <c r="K28" s="193">
        <f t="shared" si="3"/>
        <v>45671</v>
      </c>
      <c r="L28" s="143">
        <f>IF(t&lt;Tvie,1-EXP((T0-t)*PertePVj)+'2024'!Pspv,1-EXP((T0-t)*PertePVj)+Pspv)</f>
        <v>1.6925624215240687E-2</v>
      </c>
      <c r="M28" s="835"/>
      <c r="N28" s="835"/>
      <c r="O28" s="48">
        <f>IF(t&lt;Tnet,'2024'!Resal+('2024'!Salim-'2024'!Resal)*(1-EXP(('2024'!Tnet-t)/('2024'!Tau_j))),Resal+(Salim-Resal)*(1-EXP((Tnet-t)/(Tau_j))))*Salcycl</f>
        <v>2.7492552192402601E-2</v>
      </c>
      <c r="P28" s="165">
        <f>(INDEX(Models!$BJ28:$BT28,,T28)*(1-R28)+INDEX(Models!$BJ28:$BT28,,T28+1)*R28-ERP_i)*Q28*Ramure*Pc/MaxiM</f>
        <v>1.9596223588780872E-3</v>
      </c>
      <c r="Q28" s="301">
        <f t="shared" si="4"/>
        <v>0.5</v>
      </c>
      <c r="R28" s="173">
        <f t="shared" si="5"/>
        <v>0.49002149307158893</v>
      </c>
      <c r="S28" s="801">
        <f t="shared" si="6"/>
        <v>1</v>
      </c>
      <c r="T28" s="172">
        <f t="shared" si="7"/>
        <v>7</v>
      </c>
      <c r="U28" s="247">
        <f t="shared" si="8"/>
        <v>1.4900214930715889</v>
      </c>
      <c r="V28" s="378">
        <f t="shared" si="9"/>
        <v>105.42296890990443</v>
      </c>
      <c r="W28" s="397">
        <f t="shared" si="10"/>
        <v>107.51833575495168</v>
      </c>
      <c r="X28" s="153">
        <f t="shared" si="11"/>
        <v>45671</v>
      </c>
      <c r="Y28" s="380">
        <f t="shared" si="12"/>
        <v>104.39902946150427</v>
      </c>
      <c r="Z28" s="380">
        <f t="shared" si="13"/>
        <v>106.19647102302469</v>
      </c>
      <c r="AA28" s="381">
        <f t="shared" si="14"/>
        <v>112.46133154373702</v>
      </c>
      <c r="AB28" s="193">
        <f t="shared" si="15"/>
        <v>45671</v>
      </c>
      <c r="AC28" s="119">
        <f>IF(OR(t&lt;Tnet,NoTnet),'2024'!Resal_s+('2024'!Salim-'2024'!Resal_s)*(1-EXP(('2024'!Tnet_s-t)/'2024'!Tau_j)),Resal_s+(Salim-Resal_s)*(1-EXP((Tnet_s-t)/Tau_j)))*Salcycl</f>
        <v>5.5706796591465588E-2</v>
      </c>
      <c r="AD28" s="227">
        <f>(INDEX(Models!$BJ28:$BT28,,AH28)*(1-AF28)+INDEX(Models!$BJ28:$BT28,,AH28+1)*AF28-ERP_i)*AE28*Ramure*Pc/MaxiM</f>
        <v>1.9596223588780872E-3</v>
      </c>
      <c r="AE28" s="301">
        <f t="shared" si="16"/>
        <v>0.5</v>
      </c>
      <c r="AF28" s="173">
        <f t="shared" si="23"/>
        <v>0.49002149307158893</v>
      </c>
      <c r="AG28" s="801">
        <f t="shared" si="24"/>
        <v>1</v>
      </c>
      <c r="AH28" s="172">
        <f t="shared" si="17"/>
        <v>7</v>
      </c>
      <c r="AI28" s="221">
        <f t="shared" si="18"/>
        <v>1.4900214930715889</v>
      </c>
      <c r="AJ28" s="261" t="b">
        <f t="shared" si="19"/>
        <v>0</v>
      </c>
      <c r="AK28" s="261" t="b">
        <f t="shared" si="20"/>
        <v>0</v>
      </c>
      <c r="AL28" s="261"/>
      <c r="AM28" s="261"/>
      <c r="AN28" s="75"/>
    </row>
    <row r="29" spans="1:40" s="6" customFormat="1" ht="11.25" x14ac:dyDescent="0.2">
      <c r="A29" s="56">
        <f t="shared" si="21"/>
        <v>45672</v>
      </c>
      <c r="B29" s="406">
        <f>'2024'!Wh/'2024'!Env_an*'2025'!Env_an</f>
        <v>109.16597736900462</v>
      </c>
      <c r="C29" s="385"/>
      <c r="D29" s="388">
        <f t="shared" si="0"/>
        <v>111.04701177148824</v>
      </c>
      <c r="E29" s="380">
        <f t="shared" si="1"/>
        <v>114.19297006683165</v>
      </c>
      <c r="F29" s="380">
        <f t="shared" si="2"/>
        <v>114.41654344925561</v>
      </c>
      <c r="G29" s="110">
        <f t="shared" si="22"/>
        <v>1.025682695128749</v>
      </c>
      <c r="H29" s="409" t="b">
        <f>Wh_hp&gt;='2024'!Maxi_hp</f>
        <v>1</v>
      </c>
      <c r="I29" s="375">
        <f>IF(H29,Wh_hp,'2024'!Maxi_hp)</f>
        <v>114.41654344925561</v>
      </c>
      <c r="J29" s="85">
        <f>IF(H29,An,'2024'!An_max)</f>
        <v>2025</v>
      </c>
      <c r="K29" s="193">
        <f t="shared" si="3"/>
        <v>45672</v>
      </c>
      <c r="L29" s="143">
        <f>IF(t&lt;Tvie,1-EXP((T0-t)*PertePVj)+'2024'!Pspv,1-EXP((T0-t)*PertePVj)+Pspv)</f>
        <v>1.6939081677896928E-2</v>
      </c>
      <c r="M29" s="835"/>
      <c r="N29" s="835"/>
      <c r="O29" s="48">
        <f>IF(t&lt;Tnet,'2024'!Resal+('2024'!Salim-'2024'!Resal)*(1-EXP(('2024'!Tnet-t)/('2024'!Tau_j))),Resal+(Salim-Resal)*(1-EXP((Tnet-t)/(Tau_j))))*Salcycl</f>
        <v>2.7549491825129273E-2</v>
      </c>
      <c r="P29" s="165">
        <f>(INDEX(Models!$BJ29:$BT29,,T29)*(1-R29)+INDEX(Models!$BJ29:$BT29,,T29+1)*R29-ERP_i)*Q29*Ramure*Pc/MaxiM</f>
        <v>1.9540302100029263E-3</v>
      </c>
      <c r="Q29" s="301">
        <f t="shared" si="4"/>
        <v>0.5</v>
      </c>
      <c r="R29" s="173">
        <f t="shared" si="5"/>
        <v>0.49007123802176111</v>
      </c>
      <c r="S29" s="801">
        <f t="shared" si="6"/>
        <v>1</v>
      </c>
      <c r="T29" s="172">
        <f t="shared" si="7"/>
        <v>7</v>
      </c>
      <c r="U29" s="247">
        <f t="shared" si="8"/>
        <v>1.4900712380217611</v>
      </c>
      <c r="V29" s="378">
        <f t="shared" si="9"/>
        <v>106.43250382156593</v>
      </c>
      <c r="W29" s="397">
        <f t="shared" si="10"/>
        <v>109.16597736900462</v>
      </c>
      <c r="X29" s="153">
        <f t="shared" si="11"/>
        <v>45672</v>
      </c>
      <c r="Y29" s="380">
        <f t="shared" si="12"/>
        <v>106.00222102115553</v>
      </c>
      <c r="Z29" s="380">
        <f t="shared" si="13"/>
        <v>107.82874086997685</v>
      </c>
      <c r="AA29" s="381">
        <f t="shared" si="14"/>
        <v>114.19297006683165</v>
      </c>
      <c r="AB29" s="193">
        <f t="shared" si="15"/>
        <v>45672</v>
      </c>
      <c r="AC29" s="119">
        <f>IF(OR(t&lt;Tnet,NoTnet),'2024'!Resal_s+('2024'!Salim-'2024'!Resal_s)*(1-EXP(('2024'!Tnet_s-t)/'2024'!Tau_j)),Resal_s+(Salim-Resal_s)*(1-EXP((Tnet_s-t)/Tau_j)))*Salcycl</f>
        <v>5.573223284349399E-2</v>
      </c>
      <c r="AD29" s="227">
        <f>(INDEX(Models!$BJ29:$BT29,,AH29)*(1-AF29)+INDEX(Models!$BJ29:$BT29,,AH29+1)*AF29-ERP_i)*AE29*Ramure*Pc/MaxiM</f>
        <v>1.9540302100029263E-3</v>
      </c>
      <c r="AE29" s="301">
        <f t="shared" si="16"/>
        <v>0.5</v>
      </c>
      <c r="AF29" s="173">
        <f t="shared" si="23"/>
        <v>0.49007123802176111</v>
      </c>
      <c r="AG29" s="801">
        <f t="shared" si="24"/>
        <v>1</v>
      </c>
      <c r="AH29" s="172">
        <f t="shared" si="17"/>
        <v>7</v>
      </c>
      <c r="AI29" s="221">
        <f t="shared" si="18"/>
        <v>1.4900712380217611</v>
      </c>
      <c r="AJ29" s="261" t="b">
        <f t="shared" si="19"/>
        <v>0</v>
      </c>
      <c r="AK29" s="261" t="b">
        <f t="shared" si="20"/>
        <v>0</v>
      </c>
      <c r="AL29" s="261"/>
      <c r="AM29" s="261"/>
      <c r="AN29" s="75"/>
    </row>
    <row r="30" spans="1:40" s="6" customFormat="1" ht="11.25" x14ac:dyDescent="0.2">
      <c r="A30" s="56">
        <f t="shared" si="21"/>
        <v>45673</v>
      </c>
      <c r="B30" s="406">
        <f>'2024'!Wh/'2024'!Env_an*'2025'!Env_an</f>
        <v>108.56527155221453</v>
      </c>
      <c r="C30" s="385"/>
      <c r="D30" s="388">
        <f t="shared" si="0"/>
        <v>110.43746701400811</v>
      </c>
      <c r="E30" s="380">
        <f t="shared" si="1"/>
        <v>113.57280299410095</v>
      </c>
      <c r="F30" s="380">
        <f t="shared" si="2"/>
        <v>113.79391184138981</v>
      </c>
      <c r="G30" s="110">
        <f t="shared" si="22"/>
        <v>1.0101938567944699</v>
      </c>
      <c r="H30" s="409" t="b">
        <f>Wh_hp&gt;='2024'!Maxi_hp</f>
        <v>1</v>
      </c>
      <c r="I30" s="375">
        <f>IF(H30,Wh_hp,'2024'!Maxi_hp)</f>
        <v>113.79391184138981</v>
      </c>
      <c r="J30" s="85">
        <f>IF(H30,An,'2024'!An_max)</f>
        <v>2025</v>
      </c>
      <c r="K30" s="193">
        <f t="shared" si="3"/>
        <v>45673</v>
      </c>
      <c r="L30" s="143">
        <f>IF(t&lt;Tvie,1-EXP((T0-t)*PertePVj)+'2024'!Pspv,1-EXP((T0-t)*PertePVj)+Pspv)</f>
        <v>1.6952538956331864E-2</v>
      </c>
      <c r="M30" s="835"/>
      <c r="N30" s="835"/>
      <c r="O30" s="48">
        <f>IF(t&lt;Tnet,'2024'!Resal+('2024'!Salim-'2024'!Resal)*(1-EXP(('2024'!Tnet-t)/('2024'!Tau_j))),Resal+(Salim-Resal)*(1-EXP((Tnet-t)/(Tau_j))))*Salcycl</f>
        <v>2.7606397812121514E-2</v>
      </c>
      <c r="P30" s="165">
        <f>(INDEX(Models!$BJ30:$BT30,,T30)*(1-R30)+INDEX(Models!$BJ30:$BT30,,T30+1)*R30-ERP_i)*Q30*Ramure*Pc/MaxiM</f>
        <v>1.9430639452579456E-3</v>
      </c>
      <c r="Q30" s="301">
        <f t="shared" si="4"/>
        <v>0.5</v>
      </c>
      <c r="R30" s="173">
        <f t="shared" si="5"/>
        <v>0.49012305933715439</v>
      </c>
      <c r="S30" s="801">
        <f t="shared" si="6"/>
        <v>1</v>
      </c>
      <c r="T30" s="172">
        <f t="shared" si="7"/>
        <v>7</v>
      </c>
      <c r="U30" s="247">
        <f t="shared" si="8"/>
        <v>1.4901230593371544</v>
      </c>
      <c r="V30" s="378">
        <f t="shared" si="9"/>
        <v>107.46974040874886</v>
      </c>
      <c r="W30" s="397">
        <f t="shared" si="10"/>
        <v>108.56527155221453</v>
      </c>
      <c r="X30" s="153">
        <f t="shared" si="11"/>
        <v>45673</v>
      </c>
      <c r="Y30" s="380">
        <f t="shared" si="12"/>
        <v>105.42224994952026</v>
      </c>
      <c r="Z30" s="380">
        <f t="shared" si="13"/>
        <v>107.24024436988732</v>
      </c>
      <c r="AA30" s="381">
        <f t="shared" si="14"/>
        <v>113.57280299410095</v>
      </c>
      <c r="AB30" s="193">
        <f t="shared" si="15"/>
        <v>45673</v>
      </c>
      <c r="AC30" s="119">
        <f>IF(OR(t&lt;Tnet,NoTnet),'2024'!Resal_s+('2024'!Salim-'2024'!Resal_s)*(1-EXP(('2024'!Tnet_s-t)/'2024'!Tau_j)),Resal_s+(Salim-Resal_s)*(1-EXP((Tnet_s-t)/Tau_j)))*Salcycl</f>
        <v>5.5757703052750608E-2</v>
      </c>
      <c r="AD30" s="227">
        <f>(INDEX(Models!$BJ30:$BT30,,AH30)*(1-AF30)+INDEX(Models!$BJ30:$BT30,,AH30+1)*AF30-ERP_i)*AE30*Ramure*Pc/MaxiM</f>
        <v>1.9430639452579456E-3</v>
      </c>
      <c r="AE30" s="301">
        <f t="shared" si="16"/>
        <v>0.5</v>
      </c>
      <c r="AF30" s="173">
        <f t="shared" si="23"/>
        <v>0.49012305933715439</v>
      </c>
      <c r="AG30" s="801">
        <f t="shared" si="24"/>
        <v>1</v>
      </c>
      <c r="AH30" s="172">
        <f t="shared" si="17"/>
        <v>7</v>
      </c>
      <c r="AI30" s="221">
        <f t="shared" si="18"/>
        <v>1.4901230593371544</v>
      </c>
      <c r="AJ30" s="261" t="b">
        <f t="shared" si="19"/>
        <v>0</v>
      </c>
      <c r="AK30" s="261" t="b">
        <f t="shared" si="20"/>
        <v>0</v>
      </c>
      <c r="AL30" s="261"/>
      <c r="AM30" s="261"/>
      <c r="AN30" s="75"/>
    </row>
    <row r="31" spans="1:40" s="6" customFormat="1" ht="11.25" x14ac:dyDescent="0.2">
      <c r="A31" s="56">
        <f t="shared" si="21"/>
        <v>45674</v>
      </c>
      <c r="B31" s="406">
        <f>'2024'!Wh/'2024'!Env_an*'2025'!Env_an</f>
        <v>85.254074131722206</v>
      </c>
      <c r="C31" s="385"/>
      <c r="D31" s="388">
        <f t="shared" si="0"/>
        <v>86.725457908072514</v>
      </c>
      <c r="E31" s="380">
        <f t="shared" si="1"/>
        <v>89.192823180306434</v>
      </c>
      <c r="F31" s="380">
        <f t="shared" si="2"/>
        <v>89.312216989045723</v>
      </c>
      <c r="G31" s="110">
        <f t="shared" si="22"/>
        <v>0.78505402719914541</v>
      </c>
      <c r="H31" s="409" t="b">
        <f>Wh_hp&gt;='2024'!Maxi_hp</f>
        <v>0</v>
      </c>
      <c r="I31" s="375">
        <f>IF(H31,Wh_hp,'2024'!Maxi_hp)</f>
        <v>89.36504341458523</v>
      </c>
      <c r="J31" s="85">
        <f>IF(H31,An,'2024'!An_max)</f>
        <v>2022</v>
      </c>
      <c r="K31" s="193">
        <f t="shared" si="3"/>
        <v>45674</v>
      </c>
      <c r="L31" s="143">
        <f>IF(t&lt;Tvie,1-EXP((T0-t)*PertePVj)+'2024'!Pspv,1-EXP((T0-t)*PertePVj)+Pspv)</f>
        <v>1.6965996050547827E-2</v>
      </c>
      <c r="M31" s="835"/>
      <c r="N31" s="835"/>
      <c r="O31" s="48">
        <f>IF(t&lt;Tnet,'2024'!Resal+('2024'!Salim-'2024'!Resal)*(1-EXP(('2024'!Tnet-t)/('2024'!Tau_j))),Resal+(Salim-Resal)*(1-EXP((Tnet-t)/(Tau_j))))*Salcycl</f>
        <v>2.7663271373819517E-2</v>
      </c>
      <c r="P31" s="165">
        <f>(INDEX(Models!$BJ31:$BT31,,T31)*(1-R31)+INDEX(Models!$BJ31:$BT31,,T31+1)*R31-ERP_i)*Q31*Ramure*Pc/MaxiM</f>
        <v>1.9273614285999982E-3</v>
      </c>
      <c r="Q31" s="301">
        <f t="shared" si="4"/>
        <v>0.5</v>
      </c>
      <c r="R31" s="173">
        <f t="shared" si="5"/>
        <v>0.49017704322650846</v>
      </c>
      <c r="S31" s="801">
        <f t="shared" si="6"/>
        <v>1</v>
      </c>
      <c r="T31" s="172">
        <f t="shared" si="7"/>
        <v>7</v>
      </c>
      <c r="U31" s="247">
        <f t="shared" si="8"/>
        <v>1.4901770432265085</v>
      </c>
      <c r="V31" s="378">
        <f t="shared" si="9"/>
        <v>108.53222478794561</v>
      </c>
      <c r="W31" s="397">
        <f t="shared" si="10"/>
        <v>85.254074131722206</v>
      </c>
      <c r="X31" s="153">
        <f t="shared" si="11"/>
        <v>45674</v>
      </c>
      <c r="Y31" s="380">
        <f t="shared" si="12"/>
        <v>82.78852984195089</v>
      </c>
      <c r="Z31" s="380">
        <f t="shared" si="13"/>
        <v>84.217361260483813</v>
      </c>
      <c r="AA31" s="381">
        <f t="shared" si="14"/>
        <v>89.192823180306434</v>
      </c>
      <c r="AB31" s="193">
        <f t="shared" si="15"/>
        <v>45674</v>
      </c>
      <c r="AC31" s="119">
        <f>IF(OR(t&lt;Tnet,NoTnet),'2024'!Resal_s+('2024'!Salim-'2024'!Resal_s)*(1-EXP(('2024'!Tnet_s-t)/'2024'!Tau_j)),Resal_s+(Salim-Resal_s)*(1-EXP((Tnet_s-t)/Tau_j)))*Salcycl</f>
        <v>5.5783209258490986E-2</v>
      </c>
      <c r="AD31" s="227">
        <f>(INDEX(Models!$BJ31:$BT31,,AH31)*(1-AF31)+INDEX(Models!$BJ31:$BT31,,AH31+1)*AF31-ERP_i)*AE31*Ramure*Pc/MaxiM</f>
        <v>1.9273614285999982E-3</v>
      </c>
      <c r="AE31" s="301">
        <f t="shared" si="16"/>
        <v>0.5</v>
      </c>
      <c r="AF31" s="173">
        <f t="shared" si="23"/>
        <v>0.49017704322650846</v>
      </c>
      <c r="AG31" s="801">
        <f t="shared" si="24"/>
        <v>1</v>
      </c>
      <c r="AH31" s="172">
        <f t="shared" si="17"/>
        <v>7</v>
      </c>
      <c r="AI31" s="221">
        <f t="shared" si="18"/>
        <v>1.4901770432265085</v>
      </c>
      <c r="AJ31" s="261" t="b">
        <f t="shared" si="19"/>
        <v>0</v>
      </c>
      <c r="AK31" s="261" t="b">
        <f t="shared" si="20"/>
        <v>0</v>
      </c>
      <c r="AL31" s="261"/>
      <c r="AM31" s="261"/>
      <c r="AN31" s="75"/>
    </row>
    <row r="32" spans="1:40" s="6" customFormat="1" ht="11.25" x14ac:dyDescent="0.2">
      <c r="A32" s="56">
        <f t="shared" si="21"/>
        <v>45675</v>
      </c>
      <c r="B32" s="406">
        <f>'2024'!Wh/'2024'!Env_an*'2025'!Env_an</f>
        <v>22.329725146051452</v>
      </c>
      <c r="C32" s="385"/>
      <c r="D32" s="388">
        <f t="shared" si="0"/>
        <v>22.715420560945073</v>
      </c>
      <c r="E32" s="380">
        <f t="shared" si="1"/>
        <v>23.36304688198906</v>
      </c>
      <c r="F32" s="380">
        <f t="shared" si="2"/>
        <v>23.36304688198906</v>
      </c>
      <c r="G32" s="110">
        <f t="shared" si="22"/>
        <v>0.2033172578176683</v>
      </c>
      <c r="H32" s="409" t="b">
        <f>Wh_hp&gt;='2024'!Maxi_hp</f>
        <v>0</v>
      </c>
      <c r="I32" s="375">
        <f>IF(H32,Wh_hp,'2024'!Maxi_hp)</f>
        <v>23.40767107813555</v>
      </c>
      <c r="J32" s="85">
        <f>IF(H32,An,'2024'!An_max)</f>
        <v>2022</v>
      </c>
      <c r="K32" s="193">
        <f t="shared" si="3"/>
        <v>45675</v>
      </c>
      <c r="L32" s="143">
        <f>IF(t&lt;Tvie,1-EXP((T0-t)*PertePVj)+'2024'!Pspv,1-EXP((T0-t)*PertePVj)+Pspv)</f>
        <v>1.6979452960547592E-2</v>
      </c>
      <c r="M32" s="835"/>
      <c r="N32" s="835"/>
      <c r="O32" s="48">
        <f>IF(t&lt;Tnet,'2024'!Resal+('2024'!Salim-'2024'!Resal)*(1-EXP(('2024'!Tnet-t)/('2024'!Tau_j))),Resal+(Salim-Resal)*(1-EXP((Tnet-t)/(Tau_j))))*Salcycl</f>
        <v>2.7720113918157287E-2</v>
      </c>
      <c r="P32" s="165">
        <f>(INDEX(Models!$BJ32:$BT32,,T32)*(1-R32)+INDEX(Models!$BJ32:$BT32,,T32+1)*R32-ERP_i)*Q32*Ramure*Pc/MaxiM</f>
        <v>1.9071099938605504E-3</v>
      </c>
      <c r="Q32" s="301">
        <f t="shared" si="4"/>
        <v>0.5</v>
      </c>
      <c r="R32" s="173">
        <f t="shared" si="5"/>
        <v>0.49023327943865014</v>
      </c>
      <c r="S32" s="801">
        <f t="shared" si="6"/>
        <v>1</v>
      </c>
      <c r="T32" s="172">
        <f t="shared" si="7"/>
        <v>7</v>
      </c>
      <c r="U32" s="247">
        <f t="shared" si="8"/>
        <v>1.4902332794386501</v>
      </c>
      <c r="V32" s="378">
        <f t="shared" si="9"/>
        <v>109.61755112815858</v>
      </c>
      <c r="W32" s="397">
        <f t="shared" si="10"/>
        <v>22.329725146051452</v>
      </c>
      <c r="X32" s="153">
        <f t="shared" si="11"/>
        <v>45675</v>
      </c>
      <c r="Y32" s="380">
        <f t="shared" si="12"/>
        <v>21.684631465989334</v>
      </c>
      <c r="Z32" s="380">
        <f t="shared" si="13"/>
        <v>22.059184348991074</v>
      </c>
      <c r="AA32" s="381">
        <f t="shared" si="14"/>
        <v>23.36304688198906</v>
      </c>
      <c r="AB32" s="193">
        <f t="shared" si="15"/>
        <v>45675</v>
      </c>
      <c r="AC32" s="119">
        <f>IF(OR(t&lt;Tnet,NoTnet),'2024'!Resal_s+('2024'!Salim-'2024'!Resal_s)*(1-EXP(('2024'!Tnet_s-t)/'2024'!Tau_j)),Resal_s+(Salim-Resal_s)*(1-EXP((Tnet_s-t)/Tau_j)))*Salcycl</f>
        <v>5.5808753866052954E-2</v>
      </c>
      <c r="AD32" s="227">
        <f>(INDEX(Models!$BJ32:$BT32,,AH32)*(1-AF32)+INDEX(Models!$BJ32:$BT32,,AH32+1)*AF32-ERP_i)*AE32*Ramure*Pc/MaxiM</f>
        <v>1.9071099938605504E-3</v>
      </c>
      <c r="AE32" s="301">
        <f t="shared" si="16"/>
        <v>0.5</v>
      </c>
      <c r="AF32" s="173">
        <f t="shared" si="23"/>
        <v>0.49023327943865014</v>
      </c>
      <c r="AG32" s="801">
        <f t="shared" si="24"/>
        <v>1</v>
      </c>
      <c r="AH32" s="172">
        <f t="shared" si="17"/>
        <v>7</v>
      </c>
      <c r="AI32" s="221">
        <f t="shared" si="18"/>
        <v>1.4902332794386501</v>
      </c>
      <c r="AJ32" s="261" t="b">
        <f t="shared" si="19"/>
        <v>0</v>
      </c>
      <c r="AK32" s="261" t="b">
        <f t="shared" si="20"/>
        <v>0</v>
      </c>
      <c r="AL32" s="261"/>
      <c r="AM32" s="261"/>
      <c r="AN32" s="75"/>
    </row>
    <row r="33" spans="1:40" s="6" customFormat="1" ht="11.25" x14ac:dyDescent="0.2">
      <c r="A33" s="56">
        <f t="shared" si="21"/>
        <v>45676</v>
      </c>
      <c r="B33" s="406">
        <f>'2024'!Wh/'2024'!Env_an*'2025'!Env_an</f>
        <v>45.601288528338664</v>
      </c>
      <c r="C33" s="385"/>
      <c r="D33" s="388">
        <f t="shared" si="0"/>
        <v>46.389582514392451</v>
      </c>
      <c r="E33" s="380">
        <f t="shared" si="1"/>
        <v>47.714957402191985</v>
      </c>
      <c r="F33" s="380">
        <f t="shared" si="2"/>
        <v>47.729314046366248</v>
      </c>
      <c r="G33" s="110">
        <f t="shared" si="22"/>
        <v>0.41119740267725169</v>
      </c>
      <c r="H33" s="409" t="b">
        <f>Wh_hp&gt;='2024'!Maxi_hp</f>
        <v>0</v>
      </c>
      <c r="I33" s="375">
        <f>IF(H33,Wh_hp,'2024'!Maxi_hp)</f>
        <v>47.804919366126292</v>
      </c>
      <c r="J33" s="85">
        <f>IF(H33,An,'2024'!An_max)</f>
        <v>2022</v>
      </c>
      <c r="K33" s="193">
        <f t="shared" si="3"/>
        <v>45676</v>
      </c>
      <c r="L33" s="143">
        <f>IF(t&lt;Tvie,1-EXP((T0-t)*PertePVj)+'2024'!Pspv,1-EXP((T0-t)*PertePVj)+Pspv)</f>
        <v>1.6992909686333491E-2</v>
      </c>
      <c r="M33" s="835"/>
      <c r="N33" s="835"/>
      <c r="O33" s="48">
        <f>IF(t&lt;Tnet,'2024'!Resal+('2024'!Salim-'2024'!Resal)*(1-EXP(('2024'!Tnet-t)/('2024'!Tau_j))),Resal+(Salim-Resal)*(1-EXP((Tnet-t)/(Tau_j))))*Salcycl</f>
        <v>2.7776926983878049E-2</v>
      </c>
      <c r="P33" s="165">
        <f>(INDEX(Models!$BJ33:$BT33,,T33)*(1-R33)+INDEX(Models!$BJ33:$BT33,,T33+1)*R33-ERP_i)*Q33*Ramure*Pc/MaxiM</f>
        <v>1.8824939881902192E-3</v>
      </c>
      <c r="Q33" s="301">
        <f t="shared" si="4"/>
        <v>0.5</v>
      </c>
      <c r="R33" s="173">
        <f t="shared" si="5"/>
        <v>0.49029186140451109</v>
      </c>
      <c r="S33" s="801">
        <f t="shared" si="6"/>
        <v>1</v>
      </c>
      <c r="T33" s="172">
        <f t="shared" si="7"/>
        <v>7</v>
      </c>
      <c r="U33" s="247">
        <f t="shared" si="8"/>
        <v>1.4902918614045111</v>
      </c>
      <c r="V33" s="378">
        <f t="shared" si="9"/>
        <v>110.72331422172586</v>
      </c>
      <c r="W33" s="397">
        <f t="shared" si="10"/>
        <v>45.601288528338664</v>
      </c>
      <c r="X33" s="153">
        <f t="shared" si="11"/>
        <v>45676</v>
      </c>
      <c r="Y33" s="380">
        <f t="shared" si="12"/>
        <v>44.285279681821386</v>
      </c>
      <c r="Z33" s="380">
        <f t="shared" si="13"/>
        <v>45.050824269935276</v>
      </c>
      <c r="AA33" s="381">
        <f t="shared" si="14"/>
        <v>47.714957402191985</v>
      </c>
      <c r="AB33" s="193">
        <f t="shared" si="15"/>
        <v>45676</v>
      </c>
      <c r="AC33" s="119">
        <f>IF(OR(t&lt;Tnet,NoTnet),'2024'!Resal_s+('2024'!Salim-'2024'!Resal_s)*(1-EXP(('2024'!Tnet_s-t)/'2024'!Tau_j)),Resal_s+(Salim-Resal_s)*(1-EXP((Tnet_s-t)/Tau_j)))*Salcycl</f>
        <v>5.5834339530067792E-2</v>
      </c>
      <c r="AD33" s="227">
        <f>(INDEX(Models!$BJ33:$BT33,,AH33)*(1-AF33)+INDEX(Models!$BJ33:$BT33,,AH33+1)*AF33-ERP_i)*AE33*Ramure*Pc/MaxiM</f>
        <v>1.8824939881902192E-3</v>
      </c>
      <c r="AE33" s="301">
        <f t="shared" si="16"/>
        <v>0.5</v>
      </c>
      <c r="AF33" s="173">
        <f t="shared" si="23"/>
        <v>0.49029186140451109</v>
      </c>
      <c r="AG33" s="801">
        <f t="shared" si="24"/>
        <v>1</v>
      </c>
      <c r="AH33" s="172">
        <f t="shared" si="17"/>
        <v>7</v>
      </c>
      <c r="AI33" s="221">
        <f t="shared" si="18"/>
        <v>1.4902918614045111</v>
      </c>
      <c r="AJ33" s="261" t="b">
        <f t="shared" si="19"/>
        <v>0</v>
      </c>
      <c r="AK33" s="261" t="b">
        <f t="shared" si="20"/>
        <v>0</v>
      </c>
      <c r="AL33" s="261"/>
      <c r="AM33" s="261"/>
      <c r="AN33" s="75"/>
    </row>
    <row r="34" spans="1:40" s="6" customFormat="1" ht="11.25" x14ac:dyDescent="0.2">
      <c r="A34" s="56">
        <f t="shared" si="21"/>
        <v>45677</v>
      </c>
      <c r="B34" s="406">
        <f>'2024'!Wh/'2024'!Env_an*'2025'!Env_an</f>
        <v>23.502178957047143</v>
      </c>
      <c r="C34" s="385"/>
      <c r="D34" s="388">
        <f t="shared" si="0"/>
        <v>23.908780433156039</v>
      </c>
      <c r="E34" s="380">
        <f t="shared" si="1"/>
        <v>24.593303360576584</v>
      </c>
      <c r="F34" s="380">
        <f t="shared" si="2"/>
        <v>24.593303360576584</v>
      </c>
      <c r="G34" s="110">
        <f t="shared" si="22"/>
        <v>0.20973821512934346</v>
      </c>
      <c r="H34" s="409" t="b">
        <f>Wh_hp&gt;='2024'!Maxi_hp</f>
        <v>0</v>
      </c>
      <c r="I34" s="375">
        <f>IF(H34,Wh_hp,'2024'!Maxi_hp)</f>
        <v>24.638956934020555</v>
      </c>
      <c r="J34" s="85">
        <f>IF(H34,An,'2024'!An_max)</f>
        <v>2022</v>
      </c>
      <c r="K34" s="193">
        <f t="shared" si="3"/>
        <v>45677</v>
      </c>
      <c r="L34" s="143">
        <f>IF(t&lt;Tvie,1-EXP((T0-t)*PertePVj)+'2024'!Pspv,1-EXP((T0-t)*PertePVj)+Pspv)</f>
        <v>1.7006366227908187E-2</v>
      </c>
      <c r="M34" s="835"/>
      <c r="N34" s="835"/>
      <c r="O34" s="48">
        <f>IF(t&lt;Tnet,'2024'!Resal+('2024'!Salim-'2024'!Resal)*(1-EXP(('2024'!Tnet-t)/('2024'!Tau_j))),Resal+(Salim-Resal)*(1-EXP((Tnet-t)/(Tau_j))))*Salcycl</f>
        <v>2.7833712185157108E-2</v>
      </c>
      <c r="P34" s="165">
        <f>(INDEX(Models!$BJ34:$BT34,,T34)*(1-R34)+INDEX(Models!$BJ34:$BT34,,T34+1)*R34-ERP_i)*Q34*Ramure*Pc/MaxiM</f>
        <v>1.8537023131006052E-3</v>
      </c>
      <c r="Q34" s="301">
        <f t="shared" si="4"/>
        <v>0.5</v>
      </c>
      <c r="R34" s="173">
        <f t="shared" si="5"/>
        <v>0.49035288638455388</v>
      </c>
      <c r="S34" s="801">
        <f t="shared" si="6"/>
        <v>1</v>
      </c>
      <c r="T34" s="172">
        <f t="shared" si="7"/>
        <v>7</v>
      </c>
      <c r="U34" s="247">
        <f t="shared" si="8"/>
        <v>1.4903528863845539</v>
      </c>
      <c r="V34" s="378">
        <f t="shared" si="9"/>
        <v>111.8471085447393</v>
      </c>
      <c r="W34" s="397">
        <f t="shared" si="10"/>
        <v>23.502178957047143</v>
      </c>
      <c r="X34" s="153">
        <f t="shared" si="11"/>
        <v>45677</v>
      </c>
      <c r="Y34" s="380">
        <f t="shared" si="12"/>
        <v>22.82464249812239</v>
      </c>
      <c r="Z34" s="380">
        <f t="shared" si="13"/>
        <v>23.219522196228496</v>
      </c>
      <c r="AA34" s="381">
        <f t="shared" si="14"/>
        <v>24.593303360576584</v>
      </c>
      <c r="AB34" s="193">
        <f t="shared" si="15"/>
        <v>45677</v>
      </c>
      <c r="AC34" s="119">
        <f>IF(OR(t&lt;Tnet,NoTnet),'2024'!Resal_s+('2024'!Salim-'2024'!Resal_s)*(1-EXP(('2024'!Tnet_s-t)/'2024'!Tau_j)),Resal_s+(Salim-Resal_s)*(1-EXP((Tnet_s-t)/Tau_j)))*Salcycl</f>
        <v>5.5859969041421195E-2</v>
      </c>
      <c r="AD34" s="227">
        <f>(INDEX(Models!$BJ34:$BT34,,AH34)*(1-AF34)+INDEX(Models!$BJ34:$BT34,,AH34+1)*AF34-ERP_i)*AE34*Ramure*Pc/MaxiM</f>
        <v>1.8537023131006052E-3</v>
      </c>
      <c r="AE34" s="301">
        <f t="shared" si="16"/>
        <v>0.5</v>
      </c>
      <c r="AF34" s="173">
        <f t="shared" si="23"/>
        <v>0.49035288638455388</v>
      </c>
      <c r="AG34" s="801">
        <f t="shared" si="24"/>
        <v>1</v>
      </c>
      <c r="AH34" s="172">
        <f t="shared" si="17"/>
        <v>7</v>
      </c>
      <c r="AI34" s="221">
        <f t="shared" si="18"/>
        <v>1.4903528863845539</v>
      </c>
      <c r="AJ34" s="261" t="b">
        <f t="shared" si="19"/>
        <v>0</v>
      </c>
      <c r="AK34" s="261" t="b">
        <f t="shared" si="20"/>
        <v>0</v>
      </c>
      <c r="AL34" s="261"/>
      <c r="AM34" s="261"/>
      <c r="AN34" s="75"/>
    </row>
    <row r="35" spans="1:40" s="6" customFormat="1" ht="11.25" x14ac:dyDescent="0.2">
      <c r="A35" s="56">
        <f t="shared" si="21"/>
        <v>45678</v>
      </c>
      <c r="B35" s="406">
        <f>'2024'!Wh/'2024'!Env_an*'2025'!Env_an</f>
        <v>59.002856166294507</v>
      </c>
      <c r="C35" s="385"/>
      <c r="D35" s="388">
        <f t="shared" si="0"/>
        <v>60.024461857892383</v>
      </c>
      <c r="E35" s="380">
        <f t="shared" si="1"/>
        <v>61.746603728287631</v>
      </c>
      <c r="F35" s="380">
        <f t="shared" si="2"/>
        <v>61.782316525726579</v>
      </c>
      <c r="G35" s="110">
        <f t="shared" si="22"/>
        <v>0.52156200326141922</v>
      </c>
      <c r="H35" s="409" t="b">
        <f>Wh_hp&gt;='2024'!Maxi_hp</f>
        <v>0</v>
      </c>
      <c r="I35" s="375">
        <f>IF(H35,Wh_hp,'2024'!Maxi_hp)</f>
        <v>61.859209054823204</v>
      </c>
      <c r="J35" s="85">
        <f>IF(H35,An,'2024'!An_max)</f>
        <v>2022</v>
      </c>
      <c r="K35" s="193">
        <f t="shared" si="3"/>
        <v>45678</v>
      </c>
      <c r="L35" s="143">
        <f>IF(t&lt;Tvie,1-EXP((T0-t)*PertePVj)+'2024'!Pspv,1-EXP((T0-t)*PertePVj)+Pspv)</f>
        <v>1.7019822585274014E-2</v>
      </c>
      <c r="M35" s="835"/>
      <c r="N35" s="835"/>
      <c r="O35" s="48">
        <f>IF(t&lt;Tnet,'2024'!Resal+('2024'!Salim-'2024'!Resal)*(1-EXP(('2024'!Tnet-t)/('2024'!Tau_j))),Resal+(Salim-Resal)*(1-EXP((Tnet-t)/(Tau_j))))*Salcycl</f>
        <v>2.7890471158113186E-2</v>
      </c>
      <c r="P35" s="165">
        <f>(INDEX(Models!$BJ35:$BT35,,T35)*(1-R35)+INDEX(Models!$BJ35:$BT35,,T35+1)*R35-ERP_i)*Q35*Ramure*Pc/MaxiM</f>
        <v>1.8209219822566901E-3</v>
      </c>
      <c r="Q35" s="301">
        <f t="shared" si="4"/>
        <v>0.5</v>
      </c>
      <c r="R35" s="173">
        <f t="shared" si="5"/>
        <v>0.49041645562179004</v>
      </c>
      <c r="S35" s="801">
        <f t="shared" si="6"/>
        <v>1</v>
      </c>
      <c r="T35" s="172">
        <f t="shared" si="7"/>
        <v>7</v>
      </c>
      <c r="U35" s="247">
        <f t="shared" si="8"/>
        <v>1.49041645562179</v>
      </c>
      <c r="V35" s="378">
        <f t="shared" si="9"/>
        <v>112.9865288061294</v>
      </c>
      <c r="W35" s="397">
        <f t="shared" si="10"/>
        <v>59.002856166294507</v>
      </c>
      <c r="X35" s="153">
        <f t="shared" si="11"/>
        <v>45678</v>
      </c>
      <c r="Y35" s="380">
        <f t="shared" si="12"/>
        <v>57.303669830329461</v>
      </c>
      <c r="Z35" s="380">
        <f t="shared" si="13"/>
        <v>58.29585493884548</v>
      </c>
      <c r="AA35" s="381">
        <f t="shared" si="14"/>
        <v>61.746603728287631</v>
      </c>
      <c r="AB35" s="193">
        <f t="shared" si="15"/>
        <v>45678</v>
      </c>
      <c r="AC35" s="119">
        <f>IF(OR(t&lt;Tnet,NoTnet),'2024'!Resal_s+('2024'!Salim-'2024'!Resal_s)*(1-EXP(('2024'!Tnet_s-t)/'2024'!Tau_j)),Resal_s+(Salim-Resal_s)*(1-EXP((Tnet_s-t)/Tau_j)))*Salcycl</f>
        <v>5.5885645219079162E-2</v>
      </c>
      <c r="AD35" s="227">
        <f>(INDEX(Models!$BJ35:$BT35,,AH35)*(1-AF35)+INDEX(Models!$BJ35:$BT35,,AH35+1)*AF35-ERP_i)*AE35*Ramure*Pc/MaxiM</f>
        <v>1.8209219822566901E-3</v>
      </c>
      <c r="AE35" s="301">
        <f t="shared" si="16"/>
        <v>0.5</v>
      </c>
      <c r="AF35" s="173">
        <f t="shared" si="23"/>
        <v>0.49041645562179004</v>
      </c>
      <c r="AG35" s="801">
        <f t="shared" si="24"/>
        <v>1</v>
      </c>
      <c r="AH35" s="172">
        <f t="shared" si="17"/>
        <v>7</v>
      </c>
      <c r="AI35" s="221">
        <f t="shared" si="18"/>
        <v>1.49041645562179</v>
      </c>
      <c r="AJ35" s="261" t="b">
        <f t="shared" si="19"/>
        <v>0</v>
      </c>
      <c r="AK35" s="261" t="b">
        <f t="shared" si="20"/>
        <v>0</v>
      </c>
      <c r="AL35" s="261"/>
      <c r="AM35" s="261"/>
      <c r="AN35" s="75"/>
    </row>
    <row r="36" spans="1:40" s="6" customFormat="1" ht="11.25" x14ac:dyDescent="0.2">
      <c r="A36" s="56">
        <f t="shared" si="21"/>
        <v>45679</v>
      </c>
      <c r="B36" s="406">
        <f>'2024'!Wh/'2024'!Env_an*'2025'!Env_an</f>
        <v>113.31457193475264</v>
      </c>
      <c r="C36" s="385"/>
      <c r="D36" s="388">
        <f t="shared" si="0"/>
        <v>115.27813656969707</v>
      </c>
      <c r="E36" s="380">
        <f t="shared" si="1"/>
        <v>118.59246454833823</v>
      </c>
      <c r="F36" s="380">
        <f t="shared" si="2"/>
        <v>118.80225875335128</v>
      </c>
      <c r="G36" s="110">
        <f t="shared" si="22"/>
        <v>0.99275717818772291</v>
      </c>
      <c r="H36" s="409" t="b">
        <f>Wh_hp&gt;='2024'!Maxi_hp</f>
        <v>0</v>
      </c>
      <c r="I36" s="375">
        <f>IF(H36,Wh_hp,'2024'!Maxi_hp)</f>
        <v>118.80444939274724</v>
      </c>
      <c r="J36" s="85">
        <f>IF(H36,An,'2024'!An_max)</f>
        <v>2022</v>
      </c>
      <c r="K36" s="193">
        <f t="shared" si="3"/>
        <v>45679</v>
      </c>
      <c r="L36" s="143">
        <f>IF(t&lt;Tvie,1-EXP((T0-t)*PertePVj)+'2024'!Pspv,1-EXP((T0-t)*PertePVj)+Pspv)</f>
        <v>1.7033278758433634E-2</v>
      </c>
      <c r="M36" s="835"/>
      <c r="N36" s="835"/>
      <c r="O36" s="48">
        <f>IF(t&lt;Tnet,'2024'!Resal+('2024'!Salim-'2024'!Resal)*(1-EXP(('2024'!Tnet-t)/('2024'!Tau_j))),Resal+(Salim-Resal)*(1-EXP((Tnet-t)/(Tau_j))))*Salcycl</f>
        <v>2.7947205509758464E-2</v>
      </c>
      <c r="P36" s="165">
        <f>(INDEX(Models!$BJ36:$BT36,,T36)*(1-R36)+INDEX(Models!$BJ36:$BT36,,T36+1)*R36-ERP_i)*Q36*Ramure*Pc/MaxiM</f>
        <v>1.7843264525250525E-3</v>
      </c>
      <c r="Q36" s="301">
        <f t="shared" si="4"/>
        <v>0.5</v>
      </c>
      <c r="R36" s="173">
        <f t="shared" si="5"/>
        <v>0.49048267450057215</v>
      </c>
      <c r="S36" s="801">
        <f t="shared" si="6"/>
        <v>1</v>
      </c>
      <c r="T36" s="172">
        <f t="shared" si="7"/>
        <v>7</v>
      </c>
      <c r="U36" s="247">
        <f t="shared" si="8"/>
        <v>1.4904826745005721</v>
      </c>
      <c r="V36" s="378">
        <f t="shared" si="9"/>
        <v>114.13917117264793</v>
      </c>
      <c r="W36" s="397">
        <f t="shared" si="10"/>
        <v>113.31457193475264</v>
      </c>
      <c r="X36" s="153">
        <f t="shared" si="11"/>
        <v>45679</v>
      </c>
      <c r="Y36" s="380">
        <f t="shared" si="12"/>
        <v>110.05472078446192</v>
      </c>
      <c r="Z36" s="380">
        <f t="shared" si="13"/>
        <v>111.96179728796304</v>
      </c>
      <c r="AA36" s="381">
        <f t="shared" si="14"/>
        <v>118.59246454833823</v>
      </c>
      <c r="AB36" s="193">
        <f t="shared" si="15"/>
        <v>45679</v>
      </c>
      <c r="AC36" s="119">
        <f>IF(OR(t&lt;Tnet,NoTnet),'2024'!Resal_s+('2024'!Salim-'2024'!Resal_s)*(1-EXP(('2024'!Tnet_s-t)/'2024'!Tau_j)),Resal_s+(Salim-Resal_s)*(1-EXP((Tnet_s-t)/Tau_j)))*Salcycl</f>
        <v>5.5911370807818432E-2</v>
      </c>
      <c r="AD36" s="227">
        <f>(INDEX(Models!$BJ36:$BT36,,AH36)*(1-AF36)+INDEX(Models!$BJ36:$BT36,,AH36+1)*AF36-ERP_i)*AE36*Ramure*Pc/MaxiM</f>
        <v>1.7843264525250525E-3</v>
      </c>
      <c r="AE36" s="301">
        <f t="shared" si="16"/>
        <v>0.5</v>
      </c>
      <c r="AF36" s="173">
        <f t="shared" si="23"/>
        <v>0.49048267450057215</v>
      </c>
      <c r="AG36" s="801">
        <f t="shared" si="24"/>
        <v>1</v>
      </c>
      <c r="AH36" s="172">
        <f t="shared" si="17"/>
        <v>7</v>
      </c>
      <c r="AI36" s="221">
        <f t="shared" si="18"/>
        <v>1.4904826745005721</v>
      </c>
      <c r="AJ36" s="261" t="b">
        <f t="shared" si="19"/>
        <v>0</v>
      </c>
      <c r="AK36" s="261" t="b">
        <f t="shared" si="20"/>
        <v>0</v>
      </c>
      <c r="AL36" s="261"/>
      <c r="AM36" s="261"/>
      <c r="AN36" s="75"/>
    </row>
    <row r="37" spans="1:40" s="6" customFormat="1" ht="11.25" x14ac:dyDescent="0.2">
      <c r="A37" s="56">
        <f t="shared" si="21"/>
        <v>45680</v>
      </c>
      <c r="B37" s="406">
        <f>'2024'!Wh/'2024'!Env_an*'2025'!Env_an</f>
        <v>115.17859621383477</v>
      </c>
      <c r="C37" s="385"/>
      <c r="D37" s="388">
        <f t="shared" si="0"/>
        <v>117.17606552152291</v>
      </c>
      <c r="E37" s="380">
        <f t="shared" si="1"/>
        <v>120.55199351434433</v>
      </c>
      <c r="F37" s="380">
        <f t="shared" si="2"/>
        <v>120.76224268548012</v>
      </c>
      <c r="G37" s="110">
        <f t="shared" si="22"/>
        <v>0.99883059411050423</v>
      </c>
      <c r="H37" s="409" t="b">
        <f>Wh_hp&gt;='2024'!Maxi_hp</f>
        <v>0</v>
      </c>
      <c r="I37" s="375">
        <f>IF(H37,Wh_hp,'2024'!Maxi_hp)</f>
        <v>120.76259406342568</v>
      </c>
      <c r="J37" s="85">
        <f>IF(H37,An,'2024'!An_max)</f>
        <v>2022</v>
      </c>
      <c r="K37" s="193">
        <f t="shared" si="3"/>
        <v>45680</v>
      </c>
      <c r="L37" s="143">
        <f>IF(t&lt;Tvie,1-EXP((T0-t)*PertePVj)+'2024'!Pspv,1-EXP((T0-t)*PertePVj)+Pspv)</f>
        <v>1.7046734747389602E-2</v>
      </c>
      <c r="M37" s="835"/>
      <c r="N37" s="835"/>
      <c r="O37" s="48">
        <f>IF(t&lt;Tnet,'2024'!Resal+('2024'!Salim-'2024'!Resal)*(1-EXP(('2024'!Tnet-t)/('2024'!Tau_j))),Resal+(Salim-Resal)*(1-EXP((Tnet-t)/(Tau_j))))*Salcycl</f>
        <v>2.8003916769901622E-2</v>
      </c>
      <c r="P37" s="165">
        <f>(INDEX(Models!$BJ37:$BT37,,T37)*(1-R37)+INDEX(Models!$BJ37:$BT37,,T37+1)*R37-ERP_i)*Q37*Ramure*Pc/MaxiM</f>
        <v>1.7439235636762841E-3</v>
      </c>
      <c r="Q37" s="301">
        <f t="shared" si="4"/>
        <v>0.5</v>
      </c>
      <c r="R37" s="173">
        <f t="shared" si="5"/>
        <v>0.49055165271134937</v>
      </c>
      <c r="S37" s="801">
        <f t="shared" si="6"/>
        <v>1</v>
      </c>
      <c r="T37" s="172">
        <f t="shared" si="7"/>
        <v>7</v>
      </c>
      <c r="U37" s="247">
        <f t="shared" si="8"/>
        <v>1.4905516527113494</v>
      </c>
      <c r="V37" s="378">
        <f t="shared" si="9"/>
        <v>115.31310873580902</v>
      </c>
      <c r="W37" s="397">
        <f t="shared" si="10"/>
        <v>115.17859621383477</v>
      </c>
      <c r="X37" s="153">
        <f t="shared" si="11"/>
        <v>45680</v>
      </c>
      <c r="Y37" s="380">
        <f t="shared" si="12"/>
        <v>111.86859274736007</v>
      </c>
      <c r="Z37" s="380">
        <f t="shared" si="13"/>
        <v>113.80865876528811</v>
      </c>
      <c r="AA37" s="381">
        <f t="shared" si="14"/>
        <v>120.55199351434433</v>
      </c>
      <c r="AB37" s="193">
        <f t="shared" si="15"/>
        <v>45680</v>
      </c>
      <c r="AC37" s="119">
        <f>IF(OR(t&lt;Tnet,NoTnet),'2024'!Resal_s+('2024'!Salim-'2024'!Resal_s)*(1-EXP(('2024'!Tnet_s-t)/'2024'!Tau_j)),Resal_s+(Salim-Resal_s)*(1-EXP((Tnet_s-t)/Tau_j)))*Salcycl</f>
        <v>5.5937148382816465E-2</v>
      </c>
      <c r="AD37" s="227">
        <f>(INDEX(Models!$BJ37:$BT37,,AH37)*(1-AF37)+INDEX(Models!$BJ37:$BT37,,AH37+1)*AF37-ERP_i)*AE37*Ramure*Pc/MaxiM</f>
        <v>1.7439235636762841E-3</v>
      </c>
      <c r="AE37" s="301">
        <f t="shared" si="16"/>
        <v>0.5</v>
      </c>
      <c r="AF37" s="173">
        <f t="shared" si="23"/>
        <v>0.49055165271134937</v>
      </c>
      <c r="AG37" s="801">
        <f t="shared" si="24"/>
        <v>1</v>
      </c>
      <c r="AH37" s="172">
        <f t="shared" si="17"/>
        <v>7</v>
      </c>
      <c r="AI37" s="221">
        <f t="shared" si="18"/>
        <v>1.4905516527113494</v>
      </c>
      <c r="AJ37" s="261" t="b">
        <f t="shared" si="19"/>
        <v>0</v>
      </c>
      <c r="AK37" s="261" t="b">
        <f t="shared" si="20"/>
        <v>0</v>
      </c>
      <c r="AL37" s="261"/>
      <c r="AM37" s="261"/>
      <c r="AN37" s="75"/>
    </row>
    <row r="38" spans="1:40" s="6" customFormat="1" ht="11.25" x14ac:dyDescent="0.2">
      <c r="A38" s="56">
        <f t="shared" si="21"/>
        <v>45681</v>
      </c>
      <c r="B38" s="406">
        <f>'2024'!Wh/'2024'!Env_an*'2025'!Env_an</f>
        <v>116.6009080546518</v>
      </c>
      <c r="C38" s="385"/>
      <c r="D38" s="388">
        <f t="shared" si="0"/>
        <v>118.62466748615029</v>
      </c>
      <c r="E38" s="380">
        <f t="shared" si="1"/>
        <v>122.04944903019097</v>
      </c>
      <c r="F38" s="380">
        <f t="shared" si="2"/>
        <v>122.25706830537692</v>
      </c>
      <c r="G38" s="110">
        <f t="shared" si="22"/>
        <v>1.000721756393286</v>
      </c>
      <c r="H38" s="409" t="b">
        <f>Wh_hp&gt;='2024'!Maxi_hp</f>
        <v>1</v>
      </c>
      <c r="I38" s="375">
        <f>IF(H38,Wh_hp,'2024'!Maxi_hp)</f>
        <v>122.25706830537692</v>
      </c>
      <c r="J38" s="85">
        <f>IF(H38,An,'2024'!An_max)</f>
        <v>2025</v>
      </c>
      <c r="K38" s="193">
        <f t="shared" si="3"/>
        <v>45681</v>
      </c>
      <c r="L38" s="143">
        <f>IF(t&lt;Tvie,1-EXP((T0-t)*PertePVj)+'2024'!Pspv,1-EXP((T0-t)*PertePVj)+Pspv)</f>
        <v>1.7060190552144361E-2</v>
      </c>
      <c r="M38" s="835"/>
      <c r="N38" s="835"/>
      <c r="O38" s="48">
        <f>IF(t&lt;Tnet,'2024'!Resal+('2024'!Salim-'2024'!Resal)*(1-EXP(('2024'!Tnet-t)/('2024'!Tau_j))),Resal+(Salim-Resal)*(1-EXP((Tnet-t)/(Tau_j))))*Salcycl</f>
        <v>2.8060606346477696E-2</v>
      </c>
      <c r="P38" s="165">
        <f>(INDEX(Models!$BJ38:$BT38,,T38)*(1-R38)+INDEX(Models!$BJ38:$BT38,,T38+1)*R38-ERP_i)*Q38*Ramure*Pc/MaxiM</f>
        <v>1.698218991047251E-3</v>
      </c>
      <c r="Q38" s="301">
        <f t="shared" si="4"/>
        <v>0.5</v>
      </c>
      <c r="R38" s="173">
        <f t="shared" si="5"/>
        <v>0.49062350442157876</v>
      </c>
      <c r="S38" s="801">
        <f t="shared" si="6"/>
        <v>1</v>
      </c>
      <c r="T38" s="172">
        <f t="shared" si="7"/>
        <v>7</v>
      </c>
      <c r="U38" s="247">
        <f t="shared" si="8"/>
        <v>1.4906235044215788</v>
      </c>
      <c r="V38" s="378">
        <f t="shared" si="9"/>
        <v>116.51681130116988</v>
      </c>
      <c r="W38" s="397">
        <f t="shared" si="10"/>
        <v>116.6009080546518</v>
      </c>
      <c r="X38" s="153">
        <f t="shared" si="11"/>
        <v>45681</v>
      </c>
      <c r="Y38" s="380">
        <f t="shared" si="12"/>
        <v>113.25353664788484</v>
      </c>
      <c r="Z38" s="380">
        <f t="shared" si="13"/>
        <v>115.21919812313072</v>
      </c>
      <c r="AA38" s="381">
        <f t="shared" si="14"/>
        <v>122.04944903019097</v>
      </c>
      <c r="AB38" s="193">
        <f t="shared" si="15"/>
        <v>45681</v>
      </c>
      <c r="AC38" s="119">
        <f>IF(OR(t&lt;Tnet,NoTnet),'2024'!Resal_s+('2024'!Salim-'2024'!Resal_s)*(1-EXP(('2024'!Tnet_s-t)/'2024'!Tau_j)),Resal_s+(Salim-Resal_s)*(1-EXP((Tnet_s-t)/Tau_j)))*Salcycl</f>
        <v>5.596298026196464E-2</v>
      </c>
      <c r="AD38" s="227">
        <f>(INDEX(Models!$BJ38:$BT38,,AH38)*(1-AF38)+INDEX(Models!$BJ38:$BT38,,AH38+1)*AF38-ERP_i)*AE38*Ramure*Pc/MaxiM</f>
        <v>1.698218991047251E-3</v>
      </c>
      <c r="AE38" s="301">
        <f t="shared" si="16"/>
        <v>0.5</v>
      </c>
      <c r="AF38" s="173">
        <f t="shared" si="23"/>
        <v>0.49062350442157876</v>
      </c>
      <c r="AG38" s="801">
        <f t="shared" si="24"/>
        <v>1</v>
      </c>
      <c r="AH38" s="172">
        <f t="shared" si="17"/>
        <v>7</v>
      </c>
      <c r="AI38" s="221">
        <f t="shared" si="18"/>
        <v>1.4906235044215788</v>
      </c>
      <c r="AJ38" s="261" t="b">
        <f t="shared" si="19"/>
        <v>0</v>
      </c>
      <c r="AK38" s="261" t="b">
        <f t="shared" si="20"/>
        <v>0</v>
      </c>
      <c r="AL38" s="261"/>
      <c r="AM38" s="261"/>
      <c r="AN38" s="75"/>
    </row>
    <row r="39" spans="1:40" s="6" customFormat="1" ht="11.25" x14ac:dyDescent="0.2">
      <c r="A39" s="56">
        <f t="shared" si="21"/>
        <v>45682</v>
      </c>
      <c r="B39" s="406">
        <f>'2024'!Wh/'2024'!Env_an*'2025'!Env_an</f>
        <v>115.52272024525486</v>
      </c>
      <c r="C39" s="385"/>
      <c r="D39" s="388">
        <f t="shared" si="0"/>
        <v>117.52937521253219</v>
      </c>
      <c r="E39" s="380">
        <f t="shared" si="1"/>
        <v>120.92958568756413</v>
      </c>
      <c r="F39" s="380">
        <f t="shared" si="2"/>
        <v>121.12417593029559</v>
      </c>
      <c r="G39" s="110">
        <f t="shared" si="22"/>
        <v>0.98105942151395253</v>
      </c>
      <c r="H39" s="409" t="b">
        <f>Wh_hp&gt;='2024'!Maxi_hp</f>
        <v>0</v>
      </c>
      <c r="I39" s="375">
        <f>IF(H39,Wh_hp,'2024'!Maxi_hp)</f>
        <v>121.12958041502201</v>
      </c>
      <c r="J39" s="85">
        <f>IF(H39,An,'2024'!An_max)</f>
        <v>2022</v>
      </c>
      <c r="K39" s="193">
        <f t="shared" si="3"/>
        <v>45682</v>
      </c>
      <c r="L39" s="143">
        <f>IF(t&lt;Tvie,1-EXP((T0-t)*PertePVj)+'2024'!Pspv,1-EXP((T0-t)*PertePVj)+Pspv)</f>
        <v>1.7073646172700463E-2</v>
      </c>
      <c r="M39" s="835"/>
      <c r="N39" s="835"/>
      <c r="O39" s="48">
        <f>IF(t&lt;Tnet,'2024'!Resal+('2024'!Salim-'2024'!Resal)*(1-EXP(('2024'!Tnet-t)/('2024'!Tau_j))),Resal+(Salim-Resal)*(1-EXP((Tnet-t)/(Tau_j))))*Salcycl</f>
        <v>2.811727548473365E-2</v>
      </c>
      <c r="P39" s="165">
        <f>(INDEX(Models!$BJ39:$BT39,,T39)*(1-R39)+INDEX(Models!$BJ39:$BT39,,T39+1)*R39-ERP_i)*Q39*Ramure*Pc/MaxiM</f>
        <v>1.6511074226172406E-3</v>
      </c>
      <c r="Q39" s="301">
        <f t="shared" si="4"/>
        <v>0.5</v>
      </c>
      <c r="R39" s="173">
        <f t="shared" si="5"/>
        <v>0.49069834845298699</v>
      </c>
      <c r="S39" s="801">
        <f t="shared" si="6"/>
        <v>1</v>
      </c>
      <c r="T39" s="172">
        <f t="shared" si="7"/>
        <v>7</v>
      </c>
      <c r="U39" s="247">
        <f t="shared" si="8"/>
        <v>1.490698348452987</v>
      </c>
      <c r="V39" s="378">
        <f t="shared" si="9"/>
        <v>117.74777379744243</v>
      </c>
      <c r="W39" s="397">
        <f t="shared" si="10"/>
        <v>115.52272024525486</v>
      </c>
      <c r="X39" s="153">
        <f t="shared" si="11"/>
        <v>45682</v>
      </c>
      <c r="Y39" s="380">
        <f t="shared" si="12"/>
        <v>112.20976678595079</v>
      </c>
      <c r="Z39" s="380">
        <f t="shared" si="13"/>
        <v>114.15887502561162</v>
      </c>
      <c r="AA39" s="381">
        <f t="shared" si="14"/>
        <v>120.92958568756413</v>
      </c>
      <c r="AB39" s="193">
        <f t="shared" si="15"/>
        <v>45682</v>
      </c>
      <c r="AC39" s="119">
        <f>IF(OR(t&lt;Tnet,NoTnet),'2024'!Resal_s+('2024'!Salim-'2024'!Resal_s)*(1-EXP(('2024'!Tnet_s-t)/'2024'!Tau_j)),Resal_s+(Salim-Resal_s)*(1-EXP((Tnet_s-t)/Tau_j)))*Salcycl</f>
        <v>5.5988868426668052E-2</v>
      </c>
      <c r="AD39" s="227">
        <f>(INDEX(Models!$BJ39:$BT39,,AH39)*(1-AF39)+INDEX(Models!$BJ39:$BT39,,AH39+1)*AF39-ERP_i)*AE39*Ramure*Pc/MaxiM</f>
        <v>1.6511074226172406E-3</v>
      </c>
      <c r="AE39" s="301">
        <f t="shared" si="16"/>
        <v>0.5</v>
      </c>
      <c r="AF39" s="173">
        <f t="shared" si="23"/>
        <v>0.49069834845298699</v>
      </c>
      <c r="AG39" s="801">
        <f t="shared" si="24"/>
        <v>1</v>
      </c>
      <c r="AH39" s="172">
        <f t="shared" si="17"/>
        <v>7</v>
      </c>
      <c r="AI39" s="221">
        <f t="shared" si="18"/>
        <v>1.490698348452987</v>
      </c>
      <c r="AJ39" s="261" t="b">
        <f t="shared" si="19"/>
        <v>0</v>
      </c>
      <c r="AK39" s="261" t="b">
        <f t="shared" si="20"/>
        <v>0</v>
      </c>
      <c r="AL39" s="261"/>
      <c r="AM39" s="261"/>
      <c r="AN39" s="75"/>
    </row>
    <row r="40" spans="1:40" s="6" customFormat="1" ht="11.25" x14ac:dyDescent="0.2">
      <c r="A40" s="56">
        <f t="shared" si="21"/>
        <v>45683</v>
      </c>
      <c r="B40" s="406">
        <f>'2024'!Wh/'2024'!Env_an*'2025'!Env_an</f>
        <v>117.55609092511321</v>
      </c>
      <c r="C40" s="385"/>
      <c r="D40" s="388">
        <f t="shared" si="0"/>
        <v>119.59970320621122</v>
      </c>
      <c r="E40" s="380">
        <f t="shared" si="1"/>
        <v>123.06698318893811</v>
      </c>
      <c r="F40" s="380">
        <f t="shared" si="2"/>
        <v>123.26109953833782</v>
      </c>
      <c r="G40" s="110">
        <f t="shared" si="22"/>
        <v>0.98780617365442758</v>
      </c>
      <c r="H40" s="409" t="b">
        <f>Wh_hp&gt;='2024'!Maxi_hp</f>
        <v>0</v>
      </c>
      <c r="I40" s="375">
        <f>IF(H40,Wh_hp,'2024'!Maxi_hp)</f>
        <v>123.264536354387</v>
      </c>
      <c r="J40" s="85">
        <f>IF(H40,An,'2024'!An_max)</f>
        <v>2022</v>
      </c>
      <c r="K40" s="193">
        <f t="shared" si="3"/>
        <v>45683</v>
      </c>
      <c r="L40" s="143">
        <f>IF(t&lt;Tvie,1-EXP((T0-t)*PertePVj)+'2024'!Pspv,1-EXP((T0-t)*PertePVj)+Pspv)</f>
        <v>1.7087101609060462E-2</v>
      </c>
      <c r="M40" s="835"/>
      <c r="N40" s="835"/>
      <c r="O40" s="48">
        <f>IF(t&lt;Tnet,'2024'!Resal+('2024'!Salim-'2024'!Resal)*(1-EXP(('2024'!Tnet-t)/('2024'!Tau_j))),Resal+(Salim-Resal)*(1-EXP((Tnet-t)/(Tau_j))))*Salcycl</f>
        <v>2.8173925230650806E-2</v>
      </c>
      <c r="P40" s="165">
        <f>(INDEX(Models!$BJ40:$BT40,,T40)*(1-R40)+INDEX(Models!$BJ40:$BT40,,T40+1)*R40-ERP_i)*Q40*Ramure*Pc/MaxiM</f>
        <v>1.602694131047555E-3</v>
      </c>
      <c r="Q40" s="301">
        <f t="shared" si="4"/>
        <v>0.5</v>
      </c>
      <c r="R40" s="173">
        <f t="shared" si="5"/>
        <v>0.49077630846537978</v>
      </c>
      <c r="S40" s="801">
        <f t="shared" si="6"/>
        <v>1</v>
      </c>
      <c r="T40" s="172">
        <f t="shared" si="7"/>
        <v>7</v>
      </c>
      <c r="U40" s="247">
        <f t="shared" si="8"/>
        <v>1.4907763084653798</v>
      </c>
      <c r="V40" s="378">
        <f t="shared" si="9"/>
        <v>119.00392437236215</v>
      </c>
      <c r="W40" s="397">
        <f t="shared" si="10"/>
        <v>117.55609092511321</v>
      </c>
      <c r="X40" s="153">
        <f t="shared" si="11"/>
        <v>45683</v>
      </c>
      <c r="Y40" s="380">
        <f t="shared" si="12"/>
        <v>114.18834211728948</v>
      </c>
      <c r="Z40" s="380">
        <f t="shared" si="13"/>
        <v>116.17340896046792</v>
      </c>
      <c r="AA40" s="381">
        <f t="shared" si="14"/>
        <v>123.06698318893811</v>
      </c>
      <c r="AB40" s="193">
        <f t="shared" si="15"/>
        <v>45683</v>
      </c>
      <c r="AC40" s="119">
        <f>IF(OR(t&lt;Tnet,NoTnet),'2024'!Resal_s+('2024'!Salim-'2024'!Resal_s)*(1-EXP(('2024'!Tnet_s-t)/'2024'!Tau_j)),Resal_s+(Salim-Resal_s)*(1-EXP((Tnet_s-t)/Tau_j)))*Salcycl</f>
        <v>5.6014814451792128E-2</v>
      </c>
      <c r="AD40" s="227">
        <f>(INDEX(Models!$BJ40:$BT40,,AH40)*(1-AF40)+INDEX(Models!$BJ40:$BT40,,AH40+1)*AF40-ERP_i)*AE40*Ramure*Pc/MaxiM</f>
        <v>1.602694131047555E-3</v>
      </c>
      <c r="AE40" s="301">
        <f t="shared" si="16"/>
        <v>0.5</v>
      </c>
      <c r="AF40" s="173">
        <f t="shared" si="23"/>
        <v>0.49077630846537978</v>
      </c>
      <c r="AG40" s="801">
        <f t="shared" si="24"/>
        <v>1</v>
      </c>
      <c r="AH40" s="172">
        <f t="shared" si="17"/>
        <v>7</v>
      </c>
      <c r="AI40" s="221">
        <f t="shared" si="18"/>
        <v>1.4907763084653798</v>
      </c>
      <c r="AJ40" s="261" t="b">
        <f t="shared" si="19"/>
        <v>0</v>
      </c>
      <c r="AK40" s="261" t="b">
        <f t="shared" si="20"/>
        <v>0</v>
      </c>
      <c r="AL40" s="261"/>
      <c r="AM40" s="261"/>
      <c r="AN40" s="75"/>
    </row>
    <row r="41" spans="1:40" s="6" customFormat="1" ht="11.25" x14ac:dyDescent="0.2">
      <c r="A41" s="56">
        <f t="shared" si="21"/>
        <v>45684</v>
      </c>
      <c r="B41" s="406">
        <f>'2024'!Wh/'2024'!Env_an*'2025'!Env_an</f>
        <v>119.47160684292669</v>
      </c>
      <c r="C41" s="385"/>
      <c r="D41" s="388">
        <f t="shared" si="0"/>
        <v>121.55018265287467</v>
      </c>
      <c r="E41" s="380">
        <f t="shared" si="1"/>
        <v>125.08129726990448</v>
      </c>
      <c r="F41" s="380">
        <f t="shared" si="2"/>
        <v>125.27398216449295</v>
      </c>
      <c r="G41" s="110">
        <f t="shared" si="22"/>
        <v>0.99323782270974037</v>
      </c>
      <c r="H41" s="409" t="b">
        <f>Wh_hp&gt;='2024'!Maxi_hp</f>
        <v>0</v>
      </c>
      <c r="I41" s="375">
        <f>IF(H41,Wh_hp,'2024'!Maxi_hp)</f>
        <v>125.27585917077172</v>
      </c>
      <c r="J41" s="85">
        <f>IF(H41,An,'2024'!An_max)</f>
        <v>2022</v>
      </c>
      <c r="K41" s="193">
        <f t="shared" si="3"/>
        <v>45684</v>
      </c>
      <c r="L41" s="143">
        <f>IF(t&lt;Tvie,1-EXP((T0-t)*PertePVj)+'2024'!Pspv,1-EXP((T0-t)*PertePVj)+Pspv)</f>
        <v>1.710055686122669E-2</v>
      </c>
      <c r="M41" s="835"/>
      <c r="N41" s="835"/>
      <c r="O41" s="48">
        <f>IF(t&lt;Tnet,'2024'!Resal+('2024'!Salim-'2024'!Resal)*(1-EXP(('2024'!Tnet-t)/('2024'!Tau_j))),Resal+(Salim-Resal)*(1-EXP((Tnet-t)/(Tau_j))))*Salcycl</f>
        <v>2.8230556398933598E-2</v>
      </c>
      <c r="P41" s="165">
        <f>(INDEX(Models!$BJ41:$BT41,,T41)*(1-R41)+INDEX(Models!$BJ41:$BT41,,T41+1)*R41-ERP_i)*Q41*Ramure*Pc/MaxiM</f>
        <v>1.5530779293386849E-3</v>
      </c>
      <c r="Q41" s="301">
        <f t="shared" si="4"/>
        <v>0.5</v>
      </c>
      <c r="R41" s="173">
        <f t="shared" si="5"/>
        <v>0.4908575131472015</v>
      </c>
      <c r="S41" s="801">
        <f t="shared" si="6"/>
        <v>1</v>
      </c>
      <c r="T41" s="172">
        <f t="shared" si="7"/>
        <v>7</v>
      </c>
      <c r="U41" s="247">
        <f t="shared" si="8"/>
        <v>1.4908575131472015</v>
      </c>
      <c r="V41" s="378">
        <f t="shared" si="9"/>
        <v>120.28319185597469</v>
      </c>
      <c r="W41" s="397">
        <f t="shared" si="10"/>
        <v>119.47160684292669</v>
      </c>
      <c r="X41" s="153">
        <f t="shared" si="11"/>
        <v>45684</v>
      </c>
      <c r="Y41" s="380">
        <f t="shared" si="12"/>
        <v>116.05254809936061</v>
      </c>
      <c r="Z41" s="380">
        <f t="shared" si="13"/>
        <v>118.07163887361712</v>
      </c>
      <c r="AA41" s="381">
        <f t="shared" si="14"/>
        <v>125.08129726990448</v>
      </c>
      <c r="AB41" s="193">
        <f t="shared" si="15"/>
        <v>45684</v>
      </c>
      <c r="AC41" s="119">
        <f>IF(OR(t&lt;Tnet,NoTnet),'2024'!Resal_s+('2024'!Salim-'2024'!Resal_s)*(1-EXP(('2024'!Tnet_s-t)/'2024'!Tau_j)),Resal_s+(Salim-Resal_s)*(1-EXP((Tnet_s-t)/Tau_j)))*Salcycl</f>
        <v>5.6040819445306068E-2</v>
      </c>
      <c r="AD41" s="227">
        <f>(INDEX(Models!$BJ41:$BT41,,AH41)*(1-AF41)+INDEX(Models!$BJ41:$BT41,,AH41+1)*AF41-ERP_i)*AE41*Ramure*Pc/MaxiM</f>
        <v>1.5530779293386849E-3</v>
      </c>
      <c r="AE41" s="301">
        <f t="shared" si="16"/>
        <v>0.5</v>
      </c>
      <c r="AF41" s="173">
        <f t="shared" si="23"/>
        <v>0.4908575131472015</v>
      </c>
      <c r="AG41" s="801">
        <f t="shared" si="24"/>
        <v>1</v>
      </c>
      <c r="AH41" s="172">
        <f t="shared" si="17"/>
        <v>7</v>
      </c>
      <c r="AI41" s="221">
        <f t="shared" si="18"/>
        <v>1.4908575131472015</v>
      </c>
      <c r="AJ41" s="261" t="b">
        <f t="shared" si="19"/>
        <v>0</v>
      </c>
      <c r="AK41" s="261" t="b">
        <f t="shared" si="20"/>
        <v>0</v>
      </c>
      <c r="AL41" s="261"/>
      <c r="AM41" s="261"/>
      <c r="AN41" s="75"/>
    </row>
    <row r="42" spans="1:40" s="6" customFormat="1" ht="11.25" x14ac:dyDescent="0.2">
      <c r="A42" s="56">
        <f t="shared" si="21"/>
        <v>45685</v>
      </c>
      <c r="B42" s="406">
        <f>'2024'!Wh/'2024'!Env_an*'2025'!Env_an</f>
        <v>18.510025277819562</v>
      </c>
      <c r="C42" s="385"/>
      <c r="D42" s="388">
        <f t="shared" si="0"/>
        <v>18.832321858765038</v>
      </c>
      <c r="E42" s="380">
        <f t="shared" si="1"/>
        <v>19.38054255181871</v>
      </c>
      <c r="F42" s="380">
        <f t="shared" si="2"/>
        <v>19.38054255181871</v>
      </c>
      <c r="G42" s="110">
        <f t="shared" si="22"/>
        <v>0.15201253331135786</v>
      </c>
      <c r="H42" s="409" t="b">
        <f>Wh_hp&gt;='2024'!Maxi_hp</f>
        <v>0</v>
      </c>
      <c r="I42" s="375">
        <f>IF(H42,Wh_hp,'2024'!Maxi_hp)</f>
        <v>19.409681636189191</v>
      </c>
      <c r="J42" s="85">
        <f>IF(H42,An,'2024'!An_max)</f>
        <v>2022</v>
      </c>
      <c r="K42" s="193">
        <f t="shared" si="3"/>
        <v>45685</v>
      </c>
      <c r="L42" s="143">
        <f>IF(t&lt;Tvie,1-EXP((T0-t)*PertePVj)+'2024'!Pspv,1-EXP((T0-t)*PertePVj)+Pspv)</f>
        <v>1.7114011929201922E-2</v>
      </c>
      <c r="M42" s="835"/>
      <c r="N42" s="835"/>
      <c r="O42" s="48">
        <f>IF(t&lt;Tnet,'2024'!Resal+('2024'!Salim-'2024'!Resal)*(1-EXP(('2024'!Tnet-t)/('2024'!Tau_j))),Resal+(Salim-Resal)*(1-EXP((Tnet-t)/(Tau_j))))*Salcycl</f>
        <v>2.8287169545840426E-2</v>
      </c>
      <c r="P42" s="165">
        <f>(INDEX(Models!$BJ42:$BT42,,T42)*(1-R42)+INDEX(Models!$BJ42:$BT42,,T42+1)*R42-ERP_i)*Q42*Ramure*Pc/MaxiM</f>
        <v>1.502351067780492E-3</v>
      </c>
      <c r="Q42" s="301">
        <f t="shared" si="4"/>
        <v>0.5</v>
      </c>
      <c r="R42" s="173">
        <f t="shared" si="5"/>
        <v>0.49094209641304754</v>
      </c>
      <c r="S42" s="801">
        <f t="shared" si="6"/>
        <v>1</v>
      </c>
      <c r="T42" s="172">
        <f t="shared" si="7"/>
        <v>7</v>
      </c>
      <c r="U42" s="247">
        <f t="shared" si="8"/>
        <v>1.4909420964130475</v>
      </c>
      <c r="V42" s="378">
        <f t="shared" si="9"/>
        <v>121.58350577397988</v>
      </c>
      <c r="W42" s="397">
        <f t="shared" si="10"/>
        <v>18.510025277819562</v>
      </c>
      <c r="X42" s="153">
        <f t="shared" si="11"/>
        <v>45685</v>
      </c>
      <c r="Y42" s="380">
        <f t="shared" si="12"/>
        <v>17.980853283166695</v>
      </c>
      <c r="Z42" s="380">
        <f t="shared" si="13"/>
        <v>18.293935920746403</v>
      </c>
      <c r="AA42" s="381">
        <f t="shared" si="14"/>
        <v>19.38054255181871</v>
      </c>
      <c r="AB42" s="193">
        <f t="shared" si="15"/>
        <v>45685</v>
      </c>
      <c r="AC42" s="119">
        <f>IF(OR(t&lt;Tnet,NoTnet),'2024'!Resal_s+('2024'!Salim-'2024'!Resal_s)*(1-EXP(('2024'!Tnet_s-t)/'2024'!Tau_j)),Resal_s+(Salim-Resal_s)*(1-EXP((Tnet_s-t)/Tau_j)))*Salcycl</f>
        <v>5.6066883998061014E-2</v>
      </c>
      <c r="AD42" s="227">
        <f>(INDEX(Models!$BJ42:$BT42,,AH42)*(1-AF42)+INDEX(Models!$BJ42:$BT42,,AH42+1)*AF42-ERP_i)*AE42*Ramure*Pc/MaxiM</f>
        <v>1.502351067780492E-3</v>
      </c>
      <c r="AE42" s="301">
        <f t="shared" si="16"/>
        <v>0.5</v>
      </c>
      <c r="AF42" s="173">
        <f t="shared" si="23"/>
        <v>0.49094209641304754</v>
      </c>
      <c r="AG42" s="801">
        <f t="shared" si="24"/>
        <v>1</v>
      </c>
      <c r="AH42" s="172">
        <f t="shared" si="17"/>
        <v>7</v>
      </c>
      <c r="AI42" s="221">
        <f t="shared" si="18"/>
        <v>1.4909420964130475</v>
      </c>
      <c r="AJ42" s="261" t="b">
        <f t="shared" si="19"/>
        <v>0</v>
      </c>
      <c r="AK42" s="261" t="b">
        <f t="shared" si="20"/>
        <v>0</v>
      </c>
      <c r="AL42" s="261"/>
      <c r="AM42" s="261"/>
      <c r="AN42" s="75"/>
    </row>
    <row r="43" spans="1:40" s="6" customFormat="1" ht="11.25" x14ac:dyDescent="0.2">
      <c r="A43" s="56">
        <f t="shared" si="21"/>
        <v>45686</v>
      </c>
      <c r="B43" s="406">
        <f>'2024'!Wh/'2024'!Env_an*'2025'!Env_an</f>
        <v>29.011937021073088</v>
      </c>
      <c r="C43" s="385"/>
      <c r="D43" s="388">
        <f t="shared" si="0"/>
        <v>29.517496970843705</v>
      </c>
      <c r="E43" s="380">
        <f t="shared" si="1"/>
        <v>30.378539143770308</v>
      </c>
      <c r="F43" s="380">
        <f t="shared" si="2"/>
        <v>30.378539143770308</v>
      </c>
      <c r="G43" s="110">
        <f t="shared" si="22"/>
        <v>0.23571353293949845</v>
      </c>
      <c r="H43" s="409" t="b">
        <f>Wh_hp&gt;='2024'!Maxi_hp</f>
        <v>0</v>
      </c>
      <c r="I43" s="375">
        <f>IF(H43,Wh_hp,'2024'!Maxi_hp)</f>
        <v>30.422636176591364</v>
      </c>
      <c r="J43" s="85">
        <f>IF(H43,An,'2024'!An_max)</f>
        <v>2022</v>
      </c>
      <c r="K43" s="193">
        <f t="shared" si="3"/>
        <v>45686</v>
      </c>
      <c r="L43" s="143">
        <f>IF(t&lt;Tvie,1-EXP((T0-t)*PertePVj)+'2024'!Pspv,1-EXP((T0-t)*PertePVj)+Pspv)</f>
        <v>1.7127466812988601E-2</v>
      </c>
      <c r="M43" s="835"/>
      <c r="N43" s="835"/>
      <c r="O43" s="48">
        <f>IF(t&lt;Tnet,'2024'!Resal+('2024'!Salim-'2024'!Resal)*(1-EXP(('2024'!Tnet-t)/('2024'!Tau_j))),Resal+(Salim-Resal)*(1-EXP((Tnet-t)/(Tau_j))))*Salcycl</f>
        <v>2.8343764947076924E-2</v>
      </c>
      <c r="P43" s="165">
        <f>(INDEX(Models!$BJ43:$BT43,,T43)*(1-R43)+INDEX(Models!$BJ43:$BT43,,T43+1)*R43-ERP_i)*Q43*Ramure*Pc/MaxiM</f>
        <v>1.4505991974099312E-3</v>
      </c>
      <c r="Q43" s="301">
        <f t="shared" si="4"/>
        <v>0.5</v>
      </c>
      <c r="R43" s="173">
        <f t="shared" si="5"/>
        <v>0.49103019760833266</v>
      </c>
      <c r="S43" s="801">
        <f t="shared" si="6"/>
        <v>1</v>
      </c>
      <c r="T43" s="172">
        <f t="shared" si="7"/>
        <v>7</v>
      </c>
      <c r="U43" s="247">
        <f t="shared" si="8"/>
        <v>1.4910301976083327</v>
      </c>
      <c r="V43" s="378">
        <f t="shared" si="9"/>
        <v>122.90279631908457</v>
      </c>
      <c r="W43" s="397">
        <f t="shared" si="10"/>
        <v>29.011937021073088</v>
      </c>
      <c r="X43" s="153">
        <f t="shared" si="11"/>
        <v>45686</v>
      </c>
      <c r="Y43" s="380">
        <f t="shared" si="12"/>
        <v>28.183393687567399</v>
      </c>
      <c r="Z43" s="380">
        <f t="shared" si="13"/>
        <v>28.674515500175175</v>
      </c>
      <c r="AA43" s="381">
        <f t="shared" si="14"/>
        <v>30.378539143770308</v>
      </c>
      <c r="AB43" s="193">
        <f t="shared" si="15"/>
        <v>45686</v>
      </c>
      <c r="AC43" s="119">
        <f>IF(OR(t&lt;Tnet,NoTnet),'2024'!Resal_s+('2024'!Salim-'2024'!Resal_s)*(1-EXP(('2024'!Tnet_s-t)/'2024'!Tau_j)),Resal_s+(Salim-Resal_s)*(1-EXP((Tnet_s-t)/Tau_j)))*Salcycl</f>
        <v>5.6093008144026367E-2</v>
      </c>
      <c r="AD43" s="227">
        <f>(INDEX(Models!$BJ43:$BT43,,AH43)*(1-AF43)+INDEX(Models!$BJ43:$BT43,,AH43+1)*AF43-ERP_i)*AE43*Ramure*Pc/MaxiM</f>
        <v>1.4505991974099312E-3</v>
      </c>
      <c r="AE43" s="301">
        <f t="shared" si="16"/>
        <v>0.5</v>
      </c>
      <c r="AF43" s="173">
        <f t="shared" si="23"/>
        <v>0.49103019760833266</v>
      </c>
      <c r="AG43" s="801">
        <f t="shared" si="24"/>
        <v>1</v>
      </c>
      <c r="AH43" s="172">
        <f t="shared" si="17"/>
        <v>7</v>
      </c>
      <c r="AI43" s="221">
        <f t="shared" si="18"/>
        <v>1.4910301976083327</v>
      </c>
      <c r="AJ43" s="261" t="b">
        <f t="shared" si="19"/>
        <v>0</v>
      </c>
      <c r="AK43" s="261" t="b">
        <f t="shared" si="20"/>
        <v>0</v>
      </c>
      <c r="AL43" s="261"/>
      <c r="AM43" s="261"/>
      <c r="AN43" s="75"/>
    </row>
    <row r="44" spans="1:40" s="6" customFormat="1" ht="11.25" x14ac:dyDescent="0.2">
      <c r="A44" s="56">
        <f t="shared" si="21"/>
        <v>45687</v>
      </c>
      <c r="B44" s="406">
        <f>'2024'!Wh/'2024'!Env_an*'2025'!Env_an</f>
        <v>26.138904882486727</v>
      </c>
      <c r="C44" s="385"/>
      <c r="D44" s="388">
        <f t="shared" si="0"/>
        <v>26.594763638662908</v>
      </c>
      <c r="E44" s="380">
        <f t="shared" si="1"/>
        <v>27.372141844211917</v>
      </c>
      <c r="F44" s="380">
        <f t="shared" si="2"/>
        <v>27.372141844211917</v>
      </c>
      <c r="G44" s="110">
        <f t="shared" si="22"/>
        <v>0.2100980082559159</v>
      </c>
      <c r="H44" s="409" t="b">
        <f>Wh_hp&gt;='2024'!Maxi_hp</f>
        <v>0</v>
      </c>
      <c r="I44" s="375">
        <f>IF(H44,Wh_hp,'2024'!Maxi_hp)</f>
        <v>27.410360787722297</v>
      </c>
      <c r="J44" s="85">
        <f>IF(H44,An,'2024'!An_max)</f>
        <v>2022</v>
      </c>
      <c r="K44" s="193">
        <f t="shared" si="3"/>
        <v>45687</v>
      </c>
      <c r="L44" s="143">
        <f>IF(t&lt;Tvie,1-EXP((T0-t)*PertePVj)+'2024'!Pspv,1-EXP((T0-t)*PertePVj)+Pspv)</f>
        <v>1.7140921512589169E-2</v>
      </c>
      <c r="M44" s="835"/>
      <c r="N44" s="835"/>
      <c r="O44" s="48">
        <f>IF(t&lt;Tnet,'2024'!Resal+('2024'!Salim-'2024'!Resal)*(1-EXP(('2024'!Tnet-t)/('2024'!Tau_j))),Resal+(Salim-Resal)*(1-EXP((Tnet-t)/(Tau_j))))*Salcycl</f>
        <v>2.8400342580914745E-2</v>
      </c>
      <c r="P44" s="165">
        <f>(INDEX(Models!$BJ44:$BT44,,T44)*(1-R44)+INDEX(Models!$BJ44:$BT44,,T44+1)*R44-ERP_i)*Q44*Ramure*Pc/MaxiM</f>
        <v>1.3954724632725666E-3</v>
      </c>
      <c r="Q44" s="301">
        <f t="shared" si="4"/>
        <v>0.5</v>
      </c>
      <c r="R44" s="173">
        <f t="shared" si="5"/>
        <v>0.49112196172132627</v>
      </c>
      <c r="S44" s="801">
        <f t="shared" si="6"/>
        <v>1</v>
      </c>
      <c r="T44" s="172">
        <f t="shared" si="7"/>
        <v>7</v>
      </c>
      <c r="U44" s="247">
        <f t="shared" si="8"/>
        <v>1.4911219617213263</v>
      </c>
      <c r="V44" s="378">
        <f t="shared" si="9"/>
        <v>124.23929658918188</v>
      </c>
      <c r="W44" s="397">
        <f t="shared" si="10"/>
        <v>26.138904882486727</v>
      </c>
      <c r="X44" s="153">
        <f t="shared" si="11"/>
        <v>45687</v>
      </c>
      <c r="Y44" s="380">
        <f t="shared" si="12"/>
        <v>25.393185855721978</v>
      </c>
      <c r="Z44" s="380">
        <f t="shared" si="13"/>
        <v>25.836039378912073</v>
      </c>
      <c r="AA44" s="381">
        <f t="shared" si="14"/>
        <v>27.372141844211917</v>
      </c>
      <c r="AB44" s="193">
        <f t="shared" si="15"/>
        <v>45687</v>
      </c>
      <c r="AC44" s="119">
        <f>IF(OR(t&lt;Tnet,NoTnet),'2024'!Resal_s+('2024'!Salim-'2024'!Resal_s)*(1-EXP(('2024'!Tnet_s-t)/'2024'!Tau_j)),Resal_s+(Salim-Resal_s)*(1-EXP((Tnet_s-t)/Tau_j)))*Salcycl</f>
        <v>5.6119191331191629E-2</v>
      </c>
      <c r="AD44" s="227">
        <f>(INDEX(Models!$BJ44:$BT44,,AH44)*(1-AF44)+INDEX(Models!$BJ44:$BT44,,AH44+1)*AF44-ERP_i)*AE44*Ramure*Pc/MaxiM</f>
        <v>1.3954724632725666E-3</v>
      </c>
      <c r="AE44" s="301">
        <f t="shared" si="16"/>
        <v>0.5</v>
      </c>
      <c r="AF44" s="173">
        <f t="shared" si="23"/>
        <v>0.49112196172132627</v>
      </c>
      <c r="AG44" s="801">
        <f t="shared" si="24"/>
        <v>1</v>
      </c>
      <c r="AH44" s="172">
        <f t="shared" si="17"/>
        <v>7</v>
      </c>
      <c r="AI44" s="221">
        <f t="shared" si="18"/>
        <v>1.4911219617213263</v>
      </c>
      <c r="AJ44" s="261" t="b">
        <f t="shared" si="19"/>
        <v>0</v>
      </c>
      <c r="AK44" s="261" t="b">
        <f t="shared" si="20"/>
        <v>0</v>
      </c>
      <c r="AL44" s="261"/>
      <c r="AM44" s="261"/>
      <c r="AN44" s="75"/>
    </row>
    <row r="45" spans="1:40" s="6" customFormat="1" ht="11.25" x14ac:dyDescent="0.2">
      <c r="A45" s="56">
        <f t="shared" si="21"/>
        <v>45688</v>
      </c>
      <c r="B45" s="406">
        <f>'2024'!Wh/'2024'!Env_an*'2025'!Env_an</f>
        <v>25.978343475901177</v>
      </c>
      <c r="C45" s="385"/>
      <c r="D45" s="388">
        <f t="shared" si="0"/>
        <v>26.431763892801776</v>
      </c>
      <c r="E45" s="380">
        <f t="shared" si="1"/>
        <v>27.20596126964109</v>
      </c>
      <c r="F45" s="380">
        <f t="shared" si="2"/>
        <v>27.20596126964109</v>
      </c>
      <c r="G45" s="110">
        <f t="shared" si="22"/>
        <v>0.20657228659563709</v>
      </c>
      <c r="H45" s="409" t="b">
        <f>Wh_hp&gt;='2024'!Maxi_hp</f>
        <v>0</v>
      </c>
      <c r="I45" s="375">
        <f>IF(H45,Wh_hp,'2024'!Maxi_hp)</f>
        <v>27.242367789857944</v>
      </c>
      <c r="J45" s="85">
        <f>IF(H45,An,'2024'!An_max)</f>
        <v>2022</v>
      </c>
      <c r="K45" s="193">
        <f t="shared" si="3"/>
        <v>45688</v>
      </c>
      <c r="L45" s="143">
        <f>IF(t&lt;Tvie,1-EXP((T0-t)*PertePVj)+'2024'!Pspv,1-EXP((T0-t)*PertePVj)+Pspv)</f>
        <v>1.715437602800618E-2</v>
      </c>
      <c r="M45" s="835"/>
      <c r="N45" s="835"/>
      <c r="O45" s="48">
        <f>IF(t&lt;Tnet,'2024'!Resal+('2024'!Salim-'2024'!Resal)*(1-EXP(('2024'!Tnet-t)/('2024'!Tau_j))),Resal+(Salim-Resal)*(1-EXP((Tnet-t)/(Tau_j))))*Salcycl</f>
        <v>2.8456902116641449E-2</v>
      </c>
      <c r="P45" s="165">
        <f>(INDEX(Models!$BJ45:$BT45,,T45)*(1-R45)+INDEX(Models!$BJ45:$BT45,,T45+1)*R45-ERP_i)*Q45*Ramure*Pc/MaxiM</f>
        <v>1.3375657668230902E-3</v>
      </c>
      <c r="Q45" s="301">
        <f t="shared" si="4"/>
        <v>0.5</v>
      </c>
      <c r="R45" s="173">
        <f t="shared" si="5"/>
        <v>0.49121753960275627</v>
      </c>
      <c r="S45" s="801">
        <f t="shared" si="6"/>
        <v>1</v>
      </c>
      <c r="T45" s="172">
        <f t="shared" si="7"/>
        <v>7</v>
      </c>
      <c r="U45" s="247">
        <f t="shared" si="8"/>
        <v>1.4912175396027563</v>
      </c>
      <c r="V45" s="378">
        <f t="shared" si="9"/>
        <v>125.59088230345888</v>
      </c>
      <c r="W45" s="397">
        <f t="shared" si="10"/>
        <v>25.978343475901177</v>
      </c>
      <c r="X45" s="153">
        <f t="shared" si="11"/>
        <v>45688</v>
      </c>
      <c r="Y45" s="380">
        <f t="shared" si="12"/>
        <v>25.237972666109112</v>
      </c>
      <c r="Z45" s="380">
        <f t="shared" si="13"/>
        <v>25.678470810211664</v>
      </c>
      <c r="AA45" s="381">
        <f t="shared" si="14"/>
        <v>27.20596126964109</v>
      </c>
      <c r="AB45" s="193">
        <f t="shared" si="15"/>
        <v>45688</v>
      </c>
      <c r="AC45" s="119">
        <f>IF(OR(t&lt;Tnet,NoTnet),'2024'!Resal_s+('2024'!Salim-'2024'!Resal_s)*(1-EXP(('2024'!Tnet_s-t)/'2024'!Tau_j)),Resal_s+(Salim-Resal_s)*(1-EXP((Tnet_s-t)/Tau_j)))*Salcycl</f>
        <v>5.6145432403226225E-2</v>
      </c>
      <c r="AD45" s="227">
        <f>(INDEX(Models!$BJ45:$BT45,,AH45)*(1-AF45)+INDEX(Models!$BJ45:$BT45,,AH45+1)*AF45-ERP_i)*AE45*Ramure*Pc/MaxiM</f>
        <v>1.3375657668230902E-3</v>
      </c>
      <c r="AE45" s="301">
        <f t="shared" si="16"/>
        <v>0.5</v>
      </c>
      <c r="AF45" s="173">
        <f t="shared" si="23"/>
        <v>0.49121753960275627</v>
      </c>
      <c r="AG45" s="801">
        <f t="shared" si="24"/>
        <v>1</v>
      </c>
      <c r="AH45" s="172">
        <f t="shared" si="17"/>
        <v>7</v>
      </c>
      <c r="AI45" s="221">
        <f t="shared" si="18"/>
        <v>1.4912175396027563</v>
      </c>
      <c r="AJ45" s="261" t="b">
        <f t="shared" si="19"/>
        <v>0</v>
      </c>
      <c r="AK45" s="261" t="b">
        <f t="shared" si="20"/>
        <v>0</v>
      </c>
      <c r="AL45" s="261"/>
      <c r="AM45" s="261"/>
      <c r="AN45" s="75"/>
    </row>
    <row r="46" spans="1:40" s="6" customFormat="1" ht="11.25" x14ac:dyDescent="0.2">
      <c r="A46" s="56">
        <f t="shared" si="21"/>
        <v>45689</v>
      </c>
      <c r="B46" s="406">
        <f>'2024'!Wh/'2024'!Env_an*'2025'!Env_an</f>
        <v>56.628591277710932</v>
      </c>
      <c r="C46" s="385"/>
      <c r="D46" s="388">
        <f t="shared" si="0"/>
        <v>57.617763263090652</v>
      </c>
      <c r="E46" s="380">
        <f t="shared" si="1"/>
        <v>59.308863146376318</v>
      </c>
      <c r="F46" s="380">
        <f t="shared" si="2"/>
        <v>59.324669608011725</v>
      </c>
      <c r="G46" s="110">
        <f t="shared" si="22"/>
        <v>0.44559987852080762</v>
      </c>
      <c r="H46" s="409" t="b">
        <f>Wh_hp&gt;='2024'!Maxi_hp</f>
        <v>0</v>
      </c>
      <c r="I46" s="375">
        <f>IF(H46,Wh_hp,'2024'!Maxi_hp)</f>
        <v>59.384641801308028</v>
      </c>
      <c r="J46" s="85">
        <f>IF(H46,An,'2024'!An_max)</f>
        <v>2022</v>
      </c>
      <c r="K46" s="193">
        <f t="shared" si="3"/>
        <v>45689</v>
      </c>
      <c r="L46" s="143">
        <f>IF(t&lt;Tvie,1-EXP((T0-t)*PertePVj)+'2024'!Pspv,1-EXP((T0-t)*PertePVj)+Pspv)</f>
        <v>1.7167830359242187E-2</v>
      </c>
      <c r="M46" s="835"/>
      <c r="N46" s="835"/>
      <c r="O46" s="48">
        <f>IF(t&lt;Tnet,'2024'!Resal+('2024'!Salim-'2024'!Resal)*(1-EXP(('2024'!Tnet-t)/('2024'!Tau_j))),Resal+(Salim-Resal)*(1-EXP((Tnet-t)/(Tau_j))))*Salcycl</f>
        <v>2.8513442908389221E-2</v>
      </c>
      <c r="P46" s="165">
        <f>(INDEX(Models!$BJ46:$BT46,,T46)*(1-R46)+INDEX(Models!$BJ46:$BT46,,T46+1)*R46-ERP_i)*Q46*Ramure*Pc/MaxiM</f>
        <v>1.2770077783382876E-3</v>
      </c>
      <c r="Q46" s="301">
        <f t="shared" si="4"/>
        <v>0.5</v>
      </c>
      <c r="R46" s="173">
        <f t="shared" si="5"/>
        <v>0.49131708819319675</v>
      </c>
      <c r="S46" s="801">
        <f t="shared" si="6"/>
        <v>1</v>
      </c>
      <c r="T46" s="172">
        <f t="shared" si="7"/>
        <v>7</v>
      </c>
      <c r="U46" s="247">
        <f t="shared" si="8"/>
        <v>1.4913170881931967</v>
      </c>
      <c r="V46" s="378">
        <f t="shared" si="9"/>
        <v>126.9554856725054</v>
      </c>
      <c r="W46" s="397">
        <f t="shared" si="10"/>
        <v>56.628591277710932</v>
      </c>
      <c r="X46" s="153">
        <f t="shared" si="11"/>
        <v>45689</v>
      </c>
      <c r="Y46" s="380">
        <f t="shared" si="12"/>
        <v>55.016371529936073</v>
      </c>
      <c r="Z46" s="380">
        <f t="shared" si="13"/>
        <v>55.977381723316512</v>
      </c>
      <c r="AA46" s="381">
        <f t="shared" si="14"/>
        <v>59.308863146376318</v>
      </c>
      <c r="AB46" s="193">
        <f t="shared" si="15"/>
        <v>45689</v>
      </c>
      <c r="AC46" s="119">
        <f>IF(OR(t&lt;Tnet,NoTnet),'2024'!Resal_s+('2024'!Salim-'2024'!Resal_s)*(1-EXP(('2024'!Tnet_s-t)/'2024'!Tau_j)),Resal_s+(Salim-Resal_s)*(1-EXP((Tnet_s-t)/Tau_j)))*Salcycl</f>
        <v>5.6171729591875511E-2</v>
      </c>
      <c r="AD46" s="227">
        <f>(INDEX(Models!$BJ46:$BT46,,AH46)*(1-AF46)+INDEX(Models!$BJ46:$BT46,,AH46+1)*AF46-ERP_i)*AE46*Ramure*Pc/MaxiM</f>
        <v>1.2770077783382876E-3</v>
      </c>
      <c r="AE46" s="301">
        <f t="shared" si="16"/>
        <v>0.5</v>
      </c>
      <c r="AF46" s="173">
        <f t="shared" si="23"/>
        <v>0.49131708819319675</v>
      </c>
      <c r="AG46" s="801">
        <f t="shared" si="24"/>
        <v>1</v>
      </c>
      <c r="AH46" s="172">
        <f t="shared" si="17"/>
        <v>7</v>
      </c>
      <c r="AI46" s="221">
        <f t="shared" si="18"/>
        <v>1.4913170881931967</v>
      </c>
      <c r="AJ46" s="261" t="b">
        <f t="shared" si="19"/>
        <v>0</v>
      </c>
      <c r="AK46" s="261" t="b">
        <f t="shared" si="20"/>
        <v>0</v>
      </c>
      <c r="AL46" s="261"/>
      <c r="AM46" s="261"/>
      <c r="AN46" s="75"/>
    </row>
    <row r="47" spans="1:40" s="6" customFormat="1" ht="11.25" x14ac:dyDescent="0.2">
      <c r="A47" s="56">
        <f t="shared" si="21"/>
        <v>45690</v>
      </c>
      <c r="B47" s="406">
        <f>'2024'!Wh/'2024'!Env_an*'2025'!Env_an</f>
        <v>25.257622654794918</v>
      </c>
      <c r="C47" s="385"/>
      <c r="D47" s="388">
        <f t="shared" si="0"/>
        <v>25.699167360795762</v>
      </c>
      <c r="E47" s="380">
        <f t="shared" si="1"/>
        <v>26.454985339413412</v>
      </c>
      <c r="F47" s="380">
        <f t="shared" si="2"/>
        <v>26.454985339413412</v>
      </c>
      <c r="G47" s="110">
        <f t="shared" si="22"/>
        <v>0.19657724288741346</v>
      </c>
      <c r="H47" s="409" t="b">
        <f>Wh_hp&gt;='2024'!Maxi_hp</f>
        <v>0</v>
      </c>
      <c r="I47" s="375">
        <f>IF(H47,Wh_hp,'2024'!Maxi_hp)</f>
        <v>26.487106634612363</v>
      </c>
      <c r="J47" s="85">
        <f>IF(H47,An,'2024'!An_max)</f>
        <v>2022</v>
      </c>
      <c r="K47" s="193">
        <f t="shared" si="3"/>
        <v>45690</v>
      </c>
      <c r="L47" s="143">
        <f>IF(t&lt;Tvie,1-EXP((T0-t)*PertePVj)+'2024'!Pspv,1-EXP((T0-t)*PertePVj)+Pspv)</f>
        <v>1.7181284506299743E-2</v>
      </c>
      <c r="M47" s="835"/>
      <c r="N47" s="835"/>
      <c r="O47" s="48">
        <f>IF(t&lt;Tnet,'2024'!Resal+('2024'!Salim-'2024'!Resal)*(1-EXP(('2024'!Tnet-t)/('2024'!Tau_j))),Resal+(Salim-Resal)*(1-EXP((Tnet-t)/(Tau_j))))*Salcycl</f>
        <v>2.8569963994333047E-2</v>
      </c>
      <c r="P47" s="165">
        <f>(INDEX(Models!$BJ47:$BT47,,T47)*(1-R47)+INDEX(Models!$BJ47:$BT47,,T47+1)*R47-ERP_i)*Q47*Ramure*Pc/MaxiM</f>
        <v>1.2139189314497984E-3</v>
      </c>
      <c r="Q47" s="301">
        <f t="shared" si="4"/>
        <v>0.5</v>
      </c>
      <c r="R47" s="173">
        <f t="shared" si="5"/>
        <v>0.49142077075844148</v>
      </c>
      <c r="S47" s="801">
        <f t="shared" si="6"/>
        <v>1</v>
      </c>
      <c r="T47" s="172">
        <f t="shared" si="7"/>
        <v>7</v>
      </c>
      <c r="U47" s="247">
        <f t="shared" si="8"/>
        <v>1.4914207707584415</v>
      </c>
      <c r="V47" s="378">
        <f t="shared" si="9"/>
        <v>128.33103963585037</v>
      </c>
      <c r="W47" s="397">
        <f t="shared" si="10"/>
        <v>25.257622654794918</v>
      </c>
      <c r="X47" s="153">
        <f t="shared" si="11"/>
        <v>45690</v>
      </c>
      <c r="Y47" s="380">
        <f t="shared" si="12"/>
        <v>24.539279062356407</v>
      </c>
      <c r="Z47" s="380">
        <f t="shared" si="13"/>
        <v>24.968265943154702</v>
      </c>
      <c r="AA47" s="381">
        <f t="shared" si="14"/>
        <v>26.454985339413412</v>
      </c>
      <c r="AB47" s="193">
        <f t="shared" si="15"/>
        <v>45690</v>
      </c>
      <c r="AC47" s="119">
        <f>IF(OR(t&lt;Tnet,NoTnet),'2024'!Resal_s+('2024'!Salim-'2024'!Resal_s)*(1-EXP(('2024'!Tnet_s-t)/'2024'!Tau_j)),Resal_s+(Salim-Resal_s)*(1-EXP((Tnet_s-t)/Tau_j)))*Salcycl</f>
        <v>5.619808051995983E-2</v>
      </c>
      <c r="AD47" s="227">
        <f>(INDEX(Models!$BJ47:$BT47,,AH47)*(1-AF47)+INDEX(Models!$BJ47:$BT47,,AH47+1)*AF47-ERP_i)*AE47*Ramure*Pc/MaxiM</f>
        <v>1.2139189314497984E-3</v>
      </c>
      <c r="AE47" s="301">
        <f t="shared" si="16"/>
        <v>0.5</v>
      </c>
      <c r="AF47" s="173">
        <f t="shared" si="23"/>
        <v>0.49142077075844148</v>
      </c>
      <c r="AG47" s="801">
        <f t="shared" si="24"/>
        <v>1</v>
      </c>
      <c r="AH47" s="172">
        <f t="shared" si="17"/>
        <v>7</v>
      </c>
      <c r="AI47" s="221">
        <f t="shared" si="18"/>
        <v>1.4914207707584415</v>
      </c>
      <c r="AJ47" s="261" t="b">
        <f t="shared" si="19"/>
        <v>0</v>
      </c>
      <c r="AK47" s="261" t="b">
        <f t="shared" si="20"/>
        <v>0</v>
      </c>
      <c r="AL47" s="261"/>
      <c r="AM47" s="261"/>
      <c r="AN47" s="75"/>
    </row>
    <row r="48" spans="1:40" s="6" customFormat="1" ht="11.25" x14ac:dyDescent="0.2">
      <c r="A48" s="56">
        <f t="shared" si="21"/>
        <v>45691</v>
      </c>
      <c r="B48" s="406">
        <f>'2024'!Wh/'2024'!Env_an*'2025'!Env_an</f>
        <v>56.694153880354804</v>
      </c>
      <c r="C48" s="385"/>
      <c r="D48" s="388">
        <f t="shared" si="0"/>
        <v>57.686050430832978</v>
      </c>
      <c r="E48" s="380">
        <f t="shared" si="1"/>
        <v>59.386063444127444</v>
      </c>
      <c r="F48" s="380">
        <f t="shared" si="2"/>
        <v>59.399420466271025</v>
      </c>
      <c r="G48" s="110">
        <f t="shared" si="22"/>
        <v>0.43666171176855817</v>
      </c>
      <c r="H48" s="409" t="b">
        <f>Wh_hp&gt;='2024'!Maxi_hp</f>
        <v>0</v>
      </c>
      <c r="I48" s="375">
        <f>IF(H48,Wh_hp,'2024'!Maxi_hp)</f>
        <v>59.454283525557202</v>
      </c>
      <c r="J48" s="85">
        <f>IF(H48,An,'2024'!An_max)</f>
        <v>2022</v>
      </c>
      <c r="K48" s="193">
        <f t="shared" si="3"/>
        <v>45691</v>
      </c>
      <c r="L48" s="143">
        <f>IF(t&lt;Tvie,1-EXP((T0-t)*PertePVj)+'2024'!Pspv,1-EXP((T0-t)*PertePVj)+Pspv)</f>
        <v>1.7194738469181292E-2</v>
      </c>
      <c r="M48" s="835"/>
      <c r="N48" s="835"/>
      <c r="O48" s="48">
        <f>IF(t&lt;Tnet,'2024'!Resal+('2024'!Salim-'2024'!Resal)*(1-EXP(('2024'!Tnet-t)/('2024'!Tau_j))),Resal+(Salim-Resal)*(1-EXP((Tnet-t)/(Tau_j))))*Salcycl</f>
        <v>2.8626464101192704E-2</v>
      </c>
      <c r="P48" s="165">
        <f>(INDEX(Models!$BJ48:$BT48,,T48)*(1-R48)+INDEX(Models!$BJ48:$BT48,,T48+1)*R48-ERP_i)*Q48*Ramure*Pc/MaxiM</f>
        <v>1.1484113529412576E-3</v>
      </c>
      <c r="Q48" s="301">
        <f t="shared" si="4"/>
        <v>0.5</v>
      </c>
      <c r="R48" s="173">
        <f t="shared" si="5"/>
        <v>0.49152875713307465</v>
      </c>
      <c r="S48" s="801">
        <f t="shared" si="6"/>
        <v>1</v>
      </c>
      <c r="T48" s="172">
        <f t="shared" si="7"/>
        <v>7</v>
      </c>
      <c r="U48" s="247">
        <f t="shared" si="8"/>
        <v>1.4915287571330746</v>
      </c>
      <c r="V48" s="378">
        <f t="shared" si="9"/>
        <v>129.71547782132279</v>
      </c>
      <c r="W48" s="397">
        <f t="shared" si="10"/>
        <v>56.694153880354804</v>
      </c>
      <c r="X48" s="153">
        <f t="shared" si="11"/>
        <v>45691</v>
      </c>
      <c r="Y48" s="380">
        <f t="shared" si="12"/>
        <v>55.083397330070284</v>
      </c>
      <c r="Z48" s="380">
        <f t="shared" si="13"/>
        <v>56.047112776209921</v>
      </c>
      <c r="AA48" s="381">
        <f t="shared" si="14"/>
        <v>59.386063444127444</v>
      </c>
      <c r="AB48" s="193">
        <f t="shared" si="15"/>
        <v>45691</v>
      </c>
      <c r="AC48" s="119">
        <f>IF(OR(t&lt;Tnet,NoTnet),'2024'!Resal_s+('2024'!Salim-'2024'!Resal_s)*(1-EXP(('2024'!Tnet_s-t)/'2024'!Tau_j)),Resal_s+(Salim-Resal_s)*(1-EXP((Tnet_s-t)/Tau_j)))*Salcycl</f>
        <v>5.6224482214735923E-2</v>
      </c>
      <c r="AD48" s="227">
        <f>(INDEX(Models!$BJ48:$BT48,,AH48)*(1-AF48)+INDEX(Models!$BJ48:$BT48,,AH48+1)*AF48-ERP_i)*AE48*Ramure*Pc/MaxiM</f>
        <v>1.1484113529412576E-3</v>
      </c>
      <c r="AE48" s="301">
        <f t="shared" si="16"/>
        <v>0.5</v>
      </c>
      <c r="AF48" s="173">
        <f t="shared" si="23"/>
        <v>0.49152875713307465</v>
      </c>
      <c r="AG48" s="801">
        <f t="shared" si="24"/>
        <v>1</v>
      </c>
      <c r="AH48" s="172">
        <f t="shared" si="17"/>
        <v>7</v>
      </c>
      <c r="AI48" s="221">
        <f t="shared" si="18"/>
        <v>1.4915287571330746</v>
      </c>
      <c r="AJ48" s="261" t="b">
        <f t="shared" si="19"/>
        <v>0</v>
      </c>
      <c r="AK48" s="261" t="b">
        <f t="shared" si="20"/>
        <v>0</v>
      </c>
      <c r="AL48" s="261"/>
      <c r="AM48" s="261"/>
      <c r="AN48" s="75"/>
    </row>
    <row r="49" spans="1:40" s="6" customFormat="1" ht="11.25" x14ac:dyDescent="0.2">
      <c r="A49" s="56">
        <f t="shared" si="21"/>
        <v>45692</v>
      </c>
      <c r="B49" s="406">
        <f>'2024'!Wh/'2024'!Env_an*'2025'!Env_an</f>
        <v>51.582123085142115</v>
      </c>
      <c r="C49" s="385"/>
      <c r="D49" s="388">
        <f t="shared" si="0"/>
        <v>52.485300221542609</v>
      </c>
      <c r="E49" s="380">
        <f t="shared" si="1"/>
        <v>54.035188377019146</v>
      </c>
      <c r="F49" s="380">
        <f t="shared" si="2"/>
        <v>54.042983383627536</v>
      </c>
      <c r="G49" s="110">
        <f t="shared" si="22"/>
        <v>0.39306765798234328</v>
      </c>
      <c r="H49" s="409" t="b">
        <f>Wh_hp&gt;='2024'!Maxi_hp</f>
        <v>0</v>
      </c>
      <c r="I49" s="375">
        <f>IF(H49,Wh_hp,'2024'!Maxi_hp)</f>
        <v>54.093584600989601</v>
      </c>
      <c r="J49" s="85">
        <f>IF(H49,An,'2024'!An_max)</f>
        <v>2022</v>
      </c>
      <c r="K49" s="193">
        <f t="shared" si="3"/>
        <v>45692</v>
      </c>
      <c r="L49" s="143">
        <f>IF(t&lt;Tvie,1-EXP((T0-t)*PertePVj)+'2024'!Pspv,1-EXP((T0-t)*PertePVj)+Pspv)</f>
        <v>1.7208192247889387E-2</v>
      </c>
      <c r="M49" s="835"/>
      <c r="N49" s="835"/>
      <c r="O49" s="48">
        <f>IF(t&lt;Tnet,'2024'!Resal+('2024'!Salim-'2024'!Resal)*(1-EXP(('2024'!Tnet-t)/('2024'!Tau_j))),Resal+(Salim-Resal)*(1-EXP((Tnet-t)/(Tau_j))))*Salcycl</f>
        <v>2.8682941653918437E-2</v>
      </c>
      <c r="P49" s="165">
        <f>(INDEX(Models!$BJ49:$BT49,,T49)*(1-R49)+INDEX(Models!$BJ49:$BT49,,T49+1)*R49-ERP_i)*Q49*Ramure*Pc/MaxiM</f>
        <v>1.0805888518380315E-3</v>
      </c>
      <c r="Q49" s="301">
        <f t="shared" si="4"/>
        <v>0.5</v>
      </c>
      <c r="R49" s="173">
        <f t="shared" si="5"/>
        <v>0.49164122397244059</v>
      </c>
      <c r="S49" s="801">
        <f t="shared" si="6"/>
        <v>1</v>
      </c>
      <c r="T49" s="172">
        <f t="shared" si="7"/>
        <v>7</v>
      </c>
      <c r="U49" s="247">
        <f t="shared" si="8"/>
        <v>1.4916412239724406</v>
      </c>
      <c r="V49" s="378">
        <f t="shared" si="9"/>
        <v>131.10673458634028</v>
      </c>
      <c r="W49" s="397">
        <f t="shared" si="10"/>
        <v>51.582123085142115</v>
      </c>
      <c r="X49" s="153">
        <f t="shared" si="11"/>
        <v>45692</v>
      </c>
      <c r="Y49" s="380">
        <f t="shared" si="12"/>
        <v>50.118115617948717</v>
      </c>
      <c r="Z49" s="380">
        <f t="shared" si="13"/>
        <v>50.995658716957884</v>
      </c>
      <c r="AA49" s="381">
        <f t="shared" si="14"/>
        <v>54.035188377019146</v>
      </c>
      <c r="AB49" s="193">
        <f t="shared" si="15"/>
        <v>45692</v>
      </c>
      <c r="AC49" s="119">
        <f>IF(OR(t&lt;Tnet,NoTnet),'2024'!Resal_s+('2024'!Salim-'2024'!Resal_s)*(1-EXP(('2024'!Tnet_s-t)/'2024'!Tau_j)),Resal_s+(Salim-Resal_s)*(1-EXP((Tnet_s-t)/Tau_j)))*Salcycl</f>
        <v>5.6250931131276653E-2</v>
      </c>
      <c r="AD49" s="227">
        <f>(INDEX(Models!$BJ49:$BT49,,AH49)*(1-AF49)+INDEX(Models!$BJ49:$BT49,,AH49+1)*AF49-ERP_i)*AE49*Ramure*Pc/MaxiM</f>
        <v>1.0805888518380315E-3</v>
      </c>
      <c r="AE49" s="301">
        <f t="shared" si="16"/>
        <v>0.5</v>
      </c>
      <c r="AF49" s="173">
        <f t="shared" si="23"/>
        <v>0.49164122397244059</v>
      </c>
      <c r="AG49" s="801">
        <f t="shared" si="24"/>
        <v>1</v>
      </c>
      <c r="AH49" s="172">
        <f t="shared" si="17"/>
        <v>7</v>
      </c>
      <c r="AI49" s="221">
        <f t="shared" si="18"/>
        <v>1.4916412239724406</v>
      </c>
      <c r="AJ49" s="261" t="b">
        <f t="shared" si="19"/>
        <v>0</v>
      </c>
      <c r="AK49" s="261" t="b">
        <f t="shared" si="20"/>
        <v>0</v>
      </c>
      <c r="AL49" s="261"/>
      <c r="AM49" s="261"/>
      <c r="AN49" s="75"/>
    </row>
    <row r="50" spans="1:40" s="6" customFormat="1" ht="11.25" x14ac:dyDescent="0.2">
      <c r="A50" s="56">
        <f t="shared" si="21"/>
        <v>45693</v>
      </c>
      <c r="B50" s="406">
        <f>'2024'!Wh/'2024'!Env_an*'2025'!Env_an</f>
        <v>43.240554242100117</v>
      </c>
      <c r="C50" s="385"/>
      <c r="D50" s="388">
        <f t="shared" si="0"/>
        <v>43.998276986030518</v>
      </c>
      <c r="E50" s="380">
        <f t="shared" si="1"/>
        <v>45.300176646755958</v>
      </c>
      <c r="F50" s="380">
        <f t="shared" si="2"/>
        <v>45.301899078070086</v>
      </c>
      <c r="G50" s="110">
        <f t="shared" si="22"/>
        <v>0.32601966167351026</v>
      </c>
      <c r="H50" s="409" t="b">
        <f>Wh_hp&gt;='2024'!Maxi_hp</f>
        <v>0</v>
      </c>
      <c r="I50" s="375">
        <f>IF(H50,Wh_hp,'2024'!Maxi_hp)</f>
        <v>45.345948475362562</v>
      </c>
      <c r="J50" s="85">
        <f>IF(H50,An,'2024'!An_max)</f>
        <v>2022</v>
      </c>
      <c r="K50" s="193">
        <f t="shared" si="3"/>
        <v>45693</v>
      </c>
      <c r="L50" s="143">
        <f>IF(t&lt;Tvie,1-EXP((T0-t)*PertePVj)+'2024'!Pspv,1-EXP((T0-t)*PertePVj)+Pspv)</f>
        <v>1.722164584242647E-2</v>
      </c>
      <c r="M50" s="835"/>
      <c r="N50" s="835"/>
      <c r="O50" s="48">
        <f>IF(t&lt;Tnet,'2024'!Resal+('2024'!Salim-'2024'!Resal)*(1-EXP(('2024'!Tnet-t)/('2024'!Tau_j))),Resal+(Salim-Resal)*(1-EXP((Tnet-t)/(Tau_j))))*Salcycl</f>
        <v>2.8739394790388152E-2</v>
      </c>
      <c r="P50" s="165">
        <f>(INDEX(Models!$BJ50:$BT50,,T50)*(1-R50)+INDEX(Models!$BJ50:$BT50,,T50+1)*R50-ERP_i)*Q50*Ramure*Pc/MaxiM</f>
        <v>1.0105469591106511E-3</v>
      </c>
      <c r="Q50" s="301">
        <f t="shared" si="4"/>
        <v>0.5</v>
      </c>
      <c r="R50" s="173">
        <f t="shared" si="5"/>
        <v>0.4917583550132214</v>
      </c>
      <c r="S50" s="801">
        <f t="shared" si="6"/>
        <v>1</v>
      </c>
      <c r="T50" s="172">
        <f t="shared" si="7"/>
        <v>7</v>
      </c>
      <c r="U50" s="247">
        <f t="shared" si="8"/>
        <v>1.4917583550132214</v>
      </c>
      <c r="V50" s="378">
        <f t="shared" si="9"/>
        <v>132.50274497977938</v>
      </c>
      <c r="W50" s="397">
        <f t="shared" si="10"/>
        <v>43.240554242100117</v>
      </c>
      <c r="X50" s="153">
        <f t="shared" si="11"/>
        <v>45693</v>
      </c>
      <c r="Y50" s="380">
        <f t="shared" si="12"/>
        <v>42.014560307877673</v>
      </c>
      <c r="Z50" s="380">
        <f t="shared" si="13"/>
        <v>42.750799435231841</v>
      </c>
      <c r="AA50" s="381">
        <f t="shared" si="14"/>
        <v>45.300176646755958</v>
      </c>
      <c r="AB50" s="193">
        <f t="shared" si="15"/>
        <v>45693</v>
      </c>
      <c r="AC50" s="119">
        <f>IF(OR(t&lt;Tnet,NoTnet),'2024'!Resal_s+('2024'!Salim-'2024'!Resal_s)*(1-EXP(('2024'!Tnet_s-t)/'2024'!Tau_j)),Resal_s+(Salim-Resal_s)*(1-EXP((Tnet_s-t)/Tau_j)))*Salcycl</f>
        <v>5.6277423185427874E-2</v>
      </c>
      <c r="AD50" s="227">
        <f>(INDEX(Models!$BJ50:$BT50,,AH50)*(1-AF50)+INDEX(Models!$BJ50:$BT50,,AH50+1)*AF50-ERP_i)*AE50*Ramure*Pc/MaxiM</f>
        <v>1.0105469591106511E-3</v>
      </c>
      <c r="AE50" s="301">
        <f t="shared" si="16"/>
        <v>0.5</v>
      </c>
      <c r="AF50" s="173">
        <f t="shared" si="23"/>
        <v>0.4917583550132214</v>
      </c>
      <c r="AG50" s="801">
        <f t="shared" si="24"/>
        <v>1</v>
      </c>
      <c r="AH50" s="172">
        <f t="shared" si="17"/>
        <v>7</v>
      </c>
      <c r="AI50" s="221">
        <f t="shared" si="18"/>
        <v>1.4917583550132214</v>
      </c>
      <c r="AJ50" s="261" t="b">
        <f t="shared" si="19"/>
        <v>0</v>
      </c>
      <c r="AK50" s="261" t="b">
        <f t="shared" si="20"/>
        <v>0</v>
      </c>
      <c r="AL50" s="261"/>
      <c r="AM50" s="261"/>
      <c r="AN50" s="75"/>
    </row>
    <row r="51" spans="1:40" s="6" customFormat="1" ht="11.25" x14ac:dyDescent="0.2">
      <c r="A51" s="56">
        <f t="shared" si="21"/>
        <v>45694</v>
      </c>
      <c r="B51" s="406">
        <f>'2024'!Wh/'2024'!Env_an*'2025'!Env_an</f>
        <v>91.737738758445587</v>
      </c>
      <c r="C51" s="385"/>
      <c r="D51" s="388">
        <f t="shared" si="0"/>
        <v>93.34657626528643</v>
      </c>
      <c r="E51" s="380">
        <f t="shared" si="1"/>
        <v>96.114265486388277</v>
      </c>
      <c r="F51" s="380">
        <f t="shared" si="2"/>
        <v>96.163898628288251</v>
      </c>
      <c r="G51" s="110">
        <f t="shared" si="22"/>
        <v>0.6847638123683053</v>
      </c>
      <c r="H51" s="409" t="b">
        <f>Wh_hp&gt;='2024'!Maxi_hp</f>
        <v>0</v>
      </c>
      <c r="I51" s="375">
        <f>IF(H51,Wh_hp,'2024'!Maxi_hp)</f>
        <v>96.204482022680693</v>
      </c>
      <c r="J51" s="85">
        <f>IF(H51,An,'2024'!An_max)</f>
        <v>2022</v>
      </c>
      <c r="K51" s="193">
        <f t="shared" si="3"/>
        <v>45694</v>
      </c>
      <c r="L51" s="143">
        <f>IF(t&lt;Tvie,1-EXP((T0-t)*PertePVj)+'2024'!Pspv,1-EXP((T0-t)*PertePVj)+Pspv)</f>
        <v>1.7235099252795316E-2</v>
      </c>
      <c r="M51" s="835"/>
      <c r="N51" s="835"/>
      <c r="O51" s="48">
        <f>IF(t&lt;Tnet,'2024'!Resal+('2024'!Salim-'2024'!Resal)*(1-EXP(('2024'!Tnet-t)/('2024'!Tau_j))),Resal+(Salim-Resal)*(1-EXP((Tnet-t)/(Tau_j))))*Salcycl</f>
        <v>2.8795821380893906E-2</v>
      </c>
      <c r="P51" s="165">
        <f>(INDEX(Models!$BJ51:$BT51,,T51)*(1-R51)+INDEX(Models!$BJ51:$BT51,,T51+1)*R51-ERP_i)*Q51*Ramure*Pc/MaxiM</f>
        <v>9.3828991959415302E-4</v>
      </c>
      <c r="Q51" s="301">
        <f t="shared" si="4"/>
        <v>0.5</v>
      </c>
      <c r="R51" s="173">
        <f t="shared" si="5"/>
        <v>0.49188034134281544</v>
      </c>
      <c r="S51" s="801">
        <f t="shared" si="6"/>
        <v>1</v>
      </c>
      <c r="T51" s="172">
        <f t="shared" si="7"/>
        <v>7</v>
      </c>
      <c r="U51" s="247">
        <f t="shared" si="8"/>
        <v>1.4918803413428154</v>
      </c>
      <c r="V51" s="378">
        <f t="shared" si="9"/>
        <v>133.91331313436802</v>
      </c>
      <c r="W51" s="397">
        <f t="shared" si="10"/>
        <v>91.737738758445587</v>
      </c>
      <c r="X51" s="153">
        <f t="shared" si="11"/>
        <v>45694</v>
      </c>
      <c r="Y51" s="380">
        <f t="shared" si="12"/>
        <v>89.13938310804015</v>
      </c>
      <c r="Z51" s="380">
        <f t="shared" si="13"/>
        <v>90.702652323324429</v>
      </c>
      <c r="AA51" s="381">
        <f t="shared" si="14"/>
        <v>96.114265486388277</v>
      </c>
      <c r="AB51" s="193">
        <f t="shared" si="15"/>
        <v>45694</v>
      </c>
      <c r="AC51" s="119">
        <f>IF(OR(t&lt;Tnet,NoTnet),'2024'!Resal_s+('2024'!Salim-'2024'!Resal_s)*(1-EXP(('2024'!Tnet_s-t)/'2024'!Tau_j)),Resal_s+(Salim-Resal_s)*(1-EXP((Tnet_s-t)/Tau_j)))*Salcycl</f>
        <v>5.6303953795810255E-2</v>
      </c>
      <c r="AD51" s="227">
        <f>(INDEX(Models!$BJ51:$BT51,,AH51)*(1-AF51)+INDEX(Models!$BJ51:$BT51,,AH51+1)*AF51-ERP_i)*AE51*Ramure*Pc/MaxiM</f>
        <v>9.3828991959415302E-4</v>
      </c>
      <c r="AE51" s="301">
        <f t="shared" si="16"/>
        <v>0.5</v>
      </c>
      <c r="AF51" s="173">
        <f t="shared" si="23"/>
        <v>0.49188034134281544</v>
      </c>
      <c r="AG51" s="801">
        <f t="shared" si="24"/>
        <v>1</v>
      </c>
      <c r="AH51" s="172">
        <f t="shared" si="17"/>
        <v>7</v>
      </c>
      <c r="AI51" s="221">
        <f t="shared" si="18"/>
        <v>1.4918803413428154</v>
      </c>
      <c r="AJ51" s="261" t="b">
        <f t="shared" si="19"/>
        <v>0</v>
      </c>
      <c r="AK51" s="261" t="b">
        <f t="shared" si="20"/>
        <v>0</v>
      </c>
      <c r="AL51" s="261"/>
      <c r="AM51" s="261"/>
      <c r="AN51" s="75"/>
    </row>
    <row r="52" spans="1:40" s="6" customFormat="1" ht="11.25" x14ac:dyDescent="0.2">
      <c r="A52" s="56">
        <f t="shared" si="21"/>
        <v>45695</v>
      </c>
      <c r="B52" s="406">
        <f>'2024'!Wh/'2024'!Env_an*'2025'!Env_an</f>
        <v>41.452153016146084</v>
      </c>
      <c r="C52" s="385"/>
      <c r="D52" s="388">
        <f t="shared" si="0"/>
        <v>42.179691640963199</v>
      </c>
      <c r="E52" s="380">
        <f t="shared" si="1"/>
        <v>43.432825022568025</v>
      </c>
      <c r="F52" s="380">
        <f t="shared" si="2"/>
        <v>43.433161921561727</v>
      </c>
      <c r="G52" s="110">
        <f t="shared" si="22"/>
        <v>0.30600232630280488</v>
      </c>
      <c r="H52" s="409" t="b">
        <f>Wh_hp&gt;='2024'!Maxi_hp</f>
        <v>0</v>
      </c>
      <c r="I52" s="375">
        <f>IF(H52,Wh_hp,'2024'!Maxi_hp)</f>
        <v>43.470447620371786</v>
      </c>
      <c r="J52" s="85">
        <f>IF(H52,An,'2024'!An_max)</f>
        <v>2022</v>
      </c>
      <c r="K52" s="193">
        <f t="shared" si="3"/>
        <v>45695</v>
      </c>
      <c r="L52" s="143">
        <f>IF(t&lt;Tvie,1-EXP((T0-t)*PertePVj)+'2024'!Pspv,1-EXP((T0-t)*PertePVj)+Pspv)</f>
        <v>1.7248552478998147E-2</v>
      </c>
      <c r="M52" s="835"/>
      <c r="N52" s="835"/>
      <c r="O52" s="48">
        <f>IF(t&lt;Tnet,'2024'!Resal+('2024'!Salim-'2024'!Resal)*(1-EXP(('2024'!Tnet-t)/('2024'!Tau_j))),Resal+(Salim-Resal)*(1-EXP((Tnet-t)/(Tau_j))))*Salcycl</f>
        <v>2.885221905214972E-2</v>
      </c>
      <c r="P52" s="165">
        <f>(INDEX(Models!$BJ52:$BT52,,T52)*(1-R52)+INDEX(Models!$BJ52:$BT52,,T52+1)*R52-ERP_i)*Q52*Ramure*Pc/MaxiM</f>
        <v>8.6662188638438292E-4</v>
      </c>
      <c r="Q52" s="301">
        <f t="shared" si="4"/>
        <v>0.5</v>
      </c>
      <c r="R52" s="173">
        <f t="shared" si="5"/>
        <v>0.49200738167771707</v>
      </c>
      <c r="S52" s="801">
        <f t="shared" si="6"/>
        <v>1</v>
      </c>
      <c r="T52" s="172">
        <f t="shared" si="7"/>
        <v>7</v>
      </c>
      <c r="U52" s="247">
        <f t="shared" si="8"/>
        <v>1.4920073816777171</v>
      </c>
      <c r="V52" s="378">
        <f t="shared" si="9"/>
        <v>135.34717670355934</v>
      </c>
      <c r="W52" s="397">
        <f t="shared" si="10"/>
        <v>41.452153016146084</v>
      </c>
      <c r="X52" s="153">
        <f t="shared" si="11"/>
        <v>45695</v>
      </c>
      <c r="Y52" s="380">
        <f t="shared" si="12"/>
        <v>40.279278328863654</v>
      </c>
      <c r="Z52" s="380">
        <f t="shared" si="13"/>
        <v>40.986231493699087</v>
      </c>
      <c r="AA52" s="381">
        <f t="shared" si="14"/>
        <v>43.432825022568025</v>
      </c>
      <c r="AB52" s="193">
        <f t="shared" si="15"/>
        <v>45695</v>
      </c>
      <c r="AC52" s="119">
        <f>IF(OR(t&lt;Tnet,NoTnet),'2024'!Resal_s+('2024'!Salim-'2024'!Resal_s)*(1-EXP(('2024'!Tnet_s-t)/'2024'!Tau_j)),Resal_s+(Salim-Resal_s)*(1-EXP((Tnet_s-t)/Tau_j)))*Salcycl</f>
        <v>5.6330517934250687E-2</v>
      </c>
      <c r="AD52" s="227">
        <f>(INDEX(Models!$BJ52:$BT52,,AH52)*(1-AF52)+INDEX(Models!$BJ52:$BT52,,AH52+1)*AF52-ERP_i)*AE52*Ramure*Pc/MaxiM</f>
        <v>8.6662188638438292E-4</v>
      </c>
      <c r="AE52" s="301">
        <f t="shared" si="16"/>
        <v>0.5</v>
      </c>
      <c r="AF52" s="173">
        <f t="shared" si="23"/>
        <v>0.49200738167771707</v>
      </c>
      <c r="AG52" s="801">
        <f t="shared" si="24"/>
        <v>1</v>
      </c>
      <c r="AH52" s="172">
        <f t="shared" si="17"/>
        <v>7</v>
      </c>
      <c r="AI52" s="221">
        <f t="shared" si="18"/>
        <v>1.4920073816777171</v>
      </c>
      <c r="AJ52" s="261" t="b">
        <f t="shared" si="19"/>
        <v>0</v>
      </c>
      <c r="AK52" s="261" t="b">
        <f t="shared" si="20"/>
        <v>0</v>
      </c>
      <c r="AL52" s="261"/>
      <c r="AM52" s="261"/>
      <c r="AN52" s="75"/>
    </row>
    <row r="53" spans="1:40" s="6" customFormat="1" ht="11.25" x14ac:dyDescent="0.2">
      <c r="A53" s="56">
        <f t="shared" si="21"/>
        <v>45696</v>
      </c>
      <c r="B53" s="406">
        <f>'2024'!Wh/'2024'!Env_an*'2025'!Env_an</f>
        <v>138.70602205016203</v>
      </c>
      <c r="C53" s="385"/>
      <c r="D53" s="388">
        <f t="shared" si="0"/>
        <v>141.14242334112924</v>
      </c>
      <c r="E53" s="380">
        <f t="shared" si="1"/>
        <v>145.34411610718678</v>
      </c>
      <c r="F53" s="380">
        <f t="shared" si="2"/>
        <v>145.46002837728119</v>
      </c>
      <c r="G53" s="110">
        <f t="shared" si="22"/>
        <v>1.0139250594819578</v>
      </c>
      <c r="H53" s="409" t="b">
        <f>Wh_hp&gt;='2024'!Maxi_hp</f>
        <v>1</v>
      </c>
      <c r="I53" s="375">
        <f>IF(H53,Wh_hp,'2024'!Maxi_hp)</f>
        <v>145.46002837728119</v>
      </c>
      <c r="J53" s="85">
        <f>IF(H53,An,'2024'!An_max)</f>
        <v>2025</v>
      </c>
      <c r="K53" s="193">
        <f t="shared" si="3"/>
        <v>45696</v>
      </c>
      <c r="L53" s="143">
        <f>IF(t&lt;Tvie,1-EXP((T0-t)*PertePVj)+'2024'!Pspv,1-EXP((T0-t)*PertePVj)+Pspv)</f>
        <v>1.7262005521037627E-2</v>
      </c>
      <c r="M53" s="835"/>
      <c r="N53" s="835"/>
      <c r="O53" s="48">
        <f>IF(t&lt;Tnet,'2024'!Resal+('2024'!Salim-'2024'!Resal)*(1-EXP(('2024'!Tnet-t)/('2024'!Tau_j))),Resal+(Salim-Resal)*(1-EXP((Tnet-t)/(Tau_j))))*Salcycl</f>
        <v>2.89085852155095E-2</v>
      </c>
      <c r="P53" s="165">
        <f>(INDEX(Models!$BJ53:$BT53,,T53)*(1-R53)+INDEX(Models!$BJ53:$BT53,,T53+1)*R53-ERP_i)*Q53*Ramure*Pc/MaxiM</f>
        <v>7.9686681892968288E-4</v>
      </c>
      <c r="Q53" s="301">
        <f t="shared" si="4"/>
        <v>0.5</v>
      </c>
      <c r="R53" s="173">
        <f t="shared" si="5"/>
        <v>0.49213968265108332</v>
      </c>
      <c r="S53" s="801">
        <f t="shared" si="6"/>
        <v>1</v>
      </c>
      <c r="T53" s="172">
        <f t="shared" si="7"/>
        <v>7</v>
      </c>
      <c r="U53" s="247">
        <f t="shared" si="8"/>
        <v>1.4921396826510833</v>
      </c>
      <c r="V53" s="378">
        <f t="shared" si="9"/>
        <v>136.80105916410704</v>
      </c>
      <c r="W53" s="397">
        <f t="shared" si="10"/>
        <v>138.70602205016203</v>
      </c>
      <c r="X53" s="153">
        <f t="shared" si="11"/>
        <v>45696</v>
      </c>
      <c r="Y53" s="380">
        <f t="shared" si="12"/>
        <v>134.7854069035827</v>
      </c>
      <c r="Z53" s="380">
        <f t="shared" si="13"/>
        <v>137.1529417411449</v>
      </c>
      <c r="AA53" s="381">
        <f t="shared" si="14"/>
        <v>145.34411610718678</v>
      </c>
      <c r="AB53" s="193">
        <f t="shared" si="15"/>
        <v>45696</v>
      </c>
      <c r="AC53" s="119">
        <f>IF(OR(t&lt;Tnet,NoTnet),'2024'!Resal_s+('2024'!Salim-'2024'!Resal_s)*(1-EXP(('2024'!Tnet_s-t)/'2024'!Tau_j)),Resal_s+(Salim-Resal_s)*(1-EXP((Tnet_s-t)/Tau_j)))*Salcycl</f>
        <v>5.63571101839523E-2</v>
      </c>
      <c r="AD53" s="227">
        <f>(INDEX(Models!$BJ53:$BT53,,AH53)*(1-AF53)+INDEX(Models!$BJ53:$BT53,,AH53+1)*AF53-ERP_i)*AE53*Ramure*Pc/MaxiM</f>
        <v>7.9686681892968288E-4</v>
      </c>
      <c r="AE53" s="301">
        <f t="shared" si="16"/>
        <v>0.5</v>
      </c>
      <c r="AF53" s="173">
        <f t="shared" si="23"/>
        <v>0.49213968265108332</v>
      </c>
      <c r="AG53" s="801">
        <f t="shared" si="24"/>
        <v>1</v>
      </c>
      <c r="AH53" s="172">
        <f t="shared" si="17"/>
        <v>7</v>
      </c>
      <c r="AI53" s="221">
        <f t="shared" si="18"/>
        <v>1.4921396826510833</v>
      </c>
      <c r="AJ53" s="261" t="b">
        <f t="shared" si="19"/>
        <v>0</v>
      </c>
      <c r="AK53" s="261" t="b">
        <f t="shared" si="20"/>
        <v>0</v>
      </c>
      <c r="AL53" s="261"/>
      <c r="AM53" s="261"/>
      <c r="AN53" s="75"/>
    </row>
    <row r="54" spans="1:40" s="6" customFormat="1" ht="11.25" x14ac:dyDescent="0.2">
      <c r="A54" s="56">
        <f t="shared" si="21"/>
        <v>45697</v>
      </c>
      <c r="B54" s="406">
        <f>'2024'!Wh/'2024'!Env_an*'2025'!Env_an</f>
        <v>138.0433946723069</v>
      </c>
      <c r="C54" s="385"/>
      <c r="D54" s="388">
        <f t="shared" si="0"/>
        <v>140.47007968743014</v>
      </c>
      <c r="E54" s="380">
        <f t="shared" si="1"/>
        <v>144.66014890808847</v>
      </c>
      <c r="F54" s="380">
        <f t="shared" si="2"/>
        <v>144.76543517524007</v>
      </c>
      <c r="G54" s="110">
        <f t="shared" si="22"/>
        <v>0.99834597885415166</v>
      </c>
      <c r="H54" s="409" t="b">
        <f>Wh_hp&gt;='2024'!Maxi_hp</f>
        <v>0</v>
      </c>
      <c r="I54" s="375">
        <f>IF(H54,Wh_hp,'2024'!Maxi_hp)</f>
        <v>144.76568409319361</v>
      </c>
      <c r="J54" s="85">
        <f>IF(H54,An,'2024'!An_max)</f>
        <v>2022</v>
      </c>
      <c r="K54" s="193">
        <f t="shared" si="3"/>
        <v>45697</v>
      </c>
      <c r="L54" s="143">
        <f>IF(t&lt;Tvie,1-EXP((T0-t)*PertePVj)+'2024'!Pspv,1-EXP((T0-t)*PertePVj)+Pspv)</f>
        <v>1.7275458378916198E-2</v>
      </c>
      <c r="M54" s="835"/>
      <c r="N54" s="835"/>
      <c r="O54" s="48">
        <f>IF(t&lt;Tnet,'2024'!Resal+('2024'!Salim-'2024'!Resal)*(1-EXP(('2024'!Tnet-t)/('2024'!Tau_j))),Resal+(Salim-Resal)*(1-EXP((Tnet-t)/(Tau_j))))*Salcycl</f>
        <v>2.8964917099045293E-2</v>
      </c>
      <c r="P54" s="165">
        <f>(INDEX(Models!$BJ54:$BT54,,T54)*(1-R54)+INDEX(Models!$BJ54:$BT54,,T54+1)*R54-ERP_i)*Q54*Ramure*Pc/MaxiM</f>
        <v>7.2900949067580671E-4</v>
      </c>
      <c r="Q54" s="301">
        <f t="shared" si="4"/>
        <v>0.5</v>
      </c>
      <c r="R54" s="173">
        <f t="shared" si="5"/>
        <v>0.49227745910967435</v>
      </c>
      <c r="S54" s="801">
        <f t="shared" si="6"/>
        <v>1</v>
      </c>
      <c r="T54" s="172">
        <f t="shared" si="7"/>
        <v>7</v>
      </c>
      <c r="U54" s="247">
        <f t="shared" si="8"/>
        <v>1.4922774591096744</v>
      </c>
      <c r="V54" s="378">
        <f t="shared" si="9"/>
        <v>138.27186154040214</v>
      </c>
      <c r="W54" s="397">
        <f t="shared" si="10"/>
        <v>138.0433946723069</v>
      </c>
      <c r="X54" s="153">
        <f t="shared" si="11"/>
        <v>45697</v>
      </c>
      <c r="Y54" s="380">
        <f t="shared" si="12"/>
        <v>134.14550739696696</v>
      </c>
      <c r="Z54" s="380">
        <f t="shared" si="13"/>
        <v>136.50367088185573</v>
      </c>
      <c r="AA54" s="381">
        <f t="shared" si="14"/>
        <v>144.66014890808847</v>
      </c>
      <c r="AB54" s="193">
        <f t="shared" si="15"/>
        <v>45697</v>
      </c>
      <c r="AC54" s="119">
        <f>IF(OR(t&lt;Tnet,NoTnet),'2024'!Resal_s+('2024'!Salim-'2024'!Resal_s)*(1-EXP(('2024'!Tnet_s-t)/'2024'!Tau_j)),Resal_s+(Salim-Resal_s)*(1-EXP((Tnet_s-t)/Tau_j)))*Salcycl</f>
        <v>5.6383724804645791E-2</v>
      </c>
      <c r="AD54" s="227">
        <f>(INDEX(Models!$BJ54:$BT54,,AH54)*(1-AF54)+INDEX(Models!$BJ54:$BT54,,AH54+1)*AF54-ERP_i)*AE54*Ramure*Pc/MaxiM</f>
        <v>7.2900949067580671E-4</v>
      </c>
      <c r="AE54" s="301">
        <f t="shared" si="16"/>
        <v>0.5</v>
      </c>
      <c r="AF54" s="173">
        <f t="shared" si="23"/>
        <v>0.49227745910967435</v>
      </c>
      <c r="AG54" s="801">
        <f t="shared" si="24"/>
        <v>1</v>
      </c>
      <c r="AH54" s="172">
        <f t="shared" si="17"/>
        <v>7</v>
      </c>
      <c r="AI54" s="221">
        <f t="shared" si="18"/>
        <v>1.4922774591096744</v>
      </c>
      <c r="AJ54" s="261" t="b">
        <f t="shared" si="19"/>
        <v>0</v>
      </c>
      <c r="AK54" s="261" t="b">
        <f t="shared" si="20"/>
        <v>0</v>
      </c>
      <c r="AL54" s="261"/>
      <c r="AM54" s="261"/>
      <c r="AN54" s="75"/>
    </row>
    <row r="55" spans="1:40" s="6" customFormat="1" ht="11.25" x14ac:dyDescent="0.2">
      <c r="A55" s="56">
        <f t="shared" si="21"/>
        <v>45698</v>
      </c>
      <c r="B55" s="406">
        <f>'2024'!Wh/'2024'!Env_an*'2025'!Env_an</f>
        <v>129.65575009442111</v>
      </c>
      <c r="C55" s="385"/>
      <c r="D55" s="388">
        <f t="shared" si="0"/>
        <v>131.93679358325201</v>
      </c>
      <c r="E55" s="380">
        <f t="shared" si="1"/>
        <v>135.88020169373655</v>
      </c>
      <c r="F55" s="380">
        <f t="shared" si="2"/>
        <v>135.96104023947277</v>
      </c>
      <c r="G55" s="110">
        <f t="shared" si="22"/>
        <v>0.92766262921817555</v>
      </c>
      <c r="H55" s="409" t="b">
        <f>Wh_hp&gt;='2024'!Maxi_hp</f>
        <v>0</v>
      </c>
      <c r="I55" s="375">
        <f>IF(H55,Wh_hp,'2024'!Maxi_hp)</f>
        <v>135.97033911419149</v>
      </c>
      <c r="J55" s="85">
        <f>IF(H55,An,'2024'!An_max)</f>
        <v>2022</v>
      </c>
      <c r="K55" s="193">
        <f t="shared" si="3"/>
        <v>45698</v>
      </c>
      <c r="L55" s="143">
        <f>IF(t&lt;Tvie,1-EXP((T0-t)*PertePVj)+'2024'!Pspv,1-EXP((T0-t)*PertePVj)+Pspv)</f>
        <v>1.7288911052636524E-2</v>
      </c>
      <c r="M55" s="835"/>
      <c r="N55" s="835"/>
      <c r="O55" s="48">
        <f>IF(t&lt;Tnet,'2024'!Resal+('2024'!Salim-'2024'!Resal)*(1-EXP(('2024'!Tnet-t)/('2024'!Tau_j))),Resal+(Salim-Resal)*(1-EXP((Tnet-t)/(Tau_j))))*Salcycl</f>
        <v>2.9021211783101956E-2</v>
      </c>
      <c r="P55" s="165">
        <f>(INDEX(Models!$BJ55:$BT55,,T55)*(1-R55)+INDEX(Models!$BJ55:$BT55,,T55+1)*R55-ERP_i)*Q55*Ramure*Pc/MaxiM</f>
        <v>6.6302791632406335E-4</v>
      </c>
      <c r="Q55" s="301">
        <f t="shared" si="4"/>
        <v>0.5</v>
      </c>
      <c r="R55" s="173">
        <f t="shared" si="5"/>
        <v>0.49242093442033696</v>
      </c>
      <c r="S55" s="801">
        <f t="shared" si="6"/>
        <v>1</v>
      </c>
      <c r="T55" s="172">
        <f t="shared" si="7"/>
        <v>7</v>
      </c>
      <c r="U55" s="247">
        <f t="shared" si="8"/>
        <v>1.492420934420337</v>
      </c>
      <c r="V55" s="378">
        <f t="shared" si="9"/>
        <v>139.75648576249938</v>
      </c>
      <c r="W55" s="397">
        <f t="shared" si="10"/>
        <v>129.65575009442111</v>
      </c>
      <c r="X55" s="153">
        <f t="shared" si="11"/>
        <v>45698</v>
      </c>
      <c r="Y55" s="380">
        <f t="shared" si="12"/>
        <v>125.99845082531655</v>
      </c>
      <c r="Z55" s="380">
        <f t="shared" si="13"/>
        <v>128.21515116948615</v>
      </c>
      <c r="AA55" s="381">
        <f t="shared" si="14"/>
        <v>135.88020169373655</v>
      </c>
      <c r="AB55" s="193">
        <f t="shared" si="15"/>
        <v>45698</v>
      </c>
      <c r="AC55" s="119">
        <f>IF(OR(t&lt;Tnet,NoTnet),'2024'!Resal_s+('2024'!Salim-'2024'!Resal_s)*(1-EXP(('2024'!Tnet_s-t)/'2024'!Tau_j)),Resal_s+(Salim-Resal_s)*(1-EXP((Tnet_s-t)/Tau_j)))*Salcycl</f>
        <v>5.6410355803907533E-2</v>
      </c>
      <c r="AD55" s="227">
        <f>(INDEX(Models!$BJ55:$BT55,,AH55)*(1-AF55)+INDEX(Models!$BJ55:$BT55,,AH55+1)*AF55-ERP_i)*AE55*Ramure*Pc/MaxiM</f>
        <v>6.6302791632406335E-4</v>
      </c>
      <c r="AE55" s="301">
        <f t="shared" si="16"/>
        <v>0.5</v>
      </c>
      <c r="AF55" s="173">
        <f t="shared" si="23"/>
        <v>0.49242093442033696</v>
      </c>
      <c r="AG55" s="801">
        <f t="shared" si="24"/>
        <v>1</v>
      </c>
      <c r="AH55" s="172">
        <f t="shared" si="17"/>
        <v>7</v>
      </c>
      <c r="AI55" s="221">
        <f t="shared" si="18"/>
        <v>1.492420934420337</v>
      </c>
      <c r="AJ55" s="261" t="b">
        <f t="shared" si="19"/>
        <v>0</v>
      </c>
      <c r="AK55" s="261" t="b">
        <f t="shared" si="20"/>
        <v>0</v>
      </c>
      <c r="AL55" s="261"/>
      <c r="AM55" s="261"/>
      <c r="AN55" s="75"/>
    </row>
    <row r="56" spans="1:40" s="6" customFormat="1" ht="11.25" x14ac:dyDescent="0.2">
      <c r="A56" s="56">
        <f t="shared" si="21"/>
        <v>45699</v>
      </c>
      <c r="B56" s="406">
        <f>'2024'!Wh/'2024'!Env_an*'2025'!Env_an</f>
        <v>64.669044889505116</v>
      </c>
      <c r="C56" s="385"/>
      <c r="D56" s="388">
        <f t="shared" si="0"/>
        <v>65.807673174639078</v>
      </c>
      <c r="E56" s="380">
        <f t="shared" si="1"/>
        <v>67.778500226705333</v>
      </c>
      <c r="F56" s="380">
        <f t="shared" si="2"/>
        <v>67.787653716419172</v>
      </c>
      <c r="G56" s="110">
        <f t="shared" si="22"/>
        <v>0.45761560160812809</v>
      </c>
      <c r="H56" s="409" t="b">
        <f>Wh_hp&gt;='2024'!Maxi_hp</f>
        <v>0</v>
      </c>
      <c r="I56" s="375">
        <f>IF(H56,Wh_hp,'2024'!Maxi_hp)</f>
        <v>67.819064186061496</v>
      </c>
      <c r="J56" s="85">
        <f>IF(H56,An,'2024'!An_max)</f>
        <v>2022</v>
      </c>
      <c r="K56" s="193">
        <f t="shared" si="3"/>
        <v>45699</v>
      </c>
      <c r="L56" s="143">
        <f>IF(t&lt;Tvie,1-EXP((T0-t)*PertePVj)+'2024'!Pspv,1-EXP((T0-t)*PertePVj)+Pspv)</f>
        <v>1.7302363542201049E-2</v>
      </c>
      <c r="M56" s="835"/>
      <c r="N56" s="835"/>
      <c r="O56" s="48">
        <f>IF(t&lt;Tnet,'2024'!Resal+('2024'!Salim-'2024'!Resal)*(1-EXP(('2024'!Tnet-t)/('2024'!Tau_j))),Resal+(Salim-Resal)*(1-EXP((Tnet-t)/(Tau_j))))*Salcycl</f>
        <v>2.9077466238914211E-2</v>
      </c>
      <c r="P56" s="165">
        <f>(INDEX(Models!$BJ56:$BT56,,T56)*(1-R56)+INDEX(Models!$BJ56:$BT56,,T56+1)*R56-ERP_i)*Q56*Ramure*Pc/MaxiM</f>
        <v>5.9889416792252136E-4</v>
      </c>
      <c r="Q56" s="301">
        <f t="shared" si="4"/>
        <v>0.5</v>
      </c>
      <c r="R56" s="173">
        <f t="shared" si="5"/>
        <v>0.4925703407861981</v>
      </c>
      <c r="S56" s="801">
        <f t="shared" si="6"/>
        <v>1</v>
      </c>
      <c r="T56" s="172">
        <f t="shared" si="7"/>
        <v>7</v>
      </c>
      <c r="U56" s="247">
        <f t="shared" si="8"/>
        <v>1.4925703407861981</v>
      </c>
      <c r="V56" s="378">
        <f t="shared" si="9"/>
        <v>141.25183467449315</v>
      </c>
      <c r="W56" s="397">
        <f t="shared" si="10"/>
        <v>64.669044889505116</v>
      </c>
      <c r="X56" s="153">
        <f t="shared" si="11"/>
        <v>45699</v>
      </c>
      <c r="Y56" s="380">
        <f t="shared" si="12"/>
        <v>62.846742221359293</v>
      </c>
      <c r="Z56" s="380">
        <f t="shared" si="13"/>
        <v>63.953285211812137</v>
      </c>
      <c r="AA56" s="381">
        <f t="shared" si="14"/>
        <v>67.778500226705333</v>
      </c>
      <c r="AB56" s="193">
        <f t="shared" si="15"/>
        <v>45699</v>
      </c>
      <c r="AC56" s="119">
        <f>IF(OR(t&lt;Tnet,NoTnet),'2024'!Resal_s+('2024'!Salim-'2024'!Resal_s)*(1-EXP(('2024'!Tnet_s-t)/'2024'!Tau_j)),Resal_s+(Salim-Resal_s)*(1-EXP((Tnet_s-t)/Tau_j)))*Salcycl</f>
        <v>5.6436997013781985E-2</v>
      </c>
      <c r="AD56" s="227">
        <f>(INDEX(Models!$BJ56:$BT56,,AH56)*(1-AF56)+INDEX(Models!$BJ56:$BT56,,AH56+1)*AF56-ERP_i)*AE56*Ramure*Pc/MaxiM</f>
        <v>5.9889416792252136E-4</v>
      </c>
      <c r="AE56" s="301">
        <f t="shared" si="16"/>
        <v>0.5</v>
      </c>
      <c r="AF56" s="173">
        <f t="shared" si="23"/>
        <v>0.4925703407861981</v>
      </c>
      <c r="AG56" s="801">
        <f t="shared" si="24"/>
        <v>1</v>
      </c>
      <c r="AH56" s="172">
        <f t="shared" si="17"/>
        <v>7</v>
      </c>
      <c r="AI56" s="221">
        <f t="shared" si="18"/>
        <v>1.4925703407861981</v>
      </c>
      <c r="AJ56" s="261" t="b">
        <f t="shared" si="19"/>
        <v>0</v>
      </c>
      <c r="AK56" s="261" t="b">
        <f t="shared" si="20"/>
        <v>0</v>
      </c>
      <c r="AL56" s="261"/>
      <c r="AM56" s="261"/>
      <c r="AN56" s="75"/>
    </row>
    <row r="57" spans="1:40" s="6" customFormat="1" ht="11.25" x14ac:dyDescent="0.2">
      <c r="A57" s="56">
        <f t="shared" si="21"/>
        <v>45700</v>
      </c>
      <c r="B57" s="406">
        <f>'2024'!Wh/'2024'!Env_an*'2025'!Env_an</f>
        <v>108.30673912417738</v>
      </c>
      <c r="C57" s="385"/>
      <c r="D57" s="388">
        <f t="shared" si="0"/>
        <v>110.21520532316001</v>
      </c>
      <c r="E57" s="380">
        <f t="shared" si="1"/>
        <v>113.52253420901285</v>
      </c>
      <c r="F57" s="380">
        <f t="shared" si="2"/>
        <v>113.56246309368645</v>
      </c>
      <c r="G57" s="110">
        <f t="shared" si="22"/>
        <v>0.7585502498963439</v>
      </c>
      <c r="H57" s="409" t="b">
        <f>Wh_hp&gt;='2024'!Maxi_hp</f>
        <v>0</v>
      </c>
      <c r="I57" s="375">
        <f>IF(H57,Wh_hp,'2024'!Maxi_hp)</f>
        <v>113.58344330581436</v>
      </c>
      <c r="J57" s="85">
        <f>IF(H57,An,'2024'!An_max)</f>
        <v>2022</v>
      </c>
      <c r="K57" s="193">
        <f t="shared" si="3"/>
        <v>45700</v>
      </c>
      <c r="L57" s="143">
        <f>IF(t&lt;Tvie,1-EXP((T0-t)*PertePVj)+'2024'!Pspv,1-EXP((T0-t)*PertePVj)+Pspv)</f>
        <v>1.7315815847612326E-2</v>
      </c>
      <c r="M57" s="835"/>
      <c r="N57" s="835"/>
      <c r="O57" s="48">
        <f>IF(t&lt;Tnet,'2024'!Resal+('2024'!Salim-'2024'!Resal)*(1-EXP(('2024'!Tnet-t)/('2024'!Tau_j))),Resal+(Salim-Resal)*(1-EXP((Tnet-t)/(Tau_j))))*Salcycl</f>
        <v>2.9133677369847455E-2</v>
      </c>
      <c r="P57" s="165">
        <f>(INDEX(Models!$BJ57:$BT57,,T57)*(1-R57)+INDEX(Models!$BJ57:$BT57,,T57+1)*R57-ERP_i)*Q57*Ramure*Pc/MaxiM</f>
        <v>5.3657513255943171E-4</v>
      </c>
      <c r="Q57" s="301">
        <f t="shared" si="4"/>
        <v>0.5</v>
      </c>
      <c r="R57" s="173">
        <f t="shared" si="5"/>
        <v>0.49272591957272094</v>
      </c>
      <c r="S57" s="801">
        <f t="shared" si="6"/>
        <v>1</v>
      </c>
      <c r="T57" s="172">
        <f t="shared" si="7"/>
        <v>7</v>
      </c>
      <c r="U57" s="247">
        <f t="shared" si="8"/>
        <v>1.4927259195727209</v>
      </c>
      <c r="V57" s="378">
        <f t="shared" si="9"/>
        <v>142.75481202051708</v>
      </c>
      <c r="W57" s="397">
        <f t="shared" si="10"/>
        <v>108.30673912417738</v>
      </c>
      <c r="X57" s="153">
        <f t="shared" si="11"/>
        <v>45700</v>
      </c>
      <c r="Y57" s="380">
        <f t="shared" si="12"/>
        <v>105.25789573649033</v>
      </c>
      <c r="Z57" s="380">
        <f t="shared" si="13"/>
        <v>107.11263845899822</v>
      </c>
      <c r="AA57" s="381">
        <f t="shared" si="14"/>
        <v>113.52253420901285</v>
      </c>
      <c r="AB57" s="193">
        <f t="shared" si="15"/>
        <v>45700</v>
      </c>
      <c r="AC57" s="119">
        <f>IF(OR(t&lt;Tnet,NoTnet),'2024'!Resal_s+('2024'!Salim-'2024'!Resal_s)*(1-EXP(('2024'!Tnet_s-t)/'2024'!Tau_j)),Resal_s+(Salim-Resal_s)*(1-EXP((Tnet_s-t)/Tau_j)))*Salcycl</f>
        <v>5.6463642171808784E-2</v>
      </c>
      <c r="AD57" s="227">
        <f>(INDEX(Models!$BJ57:$BT57,,AH57)*(1-AF57)+INDEX(Models!$BJ57:$BT57,,AH57+1)*AF57-ERP_i)*AE57*Ramure*Pc/MaxiM</f>
        <v>5.3657513255943171E-4</v>
      </c>
      <c r="AE57" s="301">
        <f t="shared" si="16"/>
        <v>0.5</v>
      </c>
      <c r="AF57" s="173">
        <f t="shared" si="23"/>
        <v>0.49272591957272094</v>
      </c>
      <c r="AG57" s="801">
        <f t="shared" si="24"/>
        <v>1</v>
      </c>
      <c r="AH57" s="172">
        <f t="shared" si="17"/>
        <v>7</v>
      </c>
      <c r="AI57" s="221">
        <f t="shared" si="18"/>
        <v>1.4927259195727209</v>
      </c>
      <c r="AJ57" s="261" t="b">
        <f t="shared" si="19"/>
        <v>0</v>
      </c>
      <c r="AK57" s="261" t="b">
        <f t="shared" si="20"/>
        <v>0</v>
      </c>
      <c r="AL57" s="261"/>
      <c r="AM57" s="261"/>
      <c r="AN57" s="75"/>
    </row>
    <row r="58" spans="1:40" s="6" customFormat="1" ht="11.25" x14ac:dyDescent="0.2">
      <c r="A58" s="56">
        <f t="shared" si="21"/>
        <v>45701</v>
      </c>
      <c r="B58" s="406">
        <f>'2024'!Wh/'2024'!Env_an*'2025'!Env_an</f>
        <v>132.1426915673153</v>
      </c>
      <c r="C58" s="385"/>
      <c r="D58" s="388">
        <f t="shared" si="0"/>
        <v>134.47301039910235</v>
      </c>
      <c r="E58" s="380">
        <f t="shared" si="1"/>
        <v>138.51627869626557</v>
      </c>
      <c r="F58" s="380">
        <f t="shared" si="2"/>
        <v>138.57459823834847</v>
      </c>
      <c r="G58" s="110">
        <f t="shared" si="22"/>
        <v>0.91593837268432132</v>
      </c>
      <c r="H58" s="409" t="b">
        <f>Wh_hp&gt;='2024'!Maxi_hp</f>
        <v>0</v>
      </c>
      <c r="I58" s="375">
        <f>IF(H58,Wh_hp,'2024'!Maxi_hp)</f>
        <v>138.58254094560056</v>
      </c>
      <c r="J58" s="85">
        <f>IF(H58,An,'2024'!An_max)</f>
        <v>2022</v>
      </c>
      <c r="K58" s="193">
        <f t="shared" si="3"/>
        <v>45701</v>
      </c>
      <c r="L58" s="143">
        <f>IF(t&lt;Tvie,1-EXP((T0-t)*PertePVj)+'2024'!Pspv,1-EXP((T0-t)*PertePVj)+Pspv)</f>
        <v>1.7329267968872797E-2</v>
      </c>
      <c r="M58" s="835"/>
      <c r="N58" s="835"/>
      <c r="O58" s="48">
        <f>IF(t&lt;Tnet,'2024'!Resal+('2024'!Salim-'2024'!Resal)*(1-EXP(('2024'!Tnet-t)/('2024'!Tau_j))),Resal+(Salim-Resal)*(1-EXP((Tnet-t)/(Tau_j))))*Salcycl</f>
        <v>2.9189842054804124E-2</v>
      </c>
      <c r="P58" s="165">
        <f>(INDEX(Models!$BJ58:$BT58,,T58)*(1-R58)+INDEX(Models!$BJ58:$BT58,,T58+1)*R58-ERP_i)*Q58*Ramure*Pc/MaxiM</f>
        <v>4.7824911171868366E-4</v>
      </c>
      <c r="Q58" s="301">
        <f t="shared" si="4"/>
        <v>0.5</v>
      </c>
      <c r="R58" s="173">
        <f t="shared" si="5"/>
        <v>0.49288792164376005</v>
      </c>
      <c r="S58" s="801">
        <f t="shared" si="6"/>
        <v>1</v>
      </c>
      <c r="T58" s="172">
        <f t="shared" si="7"/>
        <v>7</v>
      </c>
      <c r="U58" s="247">
        <f t="shared" si="8"/>
        <v>1.4928879216437601</v>
      </c>
      <c r="V58" s="378">
        <f t="shared" si="9"/>
        <v>144.26200260228242</v>
      </c>
      <c r="W58" s="397">
        <f t="shared" si="10"/>
        <v>132.1426915673153</v>
      </c>
      <c r="X58" s="153">
        <f t="shared" si="11"/>
        <v>45701</v>
      </c>
      <c r="Y58" s="380">
        <f t="shared" si="12"/>
        <v>128.42666739620009</v>
      </c>
      <c r="Z58" s="380">
        <f t="shared" si="13"/>
        <v>130.69145463480848</v>
      </c>
      <c r="AA58" s="381">
        <f t="shared" si="14"/>
        <v>138.51627869626557</v>
      </c>
      <c r="AB58" s="193">
        <f t="shared" si="15"/>
        <v>45701</v>
      </c>
      <c r="AC58" s="119">
        <f>IF(OR(t&lt;Tnet,NoTnet),'2024'!Resal_s+('2024'!Salim-'2024'!Resal_s)*(1-EXP(('2024'!Tnet_s-t)/'2024'!Tau_j)),Resal_s+(Salim-Resal_s)*(1-EXP((Tnet_s-t)/Tau_j)))*Salcycl</f>
        <v>5.6490285005527364E-2</v>
      </c>
      <c r="AD58" s="227">
        <f>(INDEX(Models!$BJ58:$BT58,,AH58)*(1-AF58)+INDEX(Models!$BJ58:$BT58,,AH58+1)*AF58-ERP_i)*AE58*Ramure*Pc/MaxiM</f>
        <v>4.7824911171868366E-4</v>
      </c>
      <c r="AE58" s="301">
        <f t="shared" si="16"/>
        <v>0.5</v>
      </c>
      <c r="AF58" s="173">
        <f t="shared" si="23"/>
        <v>0.49288792164376005</v>
      </c>
      <c r="AG58" s="801">
        <f t="shared" si="24"/>
        <v>1</v>
      </c>
      <c r="AH58" s="172">
        <f t="shared" si="17"/>
        <v>7</v>
      </c>
      <c r="AI58" s="221">
        <f t="shared" si="18"/>
        <v>1.4928879216437601</v>
      </c>
      <c r="AJ58" s="261" t="b">
        <f t="shared" si="19"/>
        <v>0</v>
      </c>
      <c r="AK58" s="261" t="b">
        <f t="shared" si="20"/>
        <v>0</v>
      </c>
      <c r="AL58" s="261"/>
      <c r="AM58" s="261"/>
      <c r="AN58" s="75"/>
    </row>
    <row r="59" spans="1:40" s="6" customFormat="1" ht="11.25" x14ac:dyDescent="0.2">
      <c r="A59" s="56">
        <f t="shared" si="21"/>
        <v>45702</v>
      </c>
      <c r="B59" s="406">
        <f>'2024'!Wh/'2024'!Env_an*'2025'!Env_an</f>
        <v>75.346347494974907</v>
      </c>
      <c r="C59" s="385"/>
      <c r="D59" s="388">
        <f t="shared" si="0"/>
        <v>76.676119967041004</v>
      </c>
      <c r="E59" s="380">
        <f t="shared" si="1"/>
        <v>78.986145394102465</v>
      </c>
      <c r="F59" s="380">
        <f t="shared" si="2"/>
        <v>78.996569222849686</v>
      </c>
      <c r="G59" s="110">
        <f t="shared" si="22"/>
        <v>0.51673316407478154</v>
      </c>
      <c r="H59" s="409" t="b">
        <f>Wh_hp&gt;='2024'!Maxi_hp</f>
        <v>0</v>
      </c>
      <c r="I59" s="375">
        <f>IF(H59,Wh_hp,'2024'!Maxi_hp)</f>
        <v>79.019753092234637</v>
      </c>
      <c r="J59" s="85">
        <f>IF(H59,An,'2024'!An_max)</f>
        <v>2022</v>
      </c>
      <c r="K59" s="193">
        <f t="shared" si="3"/>
        <v>45702</v>
      </c>
      <c r="L59" s="143">
        <f>IF(t&lt;Tvie,1-EXP((T0-t)*PertePVj)+'2024'!Pspv,1-EXP((T0-t)*PertePVj)+Pspv)</f>
        <v>1.7342719905985016E-2</v>
      </c>
      <c r="M59" s="835"/>
      <c r="N59" s="835"/>
      <c r="O59" s="48">
        <f>IF(t&lt;Tnet,'2024'!Resal+('2024'!Salim-'2024'!Resal)*(1-EXP(('2024'!Tnet-t)/('2024'!Tau_j))),Resal+(Salim-Resal)*(1-EXP((Tnet-t)/(Tau_j))))*Salcycl</f>
        <v>2.9245957193322344E-2</v>
      </c>
      <c r="P59" s="165">
        <f>(INDEX(Models!$BJ59:$BT59,,T59)*(1-R59)+INDEX(Models!$BJ59:$BT59,,T59+1)*R59-ERP_i)*Q59*Ramure*Pc/MaxiM</f>
        <v>4.2588009158628067E-4</v>
      </c>
      <c r="Q59" s="301">
        <f t="shared" si="4"/>
        <v>0.5</v>
      </c>
      <c r="R59" s="173">
        <f t="shared" si="5"/>
        <v>0.49305660770774185</v>
      </c>
      <c r="S59" s="801">
        <f t="shared" si="6"/>
        <v>1</v>
      </c>
      <c r="T59" s="172">
        <f t="shared" si="7"/>
        <v>7</v>
      </c>
      <c r="U59" s="247">
        <f t="shared" si="8"/>
        <v>1.4930566077077418</v>
      </c>
      <c r="V59" s="378">
        <f t="shared" si="9"/>
        <v>145.77000949631014</v>
      </c>
      <c r="W59" s="397">
        <f t="shared" si="10"/>
        <v>75.346347494974907</v>
      </c>
      <c r="X59" s="153">
        <f t="shared" si="11"/>
        <v>45702</v>
      </c>
      <c r="Y59" s="380">
        <f t="shared" si="12"/>
        <v>73.229676022825728</v>
      </c>
      <c r="Z59" s="380">
        <f t="shared" si="13"/>
        <v>74.522091787504522</v>
      </c>
      <c r="AA59" s="381">
        <f t="shared" si="14"/>
        <v>78.986145394102465</v>
      </c>
      <c r="AB59" s="193">
        <f t="shared" si="15"/>
        <v>45702</v>
      </c>
      <c r="AC59" s="119">
        <f>IF(OR(t&lt;Tnet,NoTnet),'2024'!Resal_s+('2024'!Salim-'2024'!Resal_s)*(1-EXP(('2024'!Tnet_s-t)/'2024'!Tau_j)),Resal_s+(Salim-Resal_s)*(1-EXP((Tnet_s-t)/Tau_j)))*Salcycl</f>
        <v>5.6516919319514594E-2</v>
      </c>
      <c r="AD59" s="227">
        <f>(INDEX(Models!$BJ59:$BT59,,AH59)*(1-AF59)+INDEX(Models!$BJ59:$BT59,,AH59+1)*AF59-ERP_i)*AE59*Ramure*Pc/MaxiM</f>
        <v>4.2588009158628067E-4</v>
      </c>
      <c r="AE59" s="301">
        <f t="shared" si="16"/>
        <v>0.5</v>
      </c>
      <c r="AF59" s="173">
        <f t="shared" si="23"/>
        <v>0.49305660770774185</v>
      </c>
      <c r="AG59" s="801">
        <f t="shared" si="24"/>
        <v>1</v>
      </c>
      <c r="AH59" s="172">
        <f t="shared" si="17"/>
        <v>7</v>
      </c>
      <c r="AI59" s="221">
        <f t="shared" si="18"/>
        <v>1.4930566077077418</v>
      </c>
      <c r="AJ59" s="261" t="b">
        <f t="shared" si="19"/>
        <v>0</v>
      </c>
      <c r="AK59" s="261" t="b">
        <f t="shared" si="20"/>
        <v>0</v>
      </c>
      <c r="AL59" s="261"/>
      <c r="AM59" s="261"/>
      <c r="AN59" s="75"/>
    </row>
    <row r="60" spans="1:40" s="6" customFormat="1" ht="11.25" x14ac:dyDescent="0.2">
      <c r="A60" s="56">
        <f t="shared" si="21"/>
        <v>45703</v>
      </c>
      <c r="B60" s="406">
        <f>'2024'!Wh/'2024'!Env_an*'2025'!Env_an</f>
        <v>79.55566537280977</v>
      </c>
      <c r="C60" s="385"/>
      <c r="D60" s="388">
        <f t="shared" si="0"/>
        <v>80.960835531954501</v>
      </c>
      <c r="E60" s="380">
        <f t="shared" si="1"/>
        <v>83.404763561226858</v>
      </c>
      <c r="F60" s="380">
        <f t="shared" si="2"/>
        <v>83.415619513947291</v>
      </c>
      <c r="G60" s="110">
        <f t="shared" si="22"/>
        <v>0.54004713788930425</v>
      </c>
      <c r="H60" s="409" t="b">
        <f>Wh_hp&gt;='2024'!Maxi_hp</f>
        <v>0</v>
      </c>
      <c r="I60" s="375">
        <f>IF(H60,Wh_hp,'2024'!Maxi_hp)</f>
        <v>83.436368101478877</v>
      </c>
      <c r="J60" s="85">
        <f>IF(H60,An,'2024'!An_max)</f>
        <v>2022</v>
      </c>
      <c r="K60" s="193">
        <f t="shared" si="3"/>
        <v>45703</v>
      </c>
      <c r="L60" s="143">
        <f>IF(t&lt;Tvie,1-EXP((T0-t)*PertePVj)+'2024'!Pspv,1-EXP((T0-t)*PertePVj)+Pspv)</f>
        <v>1.7356171658951425E-2</v>
      </c>
      <c r="M60" s="835"/>
      <c r="N60" s="835"/>
      <c r="O60" s="48">
        <f>IF(t&lt;Tnet,'2024'!Resal+('2024'!Salim-'2024'!Resal)*(1-EXP(('2024'!Tnet-t)/('2024'!Tau_j))),Resal+(Salim-Resal)*(1-EXP((Tnet-t)/(Tau_j))))*Salcycl</f>
        <v>2.9302019751884869E-2</v>
      </c>
      <c r="P60" s="165">
        <f>(INDEX(Models!$BJ60:$BT60,,T60)*(1-R60)+INDEX(Models!$BJ60:$BT60,,T60+1)*R60-ERP_i)*Q60*Ramure*Pc/MaxiM</f>
        <v>3.7929630378777358E-4</v>
      </c>
      <c r="Q60" s="301">
        <f t="shared" si="4"/>
        <v>0.5</v>
      </c>
      <c r="R60" s="173">
        <f t="shared" si="5"/>
        <v>0.49323224867407234</v>
      </c>
      <c r="S60" s="801">
        <f t="shared" si="6"/>
        <v>1</v>
      </c>
      <c r="T60" s="172">
        <f t="shared" si="7"/>
        <v>7</v>
      </c>
      <c r="U60" s="247">
        <f t="shared" si="8"/>
        <v>1.4932322486740723</v>
      </c>
      <c r="V60" s="378">
        <f t="shared" si="9"/>
        <v>147.27573881951989</v>
      </c>
      <c r="W60" s="397">
        <f t="shared" si="10"/>
        <v>79.55566537280977</v>
      </c>
      <c r="X60" s="153">
        <f t="shared" si="11"/>
        <v>45703</v>
      </c>
      <c r="Y60" s="380">
        <f t="shared" si="12"/>
        <v>77.323027373831849</v>
      </c>
      <c r="Z60" s="380">
        <f t="shared" si="13"/>
        <v>78.688763053010447</v>
      </c>
      <c r="AA60" s="381">
        <f t="shared" si="14"/>
        <v>83.404763561226858</v>
      </c>
      <c r="AB60" s="193">
        <f t="shared" si="15"/>
        <v>45703</v>
      </c>
      <c r="AC60" s="119">
        <f>IF(OR(t&lt;Tnet,NoTnet),'2024'!Resal_s+('2024'!Salim-'2024'!Resal_s)*(1-EXP(('2024'!Tnet_s-t)/'2024'!Tau_j)),Resal_s+(Salim-Resal_s)*(1-EXP((Tnet_s-t)/Tau_j)))*Salcycl</f>
        <v>5.6543539084004828E-2</v>
      </c>
      <c r="AD60" s="227">
        <f>(INDEX(Models!$BJ60:$BT60,,AH60)*(1-AF60)+INDEX(Models!$BJ60:$BT60,,AH60+1)*AF60-ERP_i)*AE60*Ramure*Pc/MaxiM</f>
        <v>3.7929630378777358E-4</v>
      </c>
      <c r="AE60" s="301">
        <f t="shared" si="16"/>
        <v>0.5</v>
      </c>
      <c r="AF60" s="173">
        <f t="shared" si="23"/>
        <v>0.49323224867407234</v>
      </c>
      <c r="AG60" s="801">
        <f t="shared" si="24"/>
        <v>1</v>
      </c>
      <c r="AH60" s="172">
        <f t="shared" si="17"/>
        <v>7</v>
      </c>
      <c r="AI60" s="221">
        <f t="shared" si="18"/>
        <v>1.4932322486740723</v>
      </c>
      <c r="AJ60" s="261" t="b">
        <f t="shared" si="19"/>
        <v>0</v>
      </c>
      <c r="AK60" s="261" t="b">
        <f t="shared" si="20"/>
        <v>0</v>
      </c>
      <c r="AL60" s="261"/>
      <c r="AM60" s="261"/>
      <c r="AN60" s="75"/>
    </row>
    <row r="61" spans="1:40" s="6" customFormat="1" ht="11.25" x14ac:dyDescent="0.2">
      <c r="A61" s="56">
        <f t="shared" si="21"/>
        <v>45704</v>
      </c>
      <c r="B61" s="406">
        <f>'2024'!Wh/'2024'!Env_an*'2025'!Env_an</f>
        <v>30.727673419762784</v>
      </c>
      <c r="C61" s="385"/>
      <c r="D61" s="388">
        <f t="shared" si="0"/>
        <v>31.270836060145015</v>
      </c>
      <c r="E61" s="380">
        <f t="shared" si="1"/>
        <v>32.216653435462462</v>
      </c>
      <c r="F61" s="380">
        <f t="shared" si="2"/>
        <v>32.216653435462462</v>
      </c>
      <c r="G61" s="110">
        <f t="shared" si="22"/>
        <v>0.20646648118996555</v>
      </c>
      <c r="H61" s="409" t="b">
        <f>Wh_hp&gt;='2024'!Maxi_hp</f>
        <v>0</v>
      </c>
      <c r="I61" s="375">
        <f>IF(H61,Wh_hp,'2024'!Maxi_hp)</f>
        <v>32.227533516382081</v>
      </c>
      <c r="J61" s="85">
        <f>IF(H61,An,'2024'!An_max)</f>
        <v>2022</v>
      </c>
      <c r="K61" s="193">
        <f t="shared" si="3"/>
        <v>45704</v>
      </c>
      <c r="L61" s="143">
        <f>IF(t&lt;Tvie,1-EXP((T0-t)*PertePVj)+'2024'!Pspv,1-EXP((T0-t)*PertePVj)+Pspv)</f>
        <v>1.73696232277748E-2</v>
      </c>
      <c r="M61" s="835"/>
      <c r="N61" s="835"/>
      <c r="O61" s="48">
        <f>IF(t&lt;Tnet,'2024'!Resal+('2024'!Salim-'2024'!Resal)*(1-EXP(('2024'!Tnet-t)/('2024'!Tau_j))),Resal+(Salim-Resal)*(1-EXP((Tnet-t)/(Tau_j))))*Salcycl</f>
        <v>2.9358026810951725E-2</v>
      </c>
      <c r="P61" s="165">
        <f>(INDEX(Models!$BJ61:$BT61,,T61)*(1-R61)+INDEX(Models!$BJ61:$BT61,,T61+1)*R61-ERP_i)*Q61*Ramure*Pc/MaxiM</f>
        <v>3.3832955072643142E-4</v>
      </c>
      <c r="Q61" s="301">
        <f t="shared" si="4"/>
        <v>0.5</v>
      </c>
      <c r="R61" s="173">
        <f t="shared" si="5"/>
        <v>0.49341512601986026</v>
      </c>
      <c r="S61" s="801">
        <f t="shared" si="6"/>
        <v>1</v>
      </c>
      <c r="T61" s="172">
        <f t="shared" si="7"/>
        <v>7</v>
      </c>
      <c r="U61" s="247">
        <f t="shared" si="8"/>
        <v>1.4934151260198603</v>
      </c>
      <c r="V61" s="378">
        <f t="shared" si="9"/>
        <v>148.77609751849971</v>
      </c>
      <c r="W61" s="397">
        <f t="shared" si="10"/>
        <v>30.727673419762784</v>
      </c>
      <c r="X61" s="153">
        <f t="shared" si="11"/>
        <v>45704</v>
      </c>
      <c r="Y61" s="380">
        <f t="shared" si="12"/>
        <v>29.866217903844948</v>
      </c>
      <c r="Z61" s="380">
        <f t="shared" si="13"/>
        <v>30.394152887834007</v>
      </c>
      <c r="AA61" s="381">
        <f t="shared" si="14"/>
        <v>32.216653435462462</v>
      </c>
      <c r="AB61" s="193">
        <f t="shared" si="15"/>
        <v>45704</v>
      </c>
      <c r="AC61" s="119">
        <f>IF(OR(t&lt;Tnet,NoTnet),'2024'!Resal_s+('2024'!Salim-'2024'!Resal_s)*(1-EXP(('2024'!Tnet_s-t)/'2024'!Tau_j)),Resal_s+(Salim-Resal_s)*(1-EXP((Tnet_s-t)/Tau_j)))*Salcycl</f>
        <v>5.6570138524144074E-2</v>
      </c>
      <c r="AD61" s="227">
        <f>(INDEX(Models!$BJ61:$BT61,,AH61)*(1-AF61)+INDEX(Models!$BJ61:$BT61,,AH61+1)*AF61-ERP_i)*AE61*Ramure*Pc/MaxiM</f>
        <v>3.3832955072643142E-4</v>
      </c>
      <c r="AE61" s="301">
        <f t="shared" si="16"/>
        <v>0.5</v>
      </c>
      <c r="AF61" s="173">
        <f t="shared" si="23"/>
        <v>0.49341512601986026</v>
      </c>
      <c r="AG61" s="801">
        <f t="shared" si="24"/>
        <v>1</v>
      </c>
      <c r="AH61" s="172">
        <f t="shared" si="17"/>
        <v>7</v>
      </c>
      <c r="AI61" s="221">
        <f t="shared" si="18"/>
        <v>1.4934151260198603</v>
      </c>
      <c r="AJ61" s="261" t="b">
        <f t="shared" si="19"/>
        <v>0</v>
      </c>
      <c r="AK61" s="261" t="b">
        <f t="shared" si="20"/>
        <v>0</v>
      </c>
      <c r="AL61" s="261"/>
      <c r="AM61" s="261"/>
      <c r="AN61" s="75"/>
    </row>
    <row r="62" spans="1:40" s="6" customFormat="1" ht="11.25" x14ac:dyDescent="0.2">
      <c r="A62" s="56">
        <f t="shared" si="21"/>
        <v>45705</v>
      </c>
      <c r="B62" s="406">
        <f>'2024'!Wh/'2024'!Env_an*'2025'!Env_an</f>
        <v>45.268835991177937</v>
      </c>
      <c r="C62" s="385"/>
      <c r="D62" s="388">
        <f t="shared" si="0"/>
        <v>46.069668475661537</v>
      </c>
      <c r="E62" s="380">
        <f t="shared" si="1"/>
        <v>47.465827158104418</v>
      </c>
      <c r="F62" s="380">
        <f t="shared" si="2"/>
        <v>47.465852907334693</v>
      </c>
      <c r="G62" s="110">
        <f t="shared" si="22"/>
        <v>0.30116295157758749</v>
      </c>
      <c r="H62" s="409" t="b">
        <f>Wh_hp&gt;='2024'!Maxi_hp</f>
        <v>0</v>
      </c>
      <c r="I62" s="375">
        <f>IF(H62,Wh_hp,'2024'!Maxi_hp)</f>
        <v>47.480172549184005</v>
      </c>
      <c r="J62" s="85">
        <f>IF(H62,An,'2024'!An_max)</f>
        <v>2022</v>
      </c>
      <c r="K62" s="193">
        <f t="shared" si="3"/>
        <v>45705</v>
      </c>
      <c r="L62" s="143">
        <f>IF(t&lt;Tvie,1-EXP((T0-t)*PertePVj)+'2024'!Pspv,1-EXP((T0-t)*PertePVj)+Pspv)</f>
        <v>1.7383074612457361E-2</v>
      </c>
      <c r="M62" s="835"/>
      <c r="N62" s="835"/>
      <c r="O62" s="48">
        <f>IF(t&lt;Tnet,'2024'!Resal+('2024'!Salim-'2024'!Resal)*(1-EXP(('2024'!Tnet-t)/('2024'!Tau_j))),Resal+(Salim-Resal)*(1-EXP((Tnet-t)/(Tau_j))))*Salcycl</f>
        <v>2.9413975612231587E-2</v>
      </c>
      <c r="P62" s="165">
        <f>(INDEX(Models!$BJ62:$BT62,,T62)*(1-R62)+INDEX(Models!$BJ62:$BT62,,T62+1)*R62-ERP_i)*Q62*Ramure*Pc/MaxiM</f>
        <v>3.0281615314707425E-4</v>
      </c>
      <c r="Q62" s="301">
        <f t="shared" si="4"/>
        <v>0.5</v>
      </c>
      <c r="R62" s="173">
        <f t="shared" si="5"/>
        <v>0.49360553216701675</v>
      </c>
      <c r="S62" s="801">
        <f t="shared" si="6"/>
        <v>1</v>
      </c>
      <c r="T62" s="172">
        <f t="shared" si="7"/>
        <v>7</v>
      </c>
      <c r="U62" s="247">
        <f t="shared" si="8"/>
        <v>1.4936055321670167</v>
      </c>
      <c r="V62" s="378">
        <f t="shared" si="9"/>
        <v>150.26799335481451</v>
      </c>
      <c r="W62" s="397">
        <f t="shared" si="10"/>
        <v>45.268835991177937</v>
      </c>
      <c r="X62" s="153">
        <f t="shared" si="11"/>
        <v>45705</v>
      </c>
      <c r="Y62" s="380">
        <f t="shared" si="12"/>
        <v>44.001013444934117</v>
      </c>
      <c r="Z62" s="380">
        <f t="shared" si="13"/>
        <v>44.779417398677701</v>
      </c>
      <c r="AA62" s="381">
        <f t="shared" si="14"/>
        <v>47.465827158104418</v>
      </c>
      <c r="AB62" s="193">
        <f t="shared" si="15"/>
        <v>45705</v>
      </c>
      <c r="AC62" s="119">
        <f>IF(OR(t&lt;Tnet,NoTnet),'2024'!Resal_s+('2024'!Salim-'2024'!Resal_s)*(1-EXP(('2024'!Tnet_s-t)/'2024'!Tau_j)),Resal_s+(Salim-Resal_s)*(1-EXP((Tnet_s-t)/Tau_j)))*Salcycl</f>
        <v>5.6596712208944015E-2</v>
      </c>
      <c r="AD62" s="227">
        <f>(INDEX(Models!$BJ62:$BT62,,AH62)*(1-AF62)+INDEX(Models!$BJ62:$BT62,,AH62+1)*AF62-ERP_i)*AE62*Ramure*Pc/MaxiM</f>
        <v>3.0281615314707425E-4</v>
      </c>
      <c r="AE62" s="301">
        <f t="shared" si="16"/>
        <v>0.5</v>
      </c>
      <c r="AF62" s="173">
        <f t="shared" si="23"/>
        <v>0.49360553216701675</v>
      </c>
      <c r="AG62" s="801">
        <f t="shared" si="24"/>
        <v>1</v>
      </c>
      <c r="AH62" s="172">
        <f t="shared" si="17"/>
        <v>7</v>
      </c>
      <c r="AI62" s="221">
        <f t="shared" si="18"/>
        <v>1.4936055321670167</v>
      </c>
      <c r="AJ62" s="261" t="b">
        <f t="shared" si="19"/>
        <v>0</v>
      </c>
      <c r="AK62" s="261" t="b">
        <f t="shared" si="20"/>
        <v>0</v>
      </c>
      <c r="AL62" s="261"/>
      <c r="AM62" s="261"/>
      <c r="AN62" s="75"/>
    </row>
    <row r="63" spans="1:40" s="6" customFormat="1" ht="11.25" x14ac:dyDescent="0.2">
      <c r="A63" s="56">
        <f t="shared" si="21"/>
        <v>45706</v>
      </c>
      <c r="B63" s="406">
        <f>'2024'!Wh/'2024'!Env_an*'2025'!Env_an</f>
        <v>128.70582127514442</v>
      </c>
      <c r="C63" s="385"/>
      <c r="D63" s="388">
        <f t="shared" si="0"/>
        <v>130.98449644871758</v>
      </c>
      <c r="E63" s="380">
        <f t="shared" si="1"/>
        <v>134.96180235613403</v>
      </c>
      <c r="F63" s="380">
        <f t="shared" si="2"/>
        <v>134.99061809325877</v>
      </c>
      <c r="G63" s="110">
        <f t="shared" si="22"/>
        <v>0.8481029394265035</v>
      </c>
      <c r="H63" s="409" t="b">
        <f>Wh_hp&gt;='2024'!Maxi_hp</f>
        <v>0</v>
      </c>
      <c r="I63" s="375">
        <f>IF(H63,Wh_hp,'2024'!Maxi_hp)</f>
        <v>134.99858380946762</v>
      </c>
      <c r="J63" s="85">
        <f>IF(H63,An,'2024'!An_max)</f>
        <v>2022</v>
      </c>
      <c r="K63" s="193">
        <f t="shared" si="3"/>
        <v>45706</v>
      </c>
      <c r="L63" s="143">
        <f>IF(t&lt;Tvie,1-EXP((T0-t)*PertePVj)+'2024'!Pspv,1-EXP((T0-t)*PertePVj)+Pspv)</f>
        <v>1.7396525813001773E-2</v>
      </c>
      <c r="M63" s="835"/>
      <c r="N63" s="835"/>
      <c r="O63" s="48">
        <f>IF(t&lt;Tnet,'2024'!Resal+('2024'!Salim-'2024'!Resal)*(1-EXP(('2024'!Tnet-t)/('2024'!Tau_j))),Resal+(Salim-Resal)*(1-EXP((Tnet-t)/(Tau_j))))*Salcycl</f>
        <v>2.9469863605712871E-2</v>
      </c>
      <c r="P63" s="165">
        <f>(INDEX(Models!$BJ63:$BT63,,T63)*(1-R63)+INDEX(Models!$BJ63:$BT63,,T63+1)*R63-ERP_i)*Q63*Ramure*Pc/MaxiM</f>
        <v>2.725977770642547E-4</v>
      </c>
      <c r="Q63" s="301">
        <f t="shared" si="4"/>
        <v>0.5</v>
      </c>
      <c r="R63" s="173">
        <f t="shared" si="5"/>
        <v>0.4938037708697649</v>
      </c>
      <c r="S63" s="801">
        <f t="shared" si="6"/>
        <v>1</v>
      </c>
      <c r="T63" s="172">
        <f t="shared" si="7"/>
        <v>7</v>
      </c>
      <c r="U63" s="247">
        <f t="shared" si="8"/>
        <v>1.4938037708697649</v>
      </c>
      <c r="V63" s="378">
        <f t="shared" si="9"/>
        <v>151.74833490263444</v>
      </c>
      <c r="W63" s="397">
        <f t="shared" si="10"/>
        <v>128.70582127514442</v>
      </c>
      <c r="X63" s="153">
        <f t="shared" si="11"/>
        <v>45706</v>
      </c>
      <c r="Y63" s="380">
        <f t="shared" si="12"/>
        <v>125.10490315148446</v>
      </c>
      <c r="Z63" s="380">
        <f t="shared" si="13"/>
        <v>127.31982578730012</v>
      </c>
      <c r="AA63" s="381">
        <f t="shared" si="14"/>
        <v>134.96180235613403</v>
      </c>
      <c r="AB63" s="193">
        <f t="shared" si="15"/>
        <v>45706</v>
      </c>
      <c r="AC63" s="119">
        <f>IF(OR(t&lt;Tnet,NoTnet),'2024'!Resal_s+('2024'!Salim-'2024'!Resal_s)*(1-EXP(('2024'!Tnet_s-t)/'2024'!Tau_j)),Resal_s+(Salim-Resal_s)*(1-EXP((Tnet_s-t)/Tau_j)))*Salcycl</f>
        <v>5.662325513902404E-2</v>
      </c>
      <c r="AD63" s="227">
        <f>(INDEX(Models!$BJ63:$BT63,,AH63)*(1-AF63)+INDEX(Models!$BJ63:$BT63,,AH63+1)*AF63-ERP_i)*AE63*Ramure*Pc/MaxiM</f>
        <v>2.725977770642547E-4</v>
      </c>
      <c r="AE63" s="301">
        <f t="shared" si="16"/>
        <v>0.5</v>
      </c>
      <c r="AF63" s="173">
        <f t="shared" si="23"/>
        <v>0.4938037708697649</v>
      </c>
      <c r="AG63" s="801">
        <f t="shared" si="24"/>
        <v>1</v>
      </c>
      <c r="AH63" s="172">
        <f t="shared" si="17"/>
        <v>7</v>
      </c>
      <c r="AI63" s="221">
        <f t="shared" si="18"/>
        <v>1.4938037708697649</v>
      </c>
      <c r="AJ63" s="261" t="b">
        <f t="shared" si="19"/>
        <v>0</v>
      </c>
      <c r="AK63" s="261" t="b">
        <f t="shared" si="20"/>
        <v>0</v>
      </c>
      <c r="AL63" s="261"/>
      <c r="AM63" s="261"/>
      <c r="AN63" s="75"/>
    </row>
    <row r="64" spans="1:40" s="6" customFormat="1" ht="11.25" x14ac:dyDescent="0.2">
      <c r="A64" s="56">
        <f t="shared" si="21"/>
        <v>45707</v>
      </c>
      <c r="B64" s="406">
        <f>'2024'!Wh/'2024'!Env_an*'2025'!Env_an</f>
        <v>73.35965083179417</v>
      </c>
      <c r="C64" s="385"/>
      <c r="D64" s="388">
        <f t="shared" si="0"/>
        <v>74.659470482999254</v>
      </c>
      <c r="E64" s="380">
        <f t="shared" si="1"/>
        <v>76.930908523785817</v>
      </c>
      <c r="F64" s="380">
        <f t="shared" si="2"/>
        <v>76.935772865981775</v>
      </c>
      <c r="G64" s="110">
        <f t="shared" si="22"/>
        <v>0.47871679468494011</v>
      </c>
      <c r="H64" s="409" t="b">
        <f>Wh_hp&gt;='2024'!Maxi_hp</f>
        <v>0</v>
      </c>
      <c r="I64" s="375">
        <f>IF(H64,Wh_hp,'2024'!Maxi_hp)</f>
        <v>76.949920298124354</v>
      </c>
      <c r="J64" s="85">
        <f>IF(H64,An,'2024'!An_max)</f>
        <v>2022</v>
      </c>
      <c r="K64" s="193">
        <f t="shared" si="3"/>
        <v>45707</v>
      </c>
      <c r="L64" s="143">
        <f>IF(t&lt;Tvie,1-EXP((T0-t)*PertePVj)+'2024'!Pspv,1-EXP((T0-t)*PertePVj)+Pspv)</f>
        <v>1.7409976829410589E-2</v>
      </c>
      <c r="M64" s="835"/>
      <c r="N64" s="835"/>
      <c r="O64" s="48">
        <f>IF(t&lt;Tnet,'2024'!Resal+('2024'!Salim-'2024'!Resal)*(1-EXP(('2024'!Tnet-t)/('2024'!Tau_j))),Resal+(Salim-Resal)*(1-EXP((Tnet-t)/(Tau_j))))*Salcycl</f>
        <v>2.9525688495986902E-2</v>
      </c>
      <c r="P64" s="165">
        <f>(INDEX(Models!$BJ64:$BT64,,T64)*(1-R64)+INDEX(Models!$BJ64:$BT64,,T64+1)*R64-ERP_i)*Q64*Ramure*Pc/MaxiM</f>
        <v>2.4752215455440814E-4</v>
      </c>
      <c r="Q64" s="301">
        <f t="shared" si="4"/>
        <v>0.5</v>
      </c>
      <c r="R64" s="173">
        <f t="shared" si="5"/>
        <v>0.49401015761257394</v>
      </c>
      <c r="S64" s="801">
        <f t="shared" si="6"/>
        <v>1</v>
      </c>
      <c r="T64" s="172">
        <f t="shared" si="7"/>
        <v>7</v>
      </c>
      <c r="U64" s="247">
        <f t="shared" si="8"/>
        <v>1.4940101576125739</v>
      </c>
      <c r="V64" s="378">
        <f t="shared" si="9"/>
        <v>153.21403153325306</v>
      </c>
      <c r="W64" s="397">
        <f t="shared" si="10"/>
        <v>73.35965083179417</v>
      </c>
      <c r="X64" s="153">
        <f t="shared" si="11"/>
        <v>45707</v>
      </c>
      <c r="Y64" s="380">
        <f t="shared" si="12"/>
        <v>71.309300195144189</v>
      </c>
      <c r="Z64" s="380">
        <f t="shared" si="13"/>
        <v>72.572790801442977</v>
      </c>
      <c r="AA64" s="381">
        <f t="shared" si="14"/>
        <v>76.930908523785817</v>
      </c>
      <c r="AB64" s="193">
        <f t="shared" si="15"/>
        <v>45707</v>
      </c>
      <c r="AC64" s="119">
        <f>IF(OR(t&lt;Tnet,NoTnet),'2024'!Resal_s+('2024'!Salim-'2024'!Resal_s)*(1-EXP(('2024'!Tnet_s-t)/'2024'!Tau_j)),Resal_s+(Salim-Resal_s)*(1-EXP((Tnet_s-t)/Tau_j)))*Salcycl</f>
        <v>5.6649762832261093E-2</v>
      </c>
      <c r="AD64" s="227">
        <f>(INDEX(Models!$BJ64:$BT64,,AH64)*(1-AF64)+INDEX(Models!$BJ64:$BT64,,AH64+1)*AF64-ERP_i)*AE64*Ramure*Pc/MaxiM</f>
        <v>2.4752215455440814E-4</v>
      </c>
      <c r="AE64" s="301">
        <f t="shared" si="16"/>
        <v>0.5</v>
      </c>
      <c r="AF64" s="173">
        <f t="shared" si="23"/>
        <v>0.49401015761257394</v>
      </c>
      <c r="AG64" s="801">
        <f t="shared" si="24"/>
        <v>1</v>
      </c>
      <c r="AH64" s="172">
        <f t="shared" si="17"/>
        <v>7</v>
      </c>
      <c r="AI64" s="221">
        <f t="shared" si="18"/>
        <v>1.4940101576125739</v>
      </c>
      <c r="AJ64" s="261" t="b">
        <f t="shared" si="19"/>
        <v>0</v>
      </c>
      <c r="AK64" s="261" t="b">
        <f t="shared" si="20"/>
        <v>0</v>
      </c>
      <c r="AL64" s="261"/>
      <c r="AM64" s="261"/>
      <c r="AN64" s="75"/>
    </row>
    <row r="65" spans="1:40" s="6" customFormat="1" ht="11.25" x14ac:dyDescent="0.2">
      <c r="A65" s="56">
        <f t="shared" si="21"/>
        <v>45708</v>
      </c>
      <c r="B65" s="406">
        <f>'2024'!Wh/'2024'!Env_an*'2025'!Env_an</f>
        <v>92.295963800445833</v>
      </c>
      <c r="C65" s="385"/>
      <c r="D65" s="388">
        <f t="shared" si="0"/>
        <v>93.93259151376057</v>
      </c>
      <c r="E65" s="380">
        <f t="shared" si="1"/>
        <v>96.795956083062194</v>
      </c>
      <c r="F65" s="380">
        <f t="shared" si="2"/>
        <v>96.805288313138107</v>
      </c>
      <c r="G65" s="110">
        <f t="shared" si="22"/>
        <v>0.59663822245072473</v>
      </c>
      <c r="H65" s="409" t="b">
        <f>Wh_hp&gt;='2024'!Maxi_hp</f>
        <v>0</v>
      </c>
      <c r="I65" s="375">
        <f>IF(H65,Wh_hp,'2024'!Maxi_hp)</f>
        <v>96.817942431119334</v>
      </c>
      <c r="J65" s="85">
        <f>IF(H65,An,'2024'!An_max)</f>
        <v>2022</v>
      </c>
      <c r="K65" s="193">
        <f t="shared" si="3"/>
        <v>45708</v>
      </c>
      <c r="L65" s="143">
        <f>IF(t&lt;Tvie,1-EXP((T0-t)*PertePVj)+'2024'!Pspv,1-EXP((T0-t)*PertePVj)+Pspv)</f>
        <v>1.7423427661686253E-2</v>
      </c>
      <c r="M65" s="835"/>
      <c r="N65" s="835"/>
      <c r="O65" s="48">
        <f>IF(t&lt;Tnet,'2024'!Resal+('2024'!Salim-'2024'!Resal)*(1-EXP(('2024'!Tnet-t)/('2024'!Tau_j))),Resal+(Salim-Resal)*(1-EXP((Tnet-t)/(Tau_j))))*Salcycl</f>
        <v>2.9581448287411174E-2</v>
      </c>
      <c r="P65" s="165">
        <f>(INDEX(Models!$BJ65:$BT65,,T65)*(1-R65)+INDEX(Models!$BJ65:$BT65,,T65+1)*R65-ERP_i)*Q65*Ramure*Pc/MaxiM</f>
        <v>2.274274183744856E-4</v>
      </c>
      <c r="Q65" s="301">
        <f t="shared" si="4"/>
        <v>0.5</v>
      </c>
      <c r="R65" s="173">
        <f t="shared" si="5"/>
        <v>0.49422502001848412</v>
      </c>
      <c r="S65" s="801">
        <f t="shared" si="6"/>
        <v>1</v>
      </c>
      <c r="T65" s="172">
        <f t="shared" si="7"/>
        <v>7</v>
      </c>
      <c r="U65" s="247">
        <f t="shared" si="8"/>
        <v>1.4942250200184841</v>
      </c>
      <c r="V65" s="378">
        <f t="shared" si="9"/>
        <v>154.67307666706523</v>
      </c>
      <c r="W65" s="397">
        <f t="shared" si="10"/>
        <v>92.295963800445833</v>
      </c>
      <c r="X65" s="153">
        <f t="shared" si="11"/>
        <v>45708</v>
      </c>
      <c r="Y65" s="380">
        <f t="shared" si="12"/>
        <v>89.718994185089912</v>
      </c>
      <c r="Z65" s="380">
        <f t="shared" si="13"/>
        <v>91.309926076884423</v>
      </c>
      <c r="AA65" s="381">
        <f t="shared" si="14"/>
        <v>96.795956083062194</v>
      </c>
      <c r="AB65" s="193">
        <f t="shared" si="15"/>
        <v>45708</v>
      </c>
      <c r="AC65" s="119">
        <f>IF(OR(t&lt;Tnet,NoTnet),'2024'!Resal_s+('2024'!Salim-'2024'!Resal_s)*(1-EXP(('2024'!Tnet_s-t)/'2024'!Tau_j)),Resal_s+(Salim-Resal_s)*(1-EXP((Tnet_s-t)/Tau_j)))*Salcycl</f>
        <v>5.6676231406507578E-2</v>
      </c>
      <c r="AD65" s="227">
        <f>(INDEX(Models!$BJ65:$BT65,,AH65)*(1-AF65)+INDEX(Models!$BJ65:$BT65,,AH65+1)*AF65-ERP_i)*AE65*Ramure*Pc/MaxiM</f>
        <v>2.274274183744856E-4</v>
      </c>
      <c r="AE65" s="301">
        <f t="shared" si="16"/>
        <v>0.5</v>
      </c>
      <c r="AF65" s="173">
        <f t="shared" si="23"/>
        <v>0.49422502001848412</v>
      </c>
      <c r="AG65" s="801">
        <f t="shared" si="24"/>
        <v>1</v>
      </c>
      <c r="AH65" s="172">
        <f t="shared" si="17"/>
        <v>7</v>
      </c>
      <c r="AI65" s="221">
        <f t="shared" si="18"/>
        <v>1.4942250200184841</v>
      </c>
      <c r="AJ65" s="261" t="b">
        <f t="shared" si="19"/>
        <v>0</v>
      </c>
      <c r="AK65" s="261" t="b">
        <f t="shared" si="20"/>
        <v>0</v>
      </c>
      <c r="AL65" s="261"/>
      <c r="AM65" s="261"/>
      <c r="AN65" s="75"/>
    </row>
    <row r="66" spans="1:40" s="6" customFormat="1" ht="11.25" x14ac:dyDescent="0.2">
      <c r="A66" s="56">
        <f t="shared" si="21"/>
        <v>45709</v>
      </c>
      <c r="B66" s="406">
        <f>'2024'!Wh/'2024'!Env_an*'2025'!Env_an</f>
        <v>100.43577245446605</v>
      </c>
      <c r="C66" s="385"/>
      <c r="D66" s="388">
        <f t="shared" si="0"/>
        <v>102.21813768228972</v>
      </c>
      <c r="E66" s="380">
        <f t="shared" si="1"/>
        <v>105.34011763614681</v>
      </c>
      <c r="F66" s="380">
        <f t="shared" si="2"/>
        <v>105.35105893334081</v>
      </c>
      <c r="G66" s="110">
        <f t="shared" si="22"/>
        <v>0.64319479941493507</v>
      </c>
      <c r="H66" s="409" t="b">
        <f>Wh_hp&gt;='2024'!Maxi_hp</f>
        <v>0</v>
      </c>
      <c r="I66" s="375">
        <f>IF(H66,Wh_hp,'2024'!Maxi_hp)</f>
        <v>105.36240150019904</v>
      </c>
      <c r="J66" s="85">
        <f>IF(H66,An,'2024'!An_max)</f>
        <v>2022</v>
      </c>
      <c r="K66" s="193">
        <f t="shared" si="3"/>
        <v>45709</v>
      </c>
      <c r="L66" s="143">
        <f>IF(t&lt;Tvie,1-EXP((T0-t)*PertePVj)+'2024'!Pspv,1-EXP((T0-t)*PertePVj)+Pspv)</f>
        <v>1.7436878309831427E-2</v>
      </c>
      <c r="M66" s="835"/>
      <c r="N66" s="835"/>
      <c r="O66" s="48">
        <f>IF(t&lt;Tnet,'2024'!Resal+('2024'!Salim-'2024'!Resal)*(1-EXP(('2024'!Tnet-t)/('2024'!Tau_j))),Resal+(Salim-Resal)*(1-EXP((Tnet-t)/(Tau_j))))*Salcycl</f>
        <v>2.9637141327681579E-2</v>
      </c>
      <c r="P66" s="165">
        <f>(INDEX(Models!$BJ66:$BT66,,T66)*(1-R66)+INDEX(Models!$BJ66:$BT66,,T66+1)*R66-ERP_i)*Q66*Ramure*Pc/MaxiM</f>
        <v>2.1178704614178948E-4</v>
      </c>
      <c r="Q66" s="301">
        <f t="shared" si="4"/>
        <v>0.5</v>
      </c>
      <c r="R66" s="173">
        <f t="shared" si="5"/>
        <v>0.49444869826777094</v>
      </c>
      <c r="S66" s="801">
        <f t="shared" si="6"/>
        <v>1</v>
      </c>
      <c r="T66" s="172">
        <f t="shared" si="7"/>
        <v>7</v>
      </c>
      <c r="U66" s="247">
        <f t="shared" si="8"/>
        <v>1.4944486982677709</v>
      </c>
      <c r="V66" s="378">
        <f t="shared" si="9"/>
        <v>156.13455090353423</v>
      </c>
      <c r="W66" s="397">
        <f t="shared" si="10"/>
        <v>100.43577245446605</v>
      </c>
      <c r="X66" s="153">
        <f t="shared" si="11"/>
        <v>45709</v>
      </c>
      <c r="Y66" s="380">
        <f t="shared" si="12"/>
        <v>97.634401796800233</v>
      </c>
      <c r="Z66" s="380">
        <f t="shared" si="13"/>
        <v>99.367053008109195</v>
      </c>
      <c r="AA66" s="381">
        <f t="shared" si="14"/>
        <v>105.34011763614681</v>
      </c>
      <c r="AB66" s="193">
        <f t="shared" si="15"/>
        <v>45709</v>
      </c>
      <c r="AC66" s="119">
        <f>IF(OR(t&lt;Tnet,NoTnet),'2024'!Resal_s+('2024'!Salim-'2024'!Resal_s)*(1-EXP(('2024'!Tnet_s-t)/'2024'!Tau_j)),Resal_s+(Salim-Resal_s)*(1-EXP((Tnet_s-t)/Tau_j)))*Salcycl</f>
        <v>5.6702657658586092E-2</v>
      </c>
      <c r="AD66" s="227">
        <f>(INDEX(Models!$BJ66:$BT66,,AH66)*(1-AF66)+INDEX(Models!$BJ66:$BT66,,AH66+1)*AF66-ERP_i)*AE66*Ramure*Pc/MaxiM</f>
        <v>2.1178704614178948E-4</v>
      </c>
      <c r="AE66" s="301">
        <f t="shared" si="16"/>
        <v>0.5</v>
      </c>
      <c r="AF66" s="173">
        <f t="shared" si="23"/>
        <v>0.49444869826777094</v>
      </c>
      <c r="AG66" s="801">
        <f t="shared" si="24"/>
        <v>1</v>
      </c>
      <c r="AH66" s="172">
        <f t="shared" si="17"/>
        <v>7</v>
      </c>
      <c r="AI66" s="221">
        <f t="shared" si="18"/>
        <v>1.4944486982677709</v>
      </c>
      <c r="AJ66" s="261" t="b">
        <f t="shared" si="19"/>
        <v>0</v>
      </c>
      <c r="AK66" s="261" t="b">
        <f t="shared" si="20"/>
        <v>0</v>
      </c>
      <c r="AL66" s="261"/>
      <c r="AM66" s="261"/>
      <c r="AN66" s="75"/>
    </row>
    <row r="67" spans="1:40" s="6" customFormat="1" ht="11.25" x14ac:dyDescent="0.2">
      <c r="A67" s="56">
        <f t="shared" si="21"/>
        <v>45710</v>
      </c>
      <c r="B67" s="406">
        <f>'2024'!Wh/'2024'!Env_an*'2025'!Env_an</f>
        <v>134.45348114143928</v>
      </c>
      <c r="C67" s="385"/>
      <c r="D67" s="388">
        <f t="shared" si="0"/>
        <v>136.84140871336405</v>
      </c>
      <c r="E67" s="380">
        <f t="shared" si="1"/>
        <v>141.02894832446489</v>
      </c>
      <c r="F67" s="380">
        <f t="shared" si="2"/>
        <v>141.05102745646332</v>
      </c>
      <c r="G67" s="110">
        <f t="shared" si="22"/>
        <v>0.85311046545982427</v>
      </c>
      <c r="H67" s="409" t="b">
        <f>Wh_hp&gt;='2024'!Maxi_hp</f>
        <v>0</v>
      </c>
      <c r="I67" s="375">
        <f>IF(H67,Wh_hp,'2024'!Maxi_hp)</f>
        <v>141.0568740138535</v>
      </c>
      <c r="J67" s="85">
        <f>IF(H67,An,'2024'!An_max)</f>
        <v>2022</v>
      </c>
      <c r="K67" s="193">
        <f t="shared" si="3"/>
        <v>45710</v>
      </c>
      <c r="L67" s="143">
        <f>IF(t&lt;Tvie,1-EXP((T0-t)*PertePVj)+'2024'!Pspv,1-EXP((T0-t)*PertePVj)+Pspv)</f>
        <v>1.7450328773848445E-2</v>
      </c>
      <c r="M67" s="835"/>
      <c r="N67" s="835"/>
      <c r="O67" s="48">
        <f>IF(t&lt;Tnet,'2024'!Resal+('2024'!Salim-'2024'!Resal)*(1-EXP(('2024'!Tnet-t)/('2024'!Tau_j))),Resal+(Salim-Resal)*(1-EXP((Tnet-t)/(Tau_j))))*Salcycl</f>
        <v>2.9692766349406294E-2</v>
      </c>
      <c r="P67" s="165">
        <f>(INDEX(Models!$BJ67:$BT67,,T67)*(1-R67)+INDEX(Models!$BJ67:$BT67,,T67+1)*R67-ERP_i)*Q67*Ramure*Pc/MaxiM</f>
        <v>1.9809068961037921E-4</v>
      </c>
      <c r="Q67" s="301">
        <f t="shared" si="4"/>
        <v>0.5</v>
      </c>
      <c r="R67" s="173">
        <f t="shared" si="5"/>
        <v>0.49468154552684007</v>
      </c>
      <c r="S67" s="801">
        <f t="shared" si="6"/>
        <v>1</v>
      </c>
      <c r="T67" s="172">
        <f t="shared" si="7"/>
        <v>7</v>
      </c>
      <c r="U67" s="247">
        <f t="shared" si="8"/>
        <v>1.4946815455268401</v>
      </c>
      <c r="V67" s="378">
        <f t="shared" si="9"/>
        <v>157.59728443850744</v>
      </c>
      <c r="W67" s="397">
        <f t="shared" si="10"/>
        <v>134.45348114143928</v>
      </c>
      <c r="X67" s="153">
        <f t="shared" si="11"/>
        <v>45710</v>
      </c>
      <c r="Y67" s="380">
        <f t="shared" si="12"/>
        <v>130.70712033162604</v>
      </c>
      <c r="Z67" s="380">
        <f t="shared" si="13"/>
        <v>133.02851159525903</v>
      </c>
      <c r="AA67" s="381">
        <f t="shared" si="14"/>
        <v>141.02894832446489</v>
      </c>
      <c r="AB67" s="193">
        <f t="shared" si="15"/>
        <v>45710</v>
      </c>
      <c r="AC67" s="119">
        <f>IF(OR(t&lt;Tnet,NoTnet),'2024'!Resal_s+('2024'!Salim-'2024'!Resal_s)*(1-EXP(('2024'!Tnet_s-t)/'2024'!Tau_j)),Resal_s+(Salim-Resal_s)*(1-EXP((Tnet_s-t)/Tau_j)))*Salcycl</f>
        <v>5.6729039138824752E-2</v>
      </c>
      <c r="AD67" s="227">
        <f>(INDEX(Models!$BJ67:$BT67,,AH67)*(1-AF67)+INDEX(Models!$BJ67:$BT67,,AH67+1)*AF67-ERP_i)*AE67*Ramure*Pc/MaxiM</f>
        <v>1.9809068961037921E-4</v>
      </c>
      <c r="AE67" s="301">
        <f t="shared" si="16"/>
        <v>0.5</v>
      </c>
      <c r="AF67" s="173">
        <f t="shared" si="23"/>
        <v>0.49468154552684007</v>
      </c>
      <c r="AG67" s="801">
        <f t="shared" si="24"/>
        <v>1</v>
      </c>
      <c r="AH67" s="172">
        <f t="shared" si="17"/>
        <v>7</v>
      </c>
      <c r="AI67" s="221">
        <f t="shared" si="18"/>
        <v>1.4946815455268401</v>
      </c>
      <c r="AJ67" s="261" t="b">
        <f t="shared" si="19"/>
        <v>0</v>
      </c>
      <c r="AK67" s="261" t="b">
        <f t="shared" si="20"/>
        <v>0</v>
      </c>
      <c r="AL67" s="261"/>
      <c r="AM67" s="261"/>
      <c r="AN67" s="75"/>
    </row>
    <row r="68" spans="1:40" s="6" customFormat="1" ht="11.25" x14ac:dyDescent="0.2">
      <c r="A68" s="56">
        <f t="shared" si="21"/>
        <v>45711</v>
      </c>
      <c r="B68" s="406">
        <f>'2024'!Wh/'2024'!Env_an*'2025'!Env_an</f>
        <v>138.93674455056583</v>
      </c>
      <c r="C68" s="385"/>
      <c r="D68" s="388">
        <f t="shared" si="0"/>
        <v>141.40623173846839</v>
      </c>
      <c r="E68" s="380">
        <f t="shared" si="1"/>
        <v>145.74180598602905</v>
      </c>
      <c r="F68" s="380">
        <f t="shared" si="2"/>
        <v>145.76405235753771</v>
      </c>
      <c r="G68" s="110">
        <f t="shared" si="22"/>
        <v>0.87345844911784964</v>
      </c>
      <c r="H68" s="409" t="b">
        <f>Wh_hp&gt;='2024'!Maxi_hp</f>
        <v>0</v>
      </c>
      <c r="I68" s="375">
        <f>IF(H68,Wh_hp,'2024'!Maxi_hp)</f>
        <v>145.76894661808049</v>
      </c>
      <c r="J68" s="85">
        <f>IF(H68,An,'2024'!An_max)</f>
        <v>2022</v>
      </c>
      <c r="K68" s="193">
        <f t="shared" si="3"/>
        <v>45711</v>
      </c>
      <c r="L68" s="143">
        <f>IF(t&lt;Tvie,1-EXP((T0-t)*PertePVj)+'2024'!Pspv,1-EXP((T0-t)*PertePVj)+Pspv)</f>
        <v>1.7463779053739859E-2</v>
      </c>
      <c r="M68" s="835"/>
      <c r="N68" s="835"/>
      <c r="O68" s="48">
        <f>IF(t&lt;Tnet,'2024'!Resal+('2024'!Salim-'2024'!Resal)*(1-EXP(('2024'!Tnet-t)/('2024'!Tau_j))),Resal+(Salim-Resal)*(1-EXP((Tnet-t)/(Tau_j))))*Salcycl</f>
        <v>2.9748322509303073E-2</v>
      </c>
      <c r="P68" s="165">
        <f>(INDEX(Models!$BJ68:$BT68,,T68)*(1-R68)+INDEX(Models!$BJ68:$BT68,,T68+1)*R68-ERP_i)*Q68*Ramure*Pc/MaxiM</f>
        <v>1.8628700545626837E-4</v>
      </c>
      <c r="Q68" s="301">
        <f t="shared" si="4"/>
        <v>0.5</v>
      </c>
      <c r="R68" s="173">
        <f t="shared" si="5"/>
        <v>0.49492392838721799</v>
      </c>
      <c r="S68" s="801">
        <f t="shared" si="6"/>
        <v>1</v>
      </c>
      <c r="T68" s="172">
        <f t="shared" si="7"/>
        <v>7</v>
      </c>
      <c r="U68" s="247">
        <f t="shared" si="8"/>
        <v>1.494923928387218</v>
      </c>
      <c r="V68" s="378">
        <f t="shared" si="9"/>
        <v>159.05973118816945</v>
      </c>
      <c r="W68" s="397">
        <f t="shared" si="10"/>
        <v>138.93674455056583</v>
      </c>
      <c r="X68" s="153">
        <f t="shared" si="11"/>
        <v>45711</v>
      </c>
      <c r="Y68" s="380">
        <f t="shared" si="12"/>
        <v>135.06942648072121</v>
      </c>
      <c r="Z68" s="380">
        <f t="shared" si="13"/>
        <v>137.47017524772639</v>
      </c>
      <c r="AA68" s="381">
        <f t="shared" si="14"/>
        <v>145.74180598602905</v>
      </c>
      <c r="AB68" s="193">
        <f t="shared" si="15"/>
        <v>45711</v>
      </c>
      <c r="AC68" s="119">
        <f>IF(OR(t&lt;Tnet,NoTnet),'2024'!Resal_s+('2024'!Salim-'2024'!Resal_s)*(1-EXP(('2024'!Tnet_s-t)/'2024'!Tau_j)),Resal_s+(Salim-Resal_s)*(1-EXP((Tnet_s-t)/Tau_j)))*Salcycl</f>
        <v>5.6755374220459315E-2</v>
      </c>
      <c r="AD68" s="227">
        <f>(INDEX(Models!$BJ68:$BT68,,AH68)*(1-AF68)+INDEX(Models!$BJ68:$BT68,,AH68+1)*AF68-ERP_i)*AE68*Ramure*Pc/MaxiM</f>
        <v>1.8628700545626837E-4</v>
      </c>
      <c r="AE68" s="301">
        <f t="shared" si="16"/>
        <v>0.5</v>
      </c>
      <c r="AF68" s="173">
        <f t="shared" si="23"/>
        <v>0.49492392838721799</v>
      </c>
      <c r="AG68" s="801">
        <f t="shared" si="24"/>
        <v>1</v>
      </c>
      <c r="AH68" s="172">
        <f t="shared" si="17"/>
        <v>7</v>
      </c>
      <c r="AI68" s="221">
        <f t="shared" si="18"/>
        <v>1.494923928387218</v>
      </c>
      <c r="AJ68" s="261" t="b">
        <f t="shared" si="19"/>
        <v>0</v>
      </c>
      <c r="AK68" s="261" t="b">
        <f t="shared" si="20"/>
        <v>0</v>
      </c>
      <c r="AL68" s="261"/>
      <c r="AM68" s="261"/>
      <c r="AN68" s="75"/>
    </row>
    <row r="69" spans="1:40" s="6" customFormat="1" ht="11.25" x14ac:dyDescent="0.2">
      <c r="A69" s="56">
        <f t="shared" si="21"/>
        <v>45712</v>
      </c>
      <c r="B69" s="406">
        <f>'2024'!Wh/'2024'!Env_an*'2025'!Env_an</f>
        <v>88.066428739817098</v>
      </c>
      <c r="C69" s="385"/>
      <c r="D69" s="388">
        <f t="shared" si="0"/>
        <v>89.63296460150741</v>
      </c>
      <c r="E69" s="380">
        <f t="shared" si="1"/>
        <v>92.386432220842863</v>
      </c>
      <c r="F69" s="380">
        <f t="shared" si="2"/>
        <v>92.392218660484431</v>
      </c>
      <c r="G69" s="110">
        <f t="shared" si="22"/>
        <v>0.54856856300296364</v>
      </c>
      <c r="H69" s="409" t="b">
        <f>Wh_hp&gt;='2024'!Maxi_hp</f>
        <v>0</v>
      </c>
      <c r="I69" s="375">
        <f>IF(H69,Wh_hp,'2024'!Maxi_hp)</f>
        <v>92.402693718208255</v>
      </c>
      <c r="J69" s="85">
        <f>IF(H69,An,'2024'!An_max)</f>
        <v>2022</v>
      </c>
      <c r="K69" s="193">
        <f t="shared" si="3"/>
        <v>45712</v>
      </c>
      <c r="L69" s="143">
        <f>IF(t&lt;Tvie,1-EXP((T0-t)*PertePVj)+'2024'!Pspv,1-EXP((T0-t)*PertePVj)+Pspv)</f>
        <v>1.7477229149508333E-2</v>
      </c>
      <c r="M69" s="835"/>
      <c r="N69" s="835"/>
      <c r="O69" s="48">
        <f>IF(t&lt;Tnet,'2024'!Resal+('2024'!Salim-'2024'!Resal)*(1-EXP(('2024'!Tnet-t)/('2024'!Tau_j))),Resal+(Salim-Resal)*(1-EXP((Tnet-t)/(Tau_j))))*Salcycl</f>
        <v>2.9803809424672759E-2</v>
      </c>
      <c r="P69" s="165">
        <f>(INDEX(Models!$BJ69:$BT69,,T69)*(1-R69)+INDEX(Models!$BJ69:$BT69,,T69+1)*R69-ERP_i)*Q69*Ramure*Pc/MaxiM</f>
        <v>1.763270291442146E-4</v>
      </c>
      <c r="Q69" s="301">
        <f t="shared" si="4"/>
        <v>0.5</v>
      </c>
      <c r="R69" s="173">
        <f t="shared" si="5"/>
        <v>0.49517622731443622</v>
      </c>
      <c r="S69" s="801">
        <f t="shared" si="6"/>
        <v>1</v>
      </c>
      <c r="T69" s="172">
        <f t="shared" si="7"/>
        <v>7</v>
      </c>
      <c r="U69" s="247">
        <f t="shared" si="8"/>
        <v>1.4951762273144362</v>
      </c>
      <c r="V69" s="378">
        <f t="shared" si="9"/>
        <v>160.5203452751465</v>
      </c>
      <c r="W69" s="397">
        <f t="shared" si="10"/>
        <v>88.066428739817098</v>
      </c>
      <c r="X69" s="153">
        <f t="shared" si="11"/>
        <v>45712</v>
      </c>
      <c r="Y69" s="380">
        <f t="shared" si="12"/>
        <v>85.617601204893148</v>
      </c>
      <c r="Z69" s="380">
        <f t="shared" si="13"/>
        <v>87.140577038006782</v>
      </c>
      <c r="AA69" s="381">
        <f t="shared" si="14"/>
        <v>92.386432220842863</v>
      </c>
      <c r="AB69" s="193">
        <f t="shared" si="15"/>
        <v>45712</v>
      </c>
      <c r="AC69" s="119">
        <f>IF(OR(t&lt;Tnet,NoTnet),'2024'!Resal_s+('2024'!Salim-'2024'!Resal_s)*(1-EXP(('2024'!Tnet_s-t)/'2024'!Tau_j)),Resal_s+(Salim-Resal_s)*(1-EXP((Tnet_s-t)/Tau_j)))*Salcycl</f>
        <v>5.6781662163295388E-2</v>
      </c>
      <c r="AD69" s="227">
        <f>(INDEX(Models!$BJ69:$BT69,,AH69)*(1-AF69)+INDEX(Models!$BJ69:$BT69,,AH69+1)*AF69-ERP_i)*AE69*Ramure*Pc/MaxiM</f>
        <v>1.763270291442146E-4</v>
      </c>
      <c r="AE69" s="301">
        <f t="shared" si="16"/>
        <v>0.5</v>
      </c>
      <c r="AF69" s="173">
        <f t="shared" si="23"/>
        <v>0.49517622731443622</v>
      </c>
      <c r="AG69" s="801">
        <f t="shared" si="24"/>
        <v>1</v>
      </c>
      <c r="AH69" s="172">
        <f t="shared" si="17"/>
        <v>7</v>
      </c>
      <c r="AI69" s="221">
        <f t="shared" si="18"/>
        <v>1.4951762273144362</v>
      </c>
      <c r="AJ69" s="261" t="b">
        <f t="shared" si="19"/>
        <v>0</v>
      </c>
      <c r="AK69" s="261" t="b">
        <f t="shared" si="20"/>
        <v>0</v>
      </c>
      <c r="AL69" s="261"/>
      <c r="AM69" s="261"/>
      <c r="AN69" s="75"/>
    </row>
    <row r="70" spans="1:40" s="6" customFormat="1" ht="11.25" x14ac:dyDescent="0.2">
      <c r="A70" s="56">
        <f t="shared" si="21"/>
        <v>45713</v>
      </c>
      <c r="B70" s="406">
        <f>'2024'!Wh/'2024'!Env_an*'2025'!Env_an</f>
        <v>124.73549157656821</v>
      </c>
      <c r="C70" s="385"/>
      <c r="D70" s="388">
        <f t="shared" si="0"/>
        <v>126.9560389079834</v>
      </c>
      <c r="E70" s="380">
        <f t="shared" si="1"/>
        <v>130.86352256122606</v>
      </c>
      <c r="F70" s="380">
        <f t="shared" si="2"/>
        <v>130.87830246175653</v>
      </c>
      <c r="G70" s="110">
        <f t="shared" si="22"/>
        <v>0.77003619984893057</v>
      </c>
      <c r="H70" s="409" t="b">
        <f>Wh_hp&gt;='2024'!Maxi_hp</f>
        <v>0</v>
      </c>
      <c r="I70" s="375">
        <f>IF(H70,Wh_hp,'2024'!Maxi_hp)</f>
        <v>130.88551017631676</v>
      </c>
      <c r="J70" s="85">
        <f>IF(H70,An,'2024'!An_max)</f>
        <v>2022</v>
      </c>
      <c r="K70" s="193">
        <f t="shared" si="3"/>
        <v>45713</v>
      </c>
      <c r="L70" s="143">
        <f>IF(t&lt;Tvie,1-EXP((T0-t)*PertePVj)+'2024'!Pspv,1-EXP((T0-t)*PertePVj)+Pspv)</f>
        <v>1.74906790611562E-2</v>
      </c>
      <c r="M70" s="835"/>
      <c r="N70" s="835"/>
      <c r="O70" s="48">
        <f>IF(t&lt;Tnet,'2024'!Resal+('2024'!Salim-'2024'!Resal)*(1-EXP(('2024'!Tnet-t)/('2024'!Tau_j))),Resal+(Salim-Resal)*(1-EXP((Tnet-t)/(Tau_j))))*Salcycl</f>
        <v>2.9859227206836845E-2</v>
      </c>
      <c r="P70" s="165">
        <f>(INDEX(Models!$BJ70:$BT70,,T70)*(1-R70)+INDEX(Models!$BJ70:$BT70,,T70+1)*R70-ERP_i)*Q70*Ramure*Pc/MaxiM</f>
        <v>1.681633258562869E-4</v>
      </c>
      <c r="Q70" s="301">
        <f t="shared" si="4"/>
        <v>0.5</v>
      </c>
      <c r="R70" s="173">
        <f t="shared" si="5"/>
        <v>0.49543883710657233</v>
      </c>
      <c r="S70" s="801">
        <f t="shared" si="6"/>
        <v>1</v>
      </c>
      <c r="T70" s="172">
        <f t="shared" si="7"/>
        <v>7</v>
      </c>
      <c r="U70" s="247">
        <f t="shared" si="8"/>
        <v>1.4954388371065723</v>
      </c>
      <c r="V70" s="378">
        <f t="shared" si="9"/>
        <v>161.97758117010798</v>
      </c>
      <c r="W70" s="397">
        <f t="shared" si="10"/>
        <v>124.73549157656821</v>
      </c>
      <c r="X70" s="153">
        <f t="shared" si="11"/>
        <v>45713</v>
      </c>
      <c r="Y70" s="380">
        <f t="shared" si="12"/>
        <v>121.27057551695188</v>
      </c>
      <c r="Z70" s="380">
        <f t="shared" si="13"/>
        <v>123.42944024293929</v>
      </c>
      <c r="AA70" s="381">
        <f t="shared" si="14"/>
        <v>130.86352256122606</v>
      </c>
      <c r="AB70" s="193">
        <f t="shared" si="15"/>
        <v>45713</v>
      </c>
      <c r="AC70" s="119">
        <f>IF(OR(t&lt;Tnet,NoTnet),'2024'!Resal_s+('2024'!Salim-'2024'!Resal_s)*(1-EXP(('2024'!Tnet_s-t)/'2024'!Tau_j)),Resal_s+(Salim-Resal_s)*(1-EXP((Tnet_s-t)/Tau_j)))*Salcycl</f>
        <v>5.6807903171096734E-2</v>
      </c>
      <c r="AD70" s="227">
        <f>(INDEX(Models!$BJ70:$BT70,,AH70)*(1-AF70)+INDEX(Models!$BJ70:$BT70,,AH70+1)*AF70-ERP_i)*AE70*Ramure*Pc/MaxiM</f>
        <v>1.681633258562869E-4</v>
      </c>
      <c r="AE70" s="301">
        <f t="shared" si="16"/>
        <v>0.5</v>
      </c>
      <c r="AF70" s="173">
        <f t="shared" si="23"/>
        <v>0.49543883710657233</v>
      </c>
      <c r="AG70" s="801">
        <f t="shared" si="24"/>
        <v>1</v>
      </c>
      <c r="AH70" s="172">
        <f t="shared" si="17"/>
        <v>7</v>
      </c>
      <c r="AI70" s="221">
        <f t="shared" si="18"/>
        <v>1.4954388371065723</v>
      </c>
      <c r="AJ70" s="261" t="b">
        <f t="shared" si="19"/>
        <v>0</v>
      </c>
      <c r="AK70" s="261" t="b">
        <f t="shared" si="20"/>
        <v>0</v>
      </c>
      <c r="AL70" s="261"/>
      <c r="AM70" s="261"/>
      <c r="AN70" s="75"/>
    </row>
    <row r="71" spans="1:40" s="6" customFormat="1" ht="11.25" x14ac:dyDescent="0.2">
      <c r="A71" s="56">
        <f t="shared" si="21"/>
        <v>45714</v>
      </c>
      <c r="B71" s="406">
        <f>'2024'!Wh/'2024'!Env_an*'2025'!Env_an</f>
        <v>165.52048970352024</v>
      </c>
      <c r="C71" s="385"/>
      <c r="D71" s="388">
        <f t="shared" si="0"/>
        <v>168.46939977411907</v>
      </c>
      <c r="E71" s="380">
        <f t="shared" si="1"/>
        <v>173.66449973526682</v>
      </c>
      <c r="F71" s="380">
        <f t="shared" si="2"/>
        <v>173.69259452617038</v>
      </c>
      <c r="G71" s="110">
        <f t="shared" si="22"/>
        <v>1.0127920050517858</v>
      </c>
      <c r="H71" s="409" t="b">
        <f>Wh_hp&gt;='2024'!Maxi_hp</f>
        <v>1</v>
      </c>
      <c r="I71" s="375">
        <f>IF(H71,Wh_hp,'2024'!Maxi_hp)</f>
        <v>173.69259452617038</v>
      </c>
      <c r="J71" s="85">
        <f>IF(H71,An,'2024'!An_max)</f>
        <v>2025</v>
      </c>
      <c r="K71" s="193">
        <f t="shared" si="3"/>
        <v>45714</v>
      </c>
      <c r="L71" s="143">
        <f>IF(t&lt;Tvie,1-EXP((T0-t)*PertePVj)+'2024'!Pspv,1-EXP((T0-t)*PertePVj)+Pspv)</f>
        <v>1.7504128788686124E-2</v>
      </c>
      <c r="M71" s="835"/>
      <c r="N71" s="835"/>
      <c r="O71" s="48">
        <f>IF(t&lt;Tnet,'2024'!Resal+('2024'!Salim-'2024'!Resal)*(1-EXP(('2024'!Tnet-t)/('2024'!Tau_j))),Resal+(Salim-Resal)*(1-EXP((Tnet-t)/(Tau_j))))*Salcycl</f>
        <v>2.9914576491264083E-2</v>
      </c>
      <c r="P71" s="165">
        <f>(INDEX(Models!$BJ71:$BT71,,T71)*(1-R71)+INDEX(Models!$BJ71:$BT71,,T71+1)*R71-ERP_i)*Q71*Ramure*Pc/MaxiM</f>
        <v>1.6175007909931412E-4</v>
      </c>
      <c r="Q71" s="301">
        <f t="shared" si="4"/>
        <v>0.5</v>
      </c>
      <c r="R71" s="173">
        <f t="shared" si="5"/>
        <v>0.49571216736213763</v>
      </c>
      <c r="S71" s="801">
        <f t="shared" si="6"/>
        <v>1</v>
      </c>
      <c r="T71" s="172">
        <f t="shared" si="7"/>
        <v>7</v>
      </c>
      <c r="U71" s="247">
        <f t="shared" si="8"/>
        <v>1.4957121673621376</v>
      </c>
      <c r="V71" s="378">
        <f t="shared" si="9"/>
        <v>163.42989367797873</v>
      </c>
      <c r="W71" s="397">
        <f t="shared" si="10"/>
        <v>165.52048970352024</v>
      </c>
      <c r="X71" s="153">
        <f t="shared" si="11"/>
        <v>45714</v>
      </c>
      <c r="Y71" s="380">
        <f t="shared" si="12"/>
        <v>160.92735558570786</v>
      </c>
      <c r="Z71" s="380">
        <f t="shared" si="13"/>
        <v>163.79443446139004</v>
      </c>
      <c r="AA71" s="381">
        <f t="shared" si="14"/>
        <v>173.66449973526682</v>
      </c>
      <c r="AB71" s="193">
        <f t="shared" si="15"/>
        <v>45714</v>
      </c>
      <c r="AC71" s="119">
        <f>IF(OR(t&lt;Tnet,NoTnet),'2024'!Resal_s+('2024'!Salim-'2024'!Resal_s)*(1-EXP(('2024'!Tnet_s-t)/'2024'!Tau_j)),Resal_s+(Salim-Resal_s)*(1-EXP((Tnet_s-t)/Tau_j)))*Salcycl</f>
        <v>5.6834098442241535E-2</v>
      </c>
      <c r="AD71" s="227">
        <f>(INDEX(Models!$BJ71:$BT71,,AH71)*(1-AF71)+INDEX(Models!$BJ71:$BT71,,AH71+1)*AF71-ERP_i)*AE71*Ramure*Pc/MaxiM</f>
        <v>1.6175007909931412E-4</v>
      </c>
      <c r="AE71" s="301">
        <f t="shared" si="16"/>
        <v>0.5</v>
      </c>
      <c r="AF71" s="173">
        <f t="shared" si="23"/>
        <v>0.49571216736213763</v>
      </c>
      <c r="AG71" s="801">
        <f t="shared" si="24"/>
        <v>1</v>
      </c>
      <c r="AH71" s="172">
        <f t="shared" si="17"/>
        <v>7</v>
      </c>
      <c r="AI71" s="221">
        <f t="shared" si="18"/>
        <v>1.4957121673621376</v>
      </c>
      <c r="AJ71" s="261" t="b">
        <f t="shared" si="19"/>
        <v>0</v>
      </c>
      <c r="AK71" s="261" t="b">
        <f t="shared" si="20"/>
        <v>0</v>
      </c>
      <c r="AL71" s="261"/>
      <c r="AM71" s="261"/>
      <c r="AN71" s="75"/>
    </row>
    <row r="72" spans="1:40" s="6" customFormat="1" ht="11.25" x14ac:dyDescent="0.2">
      <c r="A72" s="56">
        <f t="shared" si="21"/>
        <v>45715</v>
      </c>
      <c r="B72" s="406">
        <f>'2024'!Wh/'2024'!Env_an*'2025'!Env_an</f>
        <v>110.12800670301601</v>
      </c>
      <c r="C72" s="385"/>
      <c r="D72" s="388">
        <f t="shared" si="0"/>
        <v>112.09157973132845</v>
      </c>
      <c r="E72" s="380">
        <f t="shared" si="1"/>
        <v>115.55473890105492</v>
      </c>
      <c r="F72" s="380">
        <f t="shared" si="2"/>
        <v>115.56428003094794</v>
      </c>
      <c r="G72" s="110">
        <f t="shared" si="22"/>
        <v>0.66789574292803688</v>
      </c>
      <c r="H72" s="409" t="b">
        <f>Wh_hp&gt;='2024'!Maxi_hp</f>
        <v>0</v>
      </c>
      <c r="I72" s="375">
        <f>IF(H72,Wh_hp,'2024'!Maxi_hp)</f>
        <v>115.57286305662481</v>
      </c>
      <c r="J72" s="85">
        <f>IF(H72,An,'2024'!An_max)</f>
        <v>2022</v>
      </c>
      <c r="K72" s="193">
        <f t="shared" si="3"/>
        <v>45715</v>
      </c>
      <c r="L72" s="143">
        <f>IF(t&lt;Tvie,1-EXP((T0-t)*PertePVj)+'2024'!Pspv,1-EXP((T0-t)*PertePVj)+Pspv)</f>
        <v>1.7517578332100547E-2</v>
      </c>
      <c r="M72" s="835"/>
      <c r="N72" s="835"/>
      <c r="O72" s="48">
        <f>IF(t&lt;Tnet,'2024'!Resal+('2024'!Salim-'2024'!Resal)*(1-EXP(('2024'!Tnet-t)/('2024'!Tau_j))),Resal+(Salim-Resal)*(1-EXP((Tnet-t)/(Tau_j))))*Salcycl</f>
        <v>2.9969858464150297E-2</v>
      </c>
      <c r="P72" s="165">
        <f>(INDEX(Models!$BJ72:$BT72,,T72)*(1-R72)+INDEX(Models!$BJ72:$BT72,,T72+1)*R72-ERP_i)*Q72*Ramure*Pc/MaxiM</f>
        <v>1.5706908645197074E-4</v>
      </c>
      <c r="Q72" s="301">
        <f t="shared" si="4"/>
        <v>0.5</v>
      </c>
      <c r="R72" s="173">
        <f t="shared" si="5"/>
        <v>0.49599664295694779</v>
      </c>
      <c r="S72" s="801">
        <f t="shared" si="6"/>
        <v>1</v>
      </c>
      <c r="T72" s="172">
        <f t="shared" si="7"/>
        <v>7</v>
      </c>
      <c r="U72" s="247">
        <f t="shared" si="8"/>
        <v>1.4959966429569478</v>
      </c>
      <c r="V72" s="378">
        <f t="shared" si="9"/>
        <v>164.87573366134583</v>
      </c>
      <c r="W72" s="397">
        <f t="shared" si="10"/>
        <v>110.12800670301601</v>
      </c>
      <c r="X72" s="153">
        <f t="shared" si="11"/>
        <v>45715</v>
      </c>
      <c r="Y72" s="380">
        <f t="shared" si="12"/>
        <v>107.07512709032196</v>
      </c>
      <c r="Z72" s="380">
        <f t="shared" si="13"/>
        <v>108.98426753381212</v>
      </c>
      <c r="AA72" s="381">
        <f t="shared" si="14"/>
        <v>115.55473890105492</v>
      </c>
      <c r="AB72" s="193">
        <f t="shared" si="15"/>
        <v>45715</v>
      </c>
      <c r="AC72" s="119">
        <f>IF(OR(t&lt;Tnet,NoTnet),'2024'!Resal_s+('2024'!Salim-'2024'!Resal_s)*(1-EXP(('2024'!Tnet_s-t)/'2024'!Tau_j)),Resal_s+(Salim-Resal_s)*(1-EXP((Tnet_s-t)/Tau_j)))*Salcycl</f>
        <v>5.6860250213267648E-2</v>
      </c>
      <c r="AD72" s="227">
        <f>(INDEX(Models!$BJ72:$BT72,,AH72)*(1-AF72)+INDEX(Models!$BJ72:$BT72,,AH72+1)*AF72-ERP_i)*AE72*Ramure*Pc/MaxiM</f>
        <v>1.5706908645197074E-4</v>
      </c>
      <c r="AE72" s="301">
        <f t="shared" si="16"/>
        <v>0.5</v>
      </c>
      <c r="AF72" s="173">
        <f t="shared" si="23"/>
        <v>0.49599664295694779</v>
      </c>
      <c r="AG72" s="801">
        <f t="shared" si="24"/>
        <v>1</v>
      </c>
      <c r="AH72" s="172">
        <f t="shared" si="17"/>
        <v>7</v>
      </c>
      <c r="AI72" s="221">
        <f t="shared" si="18"/>
        <v>1.4959966429569478</v>
      </c>
      <c r="AJ72" s="261" t="b">
        <f t="shared" si="19"/>
        <v>0</v>
      </c>
      <c r="AK72" s="261" t="b">
        <f t="shared" si="20"/>
        <v>0</v>
      </c>
      <c r="AL72" s="261"/>
      <c r="AM72" s="261"/>
      <c r="AN72" s="75"/>
    </row>
    <row r="73" spans="1:40" s="6" customFormat="1" ht="11.25" x14ac:dyDescent="0.2">
      <c r="A73" s="56">
        <f t="shared" si="21"/>
        <v>45716</v>
      </c>
      <c r="B73" s="406">
        <f>'2024'!Wh/'2024'!Env_an*'2025'!Env_an</f>
        <v>149.40521574036688</v>
      </c>
      <c r="C73" s="385"/>
      <c r="D73" s="388">
        <f t="shared" si="0"/>
        <v>152.07117980458526</v>
      </c>
      <c r="E73" s="380">
        <f t="shared" si="1"/>
        <v>156.77846495526256</v>
      </c>
      <c r="F73" s="380">
        <f t="shared" si="2"/>
        <v>156.79885671892569</v>
      </c>
      <c r="G73" s="110">
        <f t="shared" si="22"/>
        <v>0.89831297345677263</v>
      </c>
      <c r="H73" s="409" t="b">
        <f>Wh_hp&gt;='2024'!Maxi_hp</f>
        <v>0</v>
      </c>
      <c r="I73" s="375">
        <f>IF(H73,Wh_hp,'2024'!Maxi_hp)</f>
        <v>156.80231017233547</v>
      </c>
      <c r="J73" s="85">
        <f>IF(H73,An,'2024'!An_max)</f>
        <v>2022</v>
      </c>
      <c r="K73" s="193">
        <f t="shared" si="3"/>
        <v>45716</v>
      </c>
      <c r="L73" s="143">
        <f>IF(t&lt;Tvie,1-EXP((T0-t)*PertePVj)+'2024'!Pspv,1-EXP((T0-t)*PertePVj)+Pspv)</f>
        <v>1.7531027691402024E-2</v>
      </c>
      <c r="M73" s="835"/>
      <c r="N73" s="835"/>
      <c r="O73" s="48">
        <f>IF(t&lt;Tnet,'2024'!Resal+('2024'!Salim-'2024'!Resal)*(1-EXP(('2024'!Tnet-t)/('2024'!Tau_j))),Resal+(Salim-Resal)*(1-EXP((Tnet-t)/(Tau_j))))*Salcycl</f>
        <v>3.0025074885256367E-2</v>
      </c>
      <c r="P73" s="165">
        <f>(INDEX(Models!$BJ73:$BT73,,T73)*(1-R73)+INDEX(Models!$BJ73:$BT73,,T73+1)*R73-ERP_i)*Q73*Ramure*Pc/MaxiM</f>
        <v>1.5214830079961735E-4</v>
      </c>
      <c r="Q73" s="301">
        <f t="shared" si="4"/>
        <v>0.5</v>
      </c>
      <c r="R73" s="173">
        <f t="shared" si="5"/>
        <v>0.49629270452953533</v>
      </c>
      <c r="S73" s="801">
        <f t="shared" si="6"/>
        <v>1</v>
      </c>
      <c r="T73" s="172">
        <f t="shared" si="7"/>
        <v>7</v>
      </c>
      <c r="U73" s="247">
        <f t="shared" si="8"/>
        <v>1.4962927045295353</v>
      </c>
      <c r="V73" s="378">
        <f t="shared" si="9"/>
        <v>166.31387744916222</v>
      </c>
      <c r="W73" s="397">
        <f t="shared" si="10"/>
        <v>149.40521574036688</v>
      </c>
      <c r="X73" s="153">
        <f t="shared" si="11"/>
        <v>45716</v>
      </c>
      <c r="Y73" s="380">
        <f t="shared" si="12"/>
        <v>145.26777232620779</v>
      </c>
      <c r="Z73" s="380">
        <f t="shared" si="13"/>
        <v>147.85990847615136</v>
      </c>
      <c r="AA73" s="381">
        <f t="shared" si="14"/>
        <v>156.77846495526256</v>
      </c>
      <c r="AB73" s="193">
        <f t="shared" si="15"/>
        <v>45716</v>
      </c>
      <c r="AC73" s="119">
        <f>IF(OR(t&lt;Tnet,NoTnet),'2024'!Resal_s+('2024'!Salim-'2024'!Resal_s)*(1-EXP(('2024'!Tnet_s-t)/'2024'!Tau_j)),Resal_s+(Salim-Resal_s)*(1-EXP((Tnet_s-t)/Tau_j)))*Salcycl</f>
        <v>5.6886361795008923E-2</v>
      </c>
      <c r="AD73" s="227">
        <f>(INDEX(Models!$BJ73:$BT73,,AH73)*(1-AF73)+INDEX(Models!$BJ73:$BT73,,AH73+1)*AF73-ERP_i)*AE73*Ramure*Pc/MaxiM</f>
        <v>1.5214830079961735E-4</v>
      </c>
      <c r="AE73" s="301">
        <f t="shared" si="16"/>
        <v>0.5</v>
      </c>
      <c r="AF73" s="173">
        <f t="shared" si="23"/>
        <v>0.49629270452953533</v>
      </c>
      <c r="AG73" s="801">
        <f t="shared" si="24"/>
        <v>1</v>
      </c>
      <c r="AH73" s="172">
        <f t="shared" si="17"/>
        <v>7</v>
      </c>
      <c r="AI73" s="221">
        <f t="shared" si="18"/>
        <v>1.4962927045295353</v>
      </c>
      <c r="AJ73" s="261" t="b">
        <f t="shared" si="19"/>
        <v>0</v>
      </c>
      <c r="AK73" s="261" t="b">
        <f t="shared" si="20"/>
        <v>0</v>
      </c>
      <c r="AL73" s="261"/>
      <c r="AM73" s="261"/>
      <c r="AN73" s="75"/>
    </row>
    <row r="74" spans="1:40" s="6" customFormat="1" ht="11.25" x14ac:dyDescent="0.2">
      <c r="A74" s="56">
        <f t="shared" si="21"/>
        <v>45717</v>
      </c>
      <c r="B74" s="406">
        <f>'2024'!Wh/'2024'!Env_an*'2025'!Env_an</f>
        <v>167.85571172107529</v>
      </c>
      <c r="C74" s="385"/>
      <c r="D74" s="388">
        <f t="shared" si="0"/>
        <v>170.85324248137212</v>
      </c>
      <c r="E74" s="380">
        <f t="shared" si="1"/>
        <v>176.15193280150413</v>
      </c>
      <c r="F74" s="380">
        <f t="shared" si="2"/>
        <v>176.17782993937294</v>
      </c>
      <c r="G74" s="110">
        <f t="shared" si="22"/>
        <v>1.0006732370823301</v>
      </c>
      <c r="H74" s="409" t="b">
        <f>Wh_hp&gt;='2024'!Maxi_hp</f>
        <v>1</v>
      </c>
      <c r="I74" s="375">
        <f>IF(H74,Wh_hp,'2024'!Maxi_hp)</f>
        <v>176.17782993937294</v>
      </c>
      <c r="J74" s="85">
        <f>IF(H74,An,'2024'!An_max)</f>
        <v>2025</v>
      </c>
      <c r="K74" s="193">
        <f t="shared" si="3"/>
        <v>45717</v>
      </c>
      <c r="L74" s="143">
        <f>IF(t&lt;Tvie,1-EXP((T0-t)*PertePVj)+'2024'!Pspv,1-EXP((T0-t)*PertePVj)+Pspv)</f>
        <v>1.7544476866592995E-2</v>
      </c>
      <c r="M74" s="835"/>
      <c r="N74" s="835"/>
      <c r="O74" s="48">
        <f>IF(t&lt;Tnet,'2024'!Resal+('2024'!Salim-'2024'!Resal)*(1-EXP(('2024'!Tnet-t)/('2024'!Tau_j))),Resal+(Salim-Resal)*(1-EXP((Tnet-t)/(Tau_j))))*Salcycl</f>
        <v>3.0080228106851358E-2</v>
      </c>
      <c r="P74" s="165">
        <f>(INDEX(Models!$BJ74:$BT74,,T74)*(1-R74)+INDEX(Models!$BJ74:$BT74,,T74+1)*R74-ERP_i)*Q74*Ramure*Pc/MaxiM</f>
        <v>1.4699430613781319E-4</v>
      </c>
      <c r="Q74" s="301">
        <f t="shared" si="4"/>
        <v>0.5</v>
      </c>
      <c r="R74" s="173">
        <f t="shared" si="5"/>
        <v>0.49660080897459413</v>
      </c>
      <c r="S74" s="801">
        <f t="shared" si="6"/>
        <v>1</v>
      </c>
      <c r="T74" s="172">
        <f t="shared" si="7"/>
        <v>7</v>
      </c>
      <c r="U74" s="247">
        <f t="shared" si="8"/>
        <v>1.4966008089745941</v>
      </c>
      <c r="V74" s="378">
        <f t="shared" si="9"/>
        <v>167.74278106057216</v>
      </c>
      <c r="W74" s="397">
        <f t="shared" si="10"/>
        <v>167.85571172107529</v>
      </c>
      <c r="X74" s="153">
        <f t="shared" si="11"/>
        <v>45717</v>
      </c>
      <c r="Y74" s="380">
        <f t="shared" si="12"/>
        <v>163.21209092662951</v>
      </c>
      <c r="Z74" s="380">
        <f t="shared" si="13"/>
        <v>166.12669691762429</v>
      </c>
      <c r="AA74" s="381">
        <f t="shared" si="14"/>
        <v>176.15193280150413</v>
      </c>
      <c r="AB74" s="193">
        <f t="shared" si="15"/>
        <v>45717</v>
      </c>
      <c r="AC74" s="119">
        <f>IF(OR(t&lt;Tnet,NoTnet),'2024'!Resal_s+('2024'!Salim-'2024'!Resal_s)*(1-EXP(('2024'!Tnet_s-t)/'2024'!Tau_j)),Resal_s+(Salim-Resal_s)*(1-EXP((Tnet_s-t)/Tau_j)))*Salcycl</f>
        <v>5.6912437601106182E-2</v>
      </c>
      <c r="AD74" s="227">
        <f>(INDEX(Models!$BJ74:$BT74,,AH74)*(1-AF74)+INDEX(Models!$BJ74:$BT74,,AH74+1)*AF74-ERP_i)*AE74*Ramure*Pc/MaxiM</f>
        <v>1.4699430613781319E-4</v>
      </c>
      <c r="AE74" s="301">
        <f t="shared" si="16"/>
        <v>0.5</v>
      </c>
      <c r="AF74" s="173">
        <f t="shared" si="23"/>
        <v>0.49660080897459413</v>
      </c>
      <c r="AG74" s="801">
        <f t="shared" si="24"/>
        <v>1</v>
      </c>
      <c r="AH74" s="172">
        <f t="shared" si="17"/>
        <v>7</v>
      </c>
      <c r="AI74" s="221">
        <f t="shared" si="18"/>
        <v>1.4966008089745941</v>
      </c>
      <c r="AJ74" s="261" t="b">
        <f t="shared" si="19"/>
        <v>0</v>
      </c>
      <c r="AK74" s="261" t="b">
        <f t="shared" si="20"/>
        <v>0</v>
      </c>
      <c r="AL74" s="261"/>
      <c r="AM74" s="261"/>
      <c r="AN74" s="75"/>
    </row>
    <row r="75" spans="1:40" s="6" customFormat="1" ht="11.25" x14ac:dyDescent="0.2">
      <c r="A75" s="56">
        <f t="shared" si="21"/>
        <v>45718</v>
      </c>
      <c r="B75" s="406">
        <f>'2024'!Wh/'2024'!Env_an*'2025'!Env_an</f>
        <v>51.37046365436327</v>
      </c>
      <c r="C75" s="385"/>
      <c r="D75" s="388">
        <f t="shared" si="0"/>
        <v>52.288541997969602</v>
      </c>
      <c r="E75" s="380">
        <f t="shared" si="1"/>
        <v>53.913234634611349</v>
      </c>
      <c r="F75" s="380">
        <f t="shared" si="2"/>
        <v>53.913274751463561</v>
      </c>
      <c r="G75" s="110">
        <f t="shared" si="22"/>
        <v>0.30363533703924761</v>
      </c>
      <c r="H75" s="409" t="b">
        <f>Wh_hp&gt;='2024'!Maxi_hp</f>
        <v>0</v>
      </c>
      <c r="I75" s="375">
        <f>IF(H75,Wh_hp,'2024'!Maxi_hp)</f>
        <v>53.920842364129726</v>
      </c>
      <c r="J75" s="85">
        <f>IF(H75,An,'2024'!An_max)</f>
        <v>2022</v>
      </c>
      <c r="K75" s="193">
        <f t="shared" si="3"/>
        <v>45718</v>
      </c>
      <c r="L75" s="143">
        <f>IF(t&lt;Tvie,1-EXP((T0-t)*PertePVj)+'2024'!Pspv,1-EXP((T0-t)*PertePVj)+Pspv)</f>
        <v>1.7557925857676127E-2</v>
      </c>
      <c r="M75" s="835"/>
      <c r="N75" s="835"/>
      <c r="O75" s="48">
        <f>IF(t&lt;Tnet,'2024'!Resal+('2024'!Salim-'2024'!Resal)*(1-EXP(('2024'!Tnet-t)/('2024'!Tau_j))),Resal+(Salim-Resal)*(1-EXP((Tnet-t)/(Tau_j))))*Salcycl</f>
        <v>3.0135321088650083E-2</v>
      </c>
      <c r="P75" s="165">
        <f>(INDEX(Models!$BJ75:$BT75,,T75)*(1-R75)+INDEX(Models!$BJ75:$BT75,,T75+1)*R75-ERP_i)*Q75*Ramure*Pc/MaxiM</f>
        <v>1.4161320832047896E-4</v>
      </c>
      <c r="Q75" s="301">
        <f t="shared" si="4"/>
        <v>0.5</v>
      </c>
      <c r="R75" s="173">
        <f t="shared" si="5"/>
        <v>0.4969214299438558</v>
      </c>
      <c r="S75" s="801">
        <f t="shared" si="6"/>
        <v>1</v>
      </c>
      <c r="T75" s="172">
        <f t="shared" si="7"/>
        <v>7</v>
      </c>
      <c r="U75" s="247">
        <f t="shared" si="8"/>
        <v>1.4969214299438558</v>
      </c>
      <c r="V75" s="378">
        <f t="shared" si="9"/>
        <v>169.16090083057631</v>
      </c>
      <c r="W75" s="397">
        <f t="shared" si="10"/>
        <v>51.37046365436327</v>
      </c>
      <c r="X75" s="153">
        <f t="shared" si="11"/>
        <v>45718</v>
      </c>
      <c r="Y75" s="380">
        <f t="shared" si="12"/>
        <v>49.950790484077515</v>
      </c>
      <c r="Z75" s="380">
        <f t="shared" si="13"/>
        <v>50.843496831795164</v>
      </c>
      <c r="AA75" s="381">
        <f t="shared" si="14"/>
        <v>53.913234634611349</v>
      </c>
      <c r="AB75" s="193">
        <f t="shared" si="15"/>
        <v>45718</v>
      </c>
      <c r="AC75" s="119">
        <f>IF(OR(t&lt;Tnet,NoTnet),'2024'!Resal_s+('2024'!Salim-'2024'!Resal_s)*(1-EXP(('2024'!Tnet_s-t)/'2024'!Tau_j)),Resal_s+(Salim-Resal_s)*(1-EXP((Tnet_s-t)/Tau_j)))*Salcycl</f>
        <v>5.693848316875931E-2</v>
      </c>
      <c r="AD75" s="227">
        <f>(INDEX(Models!$BJ75:$BT75,,AH75)*(1-AF75)+INDEX(Models!$BJ75:$BT75,,AH75+1)*AF75-ERP_i)*AE75*Ramure*Pc/MaxiM</f>
        <v>1.4161320832047896E-4</v>
      </c>
      <c r="AE75" s="301">
        <f t="shared" si="16"/>
        <v>0.5</v>
      </c>
      <c r="AF75" s="173">
        <f t="shared" si="23"/>
        <v>0.4969214299438558</v>
      </c>
      <c r="AG75" s="801">
        <f t="shared" si="24"/>
        <v>1</v>
      </c>
      <c r="AH75" s="172">
        <f t="shared" si="17"/>
        <v>7</v>
      </c>
      <c r="AI75" s="221">
        <f t="shared" si="18"/>
        <v>1.4969214299438558</v>
      </c>
      <c r="AJ75" s="261" t="b">
        <f t="shared" si="19"/>
        <v>0</v>
      </c>
      <c r="AK75" s="261" t="b">
        <f t="shared" si="20"/>
        <v>0</v>
      </c>
      <c r="AL75" s="261"/>
      <c r="AM75" s="261"/>
      <c r="AN75" s="75"/>
    </row>
    <row r="76" spans="1:40" s="6" customFormat="1" ht="11.25" x14ac:dyDescent="0.2">
      <c r="A76" s="56">
        <f t="shared" si="21"/>
        <v>45719</v>
      </c>
      <c r="B76" s="406">
        <f>'2024'!Wh/'2024'!Env_an*'2025'!Env_an</f>
        <v>154.87980366739978</v>
      </c>
      <c r="C76" s="385"/>
      <c r="D76" s="388">
        <f t="shared" si="0"/>
        <v>157.64992964708503</v>
      </c>
      <c r="E76" s="380">
        <f t="shared" si="1"/>
        <v>162.55760174320991</v>
      </c>
      <c r="F76" s="380">
        <f t="shared" si="2"/>
        <v>162.57680871730759</v>
      </c>
      <c r="G76" s="110">
        <f t="shared" si="22"/>
        <v>0.9080145285053921</v>
      </c>
      <c r="H76" s="409" t="b">
        <f>Wh_hp&gt;='2024'!Maxi_hp</f>
        <v>0</v>
      </c>
      <c r="I76" s="375">
        <f>IF(H76,Wh_hp,'2024'!Maxi_hp)</f>
        <v>162.57970315575704</v>
      </c>
      <c r="J76" s="85">
        <f>IF(H76,An,'2024'!An_max)</f>
        <v>2022</v>
      </c>
      <c r="K76" s="193">
        <f t="shared" si="3"/>
        <v>45719</v>
      </c>
      <c r="L76" s="143">
        <f>IF(t&lt;Tvie,1-EXP((T0-t)*PertePVj)+'2024'!Pspv,1-EXP((T0-t)*PertePVj)+Pspv)</f>
        <v>1.757137466465386E-2</v>
      </c>
      <c r="M76" s="835"/>
      <c r="N76" s="835"/>
      <c r="O76" s="48">
        <f>IF(t&lt;Tnet,'2024'!Resal+('2024'!Salim-'2024'!Resal)*(1-EXP(('2024'!Tnet-t)/('2024'!Tau_j))),Resal+(Salim-Resal)*(1-EXP((Tnet-t)/(Tau_j))))*Salcycl</f>
        <v>3.0190357408676906E-2</v>
      </c>
      <c r="P76" s="165">
        <f>(INDEX(Models!$BJ76:$BT76,,T76)*(1-R76)+INDEX(Models!$BJ76:$BT76,,T76+1)*R76-ERP_i)*Q76*Ramure*Pc/MaxiM</f>
        <v>1.3601062870510146E-4</v>
      </c>
      <c r="Q76" s="301">
        <f t="shared" si="4"/>
        <v>0.5</v>
      </c>
      <c r="R76" s="173">
        <f t="shared" si="5"/>
        <v>0.49725505835371364</v>
      </c>
      <c r="S76" s="801">
        <f t="shared" si="6"/>
        <v>1</v>
      </c>
      <c r="T76" s="172">
        <f t="shared" si="7"/>
        <v>7</v>
      </c>
      <c r="U76" s="247">
        <f t="shared" si="8"/>
        <v>1.4972550583537136</v>
      </c>
      <c r="V76" s="378">
        <f t="shared" si="9"/>
        <v>170.56669339715407</v>
      </c>
      <c r="W76" s="397">
        <f t="shared" si="10"/>
        <v>154.87980366739978</v>
      </c>
      <c r="X76" s="153">
        <f t="shared" si="11"/>
        <v>45719</v>
      </c>
      <c r="Y76" s="380">
        <f t="shared" si="12"/>
        <v>150.60393903708567</v>
      </c>
      <c r="Z76" s="380">
        <f t="shared" si="13"/>
        <v>153.29758839801508</v>
      </c>
      <c r="AA76" s="381">
        <f t="shared" si="14"/>
        <v>162.55760174320991</v>
      </c>
      <c r="AB76" s="193">
        <f t="shared" si="15"/>
        <v>45719</v>
      </c>
      <c r="AC76" s="119">
        <f>IF(OR(t&lt;Tnet,NoTnet),'2024'!Resal_s+('2024'!Salim-'2024'!Resal_s)*(1-EXP(('2024'!Tnet_s-t)/'2024'!Tau_j)),Resal_s+(Salim-Resal_s)*(1-EXP((Tnet_s-t)/Tau_j)))*Salcycl</f>
        <v>5.6964505171666721E-2</v>
      </c>
      <c r="AD76" s="227">
        <f>(INDEX(Models!$BJ76:$BT76,,AH76)*(1-AF76)+INDEX(Models!$BJ76:$BT76,,AH76+1)*AF76-ERP_i)*AE76*Ramure*Pc/MaxiM</f>
        <v>1.3601062870510146E-4</v>
      </c>
      <c r="AE76" s="301">
        <f t="shared" si="16"/>
        <v>0.5</v>
      </c>
      <c r="AF76" s="173">
        <f t="shared" si="23"/>
        <v>0.49725505835371364</v>
      </c>
      <c r="AG76" s="801">
        <f t="shared" si="24"/>
        <v>1</v>
      </c>
      <c r="AH76" s="172">
        <f t="shared" si="17"/>
        <v>7</v>
      </c>
      <c r="AI76" s="221">
        <f t="shared" si="18"/>
        <v>1.4972550583537136</v>
      </c>
      <c r="AJ76" s="261" t="b">
        <f t="shared" si="19"/>
        <v>0</v>
      </c>
      <c r="AK76" s="261" t="b">
        <f t="shared" si="20"/>
        <v>0</v>
      </c>
      <c r="AL76" s="261"/>
      <c r="AM76" s="261"/>
      <c r="AN76" s="75"/>
    </row>
    <row r="77" spans="1:40" s="6" customFormat="1" ht="11.25" x14ac:dyDescent="0.2">
      <c r="A77" s="56">
        <f t="shared" si="21"/>
        <v>45720</v>
      </c>
      <c r="B77" s="406">
        <f>'2024'!Wh/'2024'!Env_an*'2025'!Env_an</f>
        <v>19.775877449327805</v>
      </c>
      <c r="C77" s="385"/>
      <c r="D77" s="388">
        <f t="shared" si="0"/>
        <v>20.129857435127672</v>
      </c>
      <c r="E77" s="380">
        <f t="shared" si="1"/>
        <v>20.757680567877387</v>
      </c>
      <c r="F77" s="380">
        <f t="shared" si="2"/>
        <v>20.757680567877387</v>
      </c>
      <c r="G77" s="110">
        <f t="shared" si="22"/>
        <v>0.1149887297800754</v>
      </c>
      <c r="H77" s="409" t="b">
        <f>Wh_hp&gt;='2024'!Maxi_hp</f>
        <v>0</v>
      </c>
      <c r="I77" s="375">
        <f>IF(H77,Wh_hp,'2024'!Maxi_hp)</f>
        <v>20.760372655450283</v>
      </c>
      <c r="J77" s="85">
        <f>IF(H77,An,'2024'!An_max)</f>
        <v>2022</v>
      </c>
      <c r="K77" s="193">
        <f t="shared" si="3"/>
        <v>45720</v>
      </c>
      <c r="L77" s="143">
        <f>IF(t&lt;Tvie,1-EXP((T0-t)*PertePVj)+'2024'!Pspv,1-EXP((T0-t)*PertePVj)+Pspv)</f>
        <v>1.758482328752875E-2</v>
      </c>
      <c r="M77" s="835"/>
      <c r="N77" s="835"/>
      <c r="O77" s="48">
        <f>IF(t&lt;Tnet,'2024'!Resal+('2024'!Salim-'2024'!Resal)*(1-EXP(('2024'!Tnet-t)/('2024'!Tau_j))),Resal+(Salim-Resal)*(1-EXP((Tnet-t)/(Tau_j))))*Salcycl</f>
        <v>3.0245341270029622E-2</v>
      </c>
      <c r="P77" s="165">
        <f>(INDEX(Models!$BJ77:$BT77,,T77)*(1-R77)+INDEX(Models!$BJ77:$BT77,,T77+1)*R77-ERP_i)*Q77*Ramure*Pc/MaxiM</f>
        <v>1.30191697079372E-4</v>
      </c>
      <c r="Q77" s="301">
        <f t="shared" si="4"/>
        <v>0.5</v>
      </c>
      <c r="R77" s="173">
        <f t="shared" si="5"/>
        <v>0.49760220289881185</v>
      </c>
      <c r="S77" s="801">
        <f t="shared" si="6"/>
        <v>1</v>
      </c>
      <c r="T77" s="172">
        <f t="shared" si="7"/>
        <v>7</v>
      </c>
      <c r="U77" s="247">
        <f t="shared" si="8"/>
        <v>1.4976022028988119</v>
      </c>
      <c r="V77" s="378">
        <f t="shared" si="9"/>
        <v>171.9586157017246</v>
      </c>
      <c r="W77" s="397">
        <f t="shared" si="10"/>
        <v>19.775877449327805</v>
      </c>
      <c r="X77" s="153">
        <f t="shared" si="11"/>
        <v>45720</v>
      </c>
      <c r="Y77" s="380">
        <f t="shared" si="12"/>
        <v>19.230472276392277</v>
      </c>
      <c r="Z77" s="380">
        <f t="shared" si="13"/>
        <v>19.574689736313555</v>
      </c>
      <c r="AA77" s="381">
        <f t="shared" si="14"/>
        <v>20.757680567877387</v>
      </c>
      <c r="AB77" s="193">
        <f t="shared" si="15"/>
        <v>45720</v>
      </c>
      <c r="AC77" s="119">
        <f>IF(OR(t&lt;Tnet,NoTnet),'2024'!Resal_s+('2024'!Salim-'2024'!Resal_s)*(1-EXP(('2024'!Tnet_s-t)/'2024'!Tau_j)),Resal_s+(Salim-Resal_s)*(1-EXP((Tnet_s-t)/Tau_j)))*Salcycl</f>
        <v>5.6990511425178962E-2</v>
      </c>
      <c r="AD77" s="227">
        <f>(INDEX(Models!$BJ77:$BT77,,AH77)*(1-AF77)+INDEX(Models!$BJ77:$BT77,,AH77+1)*AF77-ERP_i)*AE77*Ramure*Pc/MaxiM</f>
        <v>1.30191697079372E-4</v>
      </c>
      <c r="AE77" s="301">
        <f t="shared" si="16"/>
        <v>0.5</v>
      </c>
      <c r="AF77" s="173">
        <f t="shared" si="23"/>
        <v>0.49760220289881185</v>
      </c>
      <c r="AG77" s="801">
        <f t="shared" si="24"/>
        <v>1</v>
      </c>
      <c r="AH77" s="172">
        <f t="shared" si="17"/>
        <v>7</v>
      </c>
      <c r="AI77" s="221">
        <f t="shared" si="18"/>
        <v>1.4976022028988119</v>
      </c>
      <c r="AJ77" s="261" t="b">
        <f t="shared" si="19"/>
        <v>0</v>
      </c>
      <c r="AK77" s="261" t="b">
        <f t="shared" si="20"/>
        <v>0</v>
      </c>
      <c r="AL77" s="261"/>
      <c r="AM77" s="261"/>
      <c r="AN77" s="75"/>
    </row>
    <row r="78" spans="1:40" s="6" customFormat="1" ht="11.25" x14ac:dyDescent="0.2">
      <c r="A78" s="56">
        <f t="shared" si="21"/>
        <v>45721</v>
      </c>
      <c r="B78" s="406">
        <f>'2024'!Wh/'2024'!Env_an*'2025'!Env_an</f>
        <v>65.30653472284061</v>
      </c>
      <c r="C78" s="385"/>
      <c r="D78" s="388">
        <f t="shared" si="0"/>
        <v>66.476404553561849</v>
      </c>
      <c r="E78" s="380">
        <f t="shared" si="1"/>
        <v>68.553597584231341</v>
      </c>
      <c r="F78" s="380">
        <f t="shared" si="2"/>
        <v>68.55453101976596</v>
      </c>
      <c r="G78" s="110">
        <f t="shared" si="22"/>
        <v>0.37672292511169181</v>
      </c>
      <c r="H78" s="409" t="b">
        <f>Wh_hp&gt;='2024'!Maxi_hp</f>
        <v>0</v>
      </c>
      <c r="I78" s="375">
        <f>IF(H78,Wh_hp,'2024'!Maxi_hp)</f>
        <v>68.562079160993505</v>
      </c>
      <c r="J78" s="85">
        <f>IF(H78,An,'2024'!An_max)</f>
        <v>2022</v>
      </c>
      <c r="K78" s="193">
        <f t="shared" si="3"/>
        <v>45721</v>
      </c>
      <c r="L78" s="143">
        <f>IF(t&lt;Tvie,1-EXP((T0-t)*PertePVj)+'2024'!Pspv,1-EXP((T0-t)*PertePVj)+Pspv)</f>
        <v>1.7598271726303238E-2</v>
      </c>
      <c r="M78" s="835"/>
      <c r="N78" s="835"/>
      <c r="O78" s="48">
        <f>IF(t&lt;Tnet,'2024'!Resal+('2024'!Salim-'2024'!Resal)*(1-EXP(('2024'!Tnet-t)/('2024'!Tau_j))),Resal+(Salim-Resal)*(1-EXP((Tnet-t)/(Tau_j))))*Salcycl</f>
        <v>3.030027750355848E-2</v>
      </c>
      <c r="P78" s="165">
        <f>(INDEX(Models!$BJ78:$BT78,,T78)*(1-R78)+INDEX(Models!$BJ78:$BT78,,T78+1)*R78-ERP_i)*Q78*Ramure*Pc/MaxiM</f>
        <v>1.2416104381053229E-4</v>
      </c>
      <c r="Q78" s="301">
        <f t="shared" si="4"/>
        <v>0.5</v>
      </c>
      <c r="R78" s="173">
        <f t="shared" si="5"/>
        <v>0.49796339057070749</v>
      </c>
      <c r="S78" s="801">
        <f t="shared" si="6"/>
        <v>1</v>
      </c>
      <c r="T78" s="172">
        <f t="shared" si="7"/>
        <v>7</v>
      </c>
      <c r="U78" s="247">
        <f t="shared" si="8"/>
        <v>1.4979633905707075</v>
      </c>
      <c r="V78" s="378">
        <f t="shared" si="9"/>
        <v>173.33512498242493</v>
      </c>
      <c r="W78" s="397">
        <f t="shared" si="10"/>
        <v>65.30653472284061</v>
      </c>
      <c r="X78" s="153">
        <f t="shared" si="11"/>
        <v>45721</v>
      </c>
      <c r="Y78" s="380">
        <f t="shared" si="12"/>
        <v>63.507271938257716</v>
      </c>
      <c r="Z78" s="380">
        <f t="shared" si="13"/>
        <v>64.644910641448519</v>
      </c>
      <c r="AA78" s="381">
        <f t="shared" si="14"/>
        <v>68.553597584231341</v>
      </c>
      <c r="AB78" s="193">
        <f t="shared" si="15"/>
        <v>45721</v>
      </c>
      <c r="AC78" s="119">
        <f>IF(OR(t&lt;Tnet,NoTnet),'2024'!Resal_s+('2024'!Salim-'2024'!Resal_s)*(1-EXP(('2024'!Tnet_s-t)/'2024'!Tau_j)),Resal_s+(Salim-Resal_s)*(1-EXP((Tnet_s-t)/Tau_j)))*Salcycl</f>
        <v>5.7016510883768676E-2</v>
      </c>
      <c r="AD78" s="227">
        <f>(INDEX(Models!$BJ78:$BT78,,AH78)*(1-AF78)+INDEX(Models!$BJ78:$BT78,,AH78+1)*AF78-ERP_i)*AE78*Ramure*Pc/MaxiM</f>
        <v>1.2416104381053229E-4</v>
      </c>
      <c r="AE78" s="301">
        <f t="shared" si="16"/>
        <v>0.5</v>
      </c>
      <c r="AF78" s="173">
        <f t="shared" si="23"/>
        <v>0.49796339057070749</v>
      </c>
      <c r="AG78" s="801">
        <f t="shared" si="24"/>
        <v>1</v>
      </c>
      <c r="AH78" s="172">
        <f t="shared" si="17"/>
        <v>7</v>
      </c>
      <c r="AI78" s="221">
        <f t="shared" si="18"/>
        <v>1.4979633905707075</v>
      </c>
      <c r="AJ78" s="261" t="b">
        <f t="shared" si="19"/>
        <v>0</v>
      </c>
      <c r="AK78" s="261" t="b">
        <f t="shared" si="20"/>
        <v>0</v>
      </c>
      <c r="AL78" s="261"/>
      <c r="AM78" s="261"/>
      <c r="AN78" s="75"/>
    </row>
    <row r="79" spans="1:40" s="6" customFormat="1" ht="11.25" x14ac:dyDescent="0.2">
      <c r="A79" s="56">
        <f t="shared" si="21"/>
        <v>45722</v>
      </c>
      <c r="B79" s="406">
        <f>'2024'!Wh/'2024'!Env_an*'2025'!Env_an</f>
        <v>92.200452287805362</v>
      </c>
      <c r="C79" s="385"/>
      <c r="D79" s="388">
        <f t="shared" ref="D79:D142" si="25">Wh/(1-Ppv)</f>
        <v>93.853371587474825</v>
      </c>
      <c r="E79" s="380">
        <f t="shared" si="1"/>
        <v>96.791493993837051</v>
      </c>
      <c r="F79" s="380">
        <f t="shared" ref="F79:F142" si="26">Wh_sa/(1-Pvg*MEDIAN((-Sdif+Wh/Env_an)/Csdif,0,1))</f>
        <v>96.79520803198308</v>
      </c>
      <c r="G79" s="110">
        <f t="shared" si="22"/>
        <v>0.52772982523828382</v>
      </c>
      <c r="H79" s="409" t="b">
        <f>Wh_hp&gt;='2024'!Maxi_hp</f>
        <v>0</v>
      </c>
      <c r="I79" s="375">
        <f>IF(H79,Wh_hp,'2024'!Maxi_hp)</f>
        <v>96.802876321766419</v>
      </c>
      <c r="J79" s="85">
        <f>IF(H79,An,'2024'!An_max)</f>
        <v>2022</v>
      </c>
      <c r="K79" s="193">
        <f t="shared" ref="K79:K142" si="27">t</f>
        <v>45722</v>
      </c>
      <c r="L79" s="143">
        <f>IF(t&lt;Tvie,1-EXP((T0-t)*PertePVj)+'2024'!Pspv,1-EXP((T0-t)*PertePVj)+Pspv)</f>
        <v>1.761171998097999E-2</v>
      </c>
      <c r="M79" s="835"/>
      <c r="N79" s="835"/>
      <c r="O79" s="48">
        <f>IF(t&lt;Tnet,'2024'!Resal+('2024'!Salim-'2024'!Resal)*(1-EXP(('2024'!Tnet-t)/('2024'!Tau_j))),Resal+(Salim-Resal)*(1-EXP((Tnet-t)/(Tau_j))))*Salcycl</f>
        <v>3.0355171566515012E-2</v>
      </c>
      <c r="P79" s="165">
        <f>(INDEX(Models!$BJ79:$BT79,,T79)*(1-R79)+INDEX(Models!$BJ79:$BT79,,T79+1)*R79-ERP_i)*Q79*Ramure*Pc/MaxiM</f>
        <v>1.1792084065569059E-4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0.49833916718060567</v>
      </c>
      <c r="S79" s="801">
        <f t="shared" ref="S79:S142" si="30">INDEX(Echel_vg,T79)</f>
        <v>1</v>
      </c>
      <c r="T79" s="172">
        <f t="shared" ref="T79:T142" si="31">MIN(MATCH(Hp_vg,Echel_vg),10)</f>
        <v>7</v>
      </c>
      <c r="U79" s="247">
        <f t="shared" ref="U79:U142" si="32">IF(OR(t&lt;Ttai,Notai),Hdd+PousH*Croivg,Hdtf+PousH*(Croivg-Croi_tai))</f>
        <v>1.4983391671806057</v>
      </c>
      <c r="V79" s="378">
        <f t="shared" ref="V79:V142" si="33">MaxiM*(1-Ppv)*(1-Pvg)*(1-Psa)</f>
        <v>174.69756867915746</v>
      </c>
      <c r="W79" s="397">
        <f t="shared" ref="W79:W142" si="34">Wh*(A79&gt;Tmaj)</f>
        <v>92.200452287805362</v>
      </c>
      <c r="X79" s="153">
        <f t="shared" ref="X79:X142" si="35">t</f>
        <v>45722</v>
      </c>
      <c r="Y79" s="380">
        <f t="shared" ref="Y79:Y142" si="36">Wh_pvt_s*(1-Ppv)</f>
        <v>89.662837548314158</v>
      </c>
      <c r="Z79" s="380">
        <f t="shared" ref="Z79:Z142" si="37">Wh_sa_s*(1-Psa_s)</f>
        <v>91.270263878329445</v>
      </c>
      <c r="AA79" s="381">
        <f t="shared" ref="AA79:AA142" si="38">Wh_hp*(1-Pvg_s*MEDIAN((-Sdif+Wh/Env_an)/Csdif,0,1))</f>
        <v>96.791493993837051</v>
      </c>
      <c r="AB79" s="193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5.7042513630992754E-2</v>
      </c>
      <c r="AD79" s="227">
        <f>(INDEX(Models!$BJ79:$BT79,,AH79)*(1-AF79)+INDEX(Models!$BJ79:$BT79,,AH79+1)*AF79-ERP_i)*AE79*Ramure*Pc/MaxiM</f>
        <v>1.1792084065569059E-4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0.49833916718060567</v>
      </c>
      <c r="AG79" s="801">
        <f t="shared" si="24"/>
        <v>1</v>
      </c>
      <c r="AH79" s="172">
        <f t="shared" ref="AH79:AH142" si="42">MIN(MATCH(Hp_vg_s,Echel_vg),10)</f>
        <v>7</v>
      </c>
      <c r="AI79" s="221">
        <f t="shared" ref="AI79:AI142" si="43">IF(OR(t&lt;Ttai,Notai),Hdd_s+PousH*Croivg,Hdtai_s+PousH*(Croivg-Croi_tai))</f>
        <v>1.4983391671806057</v>
      </c>
      <c r="AJ79" s="261" t="b">
        <f t="shared" ref="AJ79:AJ142" si="44">t&lt;Tnet</f>
        <v>0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45723</v>
      </c>
      <c r="B80" s="406">
        <f>'2024'!Wh/'2024'!Env_an*'2025'!Env_an</f>
        <v>136.97585893103249</v>
      </c>
      <c r="C80" s="385"/>
      <c r="D80" s="388">
        <f t="shared" si="25"/>
        <v>139.43339596694989</v>
      </c>
      <c r="E80" s="380">
        <f t="shared" ref="E80:E143" si="47">Wh_pvt/(1-Psa)</f>
        <v>143.80655763219715</v>
      </c>
      <c r="F80" s="380">
        <f t="shared" si="26"/>
        <v>143.81754516256876</v>
      </c>
      <c r="G80" s="110">
        <f t="shared" ref="G80:G143" si="48">+Wh_hp/MaxiM</f>
        <v>0.77802968385647253</v>
      </c>
      <c r="H80" s="409" t="b">
        <f>Wh_hp&gt;='2024'!Maxi_hp</f>
        <v>0</v>
      </c>
      <c r="I80" s="375">
        <f>IF(H80,Wh_hp,'2024'!Maxi_hp)</f>
        <v>143.82262435298446</v>
      </c>
      <c r="J80" s="85">
        <f>IF(H80,An,'2024'!An_max)</f>
        <v>2022</v>
      </c>
      <c r="K80" s="193">
        <f t="shared" si="27"/>
        <v>45723</v>
      </c>
      <c r="L80" s="143">
        <f>IF(t&lt;Tvie,1-EXP((T0-t)*PertePVj)+'2024'!Pspv,1-EXP((T0-t)*PertePVj)+Pspv)</f>
        <v>1.7625168051561335E-2</v>
      </c>
      <c r="M80" s="835"/>
      <c r="N80" s="835"/>
      <c r="O80" s="48">
        <f>IF(t&lt;Tnet,'2024'!Resal+('2024'!Salim-'2024'!Resal)*(1-EXP(('2024'!Tnet-t)/('2024'!Tau_j))),Resal+(Salim-Resal)*(1-EXP((Tnet-t)/(Tau_j))))*Salcycl</f>
        <v>3.0410029537263305E-2</v>
      </c>
      <c r="P80" s="165">
        <f>(INDEX(Models!$BJ80:$BT80,,T80)*(1-R80)+INDEX(Models!$BJ80:$BT80,,T80+1)*R80-ERP_i)*Q80*Ramure*Pc/MaxiM</f>
        <v>1.1186811452070087E-4</v>
      </c>
      <c r="Q80" s="301">
        <f t="shared" si="28"/>
        <v>0.5</v>
      </c>
      <c r="R80" s="173">
        <f t="shared" si="29"/>
        <v>0.4987300978850413</v>
      </c>
      <c r="S80" s="801">
        <f t="shared" si="30"/>
        <v>1</v>
      </c>
      <c r="T80" s="172">
        <f t="shared" si="31"/>
        <v>7</v>
      </c>
      <c r="U80" s="247">
        <f t="shared" si="32"/>
        <v>1.4987300978850413</v>
      </c>
      <c r="V80" s="378">
        <f t="shared" si="33"/>
        <v>176.0485531625973</v>
      </c>
      <c r="W80" s="397">
        <f t="shared" si="34"/>
        <v>136.97585893103249</v>
      </c>
      <c r="X80" s="153">
        <f t="shared" si="35"/>
        <v>45723</v>
      </c>
      <c r="Y80" s="380">
        <f t="shared" si="36"/>
        <v>133.20976065440394</v>
      </c>
      <c r="Z80" s="380">
        <f t="shared" si="37"/>
        <v>135.59972865977866</v>
      </c>
      <c r="AA80" s="381">
        <f t="shared" si="38"/>
        <v>143.80655763219715</v>
      </c>
      <c r="AB80" s="193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5.706853086219095E-2</v>
      </c>
      <c r="AD80" s="227">
        <f>(INDEX(Models!$BJ80:$BT80,,AH80)*(1-AF80)+INDEX(Models!$BJ80:$BT80,,AH80+1)*AF80-ERP_i)*AE80*Ramure*Pc/MaxiM</f>
        <v>1.1186811452070087E-4</v>
      </c>
      <c r="AE80" s="301">
        <f t="shared" si="40"/>
        <v>0.5</v>
      </c>
      <c r="AF80" s="173">
        <f t="shared" si="41"/>
        <v>0.4987300978850413</v>
      </c>
      <c r="AG80" s="801">
        <f t="shared" ref="AG80:AG143" si="49">INDEX(Echel_vg,AH80)</f>
        <v>1</v>
      </c>
      <c r="AH80" s="172">
        <f t="shared" si="42"/>
        <v>7</v>
      </c>
      <c r="AI80" s="221">
        <f t="shared" si="43"/>
        <v>1.4987300978850413</v>
      </c>
      <c r="AJ80" s="261" t="b">
        <f t="shared" si="44"/>
        <v>0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45724</v>
      </c>
      <c r="B81" s="406">
        <f>'2024'!Wh/'2024'!Env_an*'2025'!Env_an</f>
        <v>126.29456643722447</v>
      </c>
      <c r="C81" s="385"/>
      <c r="D81" s="388">
        <f t="shared" si="25"/>
        <v>128.56222616875587</v>
      </c>
      <c r="E81" s="380">
        <f t="shared" si="47"/>
        <v>132.60192499843993</v>
      </c>
      <c r="F81" s="380">
        <f t="shared" si="26"/>
        <v>132.61022337921656</v>
      </c>
      <c r="G81" s="110">
        <f t="shared" si="48"/>
        <v>0.71193488912702529</v>
      </c>
      <c r="H81" s="409" t="b">
        <f>Wh_hp&gt;='2024'!Maxi_hp</f>
        <v>0</v>
      </c>
      <c r="I81" s="375">
        <f>IF(H81,Wh_hp,'2024'!Maxi_hp)</f>
        <v>132.61599951897398</v>
      </c>
      <c r="J81" s="85">
        <f>IF(H81,An,'2024'!An_max)</f>
        <v>2022</v>
      </c>
      <c r="K81" s="193">
        <f t="shared" si="27"/>
        <v>45724</v>
      </c>
      <c r="L81" s="143">
        <f>IF(t&lt;Tvie,1-EXP((T0-t)*PertePVj)+'2024'!Pspv,1-EXP((T0-t)*PertePVj)+Pspv)</f>
        <v>1.7638615938049829E-2</v>
      </c>
      <c r="M81" s="835"/>
      <c r="N81" s="835"/>
      <c r="O81" s="48">
        <f>IF(t&lt;Tnet,'2024'!Resal+('2024'!Salim-'2024'!Resal)*(1-EXP(('2024'!Tnet-t)/('2024'!Tau_j))),Resal+(Salim-Resal)*(1-EXP((Tnet-t)/(Tau_j))))*Salcycl</f>
        <v>3.0464858106182033E-2</v>
      </c>
      <c r="P81" s="165">
        <f>(INDEX(Models!$BJ81:$BT81,,T81)*(1-R81)+INDEX(Models!$BJ81:$BT81,,T81+1)*R81-ERP_i)*Q81*Ramure*Pc/MaxiM</f>
        <v>1.0632930475860349E-4</v>
      </c>
      <c r="Q81" s="301">
        <f t="shared" si="28"/>
        <v>0.5</v>
      </c>
      <c r="R81" s="173">
        <f t="shared" si="29"/>
        <v>0.49913676771325144</v>
      </c>
      <c r="S81" s="801">
        <f t="shared" si="30"/>
        <v>1</v>
      </c>
      <c r="T81" s="172">
        <f t="shared" si="31"/>
        <v>7</v>
      </c>
      <c r="U81" s="247">
        <f t="shared" si="32"/>
        <v>1.4991367677132514</v>
      </c>
      <c r="V81" s="378">
        <f t="shared" si="33"/>
        <v>177.38846960749257</v>
      </c>
      <c r="W81" s="397">
        <f t="shared" si="34"/>
        <v>126.29456643722447</v>
      </c>
      <c r="X81" s="153">
        <f t="shared" si="35"/>
        <v>45724</v>
      </c>
      <c r="Y81" s="380">
        <f t="shared" si="36"/>
        <v>122.82569936219609</v>
      </c>
      <c r="Z81" s="380">
        <f t="shared" si="37"/>
        <v>125.03107446500604</v>
      </c>
      <c r="AA81" s="381">
        <f t="shared" si="38"/>
        <v>132.60192499843993</v>
      </c>
      <c r="AB81" s="193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5.7094574860228849E-2</v>
      </c>
      <c r="AD81" s="227">
        <f>(INDEX(Models!$BJ81:$BT81,,AH81)*(1-AF81)+INDEX(Models!$BJ81:$BT81,,AH81+1)*AF81-ERP_i)*AE81*Ramure*Pc/MaxiM</f>
        <v>1.0632930475860349E-4</v>
      </c>
      <c r="AE81" s="301">
        <f t="shared" si="40"/>
        <v>0.5</v>
      </c>
      <c r="AF81" s="173">
        <f t="shared" si="41"/>
        <v>0.49913676771325144</v>
      </c>
      <c r="AG81" s="801">
        <f t="shared" si="49"/>
        <v>1</v>
      </c>
      <c r="AH81" s="172">
        <f t="shared" si="42"/>
        <v>7</v>
      </c>
      <c r="AI81" s="221">
        <f t="shared" si="43"/>
        <v>1.4991367677132514</v>
      </c>
      <c r="AJ81" s="261" t="b">
        <f t="shared" si="44"/>
        <v>0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45725</v>
      </c>
      <c r="B82" s="406">
        <f>'2024'!Wh/'2024'!Env_an*'2025'!Env_an</f>
        <v>136.04637240447465</v>
      </c>
      <c r="C82" s="385"/>
      <c r="D82" s="388">
        <f t="shared" si="25"/>
        <v>138.49102478765727</v>
      </c>
      <c r="E82" s="380">
        <f t="shared" si="47"/>
        <v>142.85078276004418</v>
      </c>
      <c r="F82" s="380">
        <f t="shared" si="26"/>
        <v>142.86031756865842</v>
      </c>
      <c r="G82" s="110">
        <f t="shared" si="48"/>
        <v>0.76120955072643648</v>
      </c>
      <c r="H82" s="409" t="b">
        <f>Wh_hp&gt;='2024'!Maxi_hp</f>
        <v>0</v>
      </c>
      <c r="I82" s="375">
        <f>IF(H82,Wh_hp,'2024'!Maxi_hp)</f>
        <v>142.86523052784904</v>
      </c>
      <c r="J82" s="85">
        <f>IF(H82,An,'2024'!An_max)</f>
        <v>2022</v>
      </c>
      <c r="K82" s="193">
        <f t="shared" si="27"/>
        <v>45725</v>
      </c>
      <c r="L82" s="143">
        <f>IF(t&lt;Tvie,1-EXP((T0-t)*PertePVj)+'2024'!Pspv,1-EXP((T0-t)*PertePVj)+Pspv)</f>
        <v>1.7652063640448135E-2</v>
      </c>
      <c r="M82" s="835"/>
      <c r="N82" s="835"/>
      <c r="O82" s="48">
        <f>IF(t&lt;Tnet,'2024'!Resal+('2024'!Salim-'2024'!Resal)*(1-EXP(('2024'!Tnet-t)/('2024'!Tau_j))),Resal+(Salim-Resal)*(1-EXP((Tnet-t)/(Tau_j))))*Salcycl</f>
        <v>3.0519664562918603E-2</v>
      </c>
      <c r="P82" s="165">
        <f>(INDEX(Models!$BJ82:$BT82,,T82)*(1-R82)+INDEX(Models!$BJ82:$BT82,,T82+1)*R82-ERP_i)*Q82*Ramure*Pc/MaxiM</f>
        <v>1.0129204755118736E-4</v>
      </c>
      <c r="Q82" s="301">
        <f t="shared" si="28"/>
        <v>0.5</v>
      </c>
      <c r="R82" s="173">
        <f t="shared" si="29"/>
        <v>0.49955978209483831</v>
      </c>
      <c r="S82" s="801">
        <f t="shared" si="30"/>
        <v>1</v>
      </c>
      <c r="T82" s="172">
        <f t="shared" si="31"/>
        <v>7</v>
      </c>
      <c r="U82" s="247">
        <f t="shared" si="32"/>
        <v>1.4995597820948383</v>
      </c>
      <c r="V82" s="378">
        <f t="shared" si="33"/>
        <v>178.71776776364584</v>
      </c>
      <c r="W82" s="397">
        <f t="shared" si="34"/>
        <v>136.04637240447465</v>
      </c>
      <c r="X82" s="153">
        <f t="shared" si="35"/>
        <v>45725</v>
      </c>
      <c r="Y82" s="380">
        <f t="shared" si="36"/>
        <v>132.31347689496866</v>
      </c>
      <c r="Z82" s="380">
        <f t="shared" si="37"/>
        <v>134.69105191517423</v>
      </c>
      <c r="AA82" s="381">
        <f t="shared" si="38"/>
        <v>142.85078276004418</v>
      </c>
      <c r="AB82" s="193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5.7120658964651232E-2</v>
      </c>
      <c r="AD82" s="227">
        <f>(INDEX(Models!$BJ82:$BT82,,AH82)*(1-AF82)+INDEX(Models!$BJ82:$BT82,,AH82+1)*AF82-ERP_i)*AE82*Ramure*Pc/MaxiM</f>
        <v>1.0129204755118736E-4</v>
      </c>
      <c r="AE82" s="301">
        <f t="shared" si="40"/>
        <v>0.5</v>
      </c>
      <c r="AF82" s="173">
        <f t="shared" si="41"/>
        <v>0.49955978209483831</v>
      </c>
      <c r="AG82" s="801">
        <f t="shared" si="49"/>
        <v>1</v>
      </c>
      <c r="AH82" s="172">
        <f t="shared" si="42"/>
        <v>7</v>
      </c>
      <c r="AI82" s="221">
        <f t="shared" si="43"/>
        <v>1.4995597820948383</v>
      </c>
      <c r="AJ82" s="261" t="b">
        <f t="shared" si="44"/>
        <v>0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45726</v>
      </c>
      <c r="B83" s="406">
        <f>'2024'!Wh/'2024'!Env_an*'2025'!Env_an</f>
        <v>97.791722263754977</v>
      </c>
      <c r="C83" s="385"/>
      <c r="D83" s="388">
        <f t="shared" si="25"/>
        <v>99.550329724358747</v>
      </c>
      <c r="E83" s="380">
        <f t="shared" si="47"/>
        <v>102.69002134368779</v>
      </c>
      <c r="F83" s="380">
        <f t="shared" si="26"/>
        <v>102.69347271944277</v>
      </c>
      <c r="G83" s="110">
        <f t="shared" si="48"/>
        <v>0.54314170844575194</v>
      </c>
      <c r="H83" s="409" t="b">
        <f>Wh_hp&gt;='2024'!Maxi_hp</f>
        <v>0</v>
      </c>
      <c r="I83" s="375">
        <f>IF(H83,Wh_hp,'2024'!Maxi_hp)</f>
        <v>102.6999251260078</v>
      </c>
      <c r="J83" s="85">
        <f>IF(H83,An,'2024'!An_max)</f>
        <v>2022</v>
      </c>
      <c r="K83" s="193">
        <f t="shared" si="27"/>
        <v>45726</v>
      </c>
      <c r="L83" s="143">
        <f>IF(t&lt;Tvie,1-EXP((T0-t)*PertePVj)+'2024'!Pspv,1-EXP((T0-t)*PertePVj)+Pspv)</f>
        <v>1.7665511158758695E-2</v>
      </c>
      <c r="M83" s="835"/>
      <c r="N83" s="835"/>
      <c r="O83" s="48">
        <f>IF(t&lt;Tnet,'2024'!Resal+('2024'!Salim-'2024'!Resal)*(1-EXP(('2024'!Tnet-t)/('2024'!Tau_j))),Resal+(Salim-Resal)*(1-EXP((Tnet-t)/(Tau_j))))*Salcycl</f>
        <v>3.0574456780186759E-2</v>
      </c>
      <c r="P83" s="165">
        <f>(INDEX(Models!$BJ83:$BT83,,T83)*(1-R83)+INDEX(Models!$BJ83:$BT83,,T83+1)*R83-ERP_i)*Q83*Ramure*Pc/MaxiM</f>
        <v>9.6744598527438936E-5</v>
      </c>
      <c r="Q83" s="301">
        <f t="shared" si="28"/>
        <v>0.5</v>
      </c>
      <c r="R83" s="173">
        <f t="shared" si="29"/>
        <v>0.49999976738617491</v>
      </c>
      <c r="S83" s="801">
        <f t="shared" si="30"/>
        <v>1</v>
      </c>
      <c r="T83" s="172">
        <f t="shared" si="31"/>
        <v>7</v>
      </c>
      <c r="U83" s="247">
        <f t="shared" si="32"/>
        <v>1.4999997673861749</v>
      </c>
      <c r="V83" s="378">
        <f t="shared" si="33"/>
        <v>180.03689709325752</v>
      </c>
      <c r="W83" s="397">
        <f t="shared" si="34"/>
        <v>97.791722263754977</v>
      </c>
      <c r="X83" s="153">
        <f t="shared" si="35"/>
        <v>45726</v>
      </c>
      <c r="Y83" s="380">
        <f t="shared" si="36"/>
        <v>95.111212156368197</v>
      </c>
      <c r="Z83" s="380">
        <f t="shared" si="37"/>
        <v>96.821615485129797</v>
      </c>
      <c r="AA83" s="381">
        <f t="shared" si="38"/>
        <v>102.69002134368779</v>
      </c>
      <c r="AB83" s="193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5.7146797534663493E-2</v>
      </c>
      <c r="AD83" s="227">
        <f>(INDEX(Models!$BJ83:$BT83,,AH83)*(1-AF83)+INDEX(Models!$BJ83:$BT83,,AH83+1)*AF83-ERP_i)*AE83*Ramure*Pc/MaxiM</f>
        <v>9.6744598527438936E-5</v>
      </c>
      <c r="AE83" s="301">
        <f t="shared" si="40"/>
        <v>0.5</v>
      </c>
      <c r="AF83" s="173">
        <f t="shared" si="41"/>
        <v>0.49999976738617491</v>
      </c>
      <c r="AG83" s="801">
        <f t="shared" si="49"/>
        <v>1</v>
      </c>
      <c r="AH83" s="172">
        <f t="shared" si="42"/>
        <v>7</v>
      </c>
      <c r="AI83" s="221">
        <f t="shared" si="43"/>
        <v>1.4999997673861749</v>
      </c>
      <c r="AJ83" s="261" t="b">
        <f t="shared" si="44"/>
        <v>0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45727</v>
      </c>
      <c r="B84" s="406">
        <f>'2024'!Wh/'2024'!Env_an*'2025'!Env_an</f>
        <v>66.933316430776273</v>
      </c>
      <c r="C84" s="385"/>
      <c r="D84" s="388">
        <f t="shared" si="25"/>
        <v>68.137923960267955</v>
      </c>
      <c r="E84" s="380">
        <f t="shared" si="47"/>
        <v>70.290880431342842</v>
      </c>
      <c r="F84" s="380">
        <f t="shared" si="26"/>
        <v>70.291523405706315</v>
      </c>
      <c r="G84" s="110">
        <f t="shared" si="48"/>
        <v>0.36906031738861289</v>
      </c>
      <c r="H84" s="409" t="b">
        <f>Wh_hp&gt;='2024'!Maxi_hp</f>
        <v>0</v>
      </c>
      <c r="I84" s="375">
        <f>IF(H84,Wh_hp,'2024'!Maxi_hp)</f>
        <v>70.297364846187307</v>
      </c>
      <c r="J84" s="85">
        <f>IF(H84,An,'2024'!An_max)</f>
        <v>2022</v>
      </c>
      <c r="K84" s="193">
        <f t="shared" si="27"/>
        <v>45727</v>
      </c>
      <c r="L84" s="143">
        <f>IF(t&lt;Tvie,1-EXP((T0-t)*PertePVj)+'2024'!Pspv,1-EXP((T0-t)*PertePVj)+Pspv)</f>
        <v>1.7678958492984065E-2</v>
      </c>
      <c r="M84" s="835"/>
      <c r="N84" s="835"/>
      <c r="O84" s="48">
        <f>IF(t&lt;Tnet,'2024'!Resal+('2024'!Salim-'2024'!Resal)*(1-EXP(('2024'!Tnet-t)/('2024'!Tau_j))),Resal+(Salim-Resal)*(1-EXP((Tnet-t)/(Tau_j))))*Salcycl</f>
        <v>3.0629243194325934E-2</v>
      </c>
      <c r="P84" s="165">
        <f>(INDEX(Models!$BJ84:$BT84,,T84)*(1-R84)+INDEX(Models!$BJ84:$BT84,,T84+1)*R84-ERP_i)*Q84*Ramure*Pc/MaxiM</f>
        <v>9.2675798553461491E-5</v>
      </c>
      <c r="Q84" s="301">
        <f t="shared" si="28"/>
        <v>0.5</v>
      </c>
      <c r="R84" s="173">
        <f t="shared" si="29"/>
        <v>0.50045737139383983</v>
      </c>
      <c r="S84" s="801">
        <f t="shared" si="30"/>
        <v>1</v>
      </c>
      <c r="T84" s="172">
        <f t="shared" si="31"/>
        <v>7</v>
      </c>
      <c r="U84" s="247">
        <f t="shared" si="32"/>
        <v>1.5004573713938398</v>
      </c>
      <c r="V84" s="378">
        <f t="shared" si="33"/>
        <v>181.34630677891417</v>
      </c>
      <c r="W84" s="397">
        <f t="shared" si="34"/>
        <v>66.933316430776273</v>
      </c>
      <c r="X84" s="153">
        <f t="shared" si="35"/>
        <v>45727</v>
      </c>
      <c r="Y84" s="380">
        <f t="shared" si="36"/>
        <v>65.100517105649601</v>
      </c>
      <c r="Z84" s="380">
        <f t="shared" si="37"/>
        <v>66.272139509275334</v>
      </c>
      <c r="AA84" s="381">
        <f t="shared" si="38"/>
        <v>70.290880431342842</v>
      </c>
      <c r="AB84" s="193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5.7173005906404048E-2</v>
      </c>
      <c r="AD84" s="227">
        <f>(INDEX(Models!$BJ84:$BT84,,AH84)*(1-AF84)+INDEX(Models!$BJ84:$BT84,,AH84+1)*AF84-ERP_i)*AE84*Ramure*Pc/MaxiM</f>
        <v>9.2675798553461491E-5</v>
      </c>
      <c r="AE84" s="301">
        <f t="shared" si="40"/>
        <v>0.5</v>
      </c>
      <c r="AF84" s="173">
        <f t="shared" si="41"/>
        <v>0.50045737139383983</v>
      </c>
      <c r="AG84" s="801">
        <f t="shared" si="49"/>
        <v>1</v>
      </c>
      <c r="AH84" s="172">
        <f t="shared" si="42"/>
        <v>7</v>
      </c>
      <c r="AI84" s="221">
        <f t="shared" si="43"/>
        <v>1.5004573713938398</v>
      </c>
      <c r="AJ84" s="261" t="b">
        <f t="shared" si="44"/>
        <v>0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45728</v>
      </c>
      <c r="B85" s="406">
        <f>'2024'!Wh/'2024'!Env_an*'2025'!Env_an</f>
        <v>62.642818509915458</v>
      </c>
      <c r="C85" s="385"/>
      <c r="D85" s="388">
        <f t="shared" si="25"/>
        <v>63.77108236746183</v>
      </c>
      <c r="E85" s="380">
        <f t="shared" si="47"/>
        <v>65.789778074682729</v>
      </c>
      <c r="F85" s="380">
        <f t="shared" si="26"/>
        <v>65.790137836881755</v>
      </c>
      <c r="G85" s="110">
        <f t="shared" si="48"/>
        <v>0.34294442945698944</v>
      </c>
      <c r="H85" s="409" t="b">
        <f>Wh_hp&gt;='2024'!Maxi_hp</f>
        <v>0</v>
      </c>
      <c r="I85" s="375">
        <f>IF(H85,Wh_hp,'2024'!Maxi_hp)</f>
        <v>65.795608679472551</v>
      </c>
      <c r="J85" s="85">
        <f>IF(H85,An,'2024'!An_max)</f>
        <v>2022</v>
      </c>
      <c r="K85" s="193">
        <f t="shared" si="27"/>
        <v>45728</v>
      </c>
      <c r="L85" s="143">
        <f>IF(t&lt;Tvie,1-EXP((T0-t)*PertePVj)+'2024'!Pspv,1-EXP((T0-t)*PertePVj)+Pspv)</f>
        <v>1.7692405643126574E-2</v>
      </c>
      <c r="M85" s="835"/>
      <c r="N85" s="835"/>
      <c r="O85" s="48">
        <f>IF(t&lt;Tnet,'2024'!Resal+('2024'!Salim-'2024'!Resal)*(1-EXP(('2024'!Tnet-t)/('2024'!Tau_j))),Resal+(Salim-Resal)*(1-EXP((Tnet-t)/(Tau_j))))*Salcycl</f>
        <v>3.0684032782863843E-2</v>
      </c>
      <c r="P85" s="165">
        <f>(INDEX(Models!$BJ85:$BT85,,T85)*(1-R85)+INDEX(Models!$BJ85:$BT85,,T85+1)*R85-ERP_i)*Q85*Ramure*Pc/MaxiM</f>
        <v>8.9075043626123733E-5</v>
      </c>
      <c r="Q85" s="301">
        <f t="shared" si="28"/>
        <v>0.5</v>
      </c>
      <c r="R85" s="173">
        <f t="shared" si="29"/>
        <v>0.50093326389319515</v>
      </c>
      <c r="S85" s="801">
        <f t="shared" si="30"/>
        <v>1</v>
      </c>
      <c r="T85" s="172">
        <f t="shared" si="31"/>
        <v>7</v>
      </c>
      <c r="U85" s="247">
        <f t="shared" si="32"/>
        <v>1.5009332638931951</v>
      </c>
      <c r="V85" s="378">
        <f t="shared" si="33"/>
        <v>182.64644572381778</v>
      </c>
      <c r="W85" s="397">
        <f t="shared" si="34"/>
        <v>62.642818509915458</v>
      </c>
      <c r="X85" s="153">
        <f t="shared" si="35"/>
        <v>45728</v>
      </c>
      <c r="Y85" s="380">
        <f t="shared" si="36"/>
        <v>60.929248167722584</v>
      </c>
      <c r="Z85" s="380">
        <f t="shared" si="37"/>
        <v>62.026648798957488</v>
      </c>
      <c r="AA85" s="381">
        <f t="shared" si="38"/>
        <v>65.789778074682729</v>
      </c>
      <c r="AB85" s="193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5.7199300345008613E-2</v>
      </c>
      <c r="AD85" s="227">
        <f>(INDEX(Models!$BJ85:$BT85,,AH85)*(1-AF85)+INDEX(Models!$BJ85:$BT85,,AH85+1)*AF85-ERP_i)*AE85*Ramure*Pc/MaxiM</f>
        <v>8.9075043626123733E-5</v>
      </c>
      <c r="AE85" s="301">
        <f t="shared" si="40"/>
        <v>0.5</v>
      </c>
      <c r="AF85" s="173">
        <f t="shared" si="41"/>
        <v>0.50093326389319515</v>
      </c>
      <c r="AG85" s="801">
        <f t="shared" si="49"/>
        <v>1</v>
      </c>
      <c r="AH85" s="172">
        <f t="shared" si="42"/>
        <v>7</v>
      </c>
      <c r="AI85" s="221">
        <f t="shared" si="43"/>
        <v>1.5009332638931951</v>
      </c>
      <c r="AJ85" s="261" t="b">
        <f t="shared" si="44"/>
        <v>0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45729</v>
      </c>
      <c r="B86" s="406">
        <f>'2024'!Wh/'2024'!Env_an*'2025'!Env_an</f>
        <v>55.322673860702238</v>
      </c>
      <c r="C86" s="385"/>
      <c r="D86" s="388">
        <f t="shared" si="25"/>
        <v>56.319865090972407</v>
      </c>
      <c r="E86" s="380">
        <f t="shared" si="47"/>
        <v>58.105975073558724</v>
      </c>
      <c r="F86" s="380">
        <f t="shared" si="26"/>
        <v>58.105980563521094</v>
      </c>
      <c r="G86" s="110">
        <f t="shared" si="48"/>
        <v>0.30074262250042327</v>
      </c>
      <c r="H86" s="409" t="b">
        <f>Wh_hp&gt;='2024'!Maxi_hp</f>
        <v>0</v>
      </c>
      <c r="I86" s="375">
        <f>IF(H86,Wh_hp,'2024'!Maxi_hp)</f>
        <v>58.110947281906434</v>
      </c>
      <c r="J86" s="85">
        <f>IF(H86,An,'2024'!An_max)</f>
        <v>2022</v>
      </c>
      <c r="K86" s="193">
        <f t="shared" si="27"/>
        <v>45729</v>
      </c>
      <c r="L86" s="143">
        <f>IF(t&lt;Tvie,1-EXP((T0-t)*PertePVj)+'2024'!Pspv,1-EXP((T0-t)*PertePVj)+Pspv)</f>
        <v>1.7705852609188999E-2</v>
      </c>
      <c r="M86" s="835"/>
      <c r="N86" s="835"/>
      <c r="O86" s="48">
        <f>IF(t&lt;Tnet,'2024'!Resal+('2024'!Salim-'2024'!Resal)*(1-EXP(('2024'!Tnet-t)/('2024'!Tau_j))),Resal+(Salim-Resal)*(1-EXP((Tnet-t)/(Tau_j))))*Salcycl</f>
        <v>3.073883503934333E-2</v>
      </c>
      <c r="P86" s="165">
        <f>(INDEX(Models!$BJ86:$BT86,,T86)*(1-R86)+INDEX(Models!$BJ86:$BT86,,T86+1)*R86-ERP_i)*Q86*Ramure*Pc/MaxiM</f>
        <v>8.6062620225543169E-5</v>
      </c>
      <c r="Q86" s="301">
        <f t="shared" si="28"/>
        <v>0.5</v>
      </c>
      <c r="R86" s="173">
        <f t="shared" si="29"/>
        <v>0.50142813714004086</v>
      </c>
      <c r="S86" s="801">
        <f t="shared" si="30"/>
        <v>1</v>
      </c>
      <c r="T86" s="172">
        <f t="shared" si="31"/>
        <v>7</v>
      </c>
      <c r="U86" s="247">
        <f t="shared" si="32"/>
        <v>1.5014281371400409</v>
      </c>
      <c r="V86" s="378">
        <f t="shared" si="33"/>
        <v>183.93773856545724</v>
      </c>
      <c r="W86" s="397">
        <f t="shared" si="34"/>
        <v>55.322673860702238</v>
      </c>
      <c r="X86" s="153">
        <f t="shared" si="35"/>
        <v>45729</v>
      </c>
      <c r="Y86" s="380">
        <f t="shared" si="36"/>
        <v>53.81087896610093</v>
      </c>
      <c r="Z86" s="380">
        <f t="shared" si="37"/>
        <v>54.78082009246868</v>
      </c>
      <c r="AA86" s="381">
        <f t="shared" si="38"/>
        <v>58.105975073558724</v>
      </c>
      <c r="AB86" s="193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5.7225697991998184E-2</v>
      </c>
      <c r="AD86" s="227">
        <f>(INDEX(Models!$BJ86:$BT86,,AH86)*(1-AF86)+INDEX(Models!$BJ86:$BT86,,AH86+1)*AF86-ERP_i)*AE86*Ramure*Pc/MaxiM</f>
        <v>8.6062620225543169E-5</v>
      </c>
      <c r="AE86" s="301">
        <f t="shared" si="40"/>
        <v>0.5</v>
      </c>
      <c r="AF86" s="173">
        <f t="shared" si="41"/>
        <v>0.50142813714004086</v>
      </c>
      <c r="AG86" s="801">
        <f t="shared" si="49"/>
        <v>1</v>
      </c>
      <c r="AH86" s="172">
        <f t="shared" si="42"/>
        <v>7</v>
      </c>
      <c r="AI86" s="221">
        <f t="shared" si="43"/>
        <v>1.5014281371400409</v>
      </c>
      <c r="AJ86" s="261" t="b">
        <f t="shared" si="44"/>
        <v>0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45730</v>
      </c>
      <c r="B87" s="406">
        <f>'2024'!Wh/'2024'!Env_an*'2025'!Env_an</f>
        <v>54.290967431488447</v>
      </c>
      <c r="C87" s="385"/>
      <c r="D87" s="388">
        <f t="shared" si="25"/>
        <v>55.270318756989148</v>
      </c>
      <c r="E87" s="380">
        <f t="shared" si="47"/>
        <v>57.026369383729026</v>
      </c>
      <c r="F87" s="380">
        <f t="shared" si="26"/>
        <v>57.026369383729026</v>
      </c>
      <c r="G87" s="110">
        <f t="shared" si="48"/>
        <v>0.29309060342710147</v>
      </c>
      <c r="H87" s="409" t="b">
        <f>Wh_hp&gt;='2024'!Maxi_hp</f>
        <v>0</v>
      </c>
      <c r="I87" s="375">
        <f>IF(H87,Wh_hp,'2024'!Maxi_hp)</f>
        <v>57.031108128817166</v>
      </c>
      <c r="J87" s="85">
        <f>IF(H87,An,'2024'!An_max)</f>
        <v>2022</v>
      </c>
      <c r="K87" s="193">
        <f t="shared" si="27"/>
        <v>45730</v>
      </c>
      <c r="L87" s="143">
        <f>IF(t&lt;Tvie,1-EXP((T0-t)*PertePVj)+'2024'!Pspv,1-EXP((T0-t)*PertePVj)+Pspv)</f>
        <v>1.7719299391173782E-2</v>
      </c>
      <c r="M87" s="835"/>
      <c r="N87" s="835"/>
      <c r="O87" s="48">
        <f>IF(t&lt;Tnet,'2024'!Resal+('2024'!Salim-'2024'!Resal)*(1-EXP(('2024'!Tnet-t)/('2024'!Tau_j))),Resal+(Salim-Resal)*(1-EXP((Tnet-t)/(Tau_j))))*Salcycl</f>
        <v>3.0793659945690329E-2</v>
      </c>
      <c r="P87" s="165">
        <f>(INDEX(Models!$BJ87:$BT87,,T87)*(1-R87)+INDEX(Models!$BJ87:$BT87,,T87+1)*R87-ERP_i)*Q87*Ramure*Pc/MaxiM</f>
        <v>8.3603635615150281E-5</v>
      </c>
      <c r="Q87" s="301">
        <f t="shared" si="28"/>
        <v>0.5</v>
      </c>
      <c r="R87" s="173">
        <f t="shared" si="29"/>
        <v>0.50194270637307858</v>
      </c>
      <c r="S87" s="801">
        <f t="shared" si="30"/>
        <v>1</v>
      </c>
      <c r="T87" s="172">
        <f t="shared" si="31"/>
        <v>7</v>
      </c>
      <c r="U87" s="247">
        <f t="shared" si="32"/>
        <v>1.5019427063730786</v>
      </c>
      <c r="V87" s="378">
        <f t="shared" si="33"/>
        <v>185.22063783164728</v>
      </c>
      <c r="W87" s="397">
        <f t="shared" si="34"/>
        <v>54.290967431488447</v>
      </c>
      <c r="X87" s="153">
        <f t="shared" si="35"/>
        <v>45730</v>
      </c>
      <c r="Y87" s="380">
        <f t="shared" si="36"/>
        <v>52.808867501307489</v>
      </c>
      <c r="Z87" s="380">
        <f t="shared" si="37"/>
        <v>53.761483319967589</v>
      </c>
      <c r="AA87" s="381">
        <f t="shared" si="38"/>
        <v>57.026369383729026</v>
      </c>
      <c r="AB87" s="193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5.7252216808545198E-2</v>
      </c>
      <c r="AD87" s="227">
        <f>(INDEX(Models!$BJ87:$BT87,,AH87)*(1-AF87)+INDEX(Models!$BJ87:$BT87,,AH87+1)*AF87-ERP_i)*AE87*Ramure*Pc/MaxiM</f>
        <v>8.3603635615150281E-5</v>
      </c>
      <c r="AE87" s="301">
        <f t="shared" si="40"/>
        <v>0.5</v>
      </c>
      <c r="AF87" s="173">
        <f t="shared" si="41"/>
        <v>0.50194270637307858</v>
      </c>
      <c r="AG87" s="801">
        <f t="shared" si="49"/>
        <v>1</v>
      </c>
      <c r="AH87" s="172">
        <f t="shared" si="42"/>
        <v>7</v>
      </c>
      <c r="AI87" s="221">
        <f t="shared" si="43"/>
        <v>1.5019427063730786</v>
      </c>
      <c r="AJ87" s="261" t="b">
        <f t="shared" si="44"/>
        <v>0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45731</v>
      </c>
      <c r="B88" s="406">
        <f>'2024'!Wh/'2024'!Env_an*'2025'!Env_an</f>
        <v>57.923159625707903</v>
      </c>
      <c r="C88" s="385"/>
      <c r="D88" s="388">
        <f t="shared" si="25"/>
        <v>58.968839070211089</v>
      </c>
      <c r="E88" s="380">
        <f t="shared" si="47"/>
        <v>60.845843154483305</v>
      </c>
      <c r="F88" s="380">
        <f t="shared" si="26"/>
        <v>60.845918329271328</v>
      </c>
      <c r="G88" s="110">
        <f t="shared" si="48"/>
        <v>0.31056229871654595</v>
      </c>
      <c r="H88" s="409" t="b">
        <f>Wh_hp&gt;='2024'!Maxi_hp</f>
        <v>0</v>
      </c>
      <c r="I88" s="375">
        <f>IF(H88,Wh_hp,'2024'!Maxi_hp)</f>
        <v>60.850782095593019</v>
      </c>
      <c r="J88" s="85">
        <f>IF(H88,An,'2024'!An_max)</f>
        <v>2022</v>
      </c>
      <c r="K88" s="193">
        <f t="shared" si="27"/>
        <v>45731</v>
      </c>
      <c r="L88" s="143">
        <f>IF(t&lt;Tvie,1-EXP((T0-t)*PertePVj)+'2024'!Pspv,1-EXP((T0-t)*PertePVj)+Pspv)</f>
        <v>1.7732745989083365E-2</v>
      </c>
      <c r="M88" s="835"/>
      <c r="N88" s="835"/>
      <c r="O88" s="48">
        <f>IF(t&lt;Tnet,'2024'!Resal+('2024'!Salim-'2024'!Resal)*(1-EXP(('2024'!Tnet-t)/('2024'!Tau_j))),Resal+(Salim-Resal)*(1-EXP((Tnet-t)/(Tau_j))))*Salcycl</f>
        <v>3.0848517942411193E-2</v>
      </c>
      <c r="P88" s="165">
        <f>(INDEX(Models!$BJ88:$BT88,,T88)*(1-R88)+INDEX(Models!$BJ88:$BT88,,T88+1)*R88-ERP_i)*Q88*Ramure*Pc/MaxiM</f>
        <v>8.1687227394186819E-5</v>
      </c>
      <c r="Q88" s="301">
        <f t="shared" si="28"/>
        <v>0.5</v>
      </c>
      <c r="R88" s="173">
        <f t="shared" si="29"/>
        <v>0.50247771030471022</v>
      </c>
      <c r="S88" s="801">
        <f t="shared" si="30"/>
        <v>1</v>
      </c>
      <c r="T88" s="172">
        <f t="shared" si="31"/>
        <v>7</v>
      </c>
      <c r="U88" s="247">
        <f t="shared" si="32"/>
        <v>1.5024777103047102</v>
      </c>
      <c r="V88" s="378">
        <f t="shared" si="33"/>
        <v>186.495591514918</v>
      </c>
      <c r="W88" s="397">
        <f t="shared" si="34"/>
        <v>57.923159625707903</v>
      </c>
      <c r="X88" s="153">
        <f t="shared" si="35"/>
        <v>45731</v>
      </c>
      <c r="Y88" s="380">
        <f t="shared" si="36"/>
        <v>56.343499635504685</v>
      </c>
      <c r="Z88" s="380">
        <f t="shared" si="37"/>
        <v>57.360661678820968</v>
      </c>
      <c r="AA88" s="381">
        <f t="shared" si="38"/>
        <v>60.845843154483305</v>
      </c>
      <c r="AB88" s="193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5.7278875515188475E-2</v>
      </c>
      <c r="AD88" s="227">
        <f>(INDEX(Models!$BJ88:$BT88,,AH88)*(1-AF88)+INDEX(Models!$BJ88:$BT88,,AH88+1)*AF88-ERP_i)*AE88*Ramure*Pc/MaxiM</f>
        <v>8.1687227394186819E-5</v>
      </c>
      <c r="AE88" s="301">
        <f t="shared" si="40"/>
        <v>0.5</v>
      </c>
      <c r="AF88" s="173">
        <f t="shared" si="41"/>
        <v>0.50247771030471022</v>
      </c>
      <c r="AG88" s="801">
        <f t="shared" si="49"/>
        <v>1</v>
      </c>
      <c r="AH88" s="172">
        <f t="shared" si="42"/>
        <v>7</v>
      </c>
      <c r="AI88" s="221">
        <f t="shared" si="43"/>
        <v>1.5024777103047102</v>
      </c>
      <c r="AJ88" s="261" t="b">
        <f t="shared" si="44"/>
        <v>0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45732</v>
      </c>
      <c r="B89" s="406">
        <f>'2024'!Wh/'2024'!Env_an*'2025'!Env_an</f>
        <v>38.497883224659716</v>
      </c>
      <c r="C89" s="385"/>
      <c r="D89" s="388">
        <f t="shared" si="25"/>
        <v>39.193417146265254</v>
      </c>
      <c r="E89" s="380">
        <f t="shared" si="47"/>
        <v>40.443251943058328</v>
      </c>
      <c r="F89" s="380">
        <f t="shared" si="26"/>
        <v>40.443251943058328</v>
      </c>
      <c r="G89" s="110">
        <f t="shared" si="48"/>
        <v>0.20501793230534934</v>
      </c>
      <c r="H89" s="409" t="b">
        <f>Wh_hp&gt;='2024'!Maxi_hp</f>
        <v>0</v>
      </c>
      <c r="I89" s="375">
        <f>IF(H89,Wh_hp,'2024'!Maxi_hp)</f>
        <v>40.446477610903443</v>
      </c>
      <c r="J89" s="85">
        <f>IF(H89,An,'2024'!An_max)</f>
        <v>2022</v>
      </c>
      <c r="K89" s="193">
        <f t="shared" si="27"/>
        <v>45732</v>
      </c>
      <c r="L89" s="143">
        <f>IF(t&lt;Tvie,1-EXP((T0-t)*PertePVj)+'2024'!Pspv,1-EXP((T0-t)*PertePVj)+Pspv)</f>
        <v>1.7746192402920302E-2</v>
      </c>
      <c r="M89" s="835"/>
      <c r="N89" s="835"/>
      <c r="O89" s="48">
        <f>IF(t&lt;Tnet,'2024'!Resal+('2024'!Salim-'2024'!Resal)*(1-EXP(('2024'!Tnet-t)/('2024'!Tau_j))),Resal+(Salim-Resal)*(1-EXP((Tnet-t)/(Tau_j))))*Salcycl</f>
        <v>3.0903419896915432E-2</v>
      </c>
      <c r="P89" s="165">
        <f>(INDEX(Models!$BJ89:$BT89,,T89)*(1-R89)+INDEX(Models!$BJ89:$BT89,,T89+1)*R89-ERP_i)*Q89*Ramure*Pc/MaxiM</f>
        <v>8.0303120164596677E-5</v>
      </c>
      <c r="Q89" s="301">
        <f t="shared" si="28"/>
        <v>0.5</v>
      </c>
      <c r="R89" s="173">
        <f t="shared" si="29"/>
        <v>0.50303391159748201</v>
      </c>
      <c r="S89" s="801">
        <f t="shared" si="30"/>
        <v>1</v>
      </c>
      <c r="T89" s="172">
        <f t="shared" si="31"/>
        <v>7</v>
      </c>
      <c r="U89" s="247">
        <f t="shared" si="32"/>
        <v>1.503033911597482</v>
      </c>
      <c r="V89" s="378">
        <f t="shared" si="33"/>
        <v>187.76304731814247</v>
      </c>
      <c r="W89" s="397">
        <f t="shared" si="34"/>
        <v>38.497883224659716</v>
      </c>
      <c r="X89" s="153">
        <f t="shared" si="35"/>
        <v>45732</v>
      </c>
      <c r="Y89" s="380">
        <f t="shared" si="36"/>
        <v>37.449038694603672</v>
      </c>
      <c r="Z89" s="380">
        <f t="shared" si="37"/>
        <v>38.125623341910483</v>
      </c>
      <c r="AA89" s="381">
        <f t="shared" si="38"/>
        <v>40.443251943058328</v>
      </c>
      <c r="AB89" s="193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5.7305693528574966E-2</v>
      </c>
      <c r="AD89" s="227">
        <f>(INDEX(Models!$BJ89:$BT89,,AH89)*(1-AF89)+INDEX(Models!$BJ89:$BT89,,AH89+1)*AF89-ERP_i)*AE89*Ramure*Pc/MaxiM</f>
        <v>8.0303120164596677E-5</v>
      </c>
      <c r="AE89" s="301">
        <f t="shared" si="40"/>
        <v>0.5</v>
      </c>
      <c r="AF89" s="173">
        <f t="shared" si="41"/>
        <v>0.50303391159748201</v>
      </c>
      <c r="AG89" s="801">
        <f t="shared" si="49"/>
        <v>1</v>
      </c>
      <c r="AH89" s="172">
        <f t="shared" si="42"/>
        <v>7</v>
      </c>
      <c r="AI89" s="221">
        <f t="shared" si="43"/>
        <v>1.503033911597482</v>
      </c>
      <c r="AJ89" s="261" t="b">
        <f t="shared" si="44"/>
        <v>0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45733</v>
      </c>
      <c r="B90" s="406">
        <f>'2024'!Wh/'2024'!Env_an*'2025'!Env_an</f>
        <v>49.446939077326107</v>
      </c>
      <c r="C90" s="385"/>
      <c r="D90" s="388">
        <f t="shared" si="25"/>
        <v>50.340976630703956</v>
      </c>
      <c r="E90" s="380">
        <f t="shared" si="47"/>
        <v>51.94924081641237</v>
      </c>
      <c r="F90" s="380">
        <f t="shared" si="26"/>
        <v>51.94924081641237</v>
      </c>
      <c r="G90" s="110">
        <f t="shared" si="48"/>
        <v>0.26157077462568668</v>
      </c>
      <c r="H90" s="409" t="b">
        <f>Wh_hp&gt;='2024'!Maxi_hp</f>
        <v>0</v>
      </c>
      <c r="I90" s="375">
        <f>IF(H90,Wh_hp,'2024'!Maxi_hp)</f>
        <v>51.95333809562544</v>
      </c>
      <c r="J90" s="85">
        <f>IF(H90,An,'2024'!An_max)</f>
        <v>2022</v>
      </c>
      <c r="K90" s="193">
        <f t="shared" si="27"/>
        <v>45733</v>
      </c>
      <c r="L90" s="143">
        <f>IF(t&lt;Tvie,1-EXP((T0-t)*PertePVj)+'2024'!Pspv,1-EXP((T0-t)*PertePVj)+Pspv)</f>
        <v>1.7759638632687147E-2</v>
      </c>
      <c r="M90" s="835"/>
      <c r="N90" s="835"/>
      <c r="O90" s="48">
        <f>IF(t&lt;Tnet,'2024'!Resal+('2024'!Salim-'2024'!Resal)*(1-EXP(('2024'!Tnet-t)/('2024'!Tau_j))),Resal+(Salim-Resal)*(1-EXP((Tnet-t)/(Tau_j))))*Salcycl</f>
        <v>3.0958377070263391E-2</v>
      </c>
      <c r="P90" s="165">
        <f>(INDEX(Models!$BJ90:$BT90,,T90)*(1-R90)+INDEX(Models!$BJ90:$BT90,,T90+1)*R90-ERP_i)*Q90*Ramure*Pc/MaxiM</f>
        <v>7.9441609848160849E-5</v>
      </c>
      <c r="Q90" s="301">
        <f t="shared" si="28"/>
        <v>0.5</v>
      </c>
      <c r="R90" s="173">
        <f t="shared" si="29"/>
        <v>0.5036120973232463</v>
      </c>
      <c r="S90" s="801">
        <f t="shared" si="30"/>
        <v>1</v>
      </c>
      <c r="T90" s="172">
        <f t="shared" si="31"/>
        <v>7</v>
      </c>
      <c r="U90" s="247">
        <f t="shared" si="32"/>
        <v>1.5036120973232463</v>
      </c>
      <c r="V90" s="378">
        <f t="shared" si="33"/>
        <v>189.02345265306391</v>
      </c>
      <c r="W90" s="397">
        <f t="shared" si="34"/>
        <v>49.446939077326107</v>
      </c>
      <c r="X90" s="153">
        <f t="shared" si="35"/>
        <v>45733</v>
      </c>
      <c r="Y90" s="380">
        <f t="shared" si="36"/>
        <v>48.101146432222698</v>
      </c>
      <c r="Z90" s="380">
        <f t="shared" si="37"/>
        <v>48.970851050413181</v>
      </c>
      <c r="AA90" s="381">
        <f t="shared" si="38"/>
        <v>51.94924081641237</v>
      </c>
      <c r="AB90" s="193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5.7332690895806643E-2</v>
      </c>
      <c r="AD90" s="227">
        <f>(INDEX(Models!$BJ90:$BT90,,AH90)*(1-AF90)+INDEX(Models!$BJ90:$BT90,,AH90+1)*AF90-ERP_i)*AE90*Ramure*Pc/MaxiM</f>
        <v>7.9441609848160849E-5</v>
      </c>
      <c r="AE90" s="301">
        <f t="shared" si="40"/>
        <v>0.5</v>
      </c>
      <c r="AF90" s="173">
        <f t="shared" si="41"/>
        <v>0.5036120973232463</v>
      </c>
      <c r="AG90" s="801">
        <f t="shared" si="49"/>
        <v>1</v>
      </c>
      <c r="AH90" s="172">
        <f t="shared" si="42"/>
        <v>7</v>
      </c>
      <c r="AI90" s="221">
        <f t="shared" si="43"/>
        <v>1.5036120973232463</v>
      </c>
      <c r="AJ90" s="261" t="b">
        <f t="shared" si="44"/>
        <v>0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45734</v>
      </c>
      <c r="B91" s="406">
        <f>'2024'!Wh/'2024'!Env_an*'2025'!Env_an</f>
        <v>52.203783675333142</v>
      </c>
      <c r="C91" s="385"/>
      <c r="D91" s="388">
        <f t="shared" si="25"/>
        <v>53.148394592954006</v>
      </c>
      <c r="E91" s="380">
        <f t="shared" si="47"/>
        <v>54.849462987760731</v>
      </c>
      <c r="F91" s="380">
        <f t="shared" si="26"/>
        <v>54.849462987760731</v>
      </c>
      <c r="G91" s="110">
        <f t="shared" si="48"/>
        <v>0.27433470588977321</v>
      </c>
      <c r="H91" s="409" t="b">
        <f>Wh_hp&gt;='2024'!Maxi_hp</f>
        <v>0</v>
      </c>
      <c r="I91" s="375">
        <f>IF(H91,Wh_hp,'2024'!Maxi_hp)</f>
        <v>54.853768261754404</v>
      </c>
      <c r="J91" s="85">
        <f>IF(H91,An,'2024'!An_max)</f>
        <v>2022</v>
      </c>
      <c r="K91" s="193">
        <f t="shared" si="27"/>
        <v>45734</v>
      </c>
      <c r="L91" s="143">
        <f>IF(t&lt;Tvie,1-EXP((T0-t)*PertePVj)+'2024'!Pspv,1-EXP((T0-t)*PertePVj)+Pspv)</f>
        <v>1.7773084678386342E-2</v>
      </c>
      <c r="M91" s="835"/>
      <c r="N91" s="835"/>
      <c r="O91" s="48">
        <f>IF(t&lt;Tnet,'2024'!Resal+('2024'!Salim-'2024'!Resal)*(1-EXP(('2024'!Tnet-t)/('2024'!Tau_j))),Resal+(Salim-Resal)*(1-EXP((Tnet-t)/(Tau_j))))*Salcycl</f>
        <v>3.1013401082637955E-2</v>
      </c>
      <c r="P91" s="165">
        <f>(INDEX(Models!$BJ91:$BT91,,T91)*(1-R91)+INDEX(Models!$BJ91:$BT91,,T91+1)*R91-ERP_i)*Q91*Ramure*Pc/MaxiM</f>
        <v>7.9093550717984396E-5</v>
      </c>
      <c r="Q91" s="301">
        <f t="shared" si="28"/>
        <v>0.5</v>
      </c>
      <c r="R91" s="173">
        <f t="shared" si="29"/>
        <v>0.50421307940187177</v>
      </c>
      <c r="S91" s="801">
        <f t="shared" si="30"/>
        <v>1</v>
      </c>
      <c r="T91" s="172">
        <f t="shared" si="31"/>
        <v>7</v>
      </c>
      <c r="U91" s="247">
        <f t="shared" si="32"/>
        <v>1.5042130794018718</v>
      </c>
      <c r="V91" s="378">
        <f t="shared" si="33"/>
        <v>190.27725465291653</v>
      </c>
      <c r="W91" s="397">
        <f t="shared" si="34"/>
        <v>52.203783675333142</v>
      </c>
      <c r="X91" s="153">
        <f t="shared" si="35"/>
        <v>45734</v>
      </c>
      <c r="Y91" s="380">
        <f t="shared" si="36"/>
        <v>50.784376722725071</v>
      </c>
      <c r="Z91" s="380">
        <f t="shared" si="37"/>
        <v>51.703303921473768</v>
      </c>
      <c r="AA91" s="381">
        <f t="shared" si="38"/>
        <v>54.849462987760731</v>
      </c>
      <c r="AB91" s="193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5.7359888226964119E-2</v>
      </c>
      <c r="AD91" s="227">
        <f>(INDEX(Models!$BJ91:$BT91,,AH91)*(1-AF91)+INDEX(Models!$BJ91:$BT91,,AH91+1)*AF91-ERP_i)*AE91*Ramure*Pc/MaxiM</f>
        <v>7.9093550717984396E-5</v>
      </c>
      <c r="AE91" s="301">
        <f t="shared" si="40"/>
        <v>0.5</v>
      </c>
      <c r="AF91" s="173">
        <f t="shared" si="41"/>
        <v>0.50421307940187177</v>
      </c>
      <c r="AG91" s="801">
        <f t="shared" si="49"/>
        <v>1</v>
      </c>
      <c r="AH91" s="172">
        <f t="shared" si="42"/>
        <v>7</v>
      </c>
      <c r="AI91" s="221">
        <f t="shared" si="43"/>
        <v>1.5042130794018718</v>
      </c>
      <c r="AJ91" s="261" t="b">
        <f t="shared" si="44"/>
        <v>0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45735</v>
      </c>
      <c r="B92" s="406">
        <f>'2024'!Wh/'2024'!Env_an*'2025'!Env_an</f>
        <v>118.63547769567676</v>
      </c>
      <c r="C92" s="385"/>
      <c r="D92" s="388">
        <f t="shared" si="25"/>
        <v>120.78380248735795</v>
      </c>
      <c r="E92" s="380">
        <f t="shared" si="47"/>
        <v>124.65669964363428</v>
      </c>
      <c r="F92" s="380">
        <f t="shared" si="26"/>
        <v>124.66120785776513</v>
      </c>
      <c r="G92" s="110">
        <f t="shared" si="48"/>
        <v>0.61939917896913921</v>
      </c>
      <c r="H92" s="409" t="b">
        <f>Wh_hp&gt;='2024'!Maxi_hp</f>
        <v>0</v>
      </c>
      <c r="I92" s="375">
        <f>IF(H92,Wh_hp,'2024'!Maxi_hp)</f>
        <v>124.66653595524753</v>
      </c>
      <c r="J92" s="85">
        <f>IF(H92,An,'2024'!An_max)</f>
        <v>2022</v>
      </c>
      <c r="K92" s="193">
        <f t="shared" si="27"/>
        <v>45735</v>
      </c>
      <c r="L92" s="143">
        <f>IF(t&lt;Tvie,1-EXP((T0-t)*PertePVj)+'2024'!Pspv,1-EXP((T0-t)*PertePVj)+Pspv)</f>
        <v>1.778653054002044E-2</v>
      </c>
      <c r="M92" s="835"/>
      <c r="N92" s="835"/>
      <c r="O92" s="48">
        <f>IF(t&lt;Tnet,'2024'!Resal+('2024'!Salim-'2024'!Resal)*(1-EXP(('2024'!Tnet-t)/('2024'!Tau_j))),Resal+(Salim-Resal)*(1-EXP((Tnet-t)/(Tau_j))))*Salcycl</f>
        <v>3.1068503877834799E-2</v>
      </c>
      <c r="P92" s="165">
        <f>(INDEX(Models!$BJ92:$BT92,,T92)*(1-R92)+INDEX(Models!$BJ92:$BT92,,T92+1)*R92-ERP_i)*Q92*Ramure*Pc/MaxiM</f>
        <v>7.9250344840076621E-5</v>
      </c>
      <c r="Q92" s="301">
        <f t="shared" si="28"/>
        <v>0.5</v>
      </c>
      <c r="R92" s="173">
        <f t="shared" si="29"/>
        <v>0.50483769501607823</v>
      </c>
      <c r="S92" s="801">
        <f t="shared" si="30"/>
        <v>1</v>
      </c>
      <c r="T92" s="172">
        <f t="shared" si="31"/>
        <v>7</v>
      </c>
      <c r="U92" s="247">
        <f t="shared" si="32"/>
        <v>1.5048376950160782</v>
      </c>
      <c r="V92" s="378">
        <f t="shared" si="33"/>
        <v>191.52490015726519</v>
      </c>
      <c r="W92" s="397">
        <f t="shared" si="34"/>
        <v>118.63547769567676</v>
      </c>
      <c r="X92" s="153">
        <f t="shared" si="35"/>
        <v>45735</v>
      </c>
      <c r="Y92" s="380">
        <f t="shared" si="36"/>
        <v>115.41301692425361</v>
      </c>
      <c r="Z92" s="380">
        <f t="shared" si="37"/>
        <v>117.50298739815452</v>
      </c>
      <c r="AA92" s="381">
        <f t="shared" si="38"/>
        <v>124.65669964363428</v>
      </c>
      <c r="AB92" s="193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5.7387306626363752E-2</v>
      </c>
      <c r="AD92" s="227">
        <f>(INDEX(Models!$BJ92:$BT92,,AH92)*(1-AF92)+INDEX(Models!$BJ92:$BT92,,AH92+1)*AF92-ERP_i)*AE92*Ramure*Pc/MaxiM</f>
        <v>7.9250344840076621E-5</v>
      </c>
      <c r="AE92" s="301">
        <f t="shared" si="40"/>
        <v>0.5</v>
      </c>
      <c r="AF92" s="173">
        <f t="shared" si="41"/>
        <v>0.50483769501607823</v>
      </c>
      <c r="AG92" s="801">
        <f t="shared" si="49"/>
        <v>1</v>
      </c>
      <c r="AH92" s="172">
        <f t="shared" si="42"/>
        <v>7</v>
      </c>
      <c r="AI92" s="221">
        <f t="shared" si="43"/>
        <v>1.5048376950160782</v>
      </c>
      <c r="AJ92" s="261" t="b">
        <f t="shared" si="44"/>
        <v>0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45736</v>
      </c>
      <c r="B93" s="406">
        <f>'2024'!Wh/'2024'!Env_an*'2025'!Env_an</f>
        <v>126.71117599253411</v>
      </c>
      <c r="C93" s="385"/>
      <c r="D93" s="388">
        <f t="shared" si="25"/>
        <v>129.00750654085215</v>
      </c>
      <c r="E93" s="380">
        <f t="shared" si="47"/>
        <v>133.15167914921648</v>
      </c>
      <c r="F93" s="380">
        <f t="shared" si="26"/>
        <v>133.15710994603967</v>
      </c>
      <c r="G93" s="110">
        <f t="shared" si="48"/>
        <v>0.65728229094708635</v>
      </c>
      <c r="H93" s="409" t="b">
        <f>Wh_hp&gt;='2024'!Maxi_hp</f>
        <v>0</v>
      </c>
      <c r="I93" s="375">
        <f>IF(H93,Wh_hp,'2024'!Maxi_hp)</f>
        <v>133.16227442268254</v>
      </c>
      <c r="J93" s="85">
        <f>IF(H93,An,'2024'!An_max)</f>
        <v>2022</v>
      </c>
      <c r="K93" s="193">
        <f t="shared" si="27"/>
        <v>45736</v>
      </c>
      <c r="L93" s="143">
        <f>IF(t&lt;Tvie,1-EXP((T0-t)*PertePVj)+'2024'!Pspv,1-EXP((T0-t)*PertePVj)+Pspv)</f>
        <v>1.7799976217592106E-2</v>
      </c>
      <c r="M93" s="835"/>
      <c r="N93" s="835"/>
      <c r="O93" s="48">
        <f>IF(t&lt;Tnet,'2024'!Resal+('2024'!Salim-'2024'!Resal)*(1-EXP(('2024'!Tnet-t)/('2024'!Tau_j))),Resal+(Salim-Resal)*(1-EXP((Tnet-t)/(Tau_j))))*Salcycl</f>
        <v>3.1123697687057677E-2</v>
      </c>
      <c r="P93" s="165">
        <f>(INDEX(Models!$BJ93:$BT93,,T93)*(1-R93)+INDEX(Models!$BJ93:$BT93,,T93+1)*R93-ERP_i)*Q93*Ramure*Pc/MaxiM</f>
        <v>7.9901418649387353E-5</v>
      </c>
      <c r="Q93" s="301">
        <f t="shared" si="28"/>
        <v>0.5</v>
      </c>
      <c r="R93" s="173">
        <f t="shared" si="29"/>
        <v>0.50548680699869974</v>
      </c>
      <c r="S93" s="801">
        <f t="shared" si="30"/>
        <v>1</v>
      </c>
      <c r="T93" s="172">
        <f t="shared" si="31"/>
        <v>7</v>
      </c>
      <c r="U93" s="247">
        <f t="shared" si="32"/>
        <v>1.5054868069986997</v>
      </c>
      <c r="V93" s="378">
        <f t="shared" si="33"/>
        <v>192.7729090422614</v>
      </c>
      <c r="W93" s="397">
        <f t="shared" si="34"/>
        <v>126.71117599253411</v>
      </c>
      <c r="X93" s="153">
        <f t="shared" si="35"/>
        <v>45736</v>
      </c>
      <c r="Y93" s="380">
        <f t="shared" si="36"/>
        <v>123.27276210628438</v>
      </c>
      <c r="Z93" s="380">
        <f t="shared" si="37"/>
        <v>125.50677980190486</v>
      </c>
      <c r="AA93" s="381">
        <f t="shared" si="38"/>
        <v>133.15167914921648</v>
      </c>
      <c r="AB93" s="193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5.7414967623084616E-2</v>
      </c>
      <c r="AD93" s="227">
        <f>(INDEX(Models!$BJ93:$BT93,,AH93)*(1-AF93)+INDEX(Models!$BJ93:$BT93,,AH93+1)*AF93-ERP_i)*AE93*Ramure*Pc/MaxiM</f>
        <v>7.9901418649387353E-5</v>
      </c>
      <c r="AE93" s="301">
        <f t="shared" si="40"/>
        <v>0.5</v>
      </c>
      <c r="AF93" s="173">
        <f t="shared" si="41"/>
        <v>0.50548680699869974</v>
      </c>
      <c r="AG93" s="801">
        <f t="shared" si="49"/>
        <v>1</v>
      </c>
      <c r="AH93" s="172">
        <f t="shared" si="42"/>
        <v>7</v>
      </c>
      <c r="AI93" s="221">
        <f t="shared" si="43"/>
        <v>1.5054868069986997</v>
      </c>
      <c r="AJ93" s="261" t="b">
        <f t="shared" si="44"/>
        <v>0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45737</v>
      </c>
      <c r="B94" s="406">
        <f>'2024'!Wh/'2024'!Env_an*'2025'!Env_an</f>
        <v>182.60994851002806</v>
      </c>
      <c r="C94" s="385"/>
      <c r="D94" s="388">
        <f t="shared" si="25"/>
        <v>185.92185288070178</v>
      </c>
      <c r="E94" s="380">
        <f t="shared" si="47"/>
        <v>191.90526621501445</v>
      </c>
      <c r="F94" s="380">
        <f t="shared" si="26"/>
        <v>191.91949610061914</v>
      </c>
      <c r="G94" s="110">
        <f t="shared" si="48"/>
        <v>0.94115923137043223</v>
      </c>
      <c r="H94" s="409" t="b">
        <f>Wh_hp&gt;='2024'!Maxi_hp</f>
        <v>0</v>
      </c>
      <c r="I94" s="375">
        <f>IF(H94,Wh_hp,'2024'!Maxi_hp)</f>
        <v>191.92079017384989</v>
      </c>
      <c r="J94" s="85">
        <f>IF(H94,An,'2024'!An_max)</f>
        <v>2022</v>
      </c>
      <c r="K94" s="193">
        <f t="shared" si="27"/>
        <v>45737</v>
      </c>
      <c r="L94" s="143">
        <f>IF(t&lt;Tvie,1-EXP((T0-t)*PertePVj)+'2024'!Pspv,1-EXP((T0-t)*PertePVj)+Pspv)</f>
        <v>1.7813421711103672E-2</v>
      </c>
      <c r="M94" s="835"/>
      <c r="N94" s="835"/>
      <c r="O94" s="48">
        <f>IF(t&lt;Tnet,'2024'!Resal+('2024'!Salim-'2024'!Resal)*(1-EXP(('2024'!Tnet-t)/('2024'!Tau_j))),Resal+(Salim-Resal)*(1-EXP((Tnet-t)/(Tau_j))))*Salcycl</f>
        <v>3.1178994992293513E-2</v>
      </c>
      <c r="P94" s="165">
        <f>(INDEX(Models!$BJ94:$BT94,,T94)*(1-R94)+INDEX(Models!$BJ94:$BT94,,T94+1)*R94-ERP_i)*Q94*Ramure*Pc/MaxiM</f>
        <v>8.0948744407356339E-5</v>
      </c>
      <c r="Q94" s="301">
        <f t="shared" si="28"/>
        <v>0.5</v>
      </c>
      <c r="R94" s="173">
        <f t="shared" si="29"/>
        <v>0.50616130418840011</v>
      </c>
      <c r="S94" s="801">
        <f t="shared" si="30"/>
        <v>1</v>
      </c>
      <c r="T94" s="172">
        <f t="shared" si="31"/>
        <v>7</v>
      </c>
      <c r="U94" s="247">
        <f t="shared" si="32"/>
        <v>1.5061613041884001</v>
      </c>
      <c r="V94" s="378">
        <f t="shared" si="33"/>
        <v>194.02530402262261</v>
      </c>
      <c r="W94" s="397">
        <f t="shared" si="34"/>
        <v>182.60994851002806</v>
      </c>
      <c r="X94" s="153">
        <f t="shared" si="35"/>
        <v>45737</v>
      </c>
      <c r="Y94" s="380">
        <f t="shared" si="36"/>
        <v>177.65955100980514</v>
      </c>
      <c r="Z94" s="380">
        <f t="shared" si="37"/>
        <v>180.88167252225381</v>
      </c>
      <c r="AA94" s="381">
        <f t="shared" si="38"/>
        <v>191.90526621501445</v>
      </c>
      <c r="AB94" s="193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5.7442893101274137E-2</v>
      </c>
      <c r="AD94" s="227">
        <f>(INDEX(Models!$BJ94:$BT94,,AH94)*(1-AF94)+INDEX(Models!$BJ94:$BT94,,AH94+1)*AF94-ERP_i)*AE94*Ramure*Pc/MaxiM</f>
        <v>8.0948744407356339E-5</v>
      </c>
      <c r="AE94" s="301">
        <f t="shared" si="40"/>
        <v>0.5</v>
      </c>
      <c r="AF94" s="173">
        <f t="shared" si="41"/>
        <v>0.50616130418840011</v>
      </c>
      <c r="AG94" s="801">
        <f t="shared" si="49"/>
        <v>1</v>
      </c>
      <c r="AH94" s="172">
        <f t="shared" si="42"/>
        <v>7</v>
      </c>
      <c r="AI94" s="221">
        <f t="shared" si="43"/>
        <v>1.5061613041884001</v>
      </c>
      <c r="AJ94" s="261" t="b">
        <f t="shared" si="44"/>
        <v>0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45738</v>
      </c>
      <c r="B95" s="406">
        <f>'2024'!Wh/'2024'!Env_an*'2025'!Env_an</f>
        <v>162.5860361728208</v>
      </c>
      <c r="C95" s="385"/>
      <c r="D95" s="388">
        <f t="shared" si="25"/>
        <v>165.53704302581841</v>
      </c>
      <c r="E95" s="380">
        <f t="shared" si="47"/>
        <v>170.87419751120336</v>
      </c>
      <c r="F95" s="380">
        <f t="shared" si="26"/>
        <v>170.88486234762215</v>
      </c>
      <c r="G95" s="110">
        <f t="shared" si="48"/>
        <v>0.83256769507142314</v>
      </c>
      <c r="H95" s="409" t="b">
        <f>Wh_hp&gt;='2024'!Maxi_hp</f>
        <v>0</v>
      </c>
      <c r="I95" s="375">
        <f>IF(H95,Wh_hp,'2024'!Maxi_hp)</f>
        <v>170.88818318875792</v>
      </c>
      <c r="J95" s="85">
        <f>IF(H95,An,'2024'!An_max)</f>
        <v>2022</v>
      </c>
      <c r="K95" s="193">
        <f t="shared" si="27"/>
        <v>45738</v>
      </c>
      <c r="L95" s="143">
        <f>IF(t&lt;Tvie,1-EXP((T0-t)*PertePVj)+'2024'!Pspv,1-EXP((T0-t)*PertePVj)+Pspv)</f>
        <v>1.7826867020557691E-2</v>
      </c>
      <c r="M95" s="835"/>
      <c r="N95" s="835"/>
      <c r="O95" s="48">
        <f>IF(t&lt;Tnet,'2024'!Resal+('2024'!Salim-'2024'!Resal)*(1-EXP(('2024'!Tnet-t)/('2024'!Tau_j))),Resal+(Salim-Resal)*(1-EXP((Tnet-t)/(Tau_j))))*Salcycl</f>
        <v>3.1234408489526563E-2</v>
      </c>
      <c r="P95" s="165">
        <f>(INDEX(Models!$BJ95:$BT95,,T95)*(1-R95)+INDEX(Models!$BJ95:$BT95,,T95+1)*R95-ERP_i)*Q95*Ramure*Pc/MaxiM</f>
        <v>8.2027694645365581E-5</v>
      </c>
      <c r="Q95" s="301">
        <f t="shared" si="28"/>
        <v>0.5</v>
      </c>
      <c r="R95" s="173">
        <f t="shared" si="29"/>
        <v>0.50686210174957469</v>
      </c>
      <c r="S95" s="801">
        <f t="shared" si="30"/>
        <v>1</v>
      </c>
      <c r="T95" s="172">
        <f t="shared" si="31"/>
        <v>7</v>
      </c>
      <c r="U95" s="247">
        <f t="shared" si="32"/>
        <v>1.5068621017495747</v>
      </c>
      <c r="V95" s="378">
        <f t="shared" si="33"/>
        <v>195.27883112617172</v>
      </c>
      <c r="W95" s="397">
        <f t="shared" si="34"/>
        <v>162.5860361728208</v>
      </c>
      <c r="X95" s="153">
        <f t="shared" si="35"/>
        <v>45738</v>
      </c>
      <c r="Y95" s="380">
        <f t="shared" si="36"/>
        <v>158.18278262748581</v>
      </c>
      <c r="Z95" s="380">
        <f t="shared" si="37"/>
        <v>161.05386852482422</v>
      </c>
      <c r="AA95" s="381">
        <f t="shared" si="38"/>
        <v>170.87419751120336</v>
      </c>
      <c r="AB95" s="193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5.747110523070801E-2</v>
      </c>
      <c r="AD95" s="227">
        <f>(INDEX(Models!$BJ95:$BT95,,AH95)*(1-AF95)+INDEX(Models!$BJ95:$BT95,,AH95+1)*AF95-ERP_i)*AE95*Ramure*Pc/MaxiM</f>
        <v>8.2027694645365581E-5</v>
      </c>
      <c r="AE95" s="301">
        <f t="shared" si="40"/>
        <v>0.5</v>
      </c>
      <c r="AF95" s="173">
        <f t="shared" si="41"/>
        <v>0.50686210174957469</v>
      </c>
      <c r="AG95" s="801">
        <f t="shared" si="49"/>
        <v>1</v>
      </c>
      <c r="AH95" s="172">
        <f t="shared" si="42"/>
        <v>7</v>
      </c>
      <c r="AI95" s="221">
        <f t="shared" si="43"/>
        <v>1.5068621017495747</v>
      </c>
      <c r="AJ95" s="261" t="b">
        <f t="shared" si="44"/>
        <v>0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45739</v>
      </c>
      <c r="B96" s="406">
        <f>'2024'!Wh/'2024'!Env_an*'2025'!Env_an</f>
        <v>194.61860408118653</v>
      </c>
      <c r="C96" s="385"/>
      <c r="D96" s="388">
        <f t="shared" si="25"/>
        <v>198.1537284496128</v>
      </c>
      <c r="E96" s="380">
        <f t="shared" si="47"/>
        <v>204.55421998028268</v>
      </c>
      <c r="F96" s="380">
        <f t="shared" si="26"/>
        <v>204.57099169939428</v>
      </c>
      <c r="G96" s="110">
        <f t="shared" si="48"/>
        <v>0.99027229340398426</v>
      </c>
      <c r="H96" s="409" t="b">
        <f>Wh_hp&gt;='2024'!Maxi_hp</f>
        <v>0</v>
      </c>
      <c r="I96" s="375">
        <f>IF(H96,Wh_hp,'2024'!Maxi_hp)</f>
        <v>204.57122568175365</v>
      </c>
      <c r="J96" s="85">
        <f>IF(H96,An,'2024'!An_max)</f>
        <v>2022</v>
      </c>
      <c r="K96" s="193">
        <f t="shared" si="27"/>
        <v>45739</v>
      </c>
      <c r="L96" s="143">
        <f>IF(t&lt;Tvie,1-EXP((T0-t)*PertePVj)+'2024'!Pspv,1-EXP((T0-t)*PertePVj)+Pspv)</f>
        <v>1.7840312145956827E-2</v>
      </c>
      <c r="M96" s="835"/>
      <c r="N96" s="835"/>
      <c r="O96" s="48">
        <f>IF(t&lt;Tnet,'2024'!Resal+('2024'!Salim-'2024'!Resal)*(1-EXP(('2024'!Tnet-t)/('2024'!Tau_j))),Resal+(Salim-Resal)*(1-EXP((Tnet-t)/(Tau_j))))*Salcycl</f>
        <v>3.1289951052033263E-2</v>
      </c>
      <c r="P96" s="165">
        <f>(INDEX(Models!$BJ96:$BT96,,T96)*(1-R96)+INDEX(Models!$BJ96:$BT96,,T96+1)*R96-ERP_i)*Q96*Ramure*Pc/MaxiM</f>
        <v>8.3140074299977649E-5</v>
      </c>
      <c r="Q96" s="301">
        <f t="shared" si="28"/>
        <v>0.5</v>
      </c>
      <c r="R96" s="173">
        <f t="shared" si="29"/>
        <v>0.50759014145186931</v>
      </c>
      <c r="S96" s="801">
        <f t="shared" si="30"/>
        <v>1</v>
      </c>
      <c r="T96" s="172">
        <f t="shared" si="31"/>
        <v>7</v>
      </c>
      <c r="U96" s="247">
        <f t="shared" si="32"/>
        <v>1.5075901414518693</v>
      </c>
      <c r="V96" s="378">
        <f t="shared" si="33"/>
        <v>196.53016703397068</v>
      </c>
      <c r="W96" s="397">
        <f t="shared" si="34"/>
        <v>194.61860408118653</v>
      </c>
      <c r="X96" s="153">
        <f t="shared" si="35"/>
        <v>45739</v>
      </c>
      <c r="Y96" s="380">
        <f t="shared" si="36"/>
        <v>189.35295164493797</v>
      </c>
      <c r="Z96" s="380">
        <f t="shared" si="37"/>
        <v>192.79242875327353</v>
      </c>
      <c r="AA96" s="381">
        <f t="shared" si="38"/>
        <v>204.55421998028268</v>
      </c>
      <c r="AB96" s="193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5.7499626398041945E-2</v>
      </c>
      <c r="AD96" s="227">
        <f>(INDEX(Models!$BJ96:$BT96,,AH96)*(1-AF96)+INDEX(Models!$BJ96:$BT96,,AH96+1)*AF96-ERP_i)*AE96*Ramure*Pc/MaxiM</f>
        <v>8.3140074299977649E-5</v>
      </c>
      <c r="AE96" s="301">
        <f t="shared" si="40"/>
        <v>0.5</v>
      </c>
      <c r="AF96" s="173">
        <f t="shared" si="41"/>
        <v>0.50759014145186931</v>
      </c>
      <c r="AG96" s="801">
        <f t="shared" si="49"/>
        <v>1</v>
      </c>
      <c r="AH96" s="172">
        <f t="shared" si="42"/>
        <v>7</v>
      </c>
      <c r="AI96" s="221">
        <f t="shared" si="43"/>
        <v>1.5075901414518693</v>
      </c>
      <c r="AJ96" s="261" t="b">
        <f t="shared" si="44"/>
        <v>0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45740</v>
      </c>
      <c r="B97" s="406">
        <f>'2024'!Wh/'2024'!Env_an*'2025'!Env_an</f>
        <v>192.99641818030304</v>
      </c>
      <c r="C97" s="385"/>
      <c r="D97" s="388">
        <f t="shared" si="25"/>
        <v>196.50476654876189</v>
      </c>
      <c r="E97" s="380">
        <f t="shared" si="47"/>
        <v>202.86365683134542</v>
      </c>
      <c r="F97" s="380">
        <f t="shared" si="26"/>
        <v>202.88016678387996</v>
      </c>
      <c r="G97" s="110">
        <f t="shared" si="48"/>
        <v>0.97583057094123282</v>
      </c>
      <c r="H97" s="409" t="b">
        <f>Wh_hp&gt;='2024'!Maxi_hp</f>
        <v>0</v>
      </c>
      <c r="I97" s="375">
        <f>IF(H97,Wh_hp,'2024'!Maxi_hp)</f>
        <v>202.880750987478</v>
      </c>
      <c r="J97" s="85">
        <f>IF(H97,An,'2024'!An_max)</f>
        <v>2022</v>
      </c>
      <c r="K97" s="193">
        <f t="shared" si="27"/>
        <v>45740</v>
      </c>
      <c r="L97" s="143">
        <f>IF(t&lt;Tvie,1-EXP((T0-t)*PertePVj)+'2024'!Pspv,1-EXP((T0-t)*PertePVj)+Pspv)</f>
        <v>1.7853757087303412E-2</v>
      </c>
      <c r="M97" s="835"/>
      <c r="N97" s="835"/>
      <c r="O97" s="48">
        <f>IF(t&lt;Tnet,'2024'!Resal+('2024'!Salim-'2024'!Resal)*(1-EXP(('2024'!Tnet-t)/('2024'!Tau_j))),Resal+(Salim-Resal)*(1-EXP((Tnet-t)/(Tau_j))))*Salcycl</f>
        <v>3.1345635693978004E-2</v>
      </c>
      <c r="P97" s="165">
        <f>(INDEX(Models!$BJ97:$BT97,,T97)*(1-R97)+INDEX(Models!$BJ97:$BT97,,T97+1)*R97-ERP_i)*Q97*Ramure*Pc/MaxiM</f>
        <v>8.4287779641163614E-5</v>
      </c>
      <c r="Q97" s="301">
        <f t="shared" si="28"/>
        <v>0.5</v>
      </c>
      <c r="R97" s="173">
        <f t="shared" si="29"/>
        <v>0.5083463919044291</v>
      </c>
      <c r="S97" s="801">
        <f t="shared" si="30"/>
        <v>1</v>
      </c>
      <c r="T97" s="172">
        <f t="shared" si="31"/>
        <v>7</v>
      </c>
      <c r="U97" s="247">
        <f t="shared" si="32"/>
        <v>1.5083463919044291</v>
      </c>
      <c r="V97" s="378">
        <f t="shared" si="33"/>
        <v>197.77598927154253</v>
      </c>
      <c r="W97" s="397">
        <f t="shared" si="34"/>
        <v>192.99641818030304</v>
      </c>
      <c r="X97" s="153">
        <f t="shared" si="35"/>
        <v>45740</v>
      </c>
      <c r="Y97" s="380">
        <f t="shared" si="36"/>
        <v>187.77970188923041</v>
      </c>
      <c r="Z97" s="380">
        <f t="shared" si="37"/>
        <v>191.19321918123168</v>
      </c>
      <c r="AA97" s="381">
        <f t="shared" si="38"/>
        <v>202.86365683134542</v>
      </c>
      <c r="AB97" s="193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5.7528479139149942E-2</v>
      </c>
      <c r="AD97" s="227">
        <f>(INDEX(Models!$BJ97:$BT97,,AH97)*(1-AF97)+INDEX(Models!$BJ97:$BT97,,AH97+1)*AF97-ERP_i)*AE97*Ramure*Pc/MaxiM</f>
        <v>8.4287779641163614E-5</v>
      </c>
      <c r="AE97" s="301">
        <f t="shared" si="40"/>
        <v>0.5</v>
      </c>
      <c r="AF97" s="173">
        <f t="shared" si="41"/>
        <v>0.5083463919044291</v>
      </c>
      <c r="AG97" s="801">
        <f t="shared" si="49"/>
        <v>1</v>
      </c>
      <c r="AH97" s="172">
        <f t="shared" si="42"/>
        <v>7</v>
      </c>
      <c r="AI97" s="221">
        <f t="shared" si="43"/>
        <v>1.5083463919044291</v>
      </c>
      <c r="AJ97" s="261" t="b">
        <f t="shared" si="44"/>
        <v>0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45741</v>
      </c>
      <c r="B98" s="406">
        <f>'2024'!Wh/'2024'!Env_an*'2025'!Env_an</f>
        <v>164.42731043400266</v>
      </c>
      <c r="C98" s="385"/>
      <c r="D98" s="388">
        <f t="shared" si="25"/>
        <v>167.41861257746714</v>
      </c>
      <c r="E98" s="380">
        <f t="shared" si="47"/>
        <v>172.84623953960144</v>
      </c>
      <c r="F98" s="380">
        <f t="shared" si="26"/>
        <v>172.85734611474618</v>
      </c>
      <c r="G98" s="110">
        <f t="shared" si="48"/>
        <v>0.82619648330908602</v>
      </c>
      <c r="H98" s="409" t="b">
        <f>Wh_hp&gt;='2024'!Maxi_hp</f>
        <v>0</v>
      </c>
      <c r="I98" s="375">
        <f>IF(H98,Wh_hp,'2024'!Maxi_hp)</f>
        <v>172.86097391722259</v>
      </c>
      <c r="J98" s="85">
        <f>IF(H98,An,'2024'!An_max)</f>
        <v>2022</v>
      </c>
      <c r="K98" s="193">
        <f t="shared" si="27"/>
        <v>45741</v>
      </c>
      <c r="L98" s="143">
        <f>IF(t&lt;Tvie,1-EXP((T0-t)*PertePVj)+'2024'!Pspv,1-EXP((T0-t)*PertePVj)+Pspv)</f>
        <v>1.78672018446E-2</v>
      </c>
      <c r="M98" s="835"/>
      <c r="N98" s="835"/>
      <c r="O98" s="48">
        <f>IF(t&lt;Tnet,'2024'!Resal+('2024'!Salim-'2024'!Resal)*(1-EXP(('2024'!Tnet-t)/('2024'!Tau_j))),Resal+(Salim-Resal)*(1-EXP((Tnet-t)/(Tau_j))))*Salcycl</f>
        <v>3.1401475534506791E-2</v>
      </c>
      <c r="P98" s="165">
        <f>(INDEX(Models!$BJ98:$BT98,,T98)*(1-R98)+INDEX(Models!$BJ98:$BT98,,T98+1)*R98-ERP_i)*Q98*Ramure*Pc/MaxiM</f>
        <v>8.547280294835361E-5</v>
      </c>
      <c r="Q98" s="301">
        <f t="shared" si="28"/>
        <v>0.5</v>
      </c>
      <c r="R98" s="173">
        <f t="shared" si="29"/>
        <v>0.50913184873967632</v>
      </c>
      <c r="S98" s="801">
        <f t="shared" si="30"/>
        <v>1</v>
      </c>
      <c r="T98" s="172">
        <f t="shared" si="31"/>
        <v>7</v>
      </c>
      <c r="U98" s="247">
        <f t="shared" si="32"/>
        <v>1.5091318487396763</v>
      </c>
      <c r="V98" s="378">
        <f t="shared" si="33"/>
        <v>199.01297619855438</v>
      </c>
      <c r="W98" s="397">
        <f t="shared" si="34"/>
        <v>164.42731043400266</v>
      </c>
      <c r="X98" s="153">
        <f t="shared" si="35"/>
        <v>45741</v>
      </c>
      <c r="Y98" s="380">
        <f t="shared" si="36"/>
        <v>159.98708546840476</v>
      </c>
      <c r="Z98" s="380">
        <f t="shared" si="37"/>
        <v>162.89760994530036</v>
      </c>
      <c r="AA98" s="381">
        <f t="shared" si="38"/>
        <v>172.84623953960144</v>
      </c>
      <c r="AB98" s="193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5.7557686072896644E-2</v>
      </c>
      <c r="AD98" s="227">
        <f>(INDEX(Models!$BJ98:$BT98,,AH98)*(1-AF98)+INDEX(Models!$BJ98:$BT98,,AH98+1)*AF98-ERP_i)*AE98*Ramure*Pc/MaxiM</f>
        <v>8.547280294835361E-5</v>
      </c>
      <c r="AE98" s="301">
        <f t="shared" si="40"/>
        <v>0.5</v>
      </c>
      <c r="AF98" s="173">
        <f t="shared" si="41"/>
        <v>0.50913184873967632</v>
      </c>
      <c r="AG98" s="801">
        <f t="shared" si="49"/>
        <v>1</v>
      </c>
      <c r="AH98" s="172">
        <f t="shared" si="42"/>
        <v>7</v>
      </c>
      <c r="AI98" s="221">
        <f t="shared" si="43"/>
        <v>1.5091318487396763</v>
      </c>
      <c r="AJ98" s="261" t="b">
        <f t="shared" si="44"/>
        <v>0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45742</v>
      </c>
      <c r="B99" s="406">
        <f>'2024'!Wh/'2024'!Env_an*'2025'!Env_an</f>
        <v>181.292154177318</v>
      </c>
      <c r="C99" s="385"/>
      <c r="D99" s="388">
        <f t="shared" si="25"/>
        <v>184.59279263368424</v>
      </c>
      <c r="E99" s="380">
        <f t="shared" si="47"/>
        <v>190.58821841995584</v>
      </c>
      <c r="F99" s="380">
        <f t="shared" si="26"/>
        <v>190.60250956224303</v>
      </c>
      <c r="G99" s="110">
        <f t="shared" si="48"/>
        <v>0.90537362661615406</v>
      </c>
      <c r="H99" s="409" t="b">
        <f>Wh_hp&gt;='2024'!Maxi_hp</f>
        <v>0</v>
      </c>
      <c r="I99" s="375">
        <f>IF(H99,Wh_hp,'2024'!Maxi_hp)</f>
        <v>190.60471742459274</v>
      </c>
      <c r="J99" s="85">
        <f>IF(H99,An,'2024'!An_max)</f>
        <v>2022</v>
      </c>
      <c r="K99" s="193">
        <f t="shared" si="27"/>
        <v>45742</v>
      </c>
      <c r="L99" s="143">
        <f>IF(t&lt;Tvie,1-EXP((T0-t)*PertePVj)+'2024'!Pspv,1-EXP((T0-t)*PertePVj)+Pspv)</f>
        <v>1.7880646417849144E-2</v>
      </c>
      <c r="M99" s="835"/>
      <c r="N99" s="835"/>
      <c r="O99" s="48">
        <f>IF(t&lt;Tnet,'2024'!Resal+('2024'!Salim-'2024'!Resal)*(1-EXP(('2024'!Tnet-t)/('2024'!Tau_j))),Resal+(Salim-Resal)*(1-EXP((Tnet-t)/(Tau_j))))*Salcycl</f>
        <v>3.1457483762510632E-2</v>
      </c>
      <c r="P99" s="165">
        <f>(INDEX(Models!$BJ99:$BT99,,T99)*(1-R99)+INDEX(Models!$BJ99:$BT99,,T99+1)*R99-ERP_i)*Q99*Ramure*Pc/MaxiM</f>
        <v>8.6697237626696545E-5</v>
      </c>
      <c r="Q99" s="301">
        <f t="shared" si="28"/>
        <v>0.5</v>
      </c>
      <c r="R99" s="173">
        <f t="shared" si="29"/>
        <v>0.50994753474108001</v>
      </c>
      <c r="S99" s="801">
        <f t="shared" si="30"/>
        <v>1</v>
      </c>
      <c r="T99" s="172">
        <f t="shared" si="31"/>
        <v>7</v>
      </c>
      <c r="U99" s="247">
        <f t="shared" si="32"/>
        <v>1.50994753474108</v>
      </c>
      <c r="V99" s="378">
        <f t="shared" si="33"/>
        <v>200.23780704755484</v>
      </c>
      <c r="W99" s="397">
        <f t="shared" si="34"/>
        <v>181.292154177318</v>
      </c>
      <c r="X99" s="153">
        <f t="shared" si="35"/>
        <v>45742</v>
      </c>
      <c r="Y99" s="380">
        <f t="shared" si="36"/>
        <v>176.40117094616969</v>
      </c>
      <c r="Z99" s="380">
        <f t="shared" si="37"/>
        <v>179.61276325812099</v>
      </c>
      <c r="AA99" s="381">
        <f t="shared" si="38"/>
        <v>190.58821841995584</v>
      </c>
      <c r="AB99" s="193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5.7587269836641898E-2</v>
      </c>
      <c r="AD99" s="227">
        <f>(INDEX(Models!$BJ99:$BT99,,AH99)*(1-AF99)+INDEX(Models!$BJ99:$BT99,,AH99+1)*AF99-ERP_i)*AE99*Ramure*Pc/MaxiM</f>
        <v>8.6697237626696545E-5</v>
      </c>
      <c r="AE99" s="301">
        <f t="shared" si="40"/>
        <v>0.5</v>
      </c>
      <c r="AF99" s="173">
        <f t="shared" si="41"/>
        <v>0.50994753474108001</v>
      </c>
      <c r="AG99" s="801">
        <f t="shared" si="49"/>
        <v>1</v>
      </c>
      <c r="AH99" s="172">
        <f t="shared" si="42"/>
        <v>7</v>
      </c>
      <c r="AI99" s="221">
        <f t="shared" si="43"/>
        <v>1.50994753474108</v>
      </c>
      <c r="AJ99" s="261" t="b">
        <f t="shared" si="44"/>
        <v>0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45743</v>
      </c>
      <c r="B100" s="406">
        <f>'2024'!Wh/'2024'!Env_an*'2025'!Env_an</f>
        <v>183.2640505159394</v>
      </c>
      <c r="C100" s="385"/>
      <c r="D100" s="388">
        <f t="shared" si="25"/>
        <v>186.60314412173543</v>
      </c>
      <c r="E100" s="380">
        <f t="shared" si="47"/>
        <v>192.67504252309897</v>
      </c>
      <c r="F100" s="380">
        <f t="shared" si="26"/>
        <v>192.68981339120273</v>
      </c>
      <c r="G100" s="110">
        <f t="shared" si="48"/>
        <v>0.90972727755148275</v>
      </c>
      <c r="H100" s="409" t="b">
        <f>Wh_hp&gt;='2024'!Maxi_hp</f>
        <v>0</v>
      </c>
      <c r="I100" s="375">
        <f>IF(H100,Wh_hp,'2024'!Maxi_hp)</f>
        <v>192.69197360418002</v>
      </c>
      <c r="J100" s="85">
        <f>IF(H100,An,'2024'!An_max)</f>
        <v>2022</v>
      </c>
      <c r="K100" s="193">
        <f t="shared" si="27"/>
        <v>45743</v>
      </c>
      <c r="L100" s="143">
        <f>IF(t&lt;Tvie,1-EXP((T0-t)*PertePVj)+'2024'!Pspv,1-EXP((T0-t)*PertePVj)+Pspv)</f>
        <v>1.7894090807053509E-2</v>
      </c>
      <c r="M100" s="835"/>
      <c r="N100" s="835"/>
      <c r="O100" s="48">
        <f>IF(t&lt;Tnet,'2024'!Resal+('2024'!Salim-'2024'!Resal)*(1-EXP(('2024'!Tnet-t)/('2024'!Tau_j))),Resal+(Salim-Resal)*(1-EXP((Tnet-t)/(Tau_j))))*Salcycl</f>
        <v>3.1513673602203036E-2</v>
      </c>
      <c r="P100" s="165">
        <f>(INDEX(Models!$BJ100:$BT100,,T100)*(1-R100)+INDEX(Models!$BJ100:$BT100,,T100+1)*R100-ERP_i)*Q100*Ramure*Pc/MaxiM</f>
        <v>8.800398243717693E-5</v>
      </c>
      <c r="Q100" s="301">
        <f t="shared" si="28"/>
        <v>0.5</v>
      </c>
      <c r="R100" s="173">
        <f t="shared" si="29"/>
        <v>0.51079449990904457</v>
      </c>
      <c r="S100" s="801">
        <f t="shared" si="30"/>
        <v>1</v>
      </c>
      <c r="T100" s="172">
        <f t="shared" si="31"/>
        <v>7</v>
      </c>
      <c r="U100" s="247">
        <f t="shared" si="32"/>
        <v>1.5107944999090446</v>
      </c>
      <c r="V100" s="378">
        <f t="shared" si="33"/>
        <v>201.44715371012174</v>
      </c>
      <c r="W100" s="397">
        <f t="shared" si="34"/>
        <v>183.2640505159394</v>
      </c>
      <c r="X100" s="153">
        <f t="shared" si="35"/>
        <v>45743</v>
      </c>
      <c r="Y100" s="380">
        <f t="shared" si="36"/>
        <v>178.32454071868145</v>
      </c>
      <c r="Z100" s="380">
        <f t="shared" si="37"/>
        <v>181.57363584668897</v>
      </c>
      <c r="AA100" s="381">
        <f t="shared" si="38"/>
        <v>192.67504252309897</v>
      </c>
      <c r="AB100" s="193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5.7617253023723121E-2</v>
      </c>
      <c r="AD100" s="227">
        <f>(INDEX(Models!$BJ100:$BT100,,AH100)*(1-AF100)+INDEX(Models!$BJ100:$BT100,,AH100+1)*AF100-ERP_i)*AE100*Ramure*Pc/MaxiM</f>
        <v>8.800398243717693E-5</v>
      </c>
      <c r="AE100" s="301">
        <f t="shared" si="40"/>
        <v>0.5</v>
      </c>
      <c r="AF100" s="173">
        <f t="shared" si="41"/>
        <v>0.51079449990904457</v>
      </c>
      <c r="AG100" s="801">
        <f t="shared" si="49"/>
        <v>1</v>
      </c>
      <c r="AH100" s="172">
        <f t="shared" si="42"/>
        <v>7</v>
      </c>
      <c r="AI100" s="221">
        <f t="shared" si="43"/>
        <v>1.5107944999090446</v>
      </c>
      <c r="AJ100" s="261" t="b">
        <f t="shared" si="44"/>
        <v>0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45744</v>
      </c>
      <c r="B101" s="406">
        <f>'2024'!Wh/'2024'!Env_an*'2025'!Env_an</f>
        <v>144.49865491494623</v>
      </c>
      <c r="C101" s="385"/>
      <c r="D101" s="388">
        <f t="shared" si="25"/>
        <v>147.13345236463402</v>
      </c>
      <c r="E101" s="380">
        <f t="shared" si="47"/>
        <v>151.92988777614426</v>
      </c>
      <c r="F101" s="380">
        <f t="shared" si="26"/>
        <v>151.93789233792913</v>
      </c>
      <c r="G101" s="110">
        <f t="shared" si="48"/>
        <v>0.71306253419572863</v>
      </c>
      <c r="H101" s="409" t="b">
        <f>Wh_hp&gt;='2024'!Maxi_hp</f>
        <v>0</v>
      </c>
      <c r="I101" s="375">
        <f>IF(H101,Wh_hp,'2024'!Maxi_hp)</f>
        <v>151.9433815966527</v>
      </c>
      <c r="J101" s="85">
        <f>IF(H101,An,'2024'!An_max)</f>
        <v>2022</v>
      </c>
      <c r="K101" s="193">
        <f t="shared" si="27"/>
        <v>45744</v>
      </c>
      <c r="L101" s="143">
        <f>IF(t&lt;Tvie,1-EXP((T0-t)*PertePVj)+'2024'!Pspv,1-EXP((T0-t)*PertePVj)+Pspv)</f>
        <v>1.7907535012215314E-2</v>
      </c>
      <c r="M101" s="835"/>
      <c r="N101" s="835"/>
      <c r="O101" s="48">
        <f>IF(t&lt;Tnet,'2024'!Resal+('2024'!Salim-'2024'!Resal)*(1-EXP(('2024'!Tnet-t)/('2024'!Tau_j))),Resal+(Salim-Resal)*(1-EXP((Tnet-t)/(Tau_j))))*Salcycl</f>
        <v>3.1570058279628152E-2</v>
      </c>
      <c r="P101" s="165">
        <f>(INDEX(Models!$BJ101:$BT101,,T101)*(1-R101)+INDEX(Models!$BJ101:$BT101,,T101+1)*R101-ERP_i)*Q101*Ramure*Pc/MaxiM</f>
        <v>8.9274261003313959E-5</v>
      </c>
      <c r="Q101" s="301">
        <f t="shared" si="28"/>
        <v>0.5</v>
      </c>
      <c r="R101" s="173">
        <f t="shared" si="29"/>
        <v>0.51167382145870888</v>
      </c>
      <c r="S101" s="801">
        <f t="shared" si="30"/>
        <v>1</v>
      </c>
      <c r="T101" s="172">
        <f t="shared" si="31"/>
        <v>7</v>
      </c>
      <c r="U101" s="247">
        <f t="shared" si="32"/>
        <v>1.5116738214587089</v>
      </c>
      <c r="V101" s="378">
        <f t="shared" si="33"/>
        <v>202.63772156853904</v>
      </c>
      <c r="W101" s="397">
        <f t="shared" si="34"/>
        <v>144.49865491494623</v>
      </c>
      <c r="X101" s="153">
        <f t="shared" si="35"/>
        <v>45744</v>
      </c>
      <c r="Y101" s="380">
        <f t="shared" si="36"/>
        <v>140.60763715676029</v>
      </c>
      <c r="Z101" s="380">
        <f t="shared" si="37"/>
        <v>143.17148554694305</v>
      </c>
      <c r="AA101" s="381">
        <f t="shared" si="38"/>
        <v>151.92988777614426</v>
      </c>
      <c r="AB101" s="193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5.7647658123107209E-2</v>
      </c>
      <c r="AD101" s="227">
        <f>(INDEX(Models!$BJ101:$BT101,,AH101)*(1-AF101)+INDEX(Models!$BJ101:$BT101,,AH101+1)*AF101-ERP_i)*AE101*Ramure*Pc/MaxiM</f>
        <v>8.9274261003313959E-5</v>
      </c>
      <c r="AE101" s="301">
        <f t="shared" si="40"/>
        <v>0.5</v>
      </c>
      <c r="AF101" s="173">
        <f t="shared" si="41"/>
        <v>0.51167382145870888</v>
      </c>
      <c r="AG101" s="801">
        <f t="shared" si="49"/>
        <v>1</v>
      </c>
      <c r="AH101" s="172">
        <f t="shared" si="42"/>
        <v>7</v>
      </c>
      <c r="AI101" s="221">
        <f t="shared" si="43"/>
        <v>1.5116738214587089</v>
      </c>
      <c r="AJ101" s="261" t="b">
        <f t="shared" si="44"/>
        <v>0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45745</v>
      </c>
      <c r="B102" s="406">
        <f>'2024'!Wh/'2024'!Env_an*'2025'!Env_an</f>
        <v>113.62160537209206</v>
      </c>
      <c r="C102" s="385"/>
      <c r="D102" s="388">
        <f t="shared" si="25"/>
        <v>115.69497254941263</v>
      </c>
      <c r="E102" s="380">
        <f t="shared" si="47"/>
        <v>119.47351986474406</v>
      </c>
      <c r="F102" s="380">
        <f t="shared" si="26"/>
        <v>119.47749787227353</v>
      </c>
      <c r="G102" s="110">
        <f t="shared" si="48"/>
        <v>0.55746639824491162</v>
      </c>
      <c r="H102" s="409" t="b">
        <f>Wh_hp&gt;='2024'!Maxi_hp</f>
        <v>0</v>
      </c>
      <c r="I102" s="375">
        <f>IF(H102,Wh_hp,'2024'!Maxi_hp)</f>
        <v>119.48424336256193</v>
      </c>
      <c r="J102" s="85">
        <f>IF(H102,An,'2024'!An_max)</f>
        <v>2022</v>
      </c>
      <c r="K102" s="193">
        <f t="shared" si="27"/>
        <v>45745</v>
      </c>
      <c r="L102" s="143">
        <f>IF(t&lt;Tvie,1-EXP((T0-t)*PertePVj)+'2024'!Pspv,1-EXP((T0-t)*PertePVj)+Pspv)</f>
        <v>1.7920979033337336E-2</v>
      </c>
      <c r="M102" s="835"/>
      <c r="N102" s="835"/>
      <c r="O102" s="48">
        <f>IF(t&lt;Tnet,'2024'!Resal+('2024'!Salim-'2024'!Resal)*(1-EXP(('2024'!Tnet-t)/('2024'!Tau_j))),Resal+(Salim-Resal)*(1-EXP((Tnet-t)/(Tau_j))))*Salcycl</f>
        <v>3.1626650990187001E-2</v>
      </c>
      <c r="P102" s="165">
        <f>(INDEX(Models!$BJ102:$BT102,,T102)*(1-R102)+INDEX(Models!$BJ102:$BT102,,T102+1)*R102-ERP_i)*Q102*Ramure*Pc/MaxiM</f>
        <v>9.0511374526987793E-5</v>
      </c>
      <c r="Q102" s="301">
        <f t="shared" si="28"/>
        <v>0.5</v>
      </c>
      <c r="R102" s="173">
        <f t="shared" si="29"/>
        <v>0.51258660374309528</v>
      </c>
      <c r="S102" s="801">
        <f t="shared" si="30"/>
        <v>1</v>
      </c>
      <c r="T102" s="172">
        <f t="shared" si="31"/>
        <v>7</v>
      </c>
      <c r="U102" s="247">
        <f t="shared" si="32"/>
        <v>1.5125866037430953</v>
      </c>
      <c r="V102" s="378">
        <f t="shared" si="33"/>
        <v>203.8061926261997</v>
      </c>
      <c r="W102" s="397">
        <f t="shared" si="34"/>
        <v>113.62160537209206</v>
      </c>
      <c r="X102" s="153">
        <f t="shared" si="35"/>
        <v>45745</v>
      </c>
      <c r="Y102" s="380">
        <f t="shared" si="36"/>
        <v>110.56487755300917</v>
      </c>
      <c r="Z102" s="380">
        <f t="shared" si="37"/>
        <v>112.58246555779178</v>
      </c>
      <c r="AA102" s="381">
        <f t="shared" si="38"/>
        <v>119.47351986474406</v>
      </c>
      <c r="AB102" s="193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5.7678507461349136E-2</v>
      </c>
      <c r="AD102" s="227">
        <f>(INDEX(Models!$BJ102:$BT102,,AH102)*(1-AF102)+INDEX(Models!$BJ102:$BT102,,AH102+1)*AF102-ERP_i)*AE102*Ramure*Pc/MaxiM</f>
        <v>9.0511374526987793E-5</v>
      </c>
      <c r="AE102" s="301">
        <f t="shared" si="40"/>
        <v>0.5</v>
      </c>
      <c r="AF102" s="173">
        <f t="shared" si="41"/>
        <v>0.51258660374309528</v>
      </c>
      <c r="AG102" s="801">
        <f t="shared" si="49"/>
        <v>1</v>
      </c>
      <c r="AH102" s="172">
        <f t="shared" si="42"/>
        <v>7</v>
      </c>
      <c r="AI102" s="221">
        <f t="shared" si="43"/>
        <v>1.5125866037430953</v>
      </c>
      <c r="AJ102" s="261" t="b">
        <f t="shared" si="44"/>
        <v>0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45746</v>
      </c>
      <c r="B103" s="406">
        <f>'2024'!Wh/'2024'!Env_an*'2025'!Env_an</f>
        <v>29.848207676333697</v>
      </c>
      <c r="C103" s="385"/>
      <c r="D103" s="388">
        <f t="shared" si="25"/>
        <v>30.393293860859352</v>
      </c>
      <c r="E103" s="380">
        <f t="shared" si="47"/>
        <v>31.387767076281833</v>
      </c>
      <c r="F103" s="380">
        <f t="shared" si="26"/>
        <v>31.387767076281833</v>
      </c>
      <c r="G103" s="110">
        <f t="shared" si="48"/>
        <v>0.14562370962541127</v>
      </c>
      <c r="H103" s="409" t="b">
        <f>Wh_hp&gt;='2024'!Maxi_hp</f>
        <v>0</v>
      </c>
      <c r="I103" s="375">
        <f>IF(H103,Wh_hp,'2024'!Maxi_hp)</f>
        <v>31.39060598359443</v>
      </c>
      <c r="J103" s="85">
        <f>IF(H103,An,'2024'!An_max)</f>
        <v>2022</v>
      </c>
      <c r="K103" s="193">
        <f t="shared" si="27"/>
        <v>45746</v>
      </c>
      <c r="L103" s="143">
        <f>IF(t&lt;Tvie,1-EXP((T0-t)*PertePVj)+'2024'!Pspv,1-EXP((T0-t)*PertePVj)+Pspv)</f>
        <v>1.7934422870422018E-2</v>
      </c>
      <c r="M103" s="835"/>
      <c r="N103" s="835"/>
      <c r="O103" s="48">
        <f>IF(t&lt;Tnet,'2024'!Resal+('2024'!Salim-'2024'!Resal)*(1-EXP(('2024'!Tnet-t)/('2024'!Tau_j))),Resal+(Salim-Resal)*(1-EXP((Tnet-t)/(Tau_j))))*Salcycl</f>
        <v>3.1683464867239795E-2</v>
      </c>
      <c r="P103" s="165">
        <f>(INDEX(Models!$BJ103:$BT103,,T103)*(1-R103)+INDEX(Models!$BJ103:$BT103,,T103+1)*R103-ERP_i)*Q103*Ramure*Pc/MaxiM</f>
        <v>9.1718605487593364E-5</v>
      </c>
      <c r="Q103" s="301">
        <f t="shared" si="28"/>
        <v>0.5</v>
      </c>
      <c r="R103" s="173">
        <f t="shared" si="29"/>
        <v>0.51353397809471346</v>
      </c>
      <c r="S103" s="801">
        <f t="shared" si="30"/>
        <v>1</v>
      </c>
      <c r="T103" s="172">
        <f t="shared" si="31"/>
        <v>7</v>
      </c>
      <c r="U103" s="247">
        <f t="shared" si="32"/>
        <v>1.5135339780947135</v>
      </c>
      <c r="V103" s="378">
        <f t="shared" si="33"/>
        <v>204.9492497967604</v>
      </c>
      <c r="W103" s="397">
        <f t="shared" si="34"/>
        <v>29.848207676333697</v>
      </c>
      <c r="X103" s="153">
        <f t="shared" si="35"/>
        <v>45746</v>
      </c>
      <c r="Y103" s="380">
        <f t="shared" si="36"/>
        <v>29.045949201128945</v>
      </c>
      <c r="Z103" s="380">
        <f t="shared" si="37"/>
        <v>29.576384589332264</v>
      </c>
      <c r="AA103" s="381">
        <f t="shared" si="38"/>
        <v>31.387767076281833</v>
      </c>
      <c r="AB103" s="193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5.7709823146939981E-2</v>
      </c>
      <c r="AD103" s="227">
        <f>(INDEX(Models!$BJ103:$BT103,,AH103)*(1-AF103)+INDEX(Models!$BJ103:$BT103,,AH103+1)*AF103-ERP_i)*AE103*Ramure*Pc/MaxiM</f>
        <v>9.1718605487593364E-5</v>
      </c>
      <c r="AE103" s="301">
        <f t="shared" si="40"/>
        <v>0.5</v>
      </c>
      <c r="AF103" s="173">
        <f t="shared" si="41"/>
        <v>0.51353397809471346</v>
      </c>
      <c r="AG103" s="801">
        <f t="shared" si="49"/>
        <v>1</v>
      </c>
      <c r="AH103" s="172">
        <f t="shared" si="42"/>
        <v>7</v>
      </c>
      <c r="AI103" s="221">
        <f t="shared" si="43"/>
        <v>1.5135339780947135</v>
      </c>
      <c r="AJ103" s="261" t="b">
        <f t="shared" si="44"/>
        <v>0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45747</v>
      </c>
      <c r="B104" s="406">
        <f>'2024'!Wh/'2024'!Env_an*'2025'!Env_an</f>
        <v>86.360147941311581</v>
      </c>
      <c r="C104" s="385"/>
      <c r="D104" s="388">
        <f t="shared" si="25"/>
        <v>87.93845560478654</v>
      </c>
      <c r="E104" s="380">
        <f t="shared" si="47"/>
        <v>90.821166000524997</v>
      </c>
      <c r="F104" s="380">
        <f t="shared" si="26"/>
        <v>90.82260149087854</v>
      </c>
      <c r="G104" s="110">
        <f t="shared" si="48"/>
        <v>0.41906236548231846</v>
      </c>
      <c r="H104" s="409" t="b">
        <f>Wh_hp&gt;='2024'!Maxi_hp</f>
        <v>0</v>
      </c>
      <c r="I104" s="375">
        <f>IF(H104,Wh_hp,'2024'!Maxi_hp)</f>
        <v>90.829501711386541</v>
      </c>
      <c r="J104" s="85">
        <f>IF(H104,An,'2024'!An_max)</f>
        <v>2022</v>
      </c>
      <c r="K104" s="193">
        <f t="shared" si="27"/>
        <v>45747</v>
      </c>
      <c r="L104" s="143">
        <f>IF(t&lt;Tvie,1-EXP((T0-t)*PertePVj)+'2024'!Pspv,1-EXP((T0-t)*PertePVj)+Pspv)</f>
        <v>1.79478665234718E-2</v>
      </c>
      <c r="M104" s="835"/>
      <c r="N104" s="835"/>
      <c r="O104" s="48">
        <f>IF(t&lt;Tnet,'2024'!Resal+('2024'!Salim-'2024'!Resal)*(1-EXP(('2024'!Tnet-t)/('2024'!Tau_j))),Resal+(Salim-Resal)*(1-EXP((Tnet-t)/(Tau_j))))*Salcycl</f>
        <v>3.1740512951813377E-2</v>
      </c>
      <c r="P104" s="165">
        <f>(INDEX(Models!$BJ104:$BT104,,T104)*(1-R104)+INDEX(Models!$BJ104:$BT104,,T104+1)*R104-ERP_i)*Q104*Ramure*Pc/MaxiM</f>
        <v>9.2899213060868501E-5</v>
      </c>
      <c r="Q104" s="301">
        <f t="shared" si="28"/>
        <v>0.5</v>
      </c>
      <c r="R104" s="173">
        <f t="shared" si="29"/>
        <v>0.51451710257837791</v>
      </c>
      <c r="S104" s="801">
        <f t="shared" si="30"/>
        <v>1</v>
      </c>
      <c r="T104" s="172">
        <f t="shared" si="31"/>
        <v>7</v>
      </c>
      <c r="U104" s="247">
        <f t="shared" si="32"/>
        <v>1.5145171025783779</v>
      </c>
      <c r="V104" s="378">
        <f t="shared" si="33"/>
        <v>206.06357697203484</v>
      </c>
      <c r="W104" s="397">
        <f t="shared" si="34"/>
        <v>86.360147941311581</v>
      </c>
      <c r="X104" s="153">
        <f t="shared" si="35"/>
        <v>45747</v>
      </c>
      <c r="Y104" s="380">
        <f t="shared" si="36"/>
        <v>84.041079460856835</v>
      </c>
      <c r="Z104" s="380">
        <f t="shared" si="37"/>
        <v>85.577004108067015</v>
      </c>
      <c r="AA104" s="381">
        <f t="shared" si="38"/>
        <v>90.821166000524997</v>
      </c>
      <c r="AB104" s="193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5.7741627017072958E-2</v>
      </c>
      <c r="AD104" s="227">
        <f>(INDEX(Models!$BJ104:$BT104,,AH104)*(1-AF104)+INDEX(Models!$BJ104:$BT104,,AH104+1)*AF104-ERP_i)*AE104*Ramure*Pc/MaxiM</f>
        <v>9.2899213060868501E-5</v>
      </c>
      <c r="AE104" s="301">
        <f t="shared" si="40"/>
        <v>0.5</v>
      </c>
      <c r="AF104" s="173">
        <f t="shared" si="41"/>
        <v>0.51451710257837791</v>
      </c>
      <c r="AG104" s="801">
        <f t="shared" si="49"/>
        <v>1</v>
      </c>
      <c r="AH104" s="172">
        <f t="shared" si="42"/>
        <v>7</v>
      </c>
      <c r="AI104" s="221">
        <f t="shared" si="43"/>
        <v>1.5145171025783779</v>
      </c>
      <c r="AJ104" s="261" t="b">
        <f t="shared" si="44"/>
        <v>0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45748</v>
      </c>
      <c r="B105" s="406">
        <f>'2024'!Wh/'2024'!Env_an*'2025'!Env_an</f>
        <v>146.58957465206126</v>
      </c>
      <c r="C105" s="385"/>
      <c r="D105" s="388">
        <f t="shared" si="25"/>
        <v>149.27067145484881</v>
      </c>
      <c r="E105" s="380">
        <f t="shared" si="47"/>
        <v>154.17303608009473</v>
      </c>
      <c r="F105" s="380">
        <f t="shared" si="26"/>
        <v>154.18148156421219</v>
      </c>
      <c r="G105" s="110">
        <f t="shared" si="48"/>
        <v>0.70763575473881224</v>
      </c>
      <c r="H105" s="409" t="b">
        <f>Wh_hp&gt;='2024'!Maxi_hp</f>
        <v>0</v>
      </c>
      <c r="I105" s="375">
        <f>IF(H105,Wh_hp,'2024'!Maxi_hp)</f>
        <v>154.18744589130031</v>
      </c>
      <c r="J105" s="85">
        <f>IF(H105,An,'2024'!An_max)</f>
        <v>2022</v>
      </c>
      <c r="K105" s="193">
        <f t="shared" si="27"/>
        <v>45748</v>
      </c>
      <c r="L105" s="143">
        <f>IF(t&lt;Tvie,1-EXP((T0-t)*PertePVj)+'2024'!Pspv,1-EXP((T0-t)*PertePVj)+Pspv)</f>
        <v>1.7961309992489238E-2</v>
      </c>
      <c r="M105" s="835"/>
      <c r="N105" s="835"/>
      <c r="O105" s="48">
        <f>IF(t&lt;Tnet,'2024'!Resal+('2024'!Salim-'2024'!Resal)*(1-EXP(('2024'!Tnet-t)/('2024'!Tau_j))),Resal+(Salim-Resal)*(1-EXP((Tnet-t)/(Tau_j))))*Salcycl</f>
        <v>3.1797808163413849E-2</v>
      </c>
      <c r="P105" s="165">
        <f>(INDEX(Models!$BJ105:$BT105,,T105)*(1-R105)+INDEX(Models!$BJ105:$BT105,,T105+1)*R105-ERP_i)*Q105*Ramure*Pc/MaxiM</f>
        <v>9.4056429694456092E-5</v>
      </c>
      <c r="Q105" s="301">
        <f t="shared" si="28"/>
        <v>0.5</v>
      </c>
      <c r="R105" s="173">
        <f t="shared" si="29"/>
        <v>0.51553716164766317</v>
      </c>
      <c r="S105" s="801">
        <f t="shared" si="30"/>
        <v>1</v>
      </c>
      <c r="T105" s="172">
        <f t="shared" si="31"/>
        <v>7</v>
      </c>
      <c r="U105" s="247">
        <f t="shared" si="32"/>
        <v>1.5155371616476632</v>
      </c>
      <c r="V105" s="378">
        <f t="shared" si="33"/>
        <v>207.14585899720495</v>
      </c>
      <c r="W105" s="397">
        <f t="shared" si="34"/>
        <v>146.58957465206126</v>
      </c>
      <c r="X105" s="153">
        <f t="shared" si="35"/>
        <v>45748</v>
      </c>
      <c r="Y105" s="380">
        <f t="shared" si="36"/>
        <v>142.65668724986756</v>
      </c>
      <c r="Z105" s="380">
        <f t="shared" si="37"/>
        <v>145.2658522535161</v>
      </c>
      <c r="AA105" s="381">
        <f t="shared" si="38"/>
        <v>154.17303608009473</v>
      </c>
      <c r="AB105" s="193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5.7773940586804254E-2</v>
      </c>
      <c r="AD105" s="227">
        <f>(INDEX(Models!$BJ105:$BT105,,AH105)*(1-AF105)+INDEX(Models!$BJ105:$BT105,,AH105+1)*AF105-ERP_i)*AE105*Ramure*Pc/MaxiM</f>
        <v>9.4056429694456092E-5</v>
      </c>
      <c r="AE105" s="301">
        <f t="shared" si="40"/>
        <v>0.5</v>
      </c>
      <c r="AF105" s="173">
        <f t="shared" si="41"/>
        <v>0.51553716164766317</v>
      </c>
      <c r="AG105" s="801">
        <f t="shared" si="49"/>
        <v>1</v>
      </c>
      <c r="AH105" s="172">
        <f t="shared" si="42"/>
        <v>7</v>
      </c>
      <c r="AI105" s="221">
        <f t="shared" si="43"/>
        <v>1.5155371616476632</v>
      </c>
      <c r="AJ105" s="261" t="b">
        <f t="shared" si="44"/>
        <v>0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45749</v>
      </c>
      <c r="B106" s="406">
        <f>'2024'!Wh/'2024'!Env_an*'2025'!Env_an</f>
        <v>71.70839904913116</v>
      </c>
      <c r="C106" s="385"/>
      <c r="D106" s="388">
        <f t="shared" si="25"/>
        <v>73.020932291156029</v>
      </c>
      <c r="E106" s="380">
        <f t="shared" si="47"/>
        <v>75.4235777599675</v>
      </c>
      <c r="F106" s="380">
        <f t="shared" si="26"/>
        <v>75.42403350441873</v>
      </c>
      <c r="G106" s="110">
        <f t="shared" si="48"/>
        <v>0.34440197947691842</v>
      </c>
      <c r="H106" s="409" t="b">
        <f>Wh_hp&gt;='2024'!Maxi_hp</f>
        <v>0</v>
      </c>
      <c r="I106" s="375">
        <f>IF(H106,Wh_hp,'2024'!Maxi_hp)</f>
        <v>75.430650895015674</v>
      </c>
      <c r="J106" s="85">
        <f>IF(H106,An,'2024'!An_max)</f>
        <v>2022</v>
      </c>
      <c r="K106" s="193">
        <f t="shared" si="27"/>
        <v>45749</v>
      </c>
      <c r="L106" s="143">
        <f>IF(t&lt;Tvie,1-EXP((T0-t)*PertePVj)+'2024'!Pspv,1-EXP((T0-t)*PertePVj)+Pspv)</f>
        <v>1.7974753277476885E-2</v>
      </c>
      <c r="M106" s="835"/>
      <c r="N106" s="835"/>
      <c r="O106" s="48">
        <f>IF(t&lt;Tnet,'2024'!Resal+('2024'!Salim-'2024'!Resal)*(1-EXP(('2024'!Tnet-t)/('2024'!Tau_j))),Resal+(Salim-Resal)*(1-EXP((Tnet-t)/(Tau_j))))*Salcycl</f>
        <v>3.1855363271917445E-2</v>
      </c>
      <c r="P106" s="165">
        <f>(INDEX(Models!$BJ106:$BT106,,T106)*(1-R106)+INDEX(Models!$BJ106:$BT106,,T106+1)*R106-ERP_i)*Q106*Ramure*Pc/MaxiM</f>
        <v>9.5193458717654419E-5</v>
      </c>
      <c r="Q106" s="301">
        <f t="shared" si="28"/>
        <v>0.5</v>
      </c>
      <c r="R106" s="173">
        <f t="shared" si="29"/>
        <v>0.51659536569710252</v>
      </c>
      <c r="S106" s="801">
        <f t="shared" si="30"/>
        <v>1</v>
      </c>
      <c r="T106" s="172">
        <f t="shared" si="31"/>
        <v>7</v>
      </c>
      <c r="U106" s="247">
        <f t="shared" si="32"/>
        <v>1.5165953656971025</v>
      </c>
      <c r="V106" s="378">
        <f t="shared" si="33"/>
        <v>208.19278170778617</v>
      </c>
      <c r="W106" s="397">
        <f t="shared" si="34"/>
        <v>71.70839904913116</v>
      </c>
      <c r="X106" s="153">
        <f t="shared" si="35"/>
        <v>45749</v>
      </c>
      <c r="Y106" s="380">
        <f t="shared" si="36"/>
        <v>69.78623284109716</v>
      </c>
      <c r="Z106" s="380">
        <f t="shared" si="37"/>
        <v>71.063583216425869</v>
      </c>
      <c r="AA106" s="381">
        <f t="shared" si="38"/>
        <v>75.4235777599675</v>
      </c>
      <c r="AB106" s="193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5.780678500053571E-2</v>
      </c>
      <c r="AD106" s="227">
        <f>(INDEX(Models!$BJ106:$BT106,,AH106)*(1-AF106)+INDEX(Models!$BJ106:$BT106,,AH106+1)*AF106-ERP_i)*AE106*Ramure*Pc/MaxiM</f>
        <v>9.5193458717654419E-5</v>
      </c>
      <c r="AE106" s="301">
        <f t="shared" si="40"/>
        <v>0.5</v>
      </c>
      <c r="AF106" s="173">
        <f t="shared" si="41"/>
        <v>0.51659536569710252</v>
      </c>
      <c r="AG106" s="801">
        <f t="shared" si="49"/>
        <v>1</v>
      </c>
      <c r="AH106" s="172">
        <f t="shared" si="42"/>
        <v>7</v>
      </c>
      <c r="AI106" s="221">
        <f t="shared" si="43"/>
        <v>1.5165953656971025</v>
      </c>
      <c r="AJ106" s="261" t="b">
        <f t="shared" si="44"/>
        <v>0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45750</v>
      </c>
      <c r="B107" s="406">
        <f>'2024'!Wh/'2024'!Env_an*'2025'!Env_an</f>
        <v>115.11303117895761</v>
      </c>
      <c r="C107" s="385"/>
      <c r="D107" s="388">
        <f t="shared" si="25"/>
        <v>117.2216370052092</v>
      </c>
      <c r="E107" s="380">
        <f t="shared" si="47"/>
        <v>121.0858736011626</v>
      </c>
      <c r="F107" s="380">
        <f t="shared" si="26"/>
        <v>121.09004257195278</v>
      </c>
      <c r="G107" s="110">
        <f t="shared" si="48"/>
        <v>0.55019929286173441</v>
      </c>
      <c r="H107" s="409" t="b">
        <f>Wh_hp&gt;='2024'!Maxi_hp</f>
        <v>0</v>
      </c>
      <c r="I107" s="375">
        <f>IF(H107,Wh_hp,'2024'!Maxi_hp)</f>
        <v>121.09741152575187</v>
      </c>
      <c r="J107" s="85">
        <f>IF(H107,An,'2024'!An_max)</f>
        <v>2022</v>
      </c>
      <c r="K107" s="193">
        <f t="shared" si="27"/>
        <v>45750</v>
      </c>
      <c r="L107" s="143">
        <f>IF(t&lt;Tvie,1-EXP((T0-t)*PertePVj)+'2024'!Pspv,1-EXP((T0-t)*PertePVj)+Pspv)</f>
        <v>1.7988196378437293E-2</v>
      </c>
      <c r="M107" s="835"/>
      <c r="N107" s="835"/>
      <c r="O107" s="48">
        <f>IF(t&lt;Tnet,'2024'!Resal+('2024'!Salim-'2024'!Resal)*(1-EXP(('2024'!Tnet-t)/('2024'!Tau_j))),Resal+(Salim-Resal)*(1-EXP((Tnet-t)/(Tau_j))))*Salcycl</f>
        <v>3.1913190870485567E-2</v>
      </c>
      <c r="P107" s="165">
        <f>(INDEX(Models!$BJ107:$BT107,,T107)*(1-R107)+INDEX(Models!$BJ107:$BT107,,T107+1)*R107-ERP_i)*Q107*Ramure*Pc/MaxiM</f>
        <v>9.6310421096614397E-5</v>
      </c>
      <c r="Q107" s="301">
        <f t="shared" si="28"/>
        <v>0.5</v>
      </c>
      <c r="R107" s="173">
        <f t="shared" si="29"/>
        <v>0.5176929505019161</v>
      </c>
      <c r="S107" s="801">
        <f t="shared" si="30"/>
        <v>1</v>
      </c>
      <c r="T107" s="172">
        <f t="shared" si="31"/>
        <v>7</v>
      </c>
      <c r="U107" s="247">
        <f t="shared" si="32"/>
        <v>1.5176929505019161</v>
      </c>
      <c r="V107" s="378">
        <f t="shared" si="33"/>
        <v>209.20766171954071</v>
      </c>
      <c r="W107" s="397">
        <f t="shared" si="34"/>
        <v>115.11303117895761</v>
      </c>
      <c r="X107" s="153">
        <f t="shared" si="35"/>
        <v>45750</v>
      </c>
      <c r="Y107" s="380">
        <f t="shared" si="36"/>
        <v>112.03011093527327</v>
      </c>
      <c r="Z107" s="380">
        <f t="shared" si="37"/>
        <v>114.08224475725982</v>
      </c>
      <c r="AA107" s="381">
        <f t="shared" si="38"/>
        <v>121.0858736011626</v>
      </c>
      <c r="AB107" s="193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5.7840180985699569E-2</v>
      </c>
      <c r="AD107" s="227">
        <f>(INDEX(Models!$BJ107:$BT107,,AH107)*(1-AF107)+INDEX(Models!$BJ107:$BT107,,AH107+1)*AF107-ERP_i)*AE107*Ramure*Pc/MaxiM</f>
        <v>9.6310421096614397E-5</v>
      </c>
      <c r="AE107" s="301">
        <f t="shared" si="40"/>
        <v>0.5</v>
      </c>
      <c r="AF107" s="173">
        <f t="shared" si="41"/>
        <v>0.5176929505019161</v>
      </c>
      <c r="AG107" s="801">
        <f t="shared" si="49"/>
        <v>1</v>
      </c>
      <c r="AH107" s="172">
        <f t="shared" si="42"/>
        <v>7</v>
      </c>
      <c r="AI107" s="221">
        <f t="shared" si="43"/>
        <v>1.5176929505019161</v>
      </c>
      <c r="AJ107" s="261" t="b">
        <f t="shared" si="44"/>
        <v>0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45751</v>
      </c>
      <c r="B108" s="406">
        <f>'2024'!Wh/'2024'!Env_an*'2025'!Env_an</f>
        <v>175.62360093567838</v>
      </c>
      <c r="C108" s="385"/>
      <c r="D108" s="388">
        <f t="shared" si="25"/>
        <v>178.84306936078866</v>
      </c>
      <c r="E108" s="380">
        <f t="shared" si="47"/>
        <v>184.74975998087081</v>
      </c>
      <c r="F108" s="380">
        <f t="shared" si="26"/>
        <v>184.76354167584</v>
      </c>
      <c r="G108" s="110">
        <f t="shared" si="48"/>
        <v>0.83550183903641706</v>
      </c>
      <c r="H108" s="409" t="b">
        <f>Wh_hp&gt;='2024'!Maxi_hp</f>
        <v>0</v>
      </c>
      <c r="I108" s="375">
        <f>IF(H108,Wh_hp,'2024'!Maxi_hp)</f>
        <v>184.76770122417531</v>
      </c>
      <c r="J108" s="85">
        <f>IF(H108,An,'2024'!An_max)</f>
        <v>2022</v>
      </c>
      <c r="K108" s="193">
        <f t="shared" si="27"/>
        <v>45751</v>
      </c>
      <c r="L108" s="143">
        <f>IF(t&lt;Tvie,1-EXP((T0-t)*PertePVj)+'2024'!Pspv,1-EXP((T0-t)*PertePVj)+Pspv)</f>
        <v>1.8001639295372907E-2</v>
      </c>
      <c r="M108" s="835"/>
      <c r="N108" s="835"/>
      <c r="O108" s="48">
        <f>IF(t&lt;Tnet,'2024'!Resal+('2024'!Salim-'2024'!Resal)*(1-EXP(('2024'!Tnet-t)/('2024'!Tau_j))),Resal+(Salim-Resal)*(1-EXP((Tnet-t)/(Tau_j))))*Salcycl</f>
        <v>3.1971303349426383E-2</v>
      </c>
      <c r="P108" s="165">
        <f>(INDEX(Models!$BJ108:$BT108,,T108)*(1-R108)+INDEX(Models!$BJ108:$BT108,,T108+1)*R108-ERP_i)*Q108*Ramure*Pc/MaxiM</f>
        <v>9.7500738121613769E-5</v>
      </c>
      <c r="Q108" s="301">
        <f t="shared" si="28"/>
        <v>0.5</v>
      </c>
      <c r="R108" s="173">
        <f t="shared" si="29"/>
        <v>0.51883117653676858</v>
      </c>
      <c r="S108" s="801">
        <f t="shared" si="30"/>
        <v>1</v>
      </c>
      <c r="T108" s="172">
        <f t="shared" si="31"/>
        <v>7</v>
      </c>
      <c r="U108" s="247">
        <f t="shared" si="32"/>
        <v>1.5188311765367686</v>
      </c>
      <c r="V108" s="378">
        <f t="shared" si="33"/>
        <v>210.19651775407851</v>
      </c>
      <c r="W108" s="397">
        <f t="shared" si="34"/>
        <v>175.62360093567838</v>
      </c>
      <c r="X108" s="153">
        <f t="shared" si="35"/>
        <v>45751</v>
      </c>
      <c r="Y108" s="380">
        <f t="shared" si="36"/>
        <v>170.92420409988196</v>
      </c>
      <c r="Z108" s="380">
        <f t="shared" si="37"/>
        <v>174.05752487940643</v>
      </c>
      <c r="AA108" s="381">
        <f t="shared" si="38"/>
        <v>184.74975998087081</v>
      </c>
      <c r="AB108" s="193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5.7874148808482712E-2</v>
      </c>
      <c r="AD108" s="227">
        <f>(INDEX(Models!$BJ108:$BT108,,AH108)*(1-AF108)+INDEX(Models!$BJ108:$BT108,,AH108+1)*AF108-ERP_i)*AE108*Ramure*Pc/MaxiM</f>
        <v>9.7500738121613769E-5</v>
      </c>
      <c r="AE108" s="301">
        <f t="shared" si="40"/>
        <v>0.5</v>
      </c>
      <c r="AF108" s="173">
        <f t="shared" si="41"/>
        <v>0.51883117653676858</v>
      </c>
      <c r="AG108" s="801">
        <f t="shared" si="49"/>
        <v>1</v>
      </c>
      <c r="AH108" s="172">
        <f t="shared" si="42"/>
        <v>7</v>
      </c>
      <c r="AI108" s="221">
        <f t="shared" si="43"/>
        <v>1.5188311765367686</v>
      </c>
      <c r="AJ108" s="261" t="b">
        <f t="shared" si="44"/>
        <v>0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45752</v>
      </c>
      <c r="B109" s="406">
        <f>'2024'!Wh/'2024'!Env_an*'2025'!Env_an</f>
        <v>215.18240595923947</v>
      </c>
      <c r="C109" s="385"/>
      <c r="D109" s="388">
        <f t="shared" si="25"/>
        <v>219.1300518175961</v>
      </c>
      <c r="E109" s="380">
        <f t="shared" si="47"/>
        <v>226.38096926251097</v>
      </c>
      <c r="F109" s="380">
        <f t="shared" si="26"/>
        <v>226.40334911043368</v>
      </c>
      <c r="G109" s="110">
        <f t="shared" si="48"/>
        <v>1.0190486017817741</v>
      </c>
      <c r="H109" s="409" t="b">
        <f>Wh_hp&gt;='2024'!Maxi_hp</f>
        <v>1</v>
      </c>
      <c r="I109" s="375">
        <f>IF(H109,Wh_hp,'2024'!Maxi_hp)</f>
        <v>226.40334911043368</v>
      </c>
      <c r="J109" s="85">
        <f>IF(H109,An,'2024'!An_max)</f>
        <v>2025</v>
      </c>
      <c r="K109" s="193">
        <f t="shared" si="27"/>
        <v>45752</v>
      </c>
      <c r="L109" s="143">
        <f>IF(t&lt;Tvie,1-EXP((T0-t)*PertePVj)+'2024'!Pspv,1-EXP((T0-t)*PertePVj)+Pspv)</f>
        <v>1.8015082028286278E-2</v>
      </c>
      <c r="M109" s="835"/>
      <c r="N109" s="835"/>
      <c r="O109" s="48">
        <f>IF(t&lt;Tnet,'2024'!Resal+('2024'!Salim-'2024'!Resal)*(1-EXP(('2024'!Tnet-t)/('2024'!Tau_j))),Resal+(Salim-Resal)*(1-EXP((Tnet-t)/(Tau_j))))*Salcycl</f>
        <v>3.2029712870902685E-2</v>
      </c>
      <c r="P109" s="165">
        <f>(INDEX(Models!$BJ109:$BT109,,T109)*(1-R109)+INDEX(Models!$BJ109:$BT109,,T109+1)*R109-ERP_i)*Q109*Ramure*Pc/MaxiM</f>
        <v>9.8849456117322434E-5</v>
      </c>
      <c r="Q109" s="301">
        <f t="shared" si="28"/>
        <v>0.5</v>
      </c>
      <c r="R109" s="173">
        <f t="shared" si="29"/>
        <v>0.52001132816478735</v>
      </c>
      <c r="S109" s="801">
        <f t="shared" si="30"/>
        <v>1</v>
      </c>
      <c r="T109" s="172">
        <f t="shared" si="31"/>
        <v>7</v>
      </c>
      <c r="U109" s="247">
        <f t="shared" si="32"/>
        <v>1.5200113281647873</v>
      </c>
      <c r="V109" s="378">
        <f t="shared" si="33"/>
        <v>211.16010127779958</v>
      </c>
      <c r="W109" s="397">
        <f t="shared" si="34"/>
        <v>215.18240595923947</v>
      </c>
      <c r="X109" s="153">
        <f t="shared" si="35"/>
        <v>45752</v>
      </c>
      <c r="Y109" s="380">
        <f t="shared" si="36"/>
        <v>209.42943548119533</v>
      </c>
      <c r="Z109" s="380">
        <f t="shared" si="37"/>
        <v>213.271539764349</v>
      </c>
      <c r="AA109" s="381">
        <f t="shared" si="38"/>
        <v>226.38096926251097</v>
      </c>
      <c r="AB109" s="193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5.790870823138982E-2</v>
      </c>
      <c r="AD109" s="227">
        <f>(INDEX(Models!$BJ109:$BT109,,AH109)*(1-AF109)+INDEX(Models!$BJ109:$BT109,,AH109+1)*AF109-ERP_i)*AE109*Ramure*Pc/MaxiM</f>
        <v>9.8849456117322434E-5</v>
      </c>
      <c r="AE109" s="301">
        <f t="shared" si="40"/>
        <v>0.5</v>
      </c>
      <c r="AF109" s="173">
        <f t="shared" si="41"/>
        <v>0.52001132816478735</v>
      </c>
      <c r="AG109" s="801">
        <f t="shared" si="49"/>
        <v>1</v>
      </c>
      <c r="AH109" s="172">
        <f t="shared" si="42"/>
        <v>7</v>
      </c>
      <c r="AI109" s="221">
        <f t="shared" si="43"/>
        <v>1.5200113281647873</v>
      </c>
      <c r="AJ109" s="261" t="b">
        <f t="shared" si="44"/>
        <v>0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45753</v>
      </c>
      <c r="B110" s="406">
        <f>'2024'!Wh/'2024'!Env_an*'2025'!Env_an</f>
        <v>53.424556693320334</v>
      </c>
      <c r="C110" s="385"/>
      <c r="D110" s="388">
        <f t="shared" si="25"/>
        <v>54.405405890549559</v>
      </c>
      <c r="E110" s="380">
        <f t="shared" si="47"/>
        <v>56.209066667231923</v>
      </c>
      <c r="F110" s="380">
        <f t="shared" si="26"/>
        <v>56.209066667231923</v>
      </c>
      <c r="G110" s="110">
        <f t="shared" si="48"/>
        <v>0.25185950674252788</v>
      </c>
      <c r="H110" s="409" t="b">
        <f>Wh_hp&gt;='2024'!Maxi_hp</f>
        <v>0</v>
      </c>
      <c r="I110" s="375">
        <f>IF(H110,Wh_hp,'2024'!Maxi_hp)</f>
        <v>56.214601212449267</v>
      </c>
      <c r="J110" s="85">
        <f>IF(H110,An,'2024'!An_max)</f>
        <v>2022</v>
      </c>
      <c r="K110" s="193">
        <f t="shared" si="27"/>
        <v>45753</v>
      </c>
      <c r="L110" s="143">
        <f>IF(t&lt;Tvie,1-EXP((T0-t)*PertePVj)+'2024'!Pspv,1-EXP((T0-t)*PertePVj)+Pspv)</f>
        <v>1.8028524577179961E-2</v>
      </c>
      <c r="M110" s="835"/>
      <c r="N110" s="835"/>
      <c r="O110" s="48">
        <f>IF(t&lt;Tnet,'2024'!Resal+('2024'!Salim-'2024'!Resal)*(1-EXP(('2024'!Tnet-t)/('2024'!Tau_j))),Resal+(Salim-Resal)*(1-EXP((Tnet-t)/(Tau_j))))*Salcycl</f>
        <v>3.2088431344365995E-2</v>
      </c>
      <c r="P110" s="165">
        <f>(INDEX(Models!$BJ110:$BT110,,T110)*(1-R110)+INDEX(Models!$BJ110:$BT110,,T110+1)*R110-ERP_i)*Q110*Ramure*Pc/MaxiM</f>
        <v>1.0035693768427437E-4</v>
      </c>
      <c r="Q110" s="301">
        <f t="shared" si="28"/>
        <v>0.5</v>
      </c>
      <c r="R110" s="173">
        <f t="shared" si="29"/>
        <v>0.52123471268782762</v>
      </c>
      <c r="S110" s="801">
        <f t="shared" si="30"/>
        <v>1</v>
      </c>
      <c r="T110" s="172">
        <f t="shared" si="31"/>
        <v>7</v>
      </c>
      <c r="U110" s="247">
        <f t="shared" si="32"/>
        <v>1.5212347126878276</v>
      </c>
      <c r="V110" s="378">
        <f t="shared" si="33"/>
        <v>212.09918124322812</v>
      </c>
      <c r="W110" s="397">
        <f t="shared" si="34"/>
        <v>53.424556693320334</v>
      </c>
      <c r="X110" s="153">
        <f t="shared" si="35"/>
        <v>45753</v>
      </c>
      <c r="Y110" s="380">
        <f t="shared" si="36"/>
        <v>51.99744718698193</v>
      </c>
      <c r="Z110" s="380">
        <f t="shared" si="37"/>
        <v>52.952095339218204</v>
      </c>
      <c r="AA110" s="381">
        <f t="shared" si="38"/>
        <v>56.209066667231923</v>
      </c>
      <c r="AB110" s="193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5.7943878472410663E-2</v>
      </c>
      <c r="AD110" s="227">
        <f>(INDEX(Models!$BJ110:$BT110,,AH110)*(1-AF110)+INDEX(Models!$BJ110:$BT110,,AH110+1)*AF110-ERP_i)*AE110*Ramure*Pc/MaxiM</f>
        <v>1.0035693768427437E-4</v>
      </c>
      <c r="AE110" s="301">
        <f t="shared" si="40"/>
        <v>0.5</v>
      </c>
      <c r="AF110" s="173">
        <f t="shared" si="41"/>
        <v>0.52123471268782762</v>
      </c>
      <c r="AG110" s="801">
        <f t="shared" si="49"/>
        <v>1</v>
      </c>
      <c r="AH110" s="172">
        <f t="shared" si="42"/>
        <v>7</v>
      </c>
      <c r="AI110" s="221">
        <f t="shared" si="43"/>
        <v>1.5212347126878276</v>
      </c>
      <c r="AJ110" s="261" t="b">
        <f t="shared" si="44"/>
        <v>0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45754</v>
      </c>
      <c r="B111" s="406">
        <f>'2024'!Wh/'2024'!Env_an*'2025'!Env_an</f>
        <v>164.18470904882628</v>
      </c>
      <c r="C111" s="385"/>
      <c r="D111" s="388">
        <f t="shared" si="25"/>
        <v>167.20135028330486</v>
      </c>
      <c r="E111" s="380">
        <f t="shared" si="47"/>
        <v>172.75498608538288</v>
      </c>
      <c r="F111" s="380">
        <f t="shared" si="26"/>
        <v>172.76684023499183</v>
      </c>
      <c r="G111" s="110">
        <f t="shared" si="48"/>
        <v>0.77074191142412685</v>
      </c>
      <c r="H111" s="409" t="b">
        <f>Wh_hp&gt;='2024'!Maxi_hp</f>
        <v>0</v>
      </c>
      <c r="I111" s="375">
        <f>IF(H111,Wh_hp,'2024'!Maxi_hp)</f>
        <v>172.77249888027328</v>
      </c>
      <c r="J111" s="85">
        <f>IF(H111,An,'2024'!An_max)</f>
        <v>2022</v>
      </c>
      <c r="K111" s="193">
        <f t="shared" si="27"/>
        <v>45754</v>
      </c>
      <c r="L111" s="143">
        <f>IF(t&lt;Tvie,1-EXP((T0-t)*PertePVj)+'2024'!Pspv,1-EXP((T0-t)*PertePVj)+Pspv)</f>
        <v>1.8041966942056398E-2</v>
      </c>
      <c r="M111" s="835"/>
      <c r="N111" s="835"/>
      <c r="O111" s="48">
        <f>IF(t&lt;Tnet,'2024'!Resal+('2024'!Salim-'2024'!Resal)*(1-EXP(('2024'!Tnet-t)/('2024'!Tau_j))),Resal+(Salim-Resal)*(1-EXP((Tnet-t)/(Tau_j))))*Salcycl</f>
        <v>3.214747040258039E-2</v>
      </c>
      <c r="P111" s="165">
        <f>(INDEX(Models!$BJ111:$BT111,,T111)*(1-R111)+INDEX(Models!$BJ111:$BT111,,T111+1)*R111-ERP_i)*Q111*Ramure*Pc/MaxiM</f>
        <v>1.0202378431685535E-4</v>
      </c>
      <c r="Q111" s="301">
        <f t="shared" si="28"/>
        <v>0.5</v>
      </c>
      <c r="R111" s="173">
        <f t="shared" si="29"/>
        <v>0.5225026592487767</v>
      </c>
      <c r="S111" s="801">
        <f t="shared" si="30"/>
        <v>1</v>
      </c>
      <c r="T111" s="172">
        <f t="shared" si="31"/>
        <v>7</v>
      </c>
      <c r="U111" s="247">
        <f t="shared" si="32"/>
        <v>1.5225026592487767</v>
      </c>
      <c r="V111" s="378">
        <f t="shared" si="33"/>
        <v>213.0145263836431</v>
      </c>
      <c r="W111" s="397">
        <f t="shared" si="34"/>
        <v>164.18470904882628</v>
      </c>
      <c r="X111" s="153">
        <f t="shared" si="35"/>
        <v>45754</v>
      </c>
      <c r="Y111" s="380">
        <f t="shared" si="36"/>
        <v>159.80258120811814</v>
      </c>
      <c r="Z111" s="380">
        <f t="shared" si="37"/>
        <v>162.73870759066185</v>
      </c>
      <c r="AA111" s="381">
        <f t="shared" si="38"/>
        <v>172.75498608538288</v>
      </c>
      <c r="AB111" s="193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5.7979678165529638E-2</v>
      </c>
      <c r="AD111" s="227">
        <f>(INDEX(Models!$BJ111:$BT111,,AH111)*(1-AF111)+INDEX(Models!$BJ111:$BT111,,AH111+1)*AF111-ERP_i)*AE111*Ramure*Pc/MaxiM</f>
        <v>1.0202378431685535E-4</v>
      </c>
      <c r="AE111" s="301">
        <f t="shared" si="40"/>
        <v>0.5</v>
      </c>
      <c r="AF111" s="173">
        <f t="shared" si="41"/>
        <v>0.5225026592487767</v>
      </c>
      <c r="AG111" s="801">
        <f t="shared" si="49"/>
        <v>1</v>
      </c>
      <c r="AH111" s="172">
        <f t="shared" si="42"/>
        <v>7</v>
      </c>
      <c r="AI111" s="221">
        <f t="shared" si="43"/>
        <v>1.5225026592487767</v>
      </c>
      <c r="AJ111" s="261" t="b">
        <f t="shared" si="44"/>
        <v>0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45755</v>
      </c>
      <c r="B112" s="406">
        <f>'2024'!Wh/'2024'!Env_an*'2025'!Env_an</f>
        <v>130.67891020968048</v>
      </c>
      <c r="C112" s="385"/>
      <c r="D112" s="388">
        <f t="shared" si="25"/>
        <v>133.08175575666331</v>
      </c>
      <c r="E112" s="380">
        <f t="shared" si="47"/>
        <v>137.51053577002401</v>
      </c>
      <c r="F112" s="380">
        <f t="shared" si="26"/>
        <v>137.51687898520248</v>
      </c>
      <c r="G112" s="110">
        <f t="shared" si="48"/>
        <v>0.61087960856145407</v>
      </c>
      <c r="H112" s="409" t="b">
        <f>Wh_hp&gt;='2024'!Maxi_hp</f>
        <v>0</v>
      </c>
      <c r="I112" s="375">
        <f>IF(H112,Wh_hp,'2024'!Maxi_hp)</f>
        <v>137.5246543062388</v>
      </c>
      <c r="J112" s="85">
        <f>IF(H112,An,'2024'!An_max)</f>
        <v>2022</v>
      </c>
      <c r="K112" s="193">
        <f t="shared" si="27"/>
        <v>45755</v>
      </c>
      <c r="L112" s="143">
        <f>IF(t&lt;Tvie,1-EXP((T0-t)*PertePVj)+'2024'!Pspv,1-EXP((T0-t)*PertePVj)+Pspv)</f>
        <v>1.8055409122918253E-2</v>
      </c>
      <c r="M112" s="835"/>
      <c r="N112" s="835"/>
      <c r="O112" s="48">
        <f>IF(t&lt;Tnet,'2024'!Resal+('2024'!Salim-'2024'!Resal)*(1-EXP(('2024'!Tnet-t)/('2024'!Tau_j))),Resal+(Salim-Resal)*(1-EXP((Tnet-t)/(Tau_j))))*Salcycl</f>
        <v>3.2206841378085389E-2</v>
      </c>
      <c r="P112" s="165">
        <f>(INDEX(Models!$BJ112:$BT112,,T112)*(1-R112)+INDEX(Models!$BJ112:$BT112,,T112+1)*R112-ERP_i)*Q112*Ramure*Pc/MaxiM</f>
        <v>1.0385083121459783E-4</v>
      </c>
      <c r="Q112" s="301">
        <f t="shared" si="28"/>
        <v>0.5</v>
      </c>
      <c r="R112" s="173">
        <f t="shared" si="29"/>
        <v>0.52381651757652015</v>
      </c>
      <c r="S112" s="801">
        <f t="shared" si="30"/>
        <v>1</v>
      </c>
      <c r="T112" s="172">
        <f t="shared" si="31"/>
        <v>7</v>
      </c>
      <c r="U112" s="247">
        <f t="shared" si="32"/>
        <v>1.5238165175765201</v>
      </c>
      <c r="V112" s="378">
        <f t="shared" si="33"/>
        <v>213.90690525333375</v>
      </c>
      <c r="W112" s="397">
        <f t="shared" si="34"/>
        <v>130.67891020968048</v>
      </c>
      <c r="X112" s="153">
        <f t="shared" si="35"/>
        <v>45755</v>
      </c>
      <c r="Y112" s="380">
        <f t="shared" si="36"/>
        <v>127.1939412686685</v>
      </c>
      <c r="Z112" s="380">
        <f t="shared" si="37"/>
        <v>129.53270729365465</v>
      </c>
      <c r="AA112" s="381">
        <f t="shared" si="38"/>
        <v>137.51053577002401</v>
      </c>
      <c r="AB112" s="193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5.8016125322292847E-2</v>
      </c>
      <c r="AD112" s="227">
        <f>(INDEX(Models!$BJ112:$BT112,,AH112)*(1-AF112)+INDEX(Models!$BJ112:$BT112,,AH112+1)*AF112-ERP_i)*AE112*Ramure*Pc/MaxiM</f>
        <v>1.0385083121459783E-4</v>
      </c>
      <c r="AE112" s="301">
        <f t="shared" si="40"/>
        <v>0.5</v>
      </c>
      <c r="AF112" s="173">
        <f t="shared" si="41"/>
        <v>0.52381651757652015</v>
      </c>
      <c r="AG112" s="801">
        <f t="shared" si="49"/>
        <v>1</v>
      </c>
      <c r="AH112" s="172">
        <f t="shared" si="42"/>
        <v>7</v>
      </c>
      <c r="AI112" s="221">
        <f t="shared" si="43"/>
        <v>1.5238165175765201</v>
      </c>
      <c r="AJ112" s="261" t="b">
        <f t="shared" si="44"/>
        <v>0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45756</v>
      </c>
      <c r="B113" s="406">
        <f>'2024'!Wh/'2024'!Env_an*'2025'!Env_an</f>
        <v>141.0590064328112</v>
      </c>
      <c r="C113" s="385"/>
      <c r="D113" s="388">
        <f t="shared" si="25"/>
        <v>143.65468148522541</v>
      </c>
      <c r="E113" s="380">
        <f t="shared" si="47"/>
        <v>148.44447328859297</v>
      </c>
      <c r="F113" s="380">
        <f t="shared" si="26"/>
        <v>148.45248127384926</v>
      </c>
      <c r="G113" s="110">
        <f t="shared" si="48"/>
        <v>0.65673526032784546</v>
      </c>
      <c r="H113" s="409" t="b">
        <f>Wh_hp&gt;='2024'!Maxi_hp</f>
        <v>0</v>
      </c>
      <c r="I113" s="375">
        <f>IF(H113,Wh_hp,'2024'!Maxi_hp)</f>
        <v>148.46002089262618</v>
      </c>
      <c r="J113" s="85">
        <f>IF(H113,An,'2024'!An_max)</f>
        <v>2022</v>
      </c>
      <c r="K113" s="193">
        <f t="shared" si="27"/>
        <v>45756</v>
      </c>
      <c r="L113" s="143">
        <f>IF(t&lt;Tvie,1-EXP((T0-t)*PertePVj)+'2024'!Pspv,1-EXP((T0-t)*PertePVj)+Pspv)</f>
        <v>1.8068851119767859E-2</v>
      </c>
      <c r="M113" s="835"/>
      <c r="N113" s="835"/>
      <c r="O113" s="48">
        <f>IF(t&lt;Tnet,'2024'!Resal+('2024'!Salim-'2024'!Resal)*(1-EXP(('2024'!Tnet-t)/('2024'!Tau_j))),Resal+(Salim-Resal)*(1-EXP((Tnet-t)/(Tau_j))))*Salcycl</f>
        <v>3.2266555279937367E-2</v>
      </c>
      <c r="P113" s="165">
        <f>(INDEX(Models!$BJ113:$BT113,,T113)*(1-R113)+INDEX(Models!$BJ113:$BT113,,T113+1)*R113-ERP_i)*Q113*Ramure*Pc/MaxiM</f>
        <v>1.058391423212416E-4</v>
      </c>
      <c r="Q113" s="301">
        <f t="shared" si="28"/>
        <v>0.5</v>
      </c>
      <c r="R113" s="173">
        <f t="shared" si="29"/>
        <v>0.52517765656408621</v>
      </c>
      <c r="S113" s="801">
        <f t="shared" si="30"/>
        <v>1</v>
      </c>
      <c r="T113" s="172">
        <f t="shared" si="31"/>
        <v>7</v>
      </c>
      <c r="U113" s="247">
        <f t="shared" si="32"/>
        <v>1.5251776565640862</v>
      </c>
      <c r="V113" s="378">
        <f t="shared" si="33"/>
        <v>214.77708622135793</v>
      </c>
      <c r="W113" s="397">
        <f t="shared" si="34"/>
        <v>141.0590064328112</v>
      </c>
      <c r="X113" s="153">
        <f t="shared" si="35"/>
        <v>45756</v>
      </c>
      <c r="Y113" s="380">
        <f t="shared" si="36"/>
        <v>137.30028158562615</v>
      </c>
      <c r="Z113" s="380">
        <f t="shared" si="37"/>
        <v>139.8267910557677</v>
      </c>
      <c r="AA113" s="381">
        <f t="shared" si="38"/>
        <v>148.44447328859297</v>
      </c>
      <c r="AB113" s="193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5.8053237294132948E-2</v>
      </c>
      <c r="AD113" s="227">
        <f>(INDEX(Models!$BJ113:$BT113,,AH113)*(1-AF113)+INDEX(Models!$BJ113:$BT113,,AH113+1)*AF113-ERP_i)*AE113*Ramure*Pc/MaxiM</f>
        <v>1.058391423212416E-4</v>
      </c>
      <c r="AE113" s="301">
        <f t="shared" si="40"/>
        <v>0.5</v>
      </c>
      <c r="AF113" s="173">
        <f t="shared" si="41"/>
        <v>0.52517765656408621</v>
      </c>
      <c r="AG113" s="801">
        <f t="shared" si="49"/>
        <v>1</v>
      </c>
      <c r="AH113" s="172">
        <f t="shared" si="42"/>
        <v>7</v>
      </c>
      <c r="AI113" s="221">
        <f t="shared" si="43"/>
        <v>1.5251776565640862</v>
      </c>
      <c r="AJ113" s="261" t="b">
        <f t="shared" si="44"/>
        <v>0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45757</v>
      </c>
      <c r="B114" s="406">
        <f>'2024'!Wh/'2024'!Env_an*'2025'!Env_an</f>
        <v>220.2178711456755</v>
      </c>
      <c r="C114" s="385"/>
      <c r="D114" s="388">
        <f t="shared" si="25"/>
        <v>224.27324567084239</v>
      </c>
      <c r="E114" s="380">
        <f t="shared" si="47"/>
        <v>231.76543960831367</v>
      </c>
      <c r="F114" s="380">
        <f t="shared" si="26"/>
        <v>231.79044704559419</v>
      </c>
      <c r="G114" s="110">
        <f t="shared" si="48"/>
        <v>1.0212962014267877</v>
      </c>
      <c r="H114" s="409" t="b">
        <f>Wh_hp&gt;='2024'!Maxi_hp</f>
        <v>1</v>
      </c>
      <c r="I114" s="375">
        <f>IF(H114,Wh_hp,'2024'!Maxi_hp)</f>
        <v>231.79044704559419</v>
      </c>
      <c r="J114" s="85">
        <f>IF(H114,An,'2024'!An_max)</f>
        <v>2025</v>
      </c>
      <c r="K114" s="193">
        <f t="shared" si="27"/>
        <v>45757</v>
      </c>
      <c r="L114" s="143">
        <f>IF(t&lt;Tvie,1-EXP((T0-t)*PertePVj)+'2024'!Pspv,1-EXP((T0-t)*PertePVj)+Pspv)</f>
        <v>1.8082292932607769E-2</v>
      </c>
      <c r="M114" s="835"/>
      <c r="N114" s="835"/>
      <c r="O114" s="48">
        <f>IF(t&lt;Tnet,'2024'!Resal+('2024'!Salim-'2024'!Resal)*(1-EXP(('2024'!Tnet-t)/('2024'!Tau_j))),Resal+(Salim-Resal)*(1-EXP((Tnet-t)/(Tau_j))))*Salcycl</f>
        <v>3.2326622770561378E-2</v>
      </c>
      <c r="P114" s="165">
        <f>(INDEX(Models!$BJ114:$BT114,,T114)*(1-R114)+INDEX(Models!$BJ114:$BT114,,T114+1)*R114-ERP_i)*Q114*Ramure*Pc/MaxiM</f>
        <v>1.0788812739811403E-4</v>
      </c>
      <c r="Q114" s="301">
        <f t="shared" si="28"/>
        <v>0.5</v>
      </c>
      <c r="R114" s="173">
        <f t="shared" si="29"/>
        <v>0.52658746267042877</v>
      </c>
      <c r="S114" s="801">
        <f t="shared" si="30"/>
        <v>1</v>
      </c>
      <c r="T114" s="172">
        <f t="shared" si="31"/>
        <v>7</v>
      </c>
      <c r="U114" s="247">
        <f t="shared" si="32"/>
        <v>1.5265874626704288</v>
      </c>
      <c r="V114" s="378">
        <f t="shared" si="33"/>
        <v>215.6258594108381</v>
      </c>
      <c r="W114" s="397">
        <f t="shared" si="34"/>
        <v>220.2178711456755</v>
      </c>
      <c r="X114" s="153">
        <f t="shared" si="35"/>
        <v>45757</v>
      </c>
      <c r="Y114" s="380">
        <f t="shared" si="36"/>
        <v>214.35454659133745</v>
      </c>
      <c r="Z114" s="380">
        <f t="shared" si="37"/>
        <v>218.30194633268346</v>
      </c>
      <c r="AA114" s="381">
        <f t="shared" si="38"/>
        <v>231.76543960831367</v>
      </c>
      <c r="AB114" s="193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5.8091030735141928E-2</v>
      </c>
      <c r="AD114" s="227">
        <f>(INDEX(Models!$BJ114:$BT114,,AH114)*(1-AF114)+INDEX(Models!$BJ114:$BT114,,AH114+1)*AF114-ERP_i)*AE114*Ramure*Pc/MaxiM</f>
        <v>1.0788812739811403E-4</v>
      </c>
      <c r="AE114" s="301">
        <f t="shared" si="40"/>
        <v>0.5</v>
      </c>
      <c r="AF114" s="173">
        <f t="shared" si="41"/>
        <v>0.52658746267042877</v>
      </c>
      <c r="AG114" s="801">
        <f t="shared" si="49"/>
        <v>1</v>
      </c>
      <c r="AH114" s="172">
        <f t="shared" si="42"/>
        <v>7</v>
      </c>
      <c r="AI114" s="221">
        <f t="shared" si="43"/>
        <v>1.5265874626704288</v>
      </c>
      <c r="AJ114" s="261" t="b">
        <f t="shared" si="44"/>
        <v>0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45758</v>
      </c>
      <c r="B115" s="406">
        <f>'2024'!Wh/'2024'!Env_an*'2025'!Env_an</f>
        <v>177.11325384315032</v>
      </c>
      <c r="C115" s="385"/>
      <c r="D115" s="388">
        <f t="shared" si="25"/>
        <v>180.37731383521808</v>
      </c>
      <c r="E115" s="380">
        <f t="shared" si="47"/>
        <v>186.41473804939167</v>
      </c>
      <c r="F115" s="380">
        <f t="shared" si="26"/>
        <v>186.42991521906976</v>
      </c>
      <c r="G115" s="110">
        <f t="shared" si="48"/>
        <v>0.81822556045555705</v>
      </c>
      <c r="H115" s="409" t="b">
        <f>Wh_hp&gt;='2024'!Maxi_hp</f>
        <v>0</v>
      </c>
      <c r="I115" s="375">
        <f>IF(H115,Wh_hp,'2024'!Maxi_hp)</f>
        <v>186.43511486158815</v>
      </c>
      <c r="J115" s="85">
        <f>IF(H115,An,'2024'!An_max)</f>
        <v>2022</v>
      </c>
      <c r="K115" s="193">
        <f t="shared" si="27"/>
        <v>45758</v>
      </c>
      <c r="L115" s="143">
        <f>IF(t&lt;Tvie,1-EXP((T0-t)*PertePVj)+'2024'!Pspv,1-EXP((T0-t)*PertePVj)+Pspv)</f>
        <v>1.8095734561440535E-2</v>
      </c>
      <c r="M115" s="835"/>
      <c r="N115" s="835"/>
      <c r="O115" s="48">
        <f>IF(t&lt;Tnet,'2024'!Resal+('2024'!Salim-'2024'!Resal)*(1-EXP(('2024'!Tnet-t)/('2024'!Tau_j))),Resal+(Salim-Resal)*(1-EXP((Tnet-t)/(Tau_j))))*Salcycl</f>
        <v>3.2387054142542997E-2</v>
      </c>
      <c r="P115" s="165">
        <f>(INDEX(Models!$BJ115:$BT115,,T115)*(1-R115)+INDEX(Models!$BJ115:$BT115,,T115+1)*R115-ERP_i)*Q115*Ramure*Pc/MaxiM</f>
        <v>1.0996002212199605E-4</v>
      </c>
      <c r="Q115" s="301">
        <f t="shared" si="28"/>
        <v>0.5</v>
      </c>
      <c r="R115" s="173">
        <f t="shared" si="29"/>
        <v>0.52804733813632576</v>
      </c>
      <c r="S115" s="801">
        <f t="shared" si="30"/>
        <v>1</v>
      </c>
      <c r="T115" s="172">
        <f t="shared" si="31"/>
        <v>7</v>
      </c>
      <c r="U115" s="247">
        <f t="shared" si="32"/>
        <v>1.5280473381363258</v>
      </c>
      <c r="V115" s="378">
        <f t="shared" si="33"/>
        <v>216.45400158398473</v>
      </c>
      <c r="W115" s="397">
        <f t="shared" si="34"/>
        <v>177.11325384315032</v>
      </c>
      <c r="X115" s="153">
        <f t="shared" si="35"/>
        <v>45758</v>
      </c>
      <c r="Y115" s="380">
        <f t="shared" si="36"/>
        <v>172.40131588628591</v>
      </c>
      <c r="Z115" s="380">
        <f t="shared" si="37"/>
        <v>175.57853851391945</v>
      </c>
      <c r="AA115" s="381">
        <f t="shared" si="38"/>
        <v>186.41473804939167</v>
      </c>
      <c r="AB115" s="193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5.8129521564979941E-2</v>
      </c>
      <c r="AD115" s="227">
        <f>(INDEX(Models!$BJ115:$BT115,,AH115)*(1-AF115)+INDEX(Models!$BJ115:$BT115,,AH115+1)*AF115-ERP_i)*AE115*Ramure*Pc/MaxiM</f>
        <v>1.0996002212199605E-4</v>
      </c>
      <c r="AE115" s="301">
        <f t="shared" si="40"/>
        <v>0.5</v>
      </c>
      <c r="AF115" s="173">
        <f t="shared" si="41"/>
        <v>0.52804733813632576</v>
      </c>
      <c r="AG115" s="801">
        <f t="shared" si="49"/>
        <v>1</v>
      </c>
      <c r="AH115" s="172">
        <f t="shared" si="42"/>
        <v>7</v>
      </c>
      <c r="AI115" s="221">
        <f t="shared" si="43"/>
        <v>1.5280473381363258</v>
      </c>
      <c r="AJ115" s="261" t="b">
        <f t="shared" si="44"/>
        <v>0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45759</v>
      </c>
      <c r="B116" s="406">
        <f>'2024'!Wh/'2024'!Env_an*'2025'!Env_an</f>
        <v>148.29192052809179</v>
      </c>
      <c r="C116" s="385"/>
      <c r="D116" s="388">
        <f t="shared" si="25"/>
        <v>151.02689311723168</v>
      </c>
      <c r="E116" s="380">
        <f t="shared" si="47"/>
        <v>156.09173579753192</v>
      </c>
      <c r="F116" s="380">
        <f t="shared" si="26"/>
        <v>156.10129521025971</v>
      </c>
      <c r="G116" s="110">
        <f t="shared" si="48"/>
        <v>0.68251324414313652</v>
      </c>
      <c r="H116" s="409" t="b">
        <f>Wh_hp&gt;='2024'!Maxi_hp</f>
        <v>0</v>
      </c>
      <c r="I116" s="375">
        <f>IF(H116,Wh_hp,'2024'!Maxi_hp)</f>
        <v>156.10903736270134</v>
      </c>
      <c r="J116" s="85">
        <f>IF(H116,An,'2024'!An_max)</f>
        <v>2022</v>
      </c>
      <c r="K116" s="193">
        <f t="shared" si="27"/>
        <v>45759</v>
      </c>
      <c r="L116" s="143">
        <f>IF(t&lt;Tvie,1-EXP((T0-t)*PertePVj)+'2024'!Pspv,1-EXP((T0-t)*PertePVj)+Pspv)</f>
        <v>1.8109176006268823E-2</v>
      </c>
      <c r="M116" s="835"/>
      <c r="N116" s="835"/>
      <c r="O116" s="48">
        <f>IF(t&lt;Tnet,'2024'!Resal+('2024'!Salim-'2024'!Resal)*(1-EXP(('2024'!Tnet-t)/('2024'!Tau_j))),Resal+(Salim-Resal)*(1-EXP((Tnet-t)/(Tau_j))))*Salcycl</f>
        <v>3.2447859295189625E-2</v>
      </c>
      <c r="P116" s="165">
        <f>(INDEX(Models!$BJ116:$BT116,,T116)*(1-R116)+INDEX(Models!$BJ116:$BT116,,T116+1)*R116-ERP_i)*Q116*Ramure*Pc/MaxiM</f>
        <v>1.1205645721536542E-4</v>
      </c>
      <c r="Q116" s="301">
        <f t="shared" si="28"/>
        <v>0.5</v>
      </c>
      <c r="R116" s="173">
        <f t="shared" si="29"/>
        <v>0.52955869900495411</v>
      </c>
      <c r="S116" s="801">
        <f t="shared" si="30"/>
        <v>1</v>
      </c>
      <c r="T116" s="172">
        <f t="shared" si="31"/>
        <v>7</v>
      </c>
      <c r="U116" s="247">
        <f t="shared" si="32"/>
        <v>1.5295586990049541</v>
      </c>
      <c r="V116" s="378">
        <f t="shared" si="33"/>
        <v>217.26228091537044</v>
      </c>
      <c r="W116" s="397">
        <f t="shared" si="34"/>
        <v>148.29192052809179</v>
      </c>
      <c r="X116" s="153">
        <f t="shared" si="35"/>
        <v>45759</v>
      </c>
      <c r="Y116" s="380">
        <f t="shared" si="36"/>
        <v>144.34981094824875</v>
      </c>
      <c r="Z116" s="380">
        <f t="shared" si="37"/>
        <v>147.01207855382742</v>
      </c>
      <c r="AA116" s="381">
        <f t="shared" si="38"/>
        <v>156.09173579753192</v>
      </c>
      <c r="AB116" s="193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5.8168724931612098E-2</v>
      </c>
      <c r="AD116" s="227">
        <f>(INDEX(Models!$BJ116:$BT116,,AH116)*(1-AF116)+INDEX(Models!$BJ116:$BT116,,AH116+1)*AF116-ERP_i)*AE116*Ramure*Pc/MaxiM</f>
        <v>1.1205645721536542E-4</v>
      </c>
      <c r="AE116" s="301">
        <f t="shared" si="40"/>
        <v>0.5</v>
      </c>
      <c r="AF116" s="173">
        <f t="shared" si="41"/>
        <v>0.52955869900495411</v>
      </c>
      <c r="AG116" s="801">
        <f t="shared" si="49"/>
        <v>1</v>
      </c>
      <c r="AH116" s="172">
        <f t="shared" si="42"/>
        <v>7</v>
      </c>
      <c r="AI116" s="221">
        <f t="shared" si="43"/>
        <v>1.5295586990049541</v>
      </c>
      <c r="AJ116" s="261" t="b">
        <f t="shared" si="44"/>
        <v>0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45760</v>
      </c>
      <c r="B117" s="406">
        <f>'2024'!Wh/'2024'!Env_an*'2025'!Env_an</f>
        <v>24.601360040131624</v>
      </c>
      <c r="C117" s="385"/>
      <c r="D117" s="388">
        <f t="shared" si="25"/>
        <v>25.055430008640705</v>
      </c>
      <c r="E117" s="380">
        <f t="shared" si="47"/>
        <v>25.897327462705299</v>
      </c>
      <c r="F117" s="380">
        <f t="shared" si="26"/>
        <v>25.897327462705299</v>
      </c>
      <c r="G117" s="110">
        <f t="shared" si="48"/>
        <v>0.11281075790280555</v>
      </c>
      <c r="H117" s="409" t="b">
        <f>Wh_hp&gt;='2024'!Maxi_hp</f>
        <v>0</v>
      </c>
      <c r="I117" s="375">
        <f>IF(H117,Wh_hp,'2024'!Maxi_hp)</f>
        <v>25.900210588432266</v>
      </c>
      <c r="J117" s="85">
        <f>IF(H117,An,'2024'!An_max)</f>
        <v>2022</v>
      </c>
      <c r="K117" s="193">
        <f t="shared" si="27"/>
        <v>45760</v>
      </c>
      <c r="L117" s="143">
        <f>IF(t&lt;Tvie,1-EXP((T0-t)*PertePVj)+'2024'!Pspv,1-EXP((T0-t)*PertePVj)+Pspv)</f>
        <v>1.8122617267094965E-2</v>
      </c>
      <c r="M117" s="835"/>
      <c r="N117" s="835"/>
      <c r="O117" s="48">
        <f>IF(t&lt;Tnet,'2024'!Resal+('2024'!Salim-'2024'!Resal)*(1-EXP(('2024'!Tnet-t)/('2024'!Tau_j))),Resal+(Salim-Resal)*(1-EXP((Tnet-t)/(Tau_j))))*Salcycl</f>
        <v>3.2509047710695592E-2</v>
      </c>
      <c r="P117" s="165">
        <f>(INDEX(Models!$BJ117:$BT117,,T117)*(1-R117)+INDEX(Models!$BJ117:$BT117,,T117+1)*R117-ERP_i)*Q117*Ramure*Pc/MaxiM</f>
        <v>1.1417904659614588E-4</v>
      </c>
      <c r="Q117" s="301">
        <f t="shared" si="28"/>
        <v>0.5</v>
      </c>
      <c r="R117" s="173">
        <f t="shared" si="29"/>
        <v>0.53112297293787569</v>
      </c>
      <c r="S117" s="801">
        <f t="shared" si="30"/>
        <v>1</v>
      </c>
      <c r="T117" s="172">
        <f t="shared" si="31"/>
        <v>7</v>
      </c>
      <c r="U117" s="247">
        <f t="shared" si="32"/>
        <v>1.5311229729378757</v>
      </c>
      <c r="V117" s="378">
        <f t="shared" si="33"/>
        <v>218.0514654594437</v>
      </c>
      <c r="W117" s="397">
        <f t="shared" si="34"/>
        <v>24.601360040131624</v>
      </c>
      <c r="X117" s="153">
        <f t="shared" si="35"/>
        <v>45760</v>
      </c>
      <c r="Y117" s="380">
        <f t="shared" si="36"/>
        <v>23.947870418767891</v>
      </c>
      <c r="Z117" s="380">
        <f t="shared" si="37"/>
        <v>24.389878858511505</v>
      </c>
      <c r="AA117" s="381">
        <f t="shared" si="38"/>
        <v>25.897327462705299</v>
      </c>
      <c r="AB117" s="193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5.8208655173576013E-2</v>
      </c>
      <c r="AD117" s="227">
        <f>(INDEX(Models!$BJ117:$BT117,,AH117)*(1-AF117)+INDEX(Models!$BJ117:$BT117,,AH117+1)*AF117-ERP_i)*AE117*Ramure*Pc/MaxiM</f>
        <v>1.1417904659614588E-4</v>
      </c>
      <c r="AE117" s="301">
        <f t="shared" si="40"/>
        <v>0.5</v>
      </c>
      <c r="AF117" s="173">
        <f t="shared" si="41"/>
        <v>0.53112297293787569</v>
      </c>
      <c r="AG117" s="801">
        <f t="shared" si="49"/>
        <v>1</v>
      </c>
      <c r="AH117" s="172">
        <f t="shared" si="42"/>
        <v>7</v>
      </c>
      <c r="AI117" s="221">
        <f t="shared" si="43"/>
        <v>1.5311229729378757</v>
      </c>
      <c r="AJ117" s="261" t="b">
        <f t="shared" si="44"/>
        <v>0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45761</v>
      </c>
      <c r="B118" s="406">
        <f>'2024'!Wh/'2024'!Env_an*'2025'!Env_an</f>
        <v>176.61308854806353</v>
      </c>
      <c r="C118" s="385"/>
      <c r="D118" s="388">
        <f t="shared" si="25"/>
        <v>179.87531780643241</v>
      </c>
      <c r="E118" s="380">
        <f t="shared" si="47"/>
        <v>185.93121430092049</v>
      </c>
      <c r="F118" s="380">
        <f t="shared" si="26"/>
        <v>185.94688470313324</v>
      </c>
      <c r="G118" s="110">
        <f t="shared" si="48"/>
        <v>0.80708139861868466</v>
      </c>
      <c r="H118" s="409" t="b">
        <f>Wh_hp&gt;='2024'!Maxi_hp</f>
        <v>0</v>
      </c>
      <c r="I118" s="375">
        <f>IF(H118,Wh_hp,'2024'!Maxi_hp)</f>
        <v>185.95269093155864</v>
      </c>
      <c r="J118" s="85">
        <f>IF(H118,An,'2024'!An_max)</f>
        <v>2022</v>
      </c>
      <c r="K118" s="193">
        <f t="shared" si="27"/>
        <v>45761</v>
      </c>
      <c r="L118" s="143">
        <f>IF(t&lt;Tvie,1-EXP((T0-t)*PertePVj)+'2024'!Pspv,1-EXP((T0-t)*PertePVj)+Pspv)</f>
        <v>1.8136058343921513E-2</v>
      </c>
      <c r="M118" s="835"/>
      <c r="N118" s="835"/>
      <c r="O118" s="48">
        <f>IF(t&lt;Tnet,'2024'!Resal+('2024'!Salim-'2024'!Resal)*(1-EXP(('2024'!Tnet-t)/('2024'!Tau_j))),Resal+(Salim-Resal)*(1-EXP((Tnet-t)/(Tau_j))))*Salcycl</f>
        <v>3.2570628429753064E-2</v>
      </c>
      <c r="P118" s="165">
        <f>(INDEX(Models!$BJ118:$BT118,,T118)*(1-R118)+INDEX(Models!$BJ118:$BT118,,T118+1)*R118-ERP_i)*Q118*Ramure*Pc/MaxiM</f>
        <v>1.1632938641533288E-4</v>
      </c>
      <c r="Q118" s="301">
        <f t="shared" si="28"/>
        <v>0.5</v>
      </c>
      <c r="R118" s="173">
        <f t="shared" si="29"/>
        <v>0.53274159681743938</v>
      </c>
      <c r="S118" s="801">
        <f t="shared" si="30"/>
        <v>1</v>
      </c>
      <c r="T118" s="172">
        <f t="shared" si="31"/>
        <v>7</v>
      </c>
      <c r="U118" s="247">
        <f t="shared" si="32"/>
        <v>1.5327415968174394</v>
      </c>
      <c r="V118" s="378">
        <f t="shared" si="33"/>
        <v>218.82232311526306</v>
      </c>
      <c r="W118" s="397">
        <f t="shared" si="34"/>
        <v>176.61308854806353</v>
      </c>
      <c r="X118" s="153">
        <f t="shared" si="35"/>
        <v>45761</v>
      </c>
      <c r="Y118" s="380">
        <f t="shared" si="36"/>
        <v>171.9252072593014</v>
      </c>
      <c r="Z118" s="380">
        <f t="shared" si="37"/>
        <v>175.10084642615621</v>
      </c>
      <c r="AA118" s="381">
        <f t="shared" si="38"/>
        <v>185.93121430092049</v>
      </c>
      <c r="AB118" s="193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5.8249325781500334E-2</v>
      </c>
      <c r="AD118" s="227">
        <f>(INDEX(Models!$BJ118:$BT118,,AH118)*(1-AF118)+INDEX(Models!$BJ118:$BT118,,AH118+1)*AF118-ERP_i)*AE118*Ramure*Pc/MaxiM</f>
        <v>1.1632938641533288E-4</v>
      </c>
      <c r="AE118" s="301">
        <f t="shared" si="40"/>
        <v>0.5</v>
      </c>
      <c r="AF118" s="173">
        <f t="shared" si="41"/>
        <v>0.53274159681743938</v>
      </c>
      <c r="AG118" s="801">
        <f t="shared" si="49"/>
        <v>1</v>
      </c>
      <c r="AH118" s="172">
        <f t="shared" si="42"/>
        <v>7</v>
      </c>
      <c r="AI118" s="221">
        <f t="shared" si="43"/>
        <v>1.5327415968174394</v>
      </c>
      <c r="AJ118" s="261" t="b">
        <f t="shared" si="44"/>
        <v>0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45762</v>
      </c>
      <c r="B119" s="406">
        <f>'2024'!Wh/'2024'!Env_an*'2025'!Env_an</f>
        <v>186.46612667039469</v>
      </c>
      <c r="C119" s="385"/>
      <c r="D119" s="388">
        <f t="shared" si="25"/>
        <v>189.9129516412568</v>
      </c>
      <c r="E119" s="380">
        <f t="shared" si="47"/>
        <v>196.3193649172442</v>
      </c>
      <c r="F119" s="380">
        <f t="shared" si="26"/>
        <v>196.33762053684018</v>
      </c>
      <c r="G119" s="110">
        <f t="shared" si="48"/>
        <v>0.84918974443213324</v>
      </c>
      <c r="H119" s="409" t="b">
        <f>Wh_hp&gt;='2024'!Maxi_hp</f>
        <v>0</v>
      </c>
      <c r="I119" s="375">
        <f>IF(H119,Wh_hp,'2024'!Maxi_hp)</f>
        <v>196.34249793514525</v>
      </c>
      <c r="J119" s="85">
        <f>IF(H119,An,'2024'!An_max)</f>
        <v>2022</v>
      </c>
      <c r="K119" s="193">
        <f t="shared" si="27"/>
        <v>45762</v>
      </c>
      <c r="L119" s="143">
        <f>IF(t&lt;Tvie,1-EXP((T0-t)*PertePVj)+'2024'!Pspv,1-EXP((T0-t)*PertePVj)+Pspv)</f>
        <v>1.814949923675091E-2</v>
      </c>
      <c r="M119" s="835"/>
      <c r="N119" s="835"/>
      <c r="O119" s="48">
        <f>IF(t&lt;Tnet,'2024'!Resal+('2024'!Salim-'2024'!Resal)*(1-EXP(('2024'!Tnet-t)/('2024'!Tau_j))),Resal+(Salim-Resal)*(1-EXP((Tnet-t)/(Tau_j))))*Salcycl</f>
        <v>3.2632610026463414E-2</v>
      </c>
      <c r="P119" s="165">
        <f>(INDEX(Models!$BJ119:$BT119,,T119)*(1-R119)+INDEX(Models!$BJ119:$BT119,,T119+1)*R119-ERP_i)*Q119*Ramure*Pc/MaxiM</f>
        <v>1.1850905382982462E-4</v>
      </c>
      <c r="Q119" s="301">
        <f t="shared" si="28"/>
        <v>0.5</v>
      </c>
      <c r="R119" s="173">
        <f t="shared" si="29"/>
        <v>0.53441601412697071</v>
      </c>
      <c r="S119" s="801">
        <f t="shared" si="30"/>
        <v>1</v>
      </c>
      <c r="T119" s="172">
        <f t="shared" si="31"/>
        <v>7</v>
      </c>
      <c r="U119" s="247">
        <f t="shared" si="32"/>
        <v>1.5344160141269707</v>
      </c>
      <c r="V119" s="378">
        <f t="shared" si="33"/>
        <v>219.57562168731786</v>
      </c>
      <c r="W119" s="397">
        <f t="shared" si="34"/>
        <v>186.46612667039469</v>
      </c>
      <c r="X119" s="153">
        <f t="shared" si="35"/>
        <v>45762</v>
      </c>
      <c r="Y119" s="380">
        <f t="shared" si="36"/>
        <v>181.52035952088684</v>
      </c>
      <c r="Z119" s="380">
        <f t="shared" si="37"/>
        <v>184.87576202260993</v>
      </c>
      <c r="AA119" s="381">
        <f t="shared" si="38"/>
        <v>196.3193649172442</v>
      </c>
      <c r="AB119" s="193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5.8290749358618534E-2</v>
      </c>
      <c r="AD119" s="227">
        <f>(INDEX(Models!$BJ119:$BT119,,AH119)*(1-AF119)+INDEX(Models!$BJ119:$BT119,,AH119+1)*AF119-ERP_i)*AE119*Ramure*Pc/MaxiM</f>
        <v>1.1850905382982462E-4</v>
      </c>
      <c r="AE119" s="301">
        <f t="shared" si="40"/>
        <v>0.5</v>
      </c>
      <c r="AF119" s="173">
        <f t="shared" si="41"/>
        <v>0.53441601412697071</v>
      </c>
      <c r="AG119" s="801">
        <f t="shared" si="49"/>
        <v>1</v>
      </c>
      <c r="AH119" s="172">
        <f t="shared" si="42"/>
        <v>7</v>
      </c>
      <c r="AI119" s="221">
        <f t="shared" si="43"/>
        <v>1.5344160141269707</v>
      </c>
      <c r="AJ119" s="261" t="b">
        <f t="shared" si="44"/>
        <v>0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45763</v>
      </c>
      <c r="B120" s="406">
        <f>'2024'!Wh/'2024'!Env_an*'2025'!Env_an</f>
        <v>187.58998557654999</v>
      </c>
      <c r="C120" s="385"/>
      <c r="D120" s="388">
        <f t="shared" si="25"/>
        <v>191.06020052467119</v>
      </c>
      <c r="E120" s="380">
        <f t="shared" si="47"/>
        <v>197.51805339547434</v>
      </c>
      <c r="F120" s="380">
        <f t="shared" si="26"/>
        <v>197.53684018990865</v>
      </c>
      <c r="G120" s="110">
        <f t="shared" si="48"/>
        <v>0.85145189737029592</v>
      </c>
      <c r="H120" s="409" t="b">
        <f>Wh_hp&gt;='2024'!Maxi_hp</f>
        <v>0</v>
      </c>
      <c r="I120" s="375">
        <f>IF(H120,Wh_hp,'2024'!Maxi_hp)</f>
        <v>197.54175886779768</v>
      </c>
      <c r="J120" s="85">
        <f>IF(H120,An,'2024'!An_max)</f>
        <v>2022</v>
      </c>
      <c r="K120" s="193">
        <f t="shared" si="27"/>
        <v>45763</v>
      </c>
      <c r="L120" s="143">
        <f>IF(t&lt;Tvie,1-EXP((T0-t)*PertePVj)+'2024'!Pspv,1-EXP((T0-t)*PertePVj)+Pspv)</f>
        <v>1.8162939945585932E-2</v>
      </c>
      <c r="M120" s="835"/>
      <c r="N120" s="835"/>
      <c r="O120" s="48">
        <f>IF(t&lt;Tnet,'2024'!Resal+('2024'!Salim-'2024'!Resal)*(1-EXP(('2024'!Tnet-t)/('2024'!Tau_j))),Resal+(Salim-Resal)*(1-EXP((Tnet-t)/(Tau_j))))*Salcycl</f>
        <v>3.2695000582418282E-2</v>
      </c>
      <c r="P120" s="165">
        <f>(INDEX(Models!$BJ120:$BT120,,T120)*(1-R120)+INDEX(Models!$BJ120:$BT120,,T120+1)*R120-ERP_i)*Q120*Ramure*Pc/MaxiM</f>
        <v>1.2071960559480307E-4</v>
      </c>
      <c r="Q120" s="301">
        <f t="shared" si="28"/>
        <v>0.5</v>
      </c>
      <c r="R120" s="173">
        <f t="shared" si="29"/>
        <v>0.53614767210061309</v>
      </c>
      <c r="S120" s="801">
        <f t="shared" si="30"/>
        <v>1</v>
      </c>
      <c r="T120" s="172">
        <f t="shared" si="31"/>
        <v>7</v>
      </c>
      <c r="U120" s="247">
        <f t="shared" si="32"/>
        <v>1.5361476721006131</v>
      </c>
      <c r="V120" s="378">
        <f t="shared" si="33"/>
        <v>220.31212885420163</v>
      </c>
      <c r="W120" s="397">
        <f t="shared" si="34"/>
        <v>187.58998557654999</v>
      </c>
      <c r="X120" s="153">
        <f t="shared" si="35"/>
        <v>45763</v>
      </c>
      <c r="Y120" s="380">
        <f t="shared" si="36"/>
        <v>182.61800648567962</v>
      </c>
      <c r="Z120" s="380">
        <f t="shared" si="37"/>
        <v>185.99624511582277</v>
      </c>
      <c r="AA120" s="381">
        <f t="shared" si="38"/>
        <v>197.51805339547434</v>
      </c>
      <c r="AB120" s="193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5.8332937580051973E-2</v>
      </c>
      <c r="AD120" s="227">
        <f>(INDEX(Models!$BJ120:$BT120,,AH120)*(1-AF120)+INDEX(Models!$BJ120:$BT120,,AH120+1)*AF120-ERP_i)*AE120*Ramure*Pc/MaxiM</f>
        <v>1.2071960559480307E-4</v>
      </c>
      <c r="AE120" s="301">
        <f t="shared" si="40"/>
        <v>0.5</v>
      </c>
      <c r="AF120" s="173">
        <f t="shared" si="41"/>
        <v>0.53614767210061309</v>
      </c>
      <c r="AG120" s="801">
        <f t="shared" si="49"/>
        <v>1</v>
      </c>
      <c r="AH120" s="172">
        <f t="shared" si="42"/>
        <v>7</v>
      </c>
      <c r="AI120" s="221">
        <f t="shared" si="43"/>
        <v>1.5361476721006131</v>
      </c>
      <c r="AJ120" s="261" t="b">
        <f t="shared" si="44"/>
        <v>0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45764</v>
      </c>
      <c r="B121" s="406">
        <f>'2024'!Wh/'2024'!Env_an*'2025'!Env_an</f>
        <v>225.03414122842963</v>
      </c>
      <c r="C121" s="385"/>
      <c r="D121" s="388">
        <f t="shared" si="25"/>
        <v>229.20017073560726</v>
      </c>
      <c r="E121" s="380">
        <f t="shared" si="47"/>
        <v>236.96254418045683</v>
      </c>
      <c r="F121" s="380">
        <f t="shared" si="26"/>
        <v>236.99168583798047</v>
      </c>
      <c r="G121" s="110">
        <f t="shared" si="48"/>
        <v>1.0181229862172456</v>
      </c>
      <c r="H121" s="409" t="b">
        <f>Wh_hp&gt;='2024'!Maxi_hp</f>
        <v>1</v>
      </c>
      <c r="I121" s="375">
        <f>IF(H121,Wh_hp,'2024'!Maxi_hp)</f>
        <v>236.99168583798047</v>
      </c>
      <c r="J121" s="85">
        <f>IF(H121,An,'2024'!An_max)</f>
        <v>2025</v>
      </c>
      <c r="K121" s="193">
        <f t="shared" si="27"/>
        <v>45764</v>
      </c>
      <c r="L121" s="143">
        <f>IF(t&lt;Tvie,1-EXP((T0-t)*PertePVj)+'2024'!Pspv,1-EXP((T0-t)*PertePVj)+Pspv)</f>
        <v>1.8176380470428799E-2</v>
      </c>
      <c r="M121" s="835"/>
      <c r="N121" s="835"/>
      <c r="O121" s="48">
        <f>IF(t&lt;Tnet,'2024'!Resal+('2024'!Salim-'2024'!Resal)*(1-EXP(('2024'!Tnet-t)/('2024'!Tau_j))),Resal+(Salim-Resal)*(1-EXP((Tnet-t)/(Tau_j))))*Salcycl</f>
        <v>3.2757807659839301E-2</v>
      </c>
      <c r="P121" s="165">
        <f>(INDEX(Models!$BJ121:$BT121,,T121)*(1-R121)+INDEX(Models!$BJ121:$BT121,,T121+1)*R121-ERP_i)*Q121*Ramure*Pc/MaxiM</f>
        <v>1.2296489398181046E-4</v>
      </c>
      <c r="Q121" s="301">
        <f t="shared" si="28"/>
        <v>0.5</v>
      </c>
      <c r="R121" s="173">
        <f t="shared" si="29"/>
        <v>0.53793801863529001</v>
      </c>
      <c r="S121" s="801">
        <f t="shared" si="30"/>
        <v>1</v>
      </c>
      <c r="T121" s="172">
        <f t="shared" si="31"/>
        <v>7</v>
      </c>
      <c r="U121" s="247">
        <f t="shared" si="32"/>
        <v>1.53793801863529</v>
      </c>
      <c r="V121" s="378">
        <f t="shared" si="33"/>
        <v>221.02844575243896</v>
      </c>
      <c r="W121" s="397">
        <f t="shared" si="34"/>
        <v>225.03414122842963</v>
      </c>
      <c r="X121" s="153">
        <f t="shared" si="35"/>
        <v>45764</v>
      </c>
      <c r="Y121" s="380">
        <f t="shared" si="36"/>
        <v>219.07395285547261</v>
      </c>
      <c r="Z121" s="380">
        <f t="shared" si="37"/>
        <v>223.12964212496661</v>
      </c>
      <c r="AA121" s="381">
        <f t="shared" si="38"/>
        <v>236.96254418045683</v>
      </c>
      <c r="AB121" s="193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5.8375901150672461E-2</v>
      </c>
      <c r="AD121" s="227">
        <f>(INDEX(Models!$BJ121:$BT121,,AH121)*(1-AF121)+INDEX(Models!$BJ121:$BT121,,AH121+1)*AF121-ERP_i)*AE121*Ramure*Pc/MaxiM</f>
        <v>1.2296489398181046E-4</v>
      </c>
      <c r="AE121" s="301">
        <f t="shared" si="40"/>
        <v>0.5</v>
      </c>
      <c r="AF121" s="173">
        <f t="shared" si="41"/>
        <v>0.53793801863529001</v>
      </c>
      <c r="AG121" s="801">
        <f t="shared" si="49"/>
        <v>1</v>
      </c>
      <c r="AH121" s="172">
        <f t="shared" si="42"/>
        <v>7</v>
      </c>
      <c r="AI121" s="221">
        <f t="shared" si="43"/>
        <v>1.53793801863529</v>
      </c>
      <c r="AJ121" s="261" t="b">
        <f t="shared" si="44"/>
        <v>0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45765</v>
      </c>
      <c r="B122" s="406">
        <f>'2024'!Wh/'2024'!Env_an*'2025'!Env_an</f>
        <v>166.07785807052062</v>
      </c>
      <c r="C122" s="385"/>
      <c r="D122" s="388">
        <f t="shared" si="25"/>
        <v>169.15475271172363</v>
      </c>
      <c r="E122" s="380">
        <f t="shared" si="47"/>
        <v>174.89498780018968</v>
      </c>
      <c r="F122" s="380">
        <f t="shared" si="26"/>
        <v>174.90902529985027</v>
      </c>
      <c r="G122" s="110">
        <f t="shared" si="48"/>
        <v>0.74900491493520804</v>
      </c>
      <c r="H122" s="409" t="b">
        <f>Wh_hp&gt;='2024'!Maxi_hp</f>
        <v>0</v>
      </c>
      <c r="I122" s="375">
        <f>IF(H122,Wh_hp,'2024'!Maxi_hp)</f>
        <v>174.91663566375686</v>
      </c>
      <c r="J122" s="85">
        <f>IF(H122,An,'2024'!An_max)</f>
        <v>2022</v>
      </c>
      <c r="K122" s="193">
        <f t="shared" si="27"/>
        <v>45765</v>
      </c>
      <c r="L122" s="143">
        <f>IF(t&lt;Tvie,1-EXP((T0-t)*PertePVj)+'2024'!Pspv,1-EXP((T0-t)*PertePVj)+Pspv)</f>
        <v>1.8189820811282287E-2</v>
      </c>
      <c r="M122" s="835"/>
      <c r="N122" s="835"/>
      <c r="O122" s="48">
        <f>IF(t&lt;Tnet,'2024'!Resal+('2024'!Salim-'2024'!Resal)*(1-EXP(('2024'!Tnet-t)/('2024'!Tau_j))),Resal+(Salim-Resal)*(1-EXP((Tnet-t)/(Tau_j))))*Salcycl</f>
        <v>3.2821038273687111E-2</v>
      </c>
      <c r="P122" s="165">
        <f>(INDEX(Models!$BJ122:$BT122,,T122)*(1-R122)+INDEX(Models!$BJ122:$BT122,,T122+1)*R122-ERP_i)*Q122*Ramure*Pc/MaxiM</f>
        <v>1.251099890778788E-4</v>
      </c>
      <c r="Q122" s="301">
        <f t="shared" si="28"/>
        <v>0.5</v>
      </c>
      <c r="R122" s="173">
        <f t="shared" si="29"/>
        <v>0.53978849895801284</v>
      </c>
      <c r="S122" s="801">
        <f t="shared" si="30"/>
        <v>1</v>
      </c>
      <c r="T122" s="172">
        <f t="shared" si="31"/>
        <v>7</v>
      </c>
      <c r="U122" s="247">
        <f t="shared" si="32"/>
        <v>1.5397884989580128</v>
      </c>
      <c r="V122" s="378">
        <f t="shared" si="33"/>
        <v>221.72138647907065</v>
      </c>
      <c r="W122" s="397">
        <f t="shared" si="34"/>
        <v>166.07785807052062</v>
      </c>
      <c r="X122" s="153">
        <f t="shared" si="35"/>
        <v>45765</v>
      </c>
      <c r="Y122" s="380">
        <f t="shared" si="36"/>
        <v>161.68222630670539</v>
      </c>
      <c r="Z122" s="380">
        <f t="shared" si="37"/>
        <v>164.6776838678791</v>
      </c>
      <c r="AA122" s="381">
        <f t="shared" si="38"/>
        <v>174.89498780018968</v>
      </c>
      <c r="AB122" s="193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5.841964976139527E-2</v>
      </c>
      <c r="AD122" s="227">
        <f>(INDEX(Models!$BJ122:$BT122,,AH122)*(1-AF122)+INDEX(Models!$BJ122:$BT122,,AH122+1)*AF122-ERP_i)*AE122*Ramure*Pc/MaxiM</f>
        <v>1.251099890778788E-4</v>
      </c>
      <c r="AE122" s="301">
        <f t="shared" si="40"/>
        <v>0.5</v>
      </c>
      <c r="AF122" s="173">
        <f t="shared" si="41"/>
        <v>0.53978849895801284</v>
      </c>
      <c r="AG122" s="801">
        <f t="shared" si="49"/>
        <v>1</v>
      </c>
      <c r="AH122" s="172">
        <f t="shared" si="42"/>
        <v>7</v>
      </c>
      <c r="AI122" s="221">
        <f t="shared" si="43"/>
        <v>1.5397884989580128</v>
      </c>
      <c r="AJ122" s="261" t="b">
        <f t="shared" si="44"/>
        <v>0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45766</v>
      </c>
      <c r="B123" s="406">
        <f>'2024'!Wh/'2024'!Env_an*'2025'!Env_an</f>
        <v>37.511179313600231</v>
      </c>
      <c r="C123" s="385"/>
      <c r="D123" s="388">
        <f t="shared" si="25"/>
        <v>38.206665211161699</v>
      </c>
      <c r="E123" s="380">
        <f t="shared" si="47"/>
        <v>39.505801600109919</v>
      </c>
      <c r="F123" s="380">
        <f t="shared" si="26"/>
        <v>39.505801600109919</v>
      </c>
      <c r="G123" s="110">
        <f t="shared" si="48"/>
        <v>0.16865000025516699</v>
      </c>
      <c r="H123" s="409" t="b">
        <f>Wh_hp&gt;='2024'!Maxi_hp</f>
        <v>0</v>
      </c>
      <c r="I123" s="375">
        <f>IF(H123,Wh_hp,'2024'!Maxi_hp)</f>
        <v>39.510665427940808</v>
      </c>
      <c r="J123" s="85">
        <f>IF(H123,An,'2024'!An_max)</f>
        <v>2022</v>
      </c>
      <c r="K123" s="193">
        <f t="shared" si="27"/>
        <v>45766</v>
      </c>
      <c r="L123" s="143">
        <f>IF(t&lt;Tvie,1-EXP((T0-t)*PertePVj)+'2024'!Pspv,1-EXP((T0-t)*PertePVj)+Pspv)</f>
        <v>1.8203260968148727E-2</v>
      </c>
      <c r="M123" s="835"/>
      <c r="N123" s="835"/>
      <c r="O123" s="48">
        <f>IF(t&lt;Tnet,'2024'!Resal+('2024'!Salim-'2024'!Resal)*(1-EXP(('2024'!Tnet-t)/('2024'!Tau_j))),Resal+(Salim-Resal)*(1-EXP((Tnet-t)/(Tau_j))))*Salcycl</f>
        <v>3.2884698862675504E-2</v>
      </c>
      <c r="P123" s="165">
        <f>(INDEX(Models!$BJ123:$BT123,,T123)*(1-R123)+INDEX(Models!$BJ123:$BT123,,T123+1)*R123-ERP_i)*Q123*Ramure*Pc/MaxiM</f>
        <v>1.2706003210249733E-4</v>
      </c>
      <c r="Q123" s="301">
        <f t="shared" si="28"/>
        <v>0.5</v>
      </c>
      <c r="R123" s="173">
        <f t="shared" si="29"/>
        <v>0.54170055204264966</v>
      </c>
      <c r="S123" s="801">
        <f t="shared" si="30"/>
        <v>1</v>
      </c>
      <c r="T123" s="172">
        <f t="shared" si="31"/>
        <v>7</v>
      </c>
      <c r="U123" s="247">
        <f t="shared" si="32"/>
        <v>1.5417005520426497</v>
      </c>
      <c r="V123" s="378">
        <f t="shared" si="33"/>
        <v>222.39201354998721</v>
      </c>
      <c r="W123" s="397">
        <f t="shared" si="34"/>
        <v>37.511179313600231</v>
      </c>
      <c r="X123" s="153">
        <f t="shared" si="35"/>
        <v>45766</v>
      </c>
      <c r="Y123" s="380">
        <f t="shared" si="36"/>
        <v>36.519036024852987</v>
      </c>
      <c r="Z123" s="380">
        <f t="shared" si="37"/>
        <v>37.196126828516839</v>
      </c>
      <c r="AA123" s="381">
        <f t="shared" si="38"/>
        <v>39.505801600109919</v>
      </c>
      <c r="AB123" s="193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5.8464192043799879E-2</v>
      </c>
      <c r="AD123" s="227">
        <f>(INDEX(Models!$BJ123:$BT123,,AH123)*(1-AF123)+INDEX(Models!$BJ123:$BT123,,AH123+1)*AF123-ERP_i)*AE123*Ramure*Pc/MaxiM</f>
        <v>1.2706003210249733E-4</v>
      </c>
      <c r="AE123" s="301">
        <f t="shared" si="40"/>
        <v>0.5</v>
      </c>
      <c r="AF123" s="173">
        <f t="shared" si="41"/>
        <v>0.54170055204264966</v>
      </c>
      <c r="AG123" s="801">
        <f t="shared" si="49"/>
        <v>1</v>
      </c>
      <c r="AH123" s="172">
        <f t="shared" si="42"/>
        <v>7</v>
      </c>
      <c r="AI123" s="221">
        <f t="shared" si="43"/>
        <v>1.5417005520426497</v>
      </c>
      <c r="AJ123" s="261" t="b">
        <f t="shared" si="44"/>
        <v>0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45767</v>
      </c>
      <c r="B124" s="406">
        <f>'2024'!Wh/'2024'!Env_an*'2025'!Env_an</f>
        <v>42.542271202886567</v>
      </c>
      <c r="C124" s="385"/>
      <c r="D124" s="388">
        <f t="shared" si="25"/>
        <v>43.331630558049788</v>
      </c>
      <c r="E124" s="380">
        <f t="shared" si="47"/>
        <v>44.808000182019306</v>
      </c>
      <c r="F124" s="380">
        <f t="shared" si="26"/>
        <v>44.808000182019306</v>
      </c>
      <c r="G124" s="110">
        <f t="shared" si="48"/>
        <v>0.190712563435498</v>
      </c>
      <c r="H124" s="409" t="b">
        <f>Wh_hp&gt;='2024'!Maxi_hp</f>
        <v>0</v>
      </c>
      <c r="I124" s="375">
        <f>IF(H124,Wh_hp,'2024'!Maxi_hp)</f>
        <v>44.813586575905077</v>
      </c>
      <c r="J124" s="85">
        <f>IF(H124,An,'2024'!An_max)</f>
        <v>2022</v>
      </c>
      <c r="K124" s="193">
        <f t="shared" si="27"/>
        <v>45767</v>
      </c>
      <c r="L124" s="143">
        <f>IF(t&lt;Tvie,1-EXP((T0-t)*PertePVj)+'2024'!Pspv,1-EXP((T0-t)*PertePVj)+Pspv)</f>
        <v>1.8216700941030783E-2</v>
      </c>
      <c r="M124" s="835"/>
      <c r="N124" s="835"/>
      <c r="O124" s="48">
        <f>IF(t&lt;Tnet,'2024'!Resal+('2024'!Salim-'2024'!Resal)*(1-EXP(('2024'!Tnet-t)/('2024'!Tau_j))),Resal+(Salim-Resal)*(1-EXP((Tnet-t)/(Tau_j))))*Salcycl</f>
        <v>3.2948795259154624E-2</v>
      </c>
      <c r="P124" s="165">
        <f>(INDEX(Models!$BJ124:$BT124,,T124)*(1-R124)+INDEX(Models!$BJ124:$BT124,,T124+1)*R124-ERP_i)*Q124*Ramure*Pc/MaxiM</f>
        <v>1.2881442197205459E-4</v>
      </c>
      <c r="Q124" s="301">
        <f t="shared" si="28"/>
        <v>0.5</v>
      </c>
      <c r="R124" s="173">
        <f t="shared" si="29"/>
        <v>0.54367560677131888</v>
      </c>
      <c r="S124" s="801">
        <f t="shared" si="30"/>
        <v>1</v>
      </c>
      <c r="T124" s="172">
        <f t="shared" si="31"/>
        <v>7</v>
      </c>
      <c r="U124" s="247">
        <f t="shared" si="32"/>
        <v>1.5436756067713189</v>
      </c>
      <c r="V124" s="378">
        <f t="shared" si="33"/>
        <v>223.04136853154301</v>
      </c>
      <c r="W124" s="397">
        <f t="shared" si="34"/>
        <v>42.542271202886567</v>
      </c>
      <c r="X124" s="153">
        <f t="shared" si="35"/>
        <v>45767</v>
      </c>
      <c r="Y124" s="380">
        <f t="shared" si="36"/>
        <v>41.417809603416707</v>
      </c>
      <c r="Z124" s="380">
        <f t="shared" si="37"/>
        <v>42.186304903653706</v>
      </c>
      <c r="AA124" s="381">
        <f t="shared" si="38"/>
        <v>44.808000182019306</v>
      </c>
      <c r="AB124" s="193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5.850953552302577E-2</v>
      </c>
      <c r="AD124" s="227">
        <f>(INDEX(Models!$BJ124:$BT124,,AH124)*(1-AF124)+INDEX(Models!$BJ124:$BT124,,AH124+1)*AF124-ERP_i)*AE124*Ramure*Pc/MaxiM</f>
        <v>1.2881442197205459E-4</v>
      </c>
      <c r="AE124" s="301">
        <f t="shared" si="40"/>
        <v>0.5</v>
      </c>
      <c r="AF124" s="173">
        <f t="shared" si="41"/>
        <v>0.54367560677131888</v>
      </c>
      <c r="AG124" s="801">
        <f t="shared" si="49"/>
        <v>1</v>
      </c>
      <c r="AH124" s="172">
        <f t="shared" si="42"/>
        <v>7</v>
      </c>
      <c r="AI124" s="221">
        <f t="shared" si="43"/>
        <v>1.5436756067713189</v>
      </c>
      <c r="AJ124" s="261" t="b">
        <f t="shared" si="44"/>
        <v>0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45768</v>
      </c>
      <c r="B125" s="406">
        <f>'2024'!Wh/'2024'!Env_an*'2025'!Env_an</f>
        <v>37.909944288840443</v>
      </c>
      <c r="C125" s="385"/>
      <c r="D125" s="388">
        <f t="shared" si="25"/>
        <v>38.613880769395287</v>
      </c>
      <c r="E125" s="380">
        <f t="shared" si="47"/>
        <v>39.932174944592859</v>
      </c>
      <c r="F125" s="380">
        <f t="shared" si="26"/>
        <v>39.932174944592859</v>
      </c>
      <c r="G125" s="110">
        <f t="shared" si="48"/>
        <v>0.16946804827363654</v>
      </c>
      <c r="H125" s="409" t="b">
        <f>Wh_hp&gt;='2024'!Maxi_hp</f>
        <v>0</v>
      </c>
      <c r="I125" s="375">
        <f>IF(H125,Wh_hp,'2024'!Maxi_hp)</f>
        <v>39.937207740527782</v>
      </c>
      <c r="J125" s="85">
        <f>IF(H125,An,'2024'!An_max)</f>
        <v>2022</v>
      </c>
      <c r="K125" s="193">
        <f t="shared" si="27"/>
        <v>45768</v>
      </c>
      <c r="L125" s="143">
        <f>IF(t&lt;Tvie,1-EXP((T0-t)*PertePVj)+'2024'!Pspv,1-EXP((T0-t)*PertePVj)+Pspv)</f>
        <v>1.8230140729930788E-2</v>
      </c>
      <c r="M125" s="835"/>
      <c r="N125" s="835"/>
      <c r="O125" s="48">
        <f>IF(t&lt;Tnet,'2024'!Resal+('2024'!Salim-'2024'!Resal)*(1-EXP(('2024'!Tnet-t)/('2024'!Tau_j))),Resal+(Salim-Resal)*(1-EXP((Tnet-t)/(Tau_j))))*Salcycl</f>
        <v>3.3013332657856546E-2</v>
      </c>
      <c r="P125" s="165">
        <f>(INDEX(Models!$BJ125:$BT125,,T125)*(1-R125)+INDEX(Models!$BJ125:$BT125,,T125+1)*R125-ERP_i)*Q125*Ramure*Pc/MaxiM</f>
        <v>1.3037241960451836E-4</v>
      </c>
      <c r="Q125" s="301">
        <f t="shared" si="28"/>
        <v>0.5</v>
      </c>
      <c r="R125" s="173">
        <f t="shared" si="29"/>
        <v>0.54571507783679207</v>
      </c>
      <c r="S125" s="801">
        <f t="shared" si="30"/>
        <v>1</v>
      </c>
      <c r="T125" s="172">
        <f t="shared" si="31"/>
        <v>7</v>
      </c>
      <c r="U125" s="247">
        <f t="shared" si="32"/>
        <v>1.5457150778367921</v>
      </c>
      <c r="V125" s="378">
        <f t="shared" si="33"/>
        <v>223.67049283810724</v>
      </c>
      <c r="W125" s="397">
        <f t="shared" si="34"/>
        <v>37.909944288840443</v>
      </c>
      <c r="X125" s="153">
        <f t="shared" si="35"/>
        <v>45768</v>
      </c>
      <c r="Y125" s="380">
        <f t="shared" si="36"/>
        <v>36.908576590114393</v>
      </c>
      <c r="Z125" s="380">
        <f t="shared" si="37"/>
        <v>37.593919024521036</v>
      </c>
      <c r="AA125" s="381">
        <f t="shared" si="38"/>
        <v>39.932174944592859</v>
      </c>
      <c r="AB125" s="193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5.8555686568944061E-2</v>
      </c>
      <c r="AD125" s="227">
        <f>(INDEX(Models!$BJ125:$BT125,,AH125)*(1-AF125)+INDEX(Models!$BJ125:$BT125,,AH125+1)*AF125-ERP_i)*AE125*Ramure*Pc/MaxiM</f>
        <v>1.3037241960451836E-4</v>
      </c>
      <c r="AE125" s="301">
        <f t="shared" si="40"/>
        <v>0.5</v>
      </c>
      <c r="AF125" s="173">
        <f t="shared" si="41"/>
        <v>0.54571507783679207</v>
      </c>
      <c r="AG125" s="801">
        <f t="shared" si="49"/>
        <v>1</v>
      </c>
      <c r="AH125" s="172">
        <f t="shared" si="42"/>
        <v>7</v>
      </c>
      <c r="AI125" s="221">
        <f t="shared" si="43"/>
        <v>1.5457150778367921</v>
      </c>
      <c r="AJ125" s="261" t="b">
        <f t="shared" si="44"/>
        <v>0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45769</v>
      </c>
      <c r="B126" s="406">
        <f>'2024'!Wh/'2024'!Env_an*'2025'!Env_an</f>
        <v>115.35724489302073</v>
      </c>
      <c r="C126" s="385"/>
      <c r="D126" s="388">
        <f t="shared" si="25"/>
        <v>117.50088166713091</v>
      </c>
      <c r="E126" s="380">
        <f t="shared" si="47"/>
        <v>121.52057768571167</v>
      </c>
      <c r="F126" s="380">
        <f t="shared" si="26"/>
        <v>121.52547969729987</v>
      </c>
      <c r="G126" s="110">
        <f t="shared" si="48"/>
        <v>0.51429677769506721</v>
      </c>
      <c r="H126" s="409" t="b">
        <f>Wh_hp&gt;='2024'!Maxi_hp</f>
        <v>0</v>
      </c>
      <c r="I126" s="375">
        <f>IF(H126,Wh_hp,'2024'!Maxi_hp)</f>
        <v>121.53620399370809</v>
      </c>
      <c r="J126" s="85">
        <f>IF(H126,An,'2024'!An_max)</f>
        <v>2022</v>
      </c>
      <c r="K126" s="193">
        <f t="shared" si="27"/>
        <v>45769</v>
      </c>
      <c r="L126" s="143">
        <f>IF(t&lt;Tvie,1-EXP((T0-t)*PertePVj)+'2024'!Pspv,1-EXP((T0-t)*PertePVj)+Pspv)</f>
        <v>1.8243580334851406E-2</v>
      </c>
      <c r="M126" s="835"/>
      <c r="N126" s="835"/>
      <c r="O126" s="48">
        <f>IF(t&lt;Tnet,'2024'!Resal+('2024'!Salim-'2024'!Resal)*(1-EXP(('2024'!Tnet-t)/('2024'!Tau_j))),Resal+(Salim-Resal)*(1-EXP((Tnet-t)/(Tau_j))))*Salcycl</f>
        <v>3.307831558352925E-2</v>
      </c>
      <c r="P126" s="165">
        <f>(INDEX(Models!$BJ126:$BT126,,T126)*(1-R126)+INDEX(Models!$BJ126:$BT126,,T126+1)*R126-ERP_i)*Q126*Ramure*Pc/MaxiM</f>
        <v>1.3173286201412015E-4</v>
      </c>
      <c r="Q126" s="301">
        <f t="shared" si="28"/>
        <v>0.5</v>
      </c>
      <c r="R126" s="173">
        <f t="shared" si="29"/>
        <v>0.54782036138367451</v>
      </c>
      <c r="S126" s="801">
        <f t="shared" si="30"/>
        <v>1</v>
      </c>
      <c r="T126" s="172">
        <f t="shared" si="31"/>
        <v>7</v>
      </c>
      <c r="U126" s="247">
        <f t="shared" si="32"/>
        <v>1.5478203613836745</v>
      </c>
      <c r="V126" s="378">
        <f t="shared" si="33"/>
        <v>224.28042782263859</v>
      </c>
      <c r="W126" s="397">
        <f t="shared" si="34"/>
        <v>115.35724489302073</v>
      </c>
      <c r="X126" s="153">
        <f t="shared" si="35"/>
        <v>45769</v>
      </c>
      <c r="Y126" s="380">
        <f t="shared" si="36"/>
        <v>112.31209968287497</v>
      </c>
      <c r="Z126" s="380">
        <f t="shared" si="37"/>
        <v>114.39914976179294</v>
      </c>
      <c r="AA126" s="381">
        <f t="shared" si="38"/>
        <v>121.52057768571167</v>
      </c>
      <c r="AB126" s="193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5.8602650345662879E-2</v>
      </c>
      <c r="AD126" s="227">
        <f>(INDEX(Models!$BJ126:$BT126,,AH126)*(1-AF126)+INDEX(Models!$BJ126:$BT126,,AH126+1)*AF126-ERP_i)*AE126*Ramure*Pc/MaxiM</f>
        <v>1.3173286201412015E-4</v>
      </c>
      <c r="AE126" s="301">
        <f t="shared" si="40"/>
        <v>0.5</v>
      </c>
      <c r="AF126" s="173">
        <f t="shared" si="41"/>
        <v>0.54782036138367451</v>
      </c>
      <c r="AG126" s="801">
        <f t="shared" si="49"/>
        <v>1</v>
      </c>
      <c r="AH126" s="172">
        <f t="shared" si="42"/>
        <v>7</v>
      </c>
      <c r="AI126" s="221">
        <f t="shared" si="43"/>
        <v>1.5478203613836745</v>
      </c>
      <c r="AJ126" s="261" t="b">
        <f t="shared" si="44"/>
        <v>0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45770</v>
      </c>
      <c r="B127" s="406">
        <f>'2024'!Wh/'2024'!Env_an*'2025'!Env_an</f>
        <v>42.025894746411012</v>
      </c>
      <c r="C127" s="385"/>
      <c r="D127" s="388">
        <f t="shared" si="25"/>
        <v>42.807430857266972</v>
      </c>
      <c r="E127" s="380">
        <f t="shared" si="47"/>
        <v>44.274865847336528</v>
      </c>
      <c r="F127" s="380">
        <f t="shared" si="26"/>
        <v>44.274865847336528</v>
      </c>
      <c r="G127" s="110">
        <f t="shared" si="48"/>
        <v>0.18686305817920984</v>
      </c>
      <c r="H127" s="409" t="b">
        <f>Wh_hp&gt;='2024'!Maxi_hp</f>
        <v>0</v>
      </c>
      <c r="I127" s="375">
        <f>IF(H127,Wh_hp,'2024'!Maxi_hp)</f>
        <v>44.280539977910685</v>
      </c>
      <c r="J127" s="85">
        <f>IF(H127,An,'2024'!An_max)</f>
        <v>2022</v>
      </c>
      <c r="K127" s="193">
        <f t="shared" si="27"/>
        <v>45770</v>
      </c>
      <c r="L127" s="143">
        <f>IF(t&lt;Tvie,1-EXP((T0-t)*PertePVj)+'2024'!Pspv,1-EXP((T0-t)*PertePVj)+Pspv)</f>
        <v>1.825701975579519E-2</v>
      </c>
      <c r="M127" s="835"/>
      <c r="N127" s="835"/>
      <c r="O127" s="48">
        <f>IF(t&lt;Tnet,'2024'!Resal+('2024'!Salim-'2024'!Resal)*(1-EXP(('2024'!Tnet-t)/('2024'!Tau_j))),Resal+(Salim-Resal)*(1-EXP((Tnet-t)/(Tau_j))))*Salcycl</f>
        <v>3.3143747857517981E-2</v>
      </c>
      <c r="P127" s="165">
        <f>(INDEX(Models!$BJ127:$BT127,,T127)*(1-R127)+INDEX(Models!$BJ127:$BT127,,T127+1)*R127-ERP_i)*Q127*Ramure*Pc/MaxiM</f>
        <v>1.3289384125273992E-4</v>
      </c>
      <c r="Q127" s="301">
        <f t="shared" si="28"/>
        <v>0.5</v>
      </c>
      <c r="R127" s="173">
        <f t="shared" si="29"/>
        <v>0.54999283038770796</v>
      </c>
      <c r="S127" s="801">
        <f t="shared" si="30"/>
        <v>1</v>
      </c>
      <c r="T127" s="172">
        <f t="shared" si="31"/>
        <v>7</v>
      </c>
      <c r="U127" s="247">
        <f t="shared" si="32"/>
        <v>1.549992830387708</v>
      </c>
      <c r="V127" s="378">
        <f t="shared" si="33"/>
        <v>224.87221483620786</v>
      </c>
      <c r="W127" s="397">
        <f t="shared" si="34"/>
        <v>42.025894746411012</v>
      </c>
      <c r="X127" s="153">
        <f t="shared" si="35"/>
        <v>45770</v>
      </c>
      <c r="Y127" s="380">
        <f t="shared" si="36"/>
        <v>40.917207525748474</v>
      </c>
      <c r="Z127" s="380">
        <f t="shared" si="37"/>
        <v>41.678125893571938</v>
      </c>
      <c r="AA127" s="381">
        <f t="shared" si="38"/>
        <v>44.274865847336528</v>
      </c>
      <c r="AB127" s="193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5.8650430759482466E-2</v>
      </c>
      <c r="AD127" s="227">
        <f>(INDEX(Models!$BJ127:$BT127,,AH127)*(1-AF127)+INDEX(Models!$BJ127:$BT127,,AH127+1)*AF127-ERP_i)*AE127*Ramure*Pc/MaxiM</f>
        <v>1.3289384125273992E-4</v>
      </c>
      <c r="AE127" s="301">
        <f t="shared" si="40"/>
        <v>0.5</v>
      </c>
      <c r="AF127" s="173">
        <f t="shared" si="41"/>
        <v>0.54999283038770796</v>
      </c>
      <c r="AG127" s="801">
        <f t="shared" si="49"/>
        <v>1</v>
      </c>
      <c r="AH127" s="172">
        <f t="shared" si="42"/>
        <v>7</v>
      </c>
      <c r="AI127" s="221">
        <f t="shared" si="43"/>
        <v>1.549992830387708</v>
      </c>
      <c r="AJ127" s="261" t="b">
        <f t="shared" si="44"/>
        <v>0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45771</v>
      </c>
      <c r="B128" s="406">
        <f>'2024'!Wh/'2024'!Env_an*'2025'!Env_an</f>
        <v>113.51312636237741</v>
      </c>
      <c r="C128" s="385"/>
      <c r="D128" s="388">
        <f t="shared" si="25"/>
        <v>115.62566024642096</v>
      </c>
      <c r="E128" s="380">
        <f t="shared" si="47"/>
        <v>119.59744753456286</v>
      </c>
      <c r="F128" s="380">
        <f t="shared" si="26"/>
        <v>119.60210183428875</v>
      </c>
      <c r="G128" s="110">
        <f t="shared" si="48"/>
        <v>0.5034549227877968</v>
      </c>
      <c r="H128" s="409" t="b">
        <f>Wh_hp&gt;='2024'!Maxi_hp</f>
        <v>0</v>
      </c>
      <c r="I128" s="375">
        <f>IF(H128,Wh_hp,'2024'!Maxi_hp)</f>
        <v>119.61303848340329</v>
      </c>
      <c r="J128" s="85">
        <f>IF(H128,An,'2024'!An_max)</f>
        <v>2022</v>
      </c>
      <c r="K128" s="193">
        <f t="shared" si="27"/>
        <v>45771</v>
      </c>
      <c r="L128" s="143">
        <f>IF(t&lt;Tvie,1-EXP((T0-t)*PertePVj)+'2024'!Pspv,1-EXP((T0-t)*PertePVj)+Pspv)</f>
        <v>1.8270458992764471E-2</v>
      </c>
      <c r="M128" s="835"/>
      <c r="N128" s="835"/>
      <c r="O128" s="48">
        <f>IF(t&lt;Tnet,'2024'!Resal+('2024'!Salim-'2024'!Resal)*(1-EXP(('2024'!Tnet-t)/('2024'!Tau_j))),Resal+(Salim-Resal)*(1-EXP((Tnet-t)/(Tau_j))))*Salcycl</f>
        <v>3.3209632563387909E-2</v>
      </c>
      <c r="P128" s="165">
        <f>(INDEX(Models!$BJ128:$BT128,,T128)*(1-R128)+INDEX(Models!$BJ128:$BT128,,T128+1)*R128-ERP_i)*Q128*Ramure*Pc/MaxiM</f>
        <v>1.338576939414215E-4</v>
      </c>
      <c r="Q128" s="301">
        <f t="shared" si="28"/>
        <v>0.5</v>
      </c>
      <c r="R128" s="173">
        <f t="shared" si="29"/>
        <v>0.55223382977428948</v>
      </c>
      <c r="S128" s="801">
        <f t="shared" si="30"/>
        <v>1</v>
      </c>
      <c r="T128" s="172">
        <f t="shared" si="31"/>
        <v>7</v>
      </c>
      <c r="U128" s="247">
        <f t="shared" si="32"/>
        <v>1.5522338297742895</v>
      </c>
      <c r="V128" s="378">
        <f t="shared" si="33"/>
        <v>225.44689414734859</v>
      </c>
      <c r="W128" s="397">
        <f t="shared" si="34"/>
        <v>113.51312636237741</v>
      </c>
      <c r="X128" s="153">
        <f t="shared" si="35"/>
        <v>45771</v>
      </c>
      <c r="Y128" s="380">
        <f t="shared" si="36"/>
        <v>110.52035633114356</v>
      </c>
      <c r="Z128" s="380">
        <f t="shared" si="37"/>
        <v>112.57719332531423</v>
      </c>
      <c r="AA128" s="381">
        <f t="shared" si="38"/>
        <v>119.59744753456286</v>
      </c>
      <c r="AB128" s="193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5.8699030405476131E-2</v>
      </c>
      <c r="AD128" s="227">
        <f>(INDEX(Models!$BJ128:$BT128,,AH128)*(1-AF128)+INDEX(Models!$BJ128:$BT128,,AH128+1)*AF128-ERP_i)*AE128*Ramure*Pc/MaxiM</f>
        <v>1.338576939414215E-4</v>
      </c>
      <c r="AE128" s="301">
        <f t="shared" si="40"/>
        <v>0.5</v>
      </c>
      <c r="AF128" s="173">
        <f t="shared" si="41"/>
        <v>0.55223382977428948</v>
      </c>
      <c r="AG128" s="801">
        <f t="shared" si="49"/>
        <v>1</v>
      </c>
      <c r="AH128" s="172">
        <f t="shared" si="42"/>
        <v>7</v>
      </c>
      <c r="AI128" s="221">
        <f t="shared" si="43"/>
        <v>1.5522338297742895</v>
      </c>
      <c r="AJ128" s="261" t="b">
        <f t="shared" si="44"/>
        <v>0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45772</v>
      </c>
      <c r="B129" s="406">
        <f>'2024'!Wh/'2024'!Env_an*'2025'!Env_an</f>
        <v>191.89696477081586</v>
      </c>
      <c r="C129" s="385"/>
      <c r="D129" s="388">
        <f t="shared" si="25"/>
        <v>195.47093542503697</v>
      </c>
      <c r="E129" s="380">
        <f t="shared" si="47"/>
        <v>202.19931414325629</v>
      </c>
      <c r="F129" s="380">
        <f t="shared" si="26"/>
        <v>202.22068467115736</v>
      </c>
      <c r="G129" s="110">
        <f t="shared" si="48"/>
        <v>0.84905634719804612</v>
      </c>
      <c r="H129" s="409" t="b">
        <f>Wh_hp&gt;='2024'!Maxi_hp</f>
        <v>0</v>
      </c>
      <c r="I129" s="375">
        <f>IF(H129,Wh_hp,'2024'!Maxi_hp)</f>
        <v>202.22633446721255</v>
      </c>
      <c r="J129" s="85">
        <f>IF(H129,An,'2024'!An_max)</f>
        <v>2022</v>
      </c>
      <c r="K129" s="193">
        <f t="shared" si="27"/>
        <v>45772</v>
      </c>
      <c r="L129" s="143">
        <f>IF(t&lt;Tvie,1-EXP((T0-t)*PertePVj)+'2024'!Pspv,1-EXP((T0-t)*PertePVj)+Pspv)</f>
        <v>1.8283898045762026E-2</v>
      </c>
      <c r="M129" s="835"/>
      <c r="N129" s="835"/>
      <c r="O129" s="48">
        <f>IF(t&lt;Tnet,'2024'!Resal+('2024'!Salim-'2024'!Resal)*(1-EXP(('2024'!Tnet-t)/('2024'!Tau_j))),Resal+(Salim-Resal)*(1-EXP((Tnet-t)/(Tau_j))))*Salcycl</f>
        <v>3.3275972011716691E-2</v>
      </c>
      <c r="P129" s="165">
        <f>(INDEX(Models!$BJ129:$BT129,,T129)*(1-R129)+INDEX(Models!$BJ129:$BT129,,T129+1)*R129-ERP_i)*Q129*Ramure*Pc/MaxiM</f>
        <v>1.3472596028797279E-4</v>
      </c>
      <c r="Q129" s="301">
        <f t="shared" si="28"/>
        <v>0.5</v>
      </c>
      <c r="R129" s="173">
        <f t="shared" si="29"/>
        <v>0.55454467127925522</v>
      </c>
      <c r="S129" s="801">
        <f t="shared" si="30"/>
        <v>1</v>
      </c>
      <c r="T129" s="172">
        <f t="shared" si="31"/>
        <v>7</v>
      </c>
      <c r="U129" s="247">
        <f t="shared" si="32"/>
        <v>1.5545446712792552</v>
      </c>
      <c r="V129" s="378">
        <f t="shared" si="33"/>
        <v>226.00548342539162</v>
      </c>
      <c r="W129" s="397">
        <f t="shared" si="34"/>
        <v>191.89696477081586</v>
      </c>
      <c r="X129" s="153">
        <f t="shared" si="35"/>
        <v>45772</v>
      </c>
      <c r="Y129" s="380">
        <f t="shared" si="36"/>
        <v>186.84061862853022</v>
      </c>
      <c r="Z129" s="380">
        <f t="shared" si="37"/>
        <v>190.32041774256206</v>
      </c>
      <c r="AA129" s="381">
        <f t="shared" si="38"/>
        <v>202.19931414325629</v>
      </c>
      <c r="AB129" s="193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5.8748450512933661E-2</v>
      </c>
      <c r="AD129" s="227">
        <f>(INDEX(Models!$BJ129:$BT129,,AH129)*(1-AF129)+INDEX(Models!$BJ129:$BT129,,AH129+1)*AF129-ERP_i)*AE129*Ramure*Pc/MaxiM</f>
        <v>1.3472596028797279E-4</v>
      </c>
      <c r="AE129" s="301">
        <f t="shared" si="40"/>
        <v>0.5</v>
      </c>
      <c r="AF129" s="173">
        <f t="shared" si="41"/>
        <v>0.55454467127925522</v>
      </c>
      <c r="AG129" s="801">
        <f t="shared" si="49"/>
        <v>1</v>
      </c>
      <c r="AH129" s="172">
        <f t="shared" si="42"/>
        <v>7</v>
      </c>
      <c r="AI129" s="221">
        <f t="shared" si="43"/>
        <v>1.5545446712792552</v>
      </c>
      <c r="AJ129" s="261" t="b">
        <f t="shared" si="44"/>
        <v>0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45773</v>
      </c>
      <c r="B130" s="406">
        <f>'2024'!Wh/'2024'!Env_an*'2025'!Env_an</f>
        <v>225.49814691297482</v>
      </c>
      <c r="C130" s="385"/>
      <c r="D130" s="388">
        <f t="shared" si="25"/>
        <v>229.70106468316874</v>
      </c>
      <c r="E130" s="380">
        <f t="shared" si="47"/>
        <v>237.62411019016162</v>
      </c>
      <c r="F130" s="380">
        <f t="shared" si="26"/>
        <v>237.6560983793112</v>
      </c>
      <c r="G130" s="110">
        <f t="shared" si="48"/>
        <v>0.99536047845910902</v>
      </c>
      <c r="H130" s="409" t="b">
        <f>Wh_hp&gt;='2024'!Maxi_hp</f>
        <v>0</v>
      </c>
      <c r="I130" s="375">
        <f>IF(H130,Wh_hp,'2024'!Maxi_hp)</f>
        <v>237.65630334663595</v>
      </c>
      <c r="J130" s="85">
        <f>IF(H130,An,'2024'!An_max)</f>
        <v>2022</v>
      </c>
      <c r="K130" s="193">
        <f t="shared" si="27"/>
        <v>45773</v>
      </c>
      <c r="L130" s="143">
        <f>IF(t&lt;Tvie,1-EXP((T0-t)*PertePVj)+'2024'!Pspv,1-EXP((T0-t)*PertePVj)+Pspv)</f>
        <v>1.8297336914790074E-2</v>
      </c>
      <c r="M130" s="835"/>
      <c r="N130" s="835"/>
      <c r="O130" s="48">
        <f>IF(t&lt;Tnet,'2024'!Resal+('2024'!Salim-'2024'!Resal)*(1-EXP(('2024'!Tnet-t)/('2024'!Tau_j))),Resal+(Salim-Resal)*(1-EXP((Tnet-t)/(Tau_j))))*Salcycl</f>
        <v>3.3342767704221447E-2</v>
      </c>
      <c r="P130" s="165">
        <f>(INDEX(Models!$BJ130:$BT130,,T130)*(1-R130)+INDEX(Models!$BJ130:$BT130,,T130+1)*R130-ERP_i)*Q130*Ramure*Pc/MaxiM</f>
        <v>1.3549652918720502E-4</v>
      </c>
      <c r="Q130" s="301">
        <f t="shared" si="28"/>
        <v>0.5</v>
      </c>
      <c r="R130" s="173">
        <f t="shared" si="29"/>
        <v>0.55692662805711413</v>
      </c>
      <c r="S130" s="801">
        <f t="shared" si="30"/>
        <v>1</v>
      </c>
      <c r="T130" s="172">
        <f t="shared" si="31"/>
        <v>7</v>
      </c>
      <c r="U130" s="247">
        <f t="shared" si="32"/>
        <v>1.5569266280571141</v>
      </c>
      <c r="V130" s="378">
        <f t="shared" si="33"/>
        <v>226.54902348936</v>
      </c>
      <c r="W130" s="397">
        <f t="shared" si="34"/>
        <v>225.49814691297482</v>
      </c>
      <c r="X130" s="153">
        <f t="shared" si="35"/>
        <v>45773</v>
      </c>
      <c r="Y130" s="380">
        <f t="shared" si="36"/>
        <v>219.55988533010648</v>
      </c>
      <c r="Z130" s="380">
        <f t="shared" si="37"/>
        <v>223.65212358708769</v>
      </c>
      <c r="AA130" s="381">
        <f t="shared" si="38"/>
        <v>237.62411019016162</v>
      </c>
      <c r="AB130" s="193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5.8798690889963465E-2</v>
      </c>
      <c r="AD130" s="227">
        <f>(INDEX(Models!$BJ130:$BT130,,AH130)*(1-AF130)+INDEX(Models!$BJ130:$BT130,,AH130+1)*AF130-ERP_i)*AE130*Ramure*Pc/MaxiM</f>
        <v>1.3549652918720502E-4</v>
      </c>
      <c r="AE130" s="301">
        <f t="shared" si="40"/>
        <v>0.5</v>
      </c>
      <c r="AF130" s="173">
        <f t="shared" si="41"/>
        <v>0.55692662805711413</v>
      </c>
      <c r="AG130" s="801">
        <f t="shared" si="49"/>
        <v>1</v>
      </c>
      <c r="AH130" s="172">
        <f t="shared" si="42"/>
        <v>7</v>
      </c>
      <c r="AI130" s="221">
        <f t="shared" si="43"/>
        <v>1.5569266280571141</v>
      </c>
      <c r="AJ130" s="261" t="b">
        <f t="shared" si="44"/>
        <v>0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45774</v>
      </c>
      <c r="B131" s="406">
        <f>'2024'!Wh/'2024'!Env_an*'2025'!Env_an</f>
        <v>160.63754237771565</v>
      </c>
      <c r="C131" s="385"/>
      <c r="D131" s="388">
        <f t="shared" si="25"/>
        <v>163.63380424784799</v>
      </c>
      <c r="E131" s="380">
        <f t="shared" si="47"/>
        <v>169.28977920730978</v>
      </c>
      <c r="F131" s="380">
        <f t="shared" si="26"/>
        <v>169.30319666623143</v>
      </c>
      <c r="G131" s="110">
        <f t="shared" si="48"/>
        <v>0.70736930107787943</v>
      </c>
      <c r="H131" s="409" t="b">
        <f>Wh_hp&gt;='2024'!Maxi_hp</f>
        <v>0</v>
      </c>
      <c r="I131" s="375">
        <f>IF(H131,Wh_hp,'2024'!Maxi_hp)</f>
        <v>169.3124393699353</v>
      </c>
      <c r="J131" s="85">
        <f>IF(H131,An,'2024'!An_max)</f>
        <v>2022</v>
      </c>
      <c r="K131" s="193">
        <f t="shared" si="27"/>
        <v>45774</v>
      </c>
      <c r="L131" s="143">
        <f>IF(t&lt;Tvie,1-EXP((T0-t)*PertePVj)+'2024'!Pspv,1-EXP((T0-t)*PertePVj)+Pspv)</f>
        <v>1.8310775599851392E-2</v>
      </c>
      <c r="M131" s="835"/>
      <c r="N131" s="835"/>
      <c r="O131" s="48">
        <f>IF(t&lt;Tnet,'2024'!Resal+('2024'!Salim-'2024'!Resal)*(1-EXP(('2024'!Tnet-t)/('2024'!Tau_j))),Resal+(Salim-Resal)*(1-EXP((Tnet-t)/(Tau_j))))*Salcycl</f>
        <v>3.3410020297418928E-2</v>
      </c>
      <c r="P131" s="165">
        <f>(INDEX(Models!$BJ131:$BT131,,T131)*(1-R131)+INDEX(Models!$BJ131:$BT131,,T131+1)*R131-ERP_i)*Q131*Ramure*Pc/MaxiM</f>
        <v>1.3616701992548487E-4</v>
      </c>
      <c r="Q131" s="301">
        <f t="shared" si="28"/>
        <v>0.5</v>
      </c>
      <c r="R131" s="173">
        <f t="shared" si="29"/>
        <v>0.55938092904424908</v>
      </c>
      <c r="S131" s="801">
        <f t="shared" si="30"/>
        <v>1</v>
      </c>
      <c r="T131" s="172">
        <f t="shared" si="31"/>
        <v>7</v>
      </c>
      <c r="U131" s="247">
        <f t="shared" si="32"/>
        <v>1.5593809290442491</v>
      </c>
      <c r="V131" s="378">
        <f t="shared" si="33"/>
        <v>227.0785551047488</v>
      </c>
      <c r="W131" s="397">
        <f t="shared" si="34"/>
        <v>160.63754237771565</v>
      </c>
      <c r="X131" s="153">
        <f t="shared" si="35"/>
        <v>45774</v>
      </c>
      <c r="Y131" s="380">
        <f t="shared" si="36"/>
        <v>156.40971494030893</v>
      </c>
      <c r="Z131" s="380">
        <f t="shared" si="37"/>
        <v>159.32711804581692</v>
      </c>
      <c r="AA131" s="381">
        <f t="shared" si="38"/>
        <v>169.28977920730978</v>
      </c>
      <c r="AB131" s="193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5.8849749867608644E-2</v>
      </c>
      <c r="AD131" s="227">
        <f>(INDEX(Models!$BJ131:$BT131,,AH131)*(1-AF131)+INDEX(Models!$BJ131:$BT131,,AH131+1)*AF131-ERP_i)*AE131*Ramure*Pc/MaxiM</f>
        <v>1.3616701992548487E-4</v>
      </c>
      <c r="AE131" s="301">
        <f t="shared" si="40"/>
        <v>0.5</v>
      </c>
      <c r="AF131" s="173">
        <f t="shared" si="41"/>
        <v>0.55938092904424908</v>
      </c>
      <c r="AG131" s="801">
        <f t="shared" si="49"/>
        <v>1</v>
      </c>
      <c r="AH131" s="172">
        <f t="shared" si="42"/>
        <v>7</v>
      </c>
      <c r="AI131" s="221">
        <f t="shared" si="43"/>
        <v>1.5593809290442491</v>
      </c>
      <c r="AJ131" s="261" t="b">
        <f t="shared" si="44"/>
        <v>0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45775</v>
      </c>
      <c r="B132" s="406">
        <f>'2024'!Wh/'2024'!Env_an*'2025'!Env_an</f>
        <v>93.557062796095195</v>
      </c>
      <c r="C132" s="385"/>
      <c r="D132" s="388">
        <f t="shared" si="25"/>
        <v>95.303423126009477</v>
      </c>
      <c r="E132" s="380">
        <f t="shared" si="47"/>
        <v>98.604477145901953</v>
      </c>
      <c r="F132" s="380">
        <f t="shared" si="26"/>
        <v>98.606616466357494</v>
      </c>
      <c r="G132" s="110">
        <f t="shared" si="48"/>
        <v>0.41102067674133697</v>
      </c>
      <c r="H132" s="409" t="b">
        <f>Wh_hp&gt;='2024'!Maxi_hp</f>
        <v>0</v>
      </c>
      <c r="I132" s="375">
        <f>IF(H132,Wh_hp,'2024'!Maxi_hp)</f>
        <v>98.617481089900508</v>
      </c>
      <c r="J132" s="85">
        <f>IF(H132,An,'2024'!An_max)</f>
        <v>2022</v>
      </c>
      <c r="K132" s="193">
        <f t="shared" si="27"/>
        <v>45775</v>
      </c>
      <c r="L132" s="143">
        <f>IF(t&lt;Tvie,1-EXP((T0-t)*PertePVj)+'2024'!Pspv,1-EXP((T0-t)*PertePVj)+Pspv)</f>
        <v>1.8324214100948422E-2</v>
      </c>
      <c r="M132" s="835"/>
      <c r="N132" s="835"/>
      <c r="O132" s="48">
        <f>IF(t&lt;Tnet,'2024'!Resal+('2024'!Salim-'2024'!Resal)*(1-EXP(('2024'!Tnet-t)/('2024'!Tau_j))),Resal+(Salim-Resal)*(1-EXP((Tnet-t)/(Tau_j))))*Salcycl</f>
        <v>3.3477729566052175E-2</v>
      </c>
      <c r="P132" s="165">
        <f>(INDEX(Models!$BJ132:$BT132,,T132)*(1-R132)+INDEX(Models!$BJ132:$BT132,,T132+1)*R132-ERP_i)*Q132*Ramure*Pc/MaxiM</f>
        <v>1.3673478288397784E-4</v>
      </c>
      <c r="Q132" s="301">
        <f t="shared" si="28"/>
        <v>0.5</v>
      </c>
      <c r="R132" s="173">
        <f t="shared" si="29"/>
        <v>0.56190875308712651</v>
      </c>
      <c r="S132" s="801">
        <f t="shared" si="30"/>
        <v>1</v>
      </c>
      <c r="T132" s="172">
        <f t="shared" si="31"/>
        <v>7</v>
      </c>
      <c r="U132" s="247">
        <f t="shared" si="32"/>
        <v>1.5619087530871265</v>
      </c>
      <c r="V132" s="378">
        <f t="shared" si="33"/>
        <v>227.59511897894524</v>
      </c>
      <c r="W132" s="397">
        <f t="shared" si="34"/>
        <v>93.557062796095195</v>
      </c>
      <c r="X132" s="153">
        <f t="shared" si="35"/>
        <v>45775</v>
      </c>
      <c r="Y132" s="380">
        <f t="shared" si="36"/>
        <v>91.096090107046109</v>
      </c>
      <c r="Z132" s="380">
        <f t="shared" si="37"/>
        <v>92.79651328428892</v>
      </c>
      <c r="AA132" s="381">
        <f t="shared" si="38"/>
        <v>98.604477145901953</v>
      </c>
      <c r="AB132" s="193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5.8901624243888819E-2</v>
      </c>
      <c r="AD132" s="227">
        <f>(INDEX(Models!$BJ132:$BT132,,AH132)*(1-AF132)+INDEX(Models!$BJ132:$BT132,,AH132+1)*AF132-ERP_i)*AE132*Ramure*Pc/MaxiM</f>
        <v>1.3673478288397784E-4</v>
      </c>
      <c r="AE132" s="301">
        <f t="shared" si="40"/>
        <v>0.5</v>
      </c>
      <c r="AF132" s="173">
        <f t="shared" si="41"/>
        <v>0.56190875308712651</v>
      </c>
      <c r="AG132" s="801">
        <f t="shared" si="49"/>
        <v>1</v>
      </c>
      <c r="AH132" s="172">
        <f t="shared" si="42"/>
        <v>7</v>
      </c>
      <c r="AI132" s="221">
        <f t="shared" si="43"/>
        <v>1.5619087530871265</v>
      </c>
      <c r="AJ132" s="261" t="b">
        <f t="shared" si="44"/>
        <v>0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45776</v>
      </c>
      <c r="B133" s="406">
        <f>'2024'!Wh/'2024'!Env_an*'2025'!Env_an</f>
        <v>172.89181940825821</v>
      </c>
      <c r="C133" s="385"/>
      <c r="D133" s="388">
        <f t="shared" si="25"/>
        <v>176.12147377775531</v>
      </c>
      <c r="E133" s="380">
        <f t="shared" si="47"/>
        <v>182.23469976602624</v>
      </c>
      <c r="F133" s="380">
        <f t="shared" si="26"/>
        <v>182.251058488697</v>
      </c>
      <c r="G133" s="110">
        <f t="shared" si="48"/>
        <v>0.75792986490755354</v>
      </c>
      <c r="H133" s="409" t="b">
        <f>Wh_hp&gt;='2024'!Maxi_hp</f>
        <v>0</v>
      </c>
      <c r="I133" s="375">
        <f>IF(H133,Wh_hp,'2024'!Maxi_hp)</f>
        <v>182.25932645810221</v>
      </c>
      <c r="J133" s="85">
        <f>IF(H133,An,'2024'!An_max)</f>
        <v>2022</v>
      </c>
      <c r="K133" s="193">
        <f t="shared" si="27"/>
        <v>45776</v>
      </c>
      <c r="L133" s="143">
        <f>IF(t&lt;Tvie,1-EXP((T0-t)*PertePVj)+'2024'!Pspv,1-EXP((T0-t)*PertePVj)+Pspv)</f>
        <v>1.8337652418083605E-2</v>
      </c>
      <c r="M133" s="835"/>
      <c r="N133" s="835"/>
      <c r="O133" s="48">
        <f>IF(t&lt;Tnet,'2024'!Resal+('2024'!Salim-'2024'!Resal)*(1-EXP(('2024'!Tnet-t)/('2024'!Tau_j))),Resal+(Salim-Resal)*(1-EXP((Tnet-t)/(Tau_j))))*Salcycl</f>
        <v>3.3545894366549242E-2</v>
      </c>
      <c r="P133" s="165">
        <f>(INDEX(Models!$BJ133:$BT133,,T133)*(1-R133)+INDEX(Models!$BJ133:$BT133,,T133+1)*R133-ERP_i)*Q133*Ramure*Pc/MaxiM</f>
        <v>1.3719690068408641E-4</v>
      </c>
      <c r="Q133" s="301">
        <f t="shared" si="28"/>
        <v>0.5</v>
      </c>
      <c r="R133" s="173">
        <f t="shared" si="29"/>
        <v>0.5645112228482585</v>
      </c>
      <c r="S133" s="801">
        <f t="shared" si="30"/>
        <v>1</v>
      </c>
      <c r="T133" s="172">
        <f t="shared" si="31"/>
        <v>7</v>
      </c>
      <c r="U133" s="247">
        <f t="shared" si="32"/>
        <v>1.5645112228482585</v>
      </c>
      <c r="V133" s="378">
        <f t="shared" si="33"/>
        <v>228.0997557940299</v>
      </c>
      <c r="W133" s="397">
        <f t="shared" si="34"/>
        <v>172.89181940825821</v>
      </c>
      <c r="X133" s="153">
        <f t="shared" si="35"/>
        <v>45776</v>
      </c>
      <c r="Y133" s="380">
        <f t="shared" si="36"/>
        <v>168.34643329203178</v>
      </c>
      <c r="Z133" s="380">
        <f t="shared" si="37"/>
        <v>171.49117892390575</v>
      </c>
      <c r="AA133" s="381">
        <f t="shared" si="38"/>
        <v>182.23469976602624</v>
      </c>
      <c r="AB133" s="193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5.8954309228232846E-2</v>
      </c>
      <c r="AD133" s="227">
        <f>(INDEX(Models!$BJ133:$BT133,,AH133)*(1-AF133)+INDEX(Models!$BJ133:$BT133,,AH133+1)*AF133-ERP_i)*AE133*Ramure*Pc/MaxiM</f>
        <v>1.3719690068408641E-4</v>
      </c>
      <c r="AE133" s="301">
        <f t="shared" si="40"/>
        <v>0.5</v>
      </c>
      <c r="AF133" s="173">
        <f t="shared" si="41"/>
        <v>0.5645112228482585</v>
      </c>
      <c r="AG133" s="801">
        <f t="shared" si="49"/>
        <v>1</v>
      </c>
      <c r="AH133" s="172">
        <f t="shared" si="42"/>
        <v>7</v>
      </c>
      <c r="AI133" s="221">
        <f t="shared" si="43"/>
        <v>1.5645112228482585</v>
      </c>
      <c r="AJ133" s="261" t="b">
        <f t="shared" si="44"/>
        <v>0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45777</v>
      </c>
      <c r="B134" s="406">
        <f>'2024'!Wh/'2024'!Env_an*'2025'!Env_an</f>
        <v>161.8851481342071</v>
      </c>
      <c r="C134" s="385"/>
      <c r="D134" s="388">
        <f t="shared" si="25"/>
        <v>164.91145314378855</v>
      </c>
      <c r="E134" s="380">
        <f t="shared" si="47"/>
        <v>170.64769214158102</v>
      </c>
      <c r="F134" s="380">
        <f t="shared" si="26"/>
        <v>170.66138043146489</v>
      </c>
      <c r="G134" s="110">
        <f t="shared" si="48"/>
        <v>0.70813850800562017</v>
      </c>
      <c r="H134" s="409" t="b">
        <f>Wh_hp&gt;='2024'!Maxi_hp</f>
        <v>0</v>
      </c>
      <c r="I134" s="375">
        <f>IF(H134,Wh_hp,'2024'!Maxi_hp)</f>
        <v>170.67072459569192</v>
      </c>
      <c r="J134" s="85">
        <f>IF(H134,An,'2024'!An_max)</f>
        <v>2022</v>
      </c>
      <c r="K134" s="193">
        <f t="shared" si="27"/>
        <v>45777</v>
      </c>
      <c r="L134" s="143">
        <f>IF(t&lt;Tvie,1-EXP((T0-t)*PertePVj)+'2024'!Pspv,1-EXP((T0-t)*PertePVj)+Pspv)</f>
        <v>1.8351090551259497E-2</v>
      </c>
      <c r="M134" s="835"/>
      <c r="N134" s="835"/>
      <c r="O134" s="48">
        <f>IF(t&lt;Tnet,'2024'!Resal+('2024'!Salim-'2024'!Resal)*(1-EXP(('2024'!Tnet-t)/('2024'!Tau_j))),Resal+(Salim-Resal)*(1-EXP((Tnet-t)/(Tau_j))))*Salcycl</f>
        <v>3.3614512600810789E-2</v>
      </c>
      <c r="P134" s="165">
        <f>(INDEX(Models!$BJ134:$BT134,,T134)*(1-R134)+INDEX(Models!$BJ134:$BT134,,T134+1)*R134-ERP_i)*Q134*Ramure*Pc/MaxiM</f>
        <v>1.3755018991923868E-4</v>
      </c>
      <c r="Q134" s="301">
        <f t="shared" si="28"/>
        <v>0.5</v>
      </c>
      <c r="R134" s="173">
        <f t="shared" si="29"/>
        <v>0.56718939850553762</v>
      </c>
      <c r="S134" s="801">
        <f t="shared" si="30"/>
        <v>1</v>
      </c>
      <c r="T134" s="172">
        <f t="shared" si="31"/>
        <v>7</v>
      </c>
      <c r="U134" s="247">
        <f t="shared" si="32"/>
        <v>1.5671893985055376</v>
      </c>
      <c r="V134" s="378">
        <f t="shared" si="33"/>
        <v>228.59350621185021</v>
      </c>
      <c r="W134" s="397">
        <f t="shared" si="34"/>
        <v>161.8851481342071</v>
      </c>
      <c r="X134" s="153">
        <f t="shared" si="35"/>
        <v>45777</v>
      </c>
      <c r="Y134" s="380">
        <f t="shared" si="36"/>
        <v>157.63136340266553</v>
      </c>
      <c r="Z134" s="380">
        <f t="shared" si="37"/>
        <v>160.57814752851482</v>
      </c>
      <c r="AA134" s="381">
        <f t="shared" si="38"/>
        <v>170.64769214158102</v>
      </c>
      <c r="AB134" s="193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5.9007798386817988E-2</v>
      </c>
      <c r="AD134" s="227">
        <f>(INDEX(Models!$BJ134:$BT134,,AH134)*(1-AF134)+INDEX(Models!$BJ134:$BT134,,AH134+1)*AF134-ERP_i)*AE134*Ramure*Pc/MaxiM</f>
        <v>1.3755018991923868E-4</v>
      </c>
      <c r="AE134" s="301">
        <f t="shared" si="40"/>
        <v>0.5</v>
      </c>
      <c r="AF134" s="173">
        <f t="shared" si="41"/>
        <v>0.56718939850553762</v>
      </c>
      <c r="AG134" s="801">
        <f t="shared" si="49"/>
        <v>1</v>
      </c>
      <c r="AH134" s="172">
        <f t="shared" si="42"/>
        <v>7</v>
      </c>
      <c r="AI134" s="221">
        <f t="shared" si="43"/>
        <v>1.5671893985055376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45778</v>
      </c>
      <c r="B135" s="406">
        <f>'2024'!Wh/'2024'!Env_an*'2025'!Env_an</f>
        <v>192.70208764897103</v>
      </c>
      <c r="C135" s="385"/>
      <c r="D135" s="388">
        <f t="shared" si="25"/>
        <v>196.30717638453328</v>
      </c>
      <c r="E135" s="380">
        <f t="shared" si="47"/>
        <v>203.14999575851419</v>
      </c>
      <c r="F135" s="380">
        <f t="shared" si="26"/>
        <v>203.17164137333017</v>
      </c>
      <c r="G135" s="110">
        <f t="shared" si="48"/>
        <v>0.8411968226699813</v>
      </c>
      <c r="H135" s="409" t="b">
        <f>Wh_hp&gt;='2024'!Maxi_hp</f>
        <v>0</v>
      </c>
      <c r="I135" s="375">
        <f>IF(H135,Wh_hp,'2024'!Maxi_hp)</f>
        <v>203.17769484479672</v>
      </c>
      <c r="J135" s="85">
        <f>IF(H135,An,'2024'!An_max)</f>
        <v>2022</v>
      </c>
      <c r="K135" s="193">
        <f t="shared" si="27"/>
        <v>45778</v>
      </c>
      <c r="L135" s="143">
        <f>IF(t&lt;Tvie,1-EXP((T0-t)*PertePVj)+'2024'!Pspv,1-EXP((T0-t)*PertePVj)+Pspv)</f>
        <v>1.836452850047865E-2</v>
      </c>
      <c r="M135" s="835"/>
      <c r="N135" s="835"/>
      <c r="O135" s="48">
        <f>IF(t&lt;Tnet,'2024'!Resal+('2024'!Salim-'2024'!Resal)*(1-EXP(('2024'!Tnet-t)/('2024'!Tau_j))),Resal+(Salim-Resal)*(1-EXP((Tnet-t)/(Tau_j))))*Salcycl</f>
        <v>3.3683581180651553E-2</v>
      </c>
      <c r="P135" s="165">
        <f>(INDEX(Models!$BJ135:$BT135,,T135)*(1-R135)+INDEX(Models!$BJ135:$BT135,,T135+1)*R135-ERP_i)*Q135*Ramure*Pc/MaxiM</f>
        <v>1.3779343859944776E-4</v>
      </c>
      <c r="Q135" s="301">
        <f t="shared" si="28"/>
        <v>0.5</v>
      </c>
      <c r="R135" s="173">
        <f t="shared" si="29"/>
        <v>0.56994427126359759</v>
      </c>
      <c r="S135" s="801">
        <f t="shared" si="30"/>
        <v>1</v>
      </c>
      <c r="T135" s="172">
        <f t="shared" si="31"/>
        <v>7</v>
      </c>
      <c r="U135" s="247">
        <f t="shared" si="32"/>
        <v>1.5699442712635976</v>
      </c>
      <c r="V135" s="378">
        <f t="shared" si="33"/>
        <v>229.07369468649497</v>
      </c>
      <c r="W135" s="397">
        <f t="shared" si="34"/>
        <v>192.70208764897103</v>
      </c>
      <c r="X135" s="153">
        <f t="shared" si="35"/>
        <v>45778</v>
      </c>
      <c r="Y135" s="380">
        <f t="shared" si="36"/>
        <v>187.64112593878824</v>
      </c>
      <c r="Z135" s="380">
        <f t="shared" si="37"/>
        <v>191.15153372784343</v>
      </c>
      <c r="AA135" s="381">
        <f t="shared" si="38"/>
        <v>203.14999575851419</v>
      </c>
      <c r="AB135" s="193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5.9062083589376105E-2</v>
      </c>
      <c r="AD135" s="227">
        <f>(INDEX(Models!$BJ135:$BT135,,AH135)*(1-AF135)+INDEX(Models!$BJ135:$BT135,,AH135+1)*AF135-ERP_i)*AE135*Ramure*Pc/MaxiM</f>
        <v>1.3779343859944776E-4</v>
      </c>
      <c r="AE135" s="301">
        <f t="shared" si="40"/>
        <v>0.5</v>
      </c>
      <c r="AF135" s="173">
        <f t="shared" si="41"/>
        <v>0.56994427126359759</v>
      </c>
      <c r="AG135" s="801">
        <f t="shared" si="49"/>
        <v>1</v>
      </c>
      <c r="AH135" s="172">
        <f t="shared" si="42"/>
        <v>7</v>
      </c>
      <c r="AI135" s="221">
        <f t="shared" si="43"/>
        <v>1.5699442712635976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45779</v>
      </c>
      <c r="B136" s="406">
        <f>'2024'!Wh/'2024'!Env_an*'2025'!Env_an</f>
        <v>114.34123491082686</v>
      </c>
      <c r="C136" s="385"/>
      <c r="D136" s="388">
        <f t="shared" si="25"/>
        <v>116.48193600122588</v>
      </c>
      <c r="E136" s="380">
        <f t="shared" si="47"/>
        <v>120.55090217439054</v>
      </c>
      <c r="F136" s="380">
        <f t="shared" si="26"/>
        <v>120.55560777100962</v>
      </c>
      <c r="G136" s="110">
        <f t="shared" si="48"/>
        <v>0.49808866054835832</v>
      </c>
      <c r="H136" s="409" t="b">
        <f>Wh_hp&gt;='2024'!Maxi_hp</f>
        <v>0</v>
      </c>
      <c r="I136" s="375">
        <f>IF(H136,Wh_hp,'2024'!Maxi_hp)</f>
        <v>120.56695071205655</v>
      </c>
      <c r="J136" s="85">
        <f>IF(H136,An,'2024'!An_max)</f>
        <v>2022</v>
      </c>
      <c r="K136" s="193">
        <f t="shared" si="27"/>
        <v>45779</v>
      </c>
      <c r="L136" s="143">
        <f>IF(t&lt;Tvie,1-EXP((T0-t)*PertePVj)+'2024'!Pspv,1-EXP((T0-t)*PertePVj)+Pspv)</f>
        <v>1.8377966265743506E-2</v>
      </c>
      <c r="M136" s="835"/>
      <c r="N136" s="835"/>
      <c r="O136" s="48">
        <f>IF(t&lt;Tnet,'2024'!Resal+('2024'!Salim-'2024'!Resal)*(1-EXP(('2024'!Tnet-t)/('2024'!Tau_j))),Resal+(Salim-Resal)*(1-EXP((Tnet-t)/(Tau_j))))*Salcycl</f>
        <v>3.3753095993246496E-2</v>
      </c>
      <c r="P136" s="165">
        <f>(INDEX(Models!$BJ136:$BT136,,T136)*(1-R136)+INDEX(Models!$BJ136:$BT136,,T136+1)*R136-ERP_i)*Q136*Ramure*Pc/MaxiM</f>
        <v>1.3789792725620739E-4</v>
      </c>
      <c r="Q136" s="301">
        <f t="shared" si="28"/>
        <v>0.5</v>
      </c>
      <c r="R136" s="173">
        <f t="shared" si="29"/>
        <v>0.57277675669903272</v>
      </c>
      <c r="S136" s="801">
        <f t="shared" si="30"/>
        <v>1</v>
      </c>
      <c r="T136" s="172">
        <f t="shared" si="31"/>
        <v>7</v>
      </c>
      <c r="U136" s="247">
        <f t="shared" si="32"/>
        <v>1.5727767566990327</v>
      </c>
      <c r="V136" s="378">
        <f t="shared" si="33"/>
        <v>229.53730759100131</v>
      </c>
      <c r="W136" s="397">
        <f t="shared" si="34"/>
        <v>114.34123491082686</v>
      </c>
      <c r="X136" s="153">
        <f t="shared" si="35"/>
        <v>45779</v>
      </c>
      <c r="Y136" s="380">
        <f t="shared" si="36"/>
        <v>111.33976829565582</v>
      </c>
      <c r="Z136" s="380">
        <f t="shared" si="37"/>
        <v>113.42427581021228</v>
      </c>
      <c r="AA136" s="381">
        <f t="shared" si="38"/>
        <v>120.55090217439054</v>
      </c>
      <c r="AB136" s="193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5.9117154958067339E-2</v>
      </c>
      <c r="AD136" s="227">
        <f>(INDEX(Models!$BJ136:$BT136,,AH136)*(1-AF136)+INDEX(Models!$BJ136:$BT136,,AH136+1)*AF136-ERP_i)*AE136*Ramure*Pc/MaxiM</f>
        <v>1.3789792725620739E-4</v>
      </c>
      <c r="AE136" s="301">
        <f t="shared" si="40"/>
        <v>0.5</v>
      </c>
      <c r="AF136" s="173">
        <f t="shared" si="41"/>
        <v>0.57277675669903272</v>
      </c>
      <c r="AG136" s="801">
        <f t="shared" si="49"/>
        <v>1</v>
      </c>
      <c r="AH136" s="172">
        <f t="shared" si="42"/>
        <v>7</v>
      </c>
      <c r="AI136" s="221">
        <f t="shared" si="43"/>
        <v>1.5727767566990327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45780</v>
      </c>
      <c r="B137" s="406">
        <f>'2024'!Wh/'2024'!Env_an*'2025'!Env_an</f>
        <v>130.19678546559794</v>
      </c>
      <c r="C137" s="385"/>
      <c r="D137" s="388">
        <f t="shared" si="25"/>
        <v>132.63615047367836</v>
      </c>
      <c r="E137" s="380">
        <f t="shared" si="47"/>
        <v>137.279357295897</v>
      </c>
      <c r="F137" s="380">
        <f t="shared" si="26"/>
        <v>137.28655999259996</v>
      </c>
      <c r="G137" s="110">
        <f t="shared" si="48"/>
        <v>0.56606187693602095</v>
      </c>
      <c r="H137" s="409" t="b">
        <f>Wh_hp&gt;='2024'!Maxi_hp</f>
        <v>0</v>
      </c>
      <c r="I137" s="375">
        <f>IF(H137,Wh_hp,'2024'!Maxi_hp)</f>
        <v>137.29771718168283</v>
      </c>
      <c r="J137" s="85">
        <f>IF(H137,An,'2024'!An_max)</f>
        <v>2022</v>
      </c>
      <c r="K137" s="193">
        <f t="shared" si="27"/>
        <v>45780</v>
      </c>
      <c r="L137" s="143">
        <f>IF(t&lt;Tvie,1-EXP((T0-t)*PertePVj)+'2024'!Pspv,1-EXP((T0-t)*PertePVj)+Pspv)</f>
        <v>1.8391403847056731E-2</v>
      </c>
      <c r="M137" s="835"/>
      <c r="N137" s="835"/>
      <c r="O137" s="48">
        <f>IF(t&lt;Tnet,'2024'!Resal+('2024'!Salim-'2024'!Resal)*(1-EXP(('2024'!Tnet-t)/('2024'!Tau_j))),Resal+(Salim-Resal)*(1-EXP((Tnet-t)/(Tau_j))))*Salcycl</f>
        <v>3.3823051867955027E-2</v>
      </c>
      <c r="P137" s="165">
        <f>(INDEX(Models!$BJ137:$BT137,,T137)*(1-R137)+INDEX(Models!$BJ137:$BT137,,T137+1)*R137-ERP_i)*Q137*Ramure*Pc/MaxiM</f>
        <v>1.3800774183304361E-4</v>
      </c>
      <c r="Q137" s="301">
        <f t="shared" si="28"/>
        <v>0.5</v>
      </c>
      <c r="R137" s="173">
        <f t="shared" si="29"/>
        <v>0.57568768796459646</v>
      </c>
      <c r="S137" s="801">
        <f t="shared" si="30"/>
        <v>1</v>
      </c>
      <c r="T137" s="172">
        <f t="shared" si="31"/>
        <v>7</v>
      </c>
      <c r="U137" s="247">
        <f t="shared" si="32"/>
        <v>1.5756876879645965</v>
      </c>
      <c r="V137" s="378">
        <f t="shared" si="33"/>
        <v>229.98483514813606</v>
      </c>
      <c r="W137" s="397">
        <f t="shared" si="34"/>
        <v>130.19678546559794</v>
      </c>
      <c r="X137" s="153">
        <f t="shared" si="35"/>
        <v>45780</v>
      </c>
      <c r="Y137" s="380">
        <f t="shared" si="36"/>
        <v>126.78076330575303</v>
      </c>
      <c r="Z137" s="380">
        <f t="shared" si="37"/>
        <v>129.15612577418736</v>
      </c>
      <c r="AA137" s="381">
        <f t="shared" si="38"/>
        <v>137.279357295897</v>
      </c>
      <c r="AB137" s="193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5.9173000819056444E-2</v>
      </c>
      <c r="AD137" s="227">
        <f>(INDEX(Models!$BJ137:$BT137,,AH137)*(1-AF137)+INDEX(Models!$BJ137:$BT137,,AH137+1)*AF137-ERP_i)*AE137*Ramure*Pc/MaxiM</f>
        <v>1.3800774183304361E-4</v>
      </c>
      <c r="AE137" s="301">
        <f t="shared" si="40"/>
        <v>0.5</v>
      </c>
      <c r="AF137" s="173">
        <f t="shared" si="41"/>
        <v>0.57568768796459646</v>
      </c>
      <c r="AG137" s="801">
        <f t="shared" si="49"/>
        <v>1</v>
      </c>
      <c r="AH137" s="172">
        <f t="shared" si="42"/>
        <v>7</v>
      </c>
      <c r="AI137" s="221">
        <f t="shared" si="43"/>
        <v>1.5756876879645965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45781</v>
      </c>
      <c r="B138" s="406">
        <f>'2024'!Wh/'2024'!Env_an*'2025'!Env_an</f>
        <v>76.418324679195862</v>
      </c>
      <c r="C138" s="385"/>
      <c r="D138" s="388">
        <f t="shared" si="25"/>
        <v>77.851162974433834</v>
      </c>
      <c r="E138" s="380">
        <f t="shared" si="47"/>
        <v>80.582377144307117</v>
      </c>
      <c r="F138" s="380">
        <f t="shared" si="26"/>
        <v>80.582880429154841</v>
      </c>
      <c r="G138" s="110">
        <f t="shared" si="48"/>
        <v>0.33160883477431857</v>
      </c>
      <c r="H138" s="409" t="b">
        <f>Wh_hp&gt;='2024'!Maxi_hp</f>
        <v>0</v>
      </c>
      <c r="I138" s="375">
        <f>IF(H138,Wh_hp,'2024'!Maxi_hp)</f>
        <v>80.592958342597413</v>
      </c>
      <c r="J138" s="85">
        <f>IF(H138,An,'2024'!An_max)</f>
        <v>2022</v>
      </c>
      <c r="K138" s="193">
        <f t="shared" si="27"/>
        <v>45781</v>
      </c>
      <c r="L138" s="143">
        <f>IF(t&lt;Tvie,1-EXP((T0-t)*PertePVj)+'2024'!Pspv,1-EXP((T0-t)*PertePVj)+Pspv)</f>
        <v>1.8404841244420655E-2</v>
      </c>
      <c r="M138" s="835"/>
      <c r="N138" s="835"/>
      <c r="O138" s="48">
        <f>IF(t&lt;Tnet,'2024'!Resal+('2024'!Salim-'2024'!Resal)*(1-EXP(('2024'!Tnet-t)/('2024'!Tau_j))),Resal+(Salim-Resal)*(1-EXP((Tnet-t)/(Tau_j))))*Salcycl</f>
        <v>3.3893442544915567E-2</v>
      </c>
      <c r="P138" s="165">
        <f>(INDEX(Models!$BJ138:$BT138,,T138)*(1-R138)+INDEX(Models!$BJ138:$BT138,,T138+1)*R138-ERP_i)*Q138*Ramure*Pc/MaxiM</f>
        <v>1.3812112403986215E-4</v>
      </c>
      <c r="Q138" s="301">
        <f t="shared" si="28"/>
        <v>0.5</v>
      </c>
      <c r="R138" s="173">
        <f t="shared" si="29"/>
        <v>0.57867780888088682</v>
      </c>
      <c r="S138" s="801">
        <f t="shared" si="30"/>
        <v>1</v>
      </c>
      <c r="T138" s="172">
        <f t="shared" si="31"/>
        <v>7</v>
      </c>
      <c r="U138" s="247">
        <f t="shared" si="32"/>
        <v>1.5786778088808868</v>
      </c>
      <c r="V138" s="378">
        <f t="shared" si="33"/>
        <v>230.41680104282293</v>
      </c>
      <c r="W138" s="397">
        <f t="shared" si="34"/>
        <v>76.418324679195862</v>
      </c>
      <c r="X138" s="153">
        <f t="shared" si="35"/>
        <v>45781</v>
      </c>
      <c r="Y138" s="380">
        <f t="shared" si="36"/>
        <v>74.414252481615648</v>
      </c>
      <c r="Z138" s="380">
        <f t="shared" si="37"/>
        <v>75.809514561944837</v>
      </c>
      <c r="AA138" s="381">
        <f t="shared" si="38"/>
        <v>80.582377144307117</v>
      </c>
      <c r="AB138" s="193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5.9229607657453803E-2</v>
      </c>
      <c r="AD138" s="227">
        <f>(INDEX(Models!$BJ138:$BT138,,AH138)*(1-AF138)+INDEX(Models!$BJ138:$BT138,,AH138+1)*AF138-ERP_i)*AE138*Ramure*Pc/MaxiM</f>
        <v>1.3812112403986215E-4</v>
      </c>
      <c r="AE138" s="301">
        <f t="shared" si="40"/>
        <v>0.5</v>
      </c>
      <c r="AF138" s="173">
        <f t="shared" si="41"/>
        <v>0.57867780888088682</v>
      </c>
      <c r="AG138" s="801">
        <f t="shared" si="49"/>
        <v>1</v>
      </c>
      <c r="AH138" s="172">
        <f t="shared" si="42"/>
        <v>7</v>
      </c>
      <c r="AI138" s="221">
        <f t="shared" si="43"/>
        <v>1.5786778088808868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45782</v>
      </c>
      <c r="B139" s="406">
        <f>'2024'!Wh/'2024'!Env_an*'2025'!Env_an</f>
        <v>160.99246623757907</v>
      </c>
      <c r="C139" s="385"/>
      <c r="D139" s="388">
        <f t="shared" si="25"/>
        <v>164.01330903416169</v>
      </c>
      <c r="E139" s="380">
        <f t="shared" si="47"/>
        <v>169.7797528110176</v>
      </c>
      <c r="F139" s="380">
        <f t="shared" si="26"/>
        <v>169.793079258414</v>
      </c>
      <c r="G139" s="110">
        <f t="shared" si="48"/>
        <v>0.69739741590739546</v>
      </c>
      <c r="H139" s="409" t="b">
        <f>Wh_hp&gt;='2024'!Maxi_hp</f>
        <v>0</v>
      </c>
      <c r="I139" s="375">
        <f>IF(H139,Wh_hp,'2024'!Maxi_hp)</f>
        <v>169.80268251285483</v>
      </c>
      <c r="J139" s="85">
        <f>IF(H139,An,'2024'!An_max)</f>
        <v>2022</v>
      </c>
      <c r="K139" s="193">
        <f t="shared" si="27"/>
        <v>45782</v>
      </c>
      <c r="L139" s="143">
        <f>IF(t&lt;Tvie,1-EXP((T0-t)*PertePVj)+'2024'!Pspv,1-EXP((T0-t)*PertePVj)+Pspv)</f>
        <v>1.8418278457837944E-2</v>
      </c>
      <c r="M139" s="835"/>
      <c r="N139" s="835"/>
      <c r="O139" s="48">
        <f>IF(t&lt;Tnet,'2024'!Resal+('2024'!Salim-'2024'!Resal)*(1-EXP(('2024'!Tnet-t)/('2024'!Tau_j))),Resal+(Salim-Resal)*(1-EXP((Tnet-t)/(Tau_j))))*Salcycl</f>
        <v>3.3964260645817701E-2</v>
      </c>
      <c r="P139" s="165">
        <f>(INDEX(Models!$BJ139:$BT139,,T139)*(1-R139)+INDEX(Models!$BJ139:$BT139,,T139+1)*R139-ERP_i)*Q139*Ramure*Pc/MaxiM</f>
        <v>1.3823622452622069E-4</v>
      </c>
      <c r="Q139" s="301">
        <f t="shared" si="28"/>
        <v>0.5</v>
      </c>
      <c r="R139" s="173">
        <f t="shared" si="29"/>
        <v>0.58174776694746333</v>
      </c>
      <c r="S139" s="801">
        <f t="shared" si="30"/>
        <v>1</v>
      </c>
      <c r="T139" s="172">
        <f t="shared" si="31"/>
        <v>7</v>
      </c>
      <c r="U139" s="247">
        <f t="shared" si="32"/>
        <v>1.5817477669474633</v>
      </c>
      <c r="V139" s="378">
        <f t="shared" si="33"/>
        <v>230.8337291461574</v>
      </c>
      <c r="W139" s="397">
        <f t="shared" si="34"/>
        <v>160.99246623757907</v>
      </c>
      <c r="X139" s="153">
        <f t="shared" si="35"/>
        <v>45782</v>
      </c>
      <c r="Y139" s="380">
        <f t="shared" si="36"/>
        <v>156.77236995435842</v>
      </c>
      <c r="Z139" s="380">
        <f t="shared" si="37"/>
        <v>159.71402738434605</v>
      </c>
      <c r="AA139" s="381">
        <f t="shared" si="38"/>
        <v>169.7797528110176</v>
      </c>
      <c r="AB139" s="193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5.9286960076303824E-2</v>
      </c>
      <c r="AD139" s="227">
        <f>(INDEX(Models!$BJ139:$BT139,,AH139)*(1-AF139)+INDEX(Models!$BJ139:$BT139,,AH139+1)*AF139-ERP_i)*AE139*Ramure*Pc/MaxiM</f>
        <v>1.3823622452622069E-4</v>
      </c>
      <c r="AE139" s="301">
        <f t="shared" si="40"/>
        <v>0.5</v>
      </c>
      <c r="AF139" s="173">
        <f t="shared" si="41"/>
        <v>0.58174776694746333</v>
      </c>
      <c r="AG139" s="801">
        <f t="shared" si="49"/>
        <v>1</v>
      </c>
      <c r="AH139" s="172">
        <f t="shared" si="42"/>
        <v>7</v>
      </c>
      <c r="AI139" s="221">
        <f t="shared" si="43"/>
        <v>1.5817477669474633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45783</v>
      </c>
      <c r="B140" s="406">
        <f>'2024'!Wh/'2024'!Env_an*'2025'!Env_an</f>
        <v>149.76999115201463</v>
      </c>
      <c r="C140" s="385"/>
      <c r="D140" s="388">
        <f t="shared" si="25"/>
        <v>152.58234553327046</v>
      </c>
      <c r="E140" s="380">
        <f t="shared" si="47"/>
        <v>157.95854315726572</v>
      </c>
      <c r="F140" s="380">
        <f t="shared" si="26"/>
        <v>157.9693987433003</v>
      </c>
      <c r="G140" s="110">
        <f t="shared" si="48"/>
        <v>0.64764772260723757</v>
      </c>
      <c r="H140" s="409" t="b">
        <f>Wh_hp&gt;='2024'!Maxi_hp</f>
        <v>0</v>
      </c>
      <c r="I140" s="375">
        <f>IF(H140,Wh_hp,'2024'!Maxi_hp)</f>
        <v>157.97979101946427</v>
      </c>
      <c r="J140" s="85">
        <f>IF(H140,An,'2024'!An_max)</f>
        <v>2022</v>
      </c>
      <c r="K140" s="193">
        <f t="shared" si="27"/>
        <v>45783</v>
      </c>
      <c r="L140" s="143">
        <f>IF(t&lt;Tvie,1-EXP((T0-t)*PertePVj)+'2024'!Pspv,1-EXP((T0-t)*PertePVj)+Pspv)</f>
        <v>1.8431715487311151E-2</v>
      </c>
      <c r="M140" s="835"/>
      <c r="N140" s="835"/>
      <c r="O140" s="48">
        <f>IF(t&lt;Tnet,'2024'!Resal+('2024'!Salim-'2024'!Resal)*(1-EXP(('2024'!Tnet-t)/('2024'!Tau_j))),Resal+(Salim-Resal)*(1-EXP((Tnet-t)/(Tau_j))))*Salcycl</f>
        <v>3.4035497647269604E-2</v>
      </c>
      <c r="P140" s="165">
        <f>(INDEX(Models!$BJ140:$BT140,,T140)*(1-R140)+INDEX(Models!$BJ140:$BT140,,T140+1)*R140-ERP_i)*Q140*Ramure*Pc/MaxiM</f>
        <v>1.3835110084821616E-4</v>
      </c>
      <c r="Q140" s="301">
        <f t="shared" si="28"/>
        <v>0.5</v>
      </c>
      <c r="R140" s="173">
        <f t="shared" si="29"/>
        <v>0.58489810630880479</v>
      </c>
      <c r="S140" s="801">
        <f t="shared" si="30"/>
        <v>1</v>
      </c>
      <c r="T140" s="172">
        <f t="shared" si="31"/>
        <v>7</v>
      </c>
      <c r="U140" s="247">
        <f t="shared" si="32"/>
        <v>1.5848981063088048</v>
      </c>
      <c r="V140" s="378">
        <f t="shared" si="33"/>
        <v>231.23614349434254</v>
      </c>
      <c r="W140" s="397">
        <f t="shared" si="34"/>
        <v>149.76999115201463</v>
      </c>
      <c r="X140" s="153">
        <f t="shared" si="35"/>
        <v>45783</v>
      </c>
      <c r="Y140" s="380">
        <f t="shared" si="36"/>
        <v>145.84581998540347</v>
      </c>
      <c r="Z140" s="380">
        <f t="shared" si="37"/>
        <v>148.58448697515766</v>
      </c>
      <c r="AA140" s="381">
        <f t="shared" si="38"/>
        <v>157.95854315726572</v>
      </c>
      <c r="AB140" s="193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5.9345040760315951E-2</v>
      </c>
      <c r="AD140" s="227">
        <f>(INDEX(Models!$BJ140:$BT140,,AH140)*(1-AF140)+INDEX(Models!$BJ140:$BT140,,AH140+1)*AF140-ERP_i)*AE140*Ramure*Pc/MaxiM</f>
        <v>1.3835110084821616E-4</v>
      </c>
      <c r="AE140" s="301">
        <f t="shared" si="40"/>
        <v>0.5</v>
      </c>
      <c r="AF140" s="173">
        <f t="shared" si="41"/>
        <v>0.58489810630880479</v>
      </c>
      <c r="AG140" s="801">
        <f t="shared" si="49"/>
        <v>1</v>
      </c>
      <c r="AH140" s="172">
        <f t="shared" si="42"/>
        <v>7</v>
      </c>
      <c r="AI140" s="221">
        <f t="shared" si="43"/>
        <v>1.5848981063088048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45784</v>
      </c>
      <c r="B141" s="406">
        <f>'2024'!Wh/'2024'!Env_an*'2025'!Env_an</f>
        <v>189.94208049272018</v>
      </c>
      <c r="C141" s="385"/>
      <c r="D141" s="388">
        <f t="shared" si="25"/>
        <v>193.51142826521806</v>
      </c>
      <c r="E141" s="380">
        <f t="shared" si="47"/>
        <v>200.34461072420007</v>
      </c>
      <c r="F141" s="380">
        <f t="shared" si="26"/>
        <v>200.36522174240426</v>
      </c>
      <c r="G141" s="110">
        <f t="shared" si="48"/>
        <v>0.82001369686610026</v>
      </c>
      <c r="H141" s="409" t="b">
        <f>Wh_hp&gt;='2024'!Maxi_hp</f>
        <v>0</v>
      </c>
      <c r="I141" s="375">
        <f>IF(H141,Wh_hp,'2024'!Maxi_hp)</f>
        <v>200.37194692994947</v>
      </c>
      <c r="J141" s="85">
        <f>IF(H141,An,'2024'!An_max)</f>
        <v>2022</v>
      </c>
      <c r="K141" s="193">
        <f t="shared" si="27"/>
        <v>45784</v>
      </c>
      <c r="L141" s="143">
        <f>IF(t&lt;Tvie,1-EXP((T0-t)*PertePVj)+'2024'!Pspv,1-EXP((T0-t)*PertePVj)+Pspv)</f>
        <v>1.8445152332842607E-2</v>
      </c>
      <c r="M141" s="835"/>
      <c r="N141" s="835"/>
      <c r="O141" s="48">
        <f>IF(t&lt;Tnet,'2024'!Resal+('2024'!Salim-'2024'!Resal)*(1-EXP(('2024'!Tnet-t)/('2024'!Tau_j))),Resal+(Salim-Resal)*(1-EXP((Tnet-t)/(Tau_j))))*Salcycl</f>
        <v>3.410714385718492E-2</v>
      </c>
      <c r="P141" s="165">
        <f>(INDEX(Models!$BJ141:$BT141,,T141)*(1-R141)+INDEX(Models!$BJ141:$BT141,,T141+1)*R141-ERP_i)*Q141*Ramure*Pc/MaxiM</f>
        <v>1.3846371576274065E-4</v>
      </c>
      <c r="Q141" s="301">
        <f t="shared" si="28"/>
        <v>0.5</v>
      </c>
      <c r="R141" s="173">
        <f t="shared" si="29"/>
        <v>0.58812926071395699</v>
      </c>
      <c r="S141" s="801">
        <f t="shared" si="30"/>
        <v>1</v>
      </c>
      <c r="T141" s="172">
        <f t="shared" si="31"/>
        <v>7</v>
      </c>
      <c r="U141" s="247">
        <f t="shared" si="32"/>
        <v>1.588129260713957</v>
      </c>
      <c r="V141" s="378">
        <f t="shared" si="33"/>
        <v>231.62456829095231</v>
      </c>
      <c r="W141" s="397">
        <f t="shared" si="34"/>
        <v>189.94208049272018</v>
      </c>
      <c r="X141" s="153">
        <f t="shared" si="35"/>
        <v>45784</v>
      </c>
      <c r="Y141" s="380">
        <f t="shared" si="36"/>
        <v>184.96750670898081</v>
      </c>
      <c r="Z141" s="380">
        <f t="shared" si="37"/>
        <v>188.44337343816247</v>
      </c>
      <c r="AA141" s="381">
        <f t="shared" si="38"/>
        <v>200.34461072420007</v>
      </c>
      <c r="AB141" s="193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5.9403830445038441E-2</v>
      </c>
      <c r="AD141" s="227">
        <f>(INDEX(Models!$BJ141:$BT141,,AH141)*(1-AF141)+INDEX(Models!$BJ141:$BT141,,AH141+1)*AF141-ERP_i)*AE141*Ramure*Pc/MaxiM</f>
        <v>1.3846371576274065E-4</v>
      </c>
      <c r="AE141" s="301">
        <f t="shared" si="40"/>
        <v>0.5</v>
      </c>
      <c r="AF141" s="173">
        <f t="shared" si="41"/>
        <v>0.58812926071395699</v>
      </c>
      <c r="AG141" s="801">
        <f t="shared" si="49"/>
        <v>1</v>
      </c>
      <c r="AH141" s="172">
        <f t="shared" si="42"/>
        <v>7</v>
      </c>
      <c r="AI141" s="221">
        <f t="shared" si="43"/>
        <v>1.588129260713957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45785</v>
      </c>
      <c r="B142" s="406">
        <f>'2024'!Wh/'2024'!Env_an*'2025'!Env_an</f>
        <v>207.51159057803702</v>
      </c>
      <c r="C142" s="385"/>
      <c r="D142" s="388">
        <f t="shared" si="25"/>
        <v>211.41399461225635</v>
      </c>
      <c r="E142" s="380">
        <f t="shared" si="47"/>
        <v>218.89567098978156</v>
      </c>
      <c r="F142" s="380">
        <f t="shared" si="26"/>
        <v>218.92141690032742</v>
      </c>
      <c r="G142" s="110">
        <f t="shared" si="48"/>
        <v>0.89442957366023101</v>
      </c>
      <c r="H142" s="409" t="b">
        <f>Wh_hp&gt;='2024'!Maxi_hp</f>
        <v>0</v>
      </c>
      <c r="I142" s="375">
        <f>IF(H142,Wh_hp,'2024'!Maxi_hp)</f>
        <v>218.92571868618484</v>
      </c>
      <c r="J142" s="85">
        <f>IF(H142,An,'2024'!An_max)</f>
        <v>2022</v>
      </c>
      <c r="K142" s="193">
        <f t="shared" si="27"/>
        <v>45785</v>
      </c>
      <c r="L142" s="143">
        <f>IF(t&lt;Tvie,1-EXP((T0-t)*PertePVj)+'2024'!Pspv,1-EXP((T0-t)*PertePVj)+Pspv)</f>
        <v>1.8458588994434977E-2</v>
      </c>
      <c r="M142" s="835"/>
      <c r="N142" s="835"/>
      <c r="O142" s="48">
        <f>IF(t&lt;Tnet,'2024'!Resal+('2024'!Salim-'2024'!Resal)*(1-EXP(('2024'!Tnet-t)/('2024'!Tau_j))),Resal+(Salim-Resal)*(1-EXP((Tnet-t)/(Tau_j))))*Salcycl</f>
        <v>3.4179188394614077E-2</v>
      </c>
      <c r="P142" s="165">
        <f>(INDEX(Models!$BJ142:$BT142,,T142)*(1-R142)+INDEX(Models!$BJ142:$BT142,,T142+1)*R142-ERP_i)*Q142*Ramure*Pc/MaxiM</f>
        <v>1.3848540010523327E-4</v>
      </c>
      <c r="Q142" s="301">
        <f t="shared" si="28"/>
        <v>0.5</v>
      </c>
      <c r="R142" s="173">
        <f t="shared" si="29"/>
        <v>0.59144154651208991</v>
      </c>
      <c r="S142" s="801">
        <f t="shared" si="30"/>
        <v>1</v>
      </c>
      <c r="T142" s="172">
        <f t="shared" si="31"/>
        <v>7</v>
      </c>
      <c r="U142" s="247">
        <f t="shared" si="32"/>
        <v>1.5914415465120899</v>
      </c>
      <c r="V142" s="378">
        <f t="shared" si="33"/>
        <v>231.99954801285696</v>
      </c>
      <c r="W142" s="397">
        <f t="shared" si="34"/>
        <v>207.51159057803702</v>
      </c>
      <c r="X142" s="153">
        <f t="shared" si="35"/>
        <v>45785</v>
      </c>
      <c r="Y142" s="380">
        <f t="shared" si="36"/>
        <v>202.07916689213403</v>
      </c>
      <c r="Z142" s="380">
        <f t="shared" si="37"/>
        <v>205.87941030945285</v>
      </c>
      <c r="AA142" s="381">
        <f t="shared" si="38"/>
        <v>218.89567098978156</v>
      </c>
      <c r="AB142" s="193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5.9463307892170782E-2</v>
      </c>
      <c r="AD142" s="227">
        <f>(INDEX(Models!$BJ142:$BT142,,AH142)*(1-AF142)+INDEX(Models!$BJ142:$BT142,,AH142+1)*AF142-ERP_i)*AE142*Ramure*Pc/MaxiM</f>
        <v>1.3848540010523327E-4</v>
      </c>
      <c r="AE142" s="301">
        <f t="shared" si="40"/>
        <v>0.5</v>
      </c>
      <c r="AF142" s="173">
        <f t="shared" si="41"/>
        <v>0.59144154651208991</v>
      </c>
      <c r="AG142" s="801">
        <f t="shared" si="49"/>
        <v>1</v>
      </c>
      <c r="AH142" s="172">
        <f t="shared" si="42"/>
        <v>7</v>
      </c>
      <c r="AI142" s="221">
        <f t="shared" si="43"/>
        <v>1.5914415465120899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45786</v>
      </c>
      <c r="B143" s="406">
        <f>'2024'!Wh/'2024'!Env_an*'2025'!Env_an</f>
        <v>223.75640225311318</v>
      </c>
      <c r="C143" s="385"/>
      <c r="D143" s="388">
        <f t="shared" ref="D143:D206" si="50">Wh/(1-Ppv)</f>
        <v>227.96742228435667</v>
      </c>
      <c r="E143" s="380">
        <f t="shared" si="47"/>
        <v>236.05260625883258</v>
      </c>
      <c r="F143" s="380">
        <f t="shared" ref="F143:F206" si="51">Wh_sa/(1-Pvg*MEDIAN((-Sdif+Wh/Env_an)/Csdif,0,1))</f>
        <v>236.08355332465527</v>
      </c>
      <c r="G143" s="110">
        <f t="shared" si="48"/>
        <v>0.9629592632183207</v>
      </c>
      <c r="H143" s="409" t="b">
        <f>Wh_hp&gt;='2024'!Maxi_hp</f>
        <v>0</v>
      </c>
      <c r="I143" s="375">
        <f>IF(H143,Wh_hp,'2024'!Maxi_hp)</f>
        <v>236.08517663735407</v>
      </c>
      <c r="J143" s="85">
        <f>IF(H143,An,'2024'!An_max)</f>
        <v>2022</v>
      </c>
      <c r="K143" s="193">
        <f t="shared" ref="K143:K206" si="52">t</f>
        <v>45786</v>
      </c>
      <c r="L143" s="143">
        <f>IF(t&lt;Tvie,1-EXP((T0-t)*PertePVj)+'2024'!Pspv,1-EXP((T0-t)*PertePVj)+Pspv)</f>
        <v>1.8472025472090703E-2</v>
      </c>
      <c r="M143" s="835"/>
      <c r="N143" s="835"/>
      <c r="O143" s="48">
        <f>IF(t&lt;Tnet,'2024'!Resal+('2024'!Salim-'2024'!Resal)*(1-EXP(('2024'!Tnet-t)/('2024'!Tau_j))),Resal+(Salim-Resal)*(1-EXP((Tnet-t)/(Tau_j))))*Salcycl</f>
        <v>3.4251619173441612E-2</v>
      </c>
      <c r="P143" s="165">
        <f>(INDEX(Models!$BJ143:$BT143,,T143)*(1-R143)+INDEX(Models!$BJ143:$BT143,,T143+1)*R143-ERP_i)*Q143*Ramure*Pc/MaxiM</f>
        <v>1.3840772254189879E-4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0.59483515572943535</v>
      </c>
      <c r="S143" s="801">
        <f t="shared" ref="S143:S206" si="55">INDEX(Echel_vg,T143)</f>
        <v>1</v>
      </c>
      <c r="T143" s="172">
        <f t="shared" ref="T143:T206" si="56">MIN(MATCH(Hp_vg,Echel_vg),10)</f>
        <v>7</v>
      </c>
      <c r="U143" s="247">
        <f t="shared" ref="U143:U206" si="57">IF(OR(t&lt;Ttai,Notai),Hdd+PousH*Croivg,Hdtf+PousH*(Croivg-Croi_tai))</f>
        <v>1.5948351557294353</v>
      </c>
      <c r="V143" s="378">
        <f t="shared" ref="V143:V206" si="58">MaxiM*(1-Ppv)*(1-Pvg)*(1-Psa)</f>
        <v>232.36160877138073</v>
      </c>
      <c r="W143" s="397">
        <f t="shared" ref="W143:W206" si="59">Wh*(A143&gt;Tmaj)</f>
        <v>223.75640225311318</v>
      </c>
      <c r="X143" s="153">
        <f t="shared" ref="X143:X206" si="60">t</f>
        <v>45786</v>
      </c>
      <c r="Y143" s="380">
        <f t="shared" ref="Y143:Y206" si="61">Wh_pvt_s*(1-Ppv)</f>
        <v>217.90111527810203</v>
      </c>
      <c r="Z143" s="380">
        <f t="shared" ref="Z143:Z206" si="62">Wh_sa_s*(1-Psa_s)</f>
        <v>222.00194078310105</v>
      </c>
      <c r="AA143" s="381">
        <f t="shared" ref="AA143:AA206" si="63">Wh_hp*(1-Pvg_s*MEDIAN((-Sdif+Wh/Env_an)/Csdif,0,1))</f>
        <v>236.05260625883258</v>
      </c>
      <c r="AB143" s="193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5.9523449871699101E-2</v>
      </c>
      <c r="AD143" s="227">
        <f>(INDEX(Models!$BJ143:$BT143,,AH143)*(1-AF143)+INDEX(Models!$BJ143:$BT143,,AH143+1)*AF143-ERP_i)*AE143*Ramure*Pc/MaxiM</f>
        <v>1.3840772254189879E-4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0.59483515572943535</v>
      </c>
      <c r="AG143" s="801">
        <f t="shared" si="49"/>
        <v>1</v>
      </c>
      <c r="AH143" s="172">
        <f t="shared" ref="AH143:AH206" si="67">MIN(MATCH(Hp_vg_s,Echel_vg),10)</f>
        <v>7</v>
      </c>
      <c r="AI143" s="221">
        <f t="shared" ref="AI143:AI206" si="68">IF(OR(t&lt;Ttai,Notai),Hdd_s+PousH*Croivg,Hdtai_s+PousH*(Croivg-Croi_tai))</f>
        <v>1.5948351557294353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45787</v>
      </c>
      <c r="B144" s="406">
        <f>'2024'!Wh/'2024'!Env_an*'2025'!Env_an</f>
        <v>214.14100436459827</v>
      </c>
      <c r="C144" s="385"/>
      <c r="D144" s="388">
        <f t="shared" si="50"/>
        <v>218.1740524698215</v>
      </c>
      <c r="E144" s="380">
        <f t="shared" ref="E144:E169" si="72">Wh_pvt/(1-Psa)</f>
        <v>225.92893269894842</v>
      </c>
      <c r="F144" s="380">
        <f t="shared" si="51"/>
        <v>225.95660530993246</v>
      </c>
      <c r="G144" s="110">
        <f t="shared" ref="G144:G169" si="73">+Wh_hp/MaxiM</f>
        <v>0.92018587745892877</v>
      </c>
      <c r="H144" s="409" t="b">
        <f>Wh_hp&gt;='2024'!Maxi_hp</f>
        <v>0</v>
      </c>
      <c r="I144" s="375">
        <f>IF(H144,Wh_hp,'2024'!Maxi_hp)</f>
        <v>225.95994154835185</v>
      </c>
      <c r="J144" s="85">
        <f>IF(H144,An,'2024'!An_max)</f>
        <v>2022</v>
      </c>
      <c r="K144" s="193">
        <f t="shared" si="52"/>
        <v>45787</v>
      </c>
      <c r="L144" s="143">
        <f>IF(t&lt;Tvie,1-EXP((T0-t)*PertePVj)+'2024'!Pspv,1-EXP((T0-t)*PertePVj)+Pspv)</f>
        <v>1.8485461765812339E-2</v>
      </c>
      <c r="M144" s="835"/>
      <c r="N144" s="835"/>
      <c r="O144" s="48">
        <f>IF(t&lt;Tnet,'2024'!Resal+('2024'!Salim-'2024'!Resal)*(1-EXP(('2024'!Tnet-t)/('2024'!Tau_j))),Resal+(Salim-Resal)*(1-EXP((Tnet-t)/(Tau_j))))*Salcycl</f>
        <v>3.4324422890362319E-2</v>
      </c>
      <c r="P144" s="165">
        <f>(INDEX(Models!$BJ144:$BT144,,T144)*(1-R144)+INDEX(Models!$BJ144:$BT144,,T144+1)*R144-ERP_i)*Q144*Ramure*Pc/MaxiM</f>
        <v>1.3822643549878994E-4</v>
      </c>
      <c r="Q144" s="301">
        <f t="shared" si="53"/>
        <v>0.5</v>
      </c>
      <c r="R144" s="173">
        <f t="shared" si="54"/>
        <v>0.59831014927615356</v>
      </c>
      <c r="S144" s="801">
        <f t="shared" si="55"/>
        <v>1</v>
      </c>
      <c r="T144" s="172">
        <f t="shared" si="56"/>
        <v>7</v>
      </c>
      <c r="U144" s="247">
        <f t="shared" si="57"/>
        <v>1.5983101492761536</v>
      </c>
      <c r="V144" s="378">
        <f t="shared" si="58"/>
        <v>232.71127586160625</v>
      </c>
      <c r="W144" s="397">
        <f t="shared" si="59"/>
        <v>214.14100436459827</v>
      </c>
      <c r="X144" s="153">
        <f t="shared" si="60"/>
        <v>45787</v>
      </c>
      <c r="Y144" s="380">
        <f t="shared" si="61"/>
        <v>208.53957792354538</v>
      </c>
      <c r="Z144" s="380">
        <f t="shared" si="62"/>
        <v>212.46713094919863</v>
      </c>
      <c r="AA144" s="381">
        <f t="shared" si="63"/>
        <v>225.92893269894842</v>
      </c>
      <c r="AB144" s="193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5.9584231151517411E-2</v>
      </c>
      <c r="AD144" s="227">
        <f>(INDEX(Models!$BJ144:$BT144,,AH144)*(1-AF144)+INDEX(Models!$BJ144:$BT144,,AH144+1)*AF144-ERP_i)*AE144*Ramure*Pc/MaxiM</f>
        <v>1.3822643549878994E-4</v>
      </c>
      <c r="AE144" s="301">
        <f t="shared" si="65"/>
        <v>0.5</v>
      </c>
      <c r="AF144" s="173">
        <f t="shared" si="66"/>
        <v>0.59831014927615356</v>
      </c>
      <c r="AG144" s="801">
        <f t="shared" ref="AG144:AG207" si="74">INDEX(Echel_vg,AH144)</f>
        <v>1</v>
      </c>
      <c r="AH144" s="172">
        <f t="shared" si="67"/>
        <v>7</v>
      </c>
      <c r="AI144" s="221">
        <f t="shared" si="68"/>
        <v>1.5983101492761536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45788</v>
      </c>
      <c r="B145" s="406">
        <f>'2024'!Wh/'2024'!Env_an*'2025'!Env_an</f>
        <v>230.65089687490158</v>
      </c>
      <c r="C145" s="385"/>
      <c r="D145" s="388">
        <f t="shared" si="50"/>
        <v>234.99810277917385</v>
      </c>
      <c r="E145" s="380">
        <f t="shared" si="72"/>
        <v>243.36942320451968</v>
      </c>
      <c r="F145" s="380">
        <f t="shared" si="51"/>
        <v>243.40250387481066</v>
      </c>
      <c r="G145" s="110">
        <f t="shared" si="73"/>
        <v>0.989707551115248</v>
      </c>
      <c r="H145" s="409" t="b">
        <f>Wh_hp&gt;='2024'!Maxi_hp</f>
        <v>0</v>
      </c>
      <c r="I145" s="375">
        <f>IF(H145,Wh_hp,'2024'!Maxi_hp)</f>
        <v>243.40296531394188</v>
      </c>
      <c r="J145" s="85">
        <f>IF(H145,An,'2024'!An_max)</f>
        <v>2022</v>
      </c>
      <c r="K145" s="193">
        <f t="shared" si="52"/>
        <v>45788</v>
      </c>
      <c r="L145" s="143">
        <f>IF(t&lt;Tvie,1-EXP((T0-t)*PertePVj)+'2024'!Pspv,1-EXP((T0-t)*PertePVj)+Pspv)</f>
        <v>1.8498897875602438E-2</v>
      </c>
      <c r="M145" s="835"/>
      <c r="N145" s="835"/>
      <c r="O145" s="48">
        <f>IF(t&lt;Tnet,'2024'!Resal+('2024'!Salim-'2024'!Resal)*(1-EXP(('2024'!Tnet-t)/('2024'!Tau_j))),Resal+(Salim-Resal)*(1-EXP((Tnet-t)/(Tau_j))))*Salcycl</f>
        <v>3.4397585017534649E-2</v>
      </c>
      <c r="P145" s="165">
        <f>(INDEX(Models!$BJ145:$BT145,,T145)*(1-R145)+INDEX(Models!$BJ145:$BT145,,T145+1)*R145-ERP_i)*Q145*Ramure*Pc/MaxiM</f>
        <v>1.3793708841645214E-4</v>
      </c>
      <c r="Q145" s="301">
        <f t="shared" si="53"/>
        <v>0.5</v>
      </c>
      <c r="R145" s="173">
        <f t="shared" si="54"/>
        <v>0.60186645033451791</v>
      </c>
      <c r="S145" s="801">
        <f t="shared" si="55"/>
        <v>1</v>
      </c>
      <c r="T145" s="172">
        <f t="shared" si="56"/>
        <v>7</v>
      </c>
      <c r="U145" s="247">
        <f t="shared" si="57"/>
        <v>1.6018664503345179</v>
      </c>
      <c r="V145" s="378">
        <f t="shared" si="58"/>
        <v>233.04907479612572</v>
      </c>
      <c r="W145" s="397">
        <f t="shared" si="59"/>
        <v>230.65089687490158</v>
      </c>
      <c r="X145" s="153">
        <f t="shared" si="60"/>
        <v>45788</v>
      </c>
      <c r="Y145" s="380">
        <f t="shared" si="61"/>
        <v>224.61996441295781</v>
      </c>
      <c r="Z145" s="380">
        <f t="shared" si="62"/>
        <v>228.85350197445729</v>
      </c>
      <c r="AA145" s="381">
        <f t="shared" si="63"/>
        <v>243.36942320451968</v>
      </c>
      <c r="AB145" s="193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5.9645624495167963E-2</v>
      </c>
      <c r="AD145" s="227">
        <f>(INDEX(Models!$BJ145:$BT145,,AH145)*(1-AF145)+INDEX(Models!$BJ145:$BT145,,AH145+1)*AF145-ERP_i)*AE145*Ramure*Pc/MaxiM</f>
        <v>1.3793708841645214E-4</v>
      </c>
      <c r="AE145" s="301">
        <f t="shared" si="65"/>
        <v>0.5</v>
      </c>
      <c r="AF145" s="173">
        <f t="shared" si="66"/>
        <v>0.60186645033451791</v>
      </c>
      <c r="AG145" s="801">
        <f t="shared" si="74"/>
        <v>1</v>
      </c>
      <c r="AH145" s="172">
        <f t="shared" si="67"/>
        <v>7</v>
      </c>
      <c r="AI145" s="221">
        <f t="shared" si="68"/>
        <v>1.6018664503345179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45789</v>
      </c>
      <c r="B146" s="406">
        <f>'2024'!Wh/'2024'!Env_an*'2025'!Env_an</f>
        <v>173.24199830122728</v>
      </c>
      <c r="C146" s="385"/>
      <c r="D146" s="388">
        <f t="shared" si="50"/>
        <v>176.50960299095971</v>
      </c>
      <c r="E146" s="380">
        <f t="shared" si="72"/>
        <v>182.81130800573408</v>
      </c>
      <c r="F146" s="380">
        <f t="shared" si="51"/>
        <v>182.82719727519412</v>
      </c>
      <c r="G146" s="110">
        <f t="shared" si="73"/>
        <v>0.74229387277062753</v>
      </c>
      <c r="H146" s="409" t="b">
        <f>Wh_hp&gt;='2024'!Maxi_hp</f>
        <v>0</v>
      </c>
      <c r="I146" s="375">
        <f>IF(H146,Wh_hp,'2024'!Maxi_hp)</f>
        <v>182.83583092034419</v>
      </c>
      <c r="J146" s="85">
        <f>IF(H146,An,'2024'!An_max)</f>
        <v>2022</v>
      </c>
      <c r="K146" s="193">
        <f t="shared" si="52"/>
        <v>45789</v>
      </c>
      <c r="L146" s="143">
        <f>IF(t&lt;Tvie,1-EXP((T0-t)*PertePVj)+'2024'!Pspv,1-EXP((T0-t)*PertePVj)+Pspv)</f>
        <v>1.8512333801463332E-2</v>
      </c>
      <c r="M146" s="835"/>
      <c r="N146" s="835"/>
      <c r="O146" s="48">
        <f>IF(t&lt;Tnet,'2024'!Resal+('2024'!Salim-'2024'!Resal)*(1-EXP(('2024'!Tnet-t)/('2024'!Tau_j))),Resal+(Salim-Resal)*(1-EXP((Tnet-t)/(Tau_j))))*Salcycl</f>
        <v>3.4471089800291281E-2</v>
      </c>
      <c r="P146" s="165">
        <f>(INDEX(Models!$BJ146:$BT146,,T146)*(1-R146)+INDEX(Models!$BJ146:$BT146,,T146+1)*R146-ERP_i)*Q146*Ramure*Pc/MaxiM</f>
        <v>1.375350349226024E-4</v>
      </c>
      <c r="Q146" s="301">
        <f t="shared" si="53"/>
        <v>0.5</v>
      </c>
      <c r="R146" s="173">
        <f t="shared" si="54"/>
        <v>0.60550383798234653</v>
      </c>
      <c r="S146" s="801">
        <f t="shared" si="55"/>
        <v>1</v>
      </c>
      <c r="T146" s="172">
        <f t="shared" si="56"/>
        <v>7</v>
      </c>
      <c r="U146" s="247">
        <f t="shared" si="57"/>
        <v>1.6055038379823465</v>
      </c>
      <c r="V146" s="378">
        <f t="shared" si="58"/>
        <v>233.37553128460266</v>
      </c>
      <c r="W146" s="397">
        <f t="shared" si="59"/>
        <v>173.24199830122728</v>
      </c>
      <c r="X146" s="153">
        <f t="shared" si="60"/>
        <v>45789</v>
      </c>
      <c r="Y146" s="380">
        <f t="shared" si="61"/>
        <v>168.71388575406442</v>
      </c>
      <c r="Z146" s="380">
        <f t="shared" si="62"/>
        <v>171.89608342967884</v>
      </c>
      <c r="AA146" s="381">
        <f t="shared" si="63"/>
        <v>182.81130800573408</v>
      </c>
      <c r="AB146" s="193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5.9707600668296057E-2</v>
      </c>
      <c r="AD146" s="227">
        <f>(INDEX(Models!$BJ146:$BT146,,AH146)*(1-AF146)+INDEX(Models!$BJ146:$BT146,,AH146+1)*AF146-ERP_i)*AE146*Ramure*Pc/MaxiM</f>
        <v>1.375350349226024E-4</v>
      </c>
      <c r="AE146" s="301">
        <f t="shared" si="65"/>
        <v>0.5</v>
      </c>
      <c r="AF146" s="173">
        <f t="shared" si="66"/>
        <v>0.60550383798234653</v>
      </c>
      <c r="AG146" s="801">
        <f t="shared" si="74"/>
        <v>1</v>
      </c>
      <c r="AH146" s="172">
        <f t="shared" si="67"/>
        <v>7</v>
      </c>
      <c r="AI146" s="221">
        <f t="shared" si="68"/>
        <v>1.6055038379823465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45790</v>
      </c>
      <c r="B147" s="406">
        <f>'2024'!Wh/'2024'!Env_an*'2025'!Env_an</f>
        <v>164.61741203320818</v>
      </c>
      <c r="C147" s="385"/>
      <c r="D147" s="388">
        <f t="shared" si="50"/>
        <v>167.72464006174135</v>
      </c>
      <c r="E147" s="380">
        <f t="shared" si="72"/>
        <v>173.72599055251294</v>
      </c>
      <c r="F147" s="380">
        <f t="shared" si="51"/>
        <v>173.73974383575015</v>
      </c>
      <c r="G147" s="110">
        <f t="shared" si="73"/>
        <v>0.70438214006361499</v>
      </c>
      <c r="H147" s="409" t="b">
        <f>Wh_hp&gt;='2024'!Maxi_hp</f>
        <v>0</v>
      </c>
      <c r="I147" s="375">
        <f>IF(H147,Wh_hp,'2024'!Maxi_hp)</f>
        <v>173.74909777889465</v>
      </c>
      <c r="J147" s="85">
        <f>IF(H147,An,'2024'!An_max)</f>
        <v>2022</v>
      </c>
      <c r="K147" s="193">
        <f t="shared" si="52"/>
        <v>45790</v>
      </c>
      <c r="L147" s="143">
        <f>IF(t&lt;Tvie,1-EXP((T0-t)*PertePVj)+'2024'!Pspv,1-EXP((T0-t)*PertePVj)+Pspv)</f>
        <v>1.8525769543397796E-2</v>
      </c>
      <c r="M147" s="835"/>
      <c r="N147" s="835"/>
      <c r="O147" s="48">
        <f>IF(t&lt;Tnet,'2024'!Resal+('2024'!Salim-'2024'!Resal)*(1-EXP(('2024'!Tnet-t)/('2024'!Tau_j))),Resal+(Salim-Resal)*(1-EXP((Tnet-t)/(Tau_j))))*Salcycl</f>
        <v>3.4544920260261902E-2</v>
      </c>
      <c r="P147" s="165">
        <f>(INDEX(Models!$BJ147:$BT147,,T147)*(1-R147)+INDEX(Models!$BJ147:$BT147,,T147+1)*R147-ERP_i)*Q147*Ramure*Pc/MaxiM</f>
        <v>1.3701544118904931E-4</v>
      </c>
      <c r="Q147" s="301">
        <f t="shared" si="53"/>
        <v>0.5</v>
      </c>
      <c r="R147" s="173">
        <f t="shared" si="54"/>
        <v>0.60922194110779859</v>
      </c>
      <c r="S147" s="801">
        <f t="shared" si="55"/>
        <v>1</v>
      </c>
      <c r="T147" s="172">
        <f t="shared" si="56"/>
        <v>7</v>
      </c>
      <c r="U147" s="247">
        <f t="shared" si="57"/>
        <v>1.6092219411077986</v>
      </c>
      <c r="V147" s="378">
        <f t="shared" si="58"/>
        <v>233.69117123569896</v>
      </c>
      <c r="W147" s="397">
        <f t="shared" si="59"/>
        <v>164.61741203320818</v>
      </c>
      <c r="X147" s="153">
        <f t="shared" si="60"/>
        <v>45790</v>
      </c>
      <c r="Y147" s="380">
        <f t="shared" si="61"/>
        <v>160.31632275618875</v>
      </c>
      <c r="Z147" s="380">
        <f t="shared" si="62"/>
        <v>163.342365781327</v>
      </c>
      <c r="AA147" s="381">
        <f t="shared" si="63"/>
        <v>173.72599055251294</v>
      </c>
      <c r="AB147" s="193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5.9770128454367563E-2</v>
      </c>
      <c r="AD147" s="227">
        <f>(INDEX(Models!$BJ147:$BT147,,AH147)*(1-AF147)+INDEX(Models!$BJ147:$BT147,,AH147+1)*AF147-ERP_i)*AE147*Ramure*Pc/MaxiM</f>
        <v>1.3701544118904931E-4</v>
      </c>
      <c r="AE147" s="301">
        <f t="shared" si="65"/>
        <v>0.5</v>
      </c>
      <c r="AF147" s="173">
        <f t="shared" si="66"/>
        <v>0.60922194110779859</v>
      </c>
      <c r="AG147" s="801">
        <f t="shared" si="74"/>
        <v>1</v>
      </c>
      <c r="AH147" s="172">
        <f t="shared" si="67"/>
        <v>7</v>
      </c>
      <c r="AI147" s="221">
        <f t="shared" si="68"/>
        <v>1.6092219411077986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45791</v>
      </c>
      <c r="B148" s="406">
        <f>'2024'!Wh/'2024'!Env_an*'2025'!Env_an</f>
        <v>203.10437416993759</v>
      </c>
      <c r="C148" s="385"/>
      <c r="D148" s="388">
        <f t="shared" si="50"/>
        <v>206.940893844795</v>
      </c>
      <c r="E148" s="380">
        <f t="shared" si="72"/>
        <v>214.36190097129042</v>
      </c>
      <c r="F148" s="380">
        <f t="shared" si="51"/>
        <v>214.38562345950703</v>
      </c>
      <c r="G148" s="110">
        <f t="shared" si="73"/>
        <v>0.86795798971460336</v>
      </c>
      <c r="H148" s="409" t="b">
        <f>Wh_hp&gt;='2024'!Maxi_hp</f>
        <v>0</v>
      </c>
      <c r="I148" s="375">
        <f>IF(H148,Wh_hp,'2024'!Maxi_hp)</f>
        <v>214.39074224471946</v>
      </c>
      <c r="J148" s="85">
        <f>IF(H148,An,'2024'!An_max)</f>
        <v>2022</v>
      </c>
      <c r="K148" s="193">
        <f t="shared" si="52"/>
        <v>45791</v>
      </c>
      <c r="L148" s="143">
        <f>IF(t&lt;Tvie,1-EXP((T0-t)*PertePVj)+'2024'!Pspv,1-EXP((T0-t)*PertePVj)+Pspv)</f>
        <v>1.8539205101408274E-2</v>
      </c>
      <c r="M148" s="835"/>
      <c r="N148" s="835"/>
      <c r="O148" s="48">
        <f>IF(t&lt;Tnet,'2024'!Resal+('2024'!Salim-'2024'!Resal)*(1-EXP(('2024'!Tnet-t)/('2024'!Tau_j))),Resal+(Salim-Resal)*(1-EXP((Tnet-t)/(Tau_j))))*Salcycl</f>
        <v>3.4619058204234422E-2</v>
      </c>
      <c r="P148" s="165">
        <f>(INDEX(Models!$BJ148:$BT148,,T148)*(1-R148)+INDEX(Models!$BJ148:$BT148,,T148+1)*R148-ERP_i)*Q148*Ramure*Pc/MaxiM</f>
        <v>1.363732955418279E-4</v>
      </c>
      <c r="Q148" s="301">
        <f t="shared" si="53"/>
        <v>0.5</v>
      </c>
      <c r="R148" s="173">
        <f t="shared" si="54"/>
        <v>0.61302023267340111</v>
      </c>
      <c r="S148" s="801">
        <f t="shared" si="55"/>
        <v>1</v>
      </c>
      <c r="T148" s="172">
        <f t="shared" si="56"/>
        <v>7</v>
      </c>
      <c r="U148" s="247">
        <f t="shared" si="57"/>
        <v>1.6130202326734011</v>
      </c>
      <c r="V148" s="378">
        <f t="shared" si="58"/>
        <v>233.996520760095</v>
      </c>
      <c r="W148" s="397">
        <f t="shared" si="59"/>
        <v>203.10437416993759</v>
      </c>
      <c r="X148" s="153">
        <f t="shared" si="60"/>
        <v>45791</v>
      </c>
      <c r="Y148" s="380">
        <f t="shared" si="61"/>
        <v>197.7996316321771</v>
      </c>
      <c r="Z148" s="380">
        <f t="shared" si="62"/>
        <v>201.53594790570776</v>
      </c>
      <c r="AA148" s="381">
        <f t="shared" si="63"/>
        <v>214.36190097129042</v>
      </c>
      <c r="AB148" s="193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5.9833174680142702E-2</v>
      </c>
      <c r="AD148" s="227">
        <f>(INDEX(Models!$BJ148:$BT148,,AH148)*(1-AF148)+INDEX(Models!$BJ148:$BT148,,AH148+1)*AF148-ERP_i)*AE148*Ramure*Pc/MaxiM</f>
        <v>1.363732955418279E-4</v>
      </c>
      <c r="AE148" s="301">
        <f t="shared" si="65"/>
        <v>0.5</v>
      </c>
      <c r="AF148" s="173">
        <f t="shared" si="66"/>
        <v>0.61302023267340111</v>
      </c>
      <c r="AG148" s="801">
        <f t="shared" si="74"/>
        <v>1</v>
      </c>
      <c r="AH148" s="172">
        <f t="shared" si="67"/>
        <v>7</v>
      </c>
      <c r="AI148" s="221">
        <f t="shared" si="68"/>
        <v>1.6130202326734011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45792</v>
      </c>
      <c r="B149" s="406">
        <f>'2024'!Wh/'2024'!Env_an*'2025'!Env_an</f>
        <v>213.70026690157675</v>
      </c>
      <c r="C149" s="385"/>
      <c r="D149" s="388">
        <f t="shared" si="50"/>
        <v>217.73991730449148</v>
      </c>
      <c r="E149" s="380">
        <f t="shared" si="72"/>
        <v>225.5655729546657</v>
      </c>
      <c r="F149" s="380">
        <f t="shared" si="51"/>
        <v>225.59232381986627</v>
      </c>
      <c r="G149" s="110">
        <f t="shared" si="73"/>
        <v>0.91210427999955235</v>
      </c>
      <c r="H149" s="409" t="b">
        <f>Wh_hp&gt;='2024'!Maxi_hp</f>
        <v>0</v>
      </c>
      <c r="I149" s="375">
        <f>IF(H149,Wh_hp,'2024'!Maxi_hp)</f>
        <v>225.59588021543425</v>
      </c>
      <c r="J149" s="85">
        <f>IF(H149,An,'2024'!An_max)</f>
        <v>2022</v>
      </c>
      <c r="K149" s="193">
        <f t="shared" si="52"/>
        <v>45792</v>
      </c>
      <c r="L149" s="143">
        <f>IF(t&lt;Tvie,1-EXP((T0-t)*PertePVj)+'2024'!Pspv,1-EXP((T0-t)*PertePVj)+Pspv)</f>
        <v>1.8552640475497206E-2</v>
      </c>
      <c r="M149" s="835"/>
      <c r="N149" s="835"/>
      <c r="O149" s="48">
        <f>IF(t&lt;Tnet,'2024'!Resal+('2024'!Salim-'2024'!Resal)*(1-EXP(('2024'!Tnet-t)/('2024'!Tau_j))),Resal+(Salim-Resal)*(1-EXP((Tnet-t)/(Tau_j))))*Salcycl</f>
        <v>3.4693484239046578E-2</v>
      </c>
      <c r="P149" s="165">
        <f>(INDEX(Models!$BJ149:$BT149,,T149)*(1-R149)+INDEX(Models!$BJ149:$BT149,,T149+1)*R149-ERP_i)*Q149*Ramure*Pc/MaxiM</f>
        <v>1.3560481802619853E-4</v>
      </c>
      <c r="Q149" s="301">
        <f t="shared" si="53"/>
        <v>0.5</v>
      </c>
      <c r="R149" s="173">
        <f t="shared" si="54"/>
        <v>0.61689802438844077</v>
      </c>
      <c r="S149" s="801">
        <f t="shared" si="55"/>
        <v>1</v>
      </c>
      <c r="T149" s="172">
        <f t="shared" si="56"/>
        <v>7</v>
      </c>
      <c r="U149" s="247">
        <f t="shared" si="57"/>
        <v>1.6168980243884408</v>
      </c>
      <c r="V149" s="378">
        <f t="shared" si="58"/>
        <v>234.28968931358571</v>
      </c>
      <c r="W149" s="397">
        <f t="shared" si="59"/>
        <v>213.70026690157675</v>
      </c>
      <c r="X149" s="153">
        <f t="shared" si="60"/>
        <v>45792</v>
      </c>
      <c r="Y149" s="380">
        <f t="shared" si="61"/>
        <v>208.12075950629114</v>
      </c>
      <c r="Z149" s="380">
        <f t="shared" si="62"/>
        <v>212.05493854211667</v>
      </c>
      <c r="AA149" s="381">
        <f t="shared" si="63"/>
        <v>225.5655729546657</v>
      </c>
      <c r="AB149" s="193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5.989670425133712E-2</v>
      </c>
      <c r="AD149" s="227">
        <f>(INDEX(Models!$BJ149:$BT149,,AH149)*(1-AF149)+INDEX(Models!$BJ149:$BT149,,AH149+1)*AF149-ERP_i)*AE149*Ramure*Pc/MaxiM</f>
        <v>1.3560481802619853E-4</v>
      </c>
      <c r="AE149" s="301">
        <f t="shared" si="65"/>
        <v>0.5</v>
      </c>
      <c r="AF149" s="173">
        <f t="shared" si="66"/>
        <v>0.61689802438844077</v>
      </c>
      <c r="AG149" s="801">
        <f t="shared" si="74"/>
        <v>1</v>
      </c>
      <c r="AH149" s="172">
        <f t="shared" si="67"/>
        <v>7</v>
      </c>
      <c r="AI149" s="221">
        <f t="shared" si="68"/>
        <v>1.6168980243884408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45793</v>
      </c>
      <c r="B150" s="406">
        <f>'2024'!Wh/'2024'!Env_an*'2025'!Env_an</f>
        <v>206.66051532400232</v>
      </c>
      <c r="C150" s="385"/>
      <c r="D150" s="388">
        <f t="shared" si="50"/>
        <v>210.56997338274385</v>
      </c>
      <c r="E150" s="380">
        <f t="shared" si="72"/>
        <v>218.15481891306078</v>
      </c>
      <c r="F150" s="380">
        <f t="shared" si="51"/>
        <v>218.17922550730998</v>
      </c>
      <c r="G150" s="110">
        <f t="shared" si="73"/>
        <v>0.88100295312855703</v>
      </c>
      <c r="H150" s="409" t="b">
        <f>Wh_hp&gt;='2024'!Maxi_hp</f>
        <v>0</v>
      </c>
      <c r="I150" s="375">
        <f>IF(H150,Wh_hp,'2024'!Maxi_hp)</f>
        <v>218.18384203188552</v>
      </c>
      <c r="J150" s="85">
        <f>IF(H150,An,'2024'!An_max)</f>
        <v>2022</v>
      </c>
      <c r="K150" s="193">
        <f t="shared" si="52"/>
        <v>45793</v>
      </c>
      <c r="L150" s="143">
        <f>IF(t&lt;Tvie,1-EXP((T0-t)*PertePVj)+'2024'!Pspv,1-EXP((T0-t)*PertePVj)+Pspv)</f>
        <v>1.8566075665667148E-2</v>
      </c>
      <c r="M150" s="835"/>
      <c r="N150" s="835"/>
      <c r="O150" s="48">
        <f>IF(t&lt;Tnet,'2024'!Resal+('2024'!Salim-'2024'!Resal)*(1-EXP(('2024'!Tnet-t)/('2024'!Tau_j))),Resal+(Salim-Resal)*(1-EXP((Tnet-t)/(Tau_j))))*Salcycl</f>
        <v>3.4768177792761215E-2</v>
      </c>
      <c r="P150" s="165">
        <f>(INDEX(Models!$BJ150:$BT150,,T150)*(1-R150)+INDEX(Models!$BJ150:$BT150,,T150+1)*R150-ERP_i)*Q150*Ramure*Pc/MaxiM</f>
        <v>1.3477160450670197E-4</v>
      </c>
      <c r="Q150" s="301">
        <f t="shared" si="53"/>
        <v>0.5</v>
      </c>
      <c r="R150" s="173">
        <f t="shared" si="54"/>
        <v>0.62085446184956683</v>
      </c>
      <c r="S150" s="801">
        <f t="shared" si="55"/>
        <v>1</v>
      </c>
      <c r="T150" s="172">
        <f t="shared" si="56"/>
        <v>7</v>
      </c>
      <c r="U150" s="247">
        <f t="shared" si="57"/>
        <v>1.6208544618495668</v>
      </c>
      <c r="V150" s="378">
        <f t="shared" si="58"/>
        <v>234.5687720413747</v>
      </c>
      <c r="W150" s="397">
        <f t="shared" si="59"/>
        <v>206.66051532400232</v>
      </c>
      <c r="X150" s="153">
        <f t="shared" si="60"/>
        <v>45793</v>
      </c>
      <c r="Y150" s="380">
        <f t="shared" si="61"/>
        <v>201.26668618393711</v>
      </c>
      <c r="Z150" s="380">
        <f t="shared" si="62"/>
        <v>205.07410758238075</v>
      </c>
      <c r="AA150" s="381">
        <f t="shared" si="63"/>
        <v>218.15481891306078</v>
      </c>
      <c r="AB150" s="193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5.996068019883144E-2</v>
      </c>
      <c r="AD150" s="227">
        <f>(INDEX(Models!$BJ150:$BT150,,AH150)*(1-AF150)+INDEX(Models!$BJ150:$BT150,,AH150+1)*AF150-ERP_i)*AE150*Ramure*Pc/MaxiM</f>
        <v>1.3477160450670197E-4</v>
      </c>
      <c r="AE150" s="301">
        <f t="shared" si="65"/>
        <v>0.5</v>
      </c>
      <c r="AF150" s="173">
        <f t="shared" si="66"/>
        <v>0.62085446184956683</v>
      </c>
      <c r="AG150" s="801">
        <f t="shared" si="74"/>
        <v>1</v>
      </c>
      <c r="AH150" s="172">
        <f t="shared" si="67"/>
        <v>7</v>
      </c>
      <c r="AI150" s="221">
        <f t="shared" si="68"/>
        <v>1.6208544618495668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45794</v>
      </c>
      <c r="B151" s="406">
        <f>'2024'!Wh/'2024'!Env_an*'2025'!Env_an</f>
        <v>225.29313967750164</v>
      </c>
      <c r="C151" s="385"/>
      <c r="D151" s="388">
        <f t="shared" si="50"/>
        <v>229.55821905832286</v>
      </c>
      <c r="E151" s="380">
        <f t="shared" si="72"/>
        <v>237.84549759272321</v>
      </c>
      <c r="F151" s="380">
        <f t="shared" si="51"/>
        <v>237.87550099081685</v>
      </c>
      <c r="G151" s="110">
        <f t="shared" si="73"/>
        <v>0.95936325866098937</v>
      </c>
      <c r="H151" s="409" t="b">
        <f>Wh_hp&gt;='2024'!Maxi_hp</f>
        <v>0</v>
      </c>
      <c r="I151" s="375">
        <f>IF(H151,Wh_hp,'2024'!Maxi_hp)</f>
        <v>237.87720454038168</v>
      </c>
      <c r="J151" s="85">
        <f>IF(H151,An,'2024'!An_max)</f>
        <v>2022</v>
      </c>
      <c r="K151" s="193">
        <f t="shared" si="52"/>
        <v>45794</v>
      </c>
      <c r="L151" s="143">
        <f>IF(t&lt;Tvie,1-EXP((T0-t)*PertePVj)+'2024'!Pspv,1-EXP((T0-t)*PertePVj)+Pspv)</f>
        <v>1.8579510671920652E-2</v>
      </c>
      <c r="M151" s="835"/>
      <c r="N151" s="835"/>
      <c r="O151" s="48">
        <f>IF(t&lt;Tnet,'2024'!Resal+('2024'!Salim-'2024'!Resal)*(1-EXP(('2024'!Tnet-t)/('2024'!Tau_j))),Resal+(Salim-Resal)*(1-EXP((Tnet-t)/(Tau_j))))*Salcycl</f>
        <v>3.4843117142335601E-2</v>
      </c>
      <c r="P151" s="165">
        <f>(INDEX(Models!$BJ151:$BT151,,T151)*(1-R151)+INDEX(Models!$BJ151:$BT151,,T151+1)*R151-ERP_i)*Q151*Ramure*Pc/MaxiM</f>
        <v>1.3390263188157805E-4</v>
      </c>
      <c r="Q151" s="301">
        <f t="shared" si="53"/>
        <v>0.5</v>
      </c>
      <c r="R151" s="173">
        <f t="shared" si="54"/>
        <v>0.62488852020954067</v>
      </c>
      <c r="S151" s="801">
        <f t="shared" si="55"/>
        <v>1</v>
      </c>
      <c r="T151" s="172">
        <f t="shared" si="56"/>
        <v>7</v>
      </c>
      <c r="U151" s="247">
        <f t="shared" si="57"/>
        <v>1.6248885202095407</v>
      </c>
      <c r="V151" s="378">
        <f t="shared" si="58"/>
        <v>234.83428873757157</v>
      </c>
      <c r="W151" s="397">
        <f t="shared" si="59"/>
        <v>225.29313967750164</v>
      </c>
      <c r="X151" s="153">
        <f t="shared" si="60"/>
        <v>45794</v>
      </c>
      <c r="Y151" s="380">
        <f t="shared" si="61"/>
        <v>219.41500741529825</v>
      </c>
      <c r="Z151" s="380">
        <f t="shared" si="62"/>
        <v>223.56880644046748</v>
      </c>
      <c r="AA151" s="381">
        <f t="shared" si="63"/>
        <v>237.84549759272321</v>
      </c>
      <c r="AB151" s="193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6.0025063735713646E-2</v>
      </c>
      <c r="AD151" s="227">
        <f>(INDEX(Models!$BJ151:$BT151,,AH151)*(1-AF151)+INDEX(Models!$BJ151:$BT151,,AH151+1)*AF151-ERP_i)*AE151*Ramure*Pc/MaxiM</f>
        <v>1.3390263188157805E-4</v>
      </c>
      <c r="AE151" s="301">
        <f t="shared" si="65"/>
        <v>0.5</v>
      </c>
      <c r="AF151" s="173">
        <f t="shared" si="66"/>
        <v>0.62488852020954067</v>
      </c>
      <c r="AG151" s="801">
        <f t="shared" si="74"/>
        <v>1</v>
      </c>
      <c r="AH151" s="172">
        <f t="shared" si="67"/>
        <v>7</v>
      </c>
      <c r="AI151" s="221">
        <f t="shared" si="68"/>
        <v>1.6248885202095407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45795</v>
      </c>
      <c r="B152" s="406">
        <f>'2024'!Wh/'2024'!Env_an*'2025'!Env_an</f>
        <v>216.37994358460008</v>
      </c>
      <c r="C152" s="385"/>
      <c r="D152" s="388">
        <f t="shared" si="50"/>
        <v>220.4793032525879</v>
      </c>
      <c r="E152" s="380">
        <f t="shared" si="72"/>
        <v>228.45661518329044</v>
      </c>
      <c r="F152" s="380">
        <f t="shared" si="51"/>
        <v>228.48354832772952</v>
      </c>
      <c r="G152" s="110">
        <f t="shared" si="73"/>
        <v>0.92041196146247883</v>
      </c>
      <c r="H152" s="409" t="b">
        <f>Wh_hp&gt;='2024'!Maxi_hp</f>
        <v>0</v>
      </c>
      <c r="I152" s="375">
        <f>IF(H152,Wh_hp,'2024'!Maxi_hp)</f>
        <v>228.48672372776667</v>
      </c>
      <c r="J152" s="85">
        <f>IF(H152,An,'2024'!An_max)</f>
        <v>2022</v>
      </c>
      <c r="K152" s="193">
        <f t="shared" si="52"/>
        <v>45795</v>
      </c>
      <c r="L152" s="143">
        <f>IF(t&lt;Tvie,1-EXP((T0-t)*PertePVj)+'2024'!Pspv,1-EXP((T0-t)*PertePVj)+Pspv)</f>
        <v>1.859294549426016E-2</v>
      </c>
      <c r="M152" s="835"/>
      <c r="N152" s="835"/>
      <c r="O152" s="48">
        <f>IF(t&lt;Tnet,'2024'!Resal+('2024'!Salim-'2024'!Resal)*(1-EXP(('2024'!Tnet-t)/('2024'!Tau_j))),Resal+(Salim-Resal)*(1-EXP((Tnet-t)/(Tau_j))))*Salcycl</f>
        <v>3.4918279447948321E-2</v>
      </c>
      <c r="P152" s="165">
        <f>(INDEX(Models!$BJ152:$BT152,,T152)*(1-R152)+INDEX(Models!$BJ152:$BT152,,T152+1)*R152-ERP_i)*Q152*Ramure*Pc/MaxiM</f>
        <v>1.3299651499979796E-4</v>
      </c>
      <c r="Q152" s="301">
        <f t="shared" si="53"/>
        <v>0.5</v>
      </c>
      <c r="R152" s="173">
        <f t="shared" si="54"/>
        <v>0.62899900043349777</v>
      </c>
      <c r="S152" s="801">
        <f t="shared" si="55"/>
        <v>1</v>
      </c>
      <c r="T152" s="172">
        <f t="shared" si="56"/>
        <v>7</v>
      </c>
      <c r="U152" s="247">
        <f t="shared" si="57"/>
        <v>1.6289990004334978</v>
      </c>
      <c r="V152" s="378">
        <f t="shared" si="58"/>
        <v>235.08676644587371</v>
      </c>
      <c r="W152" s="397">
        <f t="shared" si="59"/>
        <v>216.37994358460008</v>
      </c>
      <c r="X152" s="153">
        <f t="shared" si="60"/>
        <v>45795</v>
      </c>
      <c r="Y152" s="380">
        <f t="shared" si="61"/>
        <v>210.73626058789409</v>
      </c>
      <c r="Z152" s="380">
        <f t="shared" si="62"/>
        <v>214.7286995955271</v>
      </c>
      <c r="AA152" s="381">
        <f t="shared" si="63"/>
        <v>228.45661518329044</v>
      </c>
      <c r="AB152" s="193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6.0089814325356469E-2</v>
      </c>
      <c r="AD152" s="227">
        <f>(INDEX(Models!$BJ152:$BT152,,AH152)*(1-AF152)+INDEX(Models!$BJ152:$BT152,,AH152+1)*AF152-ERP_i)*AE152*Ramure*Pc/MaxiM</f>
        <v>1.3299651499979796E-4</v>
      </c>
      <c r="AE152" s="301">
        <f t="shared" si="65"/>
        <v>0.5</v>
      </c>
      <c r="AF152" s="173">
        <f t="shared" si="66"/>
        <v>0.62899900043349777</v>
      </c>
      <c r="AG152" s="801">
        <f t="shared" si="74"/>
        <v>1</v>
      </c>
      <c r="AH152" s="172">
        <f t="shared" si="67"/>
        <v>7</v>
      </c>
      <c r="AI152" s="221">
        <f t="shared" si="68"/>
        <v>1.6289990004334978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45796</v>
      </c>
      <c r="B153" s="406">
        <f>'2024'!Wh/'2024'!Env_an*'2025'!Env_an</f>
        <v>220.87698415104944</v>
      </c>
      <c r="C153" s="385"/>
      <c r="D153" s="388">
        <f t="shared" si="50"/>
        <v>225.0646220635843</v>
      </c>
      <c r="E153" s="380">
        <f t="shared" si="72"/>
        <v>233.22605070580912</v>
      </c>
      <c r="F153" s="380">
        <f t="shared" si="51"/>
        <v>233.25415049465443</v>
      </c>
      <c r="G153" s="110">
        <f t="shared" si="73"/>
        <v>0.93858620811676596</v>
      </c>
      <c r="H153" s="409" t="b">
        <f>Wh_hp&gt;='2024'!Maxi_hp</f>
        <v>0</v>
      </c>
      <c r="I153" s="375">
        <f>IF(H153,Wh_hp,'2024'!Maxi_hp)</f>
        <v>233.25662834485334</v>
      </c>
      <c r="J153" s="85">
        <f>IF(H153,An,'2024'!An_max)</f>
        <v>2022</v>
      </c>
      <c r="K153" s="193">
        <f t="shared" si="52"/>
        <v>45796</v>
      </c>
      <c r="L153" s="143">
        <f>IF(t&lt;Tvie,1-EXP((T0-t)*PertePVj)+'2024'!Pspv,1-EXP((T0-t)*PertePVj)+Pspv)</f>
        <v>1.8606380132688227E-2</v>
      </c>
      <c r="M153" s="835"/>
      <c r="N153" s="835"/>
      <c r="O153" s="48">
        <f>IF(t&lt;Tnet,'2024'!Resal+('2024'!Salim-'2024'!Resal)*(1-EXP(('2024'!Tnet-t)/('2024'!Tau_j))),Resal+(Salim-Resal)*(1-EXP((Tnet-t)/(Tau_j))))*Salcycl</f>
        <v>3.4993640794096482E-2</v>
      </c>
      <c r="P153" s="165">
        <f>(INDEX(Models!$BJ153:$BT153,,T153)*(1-R153)+INDEX(Models!$BJ153:$BT153,,T153+1)*R153-ERP_i)*Q153*Ramure*Pc/MaxiM</f>
        <v>1.320519402533892E-4</v>
      </c>
      <c r="Q153" s="301">
        <f t="shared" si="53"/>
        <v>0.5</v>
      </c>
      <c r="R153" s="173">
        <f t="shared" si="54"/>
        <v>0.63318452620079424</v>
      </c>
      <c r="S153" s="801">
        <f t="shared" si="55"/>
        <v>1</v>
      </c>
      <c r="T153" s="172">
        <f t="shared" si="56"/>
        <v>7</v>
      </c>
      <c r="U153" s="247">
        <f t="shared" si="57"/>
        <v>1.6331845262007942</v>
      </c>
      <c r="V153" s="378">
        <f t="shared" si="58"/>
        <v>235.32673230010514</v>
      </c>
      <c r="W153" s="397">
        <f t="shared" si="59"/>
        <v>220.87698415104944</v>
      </c>
      <c r="X153" s="153">
        <f t="shared" si="60"/>
        <v>45796</v>
      </c>
      <c r="Y153" s="380">
        <f t="shared" si="61"/>
        <v>215.11791247635301</v>
      </c>
      <c r="Z153" s="380">
        <f t="shared" si="62"/>
        <v>219.19636333629089</v>
      </c>
      <c r="AA153" s="381">
        <f t="shared" si="63"/>
        <v>233.22605070580912</v>
      </c>
      <c r="AB153" s="193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6.0154889760643621E-2</v>
      </c>
      <c r="AD153" s="227">
        <f>(INDEX(Models!$BJ153:$BT153,,AH153)*(1-AF153)+INDEX(Models!$BJ153:$BT153,,AH153+1)*AF153-ERP_i)*AE153*Ramure*Pc/MaxiM</f>
        <v>1.320519402533892E-4</v>
      </c>
      <c r="AE153" s="301">
        <f t="shared" si="65"/>
        <v>0.5</v>
      </c>
      <c r="AF153" s="173">
        <f t="shared" si="66"/>
        <v>0.63318452620079424</v>
      </c>
      <c r="AG153" s="801">
        <f t="shared" si="74"/>
        <v>1</v>
      </c>
      <c r="AH153" s="172">
        <f t="shared" si="67"/>
        <v>7</v>
      </c>
      <c r="AI153" s="221">
        <f t="shared" si="68"/>
        <v>1.6331845262007942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45797</v>
      </c>
      <c r="B154" s="406">
        <f>'2024'!Wh/'2024'!Env_an*'2025'!Env_an</f>
        <v>198.11036421253124</v>
      </c>
      <c r="C154" s="385"/>
      <c r="D154" s="388">
        <f t="shared" si="50"/>
        <v>201.86912998370877</v>
      </c>
      <c r="E154" s="380">
        <f t="shared" si="72"/>
        <v>209.20580523749538</v>
      </c>
      <c r="F154" s="380">
        <f t="shared" si="51"/>
        <v>209.22700069060397</v>
      </c>
      <c r="G154" s="110">
        <f t="shared" si="73"/>
        <v>0.84101253625119721</v>
      </c>
      <c r="H154" s="409" t="b">
        <f>Wh_hp&gt;='2024'!Maxi_hp</f>
        <v>0</v>
      </c>
      <c r="I154" s="375">
        <f>IF(H154,Wh_hp,'2024'!Maxi_hp)</f>
        <v>209.23269880862148</v>
      </c>
      <c r="J154" s="85">
        <f>IF(H154,An,'2024'!An_max)</f>
        <v>2022</v>
      </c>
      <c r="K154" s="193">
        <f t="shared" si="52"/>
        <v>45797</v>
      </c>
      <c r="L154" s="143">
        <f>IF(t&lt;Tvie,1-EXP((T0-t)*PertePVj)+'2024'!Pspv,1-EXP((T0-t)*PertePVj)+Pspv)</f>
        <v>1.8619814587207406E-2</v>
      </c>
      <c r="M154" s="835"/>
      <c r="N154" s="835"/>
      <c r="O154" s="48">
        <f>IF(t&lt;Tnet,'2024'!Resal+('2024'!Salim-'2024'!Resal)*(1-EXP(('2024'!Tnet-t)/('2024'!Tau_j))),Resal+(Salim-Resal)*(1-EXP((Tnet-t)/(Tau_j))))*Salcycl</f>
        <v>3.5069176237522925E-2</v>
      </c>
      <c r="P154" s="165">
        <f>(INDEX(Models!$BJ154:$BT154,,T154)*(1-R154)+INDEX(Models!$BJ154:$BT154,,T154+1)*R154-ERP_i)*Q154*Ramure*Pc/MaxiM</f>
        <v>1.3106767355046235E-4</v>
      </c>
      <c r="Q154" s="301">
        <f t="shared" si="53"/>
        <v>0.5</v>
      </c>
      <c r="R154" s="173">
        <f t="shared" si="54"/>
        <v>0.63744354150845495</v>
      </c>
      <c r="S154" s="801">
        <f t="shared" si="55"/>
        <v>1</v>
      </c>
      <c r="T154" s="172">
        <f t="shared" si="56"/>
        <v>7</v>
      </c>
      <c r="U154" s="247">
        <f t="shared" si="57"/>
        <v>1.6374435415084549</v>
      </c>
      <c r="V154" s="378">
        <f t="shared" si="58"/>
        <v>235.55471352566789</v>
      </c>
      <c r="W154" s="397">
        <f t="shared" si="59"/>
        <v>198.11036421253124</v>
      </c>
      <c r="X154" s="153">
        <f t="shared" si="60"/>
        <v>45797</v>
      </c>
      <c r="Y154" s="380">
        <f t="shared" si="61"/>
        <v>192.94658716378569</v>
      </c>
      <c r="Z154" s="380">
        <f t="shared" si="62"/>
        <v>196.60738012825033</v>
      </c>
      <c r="AA154" s="381">
        <f t="shared" si="63"/>
        <v>209.20580523749538</v>
      </c>
      <c r="AB154" s="193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6.0220246254366762E-2</v>
      </c>
      <c r="AD154" s="227">
        <f>(INDEX(Models!$BJ154:$BT154,,AH154)*(1-AF154)+INDEX(Models!$BJ154:$BT154,,AH154+1)*AF154-ERP_i)*AE154*Ramure*Pc/MaxiM</f>
        <v>1.3106767355046235E-4</v>
      </c>
      <c r="AE154" s="301">
        <f t="shared" si="65"/>
        <v>0.5</v>
      </c>
      <c r="AF154" s="173">
        <f t="shared" si="66"/>
        <v>0.63744354150845495</v>
      </c>
      <c r="AG154" s="801">
        <f t="shared" si="74"/>
        <v>1</v>
      </c>
      <c r="AH154" s="172">
        <f t="shared" si="67"/>
        <v>7</v>
      </c>
      <c r="AI154" s="221">
        <f t="shared" si="68"/>
        <v>1.6374435415084549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45798</v>
      </c>
      <c r="B155" s="406">
        <f>'2024'!Wh/'2024'!Env_an*'2025'!Env_an</f>
        <v>205.26601013111451</v>
      </c>
      <c r="C155" s="385"/>
      <c r="D155" s="388">
        <f t="shared" si="50"/>
        <v>209.16340388770283</v>
      </c>
      <c r="E155" s="380">
        <f t="shared" si="72"/>
        <v>216.78218334182452</v>
      </c>
      <c r="F155" s="380">
        <f t="shared" si="51"/>
        <v>216.80516600851209</v>
      </c>
      <c r="G155" s="110">
        <f t="shared" si="73"/>
        <v>0.87059421662867364</v>
      </c>
      <c r="H155" s="409" t="b">
        <f>Wh_hp&gt;='2024'!Maxi_hp</f>
        <v>0</v>
      </c>
      <c r="I155" s="375">
        <f>IF(H155,Wh_hp,'2024'!Maxi_hp)</f>
        <v>216.80992389695143</v>
      </c>
      <c r="J155" s="85">
        <f>IF(H155,An,'2024'!An_max)</f>
        <v>2022</v>
      </c>
      <c r="K155" s="193">
        <f t="shared" si="52"/>
        <v>45798</v>
      </c>
      <c r="L155" s="143">
        <f>IF(t&lt;Tvie,1-EXP((T0-t)*PertePVj)+'2024'!Pspv,1-EXP((T0-t)*PertePVj)+Pspv)</f>
        <v>1.8633248857820139E-2</v>
      </c>
      <c r="M155" s="835"/>
      <c r="N155" s="835"/>
      <c r="O155" s="48">
        <f>IF(t&lt;Tnet,'2024'!Resal+('2024'!Salim-'2024'!Resal)*(1-EXP(('2024'!Tnet-t)/('2024'!Tau_j))),Resal+(Salim-Resal)*(1-EXP((Tnet-t)/(Tau_j))))*Salcycl</f>
        <v>3.5144859861976366E-2</v>
      </c>
      <c r="P155" s="165">
        <f>(INDEX(Models!$BJ155:$BT155,,T155)*(1-R155)+INDEX(Models!$BJ155:$BT155,,T155+1)*R155-ERP_i)*Q155*Ramure*Pc/MaxiM</f>
        <v>1.3004256819434056E-4</v>
      </c>
      <c r="Q155" s="301">
        <f t="shared" si="53"/>
        <v>0.5</v>
      </c>
      <c r="R155" s="173">
        <f t="shared" si="54"/>
        <v>0.64177430902939769</v>
      </c>
      <c r="S155" s="801">
        <f t="shared" si="55"/>
        <v>1</v>
      </c>
      <c r="T155" s="172">
        <f t="shared" si="56"/>
        <v>7</v>
      </c>
      <c r="U155" s="247">
        <f t="shared" si="57"/>
        <v>1.6417743090293977</v>
      </c>
      <c r="V155" s="378">
        <f t="shared" si="58"/>
        <v>235.77123740809768</v>
      </c>
      <c r="W155" s="397">
        <f t="shared" si="59"/>
        <v>205.26601013111451</v>
      </c>
      <c r="X155" s="153">
        <f t="shared" si="60"/>
        <v>45798</v>
      </c>
      <c r="Y155" s="380">
        <f t="shared" si="61"/>
        <v>199.91744725416427</v>
      </c>
      <c r="Z155" s="380">
        <f t="shared" si="62"/>
        <v>203.71328763837479</v>
      </c>
      <c r="AA155" s="381">
        <f t="shared" si="63"/>
        <v>216.78218334182452</v>
      </c>
      <c r="AB155" s="193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6.0285838540718763E-2</v>
      </c>
      <c r="AD155" s="227">
        <f>(INDEX(Models!$BJ155:$BT155,,AH155)*(1-AF155)+INDEX(Models!$BJ155:$BT155,,AH155+1)*AF155-ERP_i)*AE155*Ramure*Pc/MaxiM</f>
        <v>1.3004256819434056E-4</v>
      </c>
      <c r="AE155" s="301">
        <f t="shared" si="65"/>
        <v>0.5</v>
      </c>
      <c r="AF155" s="173">
        <f t="shared" si="66"/>
        <v>0.64177430902939769</v>
      </c>
      <c r="AG155" s="801">
        <f t="shared" si="74"/>
        <v>1</v>
      </c>
      <c r="AH155" s="172">
        <f t="shared" si="67"/>
        <v>7</v>
      </c>
      <c r="AI155" s="221">
        <f t="shared" si="68"/>
        <v>1.6417743090293977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45799</v>
      </c>
      <c r="B156" s="406">
        <f>'2024'!Wh/'2024'!Env_an*'2025'!Env_an</f>
        <v>152.8663078390698</v>
      </c>
      <c r="C156" s="385"/>
      <c r="D156" s="388">
        <f t="shared" si="50"/>
        <v>155.77091877341567</v>
      </c>
      <c r="E156" s="380">
        <f t="shared" si="72"/>
        <v>161.45756143039901</v>
      </c>
      <c r="F156" s="380">
        <f t="shared" si="51"/>
        <v>161.46791330266169</v>
      </c>
      <c r="G156" s="110">
        <f t="shared" si="73"/>
        <v>0.64776016682059001</v>
      </c>
      <c r="H156" s="409" t="b">
        <f>Wh_hp&gt;='2024'!Maxi_hp</f>
        <v>0</v>
      </c>
      <c r="I156" s="375">
        <f>IF(H156,Wh_hp,'2024'!Maxi_hp)</f>
        <v>161.47746440788973</v>
      </c>
      <c r="J156" s="85">
        <f>IF(H156,An,'2024'!An_max)</f>
        <v>2022</v>
      </c>
      <c r="K156" s="193">
        <f t="shared" si="52"/>
        <v>45799</v>
      </c>
      <c r="L156" s="143">
        <f>IF(t&lt;Tvie,1-EXP((T0-t)*PertePVj)+'2024'!Pspv,1-EXP((T0-t)*PertePVj)+Pspv)</f>
        <v>1.8646682944528981E-2</v>
      </c>
      <c r="M156" s="835"/>
      <c r="N156" s="835"/>
      <c r="O156" s="48">
        <f>IF(t&lt;Tnet,'2024'!Resal+('2024'!Salim-'2024'!Resal)*(1-EXP(('2024'!Tnet-t)/('2024'!Tau_j))),Resal+(Salim-Resal)*(1-EXP((Tnet-t)/(Tau_j))))*Salcycl</f>
        <v>3.5220664839749526E-2</v>
      </c>
      <c r="P156" s="165">
        <f>(INDEX(Models!$BJ156:$BT156,,T156)*(1-R156)+INDEX(Models!$BJ156:$BT156,,T156+1)*R156-ERP_i)*Q156*Ramure*Pc/MaxiM</f>
        <v>1.290322750828821E-4</v>
      </c>
      <c r="Q156" s="301">
        <f t="shared" si="53"/>
        <v>0.5</v>
      </c>
      <c r="R156" s="173">
        <f t="shared" si="54"/>
        <v>0.64617490927495336</v>
      </c>
      <c r="S156" s="801">
        <f t="shared" si="55"/>
        <v>1</v>
      </c>
      <c r="T156" s="172">
        <f t="shared" si="56"/>
        <v>7</v>
      </c>
      <c r="U156" s="247">
        <f t="shared" si="57"/>
        <v>1.6461749092749534</v>
      </c>
      <c r="V156" s="378">
        <f t="shared" si="58"/>
        <v>235.9768179018148</v>
      </c>
      <c r="W156" s="397">
        <f t="shared" si="59"/>
        <v>152.8663078390698</v>
      </c>
      <c r="X156" s="153">
        <f t="shared" si="60"/>
        <v>45799</v>
      </c>
      <c r="Y156" s="380">
        <f t="shared" si="61"/>
        <v>148.88438556323669</v>
      </c>
      <c r="Z156" s="380">
        <f t="shared" si="62"/>
        <v>151.71333603880916</v>
      </c>
      <c r="AA156" s="381">
        <f t="shared" si="63"/>
        <v>161.45756143039901</v>
      </c>
      <c r="AB156" s="193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6.0351619987710423E-2</v>
      </c>
      <c r="AD156" s="227">
        <f>(INDEX(Models!$BJ156:$BT156,,AH156)*(1-AF156)+INDEX(Models!$BJ156:$BT156,,AH156+1)*AF156-ERP_i)*AE156*Ramure*Pc/MaxiM</f>
        <v>1.290322750828821E-4</v>
      </c>
      <c r="AE156" s="301">
        <f t="shared" si="65"/>
        <v>0.5</v>
      </c>
      <c r="AF156" s="173">
        <f t="shared" si="66"/>
        <v>0.64617490927495336</v>
      </c>
      <c r="AG156" s="801">
        <f t="shared" si="74"/>
        <v>1</v>
      </c>
      <c r="AH156" s="172">
        <f t="shared" si="67"/>
        <v>7</v>
      </c>
      <c r="AI156" s="221">
        <f t="shared" si="68"/>
        <v>1.6461749092749534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45800</v>
      </c>
      <c r="B157" s="406">
        <f>'2024'!Wh/'2024'!Env_an*'2025'!Env_an</f>
        <v>72.262912025639523</v>
      </c>
      <c r="C157" s="385"/>
      <c r="D157" s="388">
        <f t="shared" si="50"/>
        <v>73.636986803682007</v>
      </c>
      <c r="E157" s="380">
        <f t="shared" si="72"/>
        <v>76.331216431478808</v>
      </c>
      <c r="F157" s="380">
        <f t="shared" si="51"/>
        <v>76.331299928436565</v>
      </c>
      <c r="G157" s="110">
        <f t="shared" si="73"/>
        <v>0.30593696214972593</v>
      </c>
      <c r="H157" s="409" t="b">
        <f>Wh_hp&gt;='2024'!Maxi_hp</f>
        <v>0</v>
      </c>
      <c r="I157" s="375">
        <f>IF(H157,Wh_hp,'2024'!Maxi_hp)</f>
        <v>76.340118544005392</v>
      </c>
      <c r="J157" s="85">
        <f>IF(H157,An,'2024'!An_max)</f>
        <v>2022</v>
      </c>
      <c r="K157" s="193">
        <f t="shared" si="52"/>
        <v>45800</v>
      </c>
      <c r="L157" s="143">
        <f>IF(t&lt;Tvie,1-EXP((T0-t)*PertePVj)+'2024'!Pspv,1-EXP((T0-t)*PertePVj)+Pspv)</f>
        <v>1.8660116847336483E-2</v>
      </c>
      <c r="M157" s="835"/>
      <c r="N157" s="835"/>
      <c r="O157" s="48">
        <f>IF(t&lt;Tnet,'2024'!Resal+('2024'!Salim-'2024'!Resal)*(1-EXP(('2024'!Tnet-t)/('2024'!Tau_j))),Resal+(Salim-Resal)*(1-EXP((Tnet-t)/(Tau_j))))*Salcycl</f>
        <v>3.5296563499880411E-2</v>
      </c>
      <c r="P157" s="165">
        <f>(INDEX(Models!$BJ157:$BT157,,T157)*(1-R157)+INDEX(Models!$BJ157:$BT157,,T157+1)*R157-ERP_i)*Q157*Ramure*Pc/MaxiM</f>
        <v>1.2813492871012258E-4</v>
      </c>
      <c r="Q157" s="301">
        <f t="shared" si="53"/>
        <v>0.5</v>
      </c>
      <c r="R157" s="173">
        <f t="shared" si="54"/>
        <v>0.65064324060672574</v>
      </c>
      <c r="S157" s="801">
        <f t="shared" si="55"/>
        <v>1</v>
      </c>
      <c r="T157" s="172">
        <f t="shared" si="56"/>
        <v>7</v>
      </c>
      <c r="U157" s="247">
        <f t="shared" si="57"/>
        <v>1.6506432406067257</v>
      </c>
      <c r="V157" s="378">
        <f t="shared" si="58"/>
        <v>236.17195892728512</v>
      </c>
      <c r="W157" s="397">
        <f t="shared" si="59"/>
        <v>72.262912025639523</v>
      </c>
      <c r="X157" s="153">
        <f t="shared" si="60"/>
        <v>45800</v>
      </c>
      <c r="Y157" s="380">
        <f t="shared" si="61"/>
        <v>70.381178175924617</v>
      </c>
      <c r="Z157" s="380">
        <f t="shared" si="62"/>
        <v>71.719471901842255</v>
      </c>
      <c r="AA157" s="381">
        <f t="shared" si="63"/>
        <v>76.331216431478808</v>
      </c>
      <c r="AB157" s="193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6.0417542720237374E-2</v>
      </c>
      <c r="AD157" s="227">
        <f>(INDEX(Models!$BJ157:$BT157,,AH157)*(1-AF157)+INDEX(Models!$BJ157:$BT157,,AH157+1)*AF157-ERP_i)*AE157*Ramure*Pc/MaxiM</f>
        <v>1.2813492871012258E-4</v>
      </c>
      <c r="AE157" s="301">
        <f t="shared" si="65"/>
        <v>0.5</v>
      </c>
      <c r="AF157" s="173">
        <f t="shared" si="66"/>
        <v>0.65064324060672574</v>
      </c>
      <c r="AG157" s="801">
        <f t="shared" si="74"/>
        <v>1</v>
      </c>
      <c r="AH157" s="172">
        <f t="shared" si="67"/>
        <v>7</v>
      </c>
      <c r="AI157" s="221">
        <f t="shared" si="68"/>
        <v>1.6506432406067257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45801</v>
      </c>
      <c r="B158" s="406">
        <f>'2024'!Wh/'2024'!Env_an*'2025'!Env_an</f>
        <v>67.489549217269371</v>
      </c>
      <c r="C158" s="385"/>
      <c r="D158" s="388">
        <f t="shared" si="50"/>
        <v>68.773800253944245</v>
      </c>
      <c r="E158" s="380">
        <f t="shared" si="72"/>
        <v>71.295709698976268</v>
      </c>
      <c r="F158" s="380">
        <f t="shared" si="51"/>
        <v>71.295709698976268</v>
      </c>
      <c r="G158" s="110">
        <f t="shared" si="73"/>
        <v>0.2855041349968544</v>
      </c>
      <c r="H158" s="409" t="b">
        <f>Wh_hp&gt;='2024'!Maxi_hp</f>
        <v>0</v>
      </c>
      <c r="I158" s="375">
        <f>IF(H158,Wh_hp,'2024'!Maxi_hp)</f>
        <v>71.303952619231396</v>
      </c>
      <c r="J158" s="85">
        <f>IF(H158,An,'2024'!An_max)</f>
        <v>2022</v>
      </c>
      <c r="K158" s="193">
        <f t="shared" si="52"/>
        <v>45801</v>
      </c>
      <c r="L158" s="143">
        <f>IF(t&lt;Tvie,1-EXP((T0-t)*PertePVj)+'2024'!Pspv,1-EXP((T0-t)*PertePVj)+Pspv)</f>
        <v>1.8673550566245201E-2</v>
      </c>
      <c r="M158" s="835"/>
      <c r="N158" s="835"/>
      <c r="O158" s="48">
        <f>IF(t&lt;Tnet,'2024'!Resal+('2024'!Salim-'2024'!Resal)*(1-EXP(('2024'!Tnet-t)/('2024'!Tau_j))),Resal+(Salim-Resal)*(1-EXP((Tnet-t)/(Tau_j))))*Salcycl</f>
        <v>3.5372527402840859E-2</v>
      </c>
      <c r="P158" s="165">
        <f>(INDEX(Models!$BJ158:$BT158,,T158)*(1-R158)+INDEX(Models!$BJ158:$BT158,,T158+1)*R158-ERP_i)*Q158*Ramure*Pc/MaxiM</f>
        <v>1.2735369530133888E-4</v>
      </c>
      <c r="Q158" s="301">
        <f t="shared" si="53"/>
        <v>0.5</v>
      </c>
      <c r="R158" s="173">
        <f t="shared" si="54"/>
        <v>0.65517702013755508</v>
      </c>
      <c r="S158" s="801">
        <f t="shared" si="55"/>
        <v>1</v>
      </c>
      <c r="T158" s="172">
        <f t="shared" si="56"/>
        <v>7</v>
      </c>
      <c r="U158" s="247">
        <f t="shared" si="57"/>
        <v>1.6551770201375551</v>
      </c>
      <c r="V158" s="378">
        <f t="shared" si="58"/>
        <v>236.35718682157022</v>
      </c>
      <c r="W158" s="397">
        <f t="shared" si="59"/>
        <v>67.489549217269371</v>
      </c>
      <c r="X158" s="153">
        <f t="shared" si="60"/>
        <v>45801</v>
      </c>
      <c r="Y158" s="380">
        <f t="shared" si="61"/>
        <v>65.732671907753115</v>
      </c>
      <c r="Z158" s="380">
        <f t="shared" si="62"/>
        <v>66.983491523826956</v>
      </c>
      <c r="AA158" s="381">
        <f t="shared" si="63"/>
        <v>71.295709698976268</v>
      </c>
      <c r="AB158" s="193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6.0483557753422942E-2</v>
      </c>
      <c r="AD158" s="227">
        <f>(INDEX(Models!$BJ158:$BT158,,AH158)*(1-AF158)+INDEX(Models!$BJ158:$BT158,,AH158+1)*AF158-ERP_i)*AE158*Ramure*Pc/MaxiM</f>
        <v>1.2735369530133888E-4</v>
      </c>
      <c r="AE158" s="301">
        <f t="shared" si="65"/>
        <v>0.5</v>
      </c>
      <c r="AF158" s="173">
        <f t="shared" si="66"/>
        <v>0.65517702013755508</v>
      </c>
      <c r="AG158" s="801">
        <f t="shared" si="74"/>
        <v>1</v>
      </c>
      <c r="AH158" s="172">
        <f t="shared" si="67"/>
        <v>7</v>
      </c>
      <c r="AI158" s="221">
        <f t="shared" si="68"/>
        <v>1.6551770201375551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45802</v>
      </c>
      <c r="B159" s="406">
        <f>'2024'!Wh/'2024'!Env_an*'2025'!Env_an</f>
        <v>167.46821280657664</v>
      </c>
      <c r="C159" s="385"/>
      <c r="D159" s="388">
        <f t="shared" si="50"/>
        <v>170.65728273582479</v>
      </c>
      <c r="E159" s="380">
        <f t="shared" si="72"/>
        <v>176.92916094939827</v>
      </c>
      <c r="F159" s="380">
        <f t="shared" si="51"/>
        <v>176.94222739975024</v>
      </c>
      <c r="G159" s="110">
        <f t="shared" si="73"/>
        <v>0.70797454215385536</v>
      </c>
      <c r="H159" s="409" t="b">
        <f>Wh_hp&gt;='2024'!Maxi_hp</f>
        <v>0</v>
      </c>
      <c r="I159" s="375">
        <f>IF(H159,Wh_hp,'2024'!Maxi_hp)</f>
        <v>176.95070353905541</v>
      </c>
      <c r="J159" s="85">
        <f>IF(H159,An,'2024'!An_max)</f>
        <v>2022</v>
      </c>
      <c r="K159" s="193">
        <f t="shared" si="52"/>
        <v>45802</v>
      </c>
      <c r="L159" s="143">
        <f>IF(t&lt;Tvie,1-EXP((T0-t)*PertePVj)+'2024'!Pspv,1-EXP((T0-t)*PertePVj)+Pspv)</f>
        <v>1.8686984101257464E-2</v>
      </c>
      <c r="M159" s="835"/>
      <c r="N159" s="835"/>
      <c r="O159" s="48">
        <f>IF(t&lt;Tnet,'2024'!Resal+('2024'!Salim-'2024'!Resal)*(1-EXP(('2024'!Tnet-t)/('2024'!Tau_j))),Resal+(Salim-Resal)*(1-EXP((Tnet-t)/(Tau_j))))*Salcycl</f>
        <v>3.5448527421475869E-2</v>
      </c>
      <c r="P159" s="165">
        <f>(INDEX(Models!$BJ159:$BT159,,T159)*(1-R159)+INDEX(Models!$BJ159:$BT159,,T159+1)*R159-ERP_i)*Q159*Ramure*Pc/MaxiM</f>
        <v>1.2669260844869816E-4</v>
      </c>
      <c r="Q159" s="301">
        <f t="shared" si="53"/>
        <v>0.5</v>
      </c>
      <c r="R159" s="173">
        <f t="shared" si="54"/>
        <v>0.65977378555527233</v>
      </c>
      <c r="S159" s="801">
        <f t="shared" si="55"/>
        <v>1</v>
      </c>
      <c r="T159" s="172">
        <f t="shared" si="56"/>
        <v>7</v>
      </c>
      <c r="U159" s="247">
        <f t="shared" si="57"/>
        <v>1.6597737855552723</v>
      </c>
      <c r="V159" s="378">
        <f t="shared" si="58"/>
        <v>236.53302771656109</v>
      </c>
      <c r="W159" s="397">
        <f t="shared" si="59"/>
        <v>167.46821280657664</v>
      </c>
      <c r="X159" s="153">
        <f t="shared" si="60"/>
        <v>45802</v>
      </c>
      <c r="Y159" s="380">
        <f t="shared" si="61"/>
        <v>163.11008945233499</v>
      </c>
      <c r="Z159" s="380">
        <f t="shared" si="62"/>
        <v>166.21616834761889</v>
      </c>
      <c r="AA159" s="381">
        <f t="shared" si="63"/>
        <v>176.92916094939827</v>
      </c>
      <c r="AB159" s="193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6.0549615135762146E-2</v>
      </c>
      <c r="AD159" s="227">
        <f>(INDEX(Models!$BJ159:$BT159,,AH159)*(1-AF159)+INDEX(Models!$BJ159:$BT159,,AH159+1)*AF159-ERP_i)*AE159*Ramure*Pc/MaxiM</f>
        <v>1.2669260844869816E-4</v>
      </c>
      <c r="AE159" s="301">
        <f t="shared" si="65"/>
        <v>0.5</v>
      </c>
      <c r="AF159" s="173">
        <f t="shared" si="66"/>
        <v>0.65977378555527233</v>
      </c>
      <c r="AG159" s="801">
        <f t="shared" si="74"/>
        <v>1</v>
      </c>
      <c r="AH159" s="172">
        <f t="shared" si="67"/>
        <v>7</v>
      </c>
      <c r="AI159" s="221">
        <f t="shared" si="68"/>
        <v>1.6597737855552723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45803</v>
      </c>
      <c r="B160" s="406">
        <f>'2024'!Wh/'2024'!Env_an*'2025'!Env_an</f>
        <v>107.69741939865179</v>
      </c>
      <c r="C160" s="385"/>
      <c r="D160" s="388">
        <f t="shared" si="50"/>
        <v>109.74978621620383</v>
      </c>
      <c r="E160" s="380">
        <f t="shared" si="72"/>
        <v>113.79220111402996</v>
      </c>
      <c r="F160" s="380">
        <f t="shared" si="51"/>
        <v>113.79537983953227</v>
      </c>
      <c r="G160" s="110">
        <f t="shared" si="73"/>
        <v>0.45495072802983944</v>
      </c>
      <c r="H160" s="409" t="b">
        <f>Wh_hp&gt;='2024'!Maxi_hp</f>
        <v>0</v>
      </c>
      <c r="I160" s="375">
        <f>IF(H160,Wh_hp,'2024'!Maxi_hp)</f>
        <v>113.80549834136734</v>
      </c>
      <c r="J160" s="85">
        <f>IF(H160,An,'2024'!An_max)</f>
        <v>2022</v>
      </c>
      <c r="K160" s="193">
        <f t="shared" si="52"/>
        <v>45803</v>
      </c>
      <c r="L160" s="143">
        <f>IF(t&lt;Tvie,1-EXP((T0-t)*PertePVj)+'2024'!Pspv,1-EXP((T0-t)*PertePVj)+Pspv)</f>
        <v>1.870041745237605E-2</v>
      </c>
      <c r="M160" s="835"/>
      <c r="N160" s="835"/>
      <c r="O160" s="48">
        <f>IF(t&lt;Tnet,'2024'!Resal+('2024'!Salim-'2024'!Resal)*(1-EXP(('2024'!Tnet-t)/('2024'!Tau_j))),Resal+(Salim-Resal)*(1-EXP((Tnet-t)/(Tau_j))))*Salcycl</f>
        <v>3.5524533827896214E-2</v>
      </c>
      <c r="P160" s="165">
        <f>(INDEX(Models!$BJ160:$BT160,,T160)*(1-R160)+INDEX(Models!$BJ160:$BT160,,T160+1)*R160-ERP_i)*Q160*Ramure*Pc/MaxiM</f>
        <v>1.2615590148277233E-4</v>
      </c>
      <c r="Q160" s="301">
        <f t="shared" si="53"/>
        <v>0.5</v>
      </c>
      <c r="R160" s="173">
        <f t="shared" si="54"/>
        <v>0.66443089789610466</v>
      </c>
      <c r="S160" s="801">
        <f t="shared" si="55"/>
        <v>1</v>
      </c>
      <c r="T160" s="172">
        <f t="shared" si="56"/>
        <v>7</v>
      </c>
      <c r="U160" s="247">
        <f t="shared" si="57"/>
        <v>1.6644308978961047</v>
      </c>
      <c r="V160" s="378">
        <f t="shared" si="58"/>
        <v>236.70000769399812</v>
      </c>
      <c r="W160" s="397">
        <f t="shared" si="59"/>
        <v>107.69741939865179</v>
      </c>
      <c r="X160" s="153">
        <f t="shared" si="60"/>
        <v>45803</v>
      </c>
      <c r="Y160" s="380">
        <f t="shared" si="61"/>
        <v>104.89563741970039</v>
      </c>
      <c r="Z160" s="380">
        <f t="shared" si="62"/>
        <v>106.8946112739324</v>
      </c>
      <c r="AA160" s="381">
        <f t="shared" si="63"/>
        <v>113.79220111402996</v>
      </c>
      <c r="AB160" s="193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6.0615664101492932E-2</v>
      </c>
      <c r="AD160" s="227">
        <f>(INDEX(Models!$BJ160:$BT160,,AH160)*(1-AF160)+INDEX(Models!$BJ160:$BT160,,AH160+1)*AF160-ERP_i)*AE160*Ramure*Pc/MaxiM</f>
        <v>1.2615590148277233E-4</v>
      </c>
      <c r="AE160" s="301">
        <f t="shared" si="65"/>
        <v>0.5</v>
      </c>
      <c r="AF160" s="173">
        <f t="shared" si="66"/>
        <v>0.66443089789610466</v>
      </c>
      <c r="AG160" s="801">
        <f t="shared" si="74"/>
        <v>1</v>
      </c>
      <c r="AH160" s="172">
        <f t="shared" si="67"/>
        <v>7</v>
      </c>
      <c r="AI160" s="221">
        <f t="shared" si="68"/>
        <v>1.6644308978961047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45804</v>
      </c>
      <c r="B161" s="406">
        <f>'2024'!Wh/'2024'!Env_an*'2025'!Env_an</f>
        <v>181.3211871464481</v>
      </c>
      <c r="C161" s="385"/>
      <c r="D161" s="388">
        <f t="shared" si="50"/>
        <v>184.77911591938584</v>
      </c>
      <c r="E161" s="380">
        <f t="shared" si="72"/>
        <v>191.60018131380204</v>
      </c>
      <c r="F161" s="380">
        <f t="shared" si="51"/>
        <v>191.61620557976181</v>
      </c>
      <c r="G161" s="110">
        <f t="shared" si="73"/>
        <v>0.76549261323348494</v>
      </c>
      <c r="H161" s="409" t="b">
        <f>Wh_hp&gt;='2024'!Maxi_hp</f>
        <v>0</v>
      </c>
      <c r="I161" s="375">
        <f>IF(H161,Wh_hp,'2024'!Maxi_hp)</f>
        <v>191.62350448293552</v>
      </c>
      <c r="J161" s="85">
        <f>IF(H161,An,'2024'!An_max)</f>
        <v>2022</v>
      </c>
      <c r="K161" s="193">
        <f t="shared" si="52"/>
        <v>45804</v>
      </c>
      <c r="L161" s="143">
        <f>IF(t&lt;Tvie,1-EXP((T0-t)*PertePVj)+'2024'!Pspv,1-EXP((T0-t)*PertePVj)+Pspv)</f>
        <v>1.8713850619603289E-2</v>
      </c>
      <c r="M161" s="835"/>
      <c r="N161" s="835"/>
      <c r="O161" s="48">
        <f>IF(t&lt;Tnet,'2024'!Resal+('2024'!Salim-'2024'!Resal)*(1-EXP(('2024'!Tnet-t)/('2024'!Tau_j))),Resal+(Salim-Resal)*(1-EXP((Tnet-t)/(Tau_j))))*Salcycl</f>
        <v>3.5600516385966702E-2</v>
      </c>
      <c r="P161" s="165">
        <f>(INDEX(Models!$BJ161:$BT161,,T161)*(1-R161)+INDEX(Models!$BJ161:$BT161,,T161+1)*R161-ERP_i)*Q161*Ramure*Pc/MaxiM</f>
        <v>1.2574799517335613E-4</v>
      </c>
      <c r="Q161" s="301">
        <f t="shared" si="53"/>
        <v>0.5</v>
      </c>
      <c r="R161" s="173">
        <f t="shared" si="54"/>
        <v>0.66914554528708048</v>
      </c>
      <c r="S161" s="801">
        <f t="shared" si="55"/>
        <v>1</v>
      </c>
      <c r="T161" s="172">
        <f t="shared" si="56"/>
        <v>7</v>
      </c>
      <c r="U161" s="247">
        <f t="shared" si="57"/>
        <v>1.6691455452870805</v>
      </c>
      <c r="V161" s="378">
        <f t="shared" si="58"/>
        <v>236.85865274612345</v>
      </c>
      <c r="W161" s="397">
        <f t="shared" si="59"/>
        <v>181.3211871464481</v>
      </c>
      <c r="X161" s="153">
        <f t="shared" si="60"/>
        <v>45804</v>
      </c>
      <c r="Y161" s="380">
        <f t="shared" si="61"/>
        <v>176.60556713099922</v>
      </c>
      <c r="Z161" s="380">
        <f t="shared" si="62"/>
        <v>179.97356555222086</v>
      </c>
      <c r="AA161" s="381">
        <f t="shared" si="63"/>
        <v>191.60018131380204</v>
      </c>
      <c r="AB161" s="193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6.0681653231523636E-2</v>
      </c>
      <c r="AD161" s="227">
        <f>(INDEX(Models!$BJ161:$BT161,,AH161)*(1-AF161)+INDEX(Models!$BJ161:$BT161,,AH161+1)*AF161-ERP_i)*AE161*Ramure*Pc/MaxiM</f>
        <v>1.2574799517335613E-4</v>
      </c>
      <c r="AE161" s="301">
        <f t="shared" si="65"/>
        <v>0.5</v>
      </c>
      <c r="AF161" s="173">
        <f t="shared" si="66"/>
        <v>0.66914554528708048</v>
      </c>
      <c r="AG161" s="801">
        <f t="shared" si="74"/>
        <v>1</v>
      </c>
      <c r="AH161" s="172">
        <f t="shared" si="67"/>
        <v>7</v>
      </c>
      <c r="AI161" s="221">
        <f t="shared" si="68"/>
        <v>1.6691455452870805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45805</v>
      </c>
      <c r="B162" s="406">
        <f>'2024'!Wh/'2024'!Env_an*'2025'!Env_an</f>
        <v>223.08307612714023</v>
      </c>
      <c r="C162" s="385"/>
      <c r="D162" s="388">
        <f t="shared" si="50"/>
        <v>227.34054702573917</v>
      </c>
      <c r="E162" s="380">
        <f t="shared" si="72"/>
        <v>235.7513157457139</v>
      </c>
      <c r="F162" s="380">
        <f t="shared" si="51"/>
        <v>235.77841637189272</v>
      </c>
      <c r="G162" s="110">
        <f t="shared" si="73"/>
        <v>0.94123120309260611</v>
      </c>
      <c r="H162" s="409" t="b">
        <f>Wh_hp&gt;='2024'!Maxi_hp</f>
        <v>0</v>
      </c>
      <c r="I162" s="375">
        <f>IF(H162,Wh_hp,'2024'!Maxi_hp)</f>
        <v>235.7806603297476</v>
      </c>
      <c r="J162" s="85">
        <f>IF(H162,An,'2024'!An_max)</f>
        <v>2022</v>
      </c>
      <c r="K162" s="193">
        <f t="shared" si="52"/>
        <v>45805</v>
      </c>
      <c r="L162" s="143">
        <f>IF(t&lt;Tvie,1-EXP((T0-t)*PertePVj)+'2024'!Pspv,1-EXP((T0-t)*PertePVj)+Pspv)</f>
        <v>1.8727283602941736E-2</v>
      </c>
      <c r="M162" s="835"/>
      <c r="N162" s="835"/>
      <c r="O162" s="48">
        <f>IF(t&lt;Tnet,'2024'!Resal+('2024'!Salim-'2024'!Resal)*(1-EXP(('2024'!Tnet-t)/('2024'!Tau_j))),Resal+(Salim-Resal)*(1-EXP((Tnet-t)/(Tau_j))))*Salcycl</f>
        <v>3.5676444448974956E-2</v>
      </c>
      <c r="P162" s="165">
        <f>(INDEX(Models!$BJ162:$BT162,,T162)*(1-R162)+INDEX(Models!$BJ162:$BT162,,T162+1)*R162-ERP_i)*Q162*Ramure*Pc/MaxiM</f>
        <v>1.2547348390667943E-4</v>
      </c>
      <c r="Q162" s="301">
        <f t="shared" si="53"/>
        <v>0.5</v>
      </c>
      <c r="R162" s="173">
        <f t="shared" si="54"/>
        <v>0.67391474766862292</v>
      </c>
      <c r="S162" s="801">
        <f t="shared" si="55"/>
        <v>1</v>
      </c>
      <c r="T162" s="172">
        <f t="shared" si="56"/>
        <v>7</v>
      </c>
      <c r="U162" s="247">
        <f t="shared" si="57"/>
        <v>1.6739147476686229</v>
      </c>
      <c r="V162" s="378">
        <f t="shared" si="58"/>
        <v>237.00948876678228</v>
      </c>
      <c r="W162" s="397">
        <f t="shared" si="59"/>
        <v>223.08307612714023</v>
      </c>
      <c r="X162" s="153">
        <f t="shared" si="60"/>
        <v>45805</v>
      </c>
      <c r="Y162" s="380">
        <f t="shared" si="61"/>
        <v>217.28322296253992</v>
      </c>
      <c r="Z162" s="380">
        <f t="shared" si="62"/>
        <v>221.4300054732382</v>
      </c>
      <c r="AA162" s="381">
        <f t="shared" si="63"/>
        <v>235.7513157457139</v>
      </c>
      <c r="AB162" s="193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6.0747530622153351E-2</v>
      </c>
      <c r="AD162" s="227">
        <f>(INDEX(Models!$BJ162:$BT162,,AH162)*(1-AF162)+INDEX(Models!$BJ162:$BT162,,AH162+1)*AF162-ERP_i)*AE162*Ramure*Pc/MaxiM</f>
        <v>1.2547348390667943E-4</v>
      </c>
      <c r="AE162" s="301">
        <f t="shared" si="65"/>
        <v>0.5</v>
      </c>
      <c r="AF162" s="173">
        <f t="shared" si="66"/>
        <v>0.67391474766862292</v>
      </c>
      <c r="AG162" s="801">
        <f t="shared" si="74"/>
        <v>1</v>
      </c>
      <c r="AH162" s="172">
        <f t="shared" si="67"/>
        <v>7</v>
      </c>
      <c r="AI162" s="221">
        <f t="shared" si="68"/>
        <v>1.6739147476686229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45806</v>
      </c>
      <c r="B163" s="406">
        <f>'2024'!Wh/'2024'!Env_an*'2025'!Env_an</f>
        <v>243.00948569829353</v>
      </c>
      <c r="C163" s="385"/>
      <c r="D163" s="388">
        <f t="shared" si="50"/>
        <v>247.65063603509981</v>
      </c>
      <c r="E163" s="380">
        <f t="shared" si="72"/>
        <v>256.83300329593385</v>
      </c>
      <c r="F163" s="380">
        <f t="shared" si="51"/>
        <v>256.86519806358928</v>
      </c>
      <c r="G163" s="110">
        <f t="shared" si="73"/>
        <v>1.024695533351327</v>
      </c>
      <c r="H163" s="409" t="b">
        <f>Wh_hp&gt;='2024'!Maxi_hp</f>
        <v>1</v>
      </c>
      <c r="I163" s="375">
        <f>IF(H163,Wh_hp,'2024'!Maxi_hp)</f>
        <v>256.86519806358928</v>
      </c>
      <c r="J163" s="85">
        <f>IF(H163,An,'2024'!An_max)</f>
        <v>2025</v>
      </c>
      <c r="K163" s="193">
        <f t="shared" si="52"/>
        <v>45806</v>
      </c>
      <c r="L163" s="143">
        <f>IF(t&lt;Tvie,1-EXP((T0-t)*PertePVj)+'2024'!Pspv,1-EXP((T0-t)*PertePVj)+Pspv)</f>
        <v>1.8740716402393942E-2</v>
      </c>
      <c r="M163" s="835"/>
      <c r="N163" s="835"/>
      <c r="O163" s="48">
        <f>IF(t&lt;Tnet,'2024'!Resal+('2024'!Salim-'2024'!Resal)*(1-EXP(('2024'!Tnet-t)/('2024'!Tau_j))),Resal+(Salim-Resal)*(1-EXP((Tnet-t)/(Tau_j))))*Salcycl</f>
        <v>3.5752287062008704E-2</v>
      </c>
      <c r="P163" s="165">
        <f>(INDEX(Models!$BJ163:$BT163,,T163)*(1-R163)+INDEX(Models!$BJ163:$BT163,,T163+1)*R163-ERP_i)*Q163*Ramure*Pc/MaxiM</f>
        <v>1.2533721149497339E-4</v>
      </c>
      <c r="Q163" s="301">
        <f t="shared" si="53"/>
        <v>0.5</v>
      </c>
      <c r="R163" s="173">
        <f t="shared" si="54"/>
        <v>0.6787353624998449</v>
      </c>
      <c r="S163" s="801">
        <f t="shared" si="55"/>
        <v>1</v>
      </c>
      <c r="T163" s="172">
        <f t="shared" si="56"/>
        <v>7</v>
      </c>
      <c r="U163" s="247">
        <f t="shared" si="57"/>
        <v>1.6787353624998449</v>
      </c>
      <c r="V163" s="378">
        <f t="shared" si="58"/>
        <v>237.15286910982886</v>
      </c>
      <c r="W163" s="397">
        <f t="shared" si="59"/>
        <v>243.00948569829353</v>
      </c>
      <c r="X163" s="153">
        <f t="shared" si="60"/>
        <v>45806</v>
      </c>
      <c r="Y163" s="380">
        <f t="shared" si="61"/>
        <v>236.69362910910758</v>
      </c>
      <c r="Z163" s="380">
        <f t="shared" si="62"/>
        <v>241.21415518364736</v>
      </c>
      <c r="AA163" s="381">
        <f t="shared" si="63"/>
        <v>256.83300329593385</v>
      </c>
      <c r="AB163" s="193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6.0813244060732324E-2</v>
      </c>
      <c r="AD163" s="227">
        <f>(INDEX(Models!$BJ163:$BT163,,AH163)*(1-AF163)+INDEX(Models!$BJ163:$BT163,,AH163+1)*AF163-ERP_i)*AE163*Ramure*Pc/MaxiM</f>
        <v>1.2533721149497339E-4</v>
      </c>
      <c r="AE163" s="301">
        <f t="shared" si="65"/>
        <v>0.5</v>
      </c>
      <c r="AF163" s="173">
        <f t="shared" si="66"/>
        <v>0.6787353624998449</v>
      </c>
      <c r="AG163" s="801">
        <f t="shared" si="74"/>
        <v>1</v>
      </c>
      <c r="AH163" s="172">
        <f t="shared" si="67"/>
        <v>7</v>
      </c>
      <c r="AI163" s="221">
        <f t="shared" si="68"/>
        <v>1.6787353624998449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45807</v>
      </c>
      <c r="B164" s="406">
        <f>'2024'!Wh/'2024'!Env_an*'2025'!Env_an</f>
        <v>204.84404403750671</v>
      </c>
      <c r="C164" s="385"/>
      <c r="D164" s="388">
        <f t="shared" si="50"/>
        <v>208.75914413548588</v>
      </c>
      <c r="E164" s="380">
        <f t="shared" si="72"/>
        <v>216.51650013175592</v>
      </c>
      <c r="F164" s="380">
        <f t="shared" si="51"/>
        <v>216.53831026219575</v>
      </c>
      <c r="G164" s="110">
        <f t="shared" si="73"/>
        <v>0.86324889927478321</v>
      </c>
      <c r="H164" s="409" t="b">
        <f>Wh_hp&gt;='2024'!Maxi_hp</f>
        <v>0</v>
      </c>
      <c r="I164" s="375">
        <f>IF(H164,Wh_hp,'2024'!Maxi_hp)</f>
        <v>216.54308989818958</v>
      </c>
      <c r="J164" s="85">
        <f>IF(H164,An,'2024'!An_max)</f>
        <v>2022</v>
      </c>
      <c r="K164" s="193">
        <f t="shared" si="52"/>
        <v>45807</v>
      </c>
      <c r="L164" s="143">
        <f>IF(t&lt;Tvie,1-EXP((T0-t)*PertePVj)+'2024'!Pspv,1-EXP((T0-t)*PertePVj)+Pspv)</f>
        <v>1.8754149017962352E-2</v>
      </c>
      <c r="M164" s="835"/>
      <c r="N164" s="835"/>
      <c r="O164" s="48">
        <f>IF(t&lt;Tnet,'2024'!Resal+('2024'!Salim-'2024'!Resal)*(1-EXP(('2024'!Tnet-t)/('2024'!Tau_j))),Resal+(Salim-Resal)*(1-EXP((Tnet-t)/(Tau_j))))*Salcycl</f>
        <v>3.582801306851667E-2</v>
      </c>
      <c r="P164" s="165">
        <f>(INDEX(Models!$BJ164:$BT164,,T164)*(1-R164)+INDEX(Models!$BJ164:$BT164,,T164+1)*R164-ERP_i)*Q164*Ramure*Pc/MaxiM</f>
        <v>1.2517134885170231E-4</v>
      </c>
      <c r="Q164" s="301">
        <f t="shared" si="53"/>
        <v>0.5</v>
      </c>
      <c r="R164" s="173">
        <f t="shared" si="54"/>
        <v>0.68360409143993239</v>
      </c>
      <c r="S164" s="801">
        <f t="shared" si="55"/>
        <v>1</v>
      </c>
      <c r="T164" s="172">
        <f t="shared" si="56"/>
        <v>7</v>
      </c>
      <c r="U164" s="247">
        <f t="shared" si="57"/>
        <v>1.6836040914399324</v>
      </c>
      <c r="V164" s="378">
        <f t="shared" si="58"/>
        <v>237.2884985576934</v>
      </c>
      <c r="W164" s="397">
        <f t="shared" si="59"/>
        <v>204.84404403750671</v>
      </c>
      <c r="X164" s="153">
        <f t="shared" si="60"/>
        <v>45807</v>
      </c>
      <c r="Y164" s="380">
        <f t="shared" si="61"/>
        <v>199.52186860865052</v>
      </c>
      <c r="Z164" s="380">
        <f t="shared" si="62"/>
        <v>203.33524815311847</v>
      </c>
      <c r="AA164" s="381">
        <f t="shared" si="63"/>
        <v>216.51650013175592</v>
      </c>
      <c r="AB164" s="193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6.0878741207327343E-2</v>
      </c>
      <c r="AD164" s="227">
        <f>(INDEX(Models!$BJ164:$BT164,,AH164)*(1-AF164)+INDEX(Models!$BJ164:$BT164,,AH164+1)*AF164-ERP_i)*AE164*Ramure*Pc/MaxiM</f>
        <v>1.2517134885170231E-4</v>
      </c>
      <c r="AE164" s="301">
        <f t="shared" si="65"/>
        <v>0.5</v>
      </c>
      <c r="AF164" s="173">
        <f t="shared" si="66"/>
        <v>0.68360409143993239</v>
      </c>
      <c r="AG164" s="801">
        <f t="shared" si="74"/>
        <v>1</v>
      </c>
      <c r="AH164" s="172">
        <f t="shared" si="67"/>
        <v>7</v>
      </c>
      <c r="AI164" s="221">
        <f t="shared" si="68"/>
        <v>1.6836040914399324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45808</v>
      </c>
      <c r="B165" s="406">
        <f>'2024'!Wh/'2024'!Env_an*'2025'!Env_an</f>
        <v>224.48770248328316</v>
      </c>
      <c r="C165" s="385"/>
      <c r="D165" s="388">
        <f t="shared" si="50"/>
        <v>228.78137558371336</v>
      </c>
      <c r="E165" s="380">
        <f t="shared" si="72"/>
        <v>237.30134611053535</v>
      </c>
      <c r="F165" s="380">
        <f t="shared" si="51"/>
        <v>237.32868042592912</v>
      </c>
      <c r="G165" s="110">
        <f t="shared" si="73"/>
        <v>0.94553705308366875</v>
      </c>
      <c r="H165" s="409" t="b">
        <f>Wh_hp&gt;='2024'!Maxi_hp</f>
        <v>0</v>
      </c>
      <c r="I165" s="375">
        <f>IF(H165,Wh_hp,'2024'!Maxi_hp)</f>
        <v>237.33076111913962</v>
      </c>
      <c r="J165" s="85">
        <f>IF(H165,An,'2024'!An_max)</f>
        <v>2022</v>
      </c>
      <c r="K165" s="193">
        <f t="shared" si="52"/>
        <v>45808</v>
      </c>
      <c r="L165" s="143">
        <f>IF(t&lt;Tvie,1-EXP((T0-t)*PertePVj)+'2024'!Pspv,1-EXP((T0-t)*PertePVj)+Pspv)</f>
        <v>1.8767581449649517E-2</v>
      </c>
      <c r="M165" s="835"/>
      <c r="N165" s="835"/>
      <c r="O165" s="48">
        <f>IF(t&lt;Tnet,'2024'!Resal+('2024'!Salim-'2024'!Resal)*(1-EXP(('2024'!Tnet-t)/('2024'!Tau_j))),Resal+(Salim-Resal)*(1-EXP((Tnet-t)/(Tau_j))))*Salcycl</f>
        <v>3.590359122047871E-2</v>
      </c>
      <c r="P165" s="165">
        <f>(INDEX(Models!$BJ165:$BT165,,T165)*(1-R165)+INDEX(Models!$BJ165:$BT165,,T165+1)*R165-ERP_i)*Q165*Ramure*Pc/MaxiM</f>
        <v>1.2489028608807424E-4</v>
      </c>
      <c r="Q165" s="301">
        <f t="shared" si="53"/>
        <v>0.5</v>
      </c>
      <c r="R165" s="173">
        <f t="shared" si="54"/>
        <v>0.68851748798955903</v>
      </c>
      <c r="S165" s="801">
        <f t="shared" si="55"/>
        <v>1</v>
      </c>
      <c r="T165" s="172">
        <f t="shared" si="56"/>
        <v>7</v>
      </c>
      <c r="U165" s="247">
        <f t="shared" si="57"/>
        <v>1.688517487989559</v>
      </c>
      <c r="V165" s="378">
        <f t="shared" si="58"/>
        <v>237.41589028494766</v>
      </c>
      <c r="W165" s="397">
        <f t="shared" si="59"/>
        <v>224.48770248328316</v>
      </c>
      <c r="X165" s="153">
        <f t="shared" si="60"/>
        <v>45808</v>
      </c>
      <c r="Y165" s="380">
        <f t="shared" si="61"/>
        <v>218.65710608103689</v>
      </c>
      <c r="Z165" s="380">
        <f t="shared" si="62"/>
        <v>222.83926004409406</v>
      </c>
      <c r="AA165" s="381">
        <f t="shared" si="63"/>
        <v>237.30134611053535</v>
      </c>
      <c r="AB165" s="193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6.0943969781380003E-2</v>
      </c>
      <c r="AD165" s="227">
        <f>(INDEX(Models!$BJ165:$BT165,,AH165)*(1-AF165)+INDEX(Models!$BJ165:$BT165,,AH165+1)*AF165-ERP_i)*AE165*Ramure*Pc/MaxiM</f>
        <v>1.2489028608807424E-4</v>
      </c>
      <c r="AE165" s="301">
        <f t="shared" si="65"/>
        <v>0.5</v>
      </c>
      <c r="AF165" s="173">
        <f t="shared" si="66"/>
        <v>0.68851748798955903</v>
      </c>
      <c r="AG165" s="801">
        <f t="shared" si="74"/>
        <v>1</v>
      </c>
      <c r="AH165" s="172">
        <f t="shared" si="67"/>
        <v>7</v>
      </c>
      <c r="AI165" s="221">
        <f t="shared" si="68"/>
        <v>1.688517487989559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45809</v>
      </c>
      <c r="B166" s="406">
        <f>'2024'!Wh/'2024'!Env_an*'2025'!Env_an</f>
        <v>234.35819589630694</v>
      </c>
      <c r="C166" s="385"/>
      <c r="D166" s="388">
        <f t="shared" si="50"/>
        <v>238.84392696009922</v>
      </c>
      <c r="E166" s="380">
        <f t="shared" si="72"/>
        <v>247.7580099964176</v>
      </c>
      <c r="F166" s="380">
        <f t="shared" si="51"/>
        <v>247.78826745926835</v>
      </c>
      <c r="G166" s="110">
        <f t="shared" si="73"/>
        <v>0.98662552298556216</v>
      </c>
      <c r="H166" s="409" t="b">
        <f>Wh_hp&gt;='2024'!Maxi_hp</f>
        <v>0</v>
      </c>
      <c r="I166" s="375">
        <f>IF(H166,Wh_hp,'2024'!Maxi_hp)</f>
        <v>247.7887989555031</v>
      </c>
      <c r="J166" s="85">
        <f>IF(H166,An,'2024'!An_max)</f>
        <v>2022</v>
      </c>
      <c r="K166" s="193">
        <f t="shared" si="52"/>
        <v>45809</v>
      </c>
      <c r="L166" s="143">
        <f>IF(t&lt;Tvie,1-EXP((T0-t)*PertePVj)+'2024'!Pspv,1-EXP((T0-t)*PertePVj)+Pspv)</f>
        <v>1.8781013697457993E-2</v>
      </c>
      <c r="M166" s="835"/>
      <c r="N166" s="835"/>
      <c r="O166" s="48">
        <f>IF(t&lt;Tnet,'2024'!Resal+('2024'!Salim-'2024'!Resal)*(1-EXP(('2024'!Tnet-t)/('2024'!Tau_j))),Resal+(Salim-Resal)*(1-EXP((Tnet-t)/(Tau_j))))*Salcycl</f>
        <v>3.5978990291564178E-2</v>
      </c>
      <c r="P166" s="165">
        <f>(INDEX(Models!$BJ166:$BT166,,T166)*(1-R166)+INDEX(Models!$BJ166:$BT166,,T166+1)*R166-ERP_i)*Q166*Ramure*Pc/MaxiM</f>
        <v>1.2448825594842699E-4</v>
      </c>
      <c r="Q166" s="301">
        <f t="shared" si="53"/>
        <v>0.5</v>
      </c>
      <c r="R166" s="173">
        <f t="shared" si="54"/>
        <v>0.6934719660666413</v>
      </c>
      <c r="S166" s="801">
        <f t="shared" si="55"/>
        <v>1</v>
      </c>
      <c r="T166" s="172">
        <f t="shared" si="56"/>
        <v>7</v>
      </c>
      <c r="U166" s="247">
        <f t="shared" si="57"/>
        <v>1.6934719660666413</v>
      </c>
      <c r="V166" s="378">
        <f t="shared" si="58"/>
        <v>237.53453872830474</v>
      </c>
      <c r="W166" s="397">
        <f t="shared" si="59"/>
        <v>234.35819589630694</v>
      </c>
      <c r="X166" s="153">
        <f t="shared" si="60"/>
        <v>45809</v>
      </c>
      <c r="Y166" s="380">
        <f t="shared" si="61"/>
        <v>228.27330852382696</v>
      </c>
      <c r="Z166" s="380">
        <f t="shared" si="62"/>
        <v>232.6425718523987</v>
      </c>
      <c r="AA166" s="381">
        <f t="shared" si="63"/>
        <v>247.7580099964176</v>
      </c>
      <c r="AB166" s="193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6.1008877752277146E-2</v>
      </c>
      <c r="AD166" s="227">
        <f>(INDEX(Models!$BJ166:$BT166,,AH166)*(1-AF166)+INDEX(Models!$BJ166:$BT166,,AH166+1)*AF166-ERP_i)*AE166*Ramure*Pc/MaxiM</f>
        <v>1.2448825594842699E-4</v>
      </c>
      <c r="AE166" s="301">
        <f t="shared" si="65"/>
        <v>0.5</v>
      </c>
      <c r="AF166" s="173">
        <f t="shared" si="66"/>
        <v>0.6934719660666413</v>
      </c>
      <c r="AG166" s="801">
        <f t="shared" si="74"/>
        <v>1</v>
      </c>
      <c r="AH166" s="172">
        <f t="shared" si="67"/>
        <v>7</v>
      </c>
      <c r="AI166" s="221">
        <f t="shared" si="68"/>
        <v>1.6934719660666413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45810</v>
      </c>
      <c r="B167" s="406">
        <f>'2024'!Wh/'2024'!Env_an*'2025'!Env_an</f>
        <v>164.84080205887503</v>
      </c>
      <c r="C167" s="385"/>
      <c r="D167" s="388">
        <f t="shared" si="50"/>
        <v>167.99823578942872</v>
      </c>
      <c r="E167" s="380">
        <f t="shared" si="72"/>
        <v>174.28182389827319</v>
      </c>
      <c r="F167" s="380">
        <f t="shared" si="51"/>
        <v>174.29397371704206</v>
      </c>
      <c r="G167" s="110">
        <f t="shared" si="73"/>
        <v>0.6936085126035938</v>
      </c>
      <c r="H167" s="409" t="b">
        <f>Wh_hp&gt;='2024'!Maxi_hp</f>
        <v>0</v>
      </c>
      <c r="I167" s="375">
        <f>IF(H167,Wh_hp,'2024'!Maxi_hp)</f>
        <v>174.30249761857024</v>
      </c>
      <c r="J167" s="85">
        <f>IF(H167,An,'2024'!An_max)</f>
        <v>2022</v>
      </c>
      <c r="K167" s="193">
        <f t="shared" si="52"/>
        <v>45810</v>
      </c>
      <c r="L167" s="143">
        <f>IF(t&lt;Tvie,1-EXP((T0-t)*PertePVj)+'2024'!Pspv,1-EXP((T0-t)*PertePVj)+Pspv)</f>
        <v>1.8794445761390333E-2</v>
      </c>
      <c r="M167" s="835"/>
      <c r="N167" s="835"/>
      <c r="O167" s="48">
        <f>IF(t&lt;Tnet,'2024'!Resal+('2024'!Salim-'2024'!Resal)*(1-EXP(('2024'!Tnet-t)/('2024'!Tau_j))),Resal+(Salim-Resal)*(1-EXP((Tnet-t)/(Tau_j))))*Salcycl</f>
        <v>3.6054179192617067E-2</v>
      </c>
      <c r="P167" s="165">
        <f>(INDEX(Models!$BJ167:$BT167,,T167)*(1-R167)+INDEX(Models!$BJ167:$BT167,,T167+1)*R167-ERP_i)*Q167*Ramure*Pc/MaxiM</f>
        <v>1.2395939976693083E-4</v>
      </c>
      <c r="Q167" s="301">
        <f t="shared" si="53"/>
        <v>0.5</v>
      </c>
      <c r="R167" s="173">
        <f t="shared" si="54"/>
        <v>0.69846380948105402</v>
      </c>
      <c r="S167" s="801">
        <f t="shared" si="55"/>
        <v>1</v>
      </c>
      <c r="T167" s="172">
        <f t="shared" si="56"/>
        <v>7</v>
      </c>
      <c r="U167" s="247">
        <f t="shared" si="57"/>
        <v>1.698463809481054</v>
      </c>
      <c r="V167" s="378">
        <f t="shared" si="58"/>
        <v>237.64393850880515</v>
      </c>
      <c r="W167" s="397">
        <f t="shared" si="59"/>
        <v>164.84080205887503</v>
      </c>
      <c r="X167" s="153">
        <f t="shared" si="60"/>
        <v>45810</v>
      </c>
      <c r="Y167" s="380">
        <f t="shared" si="61"/>
        <v>160.56235552537328</v>
      </c>
      <c r="Z167" s="380">
        <f t="shared" si="62"/>
        <v>163.63783799610221</v>
      </c>
      <c r="AA167" s="381">
        <f t="shared" si="63"/>
        <v>174.28182389827319</v>
      </c>
      <c r="AB167" s="193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6.1073413532691558E-2</v>
      </c>
      <c r="AD167" s="227">
        <f>(INDEX(Models!$BJ167:$BT167,,AH167)*(1-AF167)+INDEX(Models!$BJ167:$BT167,,AH167+1)*AF167-ERP_i)*AE167*Ramure*Pc/MaxiM</f>
        <v>1.2395939976693083E-4</v>
      </c>
      <c r="AE167" s="301">
        <f t="shared" si="65"/>
        <v>0.5</v>
      </c>
      <c r="AF167" s="173">
        <f t="shared" si="66"/>
        <v>0.69846380948105402</v>
      </c>
      <c r="AG167" s="801">
        <f t="shared" si="74"/>
        <v>1</v>
      </c>
      <c r="AH167" s="172">
        <f t="shared" si="67"/>
        <v>7</v>
      </c>
      <c r="AI167" s="221">
        <f t="shared" si="68"/>
        <v>1.698463809481054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45811</v>
      </c>
      <c r="B168" s="406">
        <f>'2024'!Wh/'2024'!Env_an*'2025'!Env_an</f>
        <v>226.46872297989796</v>
      </c>
      <c r="C168" s="385"/>
      <c r="D168" s="388">
        <f t="shared" si="50"/>
        <v>230.80976479460654</v>
      </c>
      <c r="E168" s="380">
        <f t="shared" si="72"/>
        <v>239.46129225534077</v>
      </c>
      <c r="F168" s="380">
        <f t="shared" si="51"/>
        <v>239.48882016682157</v>
      </c>
      <c r="G168" s="110">
        <f t="shared" si="73"/>
        <v>0.95256758065841662</v>
      </c>
      <c r="H168" s="409" t="b">
        <f>Wh_hp&gt;='2024'!Maxi_hp</f>
        <v>0</v>
      </c>
      <c r="I168" s="375">
        <f>IF(H168,Wh_hp,'2024'!Maxi_hp)</f>
        <v>239.49062250139852</v>
      </c>
      <c r="J168" s="85">
        <f>IF(H168,An,'2024'!An_max)</f>
        <v>2022</v>
      </c>
      <c r="K168" s="193">
        <f t="shared" si="52"/>
        <v>45811</v>
      </c>
      <c r="L168" s="143">
        <f>IF(t&lt;Tvie,1-EXP((T0-t)*PertePVj)+'2024'!Pspv,1-EXP((T0-t)*PertePVj)+Pspv)</f>
        <v>1.8807877641448978E-2</v>
      </c>
      <c r="M168" s="835"/>
      <c r="N168" s="835"/>
      <c r="O168" s="48">
        <f>IF(t&lt;Tnet,'2024'!Resal+('2024'!Salim-'2024'!Resal)*(1-EXP(('2024'!Tnet-t)/('2024'!Tau_j))),Resal+(Salim-Resal)*(1-EXP((Tnet-t)/(Tau_j))))*Salcycl</f>
        <v>3.6129127088769725E-2</v>
      </c>
      <c r="P168" s="165">
        <f>(INDEX(Models!$BJ168:$BT168,,T168)*(1-R168)+INDEX(Models!$BJ168:$BT168,,T168+1)*R168-ERP_i)*Q168*Ramure*Pc/MaxiM</f>
        <v>1.2329778310673435E-4</v>
      </c>
      <c r="Q168" s="301">
        <f t="shared" si="53"/>
        <v>0.5</v>
      </c>
      <c r="R168" s="173">
        <f t="shared" si="54"/>
        <v>0.7034891822633258</v>
      </c>
      <c r="S168" s="801">
        <f t="shared" si="55"/>
        <v>1</v>
      </c>
      <c r="T168" s="172">
        <f t="shared" si="56"/>
        <v>7</v>
      </c>
      <c r="U168" s="247">
        <f t="shared" si="57"/>
        <v>1.7034891822633258</v>
      </c>
      <c r="V168" s="378">
        <f t="shared" si="58"/>
        <v>237.74358438477725</v>
      </c>
      <c r="W168" s="397">
        <f t="shared" si="59"/>
        <v>226.46872297989796</v>
      </c>
      <c r="X168" s="153">
        <f t="shared" si="60"/>
        <v>45811</v>
      </c>
      <c r="Y168" s="380">
        <f t="shared" si="61"/>
        <v>220.59281121239709</v>
      </c>
      <c r="Z168" s="380">
        <f t="shared" si="62"/>
        <v>224.82122123253984</v>
      </c>
      <c r="AA168" s="381">
        <f t="shared" si="63"/>
        <v>239.46129225534077</v>
      </c>
      <c r="AB168" s="193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6.1137526173499546E-2</v>
      </c>
      <c r="AD168" s="227">
        <f>(INDEX(Models!$BJ168:$BT168,,AH168)*(1-AF168)+INDEX(Models!$BJ168:$BT168,,AH168+1)*AF168-ERP_i)*AE168*Ramure*Pc/MaxiM</f>
        <v>1.2329778310673435E-4</v>
      </c>
      <c r="AE168" s="301">
        <f t="shared" si="65"/>
        <v>0.5</v>
      </c>
      <c r="AF168" s="173">
        <f t="shared" si="66"/>
        <v>0.7034891822633258</v>
      </c>
      <c r="AG168" s="801">
        <f t="shared" si="74"/>
        <v>1</v>
      </c>
      <c r="AH168" s="172">
        <f t="shared" si="67"/>
        <v>7</v>
      </c>
      <c r="AI168" s="221">
        <f t="shared" si="68"/>
        <v>1.7034891822633258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45812</v>
      </c>
      <c r="B169" s="406">
        <f>'2024'!Wh/'2024'!Env_an*'2025'!Env_an</f>
        <v>98.670396100177229</v>
      </c>
      <c r="C169" s="385"/>
      <c r="D169" s="388">
        <f t="shared" si="50"/>
        <v>100.56312579879602</v>
      </c>
      <c r="E169" s="380">
        <f t="shared" si="72"/>
        <v>104.34065434768235</v>
      </c>
      <c r="F169" s="380">
        <f t="shared" si="51"/>
        <v>104.34275187592198</v>
      </c>
      <c r="G169" s="110">
        <f t="shared" si="73"/>
        <v>0.4148301726983829</v>
      </c>
      <c r="H169" s="409" t="b">
        <f>Wh_hp&gt;='2024'!Maxi_hp</f>
        <v>0</v>
      </c>
      <c r="I169" s="375">
        <f>IF(H169,Wh_hp,'2024'!Maxi_hp)</f>
        <v>104.35237094994316</v>
      </c>
      <c r="J169" s="85">
        <f>IF(H169,An,'2024'!An_max)</f>
        <v>2022</v>
      </c>
      <c r="K169" s="193">
        <f t="shared" si="52"/>
        <v>45812</v>
      </c>
      <c r="L169" s="143">
        <f>IF(t&lt;Tvie,1-EXP((T0-t)*PertePVj)+'2024'!Pspv,1-EXP((T0-t)*PertePVj)+Pspv)</f>
        <v>1.8821309337636483E-2</v>
      </c>
      <c r="M169" s="835"/>
      <c r="N169" s="835"/>
      <c r="O169" s="48">
        <f>IF(t&lt;Tnet,'2024'!Resal+('2024'!Salim-'2024'!Resal)*(1-EXP(('2024'!Tnet-t)/('2024'!Tau_j))),Resal+(Salim-Resal)*(1-EXP((Tnet-t)/(Tau_j))))*Salcycl</f>
        <v>3.6203803517456321E-2</v>
      </c>
      <c r="P169" s="165">
        <f>(INDEX(Models!$BJ169:$BT169,,T169)*(1-R169)+INDEX(Models!$BJ169:$BT169,,T169+1)*R169-ERP_i)*Q169*Ramure*Pc/MaxiM</f>
        <v>1.2249741195623272E-4</v>
      </c>
      <c r="Q169" s="301">
        <f t="shared" si="53"/>
        <v>0.5</v>
      </c>
      <c r="R169" s="173">
        <f t="shared" si="54"/>
        <v>0.70854413979298569</v>
      </c>
      <c r="S169" s="801">
        <f t="shared" si="55"/>
        <v>1</v>
      </c>
      <c r="T169" s="172">
        <f t="shared" si="56"/>
        <v>7</v>
      </c>
      <c r="U169" s="247">
        <f t="shared" si="57"/>
        <v>1.7085441397929857</v>
      </c>
      <c r="V169" s="378">
        <f t="shared" si="58"/>
        <v>237.83297123265834</v>
      </c>
      <c r="W169" s="397">
        <f t="shared" si="59"/>
        <v>98.670396100177229</v>
      </c>
      <c r="X169" s="153">
        <f t="shared" si="60"/>
        <v>45812</v>
      </c>
      <c r="Y169" s="380">
        <f t="shared" si="61"/>
        <v>96.111245500595828</v>
      </c>
      <c r="Z169" s="380">
        <f t="shared" si="62"/>
        <v>97.95488468641129</v>
      </c>
      <c r="AA169" s="381">
        <f t="shared" si="63"/>
        <v>104.34065434768235</v>
      </c>
      <c r="AB169" s="193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6.1201165559039754E-2</v>
      </c>
      <c r="AD169" s="227">
        <f>(INDEX(Models!$BJ169:$BT169,,AH169)*(1-AF169)+INDEX(Models!$BJ169:$BT169,,AH169+1)*AF169-ERP_i)*AE169*Ramure*Pc/MaxiM</f>
        <v>1.2249741195623272E-4</v>
      </c>
      <c r="AE169" s="301">
        <f t="shared" si="65"/>
        <v>0.5</v>
      </c>
      <c r="AF169" s="173">
        <f t="shared" si="66"/>
        <v>0.70854413979298569</v>
      </c>
      <c r="AG169" s="801">
        <f t="shared" si="74"/>
        <v>1</v>
      </c>
      <c r="AH169" s="172">
        <f t="shared" si="67"/>
        <v>7</v>
      </c>
      <c r="AI169" s="221">
        <f t="shared" si="68"/>
        <v>1.7085441397929857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45813</v>
      </c>
      <c r="B170" s="406">
        <f>'2024'!Wh/'2024'!Env_an*'2025'!Env_an</f>
        <v>127.84024065879522</v>
      </c>
      <c r="C170" s="385"/>
      <c r="D170" s="388">
        <f t="shared" si="50"/>
        <v>130.29430003416505</v>
      </c>
      <c r="E170" s="380">
        <f t="shared" ref="E170:E232" si="75">Wh_pvt/(1-Psa)</f>
        <v>135.19907625652291</v>
      </c>
      <c r="F170" s="380">
        <f t="shared" si="51"/>
        <v>135.20464966013046</v>
      </c>
      <c r="G170" s="110">
        <f t="shared" ref="G170:G232" si="76">+Wh_hp/MaxiM</f>
        <v>0.53730029988836547</v>
      </c>
      <c r="H170" s="409" t="b">
        <f>Wh_hp&gt;='2024'!Maxi_hp</f>
        <v>0</v>
      </c>
      <c r="I170" s="375">
        <f>IF(H170,Wh_hp,'2024'!Maxi_hp)</f>
        <v>135.21442308270213</v>
      </c>
      <c r="J170" s="85">
        <f>IF(H170,An,'2024'!An_max)</f>
        <v>2022</v>
      </c>
      <c r="K170" s="193">
        <f t="shared" si="52"/>
        <v>45813</v>
      </c>
      <c r="L170" s="143">
        <f>IF(t&lt;Tvie,1-EXP((T0-t)*PertePVj)+'2024'!Pspv,1-EXP((T0-t)*PertePVj)+Pspv)</f>
        <v>1.8834740849955289E-2</v>
      </c>
      <c r="M170" s="835"/>
      <c r="N170" s="835"/>
      <c r="O170" s="48">
        <f>IF(t&lt;Tnet,'2024'!Resal+('2024'!Salim-'2024'!Resal)*(1-EXP(('2024'!Tnet-t)/('2024'!Tau_j))),Resal+(Salim-Resal)*(1-EXP((Tnet-t)/(Tau_j))))*Salcycl</f>
        <v>3.6278178506572577E-2</v>
      </c>
      <c r="P170" s="165">
        <f>(INDEX(Models!$BJ170:$BT170,,T170)*(1-R170)+INDEX(Models!$BJ170:$BT170,,T170+1)*R170-ERP_i)*Q170*Ramure*Pc/MaxiM</f>
        <v>1.2157649034072874E-4</v>
      </c>
      <c r="Q170" s="301">
        <f t="shared" si="53"/>
        <v>0.5</v>
      </c>
      <c r="R170" s="173">
        <f t="shared" si="54"/>
        <v>0.71362464066325759</v>
      </c>
      <c r="S170" s="801">
        <f t="shared" si="55"/>
        <v>1</v>
      </c>
      <c r="T170" s="172">
        <f t="shared" si="56"/>
        <v>7</v>
      </c>
      <c r="U170" s="247">
        <f t="shared" si="57"/>
        <v>1.7136246406632576</v>
      </c>
      <c r="V170" s="378">
        <f t="shared" si="58"/>
        <v>237.91158821644544</v>
      </c>
      <c r="W170" s="397">
        <f t="shared" si="59"/>
        <v>127.84024065879522</v>
      </c>
      <c r="X170" s="153">
        <f t="shared" si="60"/>
        <v>45813</v>
      </c>
      <c r="Y170" s="380">
        <f t="shared" si="61"/>
        <v>124.52576806994757</v>
      </c>
      <c r="Z170" s="380">
        <f t="shared" si="62"/>
        <v>126.91620184128887</v>
      </c>
      <c r="AA170" s="381">
        <f t="shared" si="63"/>
        <v>135.19907625652291</v>
      </c>
      <c r="AB170" s="193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6.1264282601445862E-2</v>
      </c>
      <c r="AD170" s="227">
        <f>(INDEX(Models!$BJ170:$BT170,,AH170)*(1-AF170)+INDEX(Models!$BJ170:$BT170,,AH170+1)*AF170-ERP_i)*AE170*Ramure*Pc/MaxiM</f>
        <v>1.2157649034072874E-4</v>
      </c>
      <c r="AE170" s="301">
        <f t="shared" si="65"/>
        <v>0.5</v>
      </c>
      <c r="AF170" s="173">
        <f t="shared" si="66"/>
        <v>0.71362464066325759</v>
      </c>
      <c r="AG170" s="801">
        <f t="shared" si="74"/>
        <v>1</v>
      </c>
      <c r="AH170" s="172">
        <f t="shared" si="67"/>
        <v>7</v>
      </c>
      <c r="AI170" s="221">
        <f t="shared" si="68"/>
        <v>1.7136246406632576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45814</v>
      </c>
      <c r="B171" s="406">
        <f>'2024'!Wh/'2024'!Env_an*'2025'!Env_an</f>
        <v>187.84514461114847</v>
      </c>
      <c r="C171" s="385"/>
      <c r="D171" s="388">
        <f t="shared" si="50"/>
        <v>191.4536968536386</v>
      </c>
      <c r="E171" s="380">
        <f t="shared" si="75"/>
        <v>198.67601146601126</v>
      </c>
      <c r="F171" s="380">
        <f t="shared" si="51"/>
        <v>198.69274331100439</v>
      </c>
      <c r="G171" s="110">
        <f t="shared" si="76"/>
        <v>0.78930652135831447</v>
      </c>
      <c r="H171" s="409" t="b">
        <f>Wh_hp&gt;='2024'!Maxi_hp</f>
        <v>0</v>
      </c>
      <c r="I171" s="375">
        <f>IF(H171,Wh_hp,'2024'!Maxi_hp)</f>
        <v>198.6992170848427</v>
      </c>
      <c r="J171" s="85">
        <f>IF(H171,An,'2024'!An_max)</f>
        <v>2022</v>
      </c>
      <c r="K171" s="193">
        <f t="shared" si="52"/>
        <v>45814</v>
      </c>
      <c r="L171" s="143">
        <f>IF(t&lt;Tvie,1-EXP((T0-t)*PertePVj)+'2024'!Pspv,1-EXP((T0-t)*PertePVj)+Pspv)</f>
        <v>1.8848172178408062E-2</v>
      </c>
      <c r="M171" s="835"/>
      <c r="N171" s="835"/>
      <c r="O171" s="48">
        <f>IF(t&lt;Tnet,'2024'!Resal+('2024'!Salim-'2024'!Resal)*(1-EXP(('2024'!Tnet-t)/('2024'!Tau_j))),Resal+(Salim-Resal)*(1-EXP((Tnet-t)/(Tau_j))))*Salcycl</f>
        <v>3.6352222692009481E-2</v>
      </c>
      <c r="P171" s="165">
        <f>(INDEX(Models!$BJ171:$BT171,,T171)*(1-R171)+INDEX(Models!$BJ171:$BT171,,T171+1)*R171-ERP_i)*Q171*Ramure*Pc/MaxiM</f>
        <v>1.2046294114629399E-4</v>
      </c>
      <c r="Q171" s="301">
        <f t="shared" si="53"/>
        <v>0.5</v>
      </c>
      <c r="R171" s="173">
        <f t="shared" si="54"/>
        <v>0.71872655921039752</v>
      </c>
      <c r="S171" s="801">
        <f t="shared" si="55"/>
        <v>1</v>
      </c>
      <c r="T171" s="172">
        <f t="shared" si="56"/>
        <v>7</v>
      </c>
      <c r="U171" s="247">
        <f t="shared" si="57"/>
        <v>1.7187265592103975</v>
      </c>
      <c r="V171" s="378">
        <f t="shared" si="58"/>
        <v>237.97894600992322</v>
      </c>
      <c r="W171" s="397">
        <f t="shared" si="59"/>
        <v>187.84514461114847</v>
      </c>
      <c r="X171" s="153">
        <f t="shared" si="60"/>
        <v>45814</v>
      </c>
      <c r="Y171" s="380">
        <f t="shared" si="61"/>
        <v>182.9768112581371</v>
      </c>
      <c r="Z171" s="380">
        <f t="shared" si="62"/>
        <v>186.49184159845316</v>
      </c>
      <c r="AA171" s="381">
        <f t="shared" si="63"/>
        <v>198.67601146601126</v>
      </c>
      <c r="AB171" s="193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6.1326829432764747E-2</v>
      </c>
      <c r="AD171" s="227">
        <f>(INDEX(Models!$BJ171:$BT171,,AH171)*(1-AF171)+INDEX(Models!$BJ171:$BT171,,AH171+1)*AF171-ERP_i)*AE171*Ramure*Pc/MaxiM</f>
        <v>1.2046294114629399E-4</v>
      </c>
      <c r="AE171" s="301">
        <f t="shared" si="65"/>
        <v>0.5</v>
      </c>
      <c r="AF171" s="173">
        <f t="shared" si="66"/>
        <v>0.71872655921039752</v>
      </c>
      <c r="AG171" s="801">
        <f t="shared" si="74"/>
        <v>1</v>
      </c>
      <c r="AH171" s="172">
        <f t="shared" si="67"/>
        <v>7</v>
      </c>
      <c r="AI171" s="221">
        <f t="shared" si="68"/>
        <v>1.7187265592103975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45815</v>
      </c>
      <c r="B172" s="406">
        <f>'2024'!Wh/'2024'!Env_an*'2025'!Env_an</f>
        <v>117.05100433190586</v>
      </c>
      <c r="C172" s="385"/>
      <c r="D172" s="388">
        <f t="shared" si="50"/>
        <v>119.30121655450796</v>
      </c>
      <c r="E172" s="380">
        <f t="shared" si="75"/>
        <v>123.81115004532855</v>
      </c>
      <c r="F172" s="380">
        <f t="shared" si="51"/>
        <v>123.81519094397034</v>
      </c>
      <c r="G172" s="110">
        <f t="shared" si="76"/>
        <v>0.49169703541252363</v>
      </c>
      <c r="H172" s="409" t="b">
        <f>Wh_hp&gt;='2024'!Maxi_hp</f>
        <v>0</v>
      </c>
      <c r="I172" s="375">
        <f>IF(H172,Wh_hp,'2024'!Maxi_hp)</f>
        <v>123.82480660988531</v>
      </c>
      <c r="J172" s="85">
        <f>IF(H172,An,'2024'!An_max)</f>
        <v>2022</v>
      </c>
      <c r="K172" s="193">
        <f t="shared" si="52"/>
        <v>45815</v>
      </c>
      <c r="L172" s="143">
        <f>IF(t&lt;Tvie,1-EXP((T0-t)*PertePVj)+'2024'!Pspv,1-EXP((T0-t)*PertePVj)+Pspv)</f>
        <v>1.8861603322997134E-2</v>
      </c>
      <c r="M172" s="835"/>
      <c r="N172" s="835"/>
      <c r="O172" s="48">
        <f>IF(t&lt;Tnet,'2024'!Resal+('2024'!Salim-'2024'!Resal)*(1-EXP(('2024'!Tnet-t)/('2024'!Tau_j))),Resal+(Salim-Resal)*(1-EXP((Tnet-t)/(Tau_j))))*Salcycl</f>
        <v>3.642590743377682E-2</v>
      </c>
      <c r="P172" s="165">
        <f>(INDEX(Models!$BJ172:$BT172,,T172)*(1-R172)+INDEX(Models!$BJ172:$BT172,,T172+1)*R172-ERP_i)*Q172*Ramure*Pc/MaxiM</f>
        <v>1.1914897135537618E-4</v>
      </c>
      <c r="Q172" s="301">
        <f t="shared" si="53"/>
        <v>0.5</v>
      </c>
      <c r="R172" s="173">
        <f t="shared" si="54"/>
        <v>0.72384569862822357</v>
      </c>
      <c r="S172" s="801">
        <f t="shared" si="55"/>
        <v>1</v>
      </c>
      <c r="T172" s="172">
        <f t="shared" si="56"/>
        <v>7</v>
      </c>
      <c r="U172" s="247">
        <f t="shared" si="57"/>
        <v>1.7238456986282236</v>
      </c>
      <c r="V172" s="378">
        <f t="shared" si="58"/>
        <v>238.03453997945383</v>
      </c>
      <c r="W172" s="397">
        <f t="shared" si="59"/>
        <v>117.05100433190586</v>
      </c>
      <c r="X172" s="153">
        <f t="shared" si="60"/>
        <v>45815</v>
      </c>
      <c r="Y172" s="380">
        <f t="shared" si="61"/>
        <v>114.01862006707994</v>
      </c>
      <c r="Z172" s="380">
        <f t="shared" si="62"/>
        <v>116.21053712019346</v>
      </c>
      <c r="AA172" s="381">
        <f t="shared" si="63"/>
        <v>123.81115004532855</v>
      </c>
      <c r="AB172" s="193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6.1388759593561784E-2</v>
      </c>
      <c r="AD172" s="227">
        <f>(INDEX(Models!$BJ172:$BT172,,AH172)*(1-AF172)+INDEX(Models!$BJ172:$BT172,,AH172+1)*AF172-ERP_i)*AE172*Ramure*Pc/MaxiM</f>
        <v>1.1914897135537618E-4</v>
      </c>
      <c r="AE172" s="301">
        <f t="shared" si="65"/>
        <v>0.5</v>
      </c>
      <c r="AF172" s="173">
        <f t="shared" si="66"/>
        <v>0.72384569862822357</v>
      </c>
      <c r="AG172" s="801">
        <f t="shared" si="74"/>
        <v>1</v>
      </c>
      <c r="AH172" s="172">
        <f t="shared" si="67"/>
        <v>7</v>
      </c>
      <c r="AI172" s="221">
        <f t="shared" si="68"/>
        <v>1.7238456986282236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45816</v>
      </c>
      <c r="B173" s="406">
        <f>'2024'!Wh/'2024'!Env_an*'2025'!Env_an</f>
        <v>89.179809099679005</v>
      </c>
      <c r="C173" s="385"/>
      <c r="D173" s="388">
        <f t="shared" si="50"/>
        <v>90.895464100817037</v>
      </c>
      <c r="E173" s="380">
        <f t="shared" si="75"/>
        <v>94.338753601346497</v>
      </c>
      <c r="F173" s="380">
        <f t="shared" si="51"/>
        <v>94.33993593722461</v>
      </c>
      <c r="G173" s="110">
        <f t="shared" si="76"/>
        <v>0.37454316278665151</v>
      </c>
      <c r="H173" s="409" t="b">
        <f>Wh_hp&gt;='2024'!Maxi_hp</f>
        <v>0</v>
      </c>
      <c r="I173" s="375">
        <f>IF(H173,Wh_hp,'2024'!Maxi_hp)</f>
        <v>94.348824057543851</v>
      </c>
      <c r="J173" s="85">
        <f>IF(H173,An,'2024'!An_max)</f>
        <v>2022</v>
      </c>
      <c r="K173" s="193">
        <f t="shared" si="52"/>
        <v>45816</v>
      </c>
      <c r="L173" s="143">
        <f>IF(t&lt;Tvie,1-EXP((T0-t)*PertePVj)+'2024'!Pspv,1-EXP((T0-t)*PertePVj)+Pspv)</f>
        <v>1.8875034283725167E-2</v>
      </c>
      <c r="M173" s="835"/>
      <c r="N173" s="835"/>
      <c r="O173" s="48">
        <f>IF(t&lt;Tnet,'2024'!Resal+('2024'!Salim-'2024'!Resal)*(1-EXP(('2024'!Tnet-t)/('2024'!Tau_j))),Resal+(Salim-Resal)*(1-EXP((Tnet-t)/(Tau_j))))*Salcycl</f>
        <v>3.6499204929927163E-2</v>
      </c>
      <c r="P173" s="165">
        <f>(INDEX(Models!$BJ173:$BT173,,T173)*(1-R173)+INDEX(Models!$BJ173:$BT173,,T173+1)*R173-ERP_i)*Q173*Ramure*Pc/MaxiM</f>
        <v>1.1762678363120931E-4</v>
      </c>
      <c r="Q173" s="301">
        <f t="shared" si="53"/>
        <v>0.5</v>
      </c>
      <c r="R173" s="173">
        <f t="shared" si="54"/>
        <v>0.72897780458149009</v>
      </c>
      <c r="S173" s="801">
        <f t="shared" si="55"/>
        <v>1</v>
      </c>
      <c r="T173" s="172">
        <f t="shared" si="56"/>
        <v>7</v>
      </c>
      <c r="U173" s="247">
        <f t="shared" si="57"/>
        <v>1.7289778045814901</v>
      </c>
      <c r="V173" s="378">
        <f t="shared" si="58"/>
        <v>238.07786544580952</v>
      </c>
      <c r="W173" s="397">
        <f t="shared" si="59"/>
        <v>89.179809099679005</v>
      </c>
      <c r="X173" s="153">
        <f t="shared" si="60"/>
        <v>45816</v>
      </c>
      <c r="Y173" s="380">
        <f t="shared" si="61"/>
        <v>86.870408143311479</v>
      </c>
      <c r="Z173" s="380">
        <f t="shared" si="62"/>
        <v>88.541634530613877</v>
      </c>
      <c r="AA173" s="381">
        <f t="shared" si="63"/>
        <v>94.338753601346497</v>
      </c>
      <c r="AB173" s="193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6.1450028216716621E-2</v>
      </c>
      <c r="AD173" s="227">
        <f>(INDEX(Models!$BJ173:$BT173,,AH173)*(1-AF173)+INDEX(Models!$BJ173:$BT173,,AH173+1)*AF173-ERP_i)*AE173*Ramure*Pc/MaxiM</f>
        <v>1.1762678363120931E-4</v>
      </c>
      <c r="AE173" s="301">
        <f t="shared" si="65"/>
        <v>0.5</v>
      </c>
      <c r="AF173" s="173">
        <f t="shared" si="66"/>
        <v>0.72897780458149009</v>
      </c>
      <c r="AG173" s="801">
        <f t="shared" si="74"/>
        <v>1</v>
      </c>
      <c r="AH173" s="172">
        <f t="shared" si="67"/>
        <v>7</v>
      </c>
      <c r="AI173" s="221">
        <f t="shared" si="68"/>
        <v>1.7289778045814901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45817</v>
      </c>
      <c r="B174" s="406">
        <f>'2024'!Wh/'2024'!Env_an*'2025'!Env_an</f>
        <v>189.19083723594099</v>
      </c>
      <c r="C174" s="385"/>
      <c r="D174" s="388">
        <f t="shared" si="50"/>
        <v>192.83315963421595</v>
      </c>
      <c r="E174" s="380">
        <f t="shared" si="75"/>
        <v>200.15317938989153</v>
      </c>
      <c r="F174" s="380">
        <f t="shared" si="51"/>
        <v>200.16956858187126</v>
      </c>
      <c r="G174" s="110">
        <f t="shared" si="76"/>
        <v>0.79453050766162059</v>
      </c>
      <c r="H174" s="409" t="b">
        <f>Wh_hp&gt;='2024'!Maxi_hp</f>
        <v>0</v>
      </c>
      <c r="I174" s="375">
        <f>IF(H174,Wh_hp,'2024'!Maxi_hp)</f>
        <v>200.17566222023561</v>
      </c>
      <c r="J174" s="85">
        <f>IF(H174,An,'2024'!An_max)</f>
        <v>2022</v>
      </c>
      <c r="K174" s="193">
        <f t="shared" si="52"/>
        <v>45817</v>
      </c>
      <c r="L174" s="143">
        <f>IF(t&lt;Tvie,1-EXP((T0-t)*PertePVj)+'2024'!Pspv,1-EXP((T0-t)*PertePVj)+Pspv)</f>
        <v>1.8888465060594606E-2</v>
      </c>
      <c r="M174" s="835"/>
      <c r="N174" s="835"/>
      <c r="O174" s="48">
        <f>IF(t&lt;Tnet,'2024'!Resal+('2024'!Salim-'2024'!Resal)*(1-EXP(('2024'!Tnet-t)/('2024'!Tau_j))),Resal+(Salim-Resal)*(1-EXP((Tnet-t)/(Tau_j))))*Salcycl</f>
        <v>3.6572088327492563E-2</v>
      </c>
      <c r="P174" s="165">
        <f>(INDEX(Models!$BJ174:$BT174,,T174)*(1-R174)+INDEX(Models!$BJ174:$BT174,,T174+1)*R174-ERP_i)*Q174*Ramure*Pc/MaxiM</f>
        <v>1.1588859744274088E-4</v>
      </c>
      <c r="Q174" s="301">
        <f t="shared" si="53"/>
        <v>0.5</v>
      </c>
      <c r="R174" s="173">
        <f t="shared" si="54"/>
        <v>0.73411857922579582</v>
      </c>
      <c r="S174" s="801">
        <f t="shared" si="55"/>
        <v>1</v>
      </c>
      <c r="T174" s="172">
        <f t="shared" si="56"/>
        <v>7</v>
      </c>
      <c r="U174" s="247">
        <f t="shared" si="57"/>
        <v>1.7341185792257958</v>
      </c>
      <c r="V174" s="378">
        <f t="shared" si="58"/>
        <v>238.10841763204326</v>
      </c>
      <c r="W174" s="397">
        <f t="shared" si="59"/>
        <v>189.19083723594099</v>
      </c>
      <c r="X174" s="153">
        <f t="shared" si="60"/>
        <v>45817</v>
      </c>
      <c r="Y174" s="380">
        <f t="shared" si="61"/>
        <v>184.29359856259748</v>
      </c>
      <c r="Z174" s="380">
        <f t="shared" si="62"/>
        <v>187.84163879388052</v>
      </c>
      <c r="AA174" s="381">
        <f t="shared" si="63"/>
        <v>200.15317938989153</v>
      </c>
      <c r="AB174" s="193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6.1510592205125753E-2</v>
      </c>
      <c r="AD174" s="227">
        <f>(INDEX(Models!$BJ174:$BT174,,AH174)*(1-AF174)+INDEX(Models!$BJ174:$BT174,,AH174+1)*AF174-ERP_i)*AE174*Ramure*Pc/MaxiM</f>
        <v>1.1588859744274088E-4</v>
      </c>
      <c r="AE174" s="301">
        <f t="shared" si="65"/>
        <v>0.5</v>
      </c>
      <c r="AF174" s="173">
        <f t="shared" si="66"/>
        <v>0.73411857922579582</v>
      </c>
      <c r="AG174" s="801">
        <f t="shared" si="74"/>
        <v>1</v>
      </c>
      <c r="AH174" s="172">
        <f t="shared" si="67"/>
        <v>7</v>
      </c>
      <c r="AI174" s="221">
        <f t="shared" si="68"/>
        <v>1.7341185792257958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45818</v>
      </c>
      <c r="B175" s="406">
        <f>'2024'!Wh/'2024'!Env_an*'2025'!Env_an</f>
        <v>239.17363342982767</v>
      </c>
      <c r="C175" s="385"/>
      <c r="D175" s="388">
        <f t="shared" si="50"/>
        <v>243.78156717483952</v>
      </c>
      <c r="E175" s="380">
        <f t="shared" si="75"/>
        <v>253.05463583223568</v>
      </c>
      <c r="F175" s="380">
        <f t="shared" si="51"/>
        <v>253.08346878897106</v>
      </c>
      <c r="G175" s="110">
        <f t="shared" si="76"/>
        <v>1.0044007926630025</v>
      </c>
      <c r="H175" s="409" t="b">
        <f>Wh_hp&gt;='2024'!Maxi_hp</f>
        <v>1</v>
      </c>
      <c r="I175" s="375">
        <f>IF(H175,Wh_hp,'2024'!Maxi_hp)</f>
        <v>253.08346878897106</v>
      </c>
      <c r="J175" s="85">
        <f>IF(H175,An,'2024'!An_max)</f>
        <v>2025</v>
      </c>
      <c r="K175" s="193">
        <f t="shared" si="52"/>
        <v>45818</v>
      </c>
      <c r="L175" s="143">
        <f>IF(t&lt;Tvie,1-EXP((T0-t)*PertePVj)+'2024'!Pspv,1-EXP((T0-t)*PertePVj)+Pspv)</f>
        <v>1.8901895653608003E-2</v>
      </c>
      <c r="M175" s="835"/>
      <c r="N175" s="835"/>
      <c r="O175" s="48">
        <f>IF(t&lt;Tnet,'2024'!Resal+('2024'!Salim-'2024'!Resal)*(1-EXP(('2024'!Tnet-t)/('2024'!Tau_j))),Resal+(Salim-Resal)*(1-EXP((Tnet-t)/(Tau_j))))*Salcycl</f>
        <v>3.664453182965511E-2</v>
      </c>
      <c r="P175" s="165">
        <f>(INDEX(Models!$BJ175:$BT175,,T175)*(1-R175)+INDEX(Models!$BJ175:$BT175,,T175+1)*R175-ERP_i)*Q175*Ramure*Pc/MaxiM</f>
        <v>1.1392666962149015E-4</v>
      </c>
      <c r="Q175" s="301">
        <f t="shared" si="53"/>
        <v>0.5</v>
      </c>
      <c r="R175" s="173">
        <f t="shared" si="54"/>
        <v>0.73926369553680749</v>
      </c>
      <c r="S175" s="801">
        <f t="shared" si="55"/>
        <v>1</v>
      </c>
      <c r="T175" s="172">
        <f t="shared" si="56"/>
        <v>7</v>
      </c>
      <c r="U175" s="247">
        <f t="shared" si="57"/>
        <v>1.7392636955368075</v>
      </c>
      <c r="V175" s="378">
        <f t="shared" si="58"/>
        <v>238.12569163321581</v>
      </c>
      <c r="W175" s="397">
        <f t="shared" si="59"/>
        <v>239.17363342982767</v>
      </c>
      <c r="X175" s="153">
        <f t="shared" si="60"/>
        <v>45818</v>
      </c>
      <c r="Y175" s="380">
        <f t="shared" si="61"/>
        <v>232.98525007439423</v>
      </c>
      <c r="Z175" s="380">
        <f t="shared" si="62"/>
        <v>237.47395804990279</v>
      </c>
      <c r="AA175" s="381">
        <f t="shared" si="63"/>
        <v>253.05463583223568</v>
      </c>
      <c r="AB175" s="193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6.1570410402053223E-2</v>
      </c>
      <c r="AD175" s="227">
        <f>(INDEX(Models!$BJ175:$BT175,,AH175)*(1-AF175)+INDEX(Models!$BJ175:$BT175,,AH175+1)*AF175-ERP_i)*AE175*Ramure*Pc/MaxiM</f>
        <v>1.1392666962149015E-4</v>
      </c>
      <c r="AE175" s="301">
        <f t="shared" si="65"/>
        <v>0.5</v>
      </c>
      <c r="AF175" s="173">
        <f t="shared" si="66"/>
        <v>0.73926369553680749</v>
      </c>
      <c r="AG175" s="801">
        <f t="shared" si="74"/>
        <v>1</v>
      </c>
      <c r="AH175" s="172">
        <f t="shared" si="67"/>
        <v>7</v>
      </c>
      <c r="AI175" s="221">
        <f t="shared" si="68"/>
        <v>1.7392636955368075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45819</v>
      </c>
      <c r="B176" s="406">
        <f>'2024'!Wh/'2024'!Env_an*'2025'!Env_an</f>
        <v>227.16624880670381</v>
      </c>
      <c r="C176" s="385"/>
      <c r="D176" s="388">
        <f t="shared" si="50"/>
        <v>231.54601722097377</v>
      </c>
      <c r="E176" s="380">
        <f t="shared" si="75"/>
        <v>240.37162457012909</v>
      </c>
      <c r="F176" s="380">
        <f t="shared" si="51"/>
        <v>240.39671833646247</v>
      </c>
      <c r="G176" s="110">
        <f t="shared" si="76"/>
        <v>0.95395523149953965</v>
      </c>
      <c r="H176" s="409" t="b">
        <f>Wh_hp&gt;='2024'!Maxi_hp</f>
        <v>0</v>
      </c>
      <c r="I176" s="375">
        <f>IF(H176,Wh_hp,'2024'!Maxi_hp)</f>
        <v>240.39829308903109</v>
      </c>
      <c r="J176" s="85">
        <f>IF(H176,An,'2024'!An_max)</f>
        <v>2022</v>
      </c>
      <c r="K176" s="193">
        <f t="shared" si="52"/>
        <v>45819</v>
      </c>
      <c r="L176" s="143">
        <f>IF(t&lt;Tvie,1-EXP((T0-t)*PertePVj)+'2024'!Pspv,1-EXP((T0-t)*PertePVj)+Pspv)</f>
        <v>1.8915326062767801E-2</v>
      </c>
      <c r="M176" s="835"/>
      <c r="N176" s="835"/>
      <c r="O176" s="48">
        <f>IF(t&lt;Tnet,'2024'!Resal+('2024'!Salim-'2024'!Resal)*(1-EXP(('2024'!Tnet-t)/('2024'!Tau_j))),Resal+(Salim-Resal)*(1-EXP((Tnet-t)/(Tau_j))))*Salcycl</f>
        <v>3.6716510798388446E-2</v>
      </c>
      <c r="P176" s="165">
        <f>(INDEX(Models!$BJ176:$BT176,,T176)*(1-R176)+INDEX(Models!$BJ176:$BT176,,T176+1)*R176-ERP_i)*Q176*Ramure*Pc/MaxiM</f>
        <v>1.1173331410530998E-4</v>
      </c>
      <c r="Q176" s="301">
        <f t="shared" si="53"/>
        <v>0.5</v>
      </c>
      <c r="R176" s="173">
        <f t="shared" si="54"/>
        <v>0.74440881184781893</v>
      </c>
      <c r="S176" s="801">
        <f t="shared" si="55"/>
        <v>1</v>
      </c>
      <c r="T176" s="172">
        <f t="shared" si="56"/>
        <v>7</v>
      </c>
      <c r="U176" s="247">
        <f t="shared" si="57"/>
        <v>1.7444088118478189</v>
      </c>
      <c r="V176" s="378">
        <f t="shared" si="58"/>
        <v>238.12918237658886</v>
      </c>
      <c r="W176" s="397">
        <f t="shared" si="59"/>
        <v>227.16624880670381</v>
      </c>
      <c r="X176" s="153">
        <f t="shared" si="60"/>
        <v>45819</v>
      </c>
      <c r="Y176" s="380">
        <f t="shared" si="61"/>
        <v>221.2911584625918</v>
      </c>
      <c r="Z176" s="380">
        <f t="shared" si="62"/>
        <v>225.55765505388942</v>
      </c>
      <c r="AA176" s="381">
        <f t="shared" si="63"/>
        <v>240.37162457012909</v>
      </c>
      <c r="AB176" s="193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6.1629443752906979E-2</v>
      </c>
      <c r="AD176" s="227">
        <f>(INDEX(Models!$BJ176:$BT176,,AH176)*(1-AF176)+INDEX(Models!$BJ176:$BT176,,AH176+1)*AF176-ERP_i)*AE176*Ramure*Pc/MaxiM</f>
        <v>1.1173331410530998E-4</v>
      </c>
      <c r="AE176" s="301">
        <f t="shared" si="65"/>
        <v>0.5</v>
      </c>
      <c r="AF176" s="173">
        <f t="shared" si="66"/>
        <v>0.74440881184781893</v>
      </c>
      <c r="AG176" s="801">
        <f t="shared" si="74"/>
        <v>1</v>
      </c>
      <c r="AH176" s="172">
        <f t="shared" si="67"/>
        <v>7</v>
      </c>
      <c r="AI176" s="221">
        <f t="shared" si="68"/>
        <v>1.7444088118478189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45820</v>
      </c>
      <c r="B177" s="406">
        <f>'2024'!Wh/'2024'!Env_an*'2025'!Env_an</f>
        <v>179.34258170935522</v>
      </c>
      <c r="C177" s="385"/>
      <c r="D177" s="388">
        <f t="shared" si="50"/>
        <v>182.80281157849981</v>
      </c>
      <c r="E177" s="380">
        <f t="shared" si="75"/>
        <v>189.78460809245377</v>
      </c>
      <c r="F177" s="380">
        <f t="shared" si="51"/>
        <v>189.79803801848166</v>
      </c>
      <c r="G177" s="110">
        <f t="shared" si="76"/>
        <v>0.75313604896723796</v>
      </c>
      <c r="H177" s="409" t="b">
        <f>Wh_hp&gt;='2024'!Maxi_hp</f>
        <v>0</v>
      </c>
      <c r="I177" s="375">
        <f>IF(H177,Wh_hp,'2024'!Maxi_hp)</f>
        <v>189.8045422952159</v>
      </c>
      <c r="J177" s="85">
        <f>IF(H177,An,'2024'!An_max)</f>
        <v>2022</v>
      </c>
      <c r="K177" s="193">
        <f t="shared" si="52"/>
        <v>45820</v>
      </c>
      <c r="L177" s="143">
        <f>IF(t&lt;Tvie,1-EXP((T0-t)*PertePVj)+'2024'!Pspv,1-EXP((T0-t)*PertePVj)+Pspv)</f>
        <v>1.8928756288076554E-2</v>
      </c>
      <c r="M177" s="835"/>
      <c r="N177" s="835"/>
      <c r="O177" s="48">
        <f>IF(t&lt;Tnet,'2024'!Resal+('2024'!Salim-'2024'!Resal)*(1-EXP(('2024'!Tnet-t)/('2024'!Tau_j))),Resal+(Salim-Resal)*(1-EXP((Tnet-t)/(Tau_j))))*Salcycl</f>
        <v>3.6788001851829642E-2</v>
      </c>
      <c r="P177" s="165">
        <f>(INDEX(Models!$BJ177:$BT177,,T177)*(1-R177)+INDEX(Models!$BJ177:$BT177,,T177+1)*R177-ERP_i)*Q177*Ramure*Pc/MaxiM</f>
        <v>1.0930084157584829E-4</v>
      </c>
      <c r="Q177" s="301">
        <f t="shared" si="53"/>
        <v>0.5</v>
      </c>
      <c r="R177" s="173">
        <f t="shared" si="54"/>
        <v>0.74954958649212489</v>
      </c>
      <c r="S177" s="801">
        <f t="shared" si="55"/>
        <v>1</v>
      </c>
      <c r="T177" s="172">
        <f t="shared" si="56"/>
        <v>7</v>
      </c>
      <c r="U177" s="247">
        <f t="shared" si="57"/>
        <v>1.7495495864921249</v>
      </c>
      <c r="V177" s="378">
        <f t="shared" si="58"/>
        <v>238.11855677212344</v>
      </c>
      <c r="W177" s="397">
        <f t="shared" si="59"/>
        <v>179.34258170935522</v>
      </c>
      <c r="X177" s="153">
        <f t="shared" si="60"/>
        <v>45820</v>
      </c>
      <c r="Y177" s="380">
        <f t="shared" si="61"/>
        <v>174.7064598900123</v>
      </c>
      <c r="Z177" s="380">
        <f t="shared" si="62"/>
        <v>178.07724057735422</v>
      </c>
      <c r="AA177" s="381">
        <f t="shared" si="63"/>
        <v>189.78460809245377</v>
      </c>
      <c r="AB177" s="193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6.1687655457265955E-2</v>
      </c>
      <c r="AD177" s="227">
        <f>(INDEX(Models!$BJ177:$BT177,,AH177)*(1-AF177)+INDEX(Models!$BJ177:$BT177,,AH177+1)*AF177-ERP_i)*AE177*Ramure*Pc/MaxiM</f>
        <v>1.0930084157584829E-4</v>
      </c>
      <c r="AE177" s="301">
        <f t="shared" si="65"/>
        <v>0.5</v>
      </c>
      <c r="AF177" s="173">
        <f t="shared" si="66"/>
        <v>0.74954958649212489</v>
      </c>
      <c r="AG177" s="801">
        <f t="shared" si="74"/>
        <v>1</v>
      </c>
      <c r="AH177" s="172">
        <f t="shared" si="67"/>
        <v>7</v>
      </c>
      <c r="AI177" s="221">
        <f t="shared" si="68"/>
        <v>1.7495495864921249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45821</v>
      </c>
      <c r="B178" s="406">
        <f>'2024'!Wh/'2024'!Env_an*'2025'!Env_an</f>
        <v>220.5721711276218</v>
      </c>
      <c r="C178" s="385"/>
      <c r="D178" s="388">
        <f t="shared" si="50"/>
        <v>224.8309610851455</v>
      </c>
      <c r="E178" s="380">
        <f t="shared" si="75"/>
        <v>233.43514304385366</v>
      </c>
      <c r="F178" s="380">
        <f t="shared" si="51"/>
        <v>233.45746566440073</v>
      </c>
      <c r="G178" s="110">
        <f t="shared" si="76"/>
        <v>0.92639707910766356</v>
      </c>
      <c r="H178" s="409" t="b">
        <f>Wh_hp&gt;='2024'!Maxi_hp</f>
        <v>0</v>
      </c>
      <c r="I178" s="375">
        <f>IF(H178,Wh_hp,'2024'!Maxi_hp)</f>
        <v>233.45979077270493</v>
      </c>
      <c r="J178" s="85">
        <f>IF(H178,An,'2024'!An_max)</f>
        <v>2022</v>
      </c>
      <c r="K178" s="193">
        <f t="shared" si="52"/>
        <v>45821</v>
      </c>
      <c r="L178" s="143">
        <f>IF(t&lt;Tvie,1-EXP((T0-t)*PertePVj)+'2024'!Pspv,1-EXP((T0-t)*PertePVj)+Pspv)</f>
        <v>1.8942186329536925E-2</v>
      </c>
      <c r="M178" s="835"/>
      <c r="N178" s="835"/>
      <c r="O178" s="48">
        <f>IF(t&lt;Tnet,'2024'!Resal+('2024'!Salim-'2024'!Resal)*(1-EXP(('2024'!Tnet-t)/('2024'!Tau_j))),Resal+(Salim-Resal)*(1-EXP((Tnet-t)/(Tau_j))))*Salcycl</f>
        <v>3.6858982955671547E-2</v>
      </c>
      <c r="P178" s="165">
        <f>(INDEX(Models!$BJ178:$BT178,,T178)*(1-R178)+INDEX(Models!$BJ178:$BT178,,T178+1)*R178-ERP_i)*Q178*Ramure*Pc/MaxiM</f>
        <v>1.0685098018743623E-4</v>
      </c>
      <c r="Q178" s="301">
        <f t="shared" si="53"/>
        <v>0.5</v>
      </c>
      <c r="R178" s="173">
        <f t="shared" si="54"/>
        <v>0.75468169244539141</v>
      </c>
      <c r="S178" s="801">
        <f t="shared" si="55"/>
        <v>1</v>
      </c>
      <c r="T178" s="172">
        <f t="shared" si="56"/>
        <v>7</v>
      </c>
      <c r="U178" s="247">
        <f t="shared" si="57"/>
        <v>1.7546816924453914</v>
      </c>
      <c r="V178" s="378">
        <f t="shared" si="58"/>
        <v>238.09411544267334</v>
      </c>
      <c r="W178" s="397">
        <f t="shared" si="59"/>
        <v>220.5721711276218</v>
      </c>
      <c r="X178" s="153">
        <f t="shared" si="60"/>
        <v>45821</v>
      </c>
      <c r="Y178" s="380">
        <f t="shared" si="61"/>
        <v>214.87293792748491</v>
      </c>
      <c r="Z178" s="380">
        <f t="shared" si="62"/>
        <v>219.02168754313664</v>
      </c>
      <c r="AA178" s="381">
        <f t="shared" si="63"/>
        <v>233.43514304385366</v>
      </c>
      <c r="AB178" s="193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6.1745011110042117E-2</v>
      </c>
      <c r="AD178" s="227">
        <f>(INDEX(Models!$BJ178:$BT178,,AH178)*(1-AF178)+INDEX(Models!$BJ178:$BT178,,AH178+1)*AF178-ERP_i)*AE178*Ramure*Pc/MaxiM</f>
        <v>1.0685098018743623E-4</v>
      </c>
      <c r="AE178" s="301">
        <f t="shared" si="65"/>
        <v>0.5</v>
      </c>
      <c r="AF178" s="173">
        <f t="shared" si="66"/>
        <v>0.75468169244539141</v>
      </c>
      <c r="AG178" s="801">
        <f t="shared" si="74"/>
        <v>1</v>
      </c>
      <c r="AH178" s="172">
        <f t="shared" si="67"/>
        <v>7</v>
      </c>
      <c r="AI178" s="221">
        <f t="shared" si="68"/>
        <v>1.7546816924453914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45822</v>
      </c>
      <c r="B179" s="406">
        <f>'2024'!Wh/'2024'!Env_an*'2025'!Env_an</f>
        <v>199.14872183338892</v>
      </c>
      <c r="C179" s="385"/>
      <c r="D179" s="388">
        <f t="shared" si="50"/>
        <v>202.99664838750047</v>
      </c>
      <c r="E179" s="380">
        <f t="shared" si="75"/>
        <v>210.78065870800955</v>
      </c>
      <c r="F179" s="380">
        <f t="shared" si="51"/>
        <v>210.79755875796707</v>
      </c>
      <c r="G179" s="110">
        <f t="shared" si="76"/>
        <v>0.83654089340764104</v>
      </c>
      <c r="H179" s="409" t="b">
        <f>Wh_hp&gt;='2024'!Maxi_hp</f>
        <v>0</v>
      </c>
      <c r="I179" s="375">
        <f>IF(H179,Wh_hp,'2024'!Maxi_hp)</f>
        <v>210.80210938162338</v>
      </c>
      <c r="J179" s="85">
        <f>IF(H179,An,'2024'!An_max)</f>
        <v>2022</v>
      </c>
      <c r="K179" s="193">
        <f t="shared" si="52"/>
        <v>45822</v>
      </c>
      <c r="L179" s="143">
        <f>IF(t&lt;Tvie,1-EXP((T0-t)*PertePVj)+'2024'!Pspv,1-EXP((T0-t)*PertePVj)+Pspv)</f>
        <v>1.8955616187151247E-2</v>
      </c>
      <c r="M179" s="835"/>
      <c r="N179" s="835"/>
      <c r="O179" s="48">
        <f>IF(t&lt;Tnet,'2024'!Resal+('2024'!Salim-'2024'!Resal)*(1-EXP(('2024'!Tnet-t)/('2024'!Tau_j))),Resal+(Salim-Resal)*(1-EXP((Tnet-t)/(Tau_j))))*Salcycl</f>
        <v>3.6929433507901357E-2</v>
      </c>
      <c r="P179" s="165">
        <f>(INDEX(Models!$BJ179:$BT179,,T179)*(1-R179)+INDEX(Models!$BJ179:$BT179,,T179+1)*R179-ERP_i)*Q179*Ramure*Pc/MaxiM</f>
        <v>1.0459263060758311E-4</v>
      </c>
      <c r="Q179" s="301">
        <f t="shared" si="53"/>
        <v>0.5</v>
      </c>
      <c r="R179" s="173">
        <f t="shared" si="54"/>
        <v>0.75980083186321723</v>
      </c>
      <c r="S179" s="801">
        <f t="shared" si="55"/>
        <v>1</v>
      </c>
      <c r="T179" s="172">
        <f t="shared" si="56"/>
        <v>7</v>
      </c>
      <c r="U179" s="247">
        <f t="shared" si="57"/>
        <v>1.7598008318632172</v>
      </c>
      <c r="V179" s="378">
        <f t="shared" si="58"/>
        <v>238.05633372399382</v>
      </c>
      <c r="W179" s="397">
        <f t="shared" si="59"/>
        <v>199.14872183338892</v>
      </c>
      <c r="X179" s="153">
        <f t="shared" si="60"/>
        <v>45822</v>
      </c>
      <c r="Y179" s="380">
        <f t="shared" si="61"/>
        <v>194.0055514284773</v>
      </c>
      <c r="Z179" s="380">
        <f t="shared" si="62"/>
        <v>197.75410229093899</v>
      </c>
      <c r="AA179" s="381">
        <f t="shared" si="63"/>
        <v>210.78065870800955</v>
      </c>
      <c r="AB179" s="193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6.1801478830730831E-2</v>
      </c>
      <c r="AD179" s="227">
        <f>(INDEX(Models!$BJ179:$BT179,,AH179)*(1-AF179)+INDEX(Models!$BJ179:$BT179,,AH179+1)*AF179-ERP_i)*AE179*Ramure*Pc/MaxiM</f>
        <v>1.0459263060758311E-4</v>
      </c>
      <c r="AE179" s="301">
        <f t="shared" si="65"/>
        <v>0.5</v>
      </c>
      <c r="AF179" s="173">
        <f t="shared" si="66"/>
        <v>0.75980083186321723</v>
      </c>
      <c r="AG179" s="801">
        <f t="shared" si="74"/>
        <v>1</v>
      </c>
      <c r="AH179" s="172">
        <f t="shared" si="67"/>
        <v>7</v>
      </c>
      <c r="AI179" s="221">
        <f t="shared" si="68"/>
        <v>1.7598008318632172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45823</v>
      </c>
      <c r="B180" s="406">
        <f>'2024'!Wh/'2024'!Env_an*'2025'!Env_an</f>
        <v>223.55333915032708</v>
      </c>
      <c r="C180" s="385"/>
      <c r="D180" s="388">
        <f t="shared" si="50"/>
        <v>227.87592808068987</v>
      </c>
      <c r="E180" s="380">
        <f t="shared" si="75"/>
        <v>236.63112210058287</v>
      </c>
      <c r="F180" s="380">
        <f t="shared" si="51"/>
        <v>236.65328174242001</v>
      </c>
      <c r="G180" s="110">
        <f t="shared" si="76"/>
        <v>0.93926875727456061</v>
      </c>
      <c r="H180" s="409" t="b">
        <f>Wh_hp&gt;='2024'!Maxi_hp</f>
        <v>0</v>
      </c>
      <c r="I180" s="375">
        <f>IF(H180,Wh_hp,'2024'!Maxi_hp)</f>
        <v>236.65513691987971</v>
      </c>
      <c r="J180" s="85">
        <f>IF(H180,An,'2024'!An_max)</f>
        <v>2022</v>
      </c>
      <c r="K180" s="193">
        <f t="shared" si="52"/>
        <v>45823</v>
      </c>
      <c r="L180" s="143">
        <f>IF(t&lt;Tvie,1-EXP((T0-t)*PertePVj)+'2024'!Pspv,1-EXP((T0-t)*PertePVj)+Pspv)</f>
        <v>1.8969045860922074E-2</v>
      </c>
      <c r="M180" s="835"/>
      <c r="N180" s="835"/>
      <c r="O180" s="48">
        <f>IF(t&lt;Tnet,'2024'!Resal+('2024'!Salim-'2024'!Resal)*(1-EXP(('2024'!Tnet-t)/('2024'!Tau_j))),Resal+(Salim-Resal)*(1-EXP((Tnet-t)/(Tau_j))))*Salcycl</f>
        <v>3.699933441625447E-2</v>
      </c>
      <c r="P180" s="165">
        <f>(INDEX(Models!$BJ180:$BT180,,T180)*(1-R180)+INDEX(Models!$BJ180:$BT180,,T180+1)*R180-ERP_i)*Q180*Ramure*Pc/MaxiM</f>
        <v>1.025319198729322E-4</v>
      </c>
      <c r="Q180" s="301">
        <f t="shared" si="53"/>
        <v>0.5</v>
      </c>
      <c r="R180" s="173">
        <f t="shared" si="54"/>
        <v>0.76490275041035738</v>
      </c>
      <c r="S180" s="801">
        <f t="shared" si="55"/>
        <v>1</v>
      </c>
      <c r="T180" s="172">
        <f t="shared" si="56"/>
        <v>7</v>
      </c>
      <c r="U180" s="247">
        <f t="shared" si="57"/>
        <v>1.7649027504103574</v>
      </c>
      <c r="V180" s="378">
        <f t="shared" si="58"/>
        <v>238.00573464679476</v>
      </c>
      <c r="W180" s="397">
        <f t="shared" si="59"/>
        <v>223.55333915032708</v>
      </c>
      <c r="X180" s="153">
        <f t="shared" si="60"/>
        <v>45823</v>
      </c>
      <c r="Y180" s="380">
        <f t="shared" si="61"/>
        <v>217.78281280358942</v>
      </c>
      <c r="Z180" s="380">
        <f t="shared" si="62"/>
        <v>221.99382382863627</v>
      </c>
      <c r="AA180" s="381">
        <f t="shared" si="63"/>
        <v>236.63112210058287</v>
      </c>
      <c r="AB180" s="193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6.185702937978229E-2</v>
      </c>
      <c r="AD180" s="227">
        <f>(INDEX(Models!$BJ180:$BT180,,AH180)*(1-AF180)+INDEX(Models!$BJ180:$BT180,,AH180+1)*AF180-ERP_i)*AE180*Ramure*Pc/MaxiM</f>
        <v>1.025319198729322E-4</v>
      </c>
      <c r="AE180" s="301">
        <f t="shared" si="65"/>
        <v>0.5</v>
      </c>
      <c r="AF180" s="173">
        <f t="shared" si="66"/>
        <v>0.76490275041035738</v>
      </c>
      <c r="AG180" s="801">
        <f t="shared" si="74"/>
        <v>1</v>
      </c>
      <c r="AH180" s="172">
        <f t="shared" si="67"/>
        <v>7</v>
      </c>
      <c r="AI180" s="221">
        <f t="shared" si="68"/>
        <v>1.7649027504103574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45824</v>
      </c>
      <c r="B181" s="406">
        <f>'2024'!Wh/'2024'!Env_an*'2025'!Env_an</f>
        <v>211.04676981458312</v>
      </c>
      <c r="C181" s="385"/>
      <c r="D181" s="388">
        <f t="shared" si="50"/>
        <v>215.13047882611687</v>
      </c>
      <c r="E181" s="380">
        <f t="shared" si="75"/>
        <v>223.41206658711755</v>
      </c>
      <c r="F181" s="380">
        <f t="shared" si="51"/>
        <v>223.43092818991823</v>
      </c>
      <c r="G181" s="110">
        <f t="shared" si="76"/>
        <v>0.88694973116325437</v>
      </c>
      <c r="H181" s="409" t="b">
        <f>Wh_hp&gt;='2024'!Maxi_hp</f>
        <v>0</v>
      </c>
      <c r="I181" s="375">
        <f>IF(H181,Wh_hp,'2024'!Maxi_hp)</f>
        <v>223.43412002799909</v>
      </c>
      <c r="J181" s="85">
        <f>IF(H181,An,'2024'!An_max)</f>
        <v>2022</v>
      </c>
      <c r="K181" s="193">
        <f t="shared" si="52"/>
        <v>45824</v>
      </c>
      <c r="L181" s="143">
        <f>IF(t&lt;Tvie,1-EXP((T0-t)*PertePVj)+'2024'!Pspv,1-EXP((T0-t)*PertePVj)+Pspv)</f>
        <v>1.8982475350851957E-2</v>
      </c>
      <c r="M181" s="835"/>
      <c r="N181" s="835"/>
      <c r="O181" s="48">
        <f>IF(t&lt;Tnet,'2024'!Resal+('2024'!Salim-'2024'!Resal)*(1-EXP(('2024'!Tnet-t)/('2024'!Tau_j))),Resal+(Salim-Resal)*(1-EXP((Tnet-t)/(Tau_j))))*Salcycl</f>
        <v>3.7068668167801744E-2</v>
      </c>
      <c r="P181" s="165">
        <f>(INDEX(Models!$BJ181:$BT181,,T181)*(1-R181)+INDEX(Models!$BJ181:$BT181,,T181+1)*R181-ERP_i)*Q181*Ramure*Pc/MaxiM</f>
        <v>1.0067502991830226E-4</v>
      </c>
      <c r="Q181" s="301">
        <f t="shared" si="53"/>
        <v>0.5</v>
      </c>
      <c r="R181" s="173">
        <f t="shared" si="54"/>
        <v>0.76998325128062928</v>
      </c>
      <c r="S181" s="801">
        <f t="shared" si="55"/>
        <v>1</v>
      </c>
      <c r="T181" s="172">
        <f t="shared" si="56"/>
        <v>7</v>
      </c>
      <c r="U181" s="247">
        <f t="shared" si="57"/>
        <v>1.7699832512806293</v>
      </c>
      <c r="V181" s="378">
        <f t="shared" si="58"/>
        <v>237.94284064396081</v>
      </c>
      <c r="W181" s="397">
        <f t="shared" si="59"/>
        <v>211.04676981458312</v>
      </c>
      <c r="X181" s="153">
        <f t="shared" si="60"/>
        <v>45824</v>
      </c>
      <c r="Y181" s="380">
        <f t="shared" si="61"/>
        <v>205.60190786503392</v>
      </c>
      <c r="Z181" s="380">
        <f t="shared" si="62"/>
        <v>209.58025998420933</v>
      </c>
      <c r="AA181" s="381">
        <f t="shared" si="63"/>
        <v>223.41206658711755</v>
      </c>
      <c r="AB181" s="193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6.1911636261216048E-2</v>
      </c>
      <c r="AD181" s="227">
        <f>(INDEX(Models!$BJ181:$BT181,,AH181)*(1-AF181)+INDEX(Models!$BJ181:$BT181,,AH181+1)*AF181-ERP_i)*AE181*Ramure*Pc/MaxiM</f>
        <v>1.0067502991830226E-4</v>
      </c>
      <c r="AE181" s="301">
        <f t="shared" si="65"/>
        <v>0.5</v>
      </c>
      <c r="AF181" s="173">
        <f t="shared" si="66"/>
        <v>0.76998325128062928</v>
      </c>
      <c r="AG181" s="801">
        <f t="shared" si="74"/>
        <v>1</v>
      </c>
      <c r="AH181" s="172">
        <f t="shared" si="67"/>
        <v>7</v>
      </c>
      <c r="AI181" s="221">
        <f t="shared" si="68"/>
        <v>1.7699832512806293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45825</v>
      </c>
      <c r="B182" s="406">
        <f>'2024'!Wh/'2024'!Env_an*'2025'!Env_an</f>
        <v>217.63133873249333</v>
      </c>
      <c r="C182" s="385"/>
      <c r="D182" s="388">
        <f t="shared" si="50"/>
        <v>221.84549459641937</v>
      </c>
      <c r="E182" s="380">
        <f t="shared" si="75"/>
        <v>230.40203134771946</v>
      </c>
      <c r="F182" s="380">
        <f t="shared" si="51"/>
        <v>230.42207636231043</v>
      </c>
      <c r="G182" s="110">
        <f t="shared" si="76"/>
        <v>0.91491314687506875</v>
      </c>
      <c r="H182" s="409" t="b">
        <f>Wh_hp&gt;='2024'!Maxi_hp</f>
        <v>0</v>
      </c>
      <c r="I182" s="375">
        <f>IF(H182,Wh_hp,'2024'!Maxi_hp)</f>
        <v>230.42450598250218</v>
      </c>
      <c r="J182" s="85">
        <f>IF(H182,An,'2024'!An_max)</f>
        <v>2022</v>
      </c>
      <c r="K182" s="193">
        <f t="shared" si="52"/>
        <v>45825</v>
      </c>
      <c r="L182" s="143">
        <f>IF(t&lt;Tvie,1-EXP((T0-t)*PertePVj)+'2024'!Pspv,1-EXP((T0-t)*PertePVj)+Pspv)</f>
        <v>1.8995904656943452E-2</v>
      </c>
      <c r="M182" s="835"/>
      <c r="N182" s="835"/>
      <c r="O182" s="48">
        <f>IF(t&lt;Tnet,'2024'!Resal+('2024'!Salim-'2024'!Resal)*(1-EXP(('2024'!Tnet-t)/('2024'!Tau_j))),Resal+(Salim-Resal)*(1-EXP((Tnet-t)/(Tau_j))))*Salcycl</f>
        <v>3.7137418890142895E-2</v>
      </c>
      <c r="P182" s="165">
        <f>(INDEX(Models!$BJ182:$BT182,,T182)*(1-R182)+INDEX(Models!$BJ182:$BT182,,T182+1)*R182-ERP_i)*Q182*Ramure*Pc/MaxiM</f>
        <v>9.9028174839057756E-5</v>
      </c>
      <c r="Q182" s="301">
        <f t="shared" si="53"/>
        <v>0.5</v>
      </c>
      <c r="R182" s="173">
        <f t="shared" si="54"/>
        <v>0.77503820881028895</v>
      </c>
      <c r="S182" s="801">
        <f t="shared" si="55"/>
        <v>1</v>
      </c>
      <c r="T182" s="172">
        <f t="shared" si="56"/>
        <v>7</v>
      </c>
      <c r="U182" s="247">
        <f t="shared" si="57"/>
        <v>1.775038208810289</v>
      </c>
      <c r="V182" s="378">
        <f t="shared" si="58"/>
        <v>237.86817352968595</v>
      </c>
      <c r="W182" s="397">
        <f t="shared" si="59"/>
        <v>217.63133873249333</v>
      </c>
      <c r="X182" s="153">
        <f t="shared" si="60"/>
        <v>45825</v>
      </c>
      <c r="Y182" s="380">
        <f t="shared" si="61"/>
        <v>212.01961402173455</v>
      </c>
      <c r="Z182" s="380">
        <f t="shared" si="62"/>
        <v>216.12510592791298</v>
      </c>
      <c r="AA182" s="381">
        <f t="shared" si="63"/>
        <v>230.40203134771946</v>
      </c>
      <c r="AB182" s="193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6.1965275810697773E-2</v>
      </c>
      <c r="AD182" s="227">
        <f>(INDEX(Models!$BJ182:$BT182,,AH182)*(1-AF182)+INDEX(Models!$BJ182:$BT182,,AH182+1)*AF182-ERP_i)*AE182*Ramure*Pc/MaxiM</f>
        <v>9.9028174839057756E-5</v>
      </c>
      <c r="AE182" s="301">
        <f t="shared" si="65"/>
        <v>0.5</v>
      </c>
      <c r="AF182" s="173">
        <f t="shared" si="66"/>
        <v>0.77503820881028895</v>
      </c>
      <c r="AG182" s="801">
        <f t="shared" si="74"/>
        <v>1</v>
      </c>
      <c r="AH182" s="172">
        <f t="shared" si="67"/>
        <v>7</v>
      </c>
      <c r="AI182" s="221">
        <f t="shared" si="68"/>
        <v>1.775038208810289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45826</v>
      </c>
      <c r="B183" s="406">
        <f>'2024'!Wh/'2024'!Env_an*'2025'!Env_an</f>
        <v>224.36887191004755</v>
      </c>
      <c r="C183" s="385"/>
      <c r="D183" s="388">
        <f t="shared" si="50"/>
        <v>228.7166225285437</v>
      </c>
      <c r="E183" s="380">
        <f t="shared" si="75"/>
        <v>237.55499198262277</v>
      </c>
      <c r="F183" s="380">
        <f t="shared" si="51"/>
        <v>237.57631031264023</v>
      </c>
      <c r="G183" s="110">
        <f t="shared" si="76"/>
        <v>0.9435822179448915</v>
      </c>
      <c r="H183" s="409" t="b">
        <f>Wh_hp&gt;='2024'!Maxi_hp</f>
        <v>0</v>
      </c>
      <c r="I183" s="375">
        <f>IF(H183,Wh_hp,'2024'!Maxi_hp)</f>
        <v>237.57794236873499</v>
      </c>
      <c r="J183" s="85">
        <f>IF(H183,An,'2024'!An_max)</f>
        <v>2022</v>
      </c>
      <c r="K183" s="193">
        <f t="shared" si="52"/>
        <v>45826</v>
      </c>
      <c r="L183" s="143">
        <f>IF(t&lt;Tvie,1-EXP((T0-t)*PertePVj)+'2024'!Pspv,1-EXP((T0-t)*PertePVj)+Pspv)</f>
        <v>1.9009333779199E-2</v>
      </c>
      <c r="M183" s="835"/>
      <c r="N183" s="835"/>
      <c r="O183" s="48">
        <f>IF(t&lt;Tnet,'2024'!Resal+('2024'!Salim-'2024'!Resal)*(1-EXP(('2024'!Tnet-t)/('2024'!Tau_j))),Resal+(Salim-Resal)*(1-EXP((Tnet-t)/(Tau_j))))*Salcycl</f>
        <v>3.7205572403738896E-2</v>
      </c>
      <c r="P183" s="165">
        <f>(INDEX(Models!$BJ183:$BT183,,T183)*(1-R183)+INDEX(Models!$BJ183:$BT183,,T183+1)*R183-ERP_i)*Q183*Ramure*Pc/MaxiM</f>
        <v>9.7597578674240356E-5</v>
      </c>
      <c r="Q183" s="301">
        <f t="shared" si="53"/>
        <v>0.5</v>
      </c>
      <c r="R183" s="173">
        <f t="shared" si="54"/>
        <v>0.78006358159256095</v>
      </c>
      <c r="S183" s="801">
        <f t="shared" si="55"/>
        <v>1</v>
      </c>
      <c r="T183" s="172">
        <f t="shared" si="56"/>
        <v>7</v>
      </c>
      <c r="U183" s="247">
        <f t="shared" si="57"/>
        <v>1.780063581592561</v>
      </c>
      <c r="V183" s="378">
        <f t="shared" si="58"/>
        <v>237.78225449660533</v>
      </c>
      <c r="W183" s="397">
        <f t="shared" si="59"/>
        <v>224.36887191004755</v>
      </c>
      <c r="X183" s="153">
        <f t="shared" si="60"/>
        <v>45826</v>
      </c>
      <c r="Y183" s="380">
        <f t="shared" si="61"/>
        <v>218.58661984164328</v>
      </c>
      <c r="Z183" s="380">
        <f t="shared" si="62"/>
        <v>222.82232376759831</v>
      </c>
      <c r="AA183" s="381">
        <f t="shared" si="63"/>
        <v>237.55499198262277</v>
      </c>
      <c r="AB183" s="193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6.2017927268403369E-2</v>
      </c>
      <c r="AD183" s="227">
        <f>(INDEX(Models!$BJ183:$BT183,,AH183)*(1-AF183)+INDEX(Models!$BJ183:$BT183,,AH183+1)*AF183-ERP_i)*AE183*Ramure*Pc/MaxiM</f>
        <v>9.7597578674240356E-5</v>
      </c>
      <c r="AE183" s="301">
        <f t="shared" si="65"/>
        <v>0.5</v>
      </c>
      <c r="AF183" s="173">
        <f t="shared" si="66"/>
        <v>0.78006358159256095</v>
      </c>
      <c r="AG183" s="801">
        <f t="shared" si="74"/>
        <v>1</v>
      </c>
      <c r="AH183" s="172">
        <f t="shared" si="67"/>
        <v>7</v>
      </c>
      <c r="AI183" s="221">
        <f t="shared" si="68"/>
        <v>1.780063581592561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45827</v>
      </c>
      <c r="B184" s="406">
        <f>'2024'!Wh/'2024'!Env_an*'2025'!Env_an</f>
        <v>228.63104283976892</v>
      </c>
      <c r="C184" s="385"/>
      <c r="D184" s="388">
        <f t="shared" si="50"/>
        <v>233.0645749468664</v>
      </c>
      <c r="E184" s="380">
        <f t="shared" si="75"/>
        <v>242.08794714723589</v>
      </c>
      <c r="F184" s="380">
        <f t="shared" si="51"/>
        <v>242.1100694090749</v>
      </c>
      <c r="G184" s="110">
        <f t="shared" si="76"/>
        <v>0.96190047615510788</v>
      </c>
      <c r="H184" s="409" t="b">
        <f>Wh_hp&gt;='2024'!Maxi_hp</f>
        <v>0</v>
      </c>
      <c r="I184" s="375">
        <f>IF(H184,Wh_hp,'2024'!Maxi_hp)</f>
        <v>242.11117824883087</v>
      </c>
      <c r="J184" s="85">
        <f>IF(H184,An,'2024'!An_max)</f>
        <v>2022</v>
      </c>
      <c r="K184" s="193">
        <f t="shared" si="52"/>
        <v>45827</v>
      </c>
      <c r="L184" s="143">
        <f>IF(t&lt;Tvie,1-EXP((T0-t)*PertePVj)+'2024'!Pspv,1-EXP((T0-t)*PertePVj)+Pspv)</f>
        <v>1.9022762717621156E-2</v>
      </c>
      <c r="M184" s="835"/>
      <c r="N184" s="835"/>
      <c r="O184" s="48">
        <f>IF(t&lt;Tnet,'2024'!Resal+('2024'!Salim-'2024'!Resal)*(1-EXP(('2024'!Tnet-t)/('2024'!Tau_j))),Resal+(Salim-Resal)*(1-EXP((Tnet-t)/(Tau_j))))*Salcycl</f>
        <v>3.7273116264981025E-2</v>
      </c>
      <c r="P184" s="165">
        <f>(INDEX(Models!$BJ184:$BT184,,T184)*(1-R184)+INDEX(Models!$BJ184:$BT184,,T184+1)*R184-ERP_i)*Q184*Ramure*Pc/MaxiM</f>
        <v>9.6631496047109737E-5</v>
      </c>
      <c r="Q184" s="301">
        <f t="shared" si="53"/>
        <v>0.5</v>
      </c>
      <c r="R184" s="173">
        <f t="shared" si="54"/>
        <v>0.78505542500697345</v>
      </c>
      <c r="S184" s="801">
        <f t="shared" si="55"/>
        <v>1</v>
      </c>
      <c r="T184" s="172">
        <f t="shared" si="56"/>
        <v>7</v>
      </c>
      <c r="U184" s="247">
        <f t="shared" si="57"/>
        <v>1.7850554250069735</v>
      </c>
      <c r="V184" s="378">
        <f t="shared" si="58"/>
        <v>237.68554656530901</v>
      </c>
      <c r="W184" s="397">
        <f t="shared" si="59"/>
        <v>228.63104283976892</v>
      </c>
      <c r="X184" s="153">
        <f t="shared" si="60"/>
        <v>45827</v>
      </c>
      <c r="Y184" s="380">
        <f t="shared" si="61"/>
        <v>222.7423117568753</v>
      </c>
      <c r="Z184" s="380">
        <f t="shared" si="62"/>
        <v>227.06165167903674</v>
      </c>
      <c r="AA184" s="381">
        <f t="shared" si="63"/>
        <v>242.08794714723589</v>
      </c>
      <c r="AB184" s="193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6.2069572836107721E-2</v>
      </c>
      <c r="AD184" s="227">
        <f>(INDEX(Models!$BJ184:$BT184,,AH184)*(1-AF184)+INDEX(Models!$BJ184:$BT184,,AH184+1)*AF184-ERP_i)*AE184*Ramure*Pc/MaxiM</f>
        <v>9.6631496047109737E-5</v>
      </c>
      <c r="AE184" s="301">
        <f t="shared" si="65"/>
        <v>0.5</v>
      </c>
      <c r="AF184" s="173">
        <f t="shared" si="66"/>
        <v>0.78505542500697345</v>
      </c>
      <c r="AG184" s="801">
        <f t="shared" si="74"/>
        <v>1</v>
      </c>
      <c r="AH184" s="172">
        <f t="shared" si="67"/>
        <v>7</v>
      </c>
      <c r="AI184" s="221">
        <f t="shared" si="68"/>
        <v>1.7850554250069735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45828</v>
      </c>
      <c r="B185" s="406">
        <f>'2024'!Wh/'2024'!Env_an*'2025'!Env_an</f>
        <v>123.12521413888115</v>
      </c>
      <c r="C185" s="385"/>
      <c r="D185" s="388">
        <f t="shared" si="50"/>
        <v>125.51453281815279</v>
      </c>
      <c r="E185" s="380">
        <f t="shared" si="75"/>
        <v>130.38304074891849</v>
      </c>
      <c r="F185" s="380">
        <f t="shared" si="51"/>
        <v>130.38694816869889</v>
      </c>
      <c r="G185" s="110">
        <f t="shared" si="76"/>
        <v>0.51821621387687644</v>
      </c>
      <c r="H185" s="409" t="b">
        <f>Wh_hp&gt;='2024'!Maxi_hp</f>
        <v>0</v>
      </c>
      <c r="I185" s="375">
        <f>IF(H185,Wh_hp,'2024'!Maxi_hp)</f>
        <v>130.39443966361594</v>
      </c>
      <c r="J185" s="85">
        <f>IF(H185,An,'2024'!An_max)</f>
        <v>2022</v>
      </c>
      <c r="K185" s="193">
        <f t="shared" si="52"/>
        <v>45828</v>
      </c>
      <c r="L185" s="143">
        <f>IF(t&lt;Tvie,1-EXP((T0-t)*PertePVj)+'2024'!Pspv,1-EXP((T0-t)*PertePVj)+Pspv)</f>
        <v>1.903619147221236E-2</v>
      </c>
      <c r="M185" s="835"/>
      <c r="N185" s="835"/>
      <c r="O185" s="48">
        <f>IF(t&lt;Tnet,'2024'!Resal+('2024'!Salim-'2024'!Resal)*(1-EXP(('2024'!Tnet-t)/('2024'!Tau_j))),Resal+(Salim-Resal)*(1-EXP((Tnet-t)/(Tau_j))))*Salcycl</f>
        <v>3.7340039799663022E-2</v>
      </c>
      <c r="P185" s="165">
        <f>(INDEX(Models!$BJ185:$BT185,,T185)*(1-R185)+INDEX(Models!$BJ185:$BT185,,T185+1)*R185-ERP_i)*Q185*Ramure*Pc/MaxiM</f>
        <v>9.6116677476173549E-5</v>
      </c>
      <c r="Q185" s="301">
        <f t="shared" si="53"/>
        <v>0.5</v>
      </c>
      <c r="R185" s="173">
        <f t="shared" si="54"/>
        <v>0.79000990308405572</v>
      </c>
      <c r="S185" s="801">
        <f t="shared" si="55"/>
        <v>1</v>
      </c>
      <c r="T185" s="172">
        <f t="shared" si="56"/>
        <v>7</v>
      </c>
      <c r="U185" s="247">
        <f t="shared" si="57"/>
        <v>1.7900099030840557</v>
      </c>
      <c r="V185" s="378">
        <f t="shared" si="58"/>
        <v>237.57857437203742</v>
      </c>
      <c r="W185" s="397">
        <f t="shared" si="59"/>
        <v>123.12521413888115</v>
      </c>
      <c r="X185" s="153">
        <f t="shared" si="60"/>
        <v>45828</v>
      </c>
      <c r="Y185" s="380">
        <f t="shared" si="61"/>
        <v>119.95580606517031</v>
      </c>
      <c r="Z185" s="380">
        <f t="shared" si="62"/>
        <v>122.28362047851466</v>
      </c>
      <c r="AA185" s="381">
        <f t="shared" si="63"/>
        <v>130.38304074891849</v>
      </c>
      <c r="AB185" s="193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6.2120197718053341E-2</v>
      </c>
      <c r="AD185" s="227">
        <f>(INDEX(Models!$BJ185:$BT185,,AH185)*(1-AF185)+INDEX(Models!$BJ185:$BT185,,AH185+1)*AF185-ERP_i)*AE185*Ramure*Pc/MaxiM</f>
        <v>9.6116677476173549E-5</v>
      </c>
      <c r="AE185" s="301">
        <f t="shared" si="65"/>
        <v>0.5</v>
      </c>
      <c r="AF185" s="173">
        <f t="shared" si="66"/>
        <v>0.79000990308405572</v>
      </c>
      <c r="AG185" s="801">
        <f t="shared" si="74"/>
        <v>1</v>
      </c>
      <c r="AH185" s="172">
        <f t="shared" si="67"/>
        <v>7</v>
      </c>
      <c r="AI185" s="221">
        <f t="shared" si="68"/>
        <v>1.7900099030840557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45829</v>
      </c>
      <c r="B186" s="406">
        <f>'2024'!Wh/'2024'!Env_an*'2025'!Env_an</f>
        <v>87.818150746465491</v>
      </c>
      <c r="C186" s="385"/>
      <c r="D186" s="388">
        <f t="shared" si="50"/>
        <v>89.523540171637208</v>
      </c>
      <c r="E186" s="380">
        <f t="shared" si="75"/>
        <v>93.002419759752385</v>
      </c>
      <c r="F186" s="380">
        <f t="shared" si="51"/>
        <v>93.003310898453762</v>
      </c>
      <c r="G186" s="110">
        <f t="shared" si="76"/>
        <v>0.36978804671975207</v>
      </c>
      <c r="H186" s="409" t="b">
        <f>Wh_hp&gt;='2024'!Maxi_hp</f>
        <v>0</v>
      </c>
      <c r="I186" s="375">
        <f>IF(H186,Wh_hp,'2024'!Maxi_hp)</f>
        <v>93.010280369136851</v>
      </c>
      <c r="J186" s="85">
        <f>IF(H186,An,'2024'!An_max)</f>
        <v>2022</v>
      </c>
      <c r="K186" s="193">
        <f t="shared" si="52"/>
        <v>45829</v>
      </c>
      <c r="L186" s="143">
        <f>IF(t&lt;Tvie,1-EXP((T0-t)*PertePVj)+'2024'!Pspv,1-EXP((T0-t)*PertePVj)+Pspv)</f>
        <v>1.9049620042975168E-2</v>
      </c>
      <c r="M186" s="835"/>
      <c r="N186" s="835"/>
      <c r="O186" s="48">
        <f>IF(t&lt;Tnet,'2024'!Resal+('2024'!Salim-'2024'!Resal)*(1-EXP(('2024'!Tnet-t)/('2024'!Tau_j))),Resal+(Salim-Resal)*(1-EXP((Tnet-t)/(Tau_j))))*Salcycl</f>
        <v>3.7406334126595421E-2</v>
      </c>
      <c r="P186" s="165">
        <f>(INDEX(Models!$BJ186:$BT186,,T186)*(1-R186)+INDEX(Models!$BJ186:$BT186,,T186+1)*R186-ERP_i)*Q186*Ramure*Pc/MaxiM</f>
        <v>9.6064937164541005E-5</v>
      </c>
      <c r="Q186" s="301">
        <f t="shared" si="53"/>
        <v>0.5</v>
      </c>
      <c r="R186" s="173">
        <f t="shared" si="54"/>
        <v>0.79492329963368258</v>
      </c>
      <c r="S186" s="801">
        <f t="shared" si="55"/>
        <v>1</v>
      </c>
      <c r="T186" s="172">
        <f t="shared" si="56"/>
        <v>7</v>
      </c>
      <c r="U186" s="247">
        <f t="shared" si="57"/>
        <v>1.7949232996336826</v>
      </c>
      <c r="V186" s="378">
        <f t="shared" si="58"/>
        <v>237.46185595519077</v>
      </c>
      <c r="W186" s="397">
        <f t="shared" si="59"/>
        <v>87.818150746465491</v>
      </c>
      <c r="X186" s="153">
        <f t="shared" si="60"/>
        <v>45829</v>
      </c>
      <c r="Y186" s="380">
        <f t="shared" si="61"/>
        <v>85.55896185841172</v>
      </c>
      <c r="Z186" s="380">
        <f t="shared" si="62"/>
        <v>87.220478840285509</v>
      </c>
      <c r="AA186" s="381">
        <f t="shared" si="63"/>
        <v>93.002419759752385</v>
      </c>
      <c r="AB186" s="193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6.2169790145278125E-2</v>
      </c>
      <c r="AD186" s="227">
        <f>(INDEX(Models!$BJ186:$BT186,,AH186)*(1-AF186)+INDEX(Models!$BJ186:$BT186,,AH186+1)*AF186-ERP_i)*AE186*Ramure*Pc/MaxiM</f>
        <v>9.6064937164541005E-5</v>
      </c>
      <c r="AE186" s="301">
        <f t="shared" si="65"/>
        <v>0.5</v>
      </c>
      <c r="AF186" s="173">
        <f t="shared" si="66"/>
        <v>0.79492329963368258</v>
      </c>
      <c r="AG186" s="801">
        <f t="shared" si="74"/>
        <v>1</v>
      </c>
      <c r="AH186" s="172">
        <f t="shared" si="67"/>
        <v>7</v>
      </c>
      <c r="AI186" s="221">
        <f t="shared" si="68"/>
        <v>1.7949232996336826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45830</v>
      </c>
      <c r="B187" s="406">
        <f>'2024'!Wh/'2024'!Env_an*'2025'!Env_an</f>
        <v>173.58865507969412</v>
      </c>
      <c r="C187" s="385"/>
      <c r="D187" s="388">
        <f t="shared" si="50"/>
        <v>176.96209200993815</v>
      </c>
      <c r="E187" s="380">
        <f t="shared" si="75"/>
        <v>183.8513690724823</v>
      </c>
      <c r="F187" s="380">
        <f t="shared" si="51"/>
        <v>183.86230240408662</v>
      </c>
      <c r="G187" s="110">
        <f t="shared" si="76"/>
        <v>0.73137785512182196</v>
      </c>
      <c r="H187" s="409" t="b">
        <f>Wh_hp&gt;='2024'!Maxi_hp</f>
        <v>0</v>
      </c>
      <c r="I187" s="375">
        <f>IF(H187,Wh_hp,'2024'!Maxi_hp)</f>
        <v>183.86818847597502</v>
      </c>
      <c r="J187" s="85">
        <f>IF(H187,An,'2024'!An_max)</f>
        <v>2022</v>
      </c>
      <c r="K187" s="193">
        <f t="shared" si="52"/>
        <v>45830</v>
      </c>
      <c r="L187" s="143">
        <f>IF(t&lt;Tvie,1-EXP((T0-t)*PertePVj)+'2024'!Pspv,1-EXP((T0-t)*PertePVj)+Pspv)</f>
        <v>1.9063048429912244E-2</v>
      </c>
      <c r="M187" s="835"/>
      <c r="N187" s="835"/>
      <c r="O187" s="48">
        <f>IF(t&lt;Tnet,'2024'!Resal+('2024'!Salim-'2024'!Resal)*(1-EXP(('2024'!Tnet-t)/('2024'!Tau_j))),Resal+(Salim-Resal)*(1-EXP((Tnet-t)/(Tau_j))))*Salcycl</f>
        <v>3.7471992171176596E-2</v>
      </c>
      <c r="P187" s="165">
        <f>(INDEX(Models!$BJ187:$BT187,,T187)*(1-R187)+INDEX(Models!$BJ187:$BT187,,T187+1)*R187-ERP_i)*Q187*Ramure*Pc/MaxiM</f>
        <v>9.6487878287837762E-5</v>
      </c>
      <c r="Q187" s="301">
        <f t="shared" si="53"/>
        <v>0.5</v>
      </c>
      <c r="R187" s="173">
        <f t="shared" si="54"/>
        <v>0.79979202857377008</v>
      </c>
      <c r="S187" s="801">
        <f t="shared" si="55"/>
        <v>1</v>
      </c>
      <c r="T187" s="172">
        <f t="shared" si="56"/>
        <v>7</v>
      </c>
      <c r="U187" s="247">
        <f t="shared" si="57"/>
        <v>1.7997920285737701</v>
      </c>
      <c r="V187" s="378">
        <f t="shared" si="58"/>
        <v>237.33590878135132</v>
      </c>
      <c r="W187" s="397">
        <f t="shared" si="59"/>
        <v>173.58865507969412</v>
      </c>
      <c r="X187" s="153">
        <f t="shared" si="60"/>
        <v>45830</v>
      </c>
      <c r="Y187" s="380">
        <f t="shared" si="61"/>
        <v>169.12573509927853</v>
      </c>
      <c r="Z187" s="380">
        <f t="shared" si="62"/>
        <v>172.41244182776055</v>
      </c>
      <c r="AA187" s="381">
        <f t="shared" si="63"/>
        <v>183.8513690724823</v>
      </c>
      <c r="AB187" s="193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6.2218341383207372E-2</v>
      </c>
      <c r="AD187" s="227">
        <f>(INDEX(Models!$BJ187:$BT187,,AH187)*(1-AF187)+INDEX(Models!$BJ187:$BT187,,AH187+1)*AF187-ERP_i)*AE187*Ramure*Pc/MaxiM</f>
        <v>9.6487878287837762E-5</v>
      </c>
      <c r="AE187" s="301">
        <f t="shared" si="65"/>
        <v>0.5</v>
      </c>
      <c r="AF187" s="173">
        <f t="shared" si="66"/>
        <v>0.79979202857377008</v>
      </c>
      <c r="AG187" s="801">
        <f t="shared" si="74"/>
        <v>1</v>
      </c>
      <c r="AH187" s="172">
        <f t="shared" si="67"/>
        <v>7</v>
      </c>
      <c r="AI187" s="221">
        <f t="shared" si="68"/>
        <v>1.7997920285737701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45831</v>
      </c>
      <c r="B188" s="406">
        <f>'2024'!Wh/'2024'!Env_an*'2025'!Env_an</f>
        <v>169.84496075089899</v>
      </c>
      <c r="C188" s="385"/>
      <c r="D188" s="388">
        <f t="shared" si="50"/>
        <v>173.14801480946662</v>
      </c>
      <c r="E188" s="380">
        <f t="shared" si="75"/>
        <v>179.90095865398905</v>
      </c>
      <c r="F188" s="380">
        <f t="shared" si="51"/>
        <v>179.91137305216787</v>
      </c>
      <c r="G188" s="110">
        <f t="shared" si="76"/>
        <v>0.71600908455540813</v>
      </c>
      <c r="H188" s="409" t="b">
        <f>Wh_hp&gt;='2024'!Maxi_hp</f>
        <v>0</v>
      </c>
      <c r="I188" s="375">
        <f>IF(H188,Wh_hp,'2024'!Maxi_hp)</f>
        <v>179.91750851894366</v>
      </c>
      <c r="J188" s="85">
        <f>IF(H188,An,'2024'!An_max)</f>
        <v>2022</v>
      </c>
      <c r="K188" s="193">
        <f t="shared" si="52"/>
        <v>45831</v>
      </c>
      <c r="L188" s="143">
        <f>IF(t&lt;Tvie,1-EXP((T0-t)*PertePVj)+'2024'!Pspv,1-EXP((T0-t)*PertePVj)+Pspv)</f>
        <v>1.9076476633025918E-2</v>
      </c>
      <c r="M188" s="835"/>
      <c r="N188" s="835"/>
      <c r="O188" s="48">
        <f>IF(t&lt;Tnet,'2024'!Resal+('2024'!Salim-'2024'!Resal)*(1-EXP(('2024'!Tnet-t)/('2024'!Tau_j))),Resal+(Salim-Resal)*(1-EXP((Tnet-t)/(Tau_j))))*Salcycl</f>
        <v>3.7537008668812412E-2</v>
      </c>
      <c r="P188" s="165">
        <f>(INDEX(Models!$BJ188:$BT188,,T188)*(1-R188)+INDEX(Models!$BJ188:$BT188,,T188+1)*R188-ERP_i)*Q188*Ramure*Pc/MaxiM</f>
        <v>9.739602914887243E-5</v>
      </c>
      <c r="Q188" s="301">
        <f t="shared" si="53"/>
        <v>0.5</v>
      </c>
      <c r="R188" s="173">
        <f t="shared" si="54"/>
        <v>0.80461264340499206</v>
      </c>
      <c r="S188" s="801">
        <f t="shared" si="55"/>
        <v>1</v>
      </c>
      <c r="T188" s="172">
        <f t="shared" si="56"/>
        <v>7</v>
      </c>
      <c r="U188" s="247">
        <f t="shared" si="57"/>
        <v>1.8046126434049921</v>
      </c>
      <c r="V188" s="378">
        <f t="shared" si="58"/>
        <v>237.20124994540336</v>
      </c>
      <c r="W188" s="397">
        <f t="shared" si="59"/>
        <v>169.84496075089899</v>
      </c>
      <c r="X188" s="153">
        <f t="shared" si="60"/>
        <v>45831</v>
      </c>
      <c r="Y188" s="380">
        <f t="shared" si="61"/>
        <v>165.48108557167726</v>
      </c>
      <c r="Z188" s="380">
        <f t="shared" si="62"/>
        <v>168.69927331711975</v>
      </c>
      <c r="AA188" s="381">
        <f t="shared" si="63"/>
        <v>179.90095865398905</v>
      </c>
      <c r="AB188" s="193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6.2265845722445382E-2</v>
      </c>
      <c r="AD188" s="227">
        <f>(INDEX(Models!$BJ188:$BT188,,AH188)*(1-AF188)+INDEX(Models!$BJ188:$BT188,,AH188+1)*AF188-ERP_i)*AE188*Ramure*Pc/MaxiM</f>
        <v>9.739602914887243E-5</v>
      </c>
      <c r="AE188" s="301">
        <f t="shared" si="65"/>
        <v>0.5</v>
      </c>
      <c r="AF188" s="173">
        <f t="shared" si="66"/>
        <v>0.80461264340499206</v>
      </c>
      <c r="AG188" s="801">
        <f t="shared" si="74"/>
        <v>1</v>
      </c>
      <c r="AH188" s="172">
        <f t="shared" si="67"/>
        <v>7</v>
      </c>
      <c r="AI188" s="221">
        <f t="shared" si="68"/>
        <v>1.8046126434049921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45832</v>
      </c>
      <c r="B189" s="406">
        <f>'2024'!Wh/'2024'!Env_an*'2025'!Env_an</f>
        <v>169.71111811568917</v>
      </c>
      <c r="C189" s="385"/>
      <c r="D189" s="388">
        <f t="shared" si="50"/>
        <v>173.01393768970792</v>
      </c>
      <c r="E189" s="380">
        <f t="shared" si="75"/>
        <v>179.77367602432778</v>
      </c>
      <c r="F189" s="380">
        <f t="shared" si="51"/>
        <v>179.78422965580336</v>
      </c>
      <c r="G189" s="110">
        <f t="shared" si="76"/>
        <v>0.71587556278500797</v>
      </c>
      <c r="H189" s="409" t="b">
        <f>Wh_hp&gt;='2024'!Maxi_hp</f>
        <v>0</v>
      </c>
      <c r="I189" s="375">
        <f>IF(H189,Wh_hp,'2024'!Maxi_hp)</f>
        <v>179.79044298559464</v>
      </c>
      <c r="J189" s="85">
        <f>IF(H189,An,'2024'!An_max)</f>
        <v>2022</v>
      </c>
      <c r="K189" s="193">
        <f t="shared" si="52"/>
        <v>45832</v>
      </c>
      <c r="L189" s="143">
        <f>IF(t&lt;Tvie,1-EXP((T0-t)*PertePVj)+'2024'!Pspv,1-EXP((T0-t)*PertePVj)+Pspv)</f>
        <v>1.9089904652318745E-2</v>
      </c>
      <c r="M189" s="835"/>
      <c r="N189" s="835"/>
      <c r="O189" s="48">
        <f>IF(t&lt;Tnet,'2024'!Resal+('2024'!Salim-'2024'!Resal)*(1-EXP(('2024'!Tnet-t)/('2024'!Tau_j))),Resal+(Salim-Resal)*(1-EXP((Tnet-t)/(Tau_j))))*Salcycl</f>
        <v>3.760138015815568E-2</v>
      </c>
      <c r="P189" s="165">
        <f>(INDEX(Models!$BJ189:$BT189,,T189)*(1-R189)+INDEX(Models!$BJ189:$BT189,,T189+1)*R189-ERP_i)*Q189*Ramure*Pc/MaxiM</f>
        <v>9.8799555658371272E-5</v>
      </c>
      <c r="Q189" s="301">
        <f t="shared" si="53"/>
        <v>0.5</v>
      </c>
      <c r="R189" s="173">
        <f t="shared" si="54"/>
        <v>0.80938184578653427</v>
      </c>
      <c r="S189" s="801">
        <f t="shared" si="55"/>
        <v>1</v>
      </c>
      <c r="T189" s="172">
        <f t="shared" si="56"/>
        <v>7</v>
      </c>
      <c r="U189" s="247">
        <f t="shared" si="57"/>
        <v>1.8093818457865343</v>
      </c>
      <c r="V189" s="378">
        <f t="shared" si="58"/>
        <v>237.05839600964239</v>
      </c>
      <c r="W189" s="397">
        <f t="shared" si="59"/>
        <v>169.71111811568917</v>
      </c>
      <c r="X189" s="153">
        <f t="shared" si="60"/>
        <v>45832</v>
      </c>
      <c r="Y189" s="380">
        <f t="shared" si="61"/>
        <v>165.35354961297625</v>
      </c>
      <c r="Z189" s="380">
        <f t="shared" si="62"/>
        <v>168.57156471038977</v>
      </c>
      <c r="AA189" s="381">
        <f t="shared" si="63"/>
        <v>179.77367602432778</v>
      </c>
      <c r="AB189" s="193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6.2312300452832155E-2</v>
      </c>
      <c r="AD189" s="227">
        <f>(INDEX(Models!$BJ189:$BT189,,AH189)*(1-AF189)+INDEX(Models!$BJ189:$BT189,,AH189+1)*AF189-ERP_i)*AE189*Ramure*Pc/MaxiM</f>
        <v>9.8799555658371272E-5</v>
      </c>
      <c r="AE189" s="301">
        <f t="shared" si="65"/>
        <v>0.5</v>
      </c>
      <c r="AF189" s="173">
        <f t="shared" si="66"/>
        <v>0.80938184578653427</v>
      </c>
      <c r="AG189" s="801">
        <f t="shared" si="74"/>
        <v>1</v>
      </c>
      <c r="AH189" s="172">
        <f t="shared" si="67"/>
        <v>7</v>
      </c>
      <c r="AI189" s="221">
        <f t="shared" si="68"/>
        <v>1.8093818457865343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45833</v>
      </c>
      <c r="B190" s="406">
        <f>'2024'!Wh/'2024'!Env_an*'2025'!Env_an</f>
        <v>144.76031144757914</v>
      </c>
      <c r="C190" s="385"/>
      <c r="D190" s="388">
        <f t="shared" si="50"/>
        <v>147.57957310093286</v>
      </c>
      <c r="E190" s="380">
        <f t="shared" si="75"/>
        <v>153.35573287659412</v>
      </c>
      <c r="F190" s="380">
        <f t="shared" si="51"/>
        <v>153.36259576637232</v>
      </c>
      <c r="G190" s="110">
        <f t="shared" si="76"/>
        <v>0.61100635763132216</v>
      </c>
      <c r="H190" s="409" t="b">
        <f>Wh_hp&gt;='2024'!Maxi_hp</f>
        <v>0</v>
      </c>
      <c r="I190" s="375">
        <f>IF(H190,Wh_hp,'2024'!Maxi_hp)</f>
        <v>153.36998421899938</v>
      </c>
      <c r="J190" s="85">
        <f>IF(H190,An,'2024'!An_max)</f>
        <v>2022</v>
      </c>
      <c r="K190" s="193">
        <f t="shared" si="52"/>
        <v>45833</v>
      </c>
      <c r="L190" s="143">
        <f>IF(t&lt;Tvie,1-EXP((T0-t)*PertePVj)+'2024'!Pspv,1-EXP((T0-t)*PertePVj)+Pspv)</f>
        <v>1.9103332487793279E-2</v>
      </c>
      <c r="M190" s="835"/>
      <c r="N190" s="835"/>
      <c r="O190" s="48">
        <f>IF(t&lt;Tnet,'2024'!Resal+('2024'!Salim-'2024'!Resal)*(1-EXP(('2024'!Tnet-t)/('2024'!Tau_j))),Resal+(Salim-Resal)*(1-EXP((Tnet-t)/(Tau_j))))*Salcycl</f>
        <v>3.7665104964216406E-2</v>
      </c>
      <c r="P190" s="165">
        <f>(INDEX(Models!$BJ190:$BT190,,T190)*(1-R190)+INDEX(Models!$BJ190:$BT190,,T190+1)*R190-ERP_i)*Q190*Ramure*Pc/MaxiM</f>
        <v>1.0070907295599E-4</v>
      </c>
      <c r="Q190" s="301">
        <f t="shared" si="53"/>
        <v>0.5</v>
      </c>
      <c r="R190" s="173">
        <f t="shared" si="54"/>
        <v>0.81409649317751032</v>
      </c>
      <c r="S190" s="801">
        <f t="shared" si="55"/>
        <v>1</v>
      </c>
      <c r="T190" s="172">
        <f t="shared" si="56"/>
        <v>7</v>
      </c>
      <c r="U190" s="247">
        <f t="shared" si="57"/>
        <v>1.8140964931775103</v>
      </c>
      <c r="V190" s="378">
        <f t="shared" si="58"/>
        <v>236.90786281152879</v>
      </c>
      <c r="W190" s="397">
        <f t="shared" si="59"/>
        <v>144.76031144757914</v>
      </c>
      <c r="X190" s="153">
        <f t="shared" si="60"/>
        <v>45833</v>
      </c>
      <c r="Y190" s="380">
        <f t="shared" si="61"/>
        <v>141.04589912717768</v>
      </c>
      <c r="Z190" s="380">
        <f t="shared" si="62"/>
        <v>143.79282119991751</v>
      </c>
      <c r="AA190" s="381">
        <f t="shared" si="63"/>
        <v>153.35573287659412</v>
      </c>
      <c r="AB190" s="193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6.2357705820961569E-2</v>
      </c>
      <c r="AD190" s="227">
        <f>(INDEX(Models!$BJ190:$BT190,,AH190)*(1-AF190)+INDEX(Models!$BJ190:$BT190,,AH190+1)*AF190-ERP_i)*AE190*Ramure*Pc/MaxiM</f>
        <v>1.0070907295599E-4</v>
      </c>
      <c r="AE190" s="301">
        <f t="shared" si="65"/>
        <v>0.5</v>
      </c>
      <c r="AF190" s="173">
        <f t="shared" si="66"/>
        <v>0.81409649317751032</v>
      </c>
      <c r="AG190" s="801">
        <f t="shared" si="74"/>
        <v>1</v>
      </c>
      <c r="AH190" s="172">
        <f t="shared" si="67"/>
        <v>7</v>
      </c>
      <c r="AI190" s="221">
        <f t="shared" si="68"/>
        <v>1.8140964931775103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45834</v>
      </c>
      <c r="B191" s="406">
        <f>'2024'!Wh/'2024'!Env_an*'2025'!Env_an</f>
        <v>48.142024895519569</v>
      </c>
      <c r="C191" s="385"/>
      <c r="D191" s="388">
        <f t="shared" si="50"/>
        <v>49.080280852146998</v>
      </c>
      <c r="E191" s="380">
        <f t="shared" si="75"/>
        <v>51.004591419820137</v>
      </c>
      <c r="F191" s="380">
        <f t="shared" si="51"/>
        <v>51.004591419820137</v>
      </c>
      <c r="G191" s="110">
        <f t="shared" si="76"/>
        <v>0.2033234795330775</v>
      </c>
      <c r="H191" s="409" t="b">
        <f>Wh_hp&gt;='2024'!Maxi_hp</f>
        <v>0</v>
      </c>
      <c r="I191" s="375">
        <f>IF(H191,Wh_hp,'2024'!Maxi_hp)</f>
        <v>51.009116400553765</v>
      </c>
      <c r="J191" s="85">
        <f>IF(H191,An,'2024'!An_max)</f>
        <v>2022</v>
      </c>
      <c r="K191" s="193">
        <f t="shared" si="52"/>
        <v>45834</v>
      </c>
      <c r="L191" s="143">
        <f>IF(t&lt;Tvie,1-EXP((T0-t)*PertePVj)+'2024'!Pspv,1-EXP((T0-t)*PertePVj)+Pspv)</f>
        <v>1.911676013945196E-2</v>
      </c>
      <c r="M191" s="835"/>
      <c r="N191" s="835"/>
      <c r="O191" s="48">
        <f>IF(t&lt;Tnet,'2024'!Resal+('2024'!Salim-'2024'!Resal)*(1-EXP(('2024'!Tnet-t)/('2024'!Tau_j))),Resal+(Salim-Resal)*(1-EXP((Tnet-t)/(Tau_j))))*Salcycl</f>
        <v>3.7728183171473424E-2</v>
      </c>
      <c r="P191" s="165">
        <f>(INDEX(Models!$BJ191:$BT191,,T191)*(1-R191)+INDEX(Models!$BJ191:$BT191,,T191+1)*R191-ERP_i)*Q191*Ramure*Pc/MaxiM</f>
        <v>1.0313440691843794E-4</v>
      </c>
      <c r="Q191" s="301">
        <f t="shared" si="53"/>
        <v>0.5</v>
      </c>
      <c r="R191" s="173">
        <f t="shared" si="54"/>
        <v>0.81875360551834264</v>
      </c>
      <c r="S191" s="801">
        <f t="shared" si="55"/>
        <v>1</v>
      </c>
      <c r="T191" s="172">
        <f t="shared" si="56"/>
        <v>7</v>
      </c>
      <c r="U191" s="247">
        <f t="shared" si="57"/>
        <v>1.8187536055183426</v>
      </c>
      <c r="V191" s="378">
        <f t="shared" si="58"/>
        <v>236.75111161228668</v>
      </c>
      <c r="W191" s="397">
        <f t="shared" si="59"/>
        <v>48.142024895519569</v>
      </c>
      <c r="X191" s="153">
        <f t="shared" si="60"/>
        <v>45834</v>
      </c>
      <c r="Y191" s="380">
        <f t="shared" si="61"/>
        <v>46.907601719955373</v>
      </c>
      <c r="Z191" s="380">
        <f t="shared" si="62"/>
        <v>47.821799592196335</v>
      </c>
      <c r="AA191" s="381">
        <f t="shared" si="63"/>
        <v>51.004591419820137</v>
      </c>
      <c r="AB191" s="193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6.2402064971487675E-2</v>
      </c>
      <c r="AD191" s="227">
        <f>(INDEX(Models!$BJ191:$BT191,,AH191)*(1-AF191)+INDEX(Models!$BJ191:$BT191,,AH191+1)*AF191-ERP_i)*AE191*Ramure*Pc/MaxiM</f>
        <v>1.0313440691843794E-4</v>
      </c>
      <c r="AE191" s="301">
        <f t="shared" si="65"/>
        <v>0.5</v>
      </c>
      <c r="AF191" s="173">
        <f t="shared" si="66"/>
        <v>0.81875360551834264</v>
      </c>
      <c r="AG191" s="801">
        <f t="shared" si="74"/>
        <v>1</v>
      </c>
      <c r="AH191" s="172">
        <f t="shared" si="67"/>
        <v>7</v>
      </c>
      <c r="AI191" s="221">
        <f t="shared" si="68"/>
        <v>1.8187536055183426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45835</v>
      </c>
      <c r="B192" s="406">
        <f>'2024'!Wh/'2024'!Env_an*'2025'!Env_an</f>
        <v>56.244480094160892</v>
      </c>
      <c r="C192" s="385"/>
      <c r="D192" s="388">
        <f t="shared" si="50"/>
        <v>57.341432454690292</v>
      </c>
      <c r="E192" s="380">
        <f t="shared" si="75"/>
        <v>59.593507861365282</v>
      </c>
      <c r="F192" s="380">
        <f t="shared" si="51"/>
        <v>59.593507861365282</v>
      </c>
      <c r="G192" s="110">
        <f t="shared" si="76"/>
        <v>0.2377059598847108</v>
      </c>
      <c r="H192" s="409" t="b">
        <f>Wh_hp&gt;='2024'!Maxi_hp</f>
        <v>0</v>
      </c>
      <c r="I192" s="375">
        <f>IF(H192,Wh_hp,'2024'!Maxi_hp)</f>
        <v>59.59894424699322</v>
      </c>
      <c r="J192" s="85">
        <f>IF(H192,An,'2024'!An_max)</f>
        <v>2022</v>
      </c>
      <c r="K192" s="193">
        <f t="shared" si="52"/>
        <v>45835</v>
      </c>
      <c r="L192" s="143">
        <f>IF(t&lt;Tvie,1-EXP((T0-t)*PertePVj)+'2024'!Pspv,1-EXP((T0-t)*PertePVj)+Pspv)</f>
        <v>1.9130187607297455E-2</v>
      </c>
      <c r="M192" s="835"/>
      <c r="N192" s="835"/>
      <c r="O192" s="48">
        <f>IF(t&lt;Tnet,'2024'!Resal+('2024'!Salim-'2024'!Resal)*(1-EXP(('2024'!Tnet-t)/('2024'!Tau_j))),Resal+(Salim-Resal)*(1-EXP((Tnet-t)/(Tau_j))))*Salcycl</f>
        <v>3.7790616587197373E-2</v>
      </c>
      <c r="P192" s="165">
        <f>(INDEX(Models!$BJ192:$BT192,,T192)*(1-R192)+INDEX(Models!$BJ192:$BT192,,T192+1)*R192-ERP_i)*Q192*Ramure*Pc/MaxiM</f>
        <v>1.0611123083659504E-4</v>
      </c>
      <c r="Q192" s="301">
        <f t="shared" si="53"/>
        <v>0.5</v>
      </c>
      <c r="R192" s="173">
        <f t="shared" si="54"/>
        <v>0.82335037093605967</v>
      </c>
      <c r="S192" s="801">
        <f t="shared" si="55"/>
        <v>1</v>
      </c>
      <c r="T192" s="172">
        <f t="shared" si="56"/>
        <v>7</v>
      </c>
      <c r="U192" s="247">
        <f t="shared" si="57"/>
        <v>1.8233503709360597</v>
      </c>
      <c r="V192" s="378">
        <f t="shared" si="58"/>
        <v>236.58856492460873</v>
      </c>
      <c r="W192" s="397">
        <f t="shared" si="59"/>
        <v>56.244480094160892</v>
      </c>
      <c r="X192" s="153">
        <f t="shared" si="60"/>
        <v>45835</v>
      </c>
      <c r="Y192" s="380">
        <f t="shared" si="61"/>
        <v>54.803323323380233</v>
      </c>
      <c r="Z192" s="380">
        <f t="shared" si="62"/>
        <v>55.872168386643231</v>
      </c>
      <c r="AA192" s="381">
        <f t="shared" si="63"/>
        <v>59.593507861365282</v>
      </c>
      <c r="AB192" s="193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6.2445383872671914E-2</v>
      </c>
      <c r="AD192" s="227">
        <f>(INDEX(Models!$BJ192:$BT192,,AH192)*(1-AF192)+INDEX(Models!$BJ192:$BT192,,AH192+1)*AF192-ERP_i)*AE192*Ramure*Pc/MaxiM</f>
        <v>1.0611123083659504E-4</v>
      </c>
      <c r="AE192" s="301">
        <f t="shared" si="65"/>
        <v>0.5</v>
      </c>
      <c r="AF192" s="173">
        <f t="shared" si="66"/>
        <v>0.82335037093605967</v>
      </c>
      <c r="AG192" s="801">
        <f t="shared" si="74"/>
        <v>1</v>
      </c>
      <c r="AH192" s="172">
        <f t="shared" si="67"/>
        <v>7</v>
      </c>
      <c r="AI192" s="221">
        <f t="shared" si="68"/>
        <v>1.8233503709360597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45836</v>
      </c>
      <c r="B193" s="406">
        <f>'2024'!Wh/'2024'!Env_an*'2025'!Env_an</f>
        <v>245.920163377888</v>
      </c>
      <c r="C193" s="385"/>
      <c r="D193" s="388">
        <f t="shared" si="50"/>
        <v>250.7198475856818</v>
      </c>
      <c r="E193" s="380">
        <f t="shared" si="75"/>
        <v>260.5835631160196</v>
      </c>
      <c r="F193" s="380">
        <f t="shared" si="51"/>
        <v>260.61207165828807</v>
      </c>
      <c r="G193" s="110">
        <f t="shared" si="76"/>
        <v>1.0401867145003136</v>
      </c>
      <c r="H193" s="409" t="b">
        <f>Wh_hp&gt;='2024'!Maxi_hp</f>
        <v>1</v>
      </c>
      <c r="I193" s="375">
        <f>IF(H193,Wh_hp,'2024'!Maxi_hp)</f>
        <v>260.61207165828807</v>
      </c>
      <c r="J193" s="85">
        <f>IF(H193,An,'2024'!An_max)</f>
        <v>2025</v>
      </c>
      <c r="K193" s="193">
        <f t="shared" si="52"/>
        <v>45836</v>
      </c>
      <c r="L193" s="143">
        <f>IF(t&lt;Tvie,1-EXP((T0-t)*PertePVj)+'2024'!Pspv,1-EXP((T0-t)*PertePVj)+Pspv)</f>
        <v>1.9143614891332206E-2</v>
      </c>
      <c r="M193" s="835"/>
      <c r="N193" s="835"/>
      <c r="O193" s="48">
        <f>IF(t&lt;Tnet,'2024'!Resal+('2024'!Salim-'2024'!Resal)*(1-EXP(('2024'!Tnet-t)/('2024'!Tau_j))),Resal+(Salim-Resal)*(1-EXP((Tnet-t)/(Tau_j))))*Salcycl</f>
        <v>3.7852408695272108E-2</v>
      </c>
      <c r="P193" s="165">
        <f>(INDEX(Models!$BJ193:$BT193,,T193)*(1-R193)+INDEX(Models!$BJ193:$BT193,,T193+1)*R193-ERP_i)*Q193*Ramure*Pc/MaxiM</f>
        <v>1.0939072041865147E-4</v>
      </c>
      <c r="Q193" s="301">
        <f t="shared" si="53"/>
        <v>0.5</v>
      </c>
      <c r="R193" s="173">
        <f t="shared" si="54"/>
        <v>0.82788415046688923</v>
      </c>
      <c r="S193" s="801">
        <f t="shared" si="55"/>
        <v>1</v>
      </c>
      <c r="T193" s="172">
        <f t="shared" si="56"/>
        <v>7</v>
      </c>
      <c r="U193" s="247">
        <f t="shared" si="57"/>
        <v>1.8278841504668892</v>
      </c>
      <c r="V193" s="378">
        <f t="shared" si="58"/>
        <v>236.41925045737915</v>
      </c>
      <c r="W193" s="397">
        <f t="shared" si="59"/>
        <v>245.920163377888</v>
      </c>
      <c r="X193" s="153">
        <f t="shared" si="60"/>
        <v>45836</v>
      </c>
      <c r="Y193" s="380">
        <f t="shared" si="61"/>
        <v>239.62351217660768</v>
      </c>
      <c r="Z193" s="380">
        <f t="shared" si="62"/>
        <v>244.30030309693106</v>
      </c>
      <c r="AA193" s="381">
        <f t="shared" si="63"/>
        <v>260.5835631160196</v>
      </c>
      <c r="AB193" s="193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6.2487671226748746E-2</v>
      </c>
      <c r="AD193" s="227">
        <f>(INDEX(Models!$BJ193:$BT193,,AH193)*(1-AF193)+INDEX(Models!$BJ193:$BT193,,AH193+1)*AF193-ERP_i)*AE193*Ramure*Pc/MaxiM</f>
        <v>1.0939072041865147E-4</v>
      </c>
      <c r="AE193" s="301">
        <f t="shared" si="65"/>
        <v>0.5</v>
      </c>
      <c r="AF193" s="173">
        <f t="shared" si="66"/>
        <v>0.82788415046688923</v>
      </c>
      <c r="AG193" s="801">
        <f t="shared" si="74"/>
        <v>1</v>
      </c>
      <c r="AH193" s="172">
        <f t="shared" si="67"/>
        <v>7</v>
      </c>
      <c r="AI193" s="221">
        <f t="shared" si="68"/>
        <v>1.8278841504668892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45837</v>
      </c>
      <c r="B194" s="406">
        <f>'2024'!Wh/'2024'!Env_an*'2025'!Env_an</f>
        <v>233.48130807489272</v>
      </c>
      <c r="C194" s="385"/>
      <c r="D194" s="388">
        <f t="shared" si="50"/>
        <v>238.04147867765323</v>
      </c>
      <c r="E194" s="380">
        <f t="shared" si="75"/>
        <v>247.42213372845379</v>
      </c>
      <c r="F194" s="380">
        <f t="shared" si="51"/>
        <v>247.44962326262933</v>
      </c>
      <c r="G194" s="110">
        <f t="shared" si="76"/>
        <v>0.98831170343206243</v>
      </c>
      <c r="H194" s="409" t="b">
        <f>Wh_hp&gt;='2024'!Maxi_hp</f>
        <v>0</v>
      </c>
      <c r="I194" s="375">
        <f>IF(H194,Wh_hp,'2024'!Maxi_hp)</f>
        <v>247.45002413127429</v>
      </c>
      <c r="J194" s="85">
        <f>IF(H194,An,'2024'!An_max)</f>
        <v>2022</v>
      </c>
      <c r="K194" s="193">
        <f t="shared" si="52"/>
        <v>45837</v>
      </c>
      <c r="L194" s="143">
        <f>IF(t&lt;Tvie,1-EXP((T0-t)*PertePVj)+'2024'!Pspv,1-EXP((T0-t)*PertePVj)+Pspv)</f>
        <v>1.9157041991558654E-2</v>
      </c>
      <c r="M194" s="835"/>
      <c r="N194" s="835"/>
      <c r="O194" s="48">
        <f>IF(t&lt;Tnet,'2024'!Resal+('2024'!Salim-'2024'!Resal)*(1-EXP(('2024'!Tnet-t)/('2024'!Tau_j))),Resal+(Salim-Resal)*(1-EXP((Tnet-t)/(Tau_j))))*Salcycl</f>
        <v>3.7913564600876977E-2</v>
      </c>
      <c r="P194" s="165">
        <f>(INDEX(Models!$BJ194:$BT194,,T194)*(1-R194)+INDEX(Models!$BJ194:$BT194,,T194+1)*R194-ERP_i)*Q194*Ramure*Pc/MaxiM</f>
        <v>1.129775866412776E-4</v>
      </c>
      <c r="Q194" s="301">
        <f t="shared" si="53"/>
        <v>0.5</v>
      </c>
      <c r="R194" s="173">
        <f t="shared" si="54"/>
        <v>0.83235248179866161</v>
      </c>
      <c r="S194" s="801">
        <f t="shared" si="55"/>
        <v>1</v>
      </c>
      <c r="T194" s="172">
        <f t="shared" si="56"/>
        <v>7</v>
      </c>
      <c r="U194" s="247">
        <f t="shared" si="57"/>
        <v>1.8323524817986616</v>
      </c>
      <c r="V194" s="378">
        <f t="shared" si="58"/>
        <v>236.24213579018337</v>
      </c>
      <c r="W194" s="397">
        <f t="shared" si="59"/>
        <v>233.48130807489272</v>
      </c>
      <c r="X194" s="153">
        <f t="shared" si="60"/>
        <v>45837</v>
      </c>
      <c r="Y194" s="380">
        <f t="shared" si="61"/>
        <v>227.50759359984801</v>
      </c>
      <c r="Z194" s="380">
        <f t="shared" si="62"/>
        <v>231.95109037821121</v>
      </c>
      <c r="AA194" s="381">
        <f t="shared" si="63"/>
        <v>247.42213372845379</v>
      </c>
      <c r="AB194" s="193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6.2528938365805503E-2</v>
      </c>
      <c r="AD194" s="227">
        <f>(INDEX(Models!$BJ194:$BT194,,AH194)*(1-AF194)+INDEX(Models!$BJ194:$BT194,,AH194+1)*AF194-ERP_i)*AE194*Ramure*Pc/MaxiM</f>
        <v>1.129775866412776E-4</v>
      </c>
      <c r="AE194" s="301">
        <f t="shared" si="65"/>
        <v>0.5</v>
      </c>
      <c r="AF194" s="173">
        <f t="shared" si="66"/>
        <v>0.83235248179866161</v>
      </c>
      <c r="AG194" s="801">
        <f t="shared" si="74"/>
        <v>1</v>
      </c>
      <c r="AH194" s="172">
        <f t="shared" si="67"/>
        <v>7</v>
      </c>
      <c r="AI194" s="221">
        <f t="shared" si="68"/>
        <v>1.8323524817986616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45838</v>
      </c>
      <c r="B195" s="406">
        <f>'2024'!Wh/'2024'!Env_an*'2025'!Env_an</f>
        <v>54.517170754476894</v>
      </c>
      <c r="C195" s="385"/>
      <c r="D195" s="388">
        <f t="shared" si="50"/>
        <v>55.58271751236876</v>
      </c>
      <c r="E195" s="380">
        <f t="shared" si="75"/>
        <v>57.776736562332232</v>
      </c>
      <c r="F195" s="380">
        <f t="shared" si="51"/>
        <v>57.776736562332232</v>
      </c>
      <c r="G195" s="110">
        <f t="shared" si="76"/>
        <v>0.23092298209554413</v>
      </c>
      <c r="H195" s="409" t="b">
        <f>Wh_hp&gt;='2024'!Maxi_hp</f>
        <v>0</v>
      </c>
      <c r="I195" s="375">
        <f>IF(H195,Wh_hp,'2024'!Maxi_hp)</f>
        <v>57.782534053656292</v>
      </c>
      <c r="J195" s="85">
        <f>IF(H195,An,'2024'!An_max)</f>
        <v>2022</v>
      </c>
      <c r="K195" s="193">
        <f t="shared" si="52"/>
        <v>45838</v>
      </c>
      <c r="L195" s="143">
        <f>IF(t&lt;Tvie,1-EXP((T0-t)*PertePVj)+'2024'!Pspv,1-EXP((T0-t)*PertePVj)+Pspv)</f>
        <v>1.9170468907979354E-2</v>
      </c>
      <c r="M195" s="835"/>
      <c r="N195" s="835"/>
      <c r="O195" s="48">
        <f>IF(t&lt;Tnet,'2024'!Resal+('2024'!Salim-'2024'!Resal)*(1-EXP(('2024'!Tnet-t)/('2024'!Tau_j))),Resal+(Salim-Resal)*(1-EXP((Tnet-t)/(Tau_j))))*Salcycl</f>
        <v>3.7974090966464744E-2</v>
      </c>
      <c r="P195" s="165">
        <f>(INDEX(Models!$BJ195:$BT195,,T195)*(1-R195)+INDEX(Models!$BJ195:$BT195,,T195+1)*R195-ERP_i)*Q195*Ramure*Pc/MaxiM</f>
        <v>1.1687641828218251E-4</v>
      </c>
      <c r="Q195" s="301">
        <f t="shared" si="53"/>
        <v>0.5</v>
      </c>
      <c r="R195" s="173">
        <f t="shared" si="54"/>
        <v>0.83675308204421706</v>
      </c>
      <c r="S195" s="801">
        <f t="shared" si="55"/>
        <v>1</v>
      </c>
      <c r="T195" s="172">
        <f t="shared" si="56"/>
        <v>7</v>
      </c>
      <c r="U195" s="247">
        <f t="shared" si="57"/>
        <v>1.8367530820442171</v>
      </c>
      <c r="V195" s="378">
        <f t="shared" si="58"/>
        <v>236.05618846663972</v>
      </c>
      <c r="W195" s="397">
        <f t="shared" si="59"/>
        <v>54.517170754476894</v>
      </c>
      <c r="X195" s="153">
        <f t="shared" si="60"/>
        <v>45838</v>
      </c>
      <c r="Y195" s="380">
        <f t="shared" si="61"/>
        <v>53.123387386375526</v>
      </c>
      <c r="Z195" s="380">
        <f t="shared" si="62"/>
        <v>54.161692427051868</v>
      </c>
      <c r="AA195" s="381">
        <f t="shared" si="63"/>
        <v>57.776736562332232</v>
      </c>
      <c r="AB195" s="193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6.2569199133985093E-2</v>
      </c>
      <c r="AD195" s="227">
        <f>(INDEX(Models!$BJ195:$BT195,,AH195)*(1-AF195)+INDEX(Models!$BJ195:$BT195,,AH195+1)*AF195-ERP_i)*AE195*Ramure*Pc/MaxiM</f>
        <v>1.1687641828218251E-4</v>
      </c>
      <c r="AE195" s="301">
        <f t="shared" si="65"/>
        <v>0.5</v>
      </c>
      <c r="AF195" s="173">
        <f t="shared" si="66"/>
        <v>0.83675308204421706</v>
      </c>
      <c r="AG195" s="801">
        <f t="shared" si="74"/>
        <v>1</v>
      </c>
      <c r="AH195" s="172">
        <f t="shared" si="67"/>
        <v>7</v>
      </c>
      <c r="AI195" s="221">
        <f t="shared" si="68"/>
        <v>1.8367530820442171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45839</v>
      </c>
      <c r="B196" s="406">
        <f>'2024'!Wh/'2024'!Env_an*'2025'!Env_an</f>
        <v>209.06163503094882</v>
      </c>
      <c r="C196" s="385"/>
      <c r="D196" s="388">
        <f t="shared" si="50"/>
        <v>213.15069573362325</v>
      </c>
      <c r="E196" s="380">
        <f t="shared" si="75"/>
        <v>221.57820009637905</v>
      </c>
      <c r="F196" s="380">
        <f t="shared" si="51"/>
        <v>221.60067851119237</v>
      </c>
      <c r="G196" s="110">
        <f t="shared" si="76"/>
        <v>0.88636136774652152</v>
      </c>
      <c r="H196" s="409" t="b">
        <f>Wh_hp&gt;='2024'!Maxi_hp</f>
        <v>0</v>
      </c>
      <c r="I196" s="375">
        <f>IF(H196,Wh_hp,'2024'!Maxi_hp)</f>
        <v>221.60441669383138</v>
      </c>
      <c r="J196" s="85">
        <f>IF(H196,An,'2024'!An_max)</f>
        <v>2022</v>
      </c>
      <c r="K196" s="193">
        <f t="shared" si="52"/>
        <v>45839</v>
      </c>
      <c r="L196" s="143">
        <f>IF(t&lt;Tvie,1-EXP((T0-t)*PertePVj)+'2024'!Pspv,1-EXP((T0-t)*PertePVj)+Pspv)</f>
        <v>1.918389564059686E-2</v>
      </c>
      <c r="M196" s="835"/>
      <c r="N196" s="835"/>
      <c r="O196" s="48">
        <f>IF(t&lt;Tnet,'2024'!Resal+('2024'!Salim-'2024'!Resal)*(1-EXP(('2024'!Tnet-t)/('2024'!Tau_j))),Resal+(Salim-Resal)*(1-EXP((Tnet-t)/(Tau_j))))*Salcycl</f>
        <v>3.8033995939537921E-2</v>
      </c>
      <c r="P196" s="165">
        <f>(INDEX(Models!$BJ196:$BT196,,T196)*(1-R196)+INDEX(Models!$BJ196:$BT196,,T196+1)*R196-ERP_i)*Q196*Ramure*Pc/MaxiM</f>
        <v>1.210917014697172E-4</v>
      </c>
      <c r="Q196" s="301">
        <f t="shared" si="53"/>
        <v>0.5</v>
      </c>
      <c r="R196" s="173">
        <f t="shared" si="54"/>
        <v>0.84108384956516002</v>
      </c>
      <c r="S196" s="801">
        <f t="shared" si="55"/>
        <v>1</v>
      </c>
      <c r="T196" s="172">
        <f t="shared" si="56"/>
        <v>7</v>
      </c>
      <c r="U196" s="247">
        <f t="shared" si="57"/>
        <v>1.84108384956516</v>
      </c>
      <c r="V196" s="378">
        <f t="shared" si="58"/>
        <v>235.8603760152958</v>
      </c>
      <c r="W196" s="397">
        <f t="shared" si="59"/>
        <v>209.06163503094882</v>
      </c>
      <c r="X196" s="153">
        <f t="shared" si="60"/>
        <v>45839</v>
      </c>
      <c r="Y196" s="380">
        <f t="shared" si="61"/>
        <v>203.72092688263299</v>
      </c>
      <c r="Z196" s="380">
        <f t="shared" si="62"/>
        <v>207.70552805685068</v>
      </c>
      <c r="AA196" s="381">
        <f t="shared" si="63"/>
        <v>221.57820009637905</v>
      </c>
      <c r="AB196" s="193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6.2608469756926535E-2</v>
      </c>
      <c r="AD196" s="227">
        <f>(INDEX(Models!$BJ196:$BT196,,AH196)*(1-AF196)+INDEX(Models!$BJ196:$BT196,,AH196+1)*AF196-ERP_i)*AE196*Ramure*Pc/MaxiM</f>
        <v>1.210917014697172E-4</v>
      </c>
      <c r="AE196" s="301">
        <f t="shared" si="65"/>
        <v>0.5</v>
      </c>
      <c r="AF196" s="173">
        <f t="shared" si="66"/>
        <v>0.84108384956516002</v>
      </c>
      <c r="AG196" s="801">
        <f t="shared" si="74"/>
        <v>1</v>
      </c>
      <c r="AH196" s="172">
        <f t="shared" si="67"/>
        <v>7</v>
      </c>
      <c r="AI196" s="221">
        <f t="shared" si="68"/>
        <v>1.84108384956516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45840</v>
      </c>
      <c r="B197" s="406">
        <f>'2024'!Wh/'2024'!Env_an*'2025'!Env_an</f>
        <v>231.04053296145531</v>
      </c>
      <c r="C197" s="385"/>
      <c r="D197" s="388">
        <f t="shared" si="50"/>
        <v>235.56270612678131</v>
      </c>
      <c r="E197" s="380">
        <f t="shared" si="75"/>
        <v>244.89142600919766</v>
      </c>
      <c r="F197" s="380">
        <f t="shared" si="51"/>
        <v>244.9213344767326</v>
      </c>
      <c r="G197" s="110">
        <f t="shared" si="76"/>
        <v>0.98042065339990214</v>
      </c>
      <c r="H197" s="409" t="b">
        <f>Wh_hp&gt;='2024'!Maxi_hp</f>
        <v>0</v>
      </c>
      <c r="I197" s="375">
        <f>IF(H197,Wh_hp,'2024'!Maxi_hp)</f>
        <v>244.92207274501186</v>
      </c>
      <c r="J197" s="85">
        <f>IF(H197,An,'2024'!An_max)</f>
        <v>2022</v>
      </c>
      <c r="K197" s="193">
        <f t="shared" si="52"/>
        <v>45840</v>
      </c>
      <c r="L197" s="143">
        <f>IF(t&lt;Tvie,1-EXP((T0-t)*PertePVj)+'2024'!Pspv,1-EXP((T0-t)*PertePVj)+Pspv)</f>
        <v>1.9197322189413724E-2</v>
      </c>
      <c r="M197" s="835"/>
      <c r="N197" s="835"/>
      <c r="O197" s="48">
        <f>IF(t&lt;Tnet,'2024'!Resal+('2024'!Salim-'2024'!Resal)*(1-EXP(('2024'!Tnet-t)/('2024'!Tau_j))),Resal+(Salim-Resal)*(1-EXP((Tnet-t)/(Tau_j))))*Salcycl</f>
        <v>3.8093289072790831E-2</v>
      </c>
      <c r="P197" s="165">
        <f>(INDEX(Models!$BJ197:$BT197,,T197)*(1-R197)+INDEX(Models!$BJ197:$BT197,,T197+1)*R197-ERP_i)*Q197*Ramure*Pc/MaxiM</f>
        <v>1.2562784138199967E-4</v>
      </c>
      <c r="Q197" s="301">
        <f t="shared" si="53"/>
        <v>0.5</v>
      </c>
      <c r="R197" s="173">
        <f t="shared" si="54"/>
        <v>0.84534286487282051</v>
      </c>
      <c r="S197" s="801">
        <f t="shared" si="55"/>
        <v>1</v>
      </c>
      <c r="T197" s="172">
        <f t="shared" si="56"/>
        <v>7</v>
      </c>
      <c r="U197" s="247">
        <f t="shared" si="57"/>
        <v>1.8453428648728205</v>
      </c>
      <c r="V197" s="378">
        <f t="shared" si="58"/>
        <v>235.6536659615339</v>
      </c>
      <c r="W197" s="397">
        <f t="shared" si="59"/>
        <v>231.04053296145531</v>
      </c>
      <c r="X197" s="153">
        <f t="shared" si="60"/>
        <v>45840</v>
      </c>
      <c r="Y197" s="380">
        <f t="shared" si="61"/>
        <v>225.14302860416208</v>
      </c>
      <c r="Z197" s="380">
        <f t="shared" si="62"/>
        <v>229.54976948751965</v>
      </c>
      <c r="AA197" s="381">
        <f t="shared" si="63"/>
        <v>244.89142600919766</v>
      </c>
      <c r="AB197" s="193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6.2646768699455402E-2</v>
      </c>
      <c r="AD197" s="227">
        <f>(INDEX(Models!$BJ197:$BT197,,AH197)*(1-AF197)+INDEX(Models!$BJ197:$BT197,,AH197+1)*AF197-ERP_i)*AE197*Ramure*Pc/MaxiM</f>
        <v>1.2562784138199967E-4</v>
      </c>
      <c r="AE197" s="301">
        <f t="shared" si="65"/>
        <v>0.5</v>
      </c>
      <c r="AF197" s="173">
        <f t="shared" si="66"/>
        <v>0.84534286487282051</v>
      </c>
      <c r="AG197" s="801">
        <f t="shared" si="74"/>
        <v>1</v>
      </c>
      <c r="AH197" s="172">
        <f t="shared" si="67"/>
        <v>7</v>
      </c>
      <c r="AI197" s="221">
        <f t="shared" si="68"/>
        <v>1.8453428648728205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45841</v>
      </c>
      <c r="B198" s="406">
        <f>'2024'!Wh/'2024'!Env_an*'2025'!Env_an</f>
        <v>191.35552751159389</v>
      </c>
      <c r="C198" s="385"/>
      <c r="D198" s="388">
        <f t="shared" si="50"/>
        <v>195.10361398186046</v>
      </c>
      <c r="E198" s="380">
        <f t="shared" si="75"/>
        <v>202.84245553972858</v>
      </c>
      <c r="F198" s="380">
        <f t="shared" si="51"/>
        <v>202.8618089158974</v>
      </c>
      <c r="G198" s="110">
        <f t="shared" si="76"/>
        <v>0.81274573322978727</v>
      </c>
      <c r="H198" s="409" t="b">
        <f>Wh_hp&gt;='2024'!Maxi_hp</f>
        <v>0</v>
      </c>
      <c r="I198" s="375">
        <f>IF(H198,Wh_hp,'2024'!Maxi_hp)</f>
        <v>202.86786743464688</v>
      </c>
      <c r="J198" s="85">
        <f>IF(H198,An,'2024'!An_max)</f>
        <v>2022</v>
      </c>
      <c r="K198" s="193">
        <f t="shared" si="52"/>
        <v>45841</v>
      </c>
      <c r="L198" s="143">
        <f>IF(t&lt;Tvie,1-EXP((T0-t)*PertePVj)+'2024'!Pspv,1-EXP((T0-t)*PertePVj)+Pspv)</f>
        <v>1.9210748554432389E-2</v>
      </c>
      <c r="M198" s="835"/>
      <c r="N198" s="835"/>
      <c r="O198" s="48">
        <f>IF(t&lt;Tnet,'2024'!Resal+('2024'!Salim-'2024'!Resal)*(1-EXP(('2024'!Tnet-t)/('2024'!Tau_j))),Resal+(Salim-Resal)*(1-EXP((Tnet-t)/(Tau_j))))*Salcycl</f>
        <v>3.8151981237243435E-2</v>
      </c>
      <c r="P198" s="165">
        <f>(INDEX(Models!$BJ198:$BT198,,T198)*(1-R198)+INDEX(Models!$BJ198:$BT198,,T198+1)*R198-ERP_i)*Q198*Ramure*Pc/MaxiM</f>
        <v>1.3023521986800545E-4</v>
      </c>
      <c r="Q198" s="301">
        <f t="shared" si="53"/>
        <v>0.5</v>
      </c>
      <c r="R198" s="173">
        <f t="shared" si="54"/>
        <v>0.84952839064011698</v>
      </c>
      <c r="S198" s="801">
        <f t="shared" si="55"/>
        <v>1</v>
      </c>
      <c r="T198" s="172">
        <f t="shared" si="56"/>
        <v>7</v>
      </c>
      <c r="U198" s="247">
        <f t="shared" si="57"/>
        <v>1.849528390640117</v>
      </c>
      <c r="V198" s="378">
        <f t="shared" si="58"/>
        <v>235.43508563563739</v>
      </c>
      <c r="W198" s="397">
        <f t="shared" si="59"/>
        <v>191.35552751159389</v>
      </c>
      <c r="X198" s="153">
        <f t="shared" si="60"/>
        <v>45841</v>
      </c>
      <c r="Y198" s="380">
        <f t="shared" si="61"/>
        <v>186.47496468354447</v>
      </c>
      <c r="Z198" s="380">
        <f t="shared" si="62"/>
        <v>190.12745542296918</v>
      </c>
      <c r="AA198" s="381">
        <f t="shared" si="63"/>
        <v>202.84245553972858</v>
      </c>
      <c r="AB198" s="193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6.2684116512625496E-2</v>
      </c>
      <c r="AD198" s="227">
        <f>(INDEX(Models!$BJ198:$BT198,,AH198)*(1-AF198)+INDEX(Models!$BJ198:$BT198,,AH198+1)*AF198-ERP_i)*AE198*Ramure*Pc/MaxiM</f>
        <v>1.3023521986800545E-4</v>
      </c>
      <c r="AE198" s="301">
        <f t="shared" si="65"/>
        <v>0.5</v>
      </c>
      <c r="AF198" s="173">
        <f t="shared" si="66"/>
        <v>0.84952839064011698</v>
      </c>
      <c r="AG198" s="801">
        <f t="shared" si="74"/>
        <v>1</v>
      </c>
      <c r="AH198" s="172">
        <f t="shared" si="67"/>
        <v>7</v>
      </c>
      <c r="AI198" s="221">
        <f t="shared" si="68"/>
        <v>1.849528390640117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45842</v>
      </c>
      <c r="B199" s="406">
        <f>'2024'!Wh/'2024'!Env_an*'2025'!Env_an</f>
        <v>186.67389686396345</v>
      </c>
      <c r="C199" s="385"/>
      <c r="D199" s="388">
        <f t="shared" si="50"/>
        <v>190.33288959141095</v>
      </c>
      <c r="E199" s="380">
        <f t="shared" si="75"/>
        <v>197.89445338300499</v>
      </c>
      <c r="F199" s="380">
        <f t="shared" si="51"/>
        <v>197.91324646105079</v>
      </c>
      <c r="G199" s="110">
        <f t="shared" si="76"/>
        <v>0.79363765844720391</v>
      </c>
      <c r="H199" s="409" t="b">
        <f>Wh_hp&gt;='2024'!Maxi_hp</f>
        <v>0</v>
      </c>
      <c r="I199" s="375">
        <f>IF(H199,Wh_hp,'2024'!Maxi_hp)</f>
        <v>197.91997286853493</v>
      </c>
      <c r="J199" s="85">
        <f>IF(H199,An,'2024'!An_max)</f>
        <v>2022</v>
      </c>
      <c r="K199" s="193">
        <f t="shared" si="52"/>
        <v>45842</v>
      </c>
      <c r="L199" s="143">
        <f>IF(t&lt;Tvie,1-EXP((T0-t)*PertePVj)+'2024'!Pspv,1-EXP((T0-t)*PertePVj)+Pspv)</f>
        <v>1.9224174735655408E-2</v>
      </c>
      <c r="M199" s="835"/>
      <c r="N199" s="835"/>
      <c r="O199" s="48">
        <f>IF(t&lt;Tnet,'2024'!Resal+('2024'!Salim-'2024'!Resal)*(1-EXP(('2024'!Tnet-t)/('2024'!Tau_j))),Resal+(Salim-Resal)*(1-EXP((Tnet-t)/(Tau_j))))*Salcycl</f>
        <v>3.8210084529046284E-2</v>
      </c>
      <c r="P199" s="165">
        <f>(INDEX(Models!$BJ199:$BT199,,T199)*(1-R199)+INDEX(Models!$BJ199:$BT199,,T199+1)*R199-ERP_i)*Q199*Ramure*Pc/MaxiM</f>
        <v>1.3464340850973612E-4</v>
      </c>
      <c r="Q199" s="301">
        <f t="shared" si="53"/>
        <v>0.5</v>
      </c>
      <c r="R199" s="173">
        <f t="shared" si="54"/>
        <v>0.85363887086407431</v>
      </c>
      <c r="S199" s="801">
        <f t="shared" si="55"/>
        <v>1</v>
      </c>
      <c r="T199" s="172">
        <f t="shared" si="56"/>
        <v>7</v>
      </c>
      <c r="U199" s="247">
        <f t="shared" si="57"/>
        <v>1.8536388708640743</v>
      </c>
      <c r="V199" s="378">
        <f t="shared" si="58"/>
        <v>235.20366705967865</v>
      </c>
      <c r="W199" s="397">
        <f t="shared" si="59"/>
        <v>186.67389686396345</v>
      </c>
      <c r="X199" s="153">
        <f t="shared" si="60"/>
        <v>45842</v>
      </c>
      <c r="Y199" s="380">
        <f t="shared" si="61"/>
        <v>181.91666105288061</v>
      </c>
      <c r="Z199" s="380">
        <f t="shared" si="62"/>
        <v>185.48240726044543</v>
      </c>
      <c r="AA199" s="381">
        <f t="shared" si="63"/>
        <v>197.89445338300499</v>
      </c>
      <c r="AB199" s="193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6.2720535671291766E-2</v>
      </c>
      <c r="AD199" s="227">
        <f>(INDEX(Models!$BJ199:$BT199,,AH199)*(1-AF199)+INDEX(Models!$BJ199:$BT199,,AH199+1)*AF199-ERP_i)*AE199*Ramure*Pc/MaxiM</f>
        <v>1.3464340850973612E-4</v>
      </c>
      <c r="AE199" s="301">
        <f t="shared" si="65"/>
        <v>0.5</v>
      </c>
      <c r="AF199" s="173">
        <f t="shared" si="66"/>
        <v>0.85363887086407431</v>
      </c>
      <c r="AG199" s="801">
        <f t="shared" si="74"/>
        <v>1</v>
      </c>
      <c r="AH199" s="172">
        <f t="shared" si="67"/>
        <v>7</v>
      </c>
      <c r="AI199" s="221">
        <f t="shared" si="68"/>
        <v>1.8536388708640743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45843</v>
      </c>
      <c r="B200" s="406">
        <f>'2024'!Wh/'2024'!Env_an*'2025'!Env_an</f>
        <v>224.55199125301112</v>
      </c>
      <c r="C200" s="385"/>
      <c r="D200" s="388">
        <f t="shared" si="50"/>
        <v>228.95656625993797</v>
      </c>
      <c r="E200" s="380">
        <f t="shared" si="75"/>
        <v>238.06681479939104</v>
      </c>
      <c r="F200" s="380">
        <f t="shared" si="51"/>
        <v>238.0977821215767</v>
      </c>
      <c r="G200" s="110">
        <f t="shared" si="76"/>
        <v>0.95570125412292917</v>
      </c>
      <c r="H200" s="409" t="b">
        <f>Wh_hp&gt;='2024'!Maxi_hp</f>
        <v>0</v>
      </c>
      <c r="I200" s="375">
        <f>IF(H200,Wh_hp,'2024'!Maxi_hp)</f>
        <v>238.09957047491525</v>
      </c>
      <c r="J200" s="85">
        <f>IF(H200,An,'2024'!An_max)</f>
        <v>2022</v>
      </c>
      <c r="K200" s="193">
        <f t="shared" si="52"/>
        <v>45843</v>
      </c>
      <c r="L200" s="143">
        <f>IF(t&lt;Tvie,1-EXP((T0-t)*PertePVj)+'2024'!Pspv,1-EXP((T0-t)*PertePVj)+Pspv)</f>
        <v>1.9237600733085225E-2</v>
      </c>
      <c r="M200" s="835"/>
      <c r="N200" s="835"/>
      <c r="O200" s="48">
        <f>IF(t&lt;Tnet,'2024'!Resal+('2024'!Salim-'2024'!Resal)*(1-EXP(('2024'!Tnet-t)/('2024'!Tau_j))),Resal+(Salim-Resal)*(1-EXP((Tnet-t)/(Tau_j))))*Salcycl</f>
        <v>3.8267612170683599E-2</v>
      </c>
      <c r="P200" s="165">
        <f>(INDEX(Models!$BJ200:$BT200,,T200)*(1-R200)+INDEX(Models!$BJ200:$BT200,,T200+1)*R200-ERP_i)*Q200*Ramure*Pc/MaxiM</f>
        <v>1.3884644563785212E-4</v>
      </c>
      <c r="Q200" s="301">
        <f t="shared" si="53"/>
        <v>0.5</v>
      </c>
      <c r="R200" s="173">
        <f t="shared" si="54"/>
        <v>0.85767292922404792</v>
      </c>
      <c r="S200" s="801">
        <f t="shared" si="55"/>
        <v>1</v>
      </c>
      <c r="T200" s="172">
        <f t="shared" si="56"/>
        <v>7</v>
      </c>
      <c r="U200" s="247">
        <f t="shared" si="57"/>
        <v>1.8576729292240479</v>
      </c>
      <c r="V200" s="378">
        <f t="shared" si="58"/>
        <v>234.95837984934869</v>
      </c>
      <c r="W200" s="397">
        <f t="shared" si="59"/>
        <v>224.55199125301112</v>
      </c>
      <c r="X200" s="153">
        <f t="shared" si="60"/>
        <v>45843</v>
      </c>
      <c r="Y200" s="380">
        <f t="shared" si="61"/>
        <v>218.83425975365063</v>
      </c>
      <c r="Z200" s="380">
        <f t="shared" si="62"/>
        <v>223.1266817704487</v>
      </c>
      <c r="AA200" s="381">
        <f t="shared" si="63"/>
        <v>238.06681479939104</v>
      </c>
      <c r="AB200" s="193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6.2756050403462424E-2</v>
      </c>
      <c r="AD200" s="227">
        <f>(INDEX(Models!$BJ200:$BT200,,AH200)*(1-AF200)+INDEX(Models!$BJ200:$BT200,,AH200+1)*AF200-ERP_i)*AE200*Ramure*Pc/MaxiM</f>
        <v>1.3884644563785212E-4</v>
      </c>
      <c r="AE200" s="301">
        <f t="shared" si="65"/>
        <v>0.5</v>
      </c>
      <c r="AF200" s="173">
        <f t="shared" si="66"/>
        <v>0.85767292922404792</v>
      </c>
      <c r="AG200" s="801">
        <f t="shared" si="74"/>
        <v>1</v>
      </c>
      <c r="AH200" s="172">
        <f t="shared" si="67"/>
        <v>7</v>
      </c>
      <c r="AI200" s="221">
        <f t="shared" si="68"/>
        <v>1.8576729292240479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45844</v>
      </c>
      <c r="B201" s="406">
        <f>'2024'!Wh/'2024'!Env_an*'2025'!Env_an</f>
        <v>178.25670075782071</v>
      </c>
      <c r="C201" s="385"/>
      <c r="D201" s="388">
        <f t="shared" si="50"/>
        <v>181.7556842605384</v>
      </c>
      <c r="E201" s="380">
        <f t="shared" si="75"/>
        <v>188.99899090644072</v>
      </c>
      <c r="F201" s="380">
        <f t="shared" si="51"/>
        <v>189.01671432302268</v>
      </c>
      <c r="G201" s="110">
        <f t="shared" si="76"/>
        <v>0.75947730896323418</v>
      </c>
      <c r="H201" s="409" t="b">
        <f>Wh_hp&gt;='2024'!Maxi_hp</f>
        <v>0</v>
      </c>
      <c r="I201" s="375">
        <f>IF(H201,Wh_hp,'2024'!Maxi_hp)</f>
        <v>189.02462826970424</v>
      </c>
      <c r="J201" s="85">
        <f>IF(H201,An,'2024'!An_max)</f>
        <v>2022</v>
      </c>
      <c r="K201" s="193">
        <f t="shared" si="52"/>
        <v>45844</v>
      </c>
      <c r="L201" s="143">
        <f>IF(t&lt;Tvie,1-EXP((T0-t)*PertePVj)+'2024'!Pspv,1-EXP((T0-t)*PertePVj)+Pspv)</f>
        <v>1.9251026546724392E-2</v>
      </c>
      <c r="M201" s="835"/>
      <c r="N201" s="835"/>
      <c r="O201" s="48">
        <f>IF(t&lt;Tnet,'2024'!Resal+('2024'!Salim-'2024'!Resal)*(1-EXP(('2024'!Tnet-t)/('2024'!Tau_j))),Resal+(Salim-Resal)*(1-EXP((Tnet-t)/(Tau_j))))*Salcycl</f>
        <v>3.8324578407341575E-2</v>
      </c>
      <c r="P201" s="165">
        <f>(INDEX(Models!$BJ201:$BT201,,T201)*(1-R201)+INDEX(Models!$BJ201:$BT201,,T201+1)*R201-ERP_i)*Q201*Ramure*Pc/MaxiM</f>
        <v>1.4283872890791735E-4</v>
      </c>
      <c r="Q201" s="301">
        <f t="shared" si="53"/>
        <v>0.5</v>
      </c>
      <c r="R201" s="173">
        <f t="shared" si="54"/>
        <v>0.8616293666851742</v>
      </c>
      <c r="S201" s="801">
        <f t="shared" si="55"/>
        <v>1</v>
      </c>
      <c r="T201" s="172">
        <f t="shared" si="56"/>
        <v>7</v>
      </c>
      <c r="U201" s="247">
        <f t="shared" si="57"/>
        <v>1.8616293666851742</v>
      </c>
      <c r="V201" s="378">
        <f t="shared" si="58"/>
        <v>234.69819356309299</v>
      </c>
      <c r="W201" s="397">
        <f t="shared" si="59"/>
        <v>178.25670075782071</v>
      </c>
      <c r="X201" s="153">
        <f t="shared" si="60"/>
        <v>45844</v>
      </c>
      <c r="Y201" s="380">
        <f t="shared" si="61"/>
        <v>173.7216491038761</v>
      </c>
      <c r="Z201" s="380">
        <f t="shared" si="62"/>
        <v>177.13161451721109</v>
      </c>
      <c r="AA201" s="381">
        <f t="shared" si="63"/>
        <v>188.99899090644072</v>
      </c>
      <c r="AB201" s="193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6.2790686512735325E-2</v>
      </c>
      <c r="AD201" s="227">
        <f>(INDEX(Models!$BJ201:$BT201,,AH201)*(1-AF201)+INDEX(Models!$BJ201:$BT201,,AH201+1)*AF201-ERP_i)*AE201*Ramure*Pc/MaxiM</f>
        <v>1.4283872890791735E-4</v>
      </c>
      <c r="AE201" s="301">
        <f t="shared" si="65"/>
        <v>0.5</v>
      </c>
      <c r="AF201" s="173">
        <f t="shared" si="66"/>
        <v>0.8616293666851742</v>
      </c>
      <c r="AG201" s="801">
        <f t="shared" si="74"/>
        <v>1</v>
      </c>
      <c r="AH201" s="172">
        <f t="shared" si="67"/>
        <v>7</v>
      </c>
      <c r="AI201" s="221">
        <f t="shared" si="68"/>
        <v>1.8616293666851742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45845</v>
      </c>
      <c r="B202" s="406">
        <f>'2024'!Wh/'2024'!Env_an*'2025'!Env_an</f>
        <v>221.52887382461026</v>
      </c>
      <c r="C202" s="385"/>
      <c r="D202" s="388">
        <f t="shared" si="50"/>
        <v>225.88033473065789</v>
      </c>
      <c r="E202" s="380">
        <f t="shared" si="75"/>
        <v>234.89587285052261</v>
      </c>
      <c r="F202" s="380">
        <f t="shared" si="51"/>
        <v>234.92761045862071</v>
      </c>
      <c r="G202" s="110">
        <f t="shared" si="76"/>
        <v>0.94498915677342388</v>
      </c>
      <c r="H202" s="409" t="b">
        <f>Wh_hp&gt;='2024'!Maxi_hp</f>
        <v>0</v>
      </c>
      <c r="I202" s="375">
        <f>IF(H202,Wh_hp,'2024'!Maxi_hp)</f>
        <v>234.92991381410164</v>
      </c>
      <c r="J202" s="85">
        <f>IF(H202,An,'2024'!An_max)</f>
        <v>2022</v>
      </c>
      <c r="K202" s="193">
        <f t="shared" si="52"/>
        <v>45845</v>
      </c>
      <c r="L202" s="143">
        <f>IF(t&lt;Tvie,1-EXP((T0-t)*PertePVj)+'2024'!Pspv,1-EXP((T0-t)*PertePVj)+Pspv)</f>
        <v>1.9264452176575575E-2</v>
      </c>
      <c r="M202" s="835"/>
      <c r="N202" s="835"/>
      <c r="O202" s="48">
        <f>IF(t&lt;Tnet,'2024'!Resal+('2024'!Salim-'2024'!Resal)*(1-EXP(('2024'!Tnet-t)/('2024'!Tau_j))),Resal+(Salim-Resal)*(1-EXP((Tnet-t)/(Tau_j))))*Salcycl</f>
        <v>3.838099839924318E-2</v>
      </c>
      <c r="P202" s="165">
        <f>(INDEX(Models!$BJ202:$BT202,,T202)*(1-R202)+INDEX(Models!$BJ202:$BT202,,T202+1)*R202-ERP_i)*Q202*Ramure*Pc/MaxiM</f>
        <v>1.4661500760634118E-4</v>
      </c>
      <c r="Q202" s="301">
        <f t="shared" si="53"/>
        <v>0.5</v>
      </c>
      <c r="R202" s="173">
        <f t="shared" si="54"/>
        <v>0.86550715840021386</v>
      </c>
      <c r="S202" s="801">
        <f t="shared" si="55"/>
        <v>1</v>
      </c>
      <c r="T202" s="172">
        <f t="shared" si="56"/>
        <v>7</v>
      </c>
      <c r="U202" s="247">
        <f t="shared" si="57"/>
        <v>1.8655071584002139</v>
      </c>
      <c r="V202" s="378">
        <f t="shared" si="58"/>
        <v>234.42207768909304</v>
      </c>
      <c r="W202" s="397">
        <f t="shared" si="59"/>
        <v>221.52887382461026</v>
      </c>
      <c r="X202" s="153">
        <f t="shared" si="60"/>
        <v>45845</v>
      </c>
      <c r="Y202" s="380">
        <f t="shared" si="61"/>
        <v>215.89781309075417</v>
      </c>
      <c r="Z202" s="380">
        <f t="shared" si="62"/>
        <v>220.13866385276094</v>
      </c>
      <c r="AA202" s="381">
        <f t="shared" si="63"/>
        <v>234.89587285052261</v>
      </c>
      <c r="AB202" s="193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6.2824471195168596E-2</v>
      </c>
      <c r="AD202" s="227">
        <f>(INDEX(Models!$BJ202:$BT202,,AH202)*(1-AF202)+INDEX(Models!$BJ202:$BT202,,AH202+1)*AF202-ERP_i)*AE202*Ramure*Pc/MaxiM</f>
        <v>1.4661500760634118E-4</v>
      </c>
      <c r="AE202" s="301">
        <f t="shared" si="65"/>
        <v>0.5</v>
      </c>
      <c r="AF202" s="173">
        <f t="shared" si="66"/>
        <v>0.86550715840021386</v>
      </c>
      <c r="AG202" s="801">
        <f t="shared" si="74"/>
        <v>1</v>
      </c>
      <c r="AH202" s="172">
        <f t="shared" si="67"/>
        <v>7</v>
      </c>
      <c r="AI202" s="221">
        <f t="shared" si="68"/>
        <v>1.8655071584002139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45846</v>
      </c>
      <c r="B203" s="406">
        <f>'2024'!Wh/'2024'!Env_an*'2025'!Env_an</f>
        <v>234.93344827963679</v>
      </c>
      <c r="C203" s="385"/>
      <c r="D203" s="388">
        <f t="shared" si="50"/>
        <v>239.55149263905344</v>
      </c>
      <c r="E203" s="380">
        <f t="shared" si="75"/>
        <v>249.12716562971778</v>
      </c>
      <c r="F203" s="380">
        <f t="shared" si="51"/>
        <v>249.16458276776106</v>
      </c>
      <c r="G203" s="110">
        <f t="shared" si="76"/>
        <v>1.0034359116923774</v>
      </c>
      <c r="H203" s="409" t="b">
        <f>Wh_hp&gt;='2024'!Maxi_hp</f>
        <v>1</v>
      </c>
      <c r="I203" s="375">
        <f>IF(H203,Wh_hp,'2024'!Maxi_hp)</f>
        <v>249.16458276776106</v>
      </c>
      <c r="J203" s="85">
        <f>IF(H203,An,'2024'!An_max)</f>
        <v>2025</v>
      </c>
      <c r="K203" s="193">
        <f t="shared" si="52"/>
        <v>45846</v>
      </c>
      <c r="L203" s="143">
        <f>IF(t&lt;Tvie,1-EXP((T0-t)*PertePVj)+'2024'!Pspv,1-EXP((T0-t)*PertePVj)+Pspv)</f>
        <v>1.9277877622640993E-2</v>
      </c>
      <c r="M203" s="835"/>
      <c r="N203" s="835"/>
      <c r="O203" s="48">
        <f>IF(t&lt;Tnet,'2024'!Resal+('2024'!Salim-'2024'!Resal)*(1-EXP(('2024'!Tnet-t)/('2024'!Tau_j))),Resal+(Salim-Resal)*(1-EXP((Tnet-t)/(Tau_j))))*Salcycl</f>
        <v>3.8436888110776481E-2</v>
      </c>
      <c r="P203" s="165">
        <f>(INDEX(Models!$BJ203:$BT203,,T203)*(1-R203)+INDEX(Models!$BJ203:$BT203,,T203+1)*R203-ERP_i)*Q203*Ramure*Pc/MaxiM</f>
        <v>1.5017037183871545E-4</v>
      </c>
      <c r="Q203" s="301">
        <f t="shared" si="53"/>
        <v>0.5</v>
      </c>
      <c r="R203" s="173">
        <f t="shared" si="54"/>
        <v>0.86930544996581616</v>
      </c>
      <c r="S203" s="801">
        <f t="shared" si="55"/>
        <v>1</v>
      </c>
      <c r="T203" s="172">
        <f t="shared" si="56"/>
        <v>7</v>
      </c>
      <c r="U203" s="247">
        <f t="shared" si="57"/>
        <v>1.8693054499658162</v>
      </c>
      <c r="V203" s="378">
        <f t="shared" si="58"/>
        <v>234.12900170515334</v>
      </c>
      <c r="W203" s="397">
        <f t="shared" si="59"/>
        <v>234.93344827963679</v>
      </c>
      <c r="X203" s="153">
        <f t="shared" si="60"/>
        <v>45846</v>
      </c>
      <c r="Y203" s="380">
        <f t="shared" si="61"/>
        <v>228.96691034366805</v>
      </c>
      <c r="Z203" s="380">
        <f t="shared" si="62"/>
        <v>233.46767154454676</v>
      </c>
      <c r="AA203" s="381">
        <f t="shared" si="63"/>
        <v>249.12716562971778</v>
      </c>
      <c r="AB203" s="193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6.2857432851967696E-2</v>
      </c>
      <c r="AD203" s="227">
        <f>(INDEX(Models!$BJ203:$BT203,,AH203)*(1-AF203)+INDEX(Models!$BJ203:$BT203,,AH203+1)*AF203-ERP_i)*AE203*Ramure*Pc/MaxiM</f>
        <v>1.5017037183871545E-4</v>
      </c>
      <c r="AE203" s="301">
        <f t="shared" si="65"/>
        <v>0.5</v>
      </c>
      <c r="AF203" s="173">
        <f t="shared" si="66"/>
        <v>0.86930544996581616</v>
      </c>
      <c r="AG203" s="801">
        <f t="shared" si="74"/>
        <v>1</v>
      </c>
      <c r="AH203" s="172">
        <f t="shared" si="67"/>
        <v>7</v>
      </c>
      <c r="AI203" s="221">
        <f t="shared" si="68"/>
        <v>1.8693054499658162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45847</v>
      </c>
      <c r="B204" s="406">
        <f>'2024'!Wh/'2024'!Env_an*'2025'!Env_an</f>
        <v>232.47882344914026</v>
      </c>
      <c r="C204" s="385"/>
      <c r="D204" s="388">
        <f t="shared" si="50"/>
        <v>237.05186273254915</v>
      </c>
      <c r="E204" s="380">
        <f t="shared" si="75"/>
        <v>246.54181542766349</v>
      </c>
      <c r="F204" s="380">
        <f t="shared" si="51"/>
        <v>246.57935574226858</v>
      </c>
      <c r="G204" s="110">
        <f t="shared" si="76"/>
        <v>0.99427159573495394</v>
      </c>
      <c r="H204" s="409" t="b">
        <f>Wh_hp&gt;='2024'!Maxi_hp</f>
        <v>0</v>
      </c>
      <c r="I204" s="375">
        <f>IF(H204,Wh_hp,'2024'!Maxi_hp)</f>
        <v>246.57961768675807</v>
      </c>
      <c r="J204" s="85">
        <f>IF(H204,An,'2024'!An_max)</f>
        <v>2022</v>
      </c>
      <c r="K204" s="193">
        <f t="shared" si="52"/>
        <v>45847</v>
      </c>
      <c r="L204" s="143">
        <f>IF(t&lt;Tvie,1-EXP((T0-t)*PertePVj)+'2024'!Pspv,1-EXP((T0-t)*PertePVj)+Pspv)</f>
        <v>1.9291302884923422E-2</v>
      </c>
      <c r="M204" s="835"/>
      <c r="N204" s="835"/>
      <c r="O204" s="48">
        <f>IF(t&lt;Tnet,'2024'!Resal+('2024'!Salim-'2024'!Resal)*(1-EXP(('2024'!Tnet-t)/('2024'!Tau_j))),Resal+(Salim-Resal)*(1-EXP((Tnet-t)/(Tau_j))))*Salcycl</f>
        <v>3.8492264197262475E-2</v>
      </c>
      <c r="P204" s="165">
        <f>(INDEX(Models!$BJ204:$BT204,,T204)*(1-R204)+INDEX(Models!$BJ204:$BT204,,T204+1)*R204-ERP_i)*Q204*Ramure*Pc/MaxiM</f>
        <v>1.535002388276133E-4</v>
      </c>
      <c r="Q204" s="301">
        <f t="shared" si="53"/>
        <v>0.5</v>
      </c>
      <c r="R204" s="173">
        <f t="shared" si="54"/>
        <v>0.87302355309126822</v>
      </c>
      <c r="S204" s="801">
        <f t="shared" si="55"/>
        <v>1</v>
      </c>
      <c r="T204" s="172">
        <f t="shared" si="56"/>
        <v>7</v>
      </c>
      <c r="U204" s="247">
        <f t="shared" si="57"/>
        <v>1.8730235530912682</v>
      </c>
      <c r="V204" s="378">
        <f t="shared" si="58"/>
        <v>233.81793509458336</v>
      </c>
      <c r="W204" s="397">
        <f t="shared" si="59"/>
        <v>232.47882344914026</v>
      </c>
      <c r="X204" s="153">
        <f t="shared" si="60"/>
        <v>45847</v>
      </c>
      <c r="Y204" s="380">
        <f t="shared" si="61"/>
        <v>226.5798962532314</v>
      </c>
      <c r="Z204" s="380">
        <f t="shared" si="62"/>
        <v>231.03689905040625</v>
      </c>
      <c r="AA204" s="381">
        <f t="shared" si="63"/>
        <v>246.54181542766349</v>
      </c>
      <c r="AB204" s="193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6.2889600899391648E-2</v>
      </c>
      <c r="AD204" s="227">
        <f>(INDEX(Models!$BJ204:$BT204,,AH204)*(1-AF204)+INDEX(Models!$BJ204:$BT204,,AH204+1)*AF204-ERP_i)*AE204*Ramure*Pc/MaxiM</f>
        <v>1.535002388276133E-4</v>
      </c>
      <c r="AE204" s="301">
        <f t="shared" si="65"/>
        <v>0.5</v>
      </c>
      <c r="AF204" s="173">
        <f t="shared" si="66"/>
        <v>0.87302355309126822</v>
      </c>
      <c r="AG204" s="801">
        <f t="shared" si="74"/>
        <v>1</v>
      </c>
      <c r="AH204" s="172">
        <f t="shared" si="67"/>
        <v>7</v>
      </c>
      <c r="AI204" s="221">
        <f t="shared" si="68"/>
        <v>1.8730235530912682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45848</v>
      </c>
      <c r="B205" s="406">
        <f>'2024'!Wh/'2024'!Env_an*'2025'!Env_an</f>
        <v>230.61190237273325</v>
      </c>
      <c r="C205" s="385"/>
      <c r="D205" s="388">
        <f t="shared" si="50"/>
        <v>235.15143689214469</v>
      </c>
      <c r="E205" s="380">
        <f t="shared" si="75"/>
        <v>244.57926917354186</v>
      </c>
      <c r="F205" s="380">
        <f t="shared" si="51"/>
        <v>244.61690206958625</v>
      </c>
      <c r="G205" s="110">
        <f t="shared" si="76"/>
        <v>0.98767850218557196</v>
      </c>
      <c r="H205" s="409" t="b">
        <f>Wh_hp&gt;='2024'!Maxi_hp</f>
        <v>0</v>
      </c>
      <c r="I205" s="375">
        <f>IF(H205,Wh_hp,'2024'!Maxi_hp)</f>
        <v>244.61747019264928</v>
      </c>
      <c r="J205" s="85">
        <f>IF(H205,An,'2024'!An_max)</f>
        <v>2022</v>
      </c>
      <c r="K205" s="193">
        <f t="shared" si="52"/>
        <v>45848</v>
      </c>
      <c r="L205" s="143">
        <f>IF(t&lt;Tvie,1-EXP((T0-t)*PertePVj)+'2024'!Pspv,1-EXP((T0-t)*PertePVj)+Pspv)</f>
        <v>1.9304727963425306E-2</v>
      </c>
      <c r="M205" s="835"/>
      <c r="N205" s="835"/>
      <c r="O205" s="48">
        <f>IF(t&lt;Tnet,'2024'!Resal+('2024'!Salim-'2024'!Resal)*(1-EXP(('2024'!Tnet-t)/('2024'!Tau_j))),Resal+(Salim-Resal)*(1-EXP((Tnet-t)/(Tau_j))))*Salcycl</f>
        <v>3.8547143890219147E-2</v>
      </c>
      <c r="P205" s="165">
        <f>(INDEX(Models!$BJ205:$BT205,,T205)*(1-R205)+INDEX(Models!$BJ205:$BT205,,T205+1)*R205-ERP_i)*Q205*Ramure*Pc/MaxiM</f>
        <v>1.5660010606558959E-4</v>
      </c>
      <c r="Q205" s="301">
        <f t="shared" si="53"/>
        <v>0.5</v>
      </c>
      <c r="R205" s="173">
        <f t="shared" si="54"/>
        <v>0.87666094073909706</v>
      </c>
      <c r="S205" s="801">
        <f t="shared" si="55"/>
        <v>1</v>
      </c>
      <c r="T205" s="172">
        <f t="shared" si="56"/>
        <v>7</v>
      </c>
      <c r="U205" s="247">
        <f t="shared" si="57"/>
        <v>1.8766609407390971</v>
      </c>
      <c r="V205" s="378">
        <f t="shared" si="58"/>
        <v>233.48819096910896</v>
      </c>
      <c r="W205" s="397">
        <f t="shared" si="59"/>
        <v>230.61190237273325</v>
      </c>
      <c r="X205" s="153">
        <f t="shared" si="60"/>
        <v>45848</v>
      </c>
      <c r="Y205" s="380">
        <f t="shared" si="61"/>
        <v>224.7656431660489</v>
      </c>
      <c r="Z205" s="380">
        <f t="shared" si="62"/>
        <v>229.19009561378445</v>
      </c>
      <c r="AA205" s="381">
        <f t="shared" si="63"/>
        <v>244.57926917354186</v>
      </c>
      <c r="AB205" s="193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6.2921005577287831E-2</v>
      </c>
      <c r="AD205" s="227">
        <f>(INDEX(Models!$BJ205:$BT205,,AH205)*(1-AF205)+INDEX(Models!$BJ205:$BT205,,AH205+1)*AF205-ERP_i)*AE205*Ramure*Pc/MaxiM</f>
        <v>1.5660010606558959E-4</v>
      </c>
      <c r="AE205" s="301">
        <f t="shared" si="65"/>
        <v>0.5</v>
      </c>
      <c r="AF205" s="173">
        <f t="shared" si="66"/>
        <v>0.87666094073909706</v>
      </c>
      <c r="AG205" s="801">
        <f t="shared" si="74"/>
        <v>1</v>
      </c>
      <c r="AH205" s="172">
        <f t="shared" si="67"/>
        <v>7</v>
      </c>
      <c r="AI205" s="221">
        <f t="shared" si="68"/>
        <v>1.8766609407390971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45849</v>
      </c>
      <c r="B206" s="406">
        <f>'2024'!Wh/'2024'!Env_an*'2025'!Env_an</f>
        <v>224.36855518191251</v>
      </c>
      <c r="C206" s="385"/>
      <c r="D206" s="388">
        <f t="shared" si="50"/>
        <v>228.78832297734851</v>
      </c>
      <c r="E206" s="380">
        <f t="shared" si="75"/>
        <v>237.97450657361739</v>
      </c>
      <c r="F206" s="380">
        <f t="shared" si="51"/>
        <v>238.01044026857934</v>
      </c>
      <c r="G206" s="110">
        <f t="shared" si="76"/>
        <v>0.96236686328412469</v>
      </c>
      <c r="H206" s="409" t="b">
        <f>Wh_hp&gt;='2024'!Maxi_hp</f>
        <v>0</v>
      </c>
      <c r="I206" s="375">
        <f>IF(H206,Wh_hp,'2024'!Maxi_hp)</f>
        <v>238.01215341902494</v>
      </c>
      <c r="J206" s="85">
        <f>IF(H206,An,'2024'!An_max)</f>
        <v>2022</v>
      </c>
      <c r="K206" s="193">
        <f t="shared" si="52"/>
        <v>45849</v>
      </c>
      <c r="L206" s="143">
        <f>IF(t&lt;Tvie,1-EXP((T0-t)*PertePVj)+'2024'!Pspv,1-EXP((T0-t)*PertePVj)+Pspv)</f>
        <v>1.9318152858149085E-2</v>
      </c>
      <c r="M206" s="835"/>
      <c r="N206" s="835"/>
      <c r="O206" s="48">
        <f>IF(t&lt;Tnet,'2024'!Resal+('2024'!Salim-'2024'!Resal)*(1-EXP(('2024'!Tnet-t)/('2024'!Tau_j))),Resal+(Salim-Resal)*(1-EXP((Tnet-t)/(Tau_j))))*Salcycl</f>
        <v>3.8601544881981385E-2</v>
      </c>
      <c r="P206" s="165">
        <f>(INDEX(Models!$BJ206:$BT206,,T206)*(1-R206)+INDEX(Models!$BJ206:$BT206,,T206+1)*R206-ERP_i)*Q206*Ramure*Pc/MaxiM</f>
        <v>1.5955113552533622E-4</v>
      </c>
      <c r="Q206" s="301">
        <f t="shared" si="53"/>
        <v>0.5</v>
      </c>
      <c r="R206" s="173">
        <f t="shared" si="54"/>
        <v>0.88021724179746119</v>
      </c>
      <c r="S206" s="801">
        <f t="shared" si="55"/>
        <v>1</v>
      </c>
      <c r="T206" s="172">
        <f t="shared" si="56"/>
        <v>7</v>
      </c>
      <c r="U206" s="247">
        <f t="shared" si="57"/>
        <v>1.8802172417974612</v>
      </c>
      <c r="V206" s="378">
        <f t="shared" si="58"/>
        <v>233.14043666816696</v>
      </c>
      <c r="W206" s="397">
        <f t="shared" si="59"/>
        <v>224.36855518191251</v>
      </c>
      <c r="X206" s="153">
        <f t="shared" si="60"/>
        <v>45849</v>
      </c>
      <c r="Y206" s="380">
        <f t="shared" si="61"/>
        <v>218.6857874359078</v>
      </c>
      <c r="Z206" s="380">
        <f t="shared" si="62"/>
        <v>222.99361212125706</v>
      </c>
      <c r="AA206" s="381">
        <f t="shared" si="63"/>
        <v>237.97450657361739</v>
      </c>
      <c r="AB206" s="193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6.2951677757659294E-2</v>
      </c>
      <c r="AD206" s="227">
        <f>(INDEX(Models!$BJ206:$BT206,,AH206)*(1-AF206)+INDEX(Models!$BJ206:$BT206,,AH206+1)*AF206-ERP_i)*AE206*Ramure*Pc/MaxiM</f>
        <v>1.5955113552533622E-4</v>
      </c>
      <c r="AE206" s="301">
        <f t="shared" si="65"/>
        <v>0.5</v>
      </c>
      <c r="AF206" s="173">
        <f t="shared" si="66"/>
        <v>0.88021724179746119</v>
      </c>
      <c r="AG206" s="801">
        <f t="shared" si="74"/>
        <v>1</v>
      </c>
      <c r="AH206" s="172">
        <f t="shared" si="67"/>
        <v>7</v>
      </c>
      <c r="AI206" s="221">
        <f t="shared" si="68"/>
        <v>1.8802172417974612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45850</v>
      </c>
      <c r="B207" s="406">
        <f>'2024'!Wh/'2024'!Env_an*'2025'!Env_an</f>
        <v>221.73994242892985</v>
      </c>
      <c r="C207" s="385"/>
      <c r="D207" s="388">
        <f t="shared" ref="D207:D270" si="77">Wh/(1-Ppv)</f>
        <v>226.11102525283314</v>
      </c>
      <c r="E207" s="380">
        <f t="shared" si="75"/>
        <v>235.20290777583588</v>
      </c>
      <c r="F207" s="380">
        <f t="shared" ref="F207:F270" si="78">Wh_sa/(1-Pvg*MEDIAN((-Sdif+Wh/Env_an)/Csdif,0,1))</f>
        <v>235.23850624685898</v>
      </c>
      <c r="G207" s="110">
        <f t="shared" si="76"/>
        <v>0.95258008440379638</v>
      </c>
      <c r="H207" s="409" t="b">
        <f>Wh_hp&gt;='2024'!Maxi_hp</f>
        <v>0</v>
      </c>
      <c r="I207" s="375">
        <f>IF(H207,Wh_hp,'2024'!Maxi_hp)</f>
        <v>235.24066730819968</v>
      </c>
      <c r="J207" s="85">
        <f>IF(H207,An,'2024'!An_max)</f>
        <v>2022</v>
      </c>
      <c r="K207" s="193">
        <f t="shared" ref="K207:K270" si="79">t</f>
        <v>45850</v>
      </c>
      <c r="L207" s="143">
        <f>IF(t&lt;Tvie,1-EXP((T0-t)*PertePVj)+'2024'!Pspv,1-EXP((T0-t)*PertePVj)+Pspv)</f>
        <v>1.9331577569097425E-2</v>
      </c>
      <c r="M207" s="835"/>
      <c r="N207" s="835"/>
      <c r="O207" s="48">
        <f>IF(t&lt;Tnet,'2024'!Resal+('2024'!Salim-'2024'!Resal)*(1-EXP(('2024'!Tnet-t)/('2024'!Tau_j))),Resal+(Salim-Resal)*(1-EXP((Tnet-t)/(Tau_j))))*Salcycl</f>
        <v>3.8655485210531117E-2</v>
      </c>
      <c r="P207" s="165">
        <f>(INDEX(Models!$BJ207:$BT207,,T207)*(1-R207)+INDEX(Models!$BJ207:$BT207,,T207+1)*R207-ERP_i)*Q207*Ramure*Pc/MaxiM</f>
        <v>1.6232304683410682E-4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0.8836922353441794</v>
      </c>
      <c r="S207" s="801">
        <f t="shared" ref="S207:S270" si="82">INDEX(Echel_vg,T207)</f>
        <v>1</v>
      </c>
      <c r="T207" s="172">
        <f t="shared" ref="T207:T270" si="83">MIN(MATCH(Hp_vg,Echel_vg),10)</f>
        <v>7</v>
      </c>
      <c r="U207" s="247">
        <f t="shared" ref="U207:U270" si="84">IF(OR(t&lt;Ttai,Notai),Hdd+PousH*Croivg,Hdtf+PousH*(Croivg-Croi_tai))</f>
        <v>1.8836922353441794</v>
      </c>
      <c r="V207" s="378">
        <f t="shared" ref="V207:V270" si="85">MaxiM*(1-Ppv)*(1-Pvg)*(1-Psa)</f>
        <v>232.77570876251218</v>
      </c>
      <c r="W207" s="397">
        <f t="shared" ref="W207:W270" si="86">Wh*(A207&gt;Tmaj)</f>
        <v>221.73994242892985</v>
      </c>
      <c r="X207" s="153">
        <f t="shared" ref="X207:X270" si="87">t</f>
        <v>45850</v>
      </c>
      <c r="Y207" s="380">
        <f t="shared" ref="Y207:Y270" si="88">Wh_pvt_s*(1-Ppv)</f>
        <v>216.12896528098113</v>
      </c>
      <c r="Z207" s="380">
        <f t="shared" ref="Z207:Z270" si="89">Wh_sa_s*(1-Psa_s)</f>
        <v>220.38944085222596</v>
      </c>
      <c r="AA207" s="381">
        <f t="shared" ref="AA207:AA270" si="90">Wh_hp*(1-Pvg_s*MEDIAN((-Sdif+Wh/Env_an)/Csdif,0,1))</f>
        <v>235.20290777583588</v>
      </c>
      <c r="AB207" s="193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6.2981648754649566E-2</v>
      </c>
      <c r="AD207" s="227">
        <f>(INDEX(Models!$BJ207:$BT207,,AH207)*(1-AF207)+INDEX(Models!$BJ207:$BT207,,AH207+1)*AF207-ERP_i)*AE207*Ramure*Pc/MaxiM</f>
        <v>1.6232304683410682E-4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0.8836922353441794</v>
      </c>
      <c r="AG207" s="801">
        <f t="shared" si="74"/>
        <v>1</v>
      </c>
      <c r="AH207" s="172">
        <f t="shared" ref="AH207:AH270" si="94">MIN(MATCH(Hp_vg_s,Echel_vg),10)</f>
        <v>7</v>
      </c>
      <c r="AI207" s="221">
        <f t="shared" ref="AI207:AI270" si="95">IF(OR(t&lt;Ttai,Notai),Hdd_s+PousH*Croivg,Hdtai_s+PousH*(Croivg-Croi_tai))</f>
        <v>1.8836922353441794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45851</v>
      </c>
      <c r="B208" s="406">
        <f>'2024'!Wh/'2024'!Env_an*'2025'!Env_an</f>
        <v>221.87130371638247</v>
      </c>
      <c r="C208" s="385"/>
      <c r="D208" s="388">
        <f t="shared" si="77"/>
        <v>226.24807316605751</v>
      </c>
      <c r="E208" s="380">
        <f t="shared" si="75"/>
        <v>235.35856384713711</v>
      </c>
      <c r="F208" s="380">
        <f t="shared" si="78"/>
        <v>235.39487200194947</v>
      </c>
      <c r="G208" s="110">
        <f t="shared" si="76"/>
        <v>0.95470599966669978</v>
      </c>
      <c r="H208" s="409" t="b">
        <f>Wh_hp&gt;='2024'!Maxi_hp</f>
        <v>0</v>
      </c>
      <c r="I208" s="375">
        <f>IF(H208,Wh_hp,'2024'!Maxi_hp)</f>
        <v>235.39696058537044</v>
      </c>
      <c r="J208" s="85">
        <f>IF(H208,An,'2024'!An_max)</f>
        <v>2022</v>
      </c>
      <c r="K208" s="193">
        <f t="shared" si="79"/>
        <v>45851</v>
      </c>
      <c r="L208" s="143">
        <f>IF(t&lt;Tvie,1-EXP((T0-t)*PertePVj)+'2024'!Pspv,1-EXP((T0-t)*PertePVj)+Pspv)</f>
        <v>1.9345002096272657E-2</v>
      </c>
      <c r="M208" s="835"/>
      <c r="N208" s="835"/>
      <c r="O208" s="48">
        <f>IF(t&lt;Tnet,'2024'!Resal+('2024'!Salim-'2024'!Resal)*(1-EXP(('2024'!Tnet-t)/('2024'!Tau_j))),Resal+(Salim-Resal)*(1-EXP((Tnet-t)/(Tau_j))))*Salcycl</f>
        <v>3.8708983145379607E-2</v>
      </c>
      <c r="P208" s="165">
        <f>(INDEX(Models!$BJ208:$BT208,,T208)*(1-R208)+INDEX(Models!$BJ208:$BT208,,T208+1)*R208-ERP_i)*Q208*Ramure*Pc/MaxiM</f>
        <v>1.6491195600154174E-4</v>
      </c>
      <c r="Q208" s="301">
        <f t="shared" si="80"/>
        <v>0.5</v>
      </c>
      <c r="R208" s="173">
        <f t="shared" si="81"/>
        <v>0.88708584456152484</v>
      </c>
      <c r="S208" s="801">
        <f t="shared" si="82"/>
        <v>1</v>
      </c>
      <c r="T208" s="172">
        <f t="shared" si="83"/>
        <v>7</v>
      </c>
      <c r="U208" s="247">
        <f t="shared" si="84"/>
        <v>1.8870858445615248</v>
      </c>
      <c r="V208" s="378">
        <f t="shared" si="85"/>
        <v>232.39503724584691</v>
      </c>
      <c r="W208" s="397">
        <f t="shared" si="86"/>
        <v>221.87130371638247</v>
      </c>
      <c r="X208" s="153">
        <f t="shared" si="87"/>
        <v>45851</v>
      </c>
      <c r="Y208" s="380">
        <f t="shared" si="88"/>
        <v>216.26227481167859</v>
      </c>
      <c r="Z208" s="380">
        <f t="shared" si="89"/>
        <v>220.52839711617872</v>
      </c>
      <c r="AA208" s="381">
        <f t="shared" si="90"/>
        <v>235.35856384713711</v>
      </c>
      <c r="AB208" s="193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6.3010950137299473E-2</v>
      </c>
      <c r="AD208" s="227">
        <f>(INDEX(Models!$BJ208:$BT208,,AH208)*(1-AF208)+INDEX(Models!$BJ208:$BT208,,AH208+1)*AF208-ERP_i)*AE208*Ramure*Pc/MaxiM</f>
        <v>1.6491195600154174E-4</v>
      </c>
      <c r="AE208" s="301">
        <f t="shared" si="92"/>
        <v>0.5</v>
      </c>
      <c r="AF208" s="173">
        <f t="shared" si="93"/>
        <v>0.88708584456152484</v>
      </c>
      <c r="AG208" s="801">
        <f t="shared" ref="AG208:AG271" si="99">INDEX(Echel_vg,AH208)</f>
        <v>1</v>
      </c>
      <c r="AH208" s="172">
        <f t="shared" si="94"/>
        <v>7</v>
      </c>
      <c r="AI208" s="221">
        <f t="shared" si="95"/>
        <v>1.8870858445615248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45852</v>
      </c>
      <c r="B209" s="406">
        <f>'2024'!Wh/'2024'!Env_an*'2025'!Env_an</f>
        <v>219.4761457762616</v>
      </c>
      <c r="C209" s="385"/>
      <c r="D209" s="388">
        <f t="shared" si="77"/>
        <v>223.80873062461578</v>
      </c>
      <c r="E209" s="380">
        <f t="shared" si="75"/>
        <v>232.83384959155055</v>
      </c>
      <c r="F209" s="380">
        <f t="shared" si="78"/>
        <v>232.86980744325444</v>
      </c>
      <c r="G209" s="110">
        <f t="shared" si="76"/>
        <v>0.94600789771155758</v>
      </c>
      <c r="H209" s="409" t="b">
        <f>Wh_hp&gt;='2024'!Maxi_hp</f>
        <v>0</v>
      </c>
      <c r="I209" s="375">
        <f>IF(H209,Wh_hp,'2024'!Maxi_hp)</f>
        <v>232.87229363523201</v>
      </c>
      <c r="J209" s="85">
        <f>IF(H209,An,'2024'!An_max)</f>
        <v>2022</v>
      </c>
      <c r="K209" s="193">
        <f t="shared" si="79"/>
        <v>45852</v>
      </c>
      <c r="L209" s="143">
        <f>IF(t&lt;Tvie,1-EXP((T0-t)*PertePVj)+'2024'!Pspv,1-EXP((T0-t)*PertePVj)+Pspv)</f>
        <v>1.9358426439677334E-2</v>
      </c>
      <c r="M209" s="835"/>
      <c r="N209" s="835"/>
      <c r="O209" s="48">
        <f>IF(t&lt;Tnet,'2024'!Resal+('2024'!Salim-'2024'!Resal)*(1-EXP(('2024'!Tnet-t)/('2024'!Tau_j))),Resal+(Salim-Resal)*(1-EXP((Tnet-t)/(Tau_j))))*Salcycl</f>
        <v>3.8762057075322674E-2</v>
      </c>
      <c r="P209" s="165">
        <f>(INDEX(Models!$BJ209:$BT209,,T209)*(1-R209)+INDEX(Models!$BJ209:$BT209,,T209+1)*R209-ERP_i)*Q209*Ramure*Pc/MaxiM</f>
        <v>1.6731410654253733E-4</v>
      </c>
      <c r="Q209" s="301">
        <f t="shared" si="80"/>
        <v>0.5</v>
      </c>
      <c r="R209" s="173">
        <f t="shared" si="81"/>
        <v>0.89039813035965776</v>
      </c>
      <c r="S209" s="801">
        <f t="shared" si="82"/>
        <v>1</v>
      </c>
      <c r="T209" s="172">
        <f t="shared" si="83"/>
        <v>7</v>
      </c>
      <c r="U209" s="247">
        <f t="shared" si="84"/>
        <v>1.8903981303596578</v>
      </c>
      <c r="V209" s="378">
        <f t="shared" si="85"/>
        <v>231.99945172402442</v>
      </c>
      <c r="W209" s="397">
        <f t="shared" si="86"/>
        <v>219.4761457762616</v>
      </c>
      <c r="X209" s="153">
        <f t="shared" si="87"/>
        <v>45852</v>
      </c>
      <c r="Y209" s="380">
        <f t="shared" si="88"/>
        <v>213.9329350006627</v>
      </c>
      <c r="Z209" s="380">
        <f t="shared" si="89"/>
        <v>218.15609369278178</v>
      </c>
      <c r="AA209" s="381">
        <f t="shared" si="90"/>
        <v>232.83384959155055</v>
      </c>
      <c r="AB209" s="193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6.3039613546386181E-2</v>
      </c>
      <c r="AD209" s="227">
        <f>(INDEX(Models!$BJ209:$BT209,,AH209)*(1-AF209)+INDEX(Models!$BJ209:$BT209,,AH209+1)*AF209-ERP_i)*AE209*Ramure*Pc/MaxiM</f>
        <v>1.6731410654253733E-4</v>
      </c>
      <c r="AE209" s="301">
        <f t="shared" si="92"/>
        <v>0.5</v>
      </c>
      <c r="AF209" s="173">
        <f t="shared" si="93"/>
        <v>0.89039813035965776</v>
      </c>
      <c r="AG209" s="801">
        <f t="shared" si="99"/>
        <v>1</v>
      </c>
      <c r="AH209" s="172">
        <f t="shared" si="94"/>
        <v>7</v>
      </c>
      <c r="AI209" s="221">
        <f t="shared" si="95"/>
        <v>1.8903981303596578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45853</v>
      </c>
      <c r="B210" s="406">
        <f>'2024'!Wh/'2024'!Env_an*'2025'!Env_an</f>
        <v>210.53024192142396</v>
      </c>
      <c r="C210" s="385"/>
      <c r="D210" s="388">
        <f t="shared" si="77"/>
        <v>214.68916841729478</v>
      </c>
      <c r="E210" s="380">
        <f t="shared" si="75"/>
        <v>223.35877805284107</v>
      </c>
      <c r="F210" s="380">
        <f t="shared" si="78"/>
        <v>223.39172903298788</v>
      </c>
      <c r="G210" s="110">
        <f t="shared" si="76"/>
        <v>0.90904452555383231</v>
      </c>
      <c r="H210" s="409" t="b">
        <f>Wh_hp&gt;='2024'!Maxi_hp</f>
        <v>0</v>
      </c>
      <c r="I210" s="375">
        <f>IF(H210,Wh_hp,'2024'!Maxi_hp)</f>
        <v>223.39577791236005</v>
      </c>
      <c r="J210" s="85">
        <f>IF(H210,An,'2024'!An_max)</f>
        <v>2022</v>
      </c>
      <c r="K210" s="193">
        <f t="shared" si="79"/>
        <v>45853</v>
      </c>
      <c r="L210" s="143">
        <f>IF(t&lt;Tvie,1-EXP((T0-t)*PertePVj)+'2024'!Pspv,1-EXP((T0-t)*PertePVj)+Pspv)</f>
        <v>1.9371850599314122E-2</v>
      </c>
      <c r="M210" s="835"/>
      <c r="N210" s="835"/>
      <c r="O210" s="48">
        <f>IF(t&lt;Tnet,'2024'!Resal+('2024'!Salim-'2024'!Resal)*(1-EXP(('2024'!Tnet-t)/('2024'!Tau_j))),Resal+(Salim-Resal)*(1-EXP((Tnet-t)/(Tau_j))))*Salcycl</f>
        <v>3.8814725398861494E-2</v>
      </c>
      <c r="P210" s="165">
        <f>(INDEX(Models!$BJ210:$BT210,,T210)*(1-R210)+INDEX(Models!$BJ210:$BT210,,T210+1)*R210-ERP_i)*Q210*Ramure*Pc/MaxiM</f>
        <v>1.6952586397273424E-4</v>
      </c>
      <c r="Q210" s="301">
        <f t="shared" si="80"/>
        <v>0.5</v>
      </c>
      <c r="R210" s="173">
        <f t="shared" si="81"/>
        <v>0.89362928476481018</v>
      </c>
      <c r="S210" s="801">
        <f t="shared" si="82"/>
        <v>1</v>
      </c>
      <c r="T210" s="172">
        <f t="shared" si="83"/>
        <v>7</v>
      </c>
      <c r="U210" s="247">
        <f t="shared" si="84"/>
        <v>1.8936292847648102</v>
      </c>
      <c r="V210" s="378">
        <f t="shared" si="85"/>
        <v>231.58998142418338</v>
      </c>
      <c r="W210" s="397">
        <f t="shared" si="86"/>
        <v>210.53024192142396</v>
      </c>
      <c r="X210" s="153">
        <f t="shared" si="87"/>
        <v>45853</v>
      </c>
      <c r="Y210" s="380">
        <f t="shared" si="88"/>
        <v>205.21807314619659</v>
      </c>
      <c r="Z210" s="380">
        <f t="shared" si="89"/>
        <v>209.27206023161409</v>
      </c>
      <c r="AA210" s="381">
        <f t="shared" si="90"/>
        <v>223.35877805284107</v>
      </c>
      <c r="AB210" s="193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6.3067670516599991E-2</v>
      </c>
      <c r="AD210" s="227">
        <f>(INDEX(Models!$BJ210:$BT210,,AH210)*(1-AF210)+INDEX(Models!$BJ210:$BT210,,AH210+1)*AF210-ERP_i)*AE210*Ramure*Pc/MaxiM</f>
        <v>1.6952586397273424E-4</v>
      </c>
      <c r="AE210" s="301">
        <f t="shared" si="92"/>
        <v>0.5</v>
      </c>
      <c r="AF210" s="173">
        <f t="shared" si="93"/>
        <v>0.89362928476481018</v>
      </c>
      <c r="AG210" s="801">
        <f t="shared" si="99"/>
        <v>1</v>
      </c>
      <c r="AH210" s="172">
        <f t="shared" si="94"/>
        <v>7</v>
      </c>
      <c r="AI210" s="221">
        <f t="shared" si="95"/>
        <v>1.8936292847648102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45854</v>
      </c>
      <c r="B211" s="406">
        <f>'2024'!Wh/'2024'!Env_an*'2025'!Env_an</f>
        <v>216.08100352789575</v>
      </c>
      <c r="C211" s="385"/>
      <c r="D211" s="388">
        <f t="shared" si="77"/>
        <v>220.35259916608612</v>
      </c>
      <c r="E211" s="380">
        <f t="shared" si="75"/>
        <v>229.26338044527563</v>
      </c>
      <c r="F211" s="380">
        <f t="shared" si="78"/>
        <v>229.29904796836348</v>
      </c>
      <c r="G211" s="110">
        <f t="shared" si="76"/>
        <v>0.93472223375922503</v>
      </c>
      <c r="H211" s="409" t="b">
        <f>Wh_hp&gt;='2024'!Maxi_hp</f>
        <v>0</v>
      </c>
      <c r="I211" s="375">
        <f>IF(H211,Wh_hp,'2024'!Maxi_hp)</f>
        <v>229.30204866300306</v>
      </c>
      <c r="J211" s="85">
        <f>IF(H211,An,'2024'!An_max)</f>
        <v>2022</v>
      </c>
      <c r="K211" s="193">
        <f t="shared" si="79"/>
        <v>45854</v>
      </c>
      <c r="L211" s="143">
        <f>IF(t&lt;Tvie,1-EXP((T0-t)*PertePVj)+'2024'!Pspv,1-EXP((T0-t)*PertePVj)+Pspv)</f>
        <v>1.9385274575185463E-2</v>
      </c>
      <c r="M211" s="835"/>
      <c r="N211" s="835"/>
      <c r="O211" s="48">
        <f>IF(t&lt;Tnet,'2024'!Resal+('2024'!Salim-'2024'!Resal)*(1-EXP(('2024'!Tnet-t)/('2024'!Tau_j))),Resal+(Salim-Resal)*(1-EXP((Tnet-t)/(Tau_j))))*Salcycl</f>
        <v>3.8867006418046302E-2</v>
      </c>
      <c r="P211" s="165">
        <f>(INDEX(Models!$BJ211:$BT211,,T211)*(1-R211)+INDEX(Models!$BJ211:$BT211,,T211+1)*R211-ERP_i)*Q211*Ramure*Pc/MaxiM</f>
        <v>1.7154370964080933E-4</v>
      </c>
      <c r="Q211" s="301">
        <f t="shared" si="80"/>
        <v>0.5</v>
      </c>
      <c r="R211" s="173">
        <f t="shared" si="81"/>
        <v>0.89677962412615164</v>
      </c>
      <c r="S211" s="801">
        <f t="shared" si="82"/>
        <v>1</v>
      </c>
      <c r="T211" s="172">
        <f t="shared" si="83"/>
        <v>7</v>
      </c>
      <c r="U211" s="247">
        <f t="shared" si="84"/>
        <v>1.8967796241261516</v>
      </c>
      <c r="V211" s="378">
        <f t="shared" si="85"/>
        <v>231.16765526946548</v>
      </c>
      <c r="W211" s="397">
        <f t="shared" si="86"/>
        <v>216.08100352789575</v>
      </c>
      <c r="X211" s="153">
        <f t="shared" si="87"/>
        <v>45854</v>
      </c>
      <c r="Y211" s="380">
        <f t="shared" si="88"/>
        <v>210.63405486222146</v>
      </c>
      <c r="Z211" s="380">
        <f t="shared" si="89"/>
        <v>214.79797253806501</v>
      </c>
      <c r="AA211" s="381">
        <f t="shared" si="90"/>
        <v>229.26338044527563</v>
      </c>
      <c r="AB211" s="193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6.3095152305247718E-2</v>
      </c>
      <c r="AD211" s="227">
        <f>(INDEX(Models!$BJ211:$BT211,,AH211)*(1-AF211)+INDEX(Models!$BJ211:$BT211,,AH211+1)*AF211-ERP_i)*AE211*Ramure*Pc/MaxiM</f>
        <v>1.7154370964080933E-4</v>
      </c>
      <c r="AE211" s="301">
        <f t="shared" si="92"/>
        <v>0.5</v>
      </c>
      <c r="AF211" s="173">
        <f t="shared" si="93"/>
        <v>0.89677962412615164</v>
      </c>
      <c r="AG211" s="801">
        <f t="shared" si="99"/>
        <v>1</v>
      </c>
      <c r="AH211" s="172">
        <f t="shared" si="94"/>
        <v>7</v>
      </c>
      <c r="AI211" s="221">
        <f t="shared" si="95"/>
        <v>1.8967796241261516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45855</v>
      </c>
      <c r="B212" s="406">
        <f>'2024'!Wh/'2024'!Env_an*'2025'!Env_an</f>
        <v>215.37431102647722</v>
      </c>
      <c r="C212" s="385"/>
      <c r="D212" s="388">
        <f t="shared" si="77"/>
        <v>219.63494303737704</v>
      </c>
      <c r="E212" s="380">
        <f t="shared" si="75"/>
        <v>228.52904630518421</v>
      </c>
      <c r="F212" s="380">
        <f t="shared" si="78"/>
        <v>228.56493309813501</v>
      </c>
      <c r="G212" s="110">
        <f t="shared" si="76"/>
        <v>0.93341793133149609</v>
      </c>
      <c r="H212" s="409" t="b">
        <f>Wh_hp&gt;='2024'!Maxi_hp</f>
        <v>0</v>
      </c>
      <c r="I212" s="375">
        <f>IF(H212,Wh_hp,'2024'!Maxi_hp)</f>
        <v>228.56800088470703</v>
      </c>
      <c r="J212" s="85">
        <f>IF(H212,An,'2024'!An_max)</f>
        <v>2022</v>
      </c>
      <c r="K212" s="193">
        <f t="shared" si="79"/>
        <v>45855</v>
      </c>
      <c r="L212" s="143">
        <f>IF(t&lt;Tvie,1-EXP((T0-t)*PertePVj)+'2024'!Pspv,1-EXP((T0-t)*PertePVj)+Pspv)</f>
        <v>1.9398698367293798E-2</v>
      </c>
      <c r="M212" s="835"/>
      <c r="N212" s="835"/>
      <c r="O212" s="48">
        <f>IF(t&lt;Tnet,'2024'!Resal+('2024'!Salim-'2024'!Resal)*(1-EXP(('2024'!Tnet-t)/('2024'!Tau_j))),Resal+(Salim-Resal)*(1-EXP((Tnet-t)/(Tau_j))))*Salcycl</f>
        <v>3.8918918236457885E-2</v>
      </c>
      <c r="P212" s="165">
        <f>(INDEX(Models!$BJ212:$BT212,,T212)*(1-R212)+INDEX(Models!$BJ212:$BT212,,T212+1)*R212-ERP_i)*Q212*Ramure*Pc/MaxiM</f>
        <v>1.7350906650403028E-4</v>
      </c>
      <c r="Q212" s="301">
        <f t="shared" si="80"/>
        <v>0.5</v>
      </c>
      <c r="R212" s="173">
        <f t="shared" si="81"/>
        <v>0.89984958219272793</v>
      </c>
      <c r="S212" s="801">
        <f t="shared" si="82"/>
        <v>1</v>
      </c>
      <c r="T212" s="172">
        <f t="shared" si="83"/>
        <v>7</v>
      </c>
      <c r="U212" s="247">
        <f t="shared" si="84"/>
        <v>1.8998495821927279</v>
      </c>
      <c r="V212" s="378">
        <f t="shared" si="85"/>
        <v>230.73346845795035</v>
      </c>
      <c r="W212" s="397">
        <f t="shared" si="86"/>
        <v>215.37431102647722</v>
      </c>
      <c r="X212" s="153">
        <f t="shared" si="87"/>
        <v>45855</v>
      </c>
      <c r="Y212" s="380">
        <f t="shared" si="88"/>
        <v>209.95048000567567</v>
      </c>
      <c r="Z212" s="380">
        <f t="shared" si="89"/>
        <v>214.10381533871825</v>
      </c>
      <c r="AA212" s="381">
        <f t="shared" si="90"/>
        <v>228.52904630518421</v>
      </c>
      <c r="AB212" s="193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6.3122089728594413E-2</v>
      </c>
      <c r="AD212" s="227">
        <f>(INDEX(Models!$BJ212:$BT212,,AH212)*(1-AF212)+INDEX(Models!$BJ212:$BT212,,AH212+1)*AF212-ERP_i)*AE212*Ramure*Pc/MaxiM</f>
        <v>1.7350906650403028E-4</v>
      </c>
      <c r="AE212" s="301">
        <f t="shared" si="92"/>
        <v>0.5</v>
      </c>
      <c r="AF212" s="173">
        <f t="shared" si="93"/>
        <v>0.89984958219272793</v>
      </c>
      <c r="AG212" s="801">
        <f t="shared" si="99"/>
        <v>1</v>
      </c>
      <c r="AH212" s="172">
        <f t="shared" si="94"/>
        <v>7</v>
      </c>
      <c r="AI212" s="221">
        <f t="shared" si="95"/>
        <v>1.8998495821927279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45856</v>
      </c>
      <c r="B213" s="406">
        <f>'2024'!Wh/'2024'!Env_an*'2025'!Env_an</f>
        <v>218.91643431281125</v>
      </c>
      <c r="C213" s="385"/>
      <c r="D213" s="388">
        <f t="shared" si="77"/>
        <v>223.25019431595834</v>
      </c>
      <c r="E213" s="380">
        <f t="shared" si="75"/>
        <v>232.30315964189637</v>
      </c>
      <c r="F213" s="380">
        <f t="shared" si="78"/>
        <v>232.34110260011897</v>
      </c>
      <c r="G213" s="110">
        <f t="shared" si="76"/>
        <v>0.95060687108244024</v>
      </c>
      <c r="H213" s="409" t="b">
        <f>Wh_hp&gt;='2024'!Maxi_hp</f>
        <v>0</v>
      </c>
      <c r="I213" s="375">
        <f>IF(H213,Wh_hp,'2024'!Maxi_hp)</f>
        <v>232.34343250983852</v>
      </c>
      <c r="J213" s="85">
        <f>IF(H213,An,'2024'!An_max)</f>
        <v>2022</v>
      </c>
      <c r="K213" s="193">
        <f t="shared" si="79"/>
        <v>45856</v>
      </c>
      <c r="L213" s="143">
        <f>IF(t&lt;Tvie,1-EXP((T0-t)*PertePVj)+'2024'!Pspv,1-EXP((T0-t)*PertePVj)+Pspv)</f>
        <v>1.9412121975641683E-2</v>
      </c>
      <c r="M213" s="835"/>
      <c r="N213" s="835"/>
      <c r="O213" s="48">
        <f>IF(t&lt;Tnet,'2024'!Resal+('2024'!Salim-'2024'!Resal)*(1-EXP(('2024'!Tnet-t)/('2024'!Tau_j))),Resal+(Salim-Resal)*(1-EXP((Tnet-t)/(Tau_j))))*Salcycl</f>
        <v>3.8970478661992727E-2</v>
      </c>
      <c r="P213" s="165">
        <f>(INDEX(Models!$BJ213:$BT213,,T213)*(1-R213)+INDEX(Models!$BJ213:$BT213,,T213+1)*R213-ERP_i)*Q213*Ramure*Pc/MaxiM</f>
        <v>1.7570198564876945E-4</v>
      </c>
      <c r="Q213" s="301">
        <f t="shared" si="80"/>
        <v>0.5</v>
      </c>
      <c r="R213" s="173">
        <f t="shared" si="81"/>
        <v>0.90283970310901829</v>
      </c>
      <c r="S213" s="801">
        <f t="shared" si="82"/>
        <v>1</v>
      </c>
      <c r="T213" s="172">
        <f t="shared" si="83"/>
        <v>7</v>
      </c>
      <c r="U213" s="247">
        <f t="shared" si="84"/>
        <v>1.9028397031090183</v>
      </c>
      <c r="V213" s="378">
        <f t="shared" si="85"/>
        <v>230.28838428480924</v>
      </c>
      <c r="W213" s="397">
        <f t="shared" si="86"/>
        <v>218.91643431281125</v>
      </c>
      <c r="X213" s="153">
        <f t="shared" si="87"/>
        <v>45856</v>
      </c>
      <c r="Y213" s="380">
        <f t="shared" si="88"/>
        <v>213.4088313204457</v>
      </c>
      <c r="Z213" s="380">
        <f t="shared" si="89"/>
        <v>217.63356054371346</v>
      </c>
      <c r="AA213" s="381">
        <f t="shared" si="90"/>
        <v>232.30315964189637</v>
      </c>
      <c r="AB213" s="193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6.314851300686837E-2</v>
      </c>
      <c r="AD213" s="227">
        <f>(INDEX(Models!$BJ213:$BT213,,AH213)*(1-AF213)+INDEX(Models!$BJ213:$BT213,,AH213+1)*AF213-ERP_i)*AE213*Ramure*Pc/MaxiM</f>
        <v>1.7570198564876945E-4</v>
      </c>
      <c r="AE213" s="301">
        <f t="shared" si="92"/>
        <v>0.5</v>
      </c>
      <c r="AF213" s="173">
        <f t="shared" si="93"/>
        <v>0.90283970310901829</v>
      </c>
      <c r="AG213" s="801">
        <f t="shared" si="99"/>
        <v>1</v>
      </c>
      <c r="AH213" s="172">
        <f t="shared" si="94"/>
        <v>7</v>
      </c>
      <c r="AI213" s="221">
        <f t="shared" si="95"/>
        <v>1.9028397031090183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45857</v>
      </c>
      <c r="B214" s="406">
        <f>'2024'!Wh/'2024'!Env_an*'2025'!Env_an</f>
        <v>154.94247492205167</v>
      </c>
      <c r="C214" s="385"/>
      <c r="D214" s="388">
        <f t="shared" si="77"/>
        <v>158.01194309645058</v>
      </c>
      <c r="E214" s="380">
        <f t="shared" si="75"/>
        <v>164.42821230980061</v>
      </c>
      <c r="F214" s="380">
        <f t="shared" si="78"/>
        <v>164.44386885418129</v>
      </c>
      <c r="G214" s="110">
        <f t="shared" si="76"/>
        <v>0.67409526276693099</v>
      </c>
      <c r="H214" s="409" t="b">
        <f>Wh_hp&gt;='2024'!Maxi_hp</f>
        <v>0</v>
      </c>
      <c r="I214" s="375">
        <f>IF(H214,Wh_hp,'2024'!Maxi_hp)</f>
        <v>164.45484514625312</v>
      </c>
      <c r="J214" s="85">
        <f>IF(H214,An,'2024'!An_max)</f>
        <v>2022</v>
      </c>
      <c r="K214" s="193">
        <f t="shared" si="79"/>
        <v>45857</v>
      </c>
      <c r="L214" s="143">
        <f>IF(t&lt;Tvie,1-EXP((T0-t)*PertePVj)+'2024'!Pspv,1-EXP((T0-t)*PertePVj)+Pspv)</f>
        <v>1.9425545400231559E-2</v>
      </c>
      <c r="M214" s="835"/>
      <c r="N214" s="835"/>
      <c r="O214" s="48">
        <f>IF(t&lt;Tnet,'2024'!Resal+('2024'!Salim-'2024'!Resal)*(1-EXP(('2024'!Tnet-t)/('2024'!Tau_j))),Resal+(Salim-Resal)*(1-EXP((Tnet-t)/(Tau_j))))*Salcycl</f>
        <v>3.9021705115063095E-2</v>
      </c>
      <c r="P214" s="165">
        <f>(INDEX(Models!$BJ214:$BT214,,T214)*(1-R214)+INDEX(Models!$BJ214:$BT214,,T214+1)*R214-ERP_i)*Q214*Ramure*Pc/MaxiM</f>
        <v>1.7812675786120898E-4</v>
      </c>
      <c r="Q214" s="301">
        <f t="shared" si="80"/>
        <v>0.5</v>
      </c>
      <c r="R214" s="173">
        <f t="shared" si="81"/>
        <v>0.90575063437458203</v>
      </c>
      <c r="S214" s="801">
        <f t="shared" si="82"/>
        <v>1</v>
      </c>
      <c r="T214" s="172">
        <f t="shared" si="83"/>
        <v>7</v>
      </c>
      <c r="U214" s="247">
        <f t="shared" si="84"/>
        <v>1.905750634374582</v>
      </c>
      <c r="V214" s="378">
        <f t="shared" si="85"/>
        <v>229.8334297555997</v>
      </c>
      <c r="W214" s="397">
        <f t="shared" si="86"/>
        <v>154.94247492205167</v>
      </c>
      <c r="X214" s="153">
        <f t="shared" si="87"/>
        <v>45857</v>
      </c>
      <c r="Y214" s="380">
        <f t="shared" si="88"/>
        <v>151.04822846572452</v>
      </c>
      <c r="Z214" s="380">
        <f t="shared" si="89"/>
        <v>154.04055016645972</v>
      </c>
      <c r="AA214" s="381">
        <f t="shared" si="90"/>
        <v>164.42821230980061</v>
      </c>
      <c r="AB214" s="193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6.3174451618858485E-2</v>
      </c>
      <c r="AD214" s="227">
        <f>(INDEX(Models!$BJ214:$BT214,,AH214)*(1-AF214)+INDEX(Models!$BJ214:$BT214,,AH214+1)*AF214-ERP_i)*AE214*Ramure*Pc/MaxiM</f>
        <v>1.7812675786120898E-4</v>
      </c>
      <c r="AE214" s="301">
        <f t="shared" si="92"/>
        <v>0.5</v>
      </c>
      <c r="AF214" s="173">
        <f t="shared" si="93"/>
        <v>0.90575063437458203</v>
      </c>
      <c r="AG214" s="801">
        <f t="shared" si="99"/>
        <v>1</v>
      </c>
      <c r="AH214" s="172">
        <f t="shared" si="94"/>
        <v>7</v>
      </c>
      <c r="AI214" s="221">
        <f t="shared" si="95"/>
        <v>1.905750634374582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45858</v>
      </c>
      <c r="B215" s="406">
        <f>'2024'!Wh/'2024'!Env_an*'2025'!Env_an</f>
        <v>158.87059348911455</v>
      </c>
      <c r="C215" s="385"/>
      <c r="D215" s="388">
        <f t="shared" si="77"/>
        <v>162.02009707538548</v>
      </c>
      <c r="E215" s="380">
        <f t="shared" si="75"/>
        <v>168.60805460164059</v>
      </c>
      <c r="F215" s="380">
        <f t="shared" si="78"/>
        <v>168.62515425933731</v>
      </c>
      <c r="G215" s="110">
        <f t="shared" si="76"/>
        <v>0.69258506302075507</v>
      </c>
      <c r="H215" s="409" t="b">
        <f>Wh_hp&gt;='2024'!Maxi_hp</f>
        <v>0</v>
      </c>
      <c r="I215" s="375">
        <f>IF(H215,Wh_hp,'2024'!Maxi_hp)</f>
        <v>168.63588062194077</v>
      </c>
      <c r="J215" s="85">
        <f>IF(H215,An,'2024'!An_max)</f>
        <v>2022</v>
      </c>
      <c r="K215" s="193">
        <f t="shared" si="79"/>
        <v>45858</v>
      </c>
      <c r="L215" s="143">
        <f>IF(t&lt;Tvie,1-EXP((T0-t)*PertePVj)+'2024'!Pspv,1-EXP((T0-t)*PertePVj)+Pspv)</f>
        <v>1.9438968641066201E-2</v>
      </c>
      <c r="M215" s="835"/>
      <c r="N215" s="835"/>
      <c r="O215" s="48">
        <f>IF(t&lt;Tnet,'2024'!Resal+('2024'!Salim-'2024'!Resal)*(1-EXP(('2024'!Tnet-t)/('2024'!Tau_j))),Resal+(Salim-Resal)*(1-EXP((Tnet-t)/(Tau_j))))*Salcycl</f>
        <v>3.907261454276343E-2</v>
      </c>
      <c r="P215" s="165">
        <f>(INDEX(Models!$BJ215:$BT215,,T215)*(1-R215)+INDEX(Models!$BJ215:$BT215,,T215+1)*R215-ERP_i)*Q215*Ramure*Pc/MaxiM</f>
        <v>1.8078754156830465E-4</v>
      </c>
      <c r="Q215" s="301">
        <f t="shared" si="80"/>
        <v>0.5</v>
      </c>
      <c r="R215" s="173">
        <f t="shared" si="81"/>
        <v>0.90858311981001716</v>
      </c>
      <c r="S215" s="801">
        <f t="shared" si="82"/>
        <v>1</v>
      </c>
      <c r="T215" s="172">
        <f t="shared" si="83"/>
        <v>7</v>
      </c>
      <c r="U215" s="247">
        <f t="shared" si="84"/>
        <v>1.9085831198100172</v>
      </c>
      <c r="V215" s="378">
        <f t="shared" si="85"/>
        <v>229.36963176296254</v>
      </c>
      <c r="W215" s="397">
        <f t="shared" si="86"/>
        <v>158.87059348911455</v>
      </c>
      <c r="X215" s="153">
        <f t="shared" si="87"/>
        <v>45858</v>
      </c>
      <c r="Y215" s="380">
        <f t="shared" si="88"/>
        <v>154.88161196355526</v>
      </c>
      <c r="Z215" s="380">
        <f t="shared" si="89"/>
        <v>157.95203665080274</v>
      </c>
      <c r="AA215" s="381">
        <f t="shared" si="90"/>
        <v>168.60805460164059</v>
      </c>
      <c r="AB215" s="193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6.3199934166930191E-2</v>
      </c>
      <c r="AD215" s="227">
        <f>(INDEX(Models!$BJ215:$BT215,,AH215)*(1-AF215)+INDEX(Models!$BJ215:$BT215,,AH215+1)*AF215-ERP_i)*AE215*Ramure*Pc/MaxiM</f>
        <v>1.8078754156830465E-4</v>
      </c>
      <c r="AE215" s="301">
        <f t="shared" si="92"/>
        <v>0.5</v>
      </c>
      <c r="AF215" s="173">
        <f t="shared" si="93"/>
        <v>0.90858311981001716</v>
      </c>
      <c r="AG215" s="801">
        <f t="shared" si="99"/>
        <v>1</v>
      </c>
      <c r="AH215" s="172">
        <f t="shared" si="94"/>
        <v>7</v>
      </c>
      <c r="AI215" s="221">
        <f t="shared" si="95"/>
        <v>1.9085831198100172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45859</v>
      </c>
      <c r="B216" s="406">
        <f>'2024'!Wh/'2024'!Env_an*'2025'!Env_an</f>
        <v>212.23458085104366</v>
      </c>
      <c r="C216" s="385"/>
      <c r="D216" s="388">
        <f t="shared" si="77"/>
        <v>216.44495285506758</v>
      </c>
      <c r="E216" s="380">
        <f t="shared" si="75"/>
        <v>225.25776261063709</v>
      </c>
      <c r="F216" s="380">
        <f t="shared" si="78"/>
        <v>225.29484279797487</v>
      </c>
      <c r="G216" s="110">
        <f t="shared" si="76"/>
        <v>0.92718376723220208</v>
      </c>
      <c r="H216" s="409" t="b">
        <f>Wh_hp&gt;='2024'!Maxi_hp</f>
        <v>0</v>
      </c>
      <c r="I216" s="375">
        <f>IF(H216,Wh_hp,'2024'!Maxi_hp)</f>
        <v>225.29827757588035</v>
      </c>
      <c r="J216" s="85">
        <f>IF(H216,An,'2024'!An_max)</f>
        <v>2022</v>
      </c>
      <c r="K216" s="193">
        <f t="shared" si="79"/>
        <v>45859</v>
      </c>
      <c r="L216" s="143">
        <f>IF(t&lt;Tvie,1-EXP((T0-t)*PertePVj)+'2024'!Pspv,1-EXP((T0-t)*PertePVj)+Pspv)</f>
        <v>1.9452391698147831E-2</v>
      </c>
      <c r="M216" s="835"/>
      <c r="N216" s="835"/>
      <c r="O216" s="48">
        <f>IF(t&lt;Tnet,'2024'!Resal+('2024'!Salim-'2024'!Resal)*(1-EXP(('2024'!Tnet-t)/('2024'!Tau_j))),Resal+(Salim-Resal)*(1-EXP((Tnet-t)/(Tau_j))))*Salcycl</f>
        <v>3.912322333948879E-2</v>
      </c>
      <c r="P216" s="165">
        <f>(INDEX(Models!$BJ216:$BT216,,T216)*(1-R216)+INDEX(Models!$BJ216:$BT216,,T216+1)*R216-ERP_i)*Q216*Ramure*Pc/MaxiM</f>
        <v>1.8368835837702548E-4</v>
      </c>
      <c r="Q216" s="301">
        <f t="shared" si="80"/>
        <v>0.5</v>
      </c>
      <c r="R216" s="173">
        <f t="shared" si="81"/>
        <v>0.91133799256807713</v>
      </c>
      <c r="S216" s="801">
        <f t="shared" si="82"/>
        <v>1</v>
      </c>
      <c r="T216" s="172">
        <f t="shared" si="83"/>
        <v>7</v>
      </c>
      <c r="U216" s="247">
        <f t="shared" si="84"/>
        <v>1.9113379925680771</v>
      </c>
      <c r="V216" s="378">
        <f t="shared" si="85"/>
        <v>228.89801711855023</v>
      </c>
      <c r="W216" s="397">
        <f t="shared" si="86"/>
        <v>212.23458085104366</v>
      </c>
      <c r="X216" s="153">
        <f t="shared" si="87"/>
        <v>45859</v>
      </c>
      <c r="Y216" s="380">
        <f t="shared" si="88"/>
        <v>206.91108037889748</v>
      </c>
      <c r="Z216" s="380">
        <f t="shared" si="89"/>
        <v>211.01584321564312</v>
      </c>
      <c r="AA216" s="381">
        <f t="shared" si="90"/>
        <v>225.25776261063709</v>
      </c>
      <c r="AB216" s="193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6.3224988253174824E-2</v>
      </c>
      <c r="AD216" s="227">
        <f>(INDEX(Models!$BJ216:$BT216,,AH216)*(1-AF216)+INDEX(Models!$BJ216:$BT216,,AH216+1)*AF216-ERP_i)*AE216*Ramure*Pc/MaxiM</f>
        <v>1.8368835837702548E-4</v>
      </c>
      <c r="AE216" s="301">
        <f t="shared" si="92"/>
        <v>0.5</v>
      </c>
      <c r="AF216" s="173">
        <f t="shared" si="93"/>
        <v>0.91133799256807713</v>
      </c>
      <c r="AG216" s="801">
        <f t="shared" si="99"/>
        <v>1</v>
      </c>
      <c r="AH216" s="172">
        <f t="shared" si="94"/>
        <v>7</v>
      </c>
      <c r="AI216" s="221">
        <f t="shared" si="95"/>
        <v>1.9113379925680771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45860</v>
      </c>
      <c r="B217" s="406">
        <f>'2024'!Wh/'2024'!Env_an*'2025'!Env_an</f>
        <v>161.00259853222866</v>
      </c>
      <c r="C217" s="385"/>
      <c r="D217" s="388">
        <f t="shared" si="77"/>
        <v>164.19886315525656</v>
      </c>
      <c r="E217" s="380">
        <f t="shared" si="75"/>
        <v>170.8933623647367</v>
      </c>
      <c r="F217" s="380">
        <f t="shared" si="78"/>
        <v>170.91183066307204</v>
      </c>
      <c r="G217" s="110">
        <f t="shared" si="76"/>
        <v>0.70479899812280344</v>
      </c>
      <c r="H217" s="409" t="b">
        <f>Wh_hp&gt;='2024'!Maxi_hp</f>
        <v>0</v>
      </c>
      <c r="I217" s="375">
        <f>IF(H217,Wh_hp,'2024'!Maxi_hp)</f>
        <v>170.9225367239975</v>
      </c>
      <c r="J217" s="85">
        <f>IF(H217,An,'2024'!An_max)</f>
        <v>2022</v>
      </c>
      <c r="K217" s="193">
        <f t="shared" si="79"/>
        <v>45860</v>
      </c>
      <c r="L217" s="143">
        <f>IF(t&lt;Tvie,1-EXP((T0-t)*PertePVj)+'2024'!Pspv,1-EXP((T0-t)*PertePVj)+Pspv)</f>
        <v>1.9465814571479112E-2</v>
      </c>
      <c r="M217" s="835"/>
      <c r="N217" s="835"/>
      <c r="O217" s="48">
        <f>IF(t&lt;Tnet,'2024'!Resal+('2024'!Salim-'2024'!Resal)*(1-EXP(('2024'!Tnet-t)/('2024'!Tau_j))),Resal+(Salim-Resal)*(1-EXP((Tnet-t)/(Tau_j))))*Salcycl</f>
        <v>3.9173547274423168E-2</v>
      </c>
      <c r="P217" s="165">
        <f>(INDEX(Models!$BJ217:$BT217,,T217)*(1-R217)+INDEX(Models!$BJ217:$BT217,,T217+1)*R217-ERP_i)*Q217*Ramure*Pc/MaxiM</f>
        <v>1.8683308846595607E-4</v>
      </c>
      <c r="Q217" s="301">
        <f t="shared" si="80"/>
        <v>0.5</v>
      </c>
      <c r="R217" s="173">
        <f t="shared" si="81"/>
        <v>0.91401616822535625</v>
      </c>
      <c r="S217" s="801">
        <f t="shared" si="82"/>
        <v>1</v>
      </c>
      <c r="T217" s="172">
        <f t="shared" si="83"/>
        <v>7</v>
      </c>
      <c r="U217" s="247">
        <f t="shared" si="84"/>
        <v>1.9140161682253563</v>
      </c>
      <c r="V217" s="378">
        <f t="shared" si="85"/>
        <v>228.41961255551115</v>
      </c>
      <c r="W217" s="397">
        <f t="shared" si="86"/>
        <v>161.00259853222866</v>
      </c>
      <c r="X217" s="153">
        <f t="shared" si="87"/>
        <v>45860</v>
      </c>
      <c r="Y217" s="380">
        <f t="shared" si="88"/>
        <v>156.96824504470777</v>
      </c>
      <c r="Z217" s="380">
        <f t="shared" si="89"/>
        <v>160.08441865400977</v>
      </c>
      <c r="AA217" s="381">
        <f t="shared" si="90"/>
        <v>170.8933623647367</v>
      </c>
      <c r="AB217" s="193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6.324964036729222E-2</v>
      </c>
      <c r="AD217" s="227">
        <f>(INDEX(Models!$BJ217:$BT217,,AH217)*(1-AF217)+INDEX(Models!$BJ217:$BT217,,AH217+1)*AF217-ERP_i)*AE217*Ramure*Pc/MaxiM</f>
        <v>1.8683308846595607E-4</v>
      </c>
      <c r="AE217" s="301">
        <f t="shared" si="92"/>
        <v>0.5</v>
      </c>
      <c r="AF217" s="173">
        <f t="shared" si="93"/>
        <v>0.91401616822535625</v>
      </c>
      <c r="AG217" s="801">
        <f t="shared" si="99"/>
        <v>1</v>
      </c>
      <c r="AH217" s="172">
        <f t="shared" si="94"/>
        <v>7</v>
      </c>
      <c r="AI217" s="221">
        <f t="shared" si="95"/>
        <v>1.9140161682253563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45861</v>
      </c>
      <c r="B218" s="406">
        <f>'2024'!Wh/'2024'!Env_an*'2025'!Env_an</f>
        <v>185.29342422848907</v>
      </c>
      <c r="C218" s="385"/>
      <c r="D218" s="388">
        <f t="shared" si="77"/>
        <v>188.97450341683711</v>
      </c>
      <c r="E218" s="380">
        <f t="shared" si="75"/>
        <v>196.68936882438391</v>
      </c>
      <c r="F218" s="380">
        <f t="shared" si="78"/>
        <v>196.71678849317479</v>
      </c>
      <c r="G218" s="110">
        <f t="shared" si="76"/>
        <v>0.81287929129411074</v>
      </c>
      <c r="H218" s="409" t="b">
        <f>Wh_hp&gt;='2024'!Maxi_hp</f>
        <v>0</v>
      </c>
      <c r="I218" s="375">
        <f>IF(H218,Wh_hp,'2024'!Maxi_hp)</f>
        <v>196.7247161303259</v>
      </c>
      <c r="J218" s="85">
        <f>IF(H218,An,'2024'!An_max)</f>
        <v>2022</v>
      </c>
      <c r="K218" s="193">
        <f t="shared" si="79"/>
        <v>45861</v>
      </c>
      <c r="L218" s="143">
        <f>IF(t&lt;Tvie,1-EXP((T0-t)*PertePVj)+'2024'!Pspv,1-EXP((T0-t)*PertePVj)+Pspv)</f>
        <v>1.9479237261062488E-2</v>
      </c>
      <c r="M218" s="835"/>
      <c r="N218" s="835"/>
      <c r="O218" s="48">
        <f>IF(t&lt;Tnet,'2024'!Resal+('2024'!Salim-'2024'!Resal)*(1-EXP(('2024'!Tnet-t)/('2024'!Tau_j))),Resal+(Salim-Resal)*(1-EXP((Tnet-t)/(Tau_j))))*Salcycl</f>
        <v>3.9223601426242288E-2</v>
      </c>
      <c r="P218" s="165">
        <f>(INDEX(Models!$BJ218:$BT218,,T218)*(1-R218)+INDEX(Models!$BJ218:$BT218,,T218+1)*R218-ERP_i)*Q218*Ramure*Pc/MaxiM</f>
        <v>1.9022546569939181E-4</v>
      </c>
      <c r="Q218" s="301">
        <f t="shared" si="80"/>
        <v>0.5</v>
      </c>
      <c r="R218" s="173">
        <f t="shared" si="81"/>
        <v>0.91661863798648846</v>
      </c>
      <c r="S218" s="801">
        <f t="shared" si="82"/>
        <v>1</v>
      </c>
      <c r="T218" s="172">
        <f t="shared" si="83"/>
        <v>7</v>
      </c>
      <c r="U218" s="247">
        <f t="shared" si="84"/>
        <v>1.9166186379864885</v>
      </c>
      <c r="V218" s="378">
        <f t="shared" si="85"/>
        <v>227.93544475486158</v>
      </c>
      <c r="W218" s="397">
        <f t="shared" si="86"/>
        <v>185.29342422848907</v>
      </c>
      <c r="X218" s="153">
        <f t="shared" si="87"/>
        <v>45861</v>
      </c>
      <c r="Y218" s="380">
        <f t="shared" si="88"/>
        <v>180.65512846244661</v>
      </c>
      <c r="Z218" s="380">
        <f t="shared" si="89"/>
        <v>184.24406226525346</v>
      </c>
      <c r="AA218" s="381">
        <f t="shared" si="90"/>
        <v>196.68936882438391</v>
      </c>
      <c r="AB218" s="193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6.3273915786685717E-2</v>
      </c>
      <c r="AD218" s="227">
        <f>(INDEX(Models!$BJ218:$BT218,,AH218)*(1-AF218)+INDEX(Models!$BJ218:$BT218,,AH218+1)*AF218-ERP_i)*AE218*Ramure*Pc/MaxiM</f>
        <v>1.9022546569939181E-4</v>
      </c>
      <c r="AE218" s="301">
        <f t="shared" si="92"/>
        <v>0.5</v>
      </c>
      <c r="AF218" s="173">
        <f t="shared" si="93"/>
        <v>0.91661863798648846</v>
      </c>
      <c r="AG218" s="801">
        <f t="shared" si="99"/>
        <v>1</v>
      </c>
      <c r="AH218" s="172">
        <f t="shared" si="94"/>
        <v>7</v>
      </c>
      <c r="AI218" s="221">
        <f t="shared" si="95"/>
        <v>1.9166186379864885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45862</v>
      </c>
      <c r="B219" s="406">
        <f>'2024'!Wh/'2024'!Env_an*'2025'!Env_an</f>
        <v>215.03957706994746</v>
      </c>
      <c r="C219" s="385"/>
      <c r="D219" s="388">
        <f t="shared" si="77"/>
        <v>219.31460198842097</v>
      </c>
      <c r="E219" s="380">
        <f t="shared" si="75"/>
        <v>228.27993106157848</v>
      </c>
      <c r="F219" s="380">
        <f t="shared" si="78"/>
        <v>228.3207470888735</v>
      </c>
      <c r="G219" s="110">
        <f t="shared" si="76"/>
        <v>0.94544749813501772</v>
      </c>
      <c r="H219" s="409" t="b">
        <f>Wh_hp&gt;='2024'!Maxi_hp</f>
        <v>0</v>
      </c>
      <c r="I219" s="375">
        <f>IF(H219,Wh_hp,'2024'!Maxi_hp)</f>
        <v>228.32347365293612</v>
      </c>
      <c r="J219" s="85">
        <f>IF(H219,An,'2024'!An_max)</f>
        <v>2022</v>
      </c>
      <c r="K219" s="193">
        <f t="shared" si="79"/>
        <v>45862</v>
      </c>
      <c r="L219" s="143">
        <f>IF(t&lt;Tvie,1-EXP((T0-t)*PertePVj)+'2024'!Pspv,1-EXP((T0-t)*PertePVj)+Pspv)</f>
        <v>1.9492659766900622E-2</v>
      </c>
      <c r="M219" s="835"/>
      <c r="N219" s="835"/>
      <c r="O219" s="48">
        <f>IF(t&lt;Tnet,'2024'!Resal+('2024'!Salim-'2024'!Resal)*(1-EXP(('2024'!Tnet-t)/('2024'!Tau_j))),Resal+(Salim-Resal)*(1-EXP((Tnet-t)/(Tau_j))))*Salcycl</f>
        <v>3.9273400125300964E-2</v>
      </c>
      <c r="P219" s="165">
        <f>(INDEX(Models!$BJ219:$BT219,,T219)*(1-R219)+INDEX(Models!$BJ219:$BT219,,T219+1)*R219-ERP_i)*Q219*Ramure*Pc/MaxiM</f>
        <v>1.9387100535008686E-4</v>
      </c>
      <c r="Q219" s="301">
        <f t="shared" si="80"/>
        <v>0.5</v>
      </c>
      <c r="R219" s="173">
        <f t="shared" si="81"/>
        <v>0.91914646202936567</v>
      </c>
      <c r="S219" s="801">
        <f t="shared" si="82"/>
        <v>1</v>
      </c>
      <c r="T219" s="172">
        <f t="shared" si="83"/>
        <v>7</v>
      </c>
      <c r="U219" s="247">
        <f t="shared" si="84"/>
        <v>1.9191464620293657</v>
      </c>
      <c r="V219" s="378">
        <f t="shared" si="85"/>
        <v>227.44396571746367</v>
      </c>
      <c r="W219" s="397">
        <f t="shared" si="86"/>
        <v>215.03957706994746</v>
      </c>
      <c r="X219" s="153">
        <f t="shared" si="87"/>
        <v>45862</v>
      </c>
      <c r="Y219" s="380">
        <f t="shared" si="88"/>
        <v>209.66218347454435</v>
      </c>
      <c r="Z219" s="380">
        <f t="shared" si="89"/>
        <v>213.83030485493421</v>
      </c>
      <c r="AA219" s="381">
        <f t="shared" si="90"/>
        <v>228.27993106157848</v>
      </c>
      <c r="AB219" s="193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6.3297838489124542E-2</v>
      </c>
      <c r="AD219" s="227">
        <f>(INDEX(Models!$BJ219:$BT219,,AH219)*(1-AF219)+INDEX(Models!$BJ219:$BT219,,AH219+1)*AF219-ERP_i)*AE219*Ramure*Pc/MaxiM</f>
        <v>1.9387100535008686E-4</v>
      </c>
      <c r="AE219" s="301">
        <f t="shared" si="92"/>
        <v>0.5</v>
      </c>
      <c r="AF219" s="173">
        <f t="shared" si="93"/>
        <v>0.91914646202936567</v>
      </c>
      <c r="AG219" s="801">
        <f t="shared" si="99"/>
        <v>1</v>
      </c>
      <c r="AH219" s="172">
        <f t="shared" si="94"/>
        <v>7</v>
      </c>
      <c r="AI219" s="221">
        <f t="shared" si="95"/>
        <v>1.9191464620293657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45863</v>
      </c>
      <c r="B220" s="406">
        <f>'2024'!Wh/'2024'!Env_an*'2025'!Env_an</f>
        <v>115.77218333929328</v>
      </c>
      <c r="C220" s="385"/>
      <c r="D220" s="388">
        <f t="shared" si="77"/>
        <v>118.07537122305892</v>
      </c>
      <c r="E220" s="380">
        <f t="shared" si="75"/>
        <v>122.90849674358053</v>
      </c>
      <c r="F220" s="380">
        <f t="shared" si="78"/>
        <v>122.9157891157828</v>
      </c>
      <c r="G220" s="110">
        <f t="shared" si="76"/>
        <v>0.51006721431957303</v>
      </c>
      <c r="H220" s="409" t="b">
        <f>Wh_hp&gt;='2024'!Maxi_hp</f>
        <v>0</v>
      </c>
      <c r="I220" s="375">
        <f>IF(H220,Wh_hp,'2024'!Maxi_hp)</f>
        <v>122.92919914878539</v>
      </c>
      <c r="J220" s="85">
        <f>IF(H220,An,'2024'!An_max)</f>
        <v>2022</v>
      </c>
      <c r="K220" s="193">
        <f t="shared" si="79"/>
        <v>45863</v>
      </c>
      <c r="L220" s="143">
        <f>IF(t&lt;Tvie,1-EXP((T0-t)*PertePVj)+'2024'!Pspv,1-EXP((T0-t)*PertePVj)+Pspv)</f>
        <v>1.9506082088995846E-2</v>
      </c>
      <c r="M220" s="835"/>
      <c r="N220" s="835"/>
      <c r="O220" s="48">
        <f>IF(t&lt;Tnet,'2024'!Resal+('2024'!Salim-'2024'!Resal)*(1-EXP(('2024'!Tnet-t)/('2024'!Tau_j))),Resal+(Salim-Resal)*(1-EXP((Tnet-t)/(Tau_j))))*Salcycl</f>
        <v>3.9322956903498553E-2</v>
      </c>
      <c r="P220" s="165">
        <f>(INDEX(Models!$BJ220:$BT220,,T220)*(1-R220)+INDEX(Models!$BJ220:$BT220,,T220+1)*R220-ERP_i)*Q220*Ramure*Pc/MaxiM</f>
        <v>1.9763100083488693E-4</v>
      </c>
      <c r="Q220" s="301">
        <f t="shared" si="80"/>
        <v>0.5</v>
      </c>
      <c r="R220" s="173">
        <f t="shared" si="81"/>
        <v>0.92160076301650062</v>
      </c>
      <c r="S220" s="801">
        <f t="shared" si="82"/>
        <v>1</v>
      </c>
      <c r="T220" s="172">
        <f t="shared" si="83"/>
        <v>7</v>
      </c>
      <c r="U220" s="247">
        <f t="shared" si="84"/>
        <v>1.9216007630165006</v>
      </c>
      <c r="V220" s="378">
        <f t="shared" si="85"/>
        <v>226.94297441995158</v>
      </c>
      <c r="W220" s="397">
        <f t="shared" si="86"/>
        <v>115.77218333929328</v>
      </c>
      <c r="X220" s="153">
        <f t="shared" si="87"/>
        <v>45863</v>
      </c>
      <c r="Y220" s="380">
        <f t="shared" si="88"/>
        <v>112.8801024136765</v>
      </c>
      <c r="Z220" s="380">
        <f t="shared" si="89"/>
        <v>115.1257548381062</v>
      </c>
      <c r="AA220" s="381">
        <f t="shared" si="90"/>
        <v>122.90849674358053</v>
      </c>
      <c r="AB220" s="193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6.3321431078204204E-2</v>
      </c>
      <c r="AD220" s="227">
        <f>(INDEX(Models!$BJ220:$BT220,,AH220)*(1-AF220)+INDEX(Models!$BJ220:$BT220,,AH220+1)*AF220-ERP_i)*AE220*Ramure*Pc/MaxiM</f>
        <v>1.9763100083488693E-4</v>
      </c>
      <c r="AE220" s="301">
        <f t="shared" si="92"/>
        <v>0.5</v>
      </c>
      <c r="AF220" s="173">
        <f t="shared" si="93"/>
        <v>0.92160076301650062</v>
      </c>
      <c r="AG220" s="801">
        <f t="shared" si="99"/>
        <v>1</v>
      </c>
      <c r="AH220" s="172">
        <f t="shared" si="94"/>
        <v>7</v>
      </c>
      <c r="AI220" s="221">
        <f t="shared" si="95"/>
        <v>1.9216007630165006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45864</v>
      </c>
      <c r="B221" s="406">
        <f>'2024'!Wh/'2024'!Env_an*'2025'!Env_an</f>
        <v>206.57606917500959</v>
      </c>
      <c r="C221" s="385"/>
      <c r="D221" s="388">
        <f t="shared" si="77"/>
        <v>210.68860631666232</v>
      </c>
      <c r="E221" s="380">
        <f t="shared" si="75"/>
        <v>219.323888855798</v>
      </c>
      <c r="F221" s="380">
        <f t="shared" si="78"/>
        <v>219.36253693957997</v>
      </c>
      <c r="G221" s="110">
        <f t="shared" si="76"/>
        <v>0.91228452206155952</v>
      </c>
      <c r="H221" s="409" t="b">
        <f>Wh_hp&gt;='2024'!Maxi_hp</f>
        <v>0</v>
      </c>
      <c r="I221" s="375">
        <f>IF(H221,Wh_hp,'2024'!Maxi_hp)</f>
        <v>219.36689548137969</v>
      </c>
      <c r="J221" s="85">
        <f>IF(H221,An,'2024'!An_max)</f>
        <v>2022</v>
      </c>
      <c r="K221" s="193">
        <f t="shared" si="79"/>
        <v>45864</v>
      </c>
      <c r="L221" s="143">
        <f>IF(t&lt;Tvie,1-EXP((T0-t)*PertePVj)+'2024'!Pspv,1-EXP((T0-t)*PertePVj)+Pspv)</f>
        <v>1.9519504227350715E-2</v>
      </c>
      <c r="M221" s="835"/>
      <c r="N221" s="835"/>
      <c r="O221" s="48">
        <f>IF(t&lt;Tnet,'2024'!Resal+('2024'!Salim-'2024'!Resal)*(1-EXP(('2024'!Tnet-t)/('2024'!Tau_j))),Resal+(Salim-Resal)*(1-EXP((Tnet-t)/(Tau_j))))*Salcycl</f>
        <v>3.9372284451937876E-2</v>
      </c>
      <c r="P221" s="165">
        <f>(INDEX(Models!$BJ221:$BT221,,T221)*(1-R221)+INDEX(Models!$BJ221:$BT221,,T221+1)*R221-ERP_i)*Q221*Ramure*Pc/MaxiM</f>
        <v>2.0141598489970496E-4</v>
      </c>
      <c r="Q221" s="301">
        <f t="shared" si="80"/>
        <v>0.5</v>
      </c>
      <c r="R221" s="173">
        <f t="shared" si="81"/>
        <v>0.92398271979435953</v>
      </c>
      <c r="S221" s="801">
        <f t="shared" si="82"/>
        <v>1</v>
      </c>
      <c r="T221" s="172">
        <f t="shared" si="83"/>
        <v>7</v>
      </c>
      <c r="U221" s="247">
        <f t="shared" si="84"/>
        <v>1.9239827197943595</v>
      </c>
      <c r="V221" s="378">
        <f t="shared" si="85"/>
        <v>226.4324899264964</v>
      </c>
      <c r="W221" s="397">
        <f t="shared" si="86"/>
        <v>206.57606917500959</v>
      </c>
      <c r="X221" s="153">
        <f t="shared" si="87"/>
        <v>45864</v>
      </c>
      <c r="Y221" s="380">
        <f t="shared" si="88"/>
        <v>201.42097076014045</v>
      </c>
      <c r="Z221" s="380">
        <f t="shared" si="89"/>
        <v>205.43087968457183</v>
      </c>
      <c r="AA221" s="381">
        <f t="shared" si="90"/>
        <v>219.323888855798</v>
      </c>
      <c r="AB221" s="193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6.3344714721708176E-2</v>
      </c>
      <c r="AD221" s="227">
        <f>(INDEX(Models!$BJ221:$BT221,,AH221)*(1-AF221)+INDEX(Models!$BJ221:$BT221,,AH221+1)*AF221-ERP_i)*AE221*Ramure*Pc/MaxiM</f>
        <v>2.0141598489970496E-4</v>
      </c>
      <c r="AE221" s="301">
        <f t="shared" si="92"/>
        <v>0.5</v>
      </c>
      <c r="AF221" s="173">
        <f t="shared" si="93"/>
        <v>0.92398271979435953</v>
      </c>
      <c r="AG221" s="801">
        <f t="shared" si="99"/>
        <v>1</v>
      </c>
      <c r="AH221" s="172">
        <f t="shared" si="94"/>
        <v>7</v>
      </c>
      <c r="AI221" s="221">
        <f t="shared" si="95"/>
        <v>1.9239827197943595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45865</v>
      </c>
      <c r="B222" s="406">
        <f>'2024'!Wh/'2024'!Env_an*'2025'!Env_an</f>
        <v>226.7026077773773</v>
      </c>
      <c r="C222" s="385"/>
      <c r="D222" s="388">
        <f t="shared" si="77"/>
        <v>231.2189912656381</v>
      </c>
      <c r="E222" s="380">
        <f t="shared" si="75"/>
        <v>240.70803780403264</v>
      </c>
      <c r="F222" s="380">
        <f t="shared" si="78"/>
        <v>240.75744789111332</v>
      </c>
      <c r="G222" s="110">
        <f t="shared" si="76"/>
        <v>1.0034973585030091</v>
      </c>
      <c r="H222" s="409" t="b">
        <f>Wh_hp&gt;='2024'!Maxi_hp</f>
        <v>1</v>
      </c>
      <c r="I222" s="375">
        <f>IF(H222,Wh_hp,'2024'!Maxi_hp)</f>
        <v>240.75744789111332</v>
      </c>
      <c r="J222" s="85">
        <f>IF(H222,An,'2024'!An_max)</f>
        <v>2025</v>
      </c>
      <c r="K222" s="193">
        <f t="shared" si="79"/>
        <v>45865</v>
      </c>
      <c r="L222" s="143">
        <f>IF(t&lt;Tvie,1-EXP((T0-t)*PertePVj)+'2024'!Pspv,1-EXP((T0-t)*PertePVj)+Pspv)</f>
        <v>1.9532926181967891E-2</v>
      </c>
      <c r="M222" s="835"/>
      <c r="N222" s="835"/>
      <c r="O222" s="48">
        <f>IF(t&lt;Tnet,'2024'!Resal+('2024'!Salim-'2024'!Resal)*(1-EXP(('2024'!Tnet-t)/('2024'!Tau_j))),Resal+(Salim-Resal)*(1-EXP((Tnet-t)/(Tau_j))))*Salcycl</f>
        <v>3.9421394586415359E-2</v>
      </c>
      <c r="P222" s="165">
        <f>(INDEX(Models!$BJ222:$BT222,,T222)*(1-R222)+INDEX(Models!$BJ222:$BT222,,T222+1)*R222-ERP_i)*Q222*Ramure*Pc/MaxiM</f>
        <v>2.0522765760088685E-4</v>
      </c>
      <c r="Q222" s="301">
        <f t="shared" si="80"/>
        <v>0.5</v>
      </c>
      <c r="R222" s="173">
        <f t="shared" si="81"/>
        <v>0.9262935612993255</v>
      </c>
      <c r="S222" s="801">
        <f t="shared" si="82"/>
        <v>1</v>
      </c>
      <c r="T222" s="172">
        <f t="shared" si="83"/>
        <v>7</v>
      </c>
      <c r="U222" s="247">
        <f t="shared" si="84"/>
        <v>1.9262935612993255</v>
      </c>
      <c r="V222" s="378">
        <f t="shared" si="85"/>
        <v>225.91251073701505</v>
      </c>
      <c r="W222" s="397">
        <f t="shared" si="86"/>
        <v>226.7026077773773</v>
      </c>
      <c r="X222" s="153">
        <f t="shared" si="87"/>
        <v>45865</v>
      </c>
      <c r="Y222" s="380">
        <f t="shared" si="88"/>
        <v>221.0511265587262</v>
      </c>
      <c r="Z222" s="380">
        <f t="shared" si="89"/>
        <v>225.45492088574895</v>
      </c>
      <c r="AA222" s="381">
        <f t="shared" si="90"/>
        <v>240.70803780403264</v>
      </c>
      <c r="AB222" s="193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6.3367709102849709E-2</v>
      </c>
      <c r="AD222" s="227">
        <f>(INDEX(Models!$BJ222:$BT222,,AH222)*(1-AF222)+INDEX(Models!$BJ222:$BT222,,AH222+1)*AF222-ERP_i)*AE222*Ramure*Pc/MaxiM</f>
        <v>2.0522765760088685E-4</v>
      </c>
      <c r="AE222" s="301">
        <f t="shared" si="92"/>
        <v>0.5</v>
      </c>
      <c r="AF222" s="173">
        <f t="shared" si="93"/>
        <v>0.9262935612993255</v>
      </c>
      <c r="AG222" s="801">
        <f t="shared" si="99"/>
        <v>1</v>
      </c>
      <c r="AH222" s="172">
        <f t="shared" si="94"/>
        <v>7</v>
      </c>
      <c r="AI222" s="221">
        <f t="shared" si="95"/>
        <v>1.9262935612993255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45866</v>
      </c>
      <c r="B223" s="406">
        <f>'2024'!Wh/'2024'!Env_an*'2025'!Env_an</f>
        <v>183.12428733353653</v>
      </c>
      <c r="C223" s="385"/>
      <c r="D223" s="388">
        <f t="shared" si="77"/>
        <v>186.77505759826579</v>
      </c>
      <c r="E223" s="380">
        <f t="shared" si="75"/>
        <v>194.45005943312455</v>
      </c>
      <c r="F223" s="380">
        <f t="shared" si="78"/>
        <v>194.4798281037196</v>
      </c>
      <c r="G223" s="110">
        <f t="shared" si="76"/>
        <v>0.81245702641447404</v>
      </c>
      <c r="H223" s="409" t="b">
        <f>Wh_hp&gt;='2024'!Maxi_hp</f>
        <v>0</v>
      </c>
      <c r="I223" s="375">
        <f>IF(H223,Wh_hp,'2024'!Maxi_hp)</f>
        <v>194.48838294022485</v>
      </c>
      <c r="J223" s="85">
        <f>IF(H223,An,'2024'!An_max)</f>
        <v>2022</v>
      </c>
      <c r="K223" s="193">
        <f t="shared" si="79"/>
        <v>45866</v>
      </c>
      <c r="L223" s="143">
        <f>IF(t&lt;Tvie,1-EXP((T0-t)*PertePVj)+'2024'!Pspv,1-EXP((T0-t)*PertePVj)+Pspv)</f>
        <v>1.9546347952849707E-2</v>
      </c>
      <c r="M223" s="835"/>
      <c r="N223" s="835"/>
      <c r="O223" s="48">
        <f>IF(t&lt;Tnet,'2024'!Resal+('2024'!Salim-'2024'!Resal)*(1-EXP(('2024'!Tnet-t)/('2024'!Tau_j))),Resal+(Salim-Resal)*(1-EXP((Tnet-t)/(Tau_j))))*Salcycl</f>
        <v>3.9470298220702547E-2</v>
      </c>
      <c r="P223" s="165">
        <f>(INDEX(Models!$BJ223:$BT223,,T223)*(1-R223)+INDEX(Models!$BJ223:$BT223,,T223+1)*R223-ERP_i)*Q223*Ramure*Pc/MaxiM</f>
        <v>2.09067681062096E-4</v>
      </c>
      <c r="Q223" s="301">
        <f t="shared" si="80"/>
        <v>0.5</v>
      </c>
      <c r="R223" s="173">
        <f t="shared" si="81"/>
        <v>0.92853456068590701</v>
      </c>
      <c r="S223" s="801">
        <f t="shared" si="82"/>
        <v>1</v>
      </c>
      <c r="T223" s="172">
        <f t="shared" si="83"/>
        <v>7</v>
      </c>
      <c r="U223" s="247">
        <f t="shared" si="84"/>
        <v>1.928534560685907</v>
      </c>
      <c r="V223" s="378">
        <f t="shared" si="85"/>
        <v>225.38303558086764</v>
      </c>
      <c r="W223" s="397">
        <f t="shared" si="86"/>
        <v>183.12428733353653</v>
      </c>
      <c r="X223" s="153">
        <f t="shared" si="87"/>
        <v>45866</v>
      </c>
      <c r="Y223" s="380">
        <f t="shared" si="88"/>
        <v>178.5639311951395</v>
      </c>
      <c r="Z223" s="380">
        <f t="shared" si="89"/>
        <v>182.123786088516</v>
      </c>
      <c r="AA223" s="381">
        <f t="shared" si="90"/>
        <v>194.45005943312455</v>
      </c>
      <c r="AB223" s="193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6.3390432384248352E-2</v>
      </c>
      <c r="AD223" s="227">
        <f>(INDEX(Models!$BJ223:$BT223,,AH223)*(1-AF223)+INDEX(Models!$BJ223:$BT223,,AH223+1)*AF223-ERP_i)*AE223*Ramure*Pc/MaxiM</f>
        <v>2.09067681062096E-4</v>
      </c>
      <c r="AE223" s="301">
        <f t="shared" si="92"/>
        <v>0.5</v>
      </c>
      <c r="AF223" s="173">
        <f t="shared" si="93"/>
        <v>0.92853456068590701</v>
      </c>
      <c r="AG223" s="801">
        <f t="shared" si="99"/>
        <v>1</v>
      </c>
      <c r="AH223" s="172">
        <f t="shared" si="94"/>
        <v>7</v>
      </c>
      <c r="AI223" s="221">
        <f t="shared" si="95"/>
        <v>1.928534560685907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45867</v>
      </c>
      <c r="B224" s="406">
        <f>'2024'!Wh/'2024'!Env_an*'2025'!Env_an</f>
        <v>111.23631061793945</v>
      </c>
      <c r="C224" s="385"/>
      <c r="D224" s="388">
        <f t="shared" si="77"/>
        <v>113.45547353330227</v>
      </c>
      <c r="E224" s="380">
        <f t="shared" si="75"/>
        <v>118.12360074272021</v>
      </c>
      <c r="F224" s="380">
        <f t="shared" si="78"/>
        <v>118.13059822608463</v>
      </c>
      <c r="G224" s="110">
        <f t="shared" si="76"/>
        <v>0.49465042839127144</v>
      </c>
      <c r="H224" s="409" t="b">
        <f>Wh_hp&gt;='2024'!Maxi_hp</f>
        <v>0</v>
      </c>
      <c r="I224" s="375">
        <f>IF(H224,Wh_hp,'2024'!Maxi_hp)</f>
        <v>118.14485084617337</v>
      </c>
      <c r="J224" s="85">
        <f>IF(H224,An,'2024'!An_max)</f>
        <v>2022</v>
      </c>
      <c r="K224" s="193">
        <f t="shared" si="79"/>
        <v>45867</v>
      </c>
      <c r="L224" s="143">
        <f>IF(t&lt;Tvie,1-EXP((T0-t)*PertePVj)+'2024'!Pspv,1-EXP((T0-t)*PertePVj)+Pspv)</f>
        <v>1.9559769539998717E-2</v>
      </c>
      <c r="M224" s="835"/>
      <c r="N224" s="835"/>
      <c r="O224" s="48">
        <f>IF(t&lt;Tnet,'2024'!Resal+('2024'!Salim-'2024'!Resal)*(1-EXP(('2024'!Tnet-t)/('2024'!Tau_j))),Resal+(Salim-Resal)*(1-EXP((Tnet-t)/(Tau_j))))*Salcycl</f>
        <v>3.9519005347503675E-2</v>
      </c>
      <c r="P224" s="165">
        <f>(INDEX(Models!$BJ224:$BT224,,T224)*(1-R224)+INDEX(Models!$BJ224:$BT224,,T224+1)*R224-ERP_i)*Q224*Ramure*Pc/MaxiM</f>
        <v>2.1293767719823787E-4</v>
      </c>
      <c r="Q224" s="301">
        <f t="shared" si="80"/>
        <v>0.5</v>
      </c>
      <c r="R224" s="173">
        <f t="shared" si="81"/>
        <v>0.93070702968994024</v>
      </c>
      <c r="S224" s="801">
        <f t="shared" si="82"/>
        <v>1</v>
      </c>
      <c r="T224" s="172">
        <f t="shared" si="83"/>
        <v>7</v>
      </c>
      <c r="U224" s="247">
        <f t="shared" si="84"/>
        <v>1.9307070296899402</v>
      </c>
      <c r="V224" s="378">
        <f t="shared" si="85"/>
        <v>224.84406344183697</v>
      </c>
      <c r="W224" s="397">
        <f t="shared" si="86"/>
        <v>111.23631061793945</v>
      </c>
      <c r="X224" s="153">
        <f t="shared" si="87"/>
        <v>45867</v>
      </c>
      <c r="Y224" s="380">
        <f t="shared" si="88"/>
        <v>108.46908374517382</v>
      </c>
      <c r="Z224" s="380">
        <f t="shared" si="89"/>
        <v>110.63304052127938</v>
      </c>
      <c r="AA224" s="381">
        <f t="shared" si="90"/>
        <v>118.12360074272021</v>
      </c>
      <c r="AB224" s="193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6.3412901184376286E-2</v>
      </c>
      <c r="AD224" s="227">
        <f>(INDEX(Models!$BJ224:$BT224,,AH224)*(1-AF224)+INDEX(Models!$BJ224:$BT224,,AH224+1)*AF224-ERP_i)*AE224*Ramure*Pc/MaxiM</f>
        <v>2.1293767719823787E-4</v>
      </c>
      <c r="AE224" s="301">
        <f t="shared" si="92"/>
        <v>0.5</v>
      </c>
      <c r="AF224" s="173">
        <f t="shared" si="93"/>
        <v>0.93070702968994024</v>
      </c>
      <c r="AG224" s="801">
        <f t="shared" si="99"/>
        <v>1</v>
      </c>
      <c r="AH224" s="172">
        <f t="shared" si="94"/>
        <v>7</v>
      </c>
      <c r="AI224" s="221">
        <f t="shared" si="95"/>
        <v>1.9307070296899402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45868</v>
      </c>
      <c r="B225" s="406">
        <f>'2024'!Wh/'2024'!Env_an*'2025'!Env_an</f>
        <v>192.54140655410535</v>
      </c>
      <c r="C225" s="385"/>
      <c r="D225" s="388">
        <f t="shared" si="77"/>
        <v>196.38529340030865</v>
      </c>
      <c r="E225" s="380">
        <f t="shared" si="75"/>
        <v>204.47589863702703</v>
      </c>
      <c r="F225" s="380">
        <f t="shared" si="78"/>
        <v>204.5112758421526</v>
      </c>
      <c r="G225" s="110">
        <f t="shared" si="76"/>
        <v>0.85838940542083131</v>
      </c>
      <c r="H225" s="409" t="b">
        <f>Wh_hp&gt;='2024'!Maxi_hp</f>
        <v>0</v>
      </c>
      <c r="I225" s="375">
        <f>IF(H225,Wh_hp,'2024'!Maxi_hp)</f>
        <v>204.51831402539628</v>
      </c>
      <c r="J225" s="85">
        <f>IF(H225,An,'2024'!An_max)</f>
        <v>2022</v>
      </c>
      <c r="K225" s="193">
        <f t="shared" si="79"/>
        <v>45868</v>
      </c>
      <c r="L225" s="143">
        <f>IF(t&lt;Tvie,1-EXP((T0-t)*PertePVj)+'2024'!Pspv,1-EXP((T0-t)*PertePVj)+Pspv)</f>
        <v>1.9573190943417473E-2</v>
      </c>
      <c r="M225" s="835"/>
      <c r="N225" s="835"/>
      <c r="O225" s="48">
        <f>IF(t&lt;Tnet,'2024'!Resal+('2024'!Salim-'2024'!Resal)*(1-EXP(('2024'!Tnet-t)/('2024'!Tau_j))),Resal+(Salim-Resal)*(1-EXP((Tnet-t)/(Tau_j))))*Salcycl</f>
        <v>3.9567525026899628E-2</v>
      </c>
      <c r="P225" s="165">
        <f>(INDEX(Models!$BJ225:$BT225,,T225)*(1-R225)+INDEX(Models!$BJ225:$BT225,,T225+1)*R225-ERP_i)*Q225*Ramure*Pc/MaxiM</f>
        <v>2.1683922580149426E-4</v>
      </c>
      <c r="Q225" s="301">
        <f t="shared" si="80"/>
        <v>0.5</v>
      </c>
      <c r="R225" s="173">
        <f t="shared" si="81"/>
        <v>0.9328123132368229</v>
      </c>
      <c r="S225" s="801">
        <f t="shared" si="82"/>
        <v>1</v>
      </c>
      <c r="T225" s="172">
        <f t="shared" si="83"/>
        <v>7</v>
      </c>
      <c r="U225" s="247">
        <f t="shared" si="84"/>
        <v>1.9328123132368229</v>
      </c>
      <c r="V225" s="378">
        <f t="shared" si="85"/>
        <v>224.29559353306121</v>
      </c>
      <c r="W225" s="397">
        <f t="shared" si="86"/>
        <v>192.54140655410535</v>
      </c>
      <c r="X225" s="153">
        <f t="shared" si="87"/>
        <v>45868</v>
      </c>
      <c r="Y225" s="380">
        <f t="shared" si="88"/>
        <v>187.75658048736534</v>
      </c>
      <c r="Z225" s="380">
        <f t="shared" si="89"/>
        <v>191.50494330936795</v>
      </c>
      <c r="AA225" s="381">
        <f t="shared" si="90"/>
        <v>204.47589863702703</v>
      </c>
      <c r="AB225" s="193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6.3435130566093345E-2</v>
      </c>
      <c r="AD225" s="227">
        <f>(INDEX(Models!$BJ225:$BT225,,AH225)*(1-AF225)+INDEX(Models!$BJ225:$BT225,,AH225+1)*AF225-ERP_i)*AE225*Ramure*Pc/MaxiM</f>
        <v>2.1683922580149426E-4</v>
      </c>
      <c r="AE225" s="301">
        <f t="shared" si="92"/>
        <v>0.5</v>
      </c>
      <c r="AF225" s="173">
        <f t="shared" si="93"/>
        <v>0.9328123132368229</v>
      </c>
      <c r="AG225" s="801">
        <f t="shared" si="99"/>
        <v>1</v>
      </c>
      <c r="AH225" s="172">
        <f t="shared" si="94"/>
        <v>7</v>
      </c>
      <c r="AI225" s="221">
        <f t="shared" si="95"/>
        <v>1.9328123132368229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45869</v>
      </c>
      <c r="B226" s="406">
        <f>'2024'!Wh/'2024'!Env_an*'2025'!Env_an</f>
        <v>220.34240710463635</v>
      </c>
      <c r="C226" s="385"/>
      <c r="D226" s="388">
        <f t="shared" si="77"/>
        <v>224.74438827358617</v>
      </c>
      <c r="E226" s="380">
        <f t="shared" si="75"/>
        <v>234.0150989301633</v>
      </c>
      <c r="F226" s="380">
        <f t="shared" si="78"/>
        <v>234.06564163572224</v>
      </c>
      <c r="G226" s="110">
        <f t="shared" si="76"/>
        <v>0.98482023356382908</v>
      </c>
      <c r="H226" s="409" t="b">
        <f>Wh_hp&gt;='2024'!Maxi_hp</f>
        <v>0</v>
      </c>
      <c r="I226" s="375">
        <f>IF(H226,Wh_hp,'2024'!Maxi_hp)</f>
        <v>234.06652052001985</v>
      </c>
      <c r="J226" s="85">
        <f>IF(H226,An,'2024'!An_max)</f>
        <v>2022</v>
      </c>
      <c r="K226" s="193">
        <f t="shared" si="79"/>
        <v>45869</v>
      </c>
      <c r="L226" s="143">
        <f>IF(t&lt;Tvie,1-EXP((T0-t)*PertePVj)+'2024'!Pspv,1-EXP((T0-t)*PertePVj)+Pspv)</f>
        <v>1.958661216310853E-2</v>
      </c>
      <c r="M226" s="835"/>
      <c r="N226" s="835"/>
      <c r="O226" s="48">
        <f>IF(t&lt;Tnet,'2024'!Resal+('2024'!Salim-'2024'!Resal)*(1-EXP(('2024'!Tnet-t)/('2024'!Tau_j))),Resal+(Salim-Resal)*(1-EXP((Tnet-t)/(Tau_j))))*Salcycl</f>
        <v>3.9615865382018722E-2</v>
      </c>
      <c r="P226" s="165">
        <f>(INDEX(Models!$BJ226:$BT226,,T226)*(1-R226)+INDEX(Models!$BJ226:$BT226,,T226+1)*R226-ERP_i)*Q226*Ramure*Pc/MaxiM</f>
        <v>2.2071877903968106E-4</v>
      </c>
      <c r="Q226" s="301">
        <f t="shared" si="80"/>
        <v>0.5</v>
      </c>
      <c r="R226" s="173">
        <f t="shared" si="81"/>
        <v>0.93485178430229587</v>
      </c>
      <c r="S226" s="801">
        <f t="shared" si="82"/>
        <v>1</v>
      </c>
      <c r="T226" s="172">
        <f t="shared" si="83"/>
        <v>7</v>
      </c>
      <c r="U226" s="247">
        <f t="shared" si="84"/>
        <v>1.9348517843022959</v>
      </c>
      <c r="V226" s="378">
        <f t="shared" si="85"/>
        <v>223.73763764639338</v>
      </c>
      <c r="W226" s="397">
        <f t="shared" si="86"/>
        <v>220.34240710463635</v>
      </c>
      <c r="X226" s="153">
        <f t="shared" si="87"/>
        <v>45869</v>
      </c>
      <c r="Y226" s="380">
        <f t="shared" si="88"/>
        <v>214.87246821824689</v>
      </c>
      <c r="Z226" s="380">
        <f t="shared" si="89"/>
        <v>219.16517143072164</v>
      </c>
      <c r="AA226" s="381">
        <f t="shared" si="90"/>
        <v>234.0150989301633</v>
      </c>
      <c r="AB226" s="193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6.3457134036779717E-2</v>
      </c>
      <c r="AD226" s="227">
        <f>(INDEX(Models!$BJ226:$BT226,,AH226)*(1-AF226)+INDEX(Models!$BJ226:$BT226,,AH226+1)*AF226-ERP_i)*AE226*Ramure*Pc/MaxiM</f>
        <v>2.2071877903968106E-4</v>
      </c>
      <c r="AE226" s="301">
        <f t="shared" si="92"/>
        <v>0.5</v>
      </c>
      <c r="AF226" s="173">
        <f t="shared" si="93"/>
        <v>0.93485178430229587</v>
      </c>
      <c r="AG226" s="801">
        <f t="shared" si="99"/>
        <v>1</v>
      </c>
      <c r="AH226" s="172">
        <f t="shared" si="94"/>
        <v>7</v>
      </c>
      <c r="AI226" s="221">
        <f t="shared" si="95"/>
        <v>1.9348517843022959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45870</v>
      </c>
      <c r="B227" s="406">
        <f>'2024'!Wh/'2024'!Env_an*'2025'!Env_an</f>
        <v>219.27539976366765</v>
      </c>
      <c r="C227" s="385"/>
      <c r="D227" s="388">
        <f t="shared" si="77"/>
        <v>223.65912605971403</v>
      </c>
      <c r="E227" s="380">
        <f t="shared" si="75"/>
        <v>232.89675060126783</v>
      </c>
      <c r="F227" s="380">
        <f t="shared" si="78"/>
        <v>232.94772520115757</v>
      </c>
      <c r="G227" s="110">
        <f t="shared" si="76"/>
        <v>0.98254221393126884</v>
      </c>
      <c r="H227" s="409" t="b">
        <f>Wh_hp&gt;='2024'!Maxi_hp</f>
        <v>0</v>
      </c>
      <c r="I227" s="375">
        <f>IF(H227,Wh_hp,'2024'!Maxi_hp)</f>
        <v>232.94874797360882</v>
      </c>
      <c r="J227" s="85">
        <f>IF(H227,An,'2024'!An_max)</f>
        <v>2022</v>
      </c>
      <c r="K227" s="193">
        <f t="shared" si="79"/>
        <v>45870</v>
      </c>
      <c r="L227" s="143">
        <f>IF(t&lt;Tvie,1-EXP((T0-t)*PertePVj)+'2024'!Pspv,1-EXP((T0-t)*PertePVj)+Pspv)</f>
        <v>1.960003319907444E-2</v>
      </c>
      <c r="M227" s="835"/>
      <c r="N227" s="835"/>
      <c r="O227" s="48">
        <f>IF(t&lt;Tnet,'2024'!Resal+('2024'!Salim-'2024'!Resal)*(1-EXP(('2024'!Tnet-t)/('2024'!Tau_j))),Resal+(Salim-Resal)*(1-EXP((Tnet-t)/(Tau_j))))*Salcycl</f>
        <v>3.966403360160705E-2</v>
      </c>
      <c r="P227" s="165">
        <f>(INDEX(Models!$BJ227:$BT227,,T227)*(1-R227)+INDEX(Models!$BJ227:$BT227,,T227+1)*R227-ERP_i)*Q227*Ramure*Pc/MaxiM</f>
        <v>2.2441938929620159E-4</v>
      </c>
      <c r="Q227" s="301">
        <f t="shared" si="80"/>
        <v>0.5</v>
      </c>
      <c r="R227" s="173">
        <f t="shared" si="81"/>
        <v>0.93682683903096509</v>
      </c>
      <c r="S227" s="801">
        <f t="shared" si="82"/>
        <v>1</v>
      </c>
      <c r="T227" s="172">
        <f t="shared" si="83"/>
        <v>7</v>
      </c>
      <c r="U227" s="247">
        <f t="shared" si="84"/>
        <v>1.9368268390309651</v>
      </c>
      <c r="V227" s="378">
        <f t="shared" si="85"/>
        <v>223.17023075343374</v>
      </c>
      <c r="W227" s="397">
        <f t="shared" si="86"/>
        <v>219.27539976366765</v>
      </c>
      <c r="X227" s="153">
        <f t="shared" si="87"/>
        <v>45870</v>
      </c>
      <c r="Y227" s="380">
        <f t="shared" si="88"/>
        <v>213.83769910623715</v>
      </c>
      <c r="Z227" s="380">
        <f t="shared" si="89"/>
        <v>218.11271557260039</v>
      </c>
      <c r="AA227" s="381">
        <f t="shared" si="90"/>
        <v>232.89675060126783</v>
      </c>
      <c r="AB227" s="193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6.3478923559472572E-2</v>
      </c>
      <c r="AD227" s="227">
        <f>(INDEX(Models!$BJ227:$BT227,,AH227)*(1-AF227)+INDEX(Models!$BJ227:$BT227,,AH227+1)*AF227-ERP_i)*AE227*Ramure*Pc/MaxiM</f>
        <v>2.2441938929620159E-4</v>
      </c>
      <c r="AE227" s="301">
        <f t="shared" si="92"/>
        <v>0.5</v>
      </c>
      <c r="AF227" s="173">
        <f t="shared" si="93"/>
        <v>0.93682683903096509</v>
      </c>
      <c r="AG227" s="801">
        <f t="shared" si="99"/>
        <v>1</v>
      </c>
      <c r="AH227" s="172">
        <f t="shared" si="94"/>
        <v>7</v>
      </c>
      <c r="AI227" s="221">
        <f t="shared" si="95"/>
        <v>1.9368268390309651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45871</v>
      </c>
      <c r="B228" s="406">
        <f>'2024'!Wh/'2024'!Env_an*'2025'!Env_an</f>
        <v>219.33435162745081</v>
      </c>
      <c r="C228" s="385"/>
      <c r="D228" s="388">
        <f t="shared" si="77"/>
        <v>223.72231905244004</v>
      </c>
      <c r="E228" s="380">
        <f t="shared" si="75"/>
        <v>232.97419881083067</v>
      </c>
      <c r="F228" s="380">
        <f t="shared" si="78"/>
        <v>233.02620371514436</v>
      </c>
      <c r="G228" s="110">
        <f t="shared" si="76"/>
        <v>0.98535415792574577</v>
      </c>
      <c r="H228" s="409" t="b">
        <f>Wh_hp&gt;='2024'!Maxi_hp</f>
        <v>0</v>
      </c>
      <c r="I228" s="375">
        <f>IF(H228,Wh_hp,'2024'!Maxi_hp)</f>
        <v>233.02707544021914</v>
      </c>
      <c r="J228" s="85">
        <f>IF(H228,An,'2024'!An_max)</f>
        <v>2022</v>
      </c>
      <c r="K228" s="193">
        <f t="shared" si="79"/>
        <v>45871</v>
      </c>
      <c r="L228" s="143">
        <f>IF(t&lt;Tvie,1-EXP((T0-t)*PertePVj)+'2024'!Pspv,1-EXP((T0-t)*PertePVj)+Pspv)</f>
        <v>1.9613454051317536E-2</v>
      </c>
      <c r="M228" s="835"/>
      <c r="N228" s="835"/>
      <c r="O228" s="48">
        <f>IF(t&lt;Tnet,'2024'!Resal+('2024'!Salim-'2024'!Resal)*(1-EXP(('2024'!Tnet-t)/('2024'!Tau_j))),Resal+(Salim-Resal)*(1-EXP((Tnet-t)/(Tau_j))))*Salcycl</f>
        <v>3.9712035949109194E-2</v>
      </c>
      <c r="P228" s="165">
        <f>(INDEX(Models!$BJ228:$BT228,,T228)*(1-R228)+INDEX(Models!$BJ228:$BT228,,T228+1)*R228-ERP_i)*Q228*Ramure*Pc/MaxiM</f>
        <v>2.2793947947359188E-4</v>
      </c>
      <c r="Q228" s="301">
        <f t="shared" si="80"/>
        <v>0.5</v>
      </c>
      <c r="R228" s="173">
        <f t="shared" si="81"/>
        <v>0.93873889211560191</v>
      </c>
      <c r="S228" s="801">
        <f t="shared" si="82"/>
        <v>1</v>
      </c>
      <c r="T228" s="172">
        <f t="shared" si="83"/>
        <v>7</v>
      </c>
      <c r="U228" s="247">
        <f t="shared" si="84"/>
        <v>1.9387388921156019</v>
      </c>
      <c r="V228" s="378">
        <f t="shared" si="85"/>
        <v>222.59337309263205</v>
      </c>
      <c r="W228" s="397">
        <f t="shared" si="86"/>
        <v>219.33435162745081</v>
      </c>
      <c r="X228" s="153">
        <f t="shared" si="87"/>
        <v>45871</v>
      </c>
      <c r="Y228" s="380">
        <f t="shared" si="88"/>
        <v>213.90095077883296</v>
      </c>
      <c r="Z228" s="380">
        <f t="shared" si="89"/>
        <v>218.18021846867475</v>
      </c>
      <c r="AA228" s="381">
        <f t="shared" si="90"/>
        <v>232.97419881083067</v>
      </c>
      <c r="AB228" s="193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6.3500509574316702E-2</v>
      </c>
      <c r="AD228" s="227">
        <f>(INDEX(Models!$BJ228:$BT228,,AH228)*(1-AF228)+INDEX(Models!$BJ228:$BT228,,AH228+1)*AF228-ERP_i)*AE228*Ramure*Pc/MaxiM</f>
        <v>2.2793947947359188E-4</v>
      </c>
      <c r="AE228" s="301">
        <f t="shared" si="92"/>
        <v>0.5</v>
      </c>
      <c r="AF228" s="173">
        <f t="shared" si="93"/>
        <v>0.93873889211560191</v>
      </c>
      <c r="AG228" s="801">
        <f t="shared" si="99"/>
        <v>1</v>
      </c>
      <c r="AH228" s="172">
        <f t="shared" si="94"/>
        <v>7</v>
      </c>
      <c r="AI228" s="221">
        <f t="shared" si="95"/>
        <v>1.9387388921156019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45872</v>
      </c>
      <c r="B229" s="406">
        <f>'2024'!Wh/'2024'!Env_an*'2025'!Env_an</f>
        <v>208.2550813599222</v>
      </c>
      <c r="C229" s="385"/>
      <c r="D229" s="388">
        <f t="shared" si="77"/>
        <v>212.42430661326981</v>
      </c>
      <c r="E229" s="380">
        <f t="shared" si="75"/>
        <v>221.21998622769217</v>
      </c>
      <c r="F229" s="380">
        <f t="shared" si="78"/>
        <v>221.26663175983668</v>
      </c>
      <c r="G229" s="110">
        <f t="shared" si="76"/>
        <v>0.93803689626440601</v>
      </c>
      <c r="H229" s="409" t="b">
        <f>Wh_hp&gt;='2024'!Maxi_hp</f>
        <v>0</v>
      </c>
      <c r="I229" s="375">
        <f>IF(H229,Wh_hp,'2024'!Maxi_hp)</f>
        <v>221.2701847087576</v>
      </c>
      <c r="J229" s="85">
        <f>IF(H229,An,'2024'!An_max)</f>
        <v>2022</v>
      </c>
      <c r="K229" s="193">
        <f t="shared" si="79"/>
        <v>45872</v>
      </c>
      <c r="L229" s="143">
        <f>IF(t&lt;Tvie,1-EXP((T0-t)*PertePVj)+'2024'!Pspv,1-EXP((T0-t)*PertePVj)+Pspv)</f>
        <v>1.962687471984037E-2</v>
      </c>
      <c r="M229" s="835"/>
      <c r="N229" s="835"/>
      <c r="O229" s="48">
        <f>IF(t&lt;Tnet,'2024'!Resal+('2024'!Salim-'2024'!Resal)*(1-EXP(('2024'!Tnet-t)/('2024'!Tau_j))),Resal+(Salim-Resal)*(1-EXP((Tnet-t)/(Tau_j))))*Salcycl</f>
        <v>3.9759877777812348E-2</v>
      </c>
      <c r="P229" s="165">
        <f>(INDEX(Models!$BJ229:$BT229,,T229)*(1-R229)+INDEX(Models!$BJ229:$BT229,,T229+1)*R229-ERP_i)*Q229*Ramure*Pc/MaxiM</f>
        <v>2.3127745682925487E-4</v>
      </c>
      <c r="Q229" s="301">
        <f t="shared" si="80"/>
        <v>0.5</v>
      </c>
      <c r="R229" s="173">
        <f t="shared" si="81"/>
        <v>0.94058937243832474</v>
      </c>
      <c r="S229" s="801">
        <f t="shared" si="82"/>
        <v>1</v>
      </c>
      <c r="T229" s="172">
        <f t="shared" si="83"/>
        <v>7</v>
      </c>
      <c r="U229" s="247">
        <f t="shared" si="84"/>
        <v>1.9405893724383247</v>
      </c>
      <c r="V229" s="378">
        <f t="shared" si="85"/>
        <v>222.00706510983755</v>
      </c>
      <c r="W229" s="397">
        <f t="shared" si="86"/>
        <v>208.2550813599222</v>
      </c>
      <c r="X229" s="153">
        <f t="shared" si="87"/>
        <v>45872</v>
      </c>
      <c r="Y229" s="380">
        <f t="shared" si="88"/>
        <v>203.10161820935548</v>
      </c>
      <c r="Z229" s="380">
        <f t="shared" si="89"/>
        <v>207.16767215677751</v>
      </c>
      <c r="AA229" s="381">
        <f t="shared" si="90"/>
        <v>221.21998622769217</v>
      </c>
      <c r="AB229" s="193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6.3521901029553615E-2</v>
      </c>
      <c r="AD229" s="227">
        <f>(INDEX(Models!$BJ229:$BT229,,AH229)*(1-AF229)+INDEX(Models!$BJ229:$BT229,,AH229+1)*AF229-ERP_i)*AE229*Ramure*Pc/MaxiM</f>
        <v>2.3127745682925487E-4</v>
      </c>
      <c r="AE229" s="301">
        <f t="shared" si="92"/>
        <v>0.5</v>
      </c>
      <c r="AF229" s="173">
        <f t="shared" si="93"/>
        <v>0.94058937243832474</v>
      </c>
      <c r="AG229" s="801">
        <f t="shared" si="99"/>
        <v>1</v>
      </c>
      <c r="AH229" s="172">
        <f t="shared" si="94"/>
        <v>7</v>
      </c>
      <c r="AI229" s="221">
        <f t="shared" si="95"/>
        <v>1.9405893724383247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45873</v>
      </c>
      <c r="B230" s="406">
        <f>'2024'!Wh/'2024'!Env_an*'2025'!Env_an</f>
        <v>197.63658724030313</v>
      </c>
      <c r="C230" s="385"/>
      <c r="D230" s="388">
        <f t="shared" si="77"/>
        <v>201.59599203596284</v>
      </c>
      <c r="E230" s="380">
        <f t="shared" si="75"/>
        <v>209.95373883762838</v>
      </c>
      <c r="F230" s="380">
        <f t="shared" si="78"/>
        <v>209.99541673862984</v>
      </c>
      <c r="G230" s="110">
        <f t="shared" si="76"/>
        <v>0.89258981784129832</v>
      </c>
      <c r="H230" s="409" t="b">
        <f>Wh_hp&gt;='2024'!Maxi_hp</f>
        <v>0</v>
      </c>
      <c r="I230" s="375">
        <f>IF(H230,Wh_hp,'2024'!Maxi_hp)</f>
        <v>210.00134100981151</v>
      </c>
      <c r="J230" s="85">
        <f>IF(H230,An,'2024'!An_max)</f>
        <v>2022</v>
      </c>
      <c r="K230" s="193">
        <f t="shared" si="79"/>
        <v>45873</v>
      </c>
      <c r="L230" s="143">
        <f>IF(t&lt;Tvie,1-EXP((T0-t)*PertePVj)+'2024'!Pspv,1-EXP((T0-t)*PertePVj)+Pspv)</f>
        <v>1.9640295204645608E-2</v>
      </c>
      <c r="M230" s="835"/>
      <c r="N230" s="835"/>
      <c r="O230" s="48">
        <f>IF(t&lt;Tnet,'2024'!Resal+('2024'!Salim-'2024'!Resal)*(1-EXP(('2024'!Tnet-t)/('2024'!Tau_j))),Resal+(Salim-Resal)*(1-EXP((Tnet-t)/(Tau_j))))*Salcycl</f>
        <v>3.9807563551555382E-2</v>
      </c>
      <c r="P230" s="165">
        <f>(INDEX(Models!$BJ230:$BT230,,T230)*(1-R230)+INDEX(Models!$BJ230:$BT230,,T230+1)*R230-ERP_i)*Q230*Ramure*Pc/MaxiM</f>
        <v>2.3443170628319865E-4</v>
      </c>
      <c r="Q230" s="301">
        <f t="shared" si="80"/>
        <v>0.5</v>
      </c>
      <c r="R230" s="173">
        <f t="shared" si="81"/>
        <v>0.94237971897300166</v>
      </c>
      <c r="S230" s="801">
        <f t="shared" si="82"/>
        <v>1</v>
      </c>
      <c r="T230" s="172">
        <f t="shared" si="83"/>
        <v>7</v>
      </c>
      <c r="U230" s="247">
        <f t="shared" si="84"/>
        <v>1.9423797189730017</v>
      </c>
      <c r="V230" s="378">
        <f t="shared" si="85"/>
        <v>221.41130744985878</v>
      </c>
      <c r="W230" s="397">
        <f t="shared" si="86"/>
        <v>197.63658724030313</v>
      </c>
      <c r="X230" s="153">
        <f t="shared" si="87"/>
        <v>45873</v>
      </c>
      <c r="Y230" s="380">
        <f t="shared" si="88"/>
        <v>192.75109625605182</v>
      </c>
      <c r="Z230" s="380">
        <f t="shared" si="89"/>
        <v>196.61262627709462</v>
      </c>
      <c r="AA230" s="381">
        <f t="shared" si="90"/>
        <v>209.95373883762838</v>
      </c>
      <c r="AB230" s="193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6.3543105421196386E-2</v>
      </c>
      <c r="AD230" s="227">
        <f>(INDEX(Models!$BJ230:$BT230,,AH230)*(1-AF230)+INDEX(Models!$BJ230:$BT230,,AH230+1)*AF230-ERP_i)*AE230*Ramure*Pc/MaxiM</f>
        <v>2.3443170628319865E-4</v>
      </c>
      <c r="AE230" s="301">
        <f t="shared" si="92"/>
        <v>0.5</v>
      </c>
      <c r="AF230" s="173">
        <f t="shared" si="93"/>
        <v>0.94237971897300166</v>
      </c>
      <c r="AG230" s="801">
        <f t="shared" si="99"/>
        <v>1</v>
      </c>
      <c r="AH230" s="172">
        <f t="shared" si="94"/>
        <v>7</v>
      </c>
      <c r="AI230" s="221">
        <f t="shared" si="95"/>
        <v>1.9423797189730017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45874</v>
      </c>
      <c r="B231" s="406">
        <f>'2024'!Wh/'2024'!Env_an*'2025'!Env_an</f>
        <v>183.88806520101505</v>
      </c>
      <c r="C231" s="385"/>
      <c r="D231" s="388">
        <f t="shared" si="77"/>
        <v>187.57460308617198</v>
      </c>
      <c r="E231" s="380">
        <f t="shared" si="75"/>
        <v>195.36072365200559</v>
      </c>
      <c r="F231" s="380">
        <f t="shared" si="78"/>
        <v>195.39603110957427</v>
      </c>
      <c r="G231" s="110">
        <f t="shared" si="76"/>
        <v>0.83275613945189486</v>
      </c>
      <c r="H231" s="409" t="b">
        <f>Wh_hp&gt;='2024'!Maxi_hp</f>
        <v>0</v>
      </c>
      <c r="I231" s="375">
        <f>IF(H231,Wh_hp,'2024'!Maxi_hp)</f>
        <v>195.40472194340191</v>
      </c>
      <c r="J231" s="85">
        <f>IF(H231,An,'2024'!An_max)</f>
        <v>2022</v>
      </c>
      <c r="K231" s="193">
        <f t="shared" si="79"/>
        <v>45874</v>
      </c>
      <c r="L231" s="143">
        <f>IF(t&lt;Tvie,1-EXP((T0-t)*PertePVj)+'2024'!Pspv,1-EXP((T0-t)*PertePVj)+Pspv)</f>
        <v>1.9653715505735692E-2</v>
      </c>
      <c r="M231" s="835"/>
      <c r="N231" s="835"/>
      <c r="O231" s="48">
        <f>IF(t&lt;Tnet,'2024'!Resal+('2024'!Salim-'2024'!Resal)*(1-EXP(('2024'!Tnet-t)/('2024'!Tau_j))),Resal+(Salim-Resal)*(1-EXP((Tnet-t)/(Tau_j))))*Salcycl</f>
        <v>3.9855096870458712E-2</v>
      </c>
      <c r="P231" s="165">
        <f>(INDEX(Models!$BJ231:$BT231,,T231)*(1-R231)+INDEX(Models!$BJ231:$BT231,,T231+1)*R231-ERP_i)*Q231*Ramure*Pc/MaxiM</f>
        <v>2.3740058450234675E-4</v>
      </c>
      <c r="Q231" s="301">
        <f t="shared" si="80"/>
        <v>0.5</v>
      </c>
      <c r="R231" s="173">
        <f t="shared" si="81"/>
        <v>0.94411137694664404</v>
      </c>
      <c r="S231" s="801">
        <f t="shared" si="82"/>
        <v>1</v>
      </c>
      <c r="T231" s="172">
        <f t="shared" si="83"/>
        <v>7</v>
      </c>
      <c r="U231" s="247">
        <f t="shared" si="84"/>
        <v>1.944111376946644</v>
      </c>
      <c r="V231" s="378">
        <f t="shared" si="85"/>
        <v>220.80610093990222</v>
      </c>
      <c r="W231" s="397">
        <f t="shared" si="86"/>
        <v>183.88806520101505</v>
      </c>
      <c r="X231" s="153">
        <f t="shared" si="87"/>
        <v>45874</v>
      </c>
      <c r="Y231" s="380">
        <f t="shared" si="88"/>
        <v>179.34728390587509</v>
      </c>
      <c r="Z231" s="380">
        <f t="shared" si="89"/>
        <v>182.94278944342182</v>
      </c>
      <c r="AA231" s="381">
        <f t="shared" si="90"/>
        <v>195.36072365200559</v>
      </c>
      <c r="AB231" s="193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6.3564128840471287E-2</v>
      </c>
      <c r="AD231" s="227">
        <f>(INDEX(Models!$BJ231:$BT231,,AH231)*(1-AF231)+INDEX(Models!$BJ231:$BT231,,AH231+1)*AF231-ERP_i)*AE231*Ramure*Pc/MaxiM</f>
        <v>2.3740058450234675E-4</v>
      </c>
      <c r="AE231" s="301">
        <f t="shared" si="92"/>
        <v>0.5</v>
      </c>
      <c r="AF231" s="173">
        <f t="shared" si="93"/>
        <v>0.94411137694664404</v>
      </c>
      <c r="AG231" s="801">
        <f t="shared" si="99"/>
        <v>1</v>
      </c>
      <c r="AH231" s="172">
        <f t="shared" si="94"/>
        <v>7</v>
      </c>
      <c r="AI231" s="221">
        <f t="shared" si="95"/>
        <v>1.944111376946644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45875</v>
      </c>
      <c r="B232" s="406">
        <f>'2024'!Wh/'2024'!Env_an*'2025'!Env_an</f>
        <v>197.24051463963855</v>
      </c>
      <c r="C232" s="385"/>
      <c r="D232" s="388">
        <f t="shared" si="77"/>
        <v>201.19749302193122</v>
      </c>
      <c r="E232" s="380">
        <f t="shared" si="75"/>
        <v>209.55943426136528</v>
      </c>
      <c r="F232" s="380">
        <f t="shared" si="78"/>
        <v>209.60228087978973</v>
      </c>
      <c r="G232" s="110">
        <f t="shared" si="76"/>
        <v>0.8957362430646163</v>
      </c>
      <c r="H232" s="409" t="b">
        <f>Wh_hp&gt;='2024'!Maxi_hp</f>
        <v>0</v>
      </c>
      <c r="I232" s="375">
        <f>IF(H232,Wh_hp,'2024'!Maxi_hp)</f>
        <v>209.60816001041005</v>
      </c>
      <c r="J232" s="85">
        <f>IF(H232,An,'2024'!An_max)</f>
        <v>2022</v>
      </c>
      <c r="K232" s="193">
        <f t="shared" si="79"/>
        <v>45875</v>
      </c>
      <c r="L232" s="143">
        <f>IF(t&lt;Tvie,1-EXP((T0-t)*PertePVj)+'2024'!Pspv,1-EXP((T0-t)*PertePVj)+Pspv)</f>
        <v>1.9667135623113174E-2</v>
      </c>
      <c r="M232" s="835"/>
      <c r="N232" s="835"/>
      <c r="O232" s="48">
        <f>IF(t&lt;Tnet,'2024'!Resal+('2024'!Salim-'2024'!Resal)*(1-EXP(('2024'!Tnet-t)/('2024'!Tau_j))),Resal+(Salim-Resal)*(1-EXP((Tnet-t)/(Tau_j))))*Salcycl</f>
        <v>3.9902480501092401E-2</v>
      </c>
      <c r="P232" s="165">
        <f>(INDEX(Models!$BJ232:$BT232,,T232)*(1-R232)+INDEX(Models!$BJ232:$BT232,,T232+1)*R232-ERP_i)*Q232*Ramure*Pc/MaxiM</f>
        <v>2.4018241470810103E-4</v>
      </c>
      <c r="Q232" s="301">
        <f t="shared" si="80"/>
        <v>0.5</v>
      </c>
      <c r="R232" s="173">
        <f t="shared" si="81"/>
        <v>0.94578579425617559</v>
      </c>
      <c r="S232" s="801">
        <f t="shared" si="82"/>
        <v>1</v>
      </c>
      <c r="T232" s="172">
        <f t="shared" si="83"/>
        <v>7</v>
      </c>
      <c r="U232" s="247">
        <f t="shared" si="84"/>
        <v>1.9457857942561756</v>
      </c>
      <c r="V232" s="378">
        <f t="shared" si="85"/>
        <v>220.19144660502826</v>
      </c>
      <c r="W232" s="397">
        <f t="shared" si="86"/>
        <v>197.24051463963855</v>
      </c>
      <c r="X232" s="153">
        <f t="shared" si="87"/>
        <v>45875</v>
      </c>
      <c r="Y232" s="380">
        <f t="shared" si="88"/>
        <v>192.37523011299322</v>
      </c>
      <c r="Z232" s="380">
        <f t="shared" si="89"/>
        <v>196.23460265740411</v>
      </c>
      <c r="AA232" s="381">
        <f t="shared" si="90"/>
        <v>209.55943426136528</v>
      </c>
      <c r="AB232" s="193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6.3584976028052603E-2</v>
      </c>
      <c r="AD232" s="227">
        <f>(INDEX(Models!$BJ232:$BT232,,AH232)*(1-AF232)+INDEX(Models!$BJ232:$BT232,,AH232+1)*AF232-ERP_i)*AE232*Ramure*Pc/MaxiM</f>
        <v>2.4018241470810103E-4</v>
      </c>
      <c r="AE232" s="301">
        <f t="shared" si="92"/>
        <v>0.5</v>
      </c>
      <c r="AF232" s="173">
        <f t="shared" si="93"/>
        <v>0.94578579425617559</v>
      </c>
      <c r="AG232" s="801">
        <f t="shared" si="99"/>
        <v>1</v>
      </c>
      <c r="AH232" s="172">
        <f t="shared" si="94"/>
        <v>7</v>
      </c>
      <c r="AI232" s="221">
        <f t="shared" si="95"/>
        <v>1.9457857942561756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45876</v>
      </c>
      <c r="B233" s="406">
        <f>'2024'!Wh/'2024'!Env_an*'2025'!Env_an</f>
        <v>210.78579226639349</v>
      </c>
      <c r="C233" s="385"/>
      <c r="D233" s="388">
        <f t="shared" si="77"/>
        <v>215.01745523992028</v>
      </c>
      <c r="E233" s="380">
        <f t="shared" ref="E233:E296" si="100">Wh_pvt/(1-Psa)</f>
        <v>223.96478488188293</v>
      </c>
      <c r="F233" s="380">
        <f t="shared" si="78"/>
        <v>224.01606250511344</v>
      </c>
      <c r="G233" s="110">
        <f t="shared" ref="G233:G296" si="101">+Wh_hp/MaxiM</f>
        <v>0.95998699951431443</v>
      </c>
      <c r="H233" s="409" t="b">
        <f>Wh_hp&gt;='2024'!Maxi_hp</f>
        <v>0</v>
      </c>
      <c r="I233" s="375">
        <f>IF(H233,Wh_hp,'2024'!Maxi_hp)</f>
        <v>224.01849945723848</v>
      </c>
      <c r="J233" s="85">
        <f>IF(H233,An,'2024'!An_max)</f>
        <v>2022</v>
      </c>
      <c r="K233" s="193">
        <f t="shared" si="79"/>
        <v>45876</v>
      </c>
      <c r="L233" s="143">
        <f>IF(t&lt;Tvie,1-EXP((T0-t)*PertePVj)+'2024'!Pspv,1-EXP((T0-t)*PertePVj)+Pspv)</f>
        <v>1.9680555556780388E-2</v>
      </c>
      <c r="M233" s="835"/>
      <c r="N233" s="835"/>
      <c r="O233" s="48">
        <f>IF(t&lt;Tnet,'2024'!Resal+('2024'!Salim-'2024'!Resal)*(1-EXP(('2024'!Tnet-t)/('2024'!Tau_j))),Resal+(Salim-Resal)*(1-EXP((Tnet-t)/(Tau_j))))*Salcycl</f>
        <v>3.9949716410467816E-2</v>
      </c>
      <c r="P233" s="165">
        <f>(INDEX(Models!$BJ233:$BT233,,T233)*(1-R233)+INDEX(Models!$BJ233:$BT233,,T233+1)*R233-ERP_i)*Q233*Ramure*Pc/MaxiM</f>
        <v>2.4277425004717125E-4</v>
      </c>
      <c r="Q233" s="301">
        <f t="shared" si="80"/>
        <v>0.5</v>
      </c>
      <c r="R233" s="173">
        <f t="shared" si="81"/>
        <v>0.94740441813573906</v>
      </c>
      <c r="S233" s="801">
        <f t="shared" si="82"/>
        <v>1</v>
      </c>
      <c r="T233" s="172">
        <f t="shared" si="83"/>
        <v>7</v>
      </c>
      <c r="U233" s="247">
        <f t="shared" si="84"/>
        <v>1.9474044181357391</v>
      </c>
      <c r="V233" s="378">
        <f t="shared" si="85"/>
        <v>219.5684603383213</v>
      </c>
      <c r="W233" s="397">
        <f t="shared" si="86"/>
        <v>210.78579226639349</v>
      </c>
      <c r="X233" s="153">
        <f t="shared" si="87"/>
        <v>45876</v>
      </c>
      <c r="Y233" s="380">
        <f t="shared" si="88"/>
        <v>205.59196556772966</v>
      </c>
      <c r="Z233" s="380">
        <f t="shared" si="89"/>
        <v>209.71935906514358</v>
      </c>
      <c r="AA233" s="381">
        <f t="shared" si="90"/>
        <v>223.96478488188293</v>
      </c>
      <c r="AB233" s="193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6.360565043407275E-2</v>
      </c>
      <c r="AD233" s="227">
        <f>(INDEX(Models!$BJ233:$BT233,,AH233)*(1-AF233)+INDEX(Models!$BJ233:$BT233,,AH233+1)*AF233-ERP_i)*AE233*Ramure*Pc/MaxiM</f>
        <v>2.4277425004717125E-4</v>
      </c>
      <c r="AE233" s="301">
        <f t="shared" si="92"/>
        <v>0.5</v>
      </c>
      <c r="AF233" s="173">
        <f t="shared" si="93"/>
        <v>0.94740441813573906</v>
      </c>
      <c r="AG233" s="801">
        <f t="shared" si="99"/>
        <v>1</v>
      </c>
      <c r="AH233" s="172">
        <f t="shared" si="94"/>
        <v>7</v>
      </c>
      <c r="AI233" s="221">
        <f t="shared" si="95"/>
        <v>1.9474044181357391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45877</v>
      </c>
      <c r="B234" s="406">
        <f>'2024'!Wh/'2024'!Env_an*'2025'!Env_an</f>
        <v>214.48519648986567</v>
      </c>
      <c r="C234" s="385"/>
      <c r="D234" s="388">
        <f t="shared" si="77"/>
        <v>218.79412253635655</v>
      </c>
      <c r="E234" s="380">
        <f t="shared" si="100"/>
        <v>227.90978598713619</v>
      </c>
      <c r="F234" s="380">
        <f t="shared" si="78"/>
        <v>227.96405251561183</v>
      </c>
      <c r="G234" s="110">
        <f t="shared" si="101"/>
        <v>0.97965520497186021</v>
      </c>
      <c r="H234" s="409" t="b">
        <f>Wh_hp&gt;='2024'!Maxi_hp</f>
        <v>0</v>
      </c>
      <c r="I234" s="375">
        <f>IF(H234,Wh_hp,'2024'!Maxi_hp)</f>
        <v>227.96532559207185</v>
      </c>
      <c r="J234" s="85">
        <f>IF(H234,An,'2024'!An_max)</f>
        <v>2022</v>
      </c>
      <c r="K234" s="193">
        <f t="shared" si="79"/>
        <v>45877</v>
      </c>
      <c r="L234" s="143">
        <f>IF(t&lt;Tvie,1-EXP((T0-t)*PertePVj)+'2024'!Pspv,1-EXP((T0-t)*PertePVj)+Pspv)</f>
        <v>1.9693975306740108E-2</v>
      </c>
      <c r="M234" s="835"/>
      <c r="N234" s="835"/>
      <c r="O234" s="48">
        <f>IF(t&lt;Tnet,'2024'!Resal+('2024'!Salim-'2024'!Resal)*(1-EXP(('2024'!Tnet-t)/('2024'!Tau_j))),Resal+(Salim-Resal)*(1-EXP((Tnet-t)/(Tau_j))))*Salcycl</f>
        <v>3.9996805803214457E-2</v>
      </c>
      <c r="P234" s="165">
        <f>(INDEX(Models!$BJ234:$BT234,,T234)*(1-R234)+INDEX(Models!$BJ234:$BT234,,T234+1)*R234-ERP_i)*Q234*Ramure*Pc/MaxiM</f>
        <v>2.4517184978031505E-4</v>
      </c>
      <c r="Q234" s="301">
        <f t="shared" si="80"/>
        <v>0.5</v>
      </c>
      <c r="R234" s="173">
        <f t="shared" si="81"/>
        <v>0.94896869206866064</v>
      </c>
      <c r="S234" s="801">
        <f t="shared" si="82"/>
        <v>1</v>
      </c>
      <c r="T234" s="172">
        <f t="shared" si="83"/>
        <v>7</v>
      </c>
      <c r="U234" s="247">
        <f t="shared" si="84"/>
        <v>1.9489686920686606</v>
      </c>
      <c r="V234" s="378">
        <f t="shared" si="85"/>
        <v>218.93791530995526</v>
      </c>
      <c r="W234" s="397">
        <f t="shared" si="86"/>
        <v>214.48519648986567</v>
      </c>
      <c r="X234" s="153">
        <f t="shared" si="87"/>
        <v>45877</v>
      </c>
      <c r="Y234" s="380">
        <f t="shared" si="88"/>
        <v>209.2058958768873</v>
      </c>
      <c r="Z234" s="380">
        <f t="shared" si="89"/>
        <v>213.40876278134508</v>
      </c>
      <c r="AA234" s="381">
        <f t="shared" si="90"/>
        <v>227.90978598713619</v>
      </c>
      <c r="AB234" s="193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6.362615428285992E-2</v>
      </c>
      <c r="AD234" s="227">
        <f>(INDEX(Models!$BJ234:$BT234,,AH234)*(1-AF234)+INDEX(Models!$BJ234:$BT234,,AH234+1)*AF234-ERP_i)*AE234*Ramure*Pc/MaxiM</f>
        <v>2.4517184978031505E-4</v>
      </c>
      <c r="AE234" s="301">
        <f t="shared" si="92"/>
        <v>0.5</v>
      </c>
      <c r="AF234" s="173">
        <f t="shared" si="93"/>
        <v>0.94896869206866064</v>
      </c>
      <c r="AG234" s="801">
        <f t="shared" si="99"/>
        <v>1</v>
      </c>
      <c r="AH234" s="172">
        <f t="shared" si="94"/>
        <v>7</v>
      </c>
      <c r="AI234" s="221">
        <f t="shared" si="95"/>
        <v>1.9489686920686606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45878</v>
      </c>
      <c r="B235" s="406">
        <f>'2024'!Wh/'2024'!Env_an*'2025'!Env_an</f>
        <v>204.41560133580543</v>
      </c>
      <c r="C235" s="385"/>
      <c r="D235" s="388">
        <f t="shared" si="77"/>
        <v>208.52508757762345</v>
      </c>
      <c r="E235" s="380">
        <f t="shared" si="100"/>
        <v>217.22353221350991</v>
      </c>
      <c r="F235" s="380">
        <f t="shared" si="78"/>
        <v>217.27242651939505</v>
      </c>
      <c r="G235" s="110">
        <f t="shared" si="101"/>
        <v>0.93637971308308887</v>
      </c>
      <c r="H235" s="409" t="b">
        <f>Wh_hp&gt;='2024'!Maxi_hp</f>
        <v>0</v>
      </c>
      <c r="I235" s="375">
        <f>IF(H235,Wh_hp,'2024'!Maxi_hp)</f>
        <v>217.27625624973561</v>
      </c>
      <c r="J235" s="85">
        <f>IF(H235,An,'2024'!An_max)</f>
        <v>2022</v>
      </c>
      <c r="K235" s="193">
        <f t="shared" si="79"/>
        <v>45878</v>
      </c>
      <c r="L235" s="143">
        <f>IF(t&lt;Tvie,1-EXP((T0-t)*PertePVj)+'2024'!Pspv,1-EXP((T0-t)*PertePVj)+Pspv)</f>
        <v>1.9707394872994666E-2</v>
      </c>
      <c r="M235" s="835"/>
      <c r="N235" s="835"/>
      <c r="O235" s="48">
        <f>IF(t&lt;Tnet,'2024'!Resal+('2024'!Salim-'2024'!Resal)*(1-EXP(('2024'!Tnet-t)/('2024'!Tau_j))),Resal+(Salim-Resal)*(1-EXP((Tnet-t)/(Tau_j))))*Salcycl</f>
        <v>4.0043749161286599E-2</v>
      </c>
      <c r="P235" s="165">
        <f>(INDEX(Models!$BJ235:$BT235,,T235)*(1-R235)+INDEX(Models!$BJ235:$BT235,,T235+1)*R235-ERP_i)*Q235*Ramure*Pc/MaxiM</f>
        <v>2.4752610587509567E-4</v>
      </c>
      <c r="Q235" s="301">
        <f t="shared" si="80"/>
        <v>0.5</v>
      </c>
      <c r="R235" s="173">
        <f t="shared" si="81"/>
        <v>0.95048005293728899</v>
      </c>
      <c r="S235" s="801">
        <f t="shared" si="82"/>
        <v>1</v>
      </c>
      <c r="T235" s="172">
        <f t="shared" si="83"/>
        <v>7</v>
      </c>
      <c r="U235" s="247">
        <f t="shared" si="84"/>
        <v>1.950480052937289</v>
      </c>
      <c r="V235" s="378">
        <f t="shared" si="85"/>
        <v>218.2992650240906</v>
      </c>
      <c r="W235" s="397">
        <f t="shared" si="86"/>
        <v>204.41560133580543</v>
      </c>
      <c r="X235" s="153">
        <f t="shared" si="87"/>
        <v>45878</v>
      </c>
      <c r="Y235" s="380">
        <f t="shared" si="88"/>
        <v>199.3895720977323</v>
      </c>
      <c r="Z235" s="380">
        <f t="shared" si="89"/>
        <v>203.39801713785209</v>
      </c>
      <c r="AA235" s="381">
        <f t="shared" si="90"/>
        <v>217.22353221350991</v>
      </c>
      <c r="AB235" s="193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6.3646488641334945E-2</v>
      </c>
      <c r="AD235" s="227">
        <f>(INDEX(Models!$BJ235:$BT235,,AH235)*(1-AF235)+INDEX(Models!$BJ235:$BT235,,AH235+1)*AF235-ERP_i)*AE235*Ramure*Pc/MaxiM</f>
        <v>2.4752610587509567E-4</v>
      </c>
      <c r="AE235" s="301">
        <f t="shared" si="92"/>
        <v>0.5</v>
      </c>
      <c r="AF235" s="173">
        <f t="shared" si="93"/>
        <v>0.95048005293728899</v>
      </c>
      <c r="AG235" s="801">
        <f t="shared" si="99"/>
        <v>1</v>
      </c>
      <c r="AH235" s="172">
        <f t="shared" si="94"/>
        <v>7</v>
      </c>
      <c r="AI235" s="221">
        <f t="shared" si="95"/>
        <v>1.950480052937289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45879</v>
      </c>
      <c r="B236" s="406">
        <f>'2024'!Wh/'2024'!Env_an*'2025'!Env_an</f>
        <v>198.71521126475307</v>
      </c>
      <c r="C236" s="385"/>
      <c r="D236" s="388">
        <f t="shared" si="77"/>
        <v>202.71287420414092</v>
      </c>
      <c r="E236" s="380">
        <f t="shared" si="100"/>
        <v>211.17916218006141</v>
      </c>
      <c r="F236" s="380">
        <f t="shared" si="78"/>
        <v>211.22537496262294</v>
      </c>
      <c r="G236" s="110">
        <f t="shared" si="101"/>
        <v>0.91296676552666334</v>
      </c>
      <c r="H236" s="409" t="b">
        <f>Wh_hp&gt;='2024'!Maxi_hp</f>
        <v>0</v>
      </c>
      <c r="I236" s="375">
        <f>IF(H236,Wh_hp,'2024'!Maxi_hp)</f>
        <v>211.23051410692491</v>
      </c>
      <c r="J236" s="85">
        <f>IF(H236,An,'2024'!An_max)</f>
        <v>2022</v>
      </c>
      <c r="K236" s="193">
        <f t="shared" si="79"/>
        <v>45879</v>
      </c>
      <c r="L236" s="143">
        <f>IF(t&lt;Tvie,1-EXP((T0-t)*PertePVj)+'2024'!Pspv,1-EXP((T0-t)*PertePVj)+Pspv)</f>
        <v>1.9720814255546615E-2</v>
      </c>
      <c r="M236" s="835"/>
      <c r="N236" s="835"/>
      <c r="O236" s="48">
        <f>IF(t&lt;Tnet,'2024'!Resal+('2024'!Salim-'2024'!Resal)*(1-EXP(('2024'!Tnet-t)/('2024'!Tau_j))),Resal+(Salim-Resal)*(1-EXP((Tnet-t)/(Tau_j))))*Salcycl</f>
        <v>4.0090546285536127E-2</v>
      </c>
      <c r="P236" s="165">
        <f>(INDEX(Models!$BJ236:$BT236,,T236)*(1-R236)+INDEX(Models!$BJ236:$BT236,,T236+1)*R236-ERP_i)*Q236*Ramure*Pc/MaxiM</f>
        <v>2.4983716899796703E-4</v>
      </c>
      <c r="Q236" s="301">
        <f t="shared" si="80"/>
        <v>0.5</v>
      </c>
      <c r="R236" s="173">
        <f t="shared" si="81"/>
        <v>0.9519399284031862</v>
      </c>
      <c r="S236" s="801">
        <f t="shared" si="82"/>
        <v>1</v>
      </c>
      <c r="T236" s="172">
        <f t="shared" si="83"/>
        <v>7</v>
      </c>
      <c r="U236" s="247">
        <f t="shared" si="84"/>
        <v>1.9519399284031862</v>
      </c>
      <c r="V236" s="378">
        <f t="shared" si="85"/>
        <v>217.65199646659397</v>
      </c>
      <c r="W236" s="397">
        <f t="shared" si="86"/>
        <v>198.71521126475307</v>
      </c>
      <c r="X236" s="153">
        <f t="shared" si="87"/>
        <v>45879</v>
      </c>
      <c r="Y236" s="380">
        <f t="shared" si="88"/>
        <v>193.83461434406891</v>
      </c>
      <c r="Z236" s="380">
        <f t="shared" si="89"/>
        <v>197.73409163723608</v>
      </c>
      <c r="AA236" s="381">
        <f t="shared" si="90"/>
        <v>211.17916218006141</v>
      </c>
      <c r="AB236" s="193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6.3666653489994535E-2</v>
      </c>
      <c r="AD236" s="227">
        <f>(INDEX(Models!$BJ236:$BT236,,AH236)*(1-AF236)+INDEX(Models!$BJ236:$BT236,,AH236+1)*AF236-ERP_i)*AE236*Ramure*Pc/MaxiM</f>
        <v>2.4983716899796703E-4</v>
      </c>
      <c r="AE236" s="301">
        <f t="shared" si="92"/>
        <v>0.5</v>
      </c>
      <c r="AF236" s="173">
        <f t="shared" si="93"/>
        <v>0.9519399284031862</v>
      </c>
      <c r="AG236" s="801">
        <f t="shared" si="99"/>
        <v>1</v>
      </c>
      <c r="AH236" s="172">
        <f t="shared" si="94"/>
        <v>7</v>
      </c>
      <c r="AI236" s="221">
        <f t="shared" si="95"/>
        <v>1.9519399284031862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45880</v>
      </c>
      <c r="B237" s="406">
        <f>'2024'!Wh/'2024'!Env_an*'2025'!Env_an</f>
        <v>184.42524176093141</v>
      </c>
      <c r="C237" s="385"/>
      <c r="D237" s="388">
        <f t="shared" si="77"/>
        <v>188.1380009941947</v>
      </c>
      <c r="E237" s="380">
        <f t="shared" si="100"/>
        <v>196.00509601634678</v>
      </c>
      <c r="F237" s="380">
        <f t="shared" si="78"/>
        <v>196.04392207892252</v>
      </c>
      <c r="G237" s="110">
        <f t="shared" si="101"/>
        <v>0.84985719928902392</v>
      </c>
      <c r="H237" s="409" t="b">
        <f>Wh_hp&gt;='2024'!Maxi_hp</f>
        <v>0</v>
      </c>
      <c r="I237" s="375">
        <f>IF(H237,Wh_hp,'2024'!Maxi_hp)</f>
        <v>196.05222207585885</v>
      </c>
      <c r="J237" s="85">
        <f>IF(H237,An,'2024'!An_max)</f>
        <v>2022</v>
      </c>
      <c r="K237" s="193">
        <f t="shared" si="79"/>
        <v>45880</v>
      </c>
      <c r="L237" s="143">
        <f>IF(t&lt;Tvie,1-EXP((T0-t)*PertePVj)+'2024'!Pspv,1-EXP((T0-t)*PertePVj)+Pspv)</f>
        <v>1.9734233454398509E-2</v>
      </c>
      <c r="M237" s="835"/>
      <c r="N237" s="835"/>
      <c r="O237" s="48">
        <f>IF(t&lt;Tnet,'2024'!Resal+('2024'!Salim-'2024'!Resal)*(1-EXP(('2024'!Tnet-t)/('2024'!Tau_j))),Resal+(Salim-Resal)*(1-EXP((Tnet-t)/(Tau_j))))*Salcycl</f>
        <v>4.0137196338486857E-2</v>
      </c>
      <c r="P237" s="165">
        <f>(INDEX(Models!$BJ237:$BT237,,T237)*(1-R237)+INDEX(Models!$BJ237:$BT237,,T237+1)*R237-ERP_i)*Q237*Ramure*Pc/MaxiM</f>
        <v>2.5210519711620289E-4</v>
      </c>
      <c r="Q237" s="301">
        <f t="shared" si="80"/>
        <v>0.5</v>
      </c>
      <c r="R237" s="173">
        <f t="shared" si="81"/>
        <v>0.95334973450952853</v>
      </c>
      <c r="S237" s="801">
        <f t="shared" si="82"/>
        <v>1</v>
      </c>
      <c r="T237" s="172">
        <f t="shared" si="83"/>
        <v>7</v>
      </c>
      <c r="U237" s="247">
        <f t="shared" si="84"/>
        <v>1.9533497345095285</v>
      </c>
      <c r="V237" s="378">
        <f t="shared" si="85"/>
        <v>216.99559689231768</v>
      </c>
      <c r="W237" s="397">
        <f t="shared" si="86"/>
        <v>184.42524176093141</v>
      </c>
      <c r="X237" s="153">
        <f t="shared" si="87"/>
        <v>45880</v>
      </c>
      <c r="Y237" s="380">
        <f t="shared" si="88"/>
        <v>179.90051878832165</v>
      </c>
      <c r="Z237" s="380">
        <f t="shared" si="89"/>
        <v>183.52218850024767</v>
      </c>
      <c r="AA237" s="381">
        <f t="shared" si="90"/>
        <v>196.00509601634678</v>
      </c>
      <c r="AB237" s="193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6.3686647795412624E-2</v>
      </c>
      <c r="AD237" s="227">
        <f>(INDEX(Models!$BJ237:$BT237,,AH237)*(1-AF237)+INDEX(Models!$BJ237:$BT237,,AH237+1)*AF237-ERP_i)*AE237*Ramure*Pc/MaxiM</f>
        <v>2.5210519711620289E-4</v>
      </c>
      <c r="AE237" s="301">
        <f t="shared" si="92"/>
        <v>0.5</v>
      </c>
      <c r="AF237" s="173">
        <f t="shared" si="93"/>
        <v>0.95334973450952853</v>
      </c>
      <c r="AG237" s="801">
        <f t="shared" si="99"/>
        <v>1</v>
      </c>
      <c r="AH237" s="172">
        <f t="shared" si="94"/>
        <v>7</v>
      </c>
      <c r="AI237" s="221">
        <f t="shared" si="95"/>
        <v>1.9533497345095285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45881</v>
      </c>
      <c r="B238" s="406">
        <f>'2024'!Wh/'2024'!Env_an*'2025'!Env_an</f>
        <v>193.21721807090174</v>
      </c>
      <c r="C238" s="385"/>
      <c r="D238" s="388">
        <f t="shared" si="77"/>
        <v>197.1096713592928</v>
      </c>
      <c r="E238" s="380">
        <f t="shared" si="100"/>
        <v>205.36187073036504</v>
      </c>
      <c r="F238" s="380">
        <f t="shared" si="78"/>
        <v>205.40613838304728</v>
      </c>
      <c r="G238" s="110">
        <f t="shared" si="101"/>
        <v>0.89312677270152863</v>
      </c>
      <c r="H238" s="409" t="b">
        <f>Wh_hp&gt;='2024'!Maxi_hp</f>
        <v>0</v>
      </c>
      <c r="I238" s="375">
        <f>IF(H238,Wh_hp,'2024'!Maxi_hp)</f>
        <v>205.41238028032569</v>
      </c>
      <c r="J238" s="85">
        <f>IF(H238,An,'2024'!An_max)</f>
        <v>2022</v>
      </c>
      <c r="K238" s="193">
        <f t="shared" si="79"/>
        <v>45881</v>
      </c>
      <c r="L238" s="143">
        <f>IF(t&lt;Tvie,1-EXP((T0-t)*PertePVj)+'2024'!Pspv,1-EXP((T0-t)*PertePVj)+Pspv)</f>
        <v>1.974765246955279E-2</v>
      </c>
      <c r="M238" s="835"/>
      <c r="N238" s="835"/>
      <c r="O238" s="48">
        <f>IF(t&lt;Tnet,'2024'!Resal+('2024'!Salim-'2024'!Resal)*(1-EXP(('2024'!Tnet-t)/('2024'!Tau_j))),Resal+(Salim-Resal)*(1-EXP((Tnet-t)/(Tau_j))))*Salcycl</f>
        <v>4.0183697887653011E-2</v>
      </c>
      <c r="P238" s="165">
        <f>(INDEX(Models!$BJ238:$BT238,,T238)*(1-R238)+INDEX(Models!$BJ238:$BT238,,T238+1)*R238-ERP_i)*Q238*Ramure*Pc/MaxiM</f>
        <v>2.5433035495695043E-4</v>
      </c>
      <c r="Q238" s="301">
        <f t="shared" si="80"/>
        <v>0.5</v>
      </c>
      <c r="R238" s="173">
        <f t="shared" si="81"/>
        <v>0.9547108734970946</v>
      </c>
      <c r="S238" s="801">
        <f t="shared" si="82"/>
        <v>1</v>
      </c>
      <c r="T238" s="172">
        <f t="shared" si="83"/>
        <v>7</v>
      </c>
      <c r="U238" s="247">
        <f t="shared" si="84"/>
        <v>1.9547108734970946</v>
      </c>
      <c r="V238" s="378">
        <f t="shared" si="85"/>
        <v>216.32955381057636</v>
      </c>
      <c r="W238" s="397">
        <f t="shared" si="86"/>
        <v>193.21721807090174</v>
      </c>
      <c r="X238" s="153">
        <f t="shared" si="87"/>
        <v>45881</v>
      </c>
      <c r="Y238" s="380">
        <f t="shared" si="88"/>
        <v>188.48193226847243</v>
      </c>
      <c r="Z238" s="380">
        <f t="shared" si="89"/>
        <v>192.2789909591296</v>
      </c>
      <c r="AA238" s="381">
        <f t="shared" si="90"/>
        <v>205.36187073036504</v>
      </c>
      <c r="AB238" s="193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6.3706469583211606E-2</v>
      </c>
      <c r="AD238" s="227">
        <f>(INDEX(Models!$BJ238:$BT238,,AH238)*(1-AF238)+INDEX(Models!$BJ238:$BT238,,AH238+1)*AF238-ERP_i)*AE238*Ramure*Pc/MaxiM</f>
        <v>2.5433035495695043E-4</v>
      </c>
      <c r="AE238" s="301">
        <f t="shared" si="92"/>
        <v>0.5</v>
      </c>
      <c r="AF238" s="173">
        <f t="shared" si="93"/>
        <v>0.9547108734970946</v>
      </c>
      <c r="AG238" s="801">
        <f t="shared" si="99"/>
        <v>1</v>
      </c>
      <c r="AH238" s="172">
        <f t="shared" si="94"/>
        <v>7</v>
      </c>
      <c r="AI238" s="221">
        <f t="shared" si="95"/>
        <v>1.9547108734970946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45882</v>
      </c>
      <c r="B239" s="406">
        <f>'2024'!Wh/'2024'!Env_an*'2025'!Env_an</f>
        <v>134.31077629094173</v>
      </c>
      <c r="C239" s="385"/>
      <c r="D239" s="388">
        <f t="shared" si="77"/>
        <v>137.01840679721252</v>
      </c>
      <c r="E239" s="380">
        <f t="shared" si="100"/>
        <v>142.76171768780176</v>
      </c>
      <c r="F239" s="380">
        <f t="shared" si="78"/>
        <v>142.7786072867946</v>
      </c>
      <c r="G239" s="110">
        <f t="shared" si="101"/>
        <v>0.62272256142125304</v>
      </c>
      <c r="H239" s="409" t="b">
        <f>Wh_hp&gt;='2024'!Maxi_hp</f>
        <v>0</v>
      </c>
      <c r="I239" s="375">
        <f>IF(H239,Wh_hp,'2024'!Maxi_hp)</f>
        <v>142.79404848596596</v>
      </c>
      <c r="J239" s="85">
        <f>IF(H239,An,'2024'!An_max)</f>
        <v>2022</v>
      </c>
      <c r="K239" s="193">
        <f t="shared" si="79"/>
        <v>45882</v>
      </c>
      <c r="L239" s="143">
        <f>IF(t&lt;Tvie,1-EXP((T0-t)*PertePVj)+'2024'!Pspv,1-EXP((T0-t)*PertePVj)+Pspv)</f>
        <v>1.9761071301012012E-2</v>
      </c>
      <c r="M239" s="835"/>
      <c r="N239" s="835"/>
      <c r="O239" s="48">
        <f>IF(t&lt;Tnet,'2024'!Resal+('2024'!Salim-'2024'!Resal)*(1-EXP(('2024'!Tnet-t)/('2024'!Tau_j))),Resal+(Salim-Resal)*(1-EXP((Tnet-t)/(Tau_j))))*Salcycl</f>
        <v>4.0230048948759402E-2</v>
      </c>
      <c r="P239" s="165">
        <f>(INDEX(Models!$BJ239:$BT239,,T239)*(1-R239)+INDEX(Models!$BJ239:$BT239,,T239+1)*R239-ERP_i)*Q239*Ramure*Pc/MaxiM</f>
        <v>2.5651281369731854E-4</v>
      </c>
      <c r="Q239" s="301">
        <f t="shared" si="80"/>
        <v>0.5</v>
      </c>
      <c r="R239" s="173">
        <f t="shared" si="81"/>
        <v>0.95602473182483827</v>
      </c>
      <c r="S239" s="801">
        <f t="shared" si="82"/>
        <v>1</v>
      </c>
      <c r="T239" s="172">
        <f t="shared" si="83"/>
        <v>7</v>
      </c>
      <c r="U239" s="247">
        <f t="shared" si="84"/>
        <v>1.9560247318248383</v>
      </c>
      <c r="V239" s="378">
        <f t="shared" si="85"/>
        <v>215.65335496026032</v>
      </c>
      <c r="W239" s="397">
        <f t="shared" si="86"/>
        <v>134.31077629094173</v>
      </c>
      <c r="X239" s="153">
        <f t="shared" si="87"/>
        <v>45882</v>
      </c>
      <c r="Y239" s="380">
        <f t="shared" si="88"/>
        <v>131.02272272832721</v>
      </c>
      <c r="Z239" s="380">
        <f t="shared" si="89"/>
        <v>133.66406790457279</v>
      </c>
      <c r="AA239" s="381">
        <f t="shared" si="90"/>
        <v>142.76171768780176</v>
      </c>
      <c r="AB239" s="193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6.3726116010485057E-2</v>
      </c>
      <c r="AD239" s="227">
        <f>(INDEX(Models!$BJ239:$BT239,,AH239)*(1-AF239)+INDEX(Models!$BJ239:$BT239,,AH239+1)*AF239-ERP_i)*AE239*Ramure*Pc/MaxiM</f>
        <v>2.5651281369731854E-4</v>
      </c>
      <c r="AE239" s="301">
        <f t="shared" si="92"/>
        <v>0.5</v>
      </c>
      <c r="AF239" s="173">
        <f t="shared" si="93"/>
        <v>0.95602473182483827</v>
      </c>
      <c r="AG239" s="801">
        <f t="shared" si="99"/>
        <v>1</v>
      </c>
      <c r="AH239" s="172">
        <f t="shared" si="94"/>
        <v>7</v>
      </c>
      <c r="AI239" s="221">
        <f t="shared" si="95"/>
        <v>1.9560247318248383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45883</v>
      </c>
      <c r="B240" s="406">
        <f>'2024'!Wh/'2024'!Env_an*'2025'!Env_an</f>
        <v>147.32195573858885</v>
      </c>
      <c r="C240" s="385"/>
      <c r="D240" s="388">
        <f t="shared" si="77"/>
        <v>150.29394177967333</v>
      </c>
      <c r="E240" s="380">
        <f t="shared" si="100"/>
        <v>156.60125251072776</v>
      </c>
      <c r="F240" s="380">
        <f t="shared" si="78"/>
        <v>156.62352842250127</v>
      </c>
      <c r="G240" s="110">
        <f t="shared" si="101"/>
        <v>0.68524541759502378</v>
      </c>
      <c r="H240" s="409" t="b">
        <f>Wh_hp&gt;='2024'!Maxi_hp</f>
        <v>0</v>
      </c>
      <c r="I240" s="375">
        <f>IF(H240,Wh_hp,'2024'!Maxi_hp)</f>
        <v>156.63775376535247</v>
      </c>
      <c r="J240" s="85">
        <f>IF(H240,An,'2024'!An_max)</f>
        <v>2022</v>
      </c>
      <c r="K240" s="193">
        <f t="shared" si="79"/>
        <v>45883</v>
      </c>
      <c r="L240" s="143">
        <f>IF(t&lt;Tvie,1-EXP((T0-t)*PertePVj)+'2024'!Pspv,1-EXP((T0-t)*PertePVj)+Pspv)</f>
        <v>1.9774489948778728E-2</v>
      </c>
      <c r="M240" s="835"/>
      <c r="N240" s="835"/>
      <c r="O240" s="48">
        <f>IF(t&lt;Tnet,'2024'!Resal+('2024'!Salim-'2024'!Resal)*(1-EXP(('2024'!Tnet-t)/('2024'!Tau_j))),Resal+(Salim-Resal)*(1-EXP((Tnet-t)/(Tau_j))))*Salcycl</f>
        <v>4.0276247028243589E-2</v>
      </c>
      <c r="P240" s="165">
        <f>(INDEX(Models!$BJ240:$BT240,,T240)*(1-R240)+INDEX(Models!$BJ240:$BT240,,T240+1)*R240-ERP_i)*Q240*Ramure*Pc/MaxiM</f>
        <v>2.5837429615126369E-4</v>
      </c>
      <c r="Q240" s="301">
        <f t="shared" si="80"/>
        <v>0.5</v>
      </c>
      <c r="R240" s="173">
        <f t="shared" si="81"/>
        <v>0.95729267838578713</v>
      </c>
      <c r="S240" s="801">
        <f t="shared" si="82"/>
        <v>1</v>
      </c>
      <c r="T240" s="172">
        <f t="shared" si="83"/>
        <v>7</v>
      </c>
      <c r="U240" s="247">
        <f t="shared" si="84"/>
        <v>1.9572926783857871</v>
      </c>
      <c r="V240" s="378">
        <f t="shared" si="85"/>
        <v>214.96654819349968</v>
      </c>
      <c r="W240" s="397">
        <f t="shared" si="86"/>
        <v>147.32195573858885</v>
      </c>
      <c r="X240" s="153">
        <f t="shared" si="87"/>
        <v>45883</v>
      </c>
      <c r="Y240" s="380">
        <f t="shared" si="88"/>
        <v>143.719305987685</v>
      </c>
      <c r="Z240" s="380">
        <f t="shared" si="89"/>
        <v>146.61861430251392</v>
      </c>
      <c r="AA240" s="381">
        <f t="shared" si="90"/>
        <v>156.60125251072776</v>
      </c>
      <c r="AB240" s="193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6.374558343669702E-2</v>
      </c>
      <c r="AD240" s="227">
        <f>(INDEX(Models!$BJ240:$BT240,,AH240)*(1-AF240)+INDEX(Models!$BJ240:$BT240,,AH240+1)*AF240-ERP_i)*AE240*Ramure*Pc/MaxiM</f>
        <v>2.5837429615126369E-4</v>
      </c>
      <c r="AE240" s="301">
        <f t="shared" si="92"/>
        <v>0.5</v>
      </c>
      <c r="AF240" s="173">
        <f t="shared" si="93"/>
        <v>0.95729267838578713</v>
      </c>
      <c r="AG240" s="801">
        <f t="shared" si="99"/>
        <v>1</v>
      </c>
      <c r="AH240" s="172">
        <f t="shared" si="94"/>
        <v>7</v>
      </c>
      <c r="AI240" s="221">
        <f t="shared" si="95"/>
        <v>1.9572926783857871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45884</v>
      </c>
      <c r="B241" s="406">
        <f>'2024'!Wh/'2024'!Env_an*'2025'!Env_an</f>
        <v>151.65258692223983</v>
      </c>
      <c r="C241" s="385"/>
      <c r="D241" s="388">
        <f t="shared" si="77"/>
        <v>154.71405446211776</v>
      </c>
      <c r="E241" s="380">
        <f t="shared" si="100"/>
        <v>161.21459602038155</v>
      </c>
      <c r="F241" s="380">
        <f t="shared" si="78"/>
        <v>161.23901399643847</v>
      </c>
      <c r="G241" s="110">
        <f t="shared" si="101"/>
        <v>0.7076917426018553</v>
      </c>
      <c r="H241" s="409" t="b">
        <f>Wh_hp&gt;='2024'!Maxi_hp</f>
        <v>0</v>
      </c>
      <c r="I241" s="375">
        <f>IF(H241,Wh_hp,'2024'!Maxi_hp)</f>
        <v>161.2526894058478</v>
      </c>
      <c r="J241" s="85">
        <f>IF(H241,An,'2024'!An_max)</f>
        <v>2022</v>
      </c>
      <c r="K241" s="193">
        <f t="shared" si="79"/>
        <v>45884</v>
      </c>
      <c r="L241" s="143">
        <f>IF(t&lt;Tvie,1-EXP((T0-t)*PertePVj)+'2024'!Pspv,1-EXP((T0-t)*PertePVj)+Pspv)</f>
        <v>1.9787908412855493E-2</v>
      </c>
      <c r="M241" s="835"/>
      <c r="N241" s="835"/>
      <c r="O241" s="48">
        <f>IF(t&lt;Tnet,'2024'!Resal+('2024'!Salim-'2024'!Resal)*(1-EXP(('2024'!Tnet-t)/('2024'!Tau_j))),Resal+(Salim-Resal)*(1-EXP((Tnet-t)/(Tau_j))))*Salcycl</f>
        <v>4.0322289164449882E-2</v>
      </c>
      <c r="P241" s="165">
        <f>(INDEX(Models!$BJ241:$BT241,,T241)*(1-R241)+INDEX(Models!$BJ241:$BT241,,T241+1)*R241-ERP_i)*Q241*Ramure*Pc/MaxiM</f>
        <v>2.5997035240699008E-4</v>
      </c>
      <c r="Q241" s="301">
        <f t="shared" si="80"/>
        <v>0.5</v>
      </c>
      <c r="R241" s="173">
        <f t="shared" si="81"/>
        <v>0.9585160629088274</v>
      </c>
      <c r="S241" s="801">
        <f t="shared" si="82"/>
        <v>1</v>
      </c>
      <c r="T241" s="172">
        <f t="shared" si="83"/>
        <v>7</v>
      </c>
      <c r="U241" s="247">
        <f t="shared" si="84"/>
        <v>1.9585160629088274</v>
      </c>
      <c r="V241" s="378">
        <f t="shared" si="85"/>
        <v>214.26860924854449</v>
      </c>
      <c r="W241" s="397">
        <f t="shared" si="86"/>
        <v>151.65258692223983</v>
      </c>
      <c r="X241" s="153">
        <f t="shared" si="87"/>
        <v>45884</v>
      </c>
      <c r="Y241" s="380">
        <f t="shared" si="88"/>
        <v>147.94808528863879</v>
      </c>
      <c r="Z241" s="380">
        <f t="shared" si="89"/>
        <v>150.93476866734372</v>
      </c>
      <c r="AA241" s="381">
        <f t="shared" si="90"/>
        <v>161.21459602038155</v>
      </c>
      <c r="AB241" s="193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6.376486749213589E-2</v>
      </c>
      <c r="AD241" s="227">
        <f>(INDEX(Models!$BJ241:$BT241,,AH241)*(1-AF241)+INDEX(Models!$BJ241:$BT241,,AH241+1)*AF241-ERP_i)*AE241*Ramure*Pc/MaxiM</f>
        <v>2.5997035240699008E-4</v>
      </c>
      <c r="AE241" s="301">
        <f t="shared" si="92"/>
        <v>0.5</v>
      </c>
      <c r="AF241" s="173">
        <f t="shared" si="93"/>
        <v>0.9585160629088274</v>
      </c>
      <c r="AG241" s="801">
        <f t="shared" si="99"/>
        <v>1</v>
      </c>
      <c r="AH241" s="172">
        <f t="shared" si="94"/>
        <v>7</v>
      </c>
      <c r="AI241" s="221">
        <f t="shared" si="95"/>
        <v>1.9585160629088274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45885</v>
      </c>
      <c r="B242" s="406">
        <f>'2024'!Wh/'2024'!Env_an*'2025'!Env_an</f>
        <v>136.42972827214552</v>
      </c>
      <c r="C242" s="385"/>
      <c r="D242" s="388">
        <f t="shared" si="77"/>
        <v>139.18579160272904</v>
      </c>
      <c r="E242" s="380">
        <f t="shared" si="100"/>
        <v>145.04082455041006</v>
      </c>
      <c r="F242" s="380">
        <f t="shared" si="78"/>
        <v>145.05917207036046</v>
      </c>
      <c r="G242" s="110">
        <f t="shared" si="101"/>
        <v>0.63875236403181901</v>
      </c>
      <c r="H242" s="409" t="b">
        <f>Wh_hp&gt;='2024'!Maxi_hp</f>
        <v>0</v>
      </c>
      <c r="I242" s="375">
        <f>IF(H242,Wh_hp,'2024'!Maxi_hp)</f>
        <v>145.07444437533258</v>
      </c>
      <c r="J242" s="85">
        <f>IF(H242,An,'2024'!An_max)</f>
        <v>2022</v>
      </c>
      <c r="K242" s="193">
        <f t="shared" si="79"/>
        <v>45885</v>
      </c>
      <c r="L242" s="143">
        <f>IF(t&lt;Tvie,1-EXP((T0-t)*PertePVj)+'2024'!Pspv,1-EXP((T0-t)*PertePVj)+Pspv)</f>
        <v>1.9801326693244747E-2</v>
      </c>
      <c r="M242" s="835"/>
      <c r="N242" s="835"/>
      <c r="O242" s="48">
        <f>IF(t&lt;Tnet,'2024'!Resal+('2024'!Salim-'2024'!Resal)*(1-EXP(('2024'!Tnet-t)/('2024'!Tau_j))),Resal+(Salim-Resal)*(1-EXP((Tnet-t)/(Tau_j))))*Salcycl</f>
        <v>4.0368171966962789E-2</v>
      </c>
      <c r="P242" s="165">
        <f>(INDEX(Models!$BJ242:$BT242,,T242)*(1-R242)+INDEX(Models!$BJ242:$BT242,,T242+1)*R242-ERP_i)*Q242*Ramure*Pc/MaxiM</f>
        <v>2.612988288086668E-4</v>
      </c>
      <c r="Q242" s="301">
        <f t="shared" si="80"/>
        <v>0.5</v>
      </c>
      <c r="R242" s="173">
        <f t="shared" si="81"/>
        <v>0.95969621453684617</v>
      </c>
      <c r="S242" s="801">
        <f t="shared" si="82"/>
        <v>1</v>
      </c>
      <c r="T242" s="172">
        <f t="shared" si="83"/>
        <v>7</v>
      </c>
      <c r="U242" s="247">
        <f t="shared" si="84"/>
        <v>1.9596962145368462</v>
      </c>
      <c r="V242" s="378">
        <f t="shared" si="85"/>
        <v>213.55902653446108</v>
      </c>
      <c r="W242" s="397">
        <f t="shared" si="86"/>
        <v>136.42972827214552</v>
      </c>
      <c r="X242" s="153">
        <f t="shared" si="87"/>
        <v>45885</v>
      </c>
      <c r="Y242" s="380">
        <f t="shared" si="88"/>
        <v>133.10073278230107</v>
      </c>
      <c r="Z242" s="380">
        <f t="shared" si="89"/>
        <v>135.7895459430467</v>
      </c>
      <c r="AA242" s="381">
        <f t="shared" si="90"/>
        <v>145.04082455041006</v>
      </c>
      <c r="AB242" s="193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6.3783963143066752E-2</v>
      </c>
      <c r="AD242" s="227">
        <f>(INDEX(Models!$BJ242:$BT242,,AH242)*(1-AF242)+INDEX(Models!$BJ242:$BT242,,AH242+1)*AF242-ERP_i)*AE242*Ramure*Pc/MaxiM</f>
        <v>2.612988288086668E-4</v>
      </c>
      <c r="AE242" s="301">
        <f t="shared" si="92"/>
        <v>0.5</v>
      </c>
      <c r="AF242" s="173">
        <f t="shared" si="93"/>
        <v>0.95969621453684617</v>
      </c>
      <c r="AG242" s="801">
        <f t="shared" si="99"/>
        <v>1</v>
      </c>
      <c r="AH242" s="172">
        <f t="shared" si="94"/>
        <v>7</v>
      </c>
      <c r="AI242" s="221">
        <f t="shared" si="95"/>
        <v>1.9596962145368462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45886</v>
      </c>
      <c r="B243" s="406">
        <f>'2024'!Wh/'2024'!Env_an*'2025'!Env_an</f>
        <v>105.07363186483416</v>
      </c>
      <c r="C243" s="385"/>
      <c r="D243" s="388">
        <f t="shared" si="77"/>
        <v>107.19772747685045</v>
      </c>
      <c r="E243" s="380">
        <f t="shared" si="100"/>
        <v>111.71246284669003</v>
      </c>
      <c r="F243" s="380">
        <f t="shared" si="78"/>
        <v>111.72057273103623</v>
      </c>
      <c r="G243" s="110">
        <f t="shared" si="101"/>
        <v>0.49358686914462951</v>
      </c>
      <c r="H243" s="409" t="b">
        <f>Wh_hp&gt;='2024'!Maxi_hp</f>
        <v>0</v>
      </c>
      <c r="I243" s="375">
        <f>IF(H243,Wh_hp,'2024'!Maxi_hp)</f>
        <v>111.73711703322597</v>
      </c>
      <c r="J243" s="85">
        <f>IF(H243,An,'2024'!An_max)</f>
        <v>2022</v>
      </c>
      <c r="K243" s="193">
        <f t="shared" si="79"/>
        <v>45886</v>
      </c>
      <c r="L243" s="143">
        <f>IF(t&lt;Tvie,1-EXP((T0-t)*PertePVj)+'2024'!Pspv,1-EXP((T0-t)*PertePVj)+Pspv)</f>
        <v>1.9814744789948935E-2</v>
      </c>
      <c r="M243" s="835"/>
      <c r="N243" s="835"/>
      <c r="O243" s="48">
        <f>IF(t&lt;Tnet,'2024'!Resal+('2024'!Salim-'2024'!Resal)*(1-EXP(('2024'!Tnet-t)/('2024'!Tau_j))),Resal+(Salim-Resal)*(1-EXP((Tnet-t)/(Tau_j))))*Salcycl</f>
        <v>4.0413891653569914E-2</v>
      </c>
      <c r="P243" s="165">
        <f>(INDEX(Models!$BJ243:$BT243,,T243)*(1-R243)+INDEX(Models!$BJ243:$BT243,,T243+1)*R243-ERP_i)*Q243*Ramure*Pc/MaxiM</f>
        <v>2.6235751886433188E-4</v>
      </c>
      <c r="Q243" s="301">
        <f t="shared" si="80"/>
        <v>0.5</v>
      </c>
      <c r="R243" s="173">
        <f t="shared" si="81"/>
        <v>0.96083444057169887</v>
      </c>
      <c r="S243" s="801">
        <f t="shared" si="82"/>
        <v>1</v>
      </c>
      <c r="T243" s="172">
        <f t="shared" si="83"/>
        <v>7</v>
      </c>
      <c r="U243" s="247">
        <f t="shared" si="84"/>
        <v>1.9608344405716989</v>
      </c>
      <c r="V243" s="378">
        <f t="shared" si="85"/>
        <v>212.83728864117052</v>
      </c>
      <c r="W243" s="397">
        <f t="shared" si="86"/>
        <v>105.07363186483416</v>
      </c>
      <c r="X243" s="153">
        <f t="shared" si="87"/>
        <v>45886</v>
      </c>
      <c r="Y243" s="380">
        <f t="shared" si="88"/>
        <v>102.51256483004791</v>
      </c>
      <c r="Z243" s="380">
        <f t="shared" si="89"/>
        <v>104.58488768848062</v>
      </c>
      <c r="AA243" s="381">
        <f t="shared" si="90"/>
        <v>111.71246284669003</v>
      </c>
      <c r="AB243" s="193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6.3802864752798727E-2</v>
      </c>
      <c r="AD243" s="227">
        <f>(INDEX(Models!$BJ243:$BT243,,AH243)*(1-AF243)+INDEX(Models!$BJ243:$BT243,,AH243+1)*AF243-ERP_i)*AE243*Ramure*Pc/MaxiM</f>
        <v>2.6235751886433188E-4</v>
      </c>
      <c r="AE243" s="301">
        <f t="shared" si="92"/>
        <v>0.5</v>
      </c>
      <c r="AF243" s="173">
        <f t="shared" si="93"/>
        <v>0.96083444057169887</v>
      </c>
      <c r="AG243" s="801">
        <f t="shared" si="99"/>
        <v>1</v>
      </c>
      <c r="AH243" s="172">
        <f t="shared" si="94"/>
        <v>7</v>
      </c>
      <c r="AI243" s="221">
        <f t="shared" si="95"/>
        <v>1.9608344405716989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45887</v>
      </c>
      <c r="B244" s="406">
        <f>'2024'!Wh/'2024'!Env_an*'2025'!Env_an</f>
        <v>129.02096147462601</v>
      </c>
      <c r="C244" s="385"/>
      <c r="D244" s="388">
        <f t="shared" si="77"/>
        <v>131.63096159793841</v>
      </c>
      <c r="E244" s="380">
        <f t="shared" si="100"/>
        <v>137.18123823576653</v>
      </c>
      <c r="F244" s="380">
        <f t="shared" si="78"/>
        <v>137.1971385660587</v>
      </c>
      <c r="G244" s="110">
        <f t="shared" si="101"/>
        <v>0.60820465185048977</v>
      </c>
      <c r="H244" s="409" t="b">
        <f>Wh_hp&gt;='2024'!Maxi_hp</f>
        <v>0</v>
      </c>
      <c r="I244" s="375">
        <f>IF(H244,Wh_hp,'2024'!Maxi_hp)</f>
        <v>137.21289143208358</v>
      </c>
      <c r="J244" s="85">
        <f>IF(H244,An,'2024'!An_max)</f>
        <v>2022</v>
      </c>
      <c r="K244" s="193">
        <f t="shared" si="79"/>
        <v>45887</v>
      </c>
      <c r="L244" s="143">
        <f>IF(t&lt;Tvie,1-EXP((T0-t)*PertePVj)+'2024'!Pspv,1-EXP((T0-t)*PertePVj)+Pspv)</f>
        <v>1.9828162702970609E-2</v>
      </c>
      <c r="M244" s="835"/>
      <c r="N244" s="835"/>
      <c r="O244" s="48">
        <f>IF(t&lt;Tnet,'2024'!Resal+('2024'!Salim-'2024'!Resal)*(1-EXP(('2024'!Tnet-t)/('2024'!Tau_j))),Resal+(Salim-Resal)*(1-EXP((Tnet-t)/(Tau_j))))*Salcycl</f>
        <v>4.0459444084395405E-2</v>
      </c>
      <c r="P244" s="165">
        <f>(INDEX(Models!$BJ244:$BT244,,T244)*(1-R244)+INDEX(Models!$BJ244:$BT244,,T244+1)*R244-ERP_i)*Q244*Ramure*Pc/MaxiM</f>
        <v>2.63144156616573E-4</v>
      </c>
      <c r="Q244" s="301">
        <f t="shared" si="80"/>
        <v>0.5</v>
      </c>
      <c r="R244" s="173">
        <f t="shared" si="81"/>
        <v>0.96193202537651246</v>
      </c>
      <c r="S244" s="801">
        <f t="shared" si="82"/>
        <v>1</v>
      </c>
      <c r="T244" s="172">
        <f t="shared" si="83"/>
        <v>7</v>
      </c>
      <c r="U244" s="247">
        <f t="shared" si="84"/>
        <v>1.9619320253765125</v>
      </c>
      <c r="V244" s="378">
        <f t="shared" si="85"/>
        <v>212.10288433031099</v>
      </c>
      <c r="W244" s="397">
        <f t="shared" si="86"/>
        <v>129.02096147462601</v>
      </c>
      <c r="X244" s="153">
        <f t="shared" si="87"/>
        <v>45887</v>
      </c>
      <c r="Y244" s="380">
        <f t="shared" si="88"/>
        <v>125.879662828251</v>
      </c>
      <c r="Z244" s="380">
        <f t="shared" si="89"/>
        <v>128.42611676681409</v>
      </c>
      <c r="AA244" s="381">
        <f t="shared" si="90"/>
        <v>137.18123823576653</v>
      </c>
      <c r="AB244" s="193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6.3821566137969007E-2</v>
      </c>
      <c r="AD244" s="227">
        <f>(INDEX(Models!$BJ244:$BT244,,AH244)*(1-AF244)+INDEX(Models!$BJ244:$BT244,,AH244+1)*AF244-ERP_i)*AE244*Ramure*Pc/MaxiM</f>
        <v>2.63144156616573E-4</v>
      </c>
      <c r="AE244" s="301">
        <f t="shared" si="92"/>
        <v>0.5</v>
      </c>
      <c r="AF244" s="173">
        <f t="shared" si="93"/>
        <v>0.96193202537651246</v>
      </c>
      <c r="AG244" s="801">
        <f t="shared" si="99"/>
        <v>1</v>
      </c>
      <c r="AH244" s="172">
        <f t="shared" si="94"/>
        <v>7</v>
      </c>
      <c r="AI244" s="221">
        <f t="shared" si="95"/>
        <v>1.9619320253765125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45888</v>
      </c>
      <c r="B245" s="406">
        <f>'2024'!Wh/'2024'!Env_an*'2025'!Env_an</f>
        <v>139.20844957160824</v>
      </c>
      <c r="C245" s="385"/>
      <c r="D245" s="388">
        <f t="shared" si="77"/>
        <v>142.02647938586097</v>
      </c>
      <c r="E245" s="380">
        <f t="shared" si="100"/>
        <v>148.02208813107433</v>
      </c>
      <c r="F245" s="380">
        <f t="shared" si="78"/>
        <v>148.0420863905467</v>
      </c>
      <c r="G245" s="110">
        <f t="shared" si="101"/>
        <v>0.65856189678538002</v>
      </c>
      <c r="H245" s="409" t="b">
        <f>Wh_hp&gt;='2024'!Maxi_hp</f>
        <v>0</v>
      </c>
      <c r="I245" s="375">
        <f>IF(H245,Wh_hp,'2024'!Maxi_hp)</f>
        <v>148.05691589601781</v>
      </c>
      <c r="J245" s="85">
        <f>IF(H245,An,'2024'!An_max)</f>
        <v>2022</v>
      </c>
      <c r="K245" s="193">
        <f t="shared" si="79"/>
        <v>45888</v>
      </c>
      <c r="L245" s="143">
        <f>IF(t&lt;Tvie,1-EXP((T0-t)*PertePVj)+'2024'!Pspv,1-EXP((T0-t)*PertePVj)+Pspv)</f>
        <v>1.9841580432312433E-2</v>
      </c>
      <c r="M245" s="835"/>
      <c r="N245" s="835"/>
      <c r="O245" s="48">
        <f>IF(t&lt;Tnet,'2024'!Resal+('2024'!Salim-'2024'!Resal)*(1-EXP(('2024'!Tnet-t)/('2024'!Tau_j))),Resal+(Salim-Resal)*(1-EXP((Tnet-t)/(Tau_j))))*Salcycl</f>
        <v>4.0504824792798551E-2</v>
      </c>
      <c r="P245" s="165">
        <f>(INDEX(Models!$BJ245:$BT245,,T245)*(1-R245)+INDEX(Models!$BJ245:$BT245,,T245+1)*R245-ERP_i)*Q245*Ramure*Pc/MaxiM</f>
        <v>2.6365640996641696E-4</v>
      </c>
      <c r="Q245" s="301">
        <f t="shared" si="80"/>
        <v>0.5</v>
      </c>
      <c r="R245" s="173">
        <f t="shared" si="81"/>
        <v>0.9629902294259518</v>
      </c>
      <c r="S245" s="801">
        <f t="shared" si="82"/>
        <v>1</v>
      </c>
      <c r="T245" s="172">
        <f t="shared" si="83"/>
        <v>7</v>
      </c>
      <c r="U245" s="247">
        <f t="shared" si="84"/>
        <v>1.9629902294259518</v>
      </c>
      <c r="V245" s="378">
        <f t="shared" si="85"/>
        <v>211.3553025172917</v>
      </c>
      <c r="W245" s="397">
        <f t="shared" si="86"/>
        <v>139.20844957160824</v>
      </c>
      <c r="X245" s="153">
        <f t="shared" si="87"/>
        <v>45888</v>
      </c>
      <c r="Y245" s="380">
        <f t="shared" si="88"/>
        <v>135.822854642366</v>
      </c>
      <c r="Z245" s="380">
        <f t="shared" si="89"/>
        <v>138.5723490517712</v>
      </c>
      <c r="AA245" s="381">
        <f t="shared" si="90"/>
        <v>148.02208813107433</v>
      </c>
      <c r="AB245" s="193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6.3840060619435007E-2</v>
      </c>
      <c r="AD245" s="227">
        <f>(INDEX(Models!$BJ245:$BT245,,AH245)*(1-AF245)+INDEX(Models!$BJ245:$BT245,,AH245+1)*AF245-ERP_i)*AE245*Ramure*Pc/MaxiM</f>
        <v>2.6365640996641696E-4</v>
      </c>
      <c r="AE245" s="301">
        <f t="shared" si="92"/>
        <v>0.5</v>
      </c>
      <c r="AF245" s="173">
        <f t="shared" si="93"/>
        <v>0.9629902294259518</v>
      </c>
      <c r="AG245" s="801">
        <f t="shared" si="99"/>
        <v>1</v>
      </c>
      <c r="AH245" s="172">
        <f t="shared" si="94"/>
        <v>7</v>
      </c>
      <c r="AI245" s="221">
        <f t="shared" si="95"/>
        <v>1.9629902294259518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45889</v>
      </c>
      <c r="B246" s="406">
        <f>'2024'!Wh/'2024'!Env_an*'2025'!Env_an</f>
        <v>203.34817215786808</v>
      </c>
      <c r="C246" s="385"/>
      <c r="D246" s="388">
        <f t="shared" si="77"/>
        <v>207.46743771417911</v>
      </c>
      <c r="E246" s="380">
        <f t="shared" si="100"/>
        <v>216.23580591772611</v>
      </c>
      <c r="F246" s="380">
        <f t="shared" si="78"/>
        <v>216.29007762331904</v>
      </c>
      <c r="G246" s="110">
        <f t="shared" si="101"/>
        <v>0.96558070366910809</v>
      </c>
      <c r="H246" s="409" t="b">
        <f>Wh_hp&gt;='2024'!Maxi_hp</f>
        <v>0</v>
      </c>
      <c r="I246" s="375">
        <f>IF(H246,Wh_hp,'2024'!Maxi_hp)</f>
        <v>216.29226150112041</v>
      </c>
      <c r="J246" s="85">
        <f>IF(H246,An,'2024'!An_max)</f>
        <v>2022</v>
      </c>
      <c r="K246" s="193">
        <f t="shared" si="79"/>
        <v>45889</v>
      </c>
      <c r="L246" s="143">
        <f>IF(t&lt;Tvie,1-EXP((T0-t)*PertePVj)+'2024'!Pspv,1-EXP((T0-t)*PertePVj)+Pspv)</f>
        <v>1.985499797797674E-2</v>
      </c>
      <c r="M246" s="835"/>
      <c r="N246" s="835"/>
      <c r="O246" s="48">
        <f>IF(t&lt;Tnet,'2024'!Resal+('2024'!Salim-'2024'!Resal)*(1-EXP(('2024'!Tnet-t)/('2024'!Tau_j))),Resal+(Salim-Resal)*(1-EXP((Tnet-t)/(Tau_j))))*Salcycl</f>
        <v>4.055002901269366E-2</v>
      </c>
      <c r="P246" s="165">
        <f>(INDEX(Models!$BJ246:$BT246,,T246)*(1-R246)+INDEX(Models!$BJ246:$BT246,,T246+1)*R246-ERP_i)*Q246*Ramure*Pc/MaxiM</f>
        <v>2.6389187383194413E-4</v>
      </c>
      <c r="Q246" s="301">
        <f t="shared" si="80"/>
        <v>0.5</v>
      </c>
      <c r="R246" s="173">
        <f t="shared" si="81"/>
        <v>0.96401028849523707</v>
      </c>
      <c r="S246" s="801">
        <f t="shared" si="82"/>
        <v>1</v>
      </c>
      <c r="T246" s="172">
        <f t="shared" si="83"/>
        <v>7</v>
      </c>
      <c r="U246" s="247">
        <f t="shared" si="84"/>
        <v>1.9640102884952371</v>
      </c>
      <c r="V246" s="378">
        <f t="shared" si="85"/>
        <v>210.59403227895098</v>
      </c>
      <c r="W246" s="397">
        <f t="shared" si="86"/>
        <v>203.34817215786808</v>
      </c>
      <c r="X246" s="153">
        <f t="shared" si="87"/>
        <v>45889</v>
      </c>
      <c r="Y246" s="380">
        <f t="shared" si="88"/>
        <v>198.40815152552068</v>
      </c>
      <c r="Z246" s="380">
        <f t="shared" si="89"/>
        <v>202.42734607247689</v>
      </c>
      <c r="AA246" s="381">
        <f t="shared" si="90"/>
        <v>216.23580591772611</v>
      </c>
      <c r="AB246" s="193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6.3858341067265609E-2</v>
      </c>
      <c r="AD246" s="227">
        <f>(INDEX(Models!$BJ246:$BT246,,AH246)*(1-AF246)+INDEX(Models!$BJ246:$BT246,,AH246+1)*AF246-ERP_i)*AE246*Ramure*Pc/MaxiM</f>
        <v>2.6389187383194413E-4</v>
      </c>
      <c r="AE246" s="301">
        <f t="shared" si="92"/>
        <v>0.5</v>
      </c>
      <c r="AF246" s="173">
        <f t="shared" si="93"/>
        <v>0.96401028849523707</v>
      </c>
      <c r="AG246" s="801">
        <f t="shared" si="99"/>
        <v>1</v>
      </c>
      <c r="AH246" s="172">
        <f t="shared" si="94"/>
        <v>7</v>
      </c>
      <c r="AI246" s="221">
        <f t="shared" si="95"/>
        <v>1.9640102884952371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45890</v>
      </c>
      <c r="B247" s="406">
        <f>'2024'!Wh/'2024'!Env_an*'2025'!Env_an</f>
        <v>129.73262474430507</v>
      </c>
      <c r="C247" s="385"/>
      <c r="D247" s="388">
        <f t="shared" si="77"/>
        <v>132.36245701571164</v>
      </c>
      <c r="E247" s="380">
        <f t="shared" si="100"/>
        <v>137.96307518584953</v>
      </c>
      <c r="F247" s="380">
        <f t="shared" si="78"/>
        <v>137.97962950829523</v>
      </c>
      <c r="G247" s="110">
        <f t="shared" si="101"/>
        <v>0.61821586077616419</v>
      </c>
      <c r="H247" s="409" t="b">
        <f>Wh_hp&gt;='2024'!Maxi_hp</f>
        <v>0</v>
      </c>
      <c r="I247" s="375">
        <f>IF(H247,Wh_hp,'2024'!Maxi_hp)</f>
        <v>137.99506704811625</v>
      </c>
      <c r="J247" s="85">
        <f>IF(H247,An,'2024'!An_max)</f>
        <v>2022</v>
      </c>
      <c r="K247" s="193">
        <f t="shared" si="79"/>
        <v>45890</v>
      </c>
      <c r="L247" s="143">
        <f>IF(t&lt;Tvie,1-EXP((T0-t)*PertePVj)+'2024'!Pspv,1-EXP((T0-t)*PertePVj)+Pspv)</f>
        <v>1.9868415339966194E-2</v>
      </c>
      <c r="M247" s="835"/>
      <c r="N247" s="835"/>
      <c r="O247" s="48">
        <f>IF(t&lt;Tnet,'2024'!Resal+('2024'!Salim-'2024'!Resal)*(1-EXP(('2024'!Tnet-t)/('2024'!Tau_j))),Resal+(Salim-Resal)*(1-EXP((Tnet-t)/(Tau_j))))*Salcycl</f>
        <v>4.0595051702010311E-2</v>
      </c>
      <c r="P247" s="165">
        <f>(INDEX(Models!$BJ247:$BT247,,T247)*(1-R247)+INDEX(Models!$BJ247:$BT247,,T247+1)*R247-ERP_i)*Q247*Ramure*Pc/MaxiM</f>
        <v>2.6384644757187586E-4</v>
      </c>
      <c r="Q247" s="301">
        <f t="shared" si="80"/>
        <v>0.5</v>
      </c>
      <c r="R247" s="173">
        <f t="shared" si="81"/>
        <v>0.96499341297890129</v>
      </c>
      <c r="S247" s="801">
        <f t="shared" si="82"/>
        <v>1</v>
      </c>
      <c r="T247" s="172">
        <f t="shared" si="83"/>
        <v>7</v>
      </c>
      <c r="U247" s="247">
        <f t="shared" si="84"/>
        <v>1.9649934129789013</v>
      </c>
      <c r="V247" s="378">
        <f t="shared" si="85"/>
        <v>209.81984791656316</v>
      </c>
      <c r="W247" s="397">
        <f t="shared" si="86"/>
        <v>129.73262474430507</v>
      </c>
      <c r="X247" s="153">
        <f t="shared" si="87"/>
        <v>45890</v>
      </c>
      <c r="Y247" s="380">
        <f t="shared" si="88"/>
        <v>126.58447502943827</v>
      </c>
      <c r="Z247" s="380">
        <f t="shared" si="89"/>
        <v>129.15049061840514</v>
      </c>
      <c r="AA247" s="381">
        <f t="shared" si="90"/>
        <v>137.96307518584953</v>
      </c>
      <c r="AB247" s="193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6.3876399939425788E-2</v>
      </c>
      <c r="AD247" s="227">
        <f>(INDEX(Models!$BJ247:$BT247,,AH247)*(1-AF247)+INDEX(Models!$BJ247:$BT247,,AH247+1)*AF247-ERP_i)*AE247*Ramure*Pc/MaxiM</f>
        <v>2.6384644757187586E-4</v>
      </c>
      <c r="AE247" s="301">
        <f t="shared" si="92"/>
        <v>0.5</v>
      </c>
      <c r="AF247" s="173">
        <f t="shared" si="93"/>
        <v>0.96499341297890129</v>
      </c>
      <c r="AG247" s="801">
        <f t="shared" si="99"/>
        <v>1</v>
      </c>
      <c r="AH247" s="172">
        <f t="shared" si="94"/>
        <v>7</v>
      </c>
      <c r="AI247" s="221">
        <f t="shared" si="95"/>
        <v>1.9649934129789013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45891</v>
      </c>
      <c r="B248" s="406">
        <f>'2024'!Wh/'2024'!Env_an*'2025'!Env_an</f>
        <v>102.31136807873807</v>
      </c>
      <c r="C248" s="385"/>
      <c r="D248" s="388">
        <f t="shared" si="77"/>
        <v>104.38676832367418</v>
      </c>
      <c r="E248" s="380">
        <f t="shared" si="100"/>
        <v>108.80874342212054</v>
      </c>
      <c r="F248" s="380">
        <f t="shared" si="78"/>
        <v>108.81649845529543</v>
      </c>
      <c r="G248" s="110">
        <f t="shared" si="101"/>
        <v>0.48935466448908005</v>
      </c>
      <c r="H248" s="409" t="b">
        <f>Wh_hp&gt;='2024'!Maxi_hp</f>
        <v>0</v>
      </c>
      <c r="I248" s="375">
        <f>IF(H248,Wh_hp,'2024'!Maxi_hp)</f>
        <v>108.83273565768181</v>
      </c>
      <c r="J248" s="85">
        <f>IF(H248,An,'2024'!An_max)</f>
        <v>2022</v>
      </c>
      <c r="K248" s="193">
        <f t="shared" si="79"/>
        <v>45891</v>
      </c>
      <c r="L248" s="143">
        <f>IF(t&lt;Tvie,1-EXP((T0-t)*PertePVj)+'2024'!Pspv,1-EXP((T0-t)*PertePVj)+Pspv)</f>
        <v>1.9881832518283127E-2</v>
      </c>
      <c r="M248" s="835"/>
      <c r="N248" s="835"/>
      <c r="O248" s="48">
        <f>IF(t&lt;Tnet,'2024'!Resal+('2024'!Salim-'2024'!Resal)*(1-EXP(('2024'!Tnet-t)/('2024'!Tau_j))),Resal+(Salim-Resal)*(1-EXP((Tnet-t)/(Tau_j))))*Salcycl</f>
        <v>4.0639887562081548E-2</v>
      </c>
      <c r="P248" s="165">
        <f>(INDEX(Models!$BJ248:$BT248,,T248)*(1-R248)+INDEX(Models!$BJ248:$BT248,,T248+1)*R248-ERP_i)*Q248*Ramure*Pc/MaxiM</f>
        <v>2.633269941469144E-4</v>
      </c>
      <c r="Q248" s="301">
        <f t="shared" si="80"/>
        <v>0.5</v>
      </c>
      <c r="R248" s="173">
        <f t="shared" si="81"/>
        <v>0.96594078733051969</v>
      </c>
      <c r="S248" s="801">
        <f t="shared" si="82"/>
        <v>1</v>
      </c>
      <c r="T248" s="172">
        <f t="shared" si="83"/>
        <v>7</v>
      </c>
      <c r="U248" s="247">
        <f t="shared" si="84"/>
        <v>1.9659407873305197</v>
      </c>
      <c r="V248" s="378">
        <f t="shared" si="85"/>
        <v>209.03390564715696</v>
      </c>
      <c r="W248" s="397">
        <f t="shared" si="86"/>
        <v>102.31136807873807</v>
      </c>
      <c r="X248" s="153">
        <f t="shared" si="87"/>
        <v>45891</v>
      </c>
      <c r="Y248" s="380">
        <f t="shared" si="88"/>
        <v>99.831398891412988</v>
      </c>
      <c r="Z248" s="380">
        <f t="shared" si="89"/>
        <v>101.85649261855484</v>
      </c>
      <c r="AA248" s="381">
        <f t="shared" si="90"/>
        <v>108.80874342212054</v>
      </c>
      <c r="AB248" s="193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6.3894229313858061E-2</v>
      </c>
      <c r="AD248" s="227">
        <f>(INDEX(Models!$BJ248:$BT248,,AH248)*(1-AF248)+INDEX(Models!$BJ248:$BT248,,AH248+1)*AF248-ERP_i)*AE248*Ramure*Pc/MaxiM</f>
        <v>2.633269941469144E-4</v>
      </c>
      <c r="AE248" s="301">
        <f t="shared" si="92"/>
        <v>0.5</v>
      </c>
      <c r="AF248" s="173">
        <f t="shared" si="93"/>
        <v>0.96594078733051969</v>
      </c>
      <c r="AG248" s="801">
        <f t="shared" si="99"/>
        <v>1</v>
      </c>
      <c r="AH248" s="172">
        <f t="shared" si="94"/>
        <v>7</v>
      </c>
      <c r="AI248" s="221">
        <f t="shared" si="95"/>
        <v>1.9659407873305197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45892</v>
      </c>
      <c r="B249" s="406">
        <f>'2024'!Wh/'2024'!Env_an*'2025'!Env_an</f>
        <v>177.57084621345703</v>
      </c>
      <c r="C249" s="385"/>
      <c r="D249" s="388">
        <f t="shared" si="77"/>
        <v>181.17537551492529</v>
      </c>
      <c r="E249" s="380">
        <f t="shared" si="100"/>
        <v>188.85901601665955</v>
      </c>
      <c r="F249" s="380">
        <f t="shared" si="78"/>
        <v>188.8981448569638</v>
      </c>
      <c r="G249" s="110">
        <f t="shared" si="101"/>
        <v>0.85269053937097239</v>
      </c>
      <c r="H249" s="409" t="b">
        <f>Wh_hp&gt;='2024'!Maxi_hp</f>
        <v>0</v>
      </c>
      <c r="I249" s="375">
        <f>IF(H249,Wh_hp,'2024'!Maxi_hp)</f>
        <v>188.9062372791623</v>
      </c>
      <c r="J249" s="85">
        <f>IF(H249,An,'2024'!An_max)</f>
        <v>2022</v>
      </c>
      <c r="K249" s="193">
        <f t="shared" si="79"/>
        <v>45892</v>
      </c>
      <c r="L249" s="143">
        <f>IF(t&lt;Tvie,1-EXP((T0-t)*PertePVj)+'2024'!Pspv,1-EXP((T0-t)*PertePVj)+Pspv)</f>
        <v>1.9895249512930202E-2</v>
      </c>
      <c r="M249" s="835"/>
      <c r="N249" s="835"/>
      <c r="O249" s="48">
        <f>IF(t&lt;Tnet,'2024'!Resal+('2024'!Salim-'2024'!Resal)*(1-EXP(('2024'!Tnet-t)/('2024'!Tau_j))),Resal+(Salim-Resal)*(1-EXP((Tnet-t)/(Tau_j))))*Salcycl</f>
        <v>4.0684531052817129E-2</v>
      </c>
      <c r="P249" s="165">
        <f>(INDEX(Models!$BJ249:$BT249,,T249)*(1-R249)+INDEX(Models!$BJ249:$BT249,,T249+1)*R249-ERP_i)*Q249*Ramure*Pc/MaxiM</f>
        <v>2.6233021042317348E-4</v>
      </c>
      <c r="Q249" s="301">
        <f t="shared" si="80"/>
        <v>0.5</v>
      </c>
      <c r="R249" s="173">
        <f t="shared" si="81"/>
        <v>0.96685356961490587</v>
      </c>
      <c r="S249" s="801">
        <f t="shared" si="82"/>
        <v>1</v>
      </c>
      <c r="T249" s="172">
        <f t="shared" si="83"/>
        <v>7</v>
      </c>
      <c r="U249" s="247">
        <f t="shared" si="84"/>
        <v>1.9668535696149059</v>
      </c>
      <c r="V249" s="378">
        <f t="shared" si="85"/>
        <v>208.23620793494018</v>
      </c>
      <c r="W249" s="397">
        <f t="shared" si="86"/>
        <v>177.57084621345703</v>
      </c>
      <c r="X249" s="153">
        <f t="shared" si="87"/>
        <v>45892</v>
      </c>
      <c r="Y249" s="380">
        <f t="shared" si="88"/>
        <v>173.27143726054791</v>
      </c>
      <c r="Z249" s="380">
        <f t="shared" si="89"/>
        <v>176.78869240705086</v>
      </c>
      <c r="AA249" s="381">
        <f t="shared" si="90"/>
        <v>188.85901601665955</v>
      </c>
      <c r="AB249" s="193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6.3911820913775938E-2</v>
      </c>
      <c r="AD249" s="227">
        <f>(INDEX(Models!$BJ249:$BT249,,AH249)*(1-AF249)+INDEX(Models!$BJ249:$BT249,,AH249+1)*AF249-ERP_i)*AE249*Ramure*Pc/MaxiM</f>
        <v>2.6233021042317348E-4</v>
      </c>
      <c r="AE249" s="301">
        <f t="shared" si="92"/>
        <v>0.5</v>
      </c>
      <c r="AF249" s="173">
        <f t="shared" si="93"/>
        <v>0.96685356961490587</v>
      </c>
      <c r="AG249" s="801">
        <f t="shared" si="99"/>
        <v>1</v>
      </c>
      <c r="AH249" s="172">
        <f t="shared" si="94"/>
        <v>7</v>
      </c>
      <c r="AI249" s="221">
        <f t="shared" si="95"/>
        <v>1.9668535696149059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45893</v>
      </c>
      <c r="B250" s="406">
        <f>'2024'!Wh/'2024'!Env_an*'2025'!Env_an</f>
        <v>189.13532066848097</v>
      </c>
      <c r="C250" s="385"/>
      <c r="D250" s="388">
        <f t="shared" si="77"/>
        <v>192.97724015075133</v>
      </c>
      <c r="E250" s="380">
        <f t="shared" si="100"/>
        <v>201.1707175593184</v>
      </c>
      <c r="F250" s="380">
        <f t="shared" si="78"/>
        <v>201.21659295731149</v>
      </c>
      <c r="G250" s="110">
        <f t="shared" si="101"/>
        <v>0.91178740046528495</v>
      </c>
      <c r="H250" s="409" t="b">
        <f>Wh_hp&gt;='2024'!Maxi_hp</f>
        <v>0</v>
      </c>
      <c r="I250" s="375">
        <f>IF(H250,Wh_hp,'2024'!Maxi_hp)</f>
        <v>201.22172147178324</v>
      </c>
      <c r="J250" s="85">
        <f>IF(H250,An,'2024'!An_max)</f>
        <v>2022</v>
      </c>
      <c r="K250" s="193">
        <f t="shared" si="79"/>
        <v>45893</v>
      </c>
      <c r="L250" s="143">
        <f>IF(t&lt;Tvie,1-EXP((T0-t)*PertePVj)+'2024'!Pspv,1-EXP((T0-t)*PertePVj)+Pspv)</f>
        <v>1.9908666323909974E-2</v>
      </c>
      <c r="M250" s="835"/>
      <c r="N250" s="835"/>
      <c r="O250" s="48">
        <f>IF(t&lt;Tnet,'2024'!Resal+('2024'!Salim-'2024'!Resal)*(1-EXP(('2024'!Tnet-t)/('2024'!Tau_j))),Resal+(Salim-Resal)*(1-EXP((Tnet-t)/(Tau_j))))*Salcycl</f>
        <v>4.0728976403591612E-2</v>
      </c>
      <c r="P250" s="165">
        <f>(INDEX(Models!$BJ250:$BT250,,T250)*(1-R250)+INDEX(Models!$BJ250:$BT250,,T250+1)*R250-ERP_i)*Q250*Ramure*Pc/MaxiM</f>
        <v>2.6085087079283885E-4</v>
      </c>
      <c r="Q250" s="301">
        <f t="shared" si="80"/>
        <v>0.5</v>
      </c>
      <c r="R250" s="173">
        <f t="shared" si="81"/>
        <v>0.96773289116457017</v>
      </c>
      <c r="S250" s="801">
        <f t="shared" si="82"/>
        <v>1</v>
      </c>
      <c r="T250" s="172">
        <f t="shared" si="83"/>
        <v>7</v>
      </c>
      <c r="U250" s="247">
        <f t="shared" si="84"/>
        <v>1.9677328911645702</v>
      </c>
      <c r="V250" s="378">
        <f t="shared" si="85"/>
        <v>207.42675762866298</v>
      </c>
      <c r="W250" s="397">
        <f t="shared" si="86"/>
        <v>189.13532066848097</v>
      </c>
      <c r="X250" s="153">
        <f t="shared" si="87"/>
        <v>45893</v>
      </c>
      <c r="Y250" s="380">
        <f t="shared" si="88"/>
        <v>184.56103955834695</v>
      </c>
      <c r="Z250" s="380">
        <f t="shared" si="89"/>
        <v>188.31004133676225</v>
      </c>
      <c r="AA250" s="381">
        <f t="shared" si="90"/>
        <v>201.1707175593184</v>
      </c>
      <c r="AB250" s="193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6.3929166126098835E-2</v>
      </c>
      <c r="AD250" s="227">
        <f>(INDEX(Models!$BJ250:$BT250,,AH250)*(1-AF250)+INDEX(Models!$BJ250:$BT250,,AH250+1)*AF250-ERP_i)*AE250*Ramure*Pc/MaxiM</f>
        <v>2.6085087079283885E-4</v>
      </c>
      <c r="AE250" s="301">
        <f t="shared" si="92"/>
        <v>0.5</v>
      </c>
      <c r="AF250" s="173">
        <f t="shared" si="93"/>
        <v>0.96773289116457017</v>
      </c>
      <c r="AG250" s="801">
        <f t="shared" si="99"/>
        <v>1</v>
      </c>
      <c r="AH250" s="172">
        <f t="shared" si="94"/>
        <v>7</v>
      </c>
      <c r="AI250" s="221">
        <f t="shared" si="95"/>
        <v>1.9677328911645702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45894</v>
      </c>
      <c r="B251" s="406">
        <f>'2024'!Wh/'2024'!Env_an*'2025'!Env_an</f>
        <v>132.48419525198526</v>
      </c>
      <c r="C251" s="385"/>
      <c r="D251" s="388">
        <f t="shared" si="77"/>
        <v>135.17720677854223</v>
      </c>
      <c r="E251" s="380">
        <f t="shared" si="100"/>
        <v>140.92309479008091</v>
      </c>
      <c r="F251" s="380">
        <f t="shared" si="78"/>
        <v>140.9408819373692</v>
      </c>
      <c r="G251" s="110">
        <f t="shared" si="101"/>
        <v>0.64115707486842199</v>
      </c>
      <c r="H251" s="409" t="b">
        <f>Wh_hp&gt;='2024'!Maxi_hp</f>
        <v>0</v>
      </c>
      <c r="I251" s="375">
        <f>IF(H251,Wh_hp,'2024'!Maxi_hp)</f>
        <v>140.95537461468533</v>
      </c>
      <c r="J251" s="85">
        <f>IF(H251,An,'2024'!An_max)</f>
        <v>2022</v>
      </c>
      <c r="K251" s="193">
        <f t="shared" si="79"/>
        <v>45894</v>
      </c>
      <c r="L251" s="143">
        <f>IF(t&lt;Tvie,1-EXP((T0-t)*PertePVj)+'2024'!Pspv,1-EXP((T0-t)*PertePVj)+Pspv)</f>
        <v>1.9922082951224773E-2</v>
      </c>
      <c r="M251" s="835"/>
      <c r="N251" s="835"/>
      <c r="O251" s="48">
        <f>IF(t&lt;Tnet,'2024'!Resal+('2024'!Salim-'2024'!Resal)*(1-EXP(('2024'!Tnet-t)/('2024'!Tau_j))),Resal+(Salim-Resal)*(1-EXP((Tnet-t)/(Tau_j))))*Salcycl</f>
        <v>4.0773217619849769E-2</v>
      </c>
      <c r="P251" s="165">
        <f>(INDEX(Models!$BJ251:$BT251,,T251)*(1-R251)+INDEX(Models!$BJ251:$BT251,,T251+1)*R251-ERP_i)*Q251*Ramure*Pc/MaxiM</f>
        <v>2.5888367585323358E-4</v>
      </c>
      <c r="Q251" s="301">
        <f t="shared" si="80"/>
        <v>0.5</v>
      </c>
      <c r="R251" s="173">
        <f t="shared" si="81"/>
        <v>0.96857985633253474</v>
      </c>
      <c r="S251" s="801">
        <f t="shared" si="82"/>
        <v>1</v>
      </c>
      <c r="T251" s="172">
        <f t="shared" si="83"/>
        <v>7</v>
      </c>
      <c r="U251" s="247">
        <f t="shared" si="84"/>
        <v>1.9685798563325347</v>
      </c>
      <c r="V251" s="378">
        <f t="shared" si="85"/>
        <v>206.60555754449314</v>
      </c>
      <c r="W251" s="397">
        <f t="shared" si="86"/>
        <v>132.48419525198526</v>
      </c>
      <c r="X251" s="153">
        <f t="shared" si="87"/>
        <v>45894</v>
      </c>
      <c r="Y251" s="380">
        <f t="shared" si="88"/>
        <v>129.28363684446074</v>
      </c>
      <c r="Z251" s="380">
        <f t="shared" si="89"/>
        <v>131.91159049247992</v>
      </c>
      <c r="AA251" s="381">
        <f t="shared" si="90"/>
        <v>140.92309479008091</v>
      </c>
      <c r="AB251" s="193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6.3946256013072494E-2</v>
      </c>
      <c r="AD251" s="227">
        <f>(INDEX(Models!$BJ251:$BT251,,AH251)*(1-AF251)+INDEX(Models!$BJ251:$BT251,,AH251+1)*AF251-ERP_i)*AE251*Ramure*Pc/MaxiM</f>
        <v>2.5888367585323358E-4</v>
      </c>
      <c r="AE251" s="301">
        <f t="shared" si="92"/>
        <v>0.5</v>
      </c>
      <c r="AF251" s="173">
        <f t="shared" si="93"/>
        <v>0.96857985633253474</v>
      </c>
      <c r="AG251" s="801">
        <f t="shared" si="99"/>
        <v>1</v>
      </c>
      <c r="AH251" s="172">
        <f t="shared" si="94"/>
        <v>7</v>
      </c>
      <c r="AI251" s="221">
        <f t="shared" si="95"/>
        <v>1.9685798563325347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45895</v>
      </c>
      <c r="B252" s="406">
        <f>'2024'!Wh/'2024'!Env_an*'2025'!Env_an</f>
        <v>178.88696417323874</v>
      </c>
      <c r="C252" s="385"/>
      <c r="D252" s="388">
        <f t="shared" si="77"/>
        <v>182.52570525999897</v>
      </c>
      <c r="E252" s="380">
        <f t="shared" si="100"/>
        <v>190.2929394547611</v>
      </c>
      <c r="F252" s="380">
        <f t="shared" si="78"/>
        <v>190.33263540419841</v>
      </c>
      <c r="G252" s="110">
        <f t="shared" si="101"/>
        <v>0.86930131283907941</v>
      </c>
      <c r="H252" s="409" t="b">
        <f>Wh_hp&gt;='2024'!Maxi_hp</f>
        <v>0</v>
      </c>
      <c r="I252" s="375">
        <f>IF(H252,Wh_hp,'2024'!Maxi_hp)</f>
        <v>190.33969049923974</v>
      </c>
      <c r="J252" s="85">
        <f>IF(H252,An,'2024'!An_max)</f>
        <v>2022</v>
      </c>
      <c r="K252" s="193">
        <f t="shared" si="79"/>
        <v>45895</v>
      </c>
      <c r="L252" s="143">
        <f>IF(t&lt;Tvie,1-EXP((T0-t)*PertePVj)+'2024'!Pspv,1-EXP((T0-t)*PertePVj)+Pspv)</f>
        <v>1.9935499394877154E-2</v>
      </c>
      <c r="M252" s="835"/>
      <c r="N252" s="835"/>
      <c r="O252" s="48">
        <f>IF(t&lt;Tnet,'2024'!Resal+('2024'!Salim-'2024'!Resal)*(1-EXP(('2024'!Tnet-t)/('2024'!Tau_j))),Resal+(Salim-Resal)*(1-EXP((Tnet-t)/(Tau_j))))*Salcycl</f>
        <v>4.0817248485504956E-2</v>
      </c>
      <c r="P252" s="165">
        <f>(INDEX(Models!$BJ252:$BT252,,T252)*(1-R252)+INDEX(Models!$BJ252:$BT252,,T252+1)*R252-ERP_i)*Q252*Ramure*Pc/MaxiM</f>
        <v>2.5642303764391124E-4</v>
      </c>
      <c r="Q252" s="301">
        <f t="shared" si="80"/>
        <v>0.5</v>
      </c>
      <c r="R252" s="173">
        <f t="shared" si="81"/>
        <v>0.96939554233393843</v>
      </c>
      <c r="S252" s="801">
        <f t="shared" si="82"/>
        <v>1</v>
      </c>
      <c r="T252" s="172">
        <f t="shared" si="83"/>
        <v>7</v>
      </c>
      <c r="U252" s="247">
        <f t="shared" si="84"/>
        <v>1.9693955423339384</v>
      </c>
      <c r="V252" s="378">
        <f t="shared" si="85"/>
        <v>205.77261052782208</v>
      </c>
      <c r="W252" s="397">
        <f t="shared" si="86"/>
        <v>178.88696417323874</v>
      </c>
      <c r="X252" s="153">
        <f t="shared" si="87"/>
        <v>45895</v>
      </c>
      <c r="Y252" s="380">
        <f t="shared" si="88"/>
        <v>174.57028128669643</v>
      </c>
      <c r="Z252" s="380">
        <f t="shared" si="89"/>
        <v>178.12121669432085</v>
      </c>
      <c r="AA252" s="381">
        <f t="shared" si="90"/>
        <v>190.2929394547611</v>
      </c>
      <c r="AB252" s="193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6.3963081317233356E-2</v>
      </c>
      <c r="AD252" s="227">
        <f>(INDEX(Models!$BJ252:$BT252,,AH252)*(1-AF252)+INDEX(Models!$BJ252:$BT252,,AH252+1)*AF252-ERP_i)*AE252*Ramure*Pc/MaxiM</f>
        <v>2.5642303764391124E-4</v>
      </c>
      <c r="AE252" s="301">
        <f t="shared" si="92"/>
        <v>0.5</v>
      </c>
      <c r="AF252" s="173">
        <f t="shared" si="93"/>
        <v>0.96939554233393843</v>
      </c>
      <c r="AG252" s="801">
        <f t="shared" si="99"/>
        <v>1</v>
      </c>
      <c r="AH252" s="172">
        <f t="shared" si="94"/>
        <v>7</v>
      </c>
      <c r="AI252" s="221">
        <f t="shared" si="95"/>
        <v>1.9693955423339384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45896</v>
      </c>
      <c r="B253" s="406">
        <f>'2024'!Wh/'2024'!Env_an*'2025'!Env_an</f>
        <v>195.6875231586672</v>
      </c>
      <c r="C253" s="385"/>
      <c r="D253" s="388">
        <f t="shared" si="77"/>
        <v>199.67073786712407</v>
      </c>
      <c r="E253" s="380">
        <f t="shared" si="100"/>
        <v>208.17707432493944</v>
      </c>
      <c r="F253" s="380">
        <f t="shared" si="78"/>
        <v>208.22645235862808</v>
      </c>
      <c r="G253" s="110">
        <f t="shared" si="101"/>
        <v>0.95489344733105452</v>
      </c>
      <c r="H253" s="409" t="b">
        <f>Wh_hp&gt;='2024'!Maxi_hp</f>
        <v>0</v>
      </c>
      <c r="I253" s="375">
        <f>IF(H253,Wh_hp,'2024'!Maxi_hp)</f>
        <v>208.22908354447418</v>
      </c>
      <c r="J253" s="85">
        <f>IF(H253,An,'2024'!An_max)</f>
        <v>2022</v>
      </c>
      <c r="K253" s="193">
        <f t="shared" si="79"/>
        <v>45896</v>
      </c>
      <c r="L253" s="143">
        <f>IF(t&lt;Tvie,1-EXP((T0-t)*PertePVj)+'2024'!Pspv,1-EXP((T0-t)*PertePVj)+Pspv)</f>
        <v>1.9948915654869781E-2</v>
      </c>
      <c r="M253" s="835"/>
      <c r="N253" s="835"/>
      <c r="O253" s="48">
        <f>IF(t&lt;Tnet,'2024'!Resal+('2024'!Salim-'2024'!Resal)*(1-EXP(('2024'!Tnet-t)/('2024'!Tau_j))),Resal+(Salim-Resal)*(1-EXP((Tnet-t)/(Tau_j))))*Salcycl</f>
        <v>4.0861062561278992E-2</v>
      </c>
      <c r="P253" s="165">
        <f>(INDEX(Models!$BJ253:$BT253,,T253)*(1-R253)+INDEX(Models!$BJ253:$BT253,,T253+1)*R253-ERP_i)*Q253*Ramure*Pc/MaxiM</f>
        <v>2.5346321850650688E-4</v>
      </c>
      <c r="Q253" s="301">
        <f t="shared" si="80"/>
        <v>0.5</v>
      </c>
      <c r="R253" s="173">
        <f t="shared" si="81"/>
        <v>0.97018099916918565</v>
      </c>
      <c r="S253" s="801">
        <f t="shared" si="82"/>
        <v>1</v>
      </c>
      <c r="T253" s="172">
        <f t="shared" si="83"/>
        <v>7</v>
      </c>
      <c r="U253" s="247">
        <f t="shared" si="84"/>
        <v>1.9701809991691857</v>
      </c>
      <c r="V253" s="378">
        <f t="shared" si="85"/>
        <v>204.92791940060192</v>
      </c>
      <c r="W253" s="397">
        <f t="shared" si="86"/>
        <v>195.6875231586672</v>
      </c>
      <c r="X253" s="153">
        <f t="shared" si="87"/>
        <v>45896</v>
      </c>
      <c r="Y253" s="380">
        <f t="shared" si="88"/>
        <v>190.97077618295833</v>
      </c>
      <c r="Z253" s="380">
        <f t="shared" si="89"/>
        <v>194.85798162303442</v>
      </c>
      <c r="AA253" s="381">
        <f t="shared" si="90"/>
        <v>208.17707432493944</v>
      </c>
      <c r="AB253" s="193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6.397963245998696E-2</v>
      </c>
      <c r="AD253" s="227">
        <f>(INDEX(Models!$BJ253:$BT253,,AH253)*(1-AF253)+INDEX(Models!$BJ253:$BT253,,AH253+1)*AF253-ERP_i)*AE253*Ramure*Pc/MaxiM</f>
        <v>2.5346321850650688E-4</v>
      </c>
      <c r="AE253" s="301">
        <f t="shared" si="92"/>
        <v>0.5</v>
      </c>
      <c r="AF253" s="173">
        <f t="shared" si="93"/>
        <v>0.97018099916918565</v>
      </c>
      <c r="AG253" s="801">
        <f t="shared" si="99"/>
        <v>1</v>
      </c>
      <c r="AH253" s="172">
        <f t="shared" si="94"/>
        <v>7</v>
      </c>
      <c r="AI253" s="221">
        <f t="shared" si="95"/>
        <v>1.9701809991691857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45897</v>
      </c>
      <c r="B254" s="406">
        <f>'2024'!Wh/'2024'!Env_an*'2025'!Env_an</f>
        <v>192.71793464591352</v>
      </c>
      <c r="C254" s="385"/>
      <c r="D254" s="388">
        <f t="shared" si="77"/>
        <v>196.64339533636863</v>
      </c>
      <c r="E254" s="380">
        <f t="shared" si="100"/>
        <v>205.03007963514858</v>
      </c>
      <c r="F254" s="380">
        <f t="shared" si="78"/>
        <v>205.07731135773452</v>
      </c>
      <c r="G254" s="110">
        <f t="shared" si="101"/>
        <v>0.94434623217048941</v>
      </c>
      <c r="H254" s="409" t="b">
        <f>Wh_hp&gt;='2024'!Maxi_hp</f>
        <v>0</v>
      </c>
      <c r="I254" s="375">
        <f>IF(H254,Wh_hp,'2024'!Maxi_hp)</f>
        <v>205.08046560040967</v>
      </c>
      <c r="J254" s="85">
        <f>IF(H254,An,'2024'!An_max)</f>
        <v>2022</v>
      </c>
      <c r="K254" s="193">
        <f t="shared" si="79"/>
        <v>45897</v>
      </c>
      <c r="L254" s="143">
        <f>IF(t&lt;Tvie,1-EXP((T0-t)*PertePVj)+'2024'!Pspv,1-EXP((T0-t)*PertePVj)+Pspv)</f>
        <v>1.9962331731205096E-2</v>
      </c>
      <c r="M254" s="835"/>
      <c r="N254" s="835"/>
      <c r="O254" s="48">
        <f>IF(t&lt;Tnet,'2024'!Resal+('2024'!Salim-'2024'!Resal)*(1-EXP(('2024'!Tnet-t)/('2024'!Tau_j))),Resal+(Salim-Resal)*(1-EXP((Tnet-t)/(Tau_j))))*Salcycl</f>
        <v>4.0904653179202111E-2</v>
      </c>
      <c r="P254" s="165">
        <f>(INDEX(Models!$BJ254:$BT254,,T254)*(1-R254)+INDEX(Models!$BJ254:$BT254,,T254+1)*R254-ERP_i)*Q254*Ramure*Pc/MaxiM</f>
        <v>2.5019709147702768E-4</v>
      </c>
      <c r="Q254" s="301">
        <f t="shared" si="80"/>
        <v>0.5</v>
      </c>
      <c r="R254" s="173">
        <f t="shared" si="81"/>
        <v>0.97093724962174544</v>
      </c>
      <c r="S254" s="801">
        <f t="shared" si="82"/>
        <v>1</v>
      </c>
      <c r="T254" s="172">
        <f t="shared" si="83"/>
        <v>7</v>
      </c>
      <c r="U254" s="247">
        <f t="shared" si="84"/>
        <v>1.9709372496217454</v>
      </c>
      <c r="V254" s="378">
        <f t="shared" si="85"/>
        <v>204.07144640780231</v>
      </c>
      <c r="W254" s="397">
        <f t="shared" si="86"/>
        <v>192.71793464591352</v>
      </c>
      <c r="X254" s="153">
        <f t="shared" si="87"/>
        <v>45897</v>
      </c>
      <c r="Y254" s="380">
        <f t="shared" si="88"/>
        <v>188.07804423180357</v>
      </c>
      <c r="Z254" s="380">
        <f t="shared" si="89"/>
        <v>191.90899525733272</v>
      </c>
      <c r="AA254" s="381">
        <f t="shared" si="90"/>
        <v>205.03007963514858</v>
      </c>
      <c r="AB254" s="193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6.3995899534179834E-2</v>
      </c>
      <c r="AD254" s="227">
        <f>(INDEX(Models!$BJ254:$BT254,,AH254)*(1-AF254)+INDEX(Models!$BJ254:$BT254,,AH254+1)*AF254-ERP_i)*AE254*Ramure*Pc/MaxiM</f>
        <v>2.5019709147702768E-4</v>
      </c>
      <c r="AE254" s="301">
        <f t="shared" si="92"/>
        <v>0.5</v>
      </c>
      <c r="AF254" s="173">
        <f t="shared" si="93"/>
        <v>0.97093724962174544</v>
      </c>
      <c r="AG254" s="801">
        <f t="shared" si="99"/>
        <v>1</v>
      </c>
      <c r="AH254" s="172">
        <f t="shared" si="94"/>
        <v>7</v>
      </c>
      <c r="AI254" s="221">
        <f t="shared" si="95"/>
        <v>1.9709372496217454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45898</v>
      </c>
      <c r="B255" s="406">
        <f>'2024'!Wh/'2024'!Env_an*'2025'!Env_an</f>
        <v>129.73202095987972</v>
      </c>
      <c r="C255" s="385"/>
      <c r="D255" s="388">
        <f t="shared" si="77"/>
        <v>132.37633726444869</v>
      </c>
      <c r="E255" s="380">
        <f t="shared" si="100"/>
        <v>138.02832288411952</v>
      </c>
      <c r="F255" s="380">
        <f t="shared" si="78"/>
        <v>138.04480244695046</v>
      </c>
      <c r="G255" s="110">
        <f t="shared" si="101"/>
        <v>0.63835370275866044</v>
      </c>
      <c r="H255" s="409" t="b">
        <f>Wh_hp&gt;='2024'!Maxi_hp</f>
        <v>0</v>
      </c>
      <c r="I255" s="375">
        <f>IF(H255,Wh_hp,'2024'!Maxi_hp)</f>
        <v>138.05841280962883</v>
      </c>
      <c r="J255" s="85">
        <f>IF(H255,An,'2024'!An_max)</f>
        <v>2022</v>
      </c>
      <c r="K255" s="193">
        <f t="shared" si="79"/>
        <v>45898</v>
      </c>
      <c r="L255" s="143">
        <f>IF(t&lt;Tvie,1-EXP((T0-t)*PertePVj)+'2024'!Pspv,1-EXP((T0-t)*PertePVj)+Pspv)</f>
        <v>1.9975747623885542E-2</v>
      </c>
      <c r="M255" s="835"/>
      <c r="N255" s="835"/>
      <c r="O255" s="48">
        <f>IF(t&lt;Tnet,'2024'!Resal+('2024'!Salim-'2024'!Resal)*(1-EXP(('2024'!Tnet-t)/('2024'!Tau_j))),Resal+(Salim-Resal)*(1-EXP((Tnet-t)/(Tau_j))))*Salcycl</f>
        <v>4.0948013433561074E-2</v>
      </c>
      <c r="P255" s="165">
        <f>(INDEX(Models!$BJ255:$BT255,,T255)*(1-R255)+INDEX(Models!$BJ255:$BT255,,T255+1)*R255-ERP_i)*Q255*Ramure*Pc/MaxiM</f>
        <v>2.4691542499424011E-4</v>
      </c>
      <c r="Q255" s="301">
        <f t="shared" si="80"/>
        <v>0.5</v>
      </c>
      <c r="R255" s="173">
        <f t="shared" si="81"/>
        <v>0.97166528932404006</v>
      </c>
      <c r="S255" s="801">
        <f t="shared" si="82"/>
        <v>1</v>
      </c>
      <c r="T255" s="172">
        <f t="shared" si="83"/>
        <v>7</v>
      </c>
      <c r="U255" s="247">
        <f t="shared" si="84"/>
        <v>1.9716652893240401</v>
      </c>
      <c r="V255" s="378">
        <f t="shared" si="85"/>
        <v>203.20313453710781</v>
      </c>
      <c r="W255" s="397">
        <f t="shared" si="86"/>
        <v>129.73202095987972</v>
      </c>
      <c r="X255" s="153">
        <f t="shared" si="87"/>
        <v>45898</v>
      </c>
      <c r="Y255" s="380">
        <f t="shared" si="88"/>
        <v>126.61214731106898</v>
      </c>
      <c r="Z255" s="380">
        <f t="shared" si="89"/>
        <v>129.19287150709988</v>
      </c>
      <c r="AA255" s="381">
        <f t="shared" si="90"/>
        <v>138.02832288411952</v>
      </c>
      <c r="AB255" s="193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6.4011872291148353E-2</v>
      </c>
      <c r="AD255" s="227">
        <f>(INDEX(Models!$BJ255:$BT255,,AH255)*(1-AF255)+INDEX(Models!$BJ255:$BT255,,AH255+1)*AF255-ERP_i)*AE255*Ramure*Pc/MaxiM</f>
        <v>2.4691542499424011E-4</v>
      </c>
      <c r="AE255" s="301">
        <f t="shared" si="92"/>
        <v>0.5</v>
      </c>
      <c r="AF255" s="173">
        <f t="shared" si="93"/>
        <v>0.97166528932404006</v>
      </c>
      <c r="AG255" s="801">
        <f t="shared" si="99"/>
        <v>1</v>
      </c>
      <c r="AH255" s="172">
        <f t="shared" si="94"/>
        <v>7</v>
      </c>
      <c r="AI255" s="221">
        <f t="shared" si="95"/>
        <v>1.9716652893240401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45899</v>
      </c>
      <c r="B256" s="406">
        <f>'2024'!Wh/'2024'!Env_an*'2025'!Env_an</f>
        <v>192.6397949028229</v>
      </c>
      <c r="C256" s="385"/>
      <c r="D256" s="388">
        <f t="shared" si="77"/>
        <v>196.569045662771</v>
      </c>
      <c r="E256" s="380">
        <f t="shared" si="100"/>
        <v>204.97104153704552</v>
      </c>
      <c r="F256" s="380">
        <f t="shared" si="78"/>
        <v>205.01757261101724</v>
      </c>
      <c r="G256" s="110">
        <f t="shared" si="101"/>
        <v>0.95212406956721551</v>
      </c>
      <c r="H256" s="409" t="b">
        <f>Wh_hp&gt;='2024'!Maxi_hp</f>
        <v>0</v>
      </c>
      <c r="I256" s="375">
        <f>IF(H256,Wh_hp,'2024'!Maxi_hp)</f>
        <v>205.02021150821608</v>
      </c>
      <c r="J256" s="85">
        <f>IF(H256,An,'2024'!An_max)</f>
        <v>2022</v>
      </c>
      <c r="K256" s="193">
        <f t="shared" si="79"/>
        <v>45899</v>
      </c>
      <c r="L256" s="143">
        <f>IF(t&lt;Tvie,1-EXP((T0-t)*PertePVj)+'2024'!Pspv,1-EXP((T0-t)*PertePVj)+Pspv)</f>
        <v>1.9989163332913673E-2</v>
      </c>
      <c r="M256" s="835"/>
      <c r="N256" s="835"/>
      <c r="O256" s="48">
        <f>IF(t&lt;Tnet,'2024'!Resal+('2024'!Salim-'2024'!Resal)*(1-EXP(('2024'!Tnet-t)/('2024'!Tau_j))),Resal+(Salim-Resal)*(1-EXP((Tnet-t)/(Tau_j))))*Salcycl</f>
        <v>4.0991136168647496E-2</v>
      </c>
      <c r="P256" s="165">
        <f>(INDEX(Models!$BJ256:$BT256,,T256)*(1-R256)+INDEX(Models!$BJ256:$BT256,,T256+1)*R256-ERP_i)*Q256*Ramure*Pc/MaxiM</f>
        <v>2.4361792236432533E-4</v>
      </c>
      <c r="Q256" s="301">
        <f t="shared" si="80"/>
        <v>0.5</v>
      </c>
      <c r="R256" s="173">
        <f t="shared" si="81"/>
        <v>0.97236608688521486</v>
      </c>
      <c r="S256" s="801">
        <f t="shared" si="82"/>
        <v>1</v>
      </c>
      <c r="T256" s="172">
        <f t="shared" si="83"/>
        <v>7</v>
      </c>
      <c r="U256" s="247">
        <f t="shared" si="84"/>
        <v>1.9723660868852149</v>
      </c>
      <c r="V256" s="378">
        <f t="shared" si="85"/>
        <v>202.32298670031753</v>
      </c>
      <c r="W256" s="397">
        <f t="shared" si="86"/>
        <v>192.6397949028229</v>
      </c>
      <c r="X256" s="153">
        <f t="shared" si="87"/>
        <v>45899</v>
      </c>
      <c r="Y256" s="380">
        <f t="shared" si="88"/>
        <v>188.01238393677377</v>
      </c>
      <c r="Z256" s="380">
        <f t="shared" si="89"/>
        <v>191.84724995101493</v>
      </c>
      <c r="AA256" s="381">
        <f t="shared" si="90"/>
        <v>204.97104153704552</v>
      </c>
      <c r="AB256" s="193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6.4027540122825882E-2</v>
      </c>
      <c r="AD256" s="227">
        <f>(INDEX(Models!$BJ256:$BT256,,AH256)*(1-AF256)+INDEX(Models!$BJ256:$BT256,,AH256+1)*AF256-ERP_i)*AE256*Ramure*Pc/MaxiM</f>
        <v>2.4361792236432533E-4</v>
      </c>
      <c r="AE256" s="301">
        <f t="shared" si="92"/>
        <v>0.5</v>
      </c>
      <c r="AF256" s="173">
        <f t="shared" si="93"/>
        <v>0.97236608688521486</v>
      </c>
      <c r="AG256" s="801">
        <f t="shared" si="99"/>
        <v>1</v>
      </c>
      <c r="AH256" s="172">
        <f t="shared" si="94"/>
        <v>7</v>
      </c>
      <c r="AI256" s="221">
        <f t="shared" si="95"/>
        <v>1.9723660868852149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45900</v>
      </c>
      <c r="B257" s="406">
        <f>'2024'!Wh/'2024'!Env_an*'2025'!Env_an</f>
        <v>85.699422438322912</v>
      </c>
      <c r="C257" s="385"/>
      <c r="D257" s="388">
        <f t="shared" si="77"/>
        <v>87.448620363186393</v>
      </c>
      <c r="E257" s="380">
        <f t="shared" si="100"/>
        <v>91.190534009073843</v>
      </c>
      <c r="F257" s="380">
        <f t="shared" si="78"/>
        <v>91.194461479249355</v>
      </c>
      <c r="G257" s="110">
        <f t="shared" si="101"/>
        <v>0.42536906491899329</v>
      </c>
      <c r="H257" s="409" t="b">
        <f>Wh_hp&gt;='2024'!Maxi_hp</f>
        <v>0</v>
      </c>
      <c r="I257" s="375">
        <f>IF(H257,Wh_hp,'2024'!Maxi_hp)</f>
        <v>91.208356380608777</v>
      </c>
      <c r="J257" s="85">
        <f>IF(H257,An,'2024'!An_max)</f>
        <v>2022</v>
      </c>
      <c r="K257" s="193">
        <f t="shared" si="79"/>
        <v>45900</v>
      </c>
      <c r="L257" s="143">
        <f>IF(t&lt;Tvie,1-EXP((T0-t)*PertePVj)+'2024'!Pspv,1-EXP((T0-t)*PertePVj)+Pspv)</f>
        <v>2.0002578858292042E-2</v>
      </c>
      <c r="M257" s="835"/>
      <c r="N257" s="835"/>
      <c r="O257" s="48">
        <f>IF(t&lt;Tnet,'2024'!Resal+('2024'!Salim-'2024'!Resal)*(1-EXP(('2024'!Tnet-t)/('2024'!Tau_j))),Resal+(Salim-Resal)*(1-EXP((Tnet-t)/(Tau_j))))*Salcycl</f>
        <v>4.1034013963720334E-2</v>
      </c>
      <c r="P257" s="165">
        <f>(INDEX(Models!$BJ257:$BT257,,T257)*(1-R257)+INDEX(Models!$BJ257:$BT257,,T257+1)*R257-ERP_i)*Q257*Ramure*Pc/MaxiM</f>
        <v>2.4030426442652838E-4</v>
      </c>
      <c r="Q257" s="301">
        <f t="shared" si="80"/>
        <v>0.5</v>
      </c>
      <c r="R257" s="173">
        <f t="shared" si="81"/>
        <v>0.973040584074915</v>
      </c>
      <c r="S257" s="801">
        <f t="shared" si="82"/>
        <v>1</v>
      </c>
      <c r="T257" s="172">
        <f t="shared" si="83"/>
        <v>7</v>
      </c>
      <c r="U257" s="247">
        <f t="shared" si="84"/>
        <v>1.973040584074915</v>
      </c>
      <c r="V257" s="378">
        <f t="shared" si="85"/>
        <v>201.43100581468704</v>
      </c>
      <c r="W257" s="397">
        <f t="shared" si="86"/>
        <v>85.699422438322912</v>
      </c>
      <c r="X257" s="153">
        <f t="shared" si="87"/>
        <v>45900</v>
      </c>
      <c r="Y257" s="380">
        <f t="shared" si="88"/>
        <v>83.643199808148708</v>
      </c>
      <c r="Z257" s="380">
        <f t="shared" si="89"/>
        <v>85.350428484498906</v>
      </c>
      <c r="AA257" s="381">
        <f t="shared" si="90"/>
        <v>91.190534009073843</v>
      </c>
      <c r="AB257" s="193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6.4042892039581967E-2</v>
      </c>
      <c r="AD257" s="227">
        <f>(INDEX(Models!$BJ257:$BT257,,AH257)*(1-AF257)+INDEX(Models!$BJ257:$BT257,,AH257+1)*AF257-ERP_i)*AE257*Ramure*Pc/MaxiM</f>
        <v>2.4030426442652838E-4</v>
      </c>
      <c r="AE257" s="301">
        <f t="shared" si="92"/>
        <v>0.5</v>
      </c>
      <c r="AF257" s="173">
        <f t="shared" si="93"/>
        <v>0.973040584074915</v>
      </c>
      <c r="AG257" s="801">
        <f t="shared" si="99"/>
        <v>1</v>
      </c>
      <c r="AH257" s="172">
        <f t="shared" si="94"/>
        <v>7</v>
      </c>
      <c r="AI257" s="221">
        <f t="shared" si="95"/>
        <v>1.973040584074915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45901</v>
      </c>
      <c r="B258" s="406">
        <f>'2024'!Wh/'2024'!Env_an*'2025'!Env_an</f>
        <v>170.4498260870723</v>
      </c>
      <c r="C258" s="385"/>
      <c r="D258" s="388">
        <f t="shared" si="77"/>
        <v>173.93123263060943</v>
      </c>
      <c r="E258" s="380">
        <f t="shared" si="100"/>
        <v>181.38178683039374</v>
      </c>
      <c r="F258" s="380">
        <f t="shared" si="78"/>
        <v>181.41556583386378</v>
      </c>
      <c r="G258" s="110">
        <f t="shared" si="101"/>
        <v>0.84996536080529517</v>
      </c>
      <c r="H258" s="409" t="b">
        <f>Wh_hp&gt;='2024'!Maxi_hp</f>
        <v>0</v>
      </c>
      <c r="I258" s="375">
        <f>IF(H258,Wh_hp,'2024'!Maxi_hp)</f>
        <v>181.4226808178222</v>
      </c>
      <c r="J258" s="85">
        <f>IF(H258,An,'2024'!An_max)</f>
        <v>2022</v>
      </c>
      <c r="K258" s="193">
        <f t="shared" si="79"/>
        <v>45901</v>
      </c>
      <c r="L258" s="143">
        <f>IF(t&lt;Tvie,1-EXP((T0-t)*PertePVj)+'2024'!Pspv,1-EXP((T0-t)*PertePVj)+Pspv)</f>
        <v>2.0015994200023091E-2</v>
      </c>
      <c r="M258" s="835"/>
      <c r="N258" s="835"/>
      <c r="O258" s="48">
        <f>IF(t&lt;Tnet,'2024'!Resal+('2024'!Salim-'2024'!Resal)*(1-EXP(('2024'!Tnet-t)/('2024'!Tau_j))),Resal+(Salim-Resal)*(1-EXP((Tnet-t)/(Tau_j))))*Salcycl</f>
        <v>4.1076639115652486E-2</v>
      </c>
      <c r="P258" s="165">
        <f>(INDEX(Models!$BJ258:$BT258,,T258)*(1-R258)+INDEX(Models!$BJ258:$BT258,,T258+1)*R258-ERP_i)*Q258*Ramure*Pc/MaxiM</f>
        <v>2.3697410979622632E-4</v>
      </c>
      <c r="Q258" s="301">
        <f t="shared" si="80"/>
        <v>0.5</v>
      </c>
      <c r="R258" s="173">
        <f t="shared" si="81"/>
        <v>0.97368969605753652</v>
      </c>
      <c r="S258" s="801">
        <f t="shared" si="82"/>
        <v>1</v>
      </c>
      <c r="T258" s="172">
        <f t="shared" si="83"/>
        <v>7</v>
      </c>
      <c r="U258" s="247">
        <f t="shared" si="84"/>
        <v>1.9736896960575365</v>
      </c>
      <c r="V258" s="378">
        <f t="shared" si="85"/>
        <v>200.52719482054624</v>
      </c>
      <c r="W258" s="397">
        <f t="shared" si="86"/>
        <v>170.4498260870723</v>
      </c>
      <c r="X258" s="153">
        <f t="shared" si="87"/>
        <v>45901</v>
      </c>
      <c r="Y258" s="380">
        <f t="shared" si="88"/>
        <v>166.36487527885888</v>
      </c>
      <c r="Z258" s="380">
        <f t="shared" si="89"/>
        <v>169.76284744877293</v>
      </c>
      <c r="AA258" s="381">
        <f t="shared" si="90"/>
        <v>181.38178683039374</v>
      </c>
      <c r="AB258" s="193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6.4057916644549559E-2</v>
      </c>
      <c r="AD258" s="227">
        <f>(INDEX(Models!$BJ258:$BT258,,AH258)*(1-AF258)+INDEX(Models!$BJ258:$BT258,,AH258+1)*AF258-ERP_i)*AE258*Ramure*Pc/MaxiM</f>
        <v>2.3697410979622632E-4</v>
      </c>
      <c r="AE258" s="301">
        <f t="shared" si="92"/>
        <v>0.5</v>
      </c>
      <c r="AF258" s="173">
        <f t="shared" si="93"/>
        <v>0.97368969605753652</v>
      </c>
      <c r="AG258" s="801">
        <f t="shared" si="99"/>
        <v>1</v>
      </c>
      <c r="AH258" s="172">
        <f t="shared" si="94"/>
        <v>7</v>
      </c>
      <c r="AI258" s="221">
        <f t="shared" si="95"/>
        <v>1.9736896960575365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45902</v>
      </c>
      <c r="B259" s="406">
        <f>'2024'!Wh/'2024'!Env_an*'2025'!Env_an</f>
        <v>168.01051892262529</v>
      </c>
      <c r="C259" s="385"/>
      <c r="D259" s="388">
        <f t="shared" si="77"/>
        <v>171.44444999372553</v>
      </c>
      <c r="E259" s="380">
        <f t="shared" si="100"/>
        <v>178.79637894684473</v>
      </c>
      <c r="F259" s="380">
        <f t="shared" si="78"/>
        <v>178.828709347885</v>
      </c>
      <c r="G259" s="110">
        <f t="shared" si="101"/>
        <v>0.84164285321604038</v>
      </c>
      <c r="H259" s="409" t="b">
        <f>Wh_hp&gt;='2024'!Maxi_hp</f>
        <v>0</v>
      </c>
      <c r="I259" s="375">
        <f>IF(H259,Wh_hp,'2024'!Maxi_hp)</f>
        <v>178.8360068834514</v>
      </c>
      <c r="J259" s="85">
        <f>IF(H259,An,'2024'!An_max)</f>
        <v>2022</v>
      </c>
      <c r="K259" s="193">
        <f t="shared" si="79"/>
        <v>45902</v>
      </c>
      <c r="L259" s="143">
        <f>IF(t&lt;Tvie,1-EXP((T0-t)*PertePVj)+'2024'!Pspv,1-EXP((T0-t)*PertePVj)+Pspv)</f>
        <v>2.0029409358109374E-2</v>
      </c>
      <c r="M259" s="835"/>
      <c r="N259" s="835"/>
      <c r="O259" s="48">
        <f>IF(t&lt;Tnet,'2024'!Resal+('2024'!Salim-'2024'!Resal)*(1-EXP(('2024'!Tnet-t)/('2024'!Tau_j))),Resal+(Salim-Resal)*(1-EXP((Tnet-t)/(Tau_j))))*Salcycl</f>
        <v>4.1119003619781852E-2</v>
      </c>
      <c r="P259" s="165">
        <f>(INDEX(Models!$BJ259:$BT259,,T259)*(1-R259)+INDEX(Models!$BJ259:$BT259,,T259+1)*R259-ERP_i)*Q259*Ramure*Pc/MaxiM</f>
        <v>2.3362709511418032E-4</v>
      </c>
      <c r="Q259" s="301">
        <f t="shared" si="80"/>
        <v>0.5</v>
      </c>
      <c r="R259" s="173">
        <f t="shared" si="81"/>
        <v>0.97431431167174321</v>
      </c>
      <c r="S259" s="801">
        <f t="shared" si="82"/>
        <v>1</v>
      </c>
      <c r="T259" s="172">
        <f t="shared" si="83"/>
        <v>7</v>
      </c>
      <c r="U259" s="247">
        <f t="shared" si="84"/>
        <v>1.9743143116717432</v>
      </c>
      <c r="V259" s="378">
        <f t="shared" si="85"/>
        <v>199.61155667023502</v>
      </c>
      <c r="W259" s="397">
        <f t="shared" si="86"/>
        <v>168.01051892262529</v>
      </c>
      <c r="X259" s="153">
        <f t="shared" si="87"/>
        <v>45902</v>
      </c>
      <c r="Y259" s="380">
        <f t="shared" si="88"/>
        <v>163.98869973208278</v>
      </c>
      <c r="Z259" s="380">
        <f t="shared" si="89"/>
        <v>167.34042970072042</v>
      </c>
      <c r="AA259" s="381">
        <f t="shared" si="90"/>
        <v>178.79637894684473</v>
      </c>
      <c r="AB259" s="193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6.4072602105270285E-2</v>
      </c>
      <c r="AD259" s="227">
        <f>(INDEX(Models!$BJ259:$BT259,,AH259)*(1-AF259)+INDEX(Models!$BJ259:$BT259,,AH259+1)*AF259-ERP_i)*AE259*Ramure*Pc/MaxiM</f>
        <v>2.3362709511418032E-4</v>
      </c>
      <c r="AE259" s="301">
        <f t="shared" si="92"/>
        <v>0.5</v>
      </c>
      <c r="AF259" s="173">
        <f t="shared" si="93"/>
        <v>0.97431431167174321</v>
      </c>
      <c r="AG259" s="801">
        <f t="shared" si="99"/>
        <v>1</v>
      </c>
      <c r="AH259" s="172">
        <f t="shared" si="94"/>
        <v>7</v>
      </c>
      <c r="AI259" s="221">
        <f t="shared" si="95"/>
        <v>1.9743143116717432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45903</v>
      </c>
      <c r="B260" s="406">
        <f>'2024'!Wh/'2024'!Env_an*'2025'!Env_an</f>
        <v>131.23913453322368</v>
      </c>
      <c r="C260" s="385"/>
      <c r="D260" s="388">
        <f t="shared" si="77"/>
        <v>133.92333643951022</v>
      </c>
      <c r="E260" s="380">
        <f t="shared" si="100"/>
        <v>139.67240619954336</v>
      </c>
      <c r="F260" s="380">
        <f t="shared" si="78"/>
        <v>139.68897318404385</v>
      </c>
      <c r="G260" s="110">
        <f t="shared" si="101"/>
        <v>0.66046795833095207</v>
      </c>
      <c r="H260" s="409" t="b">
        <f>Wh_hp&gt;='2024'!Maxi_hp</f>
        <v>0</v>
      </c>
      <c r="I260" s="375">
        <f>IF(H260,Wh_hp,'2024'!Maxi_hp)</f>
        <v>139.70102045088095</v>
      </c>
      <c r="J260" s="85">
        <f>IF(H260,An,'2024'!An_max)</f>
        <v>2022</v>
      </c>
      <c r="K260" s="193">
        <f t="shared" si="79"/>
        <v>45903</v>
      </c>
      <c r="L260" s="143">
        <f>IF(t&lt;Tvie,1-EXP((T0-t)*PertePVj)+'2024'!Pspv,1-EXP((T0-t)*PertePVj)+Pspv)</f>
        <v>2.0042824332553444E-2</v>
      </c>
      <c r="M260" s="835"/>
      <c r="N260" s="835"/>
      <c r="O260" s="48">
        <f>IF(t&lt;Tnet,'2024'!Resal+('2024'!Salim-'2024'!Resal)*(1-EXP(('2024'!Tnet-t)/('2024'!Tau_j))),Resal+(Salim-Resal)*(1-EXP((Tnet-t)/(Tau_j))))*Salcycl</f>
        <v>4.1161099149532122E-2</v>
      </c>
      <c r="P260" s="165">
        <f>(INDEX(Models!$BJ260:$BT260,,T260)*(1-R260)+INDEX(Models!$BJ260:$BT260,,T260+1)*R260-ERP_i)*Q260*Ramure*Pc/MaxiM</f>
        <v>2.3026283527578117E-4</v>
      </c>
      <c r="Q260" s="301">
        <f t="shared" si="80"/>
        <v>0.5</v>
      </c>
      <c r="R260" s="173">
        <f t="shared" si="81"/>
        <v>0.97491529375036867</v>
      </c>
      <c r="S260" s="801">
        <f t="shared" si="82"/>
        <v>1</v>
      </c>
      <c r="T260" s="172">
        <f t="shared" si="83"/>
        <v>7</v>
      </c>
      <c r="U260" s="247">
        <f t="shared" si="84"/>
        <v>1.9749152937503687</v>
      </c>
      <c r="V260" s="378">
        <f t="shared" si="85"/>
        <v>198.68409433933442</v>
      </c>
      <c r="W260" s="397">
        <f t="shared" si="86"/>
        <v>131.23913453322368</v>
      </c>
      <c r="X260" s="153">
        <f t="shared" si="87"/>
        <v>45903</v>
      </c>
      <c r="Y260" s="380">
        <f t="shared" si="88"/>
        <v>128.10120698329689</v>
      </c>
      <c r="Z260" s="380">
        <f t="shared" si="89"/>
        <v>130.72122962521036</v>
      </c>
      <c r="AA260" s="381">
        <f t="shared" si="90"/>
        <v>139.67240619954336</v>
      </c>
      <c r="AB260" s="193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6.4086936123552402E-2</v>
      </c>
      <c r="AD260" s="227">
        <f>(INDEX(Models!$BJ260:$BT260,,AH260)*(1-AF260)+INDEX(Models!$BJ260:$BT260,,AH260+1)*AF260-ERP_i)*AE260*Ramure*Pc/MaxiM</f>
        <v>2.3026283527578117E-4</v>
      </c>
      <c r="AE260" s="301">
        <f t="shared" si="92"/>
        <v>0.5</v>
      </c>
      <c r="AF260" s="173">
        <f t="shared" si="93"/>
        <v>0.97491529375036867</v>
      </c>
      <c r="AG260" s="801">
        <f t="shared" si="99"/>
        <v>1</v>
      </c>
      <c r="AH260" s="172">
        <f t="shared" si="94"/>
        <v>7</v>
      </c>
      <c r="AI260" s="221">
        <f t="shared" si="95"/>
        <v>1.9749152937503687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45904</v>
      </c>
      <c r="B261" s="406">
        <f>'2024'!Wh/'2024'!Env_an*'2025'!Env_an</f>
        <v>184.87061524581125</v>
      </c>
      <c r="C261" s="385"/>
      <c r="D261" s="388">
        <f t="shared" si="77"/>
        <v>188.65431122335931</v>
      </c>
      <c r="E261" s="380">
        <f t="shared" si="100"/>
        <v>196.76145722100188</v>
      </c>
      <c r="F261" s="380">
        <f t="shared" si="78"/>
        <v>196.80195499839624</v>
      </c>
      <c r="G261" s="110">
        <f t="shared" si="101"/>
        <v>0.93487516871863574</v>
      </c>
      <c r="H261" s="409" t="b">
        <f>Wh_hp&gt;='2024'!Maxi_hp</f>
        <v>0</v>
      </c>
      <c r="I261" s="375">
        <f>IF(H261,Wh_hp,'2024'!Maxi_hp)</f>
        <v>196.80516308145275</v>
      </c>
      <c r="J261" s="85">
        <f>IF(H261,An,'2024'!An_max)</f>
        <v>2022</v>
      </c>
      <c r="K261" s="193">
        <f t="shared" si="79"/>
        <v>45904</v>
      </c>
      <c r="L261" s="143">
        <f>IF(t&lt;Tvie,1-EXP((T0-t)*PertePVj)+'2024'!Pspv,1-EXP((T0-t)*PertePVj)+Pspv)</f>
        <v>2.0056239123357855E-2</v>
      </c>
      <c r="M261" s="835"/>
      <c r="N261" s="835"/>
      <c r="O261" s="48">
        <f>IF(t&lt;Tnet,'2024'!Resal+('2024'!Salim-'2024'!Resal)*(1-EXP(('2024'!Tnet-t)/('2024'!Tau_j))),Resal+(Salim-Resal)*(1-EXP((Tnet-t)/(Tau_j))))*Salcycl</f>
        <v>4.1202917035406184E-2</v>
      </c>
      <c r="P261" s="165">
        <f>(INDEX(Models!$BJ261:$BT261,,T261)*(1-R261)+INDEX(Models!$BJ261:$BT261,,T261+1)*R261-ERP_i)*Q261*Ramure*Pc/MaxiM</f>
        <v>2.2688092372193807E-4</v>
      </c>
      <c r="Q261" s="301">
        <f t="shared" si="80"/>
        <v>0.5</v>
      </c>
      <c r="R261" s="173">
        <f t="shared" si="81"/>
        <v>0.97549347947613274</v>
      </c>
      <c r="S261" s="801">
        <f t="shared" si="82"/>
        <v>1</v>
      </c>
      <c r="T261" s="172">
        <f t="shared" si="83"/>
        <v>7</v>
      </c>
      <c r="U261" s="247">
        <f t="shared" si="84"/>
        <v>1.9754934794761327</v>
      </c>
      <c r="V261" s="378">
        <f t="shared" si="85"/>
        <v>197.74481082263665</v>
      </c>
      <c r="W261" s="397">
        <f t="shared" si="86"/>
        <v>184.87061524581125</v>
      </c>
      <c r="X261" s="153">
        <f t="shared" si="87"/>
        <v>45904</v>
      </c>
      <c r="Y261" s="380">
        <f t="shared" si="88"/>
        <v>180.45553580373573</v>
      </c>
      <c r="Z261" s="380">
        <f t="shared" si="89"/>
        <v>184.14886956604843</v>
      </c>
      <c r="AA261" s="381">
        <f t="shared" si="90"/>
        <v>196.76145722100188</v>
      </c>
      <c r="AB261" s="193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6.4100905904488206E-2</v>
      </c>
      <c r="AD261" s="227">
        <f>(INDEX(Models!$BJ261:$BT261,,AH261)*(1-AF261)+INDEX(Models!$BJ261:$BT261,,AH261+1)*AF261-ERP_i)*AE261*Ramure*Pc/MaxiM</f>
        <v>2.2688092372193807E-4</v>
      </c>
      <c r="AE261" s="301">
        <f t="shared" si="92"/>
        <v>0.5</v>
      </c>
      <c r="AF261" s="173">
        <f t="shared" si="93"/>
        <v>0.97549347947613274</v>
      </c>
      <c r="AG261" s="801">
        <f t="shared" si="99"/>
        <v>1</v>
      </c>
      <c r="AH261" s="172">
        <f t="shared" si="94"/>
        <v>7</v>
      </c>
      <c r="AI261" s="221">
        <f t="shared" si="95"/>
        <v>1.9754934794761327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45905</v>
      </c>
      <c r="B262" s="406">
        <f>'2024'!Wh/'2024'!Env_an*'2025'!Env_an</f>
        <v>163.27597340906067</v>
      </c>
      <c r="C262" s="385"/>
      <c r="D262" s="388">
        <f t="shared" si="77"/>
        <v>166.6199786858736</v>
      </c>
      <c r="E262" s="380">
        <f t="shared" si="100"/>
        <v>173.78775891383339</v>
      </c>
      <c r="F262" s="380">
        <f t="shared" si="78"/>
        <v>173.81716246549223</v>
      </c>
      <c r="G262" s="110">
        <f t="shared" si="101"/>
        <v>0.82963578422810891</v>
      </c>
      <c r="H262" s="409" t="b">
        <f>Wh_hp&gt;='2024'!Maxi_hp</f>
        <v>0</v>
      </c>
      <c r="I262" s="375">
        <f>IF(H262,Wh_hp,'2024'!Maxi_hp)</f>
        <v>173.8244682935279</v>
      </c>
      <c r="J262" s="85">
        <f>IF(H262,An,'2024'!An_max)</f>
        <v>2022</v>
      </c>
      <c r="K262" s="193">
        <f t="shared" si="79"/>
        <v>45905</v>
      </c>
      <c r="L262" s="143">
        <f>IF(t&lt;Tvie,1-EXP((T0-t)*PertePVj)+'2024'!Pspv,1-EXP((T0-t)*PertePVj)+Pspv)</f>
        <v>2.0069653730524939E-2</v>
      </c>
      <c r="M262" s="835"/>
      <c r="N262" s="835"/>
      <c r="O262" s="48">
        <f>IF(t&lt;Tnet,'2024'!Resal+('2024'!Salim-'2024'!Resal)*(1-EXP(('2024'!Tnet-t)/('2024'!Tau_j))),Resal+(Salim-Resal)*(1-EXP((Tnet-t)/(Tau_j))))*Salcycl</f>
        <v>4.1244448243985168E-2</v>
      </c>
      <c r="P262" s="165">
        <f>(INDEX(Models!$BJ262:$BT262,,T262)*(1-R262)+INDEX(Models!$BJ262:$BT262,,T262+1)*R262-ERP_i)*Q262*Ramure*Pc/MaxiM</f>
        <v>2.2355832412832913E-4</v>
      </c>
      <c r="Q262" s="301">
        <f t="shared" si="80"/>
        <v>0.5</v>
      </c>
      <c r="R262" s="173">
        <f t="shared" si="81"/>
        <v>0.97604968076890475</v>
      </c>
      <c r="S262" s="801">
        <f t="shared" si="82"/>
        <v>1</v>
      </c>
      <c r="T262" s="172">
        <f t="shared" si="83"/>
        <v>7</v>
      </c>
      <c r="U262" s="247">
        <f t="shared" si="84"/>
        <v>1.9760496807689047</v>
      </c>
      <c r="V262" s="378">
        <f t="shared" si="85"/>
        <v>196.79369389858422</v>
      </c>
      <c r="W262" s="397">
        <f t="shared" si="86"/>
        <v>163.27597340906067</v>
      </c>
      <c r="X262" s="153">
        <f t="shared" si="87"/>
        <v>45905</v>
      </c>
      <c r="Y262" s="380">
        <f t="shared" si="88"/>
        <v>159.38120622935753</v>
      </c>
      <c r="Z262" s="380">
        <f t="shared" si="89"/>
        <v>162.6454439706969</v>
      </c>
      <c r="AA262" s="381">
        <f t="shared" si="90"/>
        <v>173.78775891383339</v>
      </c>
      <c r="AB262" s="193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6.4114498125618924E-2</v>
      </c>
      <c r="AD262" s="227">
        <f>(INDEX(Models!$BJ262:$BT262,,AH262)*(1-AF262)+INDEX(Models!$BJ262:$BT262,,AH262+1)*AF262-ERP_i)*AE262*Ramure*Pc/MaxiM</f>
        <v>2.2355832412832913E-4</v>
      </c>
      <c r="AE262" s="301">
        <f t="shared" si="92"/>
        <v>0.5</v>
      </c>
      <c r="AF262" s="173">
        <f t="shared" si="93"/>
        <v>0.97604968076890475</v>
      </c>
      <c r="AG262" s="801">
        <f t="shared" si="99"/>
        <v>1</v>
      </c>
      <c r="AH262" s="172">
        <f t="shared" si="94"/>
        <v>7</v>
      </c>
      <c r="AI262" s="221">
        <f t="shared" si="95"/>
        <v>1.9760496807689047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45906</v>
      </c>
      <c r="B263" s="406">
        <f>'2024'!Wh/'2024'!Env_an*'2025'!Env_an</f>
        <v>183.10649028687041</v>
      </c>
      <c r="C263" s="385"/>
      <c r="D263" s="388">
        <f t="shared" si="77"/>
        <v>186.8591962605841</v>
      </c>
      <c r="E263" s="380">
        <f t="shared" si="100"/>
        <v>194.90602468000947</v>
      </c>
      <c r="F263" s="380">
        <f t="shared" si="78"/>
        <v>194.94501919489912</v>
      </c>
      <c r="G263" s="110">
        <f t="shared" si="101"/>
        <v>0.93500526150278207</v>
      </c>
      <c r="H263" s="409" t="b">
        <f>Wh_hp&gt;='2024'!Maxi_hp</f>
        <v>0</v>
      </c>
      <c r="I263" s="375">
        <f>IF(H263,Wh_hp,'2024'!Maxi_hp)</f>
        <v>194.94810319538493</v>
      </c>
      <c r="J263" s="85">
        <f>IF(H263,An,'2024'!An_max)</f>
        <v>2022</v>
      </c>
      <c r="K263" s="193">
        <f t="shared" si="79"/>
        <v>45906</v>
      </c>
      <c r="L263" s="143">
        <f>IF(t&lt;Tvie,1-EXP((T0-t)*PertePVj)+'2024'!Pspv,1-EXP((T0-t)*PertePVj)+Pspv)</f>
        <v>2.008306815405736E-2</v>
      </c>
      <c r="M263" s="835"/>
      <c r="N263" s="835"/>
      <c r="O263" s="48">
        <f>IF(t&lt;Tnet,'2024'!Resal+('2024'!Salim-'2024'!Resal)*(1-EXP(('2024'!Tnet-t)/('2024'!Tau_j))),Resal+(Salim-Resal)*(1-EXP((Tnet-t)/(Tau_j))))*Salcycl</f>
        <v>4.1285683357589351E-2</v>
      </c>
      <c r="P263" s="165">
        <f>(INDEX(Models!$BJ263:$BT263,,T263)*(1-R263)+INDEX(Models!$BJ263:$BT263,,T263+1)*R263-ERP_i)*Q263*Ramure*Pc/MaxiM</f>
        <v>2.2049513108633341E-4</v>
      </c>
      <c r="Q263" s="301">
        <f t="shared" si="80"/>
        <v>0.5</v>
      </c>
      <c r="R263" s="173">
        <f t="shared" si="81"/>
        <v>0.97658468470053639</v>
      </c>
      <c r="S263" s="801">
        <f t="shared" si="82"/>
        <v>1</v>
      </c>
      <c r="T263" s="172">
        <f t="shared" si="83"/>
        <v>7</v>
      </c>
      <c r="U263" s="247">
        <f t="shared" si="84"/>
        <v>1.9765846847005364</v>
      </c>
      <c r="V263" s="378">
        <f t="shared" si="85"/>
        <v>195.83070754880845</v>
      </c>
      <c r="W263" s="397">
        <f t="shared" si="86"/>
        <v>183.10649028687041</v>
      </c>
      <c r="X263" s="153">
        <f t="shared" si="87"/>
        <v>45906</v>
      </c>
      <c r="Y263" s="380">
        <f t="shared" si="88"/>
        <v>178.74385459261364</v>
      </c>
      <c r="Z263" s="380">
        <f t="shared" si="89"/>
        <v>182.40714981411793</v>
      </c>
      <c r="AA263" s="381">
        <f t="shared" si="90"/>
        <v>194.90602468000947</v>
      </c>
      <c r="AB263" s="193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6.4127698907264677E-2</v>
      </c>
      <c r="AD263" s="227">
        <f>(INDEX(Models!$BJ263:$BT263,,AH263)*(1-AF263)+INDEX(Models!$BJ263:$BT263,,AH263+1)*AF263-ERP_i)*AE263*Ramure*Pc/MaxiM</f>
        <v>2.2049513108633341E-4</v>
      </c>
      <c r="AE263" s="301">
        <f t="shared" si="92"/>
        <v>0.5</v>
      </c>
      <c r="AF263" s="173">
        <f t="shared" si="93"/>
        <v>0.97658468470053639</v>
      </c>
      <c r="AG263" s="801">
        <f t="shared" si="99"/>
        <v>1</v>
      </c>
      <c r="AH263" s="172">
        <f t="shared" si="94"/>
        <v>7</v>
      </c>
      <c r="AI263" s="221">
        <f t="shared" si="95"/>
        <v>1.9765846847005364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45907</v>
      </c>
      <c r="B264" s="406">
        <f>'2024'!Wh/'2024'!Env_an*'2025'!Env_an</f>
        <v>139.17134445431284</v>
      </c>
      <c r="C264" s="385"/>
      <c r="D264" s="388">
        <f t="shared" si="77"/>
        <v>142.02555859204998</v>
      </c>
      <c r="E264" s="380">
        <f t="shared" si="100"/>
        <v>148.14801417467982</v>
      </c>
      <c r="F264" s="380">
        <f t="shared" si="78"/>
        <v>148.1671012496717</v>
      </c>
      <c r="G264" s="110">
        <f t="shared" si="101"/>
        <v>0.71416367905878408</v>
      </c>
      <c r="H264" s="409" t="b">
        <f>Wh_hp&gt;='2024'!Maxi_hp</f>
        <v>0</v>
      </c>
      <c r="I264" s="375">
        <f>IF(H264,Wh_hp,'2024'!Maxi_hp)</f>
        <v>148.17728238486964</v>
      </c>
      <c r="J264" s="85">
        <f>IF(H264,An,'2024'!An_max)</f>
        <v>2022</v>
      </c>
      <c r="K264" s="193">
        <f t="shared" si="79"/>
        <v>45907</v>
      </c>
      <c r="L264" s="143">
        <f>IF(t&lt;Tvie,1-EXP((T0-t)*PertePVj)+'2024'!Pspv,1-EXP((T0-t)*PertePVj)+Pspv)</f>
        <v>2.009648239395756E-2</v>
      </c>
      <c r="M264" s="835"/>
      <c r="N264" s="835"/>
      <c r="O264" s="48">
        <f>IF(t&lt;Tnet,'2024'!Resal+('2024'!Salim-'2024'!Resal)*(1-EXP(('2024'!Tnet-t)/('2024'!Tau_j))),Resal+(Salim-Resal)*(1-EXP((Tnet-t)/(Tau_j))))*Salcycl</f>
        <v>4.1326612555271272E-2</v>
      </c>
      <c r="P264" s="165">
        <f>(INDEX(Models!$BJ264:$BT264,,T264)*(1-R264)+INDEX(Models!$BJ264:$BT264,,T264+1)*R264-ERP_i)*Q264*Ramure*Pc/MaxiM</f>
        <v>2.1769430172254237E-4</v>
      </c>
      <c r="Q264" s="301">
        <f t="shared" si="80"/>
        <v>0.5</v>
      </c>
      <c r="R264" s="173">
        <f t="shared" si="81"/>
        <v>0.97709925393357389</v>
      </c>
      <c r="S264" s="801">
        <f t="shared" si="82"/>
        <v>1</v>
      </c>
      <c r="T264" s="172">
        <f t="shared" si="83"/>
        <v>7</v>
      </c>
      <c r="U264" s="247">
        <f t="shared" si="84"/>
        <v>1.9770992539335739</v>
      </c>
      <c r="V264" s="378">
        <f t="shared" si="85"/>
        <v>194.85585498502007</v>
      </c>
      <c r="W264" s="397">
        <f t="shared" si="86"/>
        <v>139.17134445431284</v>
      </c>
      <c r="X264" s="153">
        <f t="shared" si="87"/>
        <v>45907</v>
      </c>
      <c r="Y264" s="380">
        <f t="shared" si="88"/>
        <v>135.85943597270526</v>
      </c>
      <c r="Z264" s="380">
        <f t="shared" si="89"/>
        <v>138.64572739224087</v>
      </c>
      <c r="AA264" s="381">
        <f t="shared" si="90"/>
        <v>148.14801417467982</v>
      </c>
      <c r="AB264" s="193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6.4140493785052682E-2</v>
      </c>
      <c r="AD264" s="227">
        <f>(INDEX(Models!$BJ264:$BT264,,AH264)*(1-AF264)+INDEX(Models!$BJ264:$BT264,,AH264+1)*AF264-ERP_i)*AE264*Ramure*Pc/MaxiM</f>
        <v>2.1769430172254237E-4</v>
      </c>
      <c r="AE264" s="301">
        <f t="shared" si="92"/>
        <v>0.5</v>
      </c>
      <c r="AF264" s="173">
        <f t="shared" si="93"/>
        <v>0.97709925393357389</v>
      </c>
      <c r="AG264" s="801">
        <f t="shared" si="99"/>
        <v>1</v>
      </c>
      <c r="AH264" s="172">
        <f t="shared" si="94"/>
        <v>7</v>
      </c>
      <c r="AI264" s="221">
        <f t="shared" si="95"/>
        <v>1.9770992539335739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45908</v>
      </c>
      <c r="B265" s="406">
        <f>'2024'!Wh/'2024'!Env_an*'2025'!Env_an</f>
        <v>161.78327123906956</v>
      </c>
      <c r="C265" s="385"/>
      <c r="D265" s="388">
        <f t="shared" si="77"/>
        <v>165.10348523062927</v>
      </c>
      <c r="E265" s="380">
        <f t="shared" si="100"/>
        <v>172.22808320239818</v>
      </c>
      <c r="F265" s="380">
        <f t="shared" si="78"/>
        <v>172.2563829145945</v>
      </c>
      <c r="G265" s="110">
        <f t="shared" si="101"/>
        <v>0.83445483039825807</v>
      </c>
      <c r="H265" s="409" t="b">
        <f>Wh_hp&gt;='2024'!Maxi_hp</f>
        <v>0</v>
      </c>
      <c r="I265" s="375">
        <f>IF(H265,Wh_hp,'2024'!Maxi_hp)</f>
        <v>172.26316013998238</v>
      </c>
      <c r="J265" s="85">
        <f>IF(H265,An,'2024'!An_max)</f>
        <v>2022</v>
      </c>
      <c r="K265" s="193">
        <f t="shared" si="79"/>
        <v>45908</v>
      </c>
      <c r="L265" s="143">
        <f>IF(t&lt;Tvie,1-EXP((T0-t)*PertePVj)+'2024'!Pspv,1-EXP((T0-t)*PertePVj)+Pspv)</f>
        <v>2.0109896450228093E-2</v>
      </c>
      <c r="M265" s="835"/>
      <c r="N265" s="835"/>
      <c r="O265" s="48">
        <f>IF(t&lt;Tnet,'2024'!Resal+('2024'!Salim-'2024'!Resal)*(1-EXP(('2024'!Tnet-t)/('2024'!Tau_j))),Resal+(Salim-Resal)*(1-EXP((Tnet-t)/(Tau_j))))*Salcycl</f>
        <v>4.136722559581793E-2</v>
      </c>
      <c r="P265" s="165">
        <f>(INDEX(Models!$BJ265:$BT265,,T265)*(1-R265)+INDEX(Models!$BJ265:$BT265,,T265+1)*R265-ERP_i)*Q265*Ramure*Pc/MaxiM</f>
        <v>2.1515885713909217E-4</v>
      </c>
      <c r="Q265" s="301">
        <f t="shared" si="80"/>
        <v>0.5</v>
      </c>
      <c r="R265" s="173">
        <f t="shared" si="81"/>
        <v>0.97759412718041983</v>
      </c>
      <c r="S265" s="801">
        <f t="shared" si="82"/>
        <v>1</v>
      </c>
      <c r="T265" s="172">
        <f t="shared" si="83"/>
        <v>7</v>
      </c>
      <c r="U265" s="247">
        <f t="shared" si="84"/>
        <v>1.9775941271804198</v>
      </c>
      <c r="V265" s="378">
        <f t="shared" si="85"/>
        <v>193.86913945725215</v>
      </c>
      <c r="W265" s="397">
        <f t="shared" si="86"/>
        <v>161.78327123906956</v>
      </c>
      <c r="X265" s="153">
        <f t="shared" si="87"/>
        <v>45908</v>
      </c>
      <c r="Y265" s="380">
        <f t="shared" si="88"/>
        <v>157.93786159628772</v>
      </c>
      <c r="Z265" s="380">
        <f t="shared" si="89"/>
        <v>161.1791577689564</v>
      </c>
      <c r="AA265" s="381">
        <f t="shared" si="90"/>
        <v>172.22808320239818</v>
      </c>
      <c r="AB265" s="193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6.415286768568032E-2</v>
      </c>
      <c r="AD265" s="227">
        <f>(INDEX(Models!$BJ265:$BT265,,AH265)*(1-AF265)+INDEX(Models!$BJ265:$BT265,,AH265+1)*AF265-ERP_i)*AE265*Ramure*Pc/MaxiM</f>
        <v>2.1515885713909217E-4</v>
      </c>
      <c r="AE265" s="301">
        <f t="shared" si="92"/>
        <v>0.5</v>
      </c>
      <c r="AF265" s="173">
        <f t="shared" si="93"/>
        <v>0.97759412718041983</v>
      </c>
      <c r="AG265" s="801">
        <f t="shared" si="99"/>
        <v>1</v>
      </c>
      <c r="AH265" s="172">
        <f t="shared" si="94"/>
        <v>7</v>
      </c>
      <c r="AI265" s="221">
        <f t="shared" si="95"/>
        <v>1.9775941271804198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45909</v>
      </c>
      <c r="B266" s="406">
        <f>'2024'!Wh/'2024'!Env_an*'2025'!Env_an</f>
        <v>86.529198503229182</v>
      </c>
      <c r="C266" s="385"/>
      <c r="D266" s="388">
        <f t="shared" si="77"/>
        <v>88.306211806855757</v>
      </c>
      <c r="E266" s="380">
        <f t="shared" si="100"/>
        <v>92.12070081311569</v>
      </c>
      <c r="F266" s="380">
        <f t="shared" si="78"/>
        <v>92.124865379763008</v>
      </c>
      <c r="G266" s="110">
        <f t="shared" si="101"/>
        <v>0.44856346237927558</v>
      </c>
      <c r="H266" s="409" t="b">
        <f>Wh_hp&gt;='2024'!Maxi_hp</f>
        <v>0</v>
      </c>
      <c r="I266" s="375">
        <f>IF(H266,Wh_hp,'2024'!Maxi_hp)</f>
        <v>92.136816423786186</v>
      </c>
      <c r="J266" s="85">
        <f>IF(H266,An,'2024'!An_max)</f>
        <v>2022</v>
      </c>
      <c r="K266" s="193">
        <f t="shared" si="79"/>
        <v>45909</v>
      </c>
      <c r="L266" s="143">
        <f>IF(t&lt;Tvie,1-EXP((T0-t)*PertePVj)+'2024'!Pspv,1-EXP((T0-t)*PertePVj)+Pspv)</f>
        <v>2.0123310322871513E-2</v>
      </c>
      <c r="M266" s="835"/>
      <c r="N266" s="835"/>
      <c r="O266" s="48">
        <f>IF(t&lt;Tnet,'2024'!Resal+('2024'!Salim-'2024'!Resal)*(1-EXP(('2024'!Tnet-t)/('2024'!Tau_j))),Resal+(Salim-Resal)*(1-EXP((Tnet-t)/(Tau_j))))*Salcycl</f>
        <v>4.1407511803436561E-2</v>
      </c>
      <c r="P266" s="165">
        <f>(INDEX(Models!$BJ266:$BT266,,T266)*(1-R266)+INDEX(Models!$BJ266:$BT266,,T266+1)*R266-ERP_i)*Q266*Ramure*Pc/MaxiM</f>
        <v>2.1289188284236949E-4</v>
      </c>
      <c r="Q266" s="301">
        <f t="shared" si="80"/>
        <v>0.5</v>
      </c>
      <c r="R266" s="173">
        <f t="shared" si="81"/>
        <v>0.97807001967977492</v>
      </c>
      <c r="S266" s="801">
        <f t="shared" si="82"/>
        <v>1</v>
      </c>
      <c r="T266" s="172">
        <f t="shared" si="83"/>
        <v>7</v>
      </c>
      <c r="U266" s="247">
        <f t="shared" si="84"/>
        <v>1.9780700196797749</v>
      </c>
      <c r="V266" s="378">
        <f t="shared" si="85"/>
        <v>192.87056425672225</v>
      </c>
      <c r="W266" s="397">
        <f t="shared" si="86"/>
        <v>86.529198503229182</v>
      </c>
      <c r="X266" s="153">
        <f t="shared" si="87"/>
        <v>45909</v>
      </c>
      <c r="Y266" s="380">
        <f t="shared" si="88"/>
        <v>84.474967579665531</v>
      </c>
      <c r="Z266" s="380">
        <f t="shared" si="89"/>
        <v>86.209794017551559</v>
      </c>
      <c r="AA266" s="381">
        <f t="shared" si="90"/>
        <v>92.12070081311569</v>
      </c>
      <c r="AB266" s="193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6.4164804906939682E-2</v>
      </c>
      <c r="AD266" s="227">
        <f>(INDEX(Models!$BJ266:$BT266,,AH266)*(1-AF266)+INDEX(Models!$BJ266:$BT266,,AH266+1)*AF266-ERP_i)*AE266*Ramure*Pc/MaxiM</f>
        <v>2.1289188284236949E-4</v>
      </c>
      <c r="AE266" s="301">
        <f t="shared" si="92"/>
        <v>0.5</v>
      </c>
      <c r="AF266" s="173">
        <f t="shared" si="93"/>
        <v>0.97807001967977492</v>
      </c>
      <c r="AG266" s="801">
        <f t="shared" si="99"/>
        <v>1</v>
      </c>
      <c r="AH266" s="172">
        <f t="shared" si="94"/>
        <v>7</v>
      </c>
      <c r="AI266" s="221">
        <f t="shared" si="95"/>
        <v>1.9780700196797749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45910</v>
      </c>
      <c r="B267" s="406">
        <f>'2024'!Wh/'2024'!Env_an*'2025'!Env_an</f>
        <v>180.00584046546851</v>
      </c>
      <c r="C267" s="385"/>
      <c r="D267" s="388">
        <f t="shared" si="77"/>
        <v>183.70505852864801</v>
      </c>
      <c r="E267" s="380">
        <f t="shared" si="100"/>
        <v>191.64839784320142</v>
      </c>
      <c r="F267" s="380">
        <f t="shared" si="78"/>
        <v>191.68525538343451</v>
      </c>
      <c r="G267" s="110">
        <f t="shared" si="101"/>
        <v>0.93819641669272091</v>
      </c>
      <c r="H267" s="409" t="b">
        <f>Wh_hp&gt;='2024'!Maxi_hp</f>
        <v>0</v>
      </c>
      <c r="I267" s="375">
        <f>IF(H267,Wh_hp,'2024'!Maxi_hp)</f>
        <v>191.68801678499003</v>
      </c>
      <c r="J267" s="85">
        <f>IF(H267,An,'2024'!An_max)</f>
        <v>2022</v>
      </c>
      <c r="K267" s="193">
        <f t="shared" si="79"/>
        <v>45910</v>
      </c>
      <c r="L267" s="143">
        <f>IF(t&lt;Tvie,1-EXP((T0-t)*PertePVj)+'2024'!Pspv,1-EXP((T0-t)*PertePVj)+Pspv)</f>
        <v>2.013672401189015E-2</v>
      </c>
      <c r="M267" s="835"/>
      <c r="N267" s="835"/>
      <c r="O267" s="48">
        <f>IF(t&lt;Tnet,'2024'!Resal+('2024'!Salim-'2024'!Resal)*(1-EXP(('2024'!Tnet-t)/('2024'!Tau_j))),Resal+(Salim-Resal)*(1-EXP((Tnet-t)/(Tau_j))))*Salcycl</f>
        <v>4.1447460056787414E-2</v>
      </c>
      <c r="P267" s="165">
        <f>(INDEX(Models!$BJ267:$BT267,,T267)*(1-R267)+INDEX(Models!$BJ267:$BT267,,T267+1)*R267-ERP_i)*Q267*Ramure*Pc/MaxiM</f>
        <v>2.1089652901973657E-4</v>
      </c>
      <c r="Q267" s="301">
        <f t="shared" si="80"/>
        <v>0.5</v>
      </c>
      <c r="R267" s="173">
        <f t="shared" si="81"/>
        <v>0.97852762368743984</v>
      </c>
      <c r="S267" s="801">
        <f t="shared" si="82"/>
        <v>1</v>
      </c>
      <c r="T267" s="172">
        <f t="shared" si="83"/>
        <v>7</v>
      </c>
      <c r="U267" s="247">
        <f t="shared" si="84"/>
        <v>1.9785276236874398</v>
      </c>
      <c r="V267" s="378">
        <f t="shared" si="85"/>
        <v>191.86013271370095</v>
      </c>
      <c r="W267" s="397">
        <f t="shared" si="86"/>
        <v>180.00584046546851</v>
      </c>
      <c r="X267" s="153">
        <f t="shared" si="87"/>
        <v>45910</v>
      </c>
      <c r="Y267" s="380">
        <f t="shared" si="88"/>
        <v>175.73761122943407</v>
      </c>
      <c r="Z267" s="380">
        <f t="shared" si="89"/>
        <v>179.34911485708804</v>
      </c>
      <c r="AA267" s="381">
        <f t="shared" si="90"/>
        <v>191.64839784320142</v>
      </c>
      <c r="AB267" s="193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6.4176289103007003E-2</v>
      </c>
      <c r="AD267" s="227">
        <f>(INDEX(Models!$BJ267:$BT267,,AH267)*(1-AF267)+INDEX(Models!$BJ267:$BT267,,AH267+1)*AF267-ERP_i)*AE267*Ramure*Pc/MaxiM</f>
        <v>2.1089652901973657E-4</v>
      </c>
      <c r="AE267" s="301">
        <f t="shared" si="92"/>
        <v>0.5</v>
      </c>
      <c r="AF267" s="173">
        <f t="shared" si="93"/>
        <v>0.97852762368743984</v>
      </c>
      <c r="AG267" s="801">
        <f t="shared" si="99"/>
        <v>1</v>
      </c>
      <c r="AH267" s="172">
        <f t="shared" si="94"/>
        <v>7</v>
      </c>
      <c r="AI267" s="221">
        <f t="shared" si="95"/>
        <v>1.9785276236874398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45911</v>
      </c>
      <c r="B268" s="406">
        <f>'2024'!Wh/'2024'!Env_an*'2025'!Env_an</f>
        <v>183.49030222355</v>
      </c>
      <c r="C268" s="385"/>
      <c r="D268" s="388">
        <f t="shared" si="77"/>
        <v>187.26369135637572</v>
      </c>
      <c r="E268" s="380">
        <f t="shared" si="100"/>
        <v>195.36897552829885</v>
      </c>
      <c r="F268" s="380">
        <f t="shared" si="78"/>
        <v>195.40756807681353</v>
      </c>
      <c r="G268" s="110">
        <f t="shared" si="101"/>
        <v>0.96148725569827964</v>
      </c>
      <c r="H268" s="409" t="b">
        <f>Wh_hp&gt;='2024'!Maxi_hp</f>
        <v>0</v>
      </c>
      <c r="I268" s="375">
        <f>IF(H268,Wh_hp,'2024'!Maxi_hp)</f>
        <v>195.40930696041534</v>
      </c>
      <c r="J268" s="85">
        <f>IF(H268,An,'2024'!An_max)</f>
        <v>2022</v>
      </c>
      <c r="K268" s="193">
        <f t="shared" si="79"/>
        <v>45911</v>
      </c>
      <c r="L268" s="143">
        <f>IF(t&lt;Tvie,1-EXP((T0-t)*PertePVj)+'2024'!Pspv,1-EXP((T0-t)*PertePVj)+Pspv)</f>
        <v>2.0150137517286781E-2</v>
      </c>
      <c r="M268" s="835"/>
      <c r="N268" s="835"/>
      <c r="O268" s="48">
        <f>IF(t&lt;Tnet,'2024'!Resal+('2024'!Salim-'2024'!Resal)*(1-EXP(('2024'!Tnet-t)/('2024'!Tau_j))),Resal+(Salim-Resal)*(1-EXP((Tnet-t)/(Tau_j))))*Salcycl</f>
        <v>4.1487058782007494E-2</v>
      </c>
      <c r="P268" s="165">
        <f>(INDEX(Models!$BJ268:$BT268,,T268)*(1-R268)+INDEX(Models!$BJ268:$BT268,,T268+1)*R268-ERP_i)*Q268*Ramure*Pc/MaxiM</f>
        <v>2.0899282657480594E-4</v>
      </c>
      <c r="Q268" s="301">
        <f t="shared" si="80"/>
        <v>0.5</v>
      </c>
      <c r="R268" s="173">
        <f t="shared" si="81"/>
        <v>0.97896760897877666</v>
      </c>
      <c r="S268" s="801">
        <f t="shared" si="82"/>
        <v>1</v>
      </c>
      <c r="T268" s="172">
        <f t="shared" si="83"/>
        <v>7</v>
      </c>
      <c r="U268" s="247">
        <f t="shared" si="84"/>
        <v>1.9789676089787767</v>
      </c>
      <c r="V268" s="378">
        <f t="shared" si="85"/>
        <v>190.83788316304637</v>
      </c>
      <c r="W268" s="397">
        <f t="shared" si="86"/>
        <v>183.49030222355</v>
      </c>
      <c r="X268" s="153">
        <f t="shared" si="87"/>
        <v>45911</v>
      </c>
      <c r="Y268" s="380">
        <f t="shared" si="88"/>
        <v>179.14474303114974</v>
      </c>
      <c r="Z268" s="380">
        <f t="shared" si="89"/>
        <v>182.82876784534963</v>
      </c>
      <c r="AA268" s="381">
        <f t="shared" si="90"/>
        <v>195.36897552829885</v>
      </c>
      <c r="AB268" s="193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6.4187303275963531E-2</v>
      </c>
      <c r="AD268" s="227">
        <f>(INDEX(Models!$BJ268:$BT268,,AH268)*(1-AF268)+INDEX(Models!$BJ268:$BT268,,AH268+1)*AF268-ERP_i)*AE268*Ramure*Pc/MaxiM</f>
        <v>2.0899282657480594E-4</v>
      </c>
      <c r="AE268" s="301">
        <f t="shared" si="92"/>
        <v>0.5</v>
      </c>
      <c r="AF268" s="173">
        <f t="shared" si="93"/>
        <v>0.97896760897877666</v>
      </c>
      <c r="AG268" s="801">
        <f t="shared" si="99"/>
        <v>1</v>
      </c>
      <c r="AH268" s="172">
        <f t="shared" si="94"/>
        <v>7</v>
      </c>
      <c r="AI268" s="221">
        <f t="shared" si="95"/>
        <v>1.9789676089787767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45912</v>
      </c>
      <c r="B269" s="406">
        <f>'2024'!Wh/'2024'!Env_an*'2025'!Env_an</f>
        <v>127.04715835976427</v>
      </c>
      <c r="C269" s="385"/>
      <c r="D269" s="388">
        <f t="shared" si="77"/>
        <v>129.66159655374997</v>
      </c>
      <c r="E269" s="380">
        <f t="shared" si="100"/>
        <v>135.27924241000579</v>
      </c>
      <c r="F269" s="380">
        <f t="shared" si="78"/>
        <v>135.29401778627326</v>
      </c>
      <c r="G269" s="110">
        <f t="shared" si="101"/>
        <v>0.66929480470727232</v>
      </c>
      <c r="H269" s="409" t="b">
        <f>Wh_hp&gt;='2024'!Maxi_hp</f>
        <v>0</v>
      </c>
      <c r="I269" s="375">
        <f>IF(H269,Wh_hp,'2024'!Maxi_hp)</f>
        <v>135.30425984199042</v>
      </c>
      <c r="J269" s="85">
        <f>IF(H269,An,'2024'!An_max)</f>
        <v>2022</v>
      </c>
      <c r="K269" s="193">
        <f t="shared" si="79"/>
        <v>45912</v>
      </c>
      <c r="L269" s="143">
        <f>IF(t&lt;Tvie,1-EXP((T0-t)*PertePVj)+'2024'!Pspv,1-EXP((T0-t)*PertePVj)+Pspv)</f>
        <v>2.0163550839063737E-2</v>
      </c>
      <c r="M269" s="835"/>
      <c r="N269" s="835"/>
      <c r="O269" s="48">
        <f>IF(t&lt;Tnet,'2024'!Resal+('2024'!Salim-'2024'!Resal)*(1-EXP(('2024'!Tnet-t)/('2024'!Tau_j))),Resal+(Salim-Resal)*(1-EXP((Tnet-t)/(Tau_j))))*Salcycl</f>
        <v>4.1526295950340984E-2</v>
      </c>
      <c r="P269" s="165">
        <f>(INDEX(Models!$BJ269:$BT269,,T269)*(1-R269)+INDEX(Models!$BJ269:$BT269,,T269+1)*R269-ERP_i)*Q269*Ramure*Pc/MaxiM</f>
        <v>2.069702102788951E-4</v>
      </c>
      <c r="Q269" s="301">
        <f t="shared" si="80"/>
        <v>0.5</v>
      </c>
      <c r="R269" s="173">
        <f t="shared" si="81"/>
        <v>0.97939062336036353</v>
      </c>
      <c r="S269" s="801">
        <f t="shared" si="82"/>
        <v>1</v>
      </c>
      <c r="T269" s="172">
        <f t="shared" si="83"/>
        <v>7</v>
      </c>
      <c r="U269" s="247">
        <f t="shared" si="84"/>
        <v>1.9793906233603635</v>
      </c>
      <c r="V269" s="378">
        <f t="shared" si="85"/>
        <v>189.80385903865445</v>
      </c>
      <c r="W269" s="397">
        <f t="shared" si="86"/>
        <v>127.04715835976427</v>
      </c>
      <c r="X269" s="153">
        <f t="shared" si="87"/>
        <v>45912</v>
      </c>
      <c r="Y269" s="380">
        <f t="shared" si="88"/>
        <v>124.04201180661157</v>
      </c>
      <c r="Z269" s="380">
        <f t="shared" si="89"/>
        <v>126.59460863374956</v>
      </c>
      <c r="AA269" s="381">
        <f t="shared" si="90"/>
        <v>135.27924241000579</v>
      </c>
      <c r="AB269" s="193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6.4197829774465712E-2</v>
      </c>
      <c r="AD269" s="227">
        <f>(INDEX(Models!$BJ269:$BT269,,AH269)*(1-AF269)+INDEX(Models!$BJ269:$BT269,,AH269+1)*AF269-ERP_i)*AE269*Ramure*Pc/MaxiM</f>
        <v>2.069702102788951E-4</v>
      </c>
      <c r="AE269" s="301">
        <f t="shared" si="92"/>
        <v>0.5</v>
      </c>
      <c r="AF269" s="173">
        <f t="shared" si="93"/>
        <v>0.97939062336036353</v>
      </c>
      <c r="AG269" s="801">
        <f t="shared" si="99"/>
        <v>1</v>
      </c>
      <c r="AH269" s="172">
        <f t="shared" si="94"/>
        <v>7</v>
      </c>
      <c r="AI269" s="221">
        <f t="shared" si="95"/>
        <v>1.9793906233603635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45913</v>
      </c>
      <c r="B270" s="406">
        <f>'2024'!Wh/'2024'!Env_an*'2025'!Env_an</f>
        <v>45.737532058203335</v>
      </c>
      <c r="C270" s="385"/>
      <c r="D270" s="388">
        <f t="shared" si="77"/>
        <v>46.679380231615767</v>
      </c>
      <c r="E270" s="380">
        <f t="shared" si="100"/>
        <v>48.703759753615437</v>
      </c>
      <c r="F270" s="380">
        <f t="shared" si="78"/>
        <v>48.703759753615437</v>
      </c>
      <c r="G270" s="110">
        <f t="shared" si="101"/>
        <v>0.24225806800791067</v>
      </c>
      <c r="H270" s="409" t="b">
        <f>Wh_hp&gt;='2024'!Maxi_hp</f>
        <v>0</v>
      </c>
      <c r="I270" s="375">
        <f>IF(H270,Wh_hp,'2024'!Maxi_hp)</f>
        <v>48.711486880695645</v>
      </c>
      <c r="J270" s="85">
        <f>IF(H270,An,'2024'!An_max)</f>
        <v>2022</v>
      </c>
      <c r="K270" s="193">
        <f t="shared" si="79"/>
        <v>45913</v>
      </c>
      <c r="L270" s="143">
        <f>IF(t&lt;Tvie,1-EXP((T0-t)*PertePVj)+'2024'!Pspv,1-EXP((T0-t)*PertePVj)+Pspv)</f>
        <v>2.0176963977223572E-2</v>
      </c>
      <c r="M270" s="835"/>
      <c r="N270" s="835"/>
      <c r="O270" s="48">
        <f>IF(t&lt;Tnet,'2024'!Resal+('2024'!Salim-'2024'!Resal)*(1-EXP(('2024'!Tnet-t)/('2024'!Tau_j))),Resal+(Salim-Resal)*(1-EXP((Tnet-t)/(Tau_j))))*Salcycl</f>
        <v>4.1565159080955615E-2</v>
      </c>
      <c r="P270" s="165">
        <f>(INDEX(Models!$BJ270:$BT270,,T270)*(1-R270)+INDEX(Models!$BJ270:$BT270,,T270+1)*R270-ERP_i)*Q270*Ramure*Pc/MaxiM</f>
        <v>2.0482682730877731E-4</v>
      </c>
      <c r="Q270" s="301">
        <f t="shared" si="80"/>
        <v>0.5</v>
      </c>
      <c r="R270" s="173">
        <f t="shared" si="81"/>
        <v>0.97979729318857367</v>
      </c>
      <c r="S270" s="801">
        <f t="shared" si="82"/>
        <v>1</v>
      </c>
      <c r="T270" s="172">
        <f t="shared" si="83"/>
        <v>7</v>
      </c>
      <c r="U270" s="247">
        <f t="shared" si="84"/>
        <v>1.9797972931885737</v>
      </c>
      <c r="V270" s="378">
        <f t="shared" si="85"/>
        <v>188.75806350081896</v>
      </c>
      <c r="W270" s="397">
        <f t="shared" si="86"/>
        <v>45.737532058203335</v>
      </c>
      <c r="X270" s="153">
        <f t="shared" si="87"/>
        <v>45913</v>
      </c>
      <c r="Y270" s="380">
        <f t="shared" si="88"/>
        <v>44.656998701818672</v>
      </c>
      <c r="Z270" s="380">
        <f t="shared" si="89"/>
        <v>45.576596038287676</v>
      </c>
      <c r="AA270" s="381">
        <f t="shared" si="90"/>
        <v>48.703759753615437</v>
      </c>
      <c r="AB270" s="193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6.4207850300419991E-2</v>
      </c>
      <c r="AD270" s="227">
        <f>(INDEX(Models!$BJ270:$BT270,,AH270)*(1-AF270)+INDEX(Models!$BJ270:$BT270,,AH270+1)*AF270-ERP_i)*AE270*Ramure*Pc/MaxiM</f>
        <v>2.0482682730877731E-4</v>
      </c>
      <c r="AE270" s="301">
        <f t="shared" si="92"/>
        <v>0.5</v>
      </c>
      <c r="AF270" s="173">
        <f t="shared" si="93"/>
        <v>0.97979729318857367</v>
      </c>
      <c r="AG270" s="801">
        <f t="shared" si="99"/>
        <v>1</v>
      </c>
      <c r="AH270" s="172">
        <f t="shared" si="94"/>
        <v>7</v>
      </c>
      <c r="AI270" s="221">
        <f t="shared" si="95"/>
        <v>1.9797972931885737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45914</v>
      </c>
      <c r="B271" s="406">
        <f>'2024'!Wh/'2024'!Env_an*'2025'!Env_an</f>
        <v>145.8616694478705</v>
      </c>
      <c r="C271" s="385"/>
      <c r="D271" s="388">
        <f t="shared" ref="D271:D334" si="102">Wh/(1-Ppv)</f>
        <v>148.86735750880976</v>
      </c>
      <c r="E271" s="380">
        <f t="shared" si="100"/>
        <v>155.32963498621095</v>
      </c>
      <c r="F271" s="380">
        <f t="shared" ref="F271:F334" si="103">Wh_sa/(1-Pvg*MEDIAN((-Sdif+Wh/Env_an)/Csdif,0,1))</f>
        <v>155.35108260808562</v>
      </c>
      <c r="G271" s="110">
        <f t="shared" si="101"/>
        <v>0.77704779710329341</v>
      </c>
      <c r="H271" s="409" t="b">
        <f>Wh_hp&gt;='2024'!Maxi_hp</f>
        <v>0</v>
      </c>
      <c r="I271" s="375">
        <f>IF(H271,Wh_hp,'2024'!Maxi_hp)</f>
        <v>155.35884692302292</v>
      </c>
      <c r="J271" s="85">
        <f>IF(H271,An,'2024'!An_max)</f>
        <v>2022</v>
      </c>
      <c r="K271" s="193">
        <f t="shared" ref="K271:K334" si="104">t</f>
        <v>45914</v>
      </c>
      <c r="L271" s="143">
        <f>IF(t&lt;Tvie,1-EXP((T0-t)*PertePVj)+'2024'!Pspv,1-EXP((T0-t)*PertePVj)+Pspv)</f>
        <v>2.0190376931768839E-2</v>
      </c>
      <c r="M271" s="835"/>
      <c r="N271" s="835"/>
      <c r="O271" s="48">
        <f>IF(t&lt;Tnet,'2024'!Resal+('2024'!Salim-'2024'!Resal)*(1-EXP(('2024'!Tnet-t)/('2024'!Tau_j))),Resal+(Salim-Resal)*(1-EXP((Tnet-t)/(Tau_j))))*Salcycl</f>
        <v>4.1603635249479951E-2</v>
      </c>
      <c r="P271" s="165">
        <f>(INDEX(Models!$BJ271:$BT271,,T271)*(1-R271)+INDEX(Models!$BJ271:$BT271,,T271+1)*R271-ERP_i)*Q271*Ramure*Pc/MaxiM</f>
        <v>2.0256078417698407E-4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0.98018822389300908</v>
      </c>
      <c r="S271" s="801">
        <f t="shared" ref="S271:S334" si="107">INDEX(Echel_vg,T271)</f>
        <v>1</v>
      </c>
      <c r="T271" s="172">
        <f t="shared" ref="T271:T334" si="108">MIN(MATCH(Hp_vg,Echel_vg),10)</f>
        <v>7</v>
      </c>
      <c r="U271" s="247">
        <f t="shared" ref="U271:U334" si="109">IF(OR(t&lt;Ttai,Notai),Hdd+PousH*Croivg,Hdtf+PousH*(Croivg-Croi_tai))</f>
        <v>1.9801882238930091</v>
      </c>
      <c r="V271" s="378">
        <f t="shared" ref="V271:V334" si="110">MaxiM*(1-Ppv)*(1-Pvg)*(1-Psa)</f>
        <v>187.70049971304806</v>
      </c>
      <c r="W271" s="397">
        <f t="shared" ref="W271:W334" si="111">Wh*(A271&gt;Tmaj)</f>
        <v>145.8616694478705</v>
      </c>
      <c r="X271" s="153">
        <f t="shared" ref="X271:X334" si="112">t</f>
        <v>45914</v>
      </c>
      <c r="Y271" s="380">
        <f t="shared" ref="Y271:Y334" si="113">Wh_pvt_s*(1-Ppv)</f>
        <v>142.42001032563448</v>
      </c>
      <c r="Z271" s="380">
        <f t="shared" ref="Z271:Z334" si="114">Wh_sa_s*(1-Psa_s)</f>
        <v>145.35477808398372</v>
      </c>
      <c r="AA271" s="381">
        <f t="shared" ref="AA271:AA334" si="115">Wh_hp*(1-Pvg_s*MEDIAN((-Sdif+Wh/Env_an)/Csdif,0,1))</f>
        <v>155.32963498621095</v>
      </c>
      <c r="AB271" s="193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6.4217345924444627E-2</v>
      </c>
      <c r="AD271" s="227">
        <f>(INDEX(Models!$BJ271:$BT271,,AH271)*(1-AF271)+INDEX(Models!$BJ271:$BT271,,AH271+1)*AF271-ERP_i)*AE271*Ramure*Pc/MaxiM</f>
        <v>2.0256078417698407E-4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0.98018822389300908</v>
      </c>
      <c r="AG271" s="801">
        <f t="shared" si="99"/>
        <v>1</v>
      </c>
      <c r="AH271" s="172">
        <f t="shared" ref="AH271:AH334" si="119">MIN(MATCH(Hp_vg_s,Echel_vg),10)</f>
        <v>7</v>
      </c>
      <c r="AI271" s="221">
        <f t="shared" ref="AI271:AI334" si="120">IF(OR(t&lt;Ttai,Notai),Hdd_s+PousH*Croivg,Hdtai_s+PousH*(Croivg-Croi_tai))</f>
        <v>1.9801882238930091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45915</v>
      </c>
      <c r="B272" s="406">
        <f>'2024'!Wh/'2024'!Env_an*'2025'!Env_an</f>
        <v>163.21958752432045</v>
      </c>
      <c r="C272" s="385"/>
      <c r="D272" s="388">
        <f t="shared" si="102"/>
        <v>166.58524069489408</v>
      </c>
      <c r="E272" s="380">
        <f t="shared" si="100"/>
        <v>173.82355077929876</v>
      </c>
      <c r="F272" s="380">
        <f t="shared" si="103"/>
        <v>173.85211447063554</v>
      </c>
      <c r="G272" s="110">
        <f t="shared" si="101"/>
        <v>0.87452557326448033</v>
      </c>
      <c r="H272" s="409" t="b">
        <f>Wh_hp&gt;='2024'!Maxi_hp</f>
        <v>0</v>
      </c>
      <c r="I272" s="375">
        <f>IF(H272,Wh_hp,'2024'!Maxi_hp)</f>
        <v>173.8569482012538</v>
      </c>
      <c r="J272" s="85">
        <f>IF(H272,An,'2024'!An_max)</f>
        <v>2022</v>
      </c>
      <c r="K272" s="193">
        <f t="shared" si="104"/>
        <v>45915</v>
      </c>
      <c r="L272" s="143">
        <f>IF(t&lt;Tvie,1-EXP((T0-t)*PertePVj)+'2024'!Pspv,1-EXP((T0-t)*PertePVj)+Pspv)</f>
        <v>2.020378970270198E-2</v>
      </c>
      <c r="M272" s="835"/>
      <c r="N272" s="835"/>
      <c r="O272" s="48">
        <f>IF(t&lt;Tnet,'2024'!Resal+('2024'!Salim-'2024'!Resal)*(1-EXP(('2024'!Tnet-t)/('2024'!Tau_j))),Resal+(Salim-Resal)*(1-EXP((Tnet-t)/(Tau_j))))*Salcycl</f>
        <v>4.1641711102743756E-2</v>
      </c>
      <c r="P272" s="165">
        <f>(INDEX(Models!$BJ272:$BT272,,T272)*(1-R272)+INDEX(Models!$BJ272:$BT272,,T272+1)*R272-ERP_i)*Q272*Ramure*Pc/MaxiM</f>
        <v>2.0017014875311229E-4</v>
      </c>
      <c r="Q272" s="301">
        <f t="shared" si="105"/>
        <v>0.5</v>
      </c>
      <c r="R272" s="173">
        <f t="shared" si="106"/>
        <v>0.98056400050290726</v>
      </c>
      <c r="S272" s="801">
        <f t="shared" si="107"/>
        <v>1</v>
      </c>
      <c r="T272" s="172">
        <f t="shared" si="108"/>
        <v>7</v>
      </c>
      <c r="U272" s="247">
        <f t="shared" si="109"/>
        <v>1.9805640005029073</v>
      </c>
      <c r="V272" s="378">
        <f t="shared" si="110"/>
        <v>186.6311708231793</v>
      </c>
      <c r="W272" s="397">
        <f t="shared" si="111"/>
        <v>163.21958752432045</v>
      </c>
      <c r="X272" s="153">
        <f t="shared" si="112"/>
        <v>45915</v>
      </c>
      <c r="Y272" s="380">
        <f t="shared" si="113"/>
        <v>159.37316927412041</v>
      </c>
      <c r="Z272" s="380">
        <f t="shared" si="114"/>
        <v>162.65950776209073</v>
      </c>
      <c r="AA272" s="381">
        <f t="shared" si="115"/>
        <v>173.82355077929876</v>
      </c>
      <c r="AB272" s="193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6.4226297110814776E-2</v>
      </c>
      <c r="AD272" s="227">
        <f>(INDEX(Models!$BJ272:$BT272,,AH272)*(1-AF272)+INDEX(Models!$BJ272:$BT272,,AH272+1)*AF272-ERP_i)*AE272*Ramure*Pc/MaxiM</f>
        <v>2.0017014875311229E-4</v>
      </c>
      <c r="AE272" s="301">
        <f t="shared" si="117"/>
        <v>0.5</v>
      </c>
      <c r="AF272" s="173">
        <f t="shared" si="118"/>
        <v>0.98056400050290726</v>
      </c>
      <c r="AG272" s="801">
        <f t="shared" ref="AG272:AG335" si="124">INDEX(Echel_vg,AH272)</f>
        <v>1</v>
      </c>
      <c r="AH272" s="172">
        <f t="shared" si="119"/>
        <v>7</v>
      </c>
      <c r="AI272" s="221">
        <f t="shared" si="120"/>
        <v>1.9805640005029073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45916</v>
      </c>
      <c r="B273" s="406">
        <f>'2024'!Wh/'2024'!Env_an*'2025'!Env_an</f>
        <v>104.20045111451944</v>
      </c>
      <c r="C273" s="385"/>
      <c r="D273" s="388">
        <f t="shared" si="102"/>
        <v>106.35056193889599</v>
      </c>
      <c r="E273" s="380">
        <f t="shared" si="100"/>
        <v>110.97597080689255</v>
      </c>
      <c r="F273" s="380">
        <f t="shared" si="103"/>
        <v>110.98416797812214</v>
      </c>
      <c r="G273" s="110">
        <f t="shared" si="101"/>
        <v>0.56150636415488386</v>
      </c>
      <c r="H273" s="409" t="b">
        <f>Wh_hp&gt;='2024'!Maxi_hp</f>
        <v>0</v>
      </c>
      <c r="I273" s="375">
        <f>IF(H273,Wh_hp,'2024'!Maxi_hp)</f>
        <v>110.99482020790059</v>
      </c>
      <c r="J273" s="85">
        <f>IF(H273,An,'2024'!An_max)</f>
        <v>2022</v>
      </c>
      <c r="K273" s="193">
        <f t="shared" si="104"/>
        <v>45916</v>
      </c>
      <c r="L273" s="143">
        <f>IF(t&lt;Tvie,1-EXP((T0-t)*PertePVj)+'2024'!Pspv,1-EXP((T0-t)*PertePVj)+Pspv)</f>
        <v>2.0217202290025549E-2</v>
      </c>
      <c r="M273" s="835"/>
      <c r="N273" s="835"/>
      <c r="O273" s="48">
        <f>IF(t&lt;Tnet,'2024'!Resal+('2024'!Salim-'2024'!Resal)*(1-EXP(('2024'!Tnet-t)/('2024'!Tau_j))),Resal+(Salim-Resal)*(1-EXP((Tnet-t)/(Tau_j))))*Salcycl</f>
        <v>4.1679372880145012E-2</v>
      </c>
      <c r="P273" s="165">
        <f>(INDEX(Models!$BJ273:$BT273,,T273)*(1-R273)+INDEX(Models!$BJ273:$BT273,,T273+1)*R273-ERP_i)*Q273*Ramure*Pc/MaxiM</f>
        <v>1.9765295265568352E-4</v>
      </c>
      <c r="Q273" s="301">
        <f t="shared" si="105"/>
        <v>0.5</v>
      </c>
      <c r="R273" s="173">
        <f t="shared" si="106"/>
        <v>0.9809251881748029</v>
      </c>
      <c r="S273" s="801">
        <f t="shared" si="107"/>
        <v>1</v>
      </c>
      <c r="T273" s="172">
        <f t="shared" si="108"/>
        <v>7</v>
      </c>
      <c r="U273" s="247">
        <f t="shared" si="109"/>
        <v>1.9809251881748029</v>
      </c>
      <c r="V273" s="378">
        <f t="shared" si="110"/>
        <v>185.55007996195283</v>
      </c>
      <c r="W273" s="397">
        <f t="shared" si="111"/>
        <v>104.20045111451944</v>
      </c>
      <c r="X273" s="153">
        <f t="shared" si="112"/>
        <v>45916</v>
      </c>
      <c r="Y273" s="380">
        <f t="shared" si="113"/>
        <v>101.74795922254127</v>
      </c>
      <c r="Z273" s="380">
        <f t="shared" si="114"/>
        <v>103.84746441798592</v>
      </c>
      <c r="AA273" s="381">
        <f t="shared" si="115"/>
        <v>110.97597080689255</v>
      </c>
      <c r="AB273" s="193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6.4234683752492847E-2</v>
      </c>
      <c r="AD273" s="227">
        <f>(INDEX(Models!$BJ273:$BT273,,AH273)*(1-AF273)+INDEX(Models!$BJ273:$BT273,,AH273+1)*AF273-ERP_i)*AE273*Ramure*Pc/MaxiM</f>
        <v>1.9765295265568352E-4</v>
      </c>
      <c r="AE273" s="301">
        <f t="shared" si="117"/>
        <v>0.5</v>
      </c>
      <c r="AF273" s="173">
        <f t="shared" si="118"/>
        <v>0.9809251881748029</v>
      </c>
      <c r="AG273" s="801">
        <f t="shared" si="124"/>
        <v>1</v>
      </c>
      <c r="AH273" s="172">
        <f t="shared" si="119"/>
        <v>7</v>
      </c>
      <c r="AI273" s="221">
        <f t="shared" si="120"/>
        <v>1.9809251881748029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45917</v>
      </c>
      <c r="B274" s="406">
        <f>'2024'!Wh/'2024'!Env_an*'2025'!Env_an</f>
        <v>189.35872385552031</v>
      </c>
      <c r="C274" s="385"/>
      <c r="D274" s="388">
        <f t="shared" si="102"/>
        <v>193.26866780628205</v>
      </c>
      <c r="E274" s="380">
        <f t="shared" si="100"/>
        <v>201.68216323638566</v>
      </c>
      <c r="F274" s="380">
        <f t="shared" si="103"/>
        <v>201.72150038015278</v>
      </c>
      <c r="G274" s="110">
        <f t="shared" si="101"/>
        <v>1.0265725210341587</v>
      </c>
      <c r="H274" s="409" t="b">
        <f>Wh_hp&gt;='2024'!Maxi_hp</f>
        <v>1</v>
      </c>
      <c r="I274" s="375">
        <f>IF(H274,Wh_hp,'2024'!Maxi_hp)</f>
        <v>201.72150038015278</v>
      </c>
      <c r="J274" s="85">
        <f>IF(H274,An,'2024'!An_max)</f>
        <v>2025</v>
      </c>
      <c r="K274" s="193">
        <f t="shared" si="104"/>
        <v>45917</v>
      </c>
      <c r="L274" s="143">
        <f>IF(t&lt;Tvie,1-EXP((T0-t)*PertePVj)+'2024'!Pspv,1-EXP((T0-t)*PertePVj)+Pspv)</f>
        <v>2.0230614693742099E-2</v>
      </c>
      <c r="M274" s="835"/>
      <c r="N274" s="835"/>
      <c r="O274" s="48">
        <f>IF(t&lt;Tnet,'2024'!Resal+('2024'!Salim-'2024'!Resal)*(1-EXP(('2024'!Tnet-t)/('2024'!Tau_j))),Resal+(Salim-Resal)*(1-EXP((Tnet-t)/(Tau_j))))*Salcycl</f>
        <v>4.1716606442000433E-2</v>
      </c>
      <c r="P274" s="165">
        <f>(INDEX(Models!$BJ274:$BT274,,T274)*(1-R274)+INDEX(Models!$BJ274:$BT274,,T274+1)*R274-ERP_i)*Q274*Ramure*Pc/MaxiM</f>
        <v>1.9500719404220692E-4</v>
      </c>
      <c r="Q274" s="301">
        <f t="shared" si="105"/>
        <v>0.5</v>
      </c>
      <c r="R274" s="173">
        <f t="shared" si="106"/>
        <v>0.98127233271990111</v>
      </c>
      <c r="S274" s="801">
        <f t="shared" si="107"/>
        <v>1</v>
      </c>
      <c r="T274" s="172">
        <f t="shared" si="108"/>
        <v>7</v>
      </c>
      <c r="U274" s="247">
        <f t="shared" si="109"/>
        <v>1.9812723327199011</v>
      </c>
      <c r="V274" s="378">
        <f t="shared" si="110"/>
        <v>184.45723022545184</v>
      </c>
      <c r="W274" s="397">
        <f t="shared" si="111"/>
        <v>189.35872385552031</v>
      </c>
      <c r="X274" s="153">
        <f t="shared" si="112"/>
        <v>45917</v>
      </c>
      <c r="Y274" s="380">
        <f t="shared" si="113"/>
        <v>184.90756495285837</v>
      </c>
      <c r="Z274" s="380">
        <f t="shared" si="114"/>
        <v>188.72559984619204</v>
      </c>
      <c r="AA274" s="381">
        <f t="shared" si="115"/>
        <v>201.68216323638566</v>
      </c>
      <c r="AB274" s="193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6.4242485216739753E-2</v>
      </c>
      <c r="AD274" s="227">
        <f>(INDEX(Models!$BJ274:$BT274,,AH274)*(1-AF274)+INDEX(Models!$BJ274:$BT274,,AH274+1)*AF274-ERP_i)*AE274*Ramure*Pc/MaxiM</f>
        <v>1.9500719404220692E-4</v>
      </c>
      <c r="AE274" s="301">
        <f t="shared" si="117"/>
        <v>0.5</v>
      </c>
      <c r="AF274" s="173">
        <f t="shared" si="118"/>
        <v>0.98127233271990111</v>
      </c>
      <c r="AG274" s="801">
        <f t="shared" si="124"/>
        <v>1</v>
      </c>
      <c r="AH274" s="172">
        <f t="shared" si="119"/>
        <v>7</v>
      </c>
      <c r="AI274" s="221">
        <f t="shared" si="120"/>
        <v>1.9812723327199011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45918</v>
      </c>
      <c r="B275" s="406">
        <f>'2024'!Wh/'2024'!Env_an*'2025'!Env_an</f>
        <v>182.87007442347843</v>
      </c>
      <c r="C275" s="385"/>
      <c r="D275" s="388">
        <f t="shared" si="102"/>
        <v>186.64859357524878</v>
      </c>
      <c r="E275" s="380">
        <f t="shared" si="100"/>
        <v>194.78137783149452</v>
      </c>
      <c r="F275" s="380">
        <f t="shared" si="103"/>
        <v>194.8186888386638</v>
      </c>
      <c r="G275" s="110">
        <f t="shared" si="101"/>
        <v>0.99738561508916757</v>
      </c>
      <c r="H275" s="409" t="b">
        <f>Wh_hp&gt;='2024'!Maxi_hp</f>
        <v>0</v>
      </c>
      <c r="I275" s="375">
        <f>IF(H275,Wh_hp,'2024'!Maxi_hp)</f>
        <v>194.81879732421061</v>
      </c>
      <c r="J275" s="85">
        <f>IF(H275,An,'2024'!An_max)</f>
        <v>2022</v>
      </c>
      <c r="K275" s="193">
        <f t="shared" si="104"/>
        <v>45918</v>
      </c>
      <c r="L275" s="143">
        <f>IF(t&lt;Tvie,1-EXP((T0-t)*PertePVj)+'2024'!Pspv,1-EXP((T0-t)*PertePVj)+Pspv)</f>
        <v>2.0244026913854074E-2</v>
      </c>
      <c r="M275" s="835"/>
      <c r="N275" s="835"/>
      <c r="O275" s="48">
        <f>IF(t&lt;Tnet,'2024'!Resal+('2024'!Salim-'2024'!Resal)*(1-EXP(('2024'!Tnet-t)/('2024'!Tau_j))),Resal+(Salim-Resal)*(1-EXP((Tnet-t)/(Tau_j))))*Salcycl</f>
        <v>4.175339730516453E-2</v>
      </c>
      <c r="P275" s="165">
        <f>(INDEX(Models!$BJ275:$BT275,,T275)*(1-R275)+INDEX(Models!$BJ275:$BT275,,T275+1)*R275-ERP_i)*Q275*Ramure*Pc/MaxiM</f>
        <v>1.9223433757876863E-4</v>
      </c>
      <c r="Q275" s="301">
        <f t="shared" si="105"/>
        <v>0.5</v>
      </c>
      <c r="R275" s="173">
        <f t="shared" si="106"/>
        <v>0.98160596112975895</v>
      </c>
      <c r="S275" s="801">
        <f t="shared" si="107"/>
        <v>1</v>
      </c>
      <c r="T275" s="172">
        <f t="shared" si="108"/>
        <v>7</v>
      </c>
      <c r="U275" s="247">
        <f t="shared" si="109"/>
        <v>1.981605961129759</v>
      </c>
      <c r="V275" s="378">
        <f t="shared" si="110"/>
        <v>183.34928875415989</v>
      </c>
      <c r="W275" s="397">
        <f t="shared" si="111"/>
        <v>182.87007442347843</v>
      </c>
      <c r="X275" s="153">
        <f t="shared" si="112"/>
        <v>45918</v>
      </c>
      <c r="Y275" s="380">
        <f t="shared" si="113"/>
        <v>178.57692383724734</v>
      </c>
      <c r="Z275" s="380">
        <f t="shared" si="114"/>
        <v>182.26673655762013</v>
      </c>
      <c r="AA275" s="381">
        <f t="shared" si="115"/>
        <v>194.78137783149452</v>
      </c>
      <c r="AB275" s="193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6.424968040169024E-2</v>
      </c>
      <c r="AD275" s="227">
        <f>(INDEX(Models!$BJ275:$BT275,,AH275)*(1-AF275)+INDEX(Models!$BJ275:$BT275,,AH275+1)*AF275-ERP_i)*AE275*Ramure*Pc/MaxiM</f>
        <v>1.9223433757876863E-4</v>
      </c>
      <c r="AE275" s="301">
        <f t="shared" si="117"/>
        <v>0.5</v>
      </c>
      <c r="AF275" s="173">
        <f t="shared" si="118"/>
        <v>0.98160596112975895</v>
      </c>
      <c r="AG275" s="801">
        <f t="shared" si="124"/>
        <v>1</v>
      </c>
      <c r="AH275" s="172">
        <f t="shared" si="119"/>
        <v>7</v>
      </c>
      <c r="AI275" s="221">
        <f t="shared" si="120"/>
        <v>1.981605961129759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45919</v>
      </c>
      <c r="B276" s="406">
        <f>'2024'!Wh/'2024'!Env_an*'2025'!Env_an</f>
        <v>180.44522814908265</v>
      </c>
      <c r="C276" s="385"/>
      <c r="D276" s="388">
        <f t="shared" si="102"/>
        <v>184.17616557941989</v>
      </c>
      <c r="E276" s="380">
        <f t="shared" si="100"/>
        <v>192.20850733659842</v>
      </c>
      <c r="F276" s="380">
        <f t="shared" si="103"/>
        <v>192.24445184856694</v>
      </c>
      <c r="G276" s="110">
        <f t="shared" si="101"/>
        <v>0.99023647671448811</v>
      </c>
      <c r="H276" s="409" t="b">
        <f>Wh_hp&gt;='2024'!Maxi_hp</f>
        <v>0</v>
      </c>
      <c r="I276" s="375">
        <f>IF(H276,Wh_hp,'2024'!Maxi_hp)</f>
        <v>192.2448463410021</v>
      </c>
      <c r="J276" s="85">
        <f>IF(H276,An,'2024'!An_max)</f>
        <v>2022</v>
      </c>
      <c r="K276" s="193">
        <f t="shared" si="104"/>
        <v>45919</v>
      </c>
      <c r="L276" s="143">
        <f>IF(t&lt;Tvie,1-EXP((T0-t)*PertePVj)+'2024'!Pspv,1-EXP((T0-t)*PertePVj)+Pspv)</f>
        <v>2.0257438950364026E-2</v>
      </c>
      <c r="M276" s="835"/>
      <c r="N276" s="835"/>
      <c r="O276" s="48">
        <f>IF(t&lt;Tnet,'2024'!Resal+('2024'!Salim-'2024'!Resal)*(1-EXP(('2024'!Tnet-t)/('2024'!Tau_j))),Resal+(Salim-Resal)*(1-EXP((Tnet-t)/(Tau_j))))*Salcycl</f>
        <v>4.178973068612505E-2</v>
      </c>
      <c r="P276" s="165">
        <f>(INDEX(Models!$BJ276:$BT276,,T276)*(1-R276)+INDEX(Models!$BJ276:$BT276,,T276+1)*R276-ERP_i)*Q276*Ramure*Pc/MaxiM</f>
        <v>1.8961699607864373E-4</v>
      </c>
      <c r="Q276" s="301">
        <f t="shared" si="105"/>
        <v>0.5</v>
      </c>
      <c r="R276" s="173">
        <f t="shared" si="106"/>
        <v>0.98192658209902062</v>
      </c>
      <c r="S276" s="801">
        <f t="shared" si="107"/>
        <v>1</v>
      </c>
      <c r="T276" s="172">
        <f t="shared" si="108"/>
        <v>7</v>
      </c>
      <c r="U276" s="247">
        <f t="shared" si="109"/>
        <v>1.9819265820990206</v>
      </c>
      <c r="V276" s="378">
        <f t="shared" si="110"/>
        <v>182.22389822758859</v>
      </c>
      <c r="W276" s="397">
        <f t="shared" si="111"/>
        <v>180.44522814908265</v>
      </c>
      <c r="X276" s="153">
        <f t="shared" si="112"/>
        <v>45919</v>
      </c>
      <c r="Y276" s="380">
        <f t="shared" si="113"/>
        <v>176.21444923040042</v>
      </c>
      <c r="Z276" s="380">
        <f t="shared" si="114"/>
        <v>179.85790985911146</v>
      </c>
      <c r="AA276" s="381">
        <f t="shared" si="115"/>
        <v>192.20850733659842</v>
      </c>
      <c r="AB276" s="193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6.4256247804153732E-2</v>
      </c>
      <c r="AD276" s="227">
        <f>(INDEX(Models!$BJ276:$BT276,,AH276)*(1-AF276)+INDEX(Models!$BJ276:$BT276,,AH276+1)*AF276-ERP_i)*AE276*Ramure*Pc/MaxiM</f>
        <v>1.8961699607864373E-4</v>
      </c>
      <c r="AE276" s="301">
        <f t="shared" si="117"/>
        <v>0.5</v>
      </c>
      <c r="AF276" s="173">
        <f t="shared" si="118"/>
        <v>0.98192658209902062</v>
      </c>
      <c r="AG276" s="801">
        <f t="shared" si="124"/>
        <v>1</v>
      </c>
      <c r="AH276" s="172">
        <f t="shared" si="119"/>
        <v>7</v>
      </c>
      <c r="AI276" s="221">
        <f t="shared" si="120"/>
        <v>1.9819265820990206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45920</v>
      </c>
      <c r="B277" s="406">
        <f>'2024'!Wh/'2024'!Env_an*'2025'!Env_an</f>
        <v>184.55123096885447</v>
      </c>
      <c r="C277" s="385"/>
      <c r="D277" s="388">
        <f t="shared" si="102"/>
        <v>188.36964391655286</v>
      </c>
      <c r="E277" s="380">
        <f t="shared" si="100"/>
        <v>196.59223024084423</v>
      </c>
      <c r="F277" s="380">
        <f t="shared" si="103"/>
        <v>196.62901416079933</v>
      </c>
      <c r="G277" s="110">
        <f t="shared" si="101"/>
        <v>1.0191548690504901</v>
      </c>
      <c r="H277" s="409" t="b">
        <f>Wh_hp&gt;='2024'!Maxi_hp</f>
        <v>1</v>
      </c>
      <c r="I277" s="375">
        <f>IF(H277,Wh_hp,'2024'!Maxi_hp)</f>
        <v>196.62901416079933</v>
      </c>
      <c r="J277" s="85">
        <f>IF(H277,An,'2024'!An_max)</f>
        <v>2025</v>
      </c>
      <c r="K277" s="193">
        <f t="shared" si="104"/>
        <v>45920</v>
      </c>
      <c r="L277" s="143">
        <f>IF(t&lt;Tvie,1-EXP((T0-t)*PertePVj)+'2024'!Pspv,1-EXP((T0-t)*PertePVj)+Pspv)</f>
        <v>2.0270850803274509E-2</v>
      </c>
      <c r="M277" s="835"/>
      <c r="N277" s="835"/>
      <c r="O277" s="48">
        <f>IF(t&lt;Tnet,'2024'!Resal+('2024'!Salim-'2024'!Resal)*(1-EXP(('2024'!Tnet-t)/('2024'!Tau_j))),Resal+(Salim-Resal)*(1-EXP((Tnet-t)/(Tau_j))))*Salcycl</f>
        <v>4.1825591551700285E-2</v>
      </c>
      <c r="P277" s="165">
        <f>(INDEX(Models!$BJ277:$BT277,,T277)*(1-R277)+INDEX(Models!$BJ277:$BT277,,T277+1)*R277-ERP_i)*Q277*Ramure*Pc/MaxiM</f>
        <v>1.8707269683518327E-4</v>
      </c>
      <c r="Q277" s="301">
        <f t="shared" si="105"/>
        <v>0.5</v>
      </c>
      <c r="R277" s="173">
        <f t="shared" si="106"/>
        <v>0.98223468654407942</v>
      </c>
      <c r="S277" s="801">
        <f t="shared" si="107"/>
        <v>1</v>
      </c>
      <c r="T277" s="172">
        <f t="shared" si="108"/>
        <v>7</v>
      </c>
      <c r="U277" s="247">
        <f t="shared" si="109"/>
        <v>1.9822346865440794</v>
      </c>
      <c r="V277" s="378">
        <f t="shared" si="110"/>
        <v>181.0826171500257</v>
      </c>
      <c r="W277" s="397">
        <f t="shared" si="111"/>
        <v>184.55123096885447</v>
      </c>
      <c r="X277" s="153">
        <f t="shared" si="112"/>
        <v>45920</v>
      </c>
      <c r="Y277" s="380">
        <f t="shared" si="113"/>
        <v>180.22978664451983</v>
      </c>
      <c r="Z277" s="380">
        <f t="shared" si="114"/>
        <v>183.95878778567447</v>
      </c>
      <c r="AA277" s="381">
        <f t="shared" si="115"/>
        <v>196.59223024084423</v>
      </c>
      <c r="AB277" s="193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6.4262165598775595E-2</v>
      </c>
      <c r="AD277" s="227">
        <f>(INDEX(Models!$BJ277:$BT277,,AH277)*(1-AF277)+INDEX(Models!$BJ277:$BT277,,AH277+1)*AF277-ERP_i)*AE277*Ramure*Pc/MaxiM</f>
        <v>1.8707269683518327E-4</v>
      </c>
      <c r="AE277" s="301">
        <f t="shared" si="117"/>
        <v>0.5</v>
      </c>
      <c r="AF277" s="173">
        <f t="shared" si="118"/>
        <v>0.98223468654407942</v>
      </c>
      <c r="AG277" s="801">
        <f t="shared" si="124"/>
        <v>1</v>
      </c>
      <c r="AH277" s="172">
        <f t="shared" si="119"/>
        <v>7</v>
      </c>
      <c r="AI277" s="221">
        <f t="shared" si="120"/>
        <v>1.9822346865440794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45921</v>
      </c>
      <c r="B278" s="406">
        <f>'2024'!Wh/'2024'!Env_an*'2025'!Env_an</f>
        <v>179.55776948510137</v>
      </c>
      <c r="C278" s="385"/>
      <c r="D278" s="388">
        <f t="shared" si="102"/>
        <v>183.27537530249933</v>
      </c>
      <c r="E278" s="380">
        <f t="shared" si="100"/>
        <v>191.28265162559356</v>
      </c>
      <c r="F278" s="380">
        <f t="shared" si="103"/>
        <v>191.31786546161311</v>
      </c>
      <c r="G278" s="110">
        <f t="shared" si="101"/>
        <v>0.99794741022062383</v>
      </c>
      <c r="H278" s="409" t="b">
        <f>Wh_hp&gt;='2024'!Maxi_hp</f>
        <v>0</v>
      </c>
      <c r="I278" s="375">
        <f>IF(H278,Wh_hp,'2024'!Maxi_hp)</f>
        <v>191.3179458974538</v>
      </c>
      <c r="J278" s="85">
        <f>IF(H278,An,'2024'!An_max)</f>
        <v>2022</v>
      </c>
      <c r="K278" s="193">
        <f t="shared" si="104"/>
        <v>45921</v>
      </c>
      <c r="L278" s="143">
        <f>IF(t&lt;Tvie,1-EXP((T0-t)*PertePVj)+'2024'!Pspv,1-EXP((T0-t)*PertePVj)+Pspv)</f>
        <v>2.0284262472587966E-2</v>
      </c>
      <c r="M278" s="835"/>
      <c r="N278" s="835"/>
      <c r="O278" s="48">
        <f>IF(t&lt;Tnet,'2024'!Resal+('2024'!Salim-'2024'!Resal)*(1-EXP(('2024'!Tnet-t)/('2024'!Tau_j))),Resal+(Salim-Resal)*(1-EXP((Tnet-t)/(Tau_j))))*Salcycl</f>
        <v>4.1860964677378348E-2</v>
      </c>
      <c r="P278" s="165">
        <f>(INDEX(Models!$BJ278:$BT278,,T278)*(1-R278)+INDEX(Models!$BJ278:$BT278,,T278+1)*R278-ERP_i)*Q278*Ramure*Pc/MaxiM</f>
        <v>1.8460047514496424E-4</v>
      </c>
      <c r="Q278" s="301">
        <f t="shared" si="105"/>
        <v>0.5</v>
      </c>
      <c r="R278" s="173">
        <f t="shared" si="106"/>
        <v>0.98253074811666696</v>
      </c>
      <c r="S278" s="801">
        <f t="shared" si="107"/>
        <v>1</v>
      </c>
      <c r="T278" s="172">
        <f t="shared" si="108"/>
        <v>7</v>
      </c>
      <c r="U278" s="247">
        <f t="shared" si="109"/>
        <v>1.982530748116667</v>
      </c>
      <c r="V278" s="378">
        <f t="shared" si="110"/>
        <v>179.92698859624025</v>
      </c>
      <c r="W278" s="397">
        <f t="shared" si="111"/>
        <v>179.55776948510137</v>
      </c>
      <c r="X278" s="153">
        <f t="shared" si="112"/>
        <v>45921</v>
      </c>
      <c r="Y278" s="380">
        <f t="shared" si="113"/>
        <v>175.358742510648</v>
      </c>
      <c r="Z278" s="380">
        <f t="shared" si="114"/>
        <v>178.98941069704063</v>
      </c>
      <c r="AA278" s="381">
        <f t="shared" si="115"/>
        <v>191.28265162559356</v>
      </c>
      <c r="AB278" s="193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6.4267411728561111E-2</v>
      </c>
      <c r="AD278" s="227">
        <f>(INDEX(Models!$BJ278:$BT278,,AH278)*(1-AF278)+INDEX(Models!$BJ278:$BT278,,AH278+1)*AF278-ERP_i)*AE278*Ramure*Pc/MaxiM</f>
        <v>1.8460047514496424E-4</v>
      </c>
      <c r="AE278" s="301">
        <f t="shared" si="117"/>
        <v>0.5</v>
      </c>
      <c r="AF278" s="173">
        <f t="shared" si="118"/>
        <v>0.98253074811666696</v>
      </c>
      <c r="AG278" s="801">
        <f t="shared" si="124"/>
        <v>1</v>
      </c>
      <c r="AH278" s="172">
        <f t="shared" si="119"/>
        <v>7</v>
      </c>
      <c r="AI278" s="221">
        <f t="shared" si="120"/>
        <v>1.982530748116667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45922</v>
      </c>
      <c r="B279" s="406">
        <f>'2024'!Wh/'2024'!Env_an*'2025'!Env_an</f>
        <v>174.4140715978607</v>
      </c>
      <c r="C279" s="385"/>
      <c r="D279" s="388">
        <f t="shared" si="102"/>
        <v>178.02761814657381</v>
      </c>
      <c r="E279" s="380">
        <f t="shared" si="100"/>
        <v>185.81238303383449</v>
      </c>
      <c r="F279" s="380">
        <f t="shared" si="103"/>
        <v>185.84506827116434</v>
      </c>
      <c r="G279" s="110">
        <f t="shared" si="101"/>
        <v>0.97569018637387595</v>
      </c>
      <c r="H279" s="409" t="b">
        <f>Wh_hp&gt;='2024'!Maxi_hp</f>
        <v>0</v>
      </c>
      <c r="I279" s="375">
        <f>IF(H279,Wh_hp,'2024'!Maxi_hp)</f>
        <v>185.84598226608634</v>
      </c>
      <c r="J279" s="85">
        <f>IF(H279,An,'2024'!An_max)</f>
        <v>2022</v>
      </c>
      <c r="K279" s="193">
        <f t="shared" si="104"/>
        <v>45922</v>
      </c>
      <c r="L279" s="143">
        <f>IF(t&lt;Tvie,1-EXP((T0-t)*PertePVj)+'2024'!Pspv,1-EXP((T0-t)*PertePVj)+Pspv)</f>
        <v>2.0297673958306839E-2</v>
      </c>
      <c r="M279" s="835"/>
      <c r="N279" s="835"/>
      <c r="O279" s="48">
        <f>IF(t&lt;Tnet,'2024'!Resal+('2024'!Salim-'2024'!Resal)*(1-EXP(('2024'!Tnet-t)/('2024'!Tau_j))),Resal+(Salim-Resal)*(1-EXP((Tnet-t)/(Tau_j))))*Salcycl</f>
        <v>4.189583471325016E-2</v>
      </c>
      <c r="P279" s="165">
        <f>(INDEX(Models!$BJ279:$BT279,,T279)*(1-R279)+INDEX(Models!$BJ279:$BT279,,T279+1)*R279-ERP_i)*Q279*Ramure*Pc/MaxiM</f>
        <v>1.8219945050623241E-4</v>
      </c>
      <c r="Q279" s="301">
        <f t="shared" si="105"/>
        <v>0.5</v>
      </c>
      <c r="R279" s="173">
        <f t="shared" si="106"/>
        <v>0.98281522371147734</v>
      </c>
      <c r="S279" s="801">
        <f t="shared" si="107"/>
        <v>1</v>
      </c>
      <c r="T279" s="172">
        <f t="shared" si="108"/>
        <v>7</v>
      </c>
      <c r="U279" s="247">
        <f t="shared" si="109"/>
        <v>1.9828152237114773</v>
      </c>
      <c r="V279" s="378">
        <f t="shared" si="110"/>
        <v>178.7585552448856</v>
      </c>
      <c r="W279" s="397">
        <f t="shared" si="111"/>
        <v>174.4140715978607</v>
      </c>
      <c r="X279" s="153">
        <f t="shared" si="112"/>
        <v>45922</v>
      </c>
      <c r="Y279" s="380">
        <f t="shared" si="113"/>
        <v>170.3407025863707</v>
      </c>
      <c r="Z279" s="380">
        <f t="shared" si="114"/>
        <v>173.86985623949769</v>
      </c>
      <c r="AA279" s="381">
        <f t="shared" si="115"/>
        <v>185.81238303383449</v>
      </c>
      <c r="AB279" s="193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6.4271964006630128E-2</v>
      </c>
      <c r="AD279" s="227">
        <f>(INDEX(Models!$BJ279:$BT279,,AH279)*(1-AF279)+INDEX(Models!$BJ279:$BT279,,AH279+1)*AF279-ERP_i)*AE279*Ramure*Pc/MaxiM</f>
        <v>1.8219945050623241E-4</v>
      </c>
      <c r="AE279" s="301">
        <f t="shared" si="117"/>
        <v>0.5</v>
      </c>
      <c r="AF279" s="173">
        <f t="shared" si="118"/>
        <v>0.98281522371147734</v>
      </c>
      <c r="AG279" s="801">
        <f t="shared" si="124"/>
        <v>1</v>
      </c>
      <c r="AH279" s="172">
        <f t="shared" si="119"/>
        <v>7</v>
      </c>
      <c r="AI279" s="221">
        <f t="shared" si="120"/>
        <v>1.9828152237114773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45923</v>
      </c>
      <c r="B280" s="406">
        <f>'2024'!Wh/'2024'!Env_an*'2025'!Env_an</f>
        <v>111.83919302959754</v>
      </c>
      <c r="C280" s="385"/>
      <c r="D280" s="388">
        <f t="shared" si="102"/>
        <v>114.15786312058876</v>
      </c>
      <c r="E280" s="380">
        <f t="shared" si="100"/>
        <v>119.15401308245231</v>
      </c>
      <c r="F280" s="380">
        <f t="shared" si="103"/>
        <v>119.16411156483636</v>
      </c>
      <c r="G280" s="110">
        <f t="shared" si="101"/>
        <v>0.62974023983697336</v>
      </c>
      <c r="H280" s="409" t="b">
        <f>Wh_hp&gt;='2024'!Maxi_hp</f>
        <v>0</v>
      </c>
      <c r="I280" s="375">
        <f>IF(H280,Wh_hp,'2024'!Maxi_hp)</f>
        <v>119.17293135937119</v>
      </c>
      <c r="J280" s="85">
        <f>IF(H280,An,'2024'!An_max)</f>
        <v>2022</v>
      </c>
      <c r="K280" s="193">
        <f t="shared" si="104"/>
        <v>45923</v>
      </c>
      <c r="L280" s="143">
        <f>IF(t&lt;Tvie,1-EXP((T0-t)*PertePVj)+'2024'!Pspv,1-EXP((T0-t)*PertePVj)+Pspv)</f>
        <v>2.0311085260433903E-2</v>
      </c>
      <c r="M280" s="835"/>
      <c r="N280" s="835"/>
      <c r="O280" s="48">
        <f>IF(t&lt;Tnet,'2024'!Resal+('2024'!Salim-'2024'!Resal)*(1-EXP(('2024'!Tnet-t)/('2024'!Tau_j))),Resal+(Salim-Resal)*(1-EXP((Tnet-t)/(Tau_j))))*Salcycl</f>
        <v>4.1930186257397029E-2</v>
      </c>
      <c r="P280" s="165">
        <f>(INDEX(Models!$BJ280:$BT280,,T280)*(1-R280)+INDEX(Models!$BJ280:$BT280,,T280+1)*R280-ERP_i)*Q280*Ramure*Pc/MaxiM</f>
        <v>1.7986962018619321E-4</v>
      </c>
      <c r="Q280" s="301">
        <f t="shared" si="105"/>
        <v>0.5</v>
      </c>
      <c r="R280" s="173">
        <f t="shared" si="106"/>
        <v>0.98308855396704242</v>
      </c>
      <c r="S280" s="801">
        <f t="shared" si="107"/>
        <v>1</v>
      </c>
      <c r="T280" s="172">
        <f t="shared" si="108"/>
        <v>7</v>
      </c>
      <c r="U280" s="247">
        <f t="shared" si="109"/>
        <v>1.9830885539670424</v>
      </c>
      <c r="V280" s="378">
        <f t="shared" si="110"/>
        <v>177.57885921474897</v>
      </c>
      <c r="W280" s="397">
        <f t="shared" si="111"/>
        <v>111.83919302959754</v>
      </c>
      <c r="X280" s="153">
        <f t="shared" si="112"/>
        <v>45923</v>
      </c>
      <c r="Y280" s="380">
        <f t="shared" si="113"/>
        <v>109.23070312783889</v>
      </c>
      <c r="Z280" s="380">
        <f t="shared" si="114"/>
        <v>111.49529354108905</v>
      </c>
      <c r="AA280" s="381">
        <f t="shared" si="115"/>
        <v>119.15401308245231</v>
      </c>
      <c r="AB280" s="193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6.4275800228931979E-2</v>
      </c>
      <c r="AD280" s="227">
        <f>(INDEX(Models!$BJ280:$BT280,,AH280)*(1-AF280)+INDEX(Models!$BJ280:$BT280,,AH280+1)*AF280-ERP_i)*AE280*Ramure*Pc/MaxiM</f>
        <v>1.7986962018619321E-4</v>
      </c>
      <c r="AE280" s="301">
        <f t="shared" si="117"/>
        <v>0.5</v>
      </c>
      <c r="AF280" s="173">
        <f t="shared" si="118"/>
        <v>0.98308855396704242</v>
      </c>
      <c r="AG280" s="801">
        <f t="shared" si="124"/>
        <v>1</v>
      </c>
      <c r="AH280" s="172">
        <f t="shared" si="119"/>
        <v>7</v>
      </c>
      <c r="AI280" s="221">
        <f t="shared" si="120"/>
        <v>1.9830885539670424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45924</v>
      </c>
      <c r="B281" s="406">
        <f>'2024'!Wh/'2024'!Env_an*'2025'!Env_an</f>
        <v>75.239422671348976</v>
      </c>
      <c r="C281" s="385"/>
      <c r="D281" s="388">
        <f t="shared" si="102"/>
        <v>76.80035112979013</v>
      </c>
      <c r="E281" s="380">
        <f t="shared" si="100"/>
        <v>80.164369027215471</v>
      </c>
      <c r="F281" s="380">
        <f t="shared" si="103"/>
        <v>80.166943203062473</v>
      </c>
      <c r="G281" s="110">
        <f t="shared" si="101"/>
        <v>0.42649080340865891</v>
      </c>
      <c r="H281" s="409" t="b">
        <f>Wh_hp&gt;='2024'!Maxi_hp</f>
        <v>0</v>
      </c>
      <c r="I281" s="375">
        <f>IF(H281,Wh_hp,'2024'!Maxi_hp)</f>
        <v>80.176027230313849</v>
      </c>
      <c r="J281" s="85">
        <f>IF(H281,An,'2024'!An_max)</f>
        <v>2022</v>
      </c>
      <c r="K281" s="193">
        <f t="shared" si="104"/>
        <v>45924</v>
      </c>
      <c r="L281" s="143">
        <f>IF(t&lt;Tvie,1-EXP((T0-t)*PertePVj)+'2024'!Pspv,1-EXP((T0-t)*PertePVj)+Pspv)</f>
        <v>2.032449637897138E-2</v>
      </c>
      <c r="M281" s="835"/>
      <c r="N281" s="835"/>
      <c r="O281" s="48">
        <f>IF(t&lt;Tnet,'2024'!Resal+('2024'!Salim-'2024'!Resal)*(1-EXP(('2024'!Tnet-t)/('2024'!Tau_j))),Resal+(Salim-Resal)*(1-EXP((Tnet-t)/(Tau_j))))*Salcycl</f>
        <v>4.1964003936502854E-2</v>
      </c>
      <c r="P281" s="165">
        <f>(INDEX(Models!$BJ281:$BT281,,T281)*(1-R281)+INDEX(Models!$BJ281:$BT281,,T281+1)*R281-ERP_i)*Q281*Ramure*Pc/MaxiM</f>
        <v>1.7761062056890003E-4</v>
      </c>
      <c r="Q281" s="301">
        <f t="shared" si="105"/>
        <v>0.5</v>
      </c>
      <c r="R281" s="173">
        <f t="shared" si="106"/>
        <v>0.98335116375917853</v>
      </c>
      <c r="S281" s="801">
        <f t="shared" si="107"/>
        <v>1</v>
      </c>
      <c r="T281" s="172">
        <f t="shared" si="108"/>
        <v>7</v>
      </c>
      <c r="U281" s="247">
        <f t="shared" si="109"/>
        <v>1.9833511637591785</v>
      </c>
      <c r="V281" s="378">
        <f t="shared" si="110"/>
        <v>176.38944228160258</v>
      </c>
      <c r="W281" s="397">
        <f t="shared" si="111"/>
        <v>75.239422671348976</v>
      </c>
      <c r="X281" s="153">
        <f t="shared" si="112"/>
        <v>45924</v>
      </c>
      <c r="Y281" s="380">
        <f t="shared" si="113"/>
        <v>73.486920911923178</v>
      </c>
      <c r="Z281" s="380">
        <f t="shared" si="114"/>
        <v>75.011491703430792</v>
      </c>
      <c r="AA281" s="381">
        <f t="shared" si="115"/>
        <v>80.164369027215471</v>
      </c>
      <c r="AB281" s="193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6.427889829751289E-2</v>
      </c>
      <c r="AD281" s="227">
        <f>(INDEX(Models!$BJ281:$BT281,,AH281)*(1-AF281)+INDEX(Models!$BJ281:$BT281,,AH281+1)*AF281-ERP_i)*AE281*Ramure*Pc/MaxiM</f>
        <v>1.7761062056890003E-4</v>
      </c>
      <c r="AE281" s="301">
        <f t="shared" si="117"/>
        <v>0.5</v>
      </c>
      <c r="AF281" s="173">
        <f t="shared" si="118"/>
        <v>0.98335116375917853</v>
      </c>
      <c r="AG281" s="801">
        <f t="shared" si="124"/>
        <v>1</v>
      </c>
      <c r="AH281" s="172">
        <f t="shared" si="119"/>
        <v>7</v>
      </c>
      <c r="AI281" s="221">
        <f t="shared" si="120"/>
        <v>1.9833511637591785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45925</v>
      </c>
      <c r="B282" s="406">
        <f>'2024'!Wh/'2024'!Env_an*'2025'!Env_an</f>
        <v>130.68242997509668</v>
      </c>
      <c r="C282" s="385"/>
      <c r="D282" s="388">
        <f t="shared" si="102"/>
        <v>133.39541353160476</v>
      </c>
      <c r="E282" s="380">
        <f t="shared" si="100"/>
        <v>139.24325025544508</v>
      </c>
      <c r="F282" s="380">
        <f t="shared" si="103"/>
        <v>139.25888345217695</v>
      </c>
      <c r="G282" s="110">
        <f t="shared" si="101"/>
        <v>0.74589187792007161</v>
      </c>
      <c r="H282" s="409" t="b">
        <f>Wh_hp&gt;='2024'!Maxi_hp</f>
        <v>0</v>
      </c>
      <c r="I282" s="375">
        <f>IF(H282,Wh_hp,'2024'!Maxi_hp)</f>
        <v>139.26582651103067</v>
      </c>
      <c r="J282" s="85">
        <f>IF(H282,An,'2024'!An_max)</f>
        <v>2022</v>
      </c>
      <c r="K282" s="193">
        <f t="shared" si="104"/>
        <v>45925</v>
      </c>
      <c r="L282" s="143">
        <f>IF(t&lt;Tvie,1-EXP((T0-t)*PertePVj)+'2024'!Pspv,1-EXP((T0-t)*PertePVj)+Pspv)</f>
        <v>2.0337907313921932E-2</v>
      </c>
      <c r="M282" s="835"/>
      <c r="N282" s="835"/>
      <c r="O282" s="48">
        <f>IF(t&lt;Tnet,'2024'!Resal+('2024'!Salim-'2024'!Resal)*(1-EXP(('2024'!Tnet-t)/('2024'!Tau_j))),Resal+(Salim-Resal)*(1-EXP((Tnet-t)/(Tau_j))))*Salcycl</f>
        <v>4.1997272493369181E-2</v>
      </c>
      <c r="P282" s="165">
        <f>(INDEX(Models!$BJ282:$BT282,,T282)*(1-R282)+INDEX(Models!$BJ282:$BT282,,T282+1)*R282-ERP_i)*Q282*Ramure*Pc/MaxiM</f>
        <v>1.7621663068481441E-4</v>
      </c>
      <c r="Q282" s="301">
        <f t="shared" si="105"/>
        <v>0.5</v>
      </c>
      <c r="R282" s="173">
        <f t="shared" si="106"/>
        <v>0.98360346268639676</v>
      </c>
      <c r="S282" s="801">
        <f t="shared" si="107"/>
        <v>1</v>
      </c>
      <c r="T282" s="172">
        <f t="shared" si="108"/>
        <v>7</v>
      </c>
      <c r="U282" s="247">
        <f t="shared" si="109"/>
        <v>1.9836034626863968</v>
      </c>
      <c r="V282" s="378">
        <f t="shared" si="110"/>
        <v>175.19170658891233</v>
      </c>
      <c r="W282" s="397">
        <f t="shared" si="111"/>
        <v>130.68242997509668</v>
      </c>
      <c r="X282" s="153">
        <f t="shared" si="112"/>
        <v>45925</v>
      </c>
      <c r="Y282" s="380">
        <f t="shared" si="113"/>
        <v>127.64264473947792</v>
      </c>
      <c r="Z282" s="380">
        <f t="shared" si="114"/>
        <v>130.29252197510473</v>
      </c>
      <c r="AA282" s="381">
        <f t="shared" si="115"/>
        <v>139.24325025544508</v>
      </c>
      <c r="AB282" s="193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6.4281236353790974E-2</v>
      </c>
      <c r="AD282" s="227">
        <f>(INDEX(Models!$BJ282:$BT282,,AH282)*(1-AF282)+INDEX(Models!$BJ282:$BT282,,AH282+1)*AF282-ERP_i)*AE282*Ramure*Pc/MaxiM</f>
        <v>1.7621663068481441E-4</v>
      </c>
      <c r="AE282" s="301">
        <f t="shared" si="117"/>
        <v>0.5</v>
      </c>
      <c r="AF282" s="173">
        <f t="shared" si="118"/>
        <v>0.98360346268639676</v>
      </c>
      <c r="AG282" s="801">
        <f t="shared" si="124"/>
        <v>1</v>
      </c>
      <c r="AH282" s="172">
        <f t="shared" si="119"/>
        <v>7</v>
      </c>
      <c r="AI282" s="221">
        <f t="shared" si="120"/>
        <v>1.9836034626863968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45926</v>
      </c>
      <c r="B283" s="406">
        <f>'2024'!Wh/'2024'!Env_an*'2025'!Env_an</f>
        <v>132.27349825522052</v>
      </c>
      <c r="C283" s="385"/>
      <c r="D283" s="388">
        <f t="shared" si="102"/>
        <v>135.02136091684733</v>
      </c>
      <c r="E283" s="380">
        <f t="shared" si="100"/>
        <v>140.94528811791821</v>
      </c>
      <c r="F283" s="380">
        <f t="shared" si="103"/>
        <v>140.96159030993226</v>
      </c>
      <c r="G283" s="110">
        <f t="shared" si="101"/>
        <v>0.76020281414214674</v>
      </c>
      <c r="H283" s="409" t="b">
        <f>Wh_hp&gt;='2024'!Maxi_hp</f>
        <v>0</v>
      </c>
      <c r="I283" s="375">
        <f>IF(H283,Wh_hp,'2024'!Maxi_hp)</f>
        <v>140.96821646202747</v>
      </c>
      <c r="J283" s="85">
        <f>IF(H283,An,'2024'!An_max)</f>
        <v>2022</v>
      </c>
      <c r="K283" s="193">
        <f t="shared" si="104"/>
        <v>45926</v>
      </c>
      <c r="L283" s="143">
        <f>IF(t&lt;Tvie,1-EXP((T0-t)*PertePVj)+'2024'!Pspv,1-EXP((T0-t)*PertePVj)+Pspv)</f>
        <v>2.0351318065288004E-2</v>
      </c>
      <c r="M283" s="835"/>
      <c r="N283" s="835"/>
      <c r="O283" s="48">
        <f>IF(t&lt;Tnet,'2024'!Resal+('2024'!Salim-'2024'!Resal)*(1-EXP(('2024'!Tnet-t)/('2024'!Tau_j))),Resal+(Salim-Resal)*(1-EXP((Tnet-t)/(Tau_j))))*Salcycl</f>
        <v>4.2029976880921145E-2</v>
      </c>
      <c r="P283" s="165">
        <f>(INDEX(Models!$BJ283:$BT283,,T283)*(1-R283)+INDEX(Models!$BJ283:$BT283,,T283+1)*R283-ERP_i)*Q283*Ramure*Pc/MaxiM</f>
        <v>1.7589389195870819E-4</v>
      </c>
      <c r="Q283" s="301">
        <f t="shared" si="105"/>
        <v>0.5</v>
      </c>
      <c r="R283" s="173">
        <f t="shared" si="106"/>
        <v>0.98384584554677468</v>
      </c>
      <c r="S283" s="801">
        <f t="shared" si="107"/>
        <v>1</v>
      </c>
      <c r="T283" s="172">
        <f t="shared" si="108"/>
        <v>7</v>
      </c>
      <c r="U283" s="247">
        <f t="shared" si="109"/>
        <v>1.9838458455467747</v>
      </c>
      <c r="V283" s="378">
        <f t="shared" si="110"/>
        <v>173.98715998904709</v>
      </c>
      <c r="W283" s="397">
        <f t="shared" si="111"/>
        <v>132.27349825522052</v>
      </c>
      <c r="X283" s="153">
        <f t="shared" si="112"/>
        <v>45926</v>
      </c>
      <c r="Y283" s="380">
        <f t="shared" si="113"/>
        <v>129.2008991627265</v>
      </c>
      <c r="Z283" s="380">
        <f t="shared" si="114"/>
        <v>131.88493134862097</v>
      </c>
      <c r="AA283" s="381">
        <f t="shared" si="115"/>
        <v>140.94528811791821</v>
      </c>
      <c r="AB283" s="193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6.428279292115914E-2</v>
      </c>
      <c r="AD283" s="227">
        <f>(INDEX(Models!$BJ283:$BT283,,AH283)*(1-AF283)+INDEX(Models!$BJ283:$BT283,,AH283+1)*AF283-ERP_i)*AE283*Ramure*Pc/MaxiM</f>
        <v>1.7589389195870819E-4</v>
      </c>
      <c r="AE283" s="301">
        <f t="shared" si="117"/>
        <v>0.5</v>
      </c>
      <c r="AF283" s="173">
        <f t="shared" si="118"/>
        <v>0.98384584554677468</v>
      </c>
      <c r="AG283" s="801">
        <f t="shared" si="124"/>
        <v>1</v>
      </c>
      <c r="AH283" s="172">
        <f t="shared" si="119"/>
        <v>7</v>
      </c>
      <c r="AI283" s="221">
        <f t="shared" si="120"/>
        <v>1.9838458455467747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45927</v>
      </c>
      <c r="B284" s="406">
        <f>'2024'!Wh/'2024'!Env_an*'2025'!Env_an</f>
        <v>60.746595477477129</v>
      </c>
      <c r="C284" s="385"/>
      <c r="D284" s="388">
        <f t="shared" si="102"/>
        <v>62.009400082864268</v>
      </c>
      <c r="E284" s="380">
        <f t="shared" si="100"/>
        <v>64.732171298134119</v>
      </c>
      <c r="F284" s="380">
        <f t="shared" si="103"/>
        <v>64.733014071790336</v>
      </c>
      <c r="G284" s="110">
        <f t="shared" si="101"/>
        <v>0.35153136104935251</v>
      </c>
      <c r="H284" s="409" t="b">
        <f>Wh_hp&gt;='2024'!Maxi_hp</f>
        <v>0</v>
      </c>
      <c r="I284" s="375">
        <f>IF(H284,Wh_hp,'2024'!Maxi_hp)</f>
        <v>64.741286379220085</v>
      </c>
      <c r="J284" s="85">
        <f>IF(H284,An,'2024'!An_max)</f>
        <v>2022</v>
      </c>
      <c r="K284" s="193">
        <f t="shared" si="104"/>
        <v>45927</v>
      </c>
      <c r="L284" s="143">
        <f>IF(t&lt;Tvie,1-EXP((T0-t)*PertePVj)+'2024'!Pspv,1-EXP((T0-t)*PertePVj)+Pspv)</f>
        <v>2.036472863307226E-2</v>
      </c>
      <c r="M284" s="835"/>
      <c r="N284" s="835"/>
      <c r="O284" s="48">
        <f>IF(t&lt;Tnet,'2024'!Resal+('2024'!Salim-'2024'!Resal)*(1-EXP(('2024'!Tnet-t)/('2024'!Tau_j))),Resal+(Salim-Resal)*(1-EXP((Tnet-t)/(Tau_j))))*Salcycl</f>
        <v>4.2062102362204062E-2</v>
      </c>
      <c r="P284" s="165">
        <f>(INDEX(Models!$BJ284:$BT284,,T284)*(1-R284)+INDEX(Models!$BJ284:$BT284,,T284+1)*R284-ERP_i)*Q284*Ramure*Pc/MaxiM</f>
        <v>1.7665540985563972E-4</v>
      </c>
      <c r="Q284" s="301">
        <f t="shared" si="105"/>
        <v>0.5</v>
      </c>
      <c r="R284" s="173">
        <f t="shared" si="106"/>
        <v>0.98407869280584404</v>
      </c>
      <c r="S284" s="801">
        <f t="shared" si="107"/>
        <v>1</v>
      </c>
      <c r="T284" s="172">
        <f t="shared" si="108"/>
        <v>7</v>
      </c>
      <c r="U284" s="247">
        <f t="shared" si="109"/>
        <v>1.984078692805844</v>
      </c>
      <c r="V284" s="378">
        <f t="shared" si="110"/>
        <v>172.77734431889922</v>
      </c>
      <c r="W284" s="397">
        <f t="shared" si="111"/>
        <v>60.746595477477129</v>
      </c>
      <c r="X284" s="153">
        <f t="shared" si="112"/>
        <v>45927</v>
      </c>
      <c r="Y284" s="380">
        <f t="shared" si="113"/>
        <v>59.337446601465139</v>
      </c>
      <c r="Z284" s="380">
        <f t="shared" si="114"/>
        <v>60.5709577184466</v>
      </c>
      <c r="AA284" s="381">
        <f t="shared" si="115"/>
        <v>64.732171298134119</v>
      </c>
      <c r="AB284" s="193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6.4283547056106019E-2</v>
      </c>
      <c r="AD284" s="227">
        <f>(INDEX(Models!$BJ284:$BT284,,AH284)*(1-AF284)+INDEX(Models!$BJ284:$BT284,,AH284+1)*AF284-ERP_i)*AE284*Ramure*Pc/MaxiM</f>
        <v>1.7665540985563972E-4</v>
      </c>
      <c r="AE284" s="301">
        <f t="shared" si="117"/>
        <v>0.5</v>
      </c>
      <c r="AF284" s="173">
        <f t="shared" si="118"/>
        <v>0.98407869280584404</v>
      </c>
      <c r="AG284" s="801">
        <f t="shared" si="124"/>
        <v>1</v>
      </c>
      <c r="AH284" s="172">
        <f t="shared" si="119"/>
        <v>7</v>
      </c>
      <c r="AI284" s="221">
        <f t="shared" si="120"/>
        <v>1.984078692805844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45928</v>
      </c>
      <c r="B285" s="406">
        <f>'2024'!Wh/'2024'!Env_an*'2025'!Env_an</f>
        <v>60.931287701830151</v>
      </c>
      <c r="C285" s="385"/>
      <c r="D285" s="388">
        <f t="shared" si="102"/>
        <v>62.198783151598903</v>
      </c>
      <c r="E285" s="380">
        <f t="shared" si="100"/>
        <v>64.93200734358939</v>
      </c>
      <c r="F285" s="380">
        <f t="shared" si="103"/>
        <v>64.932920622666686</v>
      </c>
      <c r="G285" s="110">
        <f t="shared" si="101"/>
        <v>0.35509394806510952</v>
      </c>
      <c r="H285" s="409" t="b">
        <f>Wh_hp&gt;='2024'!Maxi_hp</f>
        <v>0</v>
      </c>
      <c r="I285" s="375">
        <f>IF(H285,Wh_hp,'2024'!Maxi_hp)</f>
        <v>64.941266554955206</v>
      </c>
      <c r="J285" s="85">
        <f>IF(H285,An,'2024'!An_max)</f>
        <v>2022</v>
      </c>
      <c r="K285" s="193">
        <f t="shared" si="104"/>
        <v>45928</v>
      </c>
      <c r="L285" s="143">
        <f>IF(t&lt;Tvie,1-EXP((T0-t)*PertePVj)+'2024'!Pspv,1-EXP((T0-t)*PertePVj)+Pspv)</f>
        <v>2.037813901727703E-2</v>
      </c>
      <c r="M285" s="835"/>
      <c r="N285" s="835"/>
      <c r="O285" s="48">
        <f>IF(t&lt;Tnet,'2024'!Resal+('2024'!Salim-'2024'!Resal)*(1-EXP(('2024'!Tnet-t)/('2024'!Tau_j))),Resal+(Salim-Resal)*(1-EXP((Tnet-t)/(Tau_j))))*Salcycl</f>
        <v>4.2093634615784477E-2</v>
      </c>
      <c r="P285" s="165">
        <f>(INDEX(Models!$BJ285:$BT285,,T285)*(1-R285)+INDEX(Models!$BJ285:$BT285,,T285+1)*R285-ERP_i)*Q285*Ramure*Pc/MaxiM</f>
        <v>1.7851411534184185E-4</v>
      </c>
      <c r="Q285" s="301">
        <f t="shared" si="105"/>
        <v>0.5</v>
      </c>
      <c r="R285" s="173">
        <f t="shared" si="106"/>
        <v>0.98430237105513063</v>
      </c>
      <c r="S285" s="801">
        <f t="shared" si="107"/>
        <v>1</v>
      </c>
      <c r="T285" s="172">
        <f t="shared" si="108"/>
        <v>7</v>
      </c>
      <c r="U285" s="247">
        <f t="shared" si="109"/>
        <v>1.9843023710551306</v>
      </c>
      <c r="V285" s="378">
        <f t="shared" si="110"/>
        <v>171.56380105657561</v>
      </c>
      <c r="W285" s="397">
        <f t="shared" si="111"/>
        <v>60.931287701830151</v>
      </c>
      <c r="X285" s="153">
        <f t="shared" si="112"/>
        <v>45928</v>
      </c>
      <c r="Y285" s="380">
        <f t="shared" si="113"/>
        <v>59.519818051926421</v>
      </c>
      <c r="Z285" s="380">
        <f t="shared" si="114"/>
        <v>60.757952045106656</v>
      </c>
      <c r="AA285" s="381">
        <f t="shared" si="115"/>
        <v>64.93200734358939</v>
      </c>
      <c r="AB285" s="193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6.4283478506918929E-2</v>
      </c>
      <c r="AD285" s="227">
        <f>(INDEX(Models!$BJ285:$BT285,,AH285)*(1-AF285)+INDEX(Models!$BJ285:$BT285,,AH285+1)*AF285-ERP_i)*AE285*Ramure*Pc/MaxiM</f>
        <v>1.7851411534184185E-4</v>
      </c>
      <c r="AE285" s="301">
        <f t="shared" si="117"/>
        <v>0.5</v>
      </c>
      <c r="AF285" s="173">
        <f t="shared" si="118"/>
        <v>0.98430237105513063</v>
      </c>
      <c r="AG285" s="801">
        <f t="shared" si="124"/>
        <v>1</v>
      </c>
      <c r="AH285" s="172">
        <f t="shared" si="119"/>
        <v>7</v>
      </c>
      <c r="AI285" s="221">
        <f t="shared" si="120"/>
        <v>1.9843023710551306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45929</v>
      </c>
      <c r="B286" s="406">
        <f>'2024'!Wh/'2024'!Env_an*'2025'!Env_an</f>
        <v>90.67620829513946</v>
      </c>
      <c r="C286" s="385"/>
      <c r="D286" s="388">
        <f t="shared" si="102"/>
        <v>92.563726071111191</v>
      </c>
      <c r="E286" s="380">
        <f t="shared" si="100"/>
        <v>96.634407972939286</v>
      </c>
      <c r="F286" s="380">
        <f t="shared" si="103"/>
        <v>96.640228249937707</v>
      </c>
      <c r="G286" s="110">
        <f t="shared" si="101"/>
        <v>0.53223503997483412</v>
      </c>
      <c r="H286" s="409" t="b">
        <f>Wh_hp&gt;='2024'!Maxi_hp</f>
        <v>0</v>
      </c>
      <c r="I286" s="375">
        <f>IF(H286,Wh_hp,'2024'!Maxi_hp)</f>
        <v>96.649393993788266</v>
      </c>
      <c r="J286" s="85">
        <f>IF(H286,An,'2024'!An_max)</f>
        <v>2022</v>
      </c>
      <c r="K286" s="193">
        <f t="shared" si="104"/>
        <v>45929</v>
      </c>
      <c r="L286" s="143">
        <f>IF(t&lt;Tvie,1-EXP((T0-t)*PertePVj)+'2024'!Pspv,1-EXP((T0-t)*PertePVj)+Pspv)</f>
        <v>2.039154921790487E-2</v>
      </c>
      <c r="M286" s="835"/>
      <c r="N286" s="835"/>
      <c r="O286" s="48">
        <f>IF(t&lt;Tnet,'2024'!Resal+('2024'!Salim-'2024'!Resal)*(1-EXP(('2024'!Tnet-t)/('2024'!Tau_j))),Resal+(Salim-Resal)*(1-EXP((Tnet-t)/(Tau_j))))*Salcycl</f>
        <v>4.2124559845888608E-2</v>
      </c>
      <c r="P286" s="165">
        <f>(INDEX(Models!$BJ286:$BT286,,T286)*(1-R286)+INDEX(Models!$BJ286:$BT286,,T286+1)*R286-ERP_i)*Q286*Ramure*Pc/MaxiM</f>
        <v>1.8148273112107225E-4</v>
      </c>
      <c r="Q286" s="301">
        <f t="shared" si="105"/>
        <v>0.5</v>
      </c>
      <c r="R286" s="173">
        <f t="shared" si="106"/>
        <v>0.98451723346104081</v>
      </c>
      <c r="S286" s="801">
        <f t="shared" si="107"/>
        <v>1</v>
      </c>
      <c r="T286" s="172">
        <f t="shared" si="108"/>
        <v>7</v>
      </c>
      <c r="U286" s="247">
        <f t="shared" si="109"/>
        <v>1.9845172334610408</v>
      </c>
      <c r="V286" s="378">
        <f t="shared" si="110"/>
        <v>170.3480713291676</v>
      </c>
      <c r="W286" s="397">
        <f t="shared" si="111"/>
        <v>90.67620829513946</v>
      </c>
      <c r="X286" s="153">
        <f t="shared" si="112"/>
        <v>45929</v>
      </c>
      <c r="Y286" s="380">
        <f t="shared" si="113"/>
        <v>88.578645222131925</v>
      </c>
      <c r="Z286" s="380">
        <f t="shared" si="114"/>
        <v>90.422500082980022</v>
      </c>
      <c r="AA286" s="381">
        <f t="shared" si="115"/>
        <v>96.634407972939286</v>
      </c>
      <c r="AB286" s="193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6.4282567878915287E-2</v>
      </c>
      <c r="AD286" s="227">
        <f>(INDEX(Models!$BJ286:$BT286,,AH286)*(1-AF286)+INDEX(Models!$BJ286:$BT286,,AH286+1)*AF286-ERP_i)*AE286*Ramure*Pc/MaxiM</f>
        <v>1.8148273112107225E-4</v>
      </c>
      <c r="AE286" s="301">
        <f t="shared" si="117"/>
        <v>0.5</v>
      </c>
      <c r="AF286" s="173">
        <f t="shared" si="118"/>
        <v>0.98451723346104081</v>
      </c>
      <c r="AG286" s="801">
        <f t="shared" si="124"/>
        <v>1</v>
      </c>
      <c r="AH286" s="172">
        <f t="shared" si="119"/>
        <v>7</v>
      </c>
      <c r="AI286" s="221">
        <f t="shared" si="120"/>
        <v>1.9845172334610408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45930</v>
      </c>
      <c r="B287" s="406">
        <f>'2024'!Wh/'2024'!Env_an*'2025'!Env_an</f>
        <v>130.02298991202991</v>
      </c>
      <c r="C287" s="385"/>
      <c r="D287" s="388">
        <f t="shared" si="102"/>
        <v>132.73136806662976</v>
      </c>
      <c r="E287" s="380">
        <f t="shared" si="100"/>
        <v>138.57288950190488</v>
      </c>
      <c r="F287" s="380">
        <f t="shared" si="103"/>
        <v>138.5901124773232</v>
      </c>
      <c r="G287" s="110">
        <f t="shared" si="101"/>
        <v>0.76872059788596292</v>
      </c>
      <c r="H287" s="409" t="b">
        <f>Wh_hp&gt;='2024'!Maxi_hp</f>
        <v>0</v>
      </c>
      <c r="I287" s="375">
        <f>IF(H287,Wh_hp,'2024'!Maxi_hp)</f>
        <v>138.5967620238211</v>
      </c>
      <c r="J287" s="85">
        <f>IF(H287,An,'2024'!An_max)</f>
        <v>2022</v>
      </c>
      <c r="K287" s="193">
        <f t="shared" si="104"/>
        <v>45930</v>
      </c>
      <c r="L287" s="143">
        <f>IF(t&lt;Tvie,1-EXP((T0-t)*PertePVj)+'2024'!Pspv,1-EXP((T0-t)*PertePVj)+Pspv)</f>
        <v>2.0404959234958442E-2</v>
      </c>
      <c r="M287" s="835"/>
      <c r="N287" s="835"/>
      <c r="O287" s="48">
        <f>IF(t&lt;Tnet,'2024'!Resal+('2024'!Salim-'2024'!Resal)*(1-EXP(('2024'!Tnet-t)/('2024'!Tau_j))),Resal+(Salim-Resal)*(1-EXP((Tnet-t)/(Tau_j))))*Salcycl</f>
        <v>4.2154864896533924E-2</v>
      </c>
      <c r="P287" s="165">
        <f>(INDEX(Models!$BJ287:$BT287,,T287)*(1-R287)+INDEX(Models!$BJ287:$BT287,,T287+1)*R287-ERP_i)*Q287*Ramure*Pc/MaxiM</f>
        <v>1.8557363188029366E-4</v>
      </c>
      <c r="Q287" s="301">
        <f t="shared" si="105"/>
        <v>0.5</v>
      </c>
      <c r="R287" s="173">
        <f t="shared" si="106"/>
        <v>0.98472362020384985</v>
      </c>
      <c r="S287" s="801">
        <f t="shared" si="107"/>
        <v>1</v>
      </c>
      <c r="T287" s="172">
        <f t="shared" si="108"/>
        <v>7</v>
      </c>
      <c r="U287" s="247">
        <f t="shared" si="109"/>
        <v>1.9847236202038498</v>
      </c>
      <c r="V287" s="378">
        <f t="shared" si="110"/>
        <v>169.13169590609033</v>
      </c>
      <c r="W287" s="397">
        <f t="shared" si="111"/>
        <v>130.02298991202991</v>
      </c>
      <c r="X287" s="153">
        <f t="shared" si="112"/>
        <v>45930</v>
      </c>
      <c r="Y287" s="380">
        <f t="shared" si="113"/>
        <v>127.01949830790659</v>
      </c>
      <c r="Z287" s="380">
        <f t="shared" si="114"/>
        <v>129.66531374914601</v>
      </c>
      <c r="AA287" s="381">
        <f t="shared" si="115"/>
        <v>138.57288950190488</v>
      </c>
      <c r="AB287" s="193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6.4280796805037607E-2</v>
      </c>
      <c r="AD287" s="227">
        <f>(INDEX(Models!$BJ287:$BT287,,AH287)*(1-AF287)+INDEX(Models!$BJ287:$BT287,,AH287+1)*AF287-ERP_i)*AE287*Ramure*Pc/MaxiM</f>
        <v>1.8557363188029366E-4</v>
      </c>
      <c r="AE287" s="301">
        <f t="shared" si="117"/>
        <v>0.5</v>
      </c>
      <c r="AF287" s="173">
        <f t="shared" si="118"/>
        <v>0.98472362020384985</v>
      </c>
      <c r="AG287" s="801">
        <f t="shared" si="124"/>
        <v>1</v>
      </c>
      <c r="AH287" s="172">
        <f t="shared" si="119"/>
        <v>7</v>
      </c>
      <c r="AI287" s="221">
        <f t="shared" si="120"/>
        <v>1.9847236202038498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45931</v>
      </c>
      <c r="B288" s="406">
        <f>'2024'!Wh/'2024'!Env_an*'2025'!Env_an</f>
        <v>147.38457442776271</v>
      </c>
      <c r="C288" s="385"/>
      <c r="D288" s="388">
        <f t="shared" si="102"/>
        <v>150.4566539162268</v>
      </c>
      <c r="E288" s="380">
        <f t="shared" si="100"/>
        <v>157.08313321954077</v>
      </c>
      <c r="F288" s="380">
        <f t="shared" si="103"/>
        <v>157.10787311652112</v>
      </c>
      <c r="G288" s="110">
        <f t="shared" si="101"/>
        <v>0.87769761517609568</v>
      </c>
      <c r="H288" s="409" t="b">
        <f>Wh_hp&gt;='2024'!Maxi_hp</f>
        <v>0</v>
      </c>
      <c r="I288" s="375">
        <f>IF(H288,Wh_hp,'2024'!Maxi_hp)</f>
        <v>157.11197366226085</v>
      </c>
      <c r="J288" s="85">
        <f>IF(H288,An,'2024'!An_max)</f>
        <v>2022</v>
      </c>
      <c r="K288" s="193">
        <f t="shared" si="104"/>
        <v>45931</v>
      </c>
      <c r="L288" s="143">
        <f>IF(t&lt;Tvie,1-EXP((T0-t)*PertePVj)+'2024'!Pspv,1-EXP((T0-t)*PertePVj)+Pspv)</f>
        <v>2.0418369068440079E-2</v>
      </c>
      <c r="M288" s="835"/>
      <c r="N288" s="835"/>
      <c r="O288" s="48">
        <f>IF(t&lt;Tnet,'2024'!Resal+('2024'!Salim-'2024'!Resal)*(1-EXP(('2024'!Tnet-t)/('2024'!Tau_j))),Resal+(Salim-Resal)*(1-EXP((Tnet-t)/(Tau_j))))*Salcycl</f>
        <v>4.2184537368838662E-2</v>
      </c>
      <c r="P288" s="165">
        <f>(INDEX(Models!$BJ288:$BT288,,T288)*(1-R288)+INDEX(Models!$BJ288:$BT288,,T288+1)*R288-ERP_i)*Q288*Ramure*Pc/MaxiM</f>
        <v>1.9079869880610459E-4</v>
      </c>
      <c r="Q288" s="301">
        <f t="shared" si="105"/>
        <v>0.5</v>
      </c>
      <c r="R288" s="173">
        <f t="shared" si="106"/>
        <v>0.98492185890659822</v>
      </c>
      <c r="S288" s="801">
        <f t="shared" si="107"/>
        <v>1</v>
      </c>
      <c r="T288" s="172">
        <f t="shared" si="108"/>
        <v>7</v>
      </c>
      <c r="U288" s="247">
        <f t="shared" si="109"/>
        <v>1.9849218589065982</v>
      </c>
      <c r="V288" s="378">
        <f t="shared" si="110"/>
        <v>167.91621520042901</v>
      </c>
      <c r="W288" s="397">
        <f t="shared" si="111"/>
        <v>147.38457442776271</v>
      </c>
      <c r="X288" s="153">
        <f t="shared" si="112"/>
        <v>45931</v>
      </c>
      <c r="Y288" s="380">
        <f t="shared" si="113"/>
        <v>143.98490346268133</v>
      </c>
      <c r="Z288" s="380">
        <f t="shared" si="114"/>
        <v>146.98612031521554</v>
      </c>
      <c r="AA288" s="381">
        <f t="shared" si="115"/>
        <v>157.08313321954077</v>
      </c>
      <c r="AB288" s="193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6.4278148120546733E-2</v>
      </c>
      <c r="AD288" s="227">
        <f>(INDEX(Models!$BJ288:$BT288,,AH288)*(1-AF288)+INDEX(Models!$BJ288:$BT288,,AH288+1)*AF288-ERP_i)*AE288*Ramure*Pc/MaxiM</f>
        <v>1.9079869880610459E-4</v>
      </c>
      <c r="AE288" s="301">
        <f t="shared" si="117"/>
        <v>0.5</v>
      </c>
      <c r="AF288" s="173">
        <f t="shared" si="118"/>
        <v>0.98492185890659822</v>
      </c>
      <c r="AG288" s="801">
        <f t="shared" si="124"/>
        <v>1</v>
      </c>
      <c r="AH288" s="172">
        <f t="shared" si="119"/>
        <v>7</v>
      </c>
      <c r="AI288" s="221">
        <f t="shared" si="120"/>
        <v>1.9849218589065982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45932</v>
      </c>
      <c r="B289" s="406">
        <f>'2024'!Wh/'2024'!Env_an*'2025'!Env_an</f>
        <v>152.58077071299093</v>
      </c>
      <c r="C289" s="385"/>
      <c r="D289" s="388">
        <f t="shared" si="102"/>
        <v>155.76329182398064</v>
      </c>
      <c r="E289" s="380">
        <f t="shared" si="100"/>
        <v>162.62841720495669</v>
      </c>
      <c r="F289" s="380">
        <f t="shared" si="103"/>
        <v>162.65660885808694</v>
      </c>
      <c r="G289" s="110">
        <f t="shared" si="101"/>
        <v>0.9152895457826804</v>
      </c>
      <c r="H289" s="409" t="b">
        <f>Wh_hp&gt;='2024'!Maxi_hp</f>
        <v>0</v>
      </c>
      <c r="I289" s="375">
        <f>IF(H289,Wh_hp,'2024'!Maxi_hp)</f>
        <v>162.65964891476867</v>
      </c>
      <c r="J289" s="85">
        <f>IF(H289,An,'2024'!An_max)</f>
        <v>2022</v>
      </c>
      <c r="K289" s="193">
        <f t="shared" si="104"/>
        <v>45932</v>
      </c>
      <c r="L289" s="143">
        <f>IF(t&lt;Tvie,1-EXP((T0-t)*PertePVj)+'2024'!Pspv,1-EXP((T0-t)*PertePVj)+Pspv)</f>
        <v>2.0431778718352334E-2</v>
      </c>
      <c r="M289" s="835"/>
      <c r="N289" s="835"/>
      <c r="O289" s="48">
        <f>IF(t&lt;Tnet,'2024'!Resal+('2024'!Salim-'2024'!Resal)*(1-EXP(('2024'!Tnet-t)/('2024'!Tau_j))),Resal+(Salim-Resal)*(1-EXP((Tnet-t)/(Tau_j))))*Salcycl</f>
        <v>4.2213565740630093E-2</v>
      </c>
      <c r="P289" s="165">
        <f>(INDEX(Models!$BJ289:$BT289,,T289)*(1-R289)+INDEX(Models!$BJ289:$BT289,,T289+1)*R289-ERP_i)*Q289*Ramure*Pc/MaxiM</f>
        <v>1.9717503164686198E-4</v>
      </c>
      <c r="Q289" s="301">
        <f t="shared" si="105"/>
        <v>0.5</v>
      </c>
      <c r="R289" s="173">
        <f t="shared" si="106"/>
        <v>0.98511226505375449</v>
      </c>
      <c r="S289" s="801">
        <f t="shared" si="107"/>
        <v>1</v>
      </c>
      <c r="T289" s="172">
        <f t="shared" si="108"/>
        <v>7</v>
      </c>
      <c r="U289" s="247">
        <f t="shared" si="109"/>
        <v>1.9851122650537545</v>
      </c>
      <c r="V289" s="378">
        <f t="shared" si="110"/>
        <v>166.69821148402517</v>
      </c>
      <c r="W289" s="397">
        <f t="shared" si="111"/>
        <v>152.58077071299093</v>
      </c>
      <c r="X289" s="153">
        <f t="shared" si="112"/>
        <v>45932</v>
      </c>
      <c r="Y289" s="380">
        <f t="shared" si="113"/>
        <v>149.0663228034411</v>
      </c>
      <c r="Z289" s="380">
        <f t="shared" si="114"/>
        <v>152.17553975812493</v>
      </c>
      <c r="AA289" s="381">
        <f t="shared" si="115"/>
        <v>162.62841720495669</v>
      </c>
      <c r="AB289" s="193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6.4274606040457566E-2</v>
      </c>
      <c r="AD289" s="227">
        <f>(INDEX(Models!$BJ289:$BT289,,AH289)*(1-AF289)+INDEX(Models!$BJ289:$BT289,,AH289+1)*AF289-ERP_i)*AE289*Ramure*Pc/MaxiM</f>
        <v>1.9717503164686198E-4</v>
      </c>
      <c r="AE289" s="301">
        <f t="shared" si="117"/>
        <v>0.5</v>
      </c>
      <c r="AF289" s="173">
        <f t="shared" si="118"/>
        <v>0.98511226505375449</v>
      </c>
      <c r="AG289" s="801">
        <f t="shared" si="124"/>
        <v>1</v>
      </c>
      <c r="AH289" s="172">
        <f t="shared" si="119"/>
        <v>7</v>
      </c>
      <c r="AI289" s="221">
        <f t="shared" si="120"/>
        <v>1.9851122650537545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45933</v>
      </c>
      <c r="B290" s="406">
        <f>'2024'!Wh/'2024'!Env_an*'2025'!Env_an</f>
        <v>143.31646790007528</v>
      </c>
      <c r="C290" s="385"/>
      <c r="D290" s="388">
        <f t="shared" si="102"/>
        <v>146.30775753577535</v>
      </c>
      <c r="E290" s="380">
        <f t="shared" si="100"/>
        <v>152.76066427201093</v>
      </c>
      <c r="F290" s="380">
        <f t="shared" si="103"/>
        <v>152.78596044253095</v>
      </c>
      <c r="G290" s="110">
        <f t="shared" si="101"/>
        <v>0.8660648559207178</v>
      </c>
      <c r="H290" s="409" t="b">
        <f>Wh_hp&gt;='2024'!Maxi_hp</f>
        <v>0</v>
      </c>
      <c r="I290" s="375">
        <f>IF(H290,Wh_hp,'2024'!Maxi_hp)</f>
        <v>152.79064899002728</v>
      </c>
      <c r="J290" s="85">
        <f>IF(H290,An,'2024'!An_max)</f>
        <v>2022</v>
      </c>
      <c r="K290" s="193">
        <f t="shared" si="104"/>
        <v>45933</v>
      </c>
      <c r="L290" s="143">
        <f>IF(t&lt;Tvie,1-EXP((T0-t)*PertePVj)+'2024'!Pspv,1-EXP((T0-t)*PertePVj)+Pspv)</f>
        <v>2.044518818469776E-2</v>
      </c>
      <c r="M290" s="835"/>
      <c r="N290" s="835"/>
      <c r="O290" s="48">
        <f>IF(t&lt;Tnet,'2024'!Resal+('2024'!Salim-'2024'!Resal)*(1-EXP(('2024'!Tnet-t)/('2024'!Tau_j))),Resal+(Salim-Resal)*(1-EXP((Tnet-t)/(Tau_j))))*Salcycl</f>
        <v>4.2241939487414865E-2</v>
      </c>
      <c r="P290" s="165">
        <f>(INDEX(Models!$BJ290:$BT290,,T290)*(1-R290)+INDEX(Models!$BJ290:$BT290,,T290+1)*R290-ERP_i)*Q290*Ramure*Pc/MaxiM</f>
        <v>2.0472795716508491E-4</v>
      </c>
      <c r="Q290" s="301">
        <f t="shared" si="105"/>
        <v>0.5</v>
      </c>
      <c r="R290" s="173">
        <f t="shared" si="106"/>
        <v>0.98529514239954263</v>
      </c>
      <c r="S290" s="801">
        <f t="shared" si="107"/>
        <v>1</v>
      </c>
      <c r="T290" s="172">
        <f t="shared" si="108"/>
        <v>7</v>
      </c>
      <c r="U290" s="247">
        <f t="shared" si="109"/>
        <v>1.9852951423995426</v>
      </c>
      <c r="V290" s="378">
        <f t="shared" si="110"/>
        <v>165.47358254654588</v>
      </c>
      <c r="W290" s="397">
        <f t="shared" si="111"/>
        <v>143.31646790007528</v>
      </c>
      <c r="X290" s="153">
        <f t="shared" si="112"/>
        <v>45933</v>
      </c>
      <c r="Y290" s="380">
        <f t="shared" si="113"/>
        <v>140.02022184027842</v>
      </c>
      <c r="Z290" s="380">
        <f t="shared" si="114"/>
        <v>142.94271249690888</v>
      </c>
      <c r="AA290" s="381">
        <f t="shared" si="115"/>
        <v>152.76066427201093</v>
      </c>
      <c r="AB290" s="193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6.4270156338282744E-2</v>
      </c>
      <c r="AD290" s="227">
        <f>(INDEX(Models!$BJ290:$BT290,,AH290)*(1-AF290)+INDEX(Models!$BJ290:$BT290,,AH290+1)*AF290-ERP_i)*AE290*Ramure*Pc/MaxiM</f>
        <v>2.0472795716508491E-4</v>
      </c>
      <c r="AE290" s="301">
        <f t="shared" si="117"/>
        <v>0.5</v>
      </c>
      <c r="AF290" s="173">
        <f t="shared" si="118"/>
        <v>0.98529514239954263</v>
      </c>
      <c r="AG290" s="801">
        <f t="shared" si="124"/>
        <v>1</v>
      </c>
      <c r="AH290" s="172">
        <f t="shared" si="119"/>
        <v>7</v>
      </c>
      <c r="AI290" s="221">
        <f t="shared" si="120"/>
        <v>1.9852951423995426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45934</v>
      </c>
      <c r="B291" s="406">
        <f>'2024'!Wh/'2024'!Env_an*'2025'!Env_an</f>
        <v>163.99510542977842</v>
      </c>
      <c r="C291" s="385"/>
      <c r="D291" s="388">
        <f t="shared" si="102"/>
        <v>167.42028974557175</v>
      </c>
      <c r="E291" s="380">
        <f t="shared" si="100"/>
        <v>174.80942272151606</v>
      </c>
      <c r="F291" s="380">
        <f t="shared" si="103"/>
        <v>174.84661412437026</v>
      </c>
      <c r="G291" s="110">
        <f t="shared" si="101"/>
        <v>0.99849087527687264</v>
      </c>
      <c r="H291" s="409" t="b">
        <f>Wh_hp&gt;='2024'!Maxi_hp</f>
        <v>0</v>
      </c>
      <c r="I291" s="375">
        <f>IF(H291,Wh_hp,'2024'!Maxi_hp)</f>
        <v>174.84667705924409</v>
      </c>
      <c r="J291" s="85">
        <f>IF(H291,An,'2024'!An_max)</f>
        <v>2022</v>
      </c>
      <c r="K291" s="193">
        <f t="shared" si="104"/>
        <v>45934</v>
      </c>
      <c r="L291" s="143">
        <f>IF(t&lt;Tvie,1-EXP((T0-t)*PertePVj)+'2024'!Pspv,1-EXP((T0-t)*PertePVj)+Pspv)</f>
        <v>2.0458597467478801E-2</v>
      </c>
      <c r="M291" s="835"/>
      <c r="N291" s="835"/>
      <c r="O291" s="48">
        <f>IF(t&lt;Tnet,'2024'!Resal+('2024'!Salim-'2024'!Resal)*(1-EXP(('2024'!Tnet-t)/('2024'!Tau_j))),Resal+(Salim-Resal)*(1-EXP((Tnet-t)/(Tau_j))))*Salcycl</f>
        <v>4.2269649203725917E-2</v>
      </c>
      <c r="P291" s="165">
        <f>(INDEX(Models!$BJ291:$BT291,,T291)*(1-R291)+INDEX(Models!$BJ291:$BT291,,T291+1)*R291-ERP_i)*Q291*Ramure*Pc/MaxiM</f>
        <v>2.1316816717792498E-4</v>
      </c>
      <c r="Q291" s="301">
        <f t="shared" si="105"/>
        <v>0.5</v>
      </c>
      <c r="R291" s="173">
        <f t="shared" si="106"/>
        <v>0.9854707833658729</v>
      </c>
      <c r="S291" s="801">
        <f t="shared" si="107"/>
        <v>1</v>
      </c>
      <c r="T291" s="172">
        <f t="shared" si="108"/>
        <v>7</v>
      </c>
      <c r="U291" s="247">
        <f t="shared" si="109"/>
        <v>1.9854707833658729</v>
      </c>
      <c r="V291" s="378">
        <f t="shared" si="110"/>
        <v>164.24289308036433</v>
      </c>
      <c r="W291" s="397">
        <f t="shared" si="111"/>
        <v>163.99510542977842</v>
      </c>
      <c r="X291" s="153">
        <f t="shared" si="112"/>
        <v>45934</v>
      </c>
      <c r="Y291" s="380">
        <f t="shared" si="113"/>
        <v>160.22881060485452</v>
      </c>
      <c r="Z291" s="380">
        <f t="shared" si="114"/>
        <v>163.57533248783207</v>
      </c>
      <c r="AA291" s="381">
        <f t="shared" si="115"/>
        <v>174.80942272151606</v>
      </c>
      <c r="AB291" s="193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6.4264786524583936E-2</v>
      </c>
      <c r="AD291" s="227">
        <f>(INDEX(Models!$BJ291:$BT291,,AH291)*(1-AF291)+INDEX(Models!$BJ291:$BT291,,AH291+1)*AF291-ERP_i)*AE291*Ramure*Pc/MaxiM</f>
        <v>2.1316816717792498E-4</v>
      </c>
      <c r="AE291" s="301">
        <f t="shared" si="117"/>
        <v>0.5</v>
      </c>
      <c r="AF291" s="173">
        <f t="shared" si="118"/>
        <v>0.9854707833658729</v>
      </c>
      <c r="AG291" s="801">
        <f t="shared" si="124"/>
        <v>1</v>
      </c>
      <c r="AH291" s="172">
        <f t="shared" si="119"/>
        <v>7</v>
      </c>
      <c r="AI291" s="221">
        <f t="shared" si="120"/>
        <v>1.9854707833658729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45935</v>
      </c>
      <c r="B292" s="406">
        <f>'2024'!Wh/'2024'!Env_an*'2025'!Env_an</f>
        <v>166.67172995929522</v>
      </c>
      <c r="C292" s="385"/>
      <c r="D292" s="388">
        <f t="shared" si="102"/>
        <v>170.15514725117885</v>
      </c>
      <c r="E292" s="380">
        <f t="shared" si="100"/>
        <v>177.66999956291272</v>
      </c>
      <c r="F292" s="380">
        <f t="shared" si="103"/>
        <v>177.70954073163574</v>
      </c>
      <c r="G292" s="110">
        <f t="shared" si="101"/>
        <v>1.022484189466115</v>
      </c>
      <c r="H292" s="409" t="b">
        <f>Wh_hp&gt;='2024'!Maxi_hp</f>
        <v>1</v>
      </c>
      <c r="I292" s="375">
        <f>IF(H292,Wh_hp,'2024'!Maxi_hp)</f>
        <v>177.70954073163574</v>
      </c>
      <c r="J292" s="85">
        <f>IF(H292,An,'2024'!An_max)</f>
        <v>2025</v>
      </c>
      <c r="K292" s="193">
        <f t="shared" si="104"/>
        <v>45935</v>
      </c>
      <c r="L292" s="143">
        <f>IF(t&lt;Tvie,1-EXP((T0-t)*PertePVj)+'2024'!Pspv,1-EXP((T0-t)*PertePVj)+Pspv)</f>
        <v>2.047200656669812E-2</v>
      </c>
      <c r="M292" s="835"/>
      <c r="N292" s="835"/>
      <c r="O292" s="48">
        <f>IF(t&lt;Tnet,'2024'!Resal+('2024'!Salim-'2024'!Resal)*(1-EXP(('2024'!Tnet-t)/('2024'!Tau_j))),Resal+(Salim-Resal)*(1-EXP((Tnet-t)/(Tau_j))))*Salcycl</f>
        <v>4.229668672382067E-2</v>
      </c>
      <c r="P292" s="165">
        <f>(INDEX(Models!$BJ292:$BT292,,T292)*(1-R292)+INDEX(Models!$BJ292:$BT292,,T292+1)*R292-ERP_i)*Q292*Ramure*Pc/MaxiM</f>
        <v>2.2250447871409581E-4</v>
      </c>
      <c r="Q292" s="301">
        <f t="shared" si="105"/>
        <v>0.5</v>
      </c>
      <c r="R292" s="173">
        <f t="shared" si="106"/>
        <v>0.9856394694298547</v>
      </c>
      <c r="S292" s="801">
        <f t="shared" si="107"/>
        <v>1</v>
      </c>
      <c r="T292" s="172">
        <f t="shared" si="108"/>
        <v>7</v>
      </c>
      <c r="U292" s="247">
        <f t="shared" si="109"/>
        <v>1.9856394694298547</v>
      </c>
      <c r="V292" s="378">
        <f t="shared" si="110"/>
        <v>163.00665739029375</v>
      </c>
      <c r="W292" s="397">
        <f t="shared" si="111"/>
        <v>166.67172995929522</v>
      </c>
      <c r="X292" s="153">
        <f t="shared" si="112"/>
        <v>45935</v>
      </c>
      <c r="Y292" s="380">
        <f t="shared" si="113"/>
        <v>162.84965789208997</v>
      </c>
      <c r="Z292" s="380">
        <f t="shared" si="114"/>
        <v>166.25319437915456</v>
      </c>
      <c r="AA292" s="381">
        <f t="shared" si="115"/>
        <v>177.66999956291272</v>
      </c>
      <c r="AB292" s="193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6.4258486023778524E-2</v>
      </c>
      <c r="AD292" s="227">
        <f>(INDEX(Models!$BJ292:$BT292,,AH292)*(1-AF292)+INDEX(Models!$BJ292:$BT292,,AH292+1)*AF292-ERP_i)*AE292*Ramure*Pc/MaxiM</f>
        <v>2.2250447871409581E-4</v>
      </c>
      <c r="AE292" s="301">
        <f t="shared" si="117"/>
        <v>0.5</v>
      </c>
      <c r="AF292" s="173">
        <f t="shared" si="118"/>
        <v>0.9856394694298547</v>
      </c>
      <c r="AG292" s="801">
        <f t="shared" si="124"/>
        <v>1</v>
      </c>
      <c r="AH292" s="172">
        <f t="shared" si="119"/>
        <v>7</v>
      </c>
      <c r="AI292" s="221">
        <f t="shared" si="120"/>
        <v>1.9856394694298547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45936</v>
      </c>
      <c r="B293" s="406">
        <f>'2024'!Wh/'2024'!Env_an*'2025'!Env_an</f>
        <v>55.963797700122818</v>
      </c>
      <c r="C293" s="385"/>
      <c r="D293" s="388">
        <f t="shared" si="102"/>
        <v>57.134215850070234</v>
      </c>
      <c r="E293" s="380">
        <f t="shared" si="100"/>
        <v>59.659173760141918</v>
      </c>
      <c r="F293" s="380">
        <f t="shared" si="103"/>
        <v>59.660085381440531</v>
      </c>
      <c r="G293" s="110">
        <f t="shared" si="101"/>
        <v>0.3458813254802256</v>
      </c>
      <c r="H293" s="409" t="b">
        <f>Wh_hp&gt;='2024'!Maxi_hp</f>
        <v>0</v>
      </c>
      <c r="I293" s="375">
        <f>IF(H293,Wh_hp,'2024'!Maxi_hp)</f>
        <v>59.670237446224867</v>
      </c>
      <c r="J293" s="85">
        <f>IF(H293,An,'2024'!An_max)</f>
        <v>2022</v>
      </c>
      <c r="K293" s="193">
        <f t="shared" si="104"/>
        <v>45936</v>
      </c>
      <c r="L293" s="143">
        <f>IF(t&lt;Tvie,1-EXP((T0-t)*PertePVj)+'2024'!Pspv,1-EXP((T0-t)*PertePVj)+Pspv)</f>
        <v>2.0485415482358049E-2</v>
      </c>
      <c r="M293" s="835"/>
      <c r="N293" s="835"/>
      <c r="O293" s="48">
        <f>IF(t&lt;Tnet,'2024'!Resal+('2024'!Salim-'2024'!Resal)*(1-EXP(('2024'!Tnet-t)/('2024'!Tau_j))),Resal+(Salim-Resal)*(1-EXP((Tnet-t)/(Tau_j))))*Salcycl</f>
        <v>4.2323045240673429E-2</v>
      </c>
      <c r="P293" s="165">
        <f>(INDEX(Models!$BJ293:$BT293,,T293)*(1-R293)+INDEX(Models!$BJ293:$BT293,,T293+1)*R293-ERP_i)*Q293*Ramure*Pc/MaxiM</f>
        <v>2.3274540661574021E-4</v>
      </c>
      <c r="Q293" s="301">
        <f t="shared" si="105"/>
        <v>0.5</v>
      </c>
      <c r="R293" s="173">
        <f t="shared" si="106"/>
        <v>0.98580147150089381</v>
      </c>
      <c r="S293" s="801">
        <f t="shared" si="107"/>
        <v>1</v>
      </c>
      <c r="T293" s="172">
        <f t="shared" si="108"/>
        <v>7</v>
      </c>
      <c r="U293" s="247">
        <f t="shared" si="109"/>
        <v>1.9858014715008938</v>
      </c>
      <c r="V293" s="378">
        <f t="shared" si="110"/>
        <v>161.7653895037632</v>
      </c>
      <c r="W293" s="397">
        <f t="shared" si="111"/>
        <v>55.963797700122818</v>
      </c>
      <c r="X293" s="153">
        <f t="shared" si="112"/>
        <v>45936</v>
      </c>
      <c r="Y293" s="380">
        <f t="shared" si="113"/>
        <v>54.682378736684718</v>
      </c>
      <c r="Z293" s="380">
        <f t="shared" si="114"/>
        <v>55.825997489984118</v>
      </c>
      <c r="AA293" s="381">
        <f t="shared" si="115"/>
        <v>59.659173760141918</v>
      </c>
      <c r="AB293" s="193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6.4251246347610771E-2</v>
      </c>
      <c r="AD293" s="227">
        <f>(INDEX(Models!$BJ293:$BT293,,AH293)*(1-AF293)+INDEX(Models!$BJ293:$BT293,,AH293+1)*AF293-ERP_i)*AE293*Ramure*Pc/MaxiM</f>
        <v>2.3274540661574021E-4</v>
      </c>
      <c r="AE293" s="301">
        <f t="shared" si="117"/>
        <v>0.5</v>
      </c>
      <c r="AF293" s="173">
        <f t="shared" si="118"/>
        <v>0.98580147150089381</v>
      </c>
      <c r="AG293" s="801">
        <f t="shared" si="124"/>
        <v>1</v>
      </c>
      <c r="AH293" s="172">
        <f t="shared" si="119"/>
        <v>7</v>
      </c>
      <c r="AI293" s="221">
        <f t="shared" si="120"/>
        <v>1.9858014715008938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45937</v>
      </c>
      <c r="B294" s="406">
        <f>'2024'!Wh/'2024'!Env_an*'2025'!Env_an</f>
        <v>115.00098240686685</v>
      </c>
      <c r="C294" s="385"/>
      <c r="D294" s="388">
        <f t="shared" si="102"/>
        <v>117.40770225685391</v>
      </c>
      <c r="E294" s="380">
        <f t="shared" si="100"/>
        <v>122.59964001302642</v>
      </c>
      <c r="F294" s="380">
        <f t="shared" si="103"/>
        <v>122.61743124117875</v>
      </c>
      <c r="G294" s="110">
        <f t="shared" si="101"/>
        <v>0.71635872485535357</v>
      </c>
      <c r="H294" s="409" t="b">
        <f>Wh_hp&gt;='2024'!Maxi_hp</f>
        <v>0</v>
      </c>
      <c r="I294" s="375">
        <f>IF(H294,Wh_hp,'2024'!Maxi_hp)</f>
        <v>122.62690257230749</v>
      </c>
      <c r="J294" s="85">
        <f>IF(H294,An,'2024'!An_max)</f>
        <v>2022</v>
      </c>
      <c r="K294" s="193">
        <f t="shared" si="104"/>
        <v>45937</v>
      </c>
      <c r="L294" s="143">
        <f>IF(t&lt;Tvie,1-EXP((T0-t)*PertePVj)+'2024'!Pspv,1-EXP((T0-t)*PertePVj)+Pspv)</f>
        <v>2.0498824214461253E-2</v>
      </c>
      <c r="M294" s="835"/>
      <c r="N294" s="835"/>
      <c r="O294" s="48">
        <f>IF(t&lt;Tnet,'2024'!Resal+('2024'!Salim-'2024'!Resal)*(1-EXP(('2024'!Tnet-t)/('2024'!Tau_j))),Resal+(Salim-Resal)*(1-EXP((Tnet-t)/(Tau_j))))*Salcycl</f>
        <v>4.2348719422184815E-2</v>
      </c>
      <c r="P294" s="165">
        <f>(INDEX(Models!$BJ294:$BT294,,T294)*(1-R294)+INDEX(Models!$BJ294:$BT294,,T294+1)*R294-ERP_i)*Q294*Ramure*Pc/MaxiM</f>
        <v>2.4389912707999378E-4</v>
      </c>
      <c r="Q294" s="301">
        <f t="shared" si="105"/>
        <v>0.5</v>
      </c>
      <c r="R294" s="173">
        <f t="shared" si="106"/>
        <v>0.98595705028741665</v>
      </c>
      <c r="S294" s="801">
        <f t="shared" si="107"/>
        <v>1</v>
      </c>
      <c r="T294" s="172">
        <f t="shared" si="108"/>
        <v>7</v>
      </c>
      <c r="U294" s="247">
        <f t="shared" si="109"/>
        <v>1.9859570502874166</v>
      </c>
      <c r="V294" s="378">
        <f t="shared" si="110"/>
        <v>160.5196031614671</v>
      </c>
      <c r="W294" s="397">
        <f t="shared" si="111"/>
        <v>115.00098240686685</v>
      </c>
      <c r="X294" s="153">
        <f t="shared" si="112"/>
        <v>45937</v>
      </c>
      <c r="Y294" s="380">
        <f t="shared" si="113"/>
        <v>112.37176771046511</v>
      </c>
      <c r="Z294" s="380">
        <f t="shared" si="114"/>
        <v>114.72346382876506</v>
      </c>
      <c r="AA294" s="381">
        <f t="shared" si="115"/>
        <v>122.59964001302642</v>
      </c>
      <c r="AB294" s="193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6.4243061263674919E-2</v>
      </c>
      <c r="AD294" s="227">
        <f>(INDEX(Models!$BJ294:$BT294,,AH294)*(1-AF294)+INDEX(Models!$BJ294:$BT294,,AH294+1)*AF294-ERP_i)*AE294*Ramure*Pc/MaxiM</f>
        <v>2.4389912707999378E-4</v>
      </c>
      <c r="AE294" s="301">
        <f t="shared" si="117"/>
        <v>0.5</v>
      </c>
      <c r="AF294" s="173">
        <f t="shared" si="118"/>
        <v>0.98595705028741665</v>
      </c>
      <c r="AG294" s="801">
        <f t="shared" si="124"/>
        <v>1</v>
      </c>
      <c r="AH294" s="172">
        <f t="shared" si="119"/>
        <v>7</v>
      </c>
      <c r="AI294" s="221">
        <f t="shared" si="120"/>
        <v>1.9859570502874166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45938</v>
      </c>
      <c r="B295" s="406">
        <f>'2024'!Wh/'2024'!Env_an*'2025'!Env_an</f>
        <v>64.254659632808071</v>
      </c>
      <c r="C295" s="385"/>
      <c r="D295" s="388">
        <f t="shared" si="102"/>
        <v>65.600267590949372</v>
      </c>
      <c r="E295" s="380">
        <f t="shared" si="100"/>
        <v>68.50299325459936</v>
      </c>
      <c r="F295" s="380">
        <f t="shared" si="103"/>
        <v>68.505584335404691</v>
      </c>
      <c r="G295" s="110">
        <f t="shared" si="101"/>
        <v>0.40334474677743409</v>
      </c>
      <c r="H295" s="409" t="b">
        <f>Wh_hp&gt;='2024'!Maxi_hp</f>
        <v>0</v>
      </c>
      <c r="I295" s="375">
        <f>IF(H295,Wh_hp,'2024'!Maxi_hp)</f>
        <v>68.517254335797233</v>
      </c>
      <c r="J295" s="85">
        <f>IF(H295,An,'2024'!An_max)</f>
        <v>2022</v>
      </c>
      <c r="K295" s="193">
        <f t="shared" si="104"/>
        <v>45938</v>
      </c>
      <c r="L295" s="143">
        <f>IF(t&lt;Tvie,1-EXP((T0-t)*PertePVj)+'2024'!Pspv,1-EXP((T0-t)*PertePVj)+Pspv)</f>
        <v>2.0512232763010063E-2</v>
      </c>
      <c r="M295" s="835"/>
      <c r="N295" s="835"/>
      <c r="O295" s="48">
        <f>IF(t&lt;Tnet,'2024'!Resal+('2024'!Salim-'2024'!Resal)*(1-EXP(('2024'!Tnet-t)/('2024'!Tau_j))),Resal+(Salim-Resal)*(1-EXP((Tnet-t)/(Tau_j))))*Salcycl</f>
        <v>4.237370552351883E-2</v>
      </c>
      <c r="P295" s="165">
        <f>(INDEX(Models!$BJ295:$BT295,,T295)*(1-R295)+INDEX(Models!$BJ295:$BT295,,T295+1)*R295-ERP_i)*Q295*Ramure*Pc/MaxiM</f>
        <v>2.5597344411364072E-4</v>
      </c>
      <c r="Q295" s="301">
        <f t="shared" si="105"/>
        <v>0.5</v>
      </c>
      <c r="R295" s="173">
        <f t="shared" si="106"/>
        <v>0.98610645665327779</v>
      </c>
      <c r="S295" s="801">
        <f t="shared" si="107"/>
        <v>1</v>
      </c>
      <c r="T295" s="172">
        <f t="shared" si="108"/>
        <v>7</v>
      </c>
      <c r="U295" s="247">
        <f t="shared" si="109"/>
        <v>1.9861064566532778</v>
      </c>
      <c r="V295" s="378">
        <f t="shared" si="110"/>
        <v>159.26981181184362</v>
      </c>
      <c r="W295" s="397">
        <f t="shared" si="111"/>
        <v>64.254659632808071</v>
      </c>
      <c r="X295" s="153">
        <f t="shared" si="112"/>
        <v>45938</v>
      </c>
      <c r="Y295" s="380">
        <f t="shared" si="113"/>
        <v>62.787885907157893</v>
      </c>
      <c r="Z295" s="380">
        <f t="shared" si="114"/>
        <v>64.102776989522297</v>
      </c>
      <c r="AA295" s="381">
        <f t="shared" si="115"/>
        <v>68.50299325459936</v>
      </c>
      <c r="AB295" s="193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6.4233926957368861E-2</v>
      </c>
      <c r="AD295" s="227">
        <f>(INDEX(Models!$BJ295:$BT295,,AH295)*(1-AF295)+INDEX(Models!$BJ295:$BT295,,AH295+1)*AF295-ERP_i)*AE295*Ramure*Pc/MaxiM</f>
        <v>2.5597344411364072E-4</v>
      </c>
      <c r="AE295" s="301">
        <f t="shared" si="117"/>
        <v>0.5</v>
      </c>
      <c r="AF295" s="173">
        <f t="shared" si="118"/>
        <v>0.98610645665327779</v>
      </c>
      <c r="AG295" s="801">
        <f t="shared" si="124"/>
        <v>1</v>
      </c>
      <c r="AH295" s="172">
        <f t="shared" si="119"/>
        <v>7</v>
      </c>
      <c r="AI295" s="221">
        <f t="shared" si="120"/>
        <v>1.9861064566532778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45939</v>
      </c>
      <c r="B296" s="406">
        <f>'2024'!Wh/'2024'!Env_an*'2025'!Env_an</f>
        <v>151.51705709896626</v>
      </c>
      <c r="C296" s="385"/>
      <c r="D296" s="388">
        <f t="shared" si="102"/>
        <v>154.69221396817392</v>
      </c>
      <c r="E296" s="380">
        <f t="shared" si="100"/>
        <v>161.54123968996922</v>
      </c>
      <c r="F296" s="380">
        <f t="shared" si="103"/>
        <v>161.58203961622985</v>
      </c>
      <c r="G296" s="110">
        <f t="shared" si="101"/>
        <v>0.95885260788439852</v>
      </c>
      <c r="H296" s="409" t="b">
        <f>Wh_hp&gt;='2024'!Maxi_hp</f>
        <v>0</v>
      </c>
      <c r="I296" s="375">
        <f>IF(H296,Wh_hp,'2024'!Maxi_hp)</f>
        <v>161.58402633756273</v>
      </c>
      <c r="J296" s="85">
        <f>IF(H296,An,'2024'!An_max)</f>
        <v>2022</v>
      </c>
      <c r="K296" s="193">
        <f t="shared" si="104"/>
        <v>45939</v>
      </c>
      <c r="L296" s="143">
        <f>IF(t&lt;Tvie,1-EXP((T0-t)*PertePVj)+'2024'!Pspv,1-EXP((T0-t)*PertePVj)+Pspv)</f>
        <v>2.0525641128007255E-2</v>
      </c>
      <c r="M296" s="835"/>
      <c r="N296" s="835"/>
      <c r="O296" s="48">
        <f>IF(t&lt;Tnet,'2024'!Resal+('2024'!Salim-'2024'!Resal)*(1-EXP(('2024'!Tnet-t)/('2024'!Tau_j))),Resal+(Salim-Resal)*(1-EXP((Tnet-t)/(Tau_j))))*Salcycl</f>
        <v>4.23980014944789E-2</v>
      </c>
      <c r="P296" s="165">
        <f>(INDEX(Models!$BJ296:$BT296,,T296)*(1-R296)+INDEX(Models!$BJ296:$BT296,,T296+1)*R296-ERP_i)*Q296*Ramure*Pc/MaxiM</f>
        <v>2.682662863395002E-4</v>
      </c>
      <c r="Q296" s="301">
        <f t="shared" si="105"/>
        <v>0.5</v>
      </c>
      <c r="R296" s="173">
        <f t="shared" si="106"/>
        <v>0.9862499319639404</v>
      </c>
      <c r="S296" s="801">
        <f t="shared" si="107"/>
        <v>1</v>
      </c>
      <c r="T296" s="172">
        <f t="shared" si="108"/>
        <v>7</v>
      </c>
      <c r="U296" s="247">
        <f t="shared" si="109"/>
        <v>1.9862499319639404</v>
      </c>
      <c r="V296" s="378">
        <f t="shared" si="110"/>
        <v>158.01664074444901</v>
      </c>
      <c r="W296" s="397">
        <f t="shared" si="111"/>
        <v>151.51705709896626</v>
      </c>
      <c r="X296" s="153">
        <f t="shared" si="112"/>
        <v>45939</v>
      </c>
      <c r="Y296" s="380">
        <f t="shared" si="113"/>
        <v>148.06365249517401</v>
      </c>
      <c r="Z296" s="380">
        <f t="shared" si="114"/>
        <v>151.16644060564369</v>
      </c>
      <c r="AA296" s="381">
        <f t="shared" si="115"/>
        <v>161.54123968996922</v>
      </c>
      <c r="AB296" s="193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6.4223842185666694E-2</v>
      </c>
      <c r="AD296" s="227">
        <f>(INDEX(Models!$BJ296:$BT296,,AH296)*(1-AF296)+INDEX(Models!$BJ296:$BT296,,AH296+1)*AF296-ERP_i)*AE296*Ramure*Pc/MaxiM</f>
        <v>2.682662863395002E-4</v>
      </c>
      <c r="AE296" s="301">
        <f t="shared" si="117"/>
        <v>0.5</v>
      </c>
      <c r="AF296" s="173">
        <f t="shared" si="118"/>
        <v>0.9862499319639404</v>
      </c>
      <c r="AG296" s="801">
        <f t="shared" si="124"/>
        <v>1</v>
      </c>
      <c r="AH296" s="172">
        <f t="shared" si="119"/>
        <v>7</v>
      </c>
      <c r="AI296" s="221">
        <f t="shared" si="120"/>
        <v>1.9862499319639404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45940</v>
      </c>
      <c r="B297" s="406">
        <f>'2024'!Wh/'2024'!Env_an*'2025'!Env_an</f>
        <v>121.22505687993993</v>
      </c>
      <c r="C297" s="385"/>
      <c r="D297" s="388">
        <f t="shared" si="102"/>
        <v>123.76711577370509</v>
      </c>
      <c r="E297" s="380">
        <f t="shared" ref="E297:E360" si="125">Wh_pvt/(1-Psa)</f>
        <v>129.25011329506265</v>
      </c>
      <c r="F297" s="380">
        <f t="shared" si="103"/>
        <v>129.2745819501219</v>
      </c>
      <c r="G297" s="110">
        <f t="shared" ref="G297:G360" si="126">+Wh_hp/MaxiM</f>
        <v>0.77324252147322292</v>
      </c>
      <c r="H297" s="409" t="b">
        <f>Wh_hp&gt;='2024'!Maxi_hp</f>
        <v>0</v>
      </c>
      <c r="I297" s="375">
        <f>IF(H297,Wh_hp,'2024'!Maxi_hp)</f>
        <v>129.28371187059687</v>
      </c>
      <c r="J297" s="85">
        <f>IF(H297,An,'2024'!An_max)</f>
        <v>2022</v>
      </c>
      <c r="K297" s="193">
        <f t="shared" si="104"/>
        <v>45940</v>
      </c>
      <c r="L297" s="143">
        <f>IF(t&lt;Tvie,1-EXP((T0-t)*PertePVj)+'2024'!Pspv,1-EXP((T0-t)*PertePVj)+Pspv)</f>
        <v>2.0539049309455049E-2</v>
      </c>
      <c r="M297" s="835"/>
      <c r="N297" s="835"/>
      <c r="O297" s="48">
        <f>IF(t&lt;Tnet,'2024'!Resal+('2024'!Salim-'2024'!Resal)*(1-EXP(('2024'!Tnet-t)/('2024'!Tau_j))),Resal+(Salim-Resal)*(1-EXP((Tnet-t)/(Tau_j))))*Salcycl</f>
        <v>4.2421607080842853E-2</v>
      </c>
      <c r="P297" s="165">
        <f>(INDEX(Models!$BJ297:$BT297,,T297)*(1-R297)+INDEX(Models!$BJ297:$BT297,,T297+1)*R297-ERP_i)*Q297*Ramure*Pc/MaxiM</f>
        <v>2.7992835812039161E-4</v>
      </c>
      <c r="Q297" s="301">
        <f t="shared" si="105"/>
        <v>0.5</v>
      </c>
      <c r="R297" s="173">
        <f t="shared" si="106"/>
        <v>0.98638770842253143</v>
      </c>
      <c r="S297" s="801">
        <f t="shared" si="107"/>
        <v>1</v>
      </c>
      <c r="T297" s="172">
        <f t="shared" si="108"/>
        <v>7</v>
      </c>
      <c r="U297" s="247">
        <f t="shared" si="109"/>
        <v>1.9863877084225314</v>
      </c>
      <c r="V297" s="378">
        <f t="shared" si="110"/>
        <v>156.76073440150688</v>
      </c>
      <c r="W297" s="397">
        <f t="shared" si="111"/>
        <v>121.22505687993993</v>
      </c>
      <c r="X297" s="153">
        <f t="shared" si="112"/>
        <v>45940</v>
      </c>
      <c r="Y297" s="380">
        <f t="shared" si="113"/>
        <v>118.46639018331099</v>
      </c>
      <c r="Z297" s="380">
        <f t="shared" si="114"/>
        <v>120.95060053163851</v>
      </c>
      <c r="AA297" s="381">
        <f t="shared" si="115"/>
        <v>129.25011329506265</v>
      </c>
      <c r="AB297" s="193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6.4212808421121648E-2</v>
      </c>
      <c r="AD297" s="227">
        <f>(INDEX(Models!$BJ297:$BT297,,AH297)*(1-AF297)+INDEX(Models!$BJ297:$BT297,,AH297+1)*AF297-ERP_i)*AE297*Ramure*Pc/MaxiM</f>
        <v>2.7992835812039161E-4</v>
      </c>
      <c r="AE297" s="301">
        <f t="shared" si="117"/>
        <v>0.5</v>
      </c>
      <c r="AF297" s="173">
        <f t="shared" si="118"/>
        <v>0.98638770842253143</v>
      </c>
      <c r="AG297" s="801">
        <f t="shared" si="124"/>
        <v>1</v>
      </c>
      <c r="AH297" s="172">
        <f t="shared" si="119"/>
        <v>7</v>
      </c>
      <c r="AI297" s="221">
        <f t="shared" si="120"/>
        <v>1.9863877084225314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45941</v>
      </c>
      <c r="B298" s="406">
        <f>'2024'!Wh/'2024'!Env_an*'2025'!Env_an</f>
        <v>93.327448570865172</v>
      </c>
      <c r="C298" s="385"/>
      <c r="D298" s="388">
        <f t="shared" si="102"/>
        <v>95.285806031320917</v>
      </c>
      <c r="E298" s="380">
        <f t="shared" si="125"/>
        <v>99.509436697347766</v>
      </c>
      <c r="F298" s="380">
        <f t="shared" si="103"/>
        <v>99.521853178217128</v>
      </c>
      <c r="G298" s="110">
        <f t="shared" si="126"/>
        <v>0.60006672245043979</v>
      </c>
      <c r="H298" s="409" t="b">
        <f>Wh_hp&gt;='2024'!Maxi_hp</f>
        <v>0</v>
      </c>
      <c r="I298" s="375">
        <f>IF(H298,Wh_hp,'2024'!Maxi_hp)</f>
        <v>99.534723219686853</v>
      </c>
      <c r="J298" s="85">
        <f>IF(H298,An,'2024'!An_max)</f>
        <v>2022</v>
      </c>
      <c r="K298" s="193">
        <f t="shared" si="104"/>
        <v>45941</v>
      </c>
      <c r="L298" s="143">
        <f>IF(t&lt;Tvie,1-EXP((T0-t)*PertePVj)+'2024'!Pspv,1-EXP((T0-t)*PertePVj)+Pspv)</f>
        <v>2.055245730735622E-2</v>
      </c>
      <c r="M298" s="835"/>
      <c r="N298" s="835"/>
      <c r="O298" s="48">
        <f>IF(t&lt;Tnet,'2024'!Resal+('2024'!Salim-'2024'!Resal)*(1-EXP(('2024'!Tnet-t)/('2024'!Tau_j))),Resal+(Salim-Resal)*(1-EXP((Tnet-t)/(Tau_j))))*Salcycl</f>
        <v>4.2444523918598591E-2</v>
      </c>
      <c r="P298" s="165">
        <f>(INDEX(Models!$BJ298:$BT298,,T298)*(1-R298)+INDEX(Models!$BJ298:$BT298,,T298+1)*R298-ERP_i)*Q298*Ramure*Pc/MaxiM</f>
        <v>2.9094836742405388E-4</v>
      </c>
      <c r="Q298" s="301">
        <f t="shared" si="105"/>
        <v>0.5</v>
      </c>
      <c r="R298" s="173">
        <f t="shared" si="106"/>
        <v>0.9865200093958979</v>
      </c>
      <c r="S298" s="801">
        <f t="shared" si="107"/>
        <v>1</v>
      </c>
      <c r="T298" s="172">
        <f t="shared" si="108"/>
        <v>7</v>
      </c>
      <c r="U298" s="247">
        <f t="shared" si="109"/>
        <v>1.9865200093958979</v>
      </c>
      <c r="V298" s="378">
        <f t="shared" si="110"/>
        <v>155.50260218452482</v>
      </c>
      <c r="W298" s="397">
        <f t="shared" si="111"/>
        <v>93.327448570865172</v>
      </c>
      <c r="X298" s="153">
        <f t="shared" si="112"/>
        <v>45941</v>
      </c>
      <c r="Y298" s="380">
        <f t="shared" si="113"/>
        <v>91.206986011587148</v>
      </c>
      <c r="Z298" s="380">
        <f t="shared" si="114"/>
        <v>93.120848270082817</v>
      </c>
      <c r="AA298" s="381">
        <f t="shared" si="115"/>
        <v>99.509436697347766</v>
      </c>
      <c r="AB298" s="193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6.4200829984551774E-2</v>
      </c>
      <c r="AD298" s="227">
        <f>(INDEX(Models!$BJ298:$BT298,,AH298)*(1-AF298)+INDEX(Models!$BJ298:$BT298,,AH298+1)*AF298-ERP_i)*AE298*Ramure*Pc/MaxiM</f>
        <v>2.9094836742405388E-4</v>
      </c>
      <c r="AE298" s="301">
        <f t="shared" si="117"/>
        <v>0.5</v>
      </c>
      <c r="AF298" s="173">
        <f t="shared" si="118"/>
        <v>0.9865200093958979</v>
      </c>
      <c r="AG298" s="801">
        <f t="shared" si="124"/>
        <v>1</v>
      </c>
      <c r="AH298" s="172">
        <f t="shared" si="119"/>
        <v>7</v>
      </c>
      <c r="AI298" s="221">
        <f t="shared" si="120"/>
        <v>1.9865200093958979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45942</v>
      </c>
      <c r="B299" s="406">
        <f>'2024'!Wh/'2024'!Env_an*'2025'!Env_an</f>
        <v>117.22498888503954</v>
      </c>
      <c r="C299" s="385"/>
      <c r="D299" s="388">
        <f t="shared" si="102"/>
        <v>119.68644415237472</v>
      </c>
      <c r="E299" s="380">
        <f t="shared" si="125"/>
        <v>124.99455747865753</v>
      </c>
      <c r="F299" s="380">
        <f t="shared" si="103"/>
        <v>125.01931236336677</v>
      </c>
      <c r="G299" s="110">
        <f t="shared" si="126"/>
        <v>0.75992469074720814</v>
      </c>
      <c r="H299" s="409" t="b">
        <f>Wh_hp&gt;='2024'!Maxi_hp</f>
        <v>0</v>
      </c>
      <c r="I299" s="375">
        <f>IF(H299,Wh_hp,'2024'!Maxi_hp)</f>
        <v>125.02935085466613</v>
      </c>
      <c r="J299" s="85">
        <f>IF(H299,An,'2024'!An_max)</f>
        <v>2022</v>
      </c>
      <c r="K299" s="193">
        <f t="shared" si="104"/>
        <v>45942</v>
      </c>
      <c r="L299" s="143">
        <f>IF(t&lt;Tvie,1-EXP((T0-t)*PertePVj)+'2024'!Pspv,1-EXP((T0-t)*PertePVj)+Pspv)</f>
        <v>2.0565865121713101E-2</v>
      </c>
      <c r="M299" s="835"/>
      <c r="N299" s="835"/>
      <c r="O299" s="48">
        <f>IF(t&lt;Tnet,'2024'!Resal+('2024'!Salim-'2024'!Resal)*(1-EXP(('2024'!Tnet-t)/('2024'!Tau_j))),Resal+(Salim-Resal)*(1-EXP((Tnet-t)/(Tau_j))))*Salcycl</f>
        <v>4.2466755620052928E-2</v>
      </c>
      <c r="P299" s="165">
        <f>(INDEX(Models!$BJ299:$BT299,,T299)*(1-R299)+INDEX(Models!$BJ299:$BT299,,T299+1)*R299-ERP_i)*Q299*Ramure*Pc/MaxiM</f>
        <v>3.0131515165777707E-4</v>
      </c>
      <c r="Q299" s="301">
        <f t="shared" si="105"/>
        <v>0.5</v>
      </c>
      <c r="R299" s="173">
        <f t="shared" si="106"/>
        <v>0.98664704973079931</v>
      </c>
      <c r="S299" s="801">
        <f t="shared" si="107"/>
        <v>1</v>
      </c>
      <c r="T299" s="172">
        <f t="shared" si="108"/>
        <v>7</v>
      </c>
      <c r="U299" s="247">
        <f t="shared" si="109"/>
        <v>1.9866470497307993</v>
      </c>
      <c r="V299" s="378">
        <f t="shared" si="110"/>
        <v>154.24275298730367</v>
      </c>
      <c r="W299" s="397">
        <f t="shared" si="111"/>
        <v>117.22498888503954</v>
      </c>
      <c r="X299" s="153">
        <f t="shared" si="112"/>
        <v>45942</v>
      </c>
      <c r="Y299" s="380">
        <f t="shared" si="113"/>
        <v>114.56579915566293</v>
      </c>
      <c r="Z299" s="380">
        <f t="shared" si="114"/>
        <v>116.97141755213573</v>
      </c>
      <c r="AA299" s="381">
        <f t="shared" si="115"/>
        <v>124.99455747865753</v>
      </c>
      <c r="AB299" s="193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6.4187914164916565E-2</v>
      </c>
      <c r="AD299" s="227">
        <f>(INDEX(Models!$BJ299:$BT299,,AH299)*(1-AF299)+INDEX(Models!$BJ299:$BT299,,AH299+1)*AF299-ERP_i)*AE299*Ramure*Pc/MaxiM</f>
        <v>3.0131515165777707E-4</v>
      </c>
      <c r="AE299" s="301">
        <f t="shared" si="117"/>
        <v>0.5</v>
      </c>
      <c r="AF299" s="173">
        <f t="shared" si="118"/>
        <v>0.98664704973079931</v>
      </c>
      <c r="AG299" s="801">
        <f t="shared" si="124"/>
        <v>1</v>
      </c>
      <c r="AH299" s="172">
        <f t="shared" si="119"/>
        <v>7</v>
      </c>
      <c r="AI299" s="221">
        <f t="shared" si="120"/>
        <v>1.9866470497307993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45943</v>
      </c>
      <c r="B300" s="406">
        <f>'2024'!Wh/'2024'!Env_an*'2025'!Env_an</f>
        <v>90.634885051230739</v>
      </c>
      <c r="C300" s="385"/>
      <c r="D300" s="388">
        <f t="shared" si="102"/>
        <v>92.539276053456319</v>
      </c>
      <c r="E300" s="380">
        <f t="shared" si="125"/>
        <v>96.645583351309625</v>
      </c>
      <c r="F300" s="380">
        <f t="shared" si="103"/>
        <v>96.658143237946021</v>
      </c>
      <c r="G300" s="110">
        <f t="shared" si="126"/>
        <v>0.59234845686277915</v>
      </c>
      <c r="H300" s="409" t="b">
        <f>Wh_hp&gt;='2024'!Maxi_hp</f>
        <v>0</v>
      </c>
      <c r="I300" s="375">
        <f>IF(H300,Wh_hp,'2024'!Maxi_hp)</f>
        <v>96.671730861785207</v>
      </c>
      <c r="J300" s="85">
        <f>IF(H300,An,'2024'!An_max)</f>
        <v>2022</v>
      </c>
      <c r="K300" s="193">
        <f t="shared" si="104"/>
        <v>45943</v>
      </c>
      <c r="L300" s="143">
        <f>IF(t&lt;Tvie,1-EXP((T0-t)*PertePVj)+'2024'!Pspv,1-EXP((T0-t)*PertePVj)+Pspv)</f>
        <v>2.0579272752528244E-2</v>
      </c>
      <c r="M300" s="835"/>
      <c r="N300" s="835"/>
      <c r="O300" s="48">
        <f>IF(t&lt;Tnet,'2024'!Resal+('2024'!Salim-'2024'!Resal)*(1-EXP(('2024'!Tnet-t)/('2024'!Tau_j))),Resal+(Salim-Resal)*(1-EXP((Tnet-t)/(Tau_j))))*Salcycl</f>
        <v>4.2488307850827987E-2</v>
      </c>
      <c r="P300" s="165">
        <f>(INDEX(Models!$BJ300:$BT300,,T300)*(1-R300)+INDEX(Models!$BJ300:$BT300,,T300+1)*R300-ERP_i)*Q300*Ramure*Pc/MaxiM</f>
        <v>3.1101772904417076E-4</v>
      </c>
      <c r="Q300" s="301">
        <f t="shared" si="105"/>
        <v>0.5</v>
      </c>
      <c r="R300" s="173">
        <f t="shared" si="106"/>
        <v>0.98676903606039357</v>
      </c>
      <c r="S300" s="801">
        <f t="shared" si="107"/>
        <v>1</v>
      </c>
      <c r="T300" s="172">
        <f t="shared" si="108"/>
        <v>7</v>
      </c>
      <c r="U300" s="247">
        <f t="shared" si="109"/>
        <v>1.9867690360603936</v>
      </c>
      <c r="V300" s="378">
        <f t="shared" si="110"/>
        <v>152.98169519798574</v>
      </c>
      <c r="W300" s="397">
        <f t="shared" si="111"/>
        <v>90.634885051230739</v>
      </c>
      <c r="X300" s="153">
        <f t="shared" si="112"/>
        <v>45943</v>
      </c>
      <c r="Y300" s="380">
        <f t="shared" si="113"/>
        <v>88.582182514184083</v>
      </c>
      <c r="Z300" s="380">
        <f t="shared" si="114"/>
        <v>90.443442792079978</v>
      </c>
      <c r="AA300" s="381">
        <f t="shared" si="115"/>
        <v>96.645583351309625</v>
      </c>
      <c r="AB300" s="193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6.4174071324963541E-2</v>
      </c>
      <c r="AD300" s="227">
        <f>(INDEX(Models!$BJ300:$BT300,,AH300)*(1-AF300)+INDEX(Models!$BJ300:$BT300,,AH300+1)*AF300-ERP_i)*AE300*Ramure*Pc/MaxiM</f>
        <v>3.1101772904417076E-4</v>
      </c>
      <c r="AE300" s="301">
        <f t="shared" si="117"/>
        <v>0.5</v>
      </c>
      <c r="AF300" s="173">
        <f t="shared" si="118"/>
        <v>0.98676903606039357</v>
      </c>
      <c r="AG300" s="801">
        <f t="shared" si="124"/>
        <v>1</v>
      </c>
      <c r="AH300" s="172">
        <f t="shared" si="119"/>
        <v>7</v>
      </c>
      <c r="AI300" s="221">
        <f t="shared" si="120"/>
        <v>1.9867690360603936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45944</v>
      </c>
      <c r="B301" s="406">
        <f>'2024'!Wh/'2024'!Env_an*'2025'!Env_an</f>
        <v>80.776709980720199</v>
      </c>
      <c r="C301" s="385"/>
      <c r="D301" s="388">
        <f t="shared" si="102"/>
        <v>82.475093199425004</v>
      </c>
      <c r="E301" s="380">
        <f t="shared" si="125"/>
        <v>86.136694159322175</v>
      </c>
      <c r="F301" s="380">
        <f t="shared" si="103"/>
        <v>86.145847854859412</v>
      </c>
      <c r="G301" s="110">
        <f t="shared" si="126"/>
        <v>0.53229286060415892</v>
      </c>
      <c r="H301" s="409" t="b">
        <f>Wh_hp&gt;='2024'!Maxi_hp</f>
        <v>0</v>
      </c>
      <c r="I301" s="375">
        <f>IF(H301,Wh_hp,'2024'!Maxi_hp)</f>
        <v>86.160128113136821</v>
      </c>
      <c r="J301" s="85">
        <f>IF(H301,An,'2024'!An_max)</f>
        <v>2022</v>
      </c>
      <c r="K301" s="193">
        <f t="shared" si="104"/>
        <v>45944</v>
      </c>
      <c r="L301" s="143">
        <f>IF(t&lt;Tvie,1-EXP((T0-t)*PertePVj)+'2024'!Pspv,1-EXP((T0-t)*PertePVj)+Pspv)</f>
        <v>2.0592680199804203E-2</v>
      </c>
      <c r="M301" s="835"/>
      <c r="N301" s="835"/>
      <c r="O301" s="48">
        <f>IF(t&lt;Tnet,'2024'!Resal+('2024'!Salim-'2024'!Resal)*(1-EXP(('2024'!Tnet-t)/('2024'!Tau_j))),Resal+(Salim-Resal)*(1-EXP((Tnet-t)/(Tau_j))))*Salcycl</f>
        <v>4.250918839681167E-2</v>
      </c>
      <c r="P301" s="165">
        <f>(INDEX(Models!$BJ301:$BT301,,T301)*(1-R301)+INDEX(Models!$BJ301:$BT301,,T301+1)*R301-ERP_i)*Q301*Ramure*Pc/MaxiM</f>
        <v>3.200453486245507E-4</v>
      </c>
      <c r="Q301" s="301">
        <f t="shared" si="105"/>
        <v>0.5</v>
      </c>
      <c r="R301" s="173">
        <f t="shared" si="106"/>
        <v>0.98688616710117438</v>
      </c>
      <c r="S301" s="801">
        <f t="shared" si="107"/>
        <v>1</v>
      </c>
      <c r="T301" s="172">
        <f t="shared" si="108"/>
        <v>7</v>
      </c>
      <c r="U301" s="247">
        <f t="shared" si="109"/>
        <v>1.9868861671011744</v>
      </c>
      <c r="V301" s="378">
        <f t="shared" si="110"/>
        <v>151.71993669920863</v>
      </c>
      <c r="W301" s="397">
        <f t="shared" si="111"/>
        <v>80.776709980720199</v>
      </c>
      <c r="X301" s="153">
        <f t="shared" si="112"/>
        <v>45944</v>
      </c>
      <c r="Y301" s="380">
        <f t="shared" si="113"/>
        <v>78.950242326120375</v>
      </c>
      <c r="Z301" s="380">
        <f t="shared" si="114"/>
        <v>80.610222866444005</v>
      </c>
      <c r="AA301" s="381">
        <f t="shared" si="115"/>
        <v>86.136694159322175</v>
      </c>
      <c r="AB301" s="193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6.4159314991310987E-2</v>
      </c>
      <c r="AD301" s="227">
        <f>(INDEX(Models!$BJ301:$BT301,,AH301)*(1-AF301)+INDEX(Models!$BJ301:$BT301,,AH301+1)*AF301-ERP_i)*AE301*Ramure*Pc/MaxiM</f>
        <v>3.200453486245507E-4</v>
      </c>
      <c r="AE301" s="301">
        <f t="shared" si="117"/>
        <v>0.5</v>
      </c>
      <c r="AF301" s="173">
        <f t="shared" si="118"/>
        <v>0.98688616710117438</v>
      </c>
      <c r="AG301" s="801">
        <f t="shared" si="124"/>
        <v>1</v>
      </c>
      <c r="AH301" s="172">
        <f t="shared" si="119"/>
        <v>7</v>
      </c>
      <c r="AI301" s="221">
        <f t="shared" si="120"/>
        <v>1.9868861671011744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45945</v>
      </c>
      <c r="B302" s="406">
        <f>'2024'!Wh/'2024'!Env_an*'2025'!Env_an</f>
        <v>147.5612430172213</v>
      </c>
      <c r="C302" s="385"/>
      <c r="D302" s="388">
        <f t="shared" si="102"/>
        <v>150.66587726185048</v>
      </c>
      <c r="E302" s="380">
        <f t="shared" si="125"/>
        <v>157.35822948298036</v>
      </c>
      <c r="F302" s="380">
        <f t="shared" si="103"/>
        <v>157.40849876128289</v>
      </c>
      <c r="G302" s="110">
        <f t="shared" si="126"/>
        <v>0.9807383100368694</v>
      </c>
      <c r="H302" s="409" t="b">
        <f>Wh_hp&gt;='2024'!Maxi_hp</f>
        <v>0</v>
      </c>
      <c r="I302" s="375">
        <f>IF(H302,Wh_hp,'2024'!Maxi_hp)</f>
        <v>157.4095998459747</v>
      </c>
      <c r="J302" s="85">
        <f>IF(H302,An,'2024'!An_max)</f>
        <v>2022</v>
      </c>
      <c r="K302" s="193">
        <f t="shared" si="104"/>
        <v>45945</v>
      </c>
      <c r="L302" s="143">
        <f>IF(t&lt;Tvie,1-EXP((T0-t)*PertePVj)+'2024'!Pspv,1-EXP((T0-t)*PertePVj)+Pspv)</f>
        <v>2.0606087463543421E-2</v>
      </c>
      <c r="M302" s="835"/>
      <c r="N302" s="835"/>
      <c r="O302" s="48">
        <f>IF(t&lt;Tnet,'2024'!Resal+('2024'!Salim-'2024'!Resal)*(1-EXP(('2024'!Tnet-t)/('2024'!Tau_j))),Resal+(Salim-Resal)*(1-EXP((Tnet-t)/(Tau_j))))*Salcycl</f>
        <v>4.2529407220190718E-2</v>
      </c>
      <c r="P302" s="165">
        <f>(INDEX(Models!$BJ302:$BT302,,T302)*(1-R302)+INDEX(Models!$BJ302:$BT302,,T302+1)*R302-ERP_i)*Q302*Ramure*Pc/MaxiM</f>
        <v>3.2838753832705939E-4</v>
      </c>
      <c r="Q302" s="301">
        <f t="shared" si="105"/>
        <v>0.5</v>
      </c>
      <c r="R302" s="173">
        <f t="shared" si="106"/>
        <v>0.98699863394054033</v>
      </c>
      <c r="S302" s="801">
        <f t="shared" si="107"/>
        <v>1</v>
      </c>
      <c r="T302" s="172">
        <f t="shared" si="108"/>
        <v>7</v>
      </c>
      <c r="U302" s="247">
        <f t="shared" si="109"/>
        <v>1.9869986339405403</v>
      </c>
      <c r="V302" s="378">
        <f t="shared" si="110"/>
        <v>150.45798487779459</v>
      </c>
      <c r="W302" s="397">
        <f t="shared" si="111"/>
        <v>147.5612430172213</v>
      </c>
      <c r="X302" s="153">
        <f t="shared" si="112"/>
        <v>45945</v>
      </c>
      <c r="Y302" s="380">
        <f t="shared" si="113"/>
        <v>144.23014719497158</v>
      </c>
      <c r="Z302" s="380">
        <f t="shared" si="114"/>
        <v>147.26469640947744</v>
      </c>
      <c r="AA302" s="381">
        <f t="shared" si="115"/>
        <v>157.35822948298036</v>
      </c>
      <c r="AB302" s="193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6.4143661927733034E-2</v>
      </c>
      <c r="AD302" s="227">
        <f>(INDEX(Models!$BJ302:$BT302,,AH302)*(1-AF302)+INDEX(Models!$BJ302:$BT302,,AH302+1)*AF302-ERP_i)*AE302*Ramure*Pc/MaxiM</f>
        <v>3.2838753832705939E-4</v>
      </c>
      <c r="AE302" s="301">
        <f t="shared" si="117"/>
        <v>0.5</v>
      </c>
      <c r="AF302" s="173">
        <f t="shared" si="118"/>
        <v>0.98699863394054033</v>
      </c>
      <c r="AG302" s="801">
        <f t="shared" si="124"/>
        <v>1</v>
      </c>
      <c r="AH302" s="172">
        <f t="shared" si="119"/>
        <v>7</v>
      </c>
      <c r="AI302" s="221">
        <f t="shared" si="120"/>
        <v>1.9869986339405403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45946</v>
      </c>
      <c r="B303" s="406">
        <f>'2024'!Wh/'2024'!Env_an*'2025'!Env_an</f>
        <v>132.30172970043111</v>
      </c>
      <c r="C303" s="385"/>
      <c r="D303" s="388">
        <f t="shared" si="102"/>
        <v>135.08715863074832</v>
      </c>
      <c r="E303" s="380">
        <f t="shared" si="125"/>
        <v>141.09041122277279</v>
      </c>
      <c r="F303" s="380">
        <f t="shared" si="103"/>
        <v>141.13016635513085</v>
      </c>
      <c r="G303" s="110">
        <f t="shared" si="126"/>
        <v>0.88673513769148404</v>
      </c>
      <c r="H303" s="409" t="b">
        <f>Wh_hp&gt;='2024'!Maxi_hp</f>
        <v>0</v>
      </c>
      <c r="I303" s="375">
        <f>IF(H303,Wh_hp,'2024'!Maxi_hp)</f>
        <v>141.13609952426535</v>
      </c>
      <c r="J303" s="85">
        <f>IF(H303,An,'2024'!An_max)</f>
        <v>2022</v>
      </c>
      <c r="K303" s="193">
        <f t="shared" si="104"/>
        <v>45946</v>
      </c>
      <c r="L303" s="143">
        <f>IF(t&lt;Tvie,1-EXP((T0-t)*PertePVj)+'2024'!Pspv,1-EXP((T0-t)*PertePVj)+Pspv)</f>
        <v>2.0619494543748562E-2</v>
      </c>
      <c r="M303" s="835"/>
      <c r="N303" s="835"/>
      <c r="O303" s="48">
        <f>IF(t&lt;Tnet,'2024'!Resal+('2024'!Salim-'2024'!Resal)*(1-EXP(('2024'!Tnet-t)/('2024'!Tau_j))),Resal+(Salim-Resal)*(1-EXP((Tnet-t)/(Tau_j))))*Salcycl</f>
        <v>4.2548976503766184E-2</v>
      </c>
      <c r="P303" s="165">
        <f>(INDEX(Models!$BJ303:$BT303,,T303)*(1-R303)+INDEX(Models!$BJ303:$BT303,,T303+1)*R303-ERP_i)*Q303*Ramure*Pc/MaxiM</f>
        <v>3.3604203732526234E-4</v>
      </c>
      <c r="Q303" s="301">
        <f t="shared" si="105"/>
        <v>0.5</v>
      </c>
      <c r="R303" s="173">
        <f t="shared" si="106"/>
        <v>0.98710662031517327</v>
      </c>
      <c r="S303" s="801">
        <f t="shared" si="107"/>
        <v>1</v>
      </c>
      <c r="T303" s="172">
        <f t="shared" si="108"/>
        <v>7</v>
      </c>
      <c r="U303" s="247">
        <f t="shared" si="109"/>
        <v>1.9871066203151733</v>
      </c>
      <c r="V303" s="378">
        <f t="shared" si="110"/>
        <v>149.19284389131761</v>
      </c>
      <c r="W303" s="397">
        <f t="shared" si="111"/>
        <v>132.30172970043111</v>
      </c>
      <c r="X303" s="153">
        <f t="shared" si="112"/>
        <v>45946</v>
      </c>
      <c r="Y303" s="380">
        <f t="shared" si="113"/>
        <v>129.32003429142833</v>
      </c>
      <c r="Z303" s="380">
        <f t="shared" si="114"/>
        <v>132.04268777147414</v>
      </c>
      <c r="AA303" s="381">
        <f t="shared" si="115"/>
        <v>141.09041122277279</v>
      </c>
      <c r="AB303" s="193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6.4127132190527528E-2</v>
      </c>
      <c r="AD303" s="227">
        <f>(INDEX(Models!$BJ303:$BT303,,AH303)*(1-AF303)+INDEX(Models!$BJ303:$BT303,,AH303+1)*AF303-ERP_i)*AE303*Ramure*Pc/MaxiM</f>
        <v>3.3604203732526234E-4</v>
      </c>
      <c r="AE303" s="301">
        <f t="shared" si="117"/>
        <v>0.5</v>
      </c>
      <c r="AF303" s="173">
        <f t="shared" si="118"/>
        <v>0.98710662031517327</v>
      </c>
      <c r="AG303" s="801">
        <f t="shared" si="124"/>
        <v>1</v>
      </c>
      <c r="AH303" s="172">
        <f t="shared" si="119"/>
        <v>7</v>
      </c>
      <c r="AI303" s="221">
        <f t="shared" si="120"/>
        <v>1.9871066203151733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45947</v>
      </c>
      <c r="B304" s="406">
        <f>'2024'!Wh/'2024'!Env_an*'2025'!Env_an</f>
        <v>84.786980492876708</v>
      </c>
      <c r="C304" s="385"/>
      <c r="D304" s="388">
        <f t="shared" si="102"/>
        <v>86.573237571058598</v>
      </c>
      <c r="E304" s="380">
        <f t="shared" si="125"/>
        <v>90.422327115442513</v>
      </c>
      <c r="F304" s="380">
        <f t="shared" si="103"/>
        <v>90.434565456040701</v>
      </c>
      <c r="G304" s="110">
        <f t="shared" si="126"/>
        <v>0.57306857728833405</v>
      </c>
      <c r="H304" s="409" t="b">
        <f>Wh_hp&gt;='2024'!Maxi_hp</f>
        <v>0</v>
      </c>
      <c r="I304" s="375">
        <f>IF(H304,Wh_hp,'2024'!Maxi_hp)</f>
        <v>90.44932204480186</v>
      </c>
      <c r="J304" s="85">
        <f>IF(H304,An,'2024'!An_max)</f>
        <v>2022</v>
      </c>
      <c r="K304" s="193">
        <f t="shared" si="104"/>
        <v>45947</v>
      </c>
      <c r="L304" s="143">
        <f>IF(t&lt;Tvie,1-EXP((T0-t)*PertePVj)+'2024'!Pspv,1-EXP((T0-t)*PertePVj)+Pspv)</f>
        <v>2.0632901440421958E-2</v>
      </c>
      <c r="M304" s="835"/>
      <c r="N304" s="835"/>
      <c r="O304" s="48">
        <f>IF(t&lt;Tnet,'2024'!Resal+('2024'!Salim-'2024'!Resal)*(1-EXP(('2024'!Tnet-t)/('2024'!Tau_j))),Resal+(Salim-Resal)*(1-EXP((Tnet-t)/(Tau_j))))*Salcycl</f>
        <v>4.2567910682831396E-2</v>
      </c>
      <c r="P304" s="165">
        <f>(INDEX(Models!$BJ304:$BT304,,T304)*(1-R304)+INDEX(Models!$BJ304:$BT304,,T304+1)*R304-ERP_i)*Q304*Ramure*Pc/MaxiM</f>
        <v>3.4675415174255359E-4</v>
      </c>
      <c r="Q304" s="301">
        <f t="shared" si="105"/>
        <v>0.5</v>
      </c>
      <c r="R304" s="173">
        <f t="shared" si="106"/>
        <v>0.98721030288041822</v>
      </c>
      <c r="S304" s="801">
        <f t="shared" si="107"/>
        <v>1</v>
      </c>
      <c r="T304" s="172">
        <f t="shared" si="108"/>
        <v>7</v>
      </c>
      <c r="U304" s="247">
        <f t="shared" si="109"/>
        <v>1.9872103028804182</v>
      </c>
      <c r="V304" s="378">
        <f t="shared" si="110"/>
        <v>147.92130514943679</v>
      </c>
      <c r="W304" s="397">
        <f t="shared" si="111"/>
        <v>84.786980492876708</v>
      </c>
      <c r="X304" s="153">
        <f t="shared" si="112"/>
        <v>45947</v>
      </c>
      <c r="Y304" s="380">
        <f t="shared" si="113"/>
        <v>82.879307395697836</v>
      </c>
      <c r="Z304" s="380">
        <f t="shared" si="114"/>
        <v>84.625374405158269</v>
      </c>
      <c r="AA304" s="381">
        <f t="shared" si="115"/>
        <v>90.422327115442513</v>
      </c>
      <c r="AB304" s="193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6.4109749164973917E-2</v>
      </c>
      <c r="AD304" s="227">
        <f>(INDEX(Models!$BJ304:$BT304,,AH304)*(1-AF304)+INDEX(Models!$BJ304:$BT304,,AH304+1)*AF304-ERP_i)*AE304*Ramure*Pc/MaxiM</f>
        <v>3.4675415174255359E-4</v>
      </c>
      <c r="AE304" s="301">
        <f t="shared" si="117"/>
        <v>0.5</v>
      </c>
      <c r="AF304" s="173">
        <f t="shared" si="118"/>
        <v>0.98721030288041822</v>
      </c>
      <c r="AG304" s="801">
        <f t="shared" si="124"/>
        <v>1</v>
      </c>
      <c r="AH304" s="172">
        <f t="shared" si="119"/>
        <v>7</v>
      </c>
      <c r="AI304" s="221">
        <f t="shared" si="120"/>
        <v>1.9872103028804182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45948</v>
      </c>
      <c r="B305" s="406">
        <f>'2024'!Wh/'2024'!Env_an*'2025'!Env_an</f>
        <v>135.36328311174233</v>
      </c>
      <c r="C305" s="385"/>
      <c r="D305" s="388">
        <f t="shared" si="102"/>
        <v>138.21695291364438</v>
      </c>
      <c r="E305" s="380">
        <f t="shared" si="125"/>
        <v>144.36490964942706</v>
      </c>
      <c r="F305" s="380">
        <f t="shared" si="103"/>
        <v>144.41125434689133</v>
      </c>
      <c r="G305" s="110">
        <f t="shared" si="126"/>
        <v>0.92303504243673029</v>
      </c>
      <c r="H305" s="409" t="b">
        <f>Wh_hp&gt;='2024'!Maxi_hp</f>
        <v>0</v>
      </c>
      <c r="I305" s="375">
        <f>IF(H305,Wh_hp,'2024'!Maxi_hp)</f>
        <v>144.41565792808763</v>
      </c>
      <c r="J305" s="85">
        <f>IF(H305,An,'2024'!An_max)</f>
        <v>2022</v>
      </c>
      <c r="K305" s="193">
        <f t="shared" si="104"/>
        <v>45948</v>
      </c>
      <c r="L305" s="143">
        <f>IF(t&lt;Tvie,1-EXP((T0-t)*PertePVj)+'2024'!Pspv,1-EXP((T0-t)*PertePVj)+Pspv)</f>
        <v>2.0646308153566162E-2</v>
      </c>
      <c r="M305" s="835"/>
      <c r="N305" s="835"/>
      <c r="O305" s="48">
        <f>IF(t&lt;Tnet,'2024'!Resal+('2024'!Salim-'2024'!Resal)*(1-EXP(('2024'!Tnet-t)/('2024'!Tau_j))),Resal+(Salim-Resal)*(1-EXP((Tnet-t)/(Tau_j))))*Salcycl</f>
        <v>4.258622646398124E-2</v>
      </c>
      <c r="P305" s="165">
        <f>(INDEX(Models!$BJ305:$BT305,,T305)*(1-R305)+INDEX(Models!$BJ305:$BT305,,T305+1)*R305-ERP_i)*Q305*Ramure*Pc/MaxiM</f>
        <v>3.6054466582999099E-4</v>
      </c>
      <c r="Q305" s="301">
        <f t="shared" si="105"/>
        <v>0.5</v>
      </c>
      <c r="R305" s="173">
        <f t="shared" si="106"/>
        <v>0.98730985147085848</v>
      </c>
      <c r="S305" s="801">
        <f t="shared" si="107"/>
        <v>1</v>
      </c>
      <c r="T305" s="172">
        <f t="shared" si="108"/>
        <v>7</v>
      </c>
      <c r="U305" s="247">
        <f t="shared" si="109"/>
        <v>1.9873098514708585</v>
      </c>
      <c r="V305" s="378">
        <f t="shared" si="110"/>
        <v>146.64439773657909</v>
      </c>
      <c r="W305" s="397">
        <f t="shared" si="111"/>
        <v>135.36328311174233</v>
      </c>
      <c r="X305" s="153">
        <f t="shared" si="112"/>
        <v>45948</v>
      </c>
      <c r="Y305" s="380">
        <f t="shared" si="113"/>
        <v>132.32276931460592</v>
      </c>
      <c r="Z305" s="380">
        <f t="shared" si="114"/>
        <v>135.11234032837507</v>
      </c>
      <c r="AA305" s="381">
        <f t="shared" si="115"/>
        <v>144.36490964942706</v>
      </c>
      <c r="AB305" s="193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6.4091539582026874E-2</v>
      </c>
      <c r="AD305" s="227">
        <f>(INDEX(Models!$BJ305:$BT305,,AH305)*(1-AF305)+INDEX(Models!$BJ305:$BT305,,AH305+1)*AF305-ERP_i)*AE305*Ramure*Pc/MaxiM</f>
        <v>3.6054466582999099E-4</v>
      </c>
      <c r="AE305" s="301">
        <f t="shared" si="117"/>
        <v>0.5</v>
      </c>
      <c r="AF305" s="173">
        <f t="shared" si="118"/>
        <v>0.98730985147085848</v>
      </c>
      <c r="AG305" s="801">
        <f t="shared" si="124"/>
        <v>1</v>
      </c>
      <c r="AH305" s="172">
        <f t="shared" si="119"/>
        <v>7</v>
      </c>
      <c r="AI305" s="221">
        <f t="shared" si="120"/>
        <v>1.9873098514708585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45949</v>
      </c>
      <c r="B306" s="406">
        <f>'2024'!Wh/'2024'!Env_an*'2025'!Env_an</f>
        <v>59.749486627806526</v>
      </c>
      <c r="C306" s="385"/>
      <c r="D306" s="388">
        <f t="shared" si="102"/>
        <v>61.009934466728886</v>
      </c>
      <c r="E306" s="380">
        <f t="shared" si="125"/>
        <v>63.72486497081519</v>
      </c>
      <c r="F306" s="380">
        <f t="shared" si="103"/>
        <v>63.728680455382055</v>
      </c>
      <c r="G306" s="110">
        <f t="shared" si="126"/>
        <v>0.41090545324506905</v>
      </c>
      <c r="H306" s="409" t="b">
        <f>Wh_hp&gt;='2024'!Maxi_hp</f>
        <v>0</v>
      </c>
      <c r="I306" s="375">
        <f>IF(H306,Wh_hp,'2024'!Maxi_hp)</f>
        <v>63.744201053360378</v>
      </c>
      <c r="J306" s="85">
        <f>IF(H306,An,'2024'!An_max)</f>
        <v>2022</v>
      </c>
      <c r="K306" s="193">
        <f t="shared" si="104"/>
        <v>45949</v>
      </c>
      <c r="L306" s="143">
        <f>IF(t&lt;Tvie,1-EXP((T0-t)*PertePVj)+'2024'!Pspv,1-EXP((T0-t)*PertePVj)+Pspv)</f>
        <v>2.0659714683183839E-2</v>
      </c>
      <c r="M306" s="835"/>
      <c r="N306" s="835"/>
      <c r="O306" s="48">
        <f>IF(t&lt;Tnet,'2024'!Resal+('2024'!Salim-'2024'!Resal)*(1-EXP(('2024'!Tnet-t)/('2024'!Tau_j))),Resal+(Salim-Resal)*(1-EXP((Tnet-t)/(Tau_j))))*Salcycl</f>
        <v>4.2603942830317362E-2</v>
      </c>
      <c r="P306" s="165">
        <f>(INDEX(Models!$BJ306:$BT306,,T306)*(1-R306)+INDEX(Models!$BJ306:$BT306,,T306+1)*R306-ERP_i)*Q306*Ramure*Pc/MaxiM</f>
        <v>3.7744096238280484E-4</v>
      </c>
      <c r="Q306" s="301">
        <f t="shared" si="105"/>
        <v>0.5</v>
      </c>
      <c r="R306" s="173">
        <f t="shared" si="106"/>
        <v>0.9874054293522887</v>
      </c>
      <c r="S306" s="801">
        <f t="shared" si="107"/>
        <v>1</v>
      </c>
      <c r="T306" s="172">
        <f t="shared" si="108"/>
        <v>7</v>
      </c>
      <c r="U306" s="247">
        <f t="shared" si="109"/>
        <v>1.9874054293522887</v>
      </c>
      <c r="V306" s="378">
        <f t="shared" si="110"/>
        <v>145.36314951157095</v>
      </c>
      <c r="W306" s="397">
        <f t="shared" si="111"/>
        <v>59.749486627806526</v>
      </c>
      <c r="X306" s="153">
        <f t="shared" si="112"/>
        <v>45949</v>
      </c>
      <c r="Y306" s="380">
        <f t="shared" si="113"/>
        <v>58.409667790661004</v>
      </c>
      <c r="Z306" s="380">
        <f t="shared" si="114"/>
        <v>59.641851424263123</v>
      </c>
      <c r="AA306" s="381">
        <f t="shared" si="115"/>
        <v>63.72486497081519</v>
      </c>
      <c r="AB306" s="193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6.4072533514539537E-2</v>
      </c>
      <c r="AD306" s="227">
        <f>(INDEX(Models!$BJ306:$BT306,,AH306)*(1-AF306)+INDEX(Models!$BJ306:$BT306,,AH306+1)*AF306-ERP_i)*AE306*Ramure*Pc/MaxiM</f>
        <v>3.7744096238280484E-4</v>
      </c>
      <c r="AE306" s="301">
        <f t="shared" si="117"/>
        <v>0.5</v>
      </c>
      <c r="AF306" s="173">
        <f t="shared" si="118"/>
        <v>0.9874054293522887</v>
      </c>
      <c r="AG306" s="801">
        <f t="shared" si="124"/>
        <v>1</v>
      </c>
      <c r="AH306" s="172">
        <f t="shared" si="119"/>
        <v>7</v>
      </c>
      <c r="AI306" s="221">
        <f t="shared" si="120"/>
        <v>1.9874054293522887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45950</v>
      </c>
      <c r="B307" s="406">
        <f>'2024'!Wh/'2024'!Env_an*'2025'!Env_an</f>
        <v>38.024366225760126</v>
      </c>
      <c r="C307" s="385"/>
      <c r="D307" s="388">
        <f t="shared" si="102"/>
        <v>38.827042371923788</v>
      </c>
      <c r="E307" s="380">
        <f t="shared" si="125"/>
        <v>40.555564367139134</v>
      </c>
      <c r="F307" s="380">
        <f t="shared" si="103"/>
        <v>40.555564367139134</v>
      </c>
      <c r="G307" s="110">
        <f t="shared" si="126"/>
        <v>0.26380916947350824</v>
      </c>
      <c r="H307" s="409" t="b">
        <f>Wh_hp&gt;='2024'!Maxi_hp</f>
        <v>0</v>
      </c>
      <c r="I307" s="375">
        <f>IF(H307,Wh_hp,'2024'!Maxi_hp)</f>
        <v>40.567878446480144</v>
      </c>
      <c r="J307" s="85">
        <f>IF(H307,An,'2024'!An_max)</f>
        <v>2022</v>
      </c>
      <c r="K307" s="193">
        <f t="shared" si="104"/>
        <v>45950</v>
      </c>
      <c r="L307" s="143">
        <f>IF(t&lt;Tvie,1-EXP((T0-t)*PertePVj)+'2024'!Pspv,1-EXP((T0-t)*PertePVj)+Pspv)</f>
        <v>2.0673121029277319E-2</v>
      </c>
      <c r="M307" s="835"/>
      <c r="N307" s="835"/>
      <c r="O307" s="48">
        <f>IF(t&lt;Tnet,'2024'!Resal+('2024'!Salim-'2024'!Resal)*(1-EXP(('2024'!Tnet-t)/('2024'!Tau_j))),Resal+(Salim-Resal)*(1-EXP((Tnet-t)/(Tau_j))))*Salcycl</f>
        <v>4.2621081032616803E-2</v>
      </c>
      <c r="P307" s="165">
        <f>(INDEX(Models!$BJ307:$BT307,,T307)*(1-R307)+INDEX(Models!$BJ307:$BT307,,T307+1)*R307-ERP_i)*Q307*Ramure*Pc/MaxiM</f>
        <v>3.9746959637346321E-4</v>
      </c>
      <c r="Q307" s="301">
        <f t="shared" si="105"/>
        <v>0.5</v>
      </c>
      <c r="R307" s="173">
        <f t="shared" si="106"/>
        <v>0.98749719346528209</v>
      </c>
      <c r="S307" s="801">
        <f t="shared" si="107"/>
        <v>1</v>
      </c>
      <c r="T307" s="172">
        <f t="shared" si="108"/>
        <v>7</v>
      </c>
      <c r="U307" s="247">
        <f t="shared" si="109"/>
        <v>1.9874971934652821</v>
      </c>
      <c r="V307" s="378">
        <f t="shared" si="110"/>
        <v>144.07858821632396</v>
      </c>
      <c r="W307" s="397">
        <f t="shared" si="111"/>
        <v>38.024366225760126</v>
      </c>
      <c r="X307" s="153">
        <f t="shared" si="112"/>
        <v>45950</v>
      </c>
      <c r="Y307" s="380">
        <f t="shared" si="113"/>
        <v>37.173160752939062</v>
      </c>
      <c r="Z307" s="380">
        <f t="shared" si="114"/>
        <v>37.957868359549401</v>
      </c>
      <c r="AA307" s="381">
        <f t="shared" si="115"/>
        <v>40.555564367139134</v>
      </c>
      <c r="AB307" s="193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6.4052764352468497E-2</v>
      </c>
      <c r="AD307" s="227">
        <f>(INDEX(Models!$BJ307:$BT307,,AH307)*(1-AF307)+INDEX(Models!$BJ307:$BT307,,AH307+1)*AF307-ERP_i)*AE307*Ramure*Pc/MaxiM</f>
        <v>3.9746959637346321E-4</v>
      </c>
      <c r="AE307" s="301">
        <f t="shared" si="117"/>
        <v>0.5</v>
      </c>
      <c r="AF307" s="173">
        <f t="shared" si="118"/>
        <v>0.98749719346528209</v>
      </c>
      <c r="AG307" s="801">
        <f t="shared" si="124"/>
        <v>1</v>
      </c>
      <c r="AH307" s="172">
        <f t="shared" si="119"/>
        <v>7</v>
      </c>
      <c r="AI307" s="221">
        <f t="shared" si="120"/>
        <v>1.9874971934652821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45951</v>
      </c>
      <c r="B308" s="406">
        <f>'2024'!Wh/'2024'!Env_an*'2025'!Env_an</f>
        <v>61.960530855668708</v>
      </c>
      <c r="C308" s="385"/>
      <c r="D308" s="388">
        <f t="shared" si="102"/>
        <v>63.269354069028395</v>
      </c>
      <c r="E308" s="380">
        <f t="shared" si="125"/>
        <v>66.087156061300249</v>
      </c>
      <c r="F308" s="380">
        <f t="shared" si="103"/>
        <v>66.092475115413492</v>
      </c>
      <c r="G308" s="110">
        <f t="shared" si="126"/>
        <v>0.43377474746460404</v>
      </c>
      <c r="H308" s="409" t="b">
        <f>Wh_hp&gt;='2024'!Maxi_hp</f>
        <v>0</v>
      </c>
      <c r="I308" s="375">
        <f>IF(H308,Wh_hp,'2024'!Maxi_hp)</f>
        <v>66.109579565729476</v>
      </c>
      <c r="J308" s="85">
        <f>IF(H308,An,'2024'!An_max)</f>
        <v>2022</v>
      </c>
      <c r="K308" s="193">
        <f t="shared" si="104"/>
        <v>45951</v>
      </c>
      <c r="L308" s="143">
        <f>IF(t&lt;Tvie,1-EXP((T0-t)*PertePVj)+'2024'!Pspv,1-EXP((T0-t)*PertePVj)+Pspv)</f>
        <v>2.0686527191849158E-2</v>
      </c>
      <c r="M308" s="835"/>
      <c r="N308" s="835"/>
      <c r="O308" s="48">
        <f>IF(t&lt;Tnet,'2024'!Resal+('2024'!Salim-'2024'!Resal)*(1-EXP(('2024'!Tnet-t)/('2024'!Tau_j))),Resal+(Salim-Resal)*(1-EXP((Tnet-t)/(Tau_j))))*Salcycl</f>
        <v>4.2637664566139863E-2</v>
      </c>
      <c r="P308" s="165">
        <f>(INDEX(Models!$BJ308:$BT308,,T308)*(1-R308)+INDEX(Models!$BJ308:$BT308,,T308+1)*R308-ERP_i)*Q308*Ramure*Pc/MaxiM</f>
        <v>4.2065621185595335E-4</v>
      </c>
      <c r="Q308" s="301">
        <f t="shared" si="105"/>
        <v>0.5</v>
      </c>
      <c r="R308" s="173">
        <f t="shared" si="106"/>
        <v>0.98758529466056744</v>
      </c>
      <c r="S308" s="801">
        <f t="shared" si="107"/>
        <v>1</v>
      </c>
      <c r="T308" s="172">
        <f t="shared" si="108"/>
        <v>7</v>
      </c>
      <c r="U308" s="247">
        <f t="shared" si="109"/>
        <v>1.9875852946605674</v>
      </c>
      <c r="V308" s="378">
        <f t="shared" si="110"/>
        <v>142.79174147084208</v>
      </c>
      <c r="W308" s="397">
        <f t="shared" si="111"/>
        <v>61.960530855668708</v>
      </c>
      <c r="X308" s="153">
        <f t="shared" si="112"/>
        <v>45951</v>
      </c>
      <c r="Y308" s="380">
        <f t="shared" si="113"/>
        <v>60.575871167242724</v>
      </c>
      <c r="Z308" s="380">
        <f t="shared" si="114"/>
        <v>61.855445523018595</v>
      </c>
      <c r="AA308" s="381">
        <f t="shared" si="115"/>
        <v>66.087156061300249</v>
      </c>
      <c r="AB308" s="193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6.4032268756677363E-2</v>
      </c>
      <c r="AD308" s="227">
        <f>(INDEX(Models!$BJ308:$BT308,,AH308)*(1-AF308)+INDEX(Models!$BJ308:$BT308,,AH308+1)*AF308-ERP_i)*AE308*Ramure*Pc/MaxiM</f>
        <v>4.2065621185595335E-4</v>
      </c>
      <c r="AE308" s="301">
        <f t="shared" si="117"/>
        <v>0.5</v>
      </c>
      <c r="AF308" s="173">
        <f t="shared" si="118"/>
        <v>0.98758529466056744</v>
      </c>
      <c r="AG308" s="801">
        <f t="shared" si="124"/>
        <v>1</v>
      </c>
      <c r="AH308" s="172">
        <f t="shared" si="119"/>
        <v>7</v>
      </c>
      <c r="AI308" s="221">
        <f t="shared" si="120"/>
        <v>1.9875852946605674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45952</v>
      </c>
      <c r="B309" s="406">
        <f>'2024'!Wh/'2024'!Env_an*'2025'!Env_an</f>
        <v>129.86645104570678</v>
      </c>
      <c r="C309" s="385"/>
      <c r="D309" s="388">
        <f t="shared" si="102"/>
        <v>132.61150023833332</v>
      </c>
      <c r="E309" s="380">
        <f t="shared" si="125"/>
        <v>138.51988866371124</v>
      </c>
      <c r="F309" s="380">
        <f t="shared" si="103"/>
        <v>138.57455725450427</v>
      </c>
      <c r="G309" s="110">
        <f t="shared" si="126"/>
        <v>0.91771229969870383</v>
      </c>
      <c r="H309" s="409" t="b">
        <f>Wh_hp&gt;='2024'!Maxi_hp</f>
        <v>0</v>
      </c>
      <c r="I309" s="375">
        <f>IF(H309,Wh_hp,'2024'!Maxi_hp)</f>
        <v>138.58007051254708</v>
      </c>
      <c r="J309" s="85">
        <f>IF(H309,An,'2024'!An_max)</f>
        <v>2022</v>
      </c>
      <c r="K309" s="193">
        <f t="shared" si="104"/>
        <v>45952</v>
      </c>
      <c r="L309" s="143">
        <f>IF(t&lt;Tvie,1-EXP((T0-t)*PertePVj)+'2024'!Pspv,1-EXP((T0-t)*PertePVj)+Pspv)</f>
        <v>2.0699933170901907E-2</v>
      </c>
      <c r="M309" s="835"/>
      <c r="N309" s="835"/>
      <c r="O309" s="48">
        <f>IF(t&lt;Tnet,'2024'!Resal+('2024'!Salim-'2024'!Resal)*(1-EXP(('2024'!Tnet-t)/('2024'!Tau_j))),Resal+(Salim-Resal)*(1-EXP((Tnet-t)/(Tau_j))))*Salcycl</f>
        <v>4.2653719132866752E-2</v>
      </c>
      <c r="P309" s="165">
        <f>(INDEX(Models!$BJ309:$BT309,,T309)*(1-R309)+INDEX(Models!$BJ309:$BT309,,T309+1)*R309-ERP_i)*Q309*Ramure*Pc/MaxiM</f>
        <v>4.4702547231671572E-4</v>
      </c>
      <c r="Q309" s="301">
        <f t="shared" si="105"/>
        <v>0.5</v>
      </c>
      <c r="R309" s="173">
        <f t="shared" si="106"/>
        <v>0.98766987792641325</v>
      </c>
      <c r="S309" s="801">
        <f t="shared" si="107"/>
        <v>1</v>
      </c>
      <c r="T309" s="172">
        <f t="shared" si="108"/>
        <v>7</v>
      </c>
      <c r="U309" s="247">
        <f t="shared" si="109"/>
        <v>1.9876698779264133</v>
      </c>
      <c r="V309" s="378">
        <f t="shared" si="110"/>
        <v>141.50363678196186</v>
      </c>
      <c r="W309" s="397">
        <f t="shared" si="111"/>
        <v>129.86645104570678</v>
      </c>
      <c r="X309" s="153">
        <f t="shared" si="112"/>
        <v>45952</v>
      </c>
      <c r="Y309" s="380">
        <f t="shared" si="113"/>
        <v>126.96926998289301</v>
      </c>
      <c r="Z309" s="380">
        <f t="shared" si="114"/>
        <v>129.65308007586501</v>
      </c>
      <c r="AA309" s="381">
        <f t="shared" si="115"/>
        <v>138.51988866371124</v>
      </c>
      <c r="AB309" s="193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6.4011086591128113E-2</v>
      </c>
      <c r="AD309" s="227">
        <f>(INDEX(Models!$BJ309:$BT309,,AH309)*(1-AF309)+INDEX(Models!$BJ309:$BT309,,AH309+1)*AF309-ERP_i)*AE309*Ramure*Pc/MaxiM</f>
        <v>4.4702547231671572E-4</v>
      </c>
      <c r="AE309" s="301">
        <f t="shared" si="117"/>
        <v>0.5</v>
      </c>
      <c r="AF309" s="173">
        <f t="shared" si="118"/>
        <v>0.98766987792641325</v>
      </c>
      <c r="AG309" s="801">
        <f t="shared" si="124"/>
        <v>1</v>
      </c>
      <c r="AH309" s="172">
        <f t="shared" si="119"/>
        <v>7</v>
      </c>
      <c r="AI309" s="221">
        <f t="shared" si="120"/>
        <v>1.9876698779264133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45953</v>
      </c>
      <c r="B310" s="406">
        <f>'2024'!Wh/'2024'!Env_an*'2025'!Env_an</f>
        <v>78.874171893601741</v>
      </c>
      <c r="C310" s="385"/>
      <c r="D310" s="388">
        <f t="shared" si="102"/>
        <v>80.542475489614148</v>
      </c>
      <c r="E310" s="380">
        <f t="shared" si="125"/>
        <v>84.132341293837499</v>
      </c>
      <c r="F310" s="380">
        <f t="shared" si="103"/>
        <v>84.147537607762004</v>
      </c>
      <c r="G310" s="110">
        <f t="shared" si="126"/>
        <v>0.56235531567829122</v>
      </c>
      <c r="H310" s="409" t="b">
        <f>Wh_hp&gt;='2024'!Maxi_hp</f>
        <v>0</v>
      </c>
      <c r="I310" s="375">
        <f>IF(H310,Wh_hp,'2024'!Maxi_hp)</f>
        <v>84.166642562822275</v>
      </c>
      <c r="J310" s="85">
        <f>IF(H310,An,'2024'!An_max)</f>
        <v>2022</v>
      </c>
      <c r="K310" s="193">
        <f t="shared" si="104"/>
        <v>45953</v>
      </c>
      <c r="L310" s="143">
        <f>IF(t&lt;Tvie,1-EXP((T0-t)*PertePVj)+'2024'!Pspv,1-EXP((T0-t)*PertePVj)+Pspv)</f>
        <v>2.0713338966438011E-2</v>
      </c>
      <c r="M310" s="835"/>
      <c r="N310" s="835"/>
      <c r="O310" s="48">
        <f>IF(t&lt;Tnet,'2024'!Resal+('2024'!Salim-'2024'!Resal)*(1-EXP(('2024'!Tnet-t)/('2024'!Tau_j))),Resal+(Salim-Resal)*(1-EXP((Tnet-t)/(Tau_j))))*Salcycl</f>
        <v>4.2669272589069128E-2</v>
      </c>
      <c r="P310" s="165">
        <f>(INDEX(Models!$BJ310:$BT310,,T310)*(1-R310)+INDEX(Models!$BJ310:$BT310,,T310+1)*R310-ERP_i)*Q310*Ramure*Pc/MaxiM</f>
        <v>4.8153163649351539E-4</v>
      </c>
      <c r="Q310" s="301">
        <f t="shared" si="105"/>
        <v>0.5</v>
      </c>
      <c r="R310" s="173">
        <f t="shared" si="106"/>
        <v>0.98775108260823519</v>
      </c>
      <c r="S310" s="801">
        <f t="shared" si="107"/>
        <v>1</v>
      </c>
      <c r="T310" s="172">
        <f t="shared" si="108"/>
        <v>7</v>
      </c>
      <c r="U310" s="247">
        <f t="shared" si="109"/>
        <v>1.9877510826082352</v>
      </c>
      <c r="V310" s="378">
        <f t="shared" si="110"/>
        <v>140.21460985386273</v>
      </c>
      <c r="W310" s="397">
        <f t="shared" si="111"/>
        <v>78.874171893601741</v>
      </c>
      <c r="X310" s="153">
        <f t="shared" si="112"/>
        <v>45953</v>
      </c>
      <c r="Y310" s="380">
        <f t="shared" si="113"/>
        <v>77.117624893274396</v>
      </c>
      <c r="Z310" s="380">
        <f t="shared" si="114"/>
        <v>78.748774962259418</v>
      </c>
      <c r="AA310" s="381">
        <f t="shared" si="115"/>
        <v>84.132341293837499</v>
      </c>
      <c r="AB310" s="193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6.398926083342478E-2</v>
      </c>
      <c r="AD310" s="227">
        <f>(INDEX(Models!$BJ310:$BT310,,AH310)*(1-AF310)+INDEX(Models!$BJ310:$BT310,,AH310+1)*AF310-ERP_i)*AE310*Ramure*Pc/MaxiM</f>
        <v>4.8153163649351539E-4</v>
      </c>
      <c r="AE310" s="301">
        <f t="shared" si="117"/>
        <v>0.5</v>
      </c>
      <c r="AF310" s="173">
        <f t="shared" si="118"/>
        <v>0.98775108260823519</v>
      </c>
      <c r="AG310" s="801">
        <f t="shared" si="124"/>
        <v>1</v>
      </c>
      <c r="AH310" s="172">
        <f t="shared" si="119"/>
        <v>7</v>
      </c>
      <c r="AI310" s="221">
        <f t="shared" si="120"/>
        <v>1.9877510826082352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45954</v>
      </c>
      <c r="B311" s="406">
        <f>'2024'!Wh/'2024'!Env_an*'2025'!Env_an</f>
        <v>101.45630762647293</v>
      </c>
      <c r="C311" s="385"/>
      <c r="D311" s="388">
        <f t="shared" si="102"/>
        <v>103.60367452575824</v>
      </c>
      <c r="E311" s="380">
        <f t="shared" si="125"/>
        <v>108.22310807694083</v>
      </c>
      <c r="F311" s="380">
        <f t="shared" si="103"/>
        <v>108.25804462882567</v>
      </c>
      <c r="G311" s="110">
        <f t="shared" si="126"/>
        <v>0.73014463393641449</v>
      </c>
      <c r="H311" s="409" t="b">
        <f>Wh_hp&gt;='2024'!Maxi_hp</f>
        <v>0</v>
      </c>
      <c r="I311" s="375">
        <f>IF(H311,Wh_hp,'2024'!Maxi_hp)</f>
        <v>108.27450579494256</v>
      </c>
      <c r="J311" s="85">
        <f>IF(H311,An,'2024'!An_max)</f>
        <v>2022</v>
      </c>
      <c r="K311" s="193">
        <f t="shared" si="104"/>
        <v>45954</v>
      </c>
      <c r="L311" s="143">
        <f>IF(t&lt;Tvie,1-EXP((T0-t)*PertePVj)+'2024'!Pspv,1-EXP((T0-t)*PertePVj)+Pspv)</f>
        <v>2.0726744578460132E-2</v>
      </c>
      <c r="M311" s="835"/>
      <c r="N311" s="835"/>
      <c r="O311" s="48">
        <f>IF(t&lt;Tnet,'2024'!Resal+('2024'!Salim-'2024'!Resal)*(1-EXP(('2024'!Tnet-t)/('2024'!Tau_j))),Resal+(Salim-Resal)*(1-EXP((Tnet-t)/(Tau_j))))*Salcycl</f>
        <v>4.2684354878243069E-2</v>
      </c>
      <c r="P311" s="165">
        <f>(INDEX(Models!$BJ311:$BT311,,T311)*(1-R311)+INDEX(Models!$BJ311:$BT311,,T311+1)*R311-ERP_i)*Q311*Ramure*Pc/MaxiM</f>
        <v>5.249938566648432E-4</v>
      </c>
      <c r="Q311" s="301">
        <f t="shared" si="105"/>
        <v>0.5</v>
      </c>
      <c r="R311" s="173">
        <f t="shared" si="106"/>
        <v>0.98782904262062776</v>
      </c>
      <c r="S311" s="801">
        <f t="shared" si="107"/>
        <v>1</v>
      </c>
      <c r="T311" s="172">
        <f t="shared" si="108"/>
        <v>7</v>
      </c>
      <c r="U311" s="247">
        <f t="shared" si="109"/>
        <v>1.9878290426206278</v>
      </c>
      <c r="V311" s="378">
        <f t="shared" si="110"/>
        <v>138.92559620973634</v>
      </c>
      <c r="W311" s="397">
        <f t="shared" si="111"/>
        <v>101.45630762647293</v>
      </c>
      <c r="X311" s="153">
        <f t="shared" si="112"/>
        <v>45954</v>
      </c>
      <c r="Y311" s="380">
        <f t="shared" si="113"/>
        <v>99.200790220835913</v>
      </c>
      <c r="Z311" s="380">
        <f t="shared" si="114"/>
        <v>101.30041811275009</v>
      </c>
      <c r="AA311" s="381">
        <f t="shared" si="115"/>
        <v>108.22310807694083</v>
      </c>
      <c r="AB311" s="193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6.3966837463853579E-2</v>
      </c>
      <c r="AD311" s="227">
        <f>(INDEX(Models!$BJ311:$BT311,,AH311)*(1-AF311)+INDEX(Models!$BJ311:$BT311,,AH311+1)*AF311-ERP_i)*AE311*Ramure*Pc/MaxiM</f>
        <v>5.249938566648432E-4</v>
      </c>
      <c r="AE311" s="301">
        <f t="shared" si="117"/>
        <v>0.5</v>
      </c>
      <c r="AF311" s="173">
        <f t="shared" si="118"/>
        <v>0.98782904262062776</v>
      </c>
      <c r="AG311" s="801">
        <f t="shared" si="124"/>
        <v>1</v>
      </c>
      <c r="AH311" s="172">
        <f t="shared" si="119"/>
        <v>7</v>
      </c>
      <c r="AI311" s="221">
        <f t="shared" si="120"/>
        <v>1.9878290426206278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45955</v>
      </c>
      <c r="B312" s="406">
        <f>'2024'!Wh/'2024'!Env_an*'2025'!Env_an</f>
        <v>87.738578595595342</v>
      </c>
      <c r="C312" s="385"/>
      <c r="D312" s="388">
        <f t="shared" si="102"/>
        <v>89.596830296085244</v>
      </c>
      <c r="E312" s="380">
        <f t="shared" si="125"/>
        <v>93.593164641191507</v>
      </c>
      <c r="F312" s="380">
        <f t="shared" si="103"/>
        <v>93.619228192576173</v>
      </c>
      <c r="G312" s="110">
        <f t="shared" si="126"/>
        <v>0.63726994522745462</v>
      </c>
      <c r="H312" s="409" t="b">
        <f>Wh_hp&gt;='2024'!Maxi_hp</f>
        <v>0</v>
      </c>
      <c r="I312" s="375">
        <f>IF(H312,Wh_hp,'2024'!Maxi_hp)</f>
        <v>93.640209590302121</v>
      </c>
      <c r="J312" s="85">
        <f>IF(H312,An,'2024'!An_max)</f>
        <v>2022</v>
      </c>
      <c r="K312" s="193">
        <f t="shared" si="104"/>
        <v>45955</v>
      </c>
      <c r="L312" s="143">
        <f>IF(t&lt;Tvie,1-EXP((T0-t)*PertePVj)+'2024'!Pspv,1-EXP((T0-t)*PertePVj)+Pspv)</f>
        <v>2.0740150006970604E-2</v>
      </c>
      <c r="M312" s="835"/>
      <c r="N312" s="835"/>
      <c r="O312" s="48">
        <f>IF(t&lt;Tnet,'2024'!Resal+('2024'!Salim-'2024'!Resal)*(1-EXP(('2024'!Tnet-t)/('2024'!Tau_j))),Resal+(Salim-Resal)*(1-EXP((Tnet-t)/(Tau_j))))*Salcycl</f>
        <v>4.2698997949551454E-2</v>
      </c>
      <c r="P312" s="165">
        <f>(INDEX(Models!$BJ312:$BT312,,T312)*(1-R312)+INDEX(Models!$BJ312:$BT312,,T312+1)*R312-ERP_i)*Q312*Ramure*Pc/MaxiM</f>
        <v>5.7748861832328333E-4</v>
      </c>
      <c r="Q312" s="301">
        <f t="shared" si="105"/>
        <v>0.5</v>
      </c>
      <c r="R312" s="173">
        <f t="shared" si="106"/>
        <v>0.98790388665203599</v>
      </c>
      <c r="S312" s="801">
        <f t="shared" si="107"/>
        <v>1</v>
      </c>
      <c r="T312" s="172">
        <f t="shared" si="108"/>
        <v>7</v>
      </c>
      <c r="U312" s="247">
        <f t="shared" si="109"/>
        <v>1.987903886652036</v>
      </c>
      <c r="V312" s="378">
        <f t="shared" si="110"/>
        <v>137.63763738649763</v>
      </c>
      <c r="W312" s="397">
        <f t="shared" si="111"/>
        <v>87.738578595595342</v>
      </c>
      <c r="X312" s="153">
        <f t="shared" si="112"/>
        <v>45955</v>
      </c>
      <c r="Y312" s="380">
        <f t="shared" si="113"/>
        <v>85.791443407493944</v>
      </c>
      <c r="Z312" s="380">
        <f t="shared" si="114"/>
        <v>87.608455925262973</v>
      </c>
      <c r="AA312" s="381">
        <f t="shared" si="115"/>
        <v>93.593164641191507</v>
      </c>
      <c r="AB312" s="193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6.3943865333244448E-2</v>
      </c>
      <c r="AD312" s="227">
        <f>(INDEX(Models!$BJ312:$BT312,,AH312)*(1-AF312)+INDEX(Models!$BJ312:$BT312,,AH312+1)*AF312-ERP_i)*AE312*Ramure*Pc/MaxiM</f>
        <v>5.7748861832328333E-4</v>
      </c>
      <c r="AE312" s="301">
        <f t="shared" si="117"/>
        <v>0.5</v>
      </c>
      <c r="AF312" s="173">
        <f t="shared" si="118"/>
        <v>0.98790388665203599</v>
      </c>
      <c r="AG312" s="801">
        <f t="shared" si="124"/>
        <v>1</v>
      </c>
      <c r="AH312" s="172">
        <f t="shared" si="119"/>
        <v>7</v>
      </c>
      <c r="AI312" s="221">
        <f t="shared" si="120"/>
        <v>1.987903886652036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45956</v>
      </c>
      <c r="B313" s="406">
        <f>'2024'!Wh/'2024'!Env_an*'2025'!Env_an</f>
        <v>57.942840608816915</v>
      </c>
      <c r="C313" s="385"/>
      <c r="D313" s="388">
        <f t="shared" si="102"/>
        <v>59.170846031232024</v>
      </c>
      <c r="E313" s="380">
        <f t="shared" si="125"/>
        <v>61.810993565918274</v>
      </c>
      <c r="F313" s="380">
        <f t="shared" si="103"/>
        <v>61.818045649966535</v>
      </c>
      <c r="G313" s="110">
        <f t="shared" si="126"/>
        <v>0.42472799791609195</v>
      </c>
      <c r="H313" s="409" t="b">
        <f>Wh_hp&gt;='2024'!Maxi_hp</f>
        <v>0</v>
      </c>
      <c r="I313" s="375">
        <f>IF(H313,Wh_hp,'2024'!Maxi_hp)</f>
        <v>61.842299177452915</v>
      </c>
      <c r="J313" s="85">
        <f>IF(H313,An,'2024'!An_max)</f>
        <v>2022</v>
      </c>
      <c r="K313" s="193">
        <f t="shared" si="104"/>
        <v>45956</v>
      </c>
      <c r="L313" s="143">
        <f>IF(t&lt;Tvie,1-EXP((T0-t)*PertePVj)+'2024'!Pspv,1-EXP((T0-t)*PertePVj)+Pspv)</f>
        <v>2.0753555251972089E-2</v>
      </c>
      <c r="M313" s="835"/>
      <c r="N313" s="835"/>
      <c r="O313" s="48">
        <f>IF(t&lt;Tnet,'2024'!Resal+('2024'!Salim-'2024'!Resal)*(1-EXP(('2024'!Tnet-t)/('2024'!Tau_j))),Resal+(Salim-Resal)*(1-EXP((Tnet-t)/(Tau_j))))*Salcycl</f>
        <v>4.2713235662045546E-2</v>
      </c>
      <c r="P313" s="165">
        <f>(INDEX(Models!$BJ313:$BT313,,T313)*(1-R313)+INDEX(Models!$BJ313:$BT313,,T313+1)*R313-ERP_i)*Q313*Ramure*Pc/MaxiM</f>
        <v>6.3908713136415923E-4</v>
      </c>
      <c r="Q313" s="301">
        <f t="shared" si="105"/>
        <v>0.5</v>
      </c>
      <c r="R313" s="173">
        <f t="shared" si="106"/>
        <v>0.9879757383622656</v>
      </c>
      <c r="S313" s="801">
        <f t="shared" si="107"/>
        <v>1</v>
      </c>
      <c r="T313" s="172">
        <f t="shared" si="108"/>
        <v>7</v>
      </c>
      <c r="U313" s="247">
        <f t="shared" si="109"/>
        <v>1.9879757383622656</v>
      </c>
      <c r="V313" s="378">
        <f t="shared" si="110"/>
        <v>136.35177550468899</v>
      </c>
      <c r="W313" s="397">
        <f t="shared" si="111"/>
        <v>57.942840608816915</v>
      </c>
      <c r="X313" s="153">
        <f t="shared" si="112"/>
        <v>45956</v>
      </c>
      <c r="Y313" s="380">
        <f t="shared" si="113"/>
        <v>56.659209457114805</v>
      </c>
      <c r="Z313" s="380">
        <f t="shared" si="114"/>
        <v>57.860010379403434</v>
      </c>
      <c r="AA313" s="381">
        <f t="shared" si="115"/>
        <v>61.810993565918274</v>
      </c>
      <c r="AB313" s="193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6.392039601015817E-2</v>
      </c>
      <c r="AD313" s="227">
        <f>(INDEX(Models!$BJ313:$BT313,,AH313)*(1-AF313)+INDEX(Models!$BJ313:$BT313,,AH313+1)*AF313-ERP_i)*AE313*Ramure*Pc/MaxiM</f>
        <v>6.3908713136415923E-4</v>
      </c>
      <c r="AE313" s="301">
        <f t="shared" si="117"/>
        <v>0.5</v>
      </c>
      <c r="AF313" s="173">
        <f t="shared" si="118"/>
        <v>0.9879757383622656</v>
      </c>
      <c r="AG313" s="801">
        <f t="shared" si="124"/>
        <v>1</v>
      </c>
      <c r="AH313" s="172">
        <f t="shared" si="119"/>
        <v>7</v>
      </c>
      <c r="AI313" s="221">
        <f t="shared" si="120"/>
        <v>1.9879757383622656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45957</v>
      </c>
      <c r="B314" s="406">
        <f>'2024'!Wh/'2024'!Env_an*'2025'!Env_an</f>
        <v>52.002763681905797</v>
      </c>
      <c r="C314" s="385"/>
      <c r="D314" s="388">
        <f t="shared" si="102"/>
        <v>53.105605687643717</v>
      </c>
      <c r="E314" s="380">
        <f t="shared" si="125"/>
        <v>55.475931567185242</v>
      </c>
      <c r="F314" s="380">
        <f t="shared" si="103"/>
        <v>55.480714333997945</v>
      </c>
      <c r="G314" s="110">
        <f t="shared" si="126"/>
        <v>0.3847685918679285</v>
      </c>
      <c r="H314" s="409" t="b">
        <f>Wh_hp&gt;='2024'!Maxi_hp</f>
        <v>0</v>
      </c>
      <c r="I314" s="375">
        <f>IF(H314,Wh_hp,'2024'!Maxi_hp)</f>
        <v>55.506514695537248</v>
      </c>
      <c r="J314" s="85">
        <f>IF(H314,An,'2024'!An_max)</f>
        <v>2022</v>
      </c>
      <c r="K314" s="193">
        <f t="shared" si="104"/>
        <v>45957</v>
      </c>
      <c r="L314" s="143">
        <f>IF(t&lt;Tvie,1-EXP((T0-t)*PertePVj)+'2024'!Pspv,1-EXP((T0-t)*PertePVj)+Pspv)</f>
        <v>2.076696031346692E-2</v>
      </c>
      <c r="M314" s="835"/>
      <c r="N314" s="835"/>
      <c r="O314" s="48">
        <f>IF(t&lt;Tnet,'2024'!Resal+('2024'!Salim-'2024'!Resal)*(1-EXP(('2024'!Tnet-t)/('2024'!Tau_j))),Resal+(Salim-Resal)*(1-EXP((Tnet-t)/(Tau_j))))*Salcycl</f>
        <v>4.2727103675057561E-2</v>
      </c>
      <c r="P314" s="165">
        <f>(INDEX(Models!$BJ314:$BT314,,T314)*(1-R314)+INDEX(Models!$BJ314:$BT314,,T314+1)*R314-ERP_i)*Q314*Ramure*Pc/MaxiM</f>
        <v>7.0985836518219867E-4</v>
      </c>
      <c r="Q314" s="301">
        <f t="shared" si="105"/>
        <v>0.5</v>
      </c>
      <c r="R314" s="173">
        <f t="shared" si="106"/>
        <v>0.98804471657304282</v>
      </c>
      <c r="S314" s="801">
        <f t="shared" si="107"/>
        <v>1</v>
      </c>
      <c r="T314" s="172">
        <f t="shared" si="108"/>
        <v>7</v>
      </c>
      <c r="U314" s="247">
        <f t="shared" si="109"/>
        <v>1.9880447165730428</v>
      </c>
      <c r="V314" s="378">
        <f t="shared" si="110"/>
        <v>135.0690527612453</v>
      </c>
      <c r="W314" s="397">
        <f t="shared" si="111"/>
        <v>52.002763681905797</v>
      </c>
      <c r="X314" s="153">
        <f t="shared" si="112"/>
        <v>45957</v>
      </c>
      <c r="Y314" s="380">
        <f t="shared" si="113"/>
        <v>50.852761142216309</v>
      </c>
      <c r="Z314" s="380">
        <f t="shared" si="114"/>
        <v>51.931214615159462</v>
      </c>
      <c r="AA314" s="381">
        <f t="shared" si="115"/>
        <v>55.475931567185242</v>
      </c>
      <c r="AB314" s="193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6.389648360808281E-2</v>
      </c>
      <c r="AD314" s="227">
        <f>(INDEX(Models!$BJ314:$BT314,,AH314)*(1-AF314)+INDEX(Models!$BJ314:$BT314,,AH314+1)*AF314-ERP_i)*AE314*Ramure*Pc/MaxiM</f>
        <v>7.0985836518219867E-4</v>
      </c>
      <c r="AE314" s="301">
        <f t="shared" si="117"/>
        <v>0.5</v>
      </c>
      <c r="AF314" s="173">
        <f t="shared" si="118"/>
        <v>0.98804471657304282</v>
      </c>
      <c r="AG314" s="801">
        <f t="shared" si="124"/>
        <v>1</v>
      </c>
      <c r="AH314" s="172">
        <f t="shared" si="119"/>
        <v>7</v>
      </c>
      <c r="AI314" s="221">
        <f t="shared" si="120"/>
        <v>1.9880447165730428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45958</v>
      </c>
      <c r="B315" s="406">
        <f>'2024'!Wh/'2024'!Env_an*'2025'!Env_an</f>
        <v>68.622902433101203</v>
      </c>
      <c r="C315" s="385"/>
      <c r="D315" s="388">
        <f t="shared" si="102"/>
        <v>70.079173245457241</v>
      </c>
      <c r="E315" s="380">
        <f t="shared" si="125"/>
        <v>73.208135772171417</v>
      </c>
      <c r="F315" s="380">
        <f t="shared" si="103"/>
        <v>73.225728090254506</v>
      </c>
      <c r="G315" s="110">
        <f t="shared" si="126"/>
        <v>0.51263109819515162</v>
      </c>
      <c r="H315" s="409" t="b">
        <f>Wh_hp&gt;='2024'!Maxi_hp</f>
        <v>0</v>
      </c>
      <c r="I315" s="375">
        <f>IF(H315,Wh_hp,'2024'!Maxi_hp)</f>
        <v>73.255686968497727</v>
      </c>
      <c r="J315" s="85">
        <f>IF(H315,An,'2024'!An_max)</f>
        <v>2022</v>
      </c>
      <c r="K315" s="193">
        <f t="shared" si="104"/>
        <v>45958</v>
      </c>
      <c r="L315" s="143">
        <f>IF(t&lt;Tvie,1-EXP((T0-t)*PertePVj)+'2024'!Pspv,1-EXP((T0-t)*PertePVj)+Pspv)</f>
        <v>2.0780365191457761E-2</v>
      </c>
      <c r="M315" s="835"/>
      <c r="N315" s="835"/>
      <c r="O315" s="48">
        <f>IF(t&lt;Tnet,'2024'!Resal+('2024'!Salim-'2024'!Resal)*(1-EXP(('2024'!Tnet-t)/('2024'!Tau_j))),Resal+(Salim-Resal)*(1-EXP((Tnet-t)/(Tau_j))))*Salcycl</f>
        <v>4.2740639325275373E-2</v>
      </c>
      <c r="P315" s="165">
        <f>(INDEX(Models!$BJ315:$BT315,,T315)*(1-R315)+INDEX(Models!$BJ315:$BT315,,T315+1)*R315-ERP_i)*Q315*Ramure*Pc/MaxiM</f>
        <v>7.8986901972583079E-4</v>
      </c>
      <c r="Q315" s="301">
        <f t="shared" si="105"/>
        <v>0.5</v>
      </c>
      <c r="R315" s="173">
        <f t="shared" si="106"/>
        <v>0.98811093545182493</v>
      </c>
      <c r="S315" s="801">
        <f t="shared" si="107"/>
        <v>1</v>
      </c>
      <c r="T315" s="172">
        <f t="shared" si="108"/>
        <v>7</v>
      </c>
      <c r="U315" s="247">
        <f t="shared" si="109"/>
        <v>1.9881109354518249</v>
      </c>
      <c r="V315" s="378">
        <f t="shared" si="110"/>
        <v>133.79051135574852</v>
      </c>
      <c r="W315" s="397">
        <f t="shared" si="111"/>
        <v>68.622902433101203</v>
      </c>
      <c r="X315" s="153">
        <f t="shared" si="112"/>
        <v>45958</v>
      </c>
      <c r="Y315" s="380">
        <f t="shared" si="113"/>
        <v>67.108048644489855</v>
      </c>
      <c r="Z315" s="380">
        <f t="shared" si="114"/>
        <v>68.532172210385539</v>
      </c>
      <c r="AA315" s="381">
        <f t="shared" si="115"/>
        <v>73.208135772171417</v>
      </c>
      <c r="AB315" s="193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6.387218459349632E-2</v>
      </c>
      <c r="AD315" s="227">
        <f>(INDEX(Models!$BJ315:$BT315,,AH315)*(1-AF315)+INDEX(Models!$BJ315:$BT315,,AH315+1)*AF315-ERP_i)*AE315*Ramure*Pc/MaxiM</f>
        <v>7.8986901972583079E-4</v>
      </c>
      <c r="AE315" s="301">
        <f t="shared" si="117"/>
        <v>0.5</v>
      </c>
      <c r="AF315" s="173">
        <f t="shared" si="118"/>
        <v>0.98811093545182493</v>
      </c>
      <c r="AG315" s="801">
        <f t="shared" si="124"/>
        <v>1</v>
      </c>
      <c r="AH315" s="172">
        <f t="shared" si="119"/>
        <v>7</v>
      </c>
      <c r="AI315" s="221">
        <f t="shared" si="120"/>
        <v>1.9881109354518249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45959</v>
      </c>
      <c r="B316" s="406">
        <f>'2024'!Wh/'2024'!Env_an*'2025'!Env_an</f>
        <v>99.620219491677517</v>
      </c>
      <c r="C316" s="385"/>
      <c r="D316" s="388">
        <f t="shared" si="102"/>
        <v>101.73568797665256</v>
      </c>
      <c r="E316" s="380">
        <f t="shared" si="125"/>
        <v>106.27955131866079</v>
      </c>
      <c r="F316" s="380">
        <f t="shared" si="103"/>
        <v>106.33988765020166</v>
      </c>
      <c r="G316" s="110">
        <f t="shared" si="126"/>
        <v>0.75151864063746754</v>
      </c>
      <c r="H316" s="409" t="b">
        <f>Wh_hp&gt;='2024'!Maxi_hp</f>
        <v>0</v>
      </c>
      <c r="I316" s="375">
        <f>IF(H316,Wh_hp,'2024'!Maxi_hp)</f>
        <v>106.36453669934818</v>
      </c>
      <c r="J316" s="85">
        <f>IF(H316,An,'2024'!An_max)</f>
        <v>2022</v>
      </c>
      <c r="K316" s="193">
        <f t="shared" si="104"/>
        <v>45959</v>
      </c>
      <c r="L316" s="143">
        <f>IF(t&lt;Tvie,1-EXP((T0-t)*PertePVj)+'2024'!Pspv,1-EXP((T0-t)*PertePVj)+Pspv)</f>
        <v>2.0793769885947166E-2</v>
      </c>
      <c r="M316" s="835"/>
      <c r="N316" s="835"/>
      <c r="O316" s="48">
        <f>IF(t&lt;Tnet,'2024'!Resal+('2024'!Salim-'2024'!Resal)*(1-EXP(('2024'!Tnet-t)/('2024'!Tau_j))),Resal+(Salim-Resal)*(1-EXP((Tnet-t)/(Tau_j))))*Salcycl</f>
        <v>4.2753881491127535E-2</v>
      </c>
      <c r="P316" s="165">
        <f>(INDEX(Models!$BJ316:$BT316,,T316)*(1-R316)+INDEX(Models!$BJ316:$BT316,,T316+1)*R316-ERP_i)*Q316*Ramure*Pc/MaxiM</f>
        <v>8.7918352433055008E-4</v>
      </c>
      <c r="Q316" s="301">
        <f t="shared" si="105"/>
        <v>0.5</v>
      </c>
      <c r="R316" s="173">
        <f t="shared" si="106"/>
        <v>0.9881745046890611</v>
      </c>
      <c r="S316" s="801">
        <f t="shared" si="107"/>
        <v>1</v>
      </c>
      <c r="T316" s="172">
        <f t="shared" si="108"/>
        <v>7</v>
      </c>
      <c r="U316" s="247">
        <f t="shared" si="109"/>
        <v>1.9881745046890611</v>
      </c>
      <c r="V316" s="378">
        <f t="shared" si="110"/>
        <v>132.51719340974083</v>
      </c>
      <c r="W316" s="397">
        <f t="shared" si="111"/>
        <v>99.620219491677517</v>
      </c>
      <c r="X316" s="153">
        <f t="shared" si="112"/>
        <v>45959</v>
      </c>
      <c r="Y316" s="380">
        <f t="shared" si="113"/>
        <v>97.425009084643449</v>
      </c>
      <c r="Z316" s="380">
        <f t="shared" si="114"/>
        <v>99.493861546710022</v>
      </c>
      <c r="AA316" s="381">
        <f t="shared" si="115"/>
        <v>106.27955131866079</v>
      </c>
      <c r="AB316" s="193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6.3847557575822333E-2</v>
      </c>
      <c r="AD316" s="227">
        <f>(INDEX(Models!$BJ316:$BT316,,AH316)*(1-AF316)+INDEX(Models!$BJ316:$BT316,,AH316+1)*AF316-ERP_i)*AE316*Ramure*Pc/MaxiM</f>
        <v>8.7918352433055008E-4</v>
      </c>
      <c r="AE316" s="301">
        <f t="shared" si="117"/>
        <v>0.5</v>
      </c>
      <c r="AF316" s="173">
        <f t="shared" si="118"/>
        <v>0.9881745046890611</v>
      </c>
      <c r="AG316" s="801">
        <f t="shared" si="124"/>
        <v>1</v>
      </c>
      <c r="AH316" s="172">
        <f t="shared" si="119"/>
        <v>7</v>
      </c>
      <c r="AI316" s="221">
        <f t="shared" si="120"/>
        <v>1.9881745046890611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45960</v>
      </c>
      <c r="B317" s="406">
        <f>'2024'!Wh/'2024'!Env_an*'2025'!Env_an</f>
        <v>83.283873084501437</v>
      </c>
      <c r="C317" s="385"/>
      <c r="D317" s="388">
        <f t="shared" si="102"/>
        <v>85.053598133961813</v>
      </c>
      <c r="E317" s="380">
        <f t="shared" si="125"/>
        <v>88.853588021468894</v>
      </c>
      <c r="F317" s="380">
        <f t="shared" si="103"/>
        <v>88.895138654872014</v>
      </c>
      <c r="G317" s="110">
        <f t="shared" si="126"/>
        <v>0.6342528643219475</v>
      </c>
      <c r="H317" s="409" t="b">
        <f>Wh_hp&gt;='2024'!Maxi_hp</f>
        <v>0</v>
      </c>
      <c r="I317" s="375">
        <f>IF(H317,Wh_hp,'2024'!Maxi_hp)</f>
        <v>88.928840015230989</v>
      </c>
      <c r="J317" s="85">
        <f>IF(H317,An,'2024'!An_max)</f>
        <v>2022</v>
      </c>
      <c r="K317" s="193">
        <f t="shared" si="104"/>
        <v>45960</v>
      </c>
      <c r="L317" s="143">
        <f>IF(t&lt;Tvie,1-EXP((T0-t)*PertePVj)+'2024'!Pspv,1-EXP((T0-t)*PertePVj)+Pspv)</f>
        <v>2.0807174396937467E-2</v>
      </c>
      <c r="M317" s="835"/>
      <c r="N317" s="835"/>
      <c r="O317" s="48">
        <f>IF(t&lt;Tnet,'2024'!Resal+('2024'!Salim-'2024'!Resal)*(1-EXP(('2024'!Tnet-t)/('2024'!Tau_j))),Resal+(Salim-Resal)*(1-EXP((Tnet-t)/(Tau_j))))*Salcycl</f>
        <v>4.2766870445219651E-2</v>
      </c>
      <c r="P317" s="165">
        <f>(INDEX(Models!$BJ317:$BT317,,T317)*(1-R317)+INDEX(Models!$BJ317:$BT317,,T317+1)*R317-ERP_i)*Q317*Ramure*Pc/MaxiM</f>
        <v>9.7791618272607592E-4</v>
      </c>
      <c r="Q317" s="301">
        <f t="shared" si="105"/>
        <v>0.5</v>
      </c>
      <c r="R317" s="173">
        <f t="shared" si="106"/>
        <v>0.98823552966910366</v>
      </c>
      <c r="S317" s="801">
        <f t="shared" si="107"/>
        <v>1</v>
      </c>
      <c r="T317" s="172">
        <f t="shared" si="108"/>
        <v>7</v>
      </c>
      <c r="U317" s="247">
        <f t="shared" si="109"/>
        <v>1.9882355296691037</v>
      </c>
      <c r="V317" s="378">
        <f t="shared" si="110"/>
        <v>131.24313834353453</v>
      </c>
      <c r="W317" s="397">
        <f t="shared" si="111"/>
        <v>83.283873084501437</v>
      </c>
      <c r="X317" s="153">
        <f t="shared" si="112"/>
        <v>45960</v>
      </c>
      <c r="Y317" s="380">
        <f t="shared" si="113"/>
        <v>81.451918143343889</v>
      </c>
      <c r="Z317" s="380">
        <f t="shared" si="114"/>
        <v>83.182715409684008</v>
      </c>
      <c r="AA317" s="381">
        <f t="shared" si="115"/>
        <v>88.853588021468894</v>
      </c>
      <c r="AB317" s="193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6.3822663080467676E-2</v>
      </c>
      <c r="AD317" s="227">
        <f>(INDEX(Models!$BJ317:$BT317,,AH317)*(1-AF317)+INDEX(Models!$BJ317:$BT317,,AH317+1)*AF317-ERP_i)*AE317*Ramure*Pc/MaxiM</f>
        <v>9.7791618272607592E-4</v>
      </c>
      <c r="AE317" s="301">
        <f t="shared" si="117"/>
        <v>0.5</v>
      </c>
      <c r="AF317" s="173">
        <f t="shared" si="118"/>
        <v>0.98823552966910366</v>
      </c>
      <c r="AG317" s="801">
        <f t="shared" si="124"/>
        <v>1</v>
      </c>
      <c r="AH317" s="172">
        <f t="shared" si="119"/>
        <v>7</v>
      </c>
      <c r="AI317" s="221">
        <f t="shared" si="120"/>
        <v>1.9882355296691037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45961</v>
      </c>
      <c r="B318" s="406">
        <f>'2024'!Wh/'2024'!Env_an*'2025'!Env_an</f>
        <v>84.316195462334917</v>
      </c>
      <c r="C318" s="385"/>
      <c r="D318" s="388">
        <f t="shared" si="102"/>
        <v>86.109035413036892</v>
      </c>
      <c r="E318" s="380">
        <f t="shared" si="125"/>
        <v>89.957380456595487</v>
      </c>
      <c r="F318" s="380">
        <f t="shared" si="103"/>
        <v>90.005947569682547</v>
      </c>
      <c r="G318" s="110">
        <f t="shared" si="126"/>
        <v>0.64841561422101224</v>
      </c>
      <c r="H318" s="409" t="b">
        <f>Wh_hp&gt;='2024'!Maxi_hp</f>
        <v>0</v>
      </c>
      <c r="I318" s="375">
        <f>IF(H318,Wh_hp,'2024'!Maxi_hp)</f>
        <v>90.042264193669411</v>
      </c>
      <c r="J318" s="85">
        <f>IF(H318,An,'2024'!An_max)</f>
        <v>2022</v>
      </c>
      <c r="K318" s="193">
        <f t="shared" si="104"/>
        <v>45961</v>
      </c>
      <c r="L318" s="143">
        <f>IF(t&lt;Tvie,1-EXP((T0-t)*PertePVj)+'2024'!Pspv,1-EXP((T0-t)*PertePVj)+Pspv)</f>
        <v>2.0820578724431327E-2</v>
      </c>
      <c r="M318" s="835"/>
      <c r="N318" s="835"/>
      <c r="O318" s="48">
        <f>IF(t&lt;Tnet,'2024'!Resal+('2024'!Salim-'2024'!Resal)*(1-EXP(('2024'!Tnet-t)/('2024'!Tau_j))),Resal+(Salim-Resal)*(1-EXP((Tnet-t)/(Tau_j))))*Salcycl</f>
        <v>4.2779647695670948E-2</v>
      </c>
      <c r="P318" s="165">
        <f>(INDEX(Models!$BJ318:$BT318,,T318)*(1-R318)+INDEX(Models!$BJ318:$BT318,,T318+1)*R318-ERP_i)*Q318*Ramure*Pc/MaxiM</f>
        <v>1.0830089648936499E-3</v>
      </c>
      <c r="Q318" s="301">
        <f t="shared" si="105"/>
        <v>0.5</v>
      </c>
      <c r="R318" s="173">
        <f t="shared" si="106"/>
        <v>0.98829411163496461</v>
      </c>
      <c r="S318" s="801">
        <f t="shared" si="107"/>
        <v>1</v>
      </c>
      <c r="T318" s="172">
        <f t="shared" si="108"/>
        <v>7</v>
      </c>
      <c r="U318" s="247">
        <f t="shared" si="109"/>
        <v>1.9882941116349646</v>
      </c>
      <c r="V318" s="378">
        <f t="shared" si="110"/>
        <v>129.96348423857805</v>
      </c>
      <c r="W318" s="397">
        <f t="shared" si="111"/>
        <v>84.316195462334917</v>
      </c>
      <c r="X318" s="153">
        <f t="shared" si="112"/>
        <v>45961</v>
      </c>
      <c r="Y318" s="380">
        <f t="shared" si="113"/>
        <v>82.464844645807474</v>
      </c>
      <c r="Z318" s="380">
        <f t="shared" si="114"/>
        <v>84.218318782048371</v>
      </c>
      <c r="AA318" s="381">
        <f t="shared" si="115"/>
        <v>89.957380456595487</v>
      </c>
      <c r="AB318" s="193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6.3797563306283944E-2</v>
      </c>
      <c r="AD318" s="227">
        <f>(INDEX(Models!$BJ318:$BT318,,AH318)*(1-AF318)+INDEX(Models!$BJ318:$BT318,,AH318+1)*AF318-ERP_i)*AE318*Ramure*Pc/MaxiM</f>
        <v>1.0830089648936499E-3</v>
      </c>
      <c r="AE318" s="301">
        <f t="shared" si="117"/>
        <v>0.5</v>
      </c>
      <c r="AF318" s="173">
        <f t="shared" si="118"/>
        <v>0.98829411163496461</v>
      </c>
      <c r="AG318" s="801">
        <f t="shared" si="124"/>
        <v>1</v>
      </c>
      <c r="AH318" s="172">
        <f t="shared" si="119"/>
        <v>7</v>
      </c>
      <c r="AI318" s="221">
        <f t="shared" si="120"/>
        <v>1.9882941116349646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45962</v>
      </c>
      <c r="B319" s="406">
        <f>'2024'!Wh/'2024'!Env_an*'2025'!Env_an</f>
        <v>83.674704217795039</v>
      </c>
      <c r="C319" s="385"/>
      <c r="D319" s="388">
        <f t="shared" si="102"/>
        <v>85.455073760542703</v>
      </c>
      <c r="E319" s="380">
        <f t="shared" si="125"/>
        <v>89.275368152717562</v>
      </c>
      <c r="F319" s="380">
        <f t="shared" si="103"/>
        <v>89.328583703252008</v>
      </c>
      <c r="G319" s="110">
        <f t="shared" si="126"/>
        <v>0.649863087018001</v>
      </c>
      <c r="H319" s="409" t="b">
        <f>Wh_hp&gt;='2024'!Maxi_hp</f>
        <v>0</v>
      </c>
      <c r="I319" s="375">
        <f>IF(H319,Wh_hp,'2024'!Maxi_hp)</f>
        <v>89.368067113464861</v>
      </c>
      <c r="J319" s="85">
        <f>IF(H319,An,'2024'!An_max)</f>
        <v>2022</v>
      </c>
      <c r="K319" s="193">
        <f t="shared" si="104"/>
        <v>45962</v>
      </c>
      <c r="L319" s="143">
        <f>IF(t&lt;Tvie,1-EXP((T0-t)*PertePVj)+'2024'!Pspv,1-EXP((T0-t)*PertePVj)+Pspv)</f>
        <v>2.0833982868431078E-2</v>
      </c>
      <c r="M319" s="835"/>
      <c r="N319" s="835"/>
      <c r="O319" s="48">
        <f>IF(t&lt;Tnet,'2024'!Resal+('2024'!Salim-'2024'!Resal)*(1-EXP(('2024'!Tnet-t)/('2024'!Tau_j))),Resal+(Salim-Resal)*(1-EXP((Tnet-t)/(Tau_j))))*Salcycl</f>
        <v>4.2792255817301526E-2</v>
      </c>
      <c r="P319" s="165">
        <f>(INDEX(Models!$BJ319:$BT319,,T319)*(1-R319)+INDEX(Models!$BJ319:$BT319,,T319+1)*R319-ERP_i)*Q319*Ramure*Pc/MaxiM</f>
        <v>1.1906053720828274E-3</v>
      </c>
      <c r="Q319" s="301">
        <f t="shared" si="105"/>
        <v>0.5</v>
      </c>
      <c r="R319" s="173">
        <f t="shared" si="106"/>
        <v>0.98835034784710629</v>
      </c>
      <c r="S319" s="801">
        <f t="shared" si="107"/>
        <v>1</v>
      </c>
      <c r="T319" s="172">
        <f t="shared" si="108"/>
        <v>7</v>
      </c>
      <c r="U319" s="247">
        <f t="shared" si="109"/>
        <v>1.9883503478471063</v>
      </c>
      <c r="V319" s="378">
        <f t="shared" si="110"/>
        <v>128.6807945253247</v>
      </c>
      <c r="W319" s="397">
        <f t="shared" si="111"/>
        <v>83.674704217795039</v>
      </c>
      <c r="X319" s="153">
        <f t="shared" si="112"/>
        <v>45962</v>
      </c>
      <c r="Y319" s="380">
        <f t="shared" si="113"/>
        <v>81.840723212094431</v>
      </c>
      <c r="Z319" s="380">
        <f t="shared" si="114"/>
        <v>83.582070639914406</v>
      </c>
      <c r="AA319" s="381">
        <f t="shared" si="115"/>
        <v>89.275368152717562</v>
      </c>
      <c r="AB319" s="193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6.3772321868939205E-2</v>
      </c>
      <c r="AD319" s="227">
        <f>(INDEX(Models!$BJ319:$BT319,,AH319)*(1-AF319)+INDEX(Models!$BJ319:$BT319,,AH319+1)*AF319-ERP_i)*AE319*Ramure*Pc/MaxiM</f>
        <v>1.1906053720828274E-3</v>
      </c>
      <c r="AE319" s="301">
        <f t="shared" si="117"/>
        <v>0.5</v>
      </c>
      <c r="AF319" s="173">
        <f t="shared" si="118"/>
        <v>0.98835034784710629</v>
      </c>
      <c r="AG319" s="801">
        <f t="shared" si="124"/>
        <v>1</v>
      </c>
      <c r="AH319" s="172">
        <f t="shared" si="119"/>
        <v>7</v>
      </c>
      <c r="AI319" s="221">
        <f t="shared" si="120"/>
        <v>1.9883503478471063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45963</v>
      </c>
      <c r="B320" s="406">
        <f>'2024'!Wh/'2024'!Env_an*'2025'!Env_an</f>
        <v>111.13556857832609</v>
      </c>
      <c r="C320" s="385"/>
      <c r="D320" s="388">
        <f t="shared" si="102"/>
        <v>113.50178417887795</v>
      </c>
      <c r="E320" s="380">
        <f t="shared" si="125"/>
        <v>118.57746137833935</v>
      </c>
      <c r="F320" s="380">
        <f t="shared" si="103"/>
        <v>118.70370821860377</v>
      </c>
      <c r="G320" s="110">
        <f t="shared" si="126"/>
        <v>0.87214831460396869</v>
      </c>
      <c r="H320" s="409" t="b">
        <f>Wh_hp&gt;='2024'!Maxi_hp</f>
        <v>0</v>
      </c>
      <c r="I320" s="375">
        <f>IF(H320,Wh_hp,'2024'!Maxi_hp)</f>
        <v>118.72465698577568</v>
      </c>
      <c r="J320" s="85">
        <f>IF(H320,An,'2024'!An_max)</f>
        <v>2022</v>
      </c>
      <c r="K320" s="193">
        <f t="shared" si="104"/>
        <v>45963</v>
      </c>
      <c r="L320" s="143">
        <f>IF(t&lt;Tvie,1-EXP((T0-t)*PertePVj)+'2024'!Pspv,1-EXP((T0-t)*PertePVj)+Pspv)</f>
        <v>2.0847386828939496E-2</v>
      </c>
      <c r="M320" s="835"/>
      <c r="N320" s="835"/>
      <c r="O320" s="48">
        <f>IF(t&lt;Tnet,'2024'!Resal+('2024'!Salim-'2024'!Resal)*(1-EXP(('2024'!Tnet-t)/('2024'!Tau_j))),Resal+(Salim-Resal)*(1-EXP((Tnet-t)/(Tau_j))))*Salcycl</f>
        <v>4.280473827371524E-2</v>
      </c>
      <c r="P320" s="165">
        <f>(INDEX(Models!$BJ320:$BT320,,T320)*(1-R320)+INDEX(Models!$BJ320:$BT320,,T320+1)*R320-ERP_i)*Q320*Ramure*Pc/MaxiM</f>
        <v>1.3007338750196736E-3</v>
      </c>
      <c r="Q320" s="301">
        <f t="shared" si="105"/>
        <v>0.5</v>
      </c>
      <c r="R320" s="173">
        <f t="shared" si="106"/>
        <v>0.98840433173646036</v>
      </c>
      <c r="S320" s="801">
        <f t="shared" si="107"/>
        <v>1</v>
      </c>
      <c r="T320" s="172">
        <f t="shared" si="108"/>
        <v>7</v>
      </c>
      <c r="U320" s="247">
        <f t="shared" si="109"/>
        <v>1.9884043317364604</v>
      </c>
      <c r="V320" s="378">
        <f t="shared" si="110"/>
        <v>127.39711655760131</v>
      </c>
      <c r="W320" s="397">
        <f t="shared" si="111"/>
        <v>111.13556857832609</v>
      </c>
      <c r="X320" s="153">
        <f t="shared" si="112"/>
        <v>45963</v>
      </c>
      <c r="Y320" s="380">
        <f t="shared" si="113"/>
        <v>108.70405784082008</v>
      </c>
      <c r="Z320" s="380">
        <f t="shared" si="114"/>
        <v>111.0185035290604</v>
      </c>
      <c r="AA320" s="381">
        <f t="shared" si="115"/>
        <v>118.57746137833935</v>
      </c>
      <c r="AB320" s="193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6.3747003531817545E-2</v>
      </c>
      <c r="AD320" s="227">
        <f>(INDEX(Models!$BJ320:$BT320,,AH320)*(1-AF320)+INDEX(Models!$BJ320:$BT320,,AH320+1)*AF320-ERP_i)*AE320*Ramure*Pc/MaxiM</f>
        <v>1.3007338750196736E-3</v>
      </c>
      <c r="AE320" s="301">
        <f t="shared" si="117"/>
        <v>0.5</v>
      </c>
      <c r="AF320" s="173">
        <f t="shared" si="118"/>
        <v>0.98840433173646036</v>
      </c>
      <c r="AG320" s="801">
        <f t="shared" si="124"/>
        <v>1</v>
      </c>
      <c r="AH320" s="172">
        <f t="shared" si="119"/>
        <v>7</v>
      </c>
      <c r="AI320" s="221">
        <f t="shared" si="120"/>
        <v>1.9884043317364604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45964</v>
      </c>
      <c r="B321" s="406">
        <f>'2024'!Wh/'2024'!Env_an*'2025'!Env_an</f>
        <v>42.436559613721023</v>
      </c>
      <c r="C321" s="385"/>
      <c r="D321" s="388">
        <f t="shared" si="102"/>
        <v>43.340680473804838</v>
      </c>
      <c r="E321" s="380">
        <f t="shared" si="125"/>
        <v>45.279415512103427</v>
      </c>
      <c r="F321" s="380">
        <f t="shared" si="103"/>
        <v>45.2827521411213</v>
      </c>
      <c r="G321" s="110">
        <f t="shared" si="126"/>
        <v>0.33604147482323748</v>
      </c>
      <c r="H321" s="409" t="b">
        <f>Wh_hp&gt;='2024'!Maxi_hp</f>
        <v>0</v>
      </c>
      <c r="I321" s="375">
        <f>IF(H321,Wh_hp,'2024'!Maxi_hp)</f>
        <v>45.327958657850239</v>
      </c>
      <c r="J321" s="85">
        <f>IF(H321,An,'2024'!An_max)</f>
        <v>2022</v>
      </c>
      <c r="K321" s="193">
        <f t="shared" si="104"/>
        <v>45964</v>
      </c>
      <c r="L321" s="143">
        <f>IF(t&lt;Tvie,1-EXP((T0-t)*PertePVj)+'2024'!Pspv,1-EXP((T0-t)*PertePVj)+Pspv)</f>
        <v>2.0860790605958912E-2</v>
      </c>
      <c r="M321" s="835"/>
      <c r="N321" s="835"/>
      <c r="O321" s="48">
        <f>IF(t&lt;Tnet,'2024'!Resal+('2024'!Salim-'2024'!Resal)*(1-EXP(('2024'!Tnet-t)/('2024'!Tau_j))),Resal+(Salim-Resal)*(1-EXP((Tnet-t)/(Tau_j))))*Salcycl</f>
        <v>4.281713923140975E-2</v>
      </c>
      <c r="P321" s="165">
        <f>(INDEX(Models!$BJ321:$BT321,,T321)*(1-R321)+INDEX(Models!$BJ321:$BT321,,T321+1)*R321-ERP_i)*Q321*Ramure*Pc/MaxiM</f>
        <v>1.4134214642428679E-3</v>
      </c>
      <c r="Q321" s="301">
        <f t="shared" si="105"/>
        <v>0.5</v>
      </c>
      <c r="R321" s="173">
        <f t="shared" si="106"/>
        <v>0.98845615305185364</v>
      </c>
      <c r="S321" s="801">
        <f t="shared" si="107"/>
        <v>1</v>
      </c>
      <c r="T321" s="172">
        <f t="shared" si="108"/>
        <v>7</v>
      </c>
      <c r="U321" s="247">
        <f t="shared" si="109"/>
        <v>1.9884561530518536</v>
      </c>
      <c r="V321" s="378">
        <f t="shared" si="110"/>
        <v>126.11449706166388</v>
      </c>
      <c r="W321" s="397">
        <f t="shared" si="111"/>
        <v>42.436559613721023</v>
      </c>
      <c r="X321" s="153">
        <f t="shared" si="112"/>
        <v>45964</v>
      </c>
      <c r="Y321" s="380">
        <f t="shared" si="113"/>
        <v>41.509760180580777</v>
      </c>
      <c r="Z321" s="380">
        <f t="shared" si="114"/>
        <v>42.394135361272973</v>
      </c>
      <c r="AA321" s="381">
        <f t="shared" si="115"/>
        <v>45.279415512103427</v>
      </c>
      <c r="AB321" s="193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6.372167392618415E-2</v>
      </c>
      <c r="AD321" s="227">
        <f>(INDEX(Models!$BJ321:$BT321,,AH321)*(1-AF321)+INDEX(Models!$BJ321:$BT321,,AH321+1)*AF321-ERP_i)*AE321*Ramure*Pc/MaxiM</f>
        <v>1.4134214642428679E-3</v>
      </c>
      <c r="AE321" s="301">
        <f t="shared" si="117"/>
        <v>0.5</v>
      </c>
      <c r="AF321" s="173">
        <f t="shared" si="118"/>
        <v>0.98845615305185364</v>
      </c>
      <c r="AG321" s="801">
        <f t="shared" si="124"/>
        <v>1</v>
      </c>
      <c r="AH321" s="172">
        <f t="shared" si="119"/>
        <v>7</v>
      </c>
      <c r="AI321" s="221">
        <f t="shared" si="120"/>
        <v>1.9884561530518536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45965</v>
      </c>
      <c r="B322" s="406">
        <f>'2024'!Wh/'2024'!Env_an*'2025'!Env_an</f>
        <v>50.291922431457358</v>
      </c>
      <c r="C322" s="385"/>
      <c r="D322" s="388">
        <f t="shared" si="102"/>
        <v>51.364106771080323</v>
      </c>
      <c r="E322" s="380">
        <f t="shared" si="125"/>
        <v>53.662442534290768</v>
      </c>
      <c r="F322" s="380">
        <f t="shared" si="103"/>
        <v>53.674500314478273</v>
      </c>
      <c r="G322" s="110">
        <f t="shared" si="126"/>
        <v>0.40234174587998528</v>
      </c>
      <c r="H322" s="409" t="b">
        <f>Wh_hp&gt;='2024'!Maxi_hp</f>
        <v>0</v>
      </c>
      <c r="I322" s="375">
        <f>IF(H322,Wh_hp,'2024'!Maxi_hp)</f>
        <v>53.726769074168885</v>
      </c>
      <c r="J322" s="85">
        <f>IF(H322,An,'2024'!An_max)</f>
        <v>2022</v>
      </c>
      <c r="K322" s="193">
        <f t="shared" si="104"/>
        <v>45965</v>
      </c>
      <c r="L322" s="143">
        <f>IF(t&lt;Tvie,1-EXP((T0-t)*PertePVj)+'2024'!Pspv,1-EXP((T0-t)*PertePVj)+Pspv)</f>
        <v>2.087419419949188E-2</v>
      </c>
      <c r="M322" s="835"/>
      <c r="N322" s="835"/>
      <c r="O322" s="48">
        <f>IF(t&lt;Tnet,'2024'!Resal+('2024'!Salim-'2024'!Resal)*(1-EXP(('2024'!Tnet-t)/('2024'!Tau_j))),Resal+(Salim-Resal)*(1-EXP((Tnet-t)/(Tau_j))))*Salcycl</f>
        <v>4.282950336712283E-2</v>
      </c>
      <c r="P322" s="165">
        <f>(INDEX(Models!$BJ322:$BT322,,T322)*(1-R322)+INDEX(Models!$BJ322:$BT322,,T322+1)*R322-ERP_i)*Q322*Ramure*Pc/MaxiM</f>
        <v>1.5286933698554445E-3</v>
      </c>
      <c r="Q322" s="301">
        <f t="shared" si="105"/>
        <v>0.5</v>
      </c>
      <c r="R322" s="173">
        <f t="shared" si="106"/>
        <v>0.98850589800202604</v>
      </c>
      <c r="S322" s="801">
        <f t="shared" si="107"/>
        <v>1</v>
      </c>
      <c r="T322" s="172">
        <f t="shared" si="108"/>
        <v>7</v>
      </c>
      <c r="U322" s="247">
        <f t="shared" si="109"/>
        <v>1.988505898002026</v>
      </c>
      <c r="V322" s="378">
        <f t="shared" si="110"/>
        <v>124.83498214525292</v>
      </c>
      <c r="W322" s="397">
        <f t="shared" si="111"/>
        <v>50.291922431457358</v>
      </c>
      <c r="X322" s="153">
        <f t="shared" si="112"/>
        <v>45965</v>
      </c>
      <c r="Y322" s="380">
        <f t="shared" si="113"/>
        <v>49.195528096858446</v>
      </c>
      <c r="Z322" s="380">
        <f t="shared" si="114"/>
        <v>50.244338169227852</v>
      </c>
      <c r="AA322" s="381">
        <f t="shared" si="115"/>
        <v>53.662442534290768</v>
      </c>
      <c r="AB322" s="193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6.3696399262458417E-2</v>
      </c>
      <c r="AD322" s="227">
        <f>(INDEX(Models!$BJ322:$BT322,,AH322)*(1-AF322)+INDEX(Models!$BJ322:$BT322,,AH322+1)*AF322-ERP_i)*AE322*Ramure*Pc/MaxiM</f>
        <v>1.5286933698554445E-3</v>
      </c>
      <c r="AE322" s="301">
        <f t="shared" si="117"/>
        <v>0.5</v>
      </c>
      <c r="AF322" s="173">
        <f t="shared" si="118"/>
        <v>0.98850589800202604</v>
      </c>
      <c r="AG322" s="801">
        <f t="shared" si="124"/>
        <v>1</v>
      </c>
      <c r="AH322" s="172">
        <f t="shared" si="119"/>
        <v>7</v>
      </c>
      <c r="AI322" s="221">
        <f t="shared" si="120"/>
        <v>1.988505898002026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45966</v>
      </c>
      <c r="B323" s="406">
        <f>'2024'!Wh/'2024'!Env_an*'2025'!Env_an</f>
        <v>118.26327834033593</v>
      </c>
      <c r="C323" s="385"/>
      <c r="D323" s="388">
        <f t="shared" si="102"/>
        <v>120.78621213621788</v>
      </c>
      <c r="E323" s="380">
        <f t="shared" si="125"/>
        <v>126.1925371220434</v>
      </c>
      <c r="F323" s="380">
        <f t="shared" si="103"/>
        <v>126.38789821848169</v>
      </c>
      <c r="G323" s="110">
        <f t="shared" si="126"/>
        <v>0.95703093777092663</v>
      </c>
      <c r="H323" s="409" t="b">
        <f>Wh_hp&gt;='2024'!Maxi_hp</f>
        <v>0</v>
      </c>
      <c r="I323" s="375">
        <f>IF(H323,Wh_hp,'2024'!Maxi_hp)</f>
        <v>126.39744220222137</v>
      </c>
      <c r="J323" s="85">
        <f>IF(H323,An,'2024'!An_max)</f>
        <v>2022</v>
      </c>
      <c r="K323" s="193">
        <f t="shared" si="104"/>
        <v>45966</v>
      </c>
      <c r="L323" s="143">
        <f>IF(t&lt;Tvie,1-EXP((T0-t)*PertePVj)+'2024'!Pspv,1-EXP((T0-t)*PertePVj)+Pspv)</f>
        <v>2.0887597609540842E-2</v>
      </c>
      <c r="M323" s="835"/>
      <c r="N323" s="835"/>
      <c r="O323" s="48">
        <f>IF(t&lt;Tnet,'2024'!Resal+('2024'!Salim-'2024'!Resal)*(1-EXP(('2024'!Tnet-t)/('2024'!Tau_j))),Resal+(Salim-Resal)*(1-EXP((Tnet-t)/(Tau_j))))*Salcycl</f>
        <v>4.2841875669691581E-2</v>
      </c>
      <c r="P323" s="165">
        <f>(INDEX(Models!$BJ323:$BT323,,T323)*(1-R323)+INDEX(Models!$BJ323:$BT323,,T323+1)*R323-ERP_i)*Q323*Ramure*Pc/MaxiM</f>
        <v>1.6465727252374968E-3</v>
      </c>
      <c r="Q323" s="301">
        <f t="shared" si="105"/>
        <v>0.5</v>
      </c>
      <c r="R323" s="173">
        <f t="shared" si="106"/>
        <v>0.98855364939241541</v>
      </c>
      <c r="S323" s="801">
        <f t="shared" si="107"/>
        <v>1</v>
      </c>
      <c r="T323" s="172">
        <f t="shared" si="108"/>
        <v>7</v>
      </c>
      <c r="U323" s="247">
        <f t="shared" si="109"/>
        <v>1.9885536493924154</v>
      </c>
      <c r="V323" s="378">
        <f t="shared" si="110"/>
        <v>123.56061730004866</v>
      </c>
      <c r="W323" s="397">
        <f t="shared" si="111"/>
        <v>118.26327834033593</v>
      </c>
      <c r="X323" s="153">
        <f t="shared" si="112"/>
        <v>45966</v>
      </c>
      <c r="Y323" s="380">
        <f t="shared" si="113"/>
        <v>115.68967052936512</v>
      </c>
      <c r="Z323" s="380">
        <f t="shared" si="114"/>
        <v>118.15770104322441</v>
      </c>
      <c r="AA323" s="381">
        <f t="shared" si="115"/>
        <v>126.1925371220434</v>
      </c>
      <c r="AB323" s="193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6.3671246034528617E-2</v>
      </c>
      <c r="AD323" s="227">
        <f>(INDEX(Models!$BJ323:$BT323,,AH323)*(1-AF323)+INDEX(Models!$BJ323:$BT323,,AH323+1)*AF323-ERP_i)*AE323*Ramure*Pc/MaxiM</f>
        <v>1.6465727252374968E-3</v>
      </c>
      <c r="AE323" s="301">
        <f t="shared" si="117"/>
        <v>0.5</v>
      </c>
      <c r="AF323" s="173">
        <f t="shared" si="118"/>
        <v>0.98855364939241541</v>
      </c>
      <c r="AG323" s="801">
        <f t="shared" si="124"/>
        <v>1</v>
      </c>
      <c r="AH323" s="172">
        <f t="shared" si="119"/>
        <v>7</v>
      </c>
      <c r="AI323" s="221">
        <f t="shared" si="120"/>
        <v>1.9885536493924154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45967</v>
      </c>
      <c r="B324" s="406">
        <f>'2024'!Wh/'2024'!Env_an*'2025'!Env_an</f>
        <v>118.67186916986581</v>
      </c>
      <c r="C324" s="385"/>
      <c r="D324" s="388">
        <f t="shared" si="102"/>
        <v>121.20517871145461</v>
      </c>
      <c r="E324" s="380">
        <f t="shared" si="125"/>
        <v>126.63190031381264</v>
      </c>
      <c r="F324" s="380">
        <f t="shared" si="103"/>
        <v>126.84626261505547</v>
      </c>
      <c r="G324" s="110">
        <f t="shared" si="126"/>
        <v>0.97031117824113855</v>
      </c>
      <c r="H324" s="409" t="b">
        <f>Wh_hp&gt;='2024'!Maxi_hp</f>
        <v>0</v>
      </c>
      <c r="I324" s="375">
        <f>IF(H324,Wh_hp,'2024'!Maxi_hp)</f>
        <v>126.85337190072234</v>
      </c>
      <c r="J324" s="85">
        <f>IF(H324,An,'2024'!An_max)</f>
        <v>2022</v>
      </c>
      <c r="K324" s="193">
        <f t="shared" si="104"/>
        <v>45967</v>
      </c>
      <c r="L324" s="143">
        <f>IF(t&lt;Tvie,1-EXP((T0-t)*PertePVj)+'2024'!Pspv,1-EXP((T0-t)*PertePVj)+Pspv)</f>
        <v>2.0901000836108463E-2</v>
      </c>
      <c r="M324" s="835"/>
      <c r="N324" s="835"/>
      <c r="O324" s="48">
        <f>IF(t&lt;Tnet,'2024'!Resal+('2024'!Salim-'2024'!Resal)*(1-EXP(('2024'!Tnet-t)/('2024'!Tau_j))),Resal+(Salim-Resal)*(1-EXP((Tnet-t)/(Tau_j))))*Salcycl</f>
        <v>4.2854301237759233E-2</v>
      </c>
      <c r="P324" s="165">
        <f>(INDEX(Models!$BJ324:$BT324,,T324)*(1-R324)+INDEX(Models!$BJ324:$BT324,,T324+1)*R324-ERP_i)*Q324*Ramure*Pc/MaxiM</f>
        <v>1.7645960297738017E-3</v>
      </c>
      <c r="Q324" s="301">
        <f t="shared" si="105"/>
        <v>0.5</v>
      </c>
      <c r="R324" s="173">
        <f t="shared" si="106"/>
        <v>0.98859948675688458</v>
      </c>
      <c r="S324" s="801">
        <f t="shared" si="107"/>
        <v>1</v>
      </c>
      <c r="T324" s="172">
        <f t="shared" si="108"/>
        <v>7</v>
      </c>
      <c r="U324" s="247">
        <f t="shared" si="109"/>
        <v>1.9885994867568846</v>
      </c>
      <c r="V324" s="378">
        <f t="shared" si="110"/>
        <v>122.29375174485922</v>
      </c>
      <c r="W324" s="397">
        <f t="shared" si="111"/>
        <v>118.67186916986581</v>
      </c>
      <c r="X324" s="153">
        <f t="shared" si="112"/>
        <v>45967</v>
      </c>
      <c r="Y324" s="380">
        <f t="shared" si="113"/>
        <v>116.09397212453105</v>
      </c>
      <c r="Z324" s="380">
        <f t="shared" si="114"/>
        <v>118.57225083844465</v>
      </c>
      <c r="AA324" s="381">
        <f t="shared" si="115"/>
        <v>126.63190031381264</v>
      </c>
      <c r="AB324" s="193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6.3646280719115711E-2</v>
      </c>
      <c r="AD324" s="227">
        <f>(INDEX(Models!$BJ324:$BT324,,AH324)*(1-AF324)+INDEX(Models!$BJ324:$BT324,,AH324+1)*AF324-ERP_i)*AE324*Ramure*Pc/MaxiM</f>
        <v>1.7645960297738017E-3</v>
      </c>
      <c r="AE324" s="301">
        <f t="shared" si="117"/>
        <v>0.5</v>
      </c>
      <c r="AF324" s="173">
        <f t="shared" si="118"/>
        <v>0.98859948675688458</v>
      </c>
      <c r="AG324" s="801">
        <f t="shared" si="124"/>
        <v>1</v>
      </c>
      <c r="AH324" s="172">
        <f t="shared" si="119"/>
        <v>7</v>
      </c>
      <c r="AI324" s="221">
        <f t="shared" si="120"/>
        <v>1.9885994867568846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45968</v>
      </c>
      <c r="B325" s="406">
        <f>'2024'!Wh/'2024'!Env_an*'2025'!Env_an</f>
        <v>114.57454797090314</v>
      </c>
      <c r="C325" s="385"/>
      <c r="D325" s="388">
        <f t="shared" si="102"/>
        <v>117.02199319942456</v>
      </c>
      <c r="E325" s="380">
        <f t="shared" si="125"/>
        <v>122.2630207218121</v>
      </c>
      <c r="F325" s="380">
        <f t="shared" si="103"/>
        <v>122.47544113409467</v>
      </c>
      <c r="G325" s="110">
        <f t="shared" si="126"/>
        <v>0.94647145349370387</v>
      </c>
      <c r="H325" s="409" t="b">
        <f>Wh_hp&gt;='2024'!Maxi_hp</f>
        <v>0</v>
      </c>
      <c r="I325" s="375">
        <f>IF(H325,Wh_hp,'2024'!Maxi_hp)</f>
        <v>122.48864217227751</v>
      </c>
      <c r="J325" s="85">
        <f>IF(H325,An,'2024'!An_max)</f>
        <v>2022</v>
      </c>
      <c r="K325" s="193">
        <f t="shared" si="104"/>
        <v>45968</v>
      </c>
      <c r="L325" s="143">
        <f>IF(t&lt;Tvie,1-EXP((T0-t)*PertePVj)+'2024'!Pspv,1-EXP((T0-t)*PertePVj)+Pspv)</f>
        <v>2.0914403879197074E-2</v>
      </c>
      <c r="M325" s="835"/>
      <c r="N325" s="835"/>
      <c r="O325" s="48">
        <f>IF(t&lt;Tnet,'2024'!Resal+('2024'!Salim-'2024'!Resal)*(1-EXP(('2024'!Tnet-t)/('2024'!Tau_j))),Resal+(Salim-Resal)*(1-EXP((Tnet-t)/(Tau_j))))*Salcycl</f>
        <v>4.2866825074709874E-2</v>
      </c>
      <c r="P325" s="165">
        <f>(INDEX(Models!$BJ325:$BT325,,T325)*(1-R325)+INDEX(Models!$BJ325:$BT325,,T325+1)*R325-ERP_i)*Q325*Ramure*Pc/MaxiM</f>
        <v>1.8776070195698426E-3</v>
      </c>
      <c r="Q325" s="301">
        <f t="shared" si="105"/>
        <v>0.5</v>
      </c>
      <c r="R325" s="173">
        <f t="shared" si="106"/>
        <v>0.98864348648455569</v>
      </c>
      <c r="S325" s="801">
        <f t="shared" si="107"/>
        <v>1</v>
      </c>
      <c r="T325" s="172">
        <f t="shared" si="108"/>
        <v>7</v>
      </c>
      <c r="U325" s="247">
        <f t="shared" si="109"/>
        <v>1.9886434864845557</v>
      </c>
      <c r="V325" s="378">
        <f t="shared" si="110"/>
        <v>121.03704790142277</v>
      </c>
      <c r="W325" s="397">
        <f t="shared" si="111"/>
        <v>114.57454797090314</v>
      </c>
      <c r="X325" s="153">
        <f t="shared" si="112"/>
        <v>45968</v>
      </c>
      <c r="Y325" s="380">
        <f t="shared" si="113"/>
        <v>112.09008131579465</v>
      </c>
      <c r="Z325" s="380">
        <f t="shared" si="114"/>
        <v>114.48445545507197</v>
      </c>
      <c r="AA325" s="381">
        <f t="shared" si="115"/>
        <v>122.2630207218121</v>
      </c>
      <c r="AB325" s="193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6.3621569472251824E-2</v>
      </c>
      <c r="AD325" s="227">
        <f>(INDEX(Models!$BJ325:$BT325,,AH325)*(1-AF325)+INDEX(Models!$BJ325:$BT325,,AH325+1)*AF325-ERP_i)*AE325*Ramure*Pc/MaxiM</f>
        <v>1.8776070195698426E-3</v>
      </c>
      <c r="AE325" s="301">
        <f t="shared" si="117"/>
        <v>0.5</v>
      </c>
      <c r="AF325" s="173">
        <f t="shared" si="118"/>
        <v>0.98864348648455569</v>
      </c>
      <c r="AG325" s="801">
        <f t="shared" si="124"/>
        <v>1</v>
      </c>
      <c r="AH325" s="172">
        <f t="shared" si="119"/>
        <v>7</v>
      </c>
      <c r="AI325" s="221">
        <f t="shared" si="120"/>
        <v>1.9886434864845557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45969</v>
      </c>
      <c r="B326" s="406">
        <f>'2024'!Wh/'2024'!Env_an*'2025'!Env_an</f>
        <v>76.689941511494681</v>
      </c>
      <c r="C326" s="385"/>
      <c r="D326" s="388">
        <f t="shared" si="102"/>
        <v>78.329199868344972</v>
      </c>
      <c r="E326" s="380">
        <f t="shared" si="125"/>
        <v>81.838388378476012</v>
      </c>
      <c r="F326" s="380">
        <f t="shared" si="103"/>
        <v>81.917434417486461</v>
      </c>
      <c r="G326" s="110">
        <f t="shared" si="126"/>
        <v>0.63953567254420152</v>
      </c>
      <c r="H326" s="409" t="b">
        <f>Wh_hp&gt;='2024'!Maxi_hp</f>
        <v>0</v>
      </c>
      <c r="I326" s="375">
        <f>IF(H326,Wh_hp,'2024'!Maxi_hp)</f>
        <v>81.980504790373274</v>
      </c>
      <c r="J326" s="85">
        <f>IF(H326,An,'2024'!An_max)</f>
        <v>2022</v>
      </c>
      <c r="K326" s="193">
        <f t="shared" si="104"/>
        <v>45969</v>
      </c>
      <c r="L326" s="143">
        <f>IF(t&lt;Tvie,1-EXP((T0-t)*PertePVj)+'2024'!Pspv,1-EXP((T0-t)*PertePVj)+Pspv)</f>
        <v>2.092780673880934E-2</v>
      </c>
      <c r="M326" s="835"/>
      <c r="N326" s="835"/>
      <c r="O326" s="48">
        <f>IF(t&lt;Tnet,'2024'!Resal+('2024'!Salim-'2024'!Resal)*(1-EXP(('2024'!Tnet-t)/('2024'!Tau_j))),Resal+(Salim-Resal)*(1-EXP((Tnet-t)/(Tau_j))))*Salcycl</f>
        <v>4.2879491882247066E-2</v>
      </c>
      <c r="P326" s="165">
        <f>(INDEX(Models!$BJ326:$BT326,,T326)*(1-R326)+INDEX(Models!$BJ326:$BT326,,T326+1)*R326-ERP_i)*Q326*Ramure*Pc/MaxiM</f>
        <v>1.9855492902578777E-3</v>
      </c>
      <c r="Q326" s="301">
        <f t="shared" si="105"/>
        <v>0.5</v>
      </c>
      <c r="R326" s="173">
        <f t="shared" si="106"/>
        <v>0.98868572194192161</v>
      </c>
      <c r="S326" s="801">
        <f t="shared" si="107"/>
        <v>1</v>
      </c>
      <c r="T326" s="172">
        <f t="shared" si="108"/>
        <v>7</v>
      </c>
      <c r="U326" s="247">
        <f t="shared" si="109"/>
        <v>1.9886857219419216</v>
      </c>
      <c r="V326" s="378">
        <f t="shared" si="110"/>
        <v>119.79252968064579</v>
      </c>
      <c r="W326" s="397">
        <f t="shared" si="111"/>
        <v>76.689941511494681</v>
      </c>
      <c r="X326" s="153">
        <f t="shared" si="112"/>
        <v>45969</v>
      </c>
      <c r="Y326" s="380">
        <f t="shared" si="113"/>
        <v>75.029922621787421</v>
      </c>
      <c r="Z326" s="380">
        <f t="shared" si="114"/>
        <v>76.633697839860332</v>
      </c>
      <c r="AA326" s="381">
        <f t="shared" si="115"/>
        <v>81.838388378476012</v>
      </c>
      <c r="AB326" s="193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6.3597177824979659E-2</v>
      </c>
      <c r="AD326" s="227">
        <f>(INDEX(Models!$BJ326:$BT326,,AH326)*(1-AF326)+INDEX(Models!$BJ326:$BT326,,AH326+1)*AF326-ERP_i)*AE326*Ramure*Pc/MaxiM</f>
        <v>1.9855492902578777E-3</v>
      </c>
      <c r="AE326" s="301">
        <f t="shared" si="117"/>
        <v>0.5</v>
      </c>
      <c r="AF326" s="173">
        <f t="shared" si="118"/>
        <v>0.98868572194192161</v>
      </c>
      <c r="AG326" s="801">
        <f t="shared" si="124"/>
        <v>1</v>
      </c>
      <c r="AH326" s="172">
        <f t="shared" si="119"/>
        <v>7</v>
      </c>
      <c r="AI326" s="221">
        <f t="shared" si="120"/>
        <v>1.9886857219419216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45970</v>
      </c>
      <c r="B327" s="406">
        <f>'2024'!Wh/'2024'!Env_an*'2025'!Env_an</f>
        <v>43.266807060352285</v>
      </c>
      <c r="C327" s="385"/>
      <c r="D327" s="388">
        <f t="shared" si="102"/>
        <v>44.192246141314463</v>
      </c>
      <c r="E327" s="380">
        <f t="shared" si="125"/>
        <v>46.172701628583773</v>
      </c>
      <c r="F327" s="380">
        <f t="shared" si="103"/>
        <v>46.181647376312895</v>
      </c>
      <c r="G327" s="110">
        <f t="shared" si="126"/>
        <v>0.36423757306377519</v>
      </c>
      <c r="H327" s="409" t="b">
        <f>Wh_hp&gt;='2024'!Maxi_hp</f>
        <v>0</v>
      </c>
      <c r="I327" s="375">
        <f>IF(H327,Wh_hp,'2024'!Maxi_hp)</f>
        <v>46.247813119200636</v>
      </c>
      <c r="J327" s="85">
        <f>IF(H327,An,'2024'!An_max)</f>
        <v>2022</v>
      </c>
      <c r="K327" s="193">
        <f t="shared" si="104"/>
        <v>45970</v>
      </c>
      <c r="L327" s="143">
        <f>IF(t&lt;Tvie,1-EXP((T0-t)*PertePVj)+'2024'!Pspv,1-EXP((T0-t)*PertePVj)+Pspv)</f>
        <v>2.0941209414947703E-2</v>
      </c>
      <c r="M327" s="835"/>
      <c r="N327" s="835"/>
      <c r="O327" s="48">
        <f>IF(t&lt;Tnet,'2024'!Resal+('2024'!Salim-'2024'!Resal)*(1-EXP(('2024'!Tnet-t)/('2024'!Tau_j))),Resal+(Salim-Resal)*(1-EXP((Tnet-t)/(Tau_j))))*Salcycl</f>
        <v>4.2892345854055082E-2</v>
      </c>
      <c r="P327" s="165">
        <f>(INDEX(Models!$BJ327:$BT327,,T327)*(1-R327)+INDEX(Models!$BJ327:$BT327,,T327+1)*R327-ERP_i)*Q327*Ramure*Pc/MaxiM</f>
        <v>2.0883617958300368E-3</v>
      </c>
      <c r="Q327" s="301">
        <f t="shared" si="105"/>
        <v>0.5</v>
      </c>
      <c r="R327" s="173">
        <f t="shared" si="106"/>
        <v>0.98872626359039129</v>
      </c>
      <c r="S327" s="801">
        <f t="shared" si="107"/>
        <v>1</v>
      </c>
      <c r="T327" s="172">
        <f t="shared" si="108"/>
        <v>7</v>
      </c>
      <c r="U327" s="247">
        <f t="shared" si="109"/>
        <v>1.9887262635903913</v>
      </c>
      <c r="V327" s="378">
        <f t="shared" si="110"/>
        <v>118.56222077278984</v>
      </c>
      <c r="W327" s="397">
        <f t="shared" si="111"/>
        <v>43.266807060352285</v>
      </c>
      <c r="X327" s="153">
        <f t="shared" si="112"/>
        <v>45970</v>
      </c>
      <c r="Y327" s="380">
        <f t="shared" si="113"/>
        <v>42.33191406189551</v>
      </c>
      <c r="Z327" s="380">
        <f t="shared" si="114"/>
        <v>43.237356601026377</v>
      </c>
      <c r="AA327" s="381">
        <f t="shared" si="115"/>
        <v>46.172701628583773</v>
      </c>
      <c r="AB327" s="193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6.3573170380401459E-2</v>
      </c>
      <c r="AD327" s="227">
        <f>(INDEX(Models!$BJ327:$BT327,,AH327)*(1-AF327)+INDEX(Models!$BJ327:$BT327,,AH327+1)*AF327-ERP_i)*AE327*Ramure*Pc/MaxiM</f>
        <v>2.0883617958300368E-3</v>
      </c>
      <c r="AE327" s="301">
        <f t="shared" si="117"/>
        <v>0.5</v>
      </c>
      <c r="AF327" s="173">
        <f t="shared" si="118"/>
        <v>0.98872626359039129</v>
      </c>
      <c r="AG327" s="801">
        <f t="shared" si="124"/>
        <v>1</v>
      </c>
      <c r="AH327" s="172">
        <f t="shared" si="119"/>
        <v>7</v>
      </c>
      <c r="AI327" s="221">
        <f t="shared" si="120"/>
        <v>1.9887262635903913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45971</v>
      </c>
      <c r="B328" s="406">
        <f>'2024'!Wh/'2024'!Env_an*'2025'!Env_an</f>
        <v>89.838476319951923</v>
      </c>
      <c r="C328" s="385"/>
      <c r="D328" s="388">
        <f t="shared" si="102"/>
        <v>91.761298722827476</v>
      </c>
      <c r="E328" s="380">
        <f t="shared" si="125"/>
        <v>95.87485045284896</v>
      </c>
      <c r="F328" s="380">
        <f t="shared" si="103"/>
        <v>96.014445981746078</v>
      </c>
      <c r="G328" s="110">
        <f t="shared" si="126"/>
        <v>0.76501091713269598</v>
      </c>
      <c r="H328" s="409" t="b">
        <f>Wh_hp&gt;='2024'!Maxi_hp</f>
        <v>0</v>
      </c>
      <c r="I328" s="375">
        <f>IF(H328,Wh_hp,'2024'!Maxi_hp)</f>
        <v>96.067755850477184</v>
      </c>
      <c r="J328" s="85">
        <f>IF(H328,An,'2024'!An_max)</f>
        <v>2022</v>
      </c>
      <c r="K328" s="193">
        <f t="shared" si="104"/>
        <v>45971</v>
      </c>
      <c r="L328" s="143">
        <f>IF(t&lt;Tvie,1-EXP((T0-t)*PertePVj)+'2024'!Pspv,1-EXP((T0-t)*PertePVj)+Pspv)</f>
        <v>2.0954611907614717E-2</v>
      </c>
      <c r="M328" s="835"/>
      <c r="N328" s="835"/>
      <c r="O328" s="48">
        <f>IF(t&lt;Tnet,'2024'!Resal+('2024'!Salim-'2024'!Resal)*(1-EXP(('2024'!Tnet-t)/('2024'!Tau_j))),Resal+(Salim-Resal)*(1-EXP((Tnet-t)/(Tau_j))))*Salcycl</f>
        <v>4.2905430470992108E-2</v>
      </c>
      <c r="P328" s="165">
        <f>(INDEX(Models!$BJ328:$BT328,,T328)*(1-R328)+INDEX(Models!$BJ328:$BT328,,T328+1)*R328-ERP_i)*Q328*Ramure*Pc/MaxiM</f>
        <v>2.1859787521344648E-3</v>
      </c>
      <c r="Q328" s="301">
        <f t="shared" si="105"/>
        <v>0.5</v>
      </c>
      <c r="R328" s="173">
        <f t="shared" si="106"/>
        <v>0.98876517909942629</v>
      </c>
      <c r="S328" s="801">
        <f t="shared" si="107"/>
        <v>1</v>
      </c>
      <c r="T328" s="172">
        <f t="shared" si="108"/>
        <v>7</v>
      </c>
      <c r="U328" s="247">
        <f t="shared" si="109"/>
        <v>1.9887651790994263</v>
      </c>
      <c r="V328" s="378">
        <f t="shared" si="110"/>
        <v>117.34814474820379</v>
      </c>
      <c r="W328" s="397">
        <f t="shared" si="111"/>
        <v>89.838476319951923</v>
      </c>
      <c r="X328" s="153">
        <f t="shared" si="112"/>
        <v>45971</v>
      </c>
      <c r="Y328" s="380">
        <f t="shared" si="113"/>
        <v>87.900693222018162</v>
      </c>
      <c r="Z328" s="380">
        <f t="shared" si="114"/>
        <v>89.782041048462219</v>
      </c>
      <c r="AA328" s="381">
        <f t="shared" si="115"/>
        <v>95.87485045284896</v>
      </c>
      <c r="AB328" s="193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6.3549610514210625E-2</v>
      </c>
      <c r="AD328" s="227">
        <f>(INDEX(Models!$BJ328:$BT328,,AH328)*(1-AF328)+INDEX(Models!$BJ328:$BT328,,AH328+1)*AF328-ERP_i)*AE328*Ramure*Pc/MaxiM</f>
        <v>2.1859787521344648E-3</v>
      </c>
      <c r="AE328" s="301">
        <f t="shared" si="117"/>
        <v>0.5</v>
      </c>
      <c r="AF328" s="173">
        <f t="shared" si="118"/>
        <v>0.98876517909942629</v>
      </c>
      <c r="AG328" s="801">
        <f t="shared" si="124"/>
        <v>1</v>
      </c>
      <c r="AH328" s="172">
        <f t="shared" si="119"/>
        <v>7</v>
      </c>
      <c r="AI328" s="221">
        <f t="shared" si="120"/>
        <v>1.9887651790994263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45972</v>
      </c>
      <c r="B329" s="406">
        <f>'2024'!Wh/'2024'!Env_an*'2025'!Env_an</f>
        <v>109.31039236235999</v>
      </c>
      <c r="C329" s="385"/>
      <c r="D329" s="388">
        <f t="shared" si="102"/>
        <v>111.65150265740905</v>
      </c>
      <c r="E329" s="380">
        <f t="shared" si="125"/>
        <v>116.65833713212696</v>
      </c>
      <c r="F329" s="380">
        <f t="shared" si="103"/>
        <v>116.90226641559407</v>
      </c>
      <c r="G329" s="110">
        <f t="shared" si="126"/>
        <v>0.94091436654263549</v>
      </c>
      <c r="H329" s="409" t="b">
        <f>Wh_hp&gt;='2024'!Maxi_hp</f>
        <v>0</v>
      </c>
      <c r="I329" s="375">
        <f>IF(H329,Wh_hp,'2024'!Maxi_hp)</f>
        <v>116.91931335378777</v>
      </c>
      <c r="J329" s="85">
        <f>IF(H329,An,'2024'!An_max)</f>
        <v>2022</v>
      </c>
      <c r="K329" s="193">
        <f t="shared" si="104"/>
        <v>45972</v>
      </c>
      <c r="L329" s="143">
        <f>IF(t&lt;Tvie,1-EXP((T0-t)*PertePVj)+'2024'!Pspv,1-EXP((T0-t)*PertePVj)+Pspv)</f>
        <v>2.0968014216812825E-2</v>
      </c>
      <c r="M329" s="835"/>
      <c r="N329" s="835"/>
      <c r="O329" s="48">
        <f>IF(t&lt;Tnet,'2024'!Resal+('2024'!Salim-'2024'!Resal)*(1-EXP(('2024'!Tnet-t)/('2024'!Tau_j))),Resal+(Salim-Resal)*(1-EXP((Tnet-t)/(Tau_j))))*Salcycl</f>
        <v>4.2918788299263849E-2</v>
      </c>
      <c r="P329" s="165">
        <f>(INDEX(Models!$BJ329:$BT329,,T329)*(1-R329)+INDEX(Models!$BJ329:$BT329,,T329+1)*R329-ERP_i)*Q329*Ramure*Pc/MaxiM</f>
        <v>2.2783295508682555E-3</v>
      </c>
      <c r="Q329" s="301">
        <f t="shared" si="105"/>
        <v>0.5</v>
      </c>
      <c r="R329" s="173">
        <f t="shared" si="106"/>
        <v>0.98880253345542357</v>
      </c>
      <c r="S329" s="801">
        <f t="shared" si="107"/>
        <v>1</v>
      </c>
      <c r="T329" s="172">
        <f t="shared" si="108"/>
        <v>7</v>
      </c>
      <c r="U329" s="247">
        <f t="shared" si="109"/>
        <v>1.9888025334554236</v>
      </c>
      <c r="V329" s="378">
        <f t="shared" si="110"/>
        <v>116.15232516783398</v>
      </c>
      <c r="W329" s="397">
        <f t="shared" si="111"/>
        <v>109.31039236235999</v>
      </c>
      <c r="X329" s="153">
        <f t="shared" si="112"/>
        <v>45972</v>
      </c>
      <c r="Y329" s="380">
        <f t="shared" si="113"/>
        <v>106.95673251446306</v>
      </c>
      <c r="Z329" s="380">
        <f t="shared" si="114"/>
        <v>109.24743426937361</v>
      </c>
      <c r="AA329" s="381">
        <f t="shared" si="115"/>
        <v>116.65833713212696</v>
      </c>
      <c r="AB329" s="193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6.3526560080826217E-2</v>
      </c>
      <c r="AD329" s="227">
        <f>(INDEX(Models!$BJ329:$BT329,,AH329)*(1-AF329)+INDEX(Models!$BJ329:$BT329,,AH329+1)*AF329-ERP_i)*AE329*Ramure*Pc/MaxiM</f>
        <v>2.2783295508682555E-3</v>
      </c>
      <c r="AE329" s="301">
        <f t="shared" si="117"/>
        <v>0.5</v>
      </c>
      <c r="AF329" s="173">
        <f t="shared" si="118"/>
        <v>0.98880253345542357</v>
      </c>
      <c r="AG329" s="801">
        <f t="shared" si="124"/>
        <v>1</v>
      </c>
      <c r="AH329" s="172">
        <f t="shared" si="119"/>
        <v>7</v>
      </c>
      <c r="AI329" s="221">
        <f t="shared" si="120"/>
        <v>1.9888025334554236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45973</v>
      </c>
      <c r="B330" s="406">
        <f>'2024'!Wh/'2024'!Env_an*'2025'!Env_an</f>
        <v>107.79001411108855</v>
      </c>
      <c r="C330" s="385"/>
      <c r="D330" s="388">
        <f t="shared" si="102"/>
        <v>110.1000695087957</v>
      </c>
      <c r="E330" s="380">
        <f t="shared" si="125"/>
        <v>115.03897582820844</v>
      </c>
      <c r="F330" s="380">
        <f t="shared" si="103"/>
        <v>115.28731929885106</v>
      </c>
      <c r="G330" s="110">
        <f t="shared" si="126"/>
        <v>0.93729527887515784</v>
      </c>
      <c r="H330" s="409" t="b">
        <f>Wh_hp&gt;='2024'!Maxi_hp</f>
        <v>0</v>
      </c>
      <c r="I330" s="375">
        <f>IF(H330,Wh_hp,'2024'!Maxi_hp)</f>
        <v>115.3058916610667</v>
      </c>
      <c r="J330" s="85">
        <f>IF(H330,An,'2024'!An_max)</f>
        <v>2022</v>
      </c>
      <c r="K330" s="193">
        <f t="shared" si="104"/>
        <v>45973</v>
      </c>
      <c r="L330" s="143">
        <f>IF(t&lt;Tvie,1-EXP((T0-t)*PertePVj)+'2024'!Pspv,1-EXP((T0-t)*PertePVj)+Pspv)</f>
        <v>2.0981416342544579E-2</v>
      </c>
      <c r="M330" s="835"/>
      <c r="N330" s="835"/>
      <c r="O330" s="48">
        <f>IF(t&lt;Tnet,'2024'!Resal+('2024'!Salim-'2024'!Resal)*(1-EXP(('2024'!Tnet-t)/('2024'!Tau_j))),Resal+(Salim-Resal)*(1-EXP((Tnet-t)/(Tau_j))))*Salcycl</f>
        <v>4.2932460793011377E-2</v>
      </c>
      <c r="P330" s="165">
        <f>(INDEX(Models!$BJ330:$BT330,,T330)*(1-R330)+INDEX(Models!$BJ330:$BT330,,T330+1)*R330-ERP_i)*Q330*Ramure*Pc/MaxiM</f>
        <v>2.3653386964689336E-3</v>
      </c>
      <c r="Q330" s="301">
        <f t="shared" si="105"/>
        <v>0.5</v>
      </c>
      <c r="R330" s="173">
        <f t="shared" si="106"/>
        <v>0.98883838906648669</v>
      </c>
      <c r="S330" s="801">
        <f t="shared" si="107"/>
        <v>1</v>
      </c>
      <c r="T330" s="172">
        <f t="shared" si="108"/>
        <v>7</v>
      </c>
      <c r="U330" s="247">
        <f t="shared" si="109"/>
        <v>1.9888383890664867</v>
      </c>
      <c r="V330" s="378">
        <f t="shared" si="110"/>
        <v>114.97678568039981</v>
      </c>
      <c r="W330" s="397">
        <f t="shared" si="111"/>
        <v>107.79001411108855</v>
      </c>
      <c r="X330" s="153">
        <f t="shared" si="112"/>
        <v>45973</v>
      </c>
      <c r="Y330" s="380">
        <f t="shared" si="113"/>
        <v>105.47312952385307</v>
      </c>
      <c r="Z330" s="380">
        <f t="shared" si="114"/>
        <v>107.73353160449977</v>
      </c>
      <c r="AA330" s="381">
        <f t="shared" si="115"/>
        <v>115.03897582820844</v>
      </c>
      <c r="AB330" s="193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6.3504079127217852E-2</v>
      </c>
      <c r="AD330" s="227">
        <f>(INDEX(Models!$BJ330:$BT330,,AH330)*(1-AF330)+INDEX(Models!$BJ330:$BT330,,AH330+1)*AF330-ERP_i)*AE330*Ramure*Pc/MaxiM</f>
        <v>2.3653386964689336E-3</v>
      </c>
      <c r="AE330" s="301">
        <f t="shared" si="117"/>
        <v>0.5</v>
      </c>
      <c r="AF330" s="173">
        <f t="shared" si="118"/>
        <v>0.98883838906648669</v>
      </c>
      <c r="AG330" s="801">
        <f t="shared" si="124"/>
        <v>1</v>
      </c>
      <c r="AH330" s="172">
        <f t="shared" si="119"/>
        <v>7</v>
      </c>
      <c r="AI330" s="221">
        <f t="shared" si="120"/>
        <v>1.9888383890664867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45974</v>
      </c>
      <c r="B331" s="406">
        <f>'2024'!Wh/'2024'!Env_an*'2025'!Env_an</f>
        <v>106.45303294312767</v>
      </c>
      <c r="C331" s="385"/>
      <c r="D331" s="388">
        <f t="shared" si="102"/>
        <v>108.73592390657747</v>
      </c>
      <c r="E331" s="380">
        <f t="shared" si="125"/>
        <v>113.61530212769149</v>
      </c>
      <c r="F331" s="380">
        <f t="shared" si="103"/>
        <v>113.86823150956916</v>
      </c>
      <c r="G331" s="110">
        <f t="shared" si="126"/>
        <v>0.93514931578421256</v>
      </c>
      <c r="H331" s="409" t="b">
        <f>Wh_hp&gt;='2024'!Maxi_hp</f>
        <v>0</v>
      </c>
      <c r="I331" s="375">
        <f>IF(H331,Wh_hp,'2024'!Maxi_hp)</f>
        <v>113.88791436897183</v>
      </c>
      <c r="J331" s="85">
        <f>IF(H331,An,'2024'!An_max)</f>
        <v>2022</v>
      </c>
      <c r="K331" s="193">
        <f t="shared" si="104"/>
        <v>45974</v>
      </c>
      <c r="L331" s="143">
        <f>IF(t&lt;Tvie,1-EXP((T0-t)*PertePVj)+'2024'!Pspv,1-EXP((T0-t)*PertePVj)+Pspv)</f>
        <v>2.0994818284812533E-2</v>
      </c>
      <c r="M331" s="835"/>
      <c r="N331" s="835"/>
      <c r="O331" s="48">
        <f>IF(t&lt;Tnet,'2024'!Resal+('2024'!Salim-'2024'!Resal)*(1-EXP(('2024'!Tnet-t)/('2024'!Tau_j))),Resal+(Salim-Resal)*(1-EXP((Tnet-t)/(Tau_j))))*Salcycl</f>
        <v>4.2946488102721565E-2</v>
      </c>
      <c r="P331" s="165">
        <f>(INDEX(Models!$BJ331:$BT331,,T331)*(1-R331)+INDEX(Models!$BJ331:$BT331,,T331+1)*R331-ERP_i)*Q331*Ramure*Pc/MaxiM</f>
        <v>2.4472260392860708E-3</v>
      </c>
      <c r="Q331" s="301">
        <f t="shared" si="105"/>
        <v>0.5</v>
      </c>
      <c r="R331" s="173">
        <f t="shared" si="106"/>
        <v>0.98887280586323745</v>
      </c>
      <c r="S331" s="801">
        <f t="shared" si="107"/>
        <v>1</v>
      </c>
      <c r="T331" s="172">
        <f t="shared" si="108"/>
        <v>7</v>
      </c>
      <c r="U331" s="247">
        <f t="shared" si="109"/>
        <v>1.9888728058632374</v>
      </c>
      <c r="V331" s="378">
        <f t="shared" si="110"/>
        <v>113.80955036663138</v>
      </c>
      <c r="W331" s="397">
        <f t="shared" si="111"/>
        <v>106.45303294312767</v>
      </c>
      <c r="X331" s="153">
        <f t="shared" si="112"/>
        <v>45974</v>
      </c>
      <c r="Y331" s="380">
        <f t="shared" si="113"/>
        <v>104.16884348570893</v>
      </c>
      <c r="Z331" s="380">
        <f t="shared" si="114"/>
        <v>106.40274988453919</v>
      </c>
      <c r="AA331" s="381">
        <f t="shared" si="115"/>
        <v>113.61530212769149</v>
      </c>
      <c r="AB331" s="193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6.348222561645929E-2</v>
      </c>
      <c r="AD331" s="227">
        <f>(INDEX(Models!$BJ331:$BT331,,AH331)*(1-AF331)+INDEX(Models!$BJ331:$BT331,,AH331+1)*AF331-ERP_i)*AE331*Ramure*Pc/MaxiM</f>
        <v>2.4472260392860708E-3</v>
      </c>
      <c r="AE331" s="301">
        <f t="shared" si="117"/>
        <v>0.5</v>
      </c>
      <c r="AF331" s="173">
        <f t="shared" si="118"/>
        <v>0.98887280586323745</v>
      </c>
      <c r="AG331" s="801">
        <f t="shared" si="124"/>
        <v>1</v>
      </c>
      <c r="AH331" s="172">
        <f t="shared" si="119"/>
        <v>7</v>
      </c>
      <c r="AI331" s="221">
        <f t="shared" si="120"/>
        <v>1.9888728058632374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45975</v>
      </c>
      <c r="B332" s="406">
        <f>'2024'!Wh/'2024'!Env_an*'2025'!Env_an</f>
        <v>40.620350332422298</v>
      </c>
      <c r="C332" s="385"/>
      <c r="D332" s="388">
        <f t="shared" si="102"/>
        <v>41.492023900580804</v>
      </c>
      <c r="E332" s="380">
        <f t="shared" si="125"/>
        <v>43.354575885184772</v>
      </c>
      <c r="F332" s="380">
        <f t="shared" si="103"/>
        <v>43.364049160594824</v>
      </c>
      <c r="G332" s="110">
        <f t="shared" si="126"/>
        <v>0.35978928320193221</v>
      </c>
      <c r="H332" s="409" t="b">
        <f>Wh_hp&gt;='2024'!Maxi_hp</f>
        <v>0</v>
      </c>
      <c r="I332" s="375">
        <f>IF(H332,Wh_hp,'2024'!Maxi_hp)</f>
        <v>43.440643377111911</v>
      </c>
      <c r="J332" s="85">
        <f>IF(H332,An,'2024'!An_max)</f>
        <v>2022</v>
      </c>
      <c r="K332" s="193">
        <f t="shared" si="104"/>
        <v>45975</v>
      </c>
      <c r="L332" s="143">
        <f>IF(t&lt;Tvie,1-EXP((T0-t)*PertePVj)+'2024'!Pspv,1-EXP((T0-t)*PertePVj)+Pspv)</f>
        <v>2.100822004361913E-2</v>
      </c>
      <c r="M332" s="835"/>
      <c r="N332" s="835"/>
      <c r="O332" s="48">
        <f>IF(t&lt;Tnet,'2024'!Resal+('2024'!Salim-'2024'!Resal)*(1-EXP(('2024'!Tnet-t)/('2024'!Tau_j))),Resal+(Salim-Resal)*(1-EXP((Tnet-t)/(Tau_j))))*Salcycl</f>
        <v>4.2960908890829382E-2</v>
      </c>
      <c r="P332" s="165">
        <f>(INDEX(Models!$BJ332:$BT332,,T332)*(1-R332)+INDEX(Models!$BJ332:$BT332,,T332+1)*R332-ERP_i)*Q332*Ramure*Pc/MaxiM</f>
        <v>2.522607406996725E-3</v>
      </c>
      <c r="Q332" s="301">
        <f t="shared" si="105"/>
        <v>0.5</v>
      </c>
      <c r="R332" s="173">
        <f t="shared" si="106"/>
        <v>0.98890584139579918</v>
      </c>
      <c r="S332" s="801">
        <f t="shared" si="107"/>
        <v>1</v>
      </c>
      <c r="T332" s="172">
        <f t="shared" si="108"/>
        <v>7</v>
      </c>
      <c r="U332" s="247">
        <f t="shared" si="109"/>
        <v>1.9889058413957992</v>
      </c>
      <c r="V332" s="378">
        <f t="shared" si="110"/>
        <v>112.64019376306332</v>
      </c>
      <c r="W332" s="397">
        <f t="shared" si="111"/>
        <v>40.620350332422298</v>
      </c>
      <c r="X332" s="153">
        <f t="shared" si="112"/>
        <v>45975</v>
      </c>
      <c r="Y332" s="380">
        <f t="shared" si="113"/>
        <v>39.750246769070834</v>
      </c>
      <c r="Z332" s="380">
        <f t="shared" si="114"/>
        <v>40.603248753367382</v>
      </c>
      <c r="AA332" s="381">
        <f t="shared" si="115"/>
        <v>43.354575885184772</v>
      </c>
      <c r="AB332" s="193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6.3461055162981686E-2</v>
      </c>
      <c r="AD332" s="227">
        <f>(INDEX(Models!$BJ332:$BT332,,AH332)*(1-AF332)+INDEX(Models!$BJ332:$BT332,,AH332+1)*AF332-ERP_i)*AE332*Ramure*Pc/MaxiM</f>
        <v>2.522607406996725E-3</v>
      </c>
      <c r="AE332" s="301">
        <f t="shared" si="117"/>
        <v>0.5</v>
      </c>
      <c r="AF332" s="173">
        <f t="shared" si="118"/>
        <v>0.98890584139579918</v>
      </c>
      <c r="AG332" s="801">
        <f t="shared" si="124"/>
        <v>1</v>
      </c>
      <c r="AH332" s="172">
        <f t="shared" si="119"/>
        <v>7</v>
      </c>
      <c r="AI332" s="221">
        <f t="shared" si="120"/>
        <v>1.9889058413957992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45976</v>
      </c>
      <c r="B333" s="406">
        <f>'2024'!Wh/'2024'!Env_an*'2025'!Env_an</f>
        <v>51.09984998048764</v>
      </c>
      <c r="C333" s="385"/>
      <c r="D333" s="388">
        <f t="shared" si="102"/>
        <v>52.197118045643705</v>
      </c>
      <c r="E333" s="380">
        <f t="shared" si="125"/>
        <v>54.541061628849576</v>
      </c>
      <c r="F333" s="380">
        <f t="shared" si="103"/>
        <v>54.573105930498691</v>
      </c>
      <c r="G333" s="110">
        <f t="shared" si="126"/>
        <v>0.45748721137714438</v>
      </c>
      <c r="H333" s="409" t="b">
        <f>Wh_hp&gt;='2024'!Maxi_hp</f>
        <v>0</v>
      </c>
      <c r="I333" s="375">
        <f>IF(H333,Wh_hp,'2024'!Maxi_hp)</f>
        <v>54.6572788100165</v>
      </c>
      <c r="J333" s="85">
        <f>IF(H333,An,'2024'!An_max)</f>
        <v>2022</v>
      </c>
      <c r="K333" s="193">
        <f t="shared" si="104"/>
        <v>45976</v>
      </c>
      <c r="L333" s="143">
        <f>IF(t&lt;Tvie,1-EXP((T0-t)*PertePVj)+'2024'!Pspv,1-EXP((T0-t)*PertePVj)+Pspv)</f>
        <v>2.1021621618966813E-2</v>
      </c>
      <c r="M333" s="835"/>
      <c r="N333" s="835"/>
      <c r="O333" s="48">
        <f>IF(t&lt;Tnet,'2024'!Resal+('2024'!Salim-'2024'!Resal)*(1-EXP(('2024'!Tnet-t)/('2024'!Tau_j))),Resal+(Salim-Resal)*(1-EXP((Tnet-t)/(Tau_j))))*Salcycl</f>
        <v>4.297576015583162E-2</v>
      </c>
      <c r="P333" s="165">
        <f>(INDEX(Models!$BJ333:$BT333,,T333)*(1-R333)+INDEX(Models!$BJ333:$BT333,,T333+1)*R333-ERP_i)*Q333*Ramure*Pc/MaxiM</f>
        <v>2.5947348482200671E-3</v>
      </c>
      <c r="Q333" s="301">
        <f t="shared" si="105"/>
        <v>0.5</v>
      </c>
      <c r="R333" s="173">
        <f t="shared" si="106"/>
        <v>0.98893755092709412</v>
      </c>
      <c r="S333" s="801">
        <f t="shared" si="107"/>
        <v>1</v>
      </c>
      <c r="T333" s="172">
        <f t="shared" si="108"/>
        <v>7</v>
      </c>
      <c r="U333" s="247">
        <f t="shared" si="109"/>
        <v>1.9889375509270941</v>
      </c>
      <c r="V333" s="378">
        <f t="shared" si="110"/>
        <v>111.47241441957642</v>
      </c>
      <c r="W333" s="397">
        <f t="shared" si="111"/>
        <v>51.09984998048764</v>
      </c>
      <c r="X333" s="153">
        <f t="shared" si="112"/>
        <v>45976</v>
      </c>
      <c r="Y333" s="380">
        <f t="shared" si="113"/>
        <v>50.007138569114119</v>
      </c>
      <c r="Z333" s="380">
        <f t="shared" si="114"/>
        <v>51.080942821038057</v>
      </c>
      <c r="AA333" s="381">
        <f t="shared" si="115"/>
        <v>54.541061628849576</v>
      </c>
      <c r="AB333" s="193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6.344062078141284E-2</v>
      </c>
      <c r="AD333" s="227">
        <f>(INDEX(Models!$BJ333:$BT333,,AH333)*(1-AF333)+INDEX(Models!$BJ333:$BT333,,AH333+1)*AF333-ERP_i)*AE333*Ramure*Pc/MaxiM</f>
        <v>2.5947348482200671E-3</v>
      </c>
      <c r="AE333" s="301">
        <f t="shared" si="117"/>
        <v>0.5</v>
      </c>
      <c r="AF333" s="173">
        <f t="shared" si="118"/>
        <v>0.98893755092709412</v>
      </c>
      <c r="AG333" s="801">
        <f t="shared" si="124"/>
        <v>1</v>
      </c>
      <c r="AH333" s="172">
        <f t="shared" si="119"/>
        <v>7</v>
      </c>
      <c r="AI333" s="221">
        <f t="shared" si="120"/>
        <v>1.9889375509270941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45977</v>
      </c>
      <c r="B334" s="406">
        <f>'2024'!Wh/'2024'!Env_an*'2025'!Env_an</f>
        <v>106.52654344001768</v>
      </c>
      <c r="C334" s="385"/>
      <c r="D334" s="388">
        <f t="shared" si="102"/>
        <v>108.81547955642465</v>
      </c>
      <c r="E334" s="380">
        <f t="shared" si="125"/>
        <v>113.7037251678252</v>
      </c>
      <c r="F334" s="380">
        <f t="shared" si="103"/>
        <v>113.99247059317187</v>
      </c>
      <c r="G334" s="110">
        <f t="shared" si="126"/>
        <v>0.96557268237008187</v>
      </c>
      <c r="H334" s="409" t="b">
        <f>Wh_hp&gt;='2024'!Maxi_hp</f>
        <v>0</v>
      </c>
      <c r="I334" s="375">
        <f>IF(H334,Wh_hp,'2024'!Maxi_hp)</f>
        <v>114.00392589977223</v>
      </c>
      <c r="J334" s="85">
        <f>IF(H334,An,'2024'!An_max)</f>
        <v>2022</v>
      </c>
      <c r="K334" s="193">
        <f t="shared" si="104"/>
        <v>45977</v>
      </c>
      <c r="L334" s="143">
        <f>IF(t&lt;Tvie,1-EXP((T0-t)*PertePVj)+'2024'!Pspv,1-EXP((T0-t)*PertePVj)+Pspv)</f>
        <v>2.1035023010858245E-2</v>
      </c>
      <c r="M334" s="835"/>
      <c r="N334" s="835"/>
      <c r="O334" s="48">
        <f>IF(t&lt;Tnet,'2024'!Resal+('2024'!Salim-'2024'!Resal)*(1-EXP(('2024'!Tnet-t)/('2024'!Tau_j))),Resal+(Salim-Resal)*(1-EXP((Tnet-t)/(Tau_j))))*Salcycl</f>
        <v>4.2991077066169614E-2</v>
      </c>
      <c r="P334" s="165">
        <f>(INDEX(Models!$BJ334:$BT334,,T334)*(1-R334)+INDEX(Models!$BJ334:$BT334,,T334+1)*R334-ERP_i)*Q334*Ramure*Pc/MaxiM</f>
        <v>2.6635389597398445E-3</v>
      </c>
      <c r="Q334" s="301">
        <f t="shared" si="105"/>
        <v>0.5</v>
      </c>
      <c r="R334" s="173">
        <f t="shared" si="106"/>
        <v>0.98896798752258386</v>
      </c>
      <c r="S334" s="801">
        <f t="shared" si="107"/>
        <v>1</v>
      </c>
      <c r="T334" s="172">
        <f t="shared" si="108"/>
        <v>7</v>
      </c>
      <c r="U334" s="247">
        <f t="shared" si="109"/>
        <v>1.9889679875225839</v>
      </c>
      <c r="V334" s="378">
        <f t="shared" si="110"/>
        <v>110.31029206501363</v>
      </c>
      <c r="W334" s="397">
        <f t="shared" si="111"/>
        <v>106.52654344001768</v>
      </c>
      <c r="X334" s="153">
        <f t="shared" si="112"/>
        <v>45977</v>
      </c>
      <c r="Y334" s="380">
        <f t="shared" si="113"/>
        <v>104.25245162403114</v>
      </c>
      <c r="Z334" s="380">
        <f t="shared" si="114"/>
        <v>106.49252432366379</v>
      </c>
      <c r="AA334" s="381">
        <f t="shared" si="115"/>
        <v>113.7037251678252</v>
      </c>
      <c r="AB334" s="193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6.3420972650788485E-2</v>
      </c>
      <c r="AD334" s="227">
        <f>(INDEX(Models!$BJ334:$BT334,,AH334)*(1-AF334)+INDEX(Models!$BJ334:$BT334,,AH334+1)*AF334-ERP_i)*AE334*Ramure*Pc/MaxiM</f>
        <v>2.6635389597398445E-3</v>
      </c>
      <c r="AE334" s="301">
        <f t="shared" si="117"/>
        <v>0.5</v>
      </c>
      <c r="AF334" s="173">
        <f t="shared" si="118"/>
        <v>0.98896798752258386</v>
      </c>
      <c r="AG334" s="801">
        <f t="shared" si="124"/>
        <v>1</v>
      </c>
      <c r="AH334" s="172">
        <f t="shared" si="119"/>
        <v>7</v>
      </c>
      <c r="AI334" s="221">
        <f t="shared" si="120"/>
        <v>1.9889679875225839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45978</v>
      </c>
      <c r="B335" s="406">
        <f>'2024'!Wh/'2024'!Env_an*'2025'!Env_an</f>
        <v>63.261858295221913</v>
      </c>
      <c r="C335" s="385"/>
      <c r="D335" s="388">
        <f t="shared" ref="D335:D379" si="127">Wh/(1-Ppv)</f>
        <v>64.62205063082024</v>
      </c>
      <c r="E335" s="380">
        <f t="shared" si="125"/>
        <v>67.526140099624655</v>
      </c>
      <c r="F335" s="380">
        <f t="shared" ref="F335:F379" si="128">Wh_sa/(1-Pvg*MEDIAN((-Sdif+Wh/Env_an)/Csdif,0,1))</f>
        <v>67.59981024016939</v>
      </c>
      <c r="G335" s="110">
        <f t="shared" si="126"/>
        <v>0.57859345466150136</v>
      </c>
      <c r="H335" s="409" t="b">
        <f>Wh_hp&gt;='2024'!Maxi_hp</f>
        <v>0</v>
      </c>
      <c r="I335" s="375">
        <f>IF(H335,Wh_hp,'2024'!Maxi_hp)</f>
        <v>67.685207187062332</v>
      </c>
      <c r="J335" s="85">
        <f>IF(H335,An,'2024'!An_max)</f>
        <v>2022</v>
      </c>
      <c r="K335" s="193">
        <f t="shared" ref="K335:K379" si="129">t</f>
        <v>45978</v>
      </c>
      <c r="L335" s="143">
        <f>IF(t&lt;Tvie,1-EXP((T0-t)*PertePVj)+'2024'!Pspv,1-EXP((T0-t)*PertePVj)+Pspv)</f>
        <v>2.104842421929598E-2</v>
      </c>
      <c r="M335" s="835"/>
      <c r="N335" s="835"/>
      <c r="O335" s="48">
        <f>IF(t&lt;Tnet,'2024'!Resal+('2024'!Salim-'2024'!Resal)*(1-EXP(('2024'!Tnet-t)/('2024'!Tau_j))),Resal+(Salim-Resal)*(1-EXP((Tnet-t)/(Tau_j))))*Salcycl</f>
        <v>4.3006892805065873E-2</v>
      </c>
      <c r="P335" s="165">
        <f>(INDEX(Models!$BJ335:$BT335,,T335)*(1-R335)+INDEX(Models!$BJ335:$BT335,,T335+1)*R335-ERP_i)*Q335*Ramure*Pc/MaxiM</f>
        <v>2.7289350345011901E-3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0.98899720213657805</v>
      </c>
      <c r="S335" s="801">
        <f t="shared" ref="S335:S379" si="132">INDEX(Echel_vg,T335)</f>
        <v>1</v>
      </c>
      <c r="T335" s="172">
        <f t="shared" ref="T335:T379" si="133">MIN(MATCH(Hp_vg,Echel_vg),10)</f>
        <v>7</v>
      </c>
      <c r="U335" s="247">
        <f t="shared" ref="U335:U379" si="134">IF(OR(t&lt;Ttai,Notai),Hdd+PousH*Croivg,Hdtf+PousH*(Croivg-Croi_tai))</f>
        <v>1.988997202136578</v>
      </c>
      <c r="V335" s="378">
        <f t="shared" ref="V335:V379" si="135">MaxiM*(1-Ppv)*(1-Pvg)*(1-Psa)</f>
        <v>109.15790665142372</v>
      </c>
      <c r="W335" s="397">
        <f t="shared" ref="W335:W379" si="136">Wh*(A335&gt;Tmaj)</f>
        <v>63.261858295221913</v>
      </c>
      <c r="X335" s="153">
        <f t="shared" ref="X335:X379" si="137">t</f>
        <v>45978</v>
      </c>
      <c r="Y335" s="380">
        <f t="shared" ref="Y335:Y379" si="138">Wh_pvt_s*(1-Ppv)</f>
        <v>61.913632941911175</v>
      </c>
      <c r="Z335" s="380">
        <f t="shared" ref="Z335:Z379" si="139">Wh_sa_s*(1-Psa_s)</f>
        <v>63.244837102934</v>
      </c>
      <c r="AA335" s="381">
        <f t="shared" ref="AA335:AA379" si="140">Wh_hp*(1-Pvg_s*MEDIAN((-Sdif+Wh/Env_an)/Csdif,0,1))</f>
        <v>67.526140099624655</v>
      </c>
      <c r="AB335" s="193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6.3402157895805E-2</v>
      </c>
      <c r="AD335" s="227">
        <f>(INDEX(Models!$BJ335:$BT335,,AH335)*(1-AF335)+INDEX(Models!$BJ335:$BT335,,AH335+1)*AF335-ERP_i)*AE335*Ramure*Pc/MaxiM</f>
        <v>2.7289350345011901E-3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0.98899720213657805</v>
      </c>
      <c r="AG335" s="801">
        <f t="shared" si="124"/>
        <v>1</v>
      </c>
      <c r="AH335" s="172">
        <f t="shared" ref="AH335:AH379" si="144">MIN(MATCH(Hp_vg_s,Echel_vg),10)</f>
        <v>7</v>
      </c>
      <c r="AI335" s="221">
        <f t="shared" ref="AI335:AI379" si="145">IF(OR(t&lt;Ttai,Notai),Hdd_s+PousH*Croivg,Hdtai_s+PousH*(Croivg-Croi_tai))</f>
        <v>1.988997202136578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45979</v>
      </c>
      <c r="B336" s="406">
        <f>'2024'!Wh/'2024'!Env_an*'2025'!Env_an</f>
        <v>50.204154016488317</v>
      </c>
      <c r="C336" s="385"/>
      <c r="D336" s="388">
        <f t="shared" si="127"/>
        <v>51.284294872877098</v>
      </c>
      <c r="E336" s="380">
        <f t="shared" si="125"/>
        <v>53.589906183931269</v>
      </c>
      <c r="F336" s="380">
        <f t="shared" si="128"/>
        <v>53.625133611051865</v>
      </c>
      <c r="G336" s="110">
        <f t="shared" si="126"/>
        <v>0.46377763056447802</v>
      </c>
      <c r="H336" s="409" t="b">
        <f>Wh_hp&gt;='2024'!Maxi_hp</f>
        <v>0</v>
      </c>
      <c r="I336" s="375">
        <f>IF(H336,Wh_hp,'2024'!Maxi_hp)</f>
        <v>53.713397448687658</v>
      </c>
      <c r="J336" s="85">
        <f>IF(H336,An,'2024'!An_max)</f>
        <v>2022</v>
      </c>
      <c r="K336" s="193">
        <f t="shared" si="129"/>
        <v>45979</v>
      </c>
      <c r="L336" s="143">
        <f>IF(t&lt;Tvie,1-EXP((T0-t)*PertePVj)+'2024'!Pspv,1-EXP((T0-t)*PertePVj)+Pspv)</f>
        <v>2.106182524428224E-2</v>
      </c>
      <c r="M336" s="835"/>
      <c r="N336" s="835"/>
      <c r="O336" s="48">
        <f>IF(t&lt;Tnet,'2024'!Resal+('2024'!Salim-'2024'!Resal)*(1-EXP(('2024'!Tnet-t)/('2024'!Tau_j))),Resal+(Salim-Resal)*(1-EXP((Tnet-t)/(Tau_j))))*Salcycl</f>
        <v>4.3023238427416753E-2</v>
      </c>
      <c r="P336" s="165">
        <f>(INDEX(Models!$BJ336:$BT336,,T336)*(1-R336)+INDEX(Models!$BJ336:$BT336,,T336+1)*R336-ERP_i)*Q336*Ramure*Pc/MaxiM</f>
        <v>2.7908229569264839E-3</v>
      </c>
      <c r="Q336" s="301">
        <f t="shared" si="130"/>
        <v>0.5</v>
      </c>
      <c r="R336" s="173">
        <f t="shared" si="131"/>
        <v>0.98902524369524136</v>
      </c>
      <c r="S336" s="801">
        <f t="shared" si="132"/>
        <v>1</v>
      </c>
      <c r="T336" s="172">
        <f t="shared" si="133"/>
        <v>7</v>
      </c>
      <c r="U336" s="247">
        <f t="shared" si="134"/>
        <v>1.9890252436952414</v>
      </c>
      <c r="V336" s="378">
        <f t="shared" si="135"/>
        <v>108.01933837182057</v>
      </c>
      <c r="W336" s="397">
        <f t="shared" si="136"/>
        <v>50.204154016488317</v>
      </c>
      <c r="X336" s="153">
        <f t="shared" si="137"/>
        <v>45979</v>
      </c>
      <c r="Y336" s="380">
        <f t="shared" si="138"/>
        <v>49.135992369042803</v>
      </c>
      <c r="Z336" s="380">
        <f t="shared" si="139"/>
        <v>50.193151759868897</v>
      </c>
      <c r="AA336" s="381">
        <f t="shared" si="140"/>
        <v>53.589906183931269</v>
      </c>
      <c r="AB336" s="193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6.3384220386653201E-2</v>
      </c>
      <c r="AD336" s="227">
        <f>(INDEX(Models!$BJ336:$BT336,,AH336)*(1-AF336)+INDEX(Models!$BJ336:$BT336,,AH336+1)*AF336-ERP_i)*AE336*Ramure*Pc/MaxiM</f>
        <v>2.7908229569264839E-3</v>
      </c>
      <c r="AE336" s="301">
        <f t="shared" si="142"/>
        <v>0.5</v>
      </c>
      <c r="AF336" s="173">
        <f t="shared" si="143"/>
        <v>0.98902524369524136</v>
      </c>
      <c r="AG336" s="801">
        <f t="shared" ref="AG336:AG379" si="149">INDEX(Echel_vg,AH336)</f>
        <v>1</v>
      </c>
      <c r="AH336" s="172">
        <f t="shared" si="144"/>
        <v>7</v>
      </c>
      <c r="AI336" s="221">
        <f t="shared" si="145"/>
        <v>1.9890252436952414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45980</v>
      </c>
      <c r="B337" s="406">
        <f>'2024'!Wh/'2024'!Env_an*'2025'!Env_an</f>
        <v>23.872618859999772</v>
      </c>
      <c r="C337" s="385"/>
      <c r="D337" s="388">
        <f t="shared" si="127"/>
        <v>24.386571364974589</v>
      </c>
      <c r="E337" s="380">
        <f t="shared" si="125"/>
        <v>25.48337966290233</v>
      </c>
      <c r="F337" s="380">
        <f t="shared" si="128"/>
        <v>25.48337966290233</v>
      </c>
      <c r="G337" s="110">
        <f t="shared" si="126"/>
        <v>0.22268382009602342</v>
      </c>
      <c r="H337" s="409" t="b">
        <f>Wh_hp&gt;='2024'!Maxi_hp</f>
        <v>0</v>
      </c>
      <c r="I337" s="375">
        <f>IF(H337,Wh_hp,'2024'!Maxi_hp)</f>
        <v>25.539405273460016</v>
      </c>
      <c r="J337" s="85">
        <f>IF(H337,An,'2024'!An_max)</f>
        <v>2022</v>
      </c>
      <c r="K337" s="193">
        <f t="shared" si="129"/>
        <v>45980</v>
      </c>
      <c r="L337" s="143">
        <f>IF(t&lt;Tvie,1-EXP((T0-t)*PertePVj)+'2024'!Pspv,1-EXP((T0-t)*PertePVj)+Pspv)</f>
        <v>2.1075226085819798E-2</v>
      </c>
      <c r="M337" s="835"/>
      <c r="N337" s="835"/>
      <c r="O337" s="48">
        <f>IF(t&lt;Tnet,'2024'!Resal+('2024'!Salim-'2024'!Resal)*(1-EXP(('2024'!Tnet-t)/('2024'!Tau_j))),Resal+(Salim-Resal)*(1-EXP((Tnet-t)/(Tau_j))))*Salcycl</f>
        <v>4.3040142729750666E-2</v>
      </c>
      <c r="P337" s="165">
        <f>(INDEX(Models!$BJ337:$BT337,,T337)*(1-R337)+INDEX(Models!$BJ337:$BT337,,T337+1)*R337-ERP_i)*Q337*Ramure*Pc/MaxiM</f>
        <v>2.8490872161330795E-3</v>
      </c>
      <c r="Q337" s="301">
        <f t="shared" si="130"/>
        <v>0.5</v>
      </c>
      <c r="R337" s="173">
        <f t="shared" si="131"/>
        <v>0.98905215917641187</v>
      </c>
      <c r="S337" s="801">
        <f t="shared" si="132"/>
        <v>1</v>
      </c>
      <c r="T337" s="172">
        <f t="shared" si="133"/>
        <v>7</v>
      </c>
      <c r="U337" s="247">
        <f t="shared" si="134"/>
        <v>1.9890521591764119</v>
      </c>
      <c r="V337" s="378">
        <f t="shared" si="135"/>
        <v>106.89866770080266</v>
      </c>
      <c r="W337" s="397">
        <f t="shared" si="136"/>
        <v>23.872618859999772</v>
      </c>
      <c r="X337" s="153">
        <f t="shared" si="137"/>
        <v>45980</v>
      </c>
      <c r="Y337" s="380">
        <f t="shared" si="138"/>
        <v>23.365533739958316</v>
      </c>
      <c r="Z337" s="380">
        <f t="shared" si="139"/>
        <v>23.86856923288644</v>
      </c>
      <c r="AA337" s="381">
        <f t="shared" si="140"/>
        <v>25.48337966290233</v>
      </c>
      <c r="AB337" s="193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6.3367200558827927E-2</v>
      </c>
      <c r="AD337" s="227">
        <f>(INDEX(Models!$BJ337:$BT337,,AH337)*(1-AF337)+INDEX(Models!$BJ337:$BT337,,AH337+1)*AF337-ERP_i)*AE337*Ramure*Pc/MaxiM</f>
        <v>2.8490872161330795E-3</v>
      </c>
      <c r="AE337" s="301">
        <f t="shared" si="142"/>
        <v>0.5</v>
      </c>
      <c r="AF337" s="173">
        <f t="shared" si="143"/>
        <v>0.98905215917641187</v>
      </c>
      <c r="AG337" s="801">
        <f t="shared" si="149"/>
        <v>1</v>
      </c>
      <c r="AH337" s="172">
        <f t="shared" si="144"/>
        <v>7</v>
      </c>
      <c r="AI337" s="221">
        <f t="shared" si="145"/>
        <v>1.9890521591764119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45981</v>
      </c>
      <c r="B338" s="406">
        <f>'2024'!Wh/'2024'!Env_an*'2025'!Env_an</f>
        <v>69.807114250774603</v>
      </c>
      <c r="C338" s="385"/>
      <c r="D338" s="388">
        <f t="shared" si="127"/>
        <v>71.310964565239217</v>
      </c>
      <c r="E338" s="380">
        <f t="shared" si="125"/>
        <v>74.519602182810615</v>
      </c>
      <c r="F338" s="380">
        <f t="shared" si="128"/>
        <v>74.630752953796346</v>
      </c>
      <c r="G338" s="110">
        <f t="shared" si="126"/>
        <v>0.65886822462846317</v>
      </c>
      <c r="H338" s="409" t="b">
        <f>Wh_hp&gt;='2024'!Maxi_hp</f>
        <v>0</v>
      </c>
      <c r="I338" s="375">
        <f>IF(H338,Wh_hp,'2024'!Maxi_hp)</f>
        <v>74.711901468469961</v>
      </c>
      <c r="J338" s="85">
        <f>IF(H338,An,'2024'!An_max)</f>
        <v>2022</v>
      </c>
      <c r="K338" s="193">
        <f t="shared" si="129"/>
        <v>45981</v>
      </c>
      <c r="L338" s="143">
        <f>IF(t&lt;Tvie,1-EXP((T0-t)*PertePVj)+'2024'!Pspv,1-EXP((T0-t)*PertePVj)+Pspv)</f>
        <v>2.108862674391121E-2</v>
      </c>
      <c r="M338" s="835"/>
      <c r="N338" s="835"/>
      <c r="O338" s="48">
        <f>IF(t&lt;Tnet,'2024'!Resal+('2024'!Salim-'2024'!Resal)*(1-EXP(('2024'!Tnet-t)/('2024'!Tau_j))),Resal+(Salim-Resal)*(1-EXP((Tnet-t)/(Tau_j))))*Salcycl</f>
        <v>4.3057632134159828E-2</v>
      </c>
      <c r="P338" s="165">
        <f>(INDEX(Models!$BJ338:$BT338,,T338)*(1-R338)+INDEX(Models!$BJ338:$BT338,,T338+1)*R338-ERP_i)*Q338*Ramure*Pc/MaxiM</f>
        <v>2.8975640333685779E-3</v>
      </c>
      <c r="Q338" s="301">
        <f t="shared" si="130"/>
        <v>0.5</v>
      </c>
      <c r="R338" s="173">
        <f t="shared" si="131"/>
        <v>0.98907799368635096</v>
      </c>
      <c r="S338" s="801">
        <f t="shared" si="132"/>
        <v>1</v>
      </c>
      <c r="T338" s="172">
        <f t="shared" si="133"/>
        <v>7</v>
      </c>
      <c r="U338" s="247">
        <f t="shared" si="134"/>
        <v>1.989077993686351</v>
      </c>
      <c r="V338" s="378">
        <f t="shared" si="135"/>
        <v>105.8006155930165</v>
      </c>
      <c r="W338" s="397">
        <f t="shared" si="136"/>
        <v>69.807114250774603</v>
      </c>
      <c r="X338" s="153">
        <f t="shared" si="137"/>
        <v>45981</v>
      </c>
      <c r="Y338" s="380">
        <f t="shared" si="138"/>
        <v>68.326742037759104</v>
      </c>
      <c r="Z338" s="380">
        <f t="shared" si="139"/>
        <v>69.79870078584166</v>
      </c>
      <c r="AA338" s="381">
        <f t="shared" si="140"/>
        <v>74.519602182810615</v>
      </c>
      <c r="AB338" s="193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6.3351135254153534E-2</v>
      </c>
      <c r="AD338" s="227">
        <f>(INDEX(Models!$BJ338:$BT338,,AH338)*(1-AF338)+INDEX(Models!$BJ338:$BT338,,AH338+1)*AF338-ERP_i)*AE338*Ramure*Pc/MaxiM</f>
        <v>2.8975640333685779E-3</v>
      </c>
      <c r="AE338" s="301">
        <f t="shared" si="142"/>
        <v>0.5</v>
      </c>
      <c r="AF338" s="173">
        <f t="shared" si="143"/>
        <v>0.98907799368635096</v>
      </c>
      <c r="AG338" s="801">
        <f t="shared" si="149"/>
        <v>1</v>
      </c>
      <c r="AH338" s="172">
        <f t="shared" si="144"/>
        <v>7</v>
      </c>
      <c r="AI338" s="221">
        <f t="shared" si="145"/>
        <v>1.989077993686351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45982</v>
      </c>
      <c r="B339" s="406">
        <f>'2024'!Wh/'2024'!Env_an*'2025'!Env_an</f>
        <v>13.828656182627808</v>
      </c>
      <c r="C339" s="385"/>
      <c r="D339" s="388">
        <f t="shared" si="127"/>
        <v>14.126759444945071</v>
      </c>
      <c r="E339" s="380">
        <f t="shared" si="125"/>
        <v>14.762672341470477</v>
      </c>
      <c r="F339" s="380">
        <f t="shared" si="128"/>
        <v>14.762672341470477</v>
      </c>
      <c r="G339" s="110">
        <f t="shared" si="126"/>
        <v>0.1316542854036418</v>
      </c>
      <c r="H339" s="409" t="b">
        <f>Wh_hp&gt;='2024'!Maxi_hp</f>
        <v>0</v>
      </c>
      <c r="I339" s="375">
        <f>IF(H339,Wh_hp,'2024'!Maxi_hp)</f>
        <v>14.796158423320728</v>
      </c>
      <c r="J339" s="85">
        <f>IF(H339,An,'2024'!An_max)</f>
        <v>2022</v>
      </c>
      <c r="K339" s="193">
        <f t="shared" si="129"/>
        <v>45982</v>
      </c>
      <c r="L339" s="143">
        <f>IF(t&lt;Tvie,1-EXP((T0-t)*PertePVj)+'2024'!Pspv,1-EXP((T0-t)*PertePVj)+Pspv)</f>
        <v>2.1102027218558694E-2</v>
      </c>
      <c r="M339" s="835"/>
      <c r="N339" s="835"/>
      <c r="O339" s="48">
        <f>IF(t&lt;Tnet,'2024'!Resal+('2024'!Salim-'2024'!Resal)*(1-EXP(('2024'!Tnet-t)/('2024'!Tau_j))),Resal+(Salim-Resal)*(1-EXP((Tnet-t)/(Tau_j))))*Salcycl</f>
        <v>4.3075730587004486E-2</v>
      </c>
      <c r="P339" s="165">
        <f>(INDEX(Models!$BJ339:$BT339,,T339)*(1-R339)+INDEX(Models!$BJ339:$BT339,,T339+1)*R339-ERP_i)*Q339*Ramure*Pc/MaxiM</f>
        <v>2.9386513371081938E-3</v>
      </c>
      <c r="Q339" s="301">
        <f t="shared" si="130"/>
        <v>0.5</v>
      </c>
      <c r="R339" s="173">
        <f t="shared" si="131"/>
        <v>0.98910279053353611</v>
      </c>
      <c r="S339" s="801">
        <f t="shared" si="132"/>
        <v>1</v>
      </c>
      <c r="T339" s="172">
        <f t="shared" si="133"/>
        <v>7</v>
      </c>
      <c r="U339" s="247">
        <f t="shared" si="134"/>
        <v>1.9891027905335361</v>
      </c>
      <c r="V339" s="378">
        <f t="shared" si="135"/>
        <v>104.72897666318515</v>
      </c>
      <c r="W339" s="397">
        <f t="shared" si="136"/>
        <v>13.828656182627808</v>
      </c>
      <c r="X339" s="153">
        <f t="shared" si="137"/>
        <v>45982</v>
      </c>
      <c r="Y339" s="380">
        <f t="shared" si="138"/>
        <v>13.535871157578462</v>
      </c>
      <c r="Z339" s="380">
        <f t="shared" si="139"/>
        <v>13.827662875955939</v>
      </c>
      <c r="AA339" s="381">
        <f t="shared" si="140"/>
        <v>14.762672341470477</v>
      </c>
      <c r="AB339" s="193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6.3336057584097605E-2</v>
      </c>
      <c r="AD339" s="227">
        <f>(INDEX(Models!$BJ339:$BT339,,AH339)*(1-AF339)+INDEX(Models!$BJ339:$BT339,,AH339+1)*AF339-ERP_i)*AE339*Ramure*Pc/MaxiM</f>
        <v>2.9386513371081938E-3</v>
      </c>
      <c r="AE339" s="301">
        <f t="shared" si="142"/>
        <v>0.5</v>
      </c>
      <c r="AF339" s="173">
        <f t="shared" si="143"/>
        <v>0.98910279053353611</v>
      </c>
      <c r="AG339" s="801">
        <f t="shared" si="149"/>
        <v>1</v>
      </c>
      <c r="AH339" s="172">
        <f t="shared" si="144"/>
        <v>7</v>
      </c>
      <c r="AI339" s="221">
        <f t="shared" si="145"/>
        <v>1.9891027905335361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45983</v>
      </c>
      <c r="B340" s="406">
        <f>'2024'!Wh/'2024'!Env_an*'2025'!Env_an</f>
        <v>33.573865509482708</v>
      </c>
      <c r="C340" s="385"/>
      <c r="D340" s="388">
        <f t="shared" si="127"/>
        <v>34.298084220565883</v>
      </c>
      <c r="E340" s="380">
        <f t="shared" si="125"/>
        <v>35.842706273473318</v>
      </c>
      <c r="F340" s="380">
        <f t="shared" si="128"/>
        <v>35.846328284144036</v>
      </c>
      <c r="G340" s="110">
        <f t="shared" si="126"/>
        <v>0.32286781249046287</v>
      </c>
      <c r="H340" s="409" t="b">
        <f>Wh_hp&gt;='2024'!Maxi_hp</f>
        <v>0</v>
      </c>
      <c r="I340" s="375">
        <f>IF(H340,Wh_hp,'2024'!Maxi_hp)</f>
        <v>35.925753134499537</v>
      </c>
      <c r="J340" s="85">
        <f>IF(H340,An,'2024'!An_max)</f>
        <v>2022</v>
      </c>
      <c r="K340" s="193">
        <f t="shared" si="129"/>
        <v>45983</v>
      </c>
      <c r="L340" s="143">
        <f>IF(t&lt;Tvie,1-EXP((T0-t)*PertePVj)+'2024'!Pspv,1-EXP((T0-t)*PertePVj)+Pspv)</f>
        <v>2.1115427509765028E-2</v>
      </c>
      <c r="M340" s="835"/>
      <c r="N340" s="835"/>
      <c r="O340" s="48">
        <f>IF(t&lt;Tnet,'2024'!Resal+('2024'!Salim-'2024'!Resal)*(1-EXP(('2024'!Tnet-t)/('2024'!Tau_j))),Resal+(Salim-Resal)*(1-EXP((Tnet-t)/(Tau_j))))*Salcycl</f>
        <v>4.3094459473072499E-2</v>
      </c>
      <c r="P340" s="165">
        <f>(INDEX(Models!$BJ340:$BT340,,T340)*(1-R340)+INDEX(Models!$BJ340:$BT340,,T340+1)*R340-ERP_i)*Q340*Ramure*Pc/MaxiM</f>
        <v>2.9721490844600473E-3</v>
      </c>
      <c r="Q340" s="301">
        <f t="shared" si="130"/>
        <v>0.5</v>
      </c>
      <c r="R340" s="173">
        <f t="shared" si="131"/>
        <v>0.98912659129960456</v>
      </c>
      <c r="S340" s="801">
        <f t="shared" si="132"/>
        <v>1</v>
      </c>
      <c r="T340" s="172">
        <f t="shared" si="133"/>
        <v>7</v>
      </c>
      <c r="U340" s="247">
        <f t="shared" si="134"/>
        <v>1.9891265912996046</v>
      </c>
      <c r="V340" s="378">
        <f t="shared" si="135"/>
        <v>103.68782620833701</v>
      </c>
      <c r="W340" s="397">
        <f t="shared" si="136"/>
        <v>33.573865509482708</v>
      </c>
      <c r="X340" s="153">
        <f t="shared" si="137"/>
        <v>45983</v>
      </c>
      <c r="Y340" s="380">
        <f t="shared" si="138"/>
        <v>32.864164719188807</v>
      </c>
      <c r="Z340" s="380">
        <f t="shared" si="139"/>
        <v>33.573074540937917</v>
      </c>
      <c r="AA340" s="381">
        <f t="shared" si="140"/>
        <v>35.842706273473318</v>
      </c>
      <c r="AB340" s="193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6.3321996816270723E-2</v>
      </c>
      <c r="AD340" s="227">
        <f>(INDEX(Models!$BJ340:$BT340,,AH340)*(1-AF340)+INDEX(Models!$BJ340:$BT340,,AH340+1)*AF340-ERP_i)*AE340*Ramure*Pc/MaxiM</f>
        <v>2.9721490844600473E-3</v>
      </c>
      <c r="AE340" s="301">
        <f t="shared" si="142"/>
        <v>0.5</v>
      </c>
      <c r="AF340" s="173">
        <f t="shared" si="143"/>
        <v>0.98912659129960456</v>
      </c>
      <c r="AG340" s="801">
        <f t="shared" si="149"/>
        <v>1</v>
      </c>
      <c r="AH340" s="172">
        <f t="shared" si="144"/>
        <v>7</v>
      </c>
      <c r="AI340" s="221">
        <f t="shared" si="145"/>
        <v>1.9891265912996046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45984</v>
      </c>
      <c r="B341" s="406">
        <f>'2024'!Wh/'2024'!Env_an*'2025'!Env_an</f>
        <v>55.370933981238636</v>
      </c>
      <c r="C341" s="385"/>
      <c r="D341" s="388">
        <f t="shared" si="127"/>
        <v>56.566109559107481</v>
      </c>
      <c r="E341" s="380">
        <f t="shared" si="125"/>
        <v>59.11477433640102</v>
      </c>
      <c r="F341" s="380">
        <f t="shared" si="128"/>
        <v>59.175406565764945</v>
      </c>
      <c r="G341" s="110">
        <f t="shared" si="126"/>
        <v>0.53818557606957418</v>
      </c>
      <c r="H341" s="409" t="b">
        <f>Wh_hp&gt;='2024'!Maxi_hp</f>
        <v>0</v>
      </c>
      <c r="I341" s="375">
        <f>IF(H341,Wh_hp,'2024'!Maxi_hp)</f>
        <v>59.26549414271846</v>
      </c>
      <c r="J341" s="85">
        <f>IF(H341,An,'2024'!An_max)</f>
        <v>2022</v>
      </c>
      <c r="K341" s="193">
        <f t="shared" si="129"/>
        <v>45984</v>
      </c>
      <c r="L341" s="143">
        <f>IF(t&lt;Tvie,1-EXP((T0-t)*PertePVj)+'2024'!Pspv,1-EXP((T0-t)*PertePVj)+Pspv)</f>
        <v>2.1128827617532542E-2</v>
      </c>
      <c r="M341" s="835"/>
      <c r="N341" s="835"/>
      <c r="O341" s="48">
        <f>IF(t&lt;Tnet,'2024'!Resal+('2024'!Salim-'2024'!Resal)*(1-EXP(('2024'!Tnet-t)/('2024'!Tau_j))),Resal+(Salim-Resal)*(1-EXP((Tnet-t)/(Tau_j))))*Salcycl</f>
        <v>4.3113837545754576E-2</v>
      </c>
      <c r="P341" s="165">
        <f>(INDEX(Models!$BJ341:$BT341,,T341)*(1-R341)+INDEX(Models!$BJ341:$BT341,,T341+1)*R341-ERP_i)*Q341*Ramure*Pc/MaxiM</f>
        <v>2.9978304538299722E-3</v>
      </c>
      <c r="Q341" s="301">
        <f t="shared" si="130"/>
        <v>0.5</v>
      </c>
      <c r="R341" s="173">
        <f t="shared" si="131"/>
        <v>0.98914943590755433</v>
      </c>
      <c r="S341" s="801">
        <f t="shared" si="132"/>
        <v>1</v>
      </c>
      <c r="T341" s="172">
        <f t="shared" si="133"/>
        <v>7</v>
      </c>
      <c r="U341" s="247">
        <f t="shared" si="134"/>
        <v>1.9891494359075543</v>
      </c>
      <c r="V341" s="378">
        <f t="shared" si="135"/>
        <v>102.68124193331344</v>
      </c>
      <c r="W341" s="397">
        <f t="shared" si="136"/>
        <v>55.370933981238636</v>
      </c>
      <c r="X341" s="153">
        <f t="shared" si="137"/>
        <v>45984</v>
      </c>
      <c r="Y341" s="380">
        <f t="shared" si="138"/>
        <v>54.202327047121308</v>
      </c>
      <c r="Z341" s="380">
        <f t="shared" si="139"/>
        <v>55.372278371625406</v>
      </c>
      <c r="AA341" s="381">
        <f t="shared" si="140"/>
        <v>59.11477433640102</v>
      </c>
      <c r="AB341" s="193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6.3308978284826123E-2</v>
      </c>
      <c r="AD341" s="227">
        <f>(INDEX(Models!$BJ341:$BT341,,AH341)*(1-AF341)+INDEX(Models!$BJ341:$BT341,,AH341+1)*AF341-ERP_i)*AE341*Ramure*Pc/MaxiM</f>
        <v>2.9978304538299722E-3</v>
      </c>
      <c r="AE341" s="301">
        <f t="shared" si="142"/>
        <v>0.5</v>
      </c>
      <c r="AF341" s="173">
        <f t="shared" si="143"/>
        <v>0.98914943590755433</v>
      </c>
      <c r="AG341" s="801">
        <f t="shared" si="149"/>
        <v>1</v>
      </c>
      <c r="AH341" s="172">
        <f t="shared" si="144"/>
        <v>7</v>
      </c>
      <c r="AI341" s="221">
        <f t="shared" si="145"/>
        <v>1.9891494359075543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45985</v>
      </c>
      <c r="B342" s="406">
        <f>'2024'!Wh/'2024'!Env_an*'2025'!Env_an</f>
        <v>54.486848031267805</v>
      </c>
      <c r="C342" s="385"/>
      <c r="D342" s="388">
        <f t="shared" si="127"/>
        <v>55.663702699564666</v>
      </c>
      <c r="E342" s="380">
        <f t="shared" si="125"/>
        <v>58.172926793968394</v>
      </c>
      <c r="F342" s="380">
        <f t="shared" si="128"/>
        <v>58.232050433152608</v>
      </c>
      <c r="G342" s="110">
        <f t="shared" si="126"/>
        <v>0.53461793331545615</v>
      </c>
      <c r="H342" s="409" t="b">
        <f>Wh_hp&gt;='2024'!Maxi_hp</f>
        <v>0</v>
      </c>
      <c r="I342" s="375">
        <f>IF(H342,Wh_hp,'2024'!Maxi_hp)</f>
        <v>58.321847918347885</v>
      </c>
      <c r="J342" s="85">
        <f>IF(H342,An,'2024'!An_max)</f>
        <v>2022</v>
      </c>
      <c r="K342" s="193">
        <f t="shared" si="129"/>
        <v>45985</v>
      </c>
      <c r="L342" s="143">
        <f>IF(t&lt;Tvie,1-EXP((T0-t)*PertePVj)+'2024'!Pspv,1-EXP((T0-t)*PertePVj)+Pspv)</f>
        <v>2.1142227541863901E-2</v>
      </c>
      <c r="M342" s="835"/>
      <c r="N342" s="835"/>
      <c r="O342" s="48">
        <f>IF(t&lt;Tnet,'2024'!Resal+('2024'!Salim-'2024'!Resal)*(1-EXP(('2024'!Tnet-t)/('2024'!Tau_j))),Resal+(Salim-Resal)*(1-EXP((Tnet-t)/(Tau_j))))*Salcycl</f>
        <v>4.3133880873669428E-2</v>
      </c>
      <c r="P342" s="165">
        <f>(INDEX(Models!$BJ342:$BT342,,T342)*(1-R342)+INDEX(Models!$BJ342:$BT342,,T342+1)*R342-ERP_i)*Q342*Ramure*Pc/MaxiM</f>
        <v>3.0154703229022767E-3</v>
      </c>
      <c r="Q342" s="301">
        <f t="shared" si="130"/>
        <v>0.5</v>
      </c>
      <c r="R342" s="173">
        <f t="shared" si="131"/>
        <v>0.98917136268730244</v>
      </c>
      <c r="S342" s="801">
        <f t="shared" si="132"/>
        <v>1</v>
      </c>
      <c r="T342" s="172">
        <f t="shared" si="133"/>
        <v>7</v>
      </c>
      <c r="U342" s="247">
        <f t="shared" si="134"/>
        <v>1.9891713626873024</v>
      </c>
      <c r="V342" s="378">
        <f t="shared" si="135"/>
        <v>101.71330121958229</v>
      </c>
      <c r="W342" s="397">
        <f t="shared" si="136"/>
        <v>54.486848031267805</v>
      </c>
      <c r="X342" s="153">
        <f t="shared" si="137"/>
        <v>45985</v>
      </c>
      <c r="Y342" s="380">
        <f t="shared" si="138"/>
        <v>53.338697776353314</v>
      </c>
      <c r="Z342" s="380">
        <f t="shared" si="139"/>
        <v>54.490753689790523</v>
      </c>
      <c r="AA342" s="381">
        <f t="shared" si="140"/>
        <v>58.172926793968394</v>
      </c>
      <c r="AB342" s="193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6.3297023325284224E-2</v>
      </c>
      <c r="AD342" s="227">
        <f>(INDEX(Models!$BJ342:$BT342,,AH342)*(1-AF342)+INDEX(Models!$BJ342:$BT342,,AH342+1)*AF342-ERP_i)*AE342*Ramure*Pc/MaxiM</f>
        <v>3.0154703229022767E-3</v>
      </c>
      <c r="AE342" s="301">
        <f t="shared" si="142"/>
        <v>0.5</v>
      </c>
      <c r="AF342" s="173">
        <f t="shared" si="143"/>
        <v>0.98917136268730244</v>
      </c>
      <c r="AG342" s="801">
        <f t="shared" si="149"/>
        <v>1</v>
      </c>
      <c r="AH342" s="172">
        <f t="shared" si="144"/>
        <v>7</v>
      </c>
      <c r="AI342" s="221">
        <f t="shared" si="145"/>
        <v>1.9891713626873024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45986</v>
      </c>
      <c r="B343" s="406">
        <f>'2024'!Wh/'2024'!Env_an*'2025'!Env_an</f>
        <v>17.644225328600744</v>
      </c>
      <c r="C343" s="385"/>
      <c r="D343" s="388">
        <f t="shared" si="127"/>
        <v>18.025567516540939</v>
      </c>
      <c r="E343" s="380">
        <f t="shared" si="125"/>
        <v>18.838537102613426</v>
      </c>
      <c r="F343" s="380">
        <f t="shared" si="128"/>
        <v>18.838537102613426</v>
      </c>
      <c r="G343" s="110">
        <f t="shared" si="126"/>
        <v>0.17453307990761241</v>
      </c>
      <c r="H343" s="409" t="b">
        <f>Wh_hp&gt;='2024'!Maxi_hp</f>
        <v>0</v>
      </c>
      <c r="I343" s="375">
        <f>IF(H343,Wh_hp,'2024'!Maxi_hp)</f>
        <v>18.882417047930645</v>
      </c>
      <c r="J343" s="85">
        <f>IF(H343,An,'2024'!An_max)</f>
        <v>2022</v>
      </c>
      <c r="K343" s="193">
        <f t="shared" si="129"/>
        <v>45986</v>
      </c>
      <c r="L343" s="143">
        <f>IF(t&lt;Tvie,1-EXP((T0-t)*PertePVj)+'2024'!Pspv,1-EXP((T0-t)*PertePVj)+Pspv)</f>
        <v>2.1155627282761547E-2</v>
      </c>
      <c r="M343" s="835"/>
      <c r="N343" s="835"/>
      <c r="O343" s="48">
        <f>IF(t&lt;Tnet,'2024'!Resal+('2024'!Salim-'2024'!Resal)*(1-EXP(('2024'!Tnet-t)/('2024'!Tau_j))),Resal+(Salim-Resal)*(1-EXP((Tnet-t)/(Tau_j))))*Salcycl</f>
        <v>4.3154602804041819E-2</v>
      </c>
      <c r="P343" s="165">
        <f>(INDEX(Models!$BJ343:$BT343,,T343)*(1-R343)+INDEX(Models!$BJ343:$BT343,,T343+1)*R343-ERP_i)*Q343*Ramure*Pc/MaxiM</f>
        <v>3.0248515503328533E-3</v>
      </c>
      <c r="Q343" s="301">
        <f t="shared" si="130"/>
        <v>0.5</v>
      </c>
      <c r="R343" s="173">
        <f t="shared" si="131"/>
        <v>0.98919240843869982</v>
      </c>
      <c r="S343" s="801">
        <f t="shared" si="132"/>
        <v>1</v>
      </c>
      <c r="T343" s="172">
        <f t="shared" si="133"/>
        <v>7</v>
      </c>
      <c r="U343" s="247">
        <f t="shared" si="134"/>
        <v>1.9891924084386998</v>
      </c>
      <c r="V343" s="378">
        <f t="shared" si="135"/>
        <v>100.78808083586604</v>
      </c>
      <c r="W343" s="397">
        <f t="shared" si="136"/>
        <v>17.644225328600744</v>
      </c>
      <c r="X343" s="153">
        <f t="shared" si="137"/>
        <v>45986</v>
      </c>
      <c r="Y343" s="380">
        <f t="shared" si="138"/>
        <v>17.272999692289684</v>
      </c>
      <c r="Z343" s="380">
        <f t="shared" si="139"/>
        <v>17.646318632185039</v>
      </c>
      <c r="AA343" s="381">
        <f t="shared" si="140"/>
        <v>18.838537102613426</v>
      </c>
      <c r="AB343" s="193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6.3286149234113853E-2</v>
      </c>
      <c r="AD343" s="227">
        <f>(INDEX(Models!$BJ343:$BT343,,AH343)*(1-AF343)+INDEX(Models!$BJ343:$BT343,,AH343+1)*AF343-ERP_i)*AE343*Ramure*Pc/MaxiM</f>
        <v>3.0248515503328533E-3</v>
      </c>
      <c r="AE343" s="301">
        <f t="shared" si="142"/>
        <v>0.5</v>
      </c>
      <c r="AF343" s="173">
        <f t="shared" si="143"/>
        <v>0.98919240843869982</v>
      </c>
      <c r="AG343" s="801">
        <f t="shared" si="149"/>
        <v>1</v>
      </c>
      <c r="AH343" s="172">
        <f t="shared" si="144"/>
        <v>7</v>
      </c>
      <c r="AI343" s="221">
        <f t="shared" si="145"/>
        <v>1.9891924084386998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45987</v>
      </c>
      <c r="B344" s="406">
        <f>'2024'!Wh/'2024'!Env_an*'2025'!Env_an</f>
        <v>53.113478835328273</v>
      </c>
      <c r="C344" s="385"/>
      <c r="D344" s="388">
        <f t="shared" si="127"/>
        <v>54.262155869334862</v>
      </c>
      <c r="E344" s="380">
        <f t="shared" si="125"/>
        <v>56.710697745930652</v>
      </c>
      <c r="F344" s="380">
        <f t="shared" si="128"/>
        <v>56.767531015075413</v>
      </c>
      <c r="G344" s="110">
        <f t="shared" si="126"/>
        <v>0.53053767300853427</v>
      </c>
      <c r="H344" s="409" t="b">
        <f>Wh_hp&gt;='2024'!Maxi_hp</f>
        <v>0</v>
      </c>
      <c r="I344" s="375">
        <f>IF(H344,Wh_hp,'2024'!Maxi_hp)</f>
        <v>56.855945185650661</v>
      </c>
      <c r="J344" s="85">
        <f>IF(H344,An,'2024'!An_max)</f>
        <v>2022</v>
      </c>
      <c r="K344" s="193">
        <f t="shared" si="129"/>
        <v>45987</v>
      </c>
      <c r="L344" s="143">
        <f>IF(t&lt;Tvie,1-EXP((T0-t)*PertePVj)+'2024'!Pspv,1-EXP((T0-t)*PertePVj)+Pspv)</f>
        <v>2.1169026840228033E-2</v>
      </c>
      <c r="M344" s="835"/>
      <c r="N344" s="835"/>
      <c r="O344" s="48">
        <f>IF(t&lt;Tnet,'2024'!Resal+('2024'!Salim-'2024'!Resal)*(1-EXP(('2024'!Tnet-t)/('2024'!Tau_j))),Resal+(Salim-Resal)*(1-EXP((Tnet-t)/(Tau_j))))*Salcycl</f>
        <v>4.3176013943004091E-2</v>
      </c>
      <c r="P344" s="165">
        <f>(INDEX(Models!$BJ344:$BT344,,T344)*(1-R344)+INDEX(Models!$BJ344:$BT344,,T344+1)*R344-ERP_i)*Q344*Ramure*Pc/MaxiM</f>
        <v>3.025755844363064E-3</v>
      </c>
      <c r="Q344" s="301">
        <f t="shared" si="130"/>
        <v>0.5</v>
      </c>
      <c r="R344" s="173">
        <f t="shared" si="131"/>
        <v>0.98921260849209802</v>
      </c>
      <c r="S344" s="801">
        <f t="shared" si="132"/>
        <v>1</v>
      </c>
      <c r="T344" s="172">
        <f t="shared" si="133"/>
        <v>7</v>
      </c>
      <c r="U344" s="247">
        <f t="shared" si="134"/>
        <v>1.989212608492098</v>
      </c>
      <c r="V344" s="378">
        <f t="shared" si="135"/>
        <v>99.909658319611609</v>
      </c>
      <c r="W344" s="397">
        <f t="shared" si="136"/>
        <v>53.113478835328273</v>
      </c>
      <c r="X344" s="153">
        <f t="shared" si="137"/>
        <v>45987</v>
      </c>
      <c r="Y344" s="380">
        <f t="shared" si="138"/>
        <v>51.997704343981667</v>
      </c>
      <c r="Z344" s="380">
        <f t="shared" si="139"/>
        <v>53.122250694752196</v>
      </c>
      <c r="AA344" s="381">
        <f t="shared" si="140"/>
        <v>56.710697745930652</v>
      </c>
      <c r="AB344" s="193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6.3276369253205747E-2</v>
      </c>
      <c r="AD344" s="227">
        <f>(INDEX(Models!$BJ344:$BT344,,AH344)*(1-AF344)+INDEX(Models!$BJ344:$BT344,,AH344+1)*AF344-ERP_i)*AE344*Ramure*Pc/MaxiM</f>
        <v>3.025755844363064E-3</v>
      </c>
      <c r="AE344" s="301">
        <f t="shared" si="142"/>
        <v>0.5</v>
      </c>
      <c r="AF344" s="173">
        <f t="shared" si="143"/>
        <v>0.98921260849209802</v>
      </c>
      <c r="AG344" s="801">
        <f t="shared" si="149"/>
        <v>1</v>
      </c>
      <c r="AH344" s="172">
        <f t="shared" si="144"/>
        <v>7</v>
      </c>
      <c r="AI344" s="221">
        <f t="shared" si="145"/>
        <v>1.989212608492098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45988</v>
      </c>
      <c r="B345" s="406">
        <f>'2024'!Wh/'2024'!Env_an*'2025'!Env_an</f>
        <v>57.851476200420734</v>
      </c>
      <c r="C345" s="385"/>
      <c r="D345" s="388">
        <f t="shared" si="127"/>
        <v>59.103430250716542</v>
      </c>
      <c r="E345" s="380">
        <f t="shared" si="125"/>
        <v>61.771858541605845</v>
      </c>
      <c r="F345" s="380">
        <f t="shared" si="128"/>
        <v>61.847587039388216</v>
      </c>
      <c r="G345" s="110">
        <f t="shared" si="126"/>
        <v>0.58291072940753053</v>
      </c>
      <c r="H345" s="409" t="b">
        <f>Wh_hp&gt;='2024'!Maxi_hp</f>
        <v>0</v>
      </c>
      <c r="I345" s="375">
        <f>IF(H345,Wh_hp,'2024'!Maxi_hp)</f>
        <v>61.932817208554482</v>
      </c>
      <c r="J345" s="85">
        <f>IF(H345,An,'2024'!An_max)</f>
        <v>2022</v>
      </c>
      <c r="K345" s="193">
        <f t="shared" si="129"/>
        <v>45988</v>
      </c>
      <c r="L345" s="143">
        <f>IF(t&lt;Tvie,1-EXP((T0-t)*PertePVj)+'2024'!Pspv,1-EXP((T0-t)*PertePVj)+Pspv)</f>
        <v>2.1182426214265804E-2</v>
      </c>
      <c r="M345" s="835"/>
      <c r="N345" s="835"/>
      <c r="O345" s="48">
        <f>IF(t&lt;Tnet,'2024'!Resal+('2024'!Salim-'2024'!Resal)*(1-EXP(('2024'!Tnet-t)/('2024'!Tau_j))),Resal+(Salim-Resal)*(1-EXP((Tnet-t)/(Tau_j))))*Salcycl</f>
        <v>4.3198122152857073E-2</v>
      </c>
      <c r="P345" s="165">
        <f>(INDEX(Models!$BJ345:$BT345,,T345)*(1-R345)+INDEX(Models!$BJ345:$BT345,,T345+1)*R345-ERP_i)*Q345*Ramure*Pc/MaxiM</f>
        <v>3.0184086332500832E-3</v>
      </c>
      <c r="Q345" s="301">
        <f t="shared" si="130"/>
        <v>0.5</v>
      </c>
      <c r="R345" s="173">
        <f t="shared" si="131"/>
        <v>0.9892319967665586</v>
      </c>
      <c r="S345" s="801">
        <f t="shared" si="132"/>
        <v>1</v>
      </c>
      <c r="T345" s="172">
        <f t="shared" si="133"/>
        <v>7</v>
      </c>
      <c r="U345" s="247">
        <f t="shared" si="134"/>
        <v>1.9892319967665586</v>
      </c>
      <c r="V345" s="378">
        <f t="shared" si="135"/>
        <v>99.06759675108826</v>
      </c>
      <c r="W345" s="397">
        <f t="shared" si="136"/>
        <v>57.851476200420734</v>
      </c>
      <c r="X345" s="153">
        <f t="shared" si="137"/>
        <v>45988</v>
      </c>
      <c r="Y345" s="380">
        <f t="shared" si="138"/>
        <v>56.638002123129645</v>
      </c>
      <c r="Z345" s="380">
        <f t="shared" si="139"/>
        <v>57.863695585351081</v>
      </c>
      <c r="AA345" s="381">
        <f t="shared" si="140"/>
        <v>61.771858541605845</v>
      </c>
      <c r="AB345" s="193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6.3267692579177567E-2</v>
      </c>
      <c r="AD345" s="227">
        <f>(INDEX(Models!$BJ345:$BT345,,AH345)*(1-AF345)+INDEX(Models!$BJ345:$BT345,,AH345+1)*AF345-ERP_i)*AE345*Ramure*Pc/MaxiM</f>
        <v>3.0184086332500832E-3</v>
      </c>
      <c r="AE345" s="301">
        <f t="shared" si="142"/>
        <v>0.5</v>
      </c>
      <c r="AF345" s="173">
        <f t="shared" si="143"/>
        <v>0.9892319967665586</v>
      </c>
      <c r="AG345" s="801">
        <f t="shared" si="149"/>
        <v>1</v>
      </c>
      <c r="AH345" s="172">
        <f t="shared" si="144"/>
        <v>7</v>
      </c>
      <c r="AI345" s="221">
        <f t="shared" si="145"/>
        <v>1.9892319967665586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45989</v>
      </c>
      <c r="B346" s="406">
        <f>'2024'!Wh/'2024'!Env_an*'2025'!Env_an</f>
        <v>37.607060330136342</v>
      </c>
      <c r="C346" s="385"/>
      <c r="D346" s="388">
        <f t="shared" si="127"/>
        <v>38.421434344303151</v>
      </c>
      <c r="E346" s="380">
        <f t="shared" si="125"/>
        <v>40.157059923304857</v>
      </c>
      <c r="F346" s="380">
        <f t="shared" si="128"/>
        <v>40.171323982561468</v>
      </c>
      <c r="G346" s="110">
        <f t="shared" si="126"/>
        <v>0.38175494123564263</v>
      </c>
      <c r="H346" s="409" t="b">
        <f>Wh_hp&gt;='2024'!Maxi_hp</f>
        <v>0</v>
      </c>
      <c r="I346" s="375">
        <f>IF(H346,Wh_hp,'2024'!Maxi_hp)</f>
        <v>40.252888141714507</v>
      </c>
      <c r="J346" s="85">
        <f>IF(H346,An,'2024'!An_max)</f>
        <v>2022</v>
      </c>
      <c r="K346" s="193">
        <f t="shared" si="129"/>
        <v>45989</v>
      </c>
      <c r="L346" s="143">
        <f>IF(t&lt;Tvie,1-EXP((T0-t)*PertePVj)+'2024'!Pspv,1-EXP((T0-t)*PertePVj)+Pspv)</f>
        <v>2.11958254048773E-2</v>
      </c>
      <c r="M346" s="835"/>
      <c r="N346" s="835"/>
      <c r="O346" s="48">
        <f>IF(t&lt;Tnet,'2024'!Resal+('2024'!Salim-'2024'!Resal)*(1-EXP(('2024'!Tnet-t)/('2024'!Tau_j))),Resal+(Salim-Resal)*(1-EXP((Tnet-t)/(Tau_j))))*Salcycl</f>
        <v>4.322093256619234E-2</v>
      </c>
      <c r="P346" s="165">
        <f>(INDEX(Models!$BJ346:$BT346,,T346)*(1-R346)+INDEX(Models!$BJ346:$BT346,,T346+1)*R346-ERP_i)*Q346*Ramure*Pc/MaxiM</f>
        <v>3.0030192038060046E-3</v>
      </c>
      <c r="Q346" s="301">
        <f t="shared" si="130"/>
        <v>0.5</v>
      </c>
      <c r="R346" s="173">
        <f t="shared" si="131"/>
        <v>0.98925060582579327</v>
      </c>
      <c r="S346" s="801">
        <f t="shared" si="132"/>
        <v>1</v>
      </c>
      <c r="T346" s="172">
        <f t="shared" si="133"/>
        <v>7</v>
      </c>
      <c r="U346" s="247">
        <f t="shared" si="134"/>
        <v>1.9892506058257933</v>
      </c>
      <c r="V346" s="378">
        <f t="shared" si="135"/>
        <v>98.250054475634499</v>
      </c>
      <c r="W346" s="397">
        <f t="shared" si="136"/>
        <v>37.607060330136342</v>
      </c>
      <c r="X346" s="153">
        <f t="shared" si="137"/>
        <v>45989</v>
      </c>
      <c r="Y346" s="380">
        <f t="shared" si="138"/>
        <v>36.819401902178463</v>
      </c>
      <c r="Z346" s="380">
        <f t="shared" si="139"/>
        <v>37.616719317128599</v>
      </c>
      <c r="AA346" s="381">
        <f t="shared" si="140"/>
        <v>40.157059923304857</v>
      </c>
      <c r="AB346" s="193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6.3260124397254258E-2</v>
      </c>
      <c r="AD346" s="227">
        <f>(INDEX(Models!$BJ346:$BT346,,AH346)*(1-AF346)+INDEX(Models!$BJ346:$BT346,,AH346+1)*AF346-ERP_i)*AE346*Ramure*Pc/MaxiM</f>
        <v>3.0030192038060046E-3</v>
      </c>
      <c r="AE346" s="301">
        <f t="shared" si="142"/>
        <v>0.5</v>
      </c>
      <c r="AF346" s="173">
        <f t="shared" si="143"/>
        <v>0.98925060582579327</v>
      </c>
      <c r="AG346" s="801">
        <f t="shared" si="149"/>
        <v>1</v>
      </c>
      <c r="AH346" s="172">
        <f t="shared" si="144"/>
        <v>7</v>
      </c>
      <c r="AI346" s="221">
        <f t="shared" si="145"/>
        <v>1.9892506058257933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45990</v>
      </c>
      <c r="B347" s="406">
        <f>'2024'!Wh/'2024'!Env_an*'2025'!Env_an</f>
        <v>53.580463446443041</v>
      </c>
      <c r="C347" s="385"/>
      <c r="D347" s="388">
        <f t="shared" si="127"/>
        <v>54.741487949003826</v>
      </c>
      <c r="E347" s="380">
        <f t="shared" si="125"/>
        <v>57.215751518387663</v>
      </c>
      <c r="F347" s="380">
        <f t="shared" si="128"/>
        <v>57.276679204081212</v>
      </c>
      <c r="G347" s="110">
        <f t="shared" si="126"/>
        <v>0.54872011531698783</v>
      </c>
      <c r="H347" s="409" t="b">
        <f>Wh_hp&gt;='2024'!Maxi_hp</f>
        <v>0</v>
      </c>
      <c r="I347" s="375">
        <f>IF(H347,Wh_hp,'2024'!Maxi_hp)</f>
        <v>57.360785760520933</v>
      </c>
      <c r="J347" s="85">
        <f>IF(H347,An,'2024'!An_max)</f>
        <v>2022</v>
      </c>
      <c r="K347" s="193">
        <f t="shared" si="129"/>
        <v>45990</v>
      </c>
      <c r="L347" s="143">
        <f>IF(t&lt;Tvie,1-EXP((T0-t)*PertePVj)+'2024'!Pspv,1-EXP((T0-t)*PertePVj)+Pspv)</f>
        <v>2.1209224412065186E-2</v>
      </c>
      <c r="M347" s="835"/>
      <c r="N347" s="835"/>
      <c r="O347" s="48">
        <f>IF(t&lt;Tnet,'2024'!Resal+('2024'!Salim-'2024'!Resal)*(1-EXP(('2024'!Tnet-t)/('2024'!Tau_j))),Resal+(Salim-Resal)*(1-EXP((Tnet-t)/(Tau_j))))*Salcycl</f>
        <v>4.3244447616644047E-2</v>
      </c>
      <c r="P347" s="165">
        <f>(INDEX(Models!$BJ347:$BT347,,T347)*(1-R347)+INDEX(Models!$BJ347:$BT347,,T347+1)*R347-ERP_i)*Q347*Ramure*Pc/MaxiM</f>
        <v>2.9811597733186207E-3</v>
      </c>
      <c r="Q347" s="301">
        <f t="shared" si="130"/>
        <v>0.5</v>
      </c>
      <c r="R347" s="173">
        <f t="shared" si="131"/>
        <v>0.9892684669319225</v>
      </c>
      <c r="S347" s="801">
        <f t="shared" si="132"/>
        <v>1</v>
      </c>
      <c r="T347" s="172">
        <f t="shared" si="133"/>
        <v>7</v>
      </c>
      <c r="U347" s="247">
        <f t="shared" si="134"/>
        <v>1.9892684669319225</v>
      </c>
      <c r="V347" s="378">
        <f t="shared" si="135"/>
        <v>97.458825530630961</v>
      </c>
      <c r="W347" s="397">
        <f t="shared" si="136"/>
        <v>53.580463446443041</v>
      </c>
      <c r="X347" s="153">
        <f t="shared" si="137"/>
        <v>45990</v>
      </c>
      <c r="Y347" s="380">
        <f t="shared" si="138"/>
        <v>52.459902203545738</v>
      </c>
      <c r="Z347" s="380">
        <f t="shared" si="139"/>
        <v>53.596645485379042</v>
      </c>
      <c r="AA347" s="381">
        <f t="shared" si="140"/>
        <v>57.215751518387663</v>
      </c>
      <c r="AB347" s="193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6.3253665939274312E-2</v>
      </c>
      <c r="AD347" s="227">
        <f>(INDEX(Models!$BJ347:$BT347,,AH347)*(1-AF347)+INDEX(Models!$BJ347:$BT347,,AH347+1)*AF347-ERP_i)*AE347*Ramure*Pc/MaxiM</f>
        <v>2.9811597733186207E-3</v>
      </c>
      <c r="AE347" s="301">
        <f t="shared" si="142"/>
        <v>0.5</v>
      </c>
      <c r="AF347" s="173">
        <f t="shared" si="143"/>
        <v>0.9892684669319225</v>
      </c>
      <c r="AG347" s="801">
        <f t="shared" si="149"/>
        <v>1</v>
      </c>
      <c r="AH347" s="172">
        <f t="shared" si="144"/>
        <v>7</v>
      </c>
      <c r="AI347" s="221">
        <f t="shared" si="145"/>
        <v>1.9892684669319225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45991</v>
      </c>
      <c r="B348" s="406">
        <f>'2024'!Wh/'2024'!Env_an*'2025'!Env_an</f>
        <v>21.25379017067074</v>
      </c>
      <c r="C348" s="385"/>
      <c r="D348" s="388">
        <f t="shared" si="127"/>
        <v>21.714631616165505</v>
      </c>
      <c r="E348" s="380">
        <f t="shared" si="125"/>
        <v>22.69668701037028</v>
      </c>
      <c r="F348" s="380">
        <f t="shared" si="128"/>
        <v>22.69668701037028</v>
      </c>
      <c r="G348" s="110">
        <f t="shared" si="126"/>
        <v>0.21915137616664992</v>
      </c>
      <c r="H348" s="409" t="b">
        <f>Wh_hp&gt;='2024'!Maxi_hp</f>
        <v>0</v>
      </c>
      <c r="I348" s="375">
        <f>IF(H348,Wh_hp,'2024'!Maxi_hp)</f>
        <v>22.747934672139031</v>
      </c>
      <c r="J348" s="85">
        <f>IF(H348,An,'2024'!An_max)</f>
        <v>2022</v>
      </c>
      <c r="K348" s="193">
        <f t="shared" si="129"/>
        <v>45991</v>
      </c>
      <c r="L348" s="143">
        <f>IF(t&lt;Tvie,1-EXP((T0-t)*PertePVj)+'2024'!Pspv,1-EXP((T0-t)*PertePVj)+Pspv)</f>
        <v>2.1222623235832017E-2</v>
      </c>
      <c r="M348" s="835"/>
      <c r="N348" s="835"/>
      <c r="O348" s="48">
        <f>IF(t&lt;Tnet,'2024'!Resal+('2024'!Salim-'2024'!Resal)*(1-EXP(('2024'!Tnet-t)/('2024'!Tau_j))),Resal+(Salim-Resal)*(1-EXP((Tnet-t)/(Tau_j))))*Salcycl</f>
        <v>4.3268667085908478E-2</v>
      </c>
      <c r="P348" s="165">
        <f>(INDEX(Models!$BJ348:$BT348,,T348)*(1-R348)+INDEX(Models!$BJ348:$BT348,,T348+1)*R348-ERP_i)*Q348*Ramure*Pc/MaxiM</f>
        <v>2.9527064148322365E-3</v>
      </c>
      <c r="Q348" s="301">
        <f t="shared" si="130"/>
        <v>0.5</v>
      </c>
      <c r="R348" s="173">
        <f t="shared" si="131"/>
        <v>0.98928561009713167</v>
      </c>
      <c r="S348" s="801">
        <f t="shared" si="132"/>
        <v>1</v>
      </c>
      <c r="T348" s="172">
        <f t="shared" si="133"/>
        <v>7</v>
      </c>
      <c r="U348" s="247">
        <f t="shared" si="134"/>
        <v>1.9892856100971317</v>
      </c>
      <c r="V348" s="378">
        <f t="shared" si="135"/>
        <v>96.695874508129677</v>
      </c>
      <c r="W348" s="397">
        <f t="shared" si="136"/>
        <v>21.25379017067074</v>
      </c>
      <c r="X348" s="153">
        <f t="shared" si="137"/>
        <v>45991</v>
      </c>
      <c r="Y348" s="380">
        <f t="shared" si="138"/>
        <v>20.809942226530449</v>
      </c>
      <c r="Z348" s="380">
        <f t="shared" si="139"/>
        <v>21.261159810750826</v>
      </c>
      <c r="AA348" s="381">
        <f t="shared" si="140"/>
        <v>22.69668701037028</v>
      </c>
      <c r="AB348" s="193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6.3248314565185149E-2</v>
      </c>
      <c r="AD348" s="227">
        <f>(INDEX(Models!$BJ348:$BT348,,AH348)*(1-AF348)+INDEX(Models!$BJ348:$BT348,,AH348+1)*AF348-ERP_i)*AE348*Ramure*Pc/MaxiM</f>
        <v>2.9527064148322365E-3</v>
      </c>
      <c r="AE348" s="301">
        <f t="shared" si="142"/>
        <v>0.5</v>
      </c>
      <c r="AF348" s="173">
        <f t="shared" si="143"/>
        <v>0.98928561009713167</v>
      </c>
      <c r="AG348" s="801">
        <f t="shared" si="149"/>
        <v>1</v>
      </c>
      <c r="AH348" s="172">
        <f t="shared" si="144"/>
        <v>7</v>
      </c>
      <c r="AI348" s="221">
        <f t="shared" si="145"/>
        <v>1.9892856100971317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45992</v>
      </c>
      <c r="B349" s="406">
        <f>'2024'!Wh/'2024'!Env_an*'2025'!Env_an</f>
        <v>15.963746306501957</v>
      </c>
      <c r="C349" s="385"/>
      <c r="D349" s="388">
        <f t="shared" si="127"/>
        <v>16.310108119326845</v>
      </c>
      <c r="E349" s="380">
        <f t="shared" si="125"/>
        <v>17.048185229646048</v>
      </c>
      <c r="F349" s="380">
        <f t="shared" si="128"/>
        <v>17.048185229646048</v>
      </c>
      <c r="G349" s="110">
        <f t="shared" si="126"/>
        <v>0.16586750990377297</v>
      </c>
      <c r="H349" s="409" t="b">
        <f>Wh_hp&gt;='2024'!Maxi_hp</f>
        <v>0</v>
      </c>
      <c r="I349" s="375">
        <f>IF(H349,Wh_hp,'2024'!Maxi_hp)</f>
        <v>17.086180397127045</v>
      </c>
      <c r="J349" s="85">
        <f>IF(H349,An,'2024'!An_max)</f>
        <v>2022</v>
      </c>
      <c r="K349" s="193">
        <f t="shared" si="129"/>
        <v>45992</v>
      </c>
      <c r="L349" s="143">
        <f>IF(t&lt;Tvie,1-EXP((T0-t)*PertePVj)+'2024'!Pspv,1-EXP((T0-t)*PertePVj)+Pspv)</f>
        <v>2.1236021876180122E-2</v>
      </c>
      <c r="M349" s="835"/>
      <c r="N349" s="835"/>
      <c r="O349" s="48">
        <f>IF(t&lt;Tnet,'2024'!Resal+('2024'!Salim-'2024'!Resal)*(1-EXP(('2024'!Tnet-t)/('2024'!Tau_j))),Resal+(Salim-Resal)*(1-EXP((Tnet-t)/(Tau_j))))*Salcycl</f>
        <v>4.3293588166541018E-2</v>
      </c>
      <c r="P349" s="165">
        <f>(INDEX(Models!$BJ349:$BT349,,T349)*(1-R349)+INDEX(Models!$BJ349:$BT349,,T349+1)*R349-ERP_i)*Q349*Ramure*Pc/MaxiM</f>
        <v>2.917534137375982E-3</v>
      </c>
      <c r="Q349" s="301">
        <f t="shared" si="130"/>
        <v>0.5</v>
      </c>
      <c r="R349" s="173">
        <f t="shared" si="131"/>
        <v>0.98930206413330701</v>
      </c>
      <c r="S349" s="801">
        <f t="shared" si="132"/>
        <v>1</v>
      </c>
      <c r="T349" s="172">
        <f t="shared" si="133"/>
        <v>7</v>
      </c>
      <c r="U349" s="247">
        <f t="shared" si="134"/>
        <v>1.989302064133307</v>
      </c>
      <c r="V349" s="378">
        <f t="shared" si="135"/>
        <v>95.963166872925129</v>
      </c>
      <c r="W349" s="397">
        <f t="shared" si="136"/>
        <v>15.963746306501957</v>
      </c>
      <c r="X349" s="153">
        <f t="shared" si="137"/>
        <v>45992</v>
      </c>
      <c r="Y349" s="380">
        <f t="shared" si="138"/>
        <v>15.630849684466027</v>
      </c>
      <c r="Z349" s="380">
        <f t="shared" si="139"/>
        <v>15.969988714162328</v>
      </c>
      <c r="AA349" s="381">
        <f t="shared" si="140"/>
        <v>17.048185229646048</v>
      </c>
      <c r="AB349" s="193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6.3244063867207573E-2</v>
      </c>
      <c r="AD349" s="227">
        <f>(INDEX(Models!$BJ349:$BT349,,AH349)*(1-AF349)+INDEX(Models!$BJ349:$BT349,,AH349+1)*AF349-ERP_i)*AE349*Ramure*Pc/MaxiM</f>
        <v>2.917534137375982E-3</v>
      </c>
      <c r="AE349" s="301">
        <f t="shared" si="142"/>
        <v>0.5</v>
      </c>
      <c r="AF349" s="173">
        <f t="shared" si="143"/>
        <v>0.98930206413330701</v>
      </c>
      <c r="AG349" s="801">
        <f t="shared" si="149"/>
        <v>1</v>
      </c>
      <c r="AH349" s="172">
        <f t="shared" si="144"/>
        <v>7</v>
      </c>
      <c r="AI349" s="221">
        <f t="shared" si="145"/>
        <v>1.989302064133307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45993</v>
      </c>
      <c r="B350" s="406">
        <f>'2024'!Wh/'2024'!Env_an*'2025'!Env_an</f>
        <v>25.742704983094104</v>
      </c>
      <c r="C350" s="385"/>
      <c r="D350" s="388">
        <f t="shared" si="127"/>
        <v>26.301598709505217</v>
      </c>
      <c r="E350" s="380">
        <f t="shared" si="125"/>
        <v>27.492554320951911</v>
      </c>
      <c r="F350" s="380">
        <f t="shared" si="128"/>
        <v>27.492554320951911</v>
      </c>
      <c r="G350" s="110">
        <f t="shared" si="126"/>
        <v>0.26945162941683615</v>
      </c>
      <c r="H350" s="409" t="b">
        <f>Wh_hp&gt;='2024'!Maxi_hp</f>
        <v>0</v>
      </c>
      <c r="I350" s="375">
        <f>IF(H350,Wh_hp,'2024'!Maxi_hp)</f>
        <v>27.5528918378476</v>
      </c>
      <c r="J350" s="85">
        <f>IF(H350,An,'2024'!An_max)</f>
        <v>2022</v>
      </c>
      <c r="K350" s="193">
        <f t="shared" si="129"/>
        <v>45993</v>
      </c>
      <c r="L350" s="143">
        <f>IF(t&lt;Tvie,1-EXP((T0-t)*PertePVj)+'2024'!Pspv,1-EXP((T0-t)*PertePVj)+Pspv)</f>
        <v>2.1249420333112057E-2</v>
      </c>
      <c r="M350" s="835"/>
      <c r="N350" s="835"/>
      <c r="O350" s="48">
        <f>IF(t&lt;Tnet,'2024'!Resal+('2024'!Salim-'2024'!Resal)*(1-EXP(('2024'!Tnet-t)/('2024'!Tau_j))),Resal+(Salim-Resal)*(1-EXP((Tnet-t)/(Tau_j))))*Salcycl</f>
        <v>4.3319205539918644E-2</v>
      </c>
      <c r="P350" s="165">
        <f>(INDEX(Models!$BJ350:$BT350,,T350)*(1-R350)+INDEX(Models!$BJ350:$BT350,,T350+1)*R350-ERP_i)*Q350*Ramure*Pc/MaxiM</f>
        <v>2.8755188009604608E-3</v>
      </c>
      <c r="Q350" s="301">
        <f t="shared" si="130"/>
        <v>0.5</v>
      </c>
      <c r="R350" s="173">
        <f t="shared" si="131"/>
        <v>0.98931785669972916</v>
      </c>
      <c r="S350" s="801">
        <f t="shared" si="132"/>
        <v>1</v>
      </c>
      <c r="T350" s="172">
        <f t="shared" si="133"/>
        <v>7</v>
      </c>
      <c r="U350" s="247">
        <f t="shared" si="134"/>
        <v>1.9893178566997292</v>
      </c>
      <c r="V350" s="378">
        <f t="shared" si="135"/>
        <v>95.262668874860324</v>
      </c>
      <c r="W350" s="397">
        <f t="shared" si="136"/>
        <v>25.742704983094104</v>
      </c>
      <c r="X350" s="153">
        <f t="shared" si="137"/>
        <v>45993</v>
      </c>
      <c r="Y350" s="380">
        <f t="shared" si="138"/>
        <v>25.206644884543035</v>
      </c>
      <c r="Z350" s="380">
        <f t="shared" si="139"/>
        <v>25.753900338043191</v>
      </c>
      <c r="AA350" s="381">
        <f t="shared" si="140"/>
        <v>27.492554320951911</v>
      </c>
      <c r="AB350" s="193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6.3240903795676193E-2</v>
      </c>
      <c r="AD350" s="227">
        <f>(INDEX(Models!$BJ350:$BT350,,AH350)*(1-AF350)+INDEX(Models!$BJ350:$BT350,,AH350+1)*AF350-ERP_i)*AE350*Ramure*Pc/MaxiM</f>
        <v>2.8755188009604608E-3</v>
      </c>
      <c r="AE350" s="301">
        <f t="shared" si="142"/>
        <v>0.5</v>
      </c>
      <c r="AF350" s="173">
        <f t="shared" si="143"/>
        <v>0.98931785669972916</v>
      </c>
      <c r="AG350" s="801">
        <f t="shared" si="149"/>
        <v>1</v>
      </c>
      <c r="AH350" s="172">
        <f t="shared" si="144"/>
        <v>7</v>
      </c>
      <c r="AI350" s="221">
        <f t="shared" si="145"/>
        <v>1.9893178566997292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45994</v>
      </c>
      <c r="B351" s="406">
        <f>'2024'!Wh/'2024'!Env_an*'2025'!Env_an</f>
        <v>35.298219297143497</v>
      </c>
      <c r="C351" s="385"/>
      <c r="D351" s="388">
        <f t="shared" si="127"/>
        <v>36.065064215596195</v>
      </c>
      <c r="E351" s="380">
        <f t="shared" si="125"/>
        <v>37.699153297197839</v>
      </c>
      <c r="F351" s="380">
        <f t="shared" si="128"/>
        <v>37.710291255934422</v>
      </c>
      <c r="G351" s="110">
        <f t="shared" si="126"/>
        <v>0.37220091026064556</v>
      </c>
      <c r="H351" s="409" t="b">
        <f>Wh_hp&gt;='2024'!Maxi_hp</f>
        <v>0</v>
      </c>
      <c r="I351" s="375">
        <f>IF(H351,Wh_hp,'2024'!Maxi_hp)</f>
        <v>37.783098286209089</v>
      </c>
      <c r="J351" s="85">
        <f>IF(H351,An,'2024'!An_max)</f>
        <v>2022</v>
      </c>
      <c r="K351" s="193">
        <f t="shared" si="129"/>
        <v>45994</v>
      </c>
      <c r="L351" s="143">
        <f>IF(t&lt;Tvie,1-EXP((T0-t)*PertePVj)+'2024'!Pspv,1-EXP((T0-t)*PertePVj)+Pspv)</f>
        <v>2.1262818606630374E-2</v>
      </c>
      <c r="M351" s="835"/>
      <c r="N351" s="835"/>
      <c r="O351" s="48">
        <f>IF(t&lt;Tnet,'2024'!Resal+('2024'!Salim-'2024'!Resal)*(1-EXP(('2024'!Tnet-t)/('2024'!Tau_j))),Resal+(Salim-Resal)*(1-EXP((Tnet-t)/(Tau_j))))*Salcycl</f>
        <v>4.3345511468638361E-2</v>
      </c>
      <c r="P351" s="165">
        <f>(INDEX(Models!$BJ351:$BT351,,T351)*(1-R351)+INDEX(Models!$BJ351:$BT351,,T351+1)*R351-ERP_i)*Q351*Ramure*Pc/MaxiM</f>
        <v>2.8265392473562851E-3</v>
      </c>
      <c r="Q351" s="301">
        <f t="shared" si="130"/>
        <v>0.5</v>
      </c>
      <c r="R351" s="173">
        <f t="shared" si="131"/>
        <v>0.98933301434889165</v>
      </c>
      <c r="S351" s="801">
        <f t="shared" si="132"/>
        <v>1</v>
      </c>
      <c r="T351" s="172">
        <f t="shared" si="133"/>
        <v>7</v>
      </c>
      <c r="U351" s="247">
        <f t="shared" si="134"/>
        <v>1.9893330143488916</v>
      </c>
      <c r="V351" s="378">
        <f t="shared" si="135"/>
        <v>94.596347473942998</v>
      </c>
      <c r="W351" s="397">
        <f t="shared" si="136"/>
        <v>35.298219297143497</v>
      </c>
      <c r="X351" s="153">
        <f t="shared" si="137"/>
        <v>45994</v>
      </c>
      <c r="Y351" s="380">
        <f t="shared" si="138"/>
        <v>34.564204661835795</v>
      </c>
      <c r="Z351" s="380">
        <f t="shared" si="139"/>
        <v>35.315103297321151</v>
      </c>
      <c r="AA351" s="381">
        <f t="shared" si="140"/>
        <v>37.699153297197839</v>
      </c>
      <c r="AB351" s="193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6.3238820805396972E-2</v>
      </c>
      <c r="AD351" s="227">
        <f>(INDEX(Models!$BJ351:$BT351,,AH351)*(1-AF351)+INDEX(Models!$BJ351:$BT351,,AH351+1)*AF351-ERP_i)*AE351*Ramure*Pc/MaxiM</f>
        <v>2.8265392473562851E-3</v>
      </c>
      <c r="AE351" s="301">
        <f t="shared" si="142"/>
        <v>0.5</v>
      </c>
      <c r="AF351" s="173">
        <f t="shared" si="143"/>
        <v>0.98933301434889165</v>
      </c>
      <c r="AG351" s="801">
        <f t="shared" si="149"/>
        <v>1</v>
      </c>
      <c r="AH351" s="172">
        <f t="shared" si="144"/>
        <v>7</v>
      </c>
      <c r="AI351" s="221">
        <f t="shared" si="145"/>
        <v>1.9893330143488916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45995</v>
      </c>
      <c r="B352" s="406">
        <f>'2024'!Wh/'2024'!Env_an*'2025'!Env_an</f>
        <v>75.737082286239698</v>
      </c>
      <c r="C352" s="385"/>
      <c r="D352" s="388">
        <f t="shared" si="127"/>
        <v>77.383510627096086</v>
      </c>
      <c r="E352" s="380">
        <f t="shared" si="125"/>
        <v>80.891998500609773</v>
      </c>
      <c r="F352" s="380">
        <f t="shared" si="128"/>
        <v>81.054495231438239</v>
      </c>
      <c r="G352" s="110">
        <f t="shared" si="126"/>
        <v>0.80538532046874756</v>
      </c>
      <c r="H352" s="409" t="b">
        <f>Wh_hp&gt;='2024'!Maxi_hp</f>
        <v>0</v>
      </c>
      <c r="I352" s="375">
        <f>IF(H352,Wh_hp,'2024'!Maxi_hp)</f>
        <v>81.102007560946589</v>
      </c>
      <c r="J352" s="85">
        <f>IF(H352,An,'2024'!An_max)</f>
        <v>2022</v>
      </c>
      <c r="K352" s="193">
        <f t="shared" si="129"/>
        <v>45995</v>
      </c>
      <c r="L352" s="143">
        <f>IF(t&lt;Tvie,1-EXP((T0-t)*PertePVj)+'2024'!Pspv,1-EXP((T0-t)*PertePVj)+Pspv)</f>
        <v>2.1276216696737626E-2</v>
      </c>
      <c r="M352" s="835"/>
      <c r="N352" s="835"/>
      <c r="O352" s="48">
        <f>IF(t&lt;Tnet,'2024'!Resal+('2024'!Salim-'2024'!Resal)*(1-EXP(('2024'!Tnet-t)/('2024'!Tau_j))),Resal+(Salim-Resal)*(1-EXP((Tnet-t)/(Tau_j))))*Salcycl</f>
        <v>4.3372495902511764E-2</v>
      </c>
      <c r="P352" s="165">
        <f>(INDEX(Models!$BJ352:$BT352,,T352)*(1-R352)+INDEX(Models!$BJ352:$BT352,,T352+1)*R352-ERP_i)*Q352*Ramure*Pc/MaxiM</f>
        <v>2.7733829673368422E-3</v>
      </c>
      <c r="Q352" s="301">
        <f t="shared" si="130"/>
        <v>0.5</v>
      </c>
      <c r="R352" s="173">
        <f t="shared" si="131"/>
        <v>0.98934756257052658</v>
      </c>
      <c r="S352" s="801">
        <f t="shared" si="132"/>
        <v>1</v>
      </c>
      <c r="T352" s="172">
        <f t="shared" si="133"/>
        <v>7</v>
      </c>
      <c r="U352" s="247">
        <f t="shared" si="134"/>
        <v>1.9893475625705266</v>
      </c>
      <c r="V352" s="378">
        <f t="shared" si="135"/>
        <v>93.965896771482093</v>
      </c>
      <c r="W352" s="397">
        <f t="shared" si="136"/>
        <v>75.737082286239698</v>
      </c>
      <c r="X352" s="153">
        <f t="shared" si="137"/>
        <v>45995</v>
      </c>
      <c r="Y352" s="380">
        <f t="shared" si="138"/>
        <v>74.164327985573564</v>
      </c>
      <c r="Z352" s="380">
        <f t="shared" si="139"/>
        <v>75.776566637896224</v>
      </c>
      <c r="AA352" s="381">
        <f t="shared" si="140"/>
        <v>80.891998500609773</v>
      </c>
      <c r="AB352" s="193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6.323779802120949E-2</v>
      </c>
      <c r="AD352" s="227">
        <f>(INDEX(Models!$BJ352:$BT352,,AH352)*(1-AF352)+INDEX(Models!$BJ352:$BT352,,AH352+1)*AF352-ERP_i)*AE352*Ramure*Pc/MaxiM</f>
        <v>2.7733829673368422E-3</v>
      </c>
      <c r="AE352" s="301">
        <f t="shared" si="142"/>
        <v>0.5</v>
      </c>
      <c r="AF352" s="173">
        <f t="shared" si="143"/>
        <v>0.98934756257052658</v>
      </c>
      <c r="AG352" s="801">
        <f t="shared" si="149"/>
        <v>1</v>
      </c>
      <c r="AH352" s="172">
        <f t="shared" si="144"/>
        <v>7</v>
      </c>
      <c r="AI352" s="221">
        <f t="shared" si="145"/>
        <v>1.9893475625705266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45996</v>
      </c>
      <c r="B353" s="406">
        <f>'2024'!Wh/'2024'!Env_an*'2025'!Env_an</f>
        <v>95.050732807188695</v>
      </c>
      <c r="C353" s="385"/>
      <c r="D353" s="388">
        <f t="shared" si="127"/>
        <v>97.118344941925884</v>
      </c>
      <c r="E353" s="380">
        <f t="shared" si="125"/>
        <v>101.52452417430305</v>
      </c>
      <c r="F353" s="380">
        <f t="shared" si="128"/>
        <v>101.80165922756323</v>
      </c>
      <c r="G353" s="110">
        <f t="shared" si="126"/>
        <v>1.0179714021442383</v>
      </c>
      <c r="H353" s="409" t="b">
        <f>Wh_hp&gt;='2024'!Maxi_hp</f>
        <v>1</v>
      </c>
      <c r="I353" s="375">
        <f>IF(H353,Wh_hp,'2024'!Maxi_hp)</f>
        <v>101.80165922756323</v>
      </c>
      <c r="J353" s="85">
        <f>IF(H353,An,'2024'!An_max)</f>
        <v>2025</v>
      </c>
      <c r="K353" s="193">
        <f t="shared" si="129"/>
        <v>45996</v>
      </c>
      <c r="L353" s="143">
        <f>IF(t&lt;Tvie,1-EXP((T0-t)*PertePVj)+'2024'!Pspv,1-EXP((T0-t)*PertePVj)+Pspv)</f>
        <v>2.1289614603436258E-2</v>
      </c>
      <c r="M353" s="835"/>
      <c r="N353" s="835"/>
      <c r="O353" s="48">
        <f>IF(t&lt;Tnet,'2024'!Resal+('2024'!Salim-'2024'!Resal)*(1-EXP(('2024'!Tnet-t)/('2024'!Tau_j))),Resal+(Salim-Resal)*(1-EXP((Tnet-t)/(Tau_j))))*Salcycl</f>
        <v>4.3400146597214175E-2</v>
      </c>
      <c r="P353" s="165">
        <f>(INDEX(Models!$BJ353:$BT353,,T353)*(1-R353)+INDEX(Models!$BJ353:$BT353,,T353+1)*R353-ERP_i)*Q353*Ramure*Pc/MaxiM</f>
        <v>2.7223038933057455E-3</v>
      </c>
      <c r="Q353" s="301">
        <f t="shared" si="130"/>
        <v>0.5</v>
      </c>
      <c r="R353" s="173">
        <f t="shared" si="131"/>
        <v>0.98936152583389569</v>
      </c>
      <c r="S353" s="801">
        <f t="shared" si="132"/>
        <v>1</v>
      </c>
      <c r="T353" s="172">
        <f t="shared" si="133"/>
        <v>7</v>
      </c>
      <c r="U353" s="247">
        <f t="shared" si="134"/>
        <v>1.9893615258338957</v>
      </c>
      <c r="V353" s="378">
        <f t="shared" si="135"/>
        <v>93.372694563889908</v>
      </c>
      <c r="W353" s="397">
        <f t="shared" si="136"/>
        <v>95.050732807188695</v>
      </c>
      <c r="X353" s="153">
        <f t="shared" si="137"/>
        <v>45996</v>
      </c>
      <c r="Y353" s="380">
        <f t="shared" si="138"/>
        <v>93.079600413421105</v>
      </c>
      <c r="Z353" s="380">
        <f t="shared" si="139"/>
        <v>95.104335053833282</v>
      </c>
      <c r="AA353" s="381">
        <f t="shared" si="140"/>
        <v>101.52452417430305</v>
      </c>
      <c r="AB353" s="193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6.3237815421298943E-2</v>
      </c>
      <c r="AD353" s="227">
        <f>(INDEX(Models!$BJ353:$BT353,,AH353)*(1-AF353)+INDEX(Models!$BJ353:$BT353,,AH353+1)*AF353-ERP_i)*AE353*Ramure*Pc/MaxiM</f>
        <v>2.7223038933057455E-3</v>
      </c>
      <c r="AE353" s="301">
        <f t="shared" si="142"/>
        <v>0.5</v>
      </c>
      <c r="AF353" s="173">
        <f t="shared" si="143"/>
        <v>0.98936152583389569</v>
      </c>
      <c r="AG353" s="801">
        <f t="shared" si="149"/>
        <v>1</v>
      </c>
      <c r="AH353" s="172">
        <f t="shared" si="144"/>
        <v>7</v>
      </c>
      <c r="AI353" s="221">
        <f t="shared" si="145"/>
        <v>1.9893615258338957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45997</v>
      </c>
      <c r="B354" s="406">
        <f>'2024'!Wh/'2024'!Env_an*'2025'!Env_an</f>
        <v>49.397595842415832</v>
      </c>
      <c r="C354" s="385"/>
      <c r="D354" s="388">
        <f t="shared" si="127"/>
        <v>50.472818926164663</v>
      </c>
      <c r="E354" s="380">
        <f t="shared" si="125"/>
        <v>52.764290226177003</v>
      </c>
      <c r="F354" s="380">
        <f t="shared" si="128"/>
        <v>52.811119976469229</v>
      </c>
      <c r="G354" s="110">
        <f t="shared" si="126"/>
        <v>0.5312427051280092</v>
      </c>
      <c r="H354" s="409" t="b">
        <f>Wh_hp&gt;='2024'!Maxi_hp</f>
        <v>0</v>
      </c>
      <c r="I354" s="375">
        <f>IF(H354,Wh_hp,'2024'!Maxi_hp)</f>
        <v>52.883007862036244</v>
      </c>
      <c r="J354" s="85">
        <f>IF(H354,An,'2024'!An_max)</f>
        <v>2022</v>
      </c>
      <c r="K354" s="193">
        <f t="shared" si="129"/>
        <v>45997</v>
      </c>
      <c r="L354" s="143">
        <f>IF(t&lt;Tvie,1-EXP((T0-t)*PertePVj)+'2024'!Pspv,1-EXP((T0-t)*PertePVj)+Pspv)</f>
        <v>2.130301232672871E-2</v>
      </c>
      <c r="M354" s="835"/>
      <c r="N354" s="835"/>
      <c r="O354" s="48">
        <f>IF(t&lt;Tnet,'2024'!Resal+('2024'!Salim-'2024'!Resal)*(1-EXP(('2024'!Tnet-t)/('2024'!Tau_j))),Resal+(Salim-Resal)*(1-EXP((Tnet-t)/(Tau_j))))*Salcycl</f>
        <v>4.3428449244552046E-2</v>
      </c>
      <c r="P354" s="165">
        <f>(INDEX(Models!$BJ354:$BT354,,T354)*(1-R354)+INDEX(Models!$BJ354:$BT354,,T354+1)*R354-ERP_i)*Q354*Ramure*Pc/MaxiM</f>
        <v>2.6732704241556422E-3</v>
      </c>
      <c r="Q354" s="301">
        <f t="shared" si="130"/>
        <v>0.5</v>
      </c>
      <c r="R354" s="173">
        <f t="shared" si="131"/>
        <v>0.9893749276284185</v>
      </c>
      <c r="S354" s="801">
        <f t="shared" si="132"/>
        <v>1</v>
      </c>
      <c r="T354" s="172">
        <f t="shared" si="133"/>
        <v>7</v>
      </c>
      <c r="U354" s="247">
        <f t="shared" si="134"/>
        <v>1.9893749276284185</v>
      </c>
      <c r="V354" s="378">
        <f t="shared" si="135"/>
        <v>92.818718733749321</v>
      </c>
      <c r="W354" s="397">
        <f t="shared" si="136"/>
        <v>49.397595842415832</v>
      </c>
      <c r="X354" s="153">
        <f t="shared" si="137"/>
        <v>45997</v>
      </c>
      <c r="Y354" s="380">
        <f t="shared" si="138"/>
        <v>48.374581755249288</v>
      </c>
      <c r="Z354" s="380">
        <f t="shared" si="139"/>
        <v>49.427537189272194</v>
      </c>
      <c r="AA354" s="381">
        <f t="shared" si="140"/>
        <v>52.764290226177003</v>
      </c>
      <c r="AB354" s="193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6.3238850036675148E-2</v>
      </c>
      <c r="AD354" s="227">
        <f>(INDEX(Models!$BJ354:$BT354,,AH354)*(1-AF354)+INDEX(Models!$BJ354:$BT354,,AH354+1)*AF354-ERP_i)*AE354*Ramure*Pc/MaxiM</f>
        <v>2.6732704241556422E-3</v>
      </c>
      <c r="AE354" s="301">
        <f t="shared" si="142"/>
        <v>0.5</v>
      </c>
      <c r="AF354" s="173">
        <f t="shared" si="143"/>
        <v>0.9893749276284185</v>
      </c>
      <c r="AG354" s="801">
        <f t="shared" si="149"/>
        <v>1</v>
      </c>
      <c r="AH354" s="172">
        <f t="shared" si="144"/>
        <v>7</v>
      </c>
      <c r="AI354" s="221">
        <f t="shared" si="145"/>
        <v>1.9893749276284185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45998</v>
      </c>
      <c r="B355" s="406">
        <f>'2024'!Wh/'2024'!Env_an*'2025'!Env_an</f>
        <v>76.413153371694875</v>
      </c>
      <c r="C355" s="385"/>
      <c r="D355" s="388">
        <f t="shared" si="127"/>
        <v>78.077485044252882</v>
      </c>
      <c r="E355" s="380">
        <f t="shared" si="125"/>
        <v>81.624680420073958</v>
      </c>
      <c r="F355" s="380">
        <f t="shared" si="128"/>
        <v>81.786641447267698</v>
      </c>
      <c r="G355" s="110">
        <f t="shared" si="126"/>
        <v>0.82728901090129714</v>
      </c>
      <c r="H355" s="409" t="b">
        <f>Wh_hp&gt;='2024'!Maxi_hp</f>
        <v>0</v>
      </c>
      <c r="I355" s="375">
        <f>IF(H355,Wh_hp,'2024'!Maxi_hp)</f>
        <v>81.826902027230147</v>
      </c>
      <c r="J355" s="85">
        <f>IF(H355,An,'2024'!An_max)</f>
        <v>2022</v>
      </c>
      <c r="K355" s="193">
        <f t="shared" si="129"/>
        <v>45998</v>
      </c>
      <c r="L355" s="143">
        <f>IF(t&lt;Tvie,1-EXP((T0-t)*PertePVj)+'2024'!Pspv,1-EXP((T0-t)*PertePVj)+Pspv)</f>
        <v>2.1316409866617758E-2</v>
      </c>
      <c r="M355" s="835"/>
      <c r="N355" s="835"/>
      <c r="O355" s="48">
        <f>IF(t&lt;Tnet,'2024'!Resal+('2024'!Salim-'2024'!Resal)*(1-EXP(('2024'!Tnet-t)/('2024'!Tau_j))),Resal+(Salim-Resal)*(1-EXP((Tnet-t)/(Tau_j))))*Salcycl</f>
        <v>4.3457387613228773E-2</v>
      </c>
      <c r="P355" s="165">
        <f>(INDEX(Models!$BJ355:$BT355,,T355)*(1-R355)+INDEX(Models!$BJ355:$BT355,,T355+1)*R355-ERP_i)*Q355*Ramure*Pc/MaxiM</f>
        <v>2.6262519132538701E-3</v>
      </c>
      <c r="Q355" s="301">
        <f t="shared" si="130"/>
        <v>0.5</v>
      </c>
      <c r="R355" s="173">
        <f t="shared" si="131"/>
        <v>0.98938779050270353</v>
      </c>
      <c r="S355" s="801">
        <f t="shared" si="132"/>
        <v>1</v>
      </c>
      <c r="T355" s="172">
        <f t="shared" si="133"/>
        <v>7</v>
      </c>
      <c r="U355" s="247">
        <f t="shared" si="134"/>
        <v>1.9893877905027035</v>
      </c>
      <c r="V355" s="378">
        <f t="shared" si="135"/>
        <v>92.305946546111471</v>
      </c>
      <c r="W355" s="397">
        <f t="shared" si="136"/>
        <v>76.413153371694875</v>
      </c>
      <c r="X355" s="153">
        <f t="shared" si="137"/>
        <v>45998</v>
      </c>
      <c r="Y355" s="380">
        <f t="shared" si="138"/>
        <v>74.832754625871289</v>
      </c>
      <c r="Z355" s="380">
        <f t="shared" si="139"/>
        <v>76.462664113610529</v>
      </c>
      <c r="AA355" s="381">
        <f t="shared" si="140"/>
        <v>81.624680420073958</v>
      </c>
      <c r="AB355" s="193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6.3240876165120433E-2</v>
      </c>
      <c r="AD355" s="227">
        <f>(INDEX(Models!$BJ355:$BT355,,AH355)*(1-AF355)+INDEX(Models!$BJ355:$BT355,,AH355+1)*AF355-ERP_i)*AE355*Ramure*Pc/MaxiM</f>
        <v>2.6262519132538701E-3</v>
      </c>
      <c r="AE355" s="301">
        <f t="shared" si="142"/>
        <v>0.5</v>
      </c>
      <c r="AF355" s="173">
        <f t="shared" si="143"/>
        <v>0.98938779050270353</v>
      </c>
      <c r="AG355" s="801">
        <f t="shared" si="149"/>
        <v>1</v>
      </c>
      <c r="AH355" s="172">
        <f t="shared" si="144"/>
        <v>7</v>
      </c>
      <c r="AI355" s="221">
        <f t="shared" si="145"/>
        <v>1.9893877905027035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45999</v>
      </c>
      <c r="B356" s="406">
        <f>'2024'!Wh/'2024'!Env_an*'2025'!Env_an</f>
        <v>14.460171096967807</v>
      </c>
      <c r="C356" s="385"/>
      <c r="D356" s="388">
        <f t="shared" si="127"/>
        <v>14.775325951164699</v>
      </c>
      <c r="E356" s="380">
        <f t="shared" si="125"/>
        <v>15.447071897065474</v>
      </c>
      <c r="F356" s="380">
        <f t="shared" si="128"/>
        <v>15.447071897065474</v>
      </c>
      <c r="G356" s="110">
        <f t="shared" si="126"/>
        <v>0.15704942008828116</v>
      </c>
      <c r="H356" s="409" t="b">
        <f>Wh_hp&gt;='2024'!Maxi_hp</f>
        <v>0</v>
      </c>
      <c r="I356" s="375">
        <f>IF(H356,Wh_hp,'2024'!Maxi_hp)</f>
        <v>15.477444404663771</v>
      </c>
      <c r="J356" s="85">
        <f>IF(H356,An,'2024'!An_max)</f>
        <v>2022</v>
      </c>
      <c r="K356" s="193">
        <f t="shared" si="129"/>
        <v>45999</v>
      </c>
      <c r="L356" s="143">
        <f>IF(t&lt;Tvie,1-EXP((T0-t)*PertePVj)+'2024'!Pspv,1-EXP((T0-t)*PertePVj)+Pspv)</f>
        <v>2.1329807223105623E-2</v>
      </c>
      <c r="M356" s="835"/>
      <c r="N356" s="835"/>
      <c r="O356" s="48">
        <f>IF(t&lt;Tnet,'2024'!Resal+('2024'!Salim-'2024'!Resal)*(1-EXP(('2024'!Tnet-t)/('2024'!Tau_j))),Resal+(Salim-Resal)*(1-EXP((Tnet-t)/(Tau_j))))*Salcycl</f>
        <v>4.3486943698914718E-2</v>
      </c>
      <c r="P356" s="165">
        <f>(INDEX(Models!$BJ356:$BT356,,T356)*(1-R356)+INDEX(Models!$BJ356:$BT356,,T356+1)*R356-ERP_i)*Q356*Ramure*Pc/MaxiM</f>
        <v>2.5812185870959584E-3</v>
      </c>
      <c r="Q356" s="301">
        <f t="shared" si="130"/>
        <v>0.5</v>
      </c>
      <c r="R356" s="173">
        <f t="shared" si="131"/>
        <v>0.9894001361020377</v>
      </c>
      <c r="S356" s="801">
        <f t="shared" si="132"/>
        <v>1</v>
      </c>
      <c r="T356" s="172">
        <f t="shared" si="133"/>
        <v>7</v>
      </c>
      <c r="U356" s="247">
        <f t="shared" si="134"/>
        <v>1.9894001361020377</v>
      </c>
      <c r="V356" s="378">
        <f t="shared" si="135"/>
        <v>91.836354610238672</v>
      </c>
      <c r="W356" s="397">
        <f t="shared" si="136"/>
        <v>14.460171096967807</v>
      </c>
      <c r="X356" s="153">
        <f t="shared" si="137"/>
        <v>45999</v>
      </c>
      <c r="Y356" s="380">
        <f t="shared" si="138"/>
        <v>14.161494075127401</v>
      </c>
      <c r="Z356" s="380">
        <f t="shared" si="139"/>
        <v>14.470139358127739</v>
      </c>
      <c r="AA356" s="381">
        <f t="shared" si="140"/>
        <v>15.447071897065474</v>
      </c>
      <c r="AB356" s="193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6.3243865597811158E-2</v>
      </c>
      <c r="AD356" s="227">
        <f>(INDEX(Models!$BJ356:$BT356,,AH356)*(1-AF356)+INDEX(Models!$BJ356:$BT356,,AH356+1)*AF356-ERP_i)*AE356*Ramure*Pc/MaxiM</f>
        <v>2.5812185870959584E-3</v>
      </c>
      <c r="AE356" s="301">
        <f t="shared" si="142"/>
        <v>0.5</v>
      </c>
      <c r="AF356" s="173">
        <f t="shared" si="143"/>
        <v>0.9894001361020377</v>
      </c>
      <c r="AG356" s="801">
        <f t="shared" si="149"/>
        <v>1</v>
      </c>
      <c r="AH356" s="172">
        <f t="shared" si="144"/>
        <v>7</v>
      </c>
      <c r="AI356" s="221">
        <f t="shared" si="145"/>
        <v>1.9894001361020377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46000</v>
      </c>
      <c r="B357" s="406">
        <f>'2024'!Wh/'2024'!Env_an*'2025'!Env_an</f>
        <v>27.79677187572069</v>
      </c>
      <c r="C357" s="385"/>
      <c r="D357" s="388">
        <f t="shared" si="127"/>
        <v>28.402982537479676</v>
      </c>
      <c r="E357" s="380">
        <f t="shared" si="125"/>
        <v>29.695232893965976</v>
      </c>
      <c r="F357" s="380">
        <f t="shared" si="128"/>
        <v>29.695672481472943</v>
      </c>
      <c r="G357" s="110">
        <f t="shared" si="126"/>
        <v>0.30331526254043106</v>
      </c>
      <c r="H357" s="409" t="b">
        <f>Wh_hp&gt;='2024'!Maxi_hp</f>
        <v>0</v>
      </c>
      <c r="I357" s="375">
        <f>IF(H357,Wh_hp,'2024'!Maxi_hp)</f>
        <v>29.752765723166412</v>
      </c>
      <c r="J357" s="85">
        <f>IF(H357,An,'2024'!An_max)</f>
        <v>2022</v>
      </c>
      <c r="K357" s="193">
        <f t="shared" si="129"/>
        <v>46000</v>
      </c>
      <c r="L357" s="143">
        <f>IF(t&lt;Tvie,1-EXP((T0-t)*PertePVj)+'2024'!Pspv,1-EXP((T0-t)*PertePVj)+Pspv)</f>
        <v>2.134320439619497E-2</v>
      </c>
      <c r="M357" s="835"/>
      <c r="N357" s="835"/>
      <c r="O357" s="48">
        <f>IF(t&lt;Tnet,'2024'!Resal+('2024'!Salim-'2024'!Resal)*(1-EXP(('2024'!Tnet-t)/('2024'!Tau_j))),Resal+(Salim-Resal)*(1-EXP((Tnet-t)/(Tau_j))))*Salcycl</f>
        <v>4.3517097882363603E-2</v>
      </c>
      <c r="P357" s="165">
        <f>(INDEX(Models!$BJ357:$BT357,,T357)*(1-R357)+INDEX(Models!$BJ357:$BT357,,T357+1)*R357-ERP_i)*Q357*Ramure*Pc/MaxiM</f>
        <v>2.5381414325691804E-3</v>
      </c>
      <c r="Q357" s="301">
        <f t="shared" si="130"/>
        <v>0.5</v>
      </c>
      <c r="R357" s="173">
        <f t="shared" si="131"/>
        <v>0.98941198520439766</v>
      </c>
      <c r="S357" s="801">
        <f t="shared" si="132"/>
        <v>1</v>
      </c>
      <c r="T357" s="172">
        <f t="shared" si="133"/>
        <v>7</v>
      </c>
      <c r="U357" s="247">
        <f t="shared" si="134"/>
        <v>1.9894119852043977</v>
      </c>
      <c r="V357" s="378">
        <f t="shared" si="135"/>
        <v>91.411918888339841</v>
      </c>
      <c r="W357" s="397">
        <f t="shared" si="136"/>
        <v>27.79677187572069</v>
      </c>
      <c r="X357" s="153">
        <f t="shared" si="137"/>
        <v>46000</v>
      </c>
      <c r="Y357" s="380">
        <f t="shared" si="138"/>
        <v>27.223369583893135</v>
      </c>
      <c r="Z357" s="380">
        <f t="shared" si="139"/>
        <v>27.817075103532126</v>
      </c>
      <c r="AA357" s="381">
        <f t="shared" si="140"/>
        <v>29.695232893965976</v>
      </c>
      <c r="AB357" s="193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6.3247787856733309E-2</v>
      </c>
      <c r="AD357" s="227">
        <f>(INDEX(Models!$BJ357:$BT357,,AH357)*(1-AF357)+INDEX(Models!$BJ357:$BT357,,AH357+1)*AF357-ERP_i)*AE357*Ramure*Pc/MaxiM</f>
        <v>2.5381414325691804E-3</v>
      </c>
      <c r="AE357" s="301">
        <f t="shared" si="142"/>
        <v>0.5</v>
      </c>
      <c r="AF357" s="173">
        <f t="shared" si="143"/>
        <v>0.98941198520439766</v>
      </c>
      <c r="AG357" s="801">
        <f t="shared" si="149"/>
        <v>1</v>
      </c>
      <c r="AH357" s="172">
        <f t="shared" si="144"/>
        <v>7</v>
      </c>
      <c r="AI357" s="221">
        <f t="shared" si="145"/>
        <v>1.9894119852043977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46001</v>
      </c>
      <c r="B358" s="406">
        <f>'2024'!Wh/'2024'!Env_an*'2025'!Env_an</f>
        <v>67.002077427869636</v>
      </c>
      <c r="C358" s="385"/>
      <c r="D358" s="388">
        <f t="shared" si="127"/>
        <v>68.464240930612135</v>
      </c>
      <c r="E358" s="380">
        <f t="shared" si="125"/>
        <v>71.581458031276554</v>
      </c>
      <c r="F358" s="380">
        <f t="shared" si="128"/>
        <v>71.692961584893965</v>
      </c>
      <c r="G358" s="110">
        <f t="shared" si="126"/>
        <v>0.73531242651173301</v>
      </c>
      <c r="H358" s="409" t="b">
        <f>Wh_hp&gt;='2024'!Maxi_hp</f>
        <v>0</v>
      </c>
      <c r="I358" s="375">
        <f>IF(H358,Wh_hp,'2024'!Maxi_hp)</f>
        <v>71.744443051435056</v>
      </c>
      <c r="J358" s="85">
        <f>IF(H358,An,'2024'!An_max)</f>
        <v>2022</v>
      </c>
      <c r="K358" s="193">
        <f t="shared" si="129"/>
        <v>46001</v>
      </c>
      <c r="L358" s="143">
        <f>IF(t&lt;Tvie,1-EXP((T0-t)*PertePVj)+'2024'!Pspv,1-EXP((T0-t)*PertePVj)+Pspv)</f>
        <v>2.1356601385888241E-2</v>
      </c>
      <c r="M358" s="835"/>
      <c r="N358" s="835"/>
      <c r="O358" s="48">
        <f>IF(t&lt;Tnet,'2024'!Resal+('2024'!Salim-'2024'!Resal)*(1-EXP(('2024'!Tnet-t)/('2024'!Tau_j))),Resal+(Salim-Resal)*(1-EXP((Tnet-t)/(Tau_j))))*Salcycl</f>
        <v>4.3547829094266181E-2</v>
      </c>
      <c r="P358" s="165">
        <f>(INDEX(Models!$BJ358:$BT358,,T358)*(1-R358)+INDEX(Models!$BJ358:$BT358,,T358+1)*R358-ERP_i)*Q358*Ramure*Pc/MaxiM</f>
        <v>2.4969920583014526E-3</v>
      </c>
      <c r="Q358" s="301">
        <f t="shared" si="130"/>
        <v>0.5</v>
      </c>
      <c r="R358" s="173">
        <f t="shared" si="131"/>
        <v>0.9894233577550422</v>
      </c>
      <c r="S358" s="801">
        <f t="shared" si="132"/>
        <v>1</v>
      </c>
      <c r="T358" s="172">
        <f t="shared" si="133"/>
        <v>7</v>
      </c>
      <c r="U358" s="247">
        <f t="shared" si="134"/>
        <v>1.9894233577550422</v>
      </c>
      <c r="V358" s="378">
        <f t="shared" si="135"/>
        <v>91.034614578336743</v>
      </c>
      <c r="W358" s="397">
        <f t="shared" si="136"/>
        <v>67.002077427869636</v>
      </c>
      <c r="X358" s="153">
        <f t="shared" si="137"/>
        <v>46001</v>
      </c>
      <c r="Y358" s="380">
        <f t="shared" si="138"/>
        <v>65.621703870622753</v>
      </c>
      <c r="Z358" s="380">
        <f t="shared" si="139"/>
        <v>67.053743951629116</v>
      </c>
      <c r="AA358" s="381">
        <f t="shared" si="140"/>
        <v>71.581458031276554</v>
      </c>
      <c r="AB358" s="193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6.3252610440948542E-2</v>
      </c>
      <c r="AD358" s="227">
        <f>(INDEX(Models!$BJ358:$BT358,,AH358)*(1-AF358)+INDEX(Models!$BJ358:$BT358,,AH358+1)*AF358-ERP_i)*AE358*Ramure*Pc/MaxiM</f>
        <v>2.4969920583014526E-3</v>
      </c>
      <c r="AE358" s="301">
        <f t="shared" si="142"/>
        <v>0.5</v>
      </c>
      <c r="AF358" s="173">
        <f t="shared" si="143"/>
        <v>0.9894233577550422</v>
      </c>
      <c r="AG358" s="801">
        <f t="shared" si="149"/>
        <v>1</v>
      </c>
      <c r="AH358" s="172">
        <f t="shared" si="144"/>
        <v>7</v>
      </c>
      <c r="AI358" s="221">
        <f t="shared" si="145"/>
        <v>1.9894233577550422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46002</v>
      </c>
      <c r="B359" s="406">
        <f>'2024'!Wh/'2024'!Env_an*'2025'!Env_an</f>
        <v>63.074308756239937</v>
      </c>
      <c r="C359" s="385"/>
      <c r="D359" s="388">
        <f t="shared" si="127"/>
        <v>64.451640190596521</v>
      </c>
      <c r="E359" s="380">
        <f t="shared" si="125"/>
        <v>67.388365520289526</v>
      </c>
      <c r="F359" s="380">
        <f t="shared" si="128"/>
        <v>67.482056600708489</v>
      </c>
      <c r="G359" s="110">
        <f t="shared" si="126"/>
        <v>0.69466381366396346</v>
      </c>
      <c r="H359" s="409" t="b">
        <f>Wh_hp&gt;='2024'!Maxi_hp</f>
        <v>0</v>
      </c>
      <c r="I359" s="375">
        <f>IF(H359,Wh_hp,'2024'!Maxi_hp)</f>
        <v>67.53712274687156</v>
      </c>
      <c r="J359" s="85">
        <f>IF(H359,An,'2024'!An_max)</f>
        <v>2022</v>
      </c>
      <c r="K359" s="193">
        <f t="shared" si="129"/>
        <v>46002</v>
      </c>
      <c r="L359" s="143">
        <f>IF(t&lt;Tvie,1-EXP((T0-t)*PertePVj)+'2024'!Pspv,1-EXP((T0-t)*PertePVj)+Pspv)</f>
        <v>2.1369998192187878E-2</v>
      </c>
      <c r="M359" s="835"/>
      <c r="N359" s="835"/>
      <c r="O359" s="48">
        <f>IF(t&lt;Tnet,'2024'!Resal+('2024'!Salim-'2024'!Resal)*(1-EXP(('2024'!Tnet-t)/('2024'!Tau_j))),Resal+(Salim-Resal)*(1-EXP((Tnet-t)/(Tau_j))))*Salcycl</f>
        <v>4.3579114985491184E-2</v>
      </c>
      <c r="P359" s="165">
        <f>(INDEX(Models!$BJ359:$BT359,,T359)*(1-R359)+INDEX(Models!$BJ359:$BT359,,T359+1)*R359-ERP_i)*Q359*Ramure*Pc/MaxiM</f>
        <v>2.4578868116608031E-3</v>
      </c>
      <c r="Q359" s="301">
        <f t="shared" si="130"/>
        <v>0.5</v>
      </c>
      <c r="R359" s="173">
        <f t="shared" si="131"/>
        <v>0.98943427289973362</v>
      </c>
      <c r="S359" s="801">
        <f t="shared" si="132"/>
        <v>1</v>
      </c>
      <c r="T359" s="172">
        <f t="shared" si="133"/>
        <v>7</v>
      </c>
      <c r="U359" s="247">
        <f t="shared" si="134"/>
        <v>1.9894342728997336</v>
      </c>
      <c r="V359" s="378">
        <f t="shared" si="135"/>
        <v>90.701078199745012</v>
      </c>
      <c r="W359" s="397">
        <f t="shared" si="136"/>
        <v>63.074308756239937</v>
      </c>
      <c r="X359" s="153">
        <f t="shared" si="137"/>
        <v>46002</v>
      </c>
      <c r="Y359" s="380">
        <f t="shared" si="138"/>
        <v>61.776500486807059</v>
      </c>
      <c r="Z359" s="380">
        <f t="shared" si="139"/>
        <v>63.125492139713714</v>
      </c>
      <c r="AA359" s="381">
        <f t="shared" si="140"/>
        <v>67.388365520289526</v>
      </c>
      <c r="AB359" s="193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6.3258299079717681E-2</v>
      </c>
      <c r="AD359" s="227">
        <f>(INDEX(Models!$BJ359:$BT359,,AH359)*(1-AF359)+INDEX(Models!$BJ359:$BT359,,AH359+1)*AF359-ERP_i)*AE359*Ramure*Pc/MaxiM</f>
        <v>2.4578868116608031E-3</v>
      </c>
      <c r="AE359" s="301">
        <f t="shared" si="142"/>
        <v>0.5</v>
      </c>
      <c r="AF359" s="173">
        <f t="shared" si="143"/>
        <v>0.98943427289973362</v>
      </c>
      <c r="AG359" s="801">
        <f t="shared" si="149"/>
        <v>1</v>
      </c>
      <c r="AH359" s="172">
        <f t="shared" si="144"/>
        <v>7</v>
      </c>
      <c r="AI359" s="221">
        <f t="shared" si="145"/>
        <v>1.9894342728997336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46003</v>
      </c>
      <c r="B360" s="406">
        <f>'2024'!Wh/'2024'!Env_an*'2025'!Env_an</f>
        <v>21.997181964605574</v>
      </c>
      <c r="C360" s="385"/>
      <c r="D360" s="388">
        <f t="shared" si="127"/>
        <v>22.477834371561013</v>
      </c>
      <c r="E360" s="380">
        <f t="shared" si="125"/>
        <v>23.502813996973341</v>
      </c>
      <c r="F360" s="380">
        <f t="shared" si="128"/>
        <v>23.502813996973341</v>
      </c>
      <c r="G360" s="110">
        <f t="shared" si="126"/>
        <v>0.2427244188749707</v>
      </c>
      <c r="H360" s="409" t="b">
        <f>Wh_hp&gt;='2024'!Maxi_hp</f>
        <v>0</v>
      </c>
      <c r="I360" s="375">
        <f>IF(H360,Wh_hp,'2024'!Maxi_hp)</f>
        <v>23.546248768046997</v>
      </c>
      <c r="J360" s="85">
        <f>IF(H360,An,'2024'!An_max)</f>
        <v>2022</v>
      </c>
      <c r="K360" s="193">
        <f t="shared" si="129"/>
        <v>46003</v>
      </c>
      <c r="L360" s="143">
        <f>IF(t&lt;Tvie,1-EXP((T0-t)*PertePVj)+'2024'!Pspv,1-EXP((T0-t)*PertePVj)+Pspv)</f>
        <v>2.1383394815096657E-2</v>
      </c>
      <c r="M360" s="835"/>
      <c r="N360" s="835"/>
      <c r="O360" s="48">
        <f>IF(t&lt;Tnet,'2024'!Resal+('2024'!Salim-'2024'!Resal)*(1-EXP(('2024'!Tnet-t)/('2024'!Tau_j))),Resal+(Salim-Resal)*(1-EXP((Tnet-t)/(Tau_j))))*Salcycl</f>
        <v>4.3610932101335764E-2</v>
      </c>
      <c r="P360" s="165">
        <f>(INDEX(Models!$BJ360:$BT360,,T360)*(1-R360)+INDEX(Models!$BJ360:$BT360,,T360+1)*R360-ERP_i)*Q360*Ramure*Pc/MaxiM</f>
        <v>2.4209671374224055E-3</v>
      </c>
      <c r="Q360" s="301">
        <f t="shared" si="130"/>
        <v>0.5</v>
      </c>
      <c r="R360" s="173">
        <f t="shared" si="131"/>
        <v>0.98944474901664825</v>
      </c>
      <c r="S360" s="801">
        <f t="shared" si="132"/>
        <v>1</v>
      </c>
      <c r="T360" s="172">
        <f t="shared" si="133"/>
        <v>7</v>
      </c>
      <c r="U360" s="247">
        <f t="shared" si="134"/>
        <v>1.9894447490166483</v>
      </c>
      <c r="V360" s="378">
        <f t="shared" si="135"/>
        <v>90.406756813606179</v>
      </c>
      <c r="W360" s="397">
        <f t="shared" si="136"/>
        <v>21.997181964605574</v>
      </c>
      <c r="X360" s="153">
        <f t="shared" si="137"/>
        <v>46003</v>
      </c>
      <c r="Y360" s="380">
        <f t="shared" si="138"/>
        <v>21.545137792703311</v>
      </c>
      <c r="Z360" s="380">
        <f t="shared" si="139"/>
        <v>22.015912747191219</v>
      </c>
      <c r="AA360" s="381">
        <f t="shared" si="140"/>
        <v>23.502813996973341</v>
      </c>
      <c r="AB360" s="193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6.3264817990458536E-2</v>
      </c>
      <c r="AD360" s="227">
        <f>(INDEX(Models!$BJ360:$BT360,,AH360)*(1-AF360)+INDEX(Models!$BJ360:$BT360,,AH360+1)*AF360-ERP_i)*AE360*Ramure*Pc/MaxiM</f>
        <v>2.4209671374224055E-3</v>
      </c>
      <c r="AE360" s="301">
        <f t="shared" si="142"/>
        <v>0.5</v>
      </c>
      <c r="AF360" s="173">
        <f t="shared" si="143"/>
        <v>0.98944474901664825</v>
      </c>
      <c r="AG360" s="801">
        <f t="shared" si="149"/>
        <v>1</v>
      </c>
      <c r="AH360" s="172">
        <f t="shared" si="144"/>
        <v>7</v>
      </c>
      <c r="AI360" s="221">
        <f t="shared" si="145"/>
        <v>1.9894447490166483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46004</v>
      </c>
      <c r="B361" s="406">
        <f>'2024'!Wh/'2024'!Env_an*'2025'!Env_an</f>
        <v>22.911834381345365</v>
      </c>
      <c r="C361" s="385"/>
      <c r="D361" s="388">
        <f t="shared" si="127"/>
        <v>23.412793026419205</v>
      </c>
      <c r="E361" s="380">
        <f t="shared" ref="E361:E379" si="150">Wh_pvt/(1-Psa)</f>
        <v>24.481233780946404</v>
      </c>
      <c r="F361" s="380">
        <f t="shared" si="128"/>
        <v>24.481233780946404</v>
      </c>
      <c r="G361" s="110">
        <f t="shared" ref="G361:G379" si="151">+Wh_hp/MaxiM</f>
        <v>0.25354070501324055</v>
      </c>
      <c r="H361" s="409" t="b">
        <f>Wh_hp&gt;='2024'!Maxi_hp</f>
        <v>0</v>
      </c>
      <c r="I361" s="375">
        <f>IF(H361,Wh_hp,'2024'!Maxi_hp)</f>
        <v>24.525889099355748</v>
      </c>
      <c r="J361" s="85">
        <f>IF(H361,An,'2024'!An_max)</f>
        <v>2022</v>
      </c>
      <c r="K361" s="193">
        <f t="shared" si="129"/>
        <v>46004</v>
      </c>
      <c r="L361" s="143">
        <f>IF(t&lt;Tvie,1-EXP((T0-t)*PertePVj)+'2024'!Pspv,1-EXP((T0-t)*PertePVj)+Pspv)</f>
        <v>2.1396791254616798E-2</v>
      </c>
      <c r="M361" s="835"/>
      <c r="N361" s="835"/>
      <c r="O361" s="48">
        <f>IF(t&lt;Tnet,'2024'!Resal+('2024'!Salim-'2024'!Resal)*(1-EXP(('2024'!Tnet-t)/('2024'!Tau_j))),Resal+(Salim-Resal)*(1-EXP((Tnet-t)/(Tau_j))))*Salcycl</f>
        <v>4.3643256058391942E-2</v>
      </c>
      <c r="P361" s="165">
        <f>(INDEX(Models!$BJ361:$BT361,,T361)*(1-R361)+INDEX(Models!$BJ361:$BT361,,T361+1)*R361-ERP_i)*Q361*Ramure*Pc/MaxiM</f>
        <v>2.3877336156561337E-3</v>
      </c>
      <c r="Q361" s="301">
        <f t="shared" si="130"/>
        <v>0.5</v>
      </c>
      <c r="R361" s="173">
        <f t="shared" si="131"/>
        <v>0.98945480374702433</v>
      </c>
      <c r="S361" s="801">
        <f t="shared" si="132"/>
        <v>1</v>
      </c>
      <c r="T361" s="172">
        <f t="shared" si="133"/>
        <v>7</v>
      </c>
      <c r="U361" s="247">
        <f t="shared" si="134"/>
        <v>1.9894548037470243</v>
      </c>
      <c r="V361" s="378">
        <f t="shared" si="135"/>
        <v>90.151705711329555</v>
      </c>
      <c r="W361" s="397">
        <f t="shared" si="136"/>
        <v>22.911834381345365</v>
      </c>
      <c r="X361" s="153">
        <f t="shared" si="137"/>
        <v>46004</v>
      </c>
      <c r="Y361" s="380">
        <f t="shared" si="138"/>
        <v>22.441577319963528</v>
      </c>
      <c r="Z361" s="380">
        <f t="shared" si="139"/>
        <v>22.932253971182785</v>
      </c>
      <c r="AA361" s="381">
        <f t="shared" si="140"/>
        <v>24.481233780946404</v>
      </c>
      <c r="AB361" s="193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6.3272130139502267E-2</v>
      </c>
      <c r="AD361" s="227">
        <f>(INDEX(Models!$BJ361:$BT361,,AH361)*(1-AF361)+INDEX(Models!$BJ361:$BT361,,AH361+1)*AF361-ERP_i)*AE361*Ramure*Pc/MaxiM</f>
        <v>2.3877336156561337E-3</v>
      </c>
      <c r="AE361" s="301">
        <f t="shared" si="142"/>
        <v>0.5</v>
      </c>
      <c r="AF361" s="173">
        <f t="shared" si="143"/>
        <v>0.98945480374702433</v>
      </c>
      <c r="AG361" s="801">
        <f t="shared" si="149"/>
        <v>1</v>
      </c>
      <c r="AH361" s="172">
        <f t="shared" si="144"/>
        <v>7</v>
      </c>
      <c r="AI361" s="221">
        <f t="shared" si="145"/>
        <v>1.9894548037470243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46005</v>
      </c>
      <c r="B362" s="406">
        <f>'2024'!Wh/'2024'!Env_an*'2025'!Env_an</f>
        <v>67.242762000337464</v>
      </c>
      <c r="C362" s="385"/>
      <c r="D362" s="388">
        <f t="shared" si="127"/>
        <v>68.713940347786121</v>
      </c>
      <c r="E362" s="380">
        <f t="shared" si="150"/>
        <v>71.852159710192879</v>
      </c>
      <c r="F362" s="380">
        <f t="shared" si="128"/>
        <v>71.960686558847016</v>
      </c>
      <c r="G362" s="110">
        <f t="shared" si="151"/>
        <v>0.74703599753166861</v>
      </c>
      <c r="H362" s="409" t="b">
        <f>Wh_hp&gt;='2024'!Maxi_hp</f>
        <v>0</v>
      </c>
      <c r="I362" s="375">
        <f>IF(H362,Wh_hp,'2024'!Maxi_hp)</f>
        <v>72.007464364847081</v>
      </c>
      <c r="J362" s="85">
        <f>IF(H362,An,'2024'!An_max)</f>
        <v>2022</v>
      </c>
      <c r="K362" s="193">
        <f t="shared" si="129"/>
        <v>46005</v>
      </c>
      <c r="L362" s="143">
        <f>IF(t&lt;Tvie,1-EXP((T0-t)*PertePVj)+'2024'!Pspv,1-EXP((T0-t)*PertePVj)+Pspv)</f>
        <v>2.1410187510750966E-2</v>
      </c>
      <c r="M362" s="835"/>
      <c r="N362" s="835"/>
      <c r="O362" s="48">
        <f>IF(t&lt;Tnet,'2024'!Resal+('2024'!Salim-'2024'!Resal)*(1-EXP(('2024'!Tnet-t)/('2024'!Tau_j))),Resal+(Salim-Resal)*(1-EXP((Tnet-t)/(Tau_j))))*Salcycl</f>
        <v>4.3676061722631505E-2</v>
      </c>
      <c r="P362" s="165">
        <f>(INDEX(Models!$BJ362:$BT362,,T362)*(1-R362)+INDEX(Models!$BJ362:$BT362,,T362+1)*R362-ERP_i)*Q362*Ramure*Pc/MaxiM</f>
        <v>2.3581938313683107E-3</v>
      </c>
      <c r="Q362" s="301">
        <f t="shared" si="130"/>
        <v>0.5</v>
      </c>
      <c r="R362" s="173">
        <f t="shared" si="131"/>
        <v>0.9894644540245936</v>
      </c>
      <c r="S362" s="801">
        <f t="shared" si="132"/>
        <v>1</v>
      </c>
      <c r="T362" s="172">
        <f t="shared" si="133"/>
        <v>7</v>
      </c>
      <c r="U362" s="247">
        <f t="shared" si="134"/>
        <v>1.9894644540245936</v>
      </c>
      <c r="V362" s="378">
        <f t="shared" si="135"/>
        <v>89.936115494335922</v>
      </c>
      <c r="W362" s="397">
        <f t="shared" si="136"/>
        <v>67.242762000337464</v>
      </c>
      <c r="X362" s="153">
        <f t="shared" si="137"/>
        <v>46005</v>
      </c>
      <c r="Y362" s="380">
        <f t="shared" si="138"/>
        <v>65.864320884539751</v>
      </c>
      <c r="Z362" s="380">
        <f t="shared" si="139"/>
        <v>67.305340852670426</v>
      </c>
      <c r="AA362" s="381">
        <f t="shared" si="140"/>
        <v>71.852159710192879</v>
      </c>
      <c r="AB362" s="193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6.3280197503617089E-2</v>
      </c>
      <c r="AD362" s="227">
        <f>(INDEX(Models!$BJ362:$BT362,,AH362)*(1-AF362)+INDEX(Models!$BJ362:$BT362,,AH362+1)*AF362-ERP_i)*AE362*Ramure*Pc/MaxiM</f>
        <v>2.3581938313683107E-3</v>
      </c>
      <c r="AE362" s="301">
        <f t="shared" si="142"/>
        <v>0.5</v>
      </c>
      <c r="AF362" s="173">
        <f t="shared" si="143"/>
        <v>0.9894644540245936</v>
      </c>
      <c r="AG362" s="801">
        <f t="shared" si="149"/>
        <v>1</v>
      </c>
      <c r="AH362" s="172">
        <f t="shared" si="144"/>
        <v>7</v>
      </c>
      <c r="AI362" s="221">
        <f t="shared" si="145"/>
        <v>1.9894644540245936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46006</v>
      </c>
      <c r="B363" s="406">
        <f>'2024'!Wh/'2024'!Env_an*'2025'!Env_an</f>
        <v>33.46934031522575</v>
      </c>
      <c r="C363" s="385"/>
      <c r="D363" s="388">
        <f t="shared" si="127"/>
        <v>34.202071247321626</v>
      </c>
      <c r="E363" s="380">
        <f t="shared" si="150"/>
        <v>35.765350519227425</v>
      </c>
      <c r="F363" s="380">
        <f t="shared" si="128"/>
        <v>35.774036989258526</v>
      </c>
      <c r="G363" s="110">
        <f t="shared" si="151"/>
        <v>0.37209583761461479</v>
      </c>
      <c r="H363" s="409" t="b">
        <f>Wh_hp&gt;='2024'!Maxi_hp</f>
        <v>0</v>
      </c>
      <c r="I363" s="375">
        <f>IF(H363,Wh_hp,'2024'!Maxi_hp)</f>
        <v>91.83152399747874</v>
      </c>
      <c r="J363" s="85">
        <f>IF(H363,An,'2024'!An_max)</f>
        <v>2021</v>
      </c>
      <c r="K363" s="193">
        <f t="shared" si="129"/>
        <v>46006</v>
      </c>
      <c r="L363" s="143">
        <f>IF(t&lt;Tvie,1-EXP((T0-t)*PertePVj)+'2024'!Pspv,1-EXP((T0-t)*PertePVj)+Pspv)</f>
        <v>2.1423583583501715E-2</v>
      </c>
      <c r="M363" s="835"/>
      <c r="N363" s="835"/>
      <c r="O363" s="48">
        <f>IF(t&lt;Tnet,'2024'!Resal+('2024'!Salim-'2024'!Resal)*(1-EXP(('2024'!Tnet-t)/('2024'!Tau_j))),Resal+(Salim-Resal)*(1-EXP((Tnet-t)/(Tau_j))))*Salcycl</f>
        <v>4.3709323387320989E-2</v>
      </c>
      <c r="P363" s="165">
        <f>(INDEX(Models!$BJ363:$BT363,,T363)*(1-R363)+INDEX(Models!$BJ363:$BT363,,T363+1)*R363-ERP_i)*Q363*Ramure*Pc/MaxiM</f>
        <v>2.3323508210106461E-3</v>
      </c>
      <c r="Q363" s="301">
        <f t="shared" si="130"/>
        <v>0.5</v>
      </c>
      <c r="R363" s="173">
        <f t="shared" si="131"/>
        <v>0.98947371610385004</v>
      </c>
      <c r="S363" s="801">
        <f t="shared" si="132"/>
        <v>1</v>
      </c>
      <c r="T363" s="172">
        <f t="shared" si="133"/>
        <v>7</v>
      </c>
      <c r="U363" s="247">
        <f t="shared" si="134"/>
        <v>1.98947371610385</v>
      </c>
      <c r="V363" s="378">
        <f t="shared" si="135"/>
        <v>89.760176184128511</v>
      </c>
      <c r="W363" s="397">
        <f t="shared" si="136"/>
        <v>33.46934031522575</v>
      </c>
      <c r="X363" s="153">
        <f t="shared" si="137"/>
        <v>46006</v>
      </c>
      <c r="Y363" s="380">
        <f t="shared" si="138"/>
        <v>32.784069350052029</v>
      </c>
      <c r="Z363" s="380">
        <f t="shared" si="139"/>
        <v>33.5017979179447</v>
      </c>
      <c r="AA363" s="381">
        <f t="shared" si="140"/>
        <v>35.765350519227425</v>
      </c>
      <c r="AB363" s="193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6.3288981330291802E-2</v>
      </c>
      <c r="AD363" s="227">
        <f>(INDEX(Models!$BJ363:$BT363,,AH363)*(1-AF363)+INDEX(Models!$BJ363:$BT363,,AH363+1)*AF363-ERP_i)*AE363*Ramure*Pc/MaxiM</f>
        <v>2.3323508210106461E-3</v>
      </c>
      <c r="AE363" s="301">
        <f t="shared" si="142"/>
        <v>0.5</v>
      </c>
      <c r="AF363" s="173">
        <f t="shared" si="143"/>
        <v>0.98947371610385004</v>
      </c>
      <c r="AG363" s="801">
        <f t="shared" si="149"/>
        <v>1</v>
      </c>
      <c r="AH363" s="172">
        <f t="shared" si="144"/>
        <v>7</v>
      </c>
      <c r="AI363" s="221">
        <f t="shared" si="145"/>
        <v>1.98947371610385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46007</v>
      </c>
      <c r="B364" s="406">
        <f>'2024'!Wh/'2024'!Env_an*'2025'!Env_an</f>
        <v>20.399291981098809</v>
      </c>
      <c r="C364" s="385"/>
      <c r="D364" s="388">
        <f t="shared" si="127"/>
        <v>20.846170919181265</v>
      </c>
      <c r="E364" s="380">
        <f t="shared" si="150"/>
        <v>21.79975806197972</v>
      </c>
      <c r="F364" s="380">
        <f t="shared" si="128"/>
        <v>21.79975806197972</v>
      </c>
      <c r="G364" s="110">
        <f t="shared" si="151"/>
        <v>0.22708368229671871</v>
      </c>
      <c r="H364" s="409" t="b">
        <f>Wh_hp&gt;='2024'!Maxi_hp</f>
        <v>0</v>
      </c>
      <c r="I364" s="375">
        <f>IF(H364,Wh_hp,'2024'!Maxi_hp)</f>
        <v>96.573538746410236</v>
      </c>
      <c r="J364" s="85">
        <f>IF(H364,An,'2024'!An_max)</f>
        <v>2021</v>
      </c>
      <c r="K364" s="193">
        <f t="shared" si="129"/>
        <v>46007</v>
      </c>
      <c r="L364" s="143">
        <f>IF(t&lt;Tvie,1-EXP((T0-t)*PertePVj)+'2024'!Pspv,1-EXP((T0-t)*PertePVj)+Pspv)</f>
        <v>2.1436979472871376E-2</v>
      </c>
      <c r="M364" s="835"/>
      <c r="N364" s="835"/>
      <c r="O364" s="48">
        <f>IF(t&lt;Tnet,'2024'!Resal+('2024'!Salim-'2024'!Resal)*(1-EXP(('2024'!Tnet-t)/('2024'!Tau_j))),Resal+(Salim-Resal)*(1-EXP((Tnet-t)/(Tau_j))))*Salcycl</f>
        <v>4.3743014949398813E-2</v>
      </c>
      <c r="P364" s="165">
        <f>(INDEX(Models!$BJ364:$BT364,,T364)*(1-R364)+INDEX(Models!$BJ364:$BT364,,T364+1)*R364-ERP_i)*Q364*Ramure*Pc/MaxiM</f>
        <v>2.3102027966721696E-3</v>
      </c>
      <c r="Q364" s="301">
        <f t="shared" si="130"/>
        <v>0.5</v>
      </c>
      <c r="R364" s="173">
        <f t="shared" si="131"/>
        <v>0.98948260558719525</v>
      </c>
      <c r="S364" s="801">
        <f t="shared" si="132"/>
        <v>1</v>
      </c>
      <c r="T364" s="172">
        <f t="shared" si="133"/>
        <v>7</v>
      </c>
      <c r="U364" s="247">
        <f t="shared" si="134"/>
        <v>1.9894826055871953</v>
      </c>
      <c r="V364" s="378">
        <f t="shared" si="135"/>
        <v>89.624077229471737</v>
      </c>
      <c r="W364" s="397">
        <f t="shared" si="136"/>
        <v>20.399291981098809</v>
      </c>
      <c r="X364" s="153">
        <f t="shared" si="137"/>
        <v>46007</v>
      </c>
      <c r="Y364" s="380">
        <f t="shared" si="138"/>
        <v>19.98212705523629</v>
      </c>
      <c r="Z364" s="380">
        <f t="shared" si="139"/>
        <v>20.419867332072691</v>
      </c>
      <c r="AA364" s="381">
        <f t="shared" si="140"/>
        <v>21.79975806197972</v>
      </c>
      <c r="AB364" s="193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6.3298442394810459E-2</v>
      </c>
      <c r="AD364" s="227">
        <f>(INDEX(Models!$BJ364:$BT364,,AH364)*(1-AF364)+INDEX(Models!$BJ364:$BT364,,AH364+1)*AF364-ERP_i)*AE364*Ramure*Pc/MaxiM</f>
        <v>2.3102027966721696E-3</v>
      </c>
      <c r="AE364" s="301">
        <f t="shared" si="142"/>
        <v>0.5</v>
      </c>
      <c r="AF364" s="173">
        <f t="shared" si="143"/>
        <v>0.98948260558719525</v>
      </c>
      <c r="AG364" s="801">
        <f t="shared" si="149"/>
        <v>1</v>
      </c>
      <c r="AH364" s="172">
        <f t="shared" si="144"/>
        <v>7</v>
      </c>
      <c r="AI364" s="221">
        <f t="shared" si="145"/>
        <v>1.9894826055871953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46008</v>
      </c>
      <c r="B365" s="406">
        <f>'2024'!Wh/'2024'!Env_an*'2025'!Env_an</f>
        <v>12.656768396625411</v>
      </c>
      <c r="C365" s="385"/>
      <c r="D365" s="388">
        <f t="shared" si="127"/>
        <v>12.934212098787384</v>
      </c>
      <c r="E365" s="380">
        <f t="shared" si="150"/>
        <v>13.526356914453068</v>
      </c>
      <c r="F365" s="380">
        <f t="shared" si="128"/>
        <v>13.526356914453068</v>
      </c>
      <c r="G365" s="110">
        <f t="shared" si="151"/>
        <v>0.14104817794496133</v>
      </c>
      <c r="H365" s="409" t="b">
        <f>Wh_hp&gt;='2024'!Maxi_hp</f>
        <v>0</v>
      </c>
      <c r="I365" s="375">
        <f>IF(H365,Wh_hp,'2024'!Maxi_hp)</f>
        <v>97.364376896272645</v>
      </c>
      <c r="J365" s="85">
        <f>IF(H365,An,'2024'!An_max)</f>
        <v>2021</v>
      </c>
      <c r="K365" s="193">
        <f t="shared" si="129"/>
        <v>46008</v>
      </c>
      <c r="L365" s="143">
        <f>IF(t&lt;Tvie,1-EXP((T0-t)*PertePVj)+'2024'!Pspv,1-EXP((T0-t)*PertePVj)+Pspv)</f>
        <v>2.1450375178862613E-2</v>
      </c>
      <c r="M365" s="835"/>
      <c r="N365" s="835"/>
      <c r="O365" s="48">
        <f>IF(t&lt;Tnet,'2024'!Resal+('2024'!Salim-'2024'!Resal)*(1-EXP(('2024'!Tnet-t)/('2024'!Tau_j))),Resal+(Salim-Resal)*(1-EXP((Tnet-t)/(Tau_j))))*Salcycl</f>
        <v>4.3777110082979583E-2</v>
      </c>
      <c r="P365" s="165">
        <f>(INDEX(Models!$BJ365:$BT365,,T365)*(1-R365)+INDEX(Models!$BJ365:$BT365,,T365+1)*R365-ERP_i)*Q365*Ramure*Pc/MaxiM</f>
        <v>2.2917428799362908E-3</v>
      </c>
      <c r="Q365" s="301">
        <f t="shared" si="130"/>
        <v>0.5</v>
      </c>
      <c r="R365" s="173">
        <f t="shared" si="131"/>
        <v>0.98949113745100759</v>
      </c>
      <c r="S365" s="801">
        <f t="shared" si="132"/>
        <v>1</v>
      </c>
      <c r="T365" s="172">
        <f t="shared" si="133"/>
        <v>7</v>
      </c>
      <c r="U365" s="247">
        <f t="shared" si="134"/>
        <v>1.9894911374510076</v>
      </c>
      <c r="V365" s="378">
        <f t="shared" si="135"/>
        <v>89.528007534396835</v>
      </c>
      <c r="W365" s="397">
        <f t="shared" si="136"/>
        <v>12.656768396625411</v>
      </c>
      <c r="X365" s="153">
        <f t="shared" si="137"/>
        <v>46008</v>
      </c>
      <c r="Y365" s="380">
        <f t="shared" si="138"/>
        <v>12.398246243087547</v>
      </c>
      <c r="Z365" s="380">
        <f t="shared" si="139"/>
        <v>12.670022989742334</v>
      </c>
      <c r="AA365" s="381">
        <f t="shared" si="140"/>
        <v>13.526356914453068</v>
      </c>
      <c r="AB365" s="193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6.3308541252207515E-2</v>
      </c>
      <c r="AD365" s="227">
        <f>(INDEX(Models!$BJ365:$BT365,,AH365)*(1-AF365)+INDEX(Models!$BJ365:$BT365,,AH365+1)*AF365-ERP_i)*AE365*Ramure*Pc/MaxiM</f>
        <v>2.2917428799362908E-3</v>
      </c>
      <c r="AE365" s="301">
        <f t="shared" si="142"/>
        <v>0.5</v>
      </c>
      <c r="AF365" s="173">
        <f t="shared" si="143"/>
        <v>0.98949113745100759</v>
      </c>
      <c r="AG365" s="801">
        <f t="shared" si="149"/>
        <v>1</v>
      </c>
      <c r="AH365" s="172">
        <f t="shared" si="144"/>
        <v>7</v>
      </c>
      <c r="AI365" s="221">
        <f t="shared" si="145"/>
        <v>1.9894911374510076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46009</v>
      </c>
      <c r="B366" s="406">
        <f>'2024'!Wh/'2024'!Env_an*'2025'!Env_an</f>
        <v>68.940568338099922</v>
      </c>
      <c r="C366" s="385"/>
      <c r="D366" s="388">
        <f t="shared" si="127"/>
        <v>70.452750009594396</v>
      </c>
      <c r="E366" s="380">
        <f t="shared" si="150"/>
        <v>73.680823479402719</v>
      </c>
      <c r="F366" s="380">
        <f t="shared" si="128"/>
        <v>73.793837271309528</v>
      </c>
      <c r="G366" s="110">
        <f t="shared" si="151"/>
        <v>0.76995010838919353</v>
      </c>
      <c r="H366" s="409" t="b">
        <f>Wh_hp&gt;='2024'!Maxi_hp</f>
        <v>0</v>
      </c>
      <c r="I366" s="375">
        <f>IF(H366,Wh_hp,'2024'!Maxi_hp)</f>
        <v>98.158403846650032</v>
      </c>
      <c r="J366" s="85">
        <f>IF(H366,An,'2024'!An_max)</f>
        <v>2021</v>
      </c>
      <c r="K366" s="193">
        <f t="shared" si="129"/>
        <v>46009</v>
      </c>
      <c r="L366" s="143">
        <f>IF(t&lt;Tvie,1-EXP((T0-t)*PertePVj)+'2024'!Pspv,1-EXP((T0-t)*PertePVj)+Pspv)</f>
        <v>2.1463770701477869E-2</v>
      </c>
      <c r="M366" s="835"/>
      <c r="N366" s="835"/>
      <c r="O366" s="48">
        <f>IF(t&lt;Tnet,'2024'!Resal+('2024'!Salim-'2024'!Resal)*(1-EXP(('2024'!Tnet-t)/('2024'!Tau_j))),Resal+(Salim-Resal)*(1-EXP((Tnet-t)/(Tau_j))))*Salcycl</f>
        <v>4.381158240869442E-2</v>
      </c>
      <c r="P366" s="165">
        <f>(INDEX(Models!$BJ366:$BT366,,T366)*(1-R366)+INDEX(Models!$BJ366:$BT366,,T366+1)*R366-ERP_i)*Q366*Ramure*Pc/MaxiM</f>
        <v>2.2783755451392241E-3</v>
      </c>
      <c r="Q366" s="301">
        <f t="shared" si="130"/>
        <v>0.5</v>
      </c>
      <c r="R366" s="173">
        <f t="shared" si="131"/>
        <v>0.98949932607067703</v>
      </c>
      <c r="S366" s="801">
        <f t="shared" si="132"/>
        <v>1</v>
      </c>
      <c r="T366" s="172">
        <f t="shared" si="133"/>
        <v>7</v>
      </c>
      <c r="U366" s="247">
        <f t="shared" si="134"/>
        <v>1.989499326070677</v>
      </c>
      <c r="V366" s="378">
        <f t="shared" si="135"/>
        <v>89.472028396039732</v>
      </c>
      <c r="W366" s="397">
        <f t="shared" si="136"/>
        <v>68.940568338099922</v>
      </c>
      <c r="X366" s="153">
        <f t="shared" si="137"/>
        <v>46009</v>
      </c>
      <c r="Y366" s="380">
        <f t="shared" si="138"/>
        <v>67.534078914138945</v>
      </c>
      <c r="Z366" s="380">
        <f t="shared" si="139"/>
        <v>69.015409845940738</v>
      </c>
      <c r="AA366" s="381">
        <f t="shared" si="140"/>
        <v>73.680823479402719</v>
      </c>
      <c r="AB366" s="193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6.33192384822652E-2</v>
      </c>
      <c r="AD366" s="227">
        <f>(INDEX(Models!$BJ366:$BT366,,AH366)*(1-AF366)+INDEX(Models!$BJ366:$BT366,,AH366+1)*AF366-ERP_i)*AE366*Ramure*Pc/MaxiM</f>
        <v>2.2783755451392241E-3</v>
      </c>
      <c r="AE366" s="301">
        <f t="shared" si="142"/>
        <v>0.5</v>
      </c>
      <c r="AF366" s="173">
        <f t="shared" si="143"/>
        <v>0.98949932607067703</v>
      </c>
      <c r="AG366" s="801">
        <f t="shared" si="149"/>
        <v>1</v>
      </c>
      <c r="AH366" s="172">
        <f t="shared" si="144"/>
        <v>7</v>
      </c>
      <c r="AI366" s="221">
        <f t="shared" si="145"/>
        <v>1.989499326070677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46010</v>
      </c>
      <c r="B367" s="406">
        <f>'2024'!Wh/'2024'!Env_an*'2025'!Env_an</f>
        <v>66.266391671858315</v>
      </c>
      <c r="C367" s="385"/>
      <c r="D367" s="388">
        <f t="shared" si="127"/>
        <v>67.720843471513604</v>
      </c>
      <c r="E367" s="380">
        <f t="shared" si="150"/>
        <v>70.826323168393486</v>
      </c>
      <c r="F367" s="380">
        <f t="shared" si="128"/>
        <v>70.927575090692514</v>
      </c>
      <c r="G367" s="110">
        <f t="shared" si="151"/>
        <v>0.74014305363902166</v>
      </c>
      <c r="H367" s="409" t="b">
        <f>Wh_hp&gt;='2024'!Maxi_hp</f>
        <v>0</v>
      </c>
      <c r="I367" s="375">
        <f>IF(H367,Wh_hp,'2024'!Maxi_hp)</f>
        <v>96.560601713863988</v>
      </c>
      <c r="J367" s="85">
        <f>IF(H367,An,'2024'!An_max)</f>
        <v>2021</v>
      </c>
      <c r="K367" s="193">
        <f t="shared" si="129"/>
        <v>46010</v>
      </c>
      <c r="L367" s="143">
        <f>IF(t&lt;Tvie,1-EXP((T0-t)*PertePVj)+'2024'!Pspv,1-EXP((T0-t)*PertePVj)+Pspv)</f>
        <v>2.1477166040719697E-2</v>
      </c>
      <c r="M367" s="835"/>
      <c r="N367" s="835"/>
      <c r="O367" s="48">
        <f>IF(t&lt;Tnet,'2024'!Resal+('2024'!Salim-'2024'!Resal)*(1-EXP(('2024'!Tnet-t)/('2024'!Tau_j))),Resal+(Salim-Resal)*(1-EXP((Tnet-t)/(Tau_j))))*Salcycl</f>
        <v>4.3846405657631406E-2</v>
      </c>
      <c r="P367" s="165">
        <f>(INDEX(Models!$BJ367:$BT367,,T367)*(1-R367)+INDEX(Models!$BJ367:$BT367,,T367+1)*R367-ERP_i)*Q367*Ramure*Pc/MaxiM</f>
        <v>2.2671394149729471E-3</v>
      </c>
      <c r="Q367" s="301">
        <f t="shared" si="130"/>
        <v>0.5</v>
      </c>
      <c r="R367" s="173">
        <f t="shared" si="131"/>
        <v>0.98950718524464332</v>
      </c>
      <c r="S367" s="801">
        <f t="shared" si="132"/>
        <v>1</v>
      </c>
      <c r="T367" s="172">
        <f t="shared" si="133"/>
        <v>7</v>
      </c>
      <c r="U367" s="247">
        <f t="shared" si="134"/>
        <v>1.9895071852446433</v>
      </c>
      <c r="V367" s="378">
        <f t="shared" si="135"/>
        <v>89.456591612030621</v>
      </c>
      <c r="W367" s="397">
        <f t="shared" si="136"/>
        <v>66.266391671858315</v>
      </c>
      <c r="X367" s="153">
        <f t="shared" si="137"/>
        <v>46010</v>
      </c>
      <c r="Y367" s="380">
        <f t="shared" si="138"/>
        <v>64.916043465823307</v>
      </c>
      <c r="Z367" s="380">
        <f t="shared" si="139"/>
        <v>66.340857068364215</v>
      </c>
      <c r="AA367" s="381">
        <f t="shared" si="140"/>
        <v>70.826323168393486</v>
      </c>
      <c r="AB367" s="193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6.3330494925803504E-2</v>
      </c>
      <c r="AD367" s="227">
        <f>(INDEX(Models!$BJ367:$BT367,,AH367)*(1-AF367)+INDEX(Models!$BJ367:$BT367,,AH367+1)*AF367-ERP_i)*AE367*Ramure*Pc/MaxiM</f>
        <v>2.2671394149729471E-3</v>
      </c>
      <c r="AE367" s="301">
        <f t="shared" si="142"/>
        <v>0.5</v>
      </c>
      <c r="AF367" s="173">
        <f t="shared" si="143"/>
        <v>0.98950718524464332</v>
      </c>
      <c r="AG367" s="801">
        <f t="shared" si="149"/>
        <v>1</v>
      </c>
      <c r="AH367" s="172">
        <f t="shared" si="144"/>
        <v>7</v>
      </c>
      <c r="AI367" s="221">
        <f t="shared" si="145"/>
        <v>1.9895071852446433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46011</v>
      </c>
      <c r="B368" s="406">
        <f>'2024'!Wh/'2024'!Env_an*'2025'!Env_an</f>
        <v>17.324529002345226</v>
      </c>
      <c r="C368" s="385"/>
      <c r="D368" s="388">
        <f t="shared" si="127"/>
        <v>17.705019814148024</v>
      </c>
      <c r="E368" s="380">
        <f t="shared" si="150"/>
        <v>18.517600915500022</v>
      </c>
      <c r="F368" s="380">
        <f t="shared" si="128"/>
        <v>18.517600915500022</v>
      </c>
      <c r="G368" s="110">
        <f t="shared" si="151"/>
        <v>0.19317217268638484</v>
      </c>
      <c r="H368" s="409" t="b">
        <f>Wh_hp&gt;='2024'!Maxi_hp</f>
        <v>0</v>
      </c>
      <c r="I368" s="375">
        <f>IF(H368,Wh_hp,'2024'!Maxi_hp)</f>
        <v>98.669245392496961</v>
      </c>
      <c r="J368" s="85">
        <f>IF(H368,An,'2024'!An_max)</f>
        <v>2021</v>
      </c>
      <c r="K368" s="193">
        <f t="shared" si="129"/>
        <v>46011</v>
      </c>
      <c r="L368" s="143">
        <f>IF(t&lt;Tvie,1-EXP((T0-t)*PertePVj)+'2024'!Pspv,1-EXP((T0-t)*PertePVj)+Pspv)</f>
        <v>2.1490561196590541E-2</v>
      </c>
      <c r="M368" s="835"/>
      <c r="N368" s="835"/>
      <c r="O368" s="48">
        <f>IF(t&lt;Tnet,'2024'!Resal+('2024'!Salim-'2024'!Resal)*(1-EXP(('2024'!Tnet-t)/('2024'!Tau_j))),Resal+(Salim-Resal)*(1-EXP((Tnet-t)/(Tau_j))))*Salcycl</f>
        <v>4.3881553828705393E-2</v>
      </c>
      <c r="P368" s="165">
        <f>(INDEX(Models!$BJ368:$BT368,,T368)*(1-R368)+INDEX(Models!$BJ368:$BT368,,T368+1)*R368-ERP_i)*Q368*Ramure*Pc/MaxiM</f>
        <v>2.2580165822987191E-3</v>
      </c>
      <c r="Q368" s="301">
        <f t="shared" si="130"/>
        <v>0.5</v>
      </c>
      <c r="R368" s="173">
        <f t="shared" si="131"/>
        <v>0.98951472821748165</v>
      </c>
      <c r="S368" s="801">
        <f t="shared" si="132"/>
        <v>1</v>
      </c>
      <c r="T368" s="172">
        <f t="shared" si="133"/>
        <v>7</v>
      </c>
      <c r="U368" s="247">
        <f t="shared" si="134"/>
        <v>1.9895147282174817</v>
      </c>
      <c r="V368" s="378">
        <f t="shared" si="135"/>
        <v>89.481883897637218</v>
      </c>
      <c r="W368" s="397">
        <f t="shared" si="136"/>
        <v>17.324529002345226</v>
      </c>
      <c r="X368" s="153">
        <f t="shared" si="137"/>
        <v>46011</v>
      </c>
      <c r="Y368" s="380">
        <f t="shared" si="138"/>
        <v>16.971907654889169</v>
      </c>
      <c r="Z368" s="380">
        <f t="shared" si="139"/>
        <v>17.344654003178157</v>
      </c>
      <c r="AA368" s="381">
        <f t="shared" si="140"/>
        <v>18.517600915500022</v>
      </c>
      <c r="AB368" s="193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6.3342271910615561E-2</v>
      </c>
      <c r="AD368" s="227">
        <f>(INDEX(Models!$BJ368:$BT368,,AH368)*(1-AF368)+INDEX(Models!$BJ368:$BT368,,AH368+1)*AF368-ERP_i)*AE368*Ramure*Pc/MaxiM</f>
        <v>2.2580165822987191E-3</v>
      </c>
      <c r="AE368" s="301">
        <f t="shared" si="142"/>
        <v>0.5</v>
      </c>
      <c r="AF368" s="173">
        <f t="shared" si="143"/>
        <v>0.98951472821748165</v>
      </c>
      <c r="AG368" s="801">
        <f t="shared" si="149"/>
        <v>1</v>
      </c>
      <c r="AH368" s="172">
        <f t="shared" si="144"/>
        <v>7</v>
      </c>
      <c r="AI368" s="221">
        <f t="shared" si="145"/>
        <v>1.9895147282174817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46012</v>
      </c>
      <c r="B369" s="406">
        <f>'2024'!Wh/'2024'!Env_an*'2025'!Env_an</f>
        <v>81.861725512797889</v>
      </c>
      <c r="C369" s="385"/>
      <c r="D369" s="388">
        <f t="shared" si="127"/>
        <v>83.660762891080566</v>
      </c>
      <c r="E369" s="380">
        <f t="shared" si="150"/>
        <v>87.503661301573331</v>
      </c>
      <c r="F369" s="380">
        <f t="shared" si="128"/>
        <v>87.676820116771282</v>
      </c>
      <c r="G369" s="110">
        <f t="shared" si="151"/>
        <v>0.91391211125290506</v>
      </c>
      <c r="H369" s="409" t="b">
        <f>Wh_hp&gt;='2024'!Maxi_hp</f>
        <v>0</v>
      </c>
      <c r="I369" s="375">
        <f>IF(H369,Wh_hp,'2024'!Maxi_hp)</f>
        <v>87.695365898496206</v>
      </c>
      <c r="J369" s="85">
        <f>IF(H369,An,'2024'!An_max)</f>
        <v>2022</v>
      </c>
      <c r="K369" s="193">
        <f t="shared" si="129"/>
        <v>46012</v>
      </c>
      <c r="L369" s="143">
        <f>IF(t&lt;Tvie,1-EXP((T0-t)*PertePVj)+'2024'!Pspv,1-EXP((T0-t)*PertePVj)+Pspv)</f>
        <v>2.1503956169092953E-2</v>
      </c>
      <c r="M369" s="835"/>
      <c r="N369" s="835"/>
      <c r="O369" s="48">
        <f>IF(t&lt;Tnet,'2024'!Resal+('2024'!Salim-'2024'!Resal)*(1-EXP(('2024'!Tnet-t)/('2024'!Tau_j))),Resal+(Salim-Resal)*(1-EXP((Tnet-t)/(Tau_j))))*Salcycl</f>
        <v>4.3917001338361933E-2</v>
      </c>
      <c r="P369" s="165">
        <f>(INDEX(Models!$BJ369:$BT369,,T369)*(1-R369)+INDEX(Models!$BJ369:$BT369,,T369+1)*R369-ERP_i)*Q369*Ramure*Pc/MaxiM</f>
        <v>2.2509862181087853E-3</v>
      </c>
      <c r="Q369" s="301">
        <f t="shared" si="130"/>
        <v>0.5</v>
      </c>
      <c r="R369" s="173">
        <f t="shared" si="131"/>
        <v>0.98952196770206857</v>
      </c>
      <c r="S369" s="801">
        <f t="shared" si="132"/>
        <v>1</v>
      </c>
      <c r="T369" s="172">
        <f t="shared" si="133"/>
        <v>7</v>
      </c>
      <c r="U369" s="247">
        <f t="shared" si="134"/>
        <v>1.9895219677020686</v>
      </c>
      <c r="V369" s="378">
        <f t="shared" si="135"/>
        <v>89.548091519615696</v>
      </c>
      <c r="W369" s="397">
        <f t="shared" si="136"/>
        <v>81.861725512797889</v>
      </c>
      <c r="X369" s="153">
        <f t="shared" si="137"/>
        <v>46012</v>
      </c>
      <c r="Y369" s="380">
        <f t="shared" si="138"/>
        <v>80.197445572517168</v>
      </c>
      <c r="Z369" s="380">
        <f t="shared" si="139"/>
        <v>81.959907838294754</v>
      </c>
      <c r="AA369" s="381">
        <f t="shared" si="140"/>
        <v>87.503661301573331</v>
      </c>
      <c r="AB369" s="193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6.3354531465518157E-2</v>
      </c>
      <c r="AD369" s="227">
        <f>(INDEX(Models!$BJ369:$BT369,,AH369)*(1-AF369)+INDEX(Models!$BJ369:$BT369,,AH369+1)*AF369-ERP_i)*AE369*Ramure*Pc/MaxiM</f>
        <v>2.2509862181087853E-3</v>
      </c>
      <c r="AE369" s="301">
        <f t="shared" si="142"/>
        <v>0.5</v>
      </c>
      <c r="AF369" s="173">
        <f t="shared" si="143"/>
        <v>0.98952196770206857</v>
      </c>
      <c r="AG369" s="801">
        <f t="shared" si="149"/>
        <v>1</v>
      </c>
      <c r="AH369" s="172">
        <f t="shared" si="144"/>
        <v>7</v>
      </c>
      <c r="AI369" s="221">
        <f t="shared" si="145"/>
        <v>1.9895219677020686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46013</v>
      </c>
      <c r="B370" s="406">
        <f>'2024'!Wh/'2024'!Env_an*'2025'!Env_an</f>
        <v>68.190185327043409</v>
      </c>
      <c r="C370" s="385"/>
      <c r="D370" s="388">
        <f t="shared" si="127"/>
        <v>69.689723567221307</v>
      </c>
      <c r="E370" s="380">
        <f t="shared" si="150"/>
        <v>72.893595594646698</v>
      </c>
      <c r="F370" s="380">
        <f t="shared" si="128"/>
        <v>73.001478849495911</v>
      </c>
      <c r="G370" s="110">
        <f t="shared" si="151"/>
        <v>0.75999575781820294</v>
      </c>
      <c r="H370" s="409" t="b">
        <f>Wh_hp&gt;='2024'!Maxi_hp</f>
        <v>0</v>
      </c>
      <c r="I370" s="375">
        <f>IF(H370,Wh_hp,'2024'!Maxi_hp)</f>
        <v>94.664901862942699</v>
      </c>
      <c r="J370" s="85">
        <f>IF(H370,An,'2024'!An_max)</f>
        <v>2021</v>
      </c>
      <c r="K370" s="193">
        <f t="shared" si="129"/>
        <v>46013</v>
      </c>
      <c r="L370" s="143">
        <f>IF(t&lt;Tvie,1-EXP((T0-t)*PertePVj)+'2024'!Pspv,1-EXP((T0-t)*PertePVj)+Pspv)</f>
        <v>2.1517350958229486E-2</v>
      </c>
      <c r="M370" s="835"/>
      <c r="N370" s="835"/>
      <c r="O370" s="48">
        <f>IF(t&lt;Tnet,'2024'!Resal+('2024'!Salim-'2024'!Resal)*(1-EXP(('2024'!Tnet-t)/('2024'!Tau_j))),Resal+(Salim-Resal)*(1-EXP((Tnet-t)/(Tau_j))))*Salcycl</f>
        <v>4.3952723161603487E-2</v>
      </c>
      <c r="P370" s="165">
        <f>(INDEX(Models!$BJ370:$BT370,,T370)*(1-R370)+INDEX(Models!$BJ370:$BT370,,T370+1)*R370-ERP_i)*Q370*Ramure*Pc/MaxiM</f>
        <v>2.2460245377280428E-3</v>
      </c>
      <c r="Q370" s="301">
        <f t="shared" si="130"/>
        <v>0.5</v>
      </c>
      <c r="R370" s="173">
        <f t="shared" si="131"/>
        <v>0.98952891590086578</v>
      </c>
      <c r="S370" s="801">
        <f t="shared" si="132"/>
        <v>1</v>
      </c>
      <c r="T370" s="172">
        <f t="shared" si="133"/>
        <v>7</v>
      </c>
      <c r="U370" s="247">
        <f t="shared" si="134"/>
        <v>1.9895289159008658</v>
      </c>
      <c r="V370" s="378">
        <f t="shared" si="135"/>
        <v>89.655400419419493</v>
      </c>
      <c r="W370" s="397">
        <f t="shared" si="136"/>
        <v>68.190185327043409</v>
      </c>
      <c r="X370" s="153">
        <f t="shared" si="137"/>
        <v>46013</v>
      </c>
      <c r="Y370" s="380">
        <f t="shared" si="138"/>
        <v>66.805442860753033</v>
      </c>
      <c r="Z370" s="380">
        <f t="shared" si="139"/>
        <v>68.274529881726266</v>
      </c>
      <c r="AA370" s="381">
        <f t="shared" si="140"/>
        <v>72.893595594646698</v>
      </c>
      <c r="AB370" s="193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6.3367236521114256E-2</v>
      </c>
      <c r="AD370" s="227">
        <f>(INDEX(Models!$BJ370:$BT370,,AH370)*(1-AF370)+INDEX(Models!$BJ370:$BT370,,AH370+1)*AF370-ERP_i)*AE370*Ramure*Pc/MaxiM</f>
        <v>2.2460245377280428E-3</v>
      </c>
      <c r="AE370" s="301">
        <f t="shared" si="142"/>
        <v>0.5</v>
      </c>
      <c r="AF370" s="173">
        <f t="shared" si="143"/>
        <v>0.98952891590086578</v>
      </c>
      <c r="AG370" s="801">
        <f t="shared" si="149"/>
        <v>1</v>
      </c>
      <c r="AH370" s="172">
        <f t="shared" si="144"/>
        <v>7</v>
      </c>
      <c r="AI370" s="221">
        <f t="shared" si="145"/>
        <v>1.9895289159008658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46014</v>
      </c>
      <c r="B371" s="406">
        <f>'2024'!Wh/'2024'!Env_an*'2025'!Env_an</f>
        <v>69.94450942609366</v>
      </c>
      <c r="C371" s="385"/>
      <c r="D371" s="388">
        <f t="shared" si="127"/>
        <v>71.483604731566757</v>
      </c>
      <c r="E371" s="380">
        <f t="shared" si="150"/>
        <v>74.77276090247851</v>
      </c>
      <c r="F371" s="380">
        <f t="shared" si="128"/>
        <v>74.887673278935708</v>
      </c>
      <c r="G371" s="110">
        <f t="shared" si="151"/>
        <v>0.77830464931944487</v>
      </c>
      <c r="H371" s="409" t="b">
        <f>Wh_hp&gt;='2024'!Maxi_hp</f>
        <v>0</v>
      </c>
      <c r="I371" s="375">
        <f>IF(H371,Wh_hp,'2024'!Maxi_hp)</f>
        <v>74.928334057656301</v>
      </c>
      <c r="J371" s="85">
        <f>IF(H371,An,'2024'!An_max)</f>
        <v>2022</v>
      </c>
      <c r="K371" s="193">
        <f t="shared" si="129"/>
        <v>46014</v>
      </c>
      <c r="L371" s="143">
        <f>IF(t&lt;Tvie,1-EXP((T0-t)*PertePVj)+'2024'!Pspv,1-EXP((T0-t)*PertePVj)+Pspv)</f>
        <v>2.1530745564002585E-2</v>
      </c>
      <c r="M371" s="835"/>
      <c r="N371" s="835"/>
      <c r="O371" s="48">
        <f>IF(t&lt;Tnet,'2024'!Resal+('2024'!Salim-'2024'!Resal)*(1-EXP(('2024'!Tnet-t)/('2024'!Tau_j))),Resal+(Salim-Resal)*(1-EXP((Tnet-t)/(Tau_j))))*Salcycl</f>
        <v>4.3988694963418562E-2</v>
      </c>
      <c r="P371" s="165">
        <f>(INDEX(Models!$BJ371:$BT371,,T371)*(1-R371)+INDEX(Models!$BJ371:$BT371,,T371+1)*R371-ERP_i)*Q371*Ramure*Pc/MaxiM</f>
        <v>2.2430981881067847E-3</v>
      </c>
      <c r="Q371" s="301">
        <f t="shared" si="130"/>
        <v>0.5</v>
      </c>
      <c r="R371" s="173">
        <f t="shared" si="131"/>
        <v>0.98952891590086578</v>
      </c>
      <c r="S371" s="801">
        <f t="shared" si="132"/>
        <v>1</v>
      </c>
      <c r="T371" s="172">
        <f t="shared" si="133"/>
        <v>7</v>
      </c>
      <c r="U371" s="247">
        <f t="shared" si="134"/>
        <v>1.9895289159008658</v>
      </c>
      <c r="V371" s="378">
        <f t="shared" si="135"/>
        <v>89.803996655662374</v>
      </c>
      <c r="W371" s="397">
        <f t="shared" si="136"/>
        <v>69.94450942609366</v>
      </c>
      <c r="X371" s="153">
        <f t="shared" si="137"/>
        <v>46014</v>
      </c>
      <c r="Y371" s="380">
        <f t="shared" si="138"/>
        <v>68.52576064351382</v>
      </c>
      <c r="Z371" s="380">
        <f t="shared" si="139"/>
        <v>70.033637064061836</v>
      </c>
      <c r="AA371" s="381">
        <f t="shared" si="140"/>
        <v>74.77276090247851</v>
      </c>
      <c r="AB371" s="193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6.3380351096004331E-2</v>
      </c>
      <c r="AD371" s="227">
        <f>(INDEX(Models!$BJ371:$BT371,,AH371)*(1-AF371)+INDEX(Models!$BJ371:$BT371,,AH371+1)*AF371-ERP_i)*AE371*Ramure*Pc/MaxiM</f>
        <v>2.2430981881067847E-3</v>
      </c>
      <c r="AE371" s="301">
        <f t="shared" si="142"/>
        <v>0.5</v>
      </c>
      <c r="AF371" s="173">
        <f t="shared" si="143"/>
        <v>0.98952891590086578</v>
      </c>
      <c r="AG371" s="801">
        <f t="shared" si="149"/>
        <v>1</v>
      </c>
      <c r="AH371" s="172">
        <f t="shared" si="144"/>
        <v>7</v>
      </c>
      <c r="AI371" s="221">
        <f t="shared" si="145"/>
        <v>1.9895289159008658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46015</v>
      </c>
      <c r="B372" s="406">
        <f>'2024'!Wh/'2024'!Env_an*'2025'!Env_an</f>
        <v>84.910605281854401</v>
      </c>
      <c r="C372" s="385"/>
      <c r="D372" s="388">
        <f t="shared" si="127"/>
        <v>86.780210280181123</v>
      </c>
      <c r="E372" s="380">
        <f t="shared" si="150"/>
        <v>90.776642262645467</v>
      </c>
      <c r="F372" s="380">
        <f t="shared" si="128"/>
        <v>90.964141947928468</v>
      </c>
      <c r="G372" s="110">
        <f t="shared" si="151"/>
        <v>0.94334232402766405</v>
      </c>
      <c r="H372" s="409" t="b">
        <f>Wh_hp&gt;='2024'!Maxi_hp</f>
        <v>0</v>
      </c>
      <c r="I372" s="375">
        <f>IF(H372,Wh_hp,'2024'!Maxi_hp)</f>
        <v>90.976752342658557</v>
      </c>
      <c r="J372" s="85">
        <f>IF(H372,An,'2024'!An_max)</f>
        <v>2022</v>
      </c>
      <c r="K372" s="193">
        <f t="shared" si="129"/>
        <v>46015</v>
      </c>
      <c r="L372" s="143">
        <f>IF(t&lt;Tvie,1-EXP((T0-t)*PertePVj)+'2024'!Pspv,1-EXP((T0-t)*PertePVj)+Pspv)</f>
        <v>2.154413998641469E-2</v>
      </c>
      <c r="M372" s="835"/>
      <c r="N372" s="835"/>
      <c r="O372" s="48">
        <f>IF(t&lt;Tnet,'2024'!Resal+('2024'!Salim-'2024'!Resal)*(1-EXP(('2024'!Tnet-t)/('2024'!Tau_j))),Resal+(Salim-Resal)*(1-EXP((Tnet-t)/(Tau_j))))*Salcycl</f>
        <v>4.4024893219793311E-2</v>
      </c>
      <c r="P372" s="165">
        <f>(INDEX(Models!$BJ372:$BT372,,T372)*(1-R372)+INDEX(Models!$BJ372:$BT372,,T372+1)*R372-ERP_i)*Q372*Ramure*Pc/MaxiM</f>
        <v>2.242181517015605E-3</v>
      </c>
      <c r="Q372" s="301">
        <f t="shared" si="130"/>
        <v>0.5</v>
      </c>
      <c r="R372" s="173">
        <f t="shared" si="131"/>
        <v>0.98952891590086578</v>
      </c>
      <c r="S372" s="801">
        <f t="shared" si="132"/>
        <v>1</v>
      </c>
      <c r="T372" s="172">
        <f t="shared" si="133"/>
        <v>7</v>
      </c>
      <c r="U372" s="247">
        <f t="shared" si="134"/>
        <v>1.9895289159008658</v>
      </c>
      <c r="V372" s="378">
        <f t="shared" si="135"/>
        <v>89.994064975186646</v>
      </c>
      <c r="W372" s="397">
        <f t="shared" si="136"/>
        <v>84.910605281854401</v>
      </c>
      <c r="X372" s="153">
        <f t="shared" si="137"/>
        <v>46015</v>
      </c>
      <c r="Y372" s="380">
        <f t="shared" si="138"/>
        <v>83.190237227502024</v>
      </c>
      <c r="Z372" s="380">
        <f t="shared" si="139"/>
        <v>85.021962284887309</v>
      </c>
      <c r="AA372" s="381">
        <f t="shared" si="140"/>
        <v>90.776642262645467</v>
      </c>
      <c r="AB372" s="193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6.3393840467331444E-2</v>
      </c>
      <c r="AD372" s="227">
        <f>(INDEX(Models!$BJ372:$BT372,,AH372)*(1-AF372)+INDEX(Models!$BJ372:$BT372,,AH372+1)*AF372-ERP_i)*AE372*Ramure*Pc/MaxiM</f>
        <v>2.242181517015605E-3</v>
      </c>
      <c r="AE372" s="301">
        <f t="shared" si="142"/>
        <v>0.5</v>
      </c>
      <c r="AF372" s="173">
        <f t="shared" si="143"/>
        <v>0.98952891590086578</v>
      </c>
      <c r="AG372" s="801">
        <f t="shared" si="149"/>
        <v>1</v>
      </c>
      <c r="AH372" s="172">
        <f t="shared" si="144"/>
        <v>7</v>
      </c>
      <c r="AI372" s="221">
        <f t="shared" si="145"/>
        <v>1.9895289159008658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46016</v>
      </c>
      <c r="B373" s="406">
        <f>'2024'!Wh/'2024'!Env_an*'2025'!Env_an</f>
        <v>47.838579279859992</v>
      </c>
      <c r="C373" s="385"/>
      <c r="D373" s="388">
        <f t="shared" si="127"/>
        <v>48.892582807095508</v>
      </c>
      <c r="E373" s="380">
        <f t="shared" si="150"/>
        <v>51.14614835461704</v>
      </c>
      <c r="F373" s="380">
        <f t="shared" si="128"/>
        <v>51.183903375606121</v>
      </c>
      <c r="G373" s="110">
        <f t="shared" si="151"/>
        <v>0.52938917154803</v>
      </c>
      <c r="H373" s="409" t="b">
        <f>Wh_hp&gt;='2024'!Maxi_hp</f>
        <v>0</v>
      </c>
      <c r="I373" s="375">
        <f>IF(H373,Wh_hp,'2024'!Maxi_hp)</f>
        <v>51.242914990757299</v>
      </c>
      <c r="J373" s="85">
        <f>IF(H373,An,'2024'!An_max)</f>
        <v>2022</v>
      </c>
      <c r="K373" s="193">
        <f t="shared" si="129"/>
        <v>46016</v>
      </c>
      <c r="L373" s="143">
        <f>IF(t&lt;Tvie,1-EXP((T0-t)*PertePVj)+'2024'!Pspv,1-EXP((T0-t)*PertePVj)+Pspv)</f>
        <v>2.1557534225468467E-2</v>
      </c>
      <c r="M373" s="835"/>
      <c r="N373" s="835"/>
      <c r="O373" s="48">
        <f>IF(t&lt;Tnet,'2024'!Resal+('2024'!Salim-'2024'!Resal)*(1-EXP(('2024'!Tnet-t)/('2024'!Tau_j))),Resal+(Salim-Resal)*(1-EXP((Tnet-t)/(Tau_j))))*Salcycl</f>
        <v>4.4061295327590393E-2</v>
      </c>
      <c r="P373" s="165">
        <f>(INDEX(Models!$BJ373:$BT373,,T373)*(1-R373)+INDEX(Models!$BJ373:$BT373,,T373+1)*R373-ERP_i)*Q373*Ramure*Pc/MaxiM</f>
        <v>2.2431418821301152E-3</v>
      </c>
      <c r="Q373" s="301">
        <f t="shared" si="130"/>
        <v>0.5</v>
      </c>
      <c r="R373" s="173">
        <f t="shared" si="131"/>
        <v>0.98952891590086578</v>
      </c>
      <c r="S373" s="801">
        <f t="shared" si="132"/>
        <v>1</v>
      </c>
      <c r="T373" s="172">
        <f t="shared" si="133"/>
        <v>7</v>
      </c>
      <c r="U373" s="247">
        <f t="shared" si="134"/>
        <v>1.9895289159008658</v>
      </c>
      <c r="V373" s="378">
        <f t="shared" si="135"/>
        <v>90.229470785686161</v>
      </c>
      <c r="W373" s="397">
        <f t="shared" si="136"/>
        <v>47.838579279859992</v>
      </c>
      <c r="X373" s="153">
        <f t="shared" si="137"/>
        <v>46016</v>
      </c>
      <c r="Y373" s="380">
        <f t="shared" si="138"/>
        <v>46.870417683941632</v>
      </c>
      <c r="Z373" s="380">
        <f t="shared" si="139"/>
        <v>47.903090190223068</v>
      </c>
      <c r="AA373" s="381">
        <f t="shared" si="140"/>
        <v>51.14614835461704</v>
      </c>
      <c r="AB373" s="193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6.3407671324701362E-2</v>
      </c>
      <c r="AD373" s="227">
        <f>(INDEX(Models!$BJ373:$BT373,,AH373)*(1-AF373)+INDEX(Models!$BJ373:$BT373,,AH373+1)*AF373-ERP_i)*AE373*Ramure*Pc/MaxiM</f>
        <v>2.2431418821301152E-3</v>
      </c>
      <c r="AE373" s="301">
        <f t="shared" si="142"/>
        <v>0.5</v>
      </c>
      <c r="AF373" s="173">
        <f t="shared" si="143"/>
        <v>0.98952891590086578</v>
      </c>
      <c r="AG373" s="801">
        <f t="shared" si="149"/>
        <v>1</v>
      </c>
      <c r="AH373" s="172">
        <f t="shared" si="144"/>
        <v>7</v>
      </c>
      <c r="AI373" s="221">
        <f t="shared" si="145"/>
        <v>1.9895289159008658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46017</v>
      </c>
      <c r="B374" s="406">
        <f>'2024'!Wh/'2024'!Env_an*'2025'!Env_an</f>
        <v>81.738487210131368</v>
      </c>
      <c r="C374" s="385"/>
      <c r="D374" s="388">
        <f t="shared" si="127"/>
        <v>83.540534079326861</v>
      </c>
      <c r="E374" s="380">
        <f t="shared" si="150"/>
        <v>87.394443746336336</v>
      </c>
      <c r="F374" s="380">
        <f t="shared" si="128"/>
        <v>87.563867217887122</v>
      </c>
      <c r="G374" s="110">
        <f t="shared" si="151"/>
        <v>0.90277888422986763</v>
      </c>
      <c r="H374" s="409" t="b">
        <f>Wh_hp&gt;='2024'!Maxi_hp</f>
        <v>0</v>
      </c>
      <c r="I374" s="375">
        <f>IF(H374,Wh_hp,'2024'!Maxi_hp)</f>
        <v>87.584724087627364</v>
      </c>
      <c r="J374" s="85">
        <f>IF(H374,An,'2024'!An_max)</f>
        <v>2022</v>
      </c>
      <c r="K374" s="193">
        <f t="shared" si="129"/>
        <v>46017</v>
      </c>
      <c r="L374" s="143">
        <f>IF(t&lt;Tvie,1-EXP((T0-t)*PertePVj)+'2024'!Pspv,1-EXP((T0-t)*PertePVj)+Pspv)</f>
        <v>2.1570928281166357E-2</v>
      </c>
      <c r="M374" s="835"/>
      <c r="N374" s="835"/>
      <c r="O374" s="48">
        <f>IF(t&lt;Tnet,'2024'!Resal+('2024'!Salim-'2024'!Resal)*(1-EXP(('2024'!Tnet-t)/('2024'!Tau_j))),Resal+(Salim-Resal)*(1-EXP((Tnet-t)/(Tau_j))))*Salcycl</f>
        <v>4.4097879702690253E-2</v>
      </c>
      <c r="P374" s="165">
        <f>(INDEX(Models!$BJ374:$BT374,,T374)*(1-R374)+INDEX(Models!$BJ374:$BT374,,T374+1)*R374-ERP_i)*Q374*Ramure*Pc/MaxiM</f>
        <v>2.2458768765000916E-3</v>
      </c>
      <c r="Q374" s="301">
        <f t="shared" si="130"/>
        <v>0.5</v>
      </c>
      <c r="R374" s="173">
        <f t="shared" si="131"/>
        <v>0.98952891590086578</v>
      </c>
      <c r="S374" s="801">
        <f t="shared" si="132"/>
        <v>1</v>
      </c>
      <c r="T374" s="172">
        <f t="shared" si="133"/>
        <v>7</v>
      </c>
      <c r="U374" s="247">
        <f t="shared" si="134"/>
        <v>1.9895289159008658</v>
      </c>
      <c r="V374" s="378">
        <f t="shared" si="135"/>
        <v>90.512767827683575</v>
      </c>
      <c r="W374" s="397">
        <f t="shared" si="136"/>
        <v>81.738487210131368</v>
      </c>
      <c r="X374" s="153">
        <f t="shared" si="137"/>
        <v>46017</v>
      </c>
      <c r="Y374" s="380">
        <f t="shared" si="138"/>
        <v>80.086111980736376</v>
      </c>
      <c r="Z374" s="380">
        <f t="shared" si="139"/>
        <v>81.851729773367083</v>
      </c>
      <c r="AA374" s="381">
        <f t="shared" si="140"/>
        <v>87.394443746336336</v>
      </c>
      <c r="AB374" s="193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6.3421811906682016E-2</v>
      </c>
      <c r="AD374" s="227">
        <f>(INDEX(Models!$BJ374:$BT374,,AH374)*(1-AF374)+INDEX(Models!$BJ374:$BT374,,AH374+1)*AF374-ERP_i)*AE374*Ramure*Pc/MaxiM</f>
        <v>2.2458768765000916E-3</v>
      </c>
      <c r="AE374" s="301">
        <f t="shared" si="142"/>
        <v>0.5</v>
      </c>
      <c r="AF374" s="173">
        <f t="shared" si="143"/>
        <v>0.98952891590086578</v>
      </c>
      <c r="AG374" s="801">
        <f t="shared" si="149"/>
        <v>1</v>
      </c>
      <c r="AH374" s="172">
        <f t="shared" si="144"/>
        <v>7</v>
      </c>
      <c r="AI374" s="221">
        <f t="shared" si="145"/>
        <v>1.9895289159008658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46018</v>
      </c>
      <c r="B375" s="406">
        <f>'2024'!Wh/'2024'!Env_an*'2025'!Env_an</f>
        <v>25.334726433197709</v>
      </c>
      <c r="C375" s="385"/>
      <c r="D375" s="388">
        <f t="shared" si="127"/>
        <v>25.893622727877691</v>
      </c>
      <c r="E375" s="380">
        <f t="shared" si="150"/>
        <v>27.089194177929443</v>
      </c>
      <c r="F375" s="380">
        <f t="shared" si="128"/>
        <v>27.089194177929443</v>
      </c>
      <c r="G375" s="110">
        <f t="shared" si="151"/>
        <v>0.27825967008236169</v>
      </c>
      <c r="H375" s="409" t="b">
        <f>Wh_hp&gt;='2024'!Maxi_hp</f>
        <v>0</v>
      </c>
      <c r="I375" s="375">
        <f>IF(H375,Wh_hp,'2024'!Maxi_hp)</f>
        <v>41.855930622746683</v>
      </c>
      <c r="J375" s="85">
        <f>IF(H375,An,'2024'!An_max)</f>
        <v>2021</v>
      </c>
      <c r="K375" s="193">
        <f t="shared" si="129"/>
        <v>46018</v>
      </c>
      <c r="L375" s="143">
        <f>IF(t&lt;Tvie,1-EXP((T0-t)*PertePVj)+'2024'!Pspv,1-EXP((T0-t)*PertePVj)+Pspv)</f>
        <v>2.1584322153510915E-2</v>
      </c>
      <c r="M375" s="835"/>
      <c r="N375" s="835"/>
      <c r="O375" s="48">
        <f>IF(t&lt;Tnet,'2024'!Resal+('2024'!Salim-'2024'!Resal)*(1-EXP(('2024'!Tnet-t)/('2024'!Tau_j))),Resal+(Salim-Resal)*(1-EXP((Tnet-t)/(Tau_j))))*Salcycl</f>
        <v>4.4134625865904456E-2</v>
      </c>
      <c r="P375" s="165">
        <f>(INDEX(Models!$BJ375:$BT375,,T375)*(1-R375)+INDEX(Models!$BJ375:$BT375,,T375+1)*R375-ERP_i)*Q375*Ramure*Pc/MaxiM</f>
        <v>2.2532622762702933E-3</v>
      </c>
      <c r="Q375" s="301">
        <f t="shared" si="130"/>
        <v>0.5</v>
      </c>
      <c r="R375" s="173">
        <f t="shared" si="131"/>
        <v>0.98952891590086578</v>
      </c>
      <c r="S375" s="801">
        <f t="shared" si="132"/>
        <v>1</v>
      </c>
      <c r="T375" s="172">
        <f t="shared" si="133"/>
        <v>7</v>
      </c>
      <c r="U375" s="247">
        <f t="shared" si="134"/>
        <v>1.9895289159008658</v>
      </c>
      <c r="V375" s="378">
        <f t="shared" si="135"/>
        <v>90.84191267230446</v>
      </c>
      <c r="W375" s="397">
        <f t="shared" si="136"/>
        <v>25.334726433197709</v>
      </c>
      <c r="X375" s="153">
        <f t="shared" si="137"/>
        <v>46018</v>
      </c>
      <c r="Y375" s="380">
        <f t="shared" si="138"/>
        <v>24.823147159188643</v>
      </c>
      <c r="Z375" s="380">
        <f t="shared" si="139"/>
        <v>25.370757768134752</v>
      </c>
      <c r="AA375" s="381">
        <f t="shared" si="140"/>
        <v>27.089194177929443</v>
      </c>
      <c r="AB375" s="193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6.3436232119254518E-2</v>
      </c>
      <c r="AD375" s="227">
        <f>(INDEX(Models!$BJ375:$BT375,,AH375)*(1-AF375)+INDEX(Models!$BJ375:$BT375,,AH375+1)*AF375-ERP_i)*AE375*Ramure*Pc/MaxiM</f>
        <v>2.2532622762702933E-3</v>
      </c>
      <c r="AE375" s="301">
        <f t="shared" si="142"/>
        <v>0.5</v>
      </c>
      <c r="AF375" s="173">
        <f t="shared" si="143"/>
        <v>0.98952891590086578</v>
      </c>
      <c r="AG375" s="801">
        <f t="shared" si="149"/>
        <v>1</v>
      </c>
      <c r="AH375" s="172">
        <f t="shared" si="144"/>
        <v>7</v>
      </c>
      <c r="AI375" s="221">
        <f t="shared" si="145"/>
        <v>1.9895289159008658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46019</v>
      </c>
      <c r="B376" s="406">
        <f>'2024'!Wh/'2024'!Env_an*'2025'!Env_an</f>
        <v>66.487332263682347</v>
      </c>
      <c r="C376" s="385"/>
      <c r="D376" s="388">
        <f t="shared" si="127"/>
        <v>67.955005155098092</v>
      </c>
      <c r="E376" s="380">
        <f t="shared" si="150"/>
        <v>71.09539649334512</v>
      </c>
      <c r="F376" s="380">
        <f t="shared" si="128"/>
        <v>71.194152085711238</v>
      </c>
      <c r="G376" s="110">
        <f t="shared" si="151"/>
        <v>0.72826592752250885</v>
      </c>
      <c r="H376" s="409" t="b">
        <f>Wh_hp&gt;='2024'!Maxi_hp</f>
        <v>0</v>
      </c>
      <c r="I376" s="375">
        <f>IF(H376,Wh_hp,'2024'!Maxi_hp)</f>
        <v>71.241906609353137</v>
      </c>
      <c r="J376" s="85">
        <f>IF(H376,An,'2024'!An_max)</f>
        <v>2022</v>
      </c>
      <c r="K376" s="193">
        <f t="shared" si="129"/>
        <v>46019</v>
      </c>
      <c r="L376" s="143">
        <f>IF(t&lt;Tvie,1-EXP((T0-t)*PertePVj)+'2024'!Pspv,1-EXP((T0-t)*PertePVj)+Pspv)</f>
        <v>2.1597715842504583E-2</v>
      </c>
      <c r="M376" s="835"/>
      <c r="N376" s="835"/>
      <c r="O376" s="48">
        <f>IF(t&lt;Tnet,'2024'!Resal+('2024'!Salim-'2024'!Resal)*(1-EXP(('2024'!Tnet-t)/('2024'!Tau_j))),Resal+(Salim-Resal)*(1-EXP((Tnet-t)/(Tau_j))))*Salcycl</f>
        <v>4.4171514516287716E-2</v>
      </c>
      <c r="P376" s="165">
        <f>(INDEX(Models!$BJ376:$BT376,,T376)*(1-R376)+INDEX(Models!$BJ376:$BT376,,T376+1)*R376-ERP_i)*Q376*Ramure*Pc/MaxiM</f>
        <v>2.2638800544138348E-3</v>
      </c>
      <c r="Q376" s="301">
        <f t="shared" si="130"/>
        <v>0.5</v>
      </c>
      <c r="R376" s="173">
        <f t="shared" si="131"/>
        <v>0.98952891590086578</v>
      </c>
      <c r="S376" s="801">
        <f t="shared" si="132"/>
        <v>1</v>
      </c>
      <c r="T376" s="172">
        <f t="shared" si="133"/>
        <v>7</v>
      </c>
      <c r="U376" s="247">
        <f t="shared" si="134"/>
        <v>1.9895289159008658</v>
      </c>
      <c r="V376" s="378">
        <f t="shared" si="135"/>
        <v>91.215249888919658</v>
      </c>
      <c r="W376" s="397">
        <f t="shared" si="136"/>
        <v>66.487332263682347</v>
      </c>
      <c r="X376" s="153">
        <f t="shared" si="137"/>
        <v>46019</v>
      </c>
      <c r="Y376" s="380">
        <f t="shared" si="138"/>
        <v>65.146259916818394</v>
      </c>
      <c r="Z376" s="380">
        <f t="shared" si="139"/>
        <v>66.584329341499853</v>
      </c>
      <c r="AA376" s="381">
        <f t="shared" si="140"/>
        <v>71.09539649334512</v>
      </c>
      <c r="AB376" s="193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6.3450903635758379E-2</v>
      </c>
      <c r="AD376" s="227">
        <f>(INDEX(Models!$BJ376:$BT376,,AH376)*(1-AF376)+INDEX(Models!$BJ376:$BT376,,AH376+1)*AF376-ERP_i)*AE376*Ramure*Pc/MaxiM</f>
        <v>2.2638800544138348E-3</v>
      </c>
      <c r="AE376" s="301">
        <f t="shared" si="142"/>
        <v>0.5</v>
      </c>
      <c r="AF376" s="173">
        <f t="shared" si="143"/>
        <v>0.98952891590086578</v>
      </c>
      <c r="AG376" s="801">
        <f t="shared" si="149"/>
        <v>1</v>
      </c>
      <c r="AH376" s="172">
        <f t="shared" si="144"/>
        <v>7</v>
      </c>
      <c r="AI376" s="221">
        <f t="shared" si="145"/>
        <v>1.9895289159008658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46020</v>
      </c>
      <c r="B377" s="406">
        <f>'2024'!Wh/'2024'!Env_an*'2025'!Env_an</f>
        <v>41.11765363720842</v>
      </c>
      <c r="C377" s="385"/>
      <c r="D377" s="388">
        <f t="shared" si="127"/>
        <v>42.02587951485615</v>
      </c>
      <c r="E377" s="380">
        <f t="shared" si="150"/>
        <v>43.969715914036385</v>
      </c>
      <c r="F377" s="380">
        <f t="shared" si="128"/>
        <v>43.9910053185802</v>
      </c>
      <c r="G377" s="110">
        <f t="shared" si="151"/>
        <v>0.44792552725625134</v>
      </c>
      <c r="H377" s="409" t="b">
        <f>Wh_hp&gt;='2024'!Maxi_hp</f>
        <v>0</v>
      </c>
      <c r="I377" s="375">
        <f>IF(H377,Wh_hp,'2024'!Maxi_hp)</f>
        <v>44.051326696562526</v>
      </c>
      <c r="J377" s="85">
        <f>IF(H377,An,'2024'!An_max)</f>
        <v>2022</v>
      </c>
      <c r="K377" s="193">
        <f t="shared" si="129"/>
        <v>46020</v>
      </c>
      <c r="L377" s="143">
        <f>IF(t&lt;Tvie,1-EXP((T0-t)*PertePVj)+'2024'!Pspv,1-EXP((T0-t)*PertePVj)+Pspv)</f>
        <v>2.1611109348149915E-2</v>
      </c>
      <c r="M377" s="835"/>
      <c r="N377" s="835"/>
      <c r="O377" s="48">
        <f>IF(t&lt;Tnet,'2024'!Resal+('2024'!Salim-'2024'!Resal)*(1-EXP(('2024'!Tnet-t)/('2024'!Tau_j))),Resal+(Salim-Resal)*(1-EXP((Tnet-t)/(Tau_j))))*Salcycl</f>
        <v>4.4208527591594125E-2</v>
      </c>
      <c r="P377" s="165">
        <f>(INDEX(Models!$BJ377:$BT377,,T377)*(1-R377)+INDEX(Models!$BJ377:$BT377,,T377+1)*R377-ERP_i)*Q377*Ramure*Pc/MaxiM</f>
        <v>2.2777007768503351E-3</v>
      </c>
      <c r="Q377" s="301">
        <f t="shared" si="130"/>
        <v>0.5</v>
      </c>
      <c r="R377" s="173">
        <f t="shared" si="131"/>
        <v>0.98952891590086578</v>
      </c>
      <c r="S377" s="801">
        <f t="shared" si="132"/>
        <v>1</v>
      </c>
      <c r="T377" s="172">
        <f t="shared" si="133"/>
        <v>7</v>
      </c>
      <c r="U377" s="247">
        <f t="shared" si="134"/>
        <v>1.9895289159008658</v>
      </c>
      <c r="V377" s="378">
        <f t="shared" si="135"/>
        <v>91.630997935939249</v>
      </c>
      <c r="W377" s="397">
        <f t="shared" si="136"/>
        <v>41.11765363720842</v>
      </c>
      <c r="X377" s="153">
        <f t="shared" si="137"/>
        <v>46020</v>
      </c>
      <c r="Y377" s="380">
        <f t="shared" si="138"/>
        <v>40.289215762586764</v>
      </c>
      <c r="Z377" s="380">
        <f t="shared" si="139"/>
        <v>41.179142718744629</v>
      </c>
      <c r="AA377" s="381">
        <f t="shared" si="140"/>
        <v>43.969715914036385</v>
      </c>
      <c r="AB377" s="193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6.3465799978046453E-2</v>
      </c>
      <c r="AD377" s="227">
        <f>(INDEX(Models!$BJ377:$BT377,,AH377)*(1-AF377)+INDEX(Models!$BJ377:$BT377,,AH377+1)*AF377-ERP_i)*AE377*Ramure*Pc/MaxiM</f>
        <v>2.2777007768503351E-3</v>
      </c>
      <c r="AE377" s="301">
        <f t="shared" si="142"/>
        <v>0.5</v>
      </c>
      <c r="AF377" s="173">
        <f t="shared" si="143"/>
        <v>0.98952891590086578</v>
      </c>
      <c r="AG377" s="801">
        <f t="shared" si="149"/>
        <v>1</v>
      </c>
      <c r="AH377" s="172">
        <f t="shared" si="144"/>
        <v>7</v>
      </c>
      <c r="AI377" s="221">
        <f t="shared" si="145"/>
        <v>1.9895289159008658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46021</v>
      </c>
      <c r="B378" s="406">
        <f>'2024'!Wh/'2024'!Env_an*'2025'!Env_an</f>
        <v>58.882561394114376</v>
      </c>
      <c r="C378" s="385"/>
      <c r="D378" s="388">
        <f t="shared" si="127"/>
        <v>60.184010694087014</v>
      </c>
      <c r="E378" s="380">
        <f t="shared" si="150"/>
        <v>62.970166537070021</v>
      </c>
      <c r="F378" s="380">
        <f t="shared" si="128"/>
        <v>63.04030921839766</v>
      </c>
      <c r="G378" s="110">
        <f t="shared" si="151"/>
        <v>0.63866390976590226</v>
      </c>
      <c r="H378" s="409" t="b">
        <f>Wh_hp&gt;='2024'!Maxi_hp</f>
        <v>0</v>
      </c>
      <c r="I378" s="375">
        <f>IF(H378,Wh_hp,'2024'!Maxi_hp)</f>
        <v>76.342020804358668</v>
      </c>
      <c r="J378" s="85">
        <f>IF(H378,An,'2024'!An_max)</f>
        <v>2021</v>
      </c>
      <c r="K378" s="193">
        <f t="shared" si="129"/>
        <v>46021</v>
      </c>
      <c r="L378" s="143">
        <f>IF(t&lt;Tvie,1-EXP((T0-t)*PertePVj)+'2024'!Pspv,1-EXP((T0-t)*PertePVj)+Pspv)</f>
        <v>2.1624502670449353E-2</v>
      </c>
      <c r="M378" s="835"/>
      <c r="N378" s="835"/>
      <c r="O378" s="48">
        <f>IF(t&lt;Tnet,'2024'!Resal+('2024'!Salim-'2024'!Resal)*(1-EXP(('2024'!Tnet-t)/('2024'!Tau_j))),Resal+(Salim-Resal)*(1-EXP((Tnet-t)/(Tau_j))))*Salcycl</f>
        <v>4.4245648315743666E-2</v>
      </c>
      <c r="P378" s="165">
        <f>(INDEX(Models!$BJ378:$BT378,,T378)*(1-R378)+INDEX(Models!$BJ378:$BT378,,T378+1)*R378-ERP_i)*Q378*Ramure*Pc/MaxiM</f>
        <v>2.2946894515498625E-3</v>
      </c>
      <c r="Q378" s="301">
        <f t="shared" si="130"/>
        <v>0.5</v>
      </c>
      <c r="R378" s="173">
        <f t="shared" si="131"/>
        <v>0.98952891590086578</v>
      </c>
      <c r="S378" s="801">
        <f t="shared" si="132"/>
        <v>1</v>
      </c>
      <c r="T378" s="172">
        <f t="shared" si="133"/>
        <v>7</v>
      </c>
      <c r="U378" s="247">
        <f t="shared" si="134"/>
        <v>1.9895289159008658</v>
      </c>
      <c r="V378" s="378">
        <f t="shared" si="135"/>
        <v>92.087375345519405</v>
      </c>
      <c r="W378" s="397">
        <f t="shared" si="136"/>
        <v>58.882561394114376</v>
      </c>
      <c r="X378" s="153">
        <f t="shared" si="137"/>
        <v>46021</v>
      </c>
      <c r="Y378" s="380">
        <f t="shared" si="138"/>
        <v>57.697507216981059</v>
      </c>
      <c r="Z378" s="380">
        <f t="shared" si="139"/>
        <v>58.972763907584394</v>
      </c>
      <c r="AA378" s="381">
        <f t="shared" si="140"/>
        <v>62.970166537070021</v>
      </c>
      <c r="AB378" s="193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6.3480896578737622E-2</v>
      </c>
      <c r="AD378" s="227">
        <f>(INDEX(Models!$BJ378:$BT378,,AH378)*(1-AF378)+INDEX(Models!$BJ378:$BT378,,AH378+1)*AF378-ERP_i)*AE378*Ramure*Pc/MaxiM</f>
        <v>2.2946894515498625E-3</v>
      </c>
      <c r="AE378" s="301">
        <f t="shared" si="142"/>
        <v>0.5</v>
      </c>
      <c r="AF378" s="173">
        <f t="shared" si="143"/>
        <v>0.98952891590086578</v>
      </c>
      <c r="AG378" s="801">
        <f t="shared" si="149"/>
        <v>1</v>
      </c>
      <c r="AH378" s="172">
        <f t="shared" si="144"/>
        <v>7</v>
      </c>
      <c r="AI378" s="221">
        <f t="shared" si="145"/>
        <v>1.9895289159008658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46022</v>
      </c>
      <c r="B379" s="406">
        <f>'2024'!Wh/'2024'!Env_an*'2025'!Env_an</f>
        <v>47.131493398508816</v>
      </c>
      <c r="C379" s="385"/>
      <c r="D379" s="388">
        <f t="shared" si="127"/>
        <v>48.173874679560498</v>
      </c>
      <c r="E379" s="380">
        <f t="shared" si="150"/>
        <v>50.405996424554374</v>
      </c>
      <c r="F379" s="380">
        <f t="shared" si="128"/>
        <v>50.440870395733704</v>
      </c>
      <c r="G379" s="110">
        <f t="shared" si="151"/>
        <v>0.50824804789165923</v>
      </c>
      <c r="H379" s="409" t="b">
        <f>Wh_hp&gt;='2024'!Maxi_hp</f>
        <v>0</v>
      </c>
      <c r="I379" s="375">
        <f>IF(H379,Wh_hp,'2024'!Maxi_hp)</f>
        <v>98.426511979974805</v>
      </c>
      <c r="J379" s="85">
        <f>IF(H379,An,'2024'!An_max)</f>
        <v>2021</v>
      </c>
      <c r="K379" s="193">
        <f t="shared" si="129"/>
        <v>46022</v>
      </c>
      <c r="L379" s="143">
        <f>IF(t&lt;Tvie,1-EXP((T0-t)*PertePVj)+'2024'!Pspv,1-EXP((T0-t)*PertePVj)+Pspv)</f>
        <v>2.163789580940545E-2</v>
      </c>
      <c r="M379" s="835"/>
      <c r="N379" s="835"/>
      <c r="O379" s="48">
        <f>IF(t&lt;Tnet,'2024'!Resal+('2024'!Salim-'2024'!Resal)*(1-EXP(('2024'!Tnet-t)/('2024'!Tau_j))),Resal+(Salim-Resal)*(1-EXP((Tnet-t)/(Tau_j))))*Salcycl</f>
        <v>4.4282861233282504E-2</v>
      </c>
      <c r="P379" s="165">
        <f>(INDEX(Models!$BJ379:$BT379,,T379)*(1-R379)+INDEX(Models!$BJ379:$BT379,,T379+1)*R379-ERP_i)*Q379*Ramure*Pc/MaxiM</f>
        <v>2.3148061856876618E-3</v>
      </c>
      <c r="Q379" s="302">
        <f t="shared" si="130"/>
        <v>0.5</v>
      </c>
      <c r="R379" s="173">
        <f t="shared" si="131"/>
        <v>0.98952891590086578</v>
      </c>
      <c r="S379" s="801">
        <f t="shared" si="132"/>
        <v>1</v>
      </c>
      <c r="T379" s="172">
        <f t="shared" si="133"/>
        <v>7</v>
      </c>
      <c r="U379" s="303">
        <f t="shared" si="134"/>
        <v>1.9895289159008658</v>
      </c>
      <c r="V379" s="378">
        <f t="shared" si="135"/>
        <v>92.582600774124245</v>
      </c>
      <c r="W379" s="397">
        <f t="shared" si="136"/>
        <v>47.131493398508816</v>
      </c>
      <c r="X379" s="153">
        <f t="shared" si="137"/>
        <v>46022</v>
      </c>
      <c r="Y379" s="380">
        <f t="shared" si="138"/>
        <v>46.183982950661822</v>
      </c>
      <c r="Z379" s="380">
        <f t="shared" si="139"/>
        <v>47.205408664995396</v>
      </c>
      <c r="AA379" s="381">
        <f t="shared" si="140"/>
        <v>50.405996424554374</v>
      </c>
      <c r="AB379" s="193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6.3496170824625706E-2</v>
      </c>
      <c r="AD379" s="227">
        <f>(INDEX(Models!$BJ379:$BT379,,AH379)*(1-AF379)+INDEX(Models!$BJ379:$BT379,,AH379+1)*AF379-ERP_i)*AE379*Ramure*Pc/MaxiM</f>
        <v>2.3148061856876618E-3</v>
      </c>
      <c r="AE379" s="302">
        <f t="shared" si="142"/>
        <v>0.5</v>
      </c>
      <c r="AF379" s="173">
        <f t="shared" si="143"/>
        <v>0.98952891590086578</v>
      </c>
      <c r="AG379" s="801">
        <f t="shared" si="149"/>
        <v>1</v>
      </c>
      <c r="AH379" s="172">
        <f t="shared" si="144"/>
        <v>7</v>
      </c>
      <c r="AI379" s="218">
        <f t="shared" si="145"/>
        <v>1.9895289159008658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707"/>
      <c r="C380" s="389"/>
      <c r="D380" s="396"/>
      <c r="E380" s="382"/>
      <c r="F380" s="382"/>
      <c r="G380" s="122"/>
      <c r="H380" s="409" t="b">
        <f>Wh_hp&gt;='2024'!Maxi_hp</f>
        <v>0</v>
      </c>
      <c r="I380" s="375">
        <f>IF(H380,Wh_hp,'2024'!Maxi_hp)</f>
        <v>63.199838713856806</v>
      </c>
      <c r="J380" s="85">
        <f>IF(H380,An,'2024'!An_max)</f>
        <v>2024</v>
      </c>
      <c r="K380" s="230"/>
      <c r="L380" s="210"/>
      <c r="M380" s="840"/>
      <c r="N380" s="840"/>
      <c r="O380" s="149"/>
      <c r="P380" s="318"/>
      <c r="Q380" s="225"/>
      <c r="R380" s="225"/>
      <c r="S380" s="225"/>
      <c r="T380" s="225"/>
      <c r="U380" s="319"/>
      <c r="V380" s="392"/>
      <c r="W380" s="397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7.3092744741671645</v>
      </c>
      <c r="C381" s="370"/>
      <c r="D381" s="368">
        <f>MIN(D15:D380)</f>
        <v>7.4347113820689996</v>
      </c>
      <c r="E381" s="368">
        <f>MIN(E15:E380)</f>
        <v>7.6430961377598257</v>
      </c>
      <c r="F381" s="369">
        <f>MIN(F15:F380)</f>
        <v>7.6430961377598257</v>
      </c>
      <c r="G381" s="125">
        <f>+MIN(G15:G380)</f>
        <v>7.1725589838547502E-2</v>
      </c>
      <c r="H381" s="94"/>
      <c r="I381" s="369">
        <f>MIN(I15:I380)</f>
        <v>7.65787086076881</v>
      </c>
      <c r="J381" s="57">
        <f>MIN(J15:J380)</f>
        <v>2021</v>
      </c>
      <c r="K381" s="196" t="s">
        <v>7</v>
      </c>
      <c r="L381" s="142">
        <f t="shared" ref="L381:T381" si="152">MIN(L15:L380)</f>
        <v>1.6750660435418174E-2</v>
      </c>
      <c r="M381" s="837"/>
      <c r="N381" s="837"/>
      <c r="O381" s="47">
        <f t="shared" si="152"/>
        <v>2.6749404682713612E-2</v>
      </c>
      <c r="P381" s="164">
        <f t="shared" si="152"/>
        <v>7.9093550717984396E-5</v>
      </c>
      <c r="Q381" s="306">
        <f t="shared" si="152"/>
        <v>0.5</v>
      </c>
      <c r="R381" s="307">
        <f t="shared" si="152"/>
        <v>0.4895301889370367</v>
      </c>
      <c r="S381" s="801">
        <f t="shared" si="152"/>
        <v>1</v>
      </c>
      <c r="T381" s="172">
        <f t="shared" si="152"/>
        <v>7</v>
      </c>
      <c r="U381" s="248">
        <f>+MIN(U15:U380)</f>
        <v>1.4895301889370367</v>
      </c>
      <c r="V381" s="57">
        <f>MIN(V15:V380)</f>
        <v>89.456591612030621</v>
      </c>
      <c r="W381" s="58"/>
      <c r="X381" s="112" t="s">
        <v>7</v>
      </c>
      <c r="Y381" s="368">
        <f>MIN(Y15:Y380)</f>
        <v>7.096316681992282</v>
      </c>
      <c r="Z381" s="368">
        <f>MIN(Z15:Z380)</f>
        <v>7.2180989498804697</v>
      </c>
      <c r="AA381" s="368">
        <f>MIN(AA15:AA380)</f>
        <v>7.6430961377598257</v>
      </c>
      <c r="AB381" s="196" t="s">
        <v>7</v>
      </c>
      <c r="AC381" s="47">
        <f t="shared" ref="AC381:AH381" si="153">MIN(AC15:AC380)</f>
        <v>5.5379683553280032E-2</v>
      </c>
      <c r="AD381" s="164">
        <f t="shared" si="153"/>
        <v>7.9093550717984396E-5</v>
      </c>
      <c r="AE381" s="306">
        <f t="shared" si="153"/>
        <v>0.5</v>
      </c>
      <c r="AF381" s="307">
        <f t="shared" si="153"/>
        <v>0.4895301889370367</v>
      </c>
      <c r="AG381" s="801">
        <f t="shared" si="153"/>
        <v>1</v>
      </c>
      <c r="AH381" s="172">
        <f t="shared" si="153"/>
        <v>7</v>
      </c>
      <c r="AI381" s="222">
        <f>MIN(AI15:AI380)</f>
        <v>1.4895301889370367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124.19894034830145</v>
      </c>
      <c r="C382" s="370"/>
      <c r="D382" s="370">
        <f>AVERAGE(D15:D380)</f>
        <v>126.62044210958413</v>
      </c>
      <c r="E382" s="370">
        <f>AVERAGE(E15:E380)</f>
        <v>131.4822130645826</v>
      </c>
      <c r="F382" s="371">
        <f>AVERAGE(F15:F380)</f>
        <v>131.51954608960409</v>
      </c>
      <c r="G382" s="126">
        <f>AVERAGE(G15:G380)</f>
        <v>0.68230895758497001</v>
      </c>
      <c r="H382" s="94"/>
      <c r="I382" s="371">
        <f>AVERAGE(I15:I380)</f>
        <v>132.55746231296132</v>
      </c>
      <c r="J382" s="59">
        <f>AVERAGE(J15:J380)</f>
        <v>2022.1502732240438</v>
      </c>
      <c r="K382" s="196" t="s">
        <v>8</v>
      </c>
      <c r="L382" s="143">
        <f t="shared" ref="L382:V382" si="154">AVERAGE(L15:L380)</f>
        <v>1.9196301925408145E-2</v>
      </c>
      <c r="M382" s="835"/>
      <c r="N382" s="835"/>
      <c r="O382" s="48">
        <f t="shared" si="154"/>
        <v>3.6909884560969435E-2</v>
      </c>
      <c r="P382" s="165">
        <f t="shared" si="154"/>
        <v>7.2494629309184471E-4</v>
      </c>
      <c r="Q382" s="308">
        <f t="shared" si="154"/>
        <v>0.5</v>
      </c>
      <c r="R382" s="173">
        <f t="shared" si="154"/>
        <v>0.76941378593617982</v>
      </c>
      <c r="S382" s="801">
        <f t="shared" si="154"/>
        <v>1</v>
      </c>
      <c r="T382" s="172">
        <f t="shared" si="154"/>
        <v>7</v>
      </c>
      <c r="U382" s="247">
        <f t="shared" si="154"/>
        <v>1.7694137859361811</v>
      </c>
      <c r="V382" s="59">
        <f t="shared" si="154"/>
        <v>176.32746742956942</v>
      </c>
      <c r="X382" s="112" t="s">
        <v>8</v>
      </c>
      <c r="Y382" s="370">
        <f>AVERAGE(Y15:Y380)</f>
        <v>121.06407222050422</v>
      </c>
      <c r="Z382" s="370">
        <f>AVERAGE(Z15:Z380)</f>
        <v>123.42474461575623</v>
      </c>
      <c r="AA382" s="370">
        <f>AVERAGE(AA15:AA380)</f>
        <v>131.4822130645826</v>
      </c>
      <c r="AB382" s="196" t="s">
        <v>8</v>
      </c>
      <c r="AC382" s="48">
        <f t="shared" ref="AC382:AH382" si="155">AVERAGE(AC15:AC380)</f>
        <v>6.1001075078961964E-2</v>
      </c>
      <c r="AD382" s="165">
        <f t="shared" si="155"/>
        <v>7.2494629309184471E-4</v>
      </c>
      <c r="AE382" s="308">
        <f t="shared" si="155"/>
        <v>0.5</v>
      </c>
      <c r="AF382" s="173">
        <f t="shared" si="155"/>
        <v>0.76941378593617982</v>
      </c>
      <c r="AG382" s="801">
        <f t="shared" si="155"/>
        <v>1</v>
      </c>
      <c r="AH382" s="172">
        <f t="shared" si="155"/>
        <v>7</v>
      </c>
      <c r="AI382" s="221">
        <f>AVERAGE(AI15:AI380)</f>
        <v>1.7694137859361811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245.920163377888</v>
      </c>
      <c r="C383" s="372"/>
      <c r="D383" s="372">
        <f>MAX(D15:D380)</f>
        <v>250.7198475856818</v>
      </c>
      <c r="E383" s="372">
        <f>MAX(E15:E380)</f>
        <v>260.5835631160196</v>
      </c>
      <c r="F383" s="373">
        <f>MAX(F15:F380)</f>
        <v>260.61207165828807</v>
      </c>
      <c r="G383" s="127">
        <f>+MAX(G15:G380)</f>
        <v>1.0401867145003136</v>
      </c>
      <c r="H383" s="94"/>
      <c r="I383" s="373">
        <f>MAX(I15:I380)</f>
        <v>260.61207165828807</v>
      </c>
      <c r="J383" s="60">
        <f>MAX(J15:J380)</f>
        <v>2025</v>
      </c>
      <c r="K383" s="196" t="s">
        <v>9</v>
      </c>
      <c r="L383" s="144">
        <f t="shared" ref="L383:T383" si="156">MAX(L15:L380)</f>
        <v>2.163789580940545E-2</v>
      </c>
      <c r="M383" s="838"/>
      <c r="N383" s="838"/>
      <c r="O383" s="49">
        <f t="shared" si="156"/>
        <v>4.4282861233282504E-2</v>
      </c>
      <c r="P383" s="166">
        <f t="shared" si="156"/>
        <v>3.025755844363064E-3</v>
      </c>
      <c r="Q383" s="309">
        <f t="shared" si="156"/>
        <v>0.5</v>
      </c>
      <c r="R383" s="310">
        <f t="shared" si="156"/>
        <v>0.98952891590086578</v>
      </c>
      <c r="S383" s="802">
        <f t="shared" si="156"/>
        <v>1</v>
      </c>
      <c r="T383" s="229">
        <f t="shared" si="156"/>
        <v>7</v>
      </c>
      <c r="U383" s="249">
        <f>+MAX(U15:U380)</f>
        <v>1.9895289159008658</v>
      </c>
      <c r="V383" s="60">
        <f>MAX(V15:V380)</f>
        <v>238.12918237658886</v>
      </c>
      <c r="X383" s="112" t="s">
        <v>9</v>
      </c>
      <c r="Y383" s="372">
        <f>MAX(Y15:Y380)</f>
        <v>239.62351217660768</v>
      </c>
      <c r="Z383" s="372">
        <f>MAX(Z15:Z380)</f>
        <v>244.30030309693106</v>
      </c>
      <c r="AA383" s="372">
        <f>MAX(AA15:AA380)</f>
        <v>260.5835631160196</v>
      </c>
      <c r="AB383" s="196" t="s">
        <v>9</v>
      </c>
      <c r="AC383" s="49">
        <f t="shared" ref="AC383:AH383" si="157">MAX(AC15:AC380)</f>
        <v>6.4283547056106019E-2</v>
      </c>
      <c r="AD383" s="166">
        <f t="shared" si="157"/>
        <v>3.025755844363064E-3</v>
      </c>
      <c r="AE383" s="309">
        <f t="shared" si="157"/>
        <v>0.5</v>
      </c>
      <c r="AF383" s="310">
        <f t="shared" si="157"/>
        <v>0.98952891590086578</v>
      </c>
      <c r="AG383" s="802">
        <f t="shared" si="157"/>
        <v>1</v>
      </c>
      <c r="AH383" s="229">
        <f t="shared" si="157"/>
        <v>7</v>
      </c>
      <c r="AI383" s="223">
        <f>MAX(AI15:AI380)</f>
        <v>1.9895289159008658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</row>
  </sheetData>
  <sheetProtection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4" sqref="B14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'2025'!An+1</f>
        <v>2026</v>
      </c>
      <c r="K1" s="1270"/>
      <c r="L1" s="113" t="str">
        <f>"Calcul pertes et enveloppes en "&amp;TEXT(An,0)</f>
        <v>Calcul pertes et enveloppes en 2026</v>
      </c>
      <c r="M1" s="239"/>
      <c r="N1" s="239"/>
      <c r="V1" s="450"/>
      <c r="W1" s="448"/>
      <c r="X1" s="479" t="str">
        <f>"Prévision sans nettoyage ni taille végétation en "&amp;TEXT(An,0)</f>
        <v>Prévision sans nettoyage ni taille végétation en 2026</v>
      </c>
      <c r="Y1" s="480"/>
      <c r="Z1" s="481"/>
      <c r="AA1" s="482"/>
      <c r="AB1" s="483"/>
      <c r="AC1" s="484"/>
      <c r="AD1" s="484"/>
      <c r="AE1" s="484"/>
      <c r="AF1" s="484"/>
      <c r="AG1" s="484"/>
      <c r="AH1" s="484"/>
      <c r="AI1" s="484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71">
        <f>Tmaj</f>
        <v>44926</v>
      </c>
      <c r="F3" s="1271"/>
      <c r="G3" s="8"/>
      <c r="H3" s="26"/>
      <c r="I3" s="6"/>
      <c r="J3" s="34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 t="s">
        <v>96</v>
      </c>
      <c r="Y3" s="495"/>
      <c r="Z3" s="496"/>
      <c r="AA3" s="490"/>
      <c r="AB3" s="490"/>
      <c r="AC3" s="422"/>
      <c r="AD3" s="422"/>
      <c r="AE3" s="422"/>
      <c r="AF3" s="422"/>
      <c r="AG3" s="422"/>
      <c r="AH3" s="422"/>
      <c r="AI3" s="422"/>
      <c r="AJ3" s="823">
        <f>AL11-AJ11</f>
        <v>220.99943398133576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9" t="str">
        <f>Station</f>
        <v>Hangar Goussaud Espanès</v>
      </c>
      <c r="F4" s="1200"/>
      <c r="G4" s="1200"/>
      <c r="H4" s="1200"/>
      <c r="I4" s="1201"/>
      <c r="J4" s="154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22"/>
      <c r="AD4" s="422"/>
      <c r="AE4" s="422"/>
      <c r="AF4" s="422"/>
      <c r="AG4" s="422"/>
      <c r="AH4" s="422"/>
      <c r="AI4" s="422"/>
      <c r="AJ4" s="823">
        <f>AL12-AJ12</f>
        <v>1309.1080947466312</v>
      </c>
      <c r="AK4" s="824">
        <f>AM12-AK12</f>
        <v>-0.58011543175026503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72">
        <f>T0</f>
        <v>44424</v>
      </c>
      <c r="F5" s="1272"/>
      <c r="G5" s="34"/>
      <c r="H5" s="154"/>
      <c r="I5" s="154"/>
      <c r="K5" s="188"/>
      <c r="L5" s="498"/>
      <c r="M5" s="497"/>
      <c r="N5" s="497"/>
      <c r="O5" s="19"/>
      <c r="R5" s="39"/>
      <c r="S5" s="174"/>
      <c r="T5" s="174"/>
      <c r="U5" s="41"/>
      <c r="V5" s="499"/>
      <c r="W5" s="500"/>
      <c r="X5" s="501"/>
      <c r="Y5" s="502"/>
      <c r="Z5" s="232">
        <f>Wh_Psa_s-Wh_Psa</f>
        <v>1530.4806442253762</v>
      </c>
      <c r="AA5" s="233">
        <f>Wh_Pvg_s-Wh_Pvg</f>
        <v>-0.58011543175026503</v>
      </c>
      <c r="AB5" s="506" t="s">
        <v>6</v>
      </c>
      <c r="AC5" s="500"/>
      <c r="AD5" s="500"/>
      <c r="AE5" s="500"/>
      <c r="AF5" s="500"/>
      <c r="AG5" s="500"/>
      <c r="AH5" s="500"/>
      <c r="AI5" s="500"/>
      <c r="AJ5" s="508">
        <f>SUMIF(AJ15:AJ380,"VRAI",Wh)</f>
        <v>11797.988239548935</v>
      </c>
      <c r="AK5" s="508">
        <f>SUMIF(AK15:AK380,"VRAI",Wh)</f>
        <v>0</v>
      </c>
      <c r="AL5" s="508">
        <f>SUMIF(AJ15:AJ380,"VRAI",Wh_s)</f>
        <v>11576.985250741016</v>
      </c>
      <c r="AM5" s="508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73">
        <f>Tservice</f>
        <v>44536</v>
      </c>
      <c r="F6" s="1273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2"/>
      <c r="W6" s="454"/>
      <c r="X6" s="489"/>
      <c r="Y6" s="490"/>
      <c r="Z6" s="454"/>
      <c r="AA6" s="454"/>
      <c r="AB6" s="508"/>
      <c r="AC6" s="454"/>
      <c r="AD6" s="454"/>
      <c r="AE6" s="454"/>
      <c r="AF6" s="454"/>
      <c r="AG6" s="454"/>
      <c r="AH6" s="454"/>
      <c r="AI6" s="454"/>
      <c r="AJ6" s="508">
        <f>SUMIF(AJ15:AJ380,"FAUX",Wh)</f>
        <v>33912.711739962251</v>
      </c>
      <c r="AK6" s="508">
        <f>SUMIF(AK15:AK380,"FAUX",Wh)</f>
        <v>45710.699979511141</v>
      </c>
      <c r="AL6" s="508">
        <f>SUMIF(AJ15:AJ380,"FAUX",Wh_s)</f>
        <v>32603.529452010811</v>
      </c>
      <c r="AM6" s="508">
        <f>SUMIF(AK15:AK380,"FAUX",Wh_s)</f>
        <v>44180.514702751876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AND(YEAR(Tnet)=An,Resal_2026="I")</f>
        <v>0</v>
      </c>
      <c r="F7" s="316" t="b">
        <f>YEAR(Tnet)=An</f>
        <v>1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2"/>
      <c r="W7" s="510"/>
      <c r="X7" s="511"/>
      <c r="Y7" s="244"/>
      <c r="Z7" s="510"/>
      <c r="AA7" s="510"/>
      <c r="AB7" s="510"/>
      <c r="AC7" s="510"/>
      <c r="AD7" s="244"/>
      <c r="AE7" s="244"/>
      <c r="AF7" s="485"/>
      <c r="AG7" s="485"/>
      <c r="AH7" s="485"/>
      <c r="AI7" s="510"/>
      <c r="AJ7" s="508">
        <f>SUMIF(AJ15:AJ380,"VRAI",Wh_pvt)</f>
        <v>12070.285896181262</v>
      </c>
      <c r="AK7" s="508">
        <f>SUMIF(AK15:AK380,"VRAI",Wh_sa)</f>
        <v>0</v>
      </c>
      <c r="AL7" s="508">
        <f>SUMIF(AJ15:AJ380,"VRAI",Wh_pvt_s)</f>
        <v>11844.185557997473</v>
      </c>
      <c r="AM7" s="508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AND(YEAR(Tnet)=An,Resal_2026&lt;&gt;"I")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0"/>
      <c r="W8" s="399"/>
      <c r="X8" s="1267" t="s">
        <v>102</v>
      </c>
      <c r="Y8" s="1268"/>
      <c r="Z8" s="490"/>
      <c r="AA8" s="490"/>
      <c r="AB8" s="454"/>
      <c r="AC8" s="512" t="s">
        <v>61</v>
      </c>
      <c r="AD8" s="454"/>
      <c r="AE8" s="454"/>
      <c r="AF8" s="454"/>
      <c r="AG8" s="454"/>
      <c r="AH8" s="454"/>
      <c r="AI8" s="454"/>
      <c r="AJ8" s="508">
        <f>SUMIF(AJ15:AJ380,"FAUX",Wh_pvt)</f>
        <v>34765.778831856471</v>
      </c>
      <c r="AK8" s="508">
        <f>SUMIF(AK15:AK380,"FAUX",Wh_sa)</f>
        <v>47984.059173879796</v>
      </c>
      <c r="AL8" s="508">
        <f>SUMIF(AJ15:AJ380,"FAUX",Wh_pvt_s)</f>
        <v>33423.736317598326</v>
      </c>
      <c r="AM8" s="508">
        <f>SUMIF(AK15:AK380,"FAUX",Wh_sa_s)</f>
        <v>47984.059173879796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46836.06472803776</v>
      </c>
      <c r="E9" s="180">
        <f>SUM(E$15:E$380)</f>
        <v>47984.059173879796</v>
      </c>
      <c r="F9" s="180">
        <f>SUM(F$15:F$380)</f>
        <v>48002.250626658468</v>
      </c>
      <c r="H9" s="1260">
        <f>+SUM(Wh)</f>
        <v>45710.699979511141</v>
      </c>
      <c r="I9" s="1261"/>
      <c r="J9" s="1262"/>
      <c r="K9" s="187"/>
      <c r="L9" s="228"/>
      <c r="M9" s="228"/>
      <c r="N9" s="228"/>
      <c r="O9" s="219">
        <f>Tnet_2026</f>
        <v>46142</v>
      </c>
      <c r="P9" s="240" t="s">
        <v>91</v>
      </c>
      <c r="Q9" s="241"/>
      <c r="R9" s="241"/>
      <c r="S9" s="241"/>
      <c r="T9" s="241"/>
      <c r="U9" s="242"/>
      <c r="V9" s="454"/>
      <c r="W9" s="513"/>
      <c r="X9" s="1265">
        <f>+SUM(Wh_s)</f>
        <v>44180.514702751876</v>
      </c>
      <c r="Y9" s="1266"/>
      <c r="Z9" s="508">
        <f>SUM(Z$15:Z$380)</f>
        <v>45267.921875595785</v>
      </c>
      <c r="AA9" s="508">
        <f>SUM(AA$15:AA$380)</f>
        <v>47984.059173879796</v>
      </c>
      <c r="AB9" s="508">
        <f>F9</f>
        <v>48002.250626658468</v>
      </c>
      <c r="AC9" s="321">
        <f>IF(An_Tnet,Tnet,'2025'!Tnet_s)</f>
        <v>46142</v>
      </c>
      <c r="AD9" s="312" t="s">
        <v>91</v>
      </c>
      <c r="AE9" s="312"/>
      <c r="AF9" s="312"/>
      <c r="AG9" s="312"/>
      <c r="AH9" s="312"/>
      <c r="AI9" s="313"/>
      <c r="AJ9" s="508">
        <f>SUMIF(AJ15:AJ380,"VRAI",Wh_sa)</f>
        <v>12664.67267461405</v>
      </c>
      <c r="AK9" s="508">
        <f>SUMIF(AK15:AK380,"VRAI",Wh_hp)</f>
        <v>0</v>
      </c>
      <c r="AL9" s="508">
        <f>SUMIF(AJ15:AJ380,"VRAI",Wh_sa_s)</f>
        <v>12664.67267461405</v>
      </c>
      <c r="AM9" s="508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IF(Inflex,'2025'!Resal+('2025'!Salim-'2025'!Resal)*(1-EXP(-(Tnet-'2025'!Tnet)/('2025'!Tau_j))),IF(An_Tnet,Resal_2026,'2025'!Resal))</f>
        <v>8.0000000000000002E-3</v>
      </c>
      <c r="P10" s="416" t="b">
        <f>NOT(Acti_tai)</f>
        <v>1</v>
      </c>
      <c r="Q10" s="253">
        <f>IF(Acti_tai,'2025'!PousD,Dens-Dd)</f>
        <v>0</v>
      </c>
      <c r="R10" s="270"/>
      <c r="S10" s="271"/>
      <c r="T10" s="272"/>
      <c r="U10" s="262">
        <f>IF(Acti_tai,'2025'!PousH,Hdtf-Hdd)</f>
        <v>0.5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IF(OR(Inflex,GainD),'2025'!Resal_s+('2025'!Salim-'2025'!Resal_s)*(1-EXP(('2025'!Tnet_s-Tnet)/('2025'!Tau_j))),IF(Acti_net,'2025'!Resal+('2025'!Salim-'2025'!Resal)*(1-EXP(('2025'!Tnet-Tnet)/'2025'!Tau_j)),'2025'!Resal_s))</f>
        <v>4.8660311512712343E-2</v>
      </c>
      <c r="AD10" s="422"/>
      <c r="AE10" s="422"/>
      <c r="AF10" s="256"/>
      <c r="AG10" s="257"/>
      <c r="AH10" s="258"/>
      <c r="AI10" s="465"/>
      <c r="AJ10" s="508">
        <f>SUMIF(AJ15:AJ380,"FAUX",Wh_sa)</f>
        <v>35319.38649926574</v>
      </c>
      <c r="AK10" s="508">
        <f>SUMIF(AK15:AK380,"FAUX",Wh_hp)</f>
        <v>48002.250626658468</v>
      </c>
      <c r="AL10" s="508">
        <f>SUMIF(AJ15:AJ380,"FAUX",Wh_sa_s)</f>
        <v>35319.38649926574</v>
      </c>
      <c r="AM10" s="508">
        <f>SUMIF(AK15:AK380,"FAUX",Wh_hp)</f>
        <v>48002.250626658468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1125.3647485266192</v>
      </c>
      <c r="E11" s="51">
        <f>(E$9-D$9)*Prod_an/D$9</f>
        <v>1120.4107346921624</v>
      </c>
      <c r="F11" s="182">
        <f>(F$9-E$9)*Prod_an/E$9</f>
        <v>17.329589335993006</v>
      </c>
      <c r="G11" s="181" t="s">
        <v>6</v>
      </c>
      <c r="K11" s="190"/>
      <c r="L11" s="207">
        <f>Tvie_2026</f>
        <v>44609</v>
      </c>
      <c r="M11" s="834"/>
      <c r="N11" s="834"/>
      <c r="O11" s="198">
        <f>IF(An_Tnet,Salim_2026,'2025'!Salim)</f>
        <v>0.08</v>
      </c>
      <c r="P11" s="252">
        <f>Ttai_2026</f>
        <v>44562</v>
      </c>
      <c r="Q11" s="268">
        <f>Dens_2026</f>
        <v>0.5</v>
      </c>
      <c r="R11" s="273"/>
      <c r="S11" s="226"/>
      <c r="T11" s="226"/>
      <c r="U11" s="262">
        <f>Htf_2026</f>
        <v>2.4895289159008658</v>
      </c>
      <c r="V11" s="19"/>
      <c r="W11" s="826"/>
      <c r="X11" s="231" t="s">
        <v>43</v>
      </c>
      <c r="Y11" s="50">
        <f>Z$9-Prod_an_s</f>
        <v>1087.4071728439085</v>
      </c>
      <c r="Z11" s="51">
        <f>(AA$9-Z$9)*Prod_an_s/Z$9</f>
        <v>2650.8913789175385</v>
      </c>
      <c r="AA11" s="182">
        <f>(AB$9-AA$9)*Prod_an_s/AA$9</f>
        <v>16.749473904242741</v>
      </c>
      <c r="AB11" s="181" t="s">
        <v>6</v>
      </c>
      <c r="AC11" s="321"/>
      <c r="AD11" s="19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580.97780632619651</v>
      </c>
      <c r="AK11" s="824">
        <f>IF($AK7=0,0,($AK9-$AK7)*$AK5/$AK7)</f>
        <v>0</v>
      </c>
      <c r="AL11" s="823">
        <f>IF($AL7=0,0,($AL9-$AL7)*$AL5/$AL7)</f>
        <v>801.97724030753227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Pspv_2026</f>
        <v>0</v>
      </c>
      <c r="M12" s="208"/>
      <c r="N12" s="208"/>
      <c r="O12" s="201">
        <f>IF(An_Tnet,Tau_2026*365,'2025'!Tau_j)</f>
        <v>912.5</v>
      </c>
      <c r="P12" s="277">
        <f>INDEX(Croivg,MIN(MAX(Ttai-$A$15,0)+1,366))</f>
        <v>2.3909964587625958E-6</v>
      </c>
      <c r="Q12" s="276">
        <f>'2025'!Df</f>
        <v>0.5</v>
      </c>
      <c r="R12" s="274"/>
      <c r="S12" s="275"/>
      <c r="T12" s="275"/>
      <c r="U12" s="263">
        <f>'2025'!Hdf</f>
        <v>1.9895289159008658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'2025'!Df_s</f>
        <v>0.5</v>
      </c>
      <c r="AF12" s="199"/>
      <c r="AG12" s="199"/>
      <c r="AH12" s="199"/>
      <c r="AI12" s="293">
        <f>'2025'!Hdf_s</f>
        <v>1.9895289159008658</v>
      </c>
      <c r="AJ12" s="823">
        <f>IF($AJ8=0,0,($AJ10-$AJ8)*$AJ6/$AJ8)</f>
        <v>540.0234907057569</v>
      </c>
      <c r="AK12" s="824">
        <f>IF($AK8=0,0,($AK10-$AK8)*$AK6/$AK8)</f>
        <v>17.329589335993006</v>
      </c>
      <c r="AL12" s="823">
        <f>IF($AL8=0,0,($AL10-$AL8)*$AL6/$AL8)</f>
        <v>1849.1315854523882</v>
      </c>
      <c r="AM12" s="824">
        <f>IF($AM8=0,0,($AM10-$AM8)*$AM6/$AM8)</f>
        <v>16.749473904242741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1121.0012970319535</v>
      </c>
      <c r="AK13" s="73">
        <f>+AK11+AK12</f>
        <v>17.329589335993006</v>
      </c>
      <c r="AL13" s="73">
        <f>+AL11+AL12</f>
        <v>2651.1088257599204</v>
      </c>
      <c r="AM13" s="73">
        <f>+AM11+AM12</f>
        <v>16.749473904242741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411" t="s">
        <v>188</v>
      </c>
      <c r="C14" s="411"/>
      <c r="D14" s="53" t="s">
        <v>30</v>
      </c>
      <c r="E14" s="158" t="s">
        <v>29</v>
      </c>
      <c r="F14" s="158" t="str">
        <f>"Hors pertes "&amp; TEXT(An,0)</f>
        <v>Hors pertes 2026</v>
      </c>
      <c r="G14" s="107" t="s">
        <v>42</v>
      </c>
      <c r="H14" s="408" t="s">
        <v>117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2026</v>
      </c>
      <c r="W14" s="828" t="s">
        <v>116</v>
      </c>
      <c r="X14" s="254" t="s">
        <v>2</v>
      </c>
      <c r="Y14" s="107" t="str">
        <f>"Wh / Jour "&amp; TEXT(An,0)</f>
        <v>Wh / Jour 2026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56">
        <f>DATE(An,1,1)</f>
        <v>46023</v>
      </c>
      <c r="B15" s="405">
        <f>'2025'!Wh/'2025'!Env_an*'2026'!Env_an</f>
        <v>93.225385009597218</v>
      </c>
      <c r="C15" s="831"/>
      <c r="D15" s="388">
        <f t="shared" ref="D15:D78" si="0">Wh/(1-Ppv)</f>
        <v>95.288503924043496</v>
      </c>
      <c r="E15" s="395">
        <f t="shared" ref="E15:E79" si="1">Wh_pvt/(1-Psa)</f>
        <v>99.707558076572482</v>
      </c>
      <c r="F15" s="395">
        <f t="shared" ref="F15:F78" si="2">Wh_sa/(1-Pvg*MEDIAN((-Sdif+Wh/Env_an)/Csdif,0,1))</f>
        <v>99.941221484103295</v>
      </c>
      <c r="G15" s="123">
        <f>+Wh_hp/MaxiM</f>
        <v>1.0011866221014729</v>
      </c>
      <c r="H15" s="409" t="b">
        <f>Wh_hp&gt;='2025'!Maxi_hp</f>
        <v>1</v>
      </c>
      <c r="I15" s="374">
        <f>IF(H15,Wh_hp,'2025'!Maxi_hp)</f>
        <v>99.941221484103295</v>
      </c>
      <c r="J15" s="84">
        <f>IF(H15,An,'2025'!An_max)</f>
        <v>2026</v>
      </c>
      <c r="K15" s="193">
        <f t="shared" ref="K15:K78" si="3">t</f>
        <v>46023</v>
      </c>
      <c r="L15" s="142">
        <f>IF(t&lt;Tvie,1-EXP((T0-t)*PertePVj)+'2025'!Pspv,1-EXP((T0-t)*PertePVj)+Pspv)</f>
        <v>2.165128876502076E-2</v>
      </c>
      <c r="M15" s="835"/>
      <c r="N15" s="835"/>
      <c r="O15" s="48">
        <f>IF(t&lt;Tnet,'2025'!Resal+('2025'!Salim-'2025'!Resal)*(1-EXP(('2025'!Tnet-t)/('2025'!Tau_j))),Resal+(Salim-Resal)*(1-EXP((Tnet-t)/(Tau_j))))*Salcycl</f>
        <v>4.4320152230940005E-2</v>
      </c>
      <c r="P15" s="333">
        <f>(INDEX(Models!$BJ15:$BT15,,T15)*(1-R15)+INDEX(Models!$BJ15:$BT15,,T15+1)*R15-ERP_i)*Q15*Ramure*Pc/MaxiM</f>
        <v>2.3380083219013844E-3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0.98953011139909508</v>
      </c>
      <c r="S15" s="800">
        <f t="shared" ref="S15:S78" si="6">INDEX(Echel_vg,T15)</f>
        <v>1</v>
      </c>
      <c r="T15" s="245">
        <f t="shared" ref="T15:T78" si="7">MIN(MATCH(Hp_vg,Echel_vg),10)</f>
        <v>7</v>
      </c>
      <c r="U15" s="246">
        <f>IF(OR(t&lt;Ttai,Notai),Hdd+PousH*Croivg,Hdtf+PousH*(Croivg-Croi_tai))</f>
        <v>1.9895301113990951</v>
      </c>
      <c r="V15" s="377">
        <f t="shared" ref="V15:V78" si="8">MaxiM*(1-Ppv)*(1-Pvg)*(1-Psa)</f>
        <v>93.114892819800957</v>
      </c>
      <c r="W15" s="397">
        <f t="shared" ref="W15:W78" si="9">Wh*(A15&gt;Tmaj)</f>
        <v>93.225385009597218</v>
      </c>
      <c r="X15" s="152">
        <f t="shared" ref="X15:X78" si="10">t</f>
        <v>46023</v>
      </c>
      <c r="Y15" s="380">
        <f t="shared" ref="Y15:Y78" si="11">Wh_pvt_s*(1-Ppv)</f>
        <v>91.353282855947441</v>
      </c>
      <c r="Z15" s="380">
        <f>Wh_sa_s*(1-Psa_s)</f>
        <v>93.374971323498031</v>
      </c>
      <c r="AA15" s="381">
        <f t="shared" ref="AA15:AA78" si="12">Wh_hp*(1-Pvg_s*MEDIAN((-Sdif+Wh/Env_an)/Csdif,0,1))</f>
        <v>99.707558076572482</v>
      </c>
      <c r="AB15" s="193">
        <f t="shared" ref="AB15:AB78" si="13">t</f>
        <v>46023</v>
      </c>
      <c r="AC15" s="119">
        <f>IF(OR(t&lt;Tnet,NoTnet),'2025'!Resal_s+('2025'!Salim-'2025'!Resal_s)*(1-EXP(('2025'!Tnet_s-t)/'2025'!Tau_j)),Resal_s+(Salim-Resal_s)*(1-EXP((Tnet_s-t)/Tau_j)))*Salcycl</f>
        <v>6.3511602081471261E-2</v>
      </c>
      <c r="AD15" s="227">
        <f>(INDEX(Models!$BJ15:$BT15,,AH15)*(1-AF15)+INDEX(Models!$BJ15:$BT15,,AH15+1)*AF15-ERP_i)*AE15*Ramure*Pc/MaxiM</f>
        <v>2.3380083219013844E-3</v>
      </c>
      <c r="AE15" s="299">
        <f t="shared" ref="AE15:AE78" si="14">IF(OR(t&lt;Ttai,Notai),Dd_s+PousD*Croivg,Dens_s+PousD*(Croivg-Croi_tai))</f>
        <v>0.5</v>
      </c>
      <c r="AF15" s="300">
        <f>(Hp_vg_s-AG15)/(INDEX(Echel_vg,AH15+1)-AG15)</f>
        <v>0.98953011139909508</v>
      </c>
      <c r="AG15" s="800">
        <f>INDEX(Echel_vg,AH15)</f>
        <v>1</v>
      </c>
      <c r="AH15" s="245">
        <f t="shared" ref="AH15:AH78" si="15">MIN(MATCH(Hp_vg_s,Echel_vg),10)</f>
        <v>7</v>
      </c>
      <c r="AI15" s="220">
        <f>IF(OR(t&lt;Ttai,Notai),Hdd_s+PousH*Croivg,Hdtai_s+PousH*(Croivg-Croi_tai))</f>
        <v>1.9895301113990951</v>
      </c>
      <c r="AJ15" s="261" t="b">
        <f t="shared" ref="AJ15:AJ78" si="16">t&lt;Tnet</f>
        <v>1</v>
      </c>
      <c r="AK15" s="261" t="b">
        <f t="shared" ref="AK15:AK78" si="17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18">A15+1</f>
        <v>46024</v>
      </c>
      <c r="B16" s="406">
        <f>'2025'!Wh/'2025'!Env_an*'2026'!Env_an</f>
        <v>68.169580614621623</v>
      </c>
      <c r="C16" s="831"/>
      <c r="D16" s="388">
        <f t="shared" si="0"/>
        <v>69.679157368804013</v>
      </c>
      <c r="E16" s="380">
        <f t="shared" si="1"/>
        <v>72.913414788436484</v>
      </c>
      <c r="F16" s="380">
        <f t="shared" si="2"/>
        <v>73.018824630164772</v>
      </c>
      <c r="G16" s="110">
        <f t="shared" ref="G16:G79" si="19">+Wh_hp/MaxiM</f>
        <v>0.72699544847445929</v>
      </c>
      <c r="H16" s="409" t="b">
        <f>Wh_hp&gt;='2025'!Maxi_hp</f>
        <v>0</v>
      </c>
      <c r="I16" s="375">
        <f>IF(H16,Wh_hp,'2025'!Maxi_hp)</f>
        <v>73.086107014148709</v>
      </c>
      <c r="J16" s="85">
        <f>IF(H16,An,'2025'!An_max)</f>
        <v>2022</v>
      </c>
      <c r="K16" s="193">
        <f t="shared" si="3"/>
        <v>46024</v>
      </c>
      <c r="L16" s="143">
        <f>IF(t&lt;Tvie,1-EXP((T0-t)*PertePVj)+'2025'!Pspv,1-EXP((T0-t)*PertePVj)+Pspv)</f>
        <v>2.1664681537297725E-2</v>
      </c>
      <c r="M16" s="835"/>
      <c r="N16" s="835"/>
      <c r="O16" s="48">
        <f>IF(t&lt;Tnet,'2025'!Resal+('2025'!Salim-'2025'!Resal)*(1-EXP(('2025'!Tnet-t)/('2025'!Tau_j))),Resal+(Salim-Resal)*(1-EXP((Tnet-t)/(Tau_j))))*Salcycl</f>
        <v>4.4357508546498642E-2</v>
      </c>
      <c r="P16" s="334">
        <f>(INDEX(Models!$BJ16:$BT16,,T16)*(1-R16)+INDEX(Models!$BJ16:$BT16,,T16+1)*R16-ERP_i)*Q16*Ramure*Pc/MaxiM</f>
        <v>2.3628726164150985E-3</v>
      </c>
      <c r="Q16" s="301">
        <f t="shared" si="4"/>
        <v>0.5</v>
      </c>
      <c r="R16" s="173">
        <f t="shared" si="5"/>
        <v>0.98955932601308949</v>
      </c>
      <c r="S16" s="801">
        <f t="shared" si="6"/>
        <v>1</v>
      </c>
      <c r="T16" s="172">
        <f t="shared" si="7"/>
        <v>7</v>
      </c>
      <c r="U16" s="247">
        <f t="shared" ref="U16:U78" si="20">IF(OR(t&lt;Ttai,Notai),Hdd+PousH*Croivg,Hdtf+PousH*(Croivg-Croi_tai))</f>
        <v>1.9895593260130895</v>
      </c>
      <c r="V16" s="378">
        <f t="shared" si="8"/>
        <v>93.682599537671152</v>
      </c>
      <c r="W16" s="397">
        <f t="shared" si="9"/>
        <v>68.169580614621623</v>
      </c>
      <c r="X16" s="153">
        <f t="shared" si="10"/>
        <v>46024</v>
      </c>
      <c r="Y16" s="380">
        <f t="shared" si="11"/>
        <v>66.802136293734748</v>
      </c>
      <c r="Z16" s="380">
        <f t="shared" ref="Z16:Z78" si="21">Wh_sa_s*(1-Psa_s)</f>
        <v>68.281431767896962</v>
      </c>
      <c r="AA16" s="381">
        <f t="shared" si="12"/>
        <v>72.913414788436484</v>
      </c>
      <c r="AB16" s="193">
        <f t="shared" si="13"/>
        <v>46024</v>
      </c>
      <c r="AC16" s="119">
        <f>IF(OR(t&lt;Tnet,NoTnet),'2025'!Resal_s+('2025'!Salim-'2025'!Resal_s)*(1-EXP(('2025'!Tnet_s-t)/'2025'!Tau_j)),Resal_s+(Salim-Resal_s)*(1-EXP((Tnet_s-t)/Tau_j)))*Salcycl</f>
        <v>6.3527171700564933E-2</v>
      </c>
      <c r="AD16" s="227">
        <f>(INDEX(Models!$BJ16:$BT16,,AH16)*(1-AF16)+INDEX(Models!$BJ16:$BT16,,AH16+1)*AF16-ERP_i)*AE16*Ramure*Pc/MaxiM</f>
        <v>2.3628726164150985E-3</v>
      </c>
      <c r="AE16" s="301">
        <f>IF(OR(t&lt;Ttai,Notai),Dd_s+PousD*Croivg,Dens_s+PousD*(Croivg-Croi_tai))</f>
        <v>0.5</v>
      </c>
      <c r="AF16" s="173">
        <f t="shared" ref="AF16:AF78" si="22">(Hp_vg_s-AG16)/(INDEX(Echel_vg,AH16+1)-AG16)</f>
        <v>0.98955932601308949</v>
      </c>
      <c r="AG16" s="801">
        <f t="shared" ref="AG16:AG79" si="23">INDEX(Echel_vg,AH16)</f>
        <v>1</v>
      </c>
      <c r="AH16" s="172">
        <f t="shared" si="15"/>
        <v>7</v>
      </c>
      <c r="AI16" s="221">
        <f t="shared" ref="AI16:AI78" si="24">IF(OR(t&lt;Ttai,Notai),Hdd_s+PousH*Croivg,Hdtai_s+PousH*(Croivg-Croi_tai))</f>
        <v>1.9895593260130895</v>
      </c>
      <c r="AJ16" s="261" t="b">
        <f t="shared" si="16"/>
        <v>1</v>
      </c>
      <c r="AK16" s="261" t="b">
        <f t="shared" si="17"/>
        <v>0</v>
      </c>
      <c r="AL16" s="261"/>
      <c r="AM16" s="261"/>
      <c r="AN16" s="75"/>
    </row>
    <row r="17" spans="1:40" s="6" customFormat="1" ht="11.25" x14ac:dyDescent="0.2">
      <c r="A17" s="56">
        <f t="shared" si="18"/>
        <v>46025</v>
      </c>
      <c r="B17" s="406">
        <f>'2025'!Wh/'2025'!Env_an*'2026'!Env_an</f>
        <v>70.99239286565205</v>
      </c>
      <c r="C17" s="831"/>
      <c r="D17" s="388">
        <f t="shared" si="0"/>
        <v>72.565472558786993</v>
      </c>
      <c r="E17" s="380">
        <f t="shared" si="1"/>
        <v>75.936675080283536</v>
      </c>
      <c r="F17" s="380">
        <f t="shared" si="2"/>
        <v>76.054264343581465</v>
      </c>
      <c r="G17" s="110">
        <f t="shared" si="19"/>
        <v>0.75232786960754738</v>
      </c>
      <c r="H17" s="409" t="b">
        <f>Wh_hp&gt;='2025'!Maxi_hp</f>
        <v>0</v>
      </c>
      <c r="I17" s="375">
        <f>IF(H17,Wh_hp,'2025'!Maxi_hp)</f>
        <v>76.118546681586153</v>
      </c>
      <c r="J17" s="85">
        <f>IF(H17,An,'2025'!An_max)</f>
        <v>2022</v>
      </c>
      <c r="K17" s="193">
        <f t="shared" si="3"/>
        <v>46025</v>
      </c>
      <c r="L17" s="143">
        <f>IF(t&lt;Tvie,1-EXP((T0-t)*PertePVj)+'2025'!Pspv,1-EXP((T0-t)*PertePVj)+Pspv)</f>
        <v>2.16780741262389E-2</v>
      </c>
      <c r="M17" s="835"/>
      <c r="N17" s="835"/>
      <c r="O17" s="48">
        <f>IF(t&lt;Tnet,'2025'!Resal+('2025'!Salim-'2025'!Resal)*(1-EXP(('2025'!Tnet-t)/('2025'!Tau_j))),Resal+(Salim-Resal)*(1-EXP((Tnet-t)/(Tau_j))))*Salcycl</f>
        <v>4.4394918765304922E-2</v>
      </c>
      <c r="P17" s="334">
        <f>(INDEX(Models!$BJ17:$BT17,,T17)*(1-R17)+INDEX(Models!$BJ17:$BT17,,T17+1)*R17-ERP_i)*Q17*Ramure*Pc/MaxiM</f>
        <v>2.3893439708073082E-3</v>
      </c>
      <c r="Q17" s="301">
        <f t="shared" si="4"/>
        <v>0.5</v>
      </c>
      <c r="R17" s="173">
        <f t="shared" si="5"/>
        <v>0.989589762608579</v>
      </c>
      <c r="S17" s="801">
        <f t="shared" si="6"/>
        <v>1</v>
      </c>
      <c r="T17" s="172">
        <f t="shared" si="7"/>
        <v>7</v>
      </c>
      <c r="U17" s="247">
        <f t="shared" si="20"/>
        <v>1.989589762608579</v>
      </c>
      <c r="V17" s="378">
        <f t="shared" si="8"/>
        <v>94.28394291089829</v>
      </c>
      <c r="W17" s="397">
        <f t="shared" si="9"/>
        <v>70.99239286565205</v>
      </c>
      <c r="X17" s="153">
        <f t="shared" si="10"/>
        <v>46025</v>
      </c>
      <c r="Y17" s="380">
        <f t="shared" si="11"/>
        <v>69.569882241846216</v>
      </c>
      <c r="Z17" s="380">
        <f t="shared" si="21"/>
        <v>71.111441338403822</v>
      </c>
      <c r="AA17" s="381">
        <f t="shared" si="12"/>
        <v>75.936675080283536</v>
      </c>
      <c r="AB17" s="193">
        <f t="shared" si="13"/>
        <v>46025</v>
      </c>
      <c r="AC17" s="119">
        <f>IF(OR(t&lt;Tnet,NoTnet),'2025'!Resal_s+('2025'!Salim-'2025'!Resal_s)*(1-EXP(('2025'!Tnet_s-t)/'2025'!Tau_j)),Resal_s+(Salim-Resal_s)*(1-EXP((Tnet_s-t)/Tau_j)))*Salcycl</f>
        <v>6.3542863007608169E-2</v>
      </c>
      <c r="AD17" s="227">
        <f>(INDEX(Models!$BJ17:$BT17,,AH17)*(1-AF17)+INDEX(Models!$BJ17:$BT17,,AH17+1)*AF17-ERP_i)*AE17*Ramure*Pc/MaxiM</f>
        <v>2.3893439708073082E-3</v>
      </c>
      <c r="AE17" s="301">
        <f t="shared" si="14"/>
        <v>0.5</v>
      </c>
      <c r="AF17" s="173">
        <f>(Hp_vg_s-AG17)/(INDEX(Echel_vg,AH17+1)-AG17)</f>
        <v>0.989589762608579</v>
      </c>
      <c r="AG17" s="801">
        <f>INDEX(Echel_vg,AH17)</f>
        <v>1</v>
      </c>
      <c r="AH17" s="172">
        <f t="shared" si="15"/>
        <v>7</v>
      </c>
      <c r="AI17" s="221">
        <f t="shared" si="24"/>
        <v>1.989589762608579</v>
      </c>
      <c r="AJ17" s="261" t="b">
        <f t="shared" si="16"/>
        <v>1</v>
      </c>
      <c r="AK17" s="261" t="b">
        <f t="shared" si="17"/>
        <v>0</v>
      </c>
      <c r="AL17" s="261"/>
      <c r="AM17" s="261"/>
      <c r="AN17" s="75"/>
    </row>
    <row r="18" spans="1:40" s="6" customFormat="1" ht="11.25" x14ac:dyDescent="0.2">
      <c r="A18" s="56">
        <f t="shared" si="18"/>
        <v>46026</v>
      </c>
      <c r="B18" s="406">
        <f>'2025'!Wh/'2025'!Env_an*'2026'!Env_an</f>
        <v>76.242168779191019</v>
      </c>
      <c r="C18" s="831"/>
      <c r="D18" s="388">
        <f t="shared" si="0"/>
        <v>77.932642076532517</v>
      </c>
      <c r="E18" s="380">
        <f t="shared" si="1"/>
        <v>81.556385815712872</v>
      </c>
      <c r="F18" s="380">
        <f t="shared" si="2"/>
        <v>81.698372410142809</v>
      </c>
      <c r="G18" s="110">
        <f t="shared" si="19"/>
        <v>0.80270300171744779</v>
      </c>
      <c r="H18" s="409" t="b">
        <f>Wh_hp&gt;='2025'!Maxi_hp</f>
        <v>0</v>
      </c>
      <c r="I18" s="375">
        <f>IF(H18,Wh_hp,'2025'!Maxi_hp)</f>
        <v>81.754015578877613</v>
      </c>
      <c r="J18" s="85">
        <f>IF(H18,An,'2025'!An_max)</f>
        <v>2022</v>
      </c>
      <c r="K18" s="193">
        <f t="shared" si="3"/>
        <v>46026</v>
      </c>
      <c r="L18" s="143">
        <f>IF(t&lt;Tvie,1-EXP((T0-t)*PertePVj)+'2025'!Pspv,1-EXP((T0-t)*PertePVj)+Pspv)</f>
        <v>2.1691466531846837E-2</v>
      </c>
      <c r="M18" s="835"/>
      <c r="N18" s="835"/>
      <c r="O18" s="48">
        <f>IF(t&lt;Tnet,'2025'!Resal+('2025'!Salim-'2025'!Resal)*(1-EXP(('2025'!Tnet-t)/('2025'!Tau_j))),Resal+(Salim-Resal)*(1-EXP((Tnet-t)/(Tau_j))))*Salcycl</f>
        <v>4.4432372804855173E-2</v>
      </c>
      <c r="P18" s="334">
        <f>(INDEX(Models!$BJ18:$BT18,,T18)*(1-R18)+INDEX(Models!$BJ18:$BT18,,T18+1)*R18-ERP_i)*Q18*Ramure*Pc/MaxiM</f>
        <v>2.4173994963997527E-3</v>
      </c>
      <c r="Q18" s="301">
        <f t="shared" si="4"/>
        <v>0.5</v>
      </c>
      <c r="R18" s="173">
        <f t="shared" si="5"/>
        <v>0.98962147213987417</v>
      </c>
      <c r="S18" s="801">
        <f t="shared" si="6"/>
        <v>1</v>
      </c>
      <c r="T18" s="172">
        <f t="shared" si="7"/>
        <v>7</v>
      </c>
      <c r="U18" s="247">
        <f t="shared" si="20"/>
        <v>1.9896214721398742</v>
      </c>
      <c r="V18" s="378">
        <f t="shared" si="8"/>
        <v>94.917142088279434</v>
      </c>
      <c r="W18" s="397">
        <f t="shared" si="9"/>
        <v>76.242168779191019</v>
      </c>
      <c r="X18" s="153">
        <f t="shared" si="10"/>
        <v>46026</v>
      </c>
      <c r="Y18" s="380">
        <f t="shared" si="11"/>
        <v>74.716133706288289</v>
      </c>
      <c r="Z18" s="380">
        <f>Wh_sa_s*(1-Psa_s)</f>
        <v>76.372771114870915</v>
      </c>
      <c r="AA18" s="381">
        <f t="shared" si="12"/>
        <v>81.556385815712872</v>
      </c>
      <c r="AB18" s="193">
        <f>t</f>
        <v>46026</v>
      </c>
      <c r="AC18" s="119">
        <f>IF(OR(t&lt;Tnet,NoTnet),'2025'!Resal_s+('2025'!Salim-'2025'!Resal_s)*(1-EXP(('2025'!Tnet_s-t)/'2025'!Tau_j)),Resal_s+(Salim-Resal_s)*(1-EXP((Tnet_s-t)/Tau_j)))*Salcycl</f>
        <v>6.3558661274605771E-2</v>
      </c>
      <c r="AD18" s="227">
        <f>(INDEX(Models!$BJ18:$BT18,,AH18)*(1-AF18)+INDEX(Models!$BJ18:$BT18,,AH18+1)*AF18-ERP_i)*AE18*Ramure*Pc/MaxiM</f>
        <v>2.4173994963997527E-3</v>
      </c>
      <c r="AE18" s="301">
        <f t="shared" si="14"/>
        <v>0.5</v>
      </c>
      <c r="AF18" s="173">
        <f t="shared" si="22"/>
        <v>0.98962147213987417</v>
      </c>
      <c r="AG18" s="801">
        <f t="shared" si="23"/>
        <v>1</v>
      </c>
      <c r="AH18" s="172">
        <f t="shared" si="15"/>
        <v>7</v>
      </c>
      <c r="AI18" s="221">
        <f t="shared" si="24"/>
        <v>1.9896214721398742</v>
      </c>
      <c r="AJ18" s="261" t="b">
        <f t="shared" si="16"/>
        <v>1</v>
      </c>
      <c r="AK18" s="261" t="b">
        <f t="shared" si="17"/>
        <v>0</v>
      </c>
      <c r="AL18" s="261"/>
      <c r="AM18" s="261"/>
      <c r="AN18" s="75"/>
    </row>
    <row r="19" spans="1:40" s="6" customFormat="1" ht="11.25" x14ac:dyDescent="0.2">
      <c r="A19" s="56">
        <f t="shared" si="18"/>
        <v>46027</v>
      </c>
      <c r="B19" s="406">
        <f>'2025'!Wh/'2025'!Env_an*'2026'!Env_an</f>
        <v>57.327773804287204</v>
      </c>
      <c r="C19" s="831"/>
      <c r="D19" s="388">
        <f t="shared" si="0"/>
        <v>58.599671394952729</v>
      </c>
      <c r="E19" s="380">
        <f t="shared" si="1"/>
        <v>61.326868779604695</v>
      </c>
      <c r="F19" s="380">
        <f t="shared" si="2"/>
        <v>61.391205067377811</v>
      </c>
      <c r="G19" s="110">
        <f t="shared" si="19"/>
        <v>0.59894576445759617</v>
      </c>
      <c r="H19" s="409" t="b">
        <f>Wh_hp&gt;='2025'!Maxi_hp</f>
        <v>0</v>
      </c>
      <c r="I19" s="375">
        <f>IF(H19,Wh_hp,'2025'!Maxi_hp)</f>
        <v>61.477299806338095</v>
      </c>
      <c r="J19" s="85">
        <f>IF(H19,An,'2025'!An_max)</f>
        <v>2022</v>
      </c>
      <c r="K19" s="193">
        <f t="shared" si="3"/>
        <v>46027</v>
      </c>
      <c r="L19" s="143">
        <f>IF(t&lt;Tvie,1-EXP((T0-t)*PertePVj)+'2025'!Pspv,1-EXP((T0-t)*PertePVj)+Pspv)</f>
        <v>2.1704858754123868E-2</v>
      </c>
      <c r="M19" s="835"/>
      <c r="N19" s="835"/>
      <c r="O19" s="48">
        <f>IF(t&lt;Tnet,'2025'!Resal+('2025'!Salim-'2025'!Resal)*(1-EXP(('2025'!Tnet-t)/('2025'!Tau_j))),Resal+(Salim-Resal)*(1-EXP((Tnet-t)/(Tau_j))))*Salcycl</f>
        <v>4.4469861887990937E-2</v>
      </c>
      <c r="P19" s="334">
        <f>(INDEX(Models!$BJ19:$BT19,,T19)*(1-R19)+INDEX(Models!$BJ19:$BT19,,T19+1)*R19-ERP_i)*Q19*Ramure*Pc/MaxiM</f>
        <v>2.4470163081365156E-3</v>
      </c>
      <c r="Q19" s="301">
        <f t="shared" si="4"/>
        <v>0.5</v>
      </c>
      <c r="R19" s="173">
        <f t="shared" si="5"/>
        <v>0.98965450767243568</v>
      </c>
      <c r="S19" s="801">
        <f t="shared" si="6"/>
        <v>1</v>
      </c>
      <c r="T19" s="172">
        <f t="shared" si="7"/>
        <v>7</v>
      </c>
      <c r="U19" s="247">
        <f t="shared" si="20"/>
        <v>1.9896545076724357</v>
      </c>
      <c r="V19" s="378">
        <f t="shared" si="8"/>
        <v>95.580416438708269</v>
      </c>
      <c r="W19" s="397">
        <f t="shared" si="9"/>
        <v>57.327773804287204</v>
      </c>
      <c r="X19" s="153">
        <f t="shared" si="10"/>
        <v>46027</v>
      </c>
      <c r="Y19" s="380">
        <f t="shared" si="11"/>
        <v>56.181572961721471</v>
      </c>
      <c r="Z19" s="380">
        <f t="shared" si="21"/>
        <v>57.428040468618953</v>
      </c>
      <c r="AA19" s="381">
        <f t="shared" si="12"/>
        <v>61.326868779604695</v>
      </c>
      <c r="AB19" s="193">
        <f t="shared" si="13"/>
        <v>46027</v>
      </c>
      <c r="AC19" s="119">
        <f>IF(OR(t&lt;Tnet,NoTnet),'2025'!Resal_s+('2025'!Salim-'2025'!Resal_s)*(1-EXP(('2025'!Tnet_s-t)/'2025'!Tau_j)),Resal_s+(Salim-Resal_s)*(1-EXP((Tnet_s-t)/Tau_j)))*Salcycl</f>
        <v>6.3574553675604606E-2</v>
      </c>
      <c r="AD19" s="227">
        <f>(INDEX(Models!$BJ19:$BT19,,AH19)*(1-AF19)+INDEX(Models!$BJ19:$BT19,,AH19+1)*AF19-ERP_i)*AE19*Ramure*Pc/MaxiM</f>
        <v>2.4470163081365156E-3</v>
      </c>
      <c r="AE19" s="301">
        <f t="shared" si="14"/>
        <v>0.5</v>
      </c>
      <c r="AF19" s="173">
        <f t="shared" si="22"/>
        <v>0.98965450767243568</v>
      </c>
      <c r="AG19" s="801">
        <f t="shared" si="23"/>
        <v>1</v>
      </c>
      <c r="AH19" s="172">
        <f t="shared" si="15"/>
        <v>7</v>
      </c>
      <c r="AI19" s="221">
        <f t="shared" si="24"/>
        <v>1.9896545076724357</v>
      </c>
      <c r="AJ19" s="261" t="b">
        <f t="shared" si="16"/>
        <v>1</v>
      </c>
      <c r="AK19" s="261" t="b">
        <f t="shared" si="17"/>
        <v>0</v>
      </c>
      <c r="AL19" s="261"/>
      <c r="AM19" s="261"/>
      <c r="AN19" s="75"/>
    </row>
    <row r="20" spans="1:40" s="6" customFormat="1" ht="11.25" x14ac:dyDescent="0.2">
      <c r="A20" s="56">
        <f t="shared" si="18"/>
        <v>46028</v>
      </c>
      <c r="B20" s="406">
        <f>'2025'!Wh/'2025'!Env_an*'2026'!Env_an</f>
        <v>98.193732742141037</v>
      </c>
      <c r="C20" s="831"/>
      <c r="D20" s="388">
        <f t="shared" si="0"/>
        <v>100.37367335304441</v>
      </c>
      <c r="E20" s="380">
        <f t="shared" si="1"/>
        <v>105.04913496457026</v>
      </c>
      <c r="F20" s="380">
        <f t="shared" si="2"/>
        <v>105.31011151518355</v>
      </c>
      <c r="G20" s="110">
        <f t="shared" si="19"/>
        <v>1.0199616450883786</v>
      </c>
      <c r="H20" s="409" t="b">
        <f>Wh_hp&gt;='2025'!Maxi_hp</f>
        <v>1</v>
      </c>
      <c r="I20" s="375">
        <f>IF(H20,Wh_hp,'2025'!Maxi_hp)</f>
        <v>105.31011151518355</v>
      </c>
      <c r="J20" s="85">
        <f>IF(H20,An,'2025'!An_max)</f>
        <v>2026</v>
      </c>
      <c r="K20" s="193">
        <f t="shared" si="3"/>
        <v>46028</v>
      </c>
      <c r="L20" s="143">
        <f>IF(t&lt;Tvie,1-EXP((T0-t)*PertePVj)+'2025'!Pspv,1-EXP((T0-t)*PertePVj)+Pspv)</f>
        <v>2.1718250793072658E-2</v>
      </c>
      <c r="M20" s="835"/>
      <c r="N20" s="835"/>
      <c r="O20" s="48">
        <f>IF(t&lt;Tnet,'2025'!Resal+('2025'!Salim-'2025'!Resal)*(1-EXP(('2025'!Tnet-t)/('2025'!Tau_j))),Resal+(Salim-Resal)*(1-EXP((Tnet-t)/(Tau_j))))*Salcycl</f>
        <v>4.45073785053322E-2</v>
      </c>
      <c r="P20" s="334">
        <f>(INDEX(Models!$BJ20:$BT20,,T20)*(1-R20)+INDEX(Models!$BJ20:$BT20,,T20+1)*R20-ERP_i)*Q20*Ramure*Pc/MaxiM</f>
        <v>2.4781718190058505E-3</v>
      </c>
      <c r="Q20" s="301">
        <f t="shared" si="4"/>
        <v>0.5</v>
      </c>
      <c r="R20" s="173">
        <f t="shared" si="5"/>
        <v>0.98968892446918644</v>
      </c>
      <c r="S20" s="801">
        <f t="shared" si="6"/>
        <v>1</v>
      </c>
      <c r="T20" s="172">
        <f t="shared" si="7"/>
        <v>7</v>
      </c>
      <c r="U20" s="247">
        <f t="shared" si="20"/>
        <v>1.9896889244691864</v>
      </c>
      <c r="V20" s="378">
        <f t="shared" si="8"/>
        <v>96.271985534939049</v>
      </c>
      <c r="W20" s="397">
        <f t="shared" si="9"/>
        <v>98.193732742141037</v>
      </c>
      <c r="X20" s="153">
        <f t="shared" si="10"/>
        <v>46028</v>
      </c>
      <c r="Y20" s="380">
        <f t="shared" si="11"/>
        <v>96.232602159118841</v>
      </c>
      <c r="Z20" s="380">
        <f t="shared" si="21"/>
        <v>98.369004877309237</v>
      </c>
      <c r="AA20" s="381">
        <f t="shared" si="12"/>
        <v>105.04913496457026</v>
      </c>
      <c r="AB20" s="193">
        <f t="shared" si="13"/>
        <v>46028</v>
      </c>
      <c r="AC20" s="119">
        <f>IF(OR(t&lt;Tnet,NoTnet),'2025'!Resal_s+('2025'!Salim-'2025'!Resal_s)*(1-EXP(('2025'!Tnet_s-t)/'2025'!Tau_j)),Resal_s+(Salim-Resal_s)*(1-EXP((Tnet_s-t)/Tau_j)))*Salcycl</f>
        <v>6.3590529227242329E-2</v>
      </c>
      <c r="AD20" s="227">
        <f>(INDEX(Models!$BJ20:$BT20,,AH20)*(1-AF20)+INDEX(Models!$BJ20:$BT20,,AH20+1)*AF20-ERP_i)*AE20*Ramure*Pc/MaxiM</f>
        <v>2.4781718190058505E-3</v>
      </c>
      <c r="AE20" s="301">
        <f t="shared" si="14"/>
        <v>0.5</v>
      </c>
      <c r="AF20" s="173">
        <f t="shared" si="22"/>
        <v>0.98968892446918644</v>
      </c>
      <c r="AG20" s="801">
        <f t="shared" si="23"/>
        <v>1</v>
      </c>
      <c r="AH20" s="172">
        <f t="shared" si="15"/>
        <v>7</v>
      </c>
      <c r="AI20" s="221">
        <f t="shared" si="24"/>
        <v>1.9896889244691864</v>
      </c>
      <c r="AJ20" s="261" t="b">
        <f t="shared" si="16"/>
        <v>1</v>
      </c>
      <c r="AK20" s="261" t="b">
        <f t="shared" si="17"/>
        <v>0</v>
      </c>
      <c r="AL20" s="261"/>
      <c r="AM20" s="261"/>
      <c r="AN20" s="75"/>
    </row>
    <row r="21" spans="1:40" s="6" customFormat="1" ht="11.25" x14ac:dyDescent="0.2">
      <c r="A21" s="56">
        <f t="shared" si="18"/>
        <v>46029</v>
      </c>
      <c r="B21" s="406">
        <f>'2025'!Wh/'2025'!Env_an*'2026'!Env_an</f>
        <v>37.144831216976776</v>
      </c>
      <c r="C21" s="831"/>
      <c r="D21" s="388">
        <f t="shared" si="0"/>
        <v>37.969981281565424</v>
      </c>
      <c r="E21" s="380">
        <f t="shared" si="1"/>
        <v>39.740205407893818</v>
      </c>
      <c r="F21" s="380">
        <f t="shared" si="2"/>
        <v>39.752036682876494</v>
      </c>
      <c r="G21" s="110">
        <f t="shared" si="19"/>
        <v>0.38212775263416288</v>
      </c>
      <c r="H21" s="409" t="b">
        <f>Wh_hp&gt;='2025'!Maxi_hp</f>
        <v>0</v>
      </c>
      <c r="I21" s="375">
        <f>IF(H21,Wh_hp,'2025'!Maxi_hp)</f>
        <v>39.840230222025987</v>
      </c>
      <c r="J21" s="85">
        <f>IF(H21,An,'2025'!An_max)</f>
        <v>2022</v>
      </c>
      <c r="K21" s="193">
        <f t="shared" si="3"/>
        <v>46029</v>
      </c>
      <c r="L21" s="143">
        <f>IF(t&lt;Tvie,1-EXP((T0-t)*PertePVj)+'2025'!Pspv,1-EXP((T0-t)*PertePVj)+Pspv)</f>
        <v>2.1731642648695759E-2</v>
      </c>
      <c r="M21" s="835"/>
      <c r="N21" s="835"/>
      <c r="O21" s="48">
        <f>IF(t&lt;Tnet,'2025'!Resal+('2025'!Salim-'2025'!Resal)*(1-EXP(('2025'!Tnet-t)/('2025'!Tau_j))),Resal+(Salim-Resal)*(1-EXP((Tnet-t)/(Tau_j))))*Salcycl</f>
        <v>4.4544916367663362E-2</v>
      </c>
      <c r="P21" s="334">
        <f>(INDEX(Models!$BJ21:$BT21,,T21)*(1-R21)+INDEX(Models!$BJ21:$BT21,,T21+1)*R21-ERP_i)*Q21*Ramure*Pc/MaxiM</f>
        <v>2.5108440164374021E-3</v>
      </c>
      <c r="Q21" s="301">
        <f t="shared" si="4"/>
        <v>0.5</v>
      </c>
      <c r="R21" s="173">
        <f t="shared" si="5"/>
        <v>0.98972478008024956</v>
      </c>
      <c r="S21" s="801">
        <f t="shared" si="6"/>
        <v>1</v>
      </c>
      <c r="T21" s="172">
        <f t="shared" si="7"/>
        <v>7</v>
      </c>
      <c r="U21" s="247">
        <f t="shared" si="20"/>
        <v>1.9897247800802496</v>
      </c>
      <c r="V21" s="378">
        <f t="shared" si="8"/>
        <v>96.990069184334573</v>
      </c>
      <c r="W21" s="397">
        <f t="shared" si="9"/>
        <v>37.144831216976776</v>
      </c>
      <c r="X21" s="153">
        <f t="shared" si="10"/>
        <v>46029</v>
      </c>
      <c r="Y21" s="380">
        <f t="shared" si="11"/>
        <v>36.403778871614726</v>
      </c>
      <c r="Z21" s="380">
        <f t="shared" si="21"/>
        <v>37.212466904458843</v>
      </c>
      <c r="AA21" s="381">
        <f t="shared" si="12"/>
        <v>39.740205407893818</v>
      </c>
      <c r="AB21" s="193">
        <f t="shared" si="13"/>
        <v>46029</v>
      </c>
      <c r="AC21" s="119">
        <f>IF(OR(t&lt;Tnet,NoTnet),'2025'!Resal_s+('2025'!Salim-'2025'!Resal_s)*(1-EXP(('2025'!Tnet_s-t)/'2025'!Tau_j)),Resal_s+(Salim-Resal_s)*(1-EXP((Tnet_s-t)/Tau_j)))*Salcycl</f>
        <v>6.3606578715188947E-2</v>
      </c>
      <c r="AD21" s="227">
        <f>(INDEX(Models!$BJ21:$BT21,,AH21)*(1-AF21)+INDEX(Models!$BJ21:$BT21,,AH21+1)*AF21-ERP_i)*AE21*Ramure*Pc/MaxiM</f>
        <v>2.5108440164374021E-3</v>
      </c>
      <c r="AE21" s="301">
        <f t="shared" si="14"/>
        <v>0.5</v>
      </c>
      <c r="AF21" s="173">
        <f t="shared" si="22"/>
        <v>0.98972478008024956</v>
      </c>
      <c r="AG21" s="801">
        <f t="shared" si="23"/>
        <v>1</v>
      </c>
      <c r="AH21" s="172">
        <f t="shared" si="15"/>
        <v>7</v>
      </c>
      <c r="AI21" s="221">
        <f t="shared" si="24"/>
        <v>1.9897247800802496</v>
      </c>
      <c r="AJ21" s="261" t="b">
        <f t="shared" si="16"/>
        <v>1</v>
      </c>
      <c r="AK21" s="261" t="b">
        <f t="shared" si="17"/>
        <v>0</v>
      </c>
      <c r="AL21" s="261"/>
      <c r="AM21" s="261"/>
      <c r="AN21" s="75"/>
    </row>
    <row r="22" spans="1:40" s="6" customFormat="1" ht="11.25" x14ac:dyDescent="0.2">
      <c r="A22" s="56">
        <f t="shared" si="18"/>
        <v>46030</v>
      </c>
      <c r="B22" s="406">
        <f>'2025'!Wh/'2025'!Env_an*'2026'!Env_an</f>
        <v>24.86917116057711</v>
      </c>
      <c r="C22" s="831"/>
      <c r="D22" s="388">
        <f t="shared" si="0"/>
        <v>25.421972832323398</v>
      </c>
      <c r="E22" s="380">
        <f t="shared" si="1"/>
        <v>26.608233618668695</v>
      </c>
      <c r="F22" s="380">
        <f t="shared" si="2"/>
        <v>26.608233618668695</v>
      </c>
      <c r="G22" s="110">
        <f t="shared" si="19"/>
        <v>0.25381301504601894</v>
      </c>
      <c r="H22" s="409" t="b">
        <f>Wh_hp&gt;='2025'!Maxi_hp</f>
        <v>0</v>
      </c>
      <c r="I22" s="375">
        <f>IF(H22,Wh_hp,'2025'!Maxi_hp)</f>
        <v>26.676117567913273</v>
      </c>
      <c r="J22" s="85">
        <f>IF(H22,An,'2025'!An_max)</f>
        <v>2022</v>
      </c>
      <c r="K22" s="193">
        <f t="shared" si="3"/>
        <v>46030</v>
      </c>
      <c r="L22" s="143">
        <f>IF(t&lt;Tvie,1-EXP((T0-t)*PertePVj)+'2025'!Pspv,1-EXP((T0-t)*PertePVj)+Pspv)</f>
        <v>2.1745034320995504E-2</v>
      </c>
      <c r="M22" s="835"/>
      <c r="N22" s="835"/>
      <c r="O22" s="48">
        <f>IF(t&lt;Tnet,'2025'!Resal+('2025'!Salim-'2025'!Resal)*(1-EXP(('2025'!Tnet-t)/('2025'!Tau_j))),Resal+(Salim-Resal)*(1-EXP((Tnet-t)/(Tau_j))))*Salcycl</f>
        <v>4.4582470349065116E-2</v>
      </c>
      <c r="P22" s="334">
        <f>(INDEX(Models!$BJ22:$BT22,,T22)*(1-R22)+INDEX(Models!$BJ22:$BT22,,T22+1)*R22-ERP_i)*Q22*Ramure*Pc/MaxiM</f>
        <v>2.5450117206053773E-3</v>
      </c>
      <c r="Q22" s="301">
        <f t="shared" si="4"/>
        <v>0.5</v>
      </c>
      <c r="R22" s="173">
        <f t="shared" si="5"/>
        <v>0.98976213443624683</v>
      </c>
      <c r="S22" s="801">
        <f t="shared" si="6"/>
        <v>1</v>
      </c>
      <c r="T22" s="172">
        <f t="shared" si="7"/>
        <v>7</v>
      </c>
      <c r="U22" s="247">
        <f t="shared" si="20"/>
        <v>1.9897621344362468</v>
      </c>
      <c r="V22" s="378">
        <f t="shared" si="8"/>
        <v>97.732887432877078</v>
      </c>
      <c r="W22" s="397">
        <f t="shared" si="9"/>
        <v>24.86917116057711</v>
      </c>
      <c r="X22" s="153">
        <f t="shared" si="10"/>
        <v>46030</v>
      </c>
      <c r="Y22" s="380">
        <f t="shared" si="11"/>
        <v>24.373561041097719</v>
      </c>
      <c r="Z22" s="380">
        <f t="shared" si="21"/>
        <v>24.91534609709861</v>
      </c>
      <c r="AA22" s="381">
        <f t="shared" si="12"/>
        <v>26.608233618668695</v>
      </c>
      <c r="AB22" s="193">
        <f t="shared" si="13"/>
        <v>46030</v>
      </c>
      <c r="AC22" s="119">
        <f>IF(OR(t&lt;Tnet,NoTnet),'2025'!Resal_s+('2025'!Salim-'2025'!Resal_s)*(1-EXP(('2025'!Tnet_s-t)/'2025'!Tau_j)),Resal_s+(Salim-Resal_s)*(1-EXP((Tnet_s-t)/Tau_j)))*Salcycl</f>
        <v>6.3622694607669519E-2</v>
      </c>
      <c r="AD22" s="227">
        <f>(INDEX(Models!$BJ22:$BT22,,AH22)*(1-AF22)+INDEX(Models!$BJ22:$BT22,,AH22+1)*AF22-ERP_i)*AE22*Ramure*Pc/MaxiM</f>
        <v>2.5450117206053773E-3</v>
      </c>
      <c r="AE22" s="301">
        <f t="shared" si="14"/>
        <v>0.5</v>
      </c>
      <c r="AF22" s="173">
        <f t="shared" si="22"/>
        <v>0.98976213443624683</v>
      </c>
      <c r="AG22" s="801">
        <f t="shared" si="23"/>
        <v>1</v>
      </c>
      <c r="AH22" s="172">
        <f t="shared" si="15"/>
        <v>7</v>
      </c>
      <c r="AI22" s="221">
        <f t="shared" si="24"/>
        <v>1.9897621344362468</v>
      </c>
      <c r="AJ22" s="261" t="b">
        <f t="shared" si="16"/>
        <v>1</v>
      </c>
      <c r="AK22" s="261" t="b">
        <f t="shared" si="17"/>
        <v>0</v>
      </c>
      <c r="AL22" s="261"/>
      <c r="AM22" s="261"/>
      <c r="AN22" s="75"/>
    </row>
    <row r="23" spans="1:40" s="6" customFormat="1" ht="11.25" x14ac:dyDescent="0.2">
      <c r="A23" s="56">
        <f t="shared" si="18"/>
        <v>46031</v>
      </c>
      <c r="B23" s="406">
        <f>'2025'!Wh/'2025'!Env_an*'2026'!Env_an</f>
        <v>7.7645032318689058</v>
      </c>
      <c r="C23" s="831"/>
      <c r="D23" s="388">
        <f t="shared" si="0"/>
        <v>7.9372043028306578</v>
      </c>
      <c r="E23" s="380">
        <f t="shared" si="1"/>
        <v>8.3079032483600681</v>
      </c>
      <c r="F23" s="380">
        <f t="shared" si="2"/>
        <v>8.3079032483600681</v>
      </c>
      <c r="G23" s="110">
        <f t="shared" si="19"/>
        <v>7.8617265662287508E-2</v>
      </c>
      <c r="H23" s="409" t="b">
        <f>Wh_hp&gt;='2025'!Maxi_hp</f>
        <v>0</v>
      </c>
      <c r="I23" s="375">
        <f>IF(H23,Wh_hp,'2025'!Maxi_hp)</f>
        <v>8.3293938096908722</v>
      </c>
      <c r="J23" s="85">
        <f>IF(H23,An,'2025'!An_max)</f>
        <v>2022</v>
      </c>
      <c r="K23" s="193">
        <f t="shared" si="3"/>
        <v>46031</v>
      </c>
      <c r="L23" s="143">
        <f>IF(t&lt;Tvie,1-EXP((T0-t)*PertePVj)+'2025'!Pspv,1-EXP((T0-t)*PertePVj)+Pspv)</f>
        <v>2.1758425809974558E-2</v>
      </c>
      <c r="M23" s="835"/>
      <c r="N23" s="835"/>
      <c r="O23" s="48">
        <f>IF(t&lt;Tnet,'2025'!Resal+('2025'!Salim-'2025'!Resal)*(1-EXP(('2025'!Tnet-t)/('2025'!Tau_j))),Resal+(Salim-Resal)*(1-EXP((Tnet-t)/(Tau_j))))*Salcycl</f>
        <v>4.4620036421654671E-2</v>
      </c>
      <c r="P23" s="334">
        <f>(INDEX(Models!$BJ23:$BT23,,T23)*(1-R23)+INDEX(Models!$BJ23:$BT23,,T23+1)*R23-ERP_i)*Q23*Ramure*Pc/MaxiM</f>
        <v>2.5803981176465386E-3</v>
      </c>
      <c r="Q23" s="301">
        <f t="shared" si="4"/>
        <v>0.5</v>
      </c>
      <c r="R23" s="173">
        <f t="shared" si="5"/>
        <v>0.98980104994528184</v>
      </c>
      <c r="S23" s="801">
        <f t="shared" si="6"/>
        <v>1</v>
      </c>
      <c r="T23" s="172">
        <f t="shared" si="7"/>
        <v>7</v>
      </c>
      <c r="U23" s="247">
        <f t="shared" si="20"/>
        <v>1.9898010499452818</v>
      </c>
      <c r="V23" s="378">
        <f t="shared" si="8"/>
        <v>98.50848483604706</v>
      </c>
      <c r="W23" s="397">
        <f t="shared" si="9"/>
        <v>7.7645032318689058</v>
      </c>
      <c r="X23" s="153">
        <f t="shared" si="10"/>
        <v>46031</v>
      </c>
      <c r="Y23" s="380">
        <f t="shared" si="11"/>
        <v>7.6099345703431984</v>
      </c>
      <c r="Z23" s="380">
        <f t="shared" si="21"/>
        <v>7.7791976656115338</v>
      </c>
      <c r="AA23" s="381">
        <f t="shared" si="12"/>
        <v>8.3079032483600681</v>
      </c>
      <c r="AB23" s="193">
        <f t="shared" si="13"/>
        <v>46031</v>
      </c>
      <c r="AC23" s="119">
        <f>IF(OR(t&lt;Tnet,NoTnet),'2025'!Resal_s+('2025'!Salim-'2025'!Resal_s)*(1-EXP(('2025'!Tnet_s-t)/'2025'!Tau_j)),Resal_s+(Salim-Resal_s)*(1-EXP((Tnet_s-t)/Tau_j)))*Salcycl</f>
        <v>6.3638870957349838E-2</v>
      </c>
      <c r="AD23" s="227">
        <f>(INDEX(Models!$BJ23:$BT23,,AH23)*(1-AF23)+INDEX(Models!$BJ23:$BT23,,AH23+1)*AF23-ERP_i)*AE23*Ramure*Pc/MaxiM</f>
        <v>2.5803981176465386E-3</v>
      </c>
      <c r="AE23" s="301">
        <f t="shared" si="14"/>
        <v>0.5</v>
      </c>
      <c r="AF23" s="173">
        <f t="shared" si="22"/>
        <v>0.98980104994528184</v>
      </c>
      <c r="AG23" s="801">
        <f t="shared" si="23"/>
        <v>1</v>
      </c>
      <c r="AH23" s="172">
        <f t="shared" si="15"/>
        <v>7</v>
      </c>
      <c r="AI23" s="221">
        <f t="shared" si="24"/>
        <v>1.9898010499452818</v>
      </c>
      <c r="AJ23" s="261" t="b">
        <f t="shared" si="16"/>
        <v>1</v>
      </c>
      <c r="AK23" s="261" t="b">
        <f t="shared" si="17"/>
        <v>0</v>
      </c>
      <c r="AL23" s="261"/>
      <c r="AM23" s="261"/>
      <c r="AN23" s="75"/>
    </row>
    <row r="24" spans="1:40" s="6" customFormat="1" ht="11.25" x14ac:dyDescent="0.2">
      <c r="A24" s="56">
        <f t="shared" si="18"/>
        <v>46032</v>
      </c>
      <c r="B24" s="406">
        <f>'2025'!Wh/'2025'!Env_an*'2026'!Env_an</f>
        <v>7.1379249372641747</v>
      </c>
      <c r="C24" s="831"/>
      <c r="D24" s="388">
        <f t="shared" si="0"/>
        <v>7.2967892994225272</v>
      </c>
      <c r="E24" s="380">
        <f t="shared" si="1"/>
        <v>7.6378787206461087</v>
      </c>
      <c r="F24" s="380">
        <f t="shared" si="2"/>
        <v>7.6378787206461087</v>
      </c>
      <c r="G24" s="110">
        <f t="shared" si="19"/>
        <v>7.1676627701584936E-2</v>
      </c>
      <c r="H24" s="409" t="b">
        <f>Wh_hp&gt;='2025'!Maxi_hp</f>
        <v>0</v>
      </c>
      <c r="I24" s="375">
        <f>IF(H24,Wh_hp,'2025'!Maxi_hp)</f>
        <v>7.65787086076881</v>
      </c>
      <c r="J24" s="85">
        <f>IF(H24,An,'2025'!An_max)</f>
        <v>2022</v>
      </c>
      <c r="K24" s="193">
        <f t="shared" si="3"/>
        <v>46032</v>
      </c>
      <c r="L24" s="143">
        <f>IF(t&lt;Tvie,1-EXP((T0-t)*PertePVj)+'2025'!Pspv,1-EXP((T0-t)*PertePVj)+Pspv)</f>
        <v>2.1771817115635361E-2</v>
      </c>
      <c r="M24" s="835"/>
      <c r="N24" s="835"/>
      <c r="O24" s="48">
        <f>IF(t&lt;Tnet,'2025'!Resal+('2025'!Salim-'2025'!Resal)*(1-EXP(('2025'!Tnet-t)/('2025'!Tau_j))),Resal+(Salim-Resal)*(1-EXP((Tnet-t)/(Tau_j))))*Salcycl</f>
        <v>4.4657611582856881E-2</v>
      </c>
      <c r="P24" s="334">
        <f>(INDEX(Models!$BJ24:$BT24,,T24)*(1-R24)+INDEX(Models!$BJ24:$BT24,,T24+1)*R24-ERP_i)*Q24*Ramure*Pc/MaxiM</f>
        <v>2.6110233104811647E-3</v>
      </c>
      <c r="Q24" s="301">
        <f t="shared" si="4"/>
        <v>0.5</v>
      </c>
      <c r="R24" s="173">
        <f t="shared" si="5"/>
        <v>0.98984159159375151</v>
      </c>
      <c r="S24" s="801">
        <f t="shared" si="6"/>
        <v>1</v>
      </c>
      <c r="T24" s="172">
        <f t="shared" si="7"/>
        <v>7</v>
      </c>
      <c r="U24" s="247">
        <f t="shared" si="20"/>
        <v>1.9898415915937515</v>
      </c>
      <c r="V24" s="378">
        <f t="shared" si="8"/>
        <v>99.325092113772655</v>
      </c>
      <c r="W24" s="397">
        <f t="shared" si="9"/>
        <v>7.1379249372641747</v>
      </c>
      <c r="X24" s="153">
        <f t="shared" si="10"/>
        <v>46032</v>
      </c>
      <c r="Y24" s="380">
        <f t="shared" si="11"/>
        <v>6.9959835019557426</v>
      </c>
      <c r="Z24" s="380">
        <f t="shared" si="21"/>
        <v>7.1516887617443858</v>
      </c>
      <c r="AA24" s="381">
        <f t="shared" si="12"/>
        <v>7.6378787206461087</v>
      </c>
      <c r="AB24" s="193">
        <f t="shared" si="13"/>
        <v>46032</v>
      </c>
      <c r="AC24" s="119">
        <f>IF(OR(t&lt;Tnet,NoTnet),'2025'!Resal_s+('2025'!Salim-'2025'!Resal_s)*(1-EXP(('2025'!Tnet_s-t)/'2025'!Tau_j)),Resal_s+(Salim-Resal_s)*(1-EXP((Tnet_s-t)/Tau_j)))*Salcycl</f>
        <v>6.3655103292946061E-2</v>
      </c>
      <c r="AD24" s="227">
        <f>(INDEX(Models!$BJ24:$BT24,,AH24)*(1-AF24)+INDEX(Models!$BJ24:$BT24,,AH24+1)*AF24-ERP_i)*AE24*Ramure*Pc/MaxiM</f>
        <v>2.6110233104811647E-3</v>
      </c>
      <c r="AE24" s="301">
        <f t="shared" si="14"/>
        <v>0.5</v>
      </c>
      <c r="AF24" s="173">
        <f t="shared" si="22"/>
        <v>0.98984159159375151</v>
      </c>
      <c r="AG24" s="801">
        <f t="shared" si="23"/>
        <v>1</v>
      </c>
      <c r="AH24" s="172">
        <f t="shared" si="15"/>
        <v>7</v>
      </c>
      <c r="AI24" s="221">
        <f t="shared" si="24"/>
        <v>1.9898415915937515</v>
      </c>
      <c r="AJ24" s="261" t="b">
        <f t="shared" si="16"/>
        <v>1</v>
      </c>
      <c r="AK24" s="261" t="b">
        <f t="shared" si="17"/>
        <v>0</v>
      </c>
      <c r="AL24" s="261"/>
      <c r="AM24" s="261"/>
      <c r="AN24" s="75"/>
    </row>
    <row r="25" spans="1:40" s="6" customFormat="1" ht="11.25" x14ac:dyDescent="0.2">
      <c r="A25" s="56">
        <f t="shared" si="18"/>
        <v>46033</v>
      </c>
      <c r="B25" s="406">
        <f>'2025'!Wh/'2025'!Env_an*'2026'!Env_an</f>
        <v>95.698894454900781</v>
      </c>
      <c r="C25" s="831"/>
      <c r="D25" s="388">
        <f t="shared" si="0"/>
        <v>97.830144525336976</v>
      </c>
      <c r="E25" s="380">
        <f t="shared" si="1"/>
        <v>102.40725670798743</v>
      </c>
      <c r="F25" s="380">
        <f t="shared" si="2"/>
        <v>102.66042349029681</v>
      </c>
      <c r="G25" s="110">
        <f t="shared" si="19"/>
        <v>0.95510234303251218</v>
      </c>
      <c r="H25" s="409" t="b">
        <f>Wh_hp&gt;='2025'!Maxi_hp</f>
        <v>0</v>
      </c>
      <c r="I25" s="375">
        <f>IF(H25,Wh_hp,'2025'!Maxi_hp)</f>
        <v>102.67775078920764</v>
      </c>
      <c r="J25" s="85">
        <f>IF(H25,An,'2025'!An_max)</f>
        <v>2022</v>
      </c>
      <c r="K25" s="193">
        <f t="shared" si="3"/>
        <v>46033</v>
      </c>
      <c r="L25" s="143">
        <f>IF(t&lt;Tvie,1-EXP((T0-t)*PertePVj)+'2025'!Pspv,1-EXP((T0-t)*PertePVj)+Pspv)</f>
        <v>2.1785208237980469E-2</v>
      </c>
      <c r="M25" s="835"/>
      <c r="N25" s="835"/>
      <c r="O25" s="48">
        <f>IF(t&lt;Tnet,'2025'!Resal+('2025'!Salim-'2025'!Resal)*(1-EXP(('2025'!Tnet-t)/('2025'!Tau_j))),Resal+(Salim-Resal)*(1-EXP((Tnet-t)/(Tau_j))))*Salcycl</f>
        <v>4.4695193776179441E-2</v>
      </c>
      <c r="P25" s="334">
        <f>(INDEX(Models!$BJ25:$BT25,,T25)*(1-R25)+INDEX(Models!$BJ25:$BT25,,T25+1)*R25-ERP_i)*Q25*Ramure*Pc/MaxiM</f>
        <v>2.634424066215679E-3</v>
      </c>
      <c r="Q25" s="301">
        <f t="shared" si="4"/>
        <v>0.5</v>
      </c>
      <c r="R25" s="173">
        <f t="shared" si="5"/>
        <v>0.98988382705111744</v>
      </c>
      <c r="S25" s="801">
        <f t="shared" si="6"/>
        <v>1</v>
      </c>
      <c r="T25" s="172">
        <f t="shared" si="7"/>
        <v>7</v>
      </c>
      <c r="U25" s="247">
        <f t="shared" si="20"/>
        <v>1.9898838270511174</v>
      </c>
      <c r="V25" s="378">
        <f t="shared" si="8"/>
        <v>100.18061737890294</v>
      </c>
      <c r="W25" s="397">
        <f t="shared" si="9"/>
        <v>95.698894454900781</v>
      </c>
      <c r="X25" s="153">
        <f t="shared" si="10"/>
        <v>46033</v>
      </c>
      <c r="Y25" s="380">
        <f t="shared" si="11"/>
        <v>93.797929606415607</v>
      </c>
      <c r="Z25" s="380">
        <f t="shared" si="21"/>
        <v>95.886844480710735</v>
      </c>
      <c r="AA25" s="381">
        <f t="shared" si="12"/>
        <v>102.40725670798743</v>
      </c>
      <c r="AB25" s="193">
        <f t="shared" si="13"/>
        <v>46033</v>
      </c>
      <c r="AC25" s="119">
        <f>IF(OR(t&lt;Tnet,NoTnet),'2025'!Resal_s+('2025'!Salim-'2025'!Resal_s)*(1-EXP(('2025'!Tnet_s-t)/'2025'!Tau_j)),Resal_s+(Salim-Resal_s)*(1-EXP((Tnet_s-t)/Tau_j)))*Salcycl</f>
        <v>6.3671388501984158E-2</v>
      </c>
      <c r="AD25" s="227">
        <f>(INDEX(Models!$BJ25:$BT25,,AH25)*(1-AF25)+INDEX(Models!$BJ25:$BT25,,AH25+1)*AF25-ERP_i)*AE25*Ramure*Pc/MaxiM</f>
        <v>2.634424066215679E-3</v>
      </c>
      <c r="AE25" s="301">
        <f t="shared" si="14"/>
        <v>0.5</v>
      </c>
      <c r="AF25" s="173">
        <f t="shared" si="22"/>
        <v>0.98988382705111744</v>
      </c>
      <c r="AG25" s="801">
        <f t="shared" si="23"/>
        <v>1</v>
      </c>
      <c r="AH25" s="172">
        <f t="shared" si="15"/>
        <v>7</v>
      </c>
      <c r="AI25" s="221">
        <f t="shared" si="24"/>
        <v>1.9898838270511174</v>
      </c>
      <c r="AJ25" s="261" t="b">
        <f t="shared" si="16"/>
        <v>1</v>
      </c>
      <c r="AK25" s="261" t="b">
        <f t="shared" si="17"/>
        <v>0</v>
      </c>
      <c r="AL25" s="261"/>
      <c r="AM25" s="261"/>
      <c r="AN25" s="75"/>
    </row>
    <row r="26" spans="1:40" s="6" customFormat="1" ht="11.25" x14ac:dyDescent="0.2">
      <c r="A26" s="56">
        <f t="shared" si="18"/>
        <v>46034</v>
      </c>
      <c r="B26" s="406">
        <f>'2025'!Wh/'2025'!Env_an*'2026'!Env_an</f>
        <v>82.050265029603338</v>
      </c>
      <c r="C26" s="831"/>
      <c r="D26" s="388">
        <f t="shared" si="0"/>
        <v>83.87870326148807</v>
      </c>
      <c r="E26" s="380">
        <f t="shared" si="1"/>
        <v>87.806533778172508</v>
      </c>
      <c r="F26" s="380">
        <f t="shared" si="2"/>
        <v>87.977042300337658</v>
      </c>
      <c r="G26" s="110">
        <f t="shared" si="19"/>
        <v>0.81121476691922612</v>
      </c>
      <c r="H26" s="409" t="b">
        <f>Wh_hp&gt;='2025'!Maxi_hp</f>
        <v>0</v>
      </c>
      <c r="I26" s="375">
        <f>IF(H26,Wh_hp,'2025'!Maxi_hp)</f>
        <v>88.039900443053</v>
      </c>
      <c r="J26" s="85">
        <f>IF(H26,An,'2025'!An_max)</f>
        <v>2022</v>
      </c>
      <c r="K26" s="193">
        <f t="shared" si="3"/>
        <v>46034</v>
      </c>
      <c r="L26" s="143">
        <f>IF(t&lt;Tvie,1-EXP((T0-t)*PertePVj)+'2025'!Pspv,1-EXP((T0-t)*PertePVj)+Pspv)</f>
        <v>2.1798599177012323E-2</v>
      </c>
      <c r="M26" s="835"/>
      <c r="N26" s="835"/>
      <c r="O26" s="48">
        <f>IF(t&lt;Tnet,'2025'!Resal+('2025'!Salim-'2025'!Resal)*(1-EXP(('2025'!Tnet-t)/('2025'!Tau_j))),Resal+(Salim-Resal)*(1-EXP((Tnet-t)/(Tau_j))))*Salcycl</f>
        <v>4.4732781806504314E-2</v>
      </c>
      <c r="P26" s="334">
        <f>(INDEX(Models!$BJ26:$BT26,,T26)*(1-R26)+INDEX(Models!$BJ26:$BT26,,T26+1)*R26-ERP_i)*Q26*Ramure*Pc/MaxiM</f>
        <v>2.6508135867783973E-3</v>
      </c>
      <c r="Q26" s="301">
        <f t="shared" si="4"/>
        <v>0.5</v>
      </c>
      <c r="R26" s="173">
        <f t="shared" si="5"/>
        <v>0.98992782677878854</v>
      </c>
      <c r="S26" s="801">
        <f t="shared" si="6"/>
        <v>1</v>
      </c>
      <c r="T26" s="172">
        <f t="shared" si="7"/>
        <v>7</v>
      </c>
      <c r="U26" s="247">
        <f t="shared" si="20"/>
        <v>1.9899278267787885</v>
      </c>
      <c r="V26" s="378">
        <f t="shared" si="8"/>
        <v>101.07270809121708</v>
      </c>
      <c r="W26" s="397">
        <f t="shared" si="9"/>
        <v>82.050265029603338</v>
      </c>
      <c r="X26" s="153">
        <f t="shared" si="10"/>
        <v>46034</v>
      </c>
      <c r="Y26" s="380">
        <f t="shared" si="11"/>
        <v>80.422178082915337</v>
      </c>
      <c r="Z26" s="380">
        <f t="shared" si="21"/>
        <v>82.21433542750394</v>
      </c>
      <c r="AA26" s="381">
        <f t="shared" si="12"/>
        <v>87.806533778172508</v>
      </c>
      <c r="AB26" s="193">
        <f t="shared" si="13"/>
        <v>46034</v>
      </c>
      <c r="AC26" s="119">
        <f>IF(OR(t&lt;Tnet,NoTnet),'2025'!Resal_s+('2025'!Salim-'2025'!Resal_s)*(1-EXP(('2025'!Tnet_s-t)/'2025'!Tau_j)),Resal_s+(Salim-Resal_s)*(1-EXP((Tnet_s-t)/Tau_j)))*Salcycl</f>
        <v>6.3687724706184778E-2</v>
      </c>
      <c r="AD26" s="227">
        <f>(INDEX(Models!$BJ26:$BT26,,AH26)*(1-AF26)+INDEX(Models!$BJ26:$BT26,,AH26+1)*AF26-ERP_i)*AE26*Ramure*Pc/MaxiM</f>
        <v>2.6508135867783973E-3</v>
      </c>
      <c r="AE26" s="301">
        <f t="shared" si="14"/>
        <v>0.5</v>
      </c>
      <c r="AF26" s="173">
        <f t="shared" si="22"/>
        <v>0.98992782677878854</v>
      </c>
      <c r="AG26" s="801">
        <f t="shared" si="23"/>
        <v>1</v>
      </c>
      <c r="AH26" s="172">
        <f t="shared" si="15"/>
        <v>7</v>
      </c>
      <c r="AI26" s="221">
        <f t="shared" si="24"/>
        <v>1.9899278267787885</v>
      </c>
      <c r="AJ26" s="261" t="b">
        <f t="shared" si="16"/>
        <v>1</v>
      </c>
      <c r="AK26" s="261" t="b">
        <f t="shared" si="17"/>
        <v>0</v>
      </c>
      <c r="AL26" s="261"/>
      <c r="AM26" s="261"/>
      <c r="AN26" s="75"/>
    </row>
    <row r="27" spans="1:40" s="6" customFormat="1" ht="11.25" x14ac:dyDescent="0.2">
      <c r="A27" s="56">
        <f t="shared" si="18"/>
        <v>46035</v>
      </c>
      <c r="B27" s="406">
        <f>'2025'!Wh/'2025'!Env_an*'2026'!Env_an</f>
        <v>26.328508588727054</v>
      </c>
      <c r="C27" s="831"/>
      <c r="D27" s="388">
        <f t="shared" si="0"/>
        <v>26.915591192859271</v>
      </c>
      <c r="E27" s="380">
        <f t="shared" si="1"/>
        <v>28.17709008965252</v>
      </c>
      <c r="F27" s="380">
        <f t="shared" si="2"/>
        <v>28.17709008965252</v>
      </c>
      <c r="G27" s="110">
        <f t="shared" si="19"/>
        <v>0.25743841332333023</v>
      </c>
      <c r="H27" s="409" t="b">
        <f>Wh_hp&gt;='2025'!Maxi_hp</f>
        <v>0</v>
      </c>
      <c r="I27" s="375">
        <f>IF(H27,Wh_hp,'2025'!Maxi_hp)</f>
        <v>28.252238664990184</v>
      </c>
      <c r="J27" s="85">
        <f>IF(H27,An,'2025'!An_max)</f>
        <v>2022</v>
      </c>
      <c r="K27" s="193">
        <f t="shared" si="3"/>
        <v>46035</v>
      </c>
      <c r="L27" s="143">
        <f>IF(t&lt;Tvie,1-EXP((T0-t)*PertePVj)+'2025'!Pspv,1-EXP((T0-t)*PertePVj)+Pspv)</f>
        <v>2.1811989932733478E-2</v>
      </c>
      <c r="M27" s="835"/>
      <c r="N27" s="835"/>
      <c r="O27" s="48">
        <f>IF(t&lt;Tnet,'2025'!Resal+('2025'!Salim-'2025'!Resal)*(1-EXP(('2025'!Tnet-t)/('2025'!Tau_j))),Resal+(Salim-Resal)*(1-EXP((Tnet-t)/(Tau_j))))*Salcycl</f>
        <v>4.4770375250938771E-2</v>
      </c>
      <c r="P27" s="334">
        <f>(INDEX(Models!$BJ27:$BT27,,T27)*(1-R27)+INDEX(Models!$BJ27:$BT27,,T27+1)*R27-ERP_i)*Q27*Ramure*Pc/MaxiM</f>
        <v>2.6604145500845103E-3</v>
      </c>
      <c r="Q27" s="301">
        <f t="shared" si="4"/>
        <v>0.5</v>
      </c>
      <c r="R27" s="173">
        <f t="shared" si="5"/>
        <v>0.98997366414325771</v>
      </c>
      <c r="S27" s="801">
        <f t="shared" si="6"/>
        <v>1</v>
      </c>
      <c r="T27" s="172">
        <f t="shared" si="7"/>
        <v>7</v>
      </c>
      <c r="U27" s="247">
        <f t="shared" si="20"/>
        <v>1.9899736641432577</v>
      </c>
      <c r="V27" s="378">
        <f t="shared" si="8"/>
        <v>101.99901212262452</v>
      </c>
      <c r="W27" s="397">
        <f t="shared" si="9"/>
        <v>26.328508588727054</v>
      </c>
      <c r="X27" s="153">
        <f t="shared" si="10"/>
        <v>46035</v>
      </c>
      <c r="Y27" s="380">
        <f t="shared" si="11"/>
        <v>25.80664765098086</v>
      </c>
      <c r="Z27" s="380">
        <f t="shared" si="21"/>
        <v>26.382093611233518</v>
      </c>
      <c r="AA27" s="381">
        <f t="shared" si="12"/>
        <v>28.17709008965252</v>
      </c>
      <c r="AB27" s="193">
        <f t="shared" si="13"/>
        <v>46035</v>
      </c>
      <c r="AC27" s="119">
        <f>IF(OR(t&lt;Tnet,NoTnet),'2025'!Resal_s+('2025'!Salim-'2025'!Resal_s)*(1-EXP(('2025'!Tnet_s-t)/'2025'!Tau_j)),Resal_s+(Salim-Resal_s)*(1-EXP((Tnet_s-t)/Tau_j)))*Salcycl</f>
        <v>6.370411113098505E-2</v>
      </c>
      <c r="AD27" s="227">
        <f>(INDEX(Models!$BJ27:$BT27,,AH27)*(1-AF27)+INDEX(Models!$BJ27:$BT27,,AH27+1)*AF27-ERP_i)*AE27*Ramure*Pc/MaxiM</f>
        <v>2.6604145500845103E-3</v>
      </c>
      <c r="AE27" s="301">
        <f t="shared" si="14"/>
        <v>0.5</v>
      </c>
      <c r="AF27" s="173">
        <f t="shared" si="22"/>
        <v>0.98997366414325771</v>
      </c>
      <c r="AG27" s="801">
        <f t="shared" si="23"/>
        <v>1</v>
      </c>
      <c r="AH27" s="172">
        <f t="shared" si="15"/>
        <v>7</v>
      </c>
      <c r="AI27" s="221">
        <f t="shared" si="24"/>
        <v>1.9899736641432577</v>
      </c>
      <c r="AJ27" s="261" t="b">
        <f t="shared" si="16"/>
        <v>1</v>
      </c>
      <c r="AK27" s="261" t="b">
        <f t="shared" si="17"/>
        <v>0</v>
      </c>
      <c r="AL27" s="261"/>
      <c r="AM27" s="261"/>
      <c r="AN27" s="75"/>
    </row>
    <row r="28" spans="1:40" s="6" customFormat="1" ht="11.25" x14ac:dyDescent="0.2">
      <c r="A28" s="56">
        <f t="shared" si="18"/>
        <v>46036</v>
      </c>
      <c r="B28" s="406">
        <f>'2025'!Wh/'2025'!Env_an*'2026'!Env_an</f>
        <v>105.00353497287814</v>
      </c>
      <c r="C28" s="831"/>
      <c r="D28" s="388">
        <f t="shared" si="0"/>
        <v>107.34641124414351</v>
      </c>
      <c r="E28" s="380">
        <f t="shared" si="1"/>
        <v>112.38202200539264</v>
      </c>
      <c r="F28" s="380">
        <f t="shared" si="2"/>
        <v>112.68214599647808</v>
      </c>
      <c r="G28" s="110">
        <f t="shared" si="19"/>
        <v>1.0198758094816889</v>
      </c>
      <c r="H28" s="409" t="b">
        <f>Wh_hp&gt;='2025'!Maxi_hp</f>
        <v>1</v>
      </c>
      <c r="I28" s="375">
        <f>IF(H28,Wh_hp,'2025'!Maxi_hp)</f>
        <v>112.68214599647808</v>
      </c>
      <c r="J28" s="85">
        <f>IF(H28,An,'2025'!An_max)</f>
        <v>2026</v>
      </c>
      <c r="K28" s="193">
        <f t="shared" si="3"/>
        <v>46036</v>
      </c>
      <c r="L28" s="143">
        <f>IF(t&lt;Tvie,1-EXP((T0-t)*PertePVj)+'2025'!Pspv,1-EXP((T0-t)*PertePVj)+Pspv)</f>
        <v>2.1825380505146486E-2</v>
      </c>
      <c r="M28" s="835"/>
      <c r="N28" s="835"/>
      <c r="O28" s="48">
        <f>IF(t&lt;Tnet,'2025'!Resal+('2025'!Salim-'2025'!Resal)*(1-EXP(('2025'!Tnet-t)/('2025'!Tau_j))),Resal+(Salim-Resal)*(1-EXP((Tnet-t)/(Tau_j))))*Salcycl</f>
        <v>4.4807974366286869E-2</v>
      </c>
      <c r="P28" s="334">
        <f>(INDEX(Models!$BJ28:$BT28,,T28)*(1-R28)+INDEX(Models!$BJ28:$BT28,,T28+1)*R28-ERP_i)*Q28*Ramure*Pc/MaxiM</f>
        <v>2.6634564724639571E-3</v>
      </c>
      <c r="Q28" s="301">
        <f t="shared" si="4"/>
        <v>0.5</v>
      </c>
      <c r="R28" s="173">
        <f t="shared" si="5"/>
        <v>0.99002141553364731</v>
      </c>
      <c r="S28" s="801">
        <f t="shared" si="6"/>
        <v>1</v>
      </c>
      <c r="T28" s="172">
        <f t="shared" si="7"/>
        <v>7</v>
      </c>
      <c r="U28" s="247">
        <f t="shared" si="20"/>
        <v>1.9900214155336473</v>
      </c>
      <c r="V28" s="378">
        <f t="shared" si="8"/>
        <v>102.95717772367011</v>
      </c>
      <c r="W28" s="397">
        <f t="shared" si="9"/>
        <v>105.00353497287814</v>
      </c>
      <c r="X28" s="153">
        <f t="shared" si="10"/>
        <v>46036</v>
      </c>
      <c r="Y28" s="380">
        <f t="shared" si="11"/>
        <v>102.9244900995884</v>
      </c>
      <c r="Z28" s="380">
        <f t="shared" si="21"/>
        <v>105.22097798115065</v>
      </c>
      <c r="AA28" s="381">
        <f t="shared" si="12"/>
        <v>112.38202200539264</v>
      </c>
      <c r="AB28" s="193">
        <f t="shared" si="13"/>
        <v>46036</v>
      </c>
      <c r="AC28" s="119">
        <f>IF(OR(t&lt;Tnet,NoTnet),'2025'!Resal_s+('2025'!Salim-'2025'!Resal_s)*(1-EXP(('2025'!Tnet_s-t)/'2025'!Tau_j)),Resal_s+(Salim-Resal_s)*(1-EXP((Tnet_s-t)/Tau_j)))*Salcycl</f>
        <v>6.3720547970727529E-2</v>
      </c>
      <c r="AD28" s="227">
        <f>(INDEX(Models!$BJ28:$BT28,,AH28)*(1-AF28)+INDEX(Models!$BJ28:$BT28,,AH28+1)*AF28-ERP_i)*AE28*Ramure*Pc/MaxiM</f>
        <v>2.6634564724639571E-3</v>
      </c>
      <c r="AE28" s="301">
        <f t="shared" si="14"/>
        <v>0.5</v>
      </c>
      <c r="AF28" s="173">
        <f t="shared" si="22"/>
        <v>0.99002141553364731</v>
      </c>
      <c r="AG28" s="801">
        <f t="shared" si="23"/>
        <v>1</v>
      </c>
      <c r="AH28" s="172">
        <f t="shared" si="15"/>
        <v>7</v>
      </c>
      <c r="AI28" s="221">
        <f t="shared" si="24"/>
        <v>1.9900214155336473</v>
      </c>
      <c r="AJ28" s="261" t="b">
        <f t="shared" si="16"/>
        <v>1</v>
      </c>
      <c r="AK28" s="261" t="b">
        <f t="shared" si="17"/>
        <v>0</v>
      </c>
      <c r="AL28" s="261"/>
      <c r="AM28" s="261"/>
      <c r="AN28" s="75"/>
    </row>
    <row r="29" spans="1:40" s="6" customFormat="1" ht="11.25" x14ac:dyDescent="0.2">
      <c r="A29" s="56">
        <f t="shared" si="18"/>
        <v>46037</v>
      </c>
      <c r="B29" s="406">
        <f>'2025'!Wh/'2025'!Env_an*'2026'!Env_an</f>
        <v>106.61443757036282</v>
      </c>
      <c r="C29" s="831"/>
      <c r="D29" s="388">
        <f t="shared" si="0"/>
        <v>108.99474892071912</v>
      </c>
      <c r="E29" s="380">
        <f t="shared" si="1"/>
        <v>114.11217562083688</v>
      </c>
      <c r="F29" s="380">
        <f t="shared" si="2"/>
        <v>114.4165434492556</v>
      </c>
      <c r="G29" s="110">
        <f t="shared" si="19"/>
        <v>1.025682695128749</v>
      </c>
      <c r="H29" s="409" t="b">
        <f>Wh_hp&gt;='2025'!Maxi_hp</f>
        <v>1</v>
      </c>
      <c r="I29" s="375">
        <f>IF(H29,Wh_hp,'2025'!Maxi_hp)</f>
        <v>114.4165434492556</v>
      </c>
      <c r="J29" s="85">
        <f>IF(H29,An,'2025'!An_max)</f>
        <v>2026</v>
      </c>
      <c r="K29" s="193">
        <f t="shared" si="3"/>
        <v>46037</v>
      </c>
      <c r="L29" s="143">
        <f>IF(t&lt;Tvie,1-EXP((T0-t)*PertePVj)+'2025'!Pspv,1-EXP((T0-t)*PertePVj)+Pspv)</f>
        <v>2.1838770894253678E-2</v>
      </c>
      <c r="M29" s="835"/>
      <c r="N29" s="835"/>
      <c r="O29" s="48">
        <f>IF(t&lt;Tnet,'2025'!Resal+('2025'!Salim-'2025'!Resal)*(1-EXP(('2025'!Tnet-t)/('2025'!Tau_j))),Resal+(Salim-Resal)*(1-EXP((Tnet-t)/(Tau_j))))*Salcycl</f>
        <v>4.4845579994211585E-2</v>
      </c>
      <c r="P29" s="334">
        <f>(INDEX(Models!$BJ29:$BT29,,T29)*(1-R29)+INDEX(Models!$BJ29:$BT29,,T29+1)*R29-ERP_i)*Q29*Ramure*Pc/MaxiM</f>
        <v>2.6601732515518055E-3</v>
      </c>
      <c r="Q29" s="301">
        <f t="shared" si="4"/>
        <v>0.5</v>
      </c>
      <c r="R29" s="173">
        <f t="shared" si="5"/>
        <v>0.99007116048381949</v>
      </c>
      <c r="S29" s="801">
        <f t="shared" si="6"/>
        <v>1</v>
      </c>
      <c r="T29" s="172">
        <f t="shared" si="7"/>
        <v>7</v>
      </c>
      <c r="U29" s="247">
        <f t="shared" si="20"/>
        <v>1.9900711604838195</v>
      </c>
      <c r="V29" s="378">
        <f t="shared" si="8"/>
        <v>103.94485358552338</v>
      </c>
      <c r="W29" s="397">
        <f t="shared" si="9"/>
        <v>106.61443757036282</v>
      </c>
      <c r="X29" s="153">
        <f t="shared" si="10"/>
        <v>46037</v>
      </c>
      <c r="Y29" s="380">
        <f t="shared" si="11"/>
        <v>104.50577122121274</v>
      </c>
      <c r="Z29" s="380">
        <f t="shared" si="21"/>
        <v>106.83900374660516</v>
      </c>
      <c r="AA29" s="381">
        <f t="shared" si="12"/>
        <v>114.11217562083688</v>
      </c>
      <c r="AB29" s="193">
        <f t="shared" si="13"/>
        <v>46037</v>
      </c>
      <c r="AC29" s="119">
        <f>IF(OR(t&lt;Tnet,NoTnet),'2025'!Resal_s+('2025'!Salim-'2025'!Resal_s)*(1-EXP(('2025'!Tnet_s-t)/'2025'!Tau_j)),Resal_s+(Salim-Resal_s)*(1-EXP((Tnet_s-t)/Tau_j)))*Salcycl</f>
        <v>6.3737036251052315E-2</v>
      </c>
      <c r="AD29" s="227">
        <f>(INDEX(Models!$BJ29:$BT29,,AH29)*(1-AF29)+INDEX(Models!$BJ29:$BT29,,AH29+1)*AF29-ERP_i)*AE29*Ramure*Pc/MaxiM</f>
        <v>2.6601732515518055E-3</v>
      </c>
      <c r="AE29" s="301">
        <f t="shared" si="14"/>
        <v>0.5</v>
      </c>
      <c r="AF29" s="173">
        <f t="shared" si="22"/>
        <v>0.99007116048381949</v>
      </c>
      <c r="AG29" s="801">
        <f t="shared" si="23"/>
        <v>1</v>
      </c>
      <c r="AH29" s="172">
        <f t="shared" si="15"/>
        <v>7</v>
      </c>
      <c r="AI29" s="221">
        <f t="shared" si="24"/>
        <v>1.9900711604838195</v>
      </c>
      <c r="AJ29" s="261" t="b">
        <f t="shared" si="16"/>
        <v>1</v>
      </c>
      <c r="AK29" s="261" t="b">
        <f t="shared" si="17"/>
        <v>0</v>
      </c>
      <c r="AL29" s="261"/>
      <c r="AM29" s="261"/>
      <c r="AN29" s="75"/>
    </row>
    <row r="30" spans="1:40" s="6" customFormat="1" ht="11.25" x14ac:dyDescent="0.2">
      <c r="A30" s="56">
        <f t="shared" si="18"/>
        <v>46038</v>
      </c>
      <c r="B30" s="406">
        <f>'2025'!Wh/'2025'!Env_an*'2026'!Env_an</f>
        <v>106.02979053090294</v>
      </c>
      <c r="C30" s="831"/>
      <c r="D30" s="388">
        <f t="shared" si="0"/>
        <v>108.39853273115401</v>
      </c>
      <c r="E30" s="380">
        <f t="shared" si="1"/>
        <v>113.49243567854592</v>
      </c>
      <c r="F30" s="380">
        <f t="shared" si="2"/>
        <v>113.79391184138983</v>
      </c>
      <c r="G30" s="110">
        <f t="shared" si="19"/>
        <v>1.0101938567944702</v>
      </c>
      <c r="H30" s="409" t="b">
        <f>Wh_hp&gt;='2025'!Maxi_hp</f>
        <v>1</v>
      </c>
      <c r="I30" s="375">
        <f>IF(H30,Wh_hp,'2025'!Maxi_hp)</f>
        <v>113.79391184138983</v>
      </c>
      <c r="J30" s="85">
        <f>IF(H30,An,'2025'!An_max)</f>
        <v>2026</v>
      </c>
      <c r="K30" s="193">
        <f t="shared" si="3"/>
        <v>46038</v>
      </c>
      <c r="L30" s="143">
        <f>IF(t&lt;Tvie,1-EXP((T0-t)*PertePVj)+'2025'!Pspv,1-EXP((T0-t)*PertePVj)+Pspv)</f>
        <v>2.1852161100057721E-2</v>
      </c>
      <c r="M30" s="835"/>
      <c r="N30" s="835"/>
      <c r="O30" s="48">
        <f>IF(t&lt;Tnet,'2025'!Resal+('2025'!Salim-'2025'!Resal)*(1-EXP(('2025'!Tnet-t)/('2025'!Tau_j))),Resal+(Salim-Resal)*(1-EXP((Tnet-t)/(Tau_j))))*Salcycl</f>
        <v>4.4883193465155631E-2</v>
      </c>
      <c r="P30" s="334">
        <f>(INDEX(Models!$BJ30:$BT30,,T30)*(1-R30)+INDEX(Models!$BJ30:$BT30,,T30+1)*R30-ERP_i)*Q30*Ramure*Pc/MaxiM</f>
        <v>2.6493171555972603E-3</v>
      </c>
      <c r="Q30" s="301">
        <f t="shared" si="4"/>
        <v>0.5</v>
      </c>
      <c r="R30" s="173">
        <f t="shared" si="5"/>
        <v>0.99012298179921276</v>
      </c>
      <c r="S30" s="801">
        <f t="shared" si="6"/>
        <v>1</v>
      </c>
      <c r="T30" s="172">
        <f t="shared" si="7"/>
        <v>7</v>
      </c>
      <c r="U30" s="247">
        <f t="shared" si="20"/>
        <v>1.9901229817992128</v>
      </c>
      <c r="V30" s="378">
        <f t="shared" si="8"/>
        <v>104.95984490279406</v>
      </c>
      <c r="W30" s="397">
        <f t="shared" si="9"/>
        <v>106.02979053090294</v>
      </c>
      <c r="X30" s="153">
        <f t="shared" si="10"/>
        <v>46038</v>
      </c>
      <c r="Y30" s="380">
        <f t="shared" si="11"/>
        <v>103.93494425355733</v>
      </c>
      <c r="Z30" s="380">
        <f t="shared" si="21"/>
        <v>106.25688686328444</v>
      </c>
      <c r="AA30" s="381">
        <f t="shared" si="12"/>
        <v>113.49243567854592</v>
      </c>
      <c r="AB30" s="193">
        <f t="shared" si="13"/>
        <v>46038</v>
      </c>
      <c r="AC30" s="119">
        <f>IF(OR(t&lt;Tnet,NoTnet),'2025'!Resal_s+('2025'!Salim-'2025'!Resal_s)*(1-EXP(('2025'!Tnet_s-t)/'2025'!Tau_j)),Resal_s+(Salim-Resal_s)*(1-EXP((Tnet_s-t)/Tau_j)))*Salcycl</f>
        <v>6.3753577690017452E-2</v>
      </c>
      <c r="AD30" s="227">
        <f>(INDEX(Models!$BJ30:$BT30,,AH30)*(1-AF30)+INDEX(Models!$BJ30:$BT30,,AH30+1)*AF30-ERP_i)*AE30*Ramure*Pc/MaxiM</f>
        <v>2.6493171555972603E-3</v>
      </c>
      <c r="AE30" s="301">
        <f t="shared" si="14"/>
        <v>0.5</v>
      </c>
      <c r="AF30" s="173">
        <f t="shared" si="22"/>
        <v>0.99012298179921276</v>
      </c>
      <c r="AG30" s="801">
        <f t="shared" si="23"/>
        <v>1</v>
      </c>
      <c r="AH30" s="172">
        <f t="shared" si="15"/>
        <v>7</v>
      </c>
      <c r="AI30" s="221">
        <f t="shared" si="24"/>
        <v>1.9901229817992128</v>
      </c>
      <c r="AJ30" s="261" t="b">
        <f t="shared" si="16"/>
        <v>1</v>
      </c>
      <c r="AK30" s="261" t="b">
        <f t="shared" si="17"/>
        <v>0</v>
      </c>
      <c r="AL30" s="261"/>
      <c r="AM30" s="261"/>
      <c r="AN30" s="75"/>
    </row>
    <row r="31" spans="1:40" s="6" customFormat="1" ht="11.25" x14ac:dyDescent="0.2">
      <c r="A31" s="56">
        <f t="shared" si="18"/>
        <v>46039</v>
      </c>
      <c r="B31" s="406">
        <f>'2025'!Wh/'2025'!Env_an*'2026'!Env_an</f>
        <v>83.264803356316918</v>
      </c>
      <c r="C31" s="831"/>
      <c r="D31" s="388">
        <f t="shared" si="0"/>
        <v>85.126133173078827</v>
      </c>
      <c r="E31" s="380">
        <f t="shared" si="1"/>
        <v>89.129922046158654</v>
      </c>
      <c r="F31" s="380">
        <f t="shared" si="2"/>
        <v>89.29288286581783</v>
      </c>
      <c r="G31" s="110">
        <f t="shared" si="19"/>
        <v>0.78488408033393342</v>
      </c>
      <c r="H31" s="409" t="b">
        <f>Wh_hp&gt;='2025'!Maxi_hp</f>
        <v>0</v>
      </c>
      <c r="I31" s="375">
        <f>IF(H31,Wh_hp,'2025'!Maxi_hp)</f>
        <v>89.36504341458523</v>
      </c>
      <c r="J31" s="85">
        <f>IF(H31,An,'2025'!An_max)</f>
        <v>2022</v>
      </c>
      <c r="K31" s="193">
        <f t="shared" si="3"/>
        <v>46039</v>
      </c>
      <c r="L31" s="143">
        <f>IF(t&lt;Tvie,1-EXP((T0-t)*PertePVj)+'2025'!Pspv,1-EXP((T0-t)*PertePVj)+Pspv)</f>
        <v>2.1865551122561167E-2</v>
      </c>
      <c r="M31" s="835"/>
      <c r="N31" s="835"/>
      <c r="O31" s="48">
        <f>IF(t&lt;Tnet,'2025'!Resal+('2025'!Salim-'2025'!Resal)*(1-EXP(('2025'!Tnet-t)/('2025'!Tau_j))),Resal+(Salim-Resal)*(1-EXP((Tnet-t)/(Tau_j))))*Salcycl</f>
        <v>4.492081650207605E-2</v>
      </c>
      <c r="P31" s="334">
        <f>(INDEX(Models!$BJ31:$BT31,,T31)*(1-R31)+INDEX(Models!$BJ31:$BT31,,T31+1)*R31-ERP_i)*Q31*Ramure*Pc/MaxiM</f>
        <v>2.6312286085981556E-3</v>
      </c>
      <c r="Q31" s="301">
        <f t="shared" si="4"/>
        <v>0.5</v>
      </c>
      <c r="R31" s="173">
        <f t="shared" si="5"/>
        <v>0.99017696568856683</v>
      </c>
      <c r="S31" s="801">
        <f t="shared" si="6"/>
        <v>1</v>
      </c>
      <c r="T31" s="172">
        <f t="shared" si="7"/>
        <v>7</v>
      </c>
      <c r="U31" s="247">
        <f t="shared" si="20"/>
        <v>1.9901769656885668</v>
      </c>
      <c r="V31" s="378">
        <f t="shared" si="8"/>
        <v>105.99979469402658</v>
      </c>
      <c r="W31" s="397">
        <f t="shared" si="9"/>
        <v>83.264803356316918</v>
      </c>
      <c r="X31" s="153">
        <f t="shared" si="10"/>
        <v>46039</v>
      </c>
      <c r="Y31" s="380">
        <f t="shared" si="11"/>
        <v>81.621496582221226</v>
      </c>
      <c r="Z31" s="380">
        <f t="shared" si="21"/>
        <v>83.446091358805091</v>
      </c>
      <c r="AA31" s="381">
        <f t="shared" si="12"/>
        <v>89.129922046158654</v>
      </c>
      <c r="AB31" s="193">
        <f t="shared" si="13"/>
        <v>46039</v>
      </c>
      <c r="AC31" s="119">
        <f>IF(OR(t&lt;Tnet,NoTnet),'2025'!Resal_s+('2025'!Salim-'2025'!Resal_s)*(1-EXP(('2025'!Tnet_s-t)/'2025'!Tau_j)),Resal_s+(Salim-Resal_s)*(1-EXP((Tnet_s-t)/Tau_j)))*Salcycl</f>
        <v>6.3770174559448348E-2</v>
      </c>
      <c r="AD31" s="227">
        <f>(INDEX(Models!$BJ31:$BT31,,AH31)*(1-AF31)+INDEX(Models!$BJ31:$BT31,,AH31+1)*AF31-ERP_i)*AE31*Ramure*Pc/MaxiM</f>
        <v>2.6312286085981556E-3</v>
      </c>
      <c r="AE31" s="301">
        <f t="shared" si="14"/>
        <v>0.5</v>
      </c>
      <c r="AF31" s="173">
        <f t="shared" si="22"/>
        <v>0.99017696568856683</v>
      </c>
      <c r="AG31" s="801">
        <f t="shared" si="23"/>
        <v>1</v>
      </c>
      <c r="AH31" s="172">
        <f t="shared" si="15"/>
        <v>7</v>
      </c>
      <c r="AI31" s="221">
        <f t="shared" si="24"/>
        <v>1.9901769656885668</v>
      </c>
      <c r="AJ31" s="261" t="b">
        <f t="shared" si="16"/>
        <v>1</v>
      </c>
      <c r="AK31" s="261" t="b">
        <f t="shared" si="17"/>
        <v>0</v>
      </c>
      <c r="AL31" s="261"/>
      <c r="AM31" s="261"/>
      <c r="AN31" s="75"/>
    </row>
    <row r="32" spans="1:40" s="6" customFormat="1" ht="11.25" x14ac:dyDescent="0.2">
      <c r="A32" s="56">
        <f t="shared" si="18"/>
        <v>46040</v>
      </c>
      <c r="B32" s="406">
        <f>'2025'!Wh/'2025'!Env_an*'2026'!Env_an</f>
        <v>21.809216573960953</v>
      </c>
      <c r="C32" s="831"/>
      <c r="D32" s="388">
        <f t="shared" si="0"/>
        <v>22.29705246854158</v>
      </c>
      <c r="E32" s="380">
        <f t="shared" si="1"/>
        <v>23.346683183372697</v>
      </c>
      <c r="F32" s="380">
        <f t="shared" si="2"/>
        <v>23.346683183372697</v>
      </c>
      <c r="G32" s="110">
        <f t="shared" si="19"/>
        <v>0.20317485249069023</v>
      </c>
      <c r="H32" s="409" t="b">
        <f>Wh_hp&gt;='2025'!Maxi_hp</f>
        <v>0</v>
      </c>
      <c r="I32" s="375">
        <f>IF(H32,Wh_hp,'2025'!Maxi_hp)</f>
        <v>23.40767107813555</v>
      </c>
      <c r="J32" s="85">
        <f>IF(H32,An,'2025'!An_max)</f>
        <v>2022</v>
      </c>
      <c r="K32" s="193">
        <f t="shared" si="3"/>
        <v>46040</v>
      </c>
      <c r="L32" s="143">
        <f>IF(t&lt;Tvie,1-EXP((T0-t)*PertePVj)+'2025'!Pspv,1-EXP((T0-t)*PertePVj)+Pspv)</f>
        <v>2.1878940961766347E-2</v>
      </c>
      <c r="M32" s="835"/>
      <c r="N32" s="835"/>
      <c r="O32" s="48">
        <f>IF(t&lt;Tnet,'2025'!Resal+('2025'!Salim-'2025'!Resal)*(1-EXP(('2025'!Tnet-t)/('2025'!Tau_j))),Resal+(Salim-Resal)*(1-EXP((Tnet-t)/(Tau_j))))*Salcycl</f>
        <v>4.4958451125025618E-2</v>
      </c>
      <c r="P32" s="334">
        <f>(INDEX(Models!$BJ32:$BT32,,T32)*(1-R32)+INDEX(Models!$BJ32:$BT32,,T32+1)*R32-ERP_i)*Q32*Ramure*Pc/MaxiM</f>
        <v>2.6061836774298858E-3</v>
      </c>
      <c r="Q32" s="301">
        <f t="shared" si="4"/>
        <v>0.5</v>
      </c>
      <c r="R32" s="173">
        <f t="shared" si="5"/>
        <v>0.99023320190070852</v>
      </c>
      <c r="S32" s="801">
        <f t="shared" si="6"/>
        <v>1</v>
      </c>
      <c r="T32" s="172">
        <f t="shared" si="7"/>
        <v>7</v>
      </c>
      <c r="U32" s="247">
        <f t="shared" si="20"/>
        <v>1.9902332019007085</v>
      </c>
      <c r="V32" s="378">
        <f t="shared" si="8"/>
        <v>107.06235286035256</v>
      </c>
      <c r="W32" s="397">
        <f t="shared" si="9"/>
        <v>21.809216573960953</v>
      </c>
      <c r="X32" s="153">
        <f t="shared" si="10"/>
        <v>46040</v>
      </c>
      <c r="Y32" s="380">
        <f t="shared" si="11"/>
        <v>21.37925393699885</v>
      </c>
      <c r="Z32" s="380">
        <f t="shared" si="21"/>
        <v>21.85747228264427</v>
      </c>
      <c r="AA32" s="381">
        <f t="shared" si="12"/>
        <v>23.346683183372697</v>
      </c>
      <c r="AB32" s="193">
        <f t="shared" si="13"/>
        <v>46040</v>
      </c>
      <c r="AC32" s="119">
        <f>IF(OR(t&lt;Tnet,NoTnet),'2025'!Resal_s+('2025'!Salim-'2025'!Resal_s)*(1-EXP(('2025'!Tnet_s-t)/'2025'!Tau_j)),Resal_s+(Salim-Resal_s)*(1-EXP((Tnet_s-t)/Tau_j)))*Salcycl</f>
        <v>6.3786829547977528E-2</v>
      </c>
      <c r="AD32" s="227">
        <f>(INDEX(Models!$BJ32:$BT32,,AH32)*(1-AF32)+INDEX(Models!$BJ32:$BT32,,AH32+1)*AF32-ERP_i)*AE32*Ramure*Pc/MaxiM</f>
        <v>2.6061836774298858E-3</v>
      </c>
      <c r="AE32" s="301">
        <f t="shared" si="14"/>
        <v>0.5</v>
      </c>
      <c r="AF32" s="173">
        <f t="shared" si="22"/>
        <v>0.99023320190070852</v>
      </c>
      <c r="AG32" s="801">
        <f t="shared" si="23"/>
        <v>1</v>
      </c>
      <c r="AH32" s="172">
        <f t="shared" si="15"/>
        <v>7</v>
      </c>
      <c r="AI32" s="221">
        <f t="shared" si="24"/>
        <v>1.9902332019007085</v>
      </c>
      <c r="AJ32" s="261" t="b">
        <f t="shared" si="16"/>
        <v>1</v>
      </c>
      <c r="AK32" s="261" t="b">
        <f t="shared" si="17"/>
        <v>0</v>
      </c>
      <c r="AL32" s="261"/>
      <c r="AM32" s="261"/>
      <c r="AN32" s="75"/>
    </row>
    <row r="33" spans="1:40" s="6" customFormat="1" ht="11.25" x14ac:dyDescent="0.2">
      <c r="A33" s="56">
        <f t="shared" si="18"/>
        <v>46041</v>
      </c>
      <c r="B33" s="406">
        <f>'2025'!Wh/'2025'!Env_an*'2026'!Env_an</f>
        <v>44.53948223096166</v>
      </c>
      <c r="C33" s="831"/>
      <c r="D33" s="388">
        <f t="shared" si="0"/>
        <v>45.536379710720787</v>
      </c>
      <c r="E33" s="380">
        <f t="shared" si="1"/>
        <v>47.68187825162331</v>
      </c>
      <c r="F33" s="380">
        <f t="shared" si="2"/>
        <v>47.701500621317081</v>
      </c>
      <c r="G33" s="110">
        <f t="shared" si="19"/>
        <v>0.41095778456481313</v>
      </c>
      <c r="H33" s="409" t="b">
        <f>Wh_hp&gt;='2025'!Maxi_hp</f>
        <v>0</v>
      </c>
      <c r="I33" s="375">
        <f>IF(H33,Wh_hp,'2025'!Maxi_hp)</f>
        <v>47.804919366126292</v>
      </c>
      <c r="J33" s="85">
        <f>IF(H33,An,'2025'!An_max)</f>
        <v>2022</v>
      </c>
      <c r="K33" s="193">
        <f t="shared" si="3"/>
        <v>46041</v>
      </c>
      <c r="L33" s="143">
        <f>IF(t&lt;Tvie,1-EXP((T0-t)*PertePVj)+'2025'!Pspv,1-EXP((T0-t)*PertePVj)+Pspv)</f>
        <v>2.1892330617675926E-2</v>
      </c>
      <c r="M33" s="835"/>
      <c r="N33" s="835"/>
      <c r="O33" s="48">
        <f>IF(t&lt;Tnet,'2025'!Resal+('2025'!Salim-'2025'!Resal)*(1-EXP(('2025'!Tnet-t)/('2025'!Tau_j))),Resal+(Salim-Resal)*(1-EXP((Tnet-t)/(Tau_j))))*Salcycl</f>
        <v>4.4996099557581527E-2</v>
      </c>
      <c r="P33" s="334">
        <f>(INDEX(Models!$BJ33:$BT33,,T33)*(1-R33)+INDEX(Models!$BJ33:$BT33,,T33+1)*R33-ERP_i)*Q33*Ramure*Pc/MaxiM</f>
        <v>2.5744547708081086E-3</v>
      </c>
      <c r="Q33" s="301">
        <f t="shared" si="4"/>
        <v>0.5</v>
      </c>
      <c r="R33" s="173">
        <f t="shared" si="5"/>
        <v>0.99029178386656946</v>
      </c>
      <c r="S33" s="801">
        <f t="shared" si="6"/>
        <v>1</v>
      </c>
      <c r="T33" s="172">
        <f t="shared" si="7"/>
        <v>7</v>
      </c>
      <c r="U33" s="247">
        <f t="shared" si="20"/>
        <v>1.9902917838665695</v>
      </c>
      <c r="V33" s="378">
        <f t="shared" si="8"/>
        <v>108.14516969771707</v>
      </c>
      <c r="W33" s="397">
        <f t="shared" si="9"/>
        <v>44.53948223096166</v>
      </c>
      <c r="X33" s="153">
        <f t="shared" si="10"/>
        <v>46041</v>
      </c>
      <c r="Y33" s="380">
        <f t="shared" si="11"/>
        <v>43.662340357887857</v>
      </c>
      <c r="Z33" s="380">
        <f t="shared" si="21"/>
        <v>44.639605357006012</v>
      </c>
      <c r="AA33" s="381">
        <f t="shared" si="12"/>
        <v>47.68187825162331</v>
      </c>
      <c r="AB33" s="193">
        <f t="shared" si="13"/>
        <v>46041</v>
      </c>
      <c r="AC33" s="119">
        <f>IF(OR(t&lt;Tnet,NoTnet),'2025'!Resal_s+('2025'!Salim-'2025'!Resal_s)*(1-EXP(('2025'!Tnet_s-t)/'2025'!Tau_j)),Resal_s+(Salim-Resal_s)*(1-EXP((Tnet_s-t)/Tau_j)))*Salcycl</f>
        <v>6.3803545627184363E-2</v>
      </c>
      <c r="AD33" s="227">
        <f>(INDEX(Models!$BJ33:$BT33,,AH33)*(1-AF33)+INDEX(Models!$BJ33:$BT33,,AH33+1)*AF33-ERP_i)*AE33*Ramure*Pc/MaxiM</f>
        <v>2.5744547708081086E-3</v>
      </c>
      <c r="AE33" s="301">
        <f t="shared" si="14"/>
        <v>0.5</v>
      </c>
      <c r="AF33" s="173">
        <f t="shared" si="22"/>
        <v>0.99029178386656946</v>
      </c>
      <c r="AG33" s="801">
        <f t="shared" si="23"/>
        <v>1</v>
      </c>
      <c r="AH33" s="172">
        <f t="shared" si="15"/>
        <v>7</v>
      </c>
      <c r="AI33" s="221">
        <f t="shared" si="24"/>
        <v>1.9902917838665695</v>
      </c>
      <c r="AJ33" s="261" t="b">
        <f t="shared" si="16"/>
        <v>1</v>
      </c>
      <c r="AK33" s="261" t="b">
        <f t="shared" si="17"/>
        <v>0</v>
      </c>
      <c r="AL33" s="261"/>
      <c r="AM33" s="261"/>
      <c r="AN33" s="75"/>
    </row>
    <row r="34" spans="1:40" s="6" customFormat="1" ht="11.25" x14ac:dyDescent="0.2">
      <c r="A34" s="56">
        <f t="shared" si="18"/>
        <v>46042</v>
      </c>
      <c r="B34" s="406">
        <f>'2025'!Wh/'2025'!Env_an*'2026'!Env_an</f>
        <v>22.95559178368125</v>
      </c>
      <c r="C34" s="831"/>
      <c r="D34" s="388">
        <f t="shared" si="0"/>
        <v>23.469712741598272</v>
      </c>
      <c r="E34" s="380">
        <f t="shared" si="1"/>
        <v>24.576484340691024</v>
      </c>
      <c r="F34" s="380">
        <f t="shared" si="2"/>
        <v>24.576484340691024</v>
      </c>
      <c r="G34" s="110">
        <f t="shared" si="19"/>
        <v>0.20959477806603796</v>
      </c>
      <c r="H34" s="409" t="b">
        <f>Wh_hp&gt;='2025'!Maxi_hp</f>
        <v>0</v>
      </c>
      <c r="I34" s="375">
        <f>IF(H34,Wh_hp,'2025'!Maxi_hp)</f>
        <v>24.638956934020555</v>
      </c>
      <c r="J34" s="85">
        <f>IF(H34,An,'2025'!An_max)</f>
        <v>2022</v>
      </c>
      <c r="K34" s="193">
        <f t="shared" si="3"/>
        <v>46042</v>
      </c>
      <c r="L34" s="143">
        <f>IF(t&lt;Tvie,1-EXP((T0-t)*PertePVj)+'2025'!Pspv,1-EXP((T0-t)*PertePVj)+Pspv)</f>
        <v>2.1905720090292458E-2</v>
      </c>
      <c r="M34" s="835"/>
      <c r="N34" s="835"/>
      <c r="O34" s="48">
        <f>IF(t&lt;Tnet,'2025'!Resal+('2025'!Salim-'2025'!Resal)*(1-EXP(('2025'!Tnet-t)/('2025'!Tau_j))),Resal+(Salim-Resal)*(1-EXP((Tnet-t)/(Tau_j))))*Salcycl</f>
        <v>4.5033764136080442E-2</v>
      </c>
      <c r="P34" s="334">
        <f>(INDEX(Models!$BJ34:$BT34,,T34)*(1-R34)+INDEX(Models!$BJ34:$BT34,,T34+1)*R34-ERP_i)*Q34*Ramure*Pc/MaxiM</f>
        <v>2.5363207553389566E-3</v>
      </c>
      <c r="Q34" s="301">
        <f t="shared" si="4"/>
        <v>0.5</v>
      </c>
      <c r="R34" s="173">
        <f t="shared" si="5"/>
        <v>0.99035280884661225</v>
      </c>
      <c r="S34" s="801">
        <f t="shared" si="6"/>
        <v>1</v>
      </c>
      <c r="T34" s="172">
        <f t="shared" si="7"/>
        <v>7</v>
      </c>
      <c r="U34" s="247">
        <f t="shared" si="20"/>
        <v>1.9903528088466123</v>
      </c>
      <c r="V34" s="378">
        <f t="shared" si="8"/>
        <v>109.24589463089978</v>
      </c>
      <c r="W34" s="397">
        <f t="shared" si="9"/>
        <v>22.95559178368125</v>
      </c>
      <c r="X34" s="153">
        <f t="shared" si="10"/>
        <v>46042</v>
      </c>
      <c r="Y34" s="380">
        <f t="shared" si="11"/>
        <v>22.503998180489173</v>
      </c>
      <c r="Z34" s="380">
        <f t="shared" si="21"/>
        <v>23.00800510004682</v>
      </c>
      <c r="AA34" s="381">
        <f t="shared" si="12"/>
        <v>24.576484340691024</v>
      </c>
      <c r="AB34" s="193">
        <f t="shared" si="13"/>
        <v>46042</v>
      </c>
      <c r="AC34" s="119">
        <f>IF(OR(t&lt;Tnet,NoTnet),'2025'!Resal_s+('2025'!Salim-'2025'!Resal_s)*(1-EXP(('2025'!Tnet_s-t)/'2025'!Tau_j)),Resal_s+(Salim-Resal_s)*(1-EXP((Tnet_s-t)/Tau_j)))*Salcycl</f>
        <v>6.3820325922178039E-2</v>
      </c>
      <c r="AD34" s="227">
        <f>(INDEX(Models!$BJ34:$BT34,,AH34)*(1-AF34)+INDEX(Models!$BJ34:$BT34,,AH34+1)*AF34-ERP_i)*AE34*Ramure*Pc/MaxiM</f>
        <v>2.5363207553389566E-3</v>
      </c>
      <c r="AE34" s="301">
        <f t="shared" si="14"/>
        <v>0.5</v>
      </c>
      <c r="AF34" s="173">
        <f t="shared" si="22"/>
        <v>0.99035280884661225</v>
      </c>
      <c r="AG34" s="801">
        <f t="shared" si="23"/>
        <v>1</v>
      </c>
      <c r="AH34" s="172">
        <f t="shared" si="15"/>
        <v>7</v>
      </c>
      <c r="AI34" s="221">
        <f t="shared" si="24"/>
        <v>1.9903528088466123</v>
      </c>
      <c r="AJ34" s="261" t="b">
        <f t="shared" si="16"/>
        <v>1</v>
      </c>
      <c r="AK34" s="261" t="b">
        <f t="shared" si="17"/>
        <v>0</v>
      </c>
      <c r="AL34" s="261"/>
      <c r="AM34" s="261"/>
      <c r="AN34" s="75"/>
    </row>
    <row r="35" spans="1:40" s="6" customFormat="1" ht="11.25" x14ac:dyDescent="0.2">
      <c r="A35" s="56">
        <f t="shared" si="18"/>
        <v>46043</v>
      </c>
      <c r="B35" s="406">
        <f>'2025'!Wh/'2025'!Env_an*'2026'!Env_an</f>
        <v>57.632389648002061</v>
      </c>
      <c r="C35" s="831"/>
      <c r="D35" s="388">
        <f t="shared" si="0"/>
        <v>58.923950156562938</v>
      </c>
      <c r="E35" s="380">
        <f t="shared" si="1"/>
        <v>61.705087763038712</v>
      </c>
      <c r="F35" s="380">
        <f t="shared" si="2"/>
        <v>61.75394075435095</v>
      </c>
      <c r="G35" s="110">
        <f t="shared" si="19"/>
        <v>0.52132245698029844</v>
      </c>
      <c r="H35" s="409" t="b">
        <f>Wh_hp&gt;='2025'!Maxi_hp</f>
        <v>0</v>
      </c>
      <c r="I35" s="375">
        <f>IF(H35,Wh_hp,'2025'!Maxi_hp)</f>
        <v>61.859209054823204</v>
      </c>
      <c r="J35" s="85">
        <f>IF(H35,An,'2025'!An_max)</f>
        <v>2022</v>
      </c>
      <c r="K35" s="193">
        <f t="shared" si="3"/>
        <v>46043</v>
      </c>
      <c r="L35" s="143">
        <f>IF(t&lt;Tvie,1-EXP((T0-t)*PertePVj)+'2025'!Pspv,1-EXP((T0-t)*PertePVj)+Pspv)</f>
        <v>2.1919109379618273E-2</v>
      </c>
      <c r="M35" s="835"/>
      <c r="N35" s="835"/>
      <c r="O35" s="48">
        <f>IF(t&lt;Tnet,'2025'!Resal+('2025'!Salim-'2025'!Resal)*(1-EXP(('2025'!Tnet-t)/('2025'!Tau_j))),Resal+(Salim-Resal)*(1-EXP((Tnet-t)/(Tau_j))))*Salcycl</f>
        <v>4.5071447222568728E-2</v>
      </c>
      <c r="P35" s="334">
        <f>(INDEX(Models!$BJ35:$BT35,,T35)*(1-R35)+INDEX(Models!$BJ35:$BT35,,T35+1)*R35-ERP_i)*Q35*Ramure*Pc/MaxiM</f>
        <v>2.4920579705215882E-3</v>
      </c>
      <c r="Q35" s="301">
        <f t="shared" si="4"/>
        <v>0.5</v>
      </c>
      <c r="R35" s="173">
        <f t="shared" si="5"/>
        <v>0.99041637808384841</v>
      </c>
      <c r="S35" s="801">
        <f t="shared" si="6"/>
        <v>1</v>
      </c>
      <c r="T35" s="172">
        <f t="shared" si="7"/>
        <v>7</v>
      </c>
      <c r="U35" s="247">
        <f t="shared" si="20"/>
        <v>1.9904163780838484</v>
      </c>
      <c r="V35" s="378">
        <f t="shared" si="8"/>
        <v>110.36217695593302</v>
      </c>
      <c r="W35" s="397">
        <f t="shared" si="9"/>
        <v>57.632389648002061</v>
      </c>
      <c r="X35" s="153">
        <f t="shared" si="10"/>
        <v>46043</v>
      </c>
      <c r="Y35" s="380">
        <f t="shared" si="11"/>
        <v>56.499829886574425</v>
      </c>
      <c r="Z35" s="380">
        <f t="shared" si="21"/>
        <v>57.766009364253549</v>
      </c>
      <c r="AA35" s="381">
        <f t="shared" si="12"/>
        <v>61.705087763038712</v>
      </c>
      <c r="AB35" s="193">
        <f t="shared" si="13"/>
        <v>46043</v>
      </c>
      <c r="AC35" s="119">
        <f>IF(OR(t&lt;Tnet,NoTnet),'2025'!Resal_s+('2025'!Salim-'2025'!Resal_s)*(1-EXP(('2025'!Tnet_s-t)/'2025'!Tau_j)),Resal_s+(Salim-Resal_s)*(1-EXP((Tnet_s-t)/Tau_j)))*Salcycl</f>
        <v>6.3837173587891163E-2</v>
      </c>
      <c r="AD35" s="227">
        <f>(INDEX(Models!$BJ35:$BT35,,AH35)*(1-AF35)+INDEX(Models!$BJ35:$BT35,,AH35+1)*AF35-ERP_i)*AE35*Ramure*Pc/MaxiM</f>
        <v>2.4920579705215882E-3</v>
      </c>
      <c r="AE35" s="301">
        <f t="shared" si="14"/>
        <v>0.5</v>
      </c>
      <c r="AF35" s="173">
        <f t="shared" si="22"/>
        <v>0.99041637808384841</v>
      </c>
      <c r="AG35" s="801">
        <f t="shared" si="23"/>
        <v>1</v>
      </c>
      <c r="AH35" s="172">
        <f t="shared" si="15"/>
        <v>7</v>
      </c>
      <c r="AI35" s="221">
        <f t="shared" si="24"/>
        <v>1.9904163780838484</v>
      </c>
      <c r="AJ35" s="261" t="b">
        <f t="shared" si="16"/>
        <v>1</v>
      </c>
      <c r="AK35" s="261" t="b">
        <f t="shared" si="17"/>
        <v>0</v>
      </c>
      <c r="AL35" s="261"/>
      <c r="AM35" s="261"/>
      <c r="AN35" s="75"/>
    </row>
    <row r="36" spans="1:40" s="6" customFormat="1" ht="11.25" x14ac:dyDescent="0.2">
      <c r="A36" s="56">
        <f t="shared" si="18"/>
        <v>46044</v>
      </c>
      <c r="B36" s="406">
        <f>'2025'!Wh/'2025'!Env_an*'2026'!Env_an</f>
        <v>110.68619515338729</v>
      </c>
      <c r="C36" s="831"/>
      <c r="D36" s="388">
        <f t="shared" si="0"/>
        <v>113.16825779612512</v>
      </c>
      <c r="E36" s="380">
        <f t="shared" si="1"/>
        <v>118.51433902538278</v>
      </c>
      <c r="F36" s="380">
        <f t="shared" si="2"/>
        <v>118.80144905817043</v>
      </c>
      <c r="G36" s="110">
        <f t="shared" si="19"/>
        <v>0.99275041206465964</v>
      </c>
      <c r="H36" s="409" t="b">
        <f>Wh_hp&gt;='2025'!Maxi_hp</f>
        <v>0</v>
      </c>
      <c r="I36" s="375">
        <f>IF(H36,Wh_hp,'2025'!Maxi_hp)</f>
        <v>118.80444939274724</v>
      </c>
      <c r="J36" s="85">
        <f>IF(H36,An,'2025'!An_max)</f>
        <v>2022</v>
      </c>
      <c r="K36" s="193">
        <f t="shared" si="3"/>
        <v>46044</v>
      </c>
      <c r="L36" s="143">
        <f>IF(t&lt;Tvie,1-EXP((T0-t)*PertePVj)+'2025'!Pspv,1-EXP((T0-t)*PertePVj)+Pspv)</f>
        <v>2.1932498485655927E-2</v>
      </c>
      <c r="M36" s="835"/>
      <c r="N36" s="835"/>
      <c r="O36" s="48">
        <f>IF(t&lt;Tnet,'2025'!Resal+('2025'!Salim-'2025'!Resal)*(1-EXP(('2025'!Tnet-t)/('2025'!Tau_j))),Resal+(Salim-Resal)*(1-EXP((Tnet-t)/(Tau_j))))*Salcycl</f>
        <v>4.5109151122318385E-2</v>
      </c>
      <c r="P36" s="334">
        <f>(INDEX(Models!$BJ36:$BT36,,T36)*(1-R36)+INDEX(Models!$BJ36:$BT36,,T36+1)*R36-ERP_i)*Q36*Ramure*Pc/MaxiM</f>
        <v>2.4419240647781722E-3</v>
      </c>
      <c r="Q36" s="301">
        <f t="shared" si="4"/>
        <v>0.5</v>
      </c>
      <c r="R36" s="173">
        <f t="shared" si="5"/>
        <v>0.99048259696263052</v>
      </c>
      <c r="S36" s="801">
        <f t="shared" si="6"/>
        <v>1</v>
      </c>
      <c r="T36" s="172">
        <f t="shared" si="7"/>
        <v>7</v>
      </c>
      <c r="U36" s="247">
        <f t="shared" si="20"/>
        <v>1.9904825969626305</v>
      </c>
      <c r="V36" s="378">
        <f t="shared" si="8"/>
        <v>111.49166748241456</v>
      </c>
      <c r="W36" s="397">
        <f t="shared" si="9"/>
        <v>110.68619515338729</v>
      </c>
      <c r="X36" s="153">
        <f t="shared" si="10"/>
        <v>46044</v>
      </c>
      <c r="Y36" s="380">
        <f t="shared" si="11"/>
        <v>108.51337492738759</v>
      </c>
      <c r="Z36" s="380">
        <f t="shared" si="21"/>
        <v>110.94671355440815</v>
      </c>
      <c r="AA36" s="381">
        <f t="shared" si="12"/>
        <v>118.51433902538278</v>
      </c>
      <c r="AB36" s="193">
        <f t="shared" si="13"/>
        <v>46044</v>
      </c>
      <c r="AC36" s="119">
        <f>IF(OR(t&lt;Tnet,NoTnet),'2025'!Resal_s+('2025'!Salim-'2025'!Resal_s)*(1-EXP(('2025'!Tnet_s-t)/'2025'!Tau_j)),Resal_s+(Salim-Resal_s)*(1-EXP((Tnet_s-t)/Tau_j)))*Salcycl</f>
        <v>6.3854091692262166E-2</v>
      </c>
      <c r="AD36" s="227">
        <f>(INDEX(Models!$BJ36:$BT36,,AH36)*(1-AF36)+INDEX(Models!$BJ36:$BT36,,AH36+1)*AF36-ERP_i)*AE36*Ramure*Pc/MaxiM</f>
        <v>2.4419240647781722E-3</v>
      </c>
      <c r="AE36" s="301">
        <f t="shared" si="14"/>
        <v>0.5</v>
      </c>
      <c r="AF36" s="173">
        <f t="shared" si="22"/>
        <v>0.99048259696263052</v>
      </c>
      <c r="AG36" s="801">
        <f t="shared" si="23"/>
        <v>1</v>
      </c>
      <c r="AH36" s="172">
        <f t="shared" si="15"/>
        <v>7</v>
      </c>
      <c r="AI36" s="221">
        <f t="shared" si="24"/>
        <v>1.9904825969626305</v>
      </c>
      <c r="AJ36" s="261" t="b">
        <f t="shared" si="16"/>
        <v>1</v>
      </c>
      <c r="AK36" s="261" t="b">
        <f t="shared" si="17"/>
        <v>0</v>
      </c>
      <c r="AL36" s="261"/>
      <c r="AM36" s="261"/>
      <c r="AN36" s="75"/>
    </row>
    <row r="37" spans="1:40" s="6" customFormat="1" ht="11.25" x14ac:dyDescent="0.2">
      <c r="A37" s="56">
        <f t="shared" si="18"/>
        <v>46045</v>
      </c>
      <c r="B37" s="406">
        <f>'2025'!Wh/'2025'!Env_an*'2026'!Env_an</f>
        <v>112.51086071484286</v>
      </c>
      <c r="C37" s="831"/>
      <c r="D37" s="388">
        <f t="shared" si="0"/>
        <v>115.03541497997284</v>
      </c>
      <c r="E37" s="380">
        <f t="shared" si="1"/>
        <v>120.4744607629604</v>
      </c>
      <c r="F37" s="380">
        <f t="shared" si="2"/>
        <v>120.76211294853243</v>
      </c>
      <c r="G37" s="110">
        <f t="shared" si="19"/>
        <v>0.99882952104967282</v>
      </c>
      <c r="H37" s="409" t="b">
        <f>Wh_hp&gt;='2025'!Maxi_hp</f>
        <v>0</v>
      </c>
      <c r="I37" s="375">
        <f>IF(H37,Wh_hp,'2025'!Maxi_hp)</f>
        <v>120.76259406342568</v>
      </c>
      <c r="J37" s="85">
        <f>IF(H37,An,'2025'!An_max)</f>
        <v>2022</v>
      </c>
      <c r="K37" s="193">
        <f t="shared" si="3"/>
        <v>46045</v>
      </c>
      <c r="L37" s="143">
        <f>IF(t&lt;Tvie,1-EXP((T0-t)*PertePVj)+'2025'!Pspv,1-EXP((T0-t)*PertePVj)+Pspv)</f>
        <v>2.1945887408407971E-2</v>
      </c>
      <c r="M37" s="835"/>
      <c r="N37" s="835"/>
      <c r="O37" s="48">
        <f>IF(t&lt;Tnet,'2025'!Resal+('2025'!Salim-'2025'!Resal)*(1-EXP(('2025'!Tnet-t)/('2025'!Tau_j))),Resal+(Salim-Resal)*(1-EXP((Tnet-t)/(Tau_j))))*Salcycl</f>
        <v>4.5146878006693557E-2</v>
      </c>
      <c r="P37" s="334">
        <f>(INDEX(Models!$BJ37:$BT37,,T37)*(1-R37)+INDEX(Models!$BJ37:$BT37,,T37+1)*R37-ERP_i)*Q37*Ramure*Pc/MaxiM</f>
        <v>2.3859497793823439E-3</v>
      </c>
      <c r="Q37" s="301">
        <f t="shared" si="4"/>
        <v>0.5</v>
      </c>
      <c r="R37" s="173">
        <f t="shared" si="5"/>
        <v>0.99055157517340775</v>
      </c>
      <c r="S37" s="801">
        <f t="shared" si="6"/>
        <v>1</v>
      </c>
      <c r="T37" s="172">
        <f t="shared" si="7"/>
        <v>7</v>
      </c>
      <c r="U37" s="247">
        <f t="shared" si="20"/>
        <v>1.9905515751734078</v>
      </c>
      <c r="V37" s="378">
        <f t="shared" si="8"/>
        <v>112.64225769415793</v>
      </c>
      <c r="W37" s="397">
        <f t="shared" si="9"/>
        <v>112.51086071484286</v>
      </c>
      <c r="X37" s="153">
        <f t="shared" si="10"/>
        <v>46045</v>
      </c>
      <c r="Y37" s="380">
        <f t="shared" si="11"/>
        <v>110.30457748283915</v>
      </c>
      <c r="Z37" s="380">
        <f t="shared" si="21"/>
        <v>112.77962646725176</v>
      </c>
      <c r="AA37" s="381">
        <f t="shared" si="12"/>
        <v>120.4744607629604</v>
      </c>
      <c r="AB37" s="193">
        <f t="shared" si="13"/>
        <v>46045</v>
      </c>
      <c r="AC37" s="119">
        <f>IF(OR(t&lt;Tnet,NoTnet),'2025'!Resal_s+('2025'!Salim-'2025'!Resal_s)*(1-EXP(('2025'!Tnet_s-t)/'2025'!Tau_j)),Resal_s+(Salim-Resal_s)*(1-EXP((Tnet_s-t)/Tau_j)))*Salcycl</f>
        <v>6.3871083107386803E-2</v>
      </c>
      <c r="AD37" s="227">
        <f>(INDEX(Models!$BJ37:$BT37,,AH37)*(1-AF37)+INDEX(Models!$BJ37:$BT37,,AH37+1)*AF37-ERP_i)*AE37*Ramure*Pc/MaxiM</f>
        <v>2.3859497793823439E-3</v>
      </c>
      <c r="AE37" s="301">
        <f t="shared" si="14"/>
        <v>0.5</v>
      </c>
      <c r="AF37" s="173">
        <f t="shared" si="22"/>
        <v>0.99055157517340775</v>
      </c>
      <c r="AG37" s="801">
        <f t="shared" si="23"/>
        <v>1</v>
      </c>
      <c r="AH37" s="172">
        <f t="shared" si="15"/>
        <v>7</v>
      </c>
      <c r="AI37" s="221">
        <f t="shared" si="24"/>
        <v>1.9905515751734078</v>
      </c>
      <c r="AJ37" s="261" t="b">
        <f t="shared" si="16"/>
        <v>1</v>
      </c>
      <c r="AK37" s="261" t="b">
        <f t="shared" si="17"/>
        <v>0</v>
      </c>
      <c r="AL37" s="261"/>
      <c r="AM37" s="261"/>
      <c r="AN37" s="75"/>
    </row>
    <row r="38" spans="1:40" s="6" customFormat="1" ht="11.25" x14ac:dyDescent="0.2">
      <c r="A38" s="56">
        <f t="shared" si="18"/>
        <v>46046</v>
      </c>
      <c r="B38" s="406">
        <f>'2025'!Wh/'2025'!Env_an*'2026'!Env_an</f>
        <v>113.90445215911906</v>
      </c>
      <c r="C38" s="831"/>
      <c r="D38" s="388">
        <f t="shared" si="0"/>
        <v>116.46187053489307</v>
      </c>
      <c r="E38" s="380">
        <f t="shared" si="1"/>
        <v>121.97318369061351</v>
      </c>
      <c r="F38" s="380">
        <f t="shared" si="2"/>
        <v>122.2570683053769</v>
      </c>
      <c r="G38" s="110">
        <f t="shared" si="19"/>
        <v>1.000721756393286</v>
      </c>
      <c r="H38" s="409" t="b">
        <f>Wh_hp&gt;='2025'!Maxi_hp</f>
        <v>1</v>
      </c>
      <c r="I38" s="375">
        <f>IF(H38,Wh_hp,'2025'!Maxi_hp)</f>
        <v>122.2570683053769</v>
      </c>
      <c r="J38" s="85">
        <f>IF(H38,An,'2025'!An_max)</f>
        <v>2026</v>
      </c>
      <c r="K38" s="193">
        <f t="shared" si="3"/>
        <v>46046</v>
      </c>
      <c r="L38" s="143">
        <f>IF(t&lt;Tvie,1-EXP((T0-t)*PertePVj)+'2025'!Pspv,1-EXP((T0-t)*PertePVj)+Pspv)</f>
        <v>2.1959276147876849E-2</v>
      </c>
      <c r="M38" s="835"/>
      <c r="N38" s="835"/>
      <c r="O38" s="48">
        <f>IF(t&lt;Tnet,'2025'!Resal+('2025'!Salim-'2025'!Resal)*(1-EXP(('2025'!Tnet-t)/('2025'!Tau_j))),Resal+(Salim-Resal)*(1-EXP((Tnet-t)/(Tau_j))))*Salcycl</f>
        <v>4.518462984208043E-2</v>
      </c>
      <c r="P38" s="334">
        <f>(INDEX(Models!$BJ38:$BT38,,T38)*(1-R38)+INDEX(Models!$BJ38:$BT38,,T38+1)*R38-ERP_i)*Q38*Ramure*Pc/MaxiM</f>
        <v>2.3220302817527345E-3</v>
      </c>
      <c r="Q38" s="301">
        <f t="shared" si="4"/>
        <v>0.5</v>
      </c>
      <c r="R38" s="173">
        <f t="shared" si="5"/>
        <v>0.99062342688363714</v>
      </c>
      <c r="S38" s="801">
        <f t="shared" si="6"/>
        <v>1</v>
      </c>
      <c r="T38" s="172">
        <f t="shared" si="7"/>
        <v>7</v>
      </c>
      <c r="U38" s="247">
        <f t="shared" si="20"/>
        <v>1.9906234268836371</v>
      </c>
      <c r="V38" s="378">
        <f t="shared" si="8"/>
        <v>113.82230018626112</v>
      </c>
      <c r="W38" s="397">
        <f t="shared" si="9"/>
        <v>113.90445215911906</v>
      </c>
      <c r="X38" s="153">
        <f t="shared" si="10"/>
        <v>46046</v>
      </c>
      <c r="Y38" s="380">
        <f t="shared" si="11"/>
        <v>111.67322051970872</v>
      </c>
      <c r="Z38" s="380">
        <f t="shared" si="21"/>
        <v>114.1805425850482</v>
      </c>
      <c r="AA38" s="381">
        <f t="shared" si="12"/>
        <v>121.97318369061351</v>
      </c>
      <c r="AB38" s="193">
        <f t="shared" si="13"/>
        <v>46046</v>
      </c>
      <c r="AC38" s="119">
        <f>IF(OR(t&lt;Tnet,NoTnet),'2025'!Resal_s+('2025'!Salim-'2025'!Resal_s)*(1-EXP(('2025'!Tnet_s-t)/'2025'!Tau_j)),Resal_s+(Salim-Resal_s)*(1-EXP((Tnet_s-t)/Tau_j)))*Salcycl</f>
        <v>6.3888150409613251E-2</v>
      </c>
      <c r="AD38" s="227">
        <f>(INDEX(Models!$BJ38:$BT38,,AH38)*(1-AF38)+INDEX(Models!$BJ38:$BT38,,AH38+1)*AF38-ERP_i)*AE38*Ramure*Pc/MaxiM</f>
        <v>2.3220302817527345E-3</v>
      </c>
      <c r="AE38" s="301">
        <f t="shared" si="14"/>
        <v>0.5</v>
      </c>
      <c r="AF38" s="173">
        <f t="shared" si="22"/>
        <v>0.99062342688363714</v>
      </c>
      <c r="AG38" s="801">
        <f t="shared" si="23"/>
        <v>1</v>
      </c>
      <c r="AH38" s="172">
        <f t="shared" si="15"/>
        <v>7</v>
      </c>
      <c r="AI38" s="221">
        <f t="shared" si="24"/>
        <v>1.9906234268836371</v>
      </c>
      <c r="AJ38" s="261" t="b">
        <f t="shared" si="16"/>
        <v>1</v>
      </c>
      <c r="AK38" s="261" t="b">
        <f t="shared" si="17"/>
        <v>0</v>
      </c>
      <c r="AL38" s="261"/>
      <c r="AM38" s="261"/>
      <c r="AN38" s="75"/>
    </row>
    <row r="39" spans="1:40" s="6" customFormat="1" ht="11.25" x14ac:dyDescent="0.2">
      <c r="A39" s="56">
        <f t="shared" si="18"/>
        <v>46047</v>
      </c>
      <c r="B39" s="406">
        <f>'2025'!Wh/'2025'!Env_an*'2026'!Env_an</f>
        <v>112.85552079630956</v>
      </c>
      <c r="C39" s="831"/>
      <c r="D39" s="388">
        <f t="shared" si="0"/>
        <v>115.39096784259242</v>
      </c>
      <c r="E39" s="380">
        <f t="shared" si="1"/>
        <v>120.85638461646364</v>
      </c>
      <c r="F39" s="380">
        <f t="shared" si="2"/>
        <v>121.12219230538344</v>
      </c>
      <c r="G39" s="110">
        <f t="shared" si="19"/>
        <v>0.98104335491210459</v>
      </c>
      <c r="H39" s="409" t="b">
        <f>Wh_hp&gt;='2025'!Maxi_hp</f>
        <v>0</v>
      </c>
      <c r="I39" s="375">
        <f>IF(H39,Wh_hp,'2025'!Maxi_hp)</f>
        <v>121.12958041502201</v>
      </c>
      <c r="J39" s="85">
        <f>IF(H39,An,'2025'!An_max)</f>
        <v>2022</v>
      </c>
      <c r="K39" s="193">
        <f t="shared" si="3"/>
        <v>46047</v>
      </c>
      <c r="L39" s="143">
        <f>IF(t&lt;Tvie,1-EXP((T0-t)*PertePVj)+'2025'!Pspv,1-EXP((T0-t)*PertePVj)+Pspv)</f>
        <v>2.1972664704065226E-2</v>
      </c>
      <c r="M39" s="835"/>
      <c r="N39" s="835"/>
      <c r="O39" s="48">
        <f>IF(t&lt;Tnet,'2025'!Resal+('2025'!Salim-'2025'!Resal)*(1-EXP(('2025'!Tnet-t)/('2025'!Tau_j))),Resal+(Salim-Resal)*(1-EXP((Tnet-t)/(Tau_j))))*Salcycl</f>
        <v>4.5222408325515127E-2</v>
      </c>
      <c r="P39" s="334">
        <f>(INDEX(Models!$BJ39:$BT39,,T39)*(1-R39)+INDEX(Models!$BJ39:$BT39,,T39+1)*R39-ERP_i)*Q39*Ramure*Pc/MaxiM</f>
        <v>2.2554277620373997E-3</v>
      </c>
      <c r="Q39" s="301">
        <f t="shared" si="4"/>
        <v>0.5</v>
      </c>
      <c r="R39" s="173">
        <f t="shared" si="5"/>
        <v>0.99069827091504536</v>
      </c>
      <c r="S39" s="801">
        <f t="shared" si="6"/>
        <v>1</v>
      </c>
      <c r="T39" s="172">
        <f t="shared" si="7"/>
        <v>7</v>
      </c>
      <c r="U39" s="247">
        <f t="shared" si="20"/>
        <v>1.9906982709150454</v>
      </c>
      <c r="V39" s="378">
        <f t="shared" si="8"/>
        <v>115.02920210245178</v>
      </c>
      <c r="W39" s="397">
        <f t="shared" si="9"/>
        <v>112.85552079630956</v>
      </c>
      <c r="X39" s="153">
        <f t="shared" si="10"/>
        <v>46047</v>
      </c>
      <c r="Y39" s="380">
        <f t="shared" si="11"/>
        <v>110.64718765872287</v>
      </c>
      <c r="Z39" s="380">
        <f t="shared" si="21"/>
        <v>113.13302160950632</v>
      </c>
      <c r="AA39" s="381">
        <f t="shared" si="12"/>
        <v>120.85638461646364</v>
      </c>
      <c r="AB39" s="193">
        <f t="shared" si="13"/>
        <v>46047</v>
      </c>
      <c r="AC39" s="119">
        <f>IF(OR(t&lt;Tnet,NoTnet),'2025'!Resal_s+('2025'!Salim-'2025'!Resal_s)*(1-EXP(('2025'!Tnet_s-t)/'2025'!Tau_j)),Resal_s+(Salim-Resal_s)*(1-EXP((Tnet_s-t)/Tau_j)))*Salcycl</f>
        <v>6.3905295789439182E-2</v>
      </c>
      <c r="AD39" s="227">
        <f>(INDEX(Models!$BJ39:$BT39,,AH39)*(1-AF39)+INDEX(Models!$BJ39:$BT39,,AH39+1)*AF39-ERP_i)*AE39*Ramure*Pc/MaxiM</f>
        <v>2.2554277620373997E-3</v>
      </c>
      <c r="AE39" s="301">
        <f t="shared" si="14"/>
        <v>0.5</v>
      </c>
      <c r="AF39" s="173">
        <f t="shared" si="22"/>
        <v>0.99069827091504536</v>
      </c>
      <c r="AG39" s="801">
        <f t="shared" si="23"/>
        <v>1</v>
      </c>
      <c r="AH39" s="172">
        <f t="shared" si="15"/>
        <v>7</v>
      </c>
      <c r="AI39" s="221">
        <f t="shared" si="24"/>
        <v>1.9906982709150454</v>
      </c>
      <c r="AJ39" s="261" t="b">
        <f t="shared" si="16"/>
        <v>1</v>
      </c>
      <c r="AK39" s="261" t="b">
        <f t="shared" si="17"/>
        <v>0</v>
      </c>
      <c r="AL39" s="261"/>
      <c r="AM39" s="261"/>
      <c r="AN39" s="75"/>
    </row>
    <row r="40" spans="1:40" s="6" customFormat="1" ht="11.25" x14ac:dyDescent="0.2">
      <c r="A40" s="56">
        <f t="shared" si="18"/>
        <v>46048</v>
      </c>
      <c r="B40" s="406">
        <f>'2025'!Wh/'2025'!Env_an*'2026'!Env_an</f>
        <v>114.8464777557911</v>
      </c>
      <c r="C40" s="831"/>
      <c r="D40" s="388">
        <f t="shared" si="0"/>
        <v>117.42826175139423</v>
      </c>
      <c r="E40" s="380">
        <f t="shared" si="1"/>
        <v>122.99504385918635</v>
      </c>
      <c r="F40" s="380">
        <f t="shared" si="2"/>
        <v>123.25984453709458</v>
      </c>
      <c r="G40" s="110">
        <f t="shared" si="19"/>
        <v>0.98779611615874852</v>
      </c>
      <c r="H40" s="409" t="b">
        <f>Wh_hp&gt;='2025'!Maxi_hp</f>
        <v>0</v>
      </c>
      <c r="I40" s="375">
        <f>IF(H40,Wh_hp,'2025'!Maxi_hp)</f>
        <v>123.264536354387</v>
      </c>
      <c r="J40" s="85">
        <f>IF(H40,An,'2025'!An_max)</f>
        <v>2022</v>
      </c>
      <c r="K40" s="193">
        <f t="shared" si="3"/>
        <v>46048</v>
      </c>
      <c r="L40" s="143">
        <f>IF(t&lt;Tvie,1-EXP((T0-t)*PertePVj)+'2025'!Pspv,1-EXP((T0-t)*PertePVj)+Pspv)</f>
        <v>2.1986053076975542E-2</v>
      </c>
      <c r="M40" s="835"/>
      <c r="N40" s="835"/>
      <c r="O40" s="48">
        <f>IF(t&lt;Tnet,'2025'!Resal+('2025'!Salim-'2025'!Resal)*(1-EXP(('2025'!Tnet-t)/('2025'!Tau_j))),Resal+(Salim-Resal)*(1-EXP((Tnet-t)/(Tau_j))))*Salcycl</f>
        <v>4.5260214827561505E-2</v>
      </c>
      <c r="P40" s="334">
        <f>(INDEX(Models!$BJ40:$BT40,,T40)*(1-R40)+INDEX(Models!$BJ40:$BT40,,T40+1)*R40-ERP_i)*Q40*Ramure*Pc/MaxiM</f>
        <v>2.1863115331246965E-3</v>
      </c>
      <c r="Q40" s="301">
        <f t="shared" si="4"/>
        <v>0.5</v>
      </c>
      <c r="R40" s="173">
        <f t="shared" si="5"/>
        <v>0.99077623092743816</v>
      </c>
      <c r="S40" s="801">
        <f t="shared" si="6"/>
        <v>1</v>
      </c>
      <c r="T40" s="172">
        <f t="shared" si="7"/>
        <v>7</v>
      </c>
      <c r="U40" s="247">
        <f t="shared" si="20"/>
        <v>1.9907762309274382</v>
      </c>
      <c r="V40" s="378">
        <f t="shared" si="8"/>
        <v>116.26093931609842</v>
      </c>
      <c r="W40" s="397">
        <f t="shared" si="9"/>
        <v>114.8464777557911</v>
      </c>
      <c r="X40" s="153">
        <f t="shared" si="10"/>
        <v>46048</v>
      </c>
      <c r="Y40" s="380">
        <f t="shared" si="11"/>
        <v>112.60157274526388</v>
      </c>
      <c r="Z40" s="380">
        <f t="shared" si="21"/>
        <v>115.13289058865159</v>
      </c>
      <c r="AA40" s="381">
        <f t="shared" si="12"/>
        <v>122.99504385918635</v>
      </c>
      <c r="AB40" s="193">
        <f t="shared" si="13"/>
        <v>46048</v>
      </c>
      <c r="AC40" s="119">
        <f>IF(OR(t&lt;Tnet,NoTnet),'2025'!Resal_s+('2025'!Salim-'2025'!Resal_s)*(1-EXP(('2025'!Tnet_s-t)/'2025'!Tau_j)),Resal_s+(Salim-Resal_s)*(1-EXP((Tnet_s-t)/Tau_j)))*Salcycl</f>
        <v>6.39225209719501E-2</v>
      </c>
      <c r="AD40" s="227">
        <f>(INDEX(Models!$BJ40:$BT40,,AH40)*(1-AF40)+INDEX(Models!$BJ40:$BT40,,AH40+1)*AF40-ERP_i)*AE40*Ramure*Pc/MaxiM</f>
        <v>2.1863115331246965E-3</v>
      </c>
      <c r="AE40" s="301">
        <f t="shared" si="14"/>
        <v>0.5</v>
      </c>
      <c r="AF40" s="173">
        <f t="shared" si="22"/>
        <v>0.99077623092743816</v>
      </c>
      <c r="AG40" s="801">
        <f t="shared" si="23"/>
        <v>1</v>
      </c>
      <c r="AH40" s="172">
        <f t="shared" si="15"/>
        <v>7</v>
      </c>
      <c r="AI40" s="221">
        <f t="shared" si="24"/>
        <v>1.9907762309274382</v>
      </c>
      <c r="AJ40" s="261" t="b">
        <f t="shared" si="16"/>
        <v>1</v>
      </c>
      <c r="AK40" s="261" t="b">
        <f t="shared" si="17"/>
        <v>0</v>
      </c>
      <c r="AL40" s="261"/>
      <c r="AM40" s="261"/>
      <c r="AN40" s="75"/>
    </row>
    <row r="41" spans="1:40" s="6" customFormat="1" ht="11.25" x14ac:dyDescent="0.2">
      <c r="A41" s="56">
        <f t="shared" si="18"/>
        <v>46049</v>
      </c>
      <c r="B41" s="406">
        <f>'2025'!Wh/'2025'!Env_an*'2026'!Env_an</f>
        <v>116.72257771901698</v>
      </c>
      <c r="C41" s="831"/>
      <c r="D41" s="388">
        <f t="shared" si="0"/>
        <v>119.34817079264718</v>
      </c>
      <c r="E41" s="380">
        <f t="shared" si="1"/>
        <v>125.01092182278872</v>
      </c>
      <c r="F41" s="380">
        <f t="shared" si="2"/>
        <v>125.27330134611191</v>
      </c>
      <c r="G41" s="110">
        <f t="shared" si="19"/>
        <v>0.99323242482460283</v>
      </c>
      <c r="H41" s="409" t="b">
        <f>Wh_hp&gt;='2025'!Maxi_hp</f>
        <v>0</v>
      </c>
      <c r="I41" s="375">
        <f>IF(H41,Wh_hp,'2025'!Maxi_hp)</f>
        <v>125.27585917077172</v>
      </c>
      <c r="J41" s="85">
        <f>IF(H41,An,'2025'!An_max)</f>
        <v>2022</v>
      </c>
      <c r="K41" s="193">
        <f t="shared" si="3"/>
        <v>46049</v>
      </c>
      <c r="L41" s="143">
        <f>IF(t&lt;Tvie,1-EXP((T0-t)*PertePVj)+'2025'!Pspv,1-EXP((T0-t)*PertePVj)+Pspv)</f>
        <v>2.1999441266610131E-2</v>
      </c>
      <c r="M41" s="835"/>
      <c r="N41" s="835"/>
      <c r="O41" s="48">
        <f>IF(t&lt;Tnet,'2025'!Resal+('2025'!Salim-'2025'!Resal)*(1-EXP(('2025'!Tnet-t)/('2025'!Tau_j))),Resal+(Salim-Resal)*(1-EXP((Tnet-t)/(Tau_j))))*Salcycl</f>
        <v>4.5298050342904128E-2</v>
      </c>
      <c r="P41" s="334">
        <f>(INDEX(Models!$BJ41:$BT41,,T41)*(1-R41)+INDEX(Models!$BJ41:$BT41,,T41+1)*R41-ERP_i)*Q41*Ramure*Pc/MaxiM</f>
        <v>2.1148417589102338E-3</v>
      </c>
      <c r="Q41" s="301">
        <f t="shared" si="4"/>
        <v>0.5</v>
      </c>
      <c r="R41" s="173">
        <f t="shared" si="5"/>
        <v>0.99085743560925987</v>
      </c>
      <c r="S41" s="801">
        <f t="shared" si="6"/>
        <v>1</v>
      </c>
      <c r="T41" s="172">
        <f t="shared" si="7"/>
        <v>7</v>
      </c>
      <c r="U41" s="247">
        <f t="shared" si="20"/>
        <v>1.9908574356092599</v>
      </c>
      <c r="V41" s="378">
        <f t="shared" si="8"/>
        <v>117.51548824616532</v>
      </c>
      <c r="W41" s="397">
        <f t="shared" si="9"/>
        <v>116.72257771901698</v>
      </c>
      <c r="X41" s="153">
        <f t="shared" si="10"/>
        <v>46049</v>
      </c>
      <c r="Y41" s="380">
        <f t="shared" si="11"/>
        <v>114.44342007952231</v>
      </c>
      <c r="Z41" s="380">
        <f t="shared" si="21"/>
        <v>117.017745089776</v>
      </c>
      <c r="AA41" s="381">
        <f t="shared" si="12"/>
        <v>125.01092182278872</v>
      </c>
      <c r="AB41" s="193">
        <f t="shared" si="13"/>
        <v>46049</v>
      </c>
      <c r="AC41" s="119">
        <f>IF(OR(t&lt;Tnet,NoTnet),'2025'!Resal_s+('2025'!Salim-'2025'!Resal_s)*(1-EXP(('2025'!Tnet_s-t)/'2025'!Tau_j)),Resal_s+(Salim-Resal_s)*(1-EXP((Tnet_s-t)/Tau_j)))*Salcycl</f>
        <v>6.393982714841176E-2</v>
      </c>
      <c r="AD41" s="227">
        <f>(INDEX(Models!$BJ41:$BT41,,AH41)*(1-AF41)+INDEX(Models!$BJ41:$BT41,,AH41+1)*AF41-ERP_i)*AE41*Ramure*Pc/MaxiM</f>
        <v>2.1148417589102338E-3</v>
      </c>
      <c r="AE41" s="301">
        <f t="shared" si="14"/>
        <v>0.5</v>
      </c>
      <c r="AF41" s="173">
        <f t="shared" si="22"/>
        <v>0.99085743560925987</v>
      </c>
      <c r="AG41" s="801">
        <f t="shared" si="23"/>
        <v>1</v>
      </c>
      <c r="AH41" s="172">
        <f t="shared" si="15"/>
        <v>7</v>
      </c>
      <c r="AI41" s="221">
        <f t="shared" si="24"/>
        <v>1.9908574356092599</v>
      </c>
      <c r="AJ41" s="261" t="b">
        <f t="shared" si="16"/>
        <v>1</v>
      </c>
      <c r="AK41" s="261" t="b">
        <f t="shared" si="17"/>
        <v>0</v>
      </c>
      <c r="AL41" s="261"/>
      <c r="AM41" s="261"/>
      <c r="AN41" s="75"/>
    </row>
    <row r="42" spans="1:40" s="6" customFormat="1" ht="11.25" x14ac:dyDescent="0.2">
      <c r="A42" s="56">
        <f t="shared" si="18"/>
        <v>46050</v>
      </c>
      <c r="B42" s="406">
        <f>'2025'!Wh/'2025'!Env_an*'2026'!Env_an</f>
        <v>18.084864190590636</v>
      </c>
      <c r="C42" s="831"/>
      <c r="D42" s="388">
        <f t="shared" si="0"/>
        <v>18.491923751051342</v>
      </c>
      <c r="E42" s="380">
        <f t="shared" si="1"/>
        <v>19.370084252985297</v>
      </c>
      <c r="F42" s="380">
        <f t="shared" si="2"/>
        <v>19.370084252985297</v>
      </c>
      <c r="G42" s="110">
        <f t="shared" si="19"/>
        <v>0.15193050297110586</v>
      </c>
      <c r="H42" s="409" t="b">
        <f>Wh_hp&gt;='2025'!Maxi_hp</f>
        <v>0</v>
      </c>
      <c r="I42" s="375">
        <f>IF(H42,Wh_hp,'2025'!Maxi_hp)</f>
        <v>19.409681636189191</v>
      </c>
      <c r="J42" s="85">
        <f>IF(H42,An,'2025'!An_max)</f>
        <v>2022</v>
      </c>
      <c r="K42" s="193">
        <f t="shared" si="3"/>
        <v>46050</v>
      </c>
      <c r="L42" s="143">
        <f>IF(t&lt;Tvie,1-EXP((T0-t)*PertePVj)+'2025'!Pspv,1-EXP((T0-t)*PertePVj)+Pspv)</f>
        <v>2.2012829272971768E-2</v>
      </c>
      <c r="M42" s="835"/>
      <c r="N42" s="835"/>
      <c r="O42" s="48">
        <f>IF(t&lt;Tnet,'2025'!Resal+('2025'!Salim-'2025'!Resal)*(1-EXP(('2025'!Tnet-t)/('2025'!Tau_j))),Resal+(Salim-Resal)*(1-EXP((Tnet-t)/(Tau_j))))*Salcycl</f>
        <v>4.5335915449031393E-2</v>
      </c>
      <c r="P42" s="334">
        <f>(INDEX(Models!$BJ42:$BT42,,T42)*(1-R42)+INDEX(Models!$BJ42:$BT42,,T42+1)*R42-ERP_i)*Q42*Ramure*Pc/MaxiM</f>
        <v>2.0411691513851425E-3</v>
      </c>
      <c r="Q42" s="301">
        <f t="shared" si="4"/>
        <v>0.5</v>
      </c>
      <c r="R42" s="173">
        <f t="shared" si="5"/>
        <v>0.99094201887510591</v>
      </c>
      <c r="S42" s="801">
        <f t="shared" si="6"/>
        <v>1</v>
      </c>
      <c r="T42" s="172">
        <f t="shared" si="7"/>
        <v>7</v>
      </c>
      <c r="U42" s="247">
        <f t="shared" si="20"/>
        <v>1.9909420188751059</v>
      </c>
      <c r="V42" s="378">
        <f t="shared" si="8"/>
        <v>118.79082587602683</v>
      </c>
      <c r="W42" s="397">
        <f t="shared" si="9"/>
        <v>18.084864190590636</v>
      </c>
      <c r="X42" s="153">
        <f t="shared" si="10"/>
        <v>46050</v>
      </c>
      <c r="Y42" s="380">
        <f t="shared" si="11"/>
        <v>17.732107993488956</v>
      </c>
      <c r="Z42" s="380">
        <f t="shared" si="21"/>
        <v>18.131227611408278</v>
      </c>
      <c r="AA42" s="381">
        <f t="shared" si="12"/>
        <v>19.370084252985297</v>
      </c>
      <c r="AB42" s="193">
        <f t="shared" si="13"/>
        <v>46050</v>
      </c>
      <c r="AC42" s="119">
        <f>IF(OR(t&lt;Tnet,NoTnet),'2025'!Resal_s+('2025'!Salim-'2025'!Resal_s)*(1-EXP(('2025'!Tnet_s-t)/'2025'!Tau_j)),Resal_s+(Salim-Resal_s)*(1-EXP((Tnet_s-t)/Tau_j)))*Salcycl</f>
        <v>6.3957214919500807E-2</v>
      </c>
      <c r="AD42" s="227">
        <f>(INDEX(Models!$BJ42:$BT42,,AH42)*(1-AF42)+INDEX(Models!$BJ42:$BT42,,AH42+1)*AF42-ERP_i)*AE42*Ramure*Pc/MaxiM</f>
        <v>2.0411691513851425E-3</v>
      </c>
      <c r="AE42" s="301">
        <f t="shared" si="14"/>
        <v>0.5</v>
      </c>
      <c r="AF42" s="173">
        <f t="shared" si="22"/>
        <v>0.99094201887510591</v>
      </c>
      <c r="AG42" s="801">
        <f t="shared" si="23"/>
        <v>1</v>
      </c>
      <c r="AH42" s="172">
        <f t="shared" si="15"/>
        <v>7</v>
      </c>
      <c r="AI42" s="221">
        <f t="shared" si="24"/>
        <v>1.9909420188751059</v>
      </c>
      <c r="AJ42" s="261" t="b">
        <f t="shared" si="16"/>
        <v>1</v>
      </c>
      <c r="AK42" s="261" t="b">
        <f t="shared" si="17"/>
        <v>0</v>
      </c>
      <c r="AL42" s="261"/>
      <c r="AM42" s="261"/>
      <c r="AN42" s="75"/>
    </row>
    <row r="43" spans="1:40" s="6" customFormat="1" ht="11.25" x14ac:dyDescent="0.2">
      <c r="A43" s="56">
        <f t="shared" si="18"/>
        <v>46051</v>
      </c>
      <c r="B43" s="406">
        <f>'2025'!Wh/'2025'!Env_an*'2026'!Env_an</f>
        <v>28.346762830950023</v>
      </c>
      <c r="C43" s="831"/>
      <c r="D43" s="388">
        <f t="shared" si="0"/>
        <v>28.985197074280286</v>
      </c>
      <c r="E43" s="380">
        <f t="shared" si="1"/>
        <v>30.36287647060912</v>
      </c>
      <c r="F43" s="380">
        <f t="shared" si="2"/>
        <v>30.36287647060912</v>
      </c>
      <c r="G43" s="110">
        <f t="shared" si="19"/>
        <v>0.23559200293410132</v>
      </c>
      <c r="H43" s="409" t="b">
        <f>Wh_hp&gt;='2025'!Maxi_hp</f>
        <v>0</v>
      </c>
      <c r="I43" s="375">
        <f>IF(H43,Wh_hp,'2025'!Maxi_hp)</f>
        <v>30.422636176591364</v>
      </c>
      <c r="J43" s="85">
        <f>IF(H43,An,'2025'!An_max)</f>
        <v>2022</v>
      </c>
      <c r="K43" s="193">
        <f t="shared" si="3"/>
        <v>46051</v>
      </c>
      <c r="L43" s="143">
        <f>IF(t&lt;Tvie,1-EXP((T0-t)*PertePVj)+'2025'!Pspv,1-EXP((T0-t)*PertePVj)+Pspv)</f>
        <v>2.2026217096062783E-2</v>
      </c>
      <c r="M43" s="835"/>
      <c r="N43" s="835"/>
      <c r="O43" s="48">
        <f>IF(t&lt;Tnet,'2025'!Resal+('2025'!Salim-'2025'!Resal)*(1-EXP(('2025'!Tnet-t)/('2025'!Tau_j))),Resal+(Salim-Resal)*(1-EXP((Tnet-t)/(Tau_j))))*Salcycl</f>
        <v>4.5373810273292459E-2</v>
      </c>
      <c r="P43" s="334">
        <f>(INDEX(Models!$BJ43:$BT43,,T43)*(1-R43)+INDEX(Models!$BJ43:$BT43,,T43+1)*R43-ERP_i)*Q43*Ramure*Pc/MaxiM</f>
        <v>1.9654347800576928E-3</v>
      </c>
      <c r="Q43" s="301">
        <f t="shared" si="4"/>
        <v>0.5</v>
      </c>
      <c r="R43" s="173">
        <f t="shared" si="5"/>
        <v>0.99103012007039104</v>
      </c>
      <c r="S43" s="801">
        <f t="shared" si="6"/>
        <v>1</v>
      </c>
      <c r="T43" s="172">
        <f t="shared" si="7"/>
        <v>7</v>
      </c>
      <c r="U43" s="247">
        <f t="shared" si="20"/>
        <v>1.991030120070391</v>
      </c>
      <c r="V43" s="378">
        <f t="shared" si="8"/>
        <v>120.08492973037572</v>
      </c>
      <c r="W43" s="397">
        <f t="shared" si="9"/>
        <v>28.346762830950023</v>
      </c>
      <c r="X43" s="153">
        <f t="shared" si="10"/>
        <v>46051</v>
      </c>
      <c r="Y43" s="380">
        <f t="shared" si="11"/>
        <v>27.79442667177554</v>
      </c>
      <c r="Z43" s="380">
        <f t="shared" si="21"/>
        <v>28.420421035464184</v>
      </c>
      <c r="AA43" s="381">
        <f t="shared" si="12"/>
        <v>30.36287647060912</v>
      </c>
      <c r="AB43" s="193">
        <f t="shared" si="13"/>
        <v>46051</v>
      </c>
      <c r="AC43" s="119">
        <f>IF(OR(t&lt;Tnet,NoTnet),'2025'!Resal_s+('2025'!Salim-'2025'!Resal_s)*(1-EXP(('2025'!Tnet_s-t)/'2025'!Tau_j)),Resal_s+(Salim-Resal_s)*(1-EXP((Tnet_s-t)/Tau_j)))*Salcycl</f>
        <v>6.3974684250525757E-2</v>
      </c>
      <c r="AD43" s="227">
        <f>(INDEX(Models!$BJ43:$BT43,,AH43)*(1-AF43)+INDEX(Models!$BJ43:$BT43,,AH43+1)*AF43-ERP_i)*AE43*Ramure*Pc/MaxiM</f>
        <v>1.9654347800576928E-3</v>
      </c>
      <c r="AE43" s="301">
        <f t="shared" si="14"/>
        <v>0.5</v>
      </c>
      <c r="AF43" s="173">
        <f t="shared" si="22"/>
        <v>0.99103012007039104</v>
      </c>
      <c r="AG43" s="801">
        <f t="shared" si="23"/>
        <v>1</v>
      </c>
      <c r="AH43" s="172">
        <f t="shared" si="15"/>
        <v>7</v>
      </c>
      <c r="AI43" s="221">
        <f t="shared" si="24"/>
        <v>1.991030120070391</v>
      </c>
      <c r="AJ43" s="261" t="b">
        <f t="shared" si="16"/>
        <v>1</v>
      </c>
      <c r="AK43" s="261" t="b">
        <f t="shared" si="17"/>
        <v>0</v>
      </c>
      <c r="AL43" s="261"/>
      <c r="AM43" s="261"/>
      <c r="AN43" s="75"/>
    </row>
    <row r="44" spans="1:40" s="6" customFormat="1" ht="11.25" x14ac:dyDescent="0.2">
      <c r="A44" s="56">
        <f t="shared" si="18"/>
        <v>46052</v>
      </c>
      <c r="B44" s="406">
        <f>'2025'!Wh/'2025'!Env_an*'2026'!Env_an</f>
        <v>25.540719803511614</v>
      </c>
      <c r="C44" s="831"/>
      <c r="D44" s="388">
        <f t="shared" si="0"/>
        <v>26.116313019622769</v>
      </c>
      <c r="E44" s="380">
        <f t="shared" si="1"/>
        <v>27.358719945171455</v>
      </c>
      <c r="F44" s="380">
        <f t="shared" si="2"/>
        <v>27.358719945171455</v>
      </c>
      <c r="G44" s="110">
        <f t="shared" si="19"/>
        <v>0.20999498693330759</v>
      </c>
      <c r="H44" s="409" t="b">
        <f>Wh_hp&gt;='2025'!Maxi_hp</f>
        <v>0</v>
      </c>
      <c r="I44" s="375">
        <f>IF(H44,Wh_hp,'2025'!Maxi_hp)</f>
        <v>27.410360787722297</v>
      </c>
      <c r="J44" s="85">
        <f>IF(H44,An,'2025'!An_max)</f>
        <v>2022</v>
      </c>
      <c r="K44" s="193">
        <f t="shared" si="3"/>
        <v>46052</v>
      </c>
      <c r="L44" s="143">
        <f>IF(t&lt;Tvie,1-EXP((T0-t)*PertePVj)+'2025'!Pspv,1-EXP((T0-t)*PertePVj)+Pspv)</f>
        <v>2.2039604735885843E-2</v>
      </c>
      <c r="M44" s="835"/>
      <c r="N44" s="835"/>
      <c r="O44" s="48">
        <f>IF(t&lt;Tnet,'2025'!Resal+('2025'!Salim-'2025'!Resal)*(1-EXP(('2025'!Tnet-t)/('2025'!Tau_j))),Resal+(Salim-Resal)*(1-EXP((Tnet-t)/(Tau_j))))*Salcycl</f>
        <v>4.5411734468518455E-2</v>
      </c>
      <c r="P44" s="334">
        <f>(INDEX(Models!$BJ44:$BT44,,T44)*(1-R44)+INDEX(Models!$BJ44:$BT44,,T44+1)*R44-ERP_i)*Q44*Ramure*Pc/MaxiM</f>
        <v>1.8851370728681983E-3</v>
      </c>
      <c r="Q44" s="301">
        <f t="shared" si="4"/>
        <v>0.5</v>
      </c>
      <c r="R44" s="173">
        <f t="shared" si="5"/>
        <v>0.99112188418338465</v>
      </c>
      <c r="S44" s="801">
        <f t="shared" si="6"/>
        <v>1</v>
      </c>
      <c r="T44" s="172">
        <f t="shared" si="7"/>
        <v>7</v>
      </c>
      <c r="U44" s="247">
        <f t="shared" si="20"/>
        <v>1.9911218841833846</v>
      </c>
      <c r="V44" s="378">
        <f t="shared" si="8"/>
        <v>121.39609815465963</v>
      </c>
      <c r="W44" s="397">
        <f t="shared" si="9"/>
        <v>25.540719803511614</v>
      </c>
      <c r="X44" s="153">
        <f t="shared" si="10"/>
        <v>46052</v>
      </c>
      <c r="Y44" s="380">
        <f t="shared" si="11"/>
        <v>25.04358469229442</v>
      </c>
      <c r="Z44" s="380">
        <f t="shared" si="21"/>
        <v>25.607974324492957</v>
      </c>
      <c r="AA44" s="381">
        <f t="shared" si="12"/>
        <v>27.358719945171455</v>
      </c>
      <c r="AB44" s="193">
        <f t="shared" si="13"/>
        <v>46052</v>
      </c>
      <c r="AC44" s="119">
        <f>IF(OR(t&lt;Tnet,NoTnet),'2025'!Resal_s+('2025'!Salim-'2025'!Resal_s)*(1-EXP(('2025'!Tnet_s-t)/'2025'!Tau_j)),Resal_s+(Salim-Resal_s)*(1-EXP((Tnet_s-t)/Tau_j)))*Salcycl</f>
        <v>6.3992234438858958E-2</v>
      </c>
      <c r="AD44" s="227">
        <f>(INDEX(Models!$BJ44:$BT44,,AH44)*(1-AF44)+INDEX(Models!$BJ44:$BT44,,AH44+1)*AF44-ERP_i)*AE44*Ramure*Pc/MaxiM</f>
        <v>1.8851370728681983E-3</v>
      </c>
      <c r="AE44" s="301">
        <f t="shared" si="14"/>
        <v>0.5</v>
      </c>
      <c r="AF44" s="173">
        <f t="shared" si="22"/>
        <v>0.99112188418338465</v>
      </c>
      <c r="AG44" s="801">
        <f t="shared" si="23"/>
        <v>1</v>
      </c>
      <c r="AH44" s="172">
        <f t="shared" si="15"/>
        <v>7</v>
      </c>
      <c r="AI44" s="221">
        <f t="shared" si="24"/>
        <v>1.9911218841833846</v>
      </c>
      <c r="AJ44" s="261" t="b">
        <f t="shared" si="16"/>
        <v>1</v>
      </c>
      <c r="AK44" s="261" t="b">
        <f t="shared" si="17"/>
        <v>0</v>
      </c>
      <c r="AL44" s="261"/>
      <c r="AM44" s="261"/>
      <c r="AN44" s="75"/>
    </row>
    <row r="45" spans="1:40" s="6" customFormat="1" ht="11.25" x14ac:dyDescent="0.2">
      <c r="A45" s="56">
        <f t="shared" si="18"/>
        <v>46053</v>
      </c>
      <c r="B45" s="406">
        <f>'2025'!Wh/'2025'!Env_an*'2026'!Env_an</f>
        <v>25.384949929724403</v>
      </c>
      <c r="C45" s="831"/>
      <c r="D45" s="388">
        <f t="shared" si="0"/>
        <v>25.957388004728909</v>
      </c>
      <c r="E45" s="380">
        <f t="shared" si="1"/>
        <v>27.193315697015848</v>
      </c>
      <c r="F45" s="380">
        <f t="shared" si="2"/>
        <v>27.193315697015848</v>
      </c>
      <c r="G45" s="110">
        <f t="shared" si="19"/>
        <v>0.20647626996065707</v>
      </c>
      <c r="H45" s="409" t="b">
        <f>Wh_hp&gt;='2025'!Maxi_hp</f>
        <v>0</v>
      </c>
      <c r="I45" s="375">
        <f>IF(H45,Wh_hp,'2025'!Maxi_hp)</f>
        <v>27.242367789857944</v>
      </c>
      <c r="J45" s="85">
        <f>IF(H45,An,'2025'!An_max)</f>
        <v>2022</v>
      </c>
      <c r="K45" s="193">
        <f t="shared" si="3"/>
        <v>46053</v>
      </c>
      <c r="L45" s="143">
        <f>IF(t&lt;Tvie,1-EXP((T0-t)*PertePVj)+'2025'!Pspv,1-EXP((T0-t)*PertePVj)+Pspv)</f>
        <v>2.2052992192443277E-2</v>
      </c>
      <c r="M45" s="835"/>
      <c r="N45" s="835"/>
      <c r="O45" s="48">
        <f>IF(t&lt;Tnet,'2025'!Resal+('2025'!Salim-'2025'!Resal)*(1-EXP(('2025'!Tnet-t)/('2025'!Tau_j))),Resal+(Salim-Resal)*(1-EXP((Tnet-t)/(Tau_j))))*Salcycl</f>
        <v>4.5449687197305119E-2</v>
      </c>
      <c r="P45" s="334">
        <f>(INDEX(Models!$BJ45:$BT45,,T45)*(1-R45)+INDEX(Models!$BJ45:$BT45,,T45+1)*R45-ERP_i)*Q45*Ramure*Pc/MaxiM</f>
        <v>1.8017529431203886E-3</v>
      </c>
      <c r="Q45" s="301">
        <f t="shared" si="4"/>
        <v>0.5</v>
      </c>
      <c r="R45" s="173">
        <f t="shared" si="5"/>
        <v>0.99121746206481465</v>
      </c>
      <c r="S45" s="801">
        <f t="shared" si="6"/>
        <v>1</v>
      </c>
      <c r="T45" s="172">
        <f t="shared" si="7"/>
        <v>7</v>
      </c>
      <c r="U45" s="247">
        <f t="shared" si="20"/>
        <v>1.9912174620648146</v>
      </c>
      <c r="V45" s="378">
        <f t="shared" si="8"/>
        <v>122.72215362233059</v>
      </c>
      <c r="W45" s="397">
        <f t="shared" si="9"/>
        <v>25.384949929724403</v>
      </c>
      <c r="X45" s="153">
        <f t="shared" si="10"/>
        <v>46053</v>
      </c>
      <c r="Y45" s="380">
        <f t="shared" si="11"/>
        <v>24.891367606318493</v>
      </c>
      <c r="Z45" s="380">
        <f t="shared" si="21"/>
        <v>25.452675254993661</v>
      </c>
      <c r="AA45" s="381">
        <f t="shared" si="12"/>
        <v>27.193315697015848</v>
      </c>
      <c r="AB45" s="193">
        <f t="shared" si="13"/>
        <v>46053</v>
      </c>
      <c r="AC45" s="119">
        <f>IF(OR(t&lt;Tnet,NoTnet),'2025'!Resal_s+('2025'!Salim-'2025'!Resal_s)*(1-EXP(('2025'!Tnet_s-t)/'2025'!Tau_j)),Resal_s+(Salim-Resal_s)*(1-EXP((Tnet_s-t)/Tau_j)))*Salcycl</f>
        <v>6.4009864093667823E-2</v>
      </c>
      <c r="AD45" s="227">
        <f>(INDEX(Models!$BJ45:$BT45,,AH45)*(1-AF45)+INDEX(Models!$BJ45:$BT45,,AH45+1)*AF45-ERP_i)*AE45*Ramure*Pc/MaxiM</f>
        <v>1.8017529431203886E-3</v>
      </c>
      <c r="AE45" s="301">
        <f t="shared" si="14"/>
        <v>0.5</v>
      </c>
      <c r="AF45" s="173">
        <f t="shared" si="22"/>
        <v>0.99121746206481465</v>
      </c>
      <c r="AG45" s="801">
        <f t="shared" si="23"/>
        <v>1</v>
      </c>
      <c r="AH45" s="172">
        <f t="shared" si="15"/>
        <v>7</v>
      </c>
      <c r="AI45" s="221">
        <f t="shared" si="24"/>
        <v>1.9912174620648146</v>
      </c>
      <c r="AJ45" s="261" t="b">
        <f t="shared" si="16"/>
        <v>1</v>
      </c>
      <c r="AK45" s="261" t="b">
        <f t="shared" si="17"/>
        <v>0</v>
      </c>
      <c r="AL45" s="261"/>
      <c r="AM45" s="261"/>
      <c r="AN45" s="75"/>
    </row>
    <row r="46" spans="1:40" s="6" customFormat="1" ht="11.25" x14ac:dyDescent="0.2">
      <c r="A46" s="56">
        <f t="shared" si="18"/>
        <v>46054</v>
      </c>
      <c r="B46" s="406">
        <f>'2025'!Wh/'2025'!Env_an*'2026'!Env_an</f>
        <v>55.337537341103513</v>
      </c>
      <c r="C46" s="831"/>
      <c r="D46" s="388">
        <f t="shared" si="0"/>
        <v>56.586189674992092</v>
      </c>
      <c r="E46" s="380">
        <f t="shared" si="1"/>
        <v>59.28282718417239</v>
      </c>
      <c r="F46" s="380">
        <f t="shared" si="2"/>
        <v>59.304053021626366</v>
      </c>
      <c r="G46" s="110">
        <f t="shared" si="19"/>
        <v>0.44544502307113498</v>
      </c>
      <c r="H46" s="409" t="b">
        <f>Wh_hp&gt;='2025'!Maxi_hp</f>
        <v>0</v>
      </c>
      <c r="I46" s="375">
        <f>IF(H46,Wh_hp,'2025'!Maxi_hp)</f>
        <v>59.384641801308028</v>
      </c>
      <c r="J46" s="85">
        <f>IF(H46,An,'2025'!An_max)</f>
        <v>2022</v>
      </c>
      <c r="K46" s="193">
        <f t="shared" si="3"/>
        <v>46054</v>
      </c>
      <c r="L46" s="143">
        <f>IF(t&lt;Tvie,1-EXP((T0-t)*PertePVj)+'2025'!Pspv,1-EXP((T0-t)*PertePVj)+Pspv)</f>
        <v>2.206637946573764E-2</v>
      </c>
      <c r="M46" s="835"/>
      <c r="N46" s="835"/>
      <c r="O46" s="48">
        <f>IF(t&lt;Tnet,'2025'!Resal+('2025'!Salim-'2025'!Resal)*(1-EXP(('2025'!Tnet-t)/('2025'!Tau_j))),Resal+(Salim-Resal)*(1-EXP((Tnet-t)/(Tau_j))))*Salcycl</f>
        <v>4.5487667124962307E-2</v>
      </c>
      <c r="P46" s="334">
        <f>(INDEX(Models!$BJ46:$BT46,,T46)*(1-R46)+INDEX(Models!$BJ46:$BT46,,T46+1)*R46-ERP_i)*Q46*Ramure*Pc/MaxiM</f>
        <v>1.7154365847292417E-3</v>
      </c>
      <c r="Q46" s="301">
        <f t="shared" si="4"/>
        <v>0.5</v>
      </c>
      <c r="R46" s="173">
        <f t="shared" si="5"/>
        <v>0.99131701065525513</v>
      </c>
      <c r="S46" s="801">
        <f t="shared" si="6"/>
        <v>1</v>
      </c>
      <c r="T46" s="172">
        <f t="shared" si="7"/>
        <v>7</v>
      </c>
      <c r="U46" s="247">
        <f t="shared" si="20"/>
        <v>1.9913170106552551</v>
      </c>
      <c r="V46" s="378">
        <f t="shared" si="8"/>
        <v>124.06107534279076</v>
      </c>
      <c r="W46" s="397">
        <f t="shared" si="9"/>
        <v>55.337537341103513</v>
      </c>
      <c r="X46" s="153">
        <f t="shared" si="10"/>
        <v>46054</v>
      </c>
      <c r="Y46" s="380">
        <f t="shared" si="11"/>
        <v>54.262692527969428</v>
      </c>
      <c r="Z46" s="380">
        <f t="shared" si="21"/>
        <v>55.487091749974567</v>
      </c>
      <c r="AA46" s="381">
        <f t="shared" si="12"/>
        <v>59.28282718417239</v>
      </c>
      <c r="AB46" s="193">
        <f t="shared" si="13"/>
        <v>46054</v>
      </c>
      <c r="AC46" s="119">
        <f>IF(OR(t&lt;Tnet,NoTnet),'2025'!Resal_s+('2025'!Salim-'2025'!Resal_s)*(1-EXP(('2025'!Tnet_s-t)/'2025'!Tau_j)),Resal_s+(Salim-Resal_s)*(1-EXP((Tnet_s-t)/Tau_j)))*Salcycl</f>
        <v>6.4027571127903748E-2</v>
      </c>
      <c r="AD46" s="227">
        <f>(INDEX(Models!$BJ46:$BT46,,AH46)*(1-AF46)+INDEX(Models!$BJ46:$BT46,,AH46+1)*AF46-ERP_i)*AE46*Ramure*Pc/MaxiM</f>
        <v>1.7154365847292417E-3</v>
      </c>
      <c r="AE46" s="301">
        <f t="shared" si="14"/>
        <v>0.5</v>
      </c>
      <c r="AF46" s="173">
        <f t="shared" si="22"/>
        <v>0.99131701065525513</v>
      </c>
      <c r="AG46" s="801">
        <f t="shared" si="23"/>
        <v>1</v>
      </c>
      <c r="AH46" s="172">
        <f t="shared" si="15"/>
        <v>7</v>
      </c>
      <c r="AI46" s="221">
        <f t="shared" si="24"/>
        <v>1.9913170106552551</v>
      </c>
      <c r="AJ46" s="261" t="b">
        <f t="shared" si="16"/>
        <v>1</v>
      </c>
      <c r="AK46" s="261" t="b">
        <f t="shared" si="17"/>
        <v>0</v>
      </c>
      <c r="AL46" s="261"/>
      <c r="AM46" s="261"/>
      <c r="AN46" s="75"/>
    </row>
    <row r="47" spans="1:40" s="6" customFormat="1" ht="11.25" x14ac:dyDescent="0.2">
      <c r="A47" s="56">
        <f t="shared" si="18"/>
        <v>46055</v>
      </c>
      <c r="B47" s="406">
        <f>'2025'!Wh/'2025'!Env_an*'2026'!Env_an</f>
        <v>24.682880787540793</v>
      </c>
      <c r="C47" s="831"/>
      <c r="D47" s="388">
        <f t="shared" si="0"/>
        <v>25.24017802618507</v>
      </c>
      <c r="E47" s="380">
        <f t="shared" si="1"/>
        <v>26.444061717413948</v>
      </c>
      <c r="F47" s="380">
        <f t="shared" si="2"/>
        <v>26.444061717413948</v>
      </c>
      <c r="G47" s="110">
        <f t="shared" si="19"/>
        <v>0.19649607347955142</v>
      </c>
      <c r="H47" s="409" t="b">
        <f>Wh_hp&gt;='2025'!Maxi_hp</f>
        <v>0</v>
      </c>
      <c r="I47" s="375">
        <f>IF(H47,Wh_hp,'2025'!Maxi_hp)</f>
        <v>26.487106634612363</v>
      </c>
      <c r="J47" s="85">
        <f>IF(H47,An,'2025'!An_max)</f>
        <v>2022</v>
      </c>
      <c r="K47" s="193">
        <f t="shared" si="3"/>
        <v>46055</v>
      </c>
      <c r="L47" s="143">
        <f>IF(t&lt;Tvie,1-EXP((T0-t)*PertePVj)+'2025'!Pspv,1-EXP((T0-t)*PertePVj)+Pspv)</f>
        <v>2.2079766555771485E-2</v>
      </c>
      <c r="M47" s="835"/>
      <c r="N47" s="835"/>
      <c r="O47" s="48">
        <f>IF(t&lt;Tnet,'2025'!Resal+('2025'!Salim-'2025'!Resal)*(1-EXP(('2025'!Tnet-t)/('2025'!Tau_j))),Resal+(Salim-Resal)*(1-EXP((Tnet-t)/(Tau_j))))*Salcycl</f>
        <v>4.5525672421044772E-2</v>
      </c>
      <c r="P47" s="334">
        <f>(INDEX(Models!$BJ47:$BT47,,T47)*(1-R47)+INDEX(Models!$BJ47:$BT47,,T47+1)*R47-ERP_i)*Q47*Ramure*Pc/MaxiM</f>
        <v>1.626331241187973E-3</v>
      </c>
      <c r="Q47" s="301">
        <f t="shared" si="4"/>
        <v>0.5</v>
      </c>
      <c r="R47" s="173">
        <f t="shared" si="5"/>
        <v>0.99142069322049986</v>
      </c>
      <c r="S47" s="801">
        <f t="shared" si="6"/>
        <v>1</v>
      </c>
      <c r="T47" s="172">
        <f t="shared" si="7"/>
        <v>7</v>
      </c>
      <c r="U47" s="247">
        <f t="shared" si="20"/>
        <v>1.9914206932204999</v>
      </c>
      <c r="V47" s="378">
        <f t="shared" si="8"/>
        <v>125.41084313299504</v>
      </c>
      <c r="W47" s="397">
        <f t="shared" si="9"/>
        <v>24.682880787540793</v>
      </c>
      <c r="X47" s="153">
        <f t="shared" si="10"/>
        <v>46055</v>
      </c>
      <c r="Y47" s="380">
        <f t="shared" si="11"/>
        <v>24.203958464665899</v>
      </c>
      <c r="Z47" s="380">
        <f t="shared" si="21"/>
        <v>24.750442456251999</v>
      </c>
      <c r="AA47" s="381">
        <f t="shared" si="12"/>
        <v>26.444061717413948</v>
      </c>
      <c r="AB47" s="193">
        <f t="shared" si="13"/>
        <v>46055</v>
      </c>
      <c r="AC47" s="119">
        <f>IF(OR(t&lt;Tnet,NoTnet),'2025'!Resal_s+('2025'!Salim-'2025'!Resal_s)*(1-EXP(('2025'!Tnet_s-t)/'2025'!Tau_j)),Resal_s+(Salim-Resal_s)*(1-EXP((Tnet_s-t)/Tau_j)))*Salcycl</f>
        <v>6.4045352762380922E-2</v>
      </c>
      <c r="AD47" s="227">
        <f>(INDEX(Models!$BJ47:$BT47,,AH47)*(1-AF47)+INDEX(Models!$BJ47:$BT47,,AH47+1)*AF47-ERP_i)*AE47*Ramure*Pc/MaxiM</f>
        <v>1.626331241187973E-3</v>
      </c>
      <c r="AE47" s="301">
        <f t="shared" si="14"/>
        <v>0.5</v>
      </c>
      <c r="AF47" s="173">
        <f t="shared" si="22"/>
        <v>0.99142069322049986</v>
      </c>
      <c r="AG47" s="801">
        <f t="shared" si="23"/>
        <v>1</v>
      </c>
      <c r="AH47" s="172">
        <f t="shared" si="15"/>
        <v>7</v>
      </c>
      <c r="AI47" s="221">
        <f t="shared" si="24"/>
        <v>1.9914206932204999</v>
      </c>
      <c r="AJ47" s="261" t="b">
        <f t="shared" si="16"/>
        <v>1</v>
      </c>
      <c r="AK47" s="261" t="b">
        <f t="shared" si="17"/>
        <v>0</v>
      </c>
      <c r="AL47" s="261"/>
      <c r="AM47" s="261"/>
      <c r="AN47" s="75"/>
    </row>
    <row r="48" spans="1:40" s="6" customFormat="1" ht="11.25" x14ac:dyDescent="0.2">
      <c r="A48" s="56">
        <f t="shared" si="18"/>
        <v>46056</v>
      </c>
      <c r="B48" s="406">
        <f>'2025'!Wh/'2025'!Env_an*'2026'!Env_an</f>
        <v>55.406541383755219</v>
      </c>
      <c r="C48" s="831"/>
      <c r="D48" s="388">
        <f t="shared" si="0"/>
        <v>56.658301943520769</v>
      </c>
      <c r="E48" s="380">
        <f t="shared" si="1"/>
        <v>59.363104681986933</v>
      </c>
      <c r="F48" s="380">
        <f t="shared" si="2"/>
        <v>59.380947505063013</v>
      </c>
      <c r="G48" s="110">
        <f t="shared" si="19"/>
        <v>0.43652591187692275</v>
      </c>
      <c r="H48" s="409" t="b">
        <f>Wh_hp&gt;='2025'!Maxi_hp</f>
        <v>0</v>
      </c>
      <c r="I48" s="375">
        <f>IF(H48,Wh_hp,'2025'!Maxi_hp)</f>
        <v>59.454283525557202</v>
      </c>
      <c r="J48" s="85">
        <f>IF(H48,An,'2025'!An_max)</f>
        <v>2022</v>
      </c>
      <c r="K48" s="193">
        <f t="shared" si="3"/>
        <v>46056</v>
      </c>
      <c r="L48" s="143">
        <f>IF(t&lt;Tvie,1-EXP((T0-t)*PertePVj)+'2025'!Pspv,1-EXP((T0-t)*PertePVj)+Pspv)</f>
        <v>2.2093153462547366E-2</v>
      </c>
      <c r="M48" s="835"/>
      <c r="N48" s="835"/>
      <c r="O48" s="48">
        <f>IF(t&lt;Tnet,'2025'!Resal+('2025'!Salim-'2025'!Resal)*(1-EXP(('2025'!Tnet-t)/('2025'!Tau_j))),Resal+(Salim-Resal)*(1-EXP((Tnet-t)/(Tau_j))))*Salcycl</f>
        <v>4.5563700769291338E-2</v>
      </c>
      <c r="P48" s="334">
        <f>(INDEX(Models!$BJ48:$BT48,,T48)*(1-R48)+INDEX(Models!$BJ48:$BT48,,T48+1)*R48-ERP_i)*Q48*Ramure*Pc/MaxiM</f>
        <v>1.5345692274903876E-3</v>
      </c>
      <c r="Q48" s="301">
        <f t="shared" si="4"/>
        <v>0.5</v>
      </c>
      <c r="R48" s="173">
        <f t="shared" si="5"/>
        <v>0.99152867959513302</v>
      </c>
      <c r="S48" s="801">
        <f t="shared" si="6"/>
        <v>1</v>
      </c>
      <c r="T48" s="172">
        <f t="shared" si="7"/>
        <v>7</v>
      </c>
      <c r="U48" s="247">
        <f t="shared" si="20"/>
        <v>1.991528679595133</v>
      </c>
      <c r="V48" s="378">
        <f t="shared" si="8"/>
        <v>126.76943737775957</v>
      </c>
      <c r="W48" s="397">
        <f t="shared" si="9"/>
        <v>55.406541383755219</v>
      </c>
      <c r="X48" s="153">
        <f t="shared" si="10"/>
        <v>46056</v>
      </c>
      <c r="Y48" s="380">
        <f t="shared" si="11"/>
        <v>54.332615782250905</v>
      </c>
      <c r="Z48" s="380">
        <f t="shared" si="21"/>
        <v>55.560113905154083</v>
      </c>
      <c r="AA48" s="381">
        <f t="shared" si="12"/>
        <v>59.363104681986933</v>
      </c>
      <c r="AB48" s="193">
        <f t="shared" si="13"/>
        <v>46056</v>
      </c>
      <c r="AC48" s="119">
        <f>IF(OR(t&lt;Tnet,NoTnet),'2025'!Resal_s+('2025'!Salim-'2025'!Resal_s)*(1-EXP(('2025'!Tnet_s-t)/'2025'!Tau_j)),Resal_s+(Salim-Resal_s)*(1-EXP((Tnet_s-t)/Tau_j)))*Salcycl</f>
        <v>6.4063205541654025E-2</v>
      </c>
      <c r="AD48" s="227">
        <f>(INDEX(Models!$BJ48:$BT48,,AH48)*(1-AF48)+INDEX(Models!$BJ48:$BT48,,AH48+1)*AF48-ERP_i)*AE48*Ramure*Pc/MaxiM</f>
        <v>1.5345692274903876E-3</v>
      </c>
      <c r="AE48" s="301">
        <f t="shared" si="14"/>
        <v>0.5</v>
      </c>
      <c r="AF48" s="173">
        <f t="shared" si="22"/>
        <v>0.99152867959513302</v>
      </c>
      <c r="AG48" s="801">
        <f t="shared" si="23"/>
        <v>1</v>
      </c>
      <c r="AH48" s="172">
        <f t="shared" si="15"/>
        <v>7</v>
      </c>
      <c r="AI48" s="221">
        <f t="shared" si="24"/>
        <v>1.991528679595133</v>
      </c>
      <c r="AJ48" s="261" t="b">
        <f t="shared" si="16"/>
        <v>1</v>
      </c>
      <c r="AK48" s="261" t="b">
        <f t="shared" si="17"/>
        <v>0</v>
      </c>
      <c r="AL48" s="261"/>
      <c r="AM48" s="261"/>
      <c r="AN48" s="75"/>
    </row>
    <row r="49" spans="1:40" s="6" customFormat="1" ht="11.25" x14ac:dyDescent="0.2">
      <c r="A49" s="56">
        <f t="shared" si="18"/>
        <v>46057</v>
      </c>
      <c r="B49" s="406">
        <f>'2025'!Wh/'2025'!Env_an*'2026'!Env_an</f>
        <v>50.412872086462293</v>
      </c>
      <c r="C49" s="831"/>
      <c r="D49" s="388">
        <f t="shared" si="0"/>
        <v>51.552519940213685</v>
      </c>
      <c r="E49" s="380">
        <f t="shared" si="1"/>
        <v>54.015731804865126</v>
      </c>
      <c r="F49" s="380">
        <f t="shared" si="2"/>
        <v>54.026118203251556</v>
      </c>
      <c r="G49" s="110">
        <f t="shared" si="19"/>
        <v>0.39294499345613126</v>
      </c>
      <c r="H49" s="409" t="b">
        <f>Wh_hp&gt;='2025'!Maxi_hp</f>
        <v>0</v>
      </c>
      <c r="I49" s="375">
        <f>IF(H49,Wh_hp,'2025'!Maxi_hp)</f>
        <v>54.093584600989601</v>
      </c>
      <c r="J49" s="85">
        <f>IF(H49,An,'2025'!An_max)</f>
        <v>2022</v>
      </c>
      <c r="K49" s="193">
        <f t="shared" si="3"/>
        <v>46057</v>
      </c>
      <c r="L49" s="143">
        <f>IF(t&lt;Tvie,1-EXP((T0-t)*PertePVj)+'2025'!Pspv,1-EXP((T0-t)*PertePVj)+Pspv)</f>
        <v>2.2106540186067725E-2</v>
      </c>
      <c r="M49" s="835"/>
      <c r="N49" s="835"/>
      <c r="O49" s="48">
        <f>IF(t&lt;Tnet,'2025'!Resal+('2025'!Salim-'2025'!Resal)*(1-EXP(('2025'!Tnet-t)/('2025'!Tau_j))),Resal+(Salim-Resal)*(1-EXP((Tnet-t)/(Tau_j))))*Salcycl</f>
        <v>4.5601749385714714E-2</v>
      </c>
      <c r="P49" s="334">
        <f>(INDEX(Models!$BJ49:$BT49,,T49)*(1-R49)+INDEX(Models!$BJ49:$BT49,,T49+1)*R49-ERP_i)*Q49*Ramure*Pc/MaxiM</f>
        <v>1.4402720172496349E-3</v>
      </c>
      <c r="Q49" s="301">
        <f t="shared" si="4"/>
        <v>0.5</v>
      </c>
      <c r="R49" s="173">
        <f t="shared" si="5"/>
        <v>0.99164114643449897</v>
      </c>
      <c r="S49" s="801">
        <f t="shared" si="6"/>
        <v>1</v>
      </c>
      <c r="T49" s="172">
        <f t="shared" si="7"/>
        <v>7</v>
      </c>
      <c r="U49" s="247">
        <f t="shared" si="20"/>
        <v>1.991641146434499</v>
      </c>
      <c r="V49" s="378">
        <f t="shared" si="8"/>
        <v>128.13483906944396</v>
      </c>
      <c r="W49" s="397">
        <f t="shared" si="9"/>
        <v>50.412872086462293</v>
      </c>
      <c r="X49" s="153">
        <f t="shared" si="10"/>
        <v>46057</v>
      </c>
      <c r="Y49" s="380">
        <f t="shared" si="11"/>
        <v>49.436761310175157</v>
      </c>
      <c r="Z49" s="380">
        <f t="shared" si="21"/>
        <v>50.554342923595875</v>
      </c>
      <c r="AA49" s="381">
        <f t="shared" si="12"/>
        <v>54.015731804865126</v>
      </c>
      <c r="AB49" s="193">
        <f t="shared" si="13"/>
        <v>46057</v>
      </c>
      <c r="AC49" s="119">
        <f>IF(OR(t&lt;Tnet,NoTnet),'2025'!Resal_s+('2025'!Salim-'2025'!Resal_s)*(1-EXP(('2025'!Tnet_s-t)/'2025'!Tau_j)),Resal_s+(Salim-Resal_s)*(1-EXP((Tnet_s-t)/Tau_j)))*Salcycl</f>
        <v>6.4081125361287489E-2</v>
      </c>
      <c r="AD49" s="227">
        <f>(INDEX(Models!$BJ49:$BT49,,AH49)*(1-AF49)+INDEX(Models!$BJ49:$BT49,,AH49+1)*AF49-ERP_i)*AE49*Ramure*Pc/MaxiM</f>
        <v>1.4402720172496349E-3</v>
      </c>
      <c r="AE49" s="301">
        <f t="shared" si="14"/>
        <v>0.5</v>
      </c>
      <c r="AF49" s="173">
        <f t="shared" si="22"/>
        <v>0.99164114643449897</v>
      </c>
      <c r="AG49" s="801">
        <f t="shared" si="23"/>
        <v>1</v>
      </c>
      <c r="AH49" s="172">
        <f t="shared" si="15"/>
        <v>7</v>
      </c>
      <c r="AI49" s="221">
        <f t="shared" si="24"/>
        <v>1.991641146434499</v>
      </c>
      <c r="AJ49" s="261" t="b">
        <f t="shared" si="16"/>
        <v>1</v>
      </c>
      <c r="AK49" s="261" t="b">
        <f t="shared" si="17"/>
        <v>0</v>
      </c>
      <c r="AL49" s="261"/>
      <c r="AM49" s="261"/>
      <c r="AN49" s="75"/>
    </row>
    <row r="50" spans="1:40" s="6" customFormat="1" ht="11.25" x14ac:dyDescent="0.2">
      <c r="A50" s="56">
        <f t="shared" si="18"/>
        <v>46058</v>
      </c>
      <c r="B50" s="406">
        <f>'2025'!Wh/'2025'!Env_an*'2026'!Env_an</f>
        <v>42.262288718766662</v>
      </c>
      <c r="C50" s="831"/>
      <c r="D50" s="388">
        <f t="shared" si="0"/>
        <v>43.218273767747931</v>
      </c>
      <c r="E50" s="380">
        <f t="shared" si="1"/>
        <v>45.285076273129881</v>
      </c>
      <c r="F50" s="380">
        <f t="shared" si="2"/>
        <v>45.287365558959046</v>
      </c>
      <c r="G50" s="110">
        <f t="shared" si="19"/>
        <v>0.3259150697451379</v>
      </c>
      <c r="H50" s="409" t="b">
        <f>Wh_hp&gt;='2025'!Maxi_hp</f>
        <v>0</v>
      </c>
      <c r="I50" s="375">
        <f>IF(H50,Wh_hp,'2025'!Maxi_hp)</f>
        <v>45.345948475362562</v>
      </c>
      <c r="J50" s="85">
        <f>IF(H50,An,'2025'!An_max)</f>
        <v>2022</v>
      </c>
      <c r="K50" s="193">
        <f t="shared" si="3"/>
        <v>46058</v>
      </c>
      <c r="L50" s="143">
        <f>IF(t&lt;Tvie,1-EXP((T0-t)*PertePVj)+'2025'!Pspv,1-EXP((T0-t)*PertePVj)+Pspv)</f>
        <v>2.2119926726335004E-2</v>
      </c>
      <c r="M50" s="835"/>
      <c r="N50" s="835"/>
      <c r="O50" s="48">
        <f>IF(t&lt;Tnet,'2025'!Resal+('2025'!Salim-'2025'!Resal)*(1-EXP(('2025'!Tnet-t)/('2025'!Tau_j))),Resal+(Salim-Resal)*(1-EXP((Tnet-t)/(Tau_j))))*Salcycl</f>
        <v>4.5639815044504942E-2</v>
      </c>
      <c r="P50" s="334">
        <f>(INDEX(Models!$BJ50:$BT50,,T50)*(1-R50)+INDEX(Models!$BJ50:$BT50,,T50+1)*R50-ERP_i)*Q50*Ramure*Pc/MaxiM</f>
        <v>1.3435503843964081E-3</v>
      </c>
      <c r="Q50" s="301">
        <f t="shared" si="4"/>
        <v>0.5</v>
      </c>
      <c r="R50" s="173">
        <f t="shared" si="5"/>
        <v>0.99175827747527978</v>
      </c>
      <c r="S50" s="801">
        <f t="shared" si="6"/>
        <v>1</v>
      </c>
      <c r="T50" s="172">
        <f t="shared" si="7"/>
        <v>7</v>
      </c>
      <c r="U50" s="247">
        <f t="shared" si="20"/>
        <v>1.9917582774752798</v>
      </c>
      <c r="V50" s="378">
        <f t="shared" si="8"/>
        <v>129.50502976930784</v>
      </c>
      <c r="W50" s="397">
        <f t="shared" si="9"/>
        <v>42.262288718766662</v>
      </c>
      <c r="X50" s="153">
        <f t="shared" si="10"/>
        <v>46058</v>
      </c>
      <c r="Y50" s="380">
        <f t="shared" si="11"/>
        <v>41.444848972379738</v>
      </c>
      <c r="Z50" s="380">
        <f t="shared" si="21"/>
        <v>42.382343300681178</v>
      </c>
      <c r="AA50" s="381">
        <f t="shared" si="12"/>
        <v>45.285076273129881</v>
      </c>
      <c r="AB50" s="193">
        <f t="shared" si="13"/>
        <v>46058</v>
      </c>
      <c r="AC50" s="119">
        <f>IF(OR(t&lt;Tnet,NoTnet),'2025'!Resal_s+('2025'!Salim-'2025'!Resal_s)*(1-EXP(('2025'!Tnet_s-t)/'2025'!Tau_j)),Resal_s+(Salim-Resal_s)*(1-EXP((Tnet_s-t)/Tau_j)))*Salcycl</f>
        <v>6.4099107505998704E-2</v>
      </c>
      <c r="AD50" s="227">
        <f>(INDEX(Models!$BJ50:$BT50,,AH50)*(1-AF50)+INDEX(Models!$BJ50:$BT50,,AH50+1)*AF50-ERP_i)*AE50*Ramure*Pc/MaxiM</f>
        <v>1.3435503843964081E-3</v>
      </c>
      <c r="AE50" s="301">
        <f t="shared" si="14"/>
        <v>0.5</v>
      </c>
      <c r="AF50" s="173">
        <f t="shared" si="22"/>
        <v>0.99175827747527978</v>
      </c>
      <c r="AG50" s="801">
        <f t="shared" si="23"/>
        <v>1</v>
      </c>
      <c r="AH50" s="172">
        <f t="shared" si="15"/>
        <v>7</v>
      </c>
      <c r="AI50" s="221">
        <f t="shared" si="24"/>
        <v>1.9917582774752798</v>
      </c>
      <c r="AJ50" s="261" t="b">
        <f t="shared" si="16"/>
        <v>1</v>
      </c>
      <c r="AK50" s="261" t="b">
        <f t="shared" si="17"/>
        <v>0</v>
      </c>
      <c r="AL50" s="261"/>
      <c r="AM50" s="261"/>
      <c r="AN50" s="75"/>
    </row>
    <row r="51" spans="1:40" s="6" customFormat="1" ht="11.25" x14ac:dyDescent="0.2">
      <c r="A51" s="56">
        <f t="shared" si="18"/>
        <v>46059</v>
      </c>
      <c r="B51" s="406">
        <f>'2025'!Wh/'2025'!Env_an*'2026'!Env_an</f>
        <v>89.666331475611713</v>
      </c>
      <c r="C51" s="831"/>
      <c r="D51" s="388">
        <f t="shared" si="0"/>
        <v>91.695864758766177</v>
      </c>
      <c r="E51" s="380">
        <f t="shared" si="1"/>
        <v>96.084816848477857</v>
      </c>
      <c r="F51" s="380">
        <f t="shared" si="2"/>
        <v>96.150633055257941</v>
      </c>
      <c r="G51" s="110">
        <f t="shared" si="19"/>
        <v>0.68466935088649084</v>
      </c>
      <c r="H51" s="409" t="b">
        <f>Wh_hp&gt;='2025'!Maxi_hp</f>
        <v>0</v>
      </c>
      <c r="I51" s="375">
        <f>IF(H51,Wh_hp,'2025'!Maxi_hp)</f>
        <v>96.204482022680693</v>
      </c>
      <c r="J51" s="85">
        <f>IF(H51,An,'2025'!An_max)</f>
        <v>2022</v>
      </c>
      <c r="K51" s="193">
        <f t="shared" si="3"/>
        <v>46059</v>
      </c>
      <c r="L51" s="143">
        <f>IF(t&lt;Tvie,1-EXP((T0-t)*PertePVj)+'2025'!Pspv,1-EXP((T0-t)*PertePVj)+Pspv)</f>
        <v>2.2133313083351869E-2</v>
      </c>
      <c r="M51" s="835"/>
      <c r="N51" s="835"/>
      <c r="O51" s="48">
        <f>IF(t&lt;Tnet,'2025'!Resal+('2025'!Salim-'2025'!Resal)*(1-EXP(('2025'!Tnet-t)/('2025'!Tau_j))),Resal+(Salim-Resal)*(1-EXP((Tnet-t)/(Tau_j))))*Salcycl</f>
        <v>4.5677894111333779E-2</v>
      </c>
      <c r="P51" s="334">
        <f>(INDEX(Models!$BJ51:$BT51,,T51)*(1-R51)+INDEX(Models!$BJ51:$BT51,,T51+1)*R51-ERP_i)*Q51*Ramure*Pc/MaxiM</f>
        <v>1.2443943922386637E-3</v>
      </c>
      <c r="Q51" s="301">
        <f t="shared" si="4"/>
        <v>0.5</v>
      </c>
      <c r="R51" s="173">
        <f t="shared" si="5"/>
        <v>0.99188026380487382</v>
      </c>
      <c r="S51" s="801">
        <f t="shared" si="6"/>
        <v>1</v>
      </c>
      <c r="T51" s="172">
        <f t="shared" si="7"/>
        <v>7</v>
      </c>
      <c r="U51" s="247">
        <f t="shared" si="20"/>
        <v>1.9918802638048738</v>
      </c>
      <c r="V51" s="378">
        <f t="shared" si="8"/>
        <v>130.88959556895762</v>
      </c>
      <c r="W51" s="397">
        <f t="shared" si="9"/>
        <v>89.666331475611713</v>
      </c>
      <c r="X51" s="153">
        <f t="shared" si="10"/>
        <v>46059</v>
      </c>
      <c r="Y51" s="380">
        <f t="shared" si="11"/>
        <v>87.933813571644848</v>
      </c>
      <c r="Z51" s="380">
        <f t="shared" si="21"/>
        <v>89.924132551148247</v>
      </c>
      <c r="AA51" s="381">
        <f t="shared" si="12"/>
        <v>96.084816848477857</v>
      </c>
      <c r="AB51" s="193">
        <f t="shared" si="13"/>
        <v>46059</v>
      </c>
      <c r="AC51" s="119">
        <f>IF(OR(t&lt;Tnet,NoTnet),'2025'!Resal_s+('2025'!Salim-'2025'!Resal_s)*(1-EXP(('2025'!Tnet_s-t)/'2025'!Tau_j)),Resal_s+(Salim-Resal_s)*(1-EXP((Tnet_s-t)/Tau_j)))*Salcycl</f>
        <v>6.4117146698054961E-2</v>
      </c>
      <c r="AD51" s="227">
        <f>(INDEX(Models!$BJ51:$BT51,,AH51)*(1-AF51)+INDEX(Models!$BJ51:$BT51,,AH51+1)*AF51-ERP_i)*AE51*Ramure*Pc/MaxiM</f>
        <v>1.2443943922386637E-3</v>
      </c>
      <c r="AE51" s="301">
        <f t="shared" si="14"/>
        <v>0.5</v>
      </c>
      <c r="AF51" s="173">
        <f t="shared" si="22"/>
        <v>0.99188026380487382</v>
      </c>
      <c r="AG51" s="801">
        <f t="shared" si="23"/>
        <v>1</v>
      </c>
      <c r="AH51" s="172">
        <f t="shared" si="15"/>
        <v>7</v>
      </c>
      <c r="AI51" s="221">
        <f t="shared" si="24"/>
        <v>1.9918802638048738</v>
      </c>
      <c r="AJ51" s="261" t="b">
        <f t="shared" si="16"/>
        <v>1</v>
      </c>
      <c r="AK51" s="261" t="b">
        <f t="shared" si="17"/>
        <v>0</v>
      </c>
      <c r="AL51" s="261"/>
      <c r="AM51" s="261"/>
      <c r="AN51" s="75"/>
    </row>
    <row r="52" spans="1:40" s="6" customFormat="1" ht="11.25" x14ac:dyDescent="0.2">
      <c r="A52" s="56">
        <f t="shared" si="18"/>
        <v>46060</v>
      </c>
      <c r="B52" s="406">
        <f>'2025'!Wh/'2025'!Env_an*'2026'!Env_an</f>
        <v>40.5179713761747</v>
      </c>
      <c r="C52" s="831"/>
      <c r="D52" s="388">
        <f t="shared" si="0"/>
        <v>41.435633898656398</v>
      </c>
      <c r="E52" s="380">
        <f t="shared" si="1"/>
        <v>43.420651653411404</v>
      </c>
      <c r="F52" s="380">
        <f t="shared" si="2"/>
        <v>43.421097293073373</v>
      </c>
      <c r="G52" s="110">
        <f t="shared" si="19"/>
        <v>0.30591732663388638</v>
      </c>
      <c r="H52" s="409" t="b">
        <f>Wh_hp&gt;='2025'!Maxi_hp</f>
        <v>0</v>
      </c>
      <c r="I52" s="375">
        <f>IF(H52,Wh_hp,'2025'!Maxi_hp)</f>
        <v>43.470447620371786</v>
      </c>
      <c r="J52" s="85">
        <f>IF(H52,An,'2025'!An_max)</f>
        <v>2022</v>
      </c>
      <c r="K52" s="193">
        <f t="shared" si="3"/>
        <v>46060</v>
      </c>
      <c r="L52" s="143">
        <f>IF(t&lt;Tvie,1-EXP((T0-t)*PertePVj)+'2025'!Pspv,1-EXP((T0-t)*PertePVj)+Pspv)</f>
        <v>2.214669925712065E-2</v>
      </c>
      <c r="M52" s="835"/>
      <c r="N52" s="835"/>
      <c r="O52" s="48">
        <f>IF(t&lt;Tnet,'2025'!Resal+('2025'!Salim-'2025'!Resal)*(1-EXP(('2025'!Tnet-t)/('2025'!Tau_j))),Resal+(Salim-Resal)*(1-EXP((Tnet-t)/(Tau_j))))*Salcycl</f>
        <v>4.5715982583578965E-2</v>
      </c>
      <c r="P52" s="334">
        <f>(INDEX(Models!$BJ52:$BT52,,T52)*(1-R52)+INDEX(Models!$BJ52:$BT52,,T52+1)*R52-ERP_i)*Q52*Ramure*Pc/MaxiM</f>
        <v>1.1466593797354663E-3</v>
      </c>
      <c r="Q52" s="301">
        <f t="shared" si="4"/>
        <v>0.5</v>
      </c>
      <c r="R52" s="173">
        <f t="shared" si="5"/>
        <v>0.99200730413977545</v>
      </c>
      <c r="S52" s="801">
        <f t="shared" si="6"/>
        <v>1</v>
      </c>
      <c r="T52" s="172">
        <f t="shared" si="7"/>
        <v>7</v>
      </c>
      <c r="U52" s="247">
        <f t="shared" si="20"/>
        <v>1.9920073041397754</v>
      </c>
      <c r="V52" s="378">
        <f t="shared" si="8"/>
        <v>132.29694074961074</v>
      </c>
      <c r="W52" s="397">
        <f t="shared" si="9"/>
        <v>40.5179713761747</v>
      </c>
      <c r="X52" s="153">
        <f t="shared" si="10"/>
        <v>46060</v>
      </c>
      <c r="Y52" s="380">
        <f t="shared" si="11"/>
        <v>39.735907739057168</v>
      </c>
      <c r="Z52" s="380">
        <f t="shared" si="21"/>
        <v>40.635857862186107</v>
      </c>
      <c r="AA52" s="381">
        <f t="shared" si="12"/>
        <v>43.420651653411404</v>
      </c>
      <c r="AB52" s="193">
        <f t="shared" si="13"/>
        <v>46060</v>
      </c>
      <c r="AC52" s="119">
        <f>IF(OR(t&lt;Tnet,NoTnet),'2025'!Resal_s+('2025'!Salim-'2025'!Resal_s)*(1-EXP(('2025'!Tnet_s-t)/'2025'!Tau_j)),Resal_s+(Salim-Resal_s)*(1-EXP((Tnet_s-t)/Tau_j)))*Salcycl</f>
        <v>6.4135237155209954E-2</v>
      </c>
      <c r="AD52" s="227">
        <f>(INDEX(Models!$BJ52:$BT52,,AH52)*(1-AF52)+INDEX(Models!$BJ52:$BT52,,AH52+1)*AF52-ERP_i)*AE52*Ramure*Pc/MaxiM</f>
        <v>1.1466593797354663E-3</v>
      </c>
      <c r="AE52" s="301">
        <f t="shared" si="14"/>
        <v>0.5</v>
      </c>
      <c r="AF52" s="173">
        <f t="shared" si="22"/>
        <v>0.99200730413977545</v>
      </c>
      <c r="AG52" s="801">
        <f t="shared" si="23"/>
        <v>1</v>
      </c>
      <c r="AH52" s="172">
        <f t="shared" si="15"/>
        <v>7</v>
      </c>
      <c r="AI52" s="221">
        <f t="shared" si="24"/>
        <v>1.9920073041397754</v>
      </c>
      <c r="AJ52" s="261" t="b">
        <f t="shared" si="16"/>
        <v>1</v>
      </c>
      <c r="AK52" s="261" t="b">
        <f t="shared" si="17"/>
        <v>0</v>
      </c>
      <c r="AL52" s="261"/>
      <c r="AM52" s="261"/>
      <c r="AN52" s="75"/>
    </row>
    <row r="53" spans="1:40" s="6" customFormat="1" ht="11.25" x14ac:dyDescent="0.2">
      <c r="A53" s="56">
        <f t="shared" si="18"/>
        <v>46061</v>
      </c>
      <c r="B53" s="406">
        <f>'2025'!Wh/'2025'!Env_an*'2026'!Env_an</f>
        <v>135.58590216197177</v>
      </c>
      <c r="C53" s="831"/>
      <c r="D53" s="388">
        <f t="shared" si="0"/>
        <v>138.65858829899548</v>
      </c>
      <c r="E53" s="380">
        <f t="shared" si="1"/>
        <v>145.30697468181327</v>
      </c>
      <c r="F53" s="380">
        <f t="shared" si="2"/>
        <v>145.46002837728116</v>
      </c>
      <c r="G53" s="110">
        <f t="shared" si="19"/>
        <v>1.0139250594819575</v>
      </c>
      <c r="H53" s="409" t="b">
        <f>Wh_hp&gt;='2025'!Maxi_hp</f>
        <v>1</v>
      </c>
      <c r="I53" s="375">
        <f>IF(H53,Wh_hp,'2025'!Maxi_hp)</f>
        <v>145.46002837728116</v>
      </c>
      <c r="J53" s="85">
        <f>IF(H53,An,'2025'!An_max)</f>
        <v>2026</v>
      </c>
      <c r="K53" s="193">
        <f t="shared" si="3"/>
        <v>46061</v>
      </c>
      <c r="L53" s="143">
        <f>IF(t&lt;Tvie,1-EXP((T0-t)*PertePVj)+'2025'!Pspv,1-EXP((T0-t)*PertePVj)+Pspv)</f>
        <v>2.2160085247644012E-2</v>
      </c>
      <c r="M53" s="835"/>
      <c r="N53" s="835"/>
      <c r="O53" s="48">
        <f>IF(t&lt;Tnet,'2025'!Resal+('2025'!Salim-'2025'!Resal)*(1-EXP(('2025'!Tnet-t)/('2025'!Tau_j))),Resal+(Salim-Resal)*(1-EXP((Tnet-t)/(Tau_j))))*Salcycl</f>
        <v>4.5754076136924178E-2</v>
      </c>
      <c r="P53" s="334">
        <f>(INDEX(Models!$BJ53:$BT53,,T53)*(1-R53)+INDEX(Models!$BJ53:$BT53,,T53+1)*R53-ERP_i)*Q53*Ramure*Pc/MaxiM</f>
        <v>1.0522044933945636E-3</v>
      </c>
      <c r="Q53" s="301">
        <f t="shared" si="4"/>
        <v>0.5</v>
      </c>
      <c r="R53" s="173">
        <f t="shared" si="5"/>
        <v>0.9921396051131417</v>
      </c>
      <c r="S53" s="801">
        <f t="shared" si="6"/>
        <v>1</v>
      </c>
      <c r="T53" s="172">
        <f t="shared" si="7"/>
        <v>7</v>
      </c>
      <c r="U53" s="247">
        <f t="shared" si="20"/>
        <v>1.9921396051131417</v>
      </c>
      <c r="V53" s="378">
        <f t="shared" si="8"/>
        <v>133.72379042613503</v>
      </c>
      <c r="W53" s="397">
        <f t="shared" si="9"/>
        <v>135.58590216197177</v>
      </c>
      <c r="X53" s="153">
        <f t="shared" si="10"/>
        <v>46061</v>
      </c>
      <c r="Y53" s="380">
        <f t="shared" si="11"/>
        <v>132.9716020581028</v>
      </c>
      <c r="Z53" s="380">
        <f t="shared" si="21"/>
        <v>135.98504218533427</v>
      </c>
      <c r="AA53" s="381">
        <f t="shared" si="12"/>
        <v>145.30697468181327</v>
      </c>
      <c r="AB53" s="193">
        <f t="shared" si="13"/>
        <v>46061</v>
      </c>
      <c r="AC53" s="119">
        <f>IF(OR(t&lt;Tnet,NoTnet),'2025'!Resal_s+('2025'!Salim-'2025'!Resal_s)*(1-EXP(('2025'!Tnet_s-t)/'2025'!Tau_j)),Resal_s+(Salim-Resal_s)*(1-EXP((Tnet_s-t)/Tau_j)))*Salcycl</f>
        <v>6.415337265738115E-2</v>
      </c>
      <c r="AD53" s="227">
        <f>(INDEX(Models!$BJ53:$BT53,,AH53)*(1-AF53)+INDEX(Models!$BJ53:$BT53,,AH53+1)*AF53-ERP_i)*AE53*Ramure*Pc/MaxiM</f>
        <v>1.0522044933945636E-3</v>
      </c>
      <c r="AE53" s="301">
        <f t="shared" si="14"/>
        <v>0.5</v>
      </c>
      <c r="AF53" s="173">
        <f t="shared" si="22"/>
        <v>0.9921396051131417</v>
      </c>
      <c r="AG53" s="801">
        <f t="shared" si="23"/>
        <v>1</v>
      </c>
      <c r="AH53" s="172">
        <f t="shared" si="15"/>
        <v>7</v>
      </c>
      <c r="AI53" s="221">
        <f t="shared" si="24"/>
        <v>1.9921396051131417</v>
      </c>
      <c r="AJ53" s="261" t="b">
        <f t="shared" si="16"/>
        <v>1</v>
      </c>
      <c r="AK53" s="261" t="b">
        <f t="shared" si="17"/>
        <v>0</v>
      </c>
      <c r="AL53" s="261"/>
      <c r="AM53" s="261"/>
      <c r="AN53" s="75"/>
    </row>
    <row r="54" spans="1:40" s="6" customFormat="1" ht="11.25" x14ac:dyDescent="0.2">
      <c r="A54" s="56">
        <f t="shared" si="18"/>
        <v>46062</v>
      </c>
      <c r="B54" s="406">
        <f>'2025'!Wh/'2025'!Env_an*'2026'!Env_an</f>
        <v>134.94377887874964</v>
      </c>
      <c r="C54" s="831"/>
      <c r="D54" s="388">
        <f t="shared" si="0"/>
        <v>138.00380219212627</v>
      </c>
      <c r="E54" s="380">
        <f t="shared" si="1"/>
        <v>144.62656653931609</v>
      </c>
      <c r="F54" s="380">
        <f t="shared" si="2"/>
        <v>144.76535577254501</v>
      </c>
      <c r="G54" s="110">
        <f t="shared" si="19"/>
        <v>0.99834543126928632</v>
      </c>
      <c r="H54" s="409" t="b">
        <f>Wh_hp&gt;='2025'!Maxi_hp</f>
        <v>0</v>
      </c>
      <c r="I54" s="375">
        <f>IF(H54,Wh_hp,'2025'!Maxi_hp)</f>
        <v>144.76568409319361</v>
      </c>
      <c r="J54" s="85">
        <f>IF(H54,An,'2025'!An_max)</f>
        <v>2022</v>
      </c>
      <c r="K54" s="193">
        <f t="shared" si="3"/>
        <v>46062</v>
      </c>
      <c r="L54" s="143">
        <f>IF(t&lt;Tvie,1-EXP((T0-t)*PertePVj)+'2025'!Pspv,1-EXP((T0-t)*PertePVj)+Pspv)</f>
        <v>2.217347105492451E-2</v>
      </c>
      <c r="M54" s="835"/>
      <c r="N54" s="835"/>
      <c r="O54" s="48">
        <f>IF(t&lt;Tnet,'2025'!Resal+('2025'!Salim-'2025'!Resal)*(1-EXP(('2025'!Tnet-t)/('2025'!Tau_j))),Resal+(Salim-Resal)*(1-EXP((Tnet-t)/(Tau_j))))*Salcycl</f>
        <v>4.5792170177734542E-2</v>
      </c>
      <c r="P54" s="334">
        <f>(INDEX(Models!$BJ54:$BT54,,T54)*(1-R54)+INDEX(Models!$BJ54:$BT54,,T54+1)*R54-ERP_i)*Q54*Ramure*Pc/MaxiM</f>
        <v>9.6098690228578975E-4</v>
      </c>
      <c r="Q54" s="301">
        <f t="shared" si="4"/>
        <v>0.5</v>
      </c>
      <c r="R54" s="173">
        <f t="shared" si="5"/>
        <v>0.99227738157173273</v>
      </c>
      <c r="S54" s="801">
        <f t="shared" si="6"/>
        <v>1</v>
      </c>
      <c r="T54" s="172">
        <f t="shared" si="7"/>
        <v>7</v>
      </c>
      <c r="U54" s="247">
        <f t="shared" si="20"/>
        <v>1.9922773815717327</v>
      </c>
      <c r="V54" s="378">
        <f t="shared" si="8"/>
        <v>135.16711576931621</v>
      </c>
      <c r="W54" s="397">
        <f t="shared" si="9"/>
        <v>134.94377887874964</v>
      </c>
      <c r="X54" s="153">
        <f t="shared" si="10"/>
        <v>46062</v>
      </c>
      <c r="Y54" s="380">
        <f t="shared" si="11"/>
        <v>132.34457309443158</v>
      </c>
      <c r="Z54" s="380">
        <f t="shared" si="21"/>
        <v>135.34565608197502</v>
      </c>
      <c r="AA54" s="381">
        <f t="shared" si="12"/>
        <v>144.62656653931609</v>
      </c>
      <c r="AB54" s="193">
        <f t="shared" si="13"/>
        <v>46062</v>
      </c>
      <c r="AC54" s="119">
        <f>IF(OR(t&lt;Tnet,NoTnet),'2025'!Resal_s+('2025'!Salim-'2025'!Resal_s)*(1-EXP(('2025'!Tnet_s-t)/'2025'!Tau_j)),Resal_s+(Salim-Resal_s)*(1-EXP((Tnet_s-t)/Tau_j)))*Salcycl</f>
        <v>6.4171546621195008E-2</v>
      </c>
      <c r="AD54" s="227">
        <f>(INDEX(Models!$BJ54:$BT54,,AH54)*(1-AF54)+INDEX(Models!$BJ54:$BT54,,AH54+1)*AF54-ERP_i)*AE54*Ramure*Pc/MaxiM</f>
        <v>9.6098690228578975E-4</v>
      </c>
      <c r="AE54" s="301">
        <f t="shared" si="14"/>
        <v>0.5</v>
      </c>
      <c r="AF54" s="173">
        <f t="shared" si="22"/>
        <v>0.99227738157173273</v>
      </c>
      <c r="AG54" s="801">
        <f t="shared" si="23"/>
        <v>1</v>
      </c>
      <c r="AH54" s="172">
        <f t="shared" si="15"/>
        <v>7</v>
      </c>
      <c r="AI54" s="221">
        <f t="shared" si="24"/>
        <v>1.9922773815717327</v>
      </c>
      <c r="AJ54" s="261" t="b">
        <f t="shared" si="16"/>
        <v>1</v>
      </c>
      <c r="AK54" s="261" t="b">
        <f t="shared" si="17"/>
        <v>0</v>
      </c>
      <c r="AL54" s="261"/>
      <c r="AM54" s="261"/>
      <c r="AN54" s="75"/>
    </row>
    <row r="55" spans="1:40" s="6" customFormat="1" ht="11.25" x14ac:dyDescent="0.2">
      <c r="A55" s="56">
        <f t="shared" si="18"/>
        <v>46063</v>
      </c>
      <c r="B55" s="406">
        <f>'2025'!Wh/'2025'!Env_an*'2026'!Env_an</f>
        <v>126.74955773080845</v>
      </c>
      <c r="C55" s="831"/>
      <c r="D55" s="388">
        <f t="shared" si="0"/>
        <v>129.62554103161</v>
      </c>
      <c r="E55" s="380">
        <f t="shared" si="1"/>
        <v>135.85165781729873</v>
      </c>
      <c r="F55" s="380">
        <f t="shared" si="2"/>
        <v>135.95808906862496</v>
      </c>
      <c r="G55" s="110">
        <f t="shared" si="19"/>
        <v>0.92764249336967708</v>
      </c>
      <c r="H55" s="409" t="b">
        <f>Wh_hp&gt;='2025'!Maxi_hp</f>
        <v>0</v>
      </c>
      <c r="I55" s="375">
        <f>IF(H55,Wh_hp,'2025'!Maxi_hp)</f>
        <v>135.97033911419149</v>
      </c>
      <c r="J55" s="85">
        <f>IF(H55,An,'2025'!An_max)</f>
        <v>2022</v>
      </c>
      <c r="K55" s="193">
        <f t="shared" si="3"/>
        <v>46063</v>
      </c>
      <c r="L55" s="143">
        <f>IF(t&lt;Tvie,1-EXP((T0-t)*PertePVj)+'2025'!Pspv,1-EXP((T0-t)*PertePVj)+Pspv)</f>
        <v>2.2186856678964362E-2</v>
      </c>
      <c r="M55" s="835"/>
      <c r="N55" s="835"/>
      <c r="O55" s="48">
        <f>IF(t&lt;Tnet,'2025'!Resal+('2025'!Salim-'2025'!Resal)*(1-EXP(('2025'!Tnet-t)/('2025'!Tau_j))),Resal+(Salim-Resal)*(1-EXP((Tnet-t)/(Tau_j))))*Salcycl</f>
        <v>4.5830259900559847E-2</v>
      </c>
      <c r="P55" s="334">
        <f>(INDEX(Models!$BJ55:$BT55,,T55)*(1-R55)+INDEX(Models!$BJ55:$BT55,,T55+1)*R55-ERP_i)*Q55*Ramure*Pc/MaxiM</f>
        <v>8.7295512201962739E-4</v>
      </c>
      <c r="Q55" s="301">
        <f t="shared" si="4"/>
        <v>0.5</v>
      </c>
      <c r="R55" s="173">
        <f t="shared" si="5"/>
        <v>0.99242085688239534</v>
      </c>
      <c r="S55" s="801">
        <f t="shared" si="6"/>
        <v>1</v>
      </c>
      <c r="T55" s="172">
        <f t="shared" si="7"/>
        <v>7</v>
      </c>
      <c r="U55" s="247">
        <f t="shared" si="20"/>
        <v>1.9924208568823953</v>
      </c>
      <c r="V55" s="378">
        <f t="shared" si="8"/>
        <v>136.62388862436603</v>
      </c>
      <c r="W55" s="397">
        <f t="shared" si="9"/>
        <v>126.74955773080845</v>
      </c>
      <c r="X55" s="153">
        <f t="shared" si="10"/>
        <v>46063</v>
      </c>
      <c r="Y55" s="380">
        <f t="shared" si="11"/>
        <v>124.31072800379978</v>
      </c>
      <c r="Z55" s="380">
        <f t="shared" si="21"/>
        <v>127.13137356856542</v>
      </c>
      <c r="AA55" s="381">
        <f t="shared" si="12"/>
        <v>135.85165781729873</v>
      </c>
      <c r="AB55" s="193">
        <f t="shared" si="13"/>
        <v>46063</v>
      </c>
      <c r="AC55" s="119">
        <f>IF(OR(t&lt;Tnet,NoTnet),'2025'!Resal_s+('2025'!Salim-'2025'!Resal_s)*(1-EXP(('2025'!Tnet_s-t)/'2025'!Tau_j)),Resal_s+(Salim-Resal_s)*(1-EXP((Tnet_s-t)/Tau_j)))*Salcycl</f>
        <v>6.4189752181463E-2</v>
      </c>
      <c r="AD55" s="227">
        <f>(INDEX(Models!$BJ55:$BT55,,AH55)*(1-AF55)+INDEX(Models!$BJ55:$BT55,,AH55+1)*AF55-ERP_i)*AE55*Ramure*Pc/MaxiM</f>
        <v>8.7295512201962739E-4</v>
      </c>
      <c r="AE55" s="301">
        <f t="shared" si="14"/>
        <v>0.5</v>
      </c>
      <c r="AF55" s="173">
        <f t="shared" si="22"/>
        <v>0.99242085688239534</v>
      </c>
      <c r="AG55" s="801">
        <f t="shared" si="23"/>
        <v>1</v>
      </c>
      <c r="AH55" s="172">
        <f t="shared" si="15"/>
        <v>7</v>
      </c>
      <c r="AI55" s="221">
        <f t="shared" si="24"/>
        <v>1.9924208568823953</v>
      </c>
      <c r="AJ55" s="261" t="b">
        <f t="shared" si="16"/>
        <v>1</v>
      </c>
      <c r="AK55" s="261" t="b">
        <f t="shared" si="17"/>
        <v>0</v>
      </c>
      <c r="AL55" s="261"/>
      <c r="AM55" s="261"/>
      <c r="AN55" s="75"/>
    </row>
    <row r="56" spans="1:40" s="6" customFormat="1" ht="11.25" x14ac:dyDescent="0.2">
      <c r="A56" s="56">
        <f t="shared" si="18"/>
        <v>46064</v>
      </c>
      <c r="B56" s="406">
        <f>'2025'!Wh/'2025'!Env_an*'2026'!Env_an</f>
        <v>63.221963594478375</v>
      </c>
      <c r="C56" s="831"/>
      <c r="D56" s="388">
        <f t="shared" si="0"/>
        <v>64.657372928314999</v>
      </c>
      <c r="E56" s="380">
        <f t="shared" si="1"/>
        <v>67.765671827762347</v>
      </c>
      <c r="F56" s="380">
        <f t="shared" si="2"/>
        <v>67.777714610406733</v>
      </c>
      <c r="G56" s="110">
        <f t="shared" si="19"/>
        <v>0.45754850546704678</v>
      </c>
      <c r="H56" s="409" t="b">
        <f>Wh_hp&gt;='2025'!Maxi_hp</f>
        <v>0</v>
      </c>
      <c r="I56" s="375">
        <f>IF(H56,Wh_hp,'2025'!Maxi_hp)</f>
        <v>67.819064186061496</v>
      </c>
      <c r="J56" s="85">
        <f>IF(H56,An,'2025'!An_max)</f>
        <v>2022</v>
      </c>
      <c r="K56" s="193">
        <f t="shared" si="3"/>
        <v>46064</v>
      </c>
      <c r="L56" s="143">
        <f>IF(t&lt;Tvie,1-EXP((T0-t)*PertePVj)+'2025'!Pspv,1-EXP((T0-t)*PertePVj)+Pspv)</f>
        <v>2.2200242119766345E-2</v>
      </c>
      <c r="M56" s="835"/>
      <c r="N56" s="835"/>
      <c r="O56" s="48">
        <f>IF(t&lt;Tnet,'2025'!Resal+('2025'!Salim-'2025'!Resal)*(1-EXP(('2025'!Tnet-t)/('2025'!Tau_j))),Resal+(Salim-Resal)*(1-EXP((Tnet-t)/(Tau_j))))*Salcycl</f>
        <v>4.5868340350075872E-2</v>
      </c>
      <c r="P56" s="334">
        <f>(INDEX(Models!$BJ56:$BT56,,T56)*(1-R56)+INDEX(Models!$BJ56:$BT56,,T56+1)*R56-ERP_i)*Q56*Ramure*Pc/MaxiM</f>
        <v>7.8805025793307224E-4</v>
      </c>
      <c r="Q56" s="301">
        <f t="shared" si="4"/>
        <v>0.5</v>
      </c>
      <c r="R56" s="173">
        <f t="shared" si="5"/>
        <v>0.99257026324825648</v>
      </c>
      <c r="S56" s="801">
        <f t="shared" si="6"/>
        <v>1</v>
      </c>
      <c r="T56" s="172">
        <f t="shared" si="7"/>
        <v>7</v>
      </c>
      <c r="U56" s="247">
        <f t="shared" si="20"/>
        <v>1.9925702632482565</v>
      </c>
      <c r="V56" s="378">
        <f t="shared" si="8"/>
        <v>138.09108151670466</v>
      </c>
      <c r="W56" s="397">
        <f t="shared" si="9"/>
        <v>63.221963594478375</v>
      </c>
      <c r="X56" s="153">
        <f t="shared" si="10"/>
        <v>46064</v>
      </c>
      <c r="Y56" s="380">
        <f t="shared" si="11"/>
        <v>62.006755858088773</v>
      </c>
      <c r="Z56" s="380">
        <f t="shared" si="21"/>
        <v>63.414574771948047</v>
      </c>
      <c r="AA56" s="381">
        <f t="shared" si="12"/>
        <v>67.765671827762347</v>
      </c>
      <c r="AB56" s="193">
        <f t="shared" si="13"/>
        <v>46064</v>
      </c>
      <c r="AC56" s="119">
        <f>IF(OR(t&lt;Tnet,NoTnet),'2025'!Resal_s+('2025'!Salim-'2025'!Resal_s)*(1-EXP(('2025'!Tnet_s-t)/'2025'!Tau_j)),Resal_s+(Salim-Resal_s)*(1-EXP((Tnet_s-t)/Tau_j)))*Salcycl</f>
        <v>6.4207982278598724E-2</v>
      </c>
      <c r="AD56" s="227">
        <f>(INDEX(Models!$BJ56:$BT56,,AH56)*(1-AF56)+INDEX(Models!$BJ56:$BT56,,AH56+1)*AF56-ERP_i)*AE56*Ramure*Pc/MaxiM</f>
        <v>7.8805025793307224E-4</v>
      </c>
      <c r="AE56" s="301">
        <f t="shared" si="14"/>
        <v>0.5</v>
      </c>
      <c r="AF56" s="173">
        <f t="shared" si="22"/>
        <v>0.99257026324825648</v>
      </c>
      <c r="AG56" s="801">
        <f t="shared" si="23"/>
        <v>1</v>
      </c>
      <c r="AH56" s="172">
        <f t="shared" si="15"/>
        <v>7</v>
      </c>
      <c r="AI56" s="221">
        <f t="shared" si="24"/>
        <v>1.9925702632482565</v>
      </c>
      <c r="AJ56" s="261" t="b">
        <f t="shared" si="16"/>
        <v>1</v>
      </c>
      <c r="AK56" s="261" t="b">
        <f t="shared" si="17"/>
        <v>0</v>
      </c>
      <c r="AL56" s="261"/>
      <c r="AM56" s="261"/>
      <c r="AN56" s="75"/>
    </row>
    <row r="57" spans="1:40" s="6" customFormat="1" ht="11.25" x14ac:dyDescent="0.2">
      <c r="A57" s="56">
        <f t="shared" si="18"/>
        <v>46065</v>
      </c>
      <c r="B57" s="406">
        <f>'2025'!Wh/'2025'!Env_an*'2026'!Env_an</f>
        <v>105.88716514256481</v>
      </c>
      <c r="C57" s="831"/>
      <c r="D57" s="388">
        <f t="shared" si="0"/>
        <v>108.29273971015674</v>
      </c>
      <c r="E57" s="380">
        <f t="shared" si="1"/>
        <v>113.50326681409791</v>
      </c>
      <c r="F57" s="380">
        <f t="shared" si="2"/>
        <v>113.5558156773541</v>
      </c>
      <c r="G57" s="110">
        <f t="shared" si="19"/>
        <v>0.75850584790661335</v>
      </c>
      <c r="H57" s="409" t="b">
        <f>Wh_hp&gt;='2025'!Maxi_hp</f>
        <v>0</v>
      </c>
      <c r="I57" s="375">
        <f>IF(H57,Wh_hp,'2025'!Maxi_hp)</f>
        <v>113.58344330581436</v>
      </c>
      <c r="J57" s="85">
        <f>IF(H57,An,'2025'!An_max)</f>
        <v>2022</v>
      </c>
      <c r="K57" s="193">
        <f t="shared" si="3"/>
        <v>46065</v>
      </c>
      <c r="L57" s="143">
        <f>IF(t&lt;Tvie,1-EXP((T0-t)*PertePVj)+'2025'!Pspv,1-EXP((T0-t)*PertePVj)+Pspv)</f>
        <v>2.2213627377332901E-2</v>
      </c>
      <c r="M57" s="835"/>
      <c r="N57" s="835"/>
      <c r="O57" s="48">
        <f>IF(t&lt;Tnet,'2025'!Resal+('2025'!Salim-'2025'!Resal)*(1-EXP(('2025'!Tnet-t)/('2025'!Tau_j))),Resal+(Salim-Resal)*(1-EXP((Tnet-t)/(Tau_j))))*Salcycl</f>
        <v>4.5906406486742532E-2</v>
      </c>
      <c r="P57" s="334">
        <f>(INDEX(Models!$BJ57:$BT57,,T57)*(1-R57)+INDEX(Models!$BJ57:$BT57,,T57+1)*R57-ERP_i)*Q57*Ramure*Pc/MaxiM</f>
        <v>7.0620715006290366E-4</v>
      </c>
      <c r="Q57" s="301">
        <f t="shared" si="4"/>
        <v>0.5</v>
      </c>
      <c r="R57" s="173">
        <f t="shared" si="5"/>
        <v>0.99272584203477932</v>
      </c>
      <c r="S57" s="801">
        <f t="shared" si="6"/>
        <v>1</v>
      </c>
      <c r="T57" s="172">
        <f t="shared" si="7"/>
        <v>7</v>
      </c>
      <c r="U57" s="247">
        <f t="shared" si="20"/>
        <v>1.9927258420347793</v>
      </c>
      <c r="V57" s="378">
        <f t="shared" si="8"/>
        <v>139.56566763570814</v>
      </c>
      <c r="W57" s="397">
        <f t="shared" si="9"/>
        <v>105.88716514256481</v>
      </c>
      <c r="X57" s="153">
        <f t="shared" si="10"/>
        <v>46065</v>
      </c>
      <c r="Y57" s="380">
        <f t="shared" si="11"/>
        <v>103.85399547813364</v>
      </c>
      <c r="Z57" s="380">
        <f t="shared" si="21"/>
        <v>106.21337992221277</v>
      </c>
      <c r="AA57" s="381">
        <f t="shared" si="12"/>
        <v>113.50326681409791</v>
      </c>
      <c r="AB57" s="193">
        <f t="shared" si="13"/>
        <v>46065</v>
      </c>
      <c r="AC57" s="119">
        <f>IF(OR(t&lt;Tnet,NoTnet),'2025'!Resal_s+('2025'!Salim-'2025'!Resal_s)*(1-EXP(('2025'!Tnet_s-t)/'2025'!Tau_j)),Resal_s+(Salim-Resal_s)*(1-EXP((Tnet_s-t)/Tau_j)))*Salcycl</f>
        <v>6.4226229750945663E-2</v>
      </c>
      <c r="AD57" s="227">
        <f>(INDEX(Models!$BJ57:$BT57,,AH57)*(1-AF57)+INDEX(Models!$BJ57:$BT57,,AH57+1)*AF57-ERP_i)*AE57*Ramure*Pc/MaxiM</f>
        <v>7.0620715006290366E-4</v>
      </c>
      <c r="AE57" s="301">
        <f t="shared" si="14"/>
        <v>0.5</v>
      </c>
      <c r="AF57" s="173">
        <f t="shared" si="22"/>
        <v>0.99272584203477932</v>
      </c>
      <c r="AG57" s="801">
        <f t="shared" si="23"/>
        <v>1</v>
      </c>
      <c r="AH57" s="172">
        <f t="shared" si="15"/>
        <v>7</v>
      </c>
      <c r="AI57" s="221">
        <f t="shared" si="24"/>
        <v>1.9927258420347793</v>
      </c>
      <c r="AJ57" s="261" t="b">
        <f t="shared" si="16"/>
        <v>1</v>
      </c>
      <c r="AK57" s="261" t="b">
        <f t="shared" si="17"/>
        <v>0</v>
      </c>
      <c r="AL57" s="261"/>
      <c r="AM57" s="261"/>
      <c r="AN57" s="75"/>
    </row>
    <row r="58" spans="1:40" s="6" customFormat="1" ht="11.25" x14ac:dyDescent="0.2">
      <c r="A58" s="56">
        <f t="shared" si="18"/>
        <v>46066</v>
      </c>
      <c r="B58" s="406">
        <f>'2025'!Wh/'2025'!Env_an*'2026'!Env_an</f>
        <v>129.19523894486505</v>
      </c>
      <c r="C58" s="831"/>
      <c r="D58" s="388">
        <f t="shared" si="0"/>
        <v>132.13214170378035</v>
      </c>
      <c r="E58" s="380">
        <f t="shared" si="1"/>
        <v>138.4952292920913</v>
      </c>
      <c r="F58" s="380">
        <f t="shared" si="2"/>
        <v>138.57206957249349</v>
      </c>
      <c r="G58" s="110">
        <f t="shared" si="19"/>
        <v>0.91592165892784849</v>
      </c>
      <c r="H58" s="409" t="b">
        <f>Wh_hp&gt;='2025'!Maxi_hp</f>
        <v>0</v>
      </c>
      <c r="I58" s="375">
        <f>IF(H58,Wh_hp,'2025'!Maxi_hp)</f>
        <v>138.58254094560056</v>
      </c>
      <c r="J58" s="85">
        <f>IF(H58,An,'2025'!An_max)</f>
        <v>2022</v>
      </c>
      <c r="K58" s="193">
        <f t="shared" si="3"/>
        <v>46066</v>
      </c>
      <c r="L58" s="143">
        <f>IF(t&lt;Tvie,1-EXP((T0-t)*PertePVj)+'2025'!Pspv,1-EXP((T0-t)*PertePVj)+Pspv)</f>
        <v>2.2227012451666583E-2</v>
      </c>
      <c r="M58" s="835"/>
      <c r="N58" s="835"/>
      <c r="O58" s="48">
        <f>IF(t&lt;Tnet,'2025'!Resal+('2025'!Salim-'2025'!Resal)*(1-EXP(('2025'!Tnet-t)/('2025'!Tau_j))),Resal+(Salim-Resal)*(1-EXP((Tnet-t)/(Tau_j))))*Salcycl</f>
        <v>4.5944453255432796E-2</v>
      </c>
      <c r="P58" s="334">
        <f>(INDEX(Models!$BJ58:$BT58,,T58)*(1-R58)+INDEX(Models!$BJ58:$BT58,,T58+1)*R58-ERP_i)*Q58*Ramure*Pc/MaxiM</f>
        <v>6.3013983180911751E-4</v>
      </c>
      <c r="Q58" s="301">
        <f t="shared" si="4"/>
        <v>0.5</v>
      </c>
      <c r="R58" s="173">
        <f t="shared" si="5"/>
        <v>0.99288784410581843</v>
      </c>
      <c r="S58" s="801">
        <f t="shared" si="6"/>
        <v>1</v>
      </c>
      <c r="T58" s="172">
        <f t="shared" si="7"/>
        <v>7</v>
      </c>
      <c r="U58" s="247">
        <f t="shared" si="20"/>
        <v>1.9928878441058184</v>
      </c>
      <c r="V58" s="378">
        <f t="shared" si="8"/>
        <v>141.04422784041893</v>
      </c>
      <c r="W58" s="397">
        <f t="shared" si="9"/>
        <v>129.19523894486505</v>
      </c>
      <c r="X58" s="153">
        <f t="shared" si="10"/>
        <v>46066</v>
      </c>
      <c r="Y58" s="380">
        <f t="shared" si="11"/>
        <v>126.71710515478001</v>
      </c>
      <c r="Z58" s="380">
        <f t="shared" si="21"/>
        <v>129.59767427458831</v>
      </c>
      <c r="AA58" s="381">
        <f t="shared" si="12"/>
        <v>138.4952292920913</v>
      </c>
      <c r="AB58" s="193">
        <f t="shared" si="13"/>
        <v>46066</v>
      </c>
      <c r="AC58" s="119">
        <f>IF(OR(t&lt;Tnet,NoTnet),'2025'!Resal_s+('2025'!Salim-'2025'!Resal_s)*(1-EXP(('2025'!Tnet_s-t)/'2025'!Tau_j)),Resal_s+(Salim-Resal_s)*(1-EXP((Tnet_s-t)/Tau_j)))*Salcycl</f>
        <v>6.4244487430954941E-2</v>
      </c>
      <c r="AD58" s="227">
        <f>(INDEX(Models!$BJ58:$BT58,,AH58)*(1-AF58)+INDEX(Models!$BJ58:$BT58,,AH58+1)*AF58-ERP_i)*AE58*Ramure*Pc/MaxiM</f>
        <v>6.3013983180911751E-4</v>
      </c>
      <c r="AE58" s="301">
        <f t="shared" si="14"/>
        <v>0.5</v>
      </c>
      <c r="AF58" s="173">
        <f t="shared" si="22"/>
        <v>0.99288784410581843</v>
      </c>
      <c r="AG58" s="801">
        <f t="shared" si="23"/>
        <v>1</v>
      </c>
      <c r="AH58" s="172">
        <f t="shared" si="15"/>
        <v>7</v>
      </c>
      <c r="AI58" s="221">
        <f t="shared" si="24"/>
        <v>1.9928878441058184</v>
      </c>
      <c r="AJ58" s="261" t="b">
        <f t="shared" si="16"/>
        <v>1</v>
      </c>
      <c r="AK58" s="261" t="b">
        <f t="shared" si="17"/>
        <v>0</v>
      </c>
      <c r="AL58" s="261"/>
      <c r="AM58" s="261"/>
      <c r="AN58" s="75"/>
    </row>
    <row r="59" spans="1:40" s="6" customFormat="1" ht="11.25" x14ac:dyDescent="0.2">
      <c r="A59" s="56">
        <f t="shared" si="18"/>
        <v>46067</v>
      </c>
      <c r="B59" s="406">
        <f>'2025'!Wh/'2025'!Env_an*'2026'!Env_an</f>
        <v>73.668231664191765</v>
      </c>
      <c r="C59" s="831"/>
      <c r="D59" s="388">
        <f t="shared" si="0"/>
        <v>75.343910163587907</v>
      </c>
      <c r="E59" s="380">
        <f t="shared" si="1"/>
        <v>78.975394309886568</v>
      </c>
      <c r="F59" s="380">
        <f t="shared" si="2"/>
        <v>78.989146938691945</v>
      </c>
      <c r="G59" s="110">
        <f t="shared" si="19"/>
        <v>0.51668461335396898</v>
      </c>
      <c r="H59" s="409" t="b">
        <f>Wh_hp&gt;='2025'!Maxi_hp</f>
        <v>0</v>
      </c>
      <c r="I59" s="375">
        <f>IF(H59,Wh_hp,'2025'!Maxi_hp)</f>
        <v>79.019753092234637</v>
      </c>
      <c r="J59" s="85">
        <f>IF(H59,An,'2025'!An_max)</f>
        <v>2022</v>
      </c>
      <c r="K59" s="193">
        <f t="shared" si="3"/>
        <v>46067</v>
      </c>
      <c r="L59" s="143">
        <f>IF(t&lt;Tvie,1-EXP((T0-t)*PertePVj)+'2025'!Pspv,1-EXP((T0-t)*PertePVj)+Pspv)</f>
        <v>2.2240397342769724E-2</v>
      </c>
      <c r="M59" s="835"/>
      <c r="N59" s="835"/>
      <c r="O59" s="48">
        <f>IF(t&lt;Tnet,'2025'!Resal+('2025'!Salim-'2025'!Resal)*(1-EXP(('2025'!Tnet-t)/('2025'!Tau_j))),Resal+(Salim-Resal)*(1-EXP((Tnet-t)/(Tau_j))))*Salcycl</f>
        <v>4.5982475656269721E-2</v>
      </c>
      <c r="P59" s="334">
        <f>(INDEX(Models!$BJ59:$BT59,,T59)*(1-R59)+INDEX(Models!$BJ59:$BT59,,T59+1)*R59-ERP_i)*Q59*Ramure*Pc/MaxiM</f>
        <v>5.6193566803642973E-4</v>
      </c>
      <c r="Q59" s="301">
        <f t="shared" si="4"/>
        <v>0.5</v>
      </c>
      <c r="R59" s="173">
        <f t="shared" si="5"/>
        <v>0.99305653016980022</v>
      </c>
      <c r="S59" s="801">
        <f t="shared" si="6"/>
        <v>1</v>
      </c>
      <c r="T59" s="172">
        <f t="shared" si="7"/>
        <v>7</v>
      </c>
      <c r="U59" s="247">
        <f t="shared" si="20"/>
        <v>1.9930565301698002</v>
      </c>
      <c r="V59" s="378">
        <f t="shared" si="8"/>
        <v>142.5234160153789</v>
      </c>
      <c r="W59" s="397">
        <f t="shared" si="9"/>
        <v>73.668231664191765</v>
      </c>
      <c r="X59" s="153">
        <f t="shared" si="10"/>
        <v>46067</v>
      </c>
      <c r="Y59" s="380">
        <f t="shared" si="11"/>
        <v>72.256648206315745</v>
      </c>
      <c r="Z59" s="380">
        <f t="shared" si="21"/>
        <v>73.900218427869021</v>
      </c>
      <c r="AA59" s="381">
        <f t="shared" si="12"/>
        <v>78.975394309886568</v>
      </c>
      <c r="AB59" s="193">
        <f t="shared" si="13"/>
        <v>46067</v>
      </c>
      <c r="AC59" s="119">
        <f>IF(OR(t&lt;Tnet,NoTnet),'2025'!Resal_s+('2025'!Salim-'2025'!Resal_s)*(1-EXP(('2025'!Tnet_s-t)/'2025'!Tau_j)),Resal_s+(Salim-Resal_s)*(1-EXP((Tnet_s-t)/Tau_j)))*Salcycl</f>
        <v>6.4262748244135082E-2</v>
      </c>
      <c r="AD59" s="227">
        <f>(INDEX(Models!$BJ59:$BT59,,AH59)*(1-AF59)+INDEX(Models!$BJ59:$BT59,,AH59+1)*AF59-ERP_i)*AE59*Ramure*Pc/MaxiM</f>
        <v>5.6193566803642973E-4</v>
      </c>
      <c r="AE59" s="301">
        <f t="shared" si="14"/>
        <v>0.5</v>
      </c>
      <c r="AF59" s="173">
        <f t="shared" si="22"/>
        <v>0.99305653016980022</v>
      </c>
      <c r="AG59" s="801">
        <f t="shared" si="23"/>
        <v>1</v>
      </c>
      <c r="AH59" s="172">
        <f t="shared" si="15"/>
        <v>7</v>
      </c>
      <c r="AI59" s="221">
        <f t="shared" si="24"/>
        <v>1.9930565301698002</v>
      </c>
      <c r="AJ59" s="261" t="b">
        <f t="shared" si="16"/>
        <v>1</v>
      </c>
      <c r="AK59" s="261" t="b">
        <f t="shared" si="17"/>
        <v>0</v>
      </c>
      <c r="AL59" s="261"/>
      <c r="AM59" s="261"/>
      <c r="AN59" s="75"/>
    </row>
    <row r="60" spans="1:40" s="6" customFormat="1" ht="11.25" x14ac:dyDescent="0.2">
      <c r="A60" s="56">
        <f t="shared" si="18"/>
        <v>46068</v>
      </c>
      <c r="B60" s="406">
        <f>'2025'!Wh/'2025'!Env_an*'2026'!Env_an</f>
        <v>77.786282851917989</v>
      </c>
      <c r="C60" s="831"/>
      <c r="D60" s="388">
        <f t="shared" si="0"/>
        <v>79.556720776747753</v>
      </c>
      <c r="E60" s="380">
        <f t="shared" si="1"/>
        <v>83.394578370128983</v>
      </c>
      <c r="F60" s="380">
        <f t="shared" si="2"/>
        <v>83.408927010658786</v>
      </c>
      <c r="G60" s="110">
        <f t="shared" si="19"/>
        <v>0.54000380946631432</v>
      </c>
      <c r="H60" s="409" t="b">
        <f>Wh_hp&gt;='2025'!Maxi_hp</f>
        <v>0</v>
      </c>
      <c r="I60" s="375">
        <f>IF(H60,Wh_hp,'2025'!Maxi_hp)</f>
        <v>83.436368101478877</v>
      </c>
      <c r="J60" s="85">
        <f>IF(H60,An,'2025'!An_max)</f>
        <v>2022</v>
      </c>
      <c r="K60" s="193">
        <f t="shared" si="3"/>
        <v>46068</v>
      </c>
      <c r="L60" s="143">
        <f>IF(t&lt;Tvie,1-EXP((T0-t)*PertePVj)+'2025'!Pspv,1-EXP((T0-t)*PertePVj)+Pspv)</f>
        <v>2.2253782050644988E-2</v>
      </c>
      <c r="M60" s="835"/>
      <c r="N60" s="835"/>
      <c r="O60" s="48">
        <f>IF(t&lt;Tnet,'2025'!Resal+('2025'!Salim-'2025'!Resal)*(1-EXP(('2025'!Tnet-t)/('2025'!Tau_j))),Resal+(Salim-Resal)*(1-EXP((Tnet-t)/(Tau_j))))*Salcycl</f>
        <v>4.6020468816902263E-2</v>
      </c>
      <c r="P60" s="334">
        <f>(INDEX(Models!$BJ60:$BT60,,T60)*(1-R60)+INDEX(Models!$BJ60:$BT60,,T60+1)*R60-ERP_i)*Q60*Ramure*Pc/MaxiM</f>
        <v>5.0136760352886692E-4</v>
      </c>
      <c r="Q60" s="301">
        <f t="shared" si="4"/>
        <v>0.5</v>
      </c>
      <c r="R60" s="173">
        <f t="shared" si="5"/>
        <v>0.99323217113613071</v>
      </c>
      <c r="S60" s="801">
        <f t="shared" si="6"/>
        <v>1</v>
      </c>
      <c r="T60" s="172">
        <f t="shared" si="7"/>
        <v>7</v>
      </c>
      <c r="U60" s="247">
        <f t="shared" si="20"/>
        <v>1.9932321711361307</v>
      </c>
      <c r="V60" s="378">
        <f t="shared" si="8"/>
        <v>144.0002069413371</v>
      </c>
      <c r="W60" s="397">
        <f t="shared" si="9"/>
        <v>77.786282851917989</v>
      </c>
      <c r="X60" s="153">
        <f t="shared" si="10"/>
        <v>46068</v>
      </c>
      <c r="Y60" s="380">
        <f t="shared" si="11"/>
        <v>76.297341831460074</v>
      </c>
      <c r="Z60" s="380">
        <f t="shared" si="21"/>
        <v>78.033891035119396</v>
      </c>
      <c r="AA60" s="381">
        <f t="shared" si="12"/>
        <v>83.394578370128983</v>
      </c>
      <c r="AB60" s="193">
        <f t="shared" si="13"/>
        <v>46068</v>
      </c>
      <c r="AC60" s="119">
        <f>IF(OR(t&lt;Tnet,NoTnet),'2025'!Resal_s+('2025'!Salim-'2025'!Resal_s)*(1-EXP(('2025'!Tnet_s-t)/'2025'!Tau_j)),Resal_s+(Salim-Resal_s)*(1-EXP((Tnet_s-t)/Tau_j)))*Salcycl</f>
        <v>6.4281005309689665E-2</v>
      </c>
      <c r="AD60" s="227">
        <f>(INDEX(Models!$BJ60:$BT60,,AH60)*(1-AF60)+INDEX(Models!$BJ60:$BT60,,AH60+1)*AF60-ERP_i)*AE60*Ramure*Pc/MaxiM</f>
        <v>5.0136760352886692E-4</v>
      </c>
      <c r="AE60" s="301">
        <f t="shared" si="14"/>
        <v>0.5</v>
      </c>
      <c r="AF60" s="173">
        <f t="shared" si="22"/>
        <v>0.99323217113613071</v>
      </c>
      <c r="AG60" s="801">
        <f t="shared" si="23"/>
        <v>1</v>
      </c>
      <c r="AH60" s="172">
        <f t="shared" si="15"/>
        <v>7</v>
      </c>
      <c r="AI60" s="221">
        <f t="shared" si="24"/>
        <v>1.9932321711361307</v>
      </c>
      <c r="AJ60" s="261" t="b">
        <f t="shared" si="16"/>
        <v>1</v>
      </c>
      <c r="AK60" s="261" t="b">
        <f t="shared" si="17"/>
        <v>0</v>
      </c>
      <c r="AL60" s="261"/>
      <c r="AM60" s="261"/>
      <c r="AN60" s="75"/>
    </row>
    <row r="61" spans="1:40" s="6" customFormat="1" ht="11.25" x14ac:dyDescent="0.2">
      <c r="A61" s="56">
        <f t="shared" si="18"/>
        <v>46069</v>
      </c>
      <c r="B61" s="406">
        <f>'2025'!Wh/'2025'!Env_an*'2026'!Env_an</f>
        <v>30.045169574052572</v>
      </c>
      <c r="C61" s="831"/>
      <c r="D61" s="388">
        <f t="shared" si="0"/>
        <v>30.729426840268157</v>
      </c>
      <c r="E61" s="380">
        <f t="shared" si="1"/>
        <v>32.213112148944589</v>
      </c>
      <c r="F61" s="380">
        <f t="shared" si="2"/>
        <v>32.213112148944589</v>
      </c>
      <c r="G61" s="110">
        <f t="shared" si="19"/>
        <v>0.206443786189453</v>
      </c>
      <c r="H61" s="409" t="b">
        <f>Wh_hp&gt;='2025'!Maxi_hp</f>
        <v>0</v>
      </c>
      <c r="I61" s="375">
        <f>IF(H61,Wh_hp,'2025'!Maxi_hp)</f>
        <v>32.227533516382081</v>
      </c>
      <c r="J61" s="85">
        <f>IF(H61,An,'2025'!An_max)</f>
        <v>2022</v>
      </c>
      <c r="K61" s="193">
        <f t="shared" si="3"/>
        <v>46069</v>
      </c>
      <c r="L61" s="143">
        <f>IF(t&lt;Tvie,1-EXP((T0-t)*PertePVj)+'2025'!Pspv,1-EXP((T0-t)*PertePVj)+Pspv)</f>
        <v>2.2267166575294817E-2</v>
      </c>
      <c r="M61" s="835"/>
      <c r="N61" s="835"/>
      <c r="O61" s="48">
        <f>IF(t&lt;Tnet,'2025'!Resal+('2025'!Salim-'2025'!Resal)*(1-EXP(('2025'!Tnet-t)/('2025'!Tau_j))),Resal+(Salim-Resal)*(1-EXP((Tnet-t)/(Tau_j))))*Salcycl</f>
        <v>4.605842806544979E-2</v>
      </c>
      <c r="P61" s="334">
        <f>(INDEX(Models!$BJ61:$BT61,,T61)*(1-R61)+INDEX(Models!$BJ61:$BT61,,T61+1)*R61-ERP_i)*Q61*Ramure*Pc/MaxiM</f>
        <v>4.4821335362042839E-4</v>
      </c>
      <c r="Q61" s="301">
        <f t="shared" si="4"/>
        <v>0.5</v>
      </c>
      <c r="R61" s="173">
        <f t="shared" si="5"/>
        <v>0.99341504848191864</v>
      </c>
      <c r="S61" s="801">
        <f t="shared" si="6"/>
        <v>1</v>
      </c>
      <c r="T61" s="172">
        <f t="shared" si="7"/>
        <v>7</v>
      </c>
      <c r="U61" s="247">
        <f t="shared" si="20"/>
        <v>1.9934150484819186</v>
      </c>
      <c r="V61" s="378">
        <f t="shared" si="8"/>
        <v>145.47157597796462</v>
      </c>
      <c r="W61" s="397">
        <f t="shared" si="9"/>
        <v>30.045169574052572</v>
      </c>
      <c r="X61" s="153">
        <f t="shared" si="10"/>
        <v>46069</v>
      </c>
      <c r="Y61" s="380">
        <f t="shared" si="11"/>
        <v>29.470659912598798</v>
      </c>
      <c r="Z61" s="380">
        <f t="shared" si="21"/>
        <v>30.141833131829998</v>
      </c>
      <c r="AA61" s="381">
        <f t="shared" si="12"/>
        <v>32.213112148944589</v>
      </c>
      <c r="AB61" s="193">
        <f t="shared" si="13"/>
        <v>46069</v>
      </c>
      <c r="AC61" s="119">
        <f>IF(OR(t&lt;Tnet,NoTnet),'2025'!Resal_s+('2025'!Salim-'2025'!Resal_s)*(1-EXP(('2025'!Tnet_s-t)/'2025'!Tau_j)),Resal_s+(Salim-Resal_s)*(1-EXP((Tnet_s-t)/Tau_j)))*Salcycl</f>
        <v>6.4299252041763844E-2</v>
      </c>
      <c r="AD61" s="227">
        <f>(INDEX(Models!$BJ61:$BT61,,AH61)*(1-AF61)+INDEX(Models!$BJ61:$BT61,,AH61+1)*AF61-ERP_i)*AE61*Ramure*Pc/MaxiM</f>
        <v>4.4821335362042839E-4</v>
      </c>
      <c r="AE61" s="301">
        <f t="shared" si="14"/>
        <v>0.5</v>
      </c>
      <c r="AF61" s="173">
        <f t="shared" si="22"/>
        <v>0.99341504848191864</v>
      </c>
      <c r="AG61" s="801">
        <f t="shared" si="23"/>
        <v>1</v>
      </c>
      <c r="AH61" s="172">
        <f t="shared" si="15"/>
        <v>7</v>
      </c>
      <c r="AI61" s="221">
        <f t="shared" si="24"/>
        <v>1.9934150484819186</v>
      </c>
      <c r="AJ61" s="261" t="b">
        <f t="shared" si="16"/>
        <v>1</v>
      </c>
      <c r="AK61" s="261" t="b">
        <f t="shared" si="17"/>
        <v>0</v>
      </c>
      <c r="AL61" s="261"/>
      <c r="AM61" s="261"/>
      <c r="AN61" s="75"/>
    </row>
    <row r="62" spans="1:40" s="6" customFormat="1" ht="11.25" x14ac:dyDescent="0.2">
      <c r="A62" s="56">
        <f t="shared" si="18"/>
        <v>46070</v>
      </c>
      <c r="B62" s="406">
        <f>'2025'!Wh/'2025'!Env_an*'2026'!Env_an</f>
        <v>44.264607454151694</v>
      </c>
      <c r="C62" s="831"/>
      <c r="D62" s="388">
        <f t="shared" si="0"/>
        <v>45.273322010372951</v>
      </c>
      <c r="E62" s="380">
        <f t="shared" si="1"/>
        <v>47.461105702940813</v>
      </c>
      <c r="F62" s="380">
        <f t="shared" si="2"/>
        <v>47.461139904454001</v>
      </c>
      <c r="G62" s="110">
        <f t="shared" si="19"/>
        <v>0.30113304835724264</v>
      </c>
      <c r="H62" s="409" t="b">
        <f>Wh_hp&gt;='2025'!Maxi_hp</f>
        <v>0</v>
      </c>
      <c r="I62" s="375">
        <f>IF(H62,Wh_hp,'2025'!Maxi_hp)</f>
        <v>47.480172549184005</v>
      </c>
      <c r="J62" s="85">
        <f>IF(H62,An,'2025'!An_max)</f>
        <v>2022</v>
      </c>
      <c r="K62" s="193">
        <f t="shared" si="3"/>
        <v>46070</v>
      </c>
      <c r="L62" s="143">
        <f>IF(t&lt;Tvie,1-EXP((T0-t)*PertePVj)+'2025'!Pspv,1-EXP((T0-t)*PertePVj)+Pspv)</f>
        <v>2.2280550916721764E-2</v>
      </c>
      <c r="M62" s="835"/>
      <c r="N62" s="835"/>
      <c r="O62" s="48">
        <f>IF(t&lt;Tnet,'2025'!Resal+('2025'!Salim-'2025'!Resal)*(1-EXP(('2025'!Tnet-t)/('2025'!Tau_j))),Resal+(Salim-Resal)*(1-EXP((Tnet-t)/(Tau_j))))*Salcycl</f>
        <v>4.6096349003354589E-2</v>
      </c>
      <c r="P62" s="334">
        <f>(INDEX(Models!$BJ62:$BT62,,T62)*(1-R62)+INDEX(Models!$BJ62:$BT62,,T62+1)*R62-ERP_i)*Q62*Ramure*Pc/MaxiM</f>
        <v>4.0225664988566951E-4</v>
      </c>
      <c r="Q62" s="301">
        <f t="shared" si="4"/>
        <v>0.5</v>
      </c>
      <c r="R62" s="173">
        <f t="shared" si="5"/>
        <v>0.99360545462907512</v>
      </c>
      <c r="S62" s="801">
        <f t="shared" si="6"/>
        <v>1</v>
      </c>
      <c r="T62" s="172">
        <f t="shared" si="7"/>
        <v>7</v>
      </c>
      <c r="U62" s="247">
        <f t="shared" si="20"/>
        <v>1.9936054546290751</v>
      </c>
      <c r="V62" s="378">
        <f t="shared" si="8"/>
        <v>146.93449904632416</v>
      </c>
      <c r="W62" s="397">
        <f t="shared" si="9"/>
        <v>44.264607454151694</v>
      </c>
      <c r="X62" s="153">
        <f t="shared" si="10"/>
        <v>46070</v>
      </c>
      <c r="Y62" s="380">
        <f t="shared" si="11"/>
        <v>43.419080435044087</v>
      </c>
      <c r="Z62" s="380">
        <f t="shared" si="21"/>
        <v>44.408526879315275</v>
      </c>
      <c r="AA62" s="381">
        <f t="shared" si="12"/>
        <v>47.461105702940813</v>
      </c>
      <c r="AB62" s="193">
        <f t="shared" si="13"/>
        <v>46070</v>
      </c>
      <c r="AC62" s="119">
        <f>IF(OR(t&lt;Tnet,NoTnet),'2025'!Resal_s+('2025'!Salim-'2025'!Resal_s)*(1-EXP(('2025'!Tnet_s-t)/'2025'!Tau_j)),Resal_s+(Salim-Resal_s)*(1-EXP((Tnet_s-t)/Tau_j)))*Salcycl</f>
        <v>6.431748225023752E-2</v>
      </c>
      <c r="AD62" s="227">
        <f>(INDEX(Models!$BJ62:$BT62,,AH62)*(1-AF62)+INDEX(Models!$BJ62:$BT62,,AH62+1)*AF62-ERP_i)*AE62*Ramure*Pc/MaxiM</f>
        <v>4.0225664988566951E-4</v>
      </c>
      <c r="AE62" s="301">
        <f t="shared" si="14"/>
        <v>0.5</v>
      </c>
      <c r="AF62" s="173">
        <f t="shared" si="22"/>
        <v>0.99360545462907512</v>
      </c>
      <c r="AG62" s="801">
        <f t="shared" si="23"/>
        <v>1</v>
      </c>
      <c r="AH62" s="172">
        <f t="shared" si="15"/>
        <v>7</v>
      </c>
      <c r="AI62" s="221">
        <f t="shared" si="24"/>
        <v>1.9936054546290751</v>
      </c>
      <c r="AJ62" s="261" t="b">
        <f t="shared" si="16"/>
        <v>1</v>
      </c>
      <c r="AK62" s="261" t="b">
        <f t="shared" si="17"/>
        <v>0</v>
      </c>
      <c r="AL62" s="261"/>
      <c r="AM62" s="261"/>
      <c r="AN62" s="75"/>
    </row>
    <row r="63" spans="1:40" s="6" customFormat="1" ht="11.25" x14ac:dyDescent="0.2">
      <c r="A63" s="56">
        <f t="shared" si="18"/>
        <v>46071</v>
      </c>
      <c r="B63" s="406">
        <f>'2025'!Wh/'2025'!Env_an*'2026'!Env_an</f>
        <v>125.85400630788661</v>
      </c>
      <c r="C63" s="831"/>
      <c r="D63" s="388">
        <f t="shared" si="0"/>
        <v>128.72376558033488</v>
      </c>
      <c r="E63" s="380">
        <f t="shared" si="1"/>
        <v>134.94955925864261</v>
      </c>
      <c r="F63" s="380">
        <f t="shared" si="2"/>
        <v>134.98796094694274</v>
      </c>
      <c r="G63" s="110">
        <f t="shared" si="19"/>
        <v>0.84808624542485389</v>
      </c>
      <c r="H63" s="409" t="b">
        <f>Wh_hp&gt;='2025'!Maxi_hp</f>
        <v>0</v>
      </c>
      <c r="I63" s="375">
        <f>IF(H63,Wh_hp,'2025'!Maxi_hp)</f>
        <v>134.99858380946762</v>
      </c>
      <c r="J63" s="85">
        <f>IF(H63,An,'2025'!An_max)</f>
        <v>2022</v>
      </c>
      <c r="K63" s="193">
        <f t="shared" si="3"/>
        <v>46071</v>
      </c>
      <c r="L63" s="143">
        <f>IF(t&lt;Tvie,1-EXP((T0-t)*PertePVj)+'2025'!Pspv,1-EXP((T0-t)*PertePVj)+Pspv)</f>
        <v>2.2293935074928384E-2</v>
      </c>
      <c r="M63" s="835"/>
      <c r="N63" s="835"/>
      <c r="O63" s="48">
        <f>IF(t&lt;Tnet,'2025'!Resal+('2025'!Salim-'2025'!Resal)*(1-EXP(('2025'!Tnet-t)/('2025'!Tau_j))),Resal+(Salim-Resal)*(1-EXP((Tnet-t)/(Tau_j))))*Salcycl</f>
        <v>4.6134227577397768E-2</v>
      </c>
      <c r="P63" s="334">
        <f>(INDEX(Models!$BJ63:$BT63,,T63)*(1-R63)+INDEX(Models!$BJ63:$BT63,,T63+1)*R63-ERP_i)*Q63*Ramure*Pc/MaxiM</f>
        <v>3.6328832680912384E-4</v>
      </c>
      <c r="Q63" s="301">
        <f t="shared" si="4"/>
        <v>0.5</v>
      </c>
      <c r="R63" s="173">
        <f t="shared" si="5"/>
        <v>0.99380369333182328</v>
      </c>
      <c r="S63" s="801">
        <f t="shared" si="6"/>
        <v>1</v>
      </c>
      <c r="T63" s="172">
        <f t="shared" si="7"/>
        <v>7</v>
      </c>
      <c r="U63" s="247">
        <f t="shared" si="20"/>
        <v>1.9938036933318233</v>
      </c>
      <c r="V63" s="378">
        <f t="shared" si="8"/>
        <v>148.38595262307427</v>
      </c>
      <c r="W63" s="397">
        <f t="shared" si="9"/>
        <v>125.85400630788661</v>
      </c>
      <c r="X63" s="153">
        <f t="shared" si="10"/>
        <v>46071</v>
      </c>
      <c r="Y63" s="380">
        <f t="shared" si="11"/>
        <v>123.45248707637266</v>
      </c>
      <c r="Z63" s="380">
        <f t="shared" si="21"/>
        <v>126.26748621614992</v>
      </c>
      <c r="AA63" s="381">
        <f t="shared" si="12"/>
        <v>134.94955925864261</v>
      </c>
      <c r="AB63" s="193">
        <f t="shared" si="13"/>
        <v>46071</v>
      </c>
      <c r="AC63" s="119">
        <f>IF(OR(t&lt;Tnet,NoTnet),'2025'!Resal_s+('2025'!Salim-'2025'!Resal_s)*(1-EXP(('2025'!Tnet_s-t)/'2025'!Tau_j)),Resal_s+(Salim-Resal_s)*(1-EXP((Tnet_s-t)/Tau_j)))*Salcycl</f>
        <v>6.4335690240030649E-2</v>
      </c>
      <c r="AD63" s="227">
        <f>(INDEX(Models!$BJ63:$BT63,,AH63)*(1-AF63)+INDEX(Models!$BJ63:$BT63,,AH63+1)*AF63-ERP_i)*AE63*Ramure*Pc/MaxiM</f>
        <v>3.6328832680912384E-4</v>
      </c>
      <c r="AE63" s="301">
        <f t="shared" si="14"/>
        <v>0.5</v>
      </c>
      <c r="AF63" s="173">
        <f t="shared" si="22"/>
        <v>0.99380369333182328</v>
      </c>
      <c r="AG63" s="801">
        <f t="shared" si="23"/>
        <v>1</v>
      </c>
      <c r="AH63" s="172">
        <f t="shared" si="15"/>
        <v>7</v>
      </c>
      <c r="AI63" s="221">
        <f t="shared" si="24"/>
        <v>1.9938036933318233</v>
      </c>
      <c r="AJ63" s="261" t="b">
        <f t="shared" si="16"/>
        <v>1</v>
      </c>
      <c r="AK63" s="261" t="b">
        <f t="shared" si="17"/>
        <v>0</v>
      </c>
      <c r="AL63" s="261"/>
      <c r="AM63" s="261"/>
      <c r="AN63" s="75"/>
    </row>
    <row r="64" spans="1:40" s="6" customFormat="1" ht="11.25" x14ac:dyDescent="0.2">
      <c r="A64" s="56">
        <f t="shared" si="18"/>
        <v>46072</v>
      </c>
      <c r="B64" s="406">
        <f>'2025'!Wh/'2025'!Env_an*'2026'!Env_an</f>
        <v>71.735966524882215</v>
      </c>
      <c r="C64" s="831"/>
      <c r="D64" s="388">
        <f t="shared" si="0"/>
        <v>73.37271508995245</v>
      </c>
      <c r="E64" s="380">
        <f t="shared" si="1"/>
        <v>76.924476652993874</v>
      </c>
      <c r="F64" s="380">
        <f t="shared" si="2"/>
        <v>76.930983217190189</v>
      </c>
      <c r="G64" s="110">
        <f t="shared" si="19"/>
        <v>0.47868699209465265</v>
      </c>
      <c r="H64" s="409" t="b">
        <f>Wh_hp&gt;='2025'!Maxi_hp</f>
        <v>0</v>
      </c>
      <c r="I64" s="375">
        <f>IF(H64,Wh_hp,'2025'!Maxi_hp)</f>
        <v>76.949920298124354</v>
      </c>
      <c r="J64" s="85">
        <f>IF(H64,An,'2025'!An_max)</f>
        <v>2022</v>
      </c>
      <c r="K64" s="193">
        <f t="shared" si="3"/>
        <v>46072</v>
      </c>
      <c r="L64" s="143">
        <f>IF(t&lt;Tvie,1-EXP((T0-t)*PertePVj)+'2025'!Pspv,1-EXP((T0-t)*PertePVj)+Pspv)</f>
        <v>2.2307319049917007E-2</v>
      </c>
      <c r="M64" s="835"/>
      <c r="N64" s="835"/>
      <c r="O64" s="48">
        <f>IF(t&lt;Tnet,'2025'!Resal+('2025'!Salim-'2025'!Resal)*(1-EXP(('2025'!Tnet-t)/('2025'!Tau_j))),Resal+(Salim-Resal)*(1-EXP((Tnet-t)/(Tau_j))))*Salcycl</f>
        <v>4.617206015015763E-2</v>
      </c>
      <c r="P64" s="334">
        <f>(INDEX(Models!$BJ64:$BT64,,T64)*(1-R64)+INDEX(Models!$BJ64:$BT64,,T64+1)*R64-ERP_i)*Q64*Ramure*Pc/MaxiM</f>
        <v>3.3110726858471434E-4</v>
      </c>
      <c r="Q64" s="301">
        <f t="shared" si="4"/>
        <v>0.5</v>
      </c>
      <c r="R64" s="173">
        <f t="shared" si="5"/>
        <v>0.99401008007463232</v>
      </c>
      <c r="S64" s="801">
        <f t="shared" si="6"/>
        <v>1</v>
      </c>
      <c r="T64" s="172">
        <f t="shared" si="7"/>
        <v>7</v>
      </c>
      <c r="U64" s="247">
        <f t="shared" si="20"/>
        <v>1.9940100800746323</v>
      </c>
      <c r="V64" s="378">
        <f t="shared" si="8"/>
        <v>149.82291372150581</v>
      </c>
      <c r="W64" s="397">
        <f t="shared" si="9"/>
        <v>71.735966524882215</v>
      </c>
      <c r="X64" s="153">
        <f t="shared" si="10"/>
        <v>46072</v>
      </c>
      <c r="Y64" s="380">
        <f t="shared" si="11"/>
        <v>70.368539850333207</v>
      </c>
      <c r="Z64" s="380">
        <f t="shared" si="21"/>
        <v>71.974088812807565</v>
      </c>
      <c r="AA64" s="381">
        <f t="shared" si="12"/>
        <v>76.924476652993874</v>
      </c>
      <c r="AB64" s="193">
        <f t="shared" si="13"/>
        <v>46072</v>
      </c>
      <c r="AC64" s="119">
        <f>IF(OR(t&lt;Tnet,NoTnet),'2025'!Resal_s+('2025'!Salim-'2025'!Resal_s)*(1-EXP(('2025'!Tnet_s-t)/'2025'!Tau_j)),Resal_s+(Salim-Resal_s)*(1-EXP((Tnet_s-t)/Tau_j)))*Salcycl</f>
        <v>6.4353870907923036E-2</v>
      </c>
      <c r="AD64" s="227">
        <f>(INDEX(Models!$BJ64:$BT64,,AH64)*(1-AF64)+INDEX(Models!$BJ64:$BT64,,AH64+1)*AF64-ERP_i)*AE64*Ramure*Pc/MaxiM</f>
        <v>3.3110726858471434E-4</v>
      </c>
      <c r="AE64" s="301">
        <f t="shared" si="14"/>
        <v>0.5</v>
      </c>
      <c r="AF64" s="173">
        <f t="shared" si="22"/>
        <v>0.99401008007463232</v>
      </c>
      <c r="AG64" s="801">
        <f t="shared" si="23"/>
        <v>1</v>
      </c>
      <c r="AH64" s="172">
        <f t="shared" si="15"/>
        <v>7</v>
      </c>
      <c r="AI64" s="221">
        <f t="shared" si="24"/>
        <v>1.9940100800746323</v>
      </c>
      <c r="AJ64" s="261" t="b">
        <f t="shared" si="16"/>
        <v>1</v>
      </c>
      <c r="AK64" s="261" t="b">
        <f t="shared" si="17"/>
        <v>0</v>
      </c>
      <c r="AL64" s="261"/>
      <c r="AM64" s="261"/>
      <c r="AN64" s="75"/>
    </row>
    <row r="65" spans="1:40" s="6" customFormat="1" ht="11.25" x14ac:dyDescent="0.2">
      <c r="A65" s="56">
        <f t="shared" si="18"/>
        <v>46073</v>
      </c>
      <c r="B65" s="406">
        <f>'2025'!Wh/'2025'!Env_an*'2026'!Env_an</f>
        <v>90.255266618180087</v>
      </c>
      <c r="C65" s="831"/>
      <c r="D65" s="388">
        <f t="shared" si="0"/>
        <v>92.315820617776254</v>
      </c>
      <c r="E65" s="380">
        <f t="shared" si="1"/>
        <v>96.788397317014287</v>
      </c>
      <c r="F65" s="380">
        <f t="shared" si="2"/>
        <v>96.800932577428853</v>
      </c>
      <c r="G65" s="110">
        <f t="shared" si="19"/>
        <v>0.59661137682631393</v>
      </c>
      <c r="H65" s="409" t="b">
        <f>Wh_hp&gt;='2025'!Maxi_hp</f>
        <v>0</v>
      </c>
      <c r="I65" s="375">
        <f>IF(H65,Wh_hp,'2025'!Maxi_hp)</f>
        <v>96.817942431119334</v>
      </c>
      <c r="J65" s="85">
        <f>IF(H65,An,'2025'!An_max)</f>
        <v>2022</v>
      </c>
      <c r="K65" s="193">
        <f t="shared" si="3"/>
        <v>46073</v>
      </c>
      <c r="L65" s="143">
        <f>IF(t&lt;Tvie,1-EXP((T0-t)*PertePVj)+'2025'!Pspv,1-EXP((T0-t)*PertePVj)+Pspv)</f>
        <v>2.2320702841690299E-2</v>
      </c>
      <c r="M65" s="835"/>
      <c r="N65" s="835"/>
      <c r="O65" s="48">
        <f>IF(t&lt;Tnet,'2025'!Resal+('2025'!Salim-'2025'!Resal)*(1-EXP(('2025'!Tnet-t)/('2025'!Tau_j))),Resal+(Salim-Resal)*(1-EXP((Tnet-t)/(Tau_j))))*Salcycl</f>
        <v>4.6209843568220756E-2</v>
      </c>
      <c r="P65" s="334">
        <f>(INDEX(Models!$BJ65:$BT65,,T65)*(1-R65)+INDEX(Models!$BJ65:$BT65,,T65+1)*R65-ERP_i)*Q65*Ramure*Pc/MaxiM</f>
        <v>3.0549934702768614E-4</v>
      </c>
      <c r="Q65" s="301">
        <f t="shared" si="4"/>
        <v>0.5</v>
      </c>
      <c r="R65" s="173">
        <f t="shared" si="5"/>
        <v>0.9942249424805425</v>
      </c>
      <c r="S65" s="801">
        <f t="shared" si="6"/>
        <v>1</v>
      </c>
      <c r="T65" s="172">
        <f t="shared" si="7"/>
        <v>7</v>
      </c>
      <c r="U65" s="247">
        <f t="shared" si="20"/>
        <v>1.9942249424805425</v>
      </c>
      <c r="V65" s="378">
        <f t="shared" si="8"/>
        <v>151.25319893103222</v>
      </c>
      <c r="W65" s="397">
        <f t="shared" si="9"/>
        <v>90.255266618180087</v>
      </c>
      <c r="X65" s="153">
        <f t="shared" si="10"/>
        <v>46073</v>
      </c>
      <c r="Y65" s="380">
        <f t="shared" si="11"/>
        <v>88.53661597961424</v>
      </c>
      <c r="Z65" s="380">
        <f t="shared" si="21"/>
        <v>90.557932685034686</v>
      </c>
      <c r="AA65" s="381">
        <f t="shared" si="12"/>
        <v>96.788397317014287</v>
      </c>
      <c r="AB65" s="193">
        <f t="shared" si="13"/>
        <v>46073</v>
      </c>
      <c r="AC65" s="119">
        <f>IF(OR(t&lt;Tnet,NoTnet),'2025'!Resal_s+('2025'!Salim-'2025'!Resal_s)*(1-EXP(('2025'!Tnet_s-t)/'2025'!Tau_j)),Resal_s+(Salim-Resal_s)*(1-EXP((Tnet_s-t)/Tau_j)))*Salcycl</f>
        <v>6.4372019835939112E-2</v>
      </c>
      <c r="AD65" s="227">
        <f>(INDEX(Models!$BJ65:$BT65,,AH65)*(1-AF65)+INDEX(Models!$BJ65:$BT65,,AH65+1)*AF65-ERP_i)*AE65*Ramure*Pc/MaxiM</f>
        <v>3.0549934702768614E-4</v>
      </c>
      <c r="AE65" s="301">
        <f t="shared" si="14"/>
        <v>0.5</v>
      </c>
      <c r="AF65" s="173">
        <f t="shared" si="22"/>
        <v>0.9942249424805425</v>
      </c>
      <c r="AG65" s="801">
        <f t="shared" si="23"/>
        <v>1</v>
      </c>
      <c r="AH65" s="172">
        <f t="shared" si="15"/>
        <v>7</v>
      </c>
      <c r="AI65" s="221">
        <f t="shared" si="24"/>
        <v>1.9942249424805425</v>
      </c>
      <c r="AJ65" s="261" t="b">
        <f t="shared" si="16"/>
        <v>1</v>
      </c>
      <c r="AK65" s="261" t="b">
        <f t="shared" si="17"/>
        <v>0</v>
      </c>
      <c r="AL65" s="261"/>
      <c r="AM65" s="261"/>
      <c r="AN65" s="75"/>
    </row>
    <row r="66" spans="1:40" s="6" customFormat="1" ht="11.25" x14ac:dyDescent="0.2">
      <c r="A66" s="56">
        <f t="shared" si="18"/>
        <v>46074</v>
      </c>
      <c r="B66" s="406">
        <f>'2025'!Wh/'2025'!Env_an*'2026'!Env_an</f>
        <v>98.217255185254871</v>
      </c>
      <c r="C66" s="831"/>
      <c r="D66" s="388">
        <f t="shared" si="0"/>
        <v>100.46095892680113</v>
      </c>
      <c r="E66" s="380">
        <f t="shared" si="1"/>
        <v>105.33232348086929</v>
      </c>
      <c r="F66" s="380">
        <f t="shared" si="2"/>
        <v>105.34708588696384</v>
      </c>
      <c r="G66" s="110">
        <f t="shared" si="19"/>
        <v>0.64317054296423237</v>
      </c>
      <c r="H66" s="409" t="b">
        <f>Wh_hp&gt;='2025'!Maxi_hp</f>
        <v>0</v>
      </c>
      <c r="I66" s="375">
        <f>IF(H66,Wh_hp,'2025'!Maxi_hp)</f>
        <v>105.36240150019904</v>
      </c>
      <c r="J66" s="85">
        <f>IF(H66,An,'2025'!An_max)</f>
        <v>2022</v>
      </c>
      <c r="K66" s="193">
        <f t="shared" si="3"/>
        <v>46074</v>
      </c>
      <c r="L66" s="143">
        <f>IF(t&lt;Tvie,1-EXP((T0-t)*PertePVj)+'2025'!Pspv,1-EXP((T0-t)*PertePVj)+Pspv)</f>
        <v>2.2334086450250701E-2</v>
      </c>
      <c r="M66" s="835"/>
      <c r="N66" s="835"/>
      <c r="O66" s="48">
        <f>IF(t&lt;Tnet,'2025'!Resal+('2025'!Salim-'2025'!Resal)*(1-EXP(('2025'!Tnet-t)/('2025'!Tau_j))),Resal+(Salim-Resal)*(1-EXP((Tnet-t)/(Tau_j))))*Salcycl</f>
        <v>4.624757522749337E-2</v>
      </c>
      <c r="P66" s="334">
        <f>(INDEX(Models!$BJ66:$BT66,,T66)*(1-R66)+INDEX(Models!$BJ66:$BT66,,T66+1)*R66-ERP_i)*Q66*Ramure*Pc/MaxiM</f>
        <v>2.8576175540979834E-4</v>
      </c>
      <c r="Q66" s="301">
        <f t="shared" si="4"/>
        <v>0.5</v>
      </c>
      <c r="R66" s="173">
        <f t="shared" si="5"/>
        <v>0.99444862072982931</v>
      </c>
      <c r="S66" s="801">
        <f t="shared" si="6"/>
        <v>1</v>
      </c>
      <c r="T66" s="172">
        <f t="shared" si="7"/>
        <v>7</v>
      </c>
      <c r="U66" s="247">
        <f t="shared" si="20"/>
        <v>1.9944486207298293</v>
      </c>
      <c r="V66" s="378">
        <f t="shared" si="8"/>
        <v>152.68570803574963</v>
      </c>
      <c r="W66" s="397">
        <f t="shared" si="9"/>
        <v>98.217255185254871</v>
      </c>
      <c r="X66" s="153">
        <f t="shared" si="10"/>
        <v>46074</v>
      </c>
      <c r="Y66" s="380">
        <f t="shared" si="11"/>
        <v>96.34893777128579</v>
      </c>
      <c r="Z66" s="380">
        <f t="shared" si="21"/>
        <v>98.549961122668307</v>
      </c>
      <c r="AA66" s="381">
        <f t="shared" si="12"/>
        <v>105.33232348086929</v>
      </c>
      <c r="AB66" s="193">
        <f t="shared" si="13"/>
        <v>46074</v>
      </c>
      <c r="AC66" s="119">
        <f>IF(OR(t&lt;Tnet,NoTnet),'2025'!Resal_s+('2025'!Salim-'2025'!Resal_s)*(1-EXP(('2025'!Tnet_s-t)/'2025'!Tau_j)),Resal_s+(Salim-Resal_s)*(1-EXP((Tnet_s-t)/Tau_j)))*Salcycl</f>
        <v>6.4390133380403614E-2</v>
      </c>
      <c r="AD66" s="227">
        <f>(INDEX(Models!$BJ66:$BT66,,AH66)*(1-AF66)+INDEX(Models!$BJ66:$BT66,,AH66+1)*AF66-ERP_i)*AE66*Ramure*Pc/MaxiM</f>
        <v>2.8576175540979834E-4</v>
      </c>
      <c r="AE66" s="301">
        <f t="shared" si="14"/>
        <v>0.5</v>
      </c>
      <c r="AF66" s="173">
        <f t="shared" si="22"/>
        <v>0.99444862072982931</v>
      </c>
      <c r="AG66" s="801">
        <f t="shared" si="23"/>
        <v>1</v>
      </c>
      <c r="AH66" s="172">
        <f t="shared" si="15"/>
        <v>7</v>
      </c>
      <c r="AI66" s="221">
        <f t="shared" si="24"/>
        <v>1.9944486207298293</v>
      </c>
      <c r="AJ66" s="261" t="b">
        <f t="shared" si="16"/>
        <v>1</v>
      </c>
      <c r="AK66" s="261" t="b">
        <f t="shared" si="17"/>
        <v>0</v>
      </c>
      <c r="AL66" s="261"/>
      <c r="AM66" s="261"/>
      <c r="AN66" s="75"/>
    </row>
    <row r="67" spans="1:40" s="6" customFormat="1" ht="11.25" x14ac:dyDescent="0.2">
      <c r="A67" s="56">
        <f t="shared" si="18"/>
        <v>46075</v>
      </c>
      <c r="B67" s="406">
        <f>'2025'!Wh/'2025'!Env_an*'2026'!Env_an</f>
        <v>131.48636987713277</v>
      </c>
      <c r="C67" s="831"/>
      <c r="D67" s="388">
        <f t="shared" si="0"/>
        <v>134.49192409945698</v>
      </c>
      <c r="E67" s="380">
        <f t="shared" si="1"/>
        <v>141.0190253863141</v>
      </c>
      <c r="F67" s="380">
        <f t="shared" si="2"/>
        <v>141.04894494038149</v>
      </c>
      <c r="G67" s="110">
        <f t="shared" si="19"/>
        <v>0.85309786990276992</v>
      </c>
      <c r="H67" s="409" t="b">
        <f>Wh_hp&gt;='2025'!Maxi_hp</f>
        <v>0</v>
      </c>
      <c r="I67" s="375">
        <f>IF(H67,Wh_hp,'2025'!Maxi_hp)</f>
        <v>141.0568740138535</v>
      </c>
      <c r="J67" s="85">
        <f>IF(H67,An,'2025'!An_max)</f>
        <v>2022</v>
      </c>
      <c r="K67" s="193">
        <f t="shared" si="3"/>
        <v>46075</v>
      </c>
      <c r="L67" s="143">
        <f>IF(t&lt;Tvie,1-EXP((T0-t)*PertePVj)+'2025'!Pspv,1-EXP((T0-t)*PertePVj)+Pspv)</f>
        <v>2.2347469875600767E-2</v>
      </c>
      <c r="M67" s="835"/>
      <c r="N67" s="835"/>
      <c r="O67" s="48">
        <f>IF(t&lt;Tnet,'2025'!Resal+('2025'!Salim-'2025'!Resal)*(1-EXP(('2025'!Tnet-t)/('2025'!Tau_j))),Resal+(Salim-Resal)*(1-EXP((Tnet-t)/(Tau_j))))*Salcycl</f>
        <v>4.6285253135004117E-2</v>
      </c>
      <c r="P67" s="334">
        <f>(INDEX(Models!$BJ67:$BT67,,T67)*(1-R67)+INDEX(Models!$BJ67:$BT67,,T67+1)*R67-ERP_i)*Q67*Ramure*Pc/MaxiM</f>
        <v>2.6843775400424289E-4</v>
      </c>
      <c r="Q67" s="301">
        <f t="shared" si="4"/>
        <v>0.5</v>
      </c>
      <c r="R67" s="173">
        <f t="shared" si="5"/>
        <v>0.99468146798889845</v>
      </c>
      <c r="S67" s="801">
        <f t="shared" si="6"/>
        <v>1</v>
      </c>
      <c r="T67" s="172">
        <f t="shared" si="7"/>
        <v>7</v>
      </c>
      <c r="U67" s="247">
        <f t="shared" si="20"/>
        <v>1.9946814679888984</v>
      </c>
      <c r="V67" s="378">
        <f t="shared" si="8"/>
        <v>154.11943712721538</v>
      </c>
      <c r="W67" s="397">
        <f t="shared" si="9"/>
        <v>131.48636987713277</v>
      </c>
      <c r="X67" s="153">
        <f t="shared" si="10"/>
        <v>46075</v>
      </c>
      <c r="Y67" s="380">
        <f t="shared" si="11"/>
        <v>128.98780135456246</v>
      </c>
      <c r="Z67" s="380">
        <f t="shared" si="21"/>
        <v>131.93624256068739</v>
      </c>
      <c r="AA67" s="381">
        <f t="shared" si="12"/>
        <v>141.0190253863141</v>
      </c>
      <c r="AB67" s="193">
        <f t="shared" si="13"/>
        <v>46075</v>
      </c>
      <c r="AC67" s="119">
        <f>IF(OR(t&lt;Tnet,NoTnet),'2025'!Resal_s+('2025'!Salim-'2025'!Resal_s)*(1-EXP(('2025'!Tnet_s-t)/'2025'!Tau_j)),Resal_s+(Salim-Resal_s)*(1-EXP((Tnet_s-t)/Tau_j)))*Salcycl</f>
        <v>6.4408208755839205E-2</v>
      </c>
      <c r="AD67" s="227">
        <f>(INDEX(Models!$BJ67:$BT67,,AH67)*(1-AF67)+INDEX(Models!$BJ67:$BT67,,AH67+1)*AF67-ERP_i)*AE67*Ramure*Pc/MaxiM</f>
        <v>2.6843775400424289E-4</v>
      </c>
      <c r="AE67" s="301">
        <f t="shared" si="14"/>
        <v>0.5</v>
      </c>
      <c r="AF67" s="173">
        <f t="shared" si="22"/>
        <v>0.99468146798889845</v>
      </c>
      <c r="AG67" s="801">
        <f t="shared" si="23"/>
        <v>1</v>
      </c>
      <c r="AH67" s="172">
        <f t="shared" si="15"/>
        <v>7</v>
      </c>
      <c r="AI67" s="221">
        <f t="shared" si="24"/>
        <v>1.9946814679888984</v>
      </c>
      <c r="AJ67" s="261" t="b">
        <f t="shared" si="16"/>
        <v>1</v>
      </c>
      <c r="AK67" s="261" t="b">
        <f t="shared" si="17"/>
        <v>0</v>
      </c>
      <c r="AL67" s="261"/>
      <c r="AM67" s="261"/>
      <c r="AN67" s="75"/>
    </row>
    <row r="68" spans="1:40" s="6" customFormat="1" ht="11.25" x14ac:dyDescent="0.2">
      <c r="A68" s="56">
        <f t="shared" si="18"/>
        <v>46076</v>
      </c>
      <c r="B68" s="406">
        <f>'2025'!Wh/'2025'!Env_an*'2026'!Env_an</f>
        <v>135.8735475656942</v>
      </c>
      <c r="C68" s="831"/>
      <c r="D68" s="388">
        <f t="shared" si="0"/>
        <v>138.98128772666493</v>
      </c>
      <c r="E68" s="380">
        <f t="shared" si="1"/>
        <v>145.73201372271049</v>
      </c>
      <c r="F68" s="380">
        <f t="shared" si="2"/>
        <v>145.76228194809488</v>
      </c>
      <c r="G68" s="110">
        <f t="shared" si="19"/>
        <v>0.87344784033563461</v>
      </c>
      <c r="H68" s="409" t="b">
        <f>Wh_hp&gt;='2025'!Maxi_hp</f>
        <v>0</v>
      </c>
      <c r="I68" s="375">
        <f>IF(H68,Wh_hp,'2025'!Maxi_hp)</f>
        <v>145.76894661808049</v>
      </c>
      <c r="J68" s="85">
        <f>IF(H68,An,'2025'!An_max)</f>
        <v>2022</v>
      </c>
      <c r="K68" s="193">
        <f t="shared" si="3"/>
        <v>46076</v>
      </c>
      <c r="L68" s="143">
        <f>IF(t&lt;Tvie,1-EXP((T0-t)*PertePVj)+'2025'!Pspv,1-EXP((T0-t)*PertePVj)+Pspv)</f>
        <v>2.2360853117743051E-2</v>
      </c>
      <c r="M68" s="835"/>
      <c r="N68" s="835"/>
      <c r="O68" s="48">
        <f>IF(t&lt;Tnet,'2025'!Resal+('2025'!Salim-'2025'!Resal)*(1-EXP(('2025'!Tnet-t)/('2025'!Tau_j))),Resal+(Salim-Resal)*(1-EXP((Tnet-t)/(Tau_j))))*Salcycl</f>
        <v>4.6322875966638422E-2</v>
      </c>
      <c r="P68" s="334">
        <f>(INDEX(Models!$BJ68:$BT68,,T68)*(1-R68)+INDEX(Models!$BJ68:$BT68,,T68+1)*R68-ERP_i)*Q68*Ramure*Pc/MaxiM</f>
        <v>2.5346360643824798E-4</v>
      </c>
      <c r="Q68" s="301">
        <f t="shared" si="4"/>
        <v>0.5</v>
      </c>
      <c r="R68" s="173">
        <f t="shared" si="5"/>
        <v>0.99492385084927637</v>
      </c>
      <c r="S68" s="801">
        <f t="shared" si="6"/>
        <v>1</v>
      </c>
      <c r="T68" s="172">
        <f t="shared" si="7"/>
        <v>7</v>
      </c>
      <c r="U68" s="247">
        <f t="shared" si="20"/>
        <v>1.9949238508492764</v>
      </c>
      <c r="V68" s="378">
        <f t="shared" si="8"/>
        <v>155.55287423275283</v>
      </c>
      <c r="W68" s="397">
        <f t="shared" si="9"/>
        <v>135.8735475656942</v>
      </c>
      <c r="X68" s="153">
        <f t="shared" si="10"/>
        <v>46076</v>
      </c>
      <c r="Y68" s="380">
        <f t="shared" si="11"/>
        <v>133.29430057429761</v>
      </c>
      <c r="Z68" s="380">
        <f t="shared" si="21"/>
        <v>136.34304743153973</v>
      </c>
      <c r="AA68" s="381">
        <f t="shared" si="12"/>
        <v>145.73201372271049</v>
      </c>
      <c r="AB68" s="193">
        <f t="shared" si="13"/>
        <v>46076</v>
      </c>
      <c r="AC68" s="119">
        <f>IF(OR(t&lt;Tnet,NoTnet),'2025'!Resal_s+('2025'!Salim-'2025'!Resal_s)*(1-EXP(('2025'!Tnet_s-t)/'2025'!Tau_j)),Resal_s+(Salim-Resal_s)*(1-EXP((Tnet_s-t)/Tau_j)))*Salcycl</f>
        <v>6.4426244112947562E-2</v>
      </c>
      <c r="AD68" s="227">
        <f>(INDEX(Models!$BJ68:$BT68,,AH68)*(1-AF68)+INDEX(Models!$BJ68:$BT68,,AH68+1)*AF68-ERP_i)*AE68*Ramure*Pc/MaxiM</f>
        <v>2.5346360643824798E-4</v>
      </c>
      <c r="AE68" s="301">
        <f t="shared" si="14"/>
        <v>0.5</v>
      </c>
      <c r="AF68" s="173">
        <f t="shared" si="22"/>
        <v>0.99492385084927637</v>
      </c>
      <c r="AG68" s="801">
        <f t="shared" si="23"/>
        <v>1</v>
      </c>
      <c r="AH68" s="172">
        <f t="shared" si="15"/>
        <v>7</v>
      </c>
      <c r="AI68" s="221">
        <f t="shared" si="24"/>
        <v>1.9949238508492764</v>
      </c>
      <c r="AJ68" s="261" t="b">
        <f t="shared" si="16"/>
        <v>1</v>
      </c>
      <c r="AK68" s="261" t="b">
        <f t="shared" si="17"/>
        <v>0</v>
      </c>
      <c r="AL68" s="261"/>
      <c r="AM68" s="261"/>
      <c r="AN68" s="75"/>
    </row>
    <row r="69" spans="1:40" s="6" customFormat="1" ht="11.25" x14ac:dyDescent="0.2">
      <c r="A69" s="56">
        <f t="shared" si="18"/>
        <v>46077</v>
      </c>
      <c r="B69" s="406">
        <f>'2025'!Wh/'2025'!Env_an*'2026'!Env_an</f>
        <v>86.12655865395017</v>
      </c>
      <c r="C69" s="831"/>
      <c r="D69" s="388">
        <f t="shared" si="0"/>
        <v>88.097676883150612</v>
      </c>
      <c r="E69" s="380">
        <f t="shared" si="1"/>
        <v>92.38047671953251</v>
      </c>
      <c r="F69" s="380">
        <f t="shared" si="2"/>
        <v>92.38837790721287</v>
      </c>
      <c r="G69" s="110">
        <f t="shared" si="19"/>
        <v>0.54854575895589586</v>
      </c>
      <c r="H69" s="409" t="b">
        <f>Wh_hp&gt;='2025'!Maxi_hp</f>
        <v>0</v>
      </c>
      <c r="I69" s="375">
        <f>IF(H69,Wh_hp,'2025'!Maxi_hp)</f>
        <v>92.402693718208255</v>
      </c>
      <c r="J69" s="85">
        <f>IF(H69,An,'2025'!An_max)</f>
        <v>2022</v>
      </c>
      <c r="K69" s="193">
        <f t="shared" si="3"/>
        <v>46077</v>
      </c>
      <c r="L69" s="143">
        <f>IF(t&lt;Tvie,1-EXP((T0-t)*PertePVj)+'2025'!Pspv,1-EXP((T0-t)*PertePVj)+Pspv)</f>
        <v>2.2374236176679885E-2</v>
      </c>
      <c r="M69" s="835"/>
      <c r="N69" s="835"/>
      <c r="O69" s="48">
        <f>IF(t&lt;Tnet,'2025'!Resal+('2025'!Salim-'2025'!Resal)*(1-EXP(('2025'!Tnet-t)/('2025'!Tau_j))),Resal+(Salim-Resal)*(1-EXP((Tnet-t)/(Tau_j))))*Salcycl</f>
        <v>4.6360443120297946E-2</v>
      </c>
      <c r="P69" s="334">
        <f>(INDEX(Models!$BJ69:$BT69,,T69)*(1-R69)+INDEX(Models!$BJ69:$BT69,,T69+1)*R69-ERP_i)*Q69*Ramure*Pc/MaxiM</f>
        <v>2.4077860554308841E-4</v>
      </c>
      <c r="Q69" s="301">
        <f t="shared" si="4"/>
        <v>0.5</v>
      </c>
      <c r="R69" s="173">
        <f t="shared" si="5"/>
        <v>0.9951761497764946</v>
      </c>
      <c r="S69" s="801">
        <f t="shared" si="6"/>
        <v>1</v>
      </c>
      <c r="T69" s="172">
        <f t="shared" si="7"/>
        <v>7</v>
      </c>
      <c r="U69" s="247">
        <f t="shared" si="20"/>
        <v>1.9951761497764946</v>
      </c>
      <c r="V69" s="378">
        <f t="shared" si="8"/>
        <v>156.98450738063789</v>
      </c>
      <c r="W69" s="397">
        <f t="shared" si="9"/>
        <v>86.12655865395017</v>
      </c>
      <c r="X69" s="153">
        <f t="shared" si="10"/>
        <v>46077</v>
      </c>
      <c r="Y69" s="380">
        <f t="shared" si="11"/>
        <v>84.493347173057458</v>
      </c>
      <c r="Z69" s="380">
        <f t="shared" si="21"/>
        <v>86.427087234913941</v>
      </c>
      <c r="AA69" s="381">
        <f t="shared" si="12"/>
        <v>92.38047671953251</v>
      </c>
      <c r="AB69" s="193">
        <f t="shared" si="13"/>
        <v>46077</v>
      </c>
      <c r="AC69" s="119">
        <f>IF(OR(t&lt;Tnet,NoTnet),'2025'!Resal_s+('2025'!Salim-'2025'!Resal_s)*(1-EXP(('2025'!Tnet_s-t)/'2025'!Tau_j)),Resal_s+(Salim-Resal_s)*(1-EXP((Tnet_s-t)/Tau_j)))*Salcycl</f>
        <v>6.4444238609994167E-2</v>
      </c>
      <c r="AD69" s="227">
        <f>(INDEX(Models!$BJ69:$BT69,,AH69)*(1-AF69)+INDEX(Models!$BJ69:$BT69,,AH69+1)*AF69-ERP_i)*AE69*Ramure*Pc/MaxiM</f>
        <v>2.4077860554308841E-4</v>
      </c>
      <c r="AE69" s="301">
        <f t="shared" si="14"/>
        <v>0.5</v>
      </c>
      <c r="AF69" s="173">
        <f t="shared" si="22"/>
        <v>0.9951761497764946</v>
      </c>
      <c r="AG69" s="801">
        <f t="shared" si="23"/>
        <v>1</v>
      </c>
      <c r="AH69" s="172">
        <f t="shared" si="15"/>
        <v>7</v>
      </c>
      <c r="AI69" s="221">
        <f t="shared" si="24"/>
        <v>1.9951761497764946</v>
      </c>
      <c r="AJ69" s="261" t="b">
        <f t="shared" si="16"/>
        <v>1</v>
      </c>
      <c r="AK69" s="261" t="b">
        <f t="shared" si="17"/>
        <v>0</v>
      </c>
      <c r="AL69" s="261"/>
      <c r="AM69" s="261"/>
      <c r="AN69" s="75"/>
    </row>
    <row r="70" spans="1:40" s="6" customFormat="1" ht="11.25" x14ac:dyDescent="0.2">
      <c r="A70" s="56">
        <f t="shared" si="18"/>
        <v>46078</v>
      </c>
      <c r="B70" s="406">
        <f>'2025'!Wh/'2025'!Env_an*'2026'!Env_an</f>
        <v>121.9903484712066</v>
      </c>
      <c r="C70" s="831"/>
      <c r="D70" s="388">
        <f t="shared" si="0"/>
        <v>124.78396432844177</v>
      </c>
      <c r="E70" s="380">
        <f t="shared" si="1"/>
        <v>130.85538663831699</v>
      </c>
      <c r="F70" s="380">
        <f t="shared" si="2"/>
        <v>130.87562942985775</v>
      </c>
      <c r="G70" s="110">
        <f t="shared" si="19"/>
        <v>0.77002047278579877</v>
      </c>
      <c r="H70" s="409" t="b">
        <f>Wh_hp&gt;='2025'!Maxi_hp</f>
        <v>0</v>
      </c>
      <c r="I70" s="375">
        <f>IF(H70,Wh_hp,'2025'!Maxi_hp)</f>
        <v>130.88551017631676</v>
      </c>
      <c r="J70" s="85">
        <f>IF(H70,An,'2025'!An_max)</f>
        <v>2022</v>
      </c>
      <c r="K70" s="193">
        <f t="shared" si="3"/>
        <v>46078</v>
      </c>
      <c r="L70" s="143">
        <f>IF(t&lt;Tvie,1-EXP((T0-t)*PertePVj)+'2025'!Pspv,1-EXP((T0-t)*PertePVj)+Pspv)</f>
        <v>2.2387619052413932E-2</v>
      </c>
      <c r="M70" s="835"/>
      <c r="N70" s="835"/>
      <c r="O70" s="48">
        <f>IF(t&lt;Tnet,'2025'!Resal+('2025'!Salim-'2025'!Resal)*(1-EXP(('2025'!Tnet-t)/('2025'!Tau_j))),Resal+(Salim-Resal)*(1-EXP((Tnet-t)/(Tau_j))))*Salcycl</f>
        <v>4.6397954764037151E-2</v>
      </c>
      <c r="P70" s="334">
        <f>(INDEX(Models!$BJ70:$BT70,,T70)*(1-R70)+INDEX(Models!$BJ70:$BT70,,T70+1)*R70-ERP_i)*Q70*Ramure*Pc/MaxiM</f>
        <v>2.303239232941982E-4</v>
      </c>
      <c r="Q70" s="301">
        <f t="shared" si="4"/>
        <v>0.5</v>
      </c>
      <c r="R70" s="173">
        <f t="shared" si="5"/>
        <v>0.9954387595686307</v>
      </c>
      <c r="S70" s="801">
        <f t="shared" si="6"/>
        <v>1</v>
      </c>
      <c r="T70" s="172">
        <f t="shared" si="7"/>
        <v>7</v>
      </c>
      <c r="U70" s="247">
        <f t="shared" si="20"/>
        <v>1.9954387595686307</v>
      </c>
      <c r="V70" s="378">
        <f t="shared" si="8"/>
        <v>158.41282478399694</v>
      </c>
      <c r="W70" s="397">
        <f t="shared" si="9"/>
        <v>121.9903484712066</v>
      </c>
      <c r="X70" s="153">
        <f t="shared" si="10"/>
        <v>46078</v>
      </c>
      <c r="Y70" s="380">
        <f t="shared" si="11"/>
        <v>119.6794655777815</v>
      </c>
      <c r="Z70" s="380">
        <f t="shared" si="21"/>
        <v>122.42016151818562</v>
      </c>
      <c r="AA70" s="381">
        <f t="shared" si="12"/>
        <v>130.85538663831699</v>
      </c>
      <c r="AB70" s="193">
        <f t="shared" si="13"/>
        <v>46078</v>
      </c>
      <c r="AC70" s="119">
        <f>IF(OR(t&lt;Tnet,NoTnet),'2025'!Resal_s+('2025'!Salim-'2025'!Resal_s)*(1-EXP(('2025'!Tnet_s-t)/'2025'!Tau_j)),Resal_s+(Salim-Resal_s)*(1-EXP((Tnet_s-t)/Tau_j)))*Salcycl</f>
        <v>6.4462192476999372E-2</v>
      </c>
      <c r="AD70" s="227">
        <f>(INDEX(Models!$BJ70:$BT70,,AH70)*(1-AF70)+INDEX(Models!$BJ70:$BT70,,AH70+1)*AF70-ERP_i)*AE70*Ramure*Pc/MaxiM</f>
        <v>2.303239232941982E-4</v>
      </c>
      <c r="AE70" s="301">
        <f t="shared" si="14"/>
        <v>0.5</v>
      </c>
      <c r="AF70" s="173">
        <f t="shared" si="22"/>
        <v>0.9954387595686307</v>
      </c>
      <c r="AG70" s="801">
        <f t="shared" si="23"/>
        <v>1</v>
      </c>
      <c r="AH70" s="172">
        <f t="shared" si="15"/>
        <v>7</v>
      </c>
      <c r="AI70" s="221">
        <f t="shared" si="24"/>
        <v>1.9954387595686307</v>
      </c>
      <c r="AJ70" s="261" t="b">
        <f t="shared" si="16"/>
        <v>1</v>
      </c>
      <c r="AK70" s="261" t="b">
        <f t="shared" si="17"/>
        <v>0</v>
      </c>
      <c r="AL70" s="261"/>
      <c r="AM70" s="261"/>
      <c r="AN70" s="75"/>
    </row>
    <row r="71" spans="1:40" s="6" customFormat="1" ht="11.25" x14ac:dyDescent="0.2">
      <c r="A71" s="56">
        <f t="shared" si="18"/>
        <v>46079</v>
      </c>
      <c r="B71" s="406">
        <f>'2025'!Wh/'2025'!Env_an*'2026'!Env_an</f>
        <v>161.88094177028717</v>
      </c>
      <c r="C71" s="831"/>
      <c r="D71" s="388">
        <f t="shared" si="0"/>
        <v>165.59033106543032</v>
      </c>
      <c r="E71" s="380">
        <f t="shared" si="1"/>
        <v>173.65402734983019</v>
      </c>
      <c r="F71" s="380">
        <f t="shared" si="2"/>
        <v>173.69259452617041</v>
      </c>
      <c r="G71" s="110">
        <f t="shared" si="19"/>
        <v>1.0127920050517858</v>
      </c>
      <c r="H71" s="409" t="b">
        <f>Wh_hp&gt;='2025'!Maxi_hp</f>
        <v>1</v>
      </c>
      <c r="I71" s="375">
        <f>IF(H71,Wh_hp,'2025'!Maxi_hp)</f>
        <v>173.69259452617041</v>
      </c>
      <c r="J71" s="85">
        <f>IF(H71,An,'2025'!An_max)</f>
        <v>2026</v>
      </c>
      <c r="K71" s="193">
        <f t="shared" si="3"/>
        <v>46079</v>
      </c>
      <c r="L71" s="143">
        <f>IF(t&lt;Tvie,1-EXP((T0-t)*PertePVj)+'2025'!Pspv,1-EXP((T0-t)*PertePVj)+Pspv)</f>
        <v>2.2401001744947524E-2</v>
      </c>
      <c r="M71" s="835"/>
      <c r="N71" s="835"/>
      <c r="O71" s="48">
        <f>IF(t&lt;Tnet,'2025'!Resal+('2025'!Salim-'2025'!Resal)*(1-EXP(('2025'!Tnet-t)/('2025'!Tau_j))),Resal+(Salim-Resal)*(1-EXP((Tnet-t)/(Tau_j))))*Salcycl</f>
        <v>4.64354118787891E-2</v>
      </c>
      <c r="P71" s="334">
        <f>(INDEX(Models!$BJ71:$BT71,,T71)*(1-R71)+INDEX(Models!$BJ71:$BT71,,T71+1)*R71-ERP_i)*Q71*Ramure*Pc/MaxiM</f>
        <v>2.2204272119622317E-4</v>
      </c>
      <c r="Q71" s="301">
        <f t="shared" si="4"/>
        <v>0.5</v>
      </c>
      <c r="R71" s="173">
        <f t="shared" si="5"/>
        <v>0.99571208982419601</v>
      </c>
      <c r="S71" s="801">
        <f t="shared" si="6"/>
        <v>1</v>
      </c>
      <c r="T71" s="172">
        <f t="shared" si="7"/>
        <v>7</v>
      </c>
      <c r="U71" s="247">
        <f t="shared" si="20"/>
        <v>1.995712089824196</v>
      </c>
      <c r="V71" s="378">
        <f t="shared" si="8"/>
        <v>159.83631482360479</v>
      </c>
      <c r="W71" s="397">
        <f t="shared" si="9"/>
        <v>161.88094177028717</v>
      </c>
      <c r="X71" s="153">
        <f t="shared" si="10"/>
        <v>46079</v>
      </c>
      <c r="Y71" s="380">
        <f t="shared" si="11"/>
        <v>158.81760207808378</v>
      </c>
      <c r="Z71" s="380">
        <f t="shared" si="21"/>
        <v>162.45679707278993</v>
      </c>
      <c r="AA71" s="381">
        <f t="shared" si="12"/>
        <v>173.65402734983019</v>
      </c>
      <c r="AB71" s="193">
        <f t="shared" si="13"/>
        <v>46079</v>
      </c>
      <c r="AC71" s="119">
        <f>IF(OR(t&lt;Tnet,NoTnet),'2025'!Resal_s+('2025'!Salim-'2025'!Resal_s)*(1-EXP(('2025'!Tnet_s-t)/'2025'!Tau_j)),Resal_s+(Salim-Resal_s)*(1-EXP((Tnet_s-t)/Tau_j)))*Salcycl</f>
        <v>6.4480107072225706E-2</v>
      </c>
      <c r="AD71" s="227">
        <f>(INDEX(Models!$BJ71:$BT71,,AH71)*(1-AF71)+INDEX(Models!$BJ71:$BT71,,AH71+1)*AF71-ERP_i)*AE71*Ramure*Pc/MaxiM</f>
        <v>2.2204272119622317E-4</v>
      </c>
      <c r="AE71" s="301">
        <f t="shared" si="14"/>
        <v>0.5</v>
      </c>
      <c r="AF71" s="173">
        <f t="shared" si="22"/>
        <v>0.99571208982419601</v>
      </c>
      <c r="AG71" s="801">
        <f t="shared" si="23"/>
        <v>1</v>
      </c>
      <c r="AH71" s="172">
        <f t="shared" si="15"/>
        <v>7</v>
      </c>
      <c r="AI71" s="221">
        <f t="shared" si="24"/>
        <v>1.995712089824196</v>
      </c>
      <c r="AJ71" s="261" t="b">
        <f t="shared" si="16"/>
        <v>1</v>
      </c>
      <c r="AK71" s="261" t="b">
        <f t="shared" si="17"/>
        <v>0</v>
      </c>
      <c r="AL71" s="261"/>
      <c r="AM71" s="261"/>
      <c r="AN71" s="75"/>
    </row>
    <row r="72" spans="1:40" s="6" customFormat="1" ht="11.25" x14ac:dyDescent="0.2">
      <c r="A72" s="56">
        <f t="shared" si="18"/>
        <v>46080</v>
      </c>
      <c r="B72" s="406">
        <f>'2025'!Wh/'2025'!Env_an*'2026'!Env_an</f>
        <v>107.70852881994972</v>
      </c>
      <c r="C72" s="831"/>
      <c r="D72" s="388">
        <f t="shared" si="0"/>
        <v>110.17810316059948</v>
      </c>
      <c r="E72" s="380">
        <f t="shared" si="1"/>
        <v>115.54794141529938</v>
      </c>
      <c r="F72" s="380">
        <f t="shared" si="2"/>
        <v>115.56105491925182</v>
      </c>
      <c r="G72" s="110">
        <f t="shared" si="19"/>
        <v>0.66787710361862629</v>
      </c>
      <c r="H72" s="409" t="b">
        <f>Wh_hp&gt;='2025'!Maxi_hp</f>
        <v>0</v>
      </c>
      <c r="I72" s="375">
        <f>IF(H72,Wh_hp,'2025'!Maxi_hp)</f>
        <v>115.57286305662481</v>
      </c>
      <c r="J72" s="85">
        <f>IF(H72,An,'2025'!An_max)</f>
        <v>2022</v>
      </c>
      <c r="K72" s="193">
        <f t="shared" si="3"/>
        <v>46080</v>
      </c>
      <c r="L72" s="143">
        <f>IF(t&lt;Tvie,1-EXP((T0-t)*PertePVj)+'2025'!Pspv,1-EXP((T0-t)*PertePVj)+Pspv)</f>
        <v>2.2414384254283437E-2</v>
      </c>
      <c r="M72" s="835"/>
      <c r="N72" s="835"/>
      <c r="O72" s="48">
        <f>IF(t&lt;Tnet,'2025'!Resal+('2025'!Salim-'2025'!Resal)*(1-EXP(('2025'!Tnet-t)/('2025'!Tau_j))),Resal+(Salim-Resal)*(1-EXP((Tnet-t)/(Tau_j))))*Salcycl</f>
        <v>4.6472816295357176E-2</v>
      </c>
      <c r="P72" s="334">
        <f>(INDEX(Models!$BJ72:$BT72,,T72)*(1-R72)+INDEX(Models!$BJ72:$BT72,,T72+1)*R72-ERP_i)*Q72*Ramure*Pc/MaxiM</f>
        <v>2.1588465858089434E-4</v>
      </c>
      <c r="Q72" s="301">
        <f t="shared" si="4"/>
        <v>0.5</v>
      </c>
      <c r="R72" s="173">
        <f t="shared" si="5"/>
        <v>0.99599656541900616</v>
      </c>
      <c r="S72" s="801">
        <f t="shared" si="6"/>
        <v>1</v>
      </c>
      <c r="T72" s="172">
        <f t="shared" si="7"/>
        <v>7</v>
      </c>
      <c r="U72" s="247">
        <f t="shared" si="20"/>
        <v>1.9959965654190062</v>
      </c>
      <c r="V72" s="378">
        <f t="shared" si="8"/>
        <v>161.25346533024174</v>
      </c>
      <c r="W72" s="397">
        <f t="shared" si="9"/>
        <v>107.70852881994972</v>
      </c>
      <c r="X72" s="153">
        <f t="shared" si="10"/>
        <v>46080</v>
      </c>
      <c r="Y72" s="380">
        <f t="shared" si="11"/>
        <v>105.67244172289993</v>
      </c>
      <c r="Z72" s="380">
        <f t="shared" si="21"/>
        <v>108.09533203114026</v>
      </c>
      <c r="AA72" s="381">
        <f t="shared" si="12"/>
        <v>115.54794141529938</v>
      </c>
      <c r="AB72" s="193">
        <f t="shared" si="13"/>
        <v>46080</v>
      </c>
      <c r="AC72" s="119">
        <f>IF(OR(t&lt;Tnet,NoTnet),'2025'!Resal_s+('2025'!Salim-'2025'!Resal_s)*(1-EXP(('2025'!Tnet_s-t)/'2025'!Tau_j)),Resal_s+(Salim-Resal_s)*(1-EXP((Tnet_s-t)/Tau_j)))*Salcycl</f>
        <v>6.4497984930541888E-2</v>
      </c>
      <c r="AD72" s="227">
        <f>(INDEX(Models!$BJ72:$BT72,,AH72)*(1-AF72)+INDEX(Models!$BJ72:$BT72,,AH72+1)*AF72-ERP_i)*AE72*Ramure*Pc/MaxiM</f>
        <v>2.1588465858089434E-4</v>
      </c>
      <c r="AE72" s="301">
        <f t="shared" si="14"/>
        <v>0.5</v>
      </c>
      <c r="AF72" s="173">
        <f t="shared" si="22"/>
        <v>0.99599656541900616</v>
      </c>
      <c r="AG72" s="801">
        <f t="shared" si="23"/>
        <v>1</v>
      </c>
      <c r="AH72" s="172">
        <f t="shared" si="15"/>
        <v>7</v>
      </c>
      <c r="AI72" s="221">
        <f t="shared" si="24"/>
        <v>1.9959965654190062</v>
      </c>
      <c r="AJ72" s="261" t="b">
        <f t="shared" si="16"/>
        <v>1</v>
      </c>
      <c r="AK72" s="261" t="b">
        <f t="shared" si="17"/>
        <v>0</v>
      </c>
      <c r="AL72" s="261"/>
      <c r="AM72" s="261"/>
      <c r="AN72" s="75"/>
    </row>
    <row r="73" spans="1:40" s="6" customFormat="1" ht="11.25" x14ac:dyDescent="0.2">
      <c r="A73" s="56">
        <f t="shared" si="18"/>
        <v>46081</v>
      </c>
      <c r="B73" s="406">
        <f>'2025'!Wh/'2025'!Env_an*'2026'!Env_an</f>
        <v>146.12565571185542</v>
      </c>
      <c r="C73" s="831"/>
      <c r="D73" s="388">
        <f t="shared" si="0"/>
        <v>149.47811600653145</v>
      </c>
      <c r="E73" s="380">
        <f t="shared" si="1"/>
        <v>156.76949183637785</v>
      </c>
      <c r="F73" s="380">
        <f t="shared" si="2"/>
        <v>156.79755307092648</v>
      </c>
      <c r="G73" s="110">
        <f t="shared" si="19"/>
        <v>0.89830550475492732</v>
      </c>
      <c r="H73" s="409" t="b">
        <f>Wh_hp&gt;='2025'!Maxi_hp</f>
        <v>0</v>
      </c>
      <c r="I73" s="375">
        <f>IF(H73,Wh_hp,'2025'!Maxi_hp)</f>
        <v>156.80231017233547</v>
      </c>
      <c r="J73" s="85">
        <f>IF(H73,An,'2025'!An_max)</f>
        <v>2022</v>
      </c>
      <c r="K73" s="193">
        <f t="shared" si="3"/>
        <v>46081</v>
      </c>
      <c r="L73" s="143">
        <f>IF(t&lt;Tvie,1-EXP((T0-t)*PertePVj)+'2025'!Pspv,1-EXP((T0-t)*PertePVj)+Pspv)</f>
        <v>2.2427766580424002E-2</v>
      </c>
      <c r="M73" s="835"/>
      <c r="N73" s="835"/>
      <c r="O73" s="48">
        <f>IF(t&lt;Tnet,'2025'!Resal+('2025'!Salim-'2025'!Resal)*(1-EXP(('2025'!Tnet-t)/('2025'!Tau_j))),Resal+(Salim-Resal)*(1-EXP((Tnet-t)/(Tau_j))))*Salcycl</f>
        <v>4.6510170725414447E-2</v>
      </c>
      <c r="P73" s="334">
        <f>(INDEX(Models!$BJ73:$BT73,,T73)*(1-R73)+INDEX(Models!$BJ73:$BT73,,T73+1)*R73-ERP_i)*Q73*Ramure*Pc/MaxiM</f>
        <v>2.0937397680347925E-4</v>
      </c>
      <c r="Q73" s="301">
        <f t="shared" si="4"/>
        <v>0.5</v>
      </c>
      <c r="R73" s="173">
        <f t="shared" si="5"/>
        <v>0.99629262699159371</v>
      </c>
      <c r="S73" s="801">
        <f t="shared" si="6"/>
        <v>1</v>
      </c>
      <c r="T73" s="172">
        <f t="shared" si="7"/>
        <v>7</v>
      </c>
      <c r="U73" s="247">
        <f t="shared" si="20"/>
        <v>1.9962926269915937</v>
      </c>
      <c r="V73" s="378">
        <f t="shared" si="8"/>
        <v>162.66315921977406</v>
      </c>
      <c r="W73" s="397">
        <f t="shared" si="9"/>
        <v>146.12565571185542</v>
      </c>
      <c r="X73" s="153">
        <f t="shared" si="10"/>
        <v>46081</v>
      </c>
      <c r="Y73" s="380">
        <f t="shared" si="11"/>
        <v>143.3662253975466</v>
      </c>
      <c r="Z73" s="380">
        <f t="shared" si="21"/>
        <v>146.6553779827066</v>
      </c>
      <c r="AA73" s="381">
        <f t="shared" si="12"/>
        <v>156.76949183637785</v>
      </c>
      <c r="AB73" s="193">
        <f t="shared" si="13"/>
        <v>46081</v>
      </c>
      <c r="AC73" s="119">
        <f>IF(OR(t&lt;Tnet,NoTnet),'2025'!Resal_s+('2025'!Salim-'2025'!Resal_s)*(1-EXP(('2025'!Tnet_s-t)/'2025'!Tau_j)),Resal_s+(Salim-Resal_s)*(1-EXP((Tnet_s-t)/Tau_j)))*Salcycl</f>
        <v>6.4515829803336297E-2</v>
      </c>
      <c r="AD73" s="227">
        <f>(INDEX(Models!$BJ73:$BT73,,AH73)*(1-AF73)+INDEX(Models!$BJ73:$BT73,,AH73+1)*AF73-ERP_i)*AE73*Ramure*Pc/MaxiM</f>
        <v>2.0937397680347925E-4</v>
      </c>
      <c r="AE73" s="301">
        <f t="shared" si="14"/>
        <v>0.5</v>
      </c>
      <c r="AF73" s="173">
        <f t="shared" si="22"/>
        <v>0.99629262699159371</v>
      </c>
      <c r="AG73" s="801">
        <f t="shared" si="23"/>
        <v>1</v>
      </c>
      <c r="AH73" s="172">
        <f t="shared" si="15"/>
        <v>7</v>
      </c>
      <c r="AI73" s="221">
        <f t="shared" si="24"/>
        <v>1.9962926269915937</v>
      </c>
      <c r="AJ73" s="261" t="b">
        <f t="shared" si="16"/>
        <v>1</v>
      </c>
      <c r="AK73" s="261" t="b">
        <f t="shared" si="17"/>
        <v>0</v>
      </c>
      <c r="AL73" s="261"/>
      <c r="AM73" s="261"/>
      <c r="AN73" s="75"/>
    </row>
    <row r="74" spans="1:40" s="6" customFormat="1" ht="11.25" x14ac:dyDescent="0.2">
      <c r="A74" s="56">
        <f t="shared" si="18"/>
        <v>46082</v>
      </c>
      <c r="B74" s="406">
        <f>'2025'!Wh/'2025'!Env_an*'2026'!Env_an</f>
        <v>164.17433950064043</v>
      </c>
      <c r="C74" s="831"/>
      <c r="D74" s="388">
        <f t="shared" si="0"/>
        <v>167.94317731995309</v>
      </c>
      <c r="E74" s="380">
        <f t="shared" si="1"/>
        <v>176.14215032561103</v>
      </c>
      <c r="F74" s="380">
        <f t="shared" si="2"/>
        <v>176.17782993937291</v>
      </c>
      <c r="G74" s="110">
        <f t="shared" si="19"/>
        <v>1.0006732370823299</v>
      </c>
      <c r="H74" s="409" t="b">
        <f>Wh_hp&gt;='2025'!Maxi_hp</f>
        <v>1</v>
      </c>
      <c r="I74" s="375">
        <f>IF(H74,Wh_hp,'2025'!Maxi_hp)</f>
        <v>176.17782993937291</v>
      </c>
      <c r="J74" s="85">
        <f>IF(H74,An,'2025'!An_max)</f>
        <v>2026</v>
      </c>
      <c r="K74" s="193">
        <f t="shared" si="3"/>
        <v>46082</v>
      </c>
      <c r="L74" s="143">
        <f>IF(t&lt;Tvie,1-EXP((T0-t)*PertePVj)+'2025'!Pspv,1-EXP((T0-t)*PertePVj)+Pspv)</f>
        <v>2.2441148723371773E-2</v>
      </c>
      <c r="M74" s="835"/>
      <c r="N74" s="835"/>
      <c r="O74" s="48">
        <f>IF(t&lt;Tnet,'2025'!Resal+('2025'!Salim-'2025'!Resal)*(1-EXP(('2025'!Tnet-t)/('2025'!Tau_j))),Resal+(Salim-Resal)*(1-EXP((Tnet-t)/(Tau_j))))*Salcycl</f>
        <v>4.6547478786318715E-2</v>
      </c>
      <c r="P74" s="334">
        <f>(INDEX(Models!$BJ74:$BT74,,T74)*(1-R74)+INDEX(Models!$BJ74:$BT74,,T74+1)*R74-ERP_i)*Q74*Ramure*Pc/MaxiM</f>
        <v>2.0252045205782751E-4</v>
      </c>
      <c r="Q74" s="301">
        <f t="shared" si="4"/>
        <v>0.5</v>
      </c>
      <c r="R74" s="173">
        <f t="shared" si="5"/>
        <v>0.99660073143665251</v>
      </c>
      <c r="S74" s="801">
        <f t="shared" si="6"/>
        <v>1</v>
      </c>
      <c r="T74" s="172">
        <f t="shared" si="7"/>
        <v>7</v>
      </c>
      <c r="U74" s="247">
        <f t="shared" si="20"/>
        <v>1.9966007314366525</v>
      </c>
      <c r="V74" s="378">
        <f t="shared" si="8"/>
        <v>164.06388560897733</v>
      </c>
      <c r="W74" s="397">
        <f t="shared" si="9"/>
        <v>164.17433950064043</v>
      </c>
      <c r="X74" s="153">
        <f t="shared" si="10"/>
        <v>46082</v>
      </c>
      <c r="Y74" s="380">
        <f t="shared" si="11"/>
        <v>161.07731351351114</v>
      </c>
      <c r="Z74" s="380">
        <f t="shared" si="21"/>
        <v>164.77505502932601</v>
      </c>
      <c r="AA74" s="381">
        <f t="shared" si="12"/>
        <v>176.14215032561103</v>
      </c>
      <c r="AB74" s="193">
        <f t="shared" si="13"/>
        <v>46082</v>
      </c>
      <c r="AC74" s="119">
        <f>IF(OR(t&lt;Tnet,NoTnet),'2025'!Resal_s+('2025'!Salim-'2025'!Resal_s)*(1-EXP(('2025'!Tnet_s-t)/'2025'!Tau_j)),Resal_s+(Salim-Resal_s)*(1-EXP((Tnet_s-t)/Tau_j)))*Salcycl</f>
        <v>6.4533646689745525E-2</v>
      </c>
      <c r="AD74" s="227">
        <f>(INDEX(Models!$BJ74:$BT74,,AH74)*(1-AF74)+INDEX(Models!$BJ74:$BT74,,AH74+1)*AF74-ERP_i)*AE74*Ramure*Pc/MaxiM</f>
        <v>2.0252045205782751E-4</v>
      </c>
      <c r="AE74" s="301">
        <f t="shared" si="14"/>
        <v>0.5</v>
      </c>
      <c r="AF74" s="173">
        <f t="shared" si="22"/>
        <v>0.99660073143665251</v>
      </c>
      <c r="AG74" s="801">
        <f t="shared" si="23"/>
        <v>1</v>
      </c>
      <c r="AH74" s="172">
        <f t="shared" si="15"/>
        <v>7</v>
      </c>
      <c r="AI74" s="221">
        <f t="shared" si="24"/>
        <v>1.9966007314366525</v>
      </c>
      <c r="AJ74" s="261" t="b">
        <f t="shared" si="16"/>
        <v>1</v>
      </c>
      <c r="AK74" s="261" t="b">
        <f t="shared" si="17"/>
        <v>0</v>
      </c>
      <c r="AL74" s="261"/>
      <c r="AM74" s="261"/>
      <c r="AN74" s="75"/>
    </row>
    <row r="75" spans="1:40" s="6" customFormat="1" ht="11.25" x14ac:dyDescent="0.2">
      <c r="A75" s="56">
        <f t="shared" si="18"/>
        <v>46083</v>
      </c>
      <c r="B75" s="406">
        <f>'2025'!Wh/'2025'!Env_an*'2026'!Env_an</f>
        <v>50.244799611359618</v>
      </c>
      <c r="C75" s="831"/>
      <c r="D75" s="388">
        <f t="shared" si="0"/>
        <v>51.398938656502324</v>
      </c>
      <c r="E75" s="380">
        <f t="shared" si="1"/>
        <v>53.910338006454452</v>
      </c>
      <c r="F75" s="380">
        <f t="shared" si="2"/>
        <v>53.910393338396915</v>
      </c>
      <c r="G75" s="110">
        <f t="shared" si="19"/>
        <v>0.30361910914673557</v>
      </c>
      <c r="H75" s="409" t="b">
        <f>Wh_hp&gt;='2025'!Maxi_hp</f>
        <v>0</v>
      </c>
      <c r="I75" s="375">
        <f>IF(H75,Wh_hp,'2025'!Maxi_hp)</f>
        <v>53.920842364129726</v>
      </c>
      <c r="J75" s="85">
        <f>IF(H75,An,'2025'!An_max)</f>
        <v>2022</v>
      </c>
      <c r="K75" s="193">
        <f t="shared" si="3"/>
        <v>46083</v>
      </c>
      <c r="L75" s="143">
        <f>IF(t&lt;Tvie,1-EXP((T0-t)*PertePVj)+'2025'!Pspv,1-EXP((T0-t)*PertePVj)+Pspv)</f>
        <v>2.2454530683129192E-2</v>
      </c>
      <c r="M75" s="835"/>
      <c r="N75" s="835"/>
      <c r="O75" s="48">
        <f>IF(t&lt;Tnet,'2025'!Resal+('2025'!Salim-'2025'!Resal)*(1-EXP(('2025'!Tnet-t)/('2025'!Tau_j))),Resal+(Salim-Resal)*(1-EXP((Tnet-t)/(Tau_j))))*Salcycl</f>
        <v>4.658474501961847E-2</v>
      </c>
      <c r="P75" s="334">
        <f>(INDEX(Models!$BJ75:$BT75,,T75)*(1-R75)+INDEX(Models!$BJ75:$BT75,,T75+1)*R75-ERP_i)*Q75*Ramure*Pc/MaxiM</f>
        <v>1.9533318961472313E-4</v>
      </c>
      <c r="Q75" s="301">
        <f t="shared" si="4"/>
        <v>0.5</v>
      </c>
      <c r="R75" s="173">
        <f t="shared" si="5"/>
        <v>0.99692135240591417</v>
      </c>
      <c r="S75" s="801">
        <f t="shared" si="6"/>
        <v>1</v>
      </c>
      <c r="T75" s="172">
        <f t="shared" si="7"/>
        <v>7</v>
      </c>
      <c r="U75" s="247">
        <f t="shared" si="20"/>
        <v>1.9969213524059142</v>
      </c>
      <c r="V75" s="378">
        <f t="shared" si="8"/>
        <v>165.45413375079519</v>
      </c>
      <c r="W75" s="397">
        <f t="shared" si="9"/>
        <v>50.244799611359618</v>
      </c>
      <c r="X75" s="153">
        <f t="shared" si="10"/>
        <v>46083</v>
      </c>
      <c r="Y75" s="380">
        <f t="shared" si="11"/>
        <v>49.29795816146666</v>
      </c>
      <c r="Z75" s="380">
        <f t="shared" si="21"/>
        <v>50.430347957028644</v>
      </c>
      <c r="AA75" s="381">
        <f t="shared" si="12"/>
        <v>53.910338006454452</v>
      </c>
      <c r="AB75" s="193">
        <f t="shared" si="13"/>
        <v>46083</v>
      </c>
      <c r="AC75" s="119">
        <f>IF(OR(t&lt;Tnet,NoTnet),'2025'!Resal_s+('2025'!Salim-'2025'!Resal_s)*(1-EXP(('2025'!Tnet_s-t)/'2025'!Tau_j)),Resal_s+(Salim-Resal_s)*(1-EXP((Tnet_s-t)/Tau_j)))*Salcycl</f>
        <v>6.4551441859057992E-2</v>
      </c>
      <c r="AD75" s="227">
        <f>(INDEX(Models!$BJ75:$BT75,,AH75)*(1-AF75)+INDEX(Models!$BJ75:$BT75,,AH75+1)*AF75-ERP_i)*AE75*Ramure*Pc/MaxiM</f>
        <v>1.9533318961472313E-4</v>
      </c>
      <c r="AE75" s="301">
        <f t="shared" si="14"/>
        <v>0.5</v>
      </c>
      <c r="AF75" s="173">
        <f t="shared" si="22"/>
        <v>0.99692135240591417</v>
      </c>
      <c r="AG75" s="801">
        <f t="shared" si="23"/>
        <v>1</v>
      </c>
      <c r="AH75" s="172">
        <f t="shared" si="15"/>
        <v>7</v>
      </c>
      <c r="AI75" s="221">
        <f t="shared" si="24"/>
        <v>1.9969213524059142</v>
      </c>
      <c r="AJ75" s="261" t="b">
        <f t="shared" si="16"/>
        <v>1</v>
      </c>
      <c r="AK75" s="261" t="b">
        <f t="shared" si="17"/>
        <v>0</v>
      </c>
      <c r="AL75" s="261"/>
      <c r="AM75" s="261"/>
      <c r="AN75" s="75"/>
    </row>
    <row r="76" spans="1:40" s="6" customFormat="1" ht="11.25" x14ac:dyDescent="0.2">
      <c r="A76" s="56">
        <f t="shared" si="18"/>
        <v>46084</v>
      </c>
      <c r="B76" s="406">
        <f>'2025'!Wh/'2025'!Env_an*'2026'!Env_an</f>
        <v>151.4889440702915</v>
      </c>
      <c r="C76" s="831"/>
      <c r="D76" s="388">
        <f t="shared" si="0"/>
        <v>154.97081477036014</v>
      </c>
      <c r="E76" s="380">
        <f t="shared" si="1"/>
        <v>162.5491784904774</v>
      </c>
      <c r="F76" s="380">
        <f t="shared" si="2"/>
        <v>162.57570171997565</v>
      </c>
      <c r="G76" s="110">
        <f t="shared" si="19"/>
        <v>0.90800834576833178</v>
      </c>
      <c r="H76" s="409" t="b">
        <f>Wh_hp&gt;='2025'!Maxi_hp</f>
        <v>0</v>
      </c>
      <c r="I76" s="375">
        <f>IF(H76,Wh_hp,'2025'!Maxi_hp)</f>
        <v>162.57970315575704</v>
      </c>
      <c r="J76" s="85">
        <f>IF(H76,An,'2025'!An_max)</f>
        <v>2022</v>
      </c>
      <c r="K76" s="193">
        <f t="shared" si="3"/>
        <v>46084</v>
      </c>
      <c r="L76" s="143">
        <f>IF(t&lt;Tvie,1-EXP((T0-t)*PertePVj)+'2025'!Pspv,1-EXP((T0-t)*PertePVj)+Pspv)</f>
        <v>2.2467912459698813E-2</v>
      </c>
      <c r="M76" s="835"/>
      <c r="N76" s="835"/>
      <c r="O76" s="48">
        <f>IF(t&lt;Tnet,'2025'!Resal+('2025'!Salim-'2025'!Resal)*(1-EXP(('2025'!Tnet-t)/('2025'!Tau_j))),Resal+(Salim-Resal)*(1-EXP((Tnet-t)/(Tau_j))))*Salcycl</f>
        <v>4.6621974903190574E-2</v>
      </c>
      <c r="P76" s="334">
        <f>(INDEX(Models!$BJ76:$BT76,,T76)*(1-R76)+INDEX(Models!$BJ76:$BT76,,T76+1)*R76-ERP_i)*Q76*Ramure*Pc/MaxiM</f>
        <v>1.8782061476700155E-4</v>
      </c>
      <c r="Q76" s="301">
        <f t="shared" si="4"/>
        <v>0.5</v>
      </c>
      <c r="R76" s="173">
        <f t="shared" si="5"/>
        <v>0.99725498081577202</v>
      </c>
      <c r="S76" s="801">
        <f t="shared" si="6"/>
        <v>1</v>
      </c>
      <c r="T76" s="172">
        <f t="shared" si="7"/>
        <v>7</v>
      </c>
      <c r="U76" s="247">
        <f t="shared" si="20"/>
        <v>1.997254980815772</v>
      </c>
      <c r="V76" s="378">
        <f t="shared" si="8"/>
        <v>166.83239301997386</v>
      </c>
      <c r="W76" s="397">
        <f t="shared" si="9"/>
        <v>151.4889440702915</v>
      </c>
      <c r="X76" s="153">
        <f t="shared" si="10"/>
        <v>46084</v>
      </c>
      <c r="Y76" s="380">
        <f t="shared" si="11"/>
        <v>148.63717953301736</v>
      </c>
      <c r="Z76" s="380">
        <f t="shared" si="21"/>
        <v>152.05350435812616</v>
      </c>
      <c r="AA76" s="381">
        <f t="shared" si="12"/>
        <v>162.5491784904774</v>
      </c>
      <c r="AB76" s="193">
        <f t="shared" si="13"/>
        <v>46084</v>
      </c>
      <c r="AC76" s="119">
        <f>IF(OR(t&lt;Tnet,NoTnet),'2025'!Resal_s+('2025'!Salim-'2025'!Resal_s)*(1-EXP(('2025'!Tnet_s-t)/'2025'!Tau_j)),Resal_s+(Salim-Resal_s)*(1-EXP((Tnet_s-t)/Tau_j)))*Salcycl</f>
        <v>6.4569222864242909E-2</v>
      </c>
      <c r="AD76" s="227">
        <f>(INDEX(Models!$BJ76:$BT76,,AH76)*(1-AF76)+INDEX(Models!$BJ76:$BT76,,AH76+1)*AF76-ERP_i)*AE76*Ramure*Pc/MaxiM</f>
        <v>1.8782061476700155E-4</v>
      </c>
      <c r="AE76" s="301">
        <f t="shared" si="14"/>
        <v>0.5</v>
      </c>
      <c r="AF76" s="173">
        <f t="shared" si="22"/>
        <v>0.99725498081577202</v>
      </c>
      <c r="AG76" s="801">
        <f t="shared" si="23"/>
        <v>1</v>
      </c>
      <c r="AH76" s="172">
        <f t="shared" si="15"/>
        <v>7</v>
      </c>
      <c r="AI76" s="221">
        <f t="shared" si="24"/>
        <v>1.997254980815772</v>
      </c>
      <c r="AJ76" s="261" t="b">
        <f t="shared" si="16"/>
        <v>1</v>
      </c>
      <c r="AK76" s="261" t="b">
        <f t="shared" si="17"/>
        <v>0</v>
      </c>
      <c r="AL76" s="261"/>
      <c r="AM76" s="261"/>
      <c r="AN76" s="75"/>
    </row>
    <row r="77" spans="1:40" s="6" customFormat="1" ht="11.25" x14ac:dyDescent="0.2">
      <c r="A77" s="56">
        <f t="shared" si="18"/>
        <v>46085</v>
      </c>
      <c r="B77" s="406">
        <f>'2025'!Wh/'2025'!Env_an*'2026'!Env_an</f>
        <v>19.343295302459989</v>
      </c>
      <c r="C77" s="831"/>
      <c r="D77" s="388">
        <f t="shared" si="0"/>
        <v>19.788158717353905</v>
      </c>
      <c r="E77" s="380">
        <f t="shared" si="1"/>
        <v>20.756646726406622</v>
      </c>
      <c r="F77" s="380">
        <f t="shared" si="2"/>
        <v>20.756646726406622</v>
      </c>
      <c r="G77" s="110">
        <f t="shared" si="19"/>
        <v>0.11498300273763787</v>
      </c>
      <c r="H77" s="409" t="b">
        <f>Wh_hp&gt;='2025'!Maxi_hp</f>
        <v>0</v>
      </c>
      <c r="I77" s="375">
        <f>IF(H77,Wh_hp,'2025'!Maxi_hp)</f>
        <v>20.760372655450283</v>
      </c>
      <c r="J77" s="85">
        <f>IF(H77,An,'2025'!An_max)</f>
        <v>2022</v>
      </c>
      <c r="K77" s="193">
        <f t="shared" si="3"/>
        <v>46085</v>
      </c>
      <c r="L77" s="143">
        <f>IF(t&lt;Tvie,1-EXP((T0-t)*PertePVj)+'2025'!Pspv,1-EXP((T0-t)*PertePVj)+Pspv)</f>
        <v>2.248129405308319E-2</v>
      </c>
      <c r="M77" s="835"/>
      <c r="N77" s="835"/>
      <c r="O77" s="48">
        <f>IF(t&lt;Tnet,'2025'!Resal+('2025'!Salim-'2025'!Resal)*(1-EXP(('2025'!Tnet-t)/('2025'!Tau_j))),Resal+(Salim-Resal)*(1-EXP((Tnet-t)/(Tau_j))))*Salcycl</f>
        <v>4.6659174857015935E-2</v>
      </c>
      <c r="P77" s="334">
        <f>(INDEX(Models!$BJ77:$BT77,,T77)*(1-R77)+INDEX(Models!$BJ77:$BT77,,T77+1)*R77-ERP_i)*Q77*Ramure*Pc/MaxiM</f>
        <v>1.799904628814083E-4</v>
      </c>
      <c r="Q77" s="301">
        <f t="shared" si="4"/>
        <v>0.5</v>
      </c>
      <c r="R77" s="173">
        <f t="shared" si="5"/>
        <v>0.99760212536087023</v>
      </c>
      <c r="S77" s="801">
        <f t="shared" si="6"/>
        <v>1</v>
      </c>
      <c r="T77" s="172">
        <f t="shared" si="7"/>
        <v>7</v>
      </c>
      <c r="U77" s="247">
        <f t="shared" si="20"/>
        <v>1.9976021253608702</v>
      </c>
      <c r="V77" s="378">
        <f t="shared" si="8"/>
        <v>168.19715291236056</v>
      </c>
      <c r="W77" s="397">
        <f t="shared" si="9"/>
        <v>19.343295302459989</v>
      </c>
      <c r="X77" s="153">
        <f t="shared" si="10"/>
        <v>46085</v>
      </c>
      <c r="Y77" s="380">
        <f t="shared" si="11"/>
        <v>18.97953957249117</v>
      </c>
      <c r="Z77" s="380">
        <f t="shared" si="21"/>
        <v>19.416037214454938</v>
      </c>
      <c r="AA77" s="381">
        <f t="shared" si="12"/>
        <v>20.756646726406622</v>
      </c>
      <c r="AB77" s="193">
        <f t="shared" si="13"/>
        <v>46085</v>
      </c>
      <c r="AC77" s="119">
        <f>IF(OR(t&lt;Tnet,NoTnet),'2025'!Resal_s+('2025'!Salim-'2025'!Resal_s)*(1-EXP(('2025'!Tnet_s-t)/'2025'!Tau_j)),Resal_s+(Salim-Resal_s)*(1-EXP((Tnet_s-t)/Tau_j)))*Salcycl</f>
        <v>6.4586998546646651E-2</v>
      </c>
      <c r="AD77" s="227">
        <f>(INDEX(Models!$BJ77:$BT77,,AH77)*(1-AF77)+INDEX(Models!$BJ77:$BT77,,AH77+1)*AF77-ERP_i)*AE77*Ramure*Pc/MaxiM</f>
        <v>1.799904628814083E-4</v>
      </c>
      <c r="AE77" s="301">
        <f t="shared" si="14"/>
        <v>0.5</v>
      </c>
      <c r="AF77" s="173">
        <f t="shared" si="22"/>
        <v>0.99760212536087023</v>
      </c>
      <c r="AG77" s="801">
        <f t="shared" si="23"/>
        <v>1</v>
      </c>
      <c r="AH77" s="172">
        <f t="shared" si="15"/>
        <v>7</v>
      </c>
      <c r="AI77" s="221">
        <f t="shared" si="24"/>
        <v>1.9976021253608702</v>
      </c>
      <c r="AJ77" s="261" t="b">
        <f t="shared" si="16"/>
        <v>1</v>
      </c>
      <c r="AK77" s="261" t="b">
        <f t="shared" si="17"/>
        <v>0</v>
      </c>
      <c r="AL77" s="261"/>
      <c r="AM77" s="261"/>
      <c r="AN77" s="75"/>
    </row>
    <row r="78" spans="1:40" s="6" customFormat="1" ht="11.25" x14ac:dyDescent="0.2">
      <c r="A78" s="56">
        <f t="shared" si="18"/>
        <v>46086</v>
      </c>
      <c r="B78" s="406">
        <f>'2025'!Wh/'2025'!Env_an*'2026'!Env_an</f>
        <v>63.879266891303047</v>
      </c>
      <c r="C78" s="831"/>
      <c r="D78" s="388">
        <f t="shared" si="0"/>
        <v>65.3492776845777</v>
      </c>
      <c r="E78" s="380">
        <f t="shared" si="1"/>
        <v>68.550327944630126</v>
      </c>
      <c r="F78" s="380">
        <f t="shared" si="2"/>
        <v>68.551619846371025</v>
      </c>
      <c r="G78" s="110">
        <f t="shared" si="19"/>
        <v>0.37670692754390839</v>
      </c>
      <c r="H78" s="409" t="b">
        <f>Wh_hp&gt;='2025'!Maxi_hp</f>
        <v>0</v>
      </c>
      <c r="I78" s="375">
        <f>IF(H78,Wh_hp,'2025'!Maxi_hp)</f>
        <v>68.562079160993505</v>
      </c>
      <c r="J78" s="85">
        <f>IF(H78,An,'2025'!An_max)</f>
        <v>2022</v>
      </c>
      <c r="K78" s="193">
        <f t="shared" si="3"/>
        <v>46086</v>
      </c>
      <c r="L78" s="143">
        <f>IF(t&lt;Tvie,1-EXP((T0-t)*PertePVj)+'2025'!Pspv,1-EXP((T0-t)*PertePVj)+Pspv)</f>
        <v>2.2494675463284763E-2</v>
      </c>
      <c r="M78" s="835"/>
      <c r="N78" s="835"/>
      <c r="O78" s="48">
        <f>IF(t&lt;Tnet,'2025'!Resal+('2025'!Salim-'2025'!Resal)*(1-EXP(('2025'!Tnet-t)/('2025'!Tau_j))),Resal+(Salim-Resal)*(1-EXP((Tnet-t)/(Tau_j))))*Salcycl</f>
        <v>4.6696352242661616E-2</v>
      </c>
      <c r="P78" s="334">
        <f>(INDEX(Models!$BJ78:$BT78,,T78)*(1-R78)+INDEX(Models!$BJ78:$BT78,,T78+1)*R78-ERP_i)*Q78*Ramure*Pc/MaxiM</f>
        <v>1.7184976846617604E-4</v>
      </c>
      <c r="Q78" s="301">
        <f t="shared" si="4"/>
        <v>0.5</v>
      </c>
      <c r="R78" s="173">
        <f t="shared" si="5"/>
        <v>0.99796331303276586</v>
      </c>
      <c r="S78" s="801">
        <f t="shared" si="6"/>
        <v>1</v>
      </c>
      <c r="T78" s="172">
        <f t="shared" si="7"/>
        <v>7</v>
      </c>
      <c r="U78" s="247">
        <f t="shared" si="20"/>
        <v>1.9979633130327659</v>
      </c>
      <c r="V78" s="378">
        <f t="shared" si="8"/>
        <v>169.54690303782323</v>
      </c>
      <c r="W78" s="397">
        <f t="shared" si="9"/>
        <v>63.879266891303047</v>
      </c>
      <c r="X78" s="153">
        <f t="shared" si="10"/>
        <v>46086</v>
      </c>
      <c r="Y78" s="380">
        <f t="shared" si="11"/>
        <v>62.67925346728056</v>
      </c>
      <c r="Z78" s="380">
        <f t="shared" si="21"/>
        <v>64.121649155197332</v>
      </c>
      <c r="AA78" s="381">
        <f t="shared" si="12"/>
        <v>68.550327944630126</v>
      </c>
      <c r="AB78" s="193">
        <f t="shared" si="13"/>
        <v>46086</v>
      </c>
      <c r="AC78" s="119">
        <f>IF(OR(t&lt;Tnet,NoTnet),'2025'!Resal_s+('2025'!Salim-'2025'!Resal_s)*(1-EXP(('2025'!Tnet_s-t)/'2025'!Tau_j)),Resal_s+(Salim-Resal_s)*(1-EXP((Tnet_s-t)/Tau_j)))*Salcycl</f>
        <v>6.4604779031983001E-2</v>
      </c>
      <c r="AD78" s="227">
        <f>(INDEX(Models!$BJ78:$BT78,,AH78)*(1-AF78)+INDEX(Models!$BJ78:$BT78,,AH78+1)*AF78-ERP_i)*AE78*Ramure*Pc/MaxiM</f>
        <v>1.7184976846617604E-4</v>
      </c>
      <c r="AE78" s="301">
        <f t="shared" si="14"/>
        <v>0.5</v>
      </c>
      <c r="AF78" s="173">
        <f t="shared" si="22"/>
        <v>0.99796331303276586</v>
      </c>
      <c r="AG78" s="801">
        <f t="shared" si="23"/>
        <v>1</v>
      </c>
      <c r="AH78" s="172">
        <f t="shared" si="15"/>
        <v>7</v>
      </c>
      <c r="AI78" s="221">
        <f t="shared" si="24"/>
        <v>1.9979633130327659</v>
      </c>
      <c r="AJ78" s="261" t="b">
        <f t="shared" si="16"/>
        <v>1</v>
      </c>
      <c r="AK78" s="261" t="b">
        <f t="shared" si="17"/>
        <v>0</v>
      </c>
      <c r="AL78" s="261"/>
      <c r="AM78" s="261"/>
      <c r="AN78" s="75"/>
    </row>
    <row r="79" spans="1:40" s="6" customFormat="1" ht="11.25" x14ac:dyDescent="0.2">
      <c r="A79" s="56">
        <f t="shared" si="18"/>
        <v>46087</v>
      </c>
      <c r="B79" s="406">
        <f>'2025'!Wh/'2025'!Env_an*'2026'!Env_an</f>
        <v>90.187209382209517</v>
      </c>
      <c r="C79" s="831"/>
      <c r="D79" s="388">
        <f t="shared" ref="D79:D142" si="25">Wh/(1-Ppv)</f>
        <v>92.263890254526586</v>
      </c>
      <c r="E79" s="380">
        <f t="shared" si="1"/>
        <v>96.787091270748618</v>
      </c>
      <c r="F79" s="380">
        <f t="shared" ref="F79:F142" si="26">Wh_sa/(1-Pvg*MEDIAN((-Sdif+Wh/Env_an)/Csdif,0,1))</f>
        <v>96.792237631583205</v>
      </c>
      <c r="G79" s="110">
        <f t="shared" si="19"/>
        <v>0.52771363054315601</v>
      </c>
      <c r="H79" s="409" t="b">
        <f>Wh_hp&gt;='2025'!Maxi_hp</f>
        <v>0</v>
      </c>
      <c r="I79" s="375">
        <f>IF(H79,Wh_hp,'2025'!Maxi_hp)</f>
        <v>96.802876321766419</v>
      </c>
      <c r="J79" s="85">
        <f>IF(H79,An,'2025'!An_max)</f>
        <v>2022</v>
      </c>
      <c r="K79" s="193">
        <f t="shared" ref="K79:K142" si="27">t</f>
        <v>46087</v>
      </c>
      <c r="L79" s="143">
        <f>IF(t&lt;Tvie,1-EXP((T0-t)*PertePVj)+'2025'!Pspv,1-EXP((T0-t)*PertePVj)+Pspv)</f>
        <v>2.2508056690306089E-2</v>
      </c>
      <c r="M79" s="835"/>
      <c r="N79" s="835"/>
      <c r="O79" s="48">
        <f>IF(t&lt;Tnet,'2025'!Resal+('2025'!Salim-'2025'!Resal)*(1-EXP(('2025'!Tnet-t)/('2025'!Tau_j))),Resal+(Salim-Resal)*(1-EXP((Tnet-t)/(Tau_j))))*Salcycl</f>
        <v>4.6733515356598546E-2</v>
      </c>
      <c r="P79" s="334">
        <f>(INDEX(Models!$BJ79:$BT79,,T79)*(1-R79)+INDEX(Models!$BJ79:$BT79,,T79+1)*R79-ERP_i)*Q79*Ramure*Pc/MaxiM</f>
        <v>1.6340215036577828E-4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0.99833908964266405</v>
      </c>
      <c r="S79" s="801">
        <f t="shared" ref="S79:S142" si="30">INDEX(Echel_vg,T79)</f>
        <v>1</v>
      </c>
      <c r="T79" s="172">
        <f t="shared" ref="T79:T142" si="31">MIN(MATCH(Hp_vg,Echel_vg),10)</f>
        <v>7</v>
      </c>
      <c r="U79" s="247">
        <f t="shared" ref="U79:U142" si="32">IF(OR(t&lt;Ttai,Notai),Hdd+PousH*Croivg,Hdtf+PousH*(Croivg-Croi_tai))</f>
        <v>1.998339089642664</v>
      </c>
      <c r="V79" s="378">
        <f t="shared" ref="V79:V142" si="33">MaxiM*(1-Ppv)*(1-Pvg)*(1-Psa)</f>
        <v>170.88296005153063</v>
      </c>
      <c r="W79" s="397">
        <f t="shared" ref="W79:W142" si="34">Wh*(A79&gt;Tmaj)</f>
        <v>90.187209382209517</v>
      </c>
      <c r="X79" s="153">
        <f t="shared" ref="X79:X142" si="35">t</f>
        <v>46087</v>
      </c>
      <c r="Y79" s="380">
        <f t="shared" ref="Y79:Y142" si="36">Wh_pvt_s*(1-Ppv)</f>
        <v>88.494750391528939</v>
      </c>
      <c r="Z79" s="380">
        <f t="shared" ref="Z79:Z142" si="37">Wh_sa_s*(1-Psa_s)</f>
        <v>90.532460136596328</v>
      </c>
      <c r="AA79" s="381">
        <f t="shared" ref="AA79:AA142" si="38">Wh_hp*(1-Pvg_s*MEDIAN((-Sdif+Wh/Env_an)/Csdif,0,1))</f>
        <v>96.787091270748618</v>
      </c>
      <c r="AB79" s="193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6.4622575717828104E-2</v>
      </c>
      <c r="AD79" s="227">
        <f>(INDEX(Models!$BJ79:$BT79,,AH79)*(1-AF79)+INDEX(Models!$BJ79:$BT79,,AH79+1)*AF79-ERP_i)*AE79*Ramure*Pc/MaxiM</f>
        <v>1.6340215036577828E-4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0.99833908964266405</v>
      </c>
      <c r="AG79" s="801">
        <f t="shared" si="23"/>
        <v>1</v>
      </c>
      <c r="AH79" s="172">
        <f t="shared" ref="AH79:AH142" si="42">MIN(MATCH(Hp_vg_s,Echel_vg),10)</f>
        <v>7</v>
      </c>
      <c r="AI79" s="221">
        <f t="shared" ref="AI79:AI142" si="43">IF(OR(t&lt;Ttai,Notai),Hdd_s+PousH*Croivg,Hdtai_s+PousH*(Croivg-Croi_tai))</f>
        <v>1.998339089642664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46088</v>
      </c>
      <c r="B80" s="406">
        <f>'2025'!Wh/'2025'!Env_an*'2026'!Env_an</f>
        <v>133.98757072551075</v>
      </c>
      <c r="C80" s="831"/>
      <c r="D80" s="388">
        <f t="shared" si="25"/>
        <v>137.0746898171557</v>
      </c>
      <c r="E80" s="380">
        <f t="shared" ref="E80:E143" si="47">Wh_pvt/(1-Psa)</f>
        <v>143.80032799515217</v>
      </c>
      <c r="F80" s="380">
        <f t="shared" si="26"/>
        <v>143.81556962718426</v>
      </c>
      <c r="G80" s="110">
        <f t="shared" ref="G80:G143" si="48">+Wh_hp/MaxiM</f>
        <v>0.77801899652921414</v>
      </c>
      <c r="H80" s="409" t="b">
        <f>Wh_hp&gt;='2025'!Maxi_hp</f>
        <v>0</v>
      </c>
      <c r="I80" s="375">
        <f>IF(H80,Wh_hp,'2025'!Maxi_hp)</f>
        <v>143.82262435298446</v>
      </c>
      <c r="J80" s="85">
        <f>IF(H80,An,'2025'!An_max)</f>
        <v>2022</v>
      </c>
      <c r="K80" s="193">
        <f t="shared" si="27"/>
        <v>46088</v>
      </c>
      <c r="L80" s="143">
        <f>IF(t&lt;Tvie,1-EXP((T0-t)*PertePVj)+'2025'!Pspv,1-EXP((T0-t)*PertePVj)+Pspv)</f>
        <v>2.2521437734149719E-2</v>
      </c>
      <c r="M80" s="835"/>
      <c r="N80" s="835"/>
      <c r="O80" s="48">
        <f>IF(t&lt;Tnet,'2025'!Resal+('2025'!Salim-'2025'!Resal)*(1-EXP(('2025'!Tnet-t)/('2025'!Tau_j))),Resal+(Salim-Resal)*(1-EXP((Tnet-t)/(Tau_j))))*Salcycl</f>
        <v>4.6770673417540508E-2</v>
      </c>
      <c r="P80" s="334">
        <f>(INDEX(Models!$BJ80:$BT80,,T80)*(1-R80)+INDEX(Models!$BJ80:$BT80,,T80+1)*R80-ERP_i)*Q80*Ramure*Pc/MaxiM</f>
        <v>1.5518283013465253E-4</v>
      </c>
      <c r="Q80" s="301">
        <f t="shared" si="28"/>
        <v>0.5</v>
      </c>
      <c r="R80" s="173">
        <f t="shared" si="29"/>
        <v>0.99873002034709968</v>
      </c>
      <c r="S80" s="801">
        <f t="shared" si="30"/>
        <v>1</v>
      </c>
      <c r="T80" s="172">
        <f t="shared" si="31"/>
        <v>7</v>
      </c>
      <c r="U80" s="247">
        <f t="shared" si="32"/>
        <v>1.9987300203470997</v>
      </c>
      <c r="V80" s="378">
        <f t="shared" si="33"/>
        <v>172.20784853682932</v>
      </c>
      <c r="W80" s="397">
        <f t="shared" si="34"/>
        <v>133.98757072551075</v>
      </c>
      <c r="X80" s="153">
        <f t="shared" si="35"/>
        <v>46088</v>
      </c>
      <c r="Y80" s="380">
        <f t="shared" si="36"/>
        <v>131.4757707258496</v>
      </c>
      <c r="Z80" s="380">
        <f t="shared" si="37"/>
        <v>134.50501709324587</v>
      </c>
      <c r="AA80" s="381">
        <f t="shared" si="38"/>
        <v>143.80032799515217</v>
      </c>
      <c r="AB80" s="193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6.4640401252907154E-2</v>
      </c>
      <c r="AD80" s="227">
        <f>(INDEX(Models!$BJ80:$BT80,,AH80)*(1-AF80)+INDEX(Models!$BJ80:$BT80,,AH80+1)*AF80-ERP_i)*AE80*Ramure*Pc/MaxiM</f>
        <v>1.5518283013465253E-4</v>
      </c>
      <c r="AE80" s="301">
        <f t="shared" si="40"/>
        <v>0.5</v>
      </c>
      <c r="AF80" s="173">
        <f t="shared" si="41"/>
        <v>0.99873002034709968</v>
      </c>
      <c r="AG80" s="801">
        <f t="shared" ref="AG80:AG143" si="49">INDEX(Echel_vg,AH80)</f>
        <v>1</v>
      </c>
      <c r="AH80" s="172">
        <f t="shared" si="42"/>
        <v>7</v>
      </c>
      <c r="AI80" s="221">
        <f t="shared" si="43"/>
        <v>1.9987300203470997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46089</v>
      </c>
      <c r="B81" s="406">
        <f>'2025'!Wh/'2025'!Env_an*'2026'!Env_an</f>
        <v>123.54172176965879</v>
      </c>
      <c r="C81" s="831"/>
      <c r="D81" s="388">
        <f t="shared" si="25"/>
        <v>126.38989512859986</v>
      </c>
      <c r="E81" s="380">
        <f t="shared" si="47"/>
        <v>132.59644799311255</v>
      </c>
      <c r="F81" s="380">
        <f t="shared" si="26"/>
        <v>132.60796938016321</v>
      </c>
      <c r="G81" s="110">
        <f t="shared" si="48"/>
        <v>0.7119227882457716</v>
      </c>
      <c r="H81" s="409" t="b">
        <f>Wh_hp&gt;='2025'!Maxi_hp</f>
        <v>0</v>
      </c>
      <c r="I81" s="375">
        <f>IF(H81,Wh_hp,'2025'!Maxi_hp)</f>
        <v>132.61599951897398</v>
      </c>
      <c r="J81" s="85">
        <f>IF(H81,An,'2025'!An_max)</f>
        <v>2022</v>
      </c>
      <c r="K81" s="193">
        <f t="shared" si="27"/>
        <v>46089</v>
      </c>
      <c r="L81" s="143">
        <f>IF(t&lt;Tvie,1-EXP((T0-t)*PertePVj)+'2025'!Pspv,1-EXP((T0-t)*PertePVj)+Pspv)</f>
        <v>2.2534818594817985E-2</v>
      </c>
      <c r="M81" s="835"/>
      <c r="N81" s="835"/>
      <c r="O81" s="48">
        <f>IF(t&lt;Tnet,'2025'!Resal+('2025'!Salim-'2025'!Resal)*(1-EXP(('2025'!Tnet-t)/('2025'!Tau_j))),Resal+(Salim-Resal)*(1-EXP((Tnet-t)/(Tau_j))))*Salcycl</f>
        <v>4.680783654804288E-2</v>
      </c>
      <c r="P81" s="334">
        <f>(INDEX(Models!$BJ81:$BT81,,T81)*(1-R81)+INDEX(Models!$BJ81:$BT81,,T81+1)*R81-ERP_i)*Q81*Ramure*Pc/MaxiM</f>
        <v>1.4762902918776522E-4</v>
      </c>
      <c r="Q81" s="301">
        <f t="shared" si="28"/>
        <v>0.5</v>
      </c>
      <c r="R81" s="173">
        <f t="shared" si="29"/>
        <v>0.99913669017530982</v>
      </c>
      <c r="S81" s="801">
        <f t="shared" si="30"/>
        <v>1</v>
      </c>
      <c r="T81" s="172">
        <f t="shared" si="31"/>
        <v>7</v>
      </c>
      <c r="U81" s="247">
        <f t="shared" si="32"/>
        <v>1.9991366901753098</v>
      </c>
      <c r="V81" s="378">
        <f t="shared" si="33"/>
        <v>173.52193032221501</v>
      </c>
      <c r="W81" s="397">
        <f t="shared" si="34"/>
        <v>123.54172176965879</v>
      </c>
      <c r="X81" s="153">
        <f t="shared" si="35"/>
        <v>46089</v>
      </c>
      <c r="Y81" s="380">
        <f t="shared" si="36"/>
        <v>121.22815551635861</v>
      </c>
      <c r="Z81" s="380">
        <f t="shared" si="37"/>
        <v>124.02299112289988</v>
      </c>
      <c r="AA81" s="381">
        <f t="shared" si="38"/>
        <v>132.59644799311255</v>
      </c>
      <c r="AB81" s="193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6.4658269508531582E-2</v>
      </c>
      <c r="AD81" s="227">
        <f>(INDEX(Models!$BJ81:$BT81,,AH81)*(1-AF81)+INDEX(Models!$BJ81:$BT81,,AH81+1)*AF81-ERP_i)*AE81*Ramure*Pc/MaxiM</f>
        <v>1.4762902918776522E-4</v>
      </c>
      <c r="AE81" s="301">
        <f t="shared" si="40"/>
        <v>0.5</v>
      </c>
      <c r="AF81" s="173">
        <f t="shared" si="41"/>
        <v>0.99913669017530982</v>
      </c>
      <c r="AG81" s="801">
        <f t="shared" si="49"/>
        <v>1</v>
      </c>
      <c r="AH81" s="172">
        <f t="shared" si="42"/>
        <v>7</v>
      </c>
      <c r="AI81" s="221">
        <f t="shared" si="43"/>
        <v>1.9991366901753098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46090</v>
      </c>
      <c r="B82" s="406">
        <f>'2025'!Wh/'2025'!Env_an*'2026'!Env_an</f>
        <v>133.08354821591433</v>
      </c>
      <c r="C82" s="831"/>
      <c r="D82" s="388">
        <f t="shared" si="25"/>
        <v>136.15356595265078</v>
      </c>
      <c r="E82" s="380">
        <f t="shared" si="47"/>
        <v>142.84514921765552</v>
      </c>
      <c r="F82" s="380">
        <f t="shared" si="26"/>
        <v>142.85839570799368</v>
      </c>
      <c r="G82" s="110">
        <f t="shared" si="48"/>
        <v>0.76119931038315525</v>
      </c>
      <c r="H82" s="409" t="b">
        <f>Wh_hp&gt;='2025'!Maxi_hp</f>
        <v>0</v>
      </c>
      <c r="I82" s="375">
        <f>IF(H82,Wh_hp,'2025'!Maxi_hp)</f>
        <v>142.86523052784904</v>
      </c>
      <c r="J82" s="85">
        <f>IF(H82,An,'2025'!An_max)</f>
        <v>2022</v>
      </c>
      <c r="K82" s="193">
        <f t="shared" si="27"/>
        <v>46090</v>
      </c>
      <c r="L82" s="143">
        <f>IF(t&lt;Tvie,1-EXP((T0-t)*PertePVj)+'2025'!Pspv,1-EXP((T0-t)*PertePVj)+Pspv)</f>
        <v>2.2548199272313552E-2</v>
      </c>
      <c r="M82" s="835"/>
      <c r="N82" s="835"/>
      <c r="O82" s="48">
        <f>IF(t&lt;Tnet,'2025'!Resal+('2025'!Salim-'2025'!Resal)*(1-EXP(('2025'!Tnet-t)/('2025'!Tau_j))),Resal+(Salim-Resal)*(1-EXP((Tnet-t)/(Tau_j))))*Salcycl</f>
        <v>4.6845015750648068E-2</v>
      </c>
      <c r="P82" s="334">
        <f>(INDEX(Models!$BJ82:$BT82,,T82)*(1-R82)+INDEX(Models!$BJ82:$BT82,,T82+1)*R82-ERP_i)*Q82*Ramure*Pc/MaxiM</f>
        <v>1.4072460540461178E-4</v>
      </c>
      <c r="Q82" s="301">
        <f t="shared" si="28"/>
        <v>0.5</v>
      </c>
      <c r="R82" s="173">
        <f t="shared" si="29"/>
        <v>0.99955970455689669</v>
      </c>
      <c r="S82" s="801">
        <f t="shared" si="30"/>
        <v>1</v>
      </c>
      <c r="T82" s="172">
        <f t="shared" si="31"/>
        <v>7</v>
      </c>
      <c r="U82" s="247">
        <f t="shared" si="32"/>
        <v>1.9995597045568967</v>
      </c>
      <c r="V82" s="378">
        <f t="shared" si="33"/>
        <v>174.82564395396889</v>
      </c>
      <c r="W82" s="397">
        <f t="shared" si="34"/>
        <v>133.08354821591433</v>
      </c>
      <c r="X82" s="153">
        <f t="shared" si="35"/>
        <v>46090</v>
      </c>
      <c r="Y82" s="380">
        <f t="shared" si="36"/>
        <v>130.59388314065981</v>
      </c>
      <c r="Z82" s="380">
        <f t="shared" si="37"/>
        <v>133.60646841454096</v>
      </c>
      <c r="AA82" s="381">
        <f t="shared" si="38"/>
        <v>142.84514921765552</v>
      </c>
      <c r="AB82" s="193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6.4676195542611281E-2</v>
      </c>
      <c r="AD82" s="227">
        <f>(INDEX(Models!$BJ82:$BT82,,AH82)*(1-AF82)+INDEX(Models!$BJ82:$BT82,,AH82+1)*AF82-ERP_i)*AE82*Ramure*Pc/MaxiM</f>
        <v>1.4072460540461178E-4</v>
      </c>
      <c r="AE82" s="301">
        <f t="shared" si="40"/>
        <v>0.5</v>
      </c>
      <c r="AF82" s="173">
        <f t="shared" si="41"/>
        <v>0.99955970455689669</v>
      </c>
      <c r="AG82" s="801">
        <f t="shared" si="49"/>
        <v>1</v>
      </c>
      <c r="AH82" s="172">
        <f t="shared" si="42"/>
        <v>7</v>
      </c>
      <c r="AI82" s="221">
        <f t="shared" si="43"/>
        <v>1.9995597045568967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46091</v>
      </c>
      <c r="B83" s="406">
        <f>'2025'!Wh/'2025'!Env_an*'2026'!Env_an</f>
        <v>95.663846871528776</v>
      </c>
      <c r="C83" s="831"/>
      <c r="D83" s="388">
        <f t="shared" si="25"/>
        <v>97.87199366348753</v>
      </c>
      <c r="E83" s="380">
        <f t="shared" si="47"/>
        <v>102.68614856719125</v>
      </c>
      <c r="F83" s="380">
        <f t="shared" si="26"/>
        <v>102.69094512038531</v>
      </c>
      <c r="G83" s="110">
        <f t="shared" si="48"/>
        <v>0.54312834007448174</v>
      </c>
      <c r="H83" s="409" t="b">
        <f>Wh_hp&gt;='2025'!Maxi_hp</f>
        <v>0</v>
      </c>
      <c r="I83" s="375">
        <f>IF(H83,Wh_hp,'2025'!Maxi_hp)</f>
        <v>102.6999251260078</v>
      </c>
      <c r="J83" s="85">
        <f>IF(H83,An,'2025'!An_max)</f>
        <v>2022</v>
      </c>
      <c r="K83" s="193">
        <f t="shared" si="27"/>
        <v>46091</v>
      </c>
      <c r="L83" s="143">
        <f>IF(t&lt;Tvie,1-EXP((T0-t)*PertePVj)+'2025'!Pspv,1-EXP((T0-t)*PertePVj)+Pspv)</f>
        <v>2.2561579766638862E-2</v>
      </c>
      <c r="M83" s="835"/>
      <c r="N83" s="835"/>
      <c r="O83" s="48">
        <f>IF(t&lt;Tnet,'2025'!Resal+('2025'!Salim-'2025'!Resal)*(1-EXP(('2025'!Tnet-t)/('2025'!Tau_j))),Resal+(Salim-Resal)*(1-EXP((Tnet-t)/(Tau_j))))*Salcycl</f>
        <v>4.688222287890801E-2</v>
      </c>
      <c r="P83" s="334">
        <f>(INDEX(Models!$BJ83:$BT83,,T83)*(1-R83)+INDEX(Models!$BJ83:$BT83,,T83+1)*R83-ERP_i)*Q83*Ramure*Pc/MaxiM</f>
        <v>1.3445421992653081E-4</v>
      </c>
      <c r="Q83" s="301">
        <f t="shared" si="28"/>
        <v>0.5</v>
      </c>
      <c r="R83" s="173">
        <f t="shared" si="29"/>
        <v>0.99999968984823351</v>
      </c>
      <c r="S83" s="801">
        <f t="shared" si="30"/>
        <v>1</v>
      </c>
      <c r="T83" s="172">
        <f t="shared" si="31"/>
        <v>7</v>
      </c>
      <c r="U83" s="247">
        <f t="shared" si="32"/>
        <v>1.9999996898482335</v>
      </c>
      <c r="V83" s="378">
        <f t="shared" si="33"/>
        <v>176.11942765771317</v>
      </c>
      <c r="W83" s="397">
        <f t="shared" si="34"/>
        <v>95.663846871528776</v>
      </c>
      <c r="X83" s="153">
        <f t="shared" si="35"/>
        <v>46091</v>
      </c>
      <c r="Y83" s="380">
        <f t="shared" si="36"/>
        <v>93.876070095528192</v>
      </c>
      <c r="Z83" s="380">
        <f t="shared" si="37"/>
        <v>96.042950790818622</v>
      </c>
      <c r="AA83" s="381">
        <f t="shared" si="38"/>
        <v>102.68614856719125</v>
      </c>
      <c r="AB83" s="193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6.4694195556723552E-2</v>
      </c>
      <c r="AD83" s="227">
        <f>(INDEX(Models!$BJ83:$BT83,,AH83)*(1-AF83)+INDEX(Models!$BJ83:$BT83,,AH83+1)*AF83-ERP_i)*AE83*Ramure*Pc/MaxiM</f>
        <v>1.3445421992653081E-4</v>
      </c>
      <c r="AE83" s="301">
        <f t="shared" si="40"/>
        <v>0.5</v>
      </c>
      <c r="AF83" s="173">
        <f t="shared" si="41"/>
        <v>0.99999968984823351</v>
      </c>
      <c r="AG83" s="801">
        <f t="shared" si="49"/>
        <v>1</v>
      </c>
      <c r="AH83" s="172">
        <f t="shared" si="42"/>
        <v>7</v>
      </c>
      <c r="AI83" s="221">
        <f t="shared" si="43"/>
        <v>1.9999996898482335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46092</v>
      </c>
      <c r="B84" s="406">
        <f>'2025'!Wh/'2025'!Env_an*'2026'!Env_an</f>
        <v>65.478141829319924</v>
      </c>
      <c r="C84" s="831"/>
      <c r="D84" s="388">
        <f t="shared" si="25"/>
        <v>66.990448530489402</v>
      </c>
      <c r="E84" s="380">
        <f t="shared" si="47"/>
        <v>70.288340244364349</v>
      </c>
      <c r="F84" s="380">
        <f t="shared" si="26"/>
        <v>70.289233889294991</v>
      </c>
      <c r="G84" s="110">
        <f t="shared" si="48"/>
        <v>0.36904829645618048</v>
      </c>
      <c r="H84" s="409" t="b">
        <f>Wh_hp&gt;='2025'!Maxi_hp</f>
        <v>0</v>
      </c>
      <c r="I84" s="375">
        <f>IF(H84,Wh_hp,'2025'!Maxi_hp)</f>
        <v>70.297364846187307</v>
      </c>
      <c r="J84" s="85">
        <f>IF(H84,An,'2025'!An_max)</f>
        <v>2022</v>
      </c>
      <c r="K84" s="193">
        <f t="shared" si="27"/>
        <v>46092</v>
      </c>
      <c r="L84" s="143">
        <f>IF(t&lt;Tvie,1-EXP((T0-t)*PertePVj)+'2025'!Pspv,1-EXP((T0-t)*PertePVj)+Pspv)</f>
        <v>2.2574960077796469E-2</v>
      </c>
      <c r="M84" s="835"/>
      <c r="N84" s="835"/>
      <c r="O84" s="48">
        <f>IF(t&lt;Tnet,'2025'!Resal+('2025'!Salim-'2025'!Resal)*(1-EXP(('2025'!Tnet-t)/('2025'!Tau_j))),Resal+(Salim-Resal)*(1-EXP((Tnet-t)/(Tau_j))))*Salcycl</f>
        <v>4.6919470603651973E-2</v>
      </c>
      <c r="P84" s="334">
        <f>(INDEX(Models!$BJ84:$BT84,,T84)*(1-R84)+INDEX(Models!$BJ84:$BT84,,T84+1)*R84-ERP_i)*Q84*Ramure*Pc/MaxiM</f>
        <v>1.2881066482704735E-4</v>
      </c>
      <c r="Q84" s="301">
        <f t="shared" si="28"/>
        <v>0.5</v>
      </c>
      <c r="R84" s="173">
        <f t="shared" si="29"/>
        <v>4.5729385589821092E-4</v>
      </c>
      <c r="S84" s="801">
        <f t="shared" si="30"/>
        <v>2</v>
      </c>
      <c r="T84" s="172">
        <f t="shared" si="31"/>
        <v>8</v>
      </c>
      <c r="U84" s="247">
        <f t="shared" si="32"/>
        <v>2.0004572938558982</v>
      </c>
      <c r="V84" s="378">
        <f t="shared" si="33"/>
        <v>177.403718038888</v>
      </c>
      <c r="W84" s="397">
        <f t="shared" si="34"/>
        <v>65.478141829319924</v>
      </c>
      <c r="X84" s="153">
        <f t="shared" si="35"/>
        <v>46092</v>
      </c>
      <c r="Y84" s="380">
        <f t="shared" si="36"/>
        <v>64.255747173699504</v>
      </c>
      <c r="Z84" s="380">
        <f t="shared" si="37"/>
        <v>65.739821008487596</v>
      </c>
      <c r="AA84" s="381">
        <f t="shared" si="38"/>
        <v>70.288340244364349</v>
      </c>
      <c r="AB84" s="193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6.4712286846771258E-2</v>
      </c>
      <c r="AD84" s="227">
        <f>(INDEX(Models!$BJ84:$BT84,,AH84)*(1-AF84)+INDEX(Models!$BJ84:$BT84,,AH84+1)*AF84-ERP_i)*AE84*Ramure*Pc/MaxiM</f>
        <v>1.2881066482704735E-4</v>
      </c>
      <c r="AE84" s="301">
        <f t="shared" si="40"/>
        <v>0.5</v>
      </c>
      <c r="AF84" s="173">
        <f t="shared" si="41"/>
        <v>4.5729385589821092E-4</v>
      </c>
      <c r="AG84" s="801">
        <f t="shared" si="49"/>
        <v>2</v>
      </c>
      <c r="AH84" s="172">
        <f t="shared" si="42"/>
        <v>8</v>
      </c>
      <c r="AI84" s="221">
        <f t="shared" si="43"/>
        <v>2.0004572938558982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46093</v>
      </c>
      <c r="B85" s="406">
        <f>'2025'!Wh/'2025'!Env_an*'2026'!Env_an</f>
        <v>61.282075566571784</v>
      </c>
      <c r="C85" s="831"/>
      <c r="D85" s="388">
        <f t="shared" si="25"/>
        <v>62.698326700414448</v>
      </c>
      <c r="E85" s="380">
        <f t="shared" si="47"/>
        <v>65.787495134563017</v>
      </c>
      <c r="F85" s="380">
        <f t="shared" si="26"/>
        <v>65.787995018797147</v>
      </c>
      <c r="G85" s="110">
        <f t="shared" si="48"/>
        <v>0.34293325958336374</v>
      </c>
      <c r="H85" s="409" t="b">
        <f>Wh_hp&gt;='2025'!Maxi_hp</f>
        <v>0</v>
      </c>
      <c r="I85" s="375">
        <f>IF(H85,Wh_hp,'2025'!Maxi_hp)</f>
        <v>65.795608679472551</v>
      </c>
      <c r="J85" s="85">
        <f>IF(H85,An,'2025'!An_max)</f>
        <v>2022</v>
      </c>
      <c r="K85" s="193">
        <f t="shared" si="27"/>
        <v>46093</v>
      </c>
      <c r="L85" s="143">
        <f>IF(t&lt;Tvie,1-EXP((T0-t)*PertePVj)+'2025'!Pspv,1-EXP((T0-t)*PertePVj)+Pspv)</f>
        <v>2.2588340205788926E-2</v>
      </c>
      <c r="M85" s="835"/>
      <c r="N85" s="835"/>
      <c r="O85" s="48">
        <f>IF(t&lt;Tnet,'2025'!Resal+('2025'!Salim-'2025'!Resal)*(1-EXP(('2025'!Tnet-t)/('2025'!Tau_j))),Resal+(Salim-Resal)*(1-EXP((Tnet-t)/(Tau_j))))*Salcycl</f>
        <v>4.6956772374900674E-2</v>
      </c>
      <c r="P85" s="334">
        <f>(INDEX(Models!$BJ85:$BT85,,T85)*(1-R85)+INDEX(Models!$BJ85:$BT85,,T85+1)*R85-ERP_i)*Q85*Ramure*Pc/MaxiM</f>
        <v>1.2377248194467606E-4</v>
      </c>
      <c r="Q85" s="301">
        <f t="shared" si="28"/>
        <v>0.5</v>
      </c>
      <c r="R85" s="173">
        <f t="shared" si="29"/>
        <v>9.3318635525330151E-4</v>
      </c>
      <c r="S85" s="801">
        <f t="shared" si="30"/>
        <v>2</v>
      </c>
      <c r="T85" s="172">
        <f t="shared" si="31"/>
        <v>8</v>
      </c>
      <c r="U85" s="247">
        <f t="shared" si="32"/>
        <v>2.0009331863552533</v>
      </c>
      <c r="V85" s="378">
        <f t="shared" si="33"/>
        <v>178.67895402952007</v>
      </c>
      <c r="W85" s="397">
        <f t="shared" si="34"/>
        <v>61.282075566571784</v>
      </c>
      <c r="X85" s="153">
        <f t="shared" si="35"/>
        <v>46093</v>
      </c>
      <c r="Y85" s="380">
        <f t="shared" si="36"/>
        <v>60.139199632921574</v>
      </c>
      <c r="Z85" s="380">
        <f t="shared" si="37"/>
        <v>61.529038486796409</v>
      </c>
      <c r="AA85" s="381">
        <f t="shared" si="38"/>
        <v>65.787495134563017</v>
      </c>
      <c r="AB85" s="193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6.4730487747804863E-2</v>
      </c>
      <c r="AD85" s="227">
        <f>(INDEX(Models!$BJ85:$BT85,,AH85)*(1-AF85)+INDEX(Models!$BJ85:$BT85,,AH85+1)*AF85-ERP_i)*AE85*Ramure*Pc/MaxiM</f>
        <v>1.2377248194467606E-4</v>
      </c>
      <c r="AE85" s="301">
        <f t="shared" si="40"/>
        <v>0.5</v>
      </c>
      <c r="AF85" s="173">
        <f t="shared" si="41"/>
        <v>9.3318635525330151E-4</v>
      </c>
      <c r="AG85" s="801">
        <f t="shared" si="49"/>
        <v>2</v>
      </c>
      <c r="AH85" s="172">
        <f t="shared" si="42"/>
        <v>8</v>
      </c>
      <c r="AI85" s="221">
        <f t="shared" si="43"/>
        <v>2.0009331863552533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46094</v>
      </c>
      <c r="B86" s="406">
        <f>'2025'!Wh/'2025'!Env_an*'2026'!Env_an</f>
        <v>54.121946149843751</v>
      </c>
      <c r="C86" s="831"/>
      <c r="D86" s="388">
        <f t="shared" si="25"/>
        <v>55.373482095941512</v>
      </c>
      <c r="E86" s="380">
        <f t="shared" si="47"/>
        <v>58.104031211540075</v>
      </c>
      <c r="F86" s="380">
        <f t="shared" si="26"/>
        <v>58.104038835088737</v>
      </c>
      <c r="G86" s="110">
        <f t="shared" si="48"/>
        <v>0.30073257257965319</v>
      </c>
      <c r="H86" s="409" t="b">
        <f>Wh_hp&gt;='2025'!Maxi_hp</f>
        <v>0</v>
      </c>
      <c r="I86" s="375">
        <f>IF(H86,Wh_hp,'2025'!Maxi_hp)</f>
        <v>58.110947281906434</v>
      </c>
      <c r="J86" s="85">
        <f>IF(H86,An,'2025'!An_max)</f>
        <v>2022</v>
      </c>
      <c r="K86" s="193">
        <f t="shared" si="27"/>
        <v>46094</v>
      </c>
      <c r="L86" s="143">
        <f>IF(t&lt;Tvie,1-EXP((T0-t)*PertePVj)+'2025'!Pspv,1-EXP((T0-t)*PertePVj)+Pspv)</f>
        <v>2.2601720150618565E-2</v>
      </c>
      <c r="M86" s="835"/>
      <c r="N86" s="835"/>
      <c r="O86" s="48">
        <f>IF(t&lt;Tnet,'2025'!Resal+('2025'!Salim-'2025'!Resal)*(1-EXP(('2025'!Tnet-t)/('2025'!Tau_j))),Resal+(Salim-Resal)*(1-EXP((Tnet-t)/(Tau_j))))*Salcycl</f>
        <v>4.6994142379853394E-2</v>
      </c>
      <c r="P86" s="334">
        <f>(INDEX(Models!$BJ86:$BT86,,T86)*(1-R86)+INDEX(Models!$BJ86:$BT86,,T86+1)*R86-ERP_i)*Q86*Ramure*Pc/MaxiM</f>
        <v>1.1951347828874964E-4</v>
      </c>
      <c r="Q86" s="301">
        <f t="shared" si="28"/>
        <v>0.5</v>
      </c>
      <c r="R86" s="173">
        <f t="shared" si="29"/>
        <v>1.4280596020994629E-3</v>
      </c>
      <c r="S86" s="801">
        <f t="shared" si="30"/>
        <v>2</v>
      </c>
      <c r="T86" s="172">
        <f t="shared" si="31"/>
        <v>8</v>
      </c>
      <c r="U86" s="247">
        <f t="shared" si="32"/>
        <v>2.0014280596020995</v>
      </c>
      <c r="V86" s="378">
        <f t="shared" si="33"/>
        <v>179.94553926713169</v>
      </c>
      <c r="W86" s="397">
        <f t="shared" si="34"/>
        <v>54.121946149843751</v>
      </c>
      <c r="X86" s="153">
        <f t="shared" si="35"/>
        <v>46094</v>
      </c>
      <c r="Y86" s="380">
        <f t="shared" si="36"/>
        <v>53.113644294129642</v>
      </c>
      <c r="Z86" s="380">
        <f t="shared" si="37"/>
        <v>54.341863894332342</v>
      </c>
      <c r="AA86" s="381">
        <f t="shared" si="38"/>
        <v>58.104031211540075</v>
      </c>
      <c r="AB86" s="193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6.4748817573616654E-2</v>
      </c>
      <c r="AD86" s="227">
        <f>(INDEX(Models!$BJ86:$BT86,,AH86)*(1-AF86)+INDEX(Models!$BJ86:$BT86,,AH86+1)*AF86-ERP_i)*AE86*Ramure*Pc/MaxiM</f>
        <v>1.1951347828874964E-4</v>
      </c>
      <c r="AE86" s="301">
        <f t="shared" si="40"/>
        <v>0.5</v>
      </c>
      <c r="AF86" s="173">
        <f t="shared" si="41"/>
        <v>1.4280596020994629E-3</v>
      </c>
      <c r="AG86" s="801">
        <f t="shared" si="49"/>
        <v>2</v>
      </c>
      <c r="AH86" s="172">
        <f t="shared" si="42"/>
        <v>8</v>
      </c>
      <c r="AI86" s="221">
        <f t="shared" si="43"/>
        <v>2.0014280596020995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46095</v>
      </c>
      <c r="B87" s="406">
        <f>'2025'!Wh/'2025'!Env_an*'2026'!Env_an</f>
        <v>53.113604207184885</v>
      </c>
      <c r="C87" s="831"/>
      <c r="D87" s="388">
        <f t="shared" si="25"/>
        <v>54.342566784506687</v>
      </c>
      <c r="E87" s="380">
        <f t="shared" si="47"/>
        <v>57.02452098909874</v>
      </c>
      <c r="F87" s="380">
        <f t="shared" si="26"/>
        <v>57.02452098909874</v>
      </c>
      <c r="G87" s="110">
        <f t="shared" si="48"/>
        <v>0.29308110348692612</v>
      </c>
      <c r="H87" s="409" t="b">
        <f>Wh_hp&gt;='2025'!Maxi_hp</f>
        <v>0</v>
      </c>
      <c r="I87" s="375">
        <f>IF(H87,Wh_hp,'2025'!Maxi_hp)</f>
        <v>57.031108128817166</v>
      </c>
      <c r="J87" s="85">
        <f>IF(H87,An,'2025'!An_max)</f>
        <v>2022</v>
      </c>
      <c r="K87" s="193">
        <f t="shared" si="27"/>
        <v>46095</v>
      </c>
      <c r="L87" s="143">
        <f>IF(t&lt;Tvie,1-EXP((T0-t)*PertePVj)+'2025'!Pspv,1-EXP((T0-t)*PertePVj)+Pspv)</f>
        <v>2.2615099912287939E-2</v>
      </c>
      <c r="M87" s="835"/>
      <c r="N87" s="835"/>
      <c r="O87" s="48">
        <f>IF(t&lt;Tnet,'2025'!Resal+('2025'!Salim-'2025'!Resal)*(1-EXP(('2025'!Tnet-t)/('2025'!Tau_j))),Resal+(Salim-Resal)*(1-EXP((Tnet-t)/(Tau_j))))*Salcycl</f>
        <v>4.7031595497395905E-2</v>
      </c>
      <c r="P87" s="334">
        <f>(INDEX(Models!$BJ87:$BT87,,T87)*(1-R87)+INDEX(Models!$BJ87:$BT87,,T87+1)*R87-ERP_i)*Q87*Ramure*Pc/MaxiM</f>
        <v>1.1601390682387385E-4</v>
      </c>
      <c r="Q87" s="301">
        <f t="shared" si="28"/>
        <v>0.5</v>
      </c>
      <c r="R87" s="173">
        <f t="shared" si="29"/>
        <v>1.9426288351369614E-3</v>
      </c>
      <c r="S87" s="801">
        <f t="shared" si="30"/>
        <v>2</v>
      </c>
      <c r="T87" s="172">
        <f t="shared" si="31"/>
        <v>8</v>
      </c>
      <c r="U87" s="247">
        <f t="shared" si="32"/>
        <v>2.001942628835137</v>
      </c>
      <c r="V87" s="378">
        <f t="shared" si="33"/>
        <v>181.20391133584073</v>
      </c>
      <c r="W87" s="397">
        <f t="shared" si="34"/>
        <v>53.113604207184885</v>
      </c>
      <c r="X87" s="153">
        <f t="shared" si="35"/>
        <v>46095</v>
      </c>
      <c r="Y87" s="380">
        <f t="shared" si="36"/>
        <v>52.12510658051999</v>
      </c>
      <c r="Z87" s="380">
        <f t="shared" si="37"/>
        <v>53.331196927476782</v>
      </c>
      <c r="AA87" s="381">
        <f t="shared" si="38"/>
        <v>57.02452098909874</v>
      </c>
      <c r="AB87" s="193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6.4767296551741349E-2</v>
      </c>
      <c r="AD87" s="227">
        <f>(INDEX(Models!$BJ87:$BT87,,AH87)*(1-AF87)+INDEX(Models!$BJ87:$BT87,,AH87+1)*AF87-ERP_i)*AE87*Ramure*Pc/MaxiM</f>
        <v>1.1601390682387385E-4</v>
      </c>
      <c r="AE87" s="301">
        <f t="shared" si="40"/>
        <v>0.5</v>
      </c>
      <c r="AF87" s="173">
        <f t="shared" si="41"/>
        <v>1.9426288351369614E-3</v>
      </c>
      <c r="AG87" s="801">
        <f t="shared" si="49"/>
        <v>2</v>
      </c>
      <c r="AH87" s="172">
        <f t="shared" si="42"/>
        <v>8</v>
      </c>
      <c r="AI87" s="221">
        <f t="shared" si="43"/>
        <v>2.001942628835137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46096</v>
      </c>
      <c r="B88" s="406">
        <f>'2025'!Wh/'2025'!Env_an*'2026'!Env_an</f>
        <v>56.668050099390179</v>
      </c>
      <c r="C88" s="831"/>
      <c r="D88" s="388">
        <f t="shared" si="25"/>
        <v>57.980050482611482</v>
      </c>
      <c r="E88" s="380">
        <f t="shared" si="47"/>
        <v>60.843922006791757</v>
      </c>
      <c r="F88" s="380">
        <f t="shared" si="26"/>
        <v>60.844026232772549</v>
      </c>
      <c r="G88" s="110">
        <f t="shared" si="48"/>
        <v>0.31055264130888099</v>
      </c>
      <c r="H88" s="409" t="b">
        <f>Wh_hp&gt;='2025'!Maxi_hp</f>
        <v>0</v>
      </c>
      <c r="I88" s="375">
        <f>IF(H88,Wh_hp,'2025'!Maxi_hp)</f>
        <v>60.850782095593019</v>
      </c>
      <c r="J88" s="85">
        <f>IF(H88,An,'2025'!An_max)</f>
        <v>2022</v>
      </c>
      <c r="K88" s="193">
        <f t="shared" si="27"/>
        <v>46096</v>
      </c>
      <c r="L88" s="143">
        <f>IF(t&lt;Tvie,1-EXP((T0-t)*PertePVj)+'2025'!Pspv,1-EXP((T0-t)*PertePVj)+Pspv)</f>
        <v>2.2628479490799713E-2</v>
      </c>
      <c r="M88" s="835"/>
      <c r="N88" s="835"/>
      <c r="O88" s="48">
        <f>IF(t&lt;Tnet,'2025'!Resal+('2025'!Salim-'2025'!Resal)*(1-EXP(('2025'!Tnet-t)/('2025'!Tau_j))),Resal+(Salim-Resal)*(1-EXP((Tnet-t)/(Tau_j))))*Salcycl</f>
        <v>4.7069147249590396E-2</v>
      </c>
      <c r="P88" s="334">
        <f>(INDEX(Models!$BJ88:$BT88,,T88)*(1-R88)+INDEX(Models!$BJ88:$BT88,,T88+1)*R88-ERP_i)*Q88*Ramure*Pc/MaxiM</f>
        <v>1.1325866528924152E-4</v>
      </c>
      <c r="Q88" s="301">
        <f t="shared" si="28"/>
        <v>0.5</v>
      </c>
      <c r="R88" s="173">
        <f t="shared" si="29"/>
        <v>2.4776327667686004E-3</v>
      </c>
      <c r="S88" s="801">
        <f t="shared" si="30"/>
        <v>2</v>
      </c>
      <c r="T88" s="172">
        <f t="shared" si="31"/>
        <v>8</v>
      </c>
      <c r="U88" s="247">
        <f t="shared" si="32"/>
        <v>2.0024776327667686</v>
      </c>
      <c r="V88" s="378">
        <f t="shared" si="33"/>
        <v>182.4545068254919</v>
      </c>
      <c r="W88" s="397">
        <f t="shared" si="34"/>
        <v>56.668050099390179</v>
      </c>
      <c r="X88" s="153">
        <f t="shared" si="35"/>
        <v>46096</v>
      </c>
      <c r="Y88" s="380">
        <f t="shared" si="36"/>
        <v>55.614483177530104</v>
      </c>
      <c r="Z88" s="380">
        <f t="shared" si="37"/>
        <v>56.902090976167941</v>
      </c>
      <c r="AA88" s="381">
        <f t="shared" si="38"/>
        <v>60.843922006791757</v>
      </c>
      <c r="AB88" s="193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6.4785945754512853E-2</v>
      </c>
      <c r="AD88" s="227">
        <f>(INDEX(Models!$BJ88:$BT88,,AH88)*(1-AF88)+INDEX(Models!$BJ88:$BT88,,AH88+1)*AF88-ERP_i)*AE88*Ramure*Pc/MaxiM</f>
        <v>1.1325866528924152E-4</v>
      </c>
      <c r="AE88" s="301">
        <f t="shared" si="40"/>
        <v>0.5</v>
      </c>
      <c r="AF88" s="173">
        <f t="shared" si="41"/>
        <v>2.4776327667686004E-3</v>
      </c>
      <c r="AG88" s="801">
        <f t="shared" si="49"/>
        <v>2</v>
      </c>
      <c r="AH88" s="172">
        <f t="shared" si="42"/>
        <v>8</v>
      </c>
      <c r="AI88" s="221">
        <f t="shared" si="43"/>
        <v>2.0024776327667686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46097</v>
      </c>
      <c r="B89" s="406">
        <f>'2025'!Wh/'2025'!Env_an*'2026'!Env_an</f>
        <v>37.664359901754707</v>
      </c>
      <c r="C89" s="831"/>
      <c r="D89" s="388">
        <f t="shared" si="25"/>
        <v>38.53690711455129</v>
      </c>
      <c r="E89" s="380">
        <f t="shared" si="47"/>
        <v>40.442000919571825</v>
      </c>
      <c r="F89" s="380">
        <f t="shared" si="26"/>
        <v>40.442000919571825</v>
      </c>
      <c r="G89" s="110">
        <f t="shared" si="48"/>
        <v>0.20501159052430687</v>
      </c>
      <c r="H89" s="409" t="b">
        <f>Wh_hp&gt;='2025'!Maxi_hp</f>
        <v>0</v>
      </c>
      <c r="I89" s="375">
        <f>IF(H89,Wh_hp,'2025'!Maxi_hp)</f>
        <v>40.446477610903443</v>
      </c>
      <c r="J89" s="85">
        <f>IF(H89,An,'2025'!An_max)</f>
        <v>2022</v>
      </c>
      <c r="K89" s="193">
        <f t="shared" si="27"/>
        <v>46097</v>
      </c>
      <c r="L89" s="143">
        <f>IF(t&lt;Tvie,1-EXP((T0-t)*PertePVj)+'2025'!Pspv,1-EXP((T0-t)*PertePVj)+Pspv)</f>
        <v>2.264185888615633E-2</v>
      </c>
      <c r="M89" s="835"/>
      <c r="N89" s="835"/>
      <c r="O89" s="48">
        <f>IF(t&lt;Tnet,'2025'!Resal+('2025'!Salim-'2025'!Resal)*(1-EXP(('2025'!Tnet-t)/('2025'!Tau_j))),Resal+(Salim-Resal)*(1-EXP((Tnet-t)/(Tau_j))))*Salcycl</f>
        <v>4.7106813750616518E-2</v>
      </c>
      <c r="P89" s="334">
        <f>(INDEX(Models!$BJ89:$BT89,,T89)*(1-R89)+INDEX(Models!$BJ89:$BT89,,T89+1)*R89-ERP_i)*Q89*Ramure*Pc/MaxiM</f>
        <v>1.1123344760653114E-4</v>
      </c>
      <c r="Q89" s="301">
        <f t="shared" si="28"/>
        <v>0.5</v>
      </c>
      <c r="R89" s="173">
        <f t="shared" si="29"/>
        <v>3.0338340595403857E-3</v>
      </c>
      <c r="S89" s="801">
        <f t="shared" si="30"/>
        <v>2</v>
      </c>
      <c r="T89" s="172">
        <f t="shared" si="31"/>
        <v>8</v>
      </c>
      <c r="U89" s="247">
        <f t="shared" si="32"/>
        <v>2.0030338340595404</v>
      </c>
      <c r="V89" s="378">
        <f t="shared" si="33"/>
        <v>183.69776200865979</v>
      </c>
      <c r="W89" s="397">
        <f t="shared" si="34"/>
        <v>37.664359901754707</v>
      </c>
      <c r="X89" s="153">
        <f t="shared" si="35"/>
        <v>46097</v>
      </c>
      <c r="Y89" s="380">
        <f t="shared" si="36"/>
        <v>36.964824167187373</v>
      </c>
      <c r="Z89" s="380">
        <f t="shared" si="37"/>
        <v>37.821165663039864</v>
      </c>
      <c r="AA89" s="381">
        <f t="shared" si="38"/>
        <v>40.442000919571825</v>
      </c>
      <c r="AB89" s="193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6.4804787026836078E-2</v>
      </c>
      <c r="AD89" s="227">
        <f>(INDEX(Models!$BJ89:$BT89,,AH89)*(1-AF89)+INDEX(Models!$BJ89:$BT89,,AH89+1)*AF89-ERP_i)*AE89*Ramure*Pc/MaxiM</f>
        <v>1.1123344760653114E-4</v>
      </c>
      <c r="AE89" s="301">
        <f t="shared" si="40"/>
        <v>0.5</v>
      </c>
      <c r="AF89" s="173">
        <f t="shared" si="41"/>
        <v>3.0338340595403857E-3</v>
      </c>
      <c r="AG89" s="801">
        <f t="shared" si="49"/>
        <v>2</v>
      </c>
      <c r="AH89" s="172">
        <f t="shared" si="42"/>
        <v>8</v>
      </c>
      <c r="AI89" s="221">
        <f t="shared" si="43"/>
        <v>2.0030338340595404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46098</v>
      </c>
      <c r="B90" s="406">
        <f>'2025'!Wh/'2025'!Env_an*'2026'!Env_an</f>
        <v>48.377202313339872</v>
      </c>
      <c r="C90" s="831"/>
      <c r="D90" s="388">
        <f t="shared" si="25"/>
        <v>49.498604995039159</v>
      </c>
      <c r="E90" s="380">
        <f t="shared" si="47"/>
        <v>51.947657116093545</v>
      </c>
      <c r="F90" s="380">
        <f t="shared" si="26"/>
        <v>51.947657116093545</v>
      </c>
      <c r="G90" s="110">
        <f t="shared" si="48"/>
        <v>0.26156280050108621</v>
      </c>
      <c r="H90" s="409" t="b">
        <f>Wh_hp&gt;='2025'!Maxi_hp</f>
        <v>0</v>
      </c>
      <c r="I90" s="375">
        <f>IF(H90,Wh_hp,'2025'!Maxi_hp)</f>
        <v>51.95333809562544</v>
      </c>
      <c r="J90" s="85">
        <f>IF(H90,An,'2025'!An_max)</f>
        <v>2022</v>
      </c>
      <c r="K90" s="193">
        <f t="shared" si="27"/>
        <v>46098</v>
      </c>
      <c r="L90" s="143">
        <f>IF(t&lt;Tvie,1-EXP((T0-t)*PertePVj)+'2025'!Pspv,1-EXP((T0-t)*PertePVj)+Pspv)</f>
        <v>2.265523809836012E-2</v>
      </c>
      <c r="M90" s="835"/>
      <c r="N90" s="835"/>
      <c r="O90" s="48">
        <f>IF(t&lt;Tnet,'2025'!Resal+('2025'!Salim-'2025'!Resal)*(1-EXP(('2025'!Tnet-t)/('2025'!Tau_j))),Resal+(Salim-Resal)*(1-EXP((Tnet-t)/(Tau_j))))*Salcycl</f>
        <v>4.7144611653634365E-2</v>
      </c>
      <c r="P90" s="334">
        <f>(INDEX(Models!$BJ90:$BT90,,T90)*(1-R90)+INDEX(Models!$BJ90:$BT90,,T90+1)*R90-ERP_i)*Q90*Ramure*Pc/MaxiM</f>
        <v>1.0992472148243043E-4</v>
      </c>
      <c r="Q90" s="301">
        <f t="shared" si="28"/>
        <v>0.5</v>
      </c>
      <c r="R90" s="173">
        <f t="shared" si="29"/>
        <v>3.6120197853048985E-3</v>
      </c>
      <c r="S90" s="801">
        <f t="shared" si="30"/>
        <v>2</v>
      </c>
      <c r="T90" s="172">
        <f t="shared" si="31"/>
        <v>8</v>
      </c>
      <c r="U90" s="247">
        <f t="shared" si="32"/>
        <v>2.0036120197853049</v>
      </c>
      <c r="V90" s="378">
        <f t="shared" si="33"/>
        <v>184.93411284089919</v>
      </c>
      <c r="W90" s="397">
        <f t="shared" si="34"/>
        <v>48.377202313339872</v>
      </c>
      <c r="X90" s="153">
        <f t="shared" si="35"/>
        <v>46098</v>
      </c>
      <c r="Y90" s="380">
        <f t="shared" si="36"/>
        <v>47.479614119204562</v>
      </c>
      <c r="Z90" s="380">
        <f t="shared" si="37"/>
        <v>48.580210351588214</v>
      </c>
      <c r="AA90" s="381">
        <f t="shared" si="38"/>
        <v>51.947657116093545</v>
      </c>
      <c r="AB90" s="193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6.4823842911330906E-2</v>
      </c>
      <c r="AD90" s="227">
        <f>(INDEX(Models!$BJ90:$BT90,,AH90)*(1-AF90)+INDEX(Models!$BJ90:$BT90,,AH90+1)*AF90-ERP_i)*AE90*Ramure*Pc/MaxiM</f>
        <v>1.0992472148243043E-4</v>
      </c>
      <c r="AE90" s="301">
        <f t="shared" si="40"/>
        <v>0.5</v>
      </c>
      <c r="AF90" s="173">
        <f t="shared" si="41"/>
        <v>3.6120197853048985E-3</v>
      </c>
      <c r="AG90" s="801">
        <f t="shared" si="49"/>
        <v>2</v>
      </c>
      <c r="AH90" s="172">
        <f t="shared" si="42"/>
        <v>8</v>
      </c>
      <c r="AI90" s="221">
        <f t="shared" si="43"/>
        <v>2.0036120197853049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46099</v>
      </c>
      <c r="B91" s="406">
        <f>'2025'!Wh/'2025'!Env_an*'2026'!Env_an</f>
        <v>51.075284534313205</v>
      </c>
      <c r="C91" s="831"/>
      <c r="D91" s="388">
        <f t="shared" si="25"/>
        <v>52.259945223688625</v>
      </c>
      <c r="E91" s="380">
        <f t="shared" si="47"/>
        <v>54.847804968032861</v>
      </c>
      <c r="F91" s="380">
        <f t="shared" si="26"/>
        <v>54.847804968032861</v>
      </c>
      <c r="G91" s="110">
        <f t="shared" si="48"/>
        <v>0.27432641314943218</v>
      </c>
      <c r="H91" s="409" t="b">
        <f>Wh_hp&gt;='2025'!Maxi_hp</f>
        <v>0</v>
      </c>
      <c r="I91" s="375">
        <f>IF(H91,Wh_hp,'2025'!Maxi_hp)</f>
        <v>54.853768261754404</v>
      </c>
      <c r="J91" s="85">
        <f>IF(H91,An,'2025'!An_max)</f>
        <v>2022</v>
      </c>
      <c r="K91" s="193">
        <f t="shared" si="27"/>
        <v>46099</v>
      </c>
      <c r="L91" s="143">
        <f>IF(t&lt;Tvie,1-EXP((T0-t)*PertePVj)+'2025'!Pspv,1-EXP((T0-t)*PertePVj)+Pspv)</f>
        <v>2.2668617127413859E-2</v>
      </c>
      <c r="M91" s="835"/>
      <c r="N91" s="835"/>
      <c r="O91" s="48">
        <f>IF(t&lt;Tnet,'2025'!Resal+('2025'!Salim-'2025'!Resal)*(1-EXP(('2025'!Tnet-t)/('2025'!Tau_j))),Resal+(Salim-Resal)*(1-EXP((Tnet-t)/(Tau_j))))*Salcycl</f>
        <v>4.7182558096035512E-2</v>
      </c>
      <c r="P91" s="334">
        <f>(INDEX(Models!$BJ91:$BT91,,T91)*(1-R91)+INDEX(Models!$BJ91:$BT91,,T91+1)*R91-ERP_i)*Q91*Ramure*Pc/MaxiM</f>
        <v>1.0931970971568986E-4</v>
      </c>
      <c r="Q91" s="301">
        <f t="shared" si="28"/>
        <v>0.5</v>
      </c>
      <c r="R91" s="173">
        <f t="shared" si="29"/>
        <v>4.2130018639299216E-3</v>
      </c>
      <c r="S91" s="801">
        <f t="shared" si="30"/>
        <v>2</v>
      </c>
      <c r="T91" s="172">
        <f t="shared" si="31"/>
        <v>8</v>
      </c>
      <c r="U91" s="247">
        <f t="shared" si="32"/>
        <v>2.0042130018639299</v>
      </c>
      <c r="V91" s="378">
        <f t="shared" si="33"/>
        <v>186.16399497490377</v>
      </c>
      <c r="W91" s="397">
        <f t="shared" si="34"/>
        <v>51.075284534313205</v>
      </c>
      <c r="X91" s="153">
        <f t="shared" si="35"/>
        <v>46099</v>
      </c>
      <c r="Y91" s="380">
        <f t="shared" si="36"/>
        <v>50.128598389617601</v>
      </c>
      <c r="Z91" s="380">
        <f t="shared" si="37"/>
        <v>51.291301259843841</v>
      </c>
      <c r="AA91" s="381">
        <f t="shared" si="38"/>
        <v>54.847804968032861</v>
      </c>
      <c r="AB91" s="193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6.4843136571497609E-2</v>
      </c>
      <c r="AD91" s="227">
        <f>(INDEX(Models!$BJ91:$BT91,,AH91)*(1-AF91)+INDEX(Models!$BJ91:$BT91,,AH91+1)*AF91-ERP_i)*AE91*Ramure*Pc/MaxiM</f>
        <v>1.0931970971568986E-4</v>
      </c>
      <c r="AE91" s="301">
        <f t="shared" si="40"/>
        <v>0.5</v>
      </c>
      <c r="AF91" s="173">
        <f t="shared" si="41"/>
        <v>4.2130018639299216E-3</v>
      </c>
      <c r="AG91" s="801">
        <f t="shared" si="49"/>
        <v>2</v>
      </c>
      <c r="AH91" s="172">
        <f t="shared" si="42"/>
        <v>8</v>
      </c>
      <c r="AI91" s="221">
        <f t="shared" si="43"/>
        <v>2.0042130018639299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46100</v>
      </c>
      <c r="B92" s="406">
        <f>'2025'!Wh/'2025'!Env_an*'2026'!Env_an</f>
        <v>116.07287793442443</v>
      </c>
      <c r="C92" s="831"/>
      <c r="D92" s="388">
        <f t="shared" si="25"/>
        <v>118.76674476085444</v>
      </c>
      <c r="E92" s="380">
        <f t="shared" si="47"/>
        <v>124.6529401945289</v>
      </c>
      <c r="F92" s="380">
        <f t="shared" si="26"/>
        <v>124.65916375454294</v>
      </c>
      <c r="G92" s="110">
        <f t="shared" si="48"/>
        <v>0.61938902251486361</v>
      </c>
      <c r="H92" s="409" t="b">
        <f>Wh_hp&gt;='2025'!Maxi_hp</f>
        <v>0</v>
      </c>
      <c r="I92" s="375">
        <f>IF(H92,Wh_hp,'2025'!Maxi_hp)</f>
        <v>124.66653595524753</v>
      </c>
      <c r="J92" s="85">
        <f>IF(H92,An,'2025'!An_max)</f>
        <v>2022</v>
      </c>
      <c r="K92" s="193">
        <f t="shared" si="27"/>
        <v>46100</v>
      </c>
      <c r="L92" s="143">
        <f>IF(t&lt;Tvie,1-EXP((T0-t)*PertePVj)+'2025'!Pspv,1-EXP((T0-t)*PertePVj)+Pspv)</f>
        <v>2.2681995973319879E-2</v>
      </c>
      <c r="M92" s="835"/>
      <c r="N92" s="835"/>
      <c r="O92" s="48">
        <f>IF(t&lt;Tnet,'2025'!Resal+('2025'!Salim-'2025'!Resal)*(1-EXP(('2025'!Tnet-t)/('2025'!Tau_j))),Resal+(Salim-Resal)*(1-EXP((Tnet-t)/(Tau_j))))*Salcycl</f>
        <v>4.7220670643537695E-2</v>
      </c>
      <c r="P92" s="334">
        <f>(INDEX(Models!$BJ92:$BT92,,T92)*(1-R92)+INDEX(Models!$BJ92:$BT92,,T92+1)*R92-ERP_i)*Q92*Ramure*Pc/MaxiM</f>
        <v>1.0940637478883741E-4</v>
      </c>
      <c r="Q92" s="301">
        <f t="shared" si="28"/>
        <v>0.5</v>
      </c>
      <c r="R92" s="173">
        <f t="shared" si="29"/>
        <v>4.8376174781368242E-3</v>
      </c>
      <c r="S92" s="801">
        <f t="shared" si="30"/>
        <v>2</v>
      </c>
      <c r="T92" s="172">
        <f t="shared" si="31"/>
        <v>8</v>
      </c>
      <c r="U92" s="247">
        <f t="shared" si="32"/>
        <v>2.0048376174781368</v>
      </c>
      <c r="V92" s="378">
        <f t="shared" si="33"/>
        <v>187.38784374758066</v>
      </c>
      <c r="W92" s="397">
        <f t="shared" si="34"/>
        <v>116.07287793442443</v>
      </c>
      <c r="X92" s="153">
        <f t="shared" si="35"/>
        <v>46100</v>
      </c>
      <c r="Y92" s="380">
        <f t="shared" si="36"/>
        <v>113.92362879028377</v>
      </c>
      <c r="Z92" s="380">
        <f t="shared" si="37"/>
        <v>116.56761496350551</v>
      </c>
      <c r="AA92" s="381">
        <f t="shared" si="38"/>
        <v>124.6529401945289</v>
      </c>
      <c r="AB92" s="193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6.4862691713534537E-2</v>
      </c>
      <c r="AD92" s="227">
        <f>(INDEX(Models!$BJ92:$BT92,,AH92)*(1-AF92)+INDEX(Models!$BJ92:$BT92,,AH92+1)*AF92-ERP_i)*AE92*Ramure*Pc/MaxiM</f>
        <v>1.0940637478883741E-4</v>
      </c>
      <c r="AE92" s="301">
        <f t="shared" si="40"/>
        <v>0.5</v>
      </c>
      <c r="AF92" s="173">
        <f t="shared" si="41"/>
        <v>4.8376174781368242E-3</v>
      </c>
      <c r="AG92" s="801">
        <f t="shared" si="49"/>
        <v>2</v>
      </c>
      <c r="AH92" s="172">
        <f t="shared" si="42"/>
        <v>8</v>
      </c>
      <c r="AI92" s="221">
        <f t="shared" si="43"/>
        <v>2.0048376174781368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46101</v>
      </c>
      <c r="B93" s="406">
        <f>'2025'!Wh/'2025'!Env_an*'2026'!Env_an</f>
        <v>123.97620123640344</v>
      </c>
      <c r="C93" s="831"/>
      <c r="D93" s="388">
        <f t="shared" si="25"/>
        <v>126.85522816413396</v>
      </c>
      <c r="E93" s="380">
        <f t="shared" si="47"/>
        <v>133.14764852290384</v>
      </c>
      <c r="F93" s="380">
        <f t="shared" si="26"/>
        <v>133.15513652118563</v>
      </c>
      <c r="G93" s="110">
        <f t="shared" si="48"/>
        <v>0.65727254984344119</v>
      </c>
      <c r="H93" s="409" t="b">
        <f>Wh_hp&gt;='2025'!Maxi_hp</f>
        <v>0</v>
      </c>
      <c r="I93" s="375">
        <f>IF(H93,Wh_hp,'2025'!Maxi_hp)</f>
        <v>133.16227442268254</v>
      </c>
      <c r="J93" s="85">
        <f>IF(H93,An,'2025'!An_max)</f>
        <v>2022</v>
      </c>
      <c r="K93" s="193">
        <f t="shared" si="27"/>
        <v>46101</v>
      </c>
      <c r="L93" s="143">
        <f>IF(t&lt;Tvie,1-EXP((T0-t)*PertePVj)+'2025'!Pspv,1-EXP((T0-t)*PertePVj)+Pspv)</f>
        <v>2.2695374636080734E-2</v>
      </c>
      <c r="M93" s="835"/>
      <c r="N93" s="835"/>
      <c r="O93" s="48">
        <f>IF(t&lt;Tnet,'2025'!Resal+('2025'!Salim-'2025'!Resal)*(1-EXP(('2025'!Tnet-t)/('2025'!Tau_j))),Resal+(Salim-Resal)*(1-EXP((Tnet-t)/(Tau_j))))*Salcycl</f>
        <v>4.7258967233562939E-2</v>
      </c>
      <c r="P93" s="334">
        <f>(INDEX(Models!$BJ93:$BT93,,T93)*(1-R93)+INDEX(Models!$BJ93:$BT93,,T93+1)*R93-ERP_i)*Q93*Ramure*Pc/MaxiM</f>
        <v>1.1016993862317598E-4</v>
      </c>
      <c r="Q93" s="301">
        <f t="shared" si="28"/>
        <v>0.5</v>
      </c>
      <c r="R93" s="173">
        <f t="shared" si="29"/>
        <v>5.4867294607583439E-3</v>
      </c>
      <c r="S93" s="801">
        <f t="shared" si="30"/>
        <v>2</v>
      </c>
      <c r="T93" s="172">
        <f t="shared" si="31"/>
        <v>8</v>
      </c>
      <c r="U93" s="247">
        <f t="shared" si="32"/>
        <v>2.0054867294607583</v>
      </c>
      <c r="V93" s="378">
        <f t="shared" si="33"/>
        <v>188.6120366032942</v>
      </c>
      <c r="W93" s="397">
        <f t="shared" si="34"/>
        <v>123.97620123640344</v>
      </c>
      <c r="X93" s="153">
        <f t="shared" si="35"/>
        <v>46101</v>
      </c>
      <c r="Y93" s="380">
        <f t="shared" si="36"/>
        <v>121.68292048145383</v>
      </c>
      <c r="Z93" s="380">
        <f t="shared" si="37"/>
        <v>124.50869188933054</v>
      </c>
      <c r="AA93" s="381">
        <f t="shared" si="38"/>
        <v>133.14764852290384</v>
      </c>
      <c r="AB93" s="193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6.4882532507415935E-2</v>
      </c>
      <c r="AD93" s="227">
        <f>(INDEX(Models!$BJ93:$BT93,,AH93)*(1-AF93)+INDEX(Models!$BJ93:$BT93,,AH93+1)*AF93-ERP_i)*AE93*Ramure*Pc/MaxiM</f>
        <v>1.1016993862317598E-4</v>
      </c>
      <c r="AE93" s="301">
        <f t="shared" si="40"/>
        <v>0.5</v>
      </c>
      <c r="AF93" s="173">
        <f t="shared" si="41"/>
        <v>5.4867294607583439E-3</v>
      </c>
      <c r="AG93" s="801">
        <f t="shared" si="49"/>
        <v>2</v>
      </c>
      <c r="AH93" s="172">
        <f t="shared" si="42"/>
        <v>8</v>
      </c>
      <c r="AI93" s="221">
        <f t="shared" si="43"/>
        <v>2.0054867294607583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46102</v>
      </c>
      <c r="B94" s="406">
        <f>'2025'!Wh/'2025'!Env_an*'2026'!Env_an</f>
        <v>178.67136768711524</v>
      </c>
      <c r="C94" s="831"/>
      <c r="D94" s="388">
        <f t="shared" si="25"/>
        <v>182.82305122115523</v>
      </c>
      <c r="E94" s="380">
        <f t="shared" si="47"/>
        <v>191.89940691798378</v>
      </c>
      <c r="F94" s="380">
        <f t="shared" si="26"/>
        <v>191.9190035452097</v>
      </c>
      <c r="G94" s="110">
        <f t="shared" si="48"/>
        <v>0.94115681591457723</v>
      </c>
      <c r="H94" s="409" t="b">
        <f>Wh_hp&gt;='2025'!Maxi_hp</f>
        <v>0</v>
      </c>
      <c r="I94" s="375">
        <f>IF(H94,Wh_hp,'2025'!Maxi_hp)</f>
        <v>191.92079017384989</v>
      </c>
      <c r="J94" s="85">
        <f>IF(H94,An,'2025'!An_max)</f>
        <v>2022</v>
      </c>
      <c r="K94" s="193">
        <f t="shared" si="27"/>
        <v>46102</v>
      </c>
      <c r="L94" s="143">
        <f>IF(t&lt;Tvie,1-EXP((T0-t)*PertePVj)+'2025'!Pspv,1-EXP((T0-t)*PertePVj)+Pspv)</f>
        <v>2.2708753115698865E-2</v>
      </c>
      <c r="M94" s="835"/>
      <c r="N94" s="835"/>
      <c r="O94" s="48">
        <f>IF(t&lt;Tnet,'2025'!Resal+('2025'!Salim-'2025'!Resal)*(1-EXP(('2025'!Tnet-t)/('2025'!Tau_j))),Resal+(Salim-Resal)*(1-EXP((Tnet-t)/(Tau_j))))*Salcycl</f>
        <v>4.7297466118317477E-2</v>
      </c>
      <c r="P94" s="334">
        <f>(INDEX(Models!$BJ94:$BT94,,T94)*(1-R94)+INDEX(Models!$BJ94:$BT94,,T94+1)*R94-ERP_i)*Q94*Ramure*Pc/MaxiM</f>
        <v>1.1147850965814543E-4</v>
      </c>
      <c r="Q94" s="301">
        <f t="shared" si="28"/>
        <v>0.5</v>
      </c>
      <c r="R94" s="173">
        <f t="shared" si="29"/>
        <v>6.1612266504584845E-3</v>
      </c>
      <c r="S94" s="801">
        <f t="shared" si="30"/>
        <v>2</v>
      </c>
      <c r="T94" s="172">
        <f t="shared" si="31"/>
        <v>8</v>
      </c>
      <c r="U94" s="247">
        <f t="shared" si="32"/>
        <v>2.0061612266504585</v>
      </c>
      <c r="V94" s="378">
        <f t="shared" si="33"/>
        <v>189.84051372056868</v>
      </c>
      <c r="W94" s="397">
        <f t="shared" si="34"/>
        <v>178.67136768711524</v>
      </c>
      <c r="X94" s="153">
        <f t="shared" si="35"/>
        <v>46102</v>
      </c>
      <c r="Y94" s="380">
        <f t="shared" si="36"/>
        <v>175.36965686181443</v>
      </c>
      <c r="Z94" s="380">
        <f t="shared" si="37"/>
        <v>179.44462044545045</v>
      </c>
      <c r="AA94" s="381">
        <f t="shared" si="38"/>
        <v>191.89940691798378</v>
      </c>
      <c r="AB94" s="193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6.4902683507804704E-2</v>
      </c>
      <c r="AD94" s="227">
        <f>(INDEX(Models!$BJ94:$BT94,,AH94)*(1-AF94)+INDEX(Models!$BJ94:$BT94,,AH94+1)*AF94-ERP_i)*AE94*Ramure*Pc/MaxiM</f>
        <v>1.1147850965814543E-4</v>
      </c>
      <c r="AE94" s="301">
        <f t="shared" si="40"/>
        <v>0.5</v>
      </c>
      <c r="AF94" s="173">
        <f t="shared" si="41"/>
        <v>6.1612266504584845E-3</v>
      </c>
      <c r="AG94" s="801">
        <f t="shared" si="49"/>
        <v>2</v>
      </c>
      <c r="AH94" s="172">
        <f t="shared" si="42"/>
        <v>8</v>
      </c>
      <c r="AI94" s="221">
        <f t="shared" si="43"/>
        <v>2.0061612266504585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46103</v>
      </c>
      <c r="B95" s="406">
        <f>'2025'!Wh/'2025'!Env_an*'2026'!Env_an</f>
        <v>159.08192501875291</v>
      </c>
      <c r="C95" s="831"/>
      <c r="D95" s="388">
        <f t="shared" si="25"/>
        <v>162.78064830080311</v>
      </c>
      <c r="E95" s="380">
        <f t="shared" si="47"/>
        <v>170.8689318055597</v>
      </c>
      <c r="F95" s="380">
        <f t="shared" si="26"/>
        <v>170.88360278485558</v>
      </c>
      <c r="G95" s="110">
        <f t="shared" si="48"/>
        <v>0.83256155835893175</v>
      </c>
      <c r="H95" s="409" t="b">
        <f>Wh_hp&gt;='2025'!Maxi_hp</f>
        <v>0</v>
      </c>
      <c r="I95" s="375">
        <f>IF(H95,Wh_hp,'2025'!Maxi_hp)</f>
        <v>170.88818318875792</v>
      </c>
      <c r="J95" s="85">
        <f>IF(H95,An,'2025'!An_max)</f>
        <v>2022</v>
      </c>
      <c r="K95" s="193">
        <f t="shared" si="27"/>
        <v>46103</v>
      </c>
      <c r="L95" s="143">
        <f>IF(t&lt;Tvie,1-EXP((T0-t)*PertePVj)+'2025'!Pspv,1-EXP((T0-t)*PertePVj)+Pspv)</f>
        <v>2.2722131412176938E-2</v>
      </c>
      <c r="M95" s="835"/>
      <c r="N95" s="835"/>
      <c r="O95" s="48">
        <f>IF(t&lt;Tnet,'2025'!Resal+('2025'!Salim-'2025'!Resal)*(1-EXP(('2025'!Tnet-t)/('2025'!Tau_j))),Resal+(Salim-Resal)*(1-EXP((Tnet-t)/(Tau_j))))*Salcycl</f>
        <v>4.7336185807965683E-2</v>
      </c>
      <c r="P95" s="334">
        <f>(INDEX(Models!$BJ95:$BT95,,T95)*(1-R95)+INDEX(Models!$BJ95:$BT95,,T95+1)*R95-ERP_i)*Q95*Ramure*Pc/MaxiM</f>
        <v>1.1284143824515998E-4</v>
      </c>
      <c r="Q95" s="301">
        <f t="shared" si="28"/>
        <v>0.5</v>
      </c>
      <c r="R95" s="173">
        <f t="shared" si="29"/>
        <v>6.8620242116330665E-3</v>
      </c>
      <c r="S95" s="801">
        <f t="shared" si="30"/>
        <v>2</v>
      </c>
      <c r="T95" s="172">
        <f t="shared" si="31"/>
        <v>8</v>
      </c>
      <c r="U95" s="247">
        <f t="shared" si="32"/>
        <v>2.0068620242116331</v>
      </c>
      <c r="V95" s="378">
        <f t="shared" si="33"/>
        <v>191.07011341332213</v>
      </c>
      <c r="W95" s="397">
        <f t="shared" si="34"/>
        <v>159.08192501875291</v>
      </c>
      <c r="X95" s="153">
        <f t="shared" si="35"/>
        <v>46103</v>
      </c>
      <c r="Y95" s="380">
        <f t="shared" si="36"/>
        <v>156.14513746441517</v>
      </c>
      <c r="Z95" s="380">
        <f t="shared" si="37"/>
        <v>159.77557917079056</v>
      </c>
      <c r="AA95" s="381">
        <f t="shared" si="38"/>
        <v>170.8689318055597</v>
      </c>
      <c r="AB95" s="193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6.492316957533753E-2</v>
      </c>
      <c r="AD95" s="227">
        <f>(INDEX(Models!$BJ95:$BT95,,AH95)*(1-AF95)+INDEX(Models!$BJ95:$BT95,,AH95+1)*AF95-ERP_i)*AE95*Ramure*Pc/MaxiM</f>
        <v>1.1284143824515998E-4</v>
      </c>
      <c r="AE95" s="301">
        <f t="shared" si="40"/>
        <v>0.5</v>
      </c>
      <c r="AF95" s="173">
        <f t="shared" si="41"/>
        <v>6.8620242116330665E-3</v>
      </c>
      <c r="AG95" s="801">
        <f t="shared" si="49"/>
        <v>2</v>
      </c>
      <c r="AH95" s="172">
        <f t="shared" si="42"/>
        <v>8</v>
      </c>
      <c r="AI95" s="221">
        <f t="shared" si="43"/>
        <v>2.0068620242116331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46104</v>
      </c>
      <c r="B96" s="406">
        <f>'2025'!Wh/'2025'!Env_an*'2026'!Env_an</f>
        <v>190.42718774264702</v>
      </c>
      <c r="C96" s="831"/>
      <c r="D96" s="388">
        <f t="shared" si="25"/>
        <v>194.85736931891444</v>
      </c>
      <c r="E96" s="380">
        <f t="shared" si="47"/>
        <v>204.54785354286312</v>
      </c>
      <c r="F96" s="380">
        <f t="shared" si="26"/>
        <v>204.57090321995554</v>
      </c>
      <c r="G96" s="110">
        <f t="shared" si="48"/>
        <v>0.99027186509918896</v>
      </c>
      <c r="H96" s="409" t="b">
        <f>Wh_hp&gt;='2025'!Maxi_hp</f>
        <v>0</v>
      </c>
      <c r="I96" s="375">
        <f>IF(H96,Wh_hp,'2025'!Maxi_hp)</f>
        <v>204.57122568175365</v>
      </c>
      <c r="J96" s="85">
        <f>IF(H96,An,'2025'!An_max)</f>
        <v>2022</v>
      </c>
      <c r="K96" s="193">
        <f t="shared" si="27"/>
        <v>46104</v>
      </c>
      <c r="L96" s="143">
        <f>IF(t&lt;Tvie,1-EXP((T0-t)*PertePVj)+'2025'!Pspv,1-EXP((T0-t)*PertePVj)+Pspv)</f>
        <v>2.2735509525517283E-2</v>
      </c>
      <c r="M96" s="835"/>
      <c r="N96" s="835"/>
      <c r="O96" s="48">
        <f>IF(t&lt;Tnet,'2025'!Resal+('2025'!Salim-'2025'!Resal)*(1-EXP(('2025'!Tnet-t)/('2025'!Tau_j))),Resal+(Salim-Resal)*(1-EXP((Tnet-t)/(Tau_j))))*Salcycl</f>
        <v>4.7375145014259615E-2</v>
      </c>
      <c r="P96" s="334">
        <f>(INDEX(Models!$BJ96:$BT96,,T96)*(1-R96)+INDEX(Models!$BJ96:$BT96,,T96+1)*R96-ERP_i)*Q96*Ramure*Pc/MaxiM</f>
        <v>1.1426095811317295E-4</v>
      </c>
      <c r="Q96" s="301">
        <f t="shared" si="28"/>
        <v>0.5</v>
      </c>
      <c r="R96" s="173">
        <f t="shared" si="29"/>
        <v>7.5900639139279136E-3</v>
      </c>
      <c r="S96" s="801">
        <f t="shared" si="30"/>
        <v>2</v>
      </c>
      <c r="T96" s="172">
        <f t="shared" si="31"/>
        <v>8</v>
      </c>
      <c r="U96" s="247">
        <f t="shared" si="32"/>
        <v>2.0075900639139279</v>
      </c>
      <c r="V96" s="378">
        <f t="shared" si="33"/>
        <v>192.29758219445321</v>
      </c>
      <c r="W96" s="397">
        <f t="shared" si="34"/>
        <v>190.42718774264702</v>
      </c>
      <c r="X96" s="153">
        <f t="shared" si="35"/>
        <v>46104</v>
      </c>
      <c r="Y96" s="380">
        <f t="shared" si="36"/>
        <v>186.91521696233463</v>
      </c>
      <c r="Z96" s="380">
        <f t="shared" si="37"/>
        <v>191.26369451076985</v>
      </c>
      <c r="AA96" s="381">
        <f t="shared" si="38"/>
        <v>204.54785354286312</v>
      </c>
      <c r="AB96" s="193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6.4944015798775304E-2</v>
      </c>
      <c r="AD96" s="227">
        <f>(INDEX(Models!$BJ96:$BT96,,AH96)*(1-AF96)+INDEX(Models!$BJ96:$BT96,,AH96+1)*AF96-ERP_i)*AE96*Ramure*Pc/MaxiM</f>
        <v>1.1426095811317295E-4</v>
      </c>
      <c r="AE96" s="301">
        <f t="shared" si="40"/>
        <v>0.5</v>
      </c>
      <c r="AF96" s="173">
        <f t="shared" si="41"/>
        <v>7.5900639139279136E-3</v>
      </c>
      <c r="AG96" s="801">
        <f t="shared" si="49"/>
        <v>2</v>
      </c>
      <c r="AH96" s="172">
        <f t="shared" si="42"/>
        <v>8</v>
      </c>
      <c r="AI96" s="221">
        <f t="shared" si="43"/>
        <v>2.0075900639139279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46105</v>
      </c>
      <c r="B97" s="406">
        <f>'2025'!Wh/'2025'!Env_an*'2026'!Env_an</f>
        <v>188.84295684961737</v>
      </c>
      <c r="C97" s="831"/>
      <c r="D97" s="388">
        <f t="shared" si="25"/>
        <v>193.23892746252693</v>
      </c>
      <c r="E97" s="380">
        <f t="shared" si="47"/>
        <v>202.85727589692803</v>
      </c>
      <c r="F97" s="380">
        <f t="shared" si="26"/>
        <v>202.87994644787182</v>
      </c>
      <c r="G97" s="110">
        <f t="shared" si="48"/>
        <v>0.97582951115004657</v>
      </c>
      <c r="H97" s="409" t="b">
        <f>Wh_hp&gt;='2025'!Maxi_hp</f>
        <v>0</v>
      </c>
      <c r="I97" s="375">
        <f>IF(H97,Wh_hp,'2025'!Maxi_hp)</f>
        <v>202.880750987478</v>
      </c>
      <c r="J97" s="85">
        <f>IF(H97,An,'2025'!An_max)</f>
        <v>2022</v>
      </c>
      <c r="K97" s="193">
        <f t="shared" si="27"/>
        <v>46105</v>
      </c>
      <c r="L97" s="143">
        <f>IF(t&lt;Tvie,1-EXP((T0-t)*PertePVj)+'2025'!Pspv,1-EXP((T0-t)*PertePVj)+Pspv)</f>
        <v>2.2748887455722566E-2</v>
      </c>
      <c r="M97" s="835"/>
      <c r="N97" s="835"/>
      <c r="O97" s="48">
        <f>IF(t&lt;Tnet,'2025'!Resal+('2025'!Salim-'2025'!Resal)*(1-EXP(('2025'!Tnet-t)/('2025'!Tau_j))),Resal+(Salim-Resal)*(1-EXP((Tnet-t)/(Tau_j))))*Salcycl</f>
        <v>4.7414362594951721E-2</v>
      </c>
      <c r="P97" s="334">
        <f>(INDEX(Models!$BJ97:$BT97,,T97)*(1-R97)+INDEX(Models!$BJ97:$BT97,,T97+1)*R97-ERP_i)*Q97*Ramure*Pc/MaxiM</f>
        <v>1.1573942890279529E-4</v>
      </c>
      <c r="Q97" s="301">
        <f t="shared" si="28"/>
        <v>0.5</v>
      </c>
      <c r="R97" s="173">
        <f t="shared" si="29"/>
        <v>8.3463143664874728E-3</v>
      </c>
      <c r="S97" s="801">
        <f t="shared" si="30"/>
        <v>2</v>
      </c>
      <c r="T97" s="172">
        <f t="shared" si="31"/>
        <v>8</v>
      </c>
      <c r="U97" s="247">
        <f t="shared" si="32"/>
        <v>2.0083463143664875</v>
      </c>
      <c r="V97" s="378">
        <f t="shared" si="33"/>
        <v>193.51966715260028</v>
      </c>
      <c r="W97" s="397">
        <f t="shared" si="34"/>
        <v>188.84295684961737</v>
      </c>
      <c r="X97" s="153">
        <f t="shared" si="35"/>
        <v>46105</v>
      </c>
      <c r="Y97" s="380">
        <f t="shared" si="36"/>
        <v>185.36362559030118</v>
      </c>
      <c r="Z97" s="380">
        <f t="shared" si="37"/>
        <v>189.67860277764862</v>
      </c>
      <c r="AA97" s="381">
        <f t="shared" si="38"/>
        <v>202.85727589692803</v>
      </c>
      <c r="AB97" s="193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6.4965247418463309E-2</v>
      </c>
      <c r="AD97" s="227">
        <f>(INDEX(Models!$BJ97:$BT97,,AH97)*(1-AF97)+INDEX(Models!$BJ97:$BT97,,AH97+1)*AF97-ERP_i)*AE97*Ramure*Pc/MaxiM</f>
        <v>1.1573942890279529E-4</v>
      </c>
      <c r="AE97" s="301">
        <f t="shared" si="40"/>
        <v>0.5</v>
      </c>
      <c r="AF97" s="173">
        <f t="shared" si="41"/>
        <v>8.3463143664874728E-3</v>
      </c>
      <c r="AG97" s="801">
        <f t="shared" si="49"/>
        <v>2</v>
      </c>
      <c r="AH97" s="172">
        <f t="shared" si="42"/>
        <v>8</v>
      </c>
      <c r="AI97" s="221">
        <f t="shared" si="43"/>
        <v>2.0083463143664875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46106</v>
      </c>
      <c r="B98" s="406">
        <f>'2025'!Wh/'2025'!Env_an*'2026'!Env_an</f>
        <v>160.89122990720529</v>
      </c>
      <c r="C98" s="831"/>
      <c r="D98" s="388">
        <f t="shared" si="25"/>
        <v>164.63878151470814</v>
      </c>
      <c r="E98" s="380">
        <f t="shared" si="47"/>
        <v>172.84074142852739</v>
      </c>
      <c r="F98" s="380">
        <f t="shared" si="26"/>
        <v>172.8559809143338</v>
      </c>
      <c r="G98" s="110">
        <f t="shared" si="48"/>
        <v>0.82618995813786789</v>
      </c>
      <c r="H98" s="409" t="b">
        <f>Wh_hp&gt;='2025'!Maxi_hp</f>
        <v>0</v>
      </c>
      <c r="I98" s="375">
        <f>IF(H98,Wh_hp,'2025'!Maxi_hp)</f>
        <v>172.86097391722259</v>
      </c>
      <c r="J98" s="85">
        <f>IF(H98,An,'2025'!An_max)</f>
        <v>2022</v>
      </c>
      <c r="K98" s="193">
        <f t="shared" si="27"/>
        <v>46106</v>
      </c>
      <c r="L98" s="143">
        <f>IF(t&lt;Tvie,1-EXP((T0-t)*PertePVj)+'2025'!Pspv,1-EXP((T0-t)*PertePVj)+Pspv)</f>
        <v>2.2762265202795229E-2</v>
      </c>
      <c r="M98" s="835"/>
      <c r="N98" s="835"/>
      <c r="O98" s="48">
        <f>IF(t&lt;Tnet,'2025'!Resal+('2025'!Salim-'2025'!Resal)*(1-EXP(('2025'!Tnet-t)/('2025'!Tau_j))),Resal+(Salim-Resal)*(1-EXP((Tnet-t)/(Tau_j))))*Salcycl</f>
        <v>4.7453857499279967E-2</v>
      </c>
      <c r="P98" s="334">
        <f>(INDEX(Models!$BJ98:$BT98,,T98)*(1-R98)+INDEX(Models!$BJ98:$BT98,,T98+1)*R98-ERP_i)*Q98*Ramure*Pc/MaxiM</f>
        <v>1.1727934470320878E-4</v>
      </c>
      <c r="Q98" s="301">
        <f t="shared" si="28"/>
        <v>0.5</v>
      </c>
      <c r="R98" s="173">
        <f t="shared" si="29"/>
        <v>9.1317712017349173E-3</v>
      </c>
      <c r="S98" s="801">
        <f t="shared" si="30"/>
        <v>2</v>
      </c>
      <c r="T98" s="172">
        <f t="shared" si="31"/>
        <v>8</v>
      </c>
      <c r="U98" s="247">
        <f t="shared" si="32"/>
        <v>2.0091317712017349</v>
      </c>
      <c r="V98" s="378">
        <f t="shared" si="33"/>
        <v>194.73311594992401</v>
      </c>
      <c r="W98" s="397">
        <f t="shared" si="34"/>
        <v>160.89122990720529</v>
      </c>
      <c r="X98" s="153">
        <f t="shared" si="35"/>
        <v>46106</v>
      </c>
      <c r="Y98" s="380">
        <f t="shared" si="36"/>
        <v>157.92978688917444</v>
      </c>
      <c r="Z98" s="380">
        <f t="shared" si="37"/>
        <v>161.60835922074565</v>
      </c>
      <c r="AA98" s="381">
        <f t="shared" si="38"/>
        <v>172.84074142852739</v>
      </c>
      <c r="AB98" s="193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6.498688975149132E-2</v>
      </c>
      <c r="AD98" s="227">
        <f>(INDEX(Models!$BJ98:$BT98,,AH98)*(1-AF98)+INDEX(Models!$BJ98:$BT98,,AH98+1)*AF98-ERP_i)*AE98*Ramure*Pc/MaxiM</f>
        <v>1.1727934470320878E-4</v>
      </c>
      <c r="AE98" s="301">
        <f t="shared" si="40"/>
        <v>0.5</v>
      </c>
      <c r="AF98" s="173">
        <f t="shared" si="41"/>
        <v>9.1317712017349173E-3</v>
      </c>
      <c r="AG98" s="801">
        <f t="shared" si="49"/>
        <v>2</v>
      </c>
      <c r="AH98" s="172">
        <f t="shared" si="42"/>
        <v>8</v>
      </c>
      <c r="AI98" s="221">
        <f t="shared" si="43"/>
        <v>2.0091317712017349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46107</v>
      </c>
      <c r="B99" s="406">
        <f>'2025'!Wh/'2025'!Env_an*'2026'!Env_an</f>
        <v>177.39616794273701</v>
      </c>
      <c r="C99" s="831"/>
      <c r="D99" s="388">
        <f t="shared" si="25"/>
        <v>181.53064506597511</v>
      </c>
      <c r="E99" s="380">
        <f t="shared" si="47"/>
        <v>190.58208359559407</v>
      </c>
      <c r="F99" s="380">
        <f t="shared" si="26"/>
        <v>190.60168019895556</v>
      </c>
      <c r="G99" s="110">
        <f t="shared" si="48"/>
        <v>0.90536968708960175</v>
      </c>
      <c r="H99" s="409" t="b">
        <f>Wh_hp&gt;='2025'!Maxi_hp</f>
        <v>0</v>
      </c>
      <c r="I99" s="375">
        <f>IF(H99,Wh_hp,'2025'!Maxi_hp)</f>
        <v>190.60471742459274</v>
      </c>
      <c r="J99" s="85">
        <f>IF(H99,An,'2025'!An_max)</f>
        <v>2022</v>
      </c>
      <c r="K99" s="193">
        <f t="shared" si="27"/>
        <v>46107</v>
      </c>
      <c r="L99" s="143">
        <f>IF(t&lt;Tvie,1-EXP((T0-t)*PertePVj)+'2025'!Pspv,1-EXP((T0-t)*PertePVj)+Pspv)</f>
        <v>2.2775642766737714E-2</v>
      </c>
      <c r="M99" s="835"/>
      <c r="N99" s="835"/>
      <c r="O99" s="48">
        <f>IF(t&lt;Tnet,'2025'!Resal+('2025'!Salim-'2025'!Resal)*(1-EXP(('2025'!Tnet-t)/('2025'!Tau_j))),Resal+(Salim-Resal)*(1-EXP((Tnet-t)/(Tau_j))))*Salcycl</f>
        <v>4.7493648714774642E-2</v>
      </c>
      <c r="P99" s="334">
        <f>(INDEX(Models!$BJ99:$BT99,,T99)*(1-R99)+INDEX(Models!$BJ99:$BT99,,T99+1)*R99-ERP_i)*Q99*Ramure*Pc/MaxiM</f>
        <v>1.1888334304438299E-4</v>
      </c>
      <c r="Q99" s="301">
        <f t="shared" si="28"/>
        <v>0.5</v>
      </c>
      <c r="R99" s="173">
        <f t="shared" si="29"/>
        <v>9.9474572031383879E-3</v>
      </c>
      <c r="S99" s="801">
        <f t="shared" si="30"/>
        <v>2</v>
      </c>
      <c r="T99" s="172">
        <f t="shared" si="31"/>
        <v>8</v>
      </c>
      <c r="U99" s="247">
        <f t="shared" si="32"/>
        <v>2.0099474572031384</v>
      </c>
      <c r="V99" s="378">
        <f t="shared" si="33"/>
        <v>195.93467686831423</v>
      </c>
      <c r="W99" s="397">
        <f t="shared" si="34"/>
        <v>177.39616794273701</v>
      </c>
      <c r="X99" s="153">
        <f t="shared" si="35"/>
        <v>46107</v>
      </c>
      <c r="Y99" s="380">
        <f t="shared" si="36"/>
        <v>174.13408938715551</v>
      </c>
      <c r="Z99" s="380">
        <f t="shared" si="37"/>
        <v>178.19253899909691</v>
      </c>
      <c r="AA99" s="381">
        <f t="shared" si="38"/>
        <v>190.58208359559407</v>
      </c>
      <c r="AB99" s="193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6.5008968118887706E-2</v>
      </c>
      <c r="AD99" s="227">
        <f>(INDEX(Models!$BJ99:$BT99,,AH99)*(1-AF99)+INDEX(Models!$BJ99:$BT99,,AH99+1)*AF99-ERP_i)*AE99*Ramure*Pc/MaxiM</f>
        <v>1.1888334304438299E-4</v>
      </c>
      <c r="AE99" s="301">
        <f t="shared" si="40"/>
        <v>0.5</v>
      </c>
      <c r="AF99" s="173">
        <f t="shared" si="41"/>
        <v>9.9474572031383879E-3</v>
      </c>
      <c r="AG99" s="801">
        <f t="shared" si="49"/>
        <v>2</v>
      </c>
      <c r="AH99" s="172">
        <f t="shared" si="42"/>
        <v>8</v>
      </c>
      <c r="AI99" s="221">
        <f t="shared" si="43"/>
        <v>2.0099474572031384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46108</v>
      </c>
      <c r="B100" s="406">
        <f>'2025'!Wh/'2025'!Env_an*'2026'!Env_an</f>
        <v>179.32846673204807</v>
      </c>
      <c r="C100" s="831"/>
      <c r="D100" s="388">
        <f t="shared" si="25"/>
        <v>183.51049100893803</v>
      </c>
      <c r="E100" s="380">
        <f t="shared" si="47"/>
        <v>192.66876071862913</v>
      </c>
      <c r="F100" s="380">
        <f t="shared" si="26"/>
        <v>192.68900322865812</v>
      </c>
      <c r="G100" s="110">
        <f t="shared" si="48"/>
        <v>0.90972345261152809</v>
      </c>
      <c r="H100" s="409" t="b">
        <f>Wh_hp&gt;='2025'!Maxi_hp</f>
        <v>0</v>
      </c>
      <c r="I100" s="375">
        <f>IF(H100,Wh_hp,'2025'!Maxi_hp)</f>
        <v>192.69197360418002</v>
      </c>
      <c r="J100" s="85">
        <f>IF(H100,An,'2025'!An_max)</f>
        <v>2022</v>
      </c>
      <c r="K100" s="193">
        <f t="shared" si="27"/>
        <v>46108</v>
      </c>
      <c r="L100" s="143">
        <f>IF(t&lt;Tvie,1-EXP((T0-t)*PertePVj)+'2025'!Pspv,1-EXP((T0-t)*PertePVj)+Pspv)</f>
        <v>2.2789020147552574E-2</v>
      </c>
      <c r="M100" s="835"/>
      <c r="N100" s="835"/>
      <c r="O100" s="48">
        <f>IF(t&lt;Tnet,'2025'!Resal+('2025'!Salim-'2025'!Resal)*(1-EXP(('2025'!Tnet-t)/('2025'!Tau_j))),Resal+(Salim-Resal)*(1-EXP((Tnet-t)/(Tau_j))))*Salcycl</f>
        <v>4.7533755215593644E-2</v>
      </c>
      <c r="P100" s="334">
        <f>(INDEX(Models!$BJ100:$BT100,,T100)*(1-R100)+INDEX(Models!$BJ100:$BT100,,T100+1)*R100-ERP_i)*Q100*Ramure*Pc/MaxiM</f>
        <v>1.2060421733924888E-4</v>
      </c>
      <c r="Q100" s="301">
        <f t="shared" si="28"/>
        <v>0.5</v>
      </c>
      <c r="R100" s="173">
        <f t="shared" si="29"/>
        <v>1.0794422371103174E-2</v>
      </c>
      <c r="S100" s="801">
        <f t="shared" si="30"/>
        <v>2</v>
      </c>
      <c r="T100" s="172">
        <f t="shared" si="31"/>
        <v>8</v>
      </c>
      <c r="U100" s="247">
        <f t="shared" si="32"/>
        <v>2.0107944223711032</v>
      </c>
      <c r="V100" s="378">
        <f t="shared" si="33"/>
        <v>197.12108894607974</v>
      </c>
      <c r="W100" s="397">
        <f t="shared" si="34"/>
        <v>179.32846673204807</v>
      </c>
      <c r="X100" s="153">
        <f t="shared" si="35"/>
        <v>46108</v>
      </c>
      <c r="Y100" s="380">
        <f t="shared" si="36"/>
        <v>176.03402437785499</v>
      </c>
      <c r="Z100" s="380">
        <f t="shared" si="37"/>
        <v>180.13922070793248</v>
      </c>
      <c r="AA100" s="381">
        <f t="shared" si="38"/>
        <v>192.66876071862913</v>
      </c>
      <c r="AB100" s="193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6.5031507775121955E-2</v>
      </c>
      <c r="AD100" s="227">
        <f>(INDEX(Models!$BJ100:$BT100,,AH100)*(1-AF100)+INDEX(Models!$BJ100:$BT100,,AH100+1)*AF100-ERP_i)*AE100*Ramure*Pc/MaxiM</f>
        <v>1.2060421733924888E-4</v>
      </c>
      <c r="AE100" s="301">
        <f t="shared" si="40"/>
        <v>0.5</v>
      </c>
      <c r="AF100" s="173">
        <f t="shared" si="41"/>
        <v>1.0794422371103174E-2</v>
      </c>
      <c r="AG100" s="801">
        <f t="shared" si="49"/>
        <v>2</v>
      </c>
      <c r="AH100" s="172">
        <f t="shared" si="42"/>
        <v>8</v>
      </c>
      <c r="AI100" s="221">
        <f t="shared" si="43"/>
        <v>2.0107944223711032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46109</v>
      </c>
      <c r="B101" s="406">
        <f>'2025'!Wh/'2025'!Env_an*'2026'!Env_an</f>
        <v>141.39772795876792</v>
      </c>
      <c r="C101" s="831"/>
      <c r="D101" s="388">
        <f t="shared" si="25"/>
        <v>144.69717033139665</v>
      </c>
      <c r="E101" s="380">
        <f t="shared" si="47"/>
        <v>151.92487405361246</v>
      </c>
      <c r="F101" s="380">
        <f t="shared" si="26"/>
        <v>151.93583708992091</v>
      </c>
      <c r="G101" s="110">
        <f t="shared" si="48"/>
        <v>0.71305288867326821</v>
      </c>
      <c r="H101" s="409" t="b">
        <f>Wh_hp&gt;='2025'!Maxi_hp</f>
        <v>0</v>
      </c>
      <c r="I101" s="375">
        <f>IF(H101,Wh_hp,'2025'!Maxi_hp)</f>
        <v>151.9433815966527</v>
      </c>
      <c r="J101" s="85">
        <f>IF(H101,An,'2025'!An_max)</f>
        <v>2022</v>
      </c>
      <c r="K101" s="193">
        <f t="shared" si="27"/>
        <v>46109</v>
      </c>
      <c r="L101" s="143">
        <f>IF(t&lt;Tvie,1-EXP((T0-t)*PertePVj)+'2025'!Pspv,1-EXP((T0-t)*PertePVj)+Pspv)</f>
        <v>2.2802397345242365E-2</v>
      </c>
      <c r="M101" s="835"/>
      <c r="N101" s="835"/>
      <c r="O101" s="48">
        <f>IF(t&lt;Tnet,'2025'!Resal+('2025'!Salim-'2025'!Resal)*(1-EXP(('2025'!Tnet-t)/('2025'!Tau_j))),Resal+(Salim-Resal)*(1-EXP((Tnet-t)/(Tau_j))))*Salcycl</f>
        <v>4.7574195912548571E-2</v>
      </c>
      <c r="P101" s="334">
        <f>(INDEX(Models!$BJ101:$BT101,,T101)*(1-R101)+INDEX(Models!$BJ101:$BT101,,T101+1)*R101-ERP_i)*Q101*Ramure*Pc/MaxiM</f>
        <v>1.2227155343091489E-4</v>
      </c>
      <c r="Q101" s="301">
        <f t="shared" si="28"/>
        <v>0.5</v>
      </c>
      <c r="R101" s="173">
        <f t="shared" si="29"/>
        <v>1.1673743920767254E-2</v>
      </c>
      <c r="S101" s="801">
        <f t="shared" si="30"/>
        <v>2</v>
      </c>
      <c r="T101" s="172">
        <f t="shared" si="31"/>
        <v>8</v>
      </c>
      <c r="U101" s="247">
        <f t="shared" si="32"/>
        <v>2.0116737439207673</v>
      </c>
      <c r="V101" s="378">
        <f t="shared" si="33"/>
        <v>198.2891359466154</v>
      </c>
      <c r="W101" s="397">
        <f t="shared" si="34"/>
        <v>141.39772795876792</v>
      </c>
      <c r="X101" s="153">
        <f t="shared" si="35"/>
        <v>46109</v>
      </c>
      <c r="Y101" s="380">
        <f t="shared" si="36"/>
        <v>138.80258610487886</v>
      </c>
      <c r="Z101" s="380">
        <f t="shared" si="37"/>
        <v>142.04147219333447</v>
      </c>
      <c r="AA101" s="381">
        <f t="shared" si="38"/>
        <v>151.92487405361246</v>
      </c>
      <c r="AB101" s="193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6.5054533840128437E-2</v>
      </c>
      <c r="AD101" s="227">
        <f>(INDEX(Models!$BJ101:$BT101,,AH101)*(1-AF101)+INDEX(Models!$BJ101:$BT101,,AH101+1)*AF101-ERP_i)*AE101*Ramure*Pc/MaxiM</f>
        <v>1.2227155343091489E-4</v>
      </c>
      <c r="AE101" s="301">
        <f t="shared" si="40"/>
        <v>0.5</v>
      </c>
      <c r="AF101" s="173">
        <f t="shared" si="41"/>
        <v>1.1673743920767254E-2</v>
      </c>
      <c r="AG101" s="801">
        <f t="shared" si="49"/>
        <v>2</v>
      </c>
      <c r="AH101" s="172">
        <f t="shared" si="42"/>
        <v>8</v>
      </c>
      <c r="AI101" s="221">
        <f t="shared" si="43"/>
        <v>2.0116737439207673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46110</v>
      </c>
      <c r="B102" s="406">
        <f>'2025'!Wh/'2025'!Env_an*'2026'!Env_an</f>
        <v>111.18498972954735</v>
      </c>
      <c r="C102" s="831"/>
      <c r="D102" s="388">
        <f t="shared" si="25"/>
        <v>113.78099115006268</v>
      </c>
      <c r="E102" s="380">
        <f t="shared" si="47"/>
        <v>119.46953165806865</v>
      </c>
      <c r="F102" s="380">
        <f t="shared" si="26"/>
        <v>119.47497654736063</v>
      </c>
      <c r="G102" s="110">
        <f t="shared" si="48"/>
        <v>0.55745463407221774</v>
      </c>
      <c r="H102" s="409" t="b">
        <f>Wh_hp&gt;='2025'!Maxi_hp</f>
        <v>0</v>
      </c>
      <c r="I102" s="375">
        <f>IF(H102,Wh_hp,'2025'!Maxi_hp)</f>
        <v>119.48424336256193</v>
      </c>
      <c r="J102" s="85">
        <f>IF(H102,An,'2025'!An_max)</f>
        <v>2022</v>
      </c>
      <c r="K102" s="193">
        <f t="shared" si="27"/>
        <v>46110</v>
      </c>
      <c r="L102" s="143">
        <f>IF(t&lt;Tvie,1-EXP((T0-t)*PertePVj)+'2025'!Pspv,1-EXP((T0-t)*PertePVj)+Pspv)</f>
        <v>2.2815774359809526E-2</v>
      </c>
      <c r="M102" s="835"/>
      <c r="N102" s="835"/>
      <c r="O102" s="48">
        <f>IF(t&lt;Tnet,'2025'!Resal+('2025'!Salim-'2025'!Resal)*(1-EXP(('2025'!Tnet-t)/('2025'!Tau_j))),Resal+(Salim-Resal)*(1-EXP((Tnet-t)/(Tau_j))))*Salcycl</f>
        <v>4.7614989604939782E-2</v>
      </c>
      <c r="P102" s="334">
        <f>(INDEX(Models!$BJ102:$BT102,,T102)*(1-R102)+INDEX(Models!$BJ102:$BT102,,T102+1)*R102-ERP_i)*Q102*Ramure*Pc/MaxiM</f>
        <v>1.2388986460465905E-4</v>
      </c>
      <c r="Q102" s="301">
        <f t="shared" si="28"/>
        <v>0.5</v>
      </c>
      <c r="R102" s="173">
        <f t="shared" si="29"/>
        <v>1.2586526205153437E-2</v>
      </c>
      <c r="S102" s="801">
        <f t="shared" si="30"/>
        <v>2</v>
      </c>
      <c r="T102" s="172">
        <f t="shared" si="31"/>
        <v>8</v>
      </c>
      <c r="U102" s="247">
        <f t="shared" si="32"/>
        <v>2.0125865262051534</v>
      </c>
      <c r="V102" s="378">
        <f t="shared" si="33"/>
        <v>199.43556825969648</v>
      </c>
      <c r="W102" s="397">
        <f t="shared" si="34"/>
        <v>111.18498972954735</v>
      </c>
      <c r="X102" s="153">
        <f t="shared" si="35"/>
        <v>46110</v>
      </c>
      <c r="Y102" s="380">
        <f t="shared" si="36"/>
        <v>109.14628423714547</v>
      </c>
      <c r="Z102" s="380">
        <f t="shared" si="37"/>
        <v>111.69468496653187</v>
      </c>
      <c r="AA102" s="381">
        <f t="shared" si="38"/>
        <v>119.46953165806865</v>
      </c>
      <c r="AB102" s="193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6.5078071234003054E-2</v>
      </c>
      <c r="AD102" s="227">
        <f>(INDEX(Models!$BJ102:$BT102,,AH102)*(1-AF102)+INDEX(Models!$BJ102:$BT102,,AH102+1)*AF102-ERP_i)*AE102*Ramure*Pc/MaxiM</f>
        <v>1.2388986460465905E-4</v>
      </c>
      <c r="AE102" s="301">
        <f t="shared" si="40"/>
        <v>0.5</v>
      </c>
      <c r="AF102" s="173">
        <f t="shared" si="41"/>
        <v>1.2586526205153437E-2</v>
      </c>
      <c r="AG102" s="801">
        <f t="shared" si="49"/>
        <v>2</v>
      </c>
      <c r="AH102" s="172">
        <f t="shared" si="42"/>
        <v>8</v>
      </c>
      <c r="AI102" s="221">
        <f t="shared" si="43"/>
        <v>2.0125865262051534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46111</v>
      </c>
      <c r="B103" s="406">
        <f>'2025'!Wh/'2025'!Env_an*'2026'!Env_an</f>
        <v>29.208553245901161</v>
      </c>
      <c r="C103" s="831"/>
      <c r="D103" s="388">
        <f t="shared" si="25"/>
        <v>29.890937988488847</v>
      </c>
      <c r="E103" s="380">
        <f t="shared" si="47"/>
        <v>31.386707798196472</v>
      </c>
      <c r="F103" s="380">
        <f t="shared" si="26"/>
        <v>31.386707798196472</v>
      </c>
      <c r="G103" s="110">
        <f t="shared" si="48"/>
        <v>0.14561879509919029</v>
      </c>
      <c r="H103" s="409" t="b">
        <f>Wh_hp&gt;='2025'!Maxi_hp</f>
        <v>0</v>
      </c>
      <c r="I103" s="375">
        <f>IF(H103,Wh_hp,'2025'!Maxi_hp)</f>
        <v>31.39060598359443</v>
      </c>
      <c r="J103" s="85">
        <f>IF(H103,An,'2025'!An_max)</f>
        <v>2022</v>
      </c>
      <c r="K103" s="193">
        <f t="shared" si="27"/>
        <v>46111</v>
      </c>
      <c r="L103" s="143">
        <f>IF(t&lt;Tvie,1-EXP((T0-t)*PertePVj)+'2025'!Pspv,1-EXP((T0-t)*PertePVj)+Pspv)</f>
        <v>2.2829151191256614E-2</v>
      </c>
      <c r="M103" s="835"/>
      <c r="N103" s="835"/>
      <c r="O103" s="48">
        <f>IF(t&lt;Tnet,'2025'!Resal+('2025'!Salim-'2025'!Resal)*(1-EXP(('2025'!Tnet-t)/('2025'!Tau_j))),Resal+(Salim-Resal)*(1-EXP((Tnet-t)/(Tau_j))))*Salcycl</f>
        <v>4.7656154934273574E-2</v>
      </c>
      <c r="P103" s="334">
        <f>(INDEX(Models!$BJ103:$BT103,,T103)*(1-R103)+INDEX(Models!$BJ103:$BT103,,T103+1)*R103-ERP_i)*Q103*Ramure*Pc/MaxiM</f>
        <v>1.2546362874089534E-4</v>
      </c>
      <c r="Q103" s="301">
        <f t="shared" si="28"/>
        <v>0.5</v>
      </c>
      <c r="R103" s="173">
        <f t="shared" si="29"/>
        <v>1.353390055677206E-2</v>
      </c>
      <c r="S103" s="801">
        <f t="shared" si="30"/>
        <v>2</v>
      </c>
      <c r="T103" s="172">
        <f t="shared" si="31"/>
        <v>8</v>
      </c>
      <c r="U103" s="247">
        <f t="shared" si="32"/>
        <v>2.0135339005567721</v>
      </c>
      <c r="V103" s="378">
        <f t="shared" si="33"/>
        <v>200.55713697484822</v>
      </c>
      <c r="W103" s="397">
        <f t="shared" si="34"/>
        <v>29.208553245901161</v>
      </c>
      <c r="X103" s="153">
        <f t="shared" si="35"/>
        <v>46111</v>
      </c>
      <c r="Y103" s="380">
        <f t="shared" si="36"/>
        <v>28.673481673651889</v>
      </c>
      <c r="Z103" s="380">
        <f t="shared" si="37"/>
        <v>29.343365808146412</v>
      </c>
      <c r="AA103" s="381">
        <f t="shared" si="38"/>
        <v>31.386707798196472</v>
      </c>
      <c r="AB103" s="193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6.5102144614462246E-2</v>
      </c>
      <c r="AD103" s="227">
        <f>(INDEX(Models!$BJ103:$BT103,,AH103)*(1-AF103)+INDEX(Models!$BJ103:$BT103,,AH103+1)*AF103-ERP_i)*AE103*Ramure*Pc/MaxiM</f>
        <v>1.2546362874089534E-4</v>
      </c>
      <c r="AE103" s="301">
        <f t="shared" si="40"/>
        <v>0.5</v>
      </c>
      <c r="AF103" s="173">
        <f t="shared" si="41"/>
        <v>1.353390055677206E-2</v>
      </c>
      <c r="AG103" s="801">
        <f t="shared" si="49"/>
        <v>2</v>
      </c>
      <c r="AH103" s="172">
        <f t="shared" si="42"/>
        <v>8</v>
      </c>
      <c r="AI103" s="221">
        <f t="shared" si="43"/>
        <v>2.0135339005567721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46112</v>
      </c>
      <c r="B104" s="406">
        <f>'2025'!Wh/'2025'!Env_an*'2026'!Env_an</f>
        <v>84.510690256800729</v>
      </c>
      <c r="C104" s="831"/>
      <c r="D104" s="388">
        <f t="shared" si="25"/>
        <v>86.486254943079572</v>
      </c>
      <c r="E104" s="380">
        <f t="shared" si="47"/>
        <v>90.818068886453844</v>
      </c>
      <c r="F104" s="380">
        <f t="shared" si="26"/>
        <v>90.820031208927873</v>
      </c>
      <c r="G104" s="110">
        <f t="shared" si="48"/>
        <v>0.41905050600663157</v>
      </c>
      <c r="H104" s="409" t="b">
        <f>Wh_hp&gt;='2025'!Maxi_hp</f>
        <v>0</v>
      </c>
      <c r="I104" s="375">
        <f>IF(H104,Wh_hp,'2025'!Maxi_hp)</f>
        <v>90.829501711386541</v>
      </c>
      <c r="J104" s="85">
        <f>IF(H104,An,'2025'!An_max)</f>
        <v>2022</v>
      </c>
      <c r="K104" s="193">
        <f t="shared" si="27"/>
        <v>46112</v>
      </c>
      <c r="L104" s="143">
        <f>IF(t&lt;Tvie,1-EXP((T0-t)*PertePVj)+'2025'!Pspv,1-EXP((T0-t)*PertePVj)+Pspv)</f>
        <v>2.284252783958618E-2</v>
      </c>
      <c r="M104" s="835"/>
      <c r="N104" s="835"/>
      <c r="O104" s="48">
        <f>IF(t&lt;Tnet,'2025'!Resal+('2025'!Salim-'2025'!Resal)*(1-EXP(('2025'!Tnet-t)/('2025'!Tau_j))),Resal+(Salim-Resal)*(1-EXP((Tnet-t)/(Tau_j))))*Salcycl</f>
        <v>4.7697710339890224E-2</v>
      </c>
      <c r="P104" s="334">
        <f>(INDEX(Models!$BJ104:$BT104,,T104)*(1-R104)+INDEX(Models!$BJ104:$BT104,,T104+1)*R104-ERP_i)*Q104*Ramure*Pc/MaxiM</f>
        <v>1.2699728169452803E-4</v>
      </c>
      <c r="Q104" s="301">
        <f t="shared" si="28"/>
        <v>0.5</v>
      </c>
      <c r="R104" s="173">
        <f t="shared" si="29"/>
        <v>1.451702504043606E-2</v>
      </c>
      <c r="S104" s="801">
        <f t="shared" si="30"/>
        <v>2</v>
      </c>
      <c r="T104" s="172">
        <f t="shared" si="31"/>
        <v>8</v>
      </c>
      <c r="U104" s="247">
        <f t="shared" si="32"/>
        <v>2.0145170250404361</v>
      </c>
      <c r="V104" s="378">
        <f t="shared" si="33"/>
        <v>201.650593958299</v>
      </c>
      <c r="W104" s="397">
        <f t="shared" si="34"/>
        <v>84.510690256800729</v>
      </c>
      <c r="X104" s="153">
        <f t="shared" si="35"/>
        <v>46112</v>
      </c>
      <c r="Y104" s="380">
        <f t="shared" si="36"/>
        <v>82.963972810797515</v>
      </c>
      <c r="Z104" s="380">
        <f t="shared" si="37"/>
        <v>84.903380646899294</v>
      </c>
      <c r="AA104" s="381">
        <f t="shared" si="38"/>
        <v>90.818068886453844</v>
      </c>
      <c r="AB104" s="193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6.5126778317092932E-2</v>
      </c>
      <c r="AD104" s="227">
        <f>(INDEX(Models!$BJ104:$BT104,,AH104)*(1-AF104)+INDEX(Models!$BJ104:$BT104,,AH104+1)*AF104-ERP_i)*AE104*Ramure*Pc/MaxiM</f>
        <v>1.2699728169452803E-4</v>
      </c>
      <c r="AE104" s="301">
        <f t="shared" si="40"/>
        <v>0.5</v>
      </c>
      <c r="AF104" s="173">
        <f t="shared" si="41"/>
        <v>1.451702504043606E-2</v>
      </c>
      <c r="AG104" s="801">
        <f t="shared" si="49"/>
        <v>2</v>
      </c>
      <c r="AH104" s="172">
        <f t="shared" si="42"/>
        <v>8</v>
      </c>
      <c r="AI104" s="221">
        <f t="shared" si="43"/>
        <v>2.0145170250404361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46113</v>
      </c>
      <c r="B105" s="406">
        <f>'2025'!Wh/'2025'!Env_an*'2026'!Env_an</f>
        <v>143.45238382838861</v>
      </c>
      <c r="C105" s="831"/>
      <c r="D105" s="388">
        <f t="shared" si="25"/>
        <v>146.80780906354235</v>
      </c>
      <c r="E105" s="380">
        <f t="shared" si="47"/>
        <v>154.16772604898418</v>
      </c>
      <c r="F105" s="380">
        <f t="shared" si="26"/>
        <v>154.17926368301264</v>
      </c>
      <c r="G105" s="110">
        <f t="shared" si="48"/>
        <v>0.70762557548757754</v>
      </c>
      <c r="H105" s="409" t="b">
        <f>Wh_hp&gt;='2025'!Maxi_hp</f>
        <v>0</v>
      </c>
      <c r="I105" s="375">
        <f>IF(H105,Wh_hp,'2025'!Maxi_hp)</f>
        <v>154.18744589130031</v>
      </c>
      <c r="J105" s="85">
        <f>IF(H105,An,'2025'!An_max)</f>
        <v>2022</v>
      </c>
      <c r="K105" s="193">
        <f t="shared" si="27"/>
        <v>46113</v>
      </c>
      <c r="L105" s="143">
        <f>IF(t&lt;Tvie,1-EXP((T0-t)*PertePVj)+'2025'!Pspv,1-EXP((T0-t)*PertePVj)+Pspv)</f>
        <v>2.2855904304800556E-2</v>
      </c>
      <c r="M105" s="835"/>
      <c r="N105" s="835"/>
      <c r="O105" s="48">
        <f>IF(t&lt;Tnet,'2025'!Resal+('2025'!Salim-'2025'!Resal)*(1-EXP(('2025'!Tnet-t)/('2025'!Tau_j))),Resal+(Salim-Resal)*(1-EXP((Tnet-t)/(Tau_j))))*Salcycl</f>
        <v>4.7739674016488619E-2</v>
      </c>
      <c r="P105" s="334">
        <f>(INDEX(Models!$BJ105:$BT105,,T105)*(1-R105)+INDEX(Models!$BJ105:$BT105,,T105+1)*R105-ERP_i)*Q105*Ramure*Pc/MaxiM</f>
        <v>1.2849521226636221E-4</v>
      </c>
      <c r="Q105" s="301">
        <f t="shared" si="28"/>
        <v>0.5</v>
      </c>
      <c r="R105" s="173">
        <f t="shared" si="29"/>
        <v>1.5537084109721544E-2</v>
      </c>
      <c r="S105" s="801">
        <f t="shared" si="30"/>
        <v>2</v>
      </c>
      <c r="T105" s="172">
        <f t="shared" si="31"/>
        <v>8</v>
      </c>
      <c r="U105" s="247">
        <f t="shared" si="32"/>
        <v>2.0155370841097215</v>
      </c>
      <c r="V105" s="378">
        <f t="shared" si="33"/>
        <v>202.71269183951117</v>
      </c>
      <c r="W105" s="397">
        <f t="shared" si="34"/>
        <v>143.45238382838861</v>
      </c>
      <c r="X105" s="153">
        <f t="shared" si="35"/>
        <v>46113</v>
      </c>
      <c r="Y105" s="380">
        <f t="shared" si="36"/>
        <v>140.8293205008859</v>
      </c>
      <c r="Z105" s="380">
        <f t="shared" si="37"/>
        <v>144.12339093211364</v>
      </c>
      <c r="AA105" s="381">
        <f t="shared" si="38"/>
        <v>154.16772604898418</v>
      </c>
      <c r="AB105" s="193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6.5151996298363532E-2</v>
      </c>
      <c r="AD105" s="227">
        <f>(INDEX(Models!$BJ105:$BT105,,AH105)*(1-AF105)+INDEX(Models!$BJ105:$BT105,,AH105+1)*AF105-ERP_i)*AE105*Ramure*Pc/MaxiM</f>
        <v>1.2849521226636221E-4</v>
      </c>
      <c r="AE105" s="301">
        <f t="shared" si="40"/>
        <v>0.5</v>
      </c>
      <c r="AF105" s="173">
        <f t="shared" si="41"/>
        <v>1.5537084109721544E-2</v>
      </c>
      <c r="AG105" s="801">
        <f t="shared" si="49"/>
        <v>2</v>
      </c>
      <c r="AH105" s="172">
        <f t="shared" si="42"/>
        <v>8</v>
      </c>
      <c r="AI105" s="221">
        <f t="shared" si="43"/>
        <v>2.0155370841097215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46114</v>
      </c>
      <c r="B106" s="406">
        <f>'2025'!Wh/'2025'!Env_an*'2026'!Env_an</f>
        <v>70.174778880223556</v>
      </c>
      <c r="C106" s="831"/>
      <c r="D106" s="388">
        <f t="shared" si="25"/>
        <v>71.817186263853458</v>
      </c>
      <c r="E106" s="380">
        <f t="shared" si="47"/>
        <v>75.420955160743929</v>
      </c>
      <c r="F106" s="380">
        <f t="shared" si="26"/>
        <v>75.421577340275604</v>
      </c>
      <c r="G106" s="110">
        <f t="shared" si="48"/>
        <v>0.3443907641155341</v>
      </c>
      <c r="H106" s="409" t="b">
        <f>Wh_hp&gt;='2025'!Maxi_hp</f>
        <v>0</v>
      </c>
      <c r="I106" s="375">
        <f>IF(H106,Wh_hp,'2025'!Maxi_hp)</f>
        <v>75.430650895015674</v>
      </c>
      <c r="J106" s="85">
        <f>IF(H106,An,'2025'!An_max)</f>
        <v>2022</v>
      </c>
      <c r="K106" s="193">
        <f t="shared" si="27"/>
        <v>46114</v>
      </c>
      <c r="L106" s="143">
        <f>IF(t&lt;Tvie,1-EXP((T0-t)*PertePVj)+'2025'!Pspv,1-EXP((T0-t)*PertePVj)+Pspv)</f>
        <v>2.2869280586902407E-2</v>
      </c>
      <c r="M106" s="835"/>
      <c r="N106" s="835"/>
      <c r="O106" s="48">
        <f>IF(t&lt;Tnet,'2025'!Resal+('2025'!Salim-'2025'!Resal)*(1-EXP(('2025'!Tnet-t)/('2025'!Tau_j))),Resal+(Salim-Resal)*(1-EXP((Tnet-t)/(Tau_j))))*Salcycl</f>
        <v>4.7782063873492382E-2</v>
      </c>
      <c r="P106" s="334">
        <f>(INDEX(Models!$BJ106:$BT106,,T106)*(1-R106)+INDEX(Models!$BJ106:$BT106,,T106+1)*R106-ERP_i)*Q106*Ramure*Pc/MaxiM</f>
        <v>1.2996175859354277E-4</v>
      </c>
      <c r="Q106" s="301">
        <f t="shared" si="28"/>
        <v>0.5</v>
      </c>
      <c r="R106" s="173">
        <f t="shared" si="29"/>
        <v>1.659528815916067E-2</v>
      </c>
      <c r="S106" s="801">
        <f t="shared" si="30"/>
        <v>2</v>
      </c>
      <c r="T106" s="172">
        <f t="shared" si="31"/>
        <v>8</v>
      </c>
      <c r="U106" s="247">
        <f t="shared" si="32"/>
        <v>2.0165952881591607</v>
      </c>
      <c r="V106" s="378">
        <f t="shared" si="33"/>
        <v>203.74018405839121</v>
      </c>
      <c r="W106" s="397">
        <f t="shared" si="34"/>
        <v>70.174778880223556</v>
      </c>
      <c r="X106" s="153">
        <f t="shared" si="35"/>
        <v>46114</v>
      </c>
      <c r="Y106" s="380">
        <f t="shared" si="36"/>
        <v>68.892778784055167</v>
      </c>
      <c r="Z106" s="380">
        <f t="shared" si="37"/>
        <v>70.505181564074491</v>
      </c>
      <c r="AA106" s="381">
        <f t="shared" si="38"/>
        <v>75.420955160743929</v>
      </c>
      <c r="AB106" s="193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6.5177822081310066E-2</v>
      </c>
      <c r="AD106" s="227">
        <f>(INDEX(Models!$BJ106:$BT106,,AH106)*(1-AF106)+INDEX(Models!$BJ106:$BT106,,AH106+1)*AF106-ERP_i)*AE106*Ramure*Pc/MaxiM</f>
        <v>1.2996175859354277E-4</v>
      </c>
      <c r="AE106" s="301">
        <f t="shared" si="40"/>
        <v>0.5</v>
      </c>
      <c r="AF106" s="173">
        <f t="shared" si="41"/>
        <v>1.659528815916067E-2</v>
      </c>
      <c r="AG106" s="801">
        <f t="shared" si="49"/>
        <v>2</v>
      </c>
      <c r="AH106" s="172">
        <f t="shared" si="42"/>
        <v>8</v>
      </c>
      <c r="AI106" s="221">
        <f t="shared" si="43"/>
        <v>2.0165952881591607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46115</v>
      </c>
      <c r="B107" s="406">
        <f>'2025'!Wh/'2025'!Env_an*'2026'!Env_an</f>
        <v>112.65274613183254</v>
      </c>
      <c r="C107" s="831"/>
      <c r="D107" s="388">
        <f t="shared" si="25"/>
        <v>115.29090840793621</v>
      </c>
      <c r="E107" s="380">
        <f t="shared" si="47"/>
        <v>121.08162469777625</v>
      </c>
      <c r="F107" s="380">
        <f t="shared" si="26"/>
        <v>121.08731232818653</v>
      </c>
      <c r="G107" s="110">
        <f t="shared" si="48"/>
        <v>0.55018688739752253</v>
      </c>
      <c r="H107" s="409" t="b">
        <f>Wh_hp&gt;='2025'!Maxi_hp</f>
        <v>0</v>
      </c>
      <c r="I107" s="375">
        <f>IF(H107,Wh_hp,'2025'!Maxi_hp)</f>
        <v>121.09741152575187</v>
      </c>
      <c r="J107" s="85">
        <f>IF(H107,An,'2025'!An_max)</f>
        <v>2022</v>
      </c>
      <c r="K107" s="193">
        <f t="shared" si="27"/>
        <v>46115</v>
      </c>
      <c r="L107" s="143">
        <f>IF(t&lt;Tvie,1-EXP((T0-t)*PertePVj)+'2025'!Pspv,1-EXP((T0-t)*PertePVj)+Pspv)</f>
        <v>2.2882656685894176E-2</v>
      </c>
      <c r="M107" s="835"/>
      <c r="N107" s="835"/>
      <c r="O107" s="48">
        <f>IF(t&lt;Tnet,'2025'!Resal+('2025'!Salim-'2025'!Resal)*(1-EXP(('2025'!Tnet-t)/('2025'!Tau_j))),Resal+(Salim-Resal)*(1-EXP((Tnet-t)/(Tau_j))))*Salcycl</f>
        <v>4.782489749616306E-2</v>
      </c>
      <c r="P107" s="334">
        <f>(INDEX(Models!$BJ107:$BT107,,T107)*(1-R107)+INDEX(Models!$BJ107:$BT107,,T107+1)*R107-ERP_i)*Q107*Ramure*Pc/MaxiM</f>
        <v>1.3139704223853074E-4</v>
      </c>
      <c r="Q107" s="301">
        <f t="shared" si="28"/>
        <v>0.5</v>
      </c>
      <c r="R107" s="173">
        <f t="shared" si="29"/>
        <v>1.769287296397426E-2</v>
      </c>
      <c r="S107" s="801">
        <f t="shared" si="30"/>
        <v>2</v>
      </c>
      <c r="T107" s="172">
        <f t="shared" si="31"/>
        <v>8</v>
      </c>
      <c r="U107" s="247">
        <f t="shared" si="32"/>
        <v>2.0176928729639743</v>
      </c>
      <c r="V107" s="378">
        <f t="shared" si="33"/>
        <v>204.73631319712709</v>
      </c>
      <c r="W107" s="397">
        <f t="shared" si="34"/>
        <v>112.65274613183254</v>
      </c>
      <c r="X107" s="153">
        <f t="shared" si="35"/>
        <v>46115</v>
      </c>
      <c r="Y107" s="380">
        <f t="shared" si="36"/>
        <v>110.59657493605214</v>
      </c>
      <c r="Z107" s="380">
        <f t="shared" si="37"/>
        <v>113.18658469507851</v>
      </c>
      <c r="AA107" s="381">
        <f t="shared" si="38"/>
        <v>121.08162469777625</v>
      </c>
      <c r="AB107" s="193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6.5204278703758875E-2</v>
      </c>
      <c r="AD107" s="227">
        <f>(INDEX(Models!$BJ107:$BT107,,AH107)*(1-AF107)+INDEX(Models!$BJ107:$BT107,,AH107+1)*AF107-ERP_i)*AE107*Ramure*Pc/MaxiM</f>
        <v>1.3139704223853074E-4</v>
      </c>
      <c r="AE107" s="301">
        <f t="shared" si="40"/>
        <v>0.5</v>
      </c>
      <c r="AF107" s="173">
        <f t="shared" si="41"/>
        <v>1.769287296397426E-2</v>
      </c>
      <c r="AG107" s="801">
        <f t="shared" si="49"/>
        <v>2</v>
      </c>
      <c r="AH107" s="172">
        <f t="shared" si="42"/>
        <v>8</v>
      </c>
      <c r="AI107" s="221">
        <f t="shared" si="43"/>
        <v>2.0176928729639743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46116</v>
      </c>
      <c r="B108" s="406">
        <f>'2025'!Wh/'2025'!Env_an*'2026'!Env_an</f>
        <v>171.8724805671547</v>
      </c>
      <c r="C108" s="831"/>
      <c r="D108" s="388">
        <f t="shared" si="25"/>
        <v>175.89989018753778</v>
      </c>
      <c r="E108" s="380">
        <f t="shared" si="47"/>
        <v>184.7432138382579</v>
      </c>
      <c r="F108" s="380">
        <f t="shared" si="26"/>
        <v>184.76200325735192</v>
      </c>
      <c r="G108" s="110">
        <f t="shared" si="48"/>
        <v>0.83549488229882507</v>
      </c>
      <c r="H108" s="409" t="b">
        <f>Wh_hp&gt;='2025'!Maxi_hp</f>
        <v>0</v>
      </c>
      <c r="I108" s="375">
        <f>IF(H108,Wh_hp,'2025'!Maxi_hp)</f>
        <v>184.76770122417531</v>
      </c>
      <c r="J108" s="85">
        <f>IF(H108,An,'2025'!An_max)</f>
        <v>2022</v>
      </c>
      <c r="K108" s="193">
        <f t="shared" si="27"/>
        <v>46116</v>
      </c>
      <c r="L108" s="143">
        <f>IF(t&lt;Tvie,1-EXP((T0-t)*PertePVj)+'2025'!Pspv,1-EXP((T0-t)*PertePVj)+Pspv)</f>
        <v>2.2896032601778304E-2</v>
      </c>
      <c r="M108" s="835"/>
      <c r="N108" s="835"/>
      <c r="O108" s="48">
        <f>IF(t&lt;Tnet,'2025'!Resal+('2025'!Salim-'2025'!Resal)*(1-EXP(('2025'!Tnet-t)/('2025'!Tau_j))),Resal+(Salim-Resal)*(1-EXP((Tnet-t)/(Tau_j))))*Salcycl</f>
        <v>4.7868192108330626E-2</v>
      </c>
      <c r="P108" s="334">
        <f>(INDEX(Models!$BJ108:$BT108,,T108)*(1-R108)+INDEX(Models!$BJ108:$BT108,,T108+1)*R108-ERP_i)*Q108*Ramure*Pc/MaxiM</f>
        <v>1.3292976579556322E-4</v>
      </c>
      <c r="Q108" s="301">
        <f t="shared" si="28"/>
        <v>0.5</v>
      </c>
      <c r="R108" s="173">
        <f t="shared" si="29"/>
        <v>1.8831098998826956E-2</v>
      </c>
      <c r="S108" s="801">
        <f t="shared" si="30"/>
        <v>2</v>
      </c>
      <c r="T108" s="172">
        <f t="shared" si="31"/>
        <v>8</v>
      </c>
      <c r="U108" s="247">
        <f t="shared" si="32"/>
        <v>2.018831098998827</v>
      </c>
      <c r="V108" s="378">
        <f t="shared" si="33"/>
        <v>205.70695920420658</v>
      </c>
      <c r="W108" s="397">
        <f t="shared" si="34"/>
        <v>171.8724805671547</v>
      </c>
      <c r="X108" s="153">
        <f t="shared" si="35"/>
        <v>46116</v>
      </c>
      <c r="Y108" s="380">
        <f t="shared" si="36"/>
        <v>168.73819218533058</v>
      </c>
      <c r="Z108" s="380">
        <f t="shared" si="37"/>
        <v>172.69215745243292</v>
      </c>
      <c r="AA108" s="381">
        <f t="shared" si="38"/>
        <v>184.7432138382579</v>
      </c>
      <c r="AB108" s="193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6.5231388668899312E-2</v>
      </c>
      <c r="AD108" s="227">
        <f>(INDEX(Models!$BJ108:$BT108,,AH108)*(1-AF108)+INDEX(Models!$BJ108:$BT108,,AH108+1)*AF108-ERP_i)*AE108*Ramure*Pc/MaxiM</f>
        <v>1.3292976579556322E-4</v>
      </c>
      <c r="AE108" s="301">
        <f t="shared" si="40"/>
        <v>0.5</v>
      </c>
      <c r="AF108" s="173">
        <f t="shared" si="41"/>
        <v>1.8831098998826956E-2</v>
      </c>
      <c r="AG108" s="801">
        <f t="shared" si="49"/>
        <v>2</v>
      </c>
      <c r="AH108" s="172">
        <f t="shared" si="42"/>
        <v>8</v>
      </c>
      <c r="AI108" s="221">
        <f t="shared" si="43"/>
        <v>2.018831098998827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46117</v>
      </c>
      <c r="B109" s="406">
        <f>'2025'!Wh/'2025'!Env_an*'2026'!Env_an</f>
        <v>210.5892966921522</v>
      </c>
      <c r="C109" s="831"/>
      <c r="D109" s="388">
        <f t="shared" si="25"/>
        <v>215.5268902274502</v>
      </c>
      <c r="E109" s="380">
        <f t="shared" si="47"/>
        <v>226.37285860077458</v>
      </c>
      <c r="F109" s="380">
        <f t="shared" si="26"/>
        <v>226.40334911043365</v>
      </c>
      <c r="G109" s="110">
        <f t="shared" si="48"/>
        <v>1.0190486017817741</v>
      </c>
      <c r="H109" s="409" t="b">
        <f>Wh_hp&gt;='2025'!Maxi_hp</f>
        <v>1</v>
      </c>
      <c r="I109" s="375">
        <f>IF(H109,Wh_hp,'2025'!Maxi_hp)</f>
        <v>226.40334911043365</v>
      </c>
      <c r="J109" s="85">
        <f>IF(H109,An,'2025'!An_max)</f>
        <v>2026</v>
      </c>
      <c r="K109" s="193">
        <f t="shared" si="27"/>
        <v>46117</v>
      </c>
      <c r="L109" s="143">
        <f>IF(t&lt;Tvie,1-EXP((T0-t)*PertePVj)+'2025'!Pspv,1-EXP((T0-t)*PertePVj)+Pspv)</f>
        <v>2.2909408334557457E-2</v>
      </c>
      <c r="M109" s="835"/>
      <c r="N109" s="835"/>
      <c r="O109" s="48">
        <f>IF(t&lt;Tnet,'2025'!Resal+('2025'!Salim-'2025'!Resal)*(1-EXP(('2025'!Tnet-t)/('2025'!Tau_j))),Resal+(Salim-Resal)*(1-EXP((Tnet-t)/(Tau_j))))*Salcycl</f>
        <v>4.7911964536579366E-2</v>
      </c>
      <c r="P109" s="334">
        <f>(INDEX(Models!$BJ109:$BT109,,T109)*(1-R109)+INDEX(Models!$BJ109:$BT109,,T109+1)*R109-ERP_i)*Q109*Ramure*Pc/MaxiM</f>
        <v>1.3467340381164358E-4</v>
      </c>
      <c r="Q109" s="301">
        <f t="shared" si="28"/>
        <v>0.5</v>
      </c>
      <c r="R109" s="173">
        <f t="shared" si="29"/>
        <v>2.0011250626845722E-2</v>
      </c>
      <c r="S109" s="801">
        <f t="shared" si="30"/>
        <v>2</v>
      </c>
      <c r="T109" s="172">
        <f t="shared" si="31"/>
        <v>8</v>
      </c>
      <c r="U109" s="247">
        <f t="shared" si="32"/>
        <v>2.0200112506268457</v>
      </c>
      <c r="V109" s="378">
        <f t="shared" si="33"/>
        <v>206.65284886701528</v>
      </c>
      <c r="W109" s="397">
        <f t="shared" si="34"/>
        <v>210.5892966921522</v>
      </c>
      <c r="X109" s="153">
        <f t="shared" si="35"/>
        <v>46117</v>
      </c>
      <c r="Y109" s="380">
        <f t="shared" si="36"/>
        <v>206.75232313202318</v>
      </c>
      <c r="Z109" s="380">
        <f t="shared" si="37"/>
        <v>211.59995285556442</v>
      </c>
      <c r="AA109" s="381">
        <f t="shared" si="38"/>
        <v>226.37285860077458</v>
      </c>
      <c r="AB109" s="193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6.5259173897977182E-2</v>
      </c>
      <c r="AD109" s="227">
        <f>(INDEX(Models!$BJ109:$BT109,,AH109)*(1-AF109)+INDEX(Models!$BJ109:$BT109,,AH109+1)*AF109-ERP_i)*AE109*Ramure*Pc/MaxiM</f>
        <v>1.3467340381164358E-4</v>
      </c>
      <c r="AE109" s="301">
        <f t="shared" si="40"/>
        <v>0.5</v>
      </c>
      <c r="AF109" s="173">
        <f t="shared" si="41"/>
        <v>2.0011250626845722E-2</v>
      </c>
      <c r="AG109" s="801">
        <f t="shared" si="49"/>
        <v>2</v>
      </c>
      <c r="AH109" s="172">
        <f t="shared" si="42"/>
        <v>8</v>
      </c>
      <c r="AI109" s="221">
        <f t="shared" si="43"/>
        <v>2.0200112506268457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46118</v>
      </c>
      <c r="B110" s="406">
        <f>'2025'!Wh/'2025'!Env_an*'2026'!Env_an</f>
        <v>52.28491676576224</v>
      </c>
      <c r="C110" s="831"/>
      <c r="D110" s="388">
        <f t="shared" si="25"/>
        <v>53.511550472554902</v>
      </c>
      <c r="E110" s="380">
        <f t="shared" si="47"/>
        <v>56.207027685961798</v>
      </c>
      <c r="F110" s="380">
        <f t="shared" si="26"/>
        <v>56.207027685961798</v>
      </c>
      <c r="G110" s="110">
        <f t="shared" si="48"/>
        <v>0.25185037055067488</v>
      </c>
      <c r="H110" s="409" t="b">
        <f>Wh_hp&gt;='2025'!Maxi_hp</f>
        <v>0</v>
      </c>
      <c r="I110" s="375">
        <f>IF(H110,Wh_hp,'2025'!Maxi_hp)</f>
        <v>56.214601212449267</v>
      </c>
      <c r="J110" s="85">
        <f>IF(H110,An,'2025'!An_max)</f>
        <v>2022</v>
      </c>
      <c r="K110" s="193">
        <f t="shared" si="27"/>
        <v>46118</v>
      </c>
      <c r="L110" s="143">
        <f>IF(t&lt;Tvie,1-EXP((T0-t)*PertePVj)+'2025'!Pspv,1-EXP((T0-t)*PertePVj)+Pspv)</f>
        <v>2.2922783884234077E-2</v>
      </c>
      <c r="M110" s="835"/>
      <c r="N110" s="835"/>
      <c r="O110" s="48">
        <f>IF(t&lt;Tnet,'2025'!Resal+('2025'!Salim-'2025'!Resal)*(1-EXP(('2025'!Tnet-t)/('2025'!Tau_j))),Resal+(Salim-Resal)*(1-EXP((Tnet-t)/(Tau_j))))*Salcycl</f>
        <v>4.7956231175698902E-2</v>
      </c>
      <c r="P110" s="334">
        <f>(INDEX(Models!$BJ110:$BT110,,T110)*(1-R110)+INDEX(Models!$BJ110:$BT110,,T110+1)*R110-ERP_i)*Q110*Ramure*Pc/MaxiM</f>
        <v>1.3662825057196348E-4</v>
      </c>
      <c r="Q110" s="301">
        <f t="shared" si="28"/>
        <v>0.5</v>
      </c>
      <c r="R110" s="173">
        <f t="shared" si="29"/>
        <v>2.1234635149885772E-2</v>
      </c>
      <c r="S110" s="801">
        <f t="shared" si="30"/>
        <v>2</v>
      </c>
      <c r="T110" s="172">
        <f t="shared" si="31"/>
        <v>8</v>
      </c>
      <c r="U110" s="247">
        <f t="shared" si="32"/>
        <v>2.0212346351498858</v>
      </c>
      <c r="V110" s="378">
        <f t="shared" si="33"/>
        <v>207.57473199164667</v>
      </c>
      <c r="W110" s="397">
        <f t="shared" si="34"/>
        <v>52.28491676576224</v>
      </c>
      <c r="X110" s="153">
        <f t="shared" si="35"/>
        <v>46118</v>
      </c>
      <c r="Y110" s="380">
        <f t="shared" si="36"/>
        <v>51.333099089342099</v>
      </c>
      <c r="Z110" s="380">
        <f t="shared" si="37"/>
        <v>52.537402615332354</v>
      </c>
      <c r="AA110" s="381">
        <f t="shared" si="38"/>
        <v>56.207027685961798</v>
      </c>
      <c r="AB110" s="193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6.5287655684841836E-2</v>
      </c>
      <c r="AD110" s="227">
        <f>(INDEX(Models!$BJ110:$BT110,,AH110)*(1-AF110)+INDEX(Models!$BJ110:$BT110,,AH110+1)*AF110-ERP_i)*AE110*Ramure*Pc/MaxiM</f>
        <v>1.3662825057196348E-4</v>
      </c>
      <c r="AE110" s="301">
        <f t="shared" si="40"/>
        <v>0.5</v>
      </c>
      <c r="AF110" s="173">
        <f t="shared" si="41"/>
        <v>2.1234635149885772E-2</v>
      </c>
      <c r="AG110" s="801">
        <f t="shared" si="49"/>
        <v>2</v>
      </c>
      <c r="AH110" s="172">
        <f t="shared" si="42"/>
        <v>8</v>
      </c>
      <c r="AI110" s="221">
        <f t="shared" si="43"/>
        <v>2.0212346351498858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46119</v>
      </c>
      <c r="B111" s="406">
        <f>'2025'!Wh/'2025'!Env_an*'2026'!Env_an</f>
        <v>160.68452349637914</v>
      </c>
      <c r="C111" s="831"/>
      <c r="D111" s="388">
        <f t="shared" si="25"/>
        <v>164.4565245329006</v>
      </c>
      <c r="E111" s="380">
        <f t="shared" si="47"/>
        <v>172.74863304178706</v>
      </c>
      <c r="F111" s="380">
        <f t="shared" si="26"/>
        <v>172.76475943654927</v>
      </c>
      <c r="G111" s="110">
        <f t="shared" si="48"/>
        <v>0.77073262863255221</v>
      </c>
      <c r="H111" s="409" t="b">
        <f>Wh_hp&gt;='2025'!Maxi_hp</f>
        <v>0</v>
      </c>
      <c r="I111" s="375">
        <f>IF(H111,Wh_hp,'2025'!Maxi_hp)</f>
        <v>172.77249888027328</v>
      </c>
      <c r="J111" s="85">
        <f>IF(H111,An,'2025'!An_max)</f>
        <v>2022</v>
      </c>
      <c r="K111" s="193">
        <f t="shared" si="27"/>
        <v>46119</v>
      </c>
      <c r="L111" s="143">
        <f>IF(t&lt;Tvie,1-EXP((T0-t)*PertePVj)+'2025'!Pspv,1-EXP((T0-t)*PertePVj)+Pspv)</f>
        <v>2.2936159250810606E-2</v>
      </c>
      <c r="M111" s="835"/>
      <c r="N111" s="835"/>
      <c r="O111" s="48">
        <f>IF(t&lt;Tnet,'2025'!Resal+('2025'!Salim-'2025'!Resal)*(1-EXP(('2025'!Tnet-t)/('2025'!Tau_j))),Resal+(Salim-Resal)*(1-EXP((Tnet-t)/(Tau_j))))*Salcycl</f>
        <v>4.8001007955186678E-2</v>
      </c>
      <c r="P111" s="334">
        <f>(INDEX(Models!$BJ111:$BT111,,T111)*(1-R111)+INDEX(Models!$BJ111:$BT111,,T111+1)*R111-ERP_i)*Q111*Ramure*Pc/MaxiM</f>
        <v>1.3879491074410657E-4</v>
      </c>
      <c r="Q111" s="301">
        <f t="shared" si="28"/>
        <v>0.5</v>
      </c>
      <c r="R111" s="173">
        <f t="shared" si="29"/>
        <v>2.2502581710834857E-2</v>
      </c>
      <c r="S111" s="801">
        <f t="shared" si="30"/>
        <v>2</v>
      </c>
      <c r="T111" s="172">
        <f t="shared" si="31"/>
        <v>8</v>
      </c>
      <c r="U111" s="247">
        <f t="shared" si="32"/>
        <v>2.0225025817108349</v>
      </c>
      <c r="V111" s="378">
        <f t="shared" si="33"/>
        <v>208.47335825642324</v>
      </c>
      <c r="W111" s="397">
        <f t="shared" si="34"/>
        <v>160.68452349637914</v>
      </c>
      <c r="X111" s="153">
        <f t="shared" si="35"/>
        <v>46119</v>
      </c>
      <c r="Y111" s="380">
        <f t="shared" si="36"/>
        <v>157.76184332689144</v>
      </c>
      <c r="Z111" s="380">
        <f t="shared" si="37"/>
        <v>161.4652356860565</v>
      </c>
      <c r="AA111" s="381">
        <f t="shared" si="38"/>
        <v>172.74863304178706</v>
      </c>
      <c r="AB111" s="193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6.531685465204902E-2</v>
      </c>
      <c r="AD111" s="227">
        <f>(INDEX(Models!$BJ111:$BT111,,AH111)*(1-AF111)+INDEX(Models!$BJ111:$BT111,,AH111+1)*AF111-ERP_i)*AE111*Ramure*Pc/MaxiM</f>
        <v>1.3879491074410657E-4</v>
      </c>
      <c r="AE111" s="301">
        <f t="shared" si="40"/>
        <v>0.5</v>
      </c>
      <c r="AF111" s="173">
        <f t="shared" si="41"/>
        <v>2.2502581710834857E-2</v>
      </c>
      <c r="AG111" s="801">
        <f t="shared" si="49"/>
        <v>2</v>
      </c>
      <c r="AH111" s="172">
        <f t="shared" si="42"/>
        <v>8</v>
      </c>
      <c r="AI111" s="221">
        <f t="shared" si="43"/>
        <v>2.0225025817108349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46120</v>
      </c>
      <c r="B112" s="406">
        <f>'2025'!Wh/'2025'!Env_an*'2026'!Env_an</f>
        <v>127.89470965455725</v>
      </c>
      <c r="C112" s="831"/>
      <c r="D112" s="388">
        <f t="shared" si="25"/>
        <v>130.89877561289165</v>
      </c>
      <c r="E112" s="380">
        <f t="shared" si="47"/>
        <v>137.5054028679132</v>
      </c>
      <c r="F112" s="380">
        <f t="shared" si="26"/>
        <v>137.51402562344521</v>
      </c>
      <c r="G112" s="110">
        <f t="shared" si="48"/>
        <v>0.61086693331368636</v>
      </c>
      <c r="H112" s="409" t="b">
        <f>Wh_hp&gt;='2025'!Maxi_hp</f>
        <v>0</v>
      </c>
      <c r="I112" s="375">
        <f>IF(H112,Wh_hp,'2025'!Maxi_hp)</f>
        <v>137.5246543062388</v>
      </c>
      <c r="J112" s="85">
        <f>IF(H112,An,'2025'!An_max)</f>
        <v>2022</v>
      </c>
      <c r="K112" s="193">
        <f t="shared" si="27"/>
        <v>46120</v>
      </c>
      <c r="L112" s="143">
        <f>IF(t&lt;Tvie,1-EXP((T0-t)*PertePVj)+'2025'!Pspv,1-EXP((T0-t)*PertePVj)+Pspv)</f>
        <v>2.2949534434289709E-2</v>
      </c>
      <c r="M112" s="835"/>
      <c r="N112" s="835"/>
      <c r="O112" s="48">
        <f>IF(t&lt;Tnet,'2025'!Resal+('2025'!Salim-'2025'!Resal)*(1-EXP(('2025'!Tnet-t)/('2025'!Tau_j))),Resal+(Salim-Resal)*(1-EXP((Tnet-t)/(Tau_j))))*Salcycl</f>
        <v>4.8046310306569154E-2</v>
      </c>
      <c r="P112" s="334">
        <f>(INDEX(Models!$BJ112:$BT112,,T112)*(1-R112)+INDEX(Models!$BJ112:$BT112,,T112+1)*R112-ERP_i)*Q112*Ramure*Pc/MaxiM</f>
        <v>1.4117429174728043E-4</v>
      </c>
      <c r="Q112" s="301">
        <f t="shared" si="28"/>
        <v>0.5</v>
      </c>
      <c r="R112" s="173">
        <f t="shared" si="29"/>
        <v>2.3816440038578524E-2</v>
      </c>
      <c r="S112" s="801">
        <f t="shared" si="30"/>
        <v>2</v>
      </c>
      <c r="T112" s="172">
        <f t="shared" si="31"/>
        <v>8</v>
      </c>
      <c r="U112" s="247">
        <f t="shared" si="32"/>
        <v>2.0238164400385785</v>
      </c>
      <c r="V112" s="378">
        <f t="shared" si="33"/>
        <v>209.34947725370151</v>
      </c>
      <c r="W112" s="397">
        <f t="shared" si="34"/>
        <v>127.89470965455725</v>
      </c>
      <c r="X112" s="153">
        <f t="shared" si="35"/>
        <v>46120</v>
      </c>
      <c r="Y112" s="380">
        <f t="shared" si="36"/>
        <v>125.57039499323885</v>
      </c>
      <c r="Z112" s="380">
        <f t="shared" si="37"/>
        <v>128.51986608545735</v>
      </c>
      <c r="AA112" s="381">
        <f t="shared" si="38"/>
        <v>137.5054028679132</v>
      </c>
      <c r="AB112" s="193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6.5346790708197183E-2</v>
      </c>
      <c r="AD112" s="227">
        <f>(INDEX(Models!$BJ112:$BT112,,AH112)*(1-AF112)+INDEX(Models!$BJ112:$BT112,,AH112+1)*AF112-ERP_i)*AE112*Ramure*Pc/MaxiM</f>
        <v>1.4117429174728043E-4</v>
      </c>
      <c r="AE112" s="301">
        <f t="shared" si="40"/>
        <v>0.5</v>
      </c>
      <c r="AF112" s="173">
        <f t="shared" si="41"/>
        <v>2.3816440038578524E-2</v>
      </c>
      <c r="AG112" s="801">
        <f t="shared" si="49"/>
        <v>2</v>
      </c>
      <c r="AH112" s="172">
        <f t="shared" si="42"/>
        <v>8</v>
      </c>
      <c r="AI112" s="221">
        <f t="shared" si="43"/>
        <v>2.0238164400385785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46121</v>
      </c>
      <c r="B113" s="406">
        <f>'2025'!Wh/'2025'!Env_an*'2026'!Env_an</f>
        <v>138.05543750903004</v>
      </c>
      <c r="C113" s="831"/>
      <c r="D113" s="388">
        <f t="shared" si="25"/>
        <v>141.30009888278587</v>
      </c>
      <c r="E113" s="380">
        <f t="shared" si="47"/>
        <v>148.43884242323642</v>
      </c>
      <c r="F113" s="380">
        <f t="shared" si="26"/>
        <v>148.44971994314366</v>
      </c>
      <c r="G113" s="110">
        <f t="shared" si="48"/>
        <v>0.65672304454523112</v>
      </c>
      <c r="H113" s="409" t="b">
        <f>Wh_hp&gt;='2025'!Maxi_hp</f>
        <v>0</v>
      </c>
      <c r="I113" s="375">
        <f>IF(H113,Wh_hp,'2025'!Maxi_hp)</f>
        <v>148.46002089262618</v>
      </c>
      <c r="J113" s="85">
        <f>IF(H113,An,'2025'!An_max)</f>
        <v>2022</v>
      </c>
      <c r="K113" s="193">
        <f t="shared" si="27"/>
        <v>46121</v>
      </c>
      <c r="L113" s="143">
        <f>IF(t&lt;Tvie,1-EXP((T0-t)*PertePVj)+'2025'!Pspv,1-EXP((T0-t)*PertePVj)+Pspv)</f>
        <v>2.2962909434673606E-2</v>
      </c>
      <c r="M113" s="835"/>
      <c r="N113" s="835"/>
      <c r="O113" s="48">
        <f>IF(t&lt;Tnet,'2025'!Resal+('2025'!Salim-'2025'!Resal)*(1-EXP(('2025'!Tnet-t)/('2025'!Tau_j))),Resal+(Salim-Resal)*(1-EXP((Tnet-t)/(Tau_j))))*Salcycl</f>
        <v>4.8092153131295515E-2</v>
      </c>
      <c r="P113" s="334">
        <f>(INDEX(Models!$BJ113:$BT113,,T113)*(1-R113)+INDEX(Models!$BJ113:$BT113,,T113+1)*R113-ERP_i)*Q113*Ramure*Pc/MaxiM</f>
        <v>1.4376759641506441E-4</v>
      </c>
      <c r="Q113" s="301">
        <f t="shared" si="28"/>
        <v>0.5</v>
      </c>
      <c r="R113" s="173">
        <f t="shared" si="29"/>
        <v>2.5177579026144592E-2</v>
      </c>
      <c r="S113" s="801">
        <f t="shared" si="30"/>
        <v>2</v>
      </c>
      <c r="T113" s="172">
        <f t="shared" si="31"/>
        <v>8</v>
      </c>
      <c r="U113" s="247">
        <f t="shared" si="32"/>
        <v>2.0251775790261446</v>
      </c>
      <c r="V113" s="378">
        <f t="shared" si="33"/>
        <v>210.20383848604223</v>
      </c>
      <c r="W113" s="397">
        <f t="shared" si="34"/>
        <v>138.05543750903004</v>
      </c>
      <c r="X113" s="153">
        <f t="shared" si="35"/>
        <v>46121</v>
      </c>
      <c r="Y113" s="380">
        <f t="shared" si="36"/>
        <v>135.54854171421985</v>
      </c>
      <c r="Z113" s="380">
        <f t="shared" si="37"/>
        <v>138.73428452525758</v>
      </c>
      <c r="AA113" s="381">
        <f t="shared" si="38"/>
        <v>148.43884242323642</v>
      </c>
      <c r="AB113" s="193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6.5377483006157491E-2</v>
      </c>
      <c r="AD113" s="227">
        <f>(INDEX(Models!$BJ113:$BT113,,AH113)*(1-AF113)+INDEX(Models!$BJ113:$BT113,,AH113+1)*AF113-ERP_i)*AE113*Ramure*Pc/MaxiM</f>
        <v>1.4376759641506441E-4</v>
      </c>
      <c r="AE113" s="301">
        <f t="shared" si="40"/>
        <v>0.5</v>
      </c>
      <c r="AF113" s="173">
        <f t="shared" si="41"/>
        <v>2.5177579026144592E-2</v>
      </c>
      <c r="AG113" s="801">
        <f t="shared" si="49"/>
        <v>2</v>
      </c>
      <c r="AH113" s="172">
        <f t="shared" si="42"/>
        <v>8</v>
      </c>
      <c r="AI113" s="221">
        <f t="shared" si="43"/>
        <v>2.0251775790261446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46122</v>
      </c>
      <c r="B114" s="406">
        <f>'2025'!Wh/'2025'!Env_an*'2026'!Env_an</f>
        <v>215.53150841398997</v>
      </c>
      <c r="C114" s="831"/>
      <c r="D114" s="388">
        <f t="shared" si="25"/>
        <v>220.60007852416706</v>
      </c>
      <c r="E114" s="380">
        <f t="shared" si="47"/>
        <v>231.75650059404762</v>
      </c>
      <c r="F114" s="380">
        <f t="shared" si="26"/>
        <v>231.79044704559422</v>
      </c>
      <c r="G114" s="110">
        <f t="shared" si="48"/>
        <v>1.0212962014267877</v>
      </c>
      <c r="H114" s="409" t="b">
        <f>Wh_hp&gt;='2025'!Maxi_hp</f>
        <v>1</v>
      </c>
      <c r="I114" s="375">
        <f>IF(H114,Wh_hp,'2025'!Maxi_hp)</f>
        <v>231.79044704559422</v>
      </c>
      <c r="J114" s="85">
        <f>IF(H114,An,'2025'!An_max)</f>
        <v>2026</v>
      </c>
      <c r="K114" s="193">
        <f t="shared" si="27"/>
        <v>46122</v>
      </c>
      <c r="L114" s="143">
        <f>IF(t&lt;Tvie,1-EXP((T0-t)*PertePVj)+'2025'!Pspv,1-EXP((T0-t)*PertePVj)+Pspv)</f>
        <v>2.2976284251965073E-2</v>
      </c>
      <c r="M114" s="835"/>
      <c r="N114" s="835"/>
      <c r="O114" s="48">
        <f>IF(t&lt;Tnet,'2025'!Resal+('2025'!Salim-'2025'!Resal)*(1-EXP(('2025'!Tnet-t)/('2025'!Tau_j))),Resal+(Salim-Resal)*(1-EXP((Tnet-t)/(Tau_j))))*Salcycl</f>
        <v>4.8138550768949115E-2</v>
      </c>
      <c r="P114" s="334">
        <f>(INDEX(Models!$BJ114:$BT114,,T114)*(1-R114)+INDEX(Models!$BJ114:$BT114,,T114+1)*R114-ERP_i)*Q114*Ramure*Pc/MaxiM</f>
        <v>1.4645319502717909E-4</v>
      </c>
      <c r="Q114" s="301">
        <f t="shared" si="28"/>
        <v>0.5</v>
      </c>
      <c r="R114" s="173">
        <f t="shared" si="29"/>
        <v>2.6587385132486929E-2</v>
      </c>
      <c r="S114" s="801">
        <f t="shared" si="30"/>
        <v>2</v>
      </c>
      <c r="T114" s="172">
        <f t="shared" si="31"/>
        <v>8</v>
      </c>
      <c r="U114" s="247">
        <f t="shared" si="32"/>
        <v>2.0265873851324869</v>
      </c>
      <c r="V114" s="378">
        <f t="shared" si="33"/>
        <v>211.037217325282</v>
      </c>
      <c r="W114" s="397">
        <f t="shared" si="34"/>
        <v>215.53150841398997</v>
      </c>
      <c r="X114" s="153">
        <f t="shared" si="35"/>
        <v>46122</v>
      </c>
      <c r="Y114" s="380">
        <f t="shared" si="36"/>
        <v>211.62094435129754</v>
      </c>
      <c r="Z114" s="380">
        <f t="shared" si="37"/>
        <v>216.597551257264</v>
      </c>
      <c r="AA114" s="381">
        <f t="shared" si="38"/>
        <v>231.75650059404762</v>
      </c>
      <c r="AB114" s="193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6.5408949901847743E-2</v>
      </c>
      <c r="AD114" s="227">
        <f>(INDEX(Models!$BJ114:$BT114,,AH114)*(1-AF114)+INDEX(Models!$BJ114:$BT114,,AH114+1)*AF114-ERP_i)*AE114*Ramure*Pc/MaxiM</f>
        <v>1.4645319502717909E-4</v>
      </c>
      <c r="AE114" s="301">
        <f t="shared" si="40"/>
        <v>0.5</v>
      </c>
      <c r="AF114" s="173">
        <f t="shared" si="41"/>
        <v>2.6587385132486929E-2</v>
      </c>
      <c r="AG114" s="801">
        <f t="shared" si="49"/>
        <v>2</v>
      </c>
      <c r="AH114" s="172">
        <f t="shared" si="42"/>
        <v>8</v>
      </c>
      <c r="AI114" s="221">
        <f t="shared" si="43"/>
        <v>2.0265873851324869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46123</v>
      </c>
      <c r="B115" s="406">
        <f>'2025'!Wh/'2025'!Env_an*'2026'!Env_an</f>
        <v>173.34634016348028</v>
      </c>
      <c r="C115" s="831"/>
      <c r="D115" s="388">
        <f t="shared" si="25"/>
        <v>177.42528698914083</v>
      </c>
      <c r="E115" s="380">
        <f t="shared" si="47"/>
        <v>186.40742513550651</v>
      </c>
      <c r="F115" s="380">
        <f t="shared" si="26"/>
        <v>186.42801609762395</v>
      </c>
      <c r="G115" s="110">
        <f t="shared" si="48"/>
        <v>0.81821722536777064</v>
      </c>
      <c r="H115" s="409" t="b">
        <f>Wh_hp&gt;='2025'!Maxi_hp</f>
        <v>0</v>
      </c>
      <c r="I115" s="375">
        <f>IF(H115,Wh_hp,'2025'!Maxi_hp)</f>
        <v>186.43511486158815</v>
      </c>
      <c r="J115" s="85">
        <f>IF(H115,An,'2025'!An_max)</f>
        <v>2022</v>
      </c>
      <c r="K115" s="193">
        <f t="shared" si="27"/>
        <v>46123</v>
      </c>
      <c r="L115" s="143">
        <f>IF(t&lt;Tvie,1-EXP((T0-t)*PertePVj)+'2025'!Pspv,1-EXP((T0-t)*PertePVj)+Pspv)</f>
        <v>2.2989658886166553E-2</v>
      </c>
      <c r="M115" s="835"/>
      <c r="N115" s="835"/>
      <c r="O115" s="48">
        <f>IF(t&lt;Tnet,'2025'!Resal+('2025'!Salim-'2025'!Resal)*(1-EXP(('2025'!Tnet-t)/('2025'!Tau_j))),Resal+(Salim-Resal)*(1-EXP((Tnet-t)/(Tau_j))))*Salcycl</f>
        <v>4.8185516965519086E-2</v>
      </c>
      <c r="P115" s="334">
        <f>(INDEX(Models!$BJ115:$BT115,,T115)*(1-R115)+INDEX(Models!$BJ115:$BT115,,T115+1)*R115-ERP_i)*Q115*Ramure*Pc/MaxiM</f>
        <v>1.4918497736704151E-4</v>
      </c>
      <c r="Q115" s="301">
        <f t="shared" si="28"/>
        <v>0.5</v>
      </c>
      <c r="R115" s="173">
        <f t="shared" si="29"/>
        <v>2.8047260598384138E-2</v>
      </c>
      <c r="S115" s="801">
        <f t="shared" si="30"/>
        <v>2</v>
      </c>
      <c r="T115" s="172">
        <f t="shared" si="31"/>
        <v>8</v>
      </c>
      <c r="U115" s="247">
        <f t="shared" si="32"/>
        <v>2.0280472605983841</v>
      </c>
      <c r="V115" s="378">
        <f t="shared" si="33"/>
        <v>211.85037355562662</v>
      </c>
      <c r="W115" s="397">
        <f t="shared" si="34"/>
        <v>173.34634016348028</v>
      </c>
      <c r="X115" s="153">
        <f t="shared" si="35"/>
        <v>46123</v>
      </c>
      <c r="Y115" s="380">
        <f t="shared" si="36"/>
        <v>170.20369934488053</v>
      </c>
      <c r="Z115" s="380">
        <f t="shared" si="37"/>
        <v>174.20869788424253</v>
      </c>
      <c r="AA115" s="381">
        <f t="shared" si="38"/>
        <v>186.40742513550651</v>
      </c>
      <c r="AB115" s="193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6.5441208913197962E-2</v>
      </c>
      <c r="AD115" s="227">
        <f>(INDEX(Models!$BJ115:$BT115,,AH115)*(1-AF115)+INDEX(Models!$BJ115:$BT115,,AH115+1)*AF115-ERP_i)*AE115*Ramure*Pc/MaxiM</f>
        <v>1.4918497736704151E-4</v>
      </c>
      <c r="AE115" s="301">
        <f t="shared" si="40"/>
        <v>0.5</v>
      </c>
      <c r="AF115" s="173">
        <f t="shared" si="41"/>
        <v>2.8047260598384138E-2</v>
      </c>
      <c r="AG115" s="801">
        <f t="shared" si="49"/>
        <v>2</v>
      </c>
      <c r="AH115" s="172">
        <f t="shared" si="42"/>
        <v>8</v>
      </c>
      <c r="AI115" s="221">
        <f t="shared" si="43"/>
        <v>2.0280472605983841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46124</v>
      </c>
      <c r="B116" s="406">
        <f>'2025'!Wh/'2025'!Env_an*'2026'!Env_an</f>
        <v>145.13976120630727</v>
      </c>
      <c r="C116" s="831"/>
      <c r="D116" s="388">
        <f t="shared" si="25"/>
        <v>148.55702336731272</v>
      </c>
      <c r="E116" s="380">
        <f t="shared" si="47"/>
        <v>156.08550568377294</v>
      </c>
      <c r="F116" s="380">
        <f t="shared" si="26"/>
        <v>156.09846942755453</v>
      </c>
      <c r="G116" s="110">
        <f t="shared" si="48"/>
        <v>0.68250088912635876</v>
      </c>
      <c r="H116" s="409" t="b">
        <f>Wh_hp&gt;='2025'!Maxi_hp</f>
        <v>0</v>
      </c>
      <c r="I116" s="375">
        <f>IF(H116,Wh_hp,'2025'!Maxi_hp)</f>
        <v>156.10903736270134</v>
      </c>
      <c r="J116" s="85">
        <f>IF(H116,An,'2025'!An_max)</f>
        <v>2022</v>
      </c>
      <c r="K116" s="193">
        <f t="shared" si="27"/>
        <v>46124</v>
      </c>
      <c r="L116" s="143">
        <f>IF(t&lt;Tvie,1-EXP((T0-t)*PertePVj)+'2025'!Pspv,1-EXP((T0-t)*PertePVj)+Pspv)</f>
        <v>2.3003033337280487E-2</v>
      </c>
      <c r="M116" s="835"/>
      <c r="N116" s="835"/>
      <c r="O116" s="48">
        <f>IF(t&lt;Tnet,'2025'!Resal+('2025'!Salim-'2025'!Resal)*(1-EXP(('2025'!Tnet-t)/('2025'!Tau_j))),Resal+(Salim-Resal)*(1-EXP((Tnet-t)/(Tau_j))))*Salcycl</f>
        <v>4.8233064841477387E-2</v>
      </c>
      <c r="P116" s="334">
        <f>(INDEX(Models!$BJ116:$BT116,,T116)*(1-R116)+INDEX(Models!$BJ116:$BT116,,T116+1)*R116-ERP_i)*Q116*Ramure*Pc/MaxiM</f>
        <v>1.5196514041809935E-4</v>
      </c>
      <c r="Q116" s="301">
        <f t="shared" si="28"/>
        <v>0.5</v>
      </c>
      <c r="R116" s="173">
        <f t="shared" si="29"/>
        <v>2.9558621467012713E-2</v>
      </c>
      <c r="S116" s="801">
        <f t="shared" si="30"/>
        <v>2</v>
      </c>
      <c r="T116" s="172">
        <f t="shared" si="31"/>
        <v>8</v>
      </c>
      <c r="U116" s="247">
        <f t="shared" si="32"/>
        <v>2.0295586214670127</v>
      </c>
      <c r="V116" s="378">
        <f t="shared" si="33"/>
        <v>212.64405679620936</v>
      </c>
      <c r="W116" s="397">
        <f t="shared" si="34"/>
        <v>145.13976120630727</v>
      </c>
      <c r="X116" s="153">
        <f t="shared" si="35"/>
        <v>46124</v>
      </c>
      <c r="Y116" s="380">
        <f t="shared" si="36"/>
        <v>142.51056147624638</v>
      </c>
      <c r="Z116" s="380">
        <f t="shared" si="37"/>
        <v>145.86592009905812</v>
      </c>
      <c r="AA116" s="381">
        <f t="shared" si="38"/>
        <v>156.08550568377294</v>
      </c>
      <c r="AB116" s="193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6.547427667896058E-2</v>
      </c>
      <c r="AD116" s="227">
        <f>(INDEX(Models!$BJ116:$BT116,,AH116)*(1-AF116)+INDEX(Models!$BJ116:$BT116,,AH116+1)*AF116-ERP_i)*AE116*Ramure*Pc/MaxiM</f>
        <v>1.5196514041809935E-4</v>
      </c>
      <c r="AE116" s="301">
        <f t="shared" si="40"/>
        <v>0.5</v>
      </c>
      <c r="AF116" s="173">
        <f t="shared" si="41"/>
        <v>2.9558621467012713E-2</v>
      </c>
      <c r="AG116" s="801">
        <f t="shared" si="49"/>
        <v>2</v>
      </c>
      <c r="AH116" s="172">
        <f t="shared" si="42"/>
        <v>8</v>
      </c>
      <c r="AI116" s="221">
        <f t="shared" si="43"/>
        <v>2.0295586214670127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46125</v>
      </c>
      <c r="B117" s="406">
        <f>'2025'!Wh/'2025'!Env_an*'2026'!Env_an</f>
        <v>24.078710303429528</v>
      </c>
      <c r="C117" s="831"/>
      <c r="D117" s="388">
        <f t="shared" si="25"/>
        <v>24.645972041772012</v>
      </c>
      <c r="E117" s="380">
        <f t="shared" si="47"/>
        <v>25.896275474862225</v>
      </c>
      <c r="F117" s="380">
        <f t="shared" si="26"/>
        <v>25.896275474862225</v>
      </c>
      <c r="G117" s="110">
        <f t="shared" si="48"/>
        <v>0.11280617536253947</v>
      </c>
      <c r="H117" s="409" t="b">
        <f>Wh_hp&gt;='2025'!Maxi_hp</f>
        <v>0</v>
      </c>
      <c r="I117" s="375">
        <f>IF(H117,Wh_hp,'2025'!Maxi_hp)</f>
        <v>25.900210588432266</v>
      </c>
      <c r="J117" s="85">
        <f>IF(H117,An,'2025'!An_max)</f>
        <v>2022</v>
      </c>
      <c r="K117" s="193">
        <f t="shared" si="27"/>
        <v>46125</v>
      </c>
      <c r="L117" s="143">
        <f>IF(t&lt;Tvie,1-EXP((T0-t)*PertePVj)+'2025'!Pspv,1-EXP((T0-t)*PertePVj)+Pspv)</f>
        <v>2.301640760530943E-2</v>
      </c>
      <c r="M117" s="835"/>
      <c r="N117" s="835"/>
      <c r="O117" s="48">
        <f>IF(t&lt;Tnet,'2025'!Resal+('2025'!Salim-'2025'!Resal)*(1-EXP(('2025'!Tnet-t)/('2025'!Tau_j))),Resal+(Salim-Resal)*(1-EXP((Tnet-t)/(Tau_j))))*Salcycl</f>
        <v>4.828120685941481E-2</v>
      </c>
      <c r="P117" s="334">
        <f>(INDEX(Models!$BJ117:$BT117,,T117)*(1-R117)+INDEX(Models!$BJ117:$BT117,,T117+1)*R117-ERP_i)*Q117*Ramure*Pc/MaxiM</f>
        <v>1.5479589131211412E-4</v>
      </c>
      <c r="Q117" s="301">
        <f t="shared" si="28"/>
        <v>0.5</v>
      </c>
      <c r="R117" s="173">
        <f t="shared" si="29"/>
        <v>3.112289539993407E-2</v>
      </c>
      <c r="S117" s="801">
        <f t="shared" si="30"/>
        <v>2</v>
      </c>
      <c r="T117" s="172">
        <f t="shared" si="31"/>
        <v>8</v>
      </c>
      <c r="U117" s="247">
        <f t="shared" si="32"/>
        <v>2.0311228953999341</v>
      </c>
      <c r="V117" s="378">
        <f t="shared" si="33"/>
        <v>213.41901665076091</v>
      </c>
      <c r="W117" s="397">
        <f t="shared" si="34"/>
        <v>24.078710303429528</v>
      </c>
      <c r="X117" s="153">
        <f t="shared" si="35"/>
        <v>46125</v>
      </c>
      <c r="Y117" s="380">
        <f t="shared" si="36"/>
        <v>23.642864093621384</v>
      </c>
      <c r="Z117" s="380">
        <f t="shared" si="37"/>
        <v>24.199857886732993</v>
      </c>
      <c r="AA117" s="381">
        <f t="shared" si="38"/>
        <v>25.896275474862225</v>
      </c>
      <c r="AB117" s="193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6.5508168917030665E-2</v>
      </c>
      <c r="AD117" s="227">
        <f>(INDEX(Models!$BJ117:$BT117,,AH117)*(1-AF117)+INDEX(Models!$BJ117:$BT117,,AH117+1)*AF117-ERP_i)*AE117*Ramure*Pc/MaxiM</f>
        <v>1.5479589131211412E-4</v>
      </c>
      <c r="AE117" s="301">
        <f t="shared" si="40"/>
        <v>0.5</v>
      </c>
      <c r="AF117" s="173">
        <f t="shared" si="41"/>
        <v>3.112289539993407E-2</v>
      </c>
      <c r="AG117" s="801">
        <f t="shared" si="49"/>
        <v>2</v>
      </c>
      <c r="AH117" s="172">
        <f t="shared" si="42"/>
        <v>8</v>
      </c>
      <c r="AI117" s="221">
        <f t="shared" si="43"/>
        <v>2.0311228953999341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46126</v>
      </c>
      <c r="B118" s="406">
        <f>'2025'!Wh/'2025'!Env_an*'2026'!Env_an</f>
        <v>172.86300952657916</v>
      </c>
      <c r="C118" s="831"/>
      <c r="D118" s="388">
        <f t="shared" si="25"/>
        <v>176.93784957503556</v>
      </c>
      <c r="E118" s="380">
        <f t="shared" si="47"/>
        <v>185.9235251396172</v>
      </c>
      <c r="F118" s="380">
        <f t="shared" si="26"/>
        <v>185.94476544920494</v>
      </c>
      <c r="G118" s="110">
        <f t="shared" si="48"/>
        <v>0.80707220023696824</v>
      </c>
      <c r="H118" s="409" t="b">
        <f>Wh_hp&gt;='2025'!Maxi_hp</f>
        <v>0</v>
      </c>
      <c r="I118" s="375">
        <f>IF(H118,Wh_hp,'2025'!Maxi_hp)</f>
        <v>185.95269093155864</v>
      </c>
      <c r="J118" s="85">
        <f>IF(H118,An,'2025'!An_max)</f>
        <v>2022</v>
      </c>
      <c r="K118" s="193">
        <f t="shared" si="27"/>
        <v>46126</v>
      </c>
      <c r="L118" s="143">
        <f>IF(t&lt;Tvie,1-EXP((T0-t)*PertePVj)+'2025'!Pspv,1-EXP((T0-t)*PertePVj)+Pspv)</f>
        <v>2.3029781690255824E-2</v>
      </c>
      <c r="M118" s="835"/>
      <c r="N118" s="835"/>
      <c r="O118" s="48">
        <f>IF(t&lt;Tnet,'2025'!Resal+('2025'!Salim-'2025'!Resal)*(1-EXP(('2025'!Tnet-t)/('2025'!Tau_j))),Resal+(Salim-Resal)*(1-EXP((Tnet-t)/(Tau_j))))*Salcycl</f>
        <v>4.8329954791003223E-2</v>
      </c>
      <c r="P118" s="334">
        <f>(INDEX(Models!$BJ118:$BT118,,T118)*(1-R118)+INDEX(Models!$BJ118:$BT118,,T118+1)*R118-ERP_i)*Q118*Ramure*Pc/MaxiM</f>
        <v>1.5767944620361017E-4</v>
      </c>
      <c r="Q118" s="301">
        <f t="shared" si="28"/>
        <v>0.5</v>
      </c>
      <c r="R118" s="173">
        <f t="shared" si="29"/>
        <v>3.2741519279497755E-2</v>
      </c>
      <c r="S118" s="801">
        <f t="shared" si="30"/>
        <v>2</v>
      </c>
      <c r="T118" s="172">
        <f t="shared" si="31"/>
        <v>8</v>
      </c>
      <c r="U118" s="247">
        <f t="shared" si="32"/>
        <v>2.0327415192794978</v>
      </c>
      <c r="V118" s="378">
        <f t="shared" si="33"/>
        <v>214.17600267495379</v>
      </c>
      <c r="W118" s="397">
        <f t="shared" si="34"/>
        <v>172.86300952657916</v>
      </c>
      <c r="X118" s="153">
        <f t="shared" si="35"/>
        <v>46126</v>
      </c>
      <c r="Y118" s="380">
        <f t="shared" si="36"/>
        <v>169.73642001937566</v>
      </c>
      <c r="Z118" s="380">
        <f t="shared" si="37"/>
        <v>173.73755805272813</v>
      </c>
      <c r="AA118" s="381">
        <f t="shared" si="38"/>
        <v>185.9235251396172</v>
      </c>
      <c r="AB118" s="193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6.5542900381961686E-2</v>
      </c>
      <c r="AD118" s="227">
        <f>(INDEX(Models!$BJ118:$BT118,,AH118)*(1-AF118)+INDEX(Models!$BJ118:$BT118,,AH118+1)*AF118-ERP_i)*AE118*Ramure*Pc/MaxiM</f>
        <v>1.5767944620361017E-4</v>
      </c>
      <c r="AE118" s="301">
        <f t="shared" si="40"/>
        <v>0.5</v>
      </c>
      <c r="AF118" s="173">
        <f t="shared" si="41"/>
        <v>3.2741519279497755E-2</v>
      </c>
      <c r="AG118" s="801">
        <f t="shared" si="49"/>
        <v>2</v>
      </c>
      <c r="AH118" s="172">
        <f t="shared" si="42"/>
        <v>8</v>
      </c>
      <c r="AI118" s="221">
        <f t="shared" si="43"/>
        <v>2.0327415192794978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46127</v>
      </c>
      <c r="B119" s="406">
        <f>'2025'!Wh/'2025'!Env_an*'2026'!Env_an</f>
        <v>182.50892265346761</v>
      </c>
      <c r="C119" s="831"/>
      <c r="D119" s="388">
        <f t="shared" si="25"/>
        <v>186.81369980480989</v>
      </c>
      <c r="E119" s="380">
        <f t="shared" si="47"/>
        <v>196.31109713020655</v>
      </c>
      <c r="F119" s="380">
        <f t="shared" si="26"/>
        <v>196.3358391641371</v>
      </c>
      <c r="G119" s="110">
        <f t="shared" si="48"/>
        <v>0.84918203972721562</v>
      </c>
      <c r="H119" s="409" t="b">
        <f>Wh_hp&gt;='2025'!Maxi_hp</f>
        <v>0</v>
      </c>
      <c r="I119" s="375">
        <f>IF(H119,Wh_hp,'2025'!Maxi_hp)</f>
        <v>196.34249793514525</v>
      </c>
      <c r="J119" s="85">
        <f>IF(H119,An,'2025'!An_max)</f>
        <v>2022</v>
      </c>
      <c r="K119" s="193">
        <f t="shared" si="27"/>
        <v>46127</v>
      </c>
      <c r="L119" s="143">
        <f>IF(t&lt;Tvie,1-EXP((T0-t)*PertePVj)+'2025'!Pspv,1-EXP((T0-t)*PertePVj)+Pspv)</f>
        <v>2.3043155592122333E-2</v>
      </c>
      <c r="M119" s="835"/>
      <c r="N119" s="835"/>
      <c r="O119" s="48">
        <f>IF(t&lt;Tnet,'2025'!Resal+('2025'!Salim-'2025'!Resal)*(1-EXP(('2025'!Tnet-t)/('2025'!Tau_j))),Resal+(Salim-Resal)*(1-EXP((Tnet-t)/(Tau_j))))*Salcycl</f>
        <v>4.8379319683070965E-2</v>
      </c>
      <c r="P119" s="334">
        <f>(INDEX(Models!$BJ119:$BT119,,T119)*(1-R119)+INDEX(Models!$BJ119:$BT119,,T119+1)*R119-ERP_i)*Q119*Ramure*Pc/MaxiM</f>
        <v>1.6061802883349154E-4</v>
      </c>
      <c r="Q119" s="301">
        <f t="shared" si="28"/>
        <v>0.5</v>
      </c>
      <c r="R119" s="173">
        <f t="shared" si="29"/>
        <v>3.4415936589029084E-2</v>
      </c>
      <c r="S119" s="801">
        <f t="shared" si="30"/>
        <v>2</v>
      </c>
      <c r="T119" s="172">
        <f t="shared" si="31"/>
        <v>8</v>
      </c>
      <c r="U119" s="247">
        <f t="shared" si="32"/>
        <v>2.0344159365890291</v>
      </c>
      <c r="V119" s="378">
        <f t="shared" si="33"/>
        <v>214.9157644377691</v>
      </c>
      <c r="W119" s="397">
        <f t="shared" si="34"/>
        <v>182.50892265346761</v>
      </c>
      <c r="X119" s="153">
        <f t="shared" si="35"/>
        <v>46127</v>
      </c>
      <c r="Y119" s="380">
        <f t="shared" si="36"/>
        <v>179.21033828591447</v>
      </c>
      <c r="Z119" s="380">
        <f t="shared" si="37"/>
        <v>183.43731282678286</v>
      </c>
      <c r="AA119" s="381">
        <f t="shared" si="38"/>
        <v>196.31109713020655</v>
      </c>
      <c r="AB119" s="193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6.5578484821390032E-2</v>
      </c>
      <c r="AD119" s="227">
        <f>(INDEX(Models!$BJ119:$BT119,,AH119)*(1-AF119)+INDEX(Models!$BJ119:$BT119,,AH119+1)*AF119-ERP_i)*AE119*Ramure*Pc/MaxiM</f>
        <v>1.6061802883349154E-4</v>
      </c>
      <c r="AE119" s="301">
        <f t="shared" si="40"/>
        <v>0.5</v>
      </c>
      <c r="AF119" s="173">
        <f t="shared" si="41"/>
        <v>3.4415936589029084E-2</v>
      </c>
      <c r="AG119" s="801">
        <f t="shared" si="49"/>
        <v>2</v>
      </c>
      <c r="AH119" s="172">
        <f t="shared" si="42"/>
        <v>8</v>
      </c>
      <c r="AI119" s="221">
        <f t="shared" si="43"/>
        <v>2.0344159365890291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46128</v>
      </c>
      <c r="B120" s="406">
        <f>'2025'!Wh/'2025'!Env_an*'2026'!Env_an</f>
        <v>183.61098306130836</v>
      </c>
      <c r="C120" s="831"/>
      <c r="D120" s="388">
        <f t="shared" si="25"/>
        <v>187.94432694431956</v>
      </c>
      <c r="E120" s="380">
        <f t="shared" si="47"/>
        <v>197.50957998117929</v>
      </c>
      <c r="F120" s="380">
        <f t="shared" si="26"/>
        <v>197.53504189454321</v>
      </c>
      <c r="G120" s="110">
        <f t="shared" si="48"/>
        <v>0.85144414609716901</v>
      </c>
      <c r="H120" s="409" t="b">
        <f>Wh_hp&gt;='2025'!Maxi_hp</f>
        <v>0</v>
      </c>
      <c r="I120" s="375">
        <f>IF(H120,Wh_hp,'2025'!Maxi_hp)</f>
        <v>197.54175886779768</v>
      </c>
      <c r="J120" s="85">
        <f>IF(H120,An,'2025'!An_max)</f>
        <v>2022</v>
      </c>
      <c r="K120" s="193">
        <f t="shared" si="27"/>
        <v>46128</v>
      </c>
      <c r="L120" s="143">
        <f>IF(t&lt;Tvie,1-EXP((T0-t)*PertePVj)+'2025'!Pspv,1-EXP((T0-t)*PertePVj)+Pspv)</f>
        <v>2.3056529310911289E-2</v>
      </c>
      <c r="M120" s="835"/>
      <c r="N120" s="835"/>
      <c r="O120" s="48">
        <f>IF(t&lt;Tnet,'2025'!Resal+('2025'!Salim-'2025'!Resal)*(1-EXP(('2025'!Tnet-t)/('2025'!Tau_j))),Resal+(Salim-Resal)*(1-EXP((Tnet-t)/(Tau_j))))*Salcycl</f>
        <v>4.8429311822602253E-2</v>
      </c>
      <c r="P120" s="334">
        <f>(INDEX(Models!$BJ120:$BT120,,T120)*(1-R120)+INDEX(Models!$BJ120:$BT120,,T120+1)*R120-ERP_i)*Q120*Ramure*Pc/MaxiM</f>
        <v>1.6361386888953249E-4</v>
      </c>
      <c r="Q120" s="301">
        <f t="shared" si="28"/>
        <v>0.5</v>
      </c>
      <c r="R120" s="173">
        <f t="shared" si="29"/>
        <v>3.6147594562671692E-2</v>
      </c>
      <c r="S120" s="801">
        <f t="shared" si="30"/>
        <v>2</v>
      </c>
      <c r="T120" s="172">
        <f t="shared" si="31"/>
        <v>8</v>
      </c>
      <c r="U120" s="247">
        <f t="shared" si="32"/>
        <v>2.0361475945626717</v>
      </c>
      <c r="V120" s="378">
        <f t="shared" si="33"/>
        <v>215.63905149266316</v>
      </c>
      <c r="W120" s="397">
        <f t="shared" si="34"/>
        <v>183.61098306130836</v>
      </c>
      <c r="X120" s="153">
        <f t="shared" si="35"/>
        <v>46128</v>
      </c>
      <c r="Y120" s="380">
        <f t="shared" si="36"/>
        <v>180.294919217939</v>
      </c>
      <c r="Z120" s="380">
        <f t="shared" si="37"/>
        <v>184.55000174244236</v>
      </c>
      <c r="AA120" s="381">
        <f t="shared" si="38"/>
        <v>197.50957998117929</v>
      </c>
      <c r="AB120" s="193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6.5614934931114879E-2</v>
      </c>
      <c r="AD120" s="227">
        <f>(INDEX(Models!$BJ120:$BT120,,AH120)*(1-AF120)+INDEX(Models!$BJ120:$BT120,,AH120+1)*AF120-ERP_i)*AE120*Ramure*Pc/MaxiM</f>
        <v>1.6361386888953249E-4</v>
      </c>
      <c r="AE120" s="301">
        <f t="shared" si="40"/>
        <v>0.5</v>
      </c>
      <c r="AF120" s="173">
        <f t="shared" si="41"/>
        <v>3.6147594562671692E-2</v>
      </c>
      <c r="AG120" s="801">
        <f t="shared" si="49"/>
        <v>2</v>
      </c>
      <c r="AH120" s="172">
        <f t="shared" si="42"/>
        <v>8</v>
      </c>
      <c r="AI120" s="221">
        <f t="shared" si="43"/>
        <v>2.0361475945626717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46129</v>
      </c>
      <c r="B121" s="406">
        <f>'2025'!Wh/'2025'!Env_an*'2026'!Env_an</f>
        <v>220.26330789710633</v>
      </c>
      <c r="C121" s="831"/>
      <c r="D121" s="388">
        <f t="shared" si="25"/>
        <v>225.46475795854789</v>
      </c>
      <c r="E121" s="380">
        <f t="shared" si="47"/>
        <v>236.95218587880652</v>
      </c>
      <c r="F121" s="380">
        <f t="shared" si="26"/>
        <v>236.99168583798044</v>
      </c>
      <c r="G121" s="110">
        <f t="shared" si="48"/>
        <v>1.0181229862172456</v>
      </c>
      <c r="H121" s="409" t="b">
        <f>Wh_hp&gt;='2025'!Maxi_hp</f>
        <v>1</v>
      </c>
      <c r="I121" s="375">
        <f>IF(H121,Wh_hp,'2025'!Maxi_hp)</f>
        <v>236.99168583798044</v>
      </c>
      <c r="J121" s="85">
        <f>IF(H121,An,'2025'!An_max)</f>
        <v>2026</v>
      </c>
      <c r="K121" s="193">
        <f t="shared" si="27"/>
        <v>46129</v>
      </c>
      <c r="L121" s="143">
        <f>IF(t&lt;Tvie,1-EXP((T0-t)*PertePVj)+'2025'!Pspv,1-EXP((T0-t)*PertePVj)+Pspv)</f>
        <v>2.3069902846625245E-2</v>
      </c>
      <c r="M121" s="835"/>
      <c r="N121" s="835"/>
      <c r="O121" s="48">
        <f>IF(t&lt;Tnet,'2025'!Resal+('2025'!Salim-'2025'!Resal)*(1-EXP(('2025'!Tnet-t)/('2025'!Tau_j))),Resal+(Salim-Resal)*(1-EXP((Tnet-t)/(Tau_j))))*Salcycl</f>
        <v>4.8479940700501017E-2</v>
      </c>
      <c r="P121" s="334">
        <f>(INDEX(Models!$BJ121:$BT121,,T121)*(1-R121)+INDEX(Models!$BJ121:$BT121,,T121+1)*R121-ERP_i)*Q121*Ramure*Pc/MaxiM</f>
        <v>1.6667234141253516E-4</v>
      </c>
      <c r="Q121" s="301">
        <f t="shared" si="28"/>
        <v>0.5</v>
      </c>
      <c r="R121" s="173">
        <f t="shared" si="29"/>
        <v>3.7937941097348382E-2</v>
      </c>
      <c r="S121" s="801">
        <f t="shared" si="30"/>
        <v>2</v>
      </c>
      <c r="T121" s="172">
        <f t="shared" si="31"/>
        <v>8</v>
      </c>
      <c r="U121" s="247">
        <f t="shared" si="32"/>
        <v>2.0379379410973484</v>
      </c>
      <c r="V121" s="378">
        <f t="shared" si="33"/>
        <v>216.34253511501296</v>
      </c>
      <c r="W121" s="397">
        <f t="shared" si="34"/>
        <v>220.26330789710633</v>
      </c>
      <c r="X121" s="153">
        <f t="shared" si="35"/>
        <v>46129</v>
      </c>
      <c r="Y121" s="380">
        <f t="shared" si="36"/>
        <v>216.28816063172738</v>
      </c>
      <c r="Z121" s="380">
        <f t="shared" si="37"/>
        <v>221.39573881688983</v>
      </c>
      <c r="AA121" s="381">
        <f t="shared" si="38"/>
        <v>236.95218587880652</v>
      </c>
      <c r="AB121" s="193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6.5652262308621603E-2</v>
      </c>
      <c r="AD121" s="227">
        <f>(INDEX(Models!$BJ121:$BT121,,AH121)*(1-AF121)+INDEX(Models!$BJ121:$BT121,,AH121+1)*AF121-ERP_i)*AE121*Ramure*Pc/MaxiM</f>
        <v>1.6667234141253516E-4</v>
      </c>
      <c r="AE121" s="301">
        <f t="shared" si="40"/>
        <v>0.5</v>
      </c>
      <c r="AF121" s="173">
        <f t="shared" si="41"/>
        <v>3.7937941097348382E-2</v>
      </c>
      <c r="AG121" s="801">
        <f t="shared" si="49"/>
        <v>2</v>
      </c>
      <c r="AH121" s="172">
        <f t="shared" si="42"/>
        <v>8</v>
      </c>
      <c r="AI121" s="221">
        <f t="shared" si="43"/>
        <v>2.0379379410973484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46130</v>
      </c>
      <c r="B122" s="406">
        <f>'2025'!Wh/'2025'!Env_an*'2026'!Env_an</f>
        <v>162.55866571439739</v>
      </c>
      <c r="C122" s="831"/>
      <c r="D122" s="388">
        <f t="shared" si="25"/>
        <v>166.39971632582606</v>
      </c>
      <c r="E122" s="380">
        <f t="shared" si="47"/>
        <v>174.88720486114303</v>
      </c>
      <c r="F122" s="380">
        <f t="shared" si="26"/>
        <v>174.90623446090882</v>
      </c>
      <c r="G122" s="110">
        <f t="shared" si="48"/>
        <v>0.74899296385332215</v>
      </c>
      <c r="H122" s="409" t="b">
        <f>Wh_hp&gt;='2025'!Maxi_hp</f>
        <v>0</v>
      </c>
      <c r="I122" s="375">
        <f>IF(H122,Wh_hp,'2025'!Maxi_hp)</f>
        <v>174.91663566375686</v>
      </c>
      <c r="J122" s="85">
        <f>IF(H122,An,'2025'!An_max)</f>
        <v>2022</v>
      </c>
      <c r="K122" s="193">
        <f t="shared" si="27"/>
        <v>46130</v>
      </c>
      <c r="L122" s="143">
        <f>IF(t&lt;Tvie,1-EXP((T0-t)*PertePVj)+'2025'!Pspv,1-EXP((T0-t)*PertePVj)+Pspv)</f>
        <v>2.3083276199266756E-2</v>
      </c>
      <c r="M122" s="835"/>
      <c r="N122" s="835"/>
      <c r="O122" s="48">
        <f>IF(t&lt;Tnet,'2025'!Resal+('2025'!Salim-'2025'!Resal)*(1-EXP(('2025'!Tnet-t)/('2025'!Tau_j))),Resal+(Salim-Resal)*(1-EXP((Tnet-t)/(Tau_j))))*Salcycl</f>
        <v>4.8531214973993528E-2</v>
      </c>
      <c r="P122" s="334">
        <f>(INDEX(Models!$BJ122:$BT122,,T122)*(1-R122)+INDEX(Models!$BJ122:$BT122,,T122+1)*R122-ERP_i)*Q122*Ramure*Pc/MaxiM</f>
        <v>1.6960506249929982E-4</v>
      </c>
      <c r="Q122" s="301">
        <f t="shared" si="28"/>
        <v>0.5</v>
      </c>
      <c r="R122" s="173">
        <f t="shared" si="29"/>
        <v>3.978842142007144E-2</v>
      </c>
      <c r="S122" s="801">
        <f t="shared" si="30"/>
        <v>2</v>
      </c>
      <c r="T122" s="172">
        <f t="shared" si="31"/>
        <v>8</v>
      </c>
      <c r="U122" s="247">
        <f t="shared" si="32"/>
        <v>2.0397884214200714</v>
      </c>
      <c r="V122" s="378">
        <f t="shared" si="33"/>
        <v>217.02310690374722</v>
      </c>
      <c r="W122" s="397">
        <f t="shared" si="34"/>
        <v>162.55866571439739</v>
      </c>
      <c r="X122" s="153">
        <f t="shared" si="35"/>
        <v>46130</v>
      </c>
      <c r="Y122" s="380">
        <f t="shared" si="36"/>
        <v>159.62700169209077</v>
      </c>
      <c r="Z122" s="380">
        <f t="shared" si="37"/>
        <v>163.39878088180905</v>
      </c>
      <c r="AA122" s="381">
        <f t="shared" si="38"/>
        <v>174.88720486114303</v>
      </c>
      <c r="AB122" s="193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6.5690477404882514E-2</v>
      </c>
      <c r="AD122" s="227">
        <f>(INDEX(Models!$BJ122:$BT122,,AH122)*(1-AF122)+INDEX(Models!$BJ122:$BT122,,AH122+1)*AF122-ERP_i)*AE122*Ramure*Pc/MaxiM</f>
        <v>1.6960506249929982E-4</v>
      </c>
      <c r="AE122" s="301">
        <f t="shared" si="40"/>
        <v>0.5</v>
      </c>
      <c r="AF122" s="173">
        <f t="shared" si="41"/>
        <v>3.978842142007144E-2</v>
      </c>
      <c r="AG122" s="801">
        <f t="shared" si="49"/>
        <v>2</v>
      </c>
      <c r="AH122" s="172">
        <f t="shared" si="42"/>
        <v>8</v>
      </c>
      <c r="AI122" s="221">
        <f t="shared" si="43"/>
        <v>2.0397884214200714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46131</v>
      </c>
      <c r="B123" s="406">
        <f>'2025'!Wh/'2025'!Env_an*'2026'!Env_an</f>
        <v>36.716703050563574</v>
      </c>
      <c r="C123" s="831"/>
      <c r="D123" s="388">
        <f t="shared" si="25"/>
        <v>37.584785666710523</v>
      </c>
      <c r="E123" s="380">
        <f t="shared" si="47"/>
        <v>39.50401484645726</v>
      </c>
      <c r="F123" s="380">
        <f t="shared" si="26"/>
        <v>39.50401484645726</v>
      </c>
      <c r="G123" s="110">
        <f t="shared" si="48"/>
        <v>0.16864237261588941</v>
      </c>
      <c r="H123" s="409" t="b">
        <f>Wh_hp&gt;='2025'!Maxi_hp</f>
        <v>0</v>
      </c>
      <c r="I123" s="375">
        <f>IF(H123,Wh_hp,'2025'!Maxi_hp)</f>
        <v>39.510665427940808</v>
      </c>
      <c r="J123" s="85">
        <f>IF(H123,An,'2025'!An_max)</f>
        <v>2022</v>
      </c>
      <c r="K123" s="193">
        <f t="shared" si="27"/>
        <v>46131</v>
      </c>
      <c r="L123" s="143">
        <f>IF(t&lt;Tvie,1-EXP((T0-t)*PertePVj)+'2025'!Pspv,1-EXP((T0-t)*PertePVj)+Pspv)</f>
        <v>2.3096649368838262E-2</v>
      </c>
      <c r="M123" s="835"/>
      <c r="N123" s="835"/>
      <c r="O123" s="48">
        <f>IF(t&lt;Tnet,'2025'!Resal+('2025'!Salim-'2025'!Resal)*(1-EXP(('2025'!Tnet-t)/('2025'!Tau_j))),Resal+(Salim-Resal)*(1-EXP((Tnet-t)/(Tau_j))))*Salcycl</f>
        <v>4.8583142427581751E-2</v>
      </c>
      <c r="P123" s="334">
        <f>(INDEX(Models!$BJ123:$BT123,,T123)*(1-R123)+INDEX(Models!$BJ123:$BT123,,T123+1)*R123-ERP_i)*Q123*Ramure*Pc/MaxiM</f>
        <v>1.7228191231576909E-4</v>
      </c>
      <c r="Q123" s="301">
        <f t="shared" si="28"/>
        <v>0.5</v>
      </c>
      <c r="R123" s="173">
        <f t="shared" si="29"/>
        <v>4.1700474504708041E-2</v>
      </c>
      <c r="S123" s="801">
        <f t="shared" si="30"/>
        <v>2</v>
      </c>
      <c r="T123" s="172">
        <f t="shared" si="31"/>
        <v>8</v>
      </c>
      <c r="U123" s="247">
        <f t="shared" si="32"/>
        <v>2.041700474504708</v>
      </c>
      <c r="V123" s="378">
        <f t="shared" si="33"/>
        <v>217.68181304209935</v>
      </c>
      <c r="W123" s="397">
        <f t="shared" si="34"/>
        <v>36.716703050563574</v>
      </c>
      <c r="X123" s="153">
        <f t="shared" si="35"/>
        <v>46131</v>
      </c>
      <c r="Y123" s="380">
        <f t="shared" si="36"/>
        <v>36.05499414812337</v>
      </c>
      <c r="Z123" s="380">
        <f t="shared" si="37"/>
        <v>36.907432168012129</v>
      </c>
      <c r="AA123" s="381">
        <f t="shared" si="38"/>
        <v>39.50401484645726</v>
      </c>
      <c r="AB123" s="193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6.5729589474321365E-2</v>
      </c>
      <c r="AD123" s="227">
        <f>(INDEX(Models!$BJ123:$BT123,,AH123)*(1-AF123)+INDEX(Models!$BJ123:$BT123,,AH123+1)*AF123-ERP_i)*AE123*Ramure*Pc/MaxiM</f>
        <v>1.7228191231576909E-4</v>
      </c>
      <c r="AE123" s="301">
        <f t="shared" si="40"/>
        <v>0.5</v>
      </c>
      <c r="AF123" s="173">
        <f t="shared" si="41"/>
        <v>4.1700474504708041E-2</v>
      </c>
      <c r="AG123" s="801">
        <f t="shared" si="49"/>
        <v>2</v>
      </c>
      <c r="AH123" s="172">
        <f t="shared" si="42"/>
        <v>8</v>
      </c>
      <c r="AI123" s="221">
        <f t="shared" si="43"/>
        <v>2.041700474504708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46132</v>
      </c>
      <c r="B124" s="406">
        <f>'2025'!Wh/'2025'!Env_an*'2026'!Env_an</f>
        <v>41.641668287300305</v>
      </c>
      <c r="C124" s="831"/>
      <c r="D124" s="388">
        <f t="shared" si="25"/>
        <v>42.626773987077797</v>
      </c>
      <c r="E124" s="380">
        <f t="shared" si="47"/>
        <v>44.805943767526017</v>
      </c>
      <c r="F124" s="380">
        <f t="shared" si="26"/>
        <v>44.805943767526017</v>
      </c>
      <c r="G124" s="110">
        <f t="shared" si="48"/>
        <v>0.19070381088957075</v>
      </c>
      <c r="H124" s="409" t="b">
        <f>Wh_hp&gt;='2025'!Maxi_hp</f>
        <v>0</v>
      </c>
      <c r="I124" s="375">
        <f>IF(H124,Wh_hp,'2025'!Maxi_hp)</f>
        <v>44.813586575905077</v>
      </c>
      <c r="J124" s="85">
        <f>IF(H124,An,'2025'!An_max)</f>
        <v>2022</v>
      </c>
      <c r="K124" s="193">
        <f t="shared" si="27"/>
        <v>46132</v>
      </c>
      <c r="L124" s="143">
        <f>IF(t&lt;Tvie,1-EXP((T0-t)*PertePVj)+'2025'!Pspv,1-EXP((T0-t)*PertePVj)+Pspv)</f>
        <v>2.3110022355342319E-2</v>
      </c>
      <c r="M124" s="835"/>
      <c r="N124" s="835"/>
      <c r="O124" s="48">
        <f>IF(t&lt;Tnet,'2025'!Resal+('2025'!Salim-'2025'!Resal)*(1-EXP(('2025'!Tnet-t)/('2025'!Tau_j))),Resal+(Salim-Resal)*(1-EXP((Tnet-t)/(Tau_j))))*Salcycl</f>
        <v>4.863572993250103E-2</v>
      </c>
      <c r="P124" s="334">
        <f>(INDEX(Models!$BJ124:$BT124,,T124)*(1-R124)+INDEX(Models!$BJ124:$BT124,,T124+1)*R124-ERP_i)*Q124*Ramure*Pc/MaxiM</f>
        <v>1.7470242387103828E-4</v>
      </c>
      <c r="Q124" s="301">
        <f t="shared" si="28"/>
        <v>0.5</v>
      </c>
      <c r="R124" s="173">
        <f t="shared" si="29"/>
        <v>4.3675529233377475E-2</v>
      </c>
      <c r="S124" s="801">
        <f t="shared" si="30"/>
        <v>2</v>
      </c>
      <c r="T124" s="172">
        <f t="shared" si="31"/>
        <v>8</v>
      </c>
      <c r="U124" s="247">
        <f t="shared" si="32"/>
        <v>2.0436755292333775</v>
      </c>
      <c r="V124" s="378">
        <f t="shared" si="33"/>
        <v>218.31967170821434</v>
      </c>
      <c r="W124" s="397">
        <f t="shared" si="34"/>
        <v>41.641668287300305</v>
      </c>
      <c r="X124" s="153">
        <f t="shared" si="35"/>
        <v>46132</v>
      </c>
      <c r="Y124" s="380">
        <f t="shared" si="36"/>
        <v>40.891710329133915</v>
      </c>
      <c r="Z124" s="380">
        <f t="shared" si="37"/>
        <v>41.859074476049358</v>
      </c>
      <c r="AA124" s="381">
        <f t="shared" si="38"/>
        <v>44.805943767526017</v>
      </c>
      <c r="AB124" s="193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6.5769606522884161E-2</v>
      </c>
      <c r="AD124" s="227">
        <f>(INDEX(Models!$BJ124:$BT124,,AH124)*(1-AF124)+INDEX(Models!$BJ124:$BT124,,AH124+1)*AF124-ERP_i)*AE124*Ramure*Pc/MaxiM</f>
        <v>1.7470242387103828E-4</v>
      </c>
      <c r="AE124" s="301">
        <f t="shared" si="40"/>
        <v>0.5</v>
      </c>
      <c r="AF124" s="173">
        <f t="shared" si="41"/>
        <v>4.3675529233377475E-2</v>
      </c>
      <c r="AG124" s="801">
        <f t="shared" si="49"/>
        <v>2</v>
      </c>
      <c r="AH124" s="172">
        <f t="shared" si="42"/>
        <v>8</v>
      </c>
      <c r="AI124" s="221">
        <f t="shared" si="43"/>
        <v>2.0436755292333775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46133</v>
      </c>
      <c r="B125" s="406">
        <f>'2025'!Wh/'2025'!Env_an*'2026'!Env_an</f>
        <v>37.107782725476604</v>
      </c>
      <c r="C125" s="831"/>
      <c r="D125" s="388">
        <f t="shared" si="25"/>
        <v>37.986151517578925</v>
      </c>
      <c r="E125" s="380">
        <f t="shared" si="47"/>
        <v>39.930318113553334</v>
      </c>
      <c r="F125" s="380">
        <f t="shared" si="26"/>
        <v>39.930318113553334</v>
      </c>
      <c r="G125" s="110">
        <f t="shared" si="48"/>
        <v>0.16946016807345515</v>
      </c>
      <c r="H125" s="409" t="b">
        <f>Wh_hp&gt;='2025'!Maxi_hp</f>
        <v>0</v>
      </c>
      <c r="I125" s="375">
        <f>IF(H125,Wh_hp,'2025'!Maxi_hp)</f>
        <v>39.937207740527782</v>
      </c>
      <c r="J125" s="85">
        <f>IF(H125,An,'2025'!An_max)</f>
        <v>2022</v>
      </c>
      <c r="K125" s="193">
        <f t="shared" si="27"/>
        <v>46133</v>
      </c>
      <c r="L125" s="143">
        <f>IF(t&lt;Tvie,1-EXP((T0-t)*PertePVj)+'2025'!Pspv,1-EXP((T0-t)*PertePVj)+Pspv)</f>
        <v>2.3123395158781479E-2</v>
      </c>
      <c r="M125" s="835"/>
      <c r="N125" s="835"/>
      <c r="O125" s="48">
        <f>IF(t&lt;Tnet,'2025'!Resal+('2025'!Salim-'2025'!Resal)*(1-EXP(('2025'!Tnet-t)/('2025'!Tau_j))),Resal+(Salim-Resal)*(1-EXP((Tnet-t)/(Tau_j))))*Salcycl</f>
        <v>4.8688983404680468E-2</v>
      </c>
      <c r="P125" s="334">
        <f>(INDEX(Models!$BJ125:$BT125,,T125)*(1-R125)+INDEX(Models!$BJ125:$BT125,,T125+1)*R125-ERP_i)*Q125*Ramure*Pc/MaxiM</f>
        <v>1.7686597931015587E-4</v>
      </c>
      <c r="Q125" s="301">
        <f t="shared" si="28"/>
        <v>0.5</v>
      </c>
      <c r="R125" s="173">
        <f t="shared" si="29"/>
        <v>4.5715000298850228E-2</v>
      </c>
      <c r="S125" s="801">
        <f t="shared" si="30"/>
        <v>2</v>
      </c>
      <c r="T125" s="172">
        <f t="shared" si="31"/>
        <v>8</v>
      </c>
      <c r="U125" s="247">
        <f t="shared" si="32"/>
        <v>2.0457150002988502</v>
      </c>
      <c r="V125" s="378">
        <f t="shared" si="33"/>
        <v>218.93770107122006</v>
      </c>
      <c r="W125" s="397">
        <f t="shared" si="34"/>
        <v>37.107782725476604</v>
      </c>
      <c r="X125" s="153">
        <f t="shared" si="35"/>
        <v>46133</v>
      </c>
      <c r="Y125" s="380">
        <f t="shared" si="36"/>
        <v>36.439922462247949</v>
      </c>
      <c r="Z125" s="380">
        <f t="shared" si="37"/>
        <v>37.302482505629143</v>
      </c>
      <c r="AA125" s="381">
        <f t="shared" si="38"/>
        <v>39.930318113553334</v>
      </c>
      <c r="AB125" s="193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6.5810535254219232E-2</v>
      </c>
      <c r="AD125" s="227">
        <f>(INDEX(Models!$BJ125:$BT125,,AH125)*(1-AF125)+INDEX(Models!$BJ125:$BT125,,AH125+1)*AF125-ERP_i)*AE125*Ramure*Pc/MaxiM</f>
        <v>1.7686597931015587E-4</v>
      </c>
      <c r="AE125" s="301">
        <f t="shared" si="40"/>
        <v>0.5</v>
      </c>
      <c r="AF125" s="173">
        <f t="shared" si="41"/>
        <v>4.5715000298850228E-2</v>
      </c>
      <c r="AG125" s="801">
        <f t="shared" si="49"/>
        <v>2</v>
      </c>
      <c r="AH125" s="172">
        <f t="shared" si="42"/>
        <v>8</v>
      </c>
      <c r="AI125" s="221">
        <f t="shared" si="43"/>
        <v>2.0457150002988502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46134</v>
      </c>
      <c r="B126" s="406">
        <f>'2025'!Wh/'2025'!Env_an*'2026'!Env_an</f>
        <v>112.91745080306093</v>
      </c>
      <c r="C126" s="831"/>
      <c r="D126" s="388">
        <f t="shared" si="25"/>
        <v>115.59187312879989</v>
      </c>
      <c r="E126" s="380">
        <f t="shared" si="47"/>
        <v>121.51486077939101</v>
      </c>
      <c r="F126" s="380">
        <f t="shared" si="26"/>
        <v>121.52151296149293</v>
      </c>
      <c r="G126" s="110">
        <f t="shared" si="48"/>
        <v>0.51427999043820083</v>
      </c>
      <c r="H126" s="409" t="b">
        <f>Wh_hp&gt;='2025'!Maxi_hp</f>
        <v>0</v>
      </c>
      <c r="I126" s="375">
        <f>IF(H126,Wh_hp,'2025'!Maxi_hp)</f>
        <v>121.53620399370809</v>
      </c>
      <c r="J126" s="85">
        <f>IF(H126,An,'2025'!An_max)</f>
        <v>2022</v>
      </c>
      <c r="K126" s="193">
        <f t="shared" si="27"/>
        <v>46134</v>
      </c>
      <c r="L126" s="143">
        <f>IF(t&lt;Tvie,1-EXP((T0-t)*PertePVj)+'2025'!Pspv,1-EXP((T0-t)*PertePVj)+Pspv)</f>
        <v>2.3136767779158185E-2</v>
      </c>
      <c r="M126" s="835"/>
      <c r="N126" s="835"/>
      <c r="O126" s="48">
        <f>IF(t&lt;Tnet,'2025'!Resal+('2025'!Salim-'2025'!Resal)*(1-EXP(('2025'!Tnet-t)/('2025'!Tau_j))),Resal+(Salim-Resal)*(1-EXP((Tnet-t)/(Tau_j))))*Salcycl</f>
        <v>4.8742907761251064E-2</v>
      </c>
      <c r="P126" s="334">
        <f>(INDEX(Models!$BJ126:$BT126,,T126)*(1-R126)+INDEX(Models!$BJ126:$BT126,,T126+1)*R126-ERP_i)*Q126*Ramure*Pc/MaxiM</f>
        <v>1.7877142391905666E-4</v>
      </c>
      <c r="Q126" s="301">
        <f t="shared" si="28"/>
        <v>0.5</v>
      </c>
      <c r="R126" s="173">
        <f t="shared" si="29"/>
        <v>4.7820283845732892E-2</v>
      </c>
      <c r="S126" s="801">
        <f t="shared" si="30"/>
        <v>2</v>
      </c>
      <c r="T126" s="172">
        <f t="shared" si="31"/>
        <v>8</v>
      </c>
      <c r="U126" s="247">
        <f t="shared" si="32"/>
        <v>2.0478202838457329</v>
      </c>
      <c r="V126" s="378">
        <f t="shared" si="33"/>
        <v>219.53691940404912</v>
      </c>
      <c r="W126" s="397">
        <f t="shared" si="34"/>
        <v>112.91745080306093</v>
      </c>
      <c r="X126" s="153">
        <f t="shared" si="35"/>
        <v>46134</v>
      </c>
      <c r="Y126" s="380">
        <f t="shared" si="36"/>
        <v>110.88649816149844</v>
      </c>
      <c r="Z126" s="380">
        <f t="shared" si="37"/>
        <v>113.51281786847932</v>
      </c>
      <c r="AA126" s="381">
        <f t="shared" si="38"/>
        <v>121.51486077939101</v>
      </c>
      <c r="AB126" s="193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6.5852381014033554E-2</v>
      </c>
      <c r="AD126" s="227">
        <f>(INDEX(Models!$BJ126:$BT126,,AH126)*(1-AF126)+INDEX(Models!$BJ126:$BT126,,AH126+1)*AF126-ERP_i)*AE126*Ramure*Pc/MaxiM</f>
        <v>1.7877142391905666E-4</v>
      </c>
      <c r="AE126" s="301">
        <f t="shared" si="40"/>
        <v>0.5</v>
      </c>
      <c r="AF126" s="173">
        <f t="shared" si="41"/>
        <v>4.7820283845732892E-2</v>
      </c>
      <c r="AG126" s="801">
        <f t="shared" si="49"/>
        <v>2</v>
      </c>
      <c r="AH126" s="172">
        <f t="shared" si="42"/>
        <v>8</v>
      </c>
      <c r="AI126" s="221">
        <f t="shared" si="43"/>
        <v>2.0478202838457329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46135</v>
      </c>
      <c r="B127" s="406">
        <f>'2025'!Wh/'2025'!Env_an*'2026'!Env_an</f>
        <v>41.137454053935429</v>
      </c>
      <c r="C127" s="831"/>
      <c r="D127" s="388">
        <f t="shared" si="25"/>
        <v>42.112361118679686</v>
      </c>
      <c r="E127" s="380">
        <f t="shared" si="47"/>
        <v>44.272761502504181</v>
      </c>
      <c r="F127" s="380">
        <f t="shared" si="26"/>
        <v>44.272761502504181</v>
      </c>
      <c r="G127" s="110">
        <f t="shared" si="48"/>
        <v>0.18685417674493984</v>
      </c>
      <c r="H127" s="409" t="b">
        <f>Wh_hp&gt;='2025'!Maxi_hp</f>
        <v>0</v>
      </c>
      <c r="I127" s="375">
        <f>IF(H127,Wh_hp,'2025'!Maxi_hp)</f>
        <v>44.280539977910685</v>
      </c>
      <c r="J127" s="85">
        <f>IF(H127,An,'2025'!An_max)</f>
        <v>2022</v>
      </c>
      <c r="K127" s="193">
        <f t="shared" si="27"/>
        <v>46135</v>
      </c>
      <c r="L127" s="143">
        <f>IF(t&lt;Tvie,1-EXP((T0-t)*PertePVj)+'2025'!Pspv,1-EXP((T0-t)*PertePVj)+Pspv)</f>
        <v>2.3150140216474879E-2</v>
      </c>
      <c r="M127" s="835"/>
      <c r="N127" s="835"/>
      <c r="O127" s="48">
        <f>IF(t&lt;Tnet,'2025'!Resal+('2025'!Salim-'2025'!Resal)*(1-EXP(('2025'!Tnet-t)/('2025'!Tau_j))),Resal+(Salim-Resal)*(1-EXP((Tnet-t)/(Tau_j))))*Salcycl</f>
        <v>4.8797506875695985E-2</v>
      </c>
      <c r="P127" s="334">
        <f>(INDEX(Models!$BJ127:$BT127,,T127)*(1-R127)+INDEX(Models!$BJ127:$BT127,,T127+1)*R127-ERP_i)*Q127*Ramure*Pc/MaxiM</f>
        <v>1.8041663183841525E-4</v>
      </c>
      <c r="Q127" s="301">
        <f t="shared" si="28"/>
        <v>0.5</v>
      </c>
      <c r="R127" s="173">
        <f t="shared" si="29"/>
        <v>4.999275284976612E-2</v>
      </c>
      <c r="S127" s="801">
        <f t="shared" si="30"/>
        <v>2</v>
      </c>
      <c r="T127" s="172">
        <f t="shared" si="31"/>
        <v>8</v>
      </c>
      <c r="U127" s="247">
        <f t="shared" si="32"/>
        <v>2.0499927528497661</v>
      </c>
      <c r="V127" s="378">
        <f t="shared" si="33"/>
        <v>220.11834516911028</v>
      </c>
      <c r="W127" s="397">
        <f t="shared" si="34"/>
        <v>41.137454053935429</v>
      </c>
      <c r="X127" s="153">
        <f t="shared" si="35"/>
        <v>46135</v>
      </c>
      <c r="Y127" s="380">
        <f t="shared" si="36"/>
        <v>40.398018002966069</v>
      </c>
      <c r="Z127" s="380">
        <f t="shared" si="37"/>
        <v>41.355401342759542</v>
      </c>
      <c r="AA127" s="381">
        <f t="shared" si="38"/>
        <v>44.272761502504181</v>
      </c>
      <c r="AB127" s="193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6.5895147732757259E-2</v>
      </c>
      <c r="AD127" s="227">
        <f>(INDEX(Models!$BJ127:$BT127,,AH127)*(1-AF127)+INDEX(Models!$BJ127:$BT127,,AH127+1)*AF127-ERP_i)*AE127*Ramure*Pc/MaxiM</f>
        <v>1.8041663183841525E-4</v>
      </c>
      <c r="AE127" s="301">
        <f t="shared" si="40"/>
        <v>0.5</v>
      </c>
      <c r="AF127" s="173">
        <f t="shared" si="41"/>
        <v>4.999275284976612E-2</v>
      </c>
      <c r="AG127" s="801">
        <f t="shared" si="49"/>
        <v>2</v>
      </c>
      <c r="AH127" s="172">
        <f t="shared" si="42"/>
        <v>8</v>
      </c>
      <c r="AI127" s="221">
        <f t="shared" si="43"/>
        <v>2.0499927528497661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46136</v>
      </c>
      <c r="B128" s="406">
        <f>'2025'!Wh/'2025'!Env_an*'2026'!Env_an</f>
        <v>111.11449157301558</v>
      </c>
      <c r="C128" s="831"/>
      <c r="D128" s="388">
        <f t="shared" si="25"/>
        <v>113.74932549260105</v>
      </c>
      <c r="E128" s="380">
        <f t="shared" si="47"/>
        <v>119.59171358874761</v>
      </c>
      <c r="F128" s="380">
        <f t="shared" si="26"/>
        <v>119.59803447755</v>
      </c>
      <c r="G128" s="110">
        <f t="shared" si="48"/>
        <v>0.50343780159392604</v>
      </c>
      <c r="H128" s="409" t="b">
        <f>Wh_hp&gt;='2025'!Maxi_hp</f>
        <v>0</v>
      </c>
      <c r="I128" s="375">
        <f>IF(H128,Wh_hp,'2025'!Maxi_hp)</f>
        <v>119.61303848340329</v>
      </c>
      <c r="J128" s="85">
        <f>IF(H128,An,'2025'!An_max)</f>
        <v>2022</v>
      </c>
      <c r="K128" s="193">
        <f t="shared" si="27"/>
        <v>46136</v>
      </c>
      <c r="L128" s="143">
        <f>IF(t&lt;Tvie,1-EXP((T0-t)*PertePVj)+'2025'!Pspv,1-EXP((T0-t)*PertePVj)+Pspv)</f>
        <v>2.3163512470734116E-2</v>
      </c>
      <c r="M128" s="835"/>
      <c r="N128" s="835"/>
      <c r="O128" s="48">
        <f>IF(t&lt;Tnet,'2025'!Resal+('2025'!Salim-'2025'!Resal)*(1-EXP(('2025'!Tnet-t)/('2025'!Tau_j))),Resal+(Salim-Resal)*(1-EXP((Tnet-t)/(Tau_j))))*Salcycl</f>
        <v>4.8852783531787049E-2</v>
      </c>
      <c r="P128" s="334">
        <f>(INDEX(Models!$BJ128:$BT128,,T128)*(1-R128)+INDEX(Models!$BJ128:$BT128,,T128+1)*R128-ERP_i)*Q128*Ramure*Pc/MaxiM</f>
        <v>1.817949902691316E-4</v>
      </c>
      <c r="Q128" s="301">
        <f t="shared" si="28"/>
        <v>0.5</v>
      </c>
      <c r="R128" s="173">
        <f t="shared" si="29"/>
        <v>5.223375223634763E-2</v>
      </c>
      <c r="S128" s="801">
        <f t="shared" si="30"/>
        <v>2</v>
      </c>
      <c r="T128" s="172">
        <f t="shared" si="31"/>
        <v>8</v>
      </c>
      <c r="U128" s="247">
        <f t="shared" si="32"/>
        <v>2.0522337522363476</v>
      </c>
      <c r="V128" s="378">
        <f t="shared" si="33"/>
        <v>220.68299784051024</v>
      </c>
      <c r="W128" s="397">
        <f t="shared" si="34"/>
        <v>111.11449157301558</v>
      </c>
      <c r="X128" s="153">
        <f t="shared" si="35"/>
        <v>46136</v>
      </c>
      <c r="Y128" s="380">
        <f t="shared" si="36"/>
        <v>109.1184722317993</v>
      </c>
      <c r="Z128" s="380">
        <f t="shared" si="37"/>
        <v>111.70597497621641</v>
      </c>
      <c r="AA128" s="381">
        <f t="shared" si="38"/>
        <v>119.59171358874761</v>
      </c>
      <c r="AB128" s="193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6.5938837866716338E-2</v>
      </c>
      <c r="AD128" s="227">
        <f>(INDEX(Models!$BJ128:$BT128,,AH128)*(1-AF128)+INDEX(Models!$BJ128:$BT128,,AH128+1)*AF128-ERP_i)*AE128*Ramure*Pc/MaxiM</f>
        <v>1.817949902691316E-4</v>
      </c>
      <c r="AE128" s="301">
        <f t="shared" si="40"/>
        <v>0.5</v>
      </c>
      <c r="AF128" s="173">
        <f t="shared" si="41"/>
        <v>5.223375223634763E-2</v>
      </c>
      <c r="AG128" s="801">
        <f t="shared" si="49"/>
        <v>2</v>
      </c>
      <c r="AH128" s="172">
        <f t="shared" si="42"/>
        <v>8</v>
      </c>
      <c r="AI128" s="221">
        <f t="shared" si="43"/>
        <v>2.0522337522363476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46137</v>
      </c>
      <c r="B129" s="406">
        <f>'2025'!Wh/'2025'!Env_an*'2026'!Env_an</f>
        <v>187.84377904571983</v>
      </c>
      <c r="C129" s="831"/>
      <c r="D129" s="388">
        <f t="shared" si="25"/>
        <v>192.30071040818305</v>
      </c>
      <c r="E129" s="380">
        <f t="shared" si="47"/>
        <v>202.18954622936855</v>
      </c>
      <c r="F129" s="380">
        <f t="shared" si="26"/>
        <v>202.21857819805717</v>
      </c>
      <c r="G129" s="110">
        <f t="shared" si="48"/>
        <v>0.84904750282903996</v>
      </c>
      <c r="H129" s="409" t="b">
        <f>Wh_hp&gt;='2025'!Maxi_hp</f>
        <v>0</v>
      </c>
      <c r="I129" s="375">
        <f>IF(H129,Wh_hp,'2025'!Maxi_hp)</f>
        <v>202.22633446721255</v>
      </c>
      <c r="J129" s="85">
        <f>IF(H129,An,'2025'!An_max)</f>
        <v>2022</v>
      </c>
      <c r="K129" s="193">
        <f t="shared" si="27"/>
        <v>46137</v>
      </c>
      <c r="L129" s="143">
        <f>IF(t&lt;Tvie,1-EXP((T0-t)*PertePVj)+'2025'!Pspv,1-EXP((T0-t)*PertePVj)+Pspv)</f>
        <v>2.3176884541938558E-2</v>
      </c>
      <c r="M129" s="835"/>
      <c r="N129" s="835"/>
      <c r="O129" s="48">
        <f>IF(t&lt;Tnet,'2025'!Resal+('2025'!Salim-'2025'!Resal)*(1-EXP(('2025'!Tnet-t)/('2025'!Tau_j))),Resal+(Salim-Resal)*(1-EXP((Tnet-t)/(Tau_j))))*Salcycl</f>
        <v>4.8908739376502509E-2</v>
      </c>
      <c r="P129" s="334">
        <f>(INDEX(Models!$BJ129:$BT129,,T129)*(1-R129)+INDEX(Models!$BJ129:$BT129,,T129+1)*R129-ERP_i)*Q129*Ramure*Pc/MaxiM</f>
        <v>1.8302779522511828E-4</v>
      </c>
      <c r="Q129" s="301">
        <f t="shared" si="28"/>
        <v>0.5</v>
      </c>
      <c r="R129" s="173">
        <f t="shared" si="29"/>
        <v>5.4544593741313818E-2</v>
      </c>
      <c r="S129" s="801">
        <f t="shared" si="30"/>
        <v>2</v>
      </c>
      <c r="T129" s="172">
        <f t="shared" si="31"/>
        <v>8</v>
      </c>
      <c r="U129" s="247">
        <f t="shared" si="32"/>
        <v>2.0545445937413138</v>
      </c>
      <c r="V129" s="378">
        <f t="shared" si="33"/>
        <v>221.23186858313883</v>
      </c>
      <c r="W129" s="397">
        <f t="shared" si="34"/>
        <v>187.84377904571983</v>
      </c>
      <c r="X129" s="153">
        <f t="shared" si="35"/>
        <v>46137</v>
      </c>
      <c r="Y129" s="380">
        <f t="shared" si="36"/>
        <v>184.47146479827208</v>
      </c>
      <c r="Z129" s="380">
        <f t="shared" si="37"/>
        <v>188.84838194248496</v>
      </c>
      <c r="AA129" s="381">
        <f t="shared" si="38"/>
        <v>202.18954622936855</v>
      </c>
      <c r="AB129" s="193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6.598345233808009E-2</v>
      </c>
      <c r="AD129" s="227">
        <f>(INDEX(Models!$BJ129:$BT129,,AH129)*(1-AF129)+INDEX(Models!$BJ129:$BT129,,AH129+1)*AF129-ERP_i)*AE129*Ramure*Pc/MaxiM</f>
        <v>1.8302779522511828E-4</v>
      </c>
      <c r="AE129" s="301">
        <f t="shared" si="40"/>
        <v>0.5</v>
      </c>
      <c r="AF129" s="173">
        <f t="shared" si="41"/>
        <v>5.4544593741313818E-2</v>
      </c>
      <c r="AG129" s="801">
        <f t="shared" si="49"/>
        <v>2</v>
      </c>
      <c r="AH129" s="172">
        <f t="shared" si="42"/>
        <v>8</v>
      </c>
      <c r="AI129" s="221">
        <f t="shared" si="43"/>
        <v>2.0545445937413138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46138</v>
      </c>
      <c r="B130" s="406">
        <f>'2025'!Wh/'2025'!Env_an*'2026'!Env_an</f>
        <v>220.73728611723305</v>
      </c>
      <c r="C130" s="831"/>
      <c r="D130" s="388">
        <f t="shared" si="25"/>
        <v>225.9777685166334</v>
      </c>
      <c r="E130" s="380">
        <f t="shared" si="47"/>
        <v>237.61255641587152</v>
      </c>
      <c r="F130" s="380">
        <f t="shared" si="26"/>
        <v>237.65602179262967</v>
      </c>
      <c r="G130" s="110">
        <f t="shared" si="48"/>
        <v>0.99536015769580233</v>
      </c>
      <c r="H130" s="409" t="b">
        <f>Wh_hp&gt;='2025'!Maxi_hp</f>
        <v>0</v>
      </c>
      <c r="I130" s="375">
        <f>IF(H130,Wh_hp,'2025'!Maxi_hp)</f>
        <v>237.65630334663595</v>
      </c>
      <c r="J130" s="85">
        <f>IF(H130,An,'2025'!An_max)</f>
        <v>2022</v>
      </c>
      <c r="K130" s="193">
        <f t="shared" si="27"/>
        <v>46138</v>
      </c>
      <c r="L130" s="143">
        <f>IF(t&lt;Tvie,1-EXP((T0-t)*PertePVj)+'2025'!Pspv,1-EXP((T0-t)*PertePVj)+Pspv)</f>
        <v>2.3190256430090428E-2</v>
      </c>
      <c r="M130" s="835"/>
      <c r="N130" s="835"/>
      <c r="O130" s="48">
        <f>IF(t&lt;Tnet,'2025'!Resal+('2025'!Salim-'2025'!Resal)*(1-EXP(('2025'!Tnet-t)/('2025'!Tau_j))),Resal+(Salim-Resal)*(1-EXP((Tnet-t)/(Tau_j))))*Salcycl</f>
        <v>4.8965374872171348E-2</v>
      </c>
      <c r="P130" s="334">
        <f>(INDEX(Models!$BJ130:$BT130,,T130)*(1-R130)+INDEX(Models!$BJ130:$BT130,,T130+1)*R130-ERP_i)*Q130*Ramure*Pc/MaxiM</f>
        <v>1.8411200336832794E-4</v>
      </c>
      <c r="Q130" s="301">
        <f t="shared" si="28"/>
        <v>0.5</v>
      </c>
      <c r="R130" s="173">
        <f t="shared" si="29"/>
        <v>5.6926550519172725E-2</v>
      </c>
      <c r="S130" s="801">
        <f t="shared" si="30"/>
        <v>2</v>
      </c>
      <c r="T130" s="172">
        <f t="shared" si="31"/>
        <v>8</v>
      </c>
      <c r="U130" s="247">
        <f t="shared" si="32"/>
        <v>2.0569265505191727</v>
      </c>
      <c r="V130" s="378">
        <f t="shared" si="33"/>
        <v>221.76597591664392</v>
      </c>
      <c r="W130" s="397">
        <f t="shared" si="34"/>
        <v>220.73728611723305</v>
      </c>
      <c r="X130" s="153">
        <f t="shared" si="35"/>
        <v>46138</v>
      </c>
      <c r="Y130" s="380">
        <f t="shared" si="36"/>
        <v>216.77678236715047</v>
      </c>
      <c r="Z130" s="380">
        <f t="shared" si="37"/>
        <v>221.92323919180473</v>
      </c>
      <c r="AA130" s="381">
        <f t="shared" si="38"/>
        <v>237.61255641587152</v>
      </c>
      <c r="AB130" s="193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6.6028990473917637E-2</v>
      </c>
      <c r="AD130" s="227">
        <f>(INDEX(Models!$BJ130:$BT130,,AH130)*(1-AF130)+INDEX(Models!$BJ130:$BT130,,AH130+1)*AF130-ERP_i)*AE130*Ramure*Pc/MaxiM</f>
        <v>1.8411200336832794E-4</v>
      </c>
      <c r="AE130" s="301">
        <f t="shared" si="40"/>
        <v>0.5</v>
      </c>
      <c r="AF130" s="173">
        <f t="shared" si="41"/>
        <v>5.6926550519172725E-2</v>
      </c>
      <c r="AG130" s="801">
        <f t="shared" si="49"/>
        <v>2</v>
      </c>
      <c r="AH130" s="172">
        <f t="shared" si="42"/>
        <v>8</v>
      </c>
      <c r="AI130" s="221">
        <f t="shared" si="43"/>
        <v>2.0569265505191727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46139</v>
      </c>
      <c r="B131" s="406">
        <f>'2025'!Wh/'2025'!Env_an*'2026'!Env_an</f>
        <v>157.24748249569566</v>
      </c>
      <c r="C131" s="831"/>
      <c r="D131" s="388">
        <f t="shared" si="25"/>
        <v>160.98286912705623</v>
      </c>
      <c r="E131" s="380">
        <f t="shared" si="47"/>
        <v>169.28150367728551</v>
      </c>
      <c r="F131" s="380">
        <f t="shared" si="26"/>
        <v>169.29973696102604</v>
      </c>
      <c r="G131" s="110">
        <f t="shared" si="48"/>
        <v>0.70735484600968668</v>
      </c>
      <c r="H131" s="409" t="b">
        <f>Wh_hp&gt;='2025'!Maxi_hp</f>
        <v>0</v>
      </c>
      <c r="I131" s="375">
        <f>IF(H131,Wh_hp,'2025'!Maxi_hp)</f>
        <v>169.3124393699353</v>
      </c>
      <c r="J131" s="85">
        <f>IF(H131,An,'2025'!An_max)</f>
        <v>2022</v>
      </c>
      <c r="K131" s="193">
        <f t="shared" si="27"/>
        <v>46139</v>
      </c>
      <c r="L131" s="143">
        <f>IF(t&lt;Tvie,1-EXP((T0-t)*PertePVj)+'2025'!Pspv,1-EXP((T0-t)*PertePVj)+Pspv)</f>
        <v>2.32036281351925E-2</v>
      </c>
      <c r="M131" s="835"/>
      <c r="N131" s="835"/>
      <c r="O131" s="48">
        <f>IF(t&lt;Tnet,'2025'!Resal+('2025'!Salim-'2025'!Resal)*(1-EXP(('2025'!Tnet-t)/('2025'!Tau_j))),Resal+(Salim-Resal)*(1-EXP((Tnet-t)/(Tau_j))))*Salcycl</f>
        <v>4.9022689248139135E-2</v>
      </c>
      <c r="P131" s="334">
        <f>(INDEX(Models!$BJ131:$BT131,,T131)*(1-R131)+INDEX(Models!$BJ131:$BT131,,T131+1)*R131-ERP_i)*Q131*Ramure*Pc/MaxiM</f>
        <v>1.8504417723968361E-4</v>
      </c>
      <c r="Q131" s="301">
        <f t="shared" si="28"/>
        <v>0.5</v>
      </c>
      <c r="R131" s="173">
        <f t="shared" si="29"/>
        <v>5.9380851506307675E-2</v>
      </c>
      <c r="S131" s="801">
        <f t="shared" si="30"/>
        <v>2</v>
      </c>
      <c r="T131" s="172">
        <f t="shared" si="31"/>
        <v>8</v>
      </c>
      <c r="U131" s="247">
        <f t="shared" si="32"/>
        <v>2.0593808515063077</v>
      </c>
      <c r="V131" s="378">
        <f t="shared" si="33"/>
        <v>222.28633848879997</v>
      </c>
      <c r="W131" s="397">
        <f t="shared" si="34"/>
        <v>157.24748249569566</v>
      </c>
      <c r="X131" s="153">
        <f t="shared" si="35"/>
        <v>46139</v>
      </c>
      <c r="Y131" s="380">
        <f t="shared" si="36"/>
        <v>154.4277478302854</v>
      </c>
      <c r="Z131" s="380">
        <f t="shared" si="37"/>
        <v>158.09615215448284</v>
      </c>
      <c r="AA131" s="381">
        <f t="shared" si="38"/>
        <v>169.28150367728551</v>
      </c>
      <c r="AB131" s="193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6.6075449944762915E-2</v>
      </c>
      <c r="AD131" s="227">
        <f>(INDEX(Models!$BJ131:$BT131,,AH131)*(1-AF131)+INDEX(Models!$BJ131:$BT131,,AH131+1)*AF131-ERP_i)*AE131*Ramure*Pc/MaxiM</f>
        <v>1.8504417723968361E-4</v>
      </c>
      <c r="AE131" s="301">
        <f t="shared" si="40"/>
        <v>0.5</v>
      </c>
      <c r="AF131" s="173">
        <f t="shared" si="41"/>
        <v>5.9380851506307675E-2</v>
      </c>
      <c r="AG131" s="801">
        <f t="shared" si="49"/>
        <v>2</v>
      </c>
      <c r="AH131" s="172">
        <f t="shared" si="42"/>
        <v>8</v>
      </c>
      <c r="AI131" s="221">
        <f t="shared" si="43"/>
        <v>2.0593808515063077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46140</v>
      </c>
      <c r="B132" s="406">
        <f>'2025'!Wh/'2025'!Env_an*'2026'!Env_an</f>
        <v>91.583466332684125</v>
      </c>
      <c r="C132" s="831"/>
      <c r="D132" s="388">
        <f t="shared" si="25"/>
        <v>93.76029916629129</v>
      </c>
      <c r="E132" s="380">
        <f t="shared" si="47"/>
        <v>98.599636413831291</v>
      </c>
      <c r="F132" s="380">
        <f t="shared" si="26"/>
        <v>98.602543597654815</v>
      </c>
      <c r="G132" s="110">
        <f t="shared" si="48"/>
        <v>0.41100369985570351</v>
      </c>
      <c r="H132" s="409" t="b">
        <f>Wh_hp&gt;='2025'!Maxi_hp</f>
        <v>0</v>
      </c>
      <c r="I132" s="375">
        <f>IF(H132,Wh_hp,'2025'!Maxi_hp)</f>
        <v>98.617481089900508</v>
      </c>
      <c r="J132" s="85">
        <f>IF(H132,An,'2025'!An_max)</f>
        <v>2022</v>
      </c>
      <c r="K132" s="193">
        <f t="shared" si="27"/>
        <v>46140</v>
      </c>
      <c r="L132" s="143">
        <f>IF(t&lt;Tvie,1-EXP((T0-t)*PertePVj)+'2025'!Pspv,1-EXP((T0-t)*PertePVj)+Pspv)</f>
        <v>2.3216999657247106E-2</v>
      </c>
      <c r="M132" s="835"/>
      <c r="N132" s="835"/>
      <c r="O132" s="48">
        <f>IF(t&lt;Tnet,'2025'!Resal+('2025'!Salim-'2025'!Resal)*(1-EXP(('2025'!Tnet-t)/('2025'!Tau_j))),Resal+(Salim-Resal)*(1-EXP((Tnet-t)/(Tau_j))))*Salcycl</f>
        <v>4.9080680452297819E-2</v>
      </c>
      <c r="P132" s="334">
        <f>(INDEX(Models!$BJ132:$BT132,,T132)*(1-R132)+INDEX(Models!$BJ132:$BT132,,T132+1)*R132-ERP_i)*Q132*Ramure*Pc/MaxiM</f>
        <v>1.8582048684274245E-4</v>
      </c>
      <c r="Q132" s="301">
        <f t="shared" si="28"/>
        <v>0.5</v>
      </c>
      <c r="R132" s="173">
        <f t="shared" si="29"/>
        <v>6.1908675549184888E-2</v>
      </c>
      <c r="S132" s="801">
        <f t="shared" si="30"/>
        <v>2</v>
      </c>
      <c r="T132" s="172">
        <f t="shared" si="31"/>
        <v>8</v>
      </c>
      <c r="U132" s="247">
        <f t="shared" si="32"/>
        <v>2.0619086755491849</v>
      </c>
      <c r="V132" s="378">
        <f t="shared" si="33"/>
        <v>222.79397507294806</v>
      </c>
      <c r="W132" s="397">
        <f t="shared" si="34"/>
        <v>91.583466332684125</v>
      </c>
      <c r="X132" s="153">
        <f t="shared" si="35"/>
        <v>46140</v>
      </c>
      <c r="Y132" s="380">
        <f t="shared" si="36"/>
        <v>89.942129580640824</v>
      </c>
      <c r="Z132" s="380">
        <f t="shared" si="37"/>
        <v>92.079949742245873</v>
      </c>
      <c r="AA132" s="381">
        <f t="shared" si="38"/>
        <v>98.599636413831291</v>
      </c>
      <c r="AB132" s="193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6.612282670315052E-2</v>
      </c>
      <c r="AD132" s="227">
        <f>(INDEX(Models!$BJ132:$BT132,,AH132)*(1-AF132)+INDEX(Models!$BJ132:$BT132,,AH132+1)*AF132-ERP_i)*AE132*Ramure*Pc/MaxiM</f>
        <v>1.8582048684274245E-4</v>
      </c>
      <c r="AE132" s="301">
        <f t="shared" si="40"/>
        <v>0.5</v>
      </c>
      <c r="AF132" s="173">
        <f t="shared" si="41"/>
        <v>6.1908675549184888E-2</v>
      </c>
      <c r="AG132" s="801">
        <f t="shared" si="49"/>
        <v>2</v>
      </c>
      <c r="AH132" s="172">
        <f t="shared" si="42"/>
        <v>8</v>
      </c>
      <c r="AI132" s="221">
        <f t="shared" si="43"/>
        <v>2.0619086755491849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46141</v>
      </c>
      <c r="B133" s="406">
        <f>'2025'!Wh/'2025'!Env_an*'2026'!Env_an</f>
        <v>169.24611658497642</v>
      </c>
      <c r="C133" s="831"/>
      <c r="D133" s="388">
        <f t="shared" si="25"/>
        <v>173.27127252881431</v>
      </c>
      <c r="E133" s="380">
        <f t="shared" si="47"/>
        <v>182.22572533255095</v>
      </c>
      <c r="F133" s="380">
        <f t="shared" si="26"/>
        <v>182.24795480356519</v>
      </c>
      <c r="G133" s="110">
        <f t="shared" si="48"/>
        <v>0.75791695757152944</v>
      </c>
      <c r="H133" s="409" t="b">
        <f>Wh_hp&gt;='2025'!Maxi_hp</f>
        <v>0</v>
      </c>
      <c r="I133" s="375">
        <f>IF(H133,Wh_hp,'2025'!Maxi_hp)</f>
        <v>182.25932645810221</v>
      </c>
      <c r="J133" s="85">
        <f>IF(H133,An,'2025'!An_max)</f>
        <v>2022</v>
      </c>
      <c r="K133" s="193">
        <f t="shared" si="27"/>
        <v>46141</v>
      </c>
      <c r="L133" s="143">
        <f>IF(t&lt;Tvie,1-EXP((T0-t)*PertePVj)+'2025'!Pspv,1-EXP((T0-t)*PertePVj)+Pspv)</f>
        <v>2.3230370996256799E-2</v>
      </c>
      <c r="M133" s="835"/>
      <c r="N133" s="835"/>
      <c r="O133" s="48">
        <f>IF(t&lt;Tnet,'2025'!Resal+('2025'!Salim-'2025'!Resal)*(1-EXP(('2025'!Tnet-t)/('2025'!Tau_j))),Resal+(Salim-Resal)*(1-EXP((Tnet-t)/(Tau_j))))*Salcycl</f>
        <v>4.9139345102868021E-2</v>
      </c>
      <c r="P133" s="334">
        <f>(INDEX(Models!$BJ133:$BT133,,T133)*(1-R133)+INDEX(Models!$BJ133:$BT133,,T133+1)*R133-ERP_i)*Q133*Ramure*Pc/MaxiM</f>
        <v>1.8643671188542E-4</v>
      </c>
      <c r="Q133" s="301">
        <f t="shared" si="28"/>
        <v>0.5</v>
      </c>
      <c r="R133" s="173">
        <f t="shared" si="29"/>
        <v>6.4511145310317097E-2</v>
      </c>
      <c r="S133" s="801">
        <f t="shared" si="30"/>
        <v>2</v>
      </c>
      <c r="T133" s="172">
        <f t="shared" si="31"/>
        <v>8</v>
      </c>
      <c r="U133" s="247">
        <f t="shared" si="32"/>
        <v>2.0645111453103171</v>
      </c>
      <c r="V133" s="378">
        <f t="shared" si="33"/>
        <v>223.28990460191235</v>
      </c>
      <c r="W133" s="397">
        <f t="shared" si="34"/>
        <v>169.24611658497642</v>
      </c>
      <c r="X133" s="153">
        <f t="shared" si="35"/>
        <v>46141</v>
      </c>
      <c r="Y133" s="380">
        <f t="shared" si="36"/>
        <v>166.214588373434</v>
      </c>
      <c r="Z133" s="380">
        <f t="shared" si="37"/>
        <v>170.16764591970849</v>
      </c>
      <c r="AA133" s="381">
        <f t="shared" si="38"/>
        <v>182.22572533255095</v>
      </c>
      <c r="AB133" s="193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6.6171114922644395E-2</v>
      </c>
      <c r="AD133" s="227">
        <f>(INDEX(Models!$BJ133:$BT133,,AH133)*(1-AF133)+INDEX(Models!$BJ133:$BT133,,AH133+1)*AF133-ERP_i)*AE133*Ramure*Pc/MaxiM</f>
        <v>1.8643671188542E-4</v>
      </c>
      <c r="AE133" s="301">
        <f t="shared" si="40"/>
        <v>0.5</v>
      </c>
      <c r="AF133" s="173">
        <f t="shared" si="41"/>
        <v>6.4511145310317097E-2</v>
      </c>
      <c r="AG133" s="801">
        <f t="shared" si="49"/>
        <v>2</v>
      </c>
      <c r="AH133" s="172">
        <f t="shared" si="42"/>
        <v>8</v>
      </c>
      <c r="AI133" s="221">
        <f t="shared" si="43"/>
        <v>2.0645111453103171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46142</v>
      </c>
      <c r="B134" s="406">
        <f>'2025'!Wh/'2025'!Env_an*'2026'!Env_an</f>
        <v>165.32484025466155</v>
      </c>
      <c r="C134" s="831"/>
      <c r="D134" s="388">
        <f t="shared" si="25"/>
        <v>169.25905406426057</v>
      </c>
      <c r="E134" s="380">
        <f t="shared" si="47"/>
        <v>170.63927155811328</v>
      </c>
      <c r="F134" s="380">
        <f t="shared" si="26"/>
        <v>170.65786933571547</v>
      </c>
      <c r="G134" s="110">
        <f t="shared" si="48"/>
        <v>0.70812393914358962</v>
      </c>
      <c r="H134" s="409" t="b">
        <f>Wh_hp&gt;='2025'!Maxi_hp</f>
        <v>0</v>
      </c>
      <c r="I134" s="375">
        <f>IF(H134,Wh_hp,'2025'!Maxi_hp)</f>
        <v>170.67072459569192</v>
      </c>
      <c r="J134" s="85">
        <f>IF(H134,An,'2025'!An_max)</f>
        <v>2022</v>
      </c>
      <c r="K134" s="193">
        <f t="shared" si="27"/>
        <v>46142</v>
      </c>
      <c r="L134" s="143">
        <f>IF(t&lt;Tvie,1-EXP((T0-t)*PertePVj)+'2025'!Pspv,1-EXP((T0-t)*PertePVj)+Pspv)</f>
        <v>2.3243742152224023E-2</v>
      </c>
      <c r="M134" s="835"/>
      <c r="N134" s="835"/>
      <c r="O134" s="48">
        <f>IF(t&lt;Tnet,'2025'!Resal+('2025'!Salim-'2025'!Resal)*(1-EXP(('2025'!Tnet-t)/('2025'!Tau_j))),Resal+(Salim-Resal)*(1-EXP((Tnet-t)/(Tau_j))))*Salcycl</f>
        <v>8.0885102312609237E-3</v>
      </c>
      <c r="P134" s="334">
        <f>(INDEX(Models!$BJ134:$BT134,,T134)*(1-R134)+INDEX(Models!$BJ134:$BT134,,T134+1)*R134-ERP_i)*Q134*Ramure*Pc/MaxiM</f>
        <v>1.868882448862243E-4</v>
      </c>
      <c r="Q134" s="301">
        <f t="shared" si="28"/>
        <v>0.5</v>
      </c>
      <c r="R134" s="173">
        <f t="shared" si="29"/>
        <v>6.7189320967596E-2</v>
      </c>
      <c r="S134" s="801">
        <f t="shared" si="30"/>
        <v>2</v>
      </c>
      <c r="T134" s="172">
        <f t="shared" si="31"/>
        <v>8</v>
      </c>
      <c r="U134" s="247">
        <f t="shared" si="32"/>
        <v>2.067189320967596</v>
      </c>
      <c r="V134" s="378">
        <f t="shared" si="33"/>
        <v>233.45059959667446</v>
      </c>
      <c r="W134" s="397">
        <f t="shared" si="34"/>
        <v>165.32484025466155</v>
      </c>
      <c r="X134" s="153">
        <f t="shared" si="35"/>
        <v>46142</v>
      </c>
      <c r="Y134" s="380">
        <f t="shared" si="36"/>
        <v>158.47288616178216</v>
      </c>
      <c r="Z134" s="380">
        <f t="shared" si="37"/>
        <v>162.24404490734227</v>
      </c>
      <c r="AA134" s="381">
        <f t="shared" si="38"/>
        <v>170.63927155811328</v>
      </c>
      <c r="AB134" s="193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4.9198678440864681E-2</v>
      </c>
      <c r="AD134" s="227">
        <f>(INDEX(Models!$BJ134:$BT134,,AH134)*(1-AF134)+INDEX(Models!$BJ134:$BT134,,AH134+1)*AF134-ERP_i)*AE134*Ramure*Pc/MaxiM</f>
        <v>1.868882448862243E-4</v>
      </c>
      <c r="AE134" s="301">
        <f t="shared" si="40"/>
        <v>0.5</v>
      </c>
      <c r="AF134" s="173">
        <f t="shared" si="41"/>
        <v>6.7189320967596E-2</v>
      </c>
      <c r="AG134" s="801">
        <f t="shared" si="49"/>
        <v>2</v>
      </c>
      <c r="AH134" s="172">
        <f t="shared" si="42"/>
        <v>8</v>
      </c>
      <c r="AI134" s="221">
        <f t="shared" si="43"/>
        <v>2.067189320967596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46143</v>
      </c>
      <c r="B135" s="406">
        <f>'2025'!Wh/'2025'!Env_an*'2026'!Env_an</f>
        <v>196.79397502148788</v>
      </c>
      <c r="C135" s="831"/>
      <c r="D135" s="388">
        <f t="shared" si="25"/>
        <v>201.47981384450395</v>
      </c>
      <c r="E135" s="380">
        <f t="shared" si="47"/>
        <v>203.13996289169589</v>
      </c>
      <c r="F135" s="380">
        <f t="shared" si="26"/>
        <v>203.16936510527711</v>
      </c>
      <c r="G135" s="110">
        <f t="shared" si="48"/>
        <v>0.84118739817825183</v>
      </c>
      <c r="H135" s="409" t="b">
        <f>Wh_hp&gt;='2025'!Maxi_hp</f>
        <v>0</v>
      </c>
      <c r="I135" s="375">
        <f>IF(H135,Wh_hp,'2025'!Maxi_hp)</f>
        <v>203.17769484479672</v>
      </c>
      <c r="J135" s="85">
        <f>IF(H135,An,'2025'!An_max)</f>
        <v>2022</v>
      </c>
      <c r="K135" s="193">
        <f t="shared" si="27"/>
        <v>46143</v>
      </c>
      <c r="L135" s="143">
        <f>IF(t&lt;Tvie,1-EXP((T0-t)*PertePVj)+'2025'!Pspv,1-EXP((T0-t)*PertePVj)+Pspv)</f>
        <v>2.3257113125151441E-2</v>
      </c>
      <c r="M135" s="835"/>
      <c r="N135" s="835"/>
      <c r="O135" s="48">
        <f>IF(t&lt;Tnet,'2025'!Resal+('2025'!Salim-'2025'!Resal)*(1-EXP(('2025'!Tnet-t)/('2025'!Tau_j))),Resal+(Salim-Resal)*(1-EXP((Tnet-t)/(Tau_j))))*Salcycl</f>
        <v>8.1724394528763355E-3</v>
      </c>
      <c r="P135" s="334">
        <f>(INDEX(Models!$BJ135:$BT135,,T135)*(1-R135)+INDEX(Models!$BJ135:$BT135,,T135+1)*R135-ERP_i)*Q135*Ramure*Pc/MaxiM</f>
        <v>1.8717313126249285E-4</v>
      </c>
      <c r="Q135" s="301">
        <f t="shared" si="28"/>
        <v>0.5</v>
      </c>
      <c r="R135" s="173">
        <f t="shared" si="29"/>
        <v>6.9944193725655968E-2</v>
      </c>
      <c r="S135" s="801">
        <f t="shared" si="30"/>
        <v>2</v>
      </c>
      <c r="T135" s="172">
        <f t="shared" si="31"/>
        <v>8</v>
      </c>
      <c r="U135" s="247">
        <f t="shared" si="32"/>
        <v>2.069944193725656</v>
      </c>
      <c r="V135" s="378">
        <f t="shared" si="33"/>
        <v>233.93790643479181</v>
      </c>
      <c r="W135" s="397">
        <f t="shared" si="34"/>
        <v>196.79397502148788</v>
      </c>
      <c r="X135" s="153">
        <f t="shared" si="35"/>
        <v>46143</v>
      </c>
      <c r="Y135" s="380">
        <f t="shared" si="36"/>
        <v>188.64182862764608</v>
      </c>
      <c r="Z135" s="380">
        <f t="shared" si="37"/>
        <v>193.13355762560781</v>
      </c>
      <c r="AA135" s="381">
        <f t="shared" si="38"/>
        <v>203.13996289169589</v>
      </c>
      <c r="AB135" s="193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4.9258674283715428E-2</v>
      </c>
      <c r="AD135" s="227">
        <f>(INDEX(Models!$BJ135:$BT135,,AH135)*(1-AF135)+INDEX(Models!$BJ135:$BT135,,AH135+1)*AF135-ERP_i)*AE135*Ramure*Pc/MaxiM</f>
        <v>1.8717313126249285E-4</v>
      </c>
      <c r="AE135" s="301">
        <f t="shared" si="40"/>
        <v>0.5</v>
      </c>
      <c r="AF135" s="173">
        <f t="shared" si="41"/>
        <v>6.9944193725655968E-2</v>
      </c>
      <c r="AG135" s="801">
        <f t="shared" si="49"/>
        <v>2</v>
      </c>
      <c r="AH135" s="172">
        <f t="shared" si="42"/>
        <v>8</v>
      </c>
      <c r="AI135" s="221">
        <f t="shared" si="43"/>
        <v>2.069944193725656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46144</v>
      </c>
      <c r="B136" s="406">
        <f>'2025'!Wh/'2025'!Env_an*'2026'!Env_an</f>
        <v>116.76769718818122</v>
      </c>
      <c r="C136" s="831"/>
      <c r="D136" s="388">
        <f t="shared" si="25"/>
        <v>119.54967600060162</v>
      </c>
      <c r="E136" s="380">
        <f t="shared" si="47"/>
        <v>120.54495216723105</v>
      </c>
      <c r="F136" s="380">
        <f t="shared" si="26"/>
        <v>120.55134154549206</v>
      </c>
      <c r="G136" s="110">
        <f t="shared" si="48"/>
        <v>0.49807103417167681</v>
      </c>
      <c r="H136" s="409" t="b">
        <f>Wh_hp&gt;='2025'!Maxi_hp</f>
        <v>0</v>
      </c>
      <c r="I136" s="375">
        <f>IF(H136,Wh_hp,'2025'!Maxi_hp)</f>
        <v>120.56695071205655</v>
      </c>
      <c r="J136" s="85">
        <f>IF(H136,An,'2025'!An_max)</f>
        <v>2022</v>
      </c>
      <c r="K136" s="193">
        <f t="shared" si="27"/>
        <v>46144</v>
      </c>
      <c r="L136" s="143">
        <f>IF(t&lt;Tvie,1-EXP((T0-t)*PertePVj)+'2025'!Pspv,1-EXP((T0-t)*PertePVj)+Pspv)</f>
        <v>2.3270483915041384E-2</v>
      </c>
      <c r="M136" s="835"/>
      <c r="N136" s="835"/>
      <c r="O136" s="48">
        <f>IF(t&lt;Tnet,'2025'!Resal+('2025'!Salim-'2025'!Resal)*(1-EXP(('2025'!Tnet-t)/('2025'!Tau_j))),Resal+(Salim-Resal)*(1-EXP((Tnet-t)/(Tau_j))))*Salcycl</f>
        <v>8.2564731972242372E-3</v>
      </c>
      <c r="P136" s="334">
        <f>(INDEX(Models!$BJ136:$BT136,,T136)*(1-R136)+INDEX(Models!$BJ136:$BT136,,T136+1)*R136-ERP_i)*Q136*Ramure*Pc/MaxiM</f>
        <v>1.8724792429926625E-4</v>
      </c>
      <c r="Q136" s="301">
        <f t="shared" si="28"/>
        <v>0.5</v>
      </c>
      <c r="R136" s="173">
        <f t="shared" si="29"/>
        <v>7.2776679161091096E-2</v>
      </c>
      <c r="S136" s="801">
        <f t="shared" si="30"/>
        <v>2</v>
      </c>
      <c r="T136" s="172">
        <f t="shared" si="31"/>
        <v>8</v>
      </c>
      <c r="U136" s="247">
        <f t="shared" si="32"/>
        <v>2.0727766791610911</v>
      </c>
      <c r="V136" s="378">
        <f t="shared" si="33"/>
        <v>234.4083728593572</v>
      </c>
      <c r="W136" s="397">
        <f t="shared" si="34"/>
        <v>116.76769718818122</v>
      </c>
      <c r="X136" s="153">
        <f t="shared" si="35"/>
        <v>46144</v>
      </c>
      <c r="Y136" s="380">
        <f t="shared" si="36"/>
        <v>111.93296470631199</v>
      </c>
      <c r="Z136" s="380">
        <f t="shared" si="37"/>
        <v>114.59975649653221</v>
      </c>
      <c r="AA136" s="381">
        <f t="shared" si="38"/>
        <v>120.54495216723105</v>
      </c>
      <c r="AB136" s="193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4.9319324980536074E-2</v>
      </c>
      <c r="AD136" s="227">
        <f>(INDEX(Models!$BJ136:$BT136,,AH136)*(1-AF136)+INDEX(Models!$BJ136:$BT136,,AH136+1)*AF136-ERP_i)*AE136*Ramure*Pc/MaxiM</f>
        <v>1.8724792429926625E-4</v>
      </c>
      <c r="AE136" s="301">
        <f t="shared" si="40"/>
        <v>0.5</v>
      </c>
      <c r="AF136" s="173">
        <f t="shared" si="41"/>
        <v>7.2776679161091096E-2</v>
      </c>
      <c r="AG136" s="801">
        <f t="shared" si="49"/>
        <v>2</v>
      </c>
      <c r="AH136" s="172">
        <f t="shared" si="42"/>
        <v>8</v>
      </c>
      <c r="AI136" s="221">
        <f t="shared" si="43"/>
        <v>2.0727766791610911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46145</v>
      </c>
      <c r="B137" s="406">
        <f>'2025'!Wh/'2025'!Env_an*'2026'!Env_an</f>
        <v>132.9580737809793</v>
      </c>
      <c r="C137" s="831"/>
      <c r="D137" s="388">
        <f t="shared" si="25"/>
        <v>136.12765018427766</v>
      </c>
      <c r="E137" s="380">
        <f t="shared" si="47"/>
        <v>137.2725876904926</v>
      </c>
      <c r="F137" s="380">
        <f t="shared" si="26"/>
        <v>137.2823633850135</v>
      </c>
      <c r="G137" s="110">
        <f t="shared" si="48"/>
        <v>0.56604457342453884</v>
      </c>
      <c r="H137" s="409" t="b">
        <f>Wh_hp&gt;='2025'!Maxi_hp</f>
        <v>0</v>
      </c>
      <c r="I137" s="375">
        <f>IF(H137,Wh_hp,'2025'!Maxi_hp)</f>
        <v>137.29771718168283</v>
      </c>
      <c r="J137" s="85">
        <f>IF(H137,An,'2025'!An_max)</f>
        <v>2022</v>
      </c>
      <c r="K137" s="193">
        <f t="shared" si="27"/>
        <v>46145</v>
      </c>
      <c r="L137" s="143">
        <f>IF(t&lt;Tvie,1-EXP((T0-t)*PertePVj)+'2025'!Pspv,1-EXP((T0-t)*PertePVj)+Pspv)</f>
        <v>2.3283854521896519E-2</v>
      </c>
      <c r="M137" s="835"/>
      <c r="N137" s="835"/>
      <c r="O137" s="48">
        <f>IF(t&lt;Tnet,'2025'!Resal+('2025'!Salim-'2025'!Resal)*(1-EXP(('2025'!Tnet-t)/('2025'!Tau_j))),Resal+(Salim-Resal)*(1-EXP((Tnet-t)/(Tau_j))))*Salcycl</f>
        <v>8.3406128308472875E-3</v>
      </c>
      <c r="P137" s="334">
        <f>(INDEX(Models!$BJ137:$BT137,,T137)*(1-R137)+INDEX(Models!$BJ137:$BT137,,T137+1)*R137-ERP_i)*Q137*Ramure*Pc/MaxiM</f>
        <v>1.8731356085620462E-4</v>
      </c>
      <c r="Q137" s="301">
        <f t="shared" si="28"/>
        <v>0.5</v>
      </c>
      <c r="R137" s="173">
        <f t="shared" si="29"/>
        <v>7.5687610426654839E-2</v>
      </c>
      <c r="S137" s="801">
        <f t="shared" si="30"/>
        <v>2</v>
      </c>
      <c r="T137" s="172">
        <f t="shared" si="31"/>
        <v>8</v>
      </c>
      <c r="U137" s="247">
        <f t="shared" si="32"/>
        <v>2.0756876104266548</v>
      </c>
      <c r="V137" s="378">
        <f t="shared" si="33"/>
        <v>234.86248581929846</v>
      </c>
      <c r="W137" s="397">
        <f t="shared" si="34"/>
        <v>132.9580737809793</v>
      </c>
      <c r="X137" s="153">
        <f t="shared" si="35"/>
        <v>46145</v>
      </c>
      <c r="Y137" s="380">
        <f t="shared" si="36"/>
        <v>127.45557912014236</v>
      </c>
      <c r="Z137" s="380">
        <f t="shared" si="37"/>
        <v>130.49398201332357</v>
      </c>
      <c r="AA137" s="381">
        <f t="shared" si="38"/>
        <v>137.2725876904926</v>
      </c>
      <c r="AB137" s="193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4.9380621369597019E-2</v>
      </c>
      <c r="AD137" s="227">
        <f>(INDEX(Models!$BJ137:$BT137,,AH137)*(1-AF137)+INDEX(Models!$BJ137:$BT137,,AH137+1)*AF137-ERP_i)*AE137*Ramure*Pc/MaxiM</f>
        <v>1.8731356085620462E-4</v>
      </c>
      <c r="AE137" s="301">
        <f t="shared" si="40"/>
        <v>0.5</v>
      </c>
      <c r="AF137" s="173">
        <f t="shared" si="41"/>
        <v>7.5687610426654839E-2</v>
      </c>
      <c r="AG137" s="801">
        <f t="shared" si="49"/>
        <v>2</v>
      </c>
      <c r="AH137" s="172">
        <f t="shared" si="42"/>
        <v>8</v>
      </c>
      <c r="AI137" s="221">
        <f t="shared" si="43"/>
        <v>2.0756876104266548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46146</v>
      </c>
      <c r="B138" s="406">
        <f>'2025'!Wh/'2025'!Env_an*'2026'!Env_an</f>
        <v>78.038108733831152</v>
      </c>
      <c r="C138" s="831"/>
      <c r="D138" s="388">
        <f t="shared" si="25"/>
        <v>79.899546440312051</v>
      </c>
      <c r="E138" s="380">
        <f t="shared" si="47"/>
        <v>80.578408199003249</v>
      </c>
      <c r="F138" s="380">
        <f t="shared" si="26"/>
        <v>80.579090895686591</v>
      </c>
      <c r="G138" s="110">
        <f t="shared" si="48"/>
        <v>0.33159324036057897</v>
      </c>
      <c r="H138" s="409" t="b">
        <f>Wh_hp&gt;='2025'!Maxi_hp</f>
        <v>0</v>
      </c>
      <c r="I138" s="375">
        <f>IF(H138,Wh_hp,'2025'!Maxi_hp)</f>
        <v>80.592958342597413</v>
      </c>
      <c r="J138" s="85">
        <f>IF(H138,An,'2025'!An_max)</f>
        <v>2022</v>
      </c>
      <c r="K138" s="193">
        <f t="shared" si="27"/>
        <v>46146</v>
      </c>
      <c r="L138" s="143">
        <f>IF(t&lt;Tvie,1-EXP((T0-t)*PertePVj)+'2025'!Pspv,1-EXP((T0-t)*PertePVj)+Pspv)</f>
        <v>2.3297224945719286E-2</v>
      </c>
      <c r="M138" s="835"/>
      <c r="N138" s="835"/>
      <c r="O138" s="48">
        <f>IF(t&lt;Tnet,'2025'!Resal+('2025'!Salim-'2025'!Resal)*(1-EXP(('2025'!Tnet-t)/('2025'!Tau_j))),Resal+(Salim-Resal)*(1-EXP((Tnet-t)/(Tau_j))))*Salcycl</f>
        <v>8.4248593868299672E-3</v>
      </c>
      <c r="P138" s="334">
        <f>(INDEX(Models!$BJ138:$BT138,,T138)*(1-R138)+INDEX(Models!$BJ138:$BT138,,T138+1)*R138-ERP_i)*Q138*Ramure*Pc/MaxiM</f>
        <v>1.8736758771268266E-4</v>
      </c>
      <c r="Q138" s="301">
        <f t="shared" si="28"/>
        <v>0.5</v>
      </c>
      <c r="R138" s="173">
        <f t="shared" si="29"/>
        <v>7.8677731342945201E-2</v>
      </c>
      <c r="S138" s="801">
        <f t="shared" si="30"/>
        <v>2</v>
      </c>
      <c r="T138" s="172">
        <f t="shared" si="31"/>
        <v>8</v>
      </c>
      <c r="U138" s="247">
        <f t="shared" si="32"/>
        <v>2.0786777313429452</v>
      </c>
      <c r="V138" s="378">
        <f t="shared" si="33"/>
        <v>235.30077961492637</v>
      </c>
      <c r="W138" s="397">
        <f t="shared" si="34"/>
        <v>78.038108733831152</v>
      </c>
      <c r="X138" s="153">
        <f t="shared" si="35"/>
        <v>46146</v>
      </c>
      <c r="Y138" s="380">
        <f t="shared" si="36"/>
        <v>74.80996889582336</v>
      </c>
      <c r="Z138" s="380">
        <f t="shared" si="37"/>
        <v>76.59440600203655</v>
      </c>
      <c r="AA138" s="381">
        <f t="shared" si="38"/>
        <v>80.578408199003249</v>
      </c>
      <c r="AB138" s="193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4.9442552738538439E-2</v>
      </c>
      <c r="AD138" s="227">
        <f>(INDEX(Models!$BJ138:$BT138,,AH138)*(1-AF138)+INDEX(Models!$BJ138:$BT138,,AH138+1)*AF138-ERP_i)*AE138*Ramure*Pc/MaxiM</f>
        <v>1.8736758771268266E-4</v>
      </c>
      <c r="AE138" s="301">
        <f t="shared" si="40"/>
        <v>0.5</v>
      </c>
      <c r="AF138" s="173">
        <f t="shared" si="41"/>
        <v>7.8677731342945201E-2</v>
      </c>
      <c r="AG138" s="801">
        <f t="shared" si="49"/>
        <v>2</v>
      </c>
      <c r="AH138" s="172">
        <f t="shared" si="42"/>
        <v>8</v>
      </c>
      <c r="AI138" s="221">
        <f t="shared" si="43"/>
        <v>2.0786777313429452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46147</v>
      </c>
      <c r="B139" s="406">
        <f>'2025'!Wh/'2025'!Env_an*'2026'!Env_an</f>
        <v>164.40298477659647</v>
      </c>
      <c r="C139" s="831"/>
      <c r="D139" s="388">
        <f t="shared" si="25"/>
        <v>168.3267822568337</v>
      </c>
      <c r="E139" s="380">
        <f t="shared" si="47"/>
        <v>169.77140338245954</v>
      </c>
      <c r="F139" s="380">
        <f t="shared" si="26"/>
        <v>169.78946971865395</v>
      </c>
      <c r="G139" s="110">
        <f t="shared" si="48"/>
        <v>0.69738259031077943</v>
      </c>
      <c r="H139" s="409" t="b">
        <f>Wh_hp&gt;='2025'!Maxi_hp</f>
        <v>0</v>
      </c>
      <c r="I139" s="375">
        <f>IF(H139,Wh_hp,'2025'!Maxi_hp)</f>
        <v>169.80268251285483</v>
      </c>
      <c r="J139" s="85">
        <f>IF(H139,An,'2025'!An_max)</f>
        <v>2022</v>
      </c>
      <c r="K139" s="193">
        <f t="shared" si="27"/>
        <v>46147</v>
      </c>
      <c r="L139" s="143">
        <f>IF(t&lt;Tvie,1-EXP((T0-t)*PertePVj)+'2025'!Pspv,1-EXP((T0-t)*PertePVj)+Pspv)</f>
        <v>2.3310595186512129E-2</v>
      </c>
      <c r="M139" s="835"/>
      <c r="N139" s="835"/>
      <c r="O139" s="48">
        <f>IF(t&lt;Tnet,'2025'!Resal+('2025'!Salim-'2025'!Resal)*(1-EXP(('2025'!Tnet-t)/('2025'!Tau_j))),Resal+(Salim-Resal)*(1-EXP((Tnet-t)/(Tau_j))))*Salcycl</f>
        <v>8.5092135474160082E-3</v>
      </c>
      <c r="P139" s="334">
        <f>(INDEX(Models!$BJ139:$BT139,,T139)*(1-R139)+INDEX(Models!$BJ139:$BT139,,T139+1)*R139-ERP_i)*Q139*Ramure*Pc/MaxiM</f>
        <v>1.8740742560503272E-4</v>
      </c>
      <c r="Q139" s="301">
        <f t="shared" si="28"/>
        <v>0.5</v>
      </c>
      <c r="R139" s="173">
        <f t="shared" si="29"/>
        <v>8.1747689409521485E-2</v>
      </c>
      <c r="S139" s="801">
        <f t="shared" si="30"/>
        <v>2</v>
      </c>
      <c r="T139" s="172">
        <f t="shared" si="31"/>
        <v>8</v>
      </c>
      <c r="U139" s="247">
        <f t="shared" si="32"/>
        <v>2.0817476894095215</v>
      </c>
      <c r="V139" s="378">
        <f t="shared" si="33"/>
        <v>235.72378848298197</v>
      </c>
      <c r="W139" s="397">
        <f t="shared" si="34"/>
        <v>164.40298477659647</v>
      </c>
      <c r="X139" s="153">
        <f t="shared" si="35"/>
        <v>46147</v>
      </c>
      <c r="Y139" s="380">
        <f t="shared" si="36"/>
        <v>157.60529456665083</v>
      </c>
      <c r="Z139" s="380">
        <f t="shared" si="37"/>
        <v>161.36685192847742</v>
      </c>
      <c r="AA139" s="381">
        <f t="shared" si="38"/>
        <v>169.77140338245954</v>
      </c>
      <c r="AB139" s="193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4.950510678791066E-2</v>
      </c>
      <c r="AD139" s="227">
        <f>(INDEX(Models!$BJ139:$BT139,,AH139)*(1-AF139)+INDEX(Models!$BJ139:$BT139,,AH139+1)*AF139-ERP_i)*AE139*Ramure*Pc/MaxiM</f>
        <v>1.8740742560503272E-4</v>
      </c>
      <c r="AE139" s="301">
        <f t="shared" si="40"/>
        <v>0.5</v>
      </c>
      <c r="AF139" s="173">
        <f t="shared" si="41"/>
        <v>8.1747689409521485E-2</v>
      </c>
      <c r="AG139" s="801">
        <f t="shared" si="49"/>
        <v>2</v>
      </c>
      <c r="AH139" s="172">
        <f t="shared" si="42"/>
        <v>8</v>
      </c>
      <c r="AI139" s="221">
        <f t="shared" si="43"/>
        <v>2.0817476894095215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46148</v>
      </c>
      <c r="B140" s="406">
        <f>'2025'!Wh/'2025'!Env_an*'2026'!Env_an</f>
        <v>152.94103245114718</v>
      </c>
      <c r="C140" s="831"/>
      <c r="D140" s="388">
        <f t="shared" si="25"/>
        <v>156.59341174415059</v>
      </c>
      <c r="E140" s="380">
        <f t="shared" si="47"/>
        <v>157.95078959496817</v>
      </c>
      <c r="F140" s="380">
        <f t="shared" si="26"/>
        <v>157.96549577515182</v>
      </c>
      <c r="G140" s="110">
        <f t="shared" si="48"/>
        <v>0.647631721100282</v>
      </c>
      <c r="H140" s="409" t="b">
        <f>Wh_hp&gt;='2025'!Maxi_hp</f>
        <v>0</v>
      </c>
      <c r="I140" s="375">
        <f>IF(H140,Wh_hp,'2025'!Maxi_hp)</f>
        <v>157.97979101946427</v>
      </c>
      <c r="J140" s="85">
        <f>IF(H140,An,'2025'!An_max)</f>
        <v>2022</v>
      </c>
      <c r="K140" s="193">
        <f t="shared" si="27"/>
        <v>46148</v>
      </c>
      <c r="L140" s="143">
        <f>IF(t&lt;Tvie,1-EXP((T0-t)*PertePVj)+'2025'!Pspv,1-EXP((T0-t)*PertePVj)+Pspv)</f>
        <v>2.33239652442776E-2</v>
      </c>
      <c r="M140" s="835"/>
      <c r="N140" s="835"/>
      <c r="O140" s="48">
        <f>IF(t&lt;Tnet,'2025'!Resal+('2025'!Salim-'2025'!Resal)*(1-EXP(('2025'!Tnet-t)/('2025'!Tau_j))),Resal+(Salim-Resal)*(1-EXP((Tnet-t)/(Tau_j))))*Salcycl</f>
        <v>8.5936756270626885E-3</v>
      </c>
      <c r="P140" s="334">
        <f>(INDEX(Models!$BJ140:$BT140,,T140)*(1-R140)+INDEX(Models!$BJ140:$BT140,,T140+1)*R140-ERP_i)*Q140*Ramure*Pc/MaxiM</f>
        <v>1.8743036828587807E-4</v>
      </c>
      <c r="Q140" s="301">
        <f t="shared" si="28"/>
        <v>0.5</v>
      </c>
      <c r="R140" s="173">
        <f t="shared" si="29"/>
        <v>8.4898028770862943E-2</v>
      </c>
      <c r="S140" s="801">
        <f t="shared" si="30"/>
        <v>2</v>
      </c>
      <c r="T140" s="172">
        <f t="shared" si="31"/>
        <v>8</v>
      </c>
      <c r="U140" s="247">
        <f t="shared" si="32"/>
        <v>2.0848980287708629</v>
      </c>
      <c r="V140" s="378">
        <f t="shared" si="33"/>
        <v>236.1320465736747</v>
      </c>
      <c r="W140" s="397">
        <f t="shared" si="34"/>
        <v>152.94103245114718</v>
      </c>
      <c r="X140" s="153">
        <f t="shared" si="35"/>
        <v>46148</v>
      </c>
      <c r="Y140" s="380">
        <f t="shared" si="36"/>
        <v>146.62001497101224</v>
      </c>
      <c r="Z140" s="380">
        <f t="shared" si="37"/>
        <v>150.12144227300871</v>
      </c>
      <c r="AA140" s="381">
        <f t="shared" si="38"/>
        <v>157.95078959496817</v>
      </c>
      <c r="AB140" s="193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4.9568269598627521E-2</v>
      </c>
      <c r="AD140" s="227">
        <f>(INDEX(Models!$BJ140:$BT140,,AH140)*(1-AF140)+INDEX(Models!$BJ140:$BT140,,AH140+1)*AF140-ERP_i)*AE140*Ramure*Pc/MaxiM</f>
        <v>1.8743036828587807E-4</v>
      </c>
      <c r="AE140" s="301">
        <f t="shared" si="40"/>
        <v>0.5</v>
      </c>
      <c r="AF140" s="173">
        <f t="shared" si="41"/>
        <v>8.4898028770862943E-2</v>
      </c>
      <c r="AG140" s="801">
        <f t="shared" si="49"/>
        <v>2</v>
      </c>
      <c r="AH140" s="172">
        <f t="shared" si="42"/>
        <v>8</v>
      </c>
      <c r="AI140" s="221">
        <f t="shared" si="43"/>
        <v>2.0848980287708629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46149</v>
      </c>
      <c r="B141" s="406">
        <f>'2025'!Wh/'2025'!Env_an*'2026'!Env_an</f>
        <v>193.96153684355701</v>
      </c>
      <c r="C141" s="831"/>
      <c r="D141" s="388">
        <f t="shared" si="25"/>
        <v>198.59624394180523</v>
      </c>
      <c r="E141" s="380">
        <f t="shared" si="47"/>
        <v>200.33479851676117</v>
      </c>
      <c r="F141" s="380">
        <f t="shared" si="26"/>
        <v>200.36269859370728</v>
      </c>
      <c r="G141" s="110">
        <f t="shared" si="48"/>
        <v>0.82000337064045703</v>
      </c>
      <c r="H141" s="409" t="b">
        <f>Wh_hp&gt;='2025'!Maxi_hp</f>
        <v>0</v>
      </c>
      <c r="I141" s="375">
        <f>IF(H141,Wh_hp,'2025'!Maxi_hp)</f>
        <v>200.37194692994947</v>
      </c>
      <c r="J141" s="85">
        <f>IF(H141,An,'2025'!An_max)</f>
        <v>2022</v>
      </c>
      <c r="K141" s="193">
        <f t="shared" si="27"/>
        <v>46149</v>
      </c>
      <c r="L141" s="143">
        <f>IF(t&lt;Tvie,1-EXP((T0-t)*PertePVj)+'2025'!Pspv,1-EXP((T0-t)*PertePVj)+Pspv)</f>
        <v>2.3337335119018254E-2</v>
      </c>
      <c r="M141" s="835"/>
      <c r="N141" s="835"/>
      <c r="O141" s="48">
        <f>IF(t&lt;Tnet,'2025'!Resal+('2025'!Salim-'2025'!Resal)*(1-EXP(('2025'!Tnet-t)/('2025'!Tau_j))),Resal+(Salim-Resal)*(1-EXP((Tnet-t)/(Tau_j))))*Salcycl</f>
        <v>8.6782455560784812E-3</v>
      </c>
      <c r="P141" s="334">
        <f>(INDEX(Models!$BJ141:$BT141,,T141)*(1-R141)+INDEX(Models!$BJ141:$BT141,,T141+1)*R141-ERP_i)*Q141*Ramure*Pc/MaxiM</f>
        <v>1.8743358207826388E-4</v>
      </c>
      <c r="Q141" s="301">
        <f t="shared" si="28"/>
        <v>0.5</v>
      </c>
      <c r="R141" s="173">
        <f t="shared" si="29"/>
        <v>8.8129183176015591E-2</v>
      </c>
      <c r="S141" s="801">
        <f t="shared" si="30"/>
        <v>2</v>
      </c>
      <c r="T141" s="172">
        <f t="shared" si="31"/>
        <v>8</v>
      </c>
      <c r="U141" s="247">
        <f t="shared" si="32"/>
        <v>2.0881291831760156</v>
      </c>
      <c r="V141" s="378">
        <f t="shared" si="33"/>
        <v>236.52608795216602</v>
      </c>
      <c r="W141" s="397">
        <f t="shared" si="34"/>
        <v>193.96153684355701</v>
      </c>
      <c r="X141" s="153">
        <f t="shared" si="35"/>
        <v>46149</v>
      </c>
      <c r="Y141" s="380">
        <f t="shared" si="36"/>
        <v>185.94853997142695</v>
      </c>
      <c r="Z141" s="380">
        <f t="shared" si="37"/>
        <v>190.3917766674198</v>
      </c>
      <c r="AA141" s="381">
        <f t="shared" si="38"/>
        <v>200.33479851676117</v>
      </c>
      <c r="AB141" s="193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4.963202560392653E-2</v>
      </c>
      <c r="AD141" s="227">
        <f>(INDEX(Models!$BJ141:$BT141,,AH141)*(1-AF141)+INDEX(Models!$BJ141:$BT141,,AH141+1)*AF141-ERP_i)*AE141*Ramure*Pc/MaxiM</f>
        <v>1.8743358207826388E-4</v>
      </c>
      <c r="AE141" s="301">
        <f t="shared" si="40"/>
        <v>0.5</v>
      </c>
      <c r="AF141" s="173">
        <f t="shared" si="41"/>
        <v>8.8129183176015591E-2</v>
      </c>
      <c r="AG141" s="801">
        <f t="shared" si="49"/>
        <v>2</v>
      </c>
      <c r="AH141" s="172">
        <f t="shared" si="42"/>
        <v>8</v>
      </c>
      <c r="AI141" s="221">
        <f t="shared" si="43"/>
        <v>2.0881291831760156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46150</v>
      </c>
      <c r="B142" s="406">
        <f>'2025'!Wh/'2025'!Env_an*'2026'!Env_an</f>
        <v>211.9005822167058</v>
      </c>
      <c r="C142" s="831"/>
      <c r="D142" s="388">
        <f t="shared" si="25"/>
        <v>216.96691254524674</v>
      </c>
      <c r="E142" s="380">
        <f t="shared" si="47"/>
        <v>218.88498478320798</v>
      </c>
      <c r="F142" s="380">
        <f t="shared" si="26"/>
        <v>218.91980510048896</v>
      </c>
      <c r="G142" s="110">
        <f t="shared" si="48"/>
        <v>0.89442298845964741</v>
      </c>
      <c r="H142" s="409" t="b">
        <f>Wh_hp&gt;='2025'!Maxi_hp</f>
        <v>0</v>
      </c>
      <c r="I142" s="375">
        <f>IF(H142,Wh_hp,'2025'!Maxi_hp)</f>
        <v>218.92571868618484</v>
      </c>
      <c r="J142" s="85">
        <f>IF(H142,An,'2025'!An_max)</f>
        <v>2022</v>
      </c>
      <c r="K142" s="193">
        <f t="shared" si="27"/>
        <v>46150</v>
      </c>
      <c r="L142" s="143">
        <f>IF(t&lt;Tvie,1-EXP((T0-t)*PertePVj)+'2025'!Pspv,1-EXP((T0-t)*PertePVj)+Pspv)</f>
        <v>2.3350704810736533E-2</v>
      </c>
      <c r="M142" s="835"/>
      <c r="N142" s="835"/>
      <c r="O142" s="48">
        <f>IF(t&lt;Tnet,'2025'!Resal+('2025'!Salim-'2025'!Resal)*(1-EXP(('2025'!Tnet-t)/('2025'!Tau_j))),Resal+(Salim-Resal)*(1-EXP((Tnet-t)/(Tau_j))))*Salcycl</f>
        <v>8.7629228649968374E-3</v>
      </c>
      <c r="P142" s="334">
        <f>(INDEX(Models!$BJ142:$BT142,,T142)*(1-R142)+INDEX(Models!$BJ142:$BT142,,T142+1)*R142-ERP_i)*Q142*Ramure*Pc/MaxiM</f>
        <v>1.8729735989239709E-4</v>
      </c>
      <c r="Q142" s="301">
        <f t="shared" si="28"/>
        <v>0.5</v>
      </c>
      <c r="R142" s="173">
        <f t="shared" si="29"/>
        <v>9.144146897414851E-2</v>
      </c>
      <c r="S142" s="801">
        <f t="shared" si="30"/>
        <v>2</v>
      </c>
      <c r="T142" s="172">
        <f t="shared" si="31"/>
        <v>8</v>
      </c>
      <c r="U142" s="247">
        <f t="shared" si="32"/>
        <v>2.0914414689741485</v>
      </c>
      <c r="V142" s="378">
        <f t="shared" si="33"/>
        <v>236.90647428896031</v>
      </c>
      <c r="W142" s="397">
        <f t="shared" si="34"/>
        <v>211.9005822167058</v>
      </c>
      <c r="X142" s="153">
        <f t="shared" si="35"/>
        <v>46150</v>
      </c>
      <c r="Y142" s="380">
        <f t="shared" si="36"/>
        <v>203.1500836271729</v>
      </c>
      <c r="Z142" s="380">
        <f t="shared" si="37"/>
        <v>208.00719831349977</v>
      </c>
      <c r="AA142" s="381">
        <f t="shared" si="38"/>
        <v>218.88498478320798</v>
      </c>
      <c r="AB142" s="193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4.9696357566426909E-2</v>
      </c>
      <c r="AD142" s="227">
        <f>(INDEX(Models!$BJ142:$BT142,,AH142)*(1-AF142)+INDEX(Models!$BJ142:$BT142,,AH142+1)*AF142-ERP_i)*AE142*Ramure*Pc/MaxiM</f>
        <v>1.8729735989239709E-4</v>
      </c>
      <c r="AE142" s="301">
        <f t="shared" si="40"/>
        <v>0.5</v>
      </c>
      <c r="AF142" s="173">
        <f t="shared" si="41"/>
        <v>9.144146897414851E-2</v>
      </c>
      <c r="AG142" s="801">
        <f t="shared" si="49"/>
        <v>2</v>
      </c>
      <c r="AH142" s="172">
        <f t="shared" si="42"/>
        <v>8</v>
      </c>
      <c r="AI142" s="221">
        <f t="shared" si="43"/>
        <v>2.0914414689741485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46151</v>
      </c>
      <c r="B143" s="406">
        <f>'2025'!Wh/'2025'!Env_an*'2026'!Env_an</f>
        <v>228.48661798702173</v>
      </c>
      <c r="C143" s="831"/>
      <c r="D143" s="388">
        <f t="shared" ref="D143:D206" si="50">Wh/(1-Ppv)</f>
        <v>233.95270640674181</v>
      </c>
      <c r="E143" s="380">
        <f t="shared" si="47"/>
        <v>236.04112907885019</v>
      </c>
      <c r="F143" s="380">
        <f t="shared" ref="F143:F206" si="51">Wh_sa/(1-Pvg*MEDIAN((-Sdif+Wh/Env_an)/Csdif,0,1))</f>
        <v>236.08294593423105</v>
      </c>
      <c r="G143" s="110">
        <f t="shared" si="48"/>
        <v>0.96295678573851684</v>
      </c>
      <c r="H143" s="409" t="b">
        <f>Wh_hp&gt;='2025'!Maxi_hp</f>
        <v>0</v>
      </c>
      <c r="I143" s="375">
        <f>IF(H143,Wh_hp,'2025'!Maxi_hp)</f>
        <v>236.08517663735407</v>
      </c>
      <c r="J143" s="85">
        <f>IF(H143,An,'2025'!An_max)</f>
        <v>2022</v>
      </c>
      <c r="K143" s="193">
        <f t="shared" ref="K143:K206" si="52">t</f>
        <v>46151</v>
      </c>
      <c r="L143" s="143">
        <f>IF(t&lt;Tvie,1-EXP((T0-t)*PertePVj)+'2025'!Pspv,1-EXP((T0-t)*PertePVj)+Pspv)</f>
        <v>2.3364074319434991E-2</v>
      </c>
      <c r="M143" s="835"/>
      <c r="N143" s="835"/>
      <c r="O143" s="48">
        <f>IF(t&lt;Tnet,'2025'!Resal+('2025'!Salim-'2025'!Resal)*(1-EXP(('2025'!Tnet-t)/('2025'!Tau_j))),Resal+(Salim-Resal)*(1-EXP((Tnet-t)/(Tau_j))))*Salcycl</f>
        <v>8.8477066698436947E-3</v>
      </c>
      <c r="P143" s="334">
        <f>(INDEX(Models!$BJ143:$BT143,,T143)*(1-R143)+INDEX(Models!$BJ143:$BT143,,T143+1)*R143-ERP_i)*Q143*Ramure*Pc/MaxiM</f>
        <v>1.8702227348428577E-4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9.4835078191493949E-2</v>
      </c>
      <c r="S143" s="801">
        <f t="shared" ref="S143:S206" si="55">INDEX(Echel_vg,T143)</f>
        <v>2</v>
      </c>
      <c r="T143" s="172">
        <f t="shared" ref="T143:T206" si="56">MIN(MATCH(Hp_vg,Echel_vg),10)</f>
        <v>8</v>
      </c>
      <c r="U143" s="247">
        <f t="shared" ref="U143:U206" si="57">IF(OR(t&lt;Ttai,Notai),Hdd+PousH*Croivg,Hdtf+PousH*(Croivg-Croi_tai))</f>
        <v>2.0948350781914939</v>
      </c>
      <c r="V143" s="378">
        <f t="shared" ref="V143:V206" si="58">MaxiM*(1-Ppv)*(1-Pvg)*(1-Psa)</f>
        <v>237.27373877838434</v>
      </c>
      <c r="W143" s="397">
        <f t="shared" ref="W143:W206" si="59">Wh*(A143&gt;Tmaj)</f>
        <v>228.48661798702173</v>
      </c>
      <c r="X143" s="153">
        <f t="shared" ref="X143:X206" si="60">t</f>
        <v>46151</v>
      </c>
      <c r="Y143" s="380">
        <f t="shared" ref="Y143:Y206" si="61">Wh_pvt_s*(1-Ppv)</f>
        <v>219.05497320096319</v>
      </c>
      <c r="Z143" s="380">
        <f t="shared" ref="Z143:Z206" si="62">Wh_sa_s*(1-Psa_s)</f>
        <v>224.29542825625177</v>
      </c>
      <c r="AA143" s="381">
        <f t="shared" ref="AA143:AA206" si="63">Wh_hp*(1-Pvg_s*MEDIAN((-Sdif+Wh/Env_an)/Csdif,0,1))</f>
        <v>236.04112907885019</v>
      </c>
      <c r="AB143" s="193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4.9761246560868284E-2</v>
      </c>
      <c r="AD143" s="227">
        <f>(INDEX(Models!$BJ143:$BT143,,AH143)*(1-AF143)+INDEX(Models!$BJ143:$BT143,,AH143+1)*AF143-ERP_i)*AE143*Ramure*Pc/MaxiM</f>
        <v>1.8702227348428577E-4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9.4835078191493949E-2</v>
      </c>
      <c r="AG143" s="801">
        <f t="shared" si="49"/>
        <v>2</v>
      </c>
      <c r="AH143" s="172">
        <f t="shared" ref="AH143:AH206" si="67">MIN(MATCH(Hp_vg_s,Echel_vg),10)</f>
        <v>8</v>
      </c>
      <c r="AI143" s="221">
        <f t="shared" ref="AI143:AI206" si="68">IF(OR(t&lt;Ttai,Notai),Hdd_s+PousH*Croivg,Hdtai_s+PousH*(Croivg-Croi_tai))</f>
        <v>2.0948350781914939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46152</v>
      </c>
      <c r="B144" s="406">
        <f>'2025'!Wh/'2025'!Env_an*'2026'!Env_an</f>
        <v>218.66575845606664</v>
      </c>
      <c r="C144" s="831"/>
      <c r="D144" s="388">
        <f t="shared" si="50"/>
        <v>223.8999673243346</v>
      </c>
      <c r="E144" s="380">
        <f t="shared" ref="E144:E169" si="72">Wh_pvt/(1-Psa)</f>
        <v>225.91800148355452</v>
      </c>
      <c r="F144" s="380">
        <f t="shared" si="51"/>
        <v>225.95535879858423</v>
      </c>
      <c r="G144" s="110">
        <f t="shared" ref="G144:G169" si="73">+Wh_hp/MaxiM</f>
        <v>0.92018080116502199</v>
      </c>
      <c r="H144" s="409" t="b">
        <f>Wh_hp&gt;='2025'!Maxi_hp</f>
        <v>0</v>
      </c>
      <c r="I144" s="375">
        <f>IF(H144,Wh_hp,'2025'!Maxi_hp)</f>
        <v>225.95994154835185</v>
      </c>
      <c r="J144" s="85">
        <f>IF(H144,An,'2025'!An_max)</f>
        <v>2022</v>
      </c>
      <c r="K144" s="193">
        <f t="shared" si="52"/>
        <v>46152</v>
      </c>
      <c r="L144" s="143">
        <f>IF(t&lt;Tvie,1-EXP((T0-t)*PertePVj)+'2025'!Pspv,1-EXP((T0-t)*PertePVj)+Pspv)</f>
        <v>2.3377443645116069E-2</v>
      </c>
      <c r="M144" s="835"/>
      <c r="N144" s="835"/>
      <c r="O144" s="48">
        <f>IF(t&lt;Tnet,'2025'!Resal+('2025'!Salim-'2025'!Resal)*(1-EXP(('2025'!Tnet-t)/('2025'!Tau_j))),Resal+(Salim-Resal)*(1-EXP((Tnet-t)/(Tau_j))))*Salcycl</f>
        <v>8.9325956584598281E-3</v>
      </c>
      <c r="P144" s="334">
        <f>(INDEX(Models!$BJ144:$BT144,,T144)*(1-R144)+INDEX(Models!$BJ144:$BT144,,T144+1)*R144-ERP_i)*Q144*Ramure*Pc/MaxiM</f>
        <v>1.8660317184834591E-4</v>
      </c>
      <c r="Q144" s="301">
        <f t="shared" si="53"/>
        <v>0.5</v>
      </c>
      <c r="R144" s="173">
        <f t="shared" si="54"/>
        <v>9.8310071738211935E-2</v>
      </c>
      <c r="S144" s="801">
        <f t="shared" si="55"/>
        <v>2</v>
      </c>
      <c r="T144" s="172">
        <f t="shared" si="56"/>
        <v>8</v>
      </c>
      <c r="U144" s="247">
        <f t="shared" si="57"/>
        <v>2.0983100717382119</v>
      </c>
      <c r="V144" s="378">
        <f t="shared" si="58"/>
        <v>237.62841585873099</v>
      </c>
      <c r="W144" s="397">
        <f t="shared" si="59"/>
        <v>218.66575845606664</v>
      </c>
      <c r="X144" s="153">
        <f t="shared" si="60"/>
        <v>46152</v>
      </c>
      <c r="Y144" s="380">
        <f t="shared" si="61"/>
        <v>209.64302784022649</v>
      </c>
      <c r="Z144" s="380">
        <f t="shared" si="62"/>
        <v>214.66125933307509</v>
      </c>
      <c r="AA144" s="381">
        <f t="shared" si="63"/>
        <v>225.91800148355452</v>
      </c>
      <c r="AB144" s="193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4.9826671963096508E-2</v>
      </c>
      <c r="AD144" s="227">
        <f>(INDEX(Models!$BJ144:$BT144,,AH144)*(1-AF144)+INDEX(Models!$BJ144:$BT144,,AH144+1)*AF144-ERP_i)*AE144*Ramure*Pc/MaxiM</f>
        <v>1.8660317184834591E-4</v>
      </c>
      <c r="AE144" s="301">
        <f t="shared" si="65"/>
        <v>0.5</v>
      </c>
      <c r="AF144" s="173">
        <f t="shared" si="66"/>
        <v>9.8310071738211935E-2</v>
      </c>
      <c r="AG144" s="801">
        <f t="shared" ref="AG144:AG207" si="74">INDEX(Echel_vg,AH144)</f>
        <v>2</v>
      </c>
      <c r="AH144" s="172">
        <f t="shared" si="67"/>
        <v>8</v>
      </c>
      <c r="AI144" s="221">
        <f t="shared" si="68"/>
        <v>2.0983100717382119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46153</v>
      </c>
      <c r="B145" s="406">
        <f>'2025'!Wh/'2025'!Env_an*'2026'!Env_an</f>
        <v>235.52221281944688</v>
      </c>
      <c r="C145" s="831"/>
      <c r="D145" s="388">
        <f t="shared" si="50"/>
        <v>241.1632164671289</v>
      </c>
      <c r="E145" s="380">
        <f t="shared" si="72"/>
        <v>243.35771610659091</v>
      </c>
      <c r="F145" s="380">
        <f t="shared" si="51"/>
        <v>243.40233171813395</v>
      </c>
      <c r="G145" s="110">
        <f t="shared" si="73"/>
        <v>0.98970685110288081</v>
      </c>
      <c r="H145" s="409" t="b">
        <f>Wh_hp&gt;='2025'!Maxi_hp</f>
        <v>0</v>
      </c>
      <c r="I145" s="375">
        <f>IF(H145,Wh_hp,'2025'!Maxi_hp)</f>
        <v>243.40296531394188</v>
      </c>
      <c r="J145" s="85">
        <f>IF(H145,An,'2025'!An_max)</f>
        <v>2022</v>
      </c>
      <c r="K145" s="193">
        <f t="shared" si="52"/>
        <v>46153</v>
      </c>
      <c r="L145" s="143">
        <f>IF(t&lt;Tvie,1-EXP((T0-t)*PertePVj)+'2025'!Pspv,1-EXP((T0-t)*PertePVj)+Pspv)</f>
        <v>2.3390812787782322E-2</v>
      </c>
      <c r="M145" s="835"/>
      <c r="N145" s="835"/>
      <c r="O145" s="48">
        <f>IF(t&lt;Tnet,'2025'!Resal+('2025'!Salim-'2025'!Resal)*(1-EXP(('2025'!Tnet-t)/('2025'!Tau_j))),Resal+(Salim-Resal)*(1-EXP((Tnet-t)/(Tau_j))))*Salcycl</f>
        <v>9.0175880780407665E-3</v>
      </c>
      <c r="P145" s="334">
        <f>(INDEX(Models!$BJ145:$BT145,,T145)*(1-R145)+INDEX(Models!$BJ145:$BT145,,T145+1)*R145-ERP_i)*Q145*Ramure*Pc/MaxiM</f>
        <v>1.8603467985421751E-4</v>
      </c>
      <c r="Q145" s="301">
        <f t="shared" si="53"/>
        <v>0.5</v>
      </c>
      <c r="R145" s="173">
        <f t="shared" si="54"/>
        <v>0.10186637279657607</v>
      </c>
      <c r="S145" s="801">
        <f t="shared" si="55"/>
        <v>2</v>
      </c>
      <c r="T145" s="172">
        <f t="shared" si="56"/>
        <v>8</v>
      </c>
      <c r="U145" s="247">
        <f t="shared" si="57"/>
        <v>2.1018663727965761</v>
      </c>
      <c r="V145" s="378">
        <f t="shared" si="58"/>
        <v>237.97103993607325</v>
      </c>
      <c r="W145" s="397">
        <f t="shared" si="59"/>
        <v>235.52221281944688</v>
      </c>
      <c r="X145" s="153">
        <f t="shared" si="60"/>
        <v>46153</v>
      </c>
      <c r="Y145" s="380">
        <f t="shared" si="61"/>
        <v>225.80763480392045</v>
      </c>
      <c r="Z145" s="380">
        <f t="shared" si="62"/>
        <v>231.21596413453801</v>
      </c>
      <c r="AA145" s="381">
        <f t="shared" si="63"/>
        <v>243.35771610659091</v>
      </c>
      <c r="AB145" s="193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4.9892611445838939E-2</v>
      </c>
      <c r="AD145" s="227">
        <f>(INDEX(Models!$BJ145:$BT145,,AH145)*(1-AF145)+INDEX(Models!$BJ145:$BT145,,AH145+1)*AF145-ERP_i)*AE145*Ramure*Pc/MaxiM</f>
        <v>1.8603467985421751E-4</v>
      </c>
      <c r="AE145" s="301">
        <f t="shared" si="65"/>
        <v>0.5</v>
      </c>
      <c r="AF145" s="173">
        <f t="shared" si="66"/>
        <v>0.10186637279657607</v>
      </c>
      <c r="AG145" s="801">
        <f t="shared" si="74"/>
        <v>2</v>
      </c>
      <c r="AH145" s="172">
        <f t="shared" si="67"/>
        <v>8</v>
      </c>
      <c r="AI145" s="221">
        <f t="shared" si="68"/>
        <v>2.1018663727965761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46154</v>
      </c>
      <c r="B146" s="406">
        <f>'2025'!Wh/'2025'!Env_an*'2026'!Env_an</f>
        <v>176.8991789132381</v>
      </c>
      <c r="C146" s="831"/>
      <c r="D146" s="388">
        <f t="shared" si="50"/>
        <v>181.13857914092466</v>
      </c>
      <c r="E146" s="380">
        <f t="shared" si="72"/>
        <v>182.80257277927322</v>
      </c>
      <c r="F146" s="380">
        <f t="shared" si="51"/>
        <v>182.82398120045309</v>
      </c>
      <c r="G146" s="110">
        <f t="shared" si="73"/>
        <v>0.74228081523536904</v>
      </c>
      <c r="H146" s="409" t="b">
        <f>Wh_hp&gt;='2025'!Maxi_hp</f>
        <v>0</v>
      </c>
      <c r="I146" s="375">
        <f>IF(H146,Wh_hp,'2025'!Maxi_hp)</f>
        <v>182.83583092034419</v>
      </c>
      <c r="J146" s="85">
        <f>IF(H146,An,'2025'!An_max)</f>
        <v>2022</v>
      </c>
      <c r="K146" s="193">
        <f t="shared" si="52"/>
        <v>46154</v>
      </c>
      <c r="L146" s="143">
        <f>IF(t&lt;Tvie,1-EXP((T0-t)*PertePVj)+'2025'!Pspv,1-EXP((T0-t)*PertePVj)+Pspv)</f>
        <v>2.3404181747436192E-2</v>
      </c>
      <c r="M146" s="835"/>
      <c r="N146" s="835"/>
      <c r="O146" s="48">
        <f>IF(t&lt;Tnet,'2025'!Resal+('2025'!Salim-'2025'!Resal)*(1-EXP(('2025'!Tnet-t)/('2025'!Tau_j))),Resal+(Salim-Resal)*(1-EXP((Tnet-t)/(Tau_j))))*Salcycl</f>
        <v>9.1026817240573779E-3</v>
      </c>
      <c r="P146" s="334">
        <f>(INDEX(Models!$BJ146:$BT146,,T146)*(1-R146)+INDEX(Models!$BJ146:$BT146,,T146+1)*R146-ERP_i)*Q146*Ramure*Pc/MaxiM</f>
        <v>1.8531121002049678E-4</v>
      </c>
      <c r="Q146" s="301">
        <f t="shared" si="53"/>
        <v>0.5</v>
      </c>
      <c r="R146" s="173">
        <f t="shared" si="54"/>
        <v>0.1055037604444049</v>
      </c>
      <c r="S146" s="801">
        <f t="shared" si="55"/>
        <v>2</v>
      </c>
      <c r="T146" s="172">
        <f t="shared" si="56"/>
        <v>8</v>
      </c>
      <c r="U146" s="247">
        <f t="shared" si="57"/>
        <v>2.1055037604444049</v>
      </c>
      <c r="V146" s="378">
        <f t="shared" si="58"/>
        <v>238.30214536606658</v>
      </c>
      <c r="W146" s="397">
        <f t="shared" si="59"/>
        <v>176.8991789132381</v>
      </c>
      <c r="X146" s="153">
        <f t="shared" si="60"/>
        <v>46154</v>
      </c>
      <c r="Y146" s="380">
        <f t="shared" si="61"/>
        <v>169.60532891205867</v>
      </c>
      <c r="Z146" s="380">
        <f t="shared" si="62"/>
        <v>173.66993155421841</v>
      </c>
      <c r="AA146" s="381">
        <f t="shared" si="63"/>
        <v>182.80257277927322</v>
      </c>
      <c r="AB146" s="193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4.9959040981781493E-2</v>
      </c>
      <c r="AD146" s="227">
        <f>(INDEX(Models!$BJ146:$BT146,,AH146)*(1-AF146)+INDEX(Models!$BJ146:$BT146,,AH146+1)*AF146-ERP_i)*AE146*Ramure*Pc/MaxiM</f>
        <v>1.8531121002049678E-4</v>
      </c>
      <c r="AE146" s="301">
        <f t="shared" si="65"/>
        <v>0.5</v>
      </c>
      <c r="AF146" s="173">
        <f t="shared" si="66"/>
        <v>0.1055037604444049</v>
      </c>
      <c r="AG146" s="801">
        <f t="shared" si="74"/>
        <v>2</v>
      </c>
      <c r="AH146" s="172">
        <f t="shared" si="67"/>
        <v>8</v>
      </c>
      <c r="AI146" s="221">
        <f t="shared" si="68"/>
        <v>2.1055037604444049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46155</v>
      </c>
      <c r="B147" s="406">
        <f>'2025'!Wh/'2025'!Env_an*'2026'!Env_an</f>
        <v>168.09098842012637</v>
      </c>
      <c r="C147" s="831"/>
      <c r="D147" s="388">
        <f t="shared" si="50"/>
        <v>172.12165599569389</v>
      </c>
      <c r="E147" s="380">
        <f t="shared" si="72"/>
        <v>173.71775280802166</v>
      </c>
      <c r="F147" s="380">
        <f t="shared" si="51"/>
        <v>173.73626477732472</v>
      </c>
      <c r="G147" s="110">
        <f t="shared" si="73"/>
        <v>0.70436803513537571</v>
      </c>
      <c r="H147" s="409" t="b">
        <f>Wh_hp&gt;='2025'!Maxi_hp</f>
        <v>0</v>
      </c>
      <c r="I147" s="375">
        <f>IF(H147,Wh_hp,'2025'!Maxi_hp)</f>
        <v>173.74909777889465</v>
      </c>
      <c r="J147" s="85">
        <f>IF(H147,An,'2025'!An_max)</f>
        <v>2022</v>
      </c>
      <c r="K147" s="193">
        <f t="shared" si="52"/>
        <v>46155</v>
      </c>
      <c r="L147" s="143">
        <f>IF(t&lt;Tvie,1-EXP((T0-t)*PertePVj)+'2025'!Pspv,1-EXP((T0-t)*PertePVj)+Pspv)</f>
        <v>2.3417550524080233E-2</v>
      </c>
      <c r="M147" s="835"/>
      <c r="N147" s="835"/>
      <c r="O147" s="48">
        <f>IF(t&lt;Tnet,'2025'!Resal+('2025'!Salim-'2025'!Resal)*(1-EXP(('2025'!Tnet-t)/('2025'!Tau_j))),Resal+(Salim-Resal)*(1-EXP((Tnet-t)/(Tau_j))))*Salcycl</f>
        <v>9.187873930718132E-3</v>
      </c>
      <c r="P147" s="334">
        <f>(INDEX(Models!$BJ147:$BT147,,T147)*(1-R147)+INDEX(Models!$BJ147:$BT147,,T147+1)*R147-ERP_i)*Q147*Ramure*Pc/MaxiM</f>
        <v>1.8442697568024573E-4</v>
      </c>
      <c r="Q147" s="301">
        <f t="shared" si="53"/>
        <v>0.5</v>
      </c>
      <c r="R147" s="173">
        <f t="shared" si="54"/>
        <v>0.10922186356985719</v>
      </c>
      <c r="S147" s="801">
        <f t="shared" si="55"/>
        <v>2</v>
      </c>
      <c r="T147" s="172">
        <f t="shared" si="56"/>
        <v>8</v>
      </c>
      <c r="U147" s="247">
        <f t="shared" si="57"/>
        <v>2.1092218635698572</v>
      </c>
      <c r="V147" s="378">
        <f t="shared" si="58"/>
        <v>238.62226645952512</v>
      </c>
      <c r="W147" s="397">
        <f t="shared" si="59"/>
        <v>168.09098842012637</v>
      </c>
      <c r="X147" s="153">
        <f t="shared" si="60"/>
        <v>46155</v>
      </c>
      <c r="Y147" s="380">
        <f t="shared" si="61"/>
        <v>161.16282328648072</v>
      </c>
      <c r="Z147" s="380">
        <f t="shared" si="62"/>
        <v>165.02735982299117</v>
      </c>
      <c r="AA147" s="381">
        <f t="shared" si="63"/>
        <v>173.71775280802166</v>
      </c>
      <c r="AB147" s="193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5.0025934854420952E-2</v>
      </c>
      <c r="AD147" s="227">
        <f>(INDEX(Models!$BJ147:$BT147,,AH147)*(1-AF147)+INDEX(Models!$BJ147:$BT147,,AH147+1)*AF147-ERP_i)*AE147*Ramure*Pc/MaxiM</f>
        <v>1.8442697568024573E-4</v>
      </c>
      <c r="AE147" s="301">
        <f t="shared" si="65"/>
        <v>0.5</v>
      </c>
      <c r="AF147" s="173">
        <f t="shared" si="66"/>
        <v>0.10922186356985719</v>
      </c>
      <c r="AG147" s="801">
        <f t="shared" si="74"/>
        <v>2</v>
      </c>
      <c r="AH147" s="172">
        <f t="shared" si="67"/>
        <v>8</v>
      </c>
      <c r="AI147" s="221">
        <f t="shared" si="68"/>
        <v>2.1092218635698572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46156</v>
      </c>
      <c r="B148" s="406">
        <f>'2025'!Wh/'2025'!Env_an*'2026'!Env_an</f>
        <v>207.38821874573091</v>
      </c>
      <c r="C148" s="831"/>
      <c r="D148" s="388">
        <f t="shared" si="50"/>
        <v>212.36410491141669</v>
      </c>
      <c r="E148" s="380">
        <f t="shared" si="72"/>
        <v>214.3518240067834</v>
      </c>
      <c r="F148" s="380">
        <f t="shared" si="51"/>
        <v>214.38372245538429</v>
      </c>
      <c r="G148" s="110">
        <f t="shared" si="73"/>
        <v>0.86795029334163676</v>
      </c>
      <c r="H148" s="409" t="b">
        <f>Wh_hp&gt;='2025'!Maxi_hp</f>
        <v>0</v>
      </c>
      <c r="I148" s="375">
        <f>IF(H148,Wh_hp,'2025'!Maxi_hp)</f>
        <v>214.39074224471946</v>
      </c>
      <c r="J148" s="85">
        <f>IF(H148,An,'2025'!An_max)</f>
        <v>2022</v>
      </c>
      <c r="K148" s="193">
        <f t="shared" si="52"/>
        <v>46156</v>
      </c>
      <c r="L148" s="143">
        <f>IF(t&lt;Tvie,1-EXP((T0-t)*PertePVj)+'2025'!Pspv,1-EXP((T0-t)*PertePVj)+Pspv)</f>
        <v>2.3430919117716997E-2</v>
      </c>
      <c r="M148" s="835"/>
      <c r="N148" s="835"/>
      <c r="O148" s="48">
        <f>IF(t&lt;Tnet,'2025'!Resal+('2025'!Salim-'2025'!Resal)*(1-EXP(('2025'!Tnet-t)/('2025'!Tau_j))),Resal+(Salim-Resal)*(1-EXP((Tnet-t)/(Tau_j))))*Salcycl</f>
        <v>9.2731615631309328E-3</v>
      </c>
      <c r="P148" s="334">
        <f>(INDEX(Models!$BJ148:$BT148,,T148)*(1-R148)+INDEX(Models!$BJ148:$BT148,,T148+1)*R148-ERP_i)*Q148*Ramure*Pc/MaxiM</f>
        <v>1.8337600559668239E-4</v>
      </c>
      <c r="Q148" s="301">
        <f t="shared" si="53"/>
        <v>0.5</v>
      </c>
      <c r="R148" s="173">
        <f t="shared" si="54"/>
        <v>0.11302015513545927</v>
      </c>
      <c r="S148" s="801">
        <f t="shared" si="55"/>
        <v>2</v>
      </c>
      <c r="T148" s="172">
        <f t="shared" si="56"/>
        <v>8</v>
      </c>
      <c r="U148" s="247">
        <f t="shared" si="57"/>
        <v>2.1130201551354593</v>
      </c>
      <c r="V148" s="378">
        <f t="shared" si="58"/>
        <v>238.93193749008591</v>
      </c>
      <c r="W148" s="397">
        <f t="shared" si="59"/>
        <v>207.38821874573091</v>
      </c>
      <c r="X148" s="153">
        <f t="shared" si="60"/>
        <v>46156</v>
      </c>
      <c r="Y148" s="380">
        <f t="shared" si="61"/>
        <v>198.843372323106</v>
      </c>
      <c r="Z148" s="380">
        <f t="shared" si="62"/>
        <v>203.61424113843603</v>
      </c>
      <c r="AA148" s="381">
        <f t="shared" si="63"/>
        <v>214.3518240067834</v>
      </c>
      <c r="AB148" s="193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5.0093265677121503E-2</v>
      </c>
      <c r="AD148" s="227">
        <f>(INDEX(Models!$BJ148:$BT148,,AH148)*(1-AF148)+INDEX(Models!$BJ148:$BT148,,AH148+1)*AF148-ERP_i)*AE148*Ramure*Pc/MaxiM</f>
        <v>1.8337600559668239E-4</v>
      </c>
      <c r="AE148" s="301">
        <f t="shared" si="65"/>
        <v>0.5</v>
      </c>
      <c r="AF148" s="173">
        <f t="shared" si="66"/>
        <v>0.11302015513545927</v>
      </c>
      <c r="AG148" s="801">
        <f t="shared" si="74"/>
        <v>2</v>
      </c>
      <c r="AH148" s="172">
        <f t="shared" si="67"/>
        <v>8</v>
      </c>
      <c r="AI148" s="221">
        <f t="shared" si="68"/>
        <v>2.1130201551354593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46157</v>
      </c>
      <c r="B149" s="406">
        <f>'2025'!Wh/'2025'!Env_an*'2026'!Env_an</f>
        <v>218.20571504661476</v>
      </c>
      <c r="C149" s="831"/>
      <c r="D149" s="388">
        <f t="shared" si="50"/>
        <v>223.44420524082403</v>
      </c>
      <c r="E149" s="380">
        <f t="shared" si="72"/>
        <v>225.55507162897425</v>
      </c>
      <c r="F149" s="380">
        <f t="shared" si="51"/>
        <v>225.59100508417734</v>
      </c>
      <c r="G149" s="110">
        <f t="shared" si="73"/>
        <v>0.91209894814940029</v>
      </c>
      <c r="H149" s="409" t="b">
        <f>Wh_hp&gt;='2025'!Maxi_hp</f>
        <v>0</v>
      </c>
      <c r="I149" s="375">
        <f>IF(H149,Wh_hp,'2025'!Maxi_hp)</f>
        <v>225.59588021543425</v>
      </c>
      <c r="J149" s="85">
        <f>IF(H149,An,'2025'!An_max)</f>
        <v>2022</v>
      </c>
      <c r="K149" s="193">
        <f t="shared" si="52"/>
        <v>46157</v>
      </c>
      <c r="L149" s="143">
        <f>IF(t&lt;Tvie,1-EXP((T0-t)*PertePVj)+'2025'!Pspv,1-EXP((T0-t)*PertePVj)+Pspv)</f>
        <v>2.3444287528348928E-2</v>
      </c>
      <c r="M149" s="835"/>
      <c r="N149" s="835"/>
      <c r="O149" s="48">
        <f>IF(t&lt;Tnet,'2025'!Resal+('2025'!Salim-'2025'!Resal)*(1-EXP(('2025'!Tnet-t)/('2025'!Tau_j))),Resal+(Salim-Resal)*(1-EXP((Tnet-t)/(Tau_j))))*Salcycl</f>
        <v>9.3585410113166071E-3</v>
      </c>
      <c r="P149" s="334">
        <f>(INDEX(Models!$BJ149:$BT149,,T149)*(1-R149)+INDEX(Models!$BJ149:$BT149,,T149+1)*R149-ERP_i)*Q149*Ramure*Pc/MaxiM</f>
        <v>1.8215403882945879E-4</v>
      </c>
      <c r="Q149" s="301">
        <f t="shared" si="53"/>
        <v>0.5</v>
      </c>
      <c r="R149" s="173">
        <f t="shared" si="54"/>
        <v>0.11689794685049915</v>
      </c>
      <c r="S149" s="801">
        <f t="shared" si="55"/>
        <v>2</v>
      </c>
      <c r="T149" s="172">
        <f t="shared" si="56"/>
        <v>8</v>
      </c>
      <c r="U149" s="247">
        <f t="shared" si="57"/>
        <v>2.1168979468504991</v>
      </c>
      <c r="V149" s="378">
        <f t="shared" si="58"/>
        <v>239.2292247733406</v>
      </c>
      <c r="W149" s="397">
        <f t="shared" si="59"/>
        <v>218.20571504661476</v>
      </c>
      <c r="X149" s="153">
        <f t="shared" si="60"/>
        <v>46157</v>
      </c>
      <c r="Y149" s="380">
        <f t="shared" si="61"/>
        <v>209.21827501658763</v>
      </c>
      <c r="Z149" s="380">
        <f t="shared" si="62"/>
        <v>214.24100268387005</v>
      </c>
      <c r="AA149" s="381">
        <f t="shared" si="63"/>
        <v>225.55507162897425</v>
      </c>
      <c r="AB149" s="193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5.0161004420752824E-2</v>
      </c>
      <c r="AD149" s="227">
        <f>(INDEX(Models!$BJ149:$BT149,,AH149)*(1-AF149)+INDEX(Models!$BJ149:$BT149,,AH149+1)*AF149-ERP_i)*AE149*Ramure*Pc/MaxiM</f>
        <v>1.8215403882945879E-4</v>
      </c>
      <c r="AE149" s="301">
        <f t="shared" si="65"/>
        <v>0.5</v>
      </c>
      <c r="AF149" s="173">
        <f t="shared" si="66"/>
        <v>0.11689794685049915</v>
      </c>
      <c r="AG149" s="801">
        <f t="shared" si="74"/>
        <v>2</v>
      </c>
      <c r="AH149" s="172">
        <f t="shared" si="67"/>
        <v>8</v>
      </c>
      <c r="AI149" s="221">
        <f t="shared" si="68"/>
        <v>2.1168979468504991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46158</v>
      </c>
      <c r="B150" s="406">
        <f>'2025'!Wh/'2025'!Env_an*'2026'!Env_an</f>
        <v>211.01575450419574</v>
      </c>
      <c r="C150" s="831"/>
      <c r="D150" s="388">
        <f t="shared" si="50"/>
        <v>216.08459248897296</v>
      </c>
      <c r="E150" s="380">
        <f t="shared" si="72"/>
        <v>218.1447533251565</v>
      </c>
      <c r="F150" s="380">
        <f t="shared" si="51"/>
        <v>218.17751424169828</v>
      </c>
      <c r="G150" s="110">
        <f t="shared" si="73"/>
        <v>0.8809960430753474</v>
      </c>
      <c r="H150" s="409" t="b">
        <f>Wh_hp&gt;='2025'!Maxi_hp</f>
        <v>0</v>
      </c>
      <c r="I150" s="375">
        <f>IF(H150,Wh_hp,'2025'!Maxi_hp)</f>
        <v>218.18384203188552</v>
      </c>
      <c r="J150" s="85">
        <f>IF(H150,An,'2025'!An_max)</f>
        <v>2022</v>
      </c>
      <c r="K150" s="193">
        <f t="shared" si="52"/>
        <v>46158</v>
      </c>
      <c r="L150" s="143">
        <f>IF(t&lt;Tvie,1-EXP((T0-t)*PertePVj)+'2025'!Pspv,1-EXP((T0-t)*PertePVj)+Pspv)</f>
        <v>2.3457655755978468E-2</v>
      </c>
      <c r="M150" s="835"/>
      <c r="N150" s="835"/>
      <c r="O150" s="48">
        <f>IF(t&lt;Tnet,'2025'!Resal+('2025'!Salim-'2025'!Resal)*(1-EXP(('2025'!Tnet-t)/('2025'!Tau_j))),Resal+(Salim-Resal)*(1-EXP((Tnet-t)/(Tau_j))))*Salcycl</f>
        <v>9.4440081862191827E-3</v>
      </c>
      <c r="P150" s="334">
        <f>(INDEX(Models!$BJ150:$BT150,,T150)*(1-R150)+INDEX(Models!$BJ150:$BT150,,T150+1)*R150-ERP_i)*Q150*Ramure*Pc/MaxiM</f>
        <v>1.8090504038020214E-4</v>
      </c>
      <c r="Q150" s="301">
        <f t="shared" si="53"/>
        <v>0.5</v>
      </c>
      <c r="R150" s="173">
        <f t="shared" si="54"/>
        <v>0.12085438431162521</v>
      </c>
      <c r="S150" s="801">
        <f t="shared" si="55"/>
        <v>2</v>
      </c>
      <c r="T150" s="172">
        <f t="shared" si="56"/>
        <v>8</v>
      </c>
      <c r="U150" s="247">
        <f t="shared" si="57"/>
        <v>2.1208543843116252</v>
      </c>
      <c r="V150" s="378">
        <f t="shared" si="58"/>
        <v>239.5121600167835</v>
      </c>
      <c r="W150" s="397">
        <f t="shared" si="59"/>
        <v>211.01575450419574</v>
      </c>
      <c r="X150" s="153">
        <f t="shared" si="60"/>
        <v>46158</v>
      </c>
      <c r="Y150" s="380">
        <f t="shared" si="61"/>
        <v>202.3274003797917</v>
      </c>
      <c r="Z150" s="380">
        <f t="shared" si="62"/>
        <v>207.18753423480169</v>
      </c>
      <c r="AA150" s="381">
        <f t="shared" si="63"/>
        <v>218.1447533251565</v>
      </c>
      <c r="AB150" s="193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5.0229120450229238E-2</v>
      </c>
      <c r="AD150" s="227">
        <f>(INDEX(Models!$BJ150:$BT150,,AH150)*(1-AF150)+INDEX(Models!$BJ150:$BT150,,AH150+1)*AF150-ERP_i)*AE150*Ramure*Pc/MaxiM</f>
        <v>1.8090504038020214E-4</v>
      </c>
      <c r="AE150" s="301">
        <f t="shared" si="65"/>
        <v>0.5</v>
      </c>
      <c r="AF150" s="173">
        <f t="shared" si="66"/>
        <v>0.12085438431162521</v>
      </c>
      <c r="AG150" s="801">
        <f t="shared" si="74"/>
        <v>2</v>
      </c>
      <c r="AH150" s="172">
        <f t="shared" si="67"/>
        <v>8</v>
      </c>
      <c r="AI150" s="221">
        <f t="shared" si="68"/>
        <v>2.1208543843116252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46159</v>
      </c>
      <c r="B151" s="406">
        <f>'2025'!Wh/'2025'!Env_an*'2026'!Env_an</f>
        <v>230.03912565546202</v>
      </c>
      <c r="C151" s="831"/>
      <c r="D151" s="388">
        <f t="shared" si="50"/>
        <v>235.56815134228202</v>
      </c>
      <c r="E151" s="380">
        <f t="shared" si="72"/>
        <v>237.83461017753856</v>
      </c>
      <c r="F151" s="380">
        <f t="shared" si="51"/>
        <v>237.87486887856971</v>
      </c>
      <c r="G151" s="110">
        <f t="shared" si="73"/>
        <v>0.95936070932210105</v>
      </c>
      <c r="H151" s="409" t="b">
        <f>Wh_hp&gt;='2025'!Maxi_hp</f>
        <v>0</v>
      </c>
      <c r="I151" s="375">
        <f>IF(H151,Wh_hp,'2025'!Maxi_hp)</f>
        <v>237.87720454038168</v>
      </c>
      <c r="J151" s="85">
        <f>IF(H151,An,'2025'!An_max)</f>
        <v>2022</v>
      </c>
      <c r="K151" s="193">
        <f t="shared" si="52"/>
        <v>46159</v>
      </c>
      <c r="L151" s="143">
        <f>IF(t&lt;Tvie,1-EXP((T0-t)*PertePVj)+'2025'!Pspv,1-EXP((T0-t)*PertePVj)+Pspv)</f>
        <v>2.3471023800608282E-2</v>
      </c>
      <c r="M151" s="835"/>
      <c r="N151" s="835"/>
      <c r="O151" s="48">
        <f>IF(t&lt;Tnet,'2025'!Resal+('2025'!Salim-'2025'!Resal)*(1-EXP(('2025'!Tnet-t)/('2025'!Tau_j))),Resal+(Salim-Resal)*(1-EXP((Tnet-t)/(Tau_j))))*Salcycl</f>
        <v>9.5295585178485909E-3</v>
      </c>
      <c r="P151" s="334">
        <f>(INDEX(Models!$BJ151:$BT151,,T151)*(1-R151)+INDEX(Models!$BJ151:$BT151,,T151+1)*R151-ERP_i)*Q151*Ramure*Pc/MaxiM</f>
        <v>1.7967166026893334E-4</v>
      </c>
      <c r="Q151" s="301">
        <f t="shared" si="53"/>
        <v>0.5</v>
      </c>
      <c r="R151" s="173">
        <f t="shared" si="54"/>
        <v>0.12488844267159882</v>
      </c>
      <c r="S151" s="801">
        <f t="shared" si="55"/>
        <v>2</v>
      </c>
      <c r="T151" s="172">
        <f t="shared" si="56"/>
        <v>8</v>
      </c>
      <c r="U151" s="247">
        <f t="shared" si="57"/>
        <v>2.1248884426715988</v>
      </c>
      <c r="V151" s="378">
        <f t="shared" si="58"/>
        <v>239.78126689717377</v>
      </c>
      <c r="W151" s="397">
        <f t="shared" si="59"/>
        <v>230.03912565546202</v>
      </c>
      <c r="X151" s="153">
        <f t="shared" si="60"/>
        <v>46159</v>
      </c>
      <c r="Y151" s="380">
        <f t="shared" si="61"/>
        <v>220.57065493196197</v>
      </c>
      <c r="Z151" s="380">
        <f t="shared" si="62"/>
        <v>225.87210447191578</v>
      </c>
      <c r="AA151" s="381">
        <f t="shared" si="63"/>
        <v>237.83461017753856</v>
      </c>
      <c r="AB151" s="193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5.0297581570205543E-2</v>
      </c>
      <c r="AD151" s="227">
        <f>(INDEX(Models!$BJ151:$BT151,,AH151)*(1-AF151)+INDEX(Models!$BJ151:$BT151,,AH151+1)*AF151-ERP_i)*AE151*Ramure*Pc/MaxiM</f>
        <v>1.7967166026893334E-4</v>
      </c>
      <c r="AE151" s="301">
        <f t="shared" si="65"/>
        <v>0.5</v>
      </c>
      <c r="AF151" s="173">
        <f t="shared" si="66"/>
        <v>0.12488844267159882</v>
      </c>
      <c r="AG151" s="801">
        <f t="shared" si="74"/>
        <v>2</v>
      </c>
      <c r="AH151" s="172">
        <f t="shared" si="67"/>
        <v>8</v>
      </c>
      <c r="AI151" s="221">
        <f t="shared" si="68"/>
        <v>2.1248884426715988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46160</v>
      </c>
      <c r="B152" s="406">
        <f>'2025'!Wh/'2025'!Env_an*'2026'!Env_an</f>
        <v>220.93633985026452</v>
      </c>
      <c r="C152" s="831"/>
      <c r="D152" s="388">
        <f t="shared" si="50"/>
        <v>226.24967585141417</v>
      </c>
      <c r="E152" s="380">
        <f t="shared" si="72"/>
        <v>228.44622905307978</v>
      </c>
      <c r="F152" s="380">
        <f t="shared" si="51"/>
        <v>228.48236733433797</v>
      </c>
      <c r="G152" s="110">
        <f t="shared" si="73"/>
        <v>0.9204072040064083</v>
      </c>
      <c r="H152" s="409" t="b">
        <f>Wh_hp&gt;='2025'!Maxi_hp</f>
        <v>0</v>
      </c>
      <c r="I152" s="375">
        <f>IF(H152,Wh_hp,'2025'!Maxi_hp)</f>
        <v>228.48672372776667</v>
      </c>
      <c r="J152" s="85">
        <f>IF(H152,An,'2025'!An_max)</f>
        <v>2022</v>
      </c>
      <c r="K152" s="193">
        <f t="shared" si="52"/>
        <v>46160</v>
      </c>
      <c r="L152" s="143">
        <f>IF(t&lt;Tvie,1-EXP((T0-t)*PertePVj)+'2025'!Pspv,1-EXP((T0-t)*PertePVj)+Pspv)</f>
        <v>2.3484391662240811E-2</v>
      </c>
      <c r="M152" s="835"/>
      <c r="N152" s="835"/>
      <c r="O152" s="48">
        <f>IF(t&lt;Tnet,'2025'!Resal+('2025'!Salim-'2025'!Resal)*(1-EXP(('2025'!Tnet-t)/('2025'!Tau_j))),Resal+(Salim-Resal)*(1-EXP((Tnet-t)/(Tau_j))))*Salcycl</f>
        <v>9.6151869556805967E-3</v>
      </c>
      <c r="P152" s="334">
        <f>(INDEX(Models!$BJ152:$BT152,,T152)*(1-R152)+INDEX(Models!$BJ152:$BT152,,T152+1)*R152-ERP_i)*Q152*Ramure*Pc/MaxiM</f>
        <v>1.7845262439383335E-4</v>
      </c>
      <c r="Q152" s="301">
        <f t="shared" si="53"/>
        <v>0.5</v>
      </c>
      <c r="R152" s="173">
        <f t="shared" si="54"/>
        <v>0.12899892289555615</v>
      </c>
      <c r="S152" s="801">
        <f t="shared" si="55"/>
        <v>2</v>
      </c>
      <c r="T152" s="172">
        <f t="shared" si="56"/>
        <v>8</v>
      </c>
      <c r="U152" s="247">
        <f t="shared" si="57"/>
        <v>2.1289989228955561</v>
      </c>
      <c r="V152" s="378">
        <f t="shared" si="58"/>
        <v>240.03707952478578</v>
      </c>
      <c r="W152" s="397">
        <f t="shared" si="59"/>
        <v>220.93633985026452</v>
      </c>
      <c r="X152" s="153">
        <f t="shared" si="60"/>
        <v>46160</v>
      </c>
      <c r="Y152" s="380">
        <f t="shared" si="61"/>
        <v>211.84551617191667</v>
      </c>
      <c r="Z152" s="380">
        <f t="shared" si="62"/>
        <v>216.94022539232483</v>
      </c>
      <c r="AA152" s="381">
        <f t="shared" si="63"/>
        <v>228.44622905307978</v>
      </c>
      <c r="AB152" s="193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5.0366354080117068E-2</v>
      </c>
      <c r="AD152" s="227">
        <f>(INDEX(Models!$BJ152:$BT152,,AH152)*(1-AF152)+INDEX(Models!$BJ152:$BT152,,AH152+1)*AF152-ERP_i)*AE152*Ramure*Pc/MaxiM</f>
        <v>1.7845262439383335E-4</v>
      </c>
      <c r="AE152" s="301">
        <f t="shared" si="65"/>
        <v>0.5</v>
      </c>
      <c r="AF152" s="173">
        <f t="shared" si="66"/>
        <v>0.12899892289555615</v>
      </c>
      <c r="AG152" s="801">
        <f t="shared" si="74"/>
        <v>2</v>
      </c>
      <c r="AH152" s="172">
        <f t="shared" si="67"/>
        <v>8</v>
      </c>
      <c r="AI152" s="221">
        <f t="shared" si="68"/>
        <v>2.1289989228955561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46161</v>
      </c>
      <c r="B153" s="406">
        <f>'2025'!Wh/'2025'!Env_an*'2026'!Env_an</f>
        <v>225.52623055692484</v>
      </c>
      <c r="C153" s="831"/>
      <c r="D153" s="388">
        <f t="shared" si="50"/>
        <v>230.95311118251882</v>
      </c>
      <c r="E153" s="380">
        <f t="shared" si="72"/>
        <v>233.21550870567165</v>
      </c>
      <c r="F153" s="380">
        <f t="shared" si="51"/>
        <v>233.25322550570701</v>
      </c>
      <c r="G153" s="110">
        <f t="shared" si="73"/>
        <v>0.93858248607423478</v>
      </c>
      <c r="H153" s="409" t="b">
        <f>Wh_hp&gt;='2025'!Maxi_hp</f>
        <v>0</v>
      </c>
      <c r="I153" s="375">
        <f>IF(H153,Wh_hp,'2025'!Maxi_hp)</f>
        <v>233.25662834485334</v>
      </c>
      <c r="J153" s="85">
        <f>IF(H153,An,'2025'!An_max)</f>
        <v>2022</v>
      </c>
      <c r="K153" s="193">
        <f t="shared" si="52"/>
        <v>46161</v>
      </c>
      <c r="L153" s="143">
        <f>IF(t&lt;Tvie,1-EXP((T0-t)*PertePVj)+'2025'!Pspv,1-EXP((T0-t)*PertePVj)+Pspv)</f>
        <v>2.3497759340878499E-2</v>
      </c>
      <c r="M153" s="835"/>
      <c r="N153" s="835"/>
      <c r="O153" s="48">
        <f>IF(t&lt;Tnet,'2025'!Resal+('2025'!Salim-'2025'!Resal)*(1-EXP(('2025'!Tnet-t)/('2025'!Tau_j))),Resal+(Salim-Resal)*(1-EXP((Tnet-t)/(Tau_j))))*Salcycl</f>
        <v>9.7008879714258322E-3</v>
      </c>
      <c r="P153" s="334">
        <f>(INDEX(Models!$BJ153:$BT153,,T153)*(1-R153)+INDEX(Models!$BJ153:$BT153,,T153+1)*R153-ERP_i)*Q153*Ramure*Pc/MaxiM</f>
        <v>1.7724675452927642E-4</v>
      </c>
      <c r="Q153" s="301">
        <f t="shared" si="53"/>
        <v>0.5</v>
      </c>
      <c r="R153" s="173">
        <f t="shared" si="54"/>
        <v>0.13318444866285262</v>
      </c>
      <c r="S153" s="801">
        <f t="shared" si="55"/>
        <v>2</v>
      </c>
      <c r="T153" s="172">
        <f t="shared" si="56"/>
        <v>8</v>
      </c>
      <c r="U153" s="247">
        <f t="shared" si="57"/>
        <v>2.1331844486628526</v>
      </c>
      <c r="V153" s="378">
        <f t="shared" si="58"/>
        <v>240.28013189743237</v>
      </c>
      <c r="W153" s="397">
        <f t="shared" si="59"/>
        <v>225.52623055692484</v>
      </c>
      <c r="X153" s="153">
        <f t="shared" si="60"/>
        <v>46161</v>
      </c>
      <c r="Y153" s="380">
        <f t="shared" si="61"/>
        <v>216.24953679845251</v>
      </c>
      <c r="Z153" s="380">
        <f t="shared" si="62"/>
        <v>221.45319057587409</v>
      </c>
      <c r="AA153" s="381">
        <f t="shared" si="63"/>
        <v>233.21550870567165</v>
      </c>
      <c r="AB153" s="193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5.0435402838677132E-2</v>
      </c>
      <c r="AD153" s="227">
        <f>(INDEX(Models!$BJ153:$BT153,,AH153)*(1-AF153)+INDEX(Models!$BJ153:$BT153,,AH153+1)*AF153-ERP_i)*AE153*Ramure*Pc/MaxiM</f>
        <v>1.7724675452927642E-4</v>
      </c>
      <c r="AE153" s="301">
        <f t="shared" si="65"/>
        <v>0.5</v>
      </c>
      <c r="AF153" s="173">
        <f t="shared" si="66"/>
        <v>0.13318444866285262</v>
      </c>
      <c r="AG153" s="801">
        <f t="shared" si="74"/>
        <v>2</v>
      </c>
      <c r="AH153" s="172">
        <f t="shared" si="67"/>
        <v>8</v>
      </c>
      <c r="AI153" s="221">
        <f t="shared" si="68"/>
        <v>2.1331844486628526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46162</v>
      </c>
      <c r="B154" s="406">
        <f>'2025'!Wh/'2025'!Env_an*'2026'!Env_an</f>
        <v>202.27875195798003</v>
      </c>
      <c r="C154" s="831"/>
      <c r="D154" s="388">
        <f t="shared" si="50"/>
        <v>207.14905977645085</v>
      </c>
      <c r="E154" s="380">
        <f t="shared" si="72"/>
        <v>209.19639281824979</v>
      </c>
      <c r="F154" s="380">
        <f t="shared" si="51"/>
        <v>209.22486272452753</v>
      </c>
      <c r="G154" s="110">
        <f t="shared" si="73"/>
        <v>0.84100394244510901</v>
      </c>
      <c r="H154" s="409" t="b">
        <f>Wh_hp&gt;='2025'!Maxi_hp</f>
        <v>0</v>
      </c>
      <c r="I154" s="375">
        <f>IF(H154,Wh_hp,'2025'!Maxi_hp)</f>
        <v>209.23269880862148</v>
      </c>
      <c r="J154" s="85">
        <f>IF(H154,An,'2025'!An_max)</f>
        <v>2022</v>
      </c>
      <c r="K154" s="193">
        <f t="shared" si="52"/>
        <v>46162</v>
      </c>
      <c r="L154" s="143">
        <f>IF(t&lt;Tvie,1-EXP((T0-t)*PertePVj)+'2025'!Pspv,1-EXP((T0-t)*PertePVj)+Pspv)</f>
        <v>2.3511126836523899E-2</v>
      </c>
      <c r="M154" s="835"/>
      <c r="N154" s="835"/>
      <c r="O154" s="48">
        <f>IF(t&lt;Tnet,'2025'!Resal+('2025'!Salim-'2025'!Resal)*(1-EXP(('2025'!Tnet-t)/('2025'!Tau_j))),Resal+(Salim-Resal)*(1-EXP((Tnet-t)/(Tau_j))))*Salcycl</f>
        <v>9.7866555642651364E-3</v>
      </c>
      <c r="P154" s="334">
        <f>(INDEX(Models!$BJ154:$BT154,,T154)*(1-R154)+INDEX(Models!$BJ154:$BT154,,T154+1)*R154-ERP_i)*Q154*Ramure*Pc/MaxiM</f>
        <v>1.7605297197973691E-4</v>
      </c>
      <c r="Q154" s="301">
        <f t="shared" si="53"/>
        <v>0.5</v>
      </c>
      <c r="R154" s="173">
        <f t="shared" si="54"/>
        <v>0.13744346397051332</v>
      </c>
      <c r="S154" s="801">
        <f t="shared" si="55"/>
        <v>2</v>
      </c>
      <c r="T154" s="172">
        <f t="shared" si="56"/>
        <v>8</v>
      </c>
      <c r="U154" s="247">
        <f t="shared" si="57"/>
        <v>2.1374434639705133</v>
      </c>
      <c r="V154" s="378">
        <f t="shared" si="58"/>
        <v>240.51095791573798</v>
      </c>
      <c r="W154" s="397">
        <f t="shared" si="59"/>
        <v>202.27875195798003</v>
      </c>
      <c r="X154" s="153">
        <f t="shared" si="60"/>
        <v>46162</v>
      </c>
      <c r="Y154" s="380">
        <f t="shared" si="61"/>
        <v>193.96095508648031</v>
      </c>
      <c r="Z154" s="380">
        <f t="shared" si="62"/>
        <v>198.63099356996861</v>
      </c>
      <c r="AA154" s="381">
        <f t="shared" si="63"/>
        <v>209.19639281824979</v>
      </c>
      <c r="AB154" s="193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5.050469133786837E-2</v>
      </c>
      <c r="AD154" s="227">
        <f>(INDEX(Models!$BJ154:$BT154,,AH154)*(1-AF154)+INDEX(Models!$BJ154:$BT154,,AH154+1)*AF154-ERP_i)*AE154*Ramure*Pc/MaxiM</f>
        <v>1.7605297197973691E-4</v>
      </c>
      <c r="AE154" s="301">
        <f t="shared" si="65"/>
        <v>0.5</v>
      </c>
      <c r="AF154" s="173">
        <f t="shared" si="66"/>
        <v>0.13744346397051332</v>
      </c>
      <c r="AG154" s="801">
        <f t="shared" si="74"/>
        <v>2</v>
      </c>
      <c r="AH154" s="172">
        <f t="shared" si="67"/>
        <v>8</v>
      </c>
      <c r="AI154" s="221">
        <f t="shared" si="68"/>
        <v>2.1374434639705133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46163</v>
      </c>
      <c r="B155" s="406">
        <f>'2025'!Wh/'2025'!Env_an*'2026'!Env_an</f>
        <v>209.58326349048369</v>
      </c>
      <c r="C155" s="831"/>
      <c r="D155" s="388">
        <f t="shared" si="50"/>
        <v>214.63238169796185</v>
      </c>
      <c r="E155" s="380">
        <f t="shared" si="72"/>
        <v>216.77246422411463</v>
      </c>
      <c r="F155" s="380">
        <f t="shared" si="51"/>
        <v>216.80336912387043</v>
      </c>
      <c r="G155" s="110">
        <f t="shared" si="73"/>
        <v>0.87058700113004972</v>
      </c>
      <c r="H155" s="409" t="b">
        <f>Wh_hp&gt;='2025'!Maxi_hp</f>
        <v>0</v>
      </c>
      <c r="I155" s="375">
        <f>IF(H155,Wh_hp,'2025'!Maxi_hp)</f>
        <v>216.80992389695143</v>
      </c>
      <c r="J155" s="85">
        <f>IF(H155,An,'2025'!An_max)</f>
        <v>2022</v>
      </c>
      <c r="K155" s="193">
        <f t="shared" si="52"/>
        <v>46163</v>
      </c>
      <c r="L155" s="143">
        <f>IF(t&lt;Tvie,1-EXP((T0-t)*PertePVj)+'2025'!Pspv,1-EXP((T0-t)*PertePVj)+Pspv)</f>
        <v>2.3524494149179453E-2</v>
      </c>
      <c r="M155" s="835"/>
      <c r="N155" s="835"/>
      <c r="O155" s="48">
        <f>IF(t&lt;Tnet,'2025'!Resal+('2025'!Salim-'2025'!Resal)*(1-EXP(('2025'!Tnet-t)/('2025'!Tau_j))),Resal+(Salim-Resal)*(1-EXP((Tnet-t)/(Tau_j))))*Salcycl</f>
        <v>9.8724832686324423E-3</v>
      </c>
      <c r="P155" s="334">
        <f>(INDEX(Models!$BJ155:$BT155,,T155)*(1-R155)+INDEX(Models!$BJ155:$BT155,,T155+1)*R155-ERP_i)*Q155*Ramure*Pc/MaxiM</f>
        <v>1.7487030108758505E-4</v>
      </c>
      <c r="Q155" s="301">
        <f t="shared" si="53"/>
        <v>0.5</v>
      </c>
      <c r="R155" s="173">
        <f t="shared" si="54"/>
        <v>0.14177423149145607</v>
      </c>
      <c r="S155" s="801">
        <f t="shared" si="55"/>
        <v>2</v>
      </c>
      <c r="T155" s="172">
        <f t="shared" si="56"/>
        <v>8</v>
      </c>
      <c r="U155" s="247">
        <f t="shared" si="57"/>
        <v>2.1417742314914561</v>
      </c>
      <c r="V155" s="378">
        <f t="shared" si="58"/>
        <v>240.73009136590861</v>
      </c>
      <c r="W155" s="397">
        <f t="shared" si="59"/>
        <v>209.58326349048369</v>
      </c>
      <c r="X155" s="153">
        <f t="shared" si="60"/>
        <v>46163</v>
      </c>
      <c r="Y155" s="380">
        <f t="shared" si="61"/>
        <v>200.96781279266162</v>
      </c>
      <c r="Z155" s="380">
        <f t="shared" si="62"/>
        <v>205.80937421216191</v>
      </c>
      <c r="AA155" s="381">
        <f t="shared" si="63"/>
        <v>216.77246422411463</v>
      </c>
      <c r="AB155" s="193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5.0574181786383635E-2</v>
      </c>
      <c r="AD155" s="227">
        <f>(INDEX(Models!$BJ155:$BT155,,AH155)*(1-AF155)+INDEX(Models!$BJ155:$BT155,,AH155+1)*AF155-ERP_i)*AE155*Ramure*Pc/MaxiM</f>
        <v>1.7487030108758505E-4</v>
      </c>
      <c r="AE155" s="301">
        <f t="shared" si="65"/>
        <v>0.5</v>
      </c>
      <c r="AF155" s="173">
        <f t="shared" si="66"/>
        <v>0.14177423149145607</v>
      </c>
      <c r="AG155" s="801">
        <f t="shared" si="74"/>
        <v>2</v>
      </c>
      <c r="AH155" s="172">
        <f t="shared" si="67"/>
        <v>8</v>
      </c>
      <c r="AI155" s="221">
        <f t="shared" si="68"/>
        <v>2.1417742314914561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46164</v>
      </c>
      <c r="B156" s="406">
        <f>'2025'!Wh/'2025'!Env_an*'2026'!Env_an</f>
        <v>156.08020232470156</v>
      </c>
      <c r="C156" s="831"/>
      <c r="D156" s="388">
        <f t="shared" si="50"/>
        <v>159.84255419172305</v>
      </c>
      <c r="E156" s="380">
        <f t="shared" si="72"/>
        <v>161.45033542639729</v>
      </c>
      <c r="F156" s="380">
        <f t="shared" si="51"/>
        <v>161.46427706626395</v>
      </c>
      <c r="G156" s="110">
        <f t="shared" si="73"/>
        <v>0.64774557934591825</v>
      </c>
      <c r="H156" s="409" t="b">
        <f>Wh_hp&gt;='2025'!Maxi_hp</f>
        <v>0</v>
      </c>
      <c r="I156" s="375">
        <f>IF(H156,Wh_hp,'2025'!Maxi_hp)</f>
        <v>161.47746440788973</v>
      </c>
      <c r="J156" s="85">
        <f>IF(H156,An,'2025'!An_max)</f>
        <v>2022</v>
      </c>
      <c r="K156" s="193">
        <f t="shared" si="52"/>
        <v>46164</v>
      </c>
      <c r="L156" s="143">
        <f>IF(t&lt;Tvie,1-EXP((T0-t)*PertePVj)+'2025'!Pspv,1-EXP((T0-t)*PertePVj)+Pspv)</f>
        <v>2.3537861278847827E-2</v>
      </c>
      <c r="M156" s="835"/>
      <c r="N156" s="835"/>
      <c r="O156" s="48">
        <f>IF(t&lt;Tnet,'2025'!Resal+('2025'!Salim-'2025'!Resal)*(1-EXP(('2025'!Tnet-t)/('2025'!Tau_j))),Resal+(Salim-Resal)*(1-EXP((Tnet-t)/(Tau_j))))*Salcycl</f>
        <v>9.9583641646084076E-3</v>
      </c>
      <c r="P156" s="334">
        <f>(INDEX(Models!$BJ156:$BT156,,T156)*(1-R156)+INDEX(Models!$BJ156:$BT156,,T156+1)*R156-ERP_i)*Q156*Ramure*Pc/MaxiM</f>
        <v>1.7378131966132226E-4</v>
      </c>
      <c r="Q156" s="301">
        <f t="shared" si="53"/>
        <v>0.5</v>
      </c>
      <c r="R156" s="173">
        <f t="shared" si="54"/>
        <v>0.14617483173701151</v>
      </c>
      <c r="S156" s="801">
        <f t="shared" si="55"/>
        <v>2</v>
      </c>
      <c r="T156" s="172">
        <f t="shared" si="56"/>
        <v>8</v>
      </c>
      <c r="U156" s="247">
        <f t="shared" si="57"/>
        <v>2.1461748317370115</v>
      </c>
      <c r="V156" s="378">
        <f t="shared" si="58"/>
        <v>240.9380458173211</v>
      </c>
      <c r="W156" s="397">
        <f t="shared" si="59"/>
        <v>156.08020232470156</v>
      </c>
      <c r="X156" s="153">
        <f t="shared" si="60"/>
        <v>46164</v>
      </c>
      <c r="Y156" s="380">
        <f t="shared" si="61"/>
        <v>149.66613212663933</v>
      </c>
      <c r="Z156" s="380">
        <f t="shared" si="62"/>
        <v>153.27387124569242</v>
      </c>
      <c r="AA156" s="381">
        <f t="shared" si="63"/>
        <v>161.45033542639729</v>
      </c>
      <c r="AB156" s="193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5.064383520238893E-2</v>
      </c>
      <c r="AD156" s="227">
        <f>(INDEX(Models!$BJ156:$BT156,,AH156)*(1-AF156)+INDEX(Models!$BJ156:$BT156,,AH156+1)*AF156-ERP_i)*AE156*Ramure*Pc/MaxiM</f>
        <v>1.7378131966132226E-4</v>
      </c>
      <c r="AE156" s="301">
        <f t="shared" si="65"/>
        <v>0.5</v>
      </c>
      <c r="AF156" s="173">
        <f t="shared" si="66"/>
        <v>0.14617483173701151</v>
      </c>
      <c r="AG156" s="801">
        <f t="shared" si="74"/>
        <v>2</v>
      </c>
      <c r="AH156" s="172">
        <f t="shared" si="67"/>
        <v>8</v>
      </c>
      <c r="AI156" s="221">
        <f t="shared" si="68"/>
        <v>2.1461748317370115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46165</v>
      </c>
      <c r="B157" s="406">
        <f>'2025'!Wh/'2025'!Env_an*'2026'!Env_an</f>
        <v>73.781581479709018</v>
      </c>
      <c r="C157" s="831"/>
      <c r="D157" s="388">
        <f t="shared" si="50"/>
        <v>75.561139111914855</v>
      </c>
      <c r="E157" s="380">
        <f t="shared" si="72"/>
        <v>76.327797715233714</v>
      </c>
      <c r="F157" s="380">
        <f t="shared" si="51"/>
        <v>76.327910388736882</v>
      </c>
      <c r="G157" s="110">
        <f t="shared" si="73"/>
        <v>0.30592337682522891</v>
      </c>
      <c r="H157" s="409" t="b">
        <f>Wh_hp&gt;='2025'!Maxi_hp</f>
        <v>0</v>
      </c>
      <c r="I157" s="375">
        <f>IF(H157,Wh_hp,'2025'!Maxi_hp)</f>
        <v>76.340118544005392</v>
      </c>
      <c r="J157" s="85">
        <f>IF(H157,An,'2025'!An_max)</f>
        <v>2022</v>
      </c>
      <c r="K157" s="193">
        <f t="shared" si="52"/>
        <v>46165</v>
      </c>
      <c r="L157" s="143">
        <f>IF(t&lt;Tvie,1-EXP((T0-t)*PertePVj)+'2025'!Pspv,1-EXP((T0-t)*PertePVj)+Pspv)</f>
        <v>2.3551228225531351E-2</v>
      </c>
      <c r="M157" s="835"/>
      <c r="N157" s="835"/>
      <c r="O157" s="48">
        <f>IF(t&lt;Tnet,'2025'!Resal+('2025'!Salim-'2025'!Resal)*(1-EXP(('2025'!Tnet-t)/('2025'!Tau_j))),Resal+(Salim-Resal)*(1-EXP((Tnet-t)/(Tau_j))))*Salcycl</f>
        <v>1.0044290890969186E-2</v>
      </c>
      <c r="P157" s="334">
        <f>(INDEX(Models!$BJ157:$BT157,,T157)*(1-R157)+INDEX(Models!$BJ157:$BT157,,T157+1)*R157-ERP_i)*Q157*Ramure*Pc/MaxiM</f>
        <v>1.7291710758718639E-4</v>
      </c>
      <c r="Q157" s="301">
        <f t="shared" si="53"/>
        <v>0.5</v>
      </c>
      <c r="R157" s="173">
        <f t="shared" si="54"/>
        <v>0.15064316306878389</v>
      </c>
      <c r="S157" s="801">
        <f t="shared" si="55"/>
        <v>2</v>
      </c>
      <c r="T157" s="172">
        <f t="shared" si="56"/>
        <v>8</v>
      </c>
      <c r="U157" s="247">
        <f t="shared" si="57"/>
        <v>2.1506431630687839</v>
      </c>
      <c r="V157" s="378">
        <f t="shared" si="58"/>
        <v>241.13532298052678</v>
      </c>
      <c r="W157" s="397">
        <f t="shared" si="59"/>
        <v>73.781581479709018</v>
      </c>
      <c r="X157" s="153">
        <f t="shared" si="60"/>
        <v>46165</v>
      </c>
      <c r="Y157" s="380">
        <f t="shared" si="61"/>
        <v>70.750489516942139</v>
      </c>
      <c r="Z157" s="380">
        <f t="shared" si="62"/>
        <v>72.456939434077597</v>
      </c>
      <c r="AA157" s="381">
        <f t="shared" si="63"/>
        <v>76.327797715233714</v>
      </c>
      <c r="AB157" s="193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5.0713611515396328E-2</v>
      </c>
      <c r="AD157" s="227">
        <f>(INDEX(Models!$BJ157:$BT157,,AH157)*(1-AF157)+INDEX(Models!$BJ157:$BT157,,AH157+1)*AF157-ERP_i)*AE157*Ramure*Pc/MaxiM</f>
        <v>1.7291710758718639E-4</v>
      </c>
      <c r="AE157" s="301">
        <f t="shared" si="65"/>
        <v>0.5</v>
      </c>
      <c r="AF157" s="173">
        <f t="shared" si="66"/>
        <v>0.15064316306878389</v>
      </c>
      <c r="AG157" s="801">
        <f t="shared" si="74"/>
        <v>2</v>
      </c>
      <c r="AH157" s="172">
        <f t="shared" si="67"/>
        <v>8</v>
      </c>
      <c r="AI157" s="221">
        <f t="shared" si="68"/>
        <v>2.1506431630687839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46166</v>
      </c>
      <c r="B158" s="406">
        <f>'2025'!Wh/'2025'!Env_an*'2026'!Env_an</f>
        <v>68.907334394565638</v>
      </c>
      <c r="C158" s="831"/>
      <c r="D158" s="388">
        <f t="shared" si="50"/>
        <v>70.570294810034852</v>
      </c>
      <c r="E158" s="380">
        <f t="shared" si="72"/>
        <v>71.292506123775993</v>
      </c>
      <c r="F158" s="380">
        <f t="shared" si="51"/>
        <v>71.292506123775993</v>
      </c>
      <c r="G158" s="110">
        <f t="shared" si="73"/>
        <v>0.28549130625904801</v>
      </c>
      <c r="H158" s="409" t="b">
        <f>Wh_hp&gt;='2025'!Maxi_hp</f>
        <v>0</v>
      </c>
      <c r="I158" s="375">
        <f>IF(H158,Wh_hp,'2025'!Maxi_hp)</f>
        <v>71.303952619231396</v>
      </c>
      <c r="J158" s="85">
        <f>IF(H158,An,'2025'!An_max)</f>
        <v>2022</v>
      </c>
      <c r="K158" s="193">
        <f t="shared" si="52"/>
        <v>46166</v>
      </c>
      <c r="L158" s="143">
        <f>IF(t&lt;Tvie,1-EXP((T0-t)*PertePVj)+'2025'!Pspv,1-EXP((T0-t)*PertePVj)+Pspv)</f>
        <v>2.3564594989232579E-2</v>
      </c>
      <c r="M158" s="835"/>
      <c r="N158" s="835"/>
      <c r="O158" s="48">
        <f>IF(t&lt;Tnet,'2025'!Resal+('2025'!Salim-'2025'!Resal)*(1-EXP(('2025'!Tnet-t)/('2025'!Tau_j))),Resal+(Salim-Resal)*(1-EXP((Tnet-t)/(Tau_j))))*Salcycl</f>
        <v>1.0130255660914233E-2</v>
      </c>
      <c r="P158" s="334">
        <f>(INDEX(Models!$BJ158:$BT158,,T158)*(1-R158)+INDEX(Models!$BJ158:$BT158,,T158+1)*R158-ERP_i)*Q158*Ramure*Pc/MaxiM</f>
        <v>1.7228160508250825E-4</v>
      </c>
      <c r="Q158" s="301">
        <f t="shared" si="53"/>
        <v>0.5</v>
      </c>
      <c r="R158" s="173">
        <f t="shared" si="54"/>
        <v>0.15517694259961345</v>
      </c>
      <c r="S158" s="801">
        <f t="shared" si="55"/>
        <v>2</v>
      </c>
      <c r="T158" s="172">
        <f t="shared" si="56"/>
        <v>8</v>
      </c>
      <c r="U158" s="247">
        <f t="shared" si="57"/>
        <v>2.1551769425996135</v>
      </c>
      <c r="V158" s="378">
        <f t="shared" si="58"/>
        <v>241.32245507287038</v>
      </c>
      <c r="W158" s="397">
        <f t="shared" si="59"/>
        <v>68.907334394565638</v>
      </c>
      <c r="X158" s="153">
        <f t="shared" si="60"/>
        <v>46166</v>
      </c>
      <c r="Y158" s="380">
        <f t="shared" si="61"/>
        <v>66.077361432529969</v>
      </c>
      <c r="Z158" s="380">
        <f t="shared" si="62"/>
        <v>67.67202530084549</v>
      </c>
      <c r="AA158" s="381">
        <f t="shared" si="63"/>
        <v>71.292506123775993</v>
      </c>
      <c r="AB158" s="193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5.0783469676949397E-2</v>
      </c>
      <c r="AD158" s="227">
        <f>(INDEX(Models!$BJ158:$BT158,,AH158)*(1-AF158)+INDEX(Models!$BJ158:$BT158,,AH158+1)*AF158-ERP_i)*AE158*Ramure*Pc/MaxiM</f>
        <v>1.7228160508250825E-4</v>
      </c>
      <c r="AE158" s="301">
        <f t="shared" si="65"/>
        <v>0.5</v>
      </c>
      <c r="AF158" s="173">
        <f t="shared" si="66"/>
        <v>0.15517694259961345</v>
      </c>
      <c r="AG158" s="801">
        <f t="shared" si="74"/>
        <v>2</v>
      </c>
      <c r="AH158" s="172">
        <f t="shared" si="67"/>
        <v>8</v>
      </c>
      <c r="AI158" s="221">
        <f t="shared" si="68"/>
        <v>2.1551769425996135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46167</v>
      </c>
      <c r="B159" s="406">
        <f>'2025'!Wh/'2025'!Env_an*'2026'!Env_an</f>
        <v>170.98487014777555</v>
      </c>
      <c r="C159" s="831"/>
      <c r="D159" s="388">
        <f t="shared" si="50"/>
        <v>175.113694097581</v>
      </c>
      <c r="E159" s="380">
        <f t="shared" si="72"/>
        <v>176.92116499912544</v>
      </c>
      <c r="F159" s="380">
        <f t="shared" si="51"/>
        <v>176.93889150231419</v>
      </c>
      <c r="G159" s="110">
        <f t="shared" si="73"/>
        <v>0.70796119468731411</v>
      </c>
      <c r="H159" s="409" t="b">
        <f>Wh_hp&gt;='2025'!Maxi_hp</f>
        <v>0</v>
      </c>
      <c r="I159" s="375">
        <f>IF(H159,Wh_hp,'2025'!Maxi_hp)</f>
        <v>176.95070353905541</v>
      </c>
      <c r="J159" s="85">
        <f>IF(H159,An,'2025'!An_max)</f>
        <v>2022</v>
      </c>
      <c r="K159" s="193">
        <f t="shared" si="52"/>
        <v>46167</v>
      </c>
      <c r="L159" s="143">
        <f>IF(t&lt;Tvie,1-EXP((T0-t)*PertePVj)+'2025'!Pspv,1-EXP((T0-t)*PertePVj)+Pspv)</f>
        <v>2.3577961569954065E-2</v>
      </c>
      <c r="M159" s="835"/>
      <c r="N159" s="835"/>
      <c r="O159" s="48">
        <f>IF(t&lt;Tnet,'2025'!Resal+('2025'!Salim-'2025'!Resal)*(1-EXP(('2025'!Tnet-t)/('2025'!Tau_j))),Resal+(Salim-Resal)*(1-EXP((Tnet-t)/(Tau_j))))*Salcycl</f>
        <v>1.0216250280475851E-2</v>
      </c>
      <c r="P159" s="334">
        <f>(INDEX(Models!$BJ159:$BT159,,T159)*(1-R159)+INDEX(Models!$BJ159:$BT159,,T159+1)*R159-ERP_i)*Q159*Ramure*Pc/MaxiM</f>
        <v>1.7187983028446106E-4</v>
      </c>
      <c r="Q159" s="301">
        <f t="shared" si="53"/>
        <v>0.5</v>
      </c>
      <c r="R159" s="173">
        <f t="shared" si="54"/>
        <v>0.15977370801733048</v>
      </c>
      <c r="S159" s="801">
        <f t="shared" si="55"/>
        <v>2</v>
      </c>
      <c r="T159" s="172">
        <f t="shared" si="56"/>
        <v>8</v>
      </c>
      <c r="U159" s="247">
        <f t="shared" si="57"/>
        <v>2.1597737080173305</v>
      </c>
      <c r="V159" s="378">
        <f t="shared" si="58"/>
        <v>241.49997394722382</v>
      </c>
      <c r="W159" s="397">
        <f t="shared" si="59"/>
        <v>170.98487014777555</v>
      </c>
      <c r="X159" s="153">
        <f t="shared" si="60"/>
        <v>46167</v>
      </c>
      <c r="Y159" s="380">
        <f t="shared" si="61"/>
        <v>163.96481929246471</v>
      </c>
      <c r="Z159" s="380">
        <f t="shared" si="62"/>
        <v>167.92412792740512</v>
      </c>
      <c r="AA159" s="381">
        <f t="shared" si="63"/>
        <v>176.92116499912544</v>
      </c>
      <c r="AB159" s="193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5.0853367779738354E-2</v>
      </c>
      <c r="AD159" s="227">
        <f>(INDEX(Models!$BJ159:$BT159,,AH159)*(1-AF159)+INDEX(Models!$BJ159:$BT159,,AH159+1)*AF159-ERP_i)*AE159*Ramure*Pc/MaxiM</f>
        <v>1.7187983028446106E-4</v>
      </c>
      <c r="AE159" s="301">
        <f t="shared" si="65"/>
        <v>0.5</v>
      </c>
      <c r="AF159" s="173">
        <f t="shared" si="66"/>
        <v>0.15977370801733048</v>
      </c>
      <c r="AG159" s="801">
        <f t="shared" si="74"/>
        <v>2</v>
      </c>
      <c r="AH159" s="172">
        <f t="shared" si="67"/>
        <v>8</v>
      </c>
      <c r="AI159" s="221">
        <f t="shared" si="68"/>
        <v>2.1597737080173305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46168</v>
      </c>
      <c r="B160" s="406">
        <f>'2025'!Wh/'2025'!Env_an*'2026'!Env_an</f>
        <v>109.95802029513261</v>
      </c>
      <c r="C160" s="831"/>
      <c r="D160" s="388">
        <f t="shared" si="50"/>
        <v>112.61475183978597</v>
      </c>
      <c r="E160" s="380">
        <f t="shared" si="72"/>
        <v>113.78701596489985</v>
      </c>
      <c r="F160" s="380">
        <f t="shared" si="51"/>
        <v>113.79134253036156</v>
      </c>
      <c r="G160" s="110">
        <f t="shared" si="73"/>
        <v>0.45493458698132688</v>
      </c>
      <c r="H160" s="409" t="b">
        <f>Wh_hp&gt;='2025'!Maxi_hp</f>
        <v>0</v>
      </c>
      <c r="I160" s="375">
        <f>IF(H160,Wh_hp,'2025'!Maxi_hp)</f>
        <v>113.80549834136734</v>
      </c>
      <c r="J160" s="85">
        <f>IF(H160,An,'2025'!An_max)</f>
        <v>2022</v>
      </c>
      <c r="K160" s="193">
        <f t="shared" si="52"/>
        <v>46168</v>
      </c>
      <c r="L160" s="143">
        <f>IF(t&lt;Tvie,1-EXP((T0-t)*PertePVj)+'2025'!Pspv,1-EXP((T0-t)*PertePVj)+Pspv)</f>
        <v>2.3591327967698361E-2</v>
      </c>
      <c r="M160" s="835"/>
      <c r="N160" s="835"/>
      <c r="O160" s="48">
        <f>IF(t&lt;Tnet,'2025'!Resal+('2025'!Salim-'2025'!Resal)*(1-EXP(('2025'!Tnet-t)/('2025'!Tau_j))),Resal+(Salim-Resal)*(1-EXP((Tnet-t)/(Tau_j))))*Salcycl</f>
        <v>1.0302266169590879E-2</v>
      </c>
      <c r="P160" s="334">
        <f>(INDEX(Models!$BJ160:$BT160,,T160)*(1-R160)+INDEX(Models!$BJ160:$BT160,,T160+1)*R160-ERP_i)*Q160*Ramure*Pc/MaxiM</f>
        <v>1.7171697633834021E-4</v>
      </c>
      <c r="Q160" s="301">
        <f t="shared" si="53"/>
        <v>0.5</v>
      </c>
      <c r="R160" s="173">
        <f t="shared" si="54"/>
        <v>0.16443082035816303</v>
      </c>
      <c r="S160" s="801">
        <f t="shared" si="55"/>
        <v>2</v>
      </c>
      <c r="T160" s="172">
        <f t="shared" si="56"/>
        <v>8</v>
      </c>
      <c r="U160" s="247">
        <f t="shared" si="57"/>
        <v>2.164430820358163</v>
      </c>
      <c r="V160" s="378">
        <f t="shared" si="58"/>
        <v>241.66841132500258</v>
      </c>
      <c r="W160" s="397">
        <f t="shared" si="59"/>
        <v>109.95802029513261</v>
      </c>
      <c r="X160" s="153">
        <f t="shared" si="60"/>
        <v>46168</v>
      </c>
      <c r="Y160" s="380">
        <f t="shared" si="61"/>
        <v>105.44492072794819</v>
      </c>
      <c r="Z160" s="380">
        <f t="shared" si="62"/>
        <v>107.99260980392015</v>
      </c>
      <c r="AA160" s="381">
        <f t="shared" si="63"/>
        <v>113.78701596489985</v>
      </c>
      <c r="AB160" s="193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5.0923263184677575E-2</v>
      </c>
      <c r="AD160" s="227">
        <f>(INDEX(Models!$BJ160:$BT160,,AH160)*(1-AF160)+INDEX(Models!$BJ160:$BT160,,AH160+1)*AF160-ERP_i)*AE160*Ramure*Pc/MaxiM</f>
        <v>1.7171697633834021E-4</v>
      </c>
      <c r="AE160" s="301">
        <f t="shared" si="65"/>
        <v>0.5</v>
      </c>
      <c r="AF160" s="173">
        <f t="shared" si="66"/>
        <v>0.16443082035816303</v>
      </c>
      <c r="AG160" s="801">
        <f t="shared" si="74"/>
        <v>2</v>
      </c>
      <c r="AH160" s="172">
        <f t="shared" si="67"/>
        <v>8</v>
      </c>
      <c r="AI160" s="221">
        <f t="shared" si="68"/>
        <v>2.164430820358163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46169</v>
      </c>
      <c r="B161" s="406">
        <f>'2025'!Wh/'2025'!Env_an*'2026'!Env_an</f>
        <v>185.12557473176165</v>
      </c>
      <c r="C161" s="831"/>
      <c r="D161" s="388">
        <f t="shared" si="50"/>
        <v>189.60104952241315</v>
      </c>
      <c r="E161" s="380">
        <f t="shared" si="72"/>
        <v>191.59135694008009</v>
      </c>
      <c r="F161" s="380">
        <f t="shared" si="51"/>
        <v>191.61324914297671</v>
      </c>
      <c r="G161" s="110">
        <f t="shared" si="73"/>
        <v>0.76548080248650952</v>
      </c>
      <c r="H161" s="409" t="b">
        <f>Wh_hp&gt;='2025'!Maxi_hp</f>
        <v>0</v>
      </c>
      <c r="I161" s="375">
        <f>IF(H161,Wh_hp,'2025'!Maxi_hp)</f>
        <v>191.62350448293552</v>
      </c>
      <c r="J161" s="85">
        <f>IF(H161,An,'2025'!An_max)</f>
        <v>2022</v>
      </c>
      <c r="K161" s="193">
        <f t="shared" si="52"/>
        <v>46169</v>
      </c>
      <c r="L161" s="143">
        <f>IF(t&lt;Tvie,1-EXP((T0-t)*PertePVj)+'2025'!Pspv,1-EXP((T0-t)*PertePVj)+Pspv)</f>
        <v>2.36046941824678E-2</v>
      </c>
      <c r="M161" s="835"/>
      <c r="N161" s="835"/>
      <c r="O161" s="48">
        <f>IF(t&lt;Tnet,'2025'!Resal+('2025'!Salim-'2025'!Resal)*(1-EXP(('2025'!Tnet-t)/('2025'!Tau_j))),Resal+(Salim-Resal)*(1-EXP((Tnet-t)/(Tau_j))))*Salcycl</f>
        <v>1.0388294385792141E-2</v>
      </c>
      <c r="P161" s="334">
        <f>(INDEX(Models!$BJ161:$BT161,,T161)*(1-R161)+INDEX(Models!$BJ161:$BT161,,T161+1)*R161-ERP_i)*Q161*Ramure*Pc/MaxiM</f>
        <v>1.7179839039823072E-4</v>
      </c>
      <c r="Q161" s="301">
        <f t="shared" si="53"/>
        <v>0.5</v>
      </c>
      <c r="R161" s="173">
        <f t="shared" si="54"/>
        <v>0.16914546774913886</v>
      </c>
      <c r="S161" s="801">
        <f t="shared" si="55"/>
        <v>2</v>
      </c>
      <c r="T161" s="172">
        <f t="shared" si="56"/>
        <v>8</v>
      </c>
      <c r="U161" s="247">
        <f t="shared" si="57"/>
        <v>2.1691454677491389</v>
      </c>
      <c r="V161" s="378">
        <f t="shared" si="58"/>
        <v>241.82829877680851</v>
      </c>
      <c r="W161" s="397">
        <f t="shared" si="59"/>
        <v>185.12557473176165</v>
      </c>
      <c r="X161" s="153">
        <f t="shared" si="60"/>
        <v>46169</v>
      </c>
      <c r="Y161" s="380">
        <f t="shared" si="61"/>
        <v>177.52967598036835</v>
      </c>
      <c r="Z161" s="380">
        <f t="shared" si="62"/>
        <v>181.8215172918344</v>
      </c>
      <c r="AA161" s="381">
        <f t="shared" si="63"/>
        <v>191.59135694008009</v>
      </c>
      <c r="AB161" s="193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5.0993112655395953E-2</v>
      </c>
      <c r="AD161" s="227">
        <f>(INDEX(Models!$BJ161:$BT161,,AH161)*(1-AF161)+INDEX(Models!$BJ161:$BT161,,AH161+1)*AF161-ERP_i)*AE161*Ramure*Pc/MaxiM</f>
        <v>1.7179839039823072E-4</v>
      </c>
      <c r="AE161" s="301">
        <f t="shared" si="65"/>
        <v>0.5</v>
      </c>
      <c r="AF161" s="173">
        <f t="shared" si="66"/>
        <v>0.16914546774913886</v>
      </c>
      <c r="AG161" s="801">
        <f t="shared" si="74"/>
        <v>2</v>
      </c>
      <c r="AH161" s="172">
        <f t="shared" si="67"/>
        <v>8</v>
      </c>
      <c r="AI161" s="221">
        <f t="shared" si="68"/>
        <v>2.1691454677491389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46170</v>
      </c>
      <c r="B162" s="406">
        <f>'2025'!Wh/'2025'!Env_an*'2026'!Env_an</f>
        <v>227.76168355489432</v>
      </c>
      <c r="C162" s="831"/>
      <c r="D162" s="388">
        <f t="shared" si="50"/>
        <v>233.27109430647207</v>
      </c>
      <c r="E162" s="380">
        <f t="shared" si="72"/>
        <v>235.74031513614881</v>
      </c>
      <c r="F162" s="380">
        <f t="shared" si="51"/>
        <v>235.77749271506903</v>
      </c>
      <c r="G162" s="110">
        <f t="shared" si="73"/>
        <v>0.94122751583981679</v>
      </c>
      <c r="H162" s="409" t="b">
        <f>Wh_hp&gt;='2025'!Maxi_hp</f>
        <v>0</v>
      </c>
      <c r="I162" s="375">
        <f>IF(H162,Wh_hp,'2025'!Maxi_hp)</f>
        <v>235.7806603297476</v>
      </c>
      <c r="J162" s="85">
        <f>IF(H162,An,'2025'!An_max)</f>
        <v>2022</v>
      </c>
      <c r="K162" s="193">
        <f t="shared" si="52"/>
        <v>46170</v>
      </c>
      <c r="L162" s="143">
        <f>IF(t&lt;Tvie,1-EXP((T0-t)*PertePVj)+'2025'!Pspv,1-EXP((T0-t)*PertePVj)+Pspv)</f>
        <v>2.3618060214265046E-2</v>
      </c>
      <c r="M162" s="835"/>
      <c r="N162" s="835"/>
      <c r="O162" s="48">
        <f>IF(t&lt;Tnet,'2025'!Resal+('2025'!Salim-'2025'!Resal)*(1-EXP(('2025'!Tnet-t)/('2025'!Tau_j))),Resal+(Salim-Resal)*(1-EXP((Tnet-t)/(Tau_j))))*Salcycl</f>
        <v>1.0474325650454284E-2</v>
      </c>
      <c r="P162" s="334">
        <f>(INDEX(Models!$BJ162:$BT162,,T162)*(1-R162)+INDEX(Models!$BJ162:$BT162,,T162+1)*R162-ERP_i)*Q162*Ramure*Pc/MaxiM</f>
        <v>1.7212955132028023E-4</v>
      </c>
      <c r="Q162" s="301">
        <f t="shared" si="53"/>
        <v>0.5</v>
      </c>
      <c r="R162" s="173">
        <f t="shared" si="54"/>
        <v>0.17391467013068107</v>
      </c>
      <c r="S162" s="801">
        <f t="shared" si="55"/>
        <v>2</v>
      </c>
      <c r="T162" s="172">
        <f t="shared" si="56"/>
        <v>8</v>
      </c>
      <c r="U162" s="247">
        <f t="shared" si="57"/>
        <v>2.1739146701306811</v>
      </c>
      <c r="V162" s="378">
        <f t="shared" si="58"/>
        <v>241.98016773465025</v>
      </c>
      <c r="W162" s="397">
        <f t="shared" si="59"/>
        <v>227.76168355489432</v>
      </c>
      <c r="X162" s="153">
        <f t="shared" si="60"/>
        <v>46170</v>
      </c>
      <c r="Y162" s="380">
        <f t="shared" si="61"/>
        <v>218.41931275742652</v>
      </c>
      <c r="Z162" s="380">
        <f t="shared" si="62"/>
        <v>223.70273748135713</v>
      </c>
      <c r="AA162" s="381">
        <f t="shared" si="63"/>
        <v>235.74031513614881</v>
      </c>
      <c r="AB162" s="193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5.1062872499510796E-2</v>
      </c>
      <c r="AD162" s="227">
        <f>(INDEX(Models!$BJ162:$BT162,,AH162)*(1-AF162)+INDEX(Models!$BJ162:$BT162,,AH162+1)*AF162-ERP_i)*AE162*Ramure*Pc/MaxiM</f>
        <v>1.7212955132028023E-4</v>
      </c>
      <c r="AE162" s="301">
        <f t="shared" si="65"/>
        <v>0.5</v>
      </c>
      <c r="AF162" s="173">
        <f t="shared" si="66"/>
        <v>0.17391467013068107</v>
      </c>
      <c r="AG162" s="801">
        <f t="shared" si="74"/>
        <v>2</v>
      </c>
      <c r="AH162" s="172">
        <f t="shared" si="67"/>
        <v>8</v>
      </c>
      <c r="AI162" s="221">
        <f t="shared" si="68"/>
        <v>2.1739146701306811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46171</v>
      </c>
      <c r="B163" s="406">
        <f>'2025'!Wh/'2025'!Env_an*'2026'!Env_an</f>
        <v>248.1037639884035</v>
      </c>
      <c r="C163" s="831"/>
      <c r="D163" s="388">
        <f t="shared" si="50"/>
        <v>254.10871530614816</v>
      </c>
      <c r="E163" s="380">
        <f t="shared" si="72"/>
        <v>256.82083328993258</v>
      </c>
      <c r="F163" s="380">
        <f t="shared" si="51"/>
        <v>256.86519806358928</v>
      </c>
      <c r="G163" s="110">
        <f t="shared" si="73"/>
        <v>1.024695533351327</v>
      </c>
      <c r="H163" s="409" t="b">
        <f>Wh_hp&gt;='2025'!Maxi_hp</f>
        <v>1</v>
      </c>
      <c r="I163" s="375">
        <f>IF(H163,Wh_hp,'2025'!Maxi_hp)</f>
        <v>256.86519806358928</v>
      </c>
      <c r="J163" s="85">
        <f>IF(H163,An,'2025'!An_max)</f>
        <v>2026</v>
      </c>
      <c r="K163" s="193">
        <f t="shared" si="52"/>
        <v>46171</v>
      </c>
      <c r="L163" s="143">
        <f>IF(t&lt;Tvie,1-EXP((T0-t)*PertePVj)+'2025'!Pspv,1-EXP((T0-t)*PertePVj)+Pspv)</f>
        <v>2.3631426063092431E-2</v>
      </c>
      <c r="M163" s="835"/>
      <c r="N163" s="835"/>
      <c r="O163" s="48">
        <f>IF(t&lt;Tnet,'2025'!Resal+('2025'!Salim-'2025'!Resal)*(1-EXP(('2025'!Tnet-t)/('2025'!Tau_j))),Resal+(Salim-Resal)*(1-EXP((Tnet-t)/(Tau_j))))*Salcycl</f>
        <v>1.05603503775048E-2</v>
      </c>
      <c r="P163" s="334">
        <f>(INDEX(Models!$BJ163:$BT163,,T163)*(1-R163)+INDEX(Models!$BJ163:$BT163,,T163+1)*R163-ERP_i)*Q163*Ramure*Pc/MaxiM</f>
        <v>1.7271617171622235E-4</v>
      </c>
      <c r="Q163" s="301">
        <f t="shared" si="53"/>
        <v>0.5</v>
      </c>
      <c r="R163" s="173">
        <f t="shared" si="54"/>
        <v>0.17873528496190305</v>
      </c>
      <c r="S163" s="801">
        <f t="shared" si="55"/>
        <v>2</v>
      </c>
      <c r="T163" s="172">
        <f t="shared" si="56"/>
        <v>8</v>
      </c>
      <c r="U163" s="247">
        <f t="shared" si="57"/>
        <v>2.1787352849619031</v>
      </c>
      <c r="V163" s="378">
        <f t="shared" si="58"/>
        <v>242.12437344873121</v>
      </c>
      <c r="W163" s="397">
        <f t="shared" si="59"/>
        <v>248.1037639884035</v>
      </c>
      <c r="X163" s="153">
        <f t="shared" si="60"/>
        <v>46171</v>
      </c>
      <c r="Y163" s="380">
        <f t="shared" si="61"/>
        <v>237.93022513768929</v>
      </c>
      <c r="Z163" s="380">
        <f t="shared" si="62"/>
        <v>243.68894236149822</v>
      </c>
      <c r="AA163" s="381">
        <f t="shared" si="63"/>
        <v>256.82083328993258</v>
      </c>
      <c r="AB163" s="193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5.1132498715979864E-2</v>
      </c>
      <c r="AD163" s="227">
        <f>(INDEX(Models!$BJ163:$BT163,,AH163)*(1-AF163)+INDEX(Models!$BJ163:$BT163,,AH163+1)*AF163-ERP_i)*AE163*Ramure*Pc/MaxiM</f>
        <v>1.7271617171622235E-4</v>
      </c>
      <c r="AE163" s="301">
        <f t="shared" si="65"/>
        <v>0.5</v>
      </c>
      <c r="AF163" s="173">
        <f t="shared" si="66"/>
        <v>0.17873528496190305</v>
      </c>
      <c r="AG163" s="801">
        <f t="shared" si="74"/>
        <v>2</v>
      </c>
      <c r="AH163" s="172">
        <f t="shared" si="67"/>
        <v>8</v>
      </c>
      <c r="AI163" s="221">
        <f t="shared" si="68"/>
        <v>2.1787352849619031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46172</v>
      </c>
      <c r="B164" s="406">
        <f>'2025'!Wh/'2025'!Env_an*'2026'!Env_an</f>
        <v>209.13634693662496</v>
      </c>
      <c r="C164" s="831"/>
      <c r="D164" s="388">
        <f t="shared" si="50"/>
        <v>214.20108702750562</v>
      </c>
      <c r="E164" s="380">
        <f t="shared" si="72"/>
        <v>216.50608850746173</v>
      </c>
      <c r="F164" s="380">
        <f t="shared" si="51"/>
        <v>216.53627608617026</v>
      </c>
      <c r="G164" s="110">
        <f t="shared" si="73"/>
        <v>0.863240789854271</v>
      </c>
      <c r="H164" s="409" t="b">
        <f>Wh_hp&gt;='2025'!Maxi_hp</f>
        <v>0</v>
      </c>
      <c r="I164" s="375">
        <f>IF(H164,Wh_hp,'2025'!Maxi_hp)</f>
        <v>216.54308989818958</v>
      </c>
      <c r="J164" s="85">
        <f>IF(H164,An,'2025'!An_max)</f>
        <v>2022</v>
      </c>
      <c r="K164" s="193">
        <f t="shared" si="52"/>
        <v>46172</v>
      </c>
      <c r="L164" s="143">
        <f>IF(t&lt;Tvie,1-EXP((T0-t)*PertePVj)+'2025'!Pspv,1-EXP((T0-t)*PertePVj)+Pspv)</f>
        <v>2.364479172895273E-2</v>
      </c>
      <c r="M164" s="835"/>
      <c r="N164" s="835"/>
      <c r="O164" s="48">
        <f>IF(t&lt;Tnet,'2025'!Resal+('2025'!Salim-'2025'!Resal)*(1-EXP(('2025'!Tnet-t)/('2025'!Tau_j))),Resal+(Salim-Resal)*(1-EXP((Tnet-t)/(Tau_j))))*Salcycl</f>
        <v>1.0646358704488202E-2</v>
      </c>
      <c r="P164" s="334">
        <f>(INDEX(Models!$BJ164:$BT164,,T164)*(1-R164)+INDEX(Models!$BJ164:$BT164,,T164+1)*R164-ERP_i)*Q164*Ramure*Pc/MaxiM</f>
        <v>1.7325230827434021E-4</v>
      </c>
      <c r="Q164" s="301">
        <f t="shared" si="53"/>
        <v>0.5</v>
      </c>
      <c r="R164" s="173">
        <f t="shared" si="54"/>
        <v>0.18360401390199055</v>
      </c>
      <c r="S164" s="801">
        <f t="shared" si="55"/>
        <v>2</v>
      </c>
      <c r="T164" s="172">
        <f t="shared" si="56"/>
        <v>8</v>
      </c>
      <c r="U164" s="247">
        <f t="shared" si="57"/>
        <v>2.1836040139019905</v>
      </c>
      <c r="V164" s="378">
        <f t="shared" si="58"/>
        <v>242.26064268359301</v>
      </c>
      <c r="W164" s="397">
        <f t="shared" si="59"/>
        <v>209.13634693662496</v>
      </c>
      <c r="X164" s="153">
        <f t="shared" si="60"/>
        <v>46172</v>
      </c>
      <c r="Y164" s="380">
        <f t="shared" si="61"/>
        <v>200.56342896183116</v>
      </c>
      <c r="Z164" s="380">
        <f t="shared" si="62"/>
        <v>205.42055520653554</v>
      </c>
      <c r="AA164" s="381">
        <f t="shared" si="63"/>
        <v>216.50608850746173</v>
      </c>
      <c r="AB164" s="193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5.1201947147754834E-2</v>
      </c>
      <c r="AD164" s="227">
        <f>(INDEX(Models!$BJ164:$BT164,,AH164)*(1-AF164)+INDEX(Models!$BJ164:$BT164,,AH164+1)*AF164-ERP_i)*AE164*Ramure*Pc/MaxiM</f>
        <v>1.7325230827434021E-4</v>
      </c>
      <c r="AE164" s="301">
        <f t="shared" si="65"/>
        <v>0.5</v>
      </c>
      <c r="AF164" s="173">
        <f t="shared" si="66"/>
        <v>0.18360401390199055</v>
      </c>
      <c r="AG164" s="801">
        <f t="shared" si="74"/>
        <v>2</v>
      </c>
      <c r="AH164" s="172">
        <f t="shared" si="67"/>
        <v>8</v>
      </c>
      <c r="AI164" s="221">
        <f t="shared" si="68"/>
        <v>2.1836040139019905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46173</v>
      </c>
      <c r="B165" s="406">
        <f>'2025'!Wh/'2025'!Env_an*'2026'!Env_an</f>
        <v>229.18953018049629</v>
      </c>
      <c r="C165" s="831"/>
      <c r="D165" s="388">
        <f t="shared" si="50"/>
        <v>234.74311981344243</v>
      </c>
      <c r="E165" s="380">
        <f t="shared" si="72"/>
        <v>237.28979469340055</v>
      </c>
      <c r="F165" s="380">
        <f t="shared" si="51"/>
        <v>237.32778158127851</v>
      </c>
      <c r="G165" s="110">
        <f t="shared" si="73"/>
        <v>0.94553347201238569</v>
      </c>
      <c r="H165" s="409" t="b">
        <f>Wh_hp&gt;='2025'!Maxi_hp</f>
        <v>0</v>
      </c>
      <c r="I165" s="375">
        <f>IF(H165,Wh_hp,'2025'!Maxi_hp)</f>
        <v>237.33076111913962</v>
      </c>
      <c r="J165" s="85">
        <f>IF(H165,An,'2025'!An_max)</f>
        <v>2022</v>
      </c>
      <c r="K165" s="193">
        <f t="shared" si="52"/>
        <v>46173</v>
      </c>
      <c r="L165" s="143">
        <f>IF(t&lt;Tvie,1-EXP((T0-t)*PertePVj)+'2025'!Pspv,1-EXP((T0-t)*PertePVj)+Pspv)</f>
        <v>2.3658157211848163E-2</v>
      </c>
      <c r="M165" s="835"/>
      <c r="N165" s="835"/>
      <c r="O165" s="48">
        <f>IF(t&lt;Tnet,'2025'!Resal+('2025'!Salim-'2025'!Resal)*(1-EXP(('2025'!Tnet-t)/('2025'!Tau_j))),Resal+(Salim-Resal)*(1-EXP((Tnet-t)/(Tau_j))))*Salcycl</f>
        <v>1.0732340525847929E-2</v>
      </c>
      <c r="P165" s="334">
        <f>(INDEX(Models!$BJ165:$BT165,,T165)*(1-R165)+INDEX(Models!$BJ165:$BT165,,T165+1)*R165-ERP_i)*Q165*Ramure*Pc/MaxiM</f>
        <v>1.7356246879728898E-4</v>
      </c>
      <c r="Q165" s="301">
        <f t="shared" si="53"/>
        <v>0.5</v>
      </c>
      <c r="R165" s="173">
        <f t="shared" si="54"/>
        <v>0.18851741045161718</v>
      </c>
      <c r="S165" s="801">
        <f t="shared" si="55"/>
        <v>2</v>
      </c>
      <c r="T165" s="172">
        <f t="shared" si="56"/>
        <v>8</v>
      </c>
      <c r="U165" s="247">
        <f t="shared" si="57"/>
        <v>2.1885174104516172</v>
      </c>
      <c r="V165" s="378">
        <f t="shared" si="58"/>
        <v>242.38849500383381</v>
      </c>
      <c r="W165" s="397">
        <f t="shared" si="59"/>
        <v>229.18953018049629</v>
      </c>
      <c r="X165" s="153">
        <f t="shared" si="60"/>
        <v>46173</v>
      </c>
      <c r="Y165" s="380">
        <f t="shared" si="61"/>
        <v>219.79765728718544</v>
      </c>
      <c r="Z165" s="380">
        <f t="shared" si="62"/>
        <v>225.12366842693791</v>
      </c>
      <c r="AA165" s="381">
        <f t="shared" si="63"/>
        <v>237.28979469340055</v>
      </c>
      <c r="AB165" s="193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5.1271173638893087E-2</v>
      </c>
      <c r="AD165" s="227">
        <f>(INDEX(Models!$BJ165:$BT165,,AH165)*(1-AF165)+INDEX(Models!$BJ165:$BT165,,AH165+1)*AF165-ERP_i)*AE165*Ramure*Pc/MaxiM</f>
        <v>1.7356246879728898E-4</v>
      </c>
      <c r="AE165" s="301">
        <f t="shared" si="65"/>
        <v>0.5</v>
      </c>
      <c r="AF165" s="173">
        <f t="shared" si="66"/>
        <v>0.18851741045161718</v>
      </c>
      <c r="AG165" s="801">
        <f t="shared" si="74"/>
        <v>2</v>
      </c>
      <c r="AH165" s="172">
        <f t="shared" si="67"/>
        <v>8</v>
      </c>
      <c r="AI165" s="221">
        <f t="shared" si="68"/>
        <v>2.1885174104516172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46174</v>
      </c>
      <c r="B166" s="406">
        <f>'2025'!Wh/'2025'!Env_an*'2026'!Env_an</f>
        <v>239.26456894042121</v>
      </c>
      <c r="C166" s="831"/>
      <c r="D166" s="388">
        <f t="shared" si="50"/>
        <v>245.06564589406688</v>
      </c>
      <c r="E166" s="380">
        <f t="shared" si="72"/>
        <v>247.74583103261583</v>
      </c>
      <c r="F166" s="380">
        <f t="shared" si="51"/>
        <v>247.78803473594269</v>
      </c>
      <c r="G166" s="110">
        <f t="shared" si="73"/>
        <v>0.98662459634454214</v>
      </c>
      <c r="H166" s="409" t="b">
        <f>Wh_hp&gt;='2025'!Maxi_hp</f>
        <v>0</v>
      </c>
      <c r="I166" s="375">
        <f>IF(H166,Wh_hp,'2025'!Maxi_hp)</f>
        <v>247.7887989555031</v>
      </c>
      <c r="J166" s="85">
        <f>IF(H166,An,'2025'!An_max)</f>
        <v>2022</v>
      </c>
      <c r="K166" s="193">
        <f t="shared" si="52"/>
        <v>46174</v>
      </c>
      <c r="L166" s="143">
        <f>IF(t&lt;Tvie,1-EXP((T0-t)*PertePVj)+'2025'!Pspv,1-EXP((T0-t)*PertePVj)+Pspv)</f>
        <v>2.3671522511781395E-2</v>
      </c>
      <c r="M166" s="835"/>
      <c r="N166" s="835"/>
      <c r="O166" s="48">
        <f>IF(t&lt;Tnet,'2025'!Resal+('2025'!Salim-'2025'!Resal)*(1-EXP(('2025'!Tnet-t)/('2025'!Tau_j))),Resal+(Salim-Resal)*(1-EXP((Tnet-t)/(Tau_j))))*Salcycl</f>
        <v>1.081828552826828E-2</v>
      </c>
      <c r="P166" s="334">
        <f>(INDEX(Models!$BJ166:$BT166,,T166)*(1-R166)+INDEX(Models!$BJ166:$BT166,,T166+1)*R166-ERP_i)*Q166*Ramure*Pc/MaxiM</f>
        <v>1.7363882695942804E-4</v>
      </c>
      <c r="Q166" s="301">
        <f t="shared" si="53"/>
        <v>0.5</v>
      </c>
      <c r="R166" s="173">
        <f t="shared" si="54"/>
        <v>0.19347188852869968</v>
      </c>
      <c r="S166" s="801">
        <f t="shared" si="55"/>
        <v>2</v>
      </c>
      <c r="T166" s="172">
        <f t="shared" si="56"/>
        <v>8</v>
      </c>
      <c r="U166" s="247">
        <f t="shared" si="57"/>
        <v>2.1934718885286997</v>
      </c>
      <c r="V166" s="378">
        <f t="shared" si="58"/>
        <v>242.50740965097697</v>
      </c>
      <c r="W166" s="397">
        <f t="shared" si="59"/>
        <v>239.26456894042121</v>
      </c>
      <c r="X166" s="153">
        <f t="shared" si="60"/>
        <v>46174</v>
      </c>
      <c r="Y166" s="380">
        <f t="shared" si="61"/>
        <v>229.46309110058255</v>
      </c>
      <c r="Z166" s="380">
        <f t="shared" si="62"/>
        <v>235.02652682109385</v>
      </c>
      <c r="AA166" s="381">
        <f t="shared" si="63"/>
        <v>247.74583103261583</v>
      </c>
      <c r="AB166" s="193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5.1340134195224797E-2</v>
      </c>
      <c r="AD166" s="227">
        <f>(INDEX(Models!$BJ166:$BT166,,AH166)*(1-AF166)+INDEX(Models!$BJ166:$BT166,,AH166+1)*AF166-ERP_i)*AE166*Ramure*Pc/MaxiM</f>
        <v>1.7363882695942804E-4</v>
      </c>
      <c r="AE166" s="301">
        <f t="shared" si="65"/>
        <v>0.5</v>
      </c>
      <c r="AF166" s="173">
        <f t="shared" si="66"/>
        <v>0.19347188852869968</v>
      </c>
      <c r="AG166" s="801">
        <f t="shared" si="74"/>
        <v>2</v>
      </c>
      <c r="AH166" s="172">
        <f t="shared" si="67"/>
        <v>8</v>
      </c>
      <c r="AI166" s="221">
        <f t="shared" si="68"/>
        <v>2.1934718885286997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46175</v>
      </c>
      <c r="B167" s="406">
        <f>'2025'!Wh/'2025'!Env_an*'2026'!Env_an</f>
        <v>168.29025413891969</v>
      </c>
      <c r="C167" s="831"/>
      <c r="D167" s="388">
        <f t="shared" si="50"/>
        <v>172.3728865880006</v>
      </c>
      <c r="E167" s="380">
        <f t="shared" si="72"/>
        <v>174.27319342077143</v>
      </c>
      <c r="F167" s="380">
        <f t="shared" si="51"/>
        <v>174.29019597084513</v>
      </c>
      <c r="G167" s="110">
        <f t="shared" si="73"/>
        <v>0.69359347894026768</v>
      </c>
      <c r="H167" s="409" t="b">
        <f>Wh_hp&gt;='2025'!Maxi_hp</f>
        <v>0</v>
      </c>
      <c r="I167" s="375">
        <f>IF(H167,Wh_hp,'2025'!Maxi_hp)</f>
        <v>174.30249761857024</v>
      </c>
      <c r="J167" s="85">
        <f>IF(H167,An,'2025'!An_max)</f>
        <v>2022</v>
      </c>
      <c r="K167" s="193">
        <f t="shared" si="52"/>
        <v>46175</v>
      </c>
      <c r="L167" s="143">
        <f>IF(t&lt;Tvie,1-EXP((T0-t)*PertePVj)+'2025'!Pspv,1-EXP((T0-t)*PertePVj)+Pspv)</f>
        <v>2.3684887628754869E-2</v>
      </c>
      <c r="M167" s="835"/>
      <c r="N167" s="835"/>
      <c r="O167" s="48">
        <f>IF(t&lt;Tnet,'2025'!Resal+('2025'!Salim-'2025'!Resal)*(1-EXP(('2025'!Tnet-t)/('2025'!Tau_j))),Resal+(Salim-Resal)*(1-EXP((Tnet-t)/(Tau_j))))*Salcycl</f>
        <v>1.0904183227897005E-2</v>
      </c>
      <c r="P167" s="334">
        <f>(INDEX(Models!$BJ167:$BT167,,T167)*(1-R167)+INDEX(Models!$BJ167:$BT167,,T167+1)*R167-ERP_i)*Q167*Ramure*Pc/MaxiM</f>
        <v>1.7347349986039526E-4</v>
      </c>
      <c r="Q167" s="301">
        <f t="shared" si="53"/>
        <v>0.5</v>
      </c>
      <c r="R167" s="173">
        <f t="shared" si="54"/>
        <v>0.19846373194311218</v>
      </c>
      <c r="S167" s="801">
        <f t="shared" si="55"/>
        <v>2</v>
      </c>
      <c r="T167" s="172">
        <f t="shared" si="56"/>
        <v>8</v>
      </c>
      <c r="U167" s="247">
        <f t="shared" si="57"/>
        <v>2.1984637319431122</v>
      </c>
      <c r="V167" s="378">
        <f t="shared" si="58"/>
        <v>242.61686613206692</v>
      </c>
      <c r="W167" s="397">
        <f t="shared" si="59"/>
        <v>168.29025413891969</v>
      </c>
      <c r="X167" s="153">
        <f t="shared" si="60"/>
        <v>46175</v>
      </c>
      <c r="Y167" s="380">
        <f t="shared" si="61"/>
        <v>161.3985762698216</v>
      </c>
      <c r="Z167" s="380">
        <f t="shared" si="62"/>
        <v>165.31402026321354</v>
      </c>
      <c r="AA167" s="381">
        <f t="shared" si="63"/>
        <v>174.27319342077143</v>
      </c>
      <c r="AB167" s="193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5.1408785147619013E-2</v>
      </c>
      <c r="AD167" s="227">
        <f>(INDEX(Models!$BJ167:$BT167,,AH167)*(1-AF167)+INDEX(Models!$BJ167:$BT167,,AH167+1)*AF167-ERP_i)*AE167*Ramure*Pc/MaxiM</f>
        <v>1.7347349986039526E-4</v>
      </c>
      <c r="AE167" s="301">
        <f t="shared" si="65"/>
        <v>0.5</v>
      </c>
      <c r="AF167" s="173">
        <f t="shared" si="66"/>
        <v>0.19846373194311218</v>
      </c>
      <c r="AG167" s="801">
        <f t="shared" si="74"/>
        <v>2</v>
      </c>
      <c r="AH167" s="172">
        <f t="shared" si="67"/>
        <v>8</v>
      </c>
      <c r="AI167" s="221">
        <f t="shared" si="68"/>
        <v>2.1984637319431122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46176</v>
      </c>
      <c r="B168" s="406">
        <f>'2025'!Wh/'2025'!Env_an*'2026'!Env_an</f>
        <v>231.2056523326315</v>
      </c>
      <c r="C168" s="831"/>
      <c r="D168" s="388">
        <f t="shared" si="50"/>
        <v>236.8178208628033</v>
      </c>
      <c r="E168" s="380">
        <f t="shared" si="72"/>
        <v>239.4493750036435</v>
      </c>
      <c r="F168" s="380">
        <f t="shared" si="51"/>
        <v>239.48801255908148</v>
      </c>
      <c r="G168" s="110">
        <f t="shared" si="73"/>
        <v>0.95256436839593794</v>
      </c>
      <c r="H168" s="409" t="b">
        <f>Wh_hp&gt;='2025'!Maxi_hp</f>
        <v>0</v>
      </c>
      <c r="I168" s="375">
        <f>IF(H168,Wh_hp,'2025'!Maxi_hp)</f>
        <v>239.49062250139852</v>
      </c>
      <c r="J168" s="85">
        <f>IF(H168,An,'2025'!An_max)</f>
        <v>2022</v>
      </c>
      <c r="K168" s="193">
        <f t="shared" si="52"/>
        <v>46176</v>
      </c>
      <c r="L168" s="143">
        <f>IF(t&lt;Tvie,1-EXP((T0-t)*PertePVj)+'2025'!Pspv,1-EXP((T0-t)*PertePVj)+Pspv)</f>
        <v>2.3698252562771138E-2</v>
      </c>
      <c r="M168" s="835"/>
      <c r="N168" s="835"/>
      <c r="O168" s="48">
        <f>IF(t&lt;Tnet,'2025'!Resal+('2025'!Salim-'2025'!Resal)*(1-EXP(('2025'!Tnet-t)/('2025'!Tau_j))),Resal+(Salim-Resal)*(1-EXP((Tnet-t)/(Tau_j))))*Salcycl</f>
        <v>1.0990023009248499E-2</v>
      </c>
      <c r="P168" s="334">
        <f>(INDEX(Models!$BJ168:$BT168,,T168)*(1-R168)+INDEX(Models!$BJ168:$BT168,,T168+1)*R168-ERP_i)*Q168*Ramure*Pc/MaxiM</f>
        <v>1.7305856997257925E-4</v>
      </c>
      <c r="Q168" s="301">
        <f t="shared" si="53"/>
        <v>0.5</v>
      </c>
      <c r="R168" s="173">
        <f t="shared" si="54"/>
        <v>0.20348910472538417</v>
      </c>
      <c r="S168" s="801">
        <f t="shared" si="55"/>
        <v>2</v>
      </c>
      <c r="T168" s="172">
        <f t="shared" si="56"/>
        <v>8</v>
      </c>
      <c r="U168" s="247">
        <f t="shared" si="57"/>
        <v>2.2034891047253842</v>
      </c>
      <c r="V168" s="378">
        <f t="shared" si="58"/>
        <v>242.71634419230395</v>
      </c>
      <c r="W168" s="397">
        <f t="shared" si="59"/>
        <v>231.2056523326315</v>
      </c>
      <c r="X168" s="153">
        <f t="shared" si="60"/>
        <v>46176</v>
      </c>
      <c r="Y168" s="380">
        <f t="shared" si="61"/>
        <v>221.74079615602255</v>
      </c>
      <c r="Z168" s="380">
        <f t="shared" si="62"/>
        <v>227.12321957641413</v>
      </c>
      <c r="AA168" s="381">
        <f t="shared" si="63"/>
        <v>239.4493750036435</v>
      </c>
      <c r="AB168" s="193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5.1477083316846452E-2</v>
      </c>
      <c r="AD168" s="227">
        <f>(INDEX(Models!$BJ168:$BT168,,AH168)*(1-AF168)+INDEX(Models!$BJ168:$BT168,,AH168+1)*AF168-ERP_i)*AE168*Ramure*Pc/MaxiM</f>
        <v>1.7305856997257925E-4</v>
      </c>
      <c r="AE168" s="301">
        <f t="shared" si="65"/>
        <v>0.5</v>
      </c>
      <c r="AF168" s="173">
        <f t="shared" si="66"/>
        <v>0.20348910472538417</v>
      </c>
      <c r="AG168" s="801">
        <f t="shared" si="74"/>
        <v>2</v>
      </c>
      <c r="AH168" s="172">
        <f t="shared" si="67"/>
        <v>8</v>
      </c>
      <c r="AI168" s="221">
        <f t="shared" si="68"/>
        <v>2.2034891047253842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46177</v>
      </c>
      <c r="B169" s="406">
        <f>'2025'!Wh/'2025'!Env_an*'2026'!Env_an</f>
        <v>100.7332892156064</v>
      </c>
      <c r="C169" s="831"/>
      <c r="D169" s="388">
        <f t="shared" si="50"/>
        <v>103.17985034140023</v>
      </c>
      <c r="E169" s="380">
        <f t="shared" si="72"/>
        <v>104.33544829084188</v>
      </c>
      <c r="F169" s="380">
        <f t="shared" si="51"/>
        <v>104.33839994215691</v>
      </c>
      <c r="G169" s="110">
        <f t="shared" si="73"/>
        <v>0.4148128709366134</v>
      </c>
      <c r="H169" s="409" t="b">
        <f>Wh_hp&gt;='2025'!Maxi_hp</f>
        <v>0</v>
      </c>
      <c r="I169" s="375">
        <f>IF(H169,Wh_hp,'2025'!Maxi_hp)</f>
        <v>104.35237094994316</v>
      </c>
      <c r="J169" s="85">
        <f>IF(H169,An,'2025'!An_max)</f>
        <v>2022</v>
      </c>
      <c r="K169" s="193">
        <f t="shared" si="52"/>
        <v>46177</v>
      </c>
      <c r="L169" s="143">
        <f>IF(t&lt;Tvie,1-EXP((T0-t)*PertePVj)+'2025'!Pspv,1-EXP((T0-t)*PertePVj)+Pspv)</f>
        <v>2.3711617313832756E-2</v>
      </c>
      <c r="M169" s="835"/>
      <c r="N169" s="835"/>
      <c r="O169" s="48">
        <f>IF(t&lt;Tnet,'2025'!Resal+('2025'!Salim-'2025'!Resal)*(1-EXP(('2025'!Tnet-t)/('2025'!Tau_j))),Resal+(Salim-Resal)*(1-EXP((Tnet-t)/(Tau_j))))*Salcycl</f>
        <v>1.1075794165568288E-2</v>
      </c>
      <c r="P169" s="334">
        <f>(INDEX(Models!$BJ169:$BT169,,T169)*(1-R169)+INDEX(Models!$BJ169:$BT169,,T169+1)*R169-ERP_i)*Q169*Ramure*Pc/MaxiM</f>
        <v>1.7238610725446986E-4</v>
      </c>
      <c r="Q169" s="301">
        <f t="shared" si="53"/>
        <v>0.5</v>
      </c>
      <c r="R169" s="173">
        <f t="shared" si="54"/>
        <v>0.20854406225504407</v>
      </c>
      <c r="S169" s="801">
        <f t="shared" si="55"/>
        <v>2</v>
      </c>
      <c r="T169" s="172">
        <f t="shared" si="56"/>
        <v>8</v>
      </c>
      <c r="U169" s="247">
        <f t="shared" si="57"/>
        <v>2.2085440622550441</v>
      </c>
      <c r="V169" s="378">
        <f t="shared" si="58"/>
        <v>242.80532381630258</v>
      </c>
      <c r="W169" s="397">
        <f t="shared" si="59"/>
        <v>100.7332892156064</v>
      </c>
      <c r="X169" s="153">
        <f t="shared" si="60"/>
        <v>46177</v>
      </c>
      <c r="Y169" s="380">
        <f t="shared" si="61"/>
        <v>96.611037177118646</v>
      </c>
      <c r="Z169" s="380">
        <f t="shared" si="62"/>
        <v>98.957479050710717</v>
      </c>
      <c r="AA169" s="381">
        <f t="shared" si="63"/>
        <v>104.33544829084188</v>
      </c>
      <c r="AB169" s="193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5.154498617899949E-2</v>
      </c>
      <c r="AD169" s="227">
        <f>(INDEX(Models!$BJ169:$BT169,,AH169)*(1-AF169)+INDEX(Models!$BJ169:$BT169,,AH169+1)*AF169-ERP_i)*AE169*Ramure*Pc/MaxiM</f>
        <v>1.7238610725446986E-4</v>
      </c>
      <c r="AE169" s="301">
        <f t="shared" si="65"/>
        <v>0.5</v>
      </c>
      <c r="AF169" s="173">
        <f t="shared" si="66"/>
        <v>0.20854406225504407</v>
      </c>
      <c r="AG169" s="801">
        <f t="shared" si="74"/>
        <v>2</v>
      </c>
      <c r="AH169" s="172">
        <f t="shared" si="67"/>
        <v>8</v>
      </c>
      <c r="AI169" s="221">
        <f t="shared" si="68"/>
        <v>2.2085440622550441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46178</v>
      </c>
      <c r="B170" s="406">
        <f>'2025'!Wh/'2025'!Env_an*'2026'!Env_an</f>
        <v>130.51174570709816</v>
      </c>
      <c r="C170" s="831"/>
      <c r="D170" s="388">
        <f t="shared" si="50"/>
        <v>133.6833815113722</v>
      </c>
      <c r="E170" s="380">
        <f t="shared" ref="E170:E232" si="75">Wh_pvt/(1-Psa)</f>
        <v>135.19232878839674</v>
      </c>
      <c r="F170" s="380">
        <f t="shared" si="51"/>
        <v>135.20018955964832</v>
      </c>
      <c r="G170" s="110">
        <f t="shared" ref="G170:G232" si="76">+Wh_hp/MaxiM</f>
        <v>0.53728257554728254</v>
      </c>
      <c r="H170" s="409" t="b">
        <f>Wh_hp&gt;='2025'!Maxi_hp</f>
        <v>0</v>
      </c>
      <c r="I170" s="375">
        <f>IF(H170,Wh_hp,'2025'!Maxi_hp)</f>
        <v>135.21442308270213</v>
      </c>
      <c r="J170" s="85">
        <f>IF(H170,An,'2025'!An_max)</f>
        <v>2022</v>
      </c>
      <c r="K170" s="193">
        <f t="shared" si="52"/>
        <v>46178</v>
      </c>
      <c r="L170" s="143">
        <f>IF(t&lt;Tvie,1-EXP((T0-t)*PertePVj)+'2025'!Pspv,1-EXP((T0-t)*PertePVj)+Pspv)</f>
        <v>2.3724981881942053E-2</v>
      </c>
      <c r="M170" s="835"/>
      <c r="N170" s="835"/>
      <c r="O170" s="48">
        <f>IF(t&lt;Tnet,'2025'!Resal+('2025'!Salim-'2025'!Resal)*(1-EXP(('2025'!Tnet-t)/('2025'!Tau_j))),Resal+(Salim-Resal)*(1-EXP((Tnet-t)/(Tau_j))))*Salcycl</f>
        <v>1.1161485940421576E-2</v>
      </c>
      <c r="P170" s="334">
        <f>(INDEX(Models!$BJ170:$BT170,,T170)*(1-R170)+INDEX(Models!$BJ170:$BT170,,T170+1)*R170-ERP_i)*Q170*Ramure*Pc/MaxiM</f>
        <v>1.7147807235938313E-4</v>
      </c>
      <c r="Q170" s="301">
        <f t="shared" si="53"/>
        <v>0.5</v>
      </c>
      <c r="R170" s="173">
        <f t="shared" si="54"/>
        <v>0.21362456312531597</v>
      </c>
      <c r="S170" s="801">
        <f t="shared" si="55"/>
        <v>2</v>
      </c>
      <c r="T170" s="172">
        <f t="shared" si="56"/>
        <v>8</v>
      </c>
      <c r="U170" s="247">
        <f t="shared" si="57"/>
        <v>2.213624563125316</v>
      </c>
      <c r="V170" s="378">
        <f t="shared" si="58"/>
        <v>242.88327792615402</v>
      </c>
      <c r="W170" s="397">
        <f t="shared" si="59"/>
        <v>130.51174570709816</v>
      </c>
      <c r="X170" s="153">
        <f t="shared" si="60"/>
        <v>46178</v>
      </c>
      <c r="Y170" s="380">
        <f t="shared" si="61"/>
        <v>125.17282926636609</v>
      </c>
      <c r="Z170" s="380">
        <f t="shared" si="62"/>
        <v>128.21472120392752</v>
      </c>
      <c r="AA170" s="381">
        <f t="shared" si="63"/>
        <v>135.19232878839674</v>
      </c>
      <c r="AB170" s="193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5.1612452030400054E-2</v>
      </c>
      <c r="AD170" s="227">
        <f>(INDEX(Models!$BJ170:$BT170,,AH170)*(1-AF170)+INDEX(Models!$BJ170:$BT170,,AH170+1)*AF170-ERP_i)*AE170*Ramure*Pc/MaxiM</f>
        <v>1.7147807235938313E-4</v>
      </c>
      <c r="AE170" s="301">
        <f t="shared" si="65"/>
        <v>0.5</v>
      </c>
      <c r="AF170" s="173">
        <f t="shared" si="66"/>
        <v>0.21362456312531597</v>
      </c>
      <c r="AG170" s="801">
        <f t="shared" si="74"/>
        <v>2</v>
      </c>
      <c r="AH170" s="172">
        <f t="shared" si="67"/>
        <v>8</v>
      </c>
      <c r="AI170" s="221">
        <f t="shared" si="68"/>
        <v>2.213624563125316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46179</v>
      </c>
      <c r="B171" s="406">
        <f>'2025'!Wh/'2025'!Env_an*'2026'!Env_an</f>
        <v>191.76874285460892</v>
      </c>
      <c r="C171" s="831"/>
      <c r="D171" s="388">
        <f t="shared" si="50"/>
        <v>196.43170672672571</v>
      </c>
      <c r="E171" s="380">
        <f t="shared" si="75"/>
        <v>198.66612199808063</v>
      </c>
      <c r="F171" s="380">
        <f t="shared" si="51"/>
        <v>198.68976647270702</v>
      </c>
      <c r="G171" s="110">
        <f t="shared" si="76"/>
        <v>0.78929469587419265</v>
      </c>
      <c r="H171" s="409" t="b">
        <f>Wh_hp&gt;='2025'!Maxi_hp</f>
        <v>0</v>
      </c>
      <c r="I171" s="375">
        <f>IF(H171,Wh_hp,'2025'!Maxi_hp)</f>
        <v>198.6992170848427</v>
      </c>
      <c r="J171" s="85">
        <f>IF(H171,An,'2025'!An_max)</f>
        <v>2022</v>
      </c>
      <c r="K171" s="193">
        <f t="shared" si="52"/>
        <v>46179</v>
      </c>
      <c r="L171" s="143">
        <f>IF(t&lt;Tvie,1-EXP((T0-t)*PertePVj)+'2025'!Pspv,1-EXP((T0-t)*PertePVj)+Pspv)</f>
        <v>2.3738346267101695E-2</v>
      </c>
      <c r="M171" s="835"/>
      <c r="N171" s="835"/>
      <c r="O171" s="48">
        <f>IF(t&lt;Tnet,'2025'!Resal+('2025'!Salim-'2025'!Resal)*(1-EXP(('2025'!Tnet-t)/('2025'!Tau_j))),Resal+(Salim-Resal)*(1-EXP((Tnet-t)/(Tau_j))))*Salcycl</f>
        <v>1.1247087570252773E-2</v>
      </c>
      <c r="P171" s="334">
        <f>(INDEX(Models!$BJ171:$BT171,,T171)*(1-R171)+INDEX(Models!$BJ171:$BT171,,T171+1)*R171-ERP_i)*Q171*Ramure*Pc/MaxiM</f>
        <v>1.7023380448952751E-4</v>
      </c>
      <c r="Q171" s="301">
        <f t="shared" si="53"/>
        <v>0.5</v>
      </c>
      <c r="R171" s="173">
        <f t="shared" si="54"/>
        <v>0.2187264816724559</v>
      </c>
      <c r="S171" s="801">
        <f t="shared" si="55"/>
        <v>2</v>
      </c>
      <c r="T171" s="172">
        <f t="shared" si="56"/>
        <v>8</v>
      </c>
      <c r="U171" s="247">
        <f t="shared" si="57"/>
        <v>2.2187264816724559</v>
      </c>
      <c r="V171" s="378">
        <f t="shared" si="58"/>
        <v>242.94970943571201</v>
      </c>
      <c r="W171" s="397">
        <f t="shared" si="59"/>
        <v>191.76874285460892</v>
      </c>
      <c r="X171" s="153">
        <f t="shared" si="60"/>
        <v>46179</v>
      </c>
      <c r="Y171" s="380">
        <f t="shared" si="61"/>
        <v>183.92688334898926</v>
      </c>
      <c r="Z171" s="380">
        <f t="shared" si="62"/>
        <v>188.39916803626807</v>
      </c>
      <c r="AA171" s="381">
        <f t="shared" si="63"/>
        <v>198.66612199808063</v>
      </c>
      <c r="AB171" s="193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5.1679440150906766E-2</v>
      </c>
      <c r="AD171" s="227">
        <f>(INDEX(Models!$BJ171:$BT171,,AH171)*(1-AF171)+INDEX(Models!$BJ171:$BT171,,AH171+1)*AF171-ERP_i)*AE171*Ramure*Pc/MaxiM</f>
        <v>1.7023380448952751E-4</v>
      </c>
      <c r="AE171" s="301">
        <f t="shared" si="65"/>
        <v>0.5</v>
      </c>
      <c r="AF171" s="173">
        <f t="shared" si="66"/>
        <v>0.2187264816724559</v>
      </c>
      <c r="AG171" s="801">
        <f t="shared" si="74"/>
        <v>2</v>
      </c>
      <c r="AH171" s="172">
        <f t="shared" si="67"/>
        <v>8</v>
      </c>
      <c r="AI171" s="221">
        <f t="shared" si="68"/>
        <v>2.2187264816724559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46180</v>
      </c>
      <c r="B172" s="406">
        <f>'2025'!Wh/'2025'!Env_an*'2026'!Env_an</f>
        <v>119.49473326712872</v>
      </c>
      <c r="C172" s="831"/>
      <c r="D172" s="388">
        <f t="shared" si="50"/>
        <v>122.40198989190927</v>
      </c>
      <c r="E172" s="380">
        <f t="shared" si="75"/>
        <v>123.80502123040927</v>
      </c>
      <c r="F172" s="380">
        <f t="shared" si="51"/>
        <v>123.81074054449989</v>
      </c>
      <c r="G172" s="110">
        <f t="shared" si="76"/>
        <v>0.49167936190889827</v>
      </c>
      <c r="H172" s="409" t="b">
        <f>Wh_hp&gt;='2025'!Maxi_hp</f>
        <v>0</v>
      </c>
      <c r="I172" s="375">
        <f>IF(H172,Wh_hp,'2025'!Maxi_hp)</f>
        <v>123.82480660988531</v>
      </c>
      <c r="J172" s="85">
        <f>IF(H172,An,'2025'!An_max)</f>
        <v>2022</v>
      </c>
      <c r="K172" s="193">
        <f t="shared" si="52"/>
        <v>46180</v>
      </c>
      <c r="L172" s="143">
        <f>IF(t&lt;Tvie,1-EXP((T0-t)*PertePVj)+'2025'!Pspv,1-EXP((T0-t)*PertePVj)+Pspv)</f>
        <v>2.3751710469314125E-2</v>
      </c>
      <c r="M172" s="835"/>
      <c r="N172" s="835"/>
      <c r="O172" s="48">
        <f>IF(t&lt;Tnet,'2025'!Resal+('2025'!Salim-'2025'!Resal)*(1-EXP(('2025'!Tnet-t)/('2025'!Tau_j))),Resal+(Salim-Resal)*(1-EXP((Tnet-t)/(Tau_j))))*Salcycl</f>
        <v>1.1332588327648397E-2</v>
      </c>
      <c r="P172" s="334">
        <f>(INDEX(Models!$BJ172:$BT172,,T172)*(1-R172)+INDEX(Models!$BJ172:$BT172,,T172+1)*R172-ERP_i)*Q172*Ramure*Pc/MaxiM</f>
        <v>1.6864438978135963E-4</v>
      </c>
      <c r="Q172" s="301">
        <f t="shared" si="53"/>
        <v>0.5</v>
      </c>
      <c r="R172" s="173">
        <f t="shared" si="54"/>
        <v>0.22384562109028172</v>
      </c>
      <c r="S172" s="801">
        <f t="shared" si="55"/>
        <v>2</v>
      </c>
      <c r="T172" s="172">
        <f t="shared" si="56"/>
        <v>8</v>
      </c>
      <c r="U172" s="247">
        <f t="shared" si="57"/>
        <v>2.2238456210902817</v>
      </c>
      <c r="V172" s="378">
        <f t="shared" si="58"/>
        <v>243.00409915795373</v>
      </c>
      <c r="W172" s="397">
        <f t="shared" si="59"/>
        <v>119.49473326712872</v>
      </c>
      <c r="X172" s="153">
        <f t="shared" si="60"/>
        <v>46180</v>
      </c>
      <c r="Y172" s="380">
        <f t="shared" si="61"/>
        <v>114.61019964953644</v>
      </c>
      <c r="Z172" s="380">
        <f t="shared" si="62"/>
        <v>117.39861762485982</v>
      </c>
      <c r="AA172" s="381">
        <f t="shared" si="63"/>
        <v>123.80502123040927</v>
      </c>
      <c r="AB172" s="193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5.1745910964521392E-2</v>
      </c>
      <c r="AD172" s="227">
        <f>(INDEX(Models!$BJ172:$BT172,,AH172)*(1-AF172)+INDEX(Models!$BJ172:$BT172,,AH172+1)*AF172-ERP_i)*AE172*Ramure*Pc/MaxiM</f>
        <v>1.6864438978135963E-4</v>
      </c>
      <c r="AE172" s="301">
        <f t="shared" si="65"/>
        <v>0.5</v>
      </c>
      <c r="AF172" s="173">
        <f t="shared" si="66"/>
        <v>0.22384562109028172</v>
      </c>
      <c r="AG172" s="801">
        <f t="shared" si="74"/>
        <v>2</v>
      </c>
      <c r="AH172" s="172">
        <f t="shared" si="67"/>
        <v>8</v>
      </c>
      <c r="AI172" s="221">
        <f t="shared" si="68"/>
        <v>2.2238456210902817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46181</v>
      </c>
      <c r="B173" s="406">
        <f>'2025'!Wh/'2025'!Env_an*'2026'!Env_an</f>
        <v>91.040758558065704</v>
      </c>
      <c r="C173" s="831"/>
      <c r="D173" s="388">
        <f t="shared" si="50"/>
        <v>93.257018550501428</v>
      </c>
      <c r="E173" s="380">
        <f t="shared" si="75"/>
        <v>94.334123455735238</v>
      </c>
      <c r="F173" s="380">
        <f t="shared" si="51"/>
        <v>94.335798991964126</v>
      </c>
      <c r="G173" s="110">
        <f t="shared" si="76"/>
        <v>0.37452673851683677</v>
      </c>
      <c r="H173" s="409" t="b">
        <f>Wh_hp&gt;='2025'!Maxi_hp</f>
        <v>0</v>
      </c>
      <c r="I173" s="375">
        <f>IF(H173,Wh_hp,'2025'!Maxi_hp)</f>
        <v>94.348824057543851</v>
      </c>
      <c r="J173" s="85">
        <f>IF(H173,An,'2025'!An_max)</f>
        <v>2022</v>
      </c>
      <c r="K173" s="193">
        <f t="shared" si="52"/>
        <v>46181</v>
      </c>
      <c r="L173" s="143">
        <f>IF(t&lt;Tvie,1-EXP((T0-t)*PertePVj)+'2025'!Pspv,1-EXP((T0-t)*PertePVj)+Pspv)</f>
        <v>2.3765074488581783E-2</v>
      </c>
      <c r="M173" s="835"/>
      <c r="N173" s="835"/>
      <c r="O173" s="48">
        <f>IF(t&lt;Tnet,'2025'!Resal+('2025'!Salim-'2025'!Resal)*(1-EXP(('2025'!Tnet-t)/('2025'!Tau_j))),Resal+(Salim-Resal)*(1-EXP((Tnet-t)/(Tau_j))))*Salcycl</f>
        <v>1.1417977565024122E-2</v>
      </c>
      <c r="P173" s="334">
        <f>(INDEX(Models!$BJ173:$BT173,,T173)*(1-R173)+INDEX(Models!$BJ173:$BT173,,T173+1)*R173-ERP_i)*Q173*Ramure*Pc/MaxiM</f>
        <v>1.6670100610498252E-4</v>
      </c>
      <c r="Q173" s="301">
        <f t="shared" si="53"/>
        <v>0.5</v>
      </c>
      <c r="R173" s="173">
        <f t="shared" si="54"/>
        <v>0.22897772704354846</v>
      </c>
      <c r="S173" s="801">
        <f t="shared" si="55"/>
        <v>2</v>
      </c>
      <c r="T173" s="172">
        <f t="shared" si="56"/>
        <v>8</v>
      </c>
      <c r="U173" s="247">
        <f t="shared" si="57"/>
        <v>2.2289777270435485</v>
      </c>
      <c r="V173" s="378">
        <f t="shared" si="58"/>
        <v>243.04592805132631</v>
      </c>
      <c r="W173" s="397">
        <f t="shared" si="59"/>
        <v>91.040758558065704</v>
      </c>
      <c r="X173" s="153">
        <f t="shared" si="60"/>
        <v>46181</v>
      </c>
      <c r="Y173" s="380">
        <f t="shared" si="61"/>
        <v>87.320797505766421</v>
      </c>
      <c r="Z173" s="380">
        <f t="shared" si="62"/>
        <v>89.446500246876383</v>
      </c>
      <c r="AA173" s="381">
        <f t="shared" si="63"/>
        <v>94.334123455735238</v>
      </c>
      <c r="AB173" s="193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5.1811826196194004E-2</v>
      </c>
      <c r="AD173" s="227">
        <f>(INDEX(Models!$BJ173:$BT173,,AH173)*(1-AF173)+INDEX(Models!$BJ173:$BT173,,AH173+1)*AF173-ERP_i)*AE173*Ramure*Pc/MaxiM</f>
        <v>1.6670100610498252E-4</v>
      </c>
      <c r="AE173" s="301">
        <f t="shared" si="65"/>
        <v>0.5</v>
      </c>
      <c r="AF173" s="173">
        <f t="shared" si="66"/>
        <v>0.22897772704354846</v>
      </c>
      <c r="AG173" s="801">
        <f t="shared" si="74"/>
        <v>2</v>
      </c>
      <c r="AH173" s="172">
        <f t="shared" si="67"/>
        <v>8</v>
      </c>
      <c r="AI173" s="221">
        <f t="shared" si="68"/>
        <v>2.2289777270435485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46182</v>
      </c>
      <c r="B174" s="406">
        <f>'2025'!Wh/'2025'!Env_an*'2026'!Env_an</f>
        <v>193.13681618299094</v>
      </c>
      <c r="C174" s="831"/>
      <c r="D174" s="388">
        <f t="shared" si="50"/>
        <v>197.84117024785709</v>
      </c>
      <c r="E174" s="380">
        <f t="shared" si="75"/>
        <v>200.14346956506878</v>
      </c>
      <c r="F174" s="380">
        <f t="shared" si="51"/>
        <v>200.16671828839938</v>
      </c>
      <c r="G174" s="110">
        <f t="shared" si="76"/>
        <v>0.79451919402820848</v>
      </c>
      <c r="H174" s="409" t="b">
        <f>Wh_hp&gt;='2025'!Maxi_hp</f>
        <v>0</v>
      </c>
      <c r="I174" s="375">
        <f>IF(H174,Wh_hp,'2025'!Maxi_hp)</f>
        <v>200.17566222023561</v>
      </c>
      <c r="J174" s="85">
        <f>IF(H174,An,'2025'!An_max)</f>
        <v>2022</v>
      </c>
      <c r="K174" s="193">
        <f t="shared" si="52"/>
        <v>46182</v>
      </c>
      <c r="L174" s="143">
        <f>IF(t&lt;Tvie,1-EXP((T0-t)*PertePVj)+'2025'!Pspv,1-EXP((T0-t)*PertePVj)+Pspv)</f>
        <v>2.3778438324907336E-2</v>
      </c>
      <c r="M174" s="835"/>
      <c r="N174" s="835"/>
      <c r="O174" s="48">
        <f>IF(t&lt;Tnet,'2025'!Resal+('2025'!Salim-'2025'!Resal)*(1-EXP(('2025'!Tnet-t)/('2025'!Tau_j))),Resal+(Salim-Resal)*(1-EXP((Tnet-t)/(Tau_j))))*Salcycl</f>
        <v>1.1503244758446581E-2</v>
      </c>
      <c r="P174" s="334">
        <f>(INDEX(Models!$BJ174:$BT174,,T174)*(1-R174)+INDEX(Models!$BJ174:$BT174,,T174+1)*R174-ERP_i)*Q174*Ramure*Pc/MaxiM</f>
        <v>1.6439494440329664E-4</v>
      </c>
      <c r="Q174" s="301">
        <f t="shared" si="53"/>
        <v>0.5</v>
      </c>
      <c r="R174" s="173">
        <f t="shared" si="54"/>
        <v>0.23411850168785442</v>
      </c>
      <c r="S174" s="801">
        <f t="shared" si="55"/>
        <v>2</v>
      </c>
      <c r="T174" s="172">
        <f t="shared" si="56"/>
        <v>8</v>
      </c>
      <c r="U174" s="247">
        <f t="shared" si="57"/>
        <v>2.2341185016878544</v>
      </c>
      <c r="V174" s="378">
        <f t="shared" si="58"/>
        <v>243.07467718677887</v>
      </c>
      <c r="W174" s="397">
        <f t="shared" si="59"/>
        <v>193.13681618299094</v>
      </c>
      <c r="X174" s="153">
        <f t="shared" si="60"/>
        <v>46182</v>
      </c>
      <c r="Y174" s="380">
        <f t="shared" si="61"/>
        <v>185.24838631680575</v>
      </c>
      <c r="Z174" s="380">
        <f t="shared" si="62"/>
        <v>189.76059696831442</v>
      </c>
      <c r="AA174" s="381">
        <f t="shared" si="63"/>
        <v>200.14346956506878</v>
      </c>
      <c r="AB174" s="193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5.1877149023734685E-2</v>
      </c>
      <c r="AD174" s="227">
        <f>(INDEX(Models!$BJ174:$BT174,,AH174)*(1-AF174)+INDEX(Models!$BJ174:$BT174,,AH174+1)*AF174-ERP_i)*AE174*Ramure*Pc/MaxiM</f>
        <v>1.6439494440329664E-4</v>
      </c>
      <c r="AE174" s="301">
        <f t="shared" si="65"/>
        <v>0.5</v>
      </c>
      <c r="AF174" s="173">
        <f t="shared" si="66"/>
        <v>0.23411850168785442</v>
      </c>
      <c r="AG174" s="801">
        <f t="shared" si="74"/>
        <v>2</v>
      </c>
      <c r="AH174" s="172">
        <f t="shared" si="67"/>
        <v>8</v>
      </c>
      <c r="AI174" s="221">
        <f t="shared" si="68"/>
        <v>2.2341185016878544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46183</v>
      </c>
      <c r="B175" s="406">
        <f>'2025'!Wh/'2025'!Env_an*'2026'!Env_an</f>
        <v>244.15961566686278</v>
      </c>
      <c r="C175" s="831"/>
      <c r="D175" s="388">
        <f t="shared" si="50"/>
        <v>250.11018772599331</v>
      </c>
      <c r="E175" s="380">
        <f t="shared" si="75"/>
        <v>253.04254073060326</v>
      </c>
      <c r="F175" s="380">
        <f t="shared" si="51"/>
        <v>253.08346878897103</v>
      </c>
      <c r="G175" s="110">
        <f t="shared" si="76"/>
        <v>1.0044007926630025</v>
      </c>
      <c r="H175" s="409" t="b">
        <f>Wh_hp&gt;='2025'!Maxi_hp</f>
        <v>1</v>
      </c>
      <c r="I175" s="375">
        <f>IF(H175,Wh_hp,'2025'!Maxi_hp)</f>
        <v>253.08346878897103</v>
      </c>
      <c r="J175" s="85">
        <f>IF(H175,An,'2025'!An_max)</f>
        <v>2026</v>
      </c>
      <c r="K175" s="193">
        <f t="shared" si="52"/>
        <v>46183</v>
      </c>
      <c r="L175" s="143">
        <f>IF(t&lt;Tvie,1-EXP((T0-t)*PertePVj)+'2025'!Pspv,1-EXP((T0-t)*PertePVj)+Pspv)</f>
        <v>2.3791801978293114E-2</v>
      </c>
      <c r="M175" s="835"/>
      <c r="N175" s="835"/>
      <c r="O175" s="48">
        <f>IF(t&lt;Tnet,'2025'!Resal+('2025'!Salim-'2025'!Resal)*(1-EXP(('2025'!Tnet-t)/('2025'!Tau_j))),Resal+(Salim-Resal)*(1-EXP((Tnet-t)/(Tau_j))))*Salcycl</f>
        <v>1.1588379551293727E-2</v>
      </c>
      <c r="P175" s="334">
        <f>(INDEX(Models!$BJ175:$BT175,,T175)*(1-R175)+INDEX(Models!$BJ175:$BT175,,T175+1)*R175-ERP_i)*Q175*Ramure*Pc/MaxiM</f>
        <v>1.6171762843156736E-4</v>
      </c>
      <c r="Q175" s="301">
        <f t="shared" si="53"/>
        <v>0.5</v>
      </c>
      <c r="R175" s="173">
        <f t="shared" si="54"/>
        <v>0.23926361799886564</v>
      </c>
      <c r="S175" s="801">
        <f t="shared" si="55"/>
        <v>2</v>
      </c>
      <c r="T175" s="172">
        <f t="shared" si="56"/>
        <v>8</v>
      </c>
      <c r="U175" s="247">
        <f t="shared" si="57"/>
        <v>2.2392636179988656</v>
      </c>
      <c r="V175" s="378">
        <f t="shared" si="58"/>
        <v>243.08982773650939</v>
      </c>
      <c r="W175" s="397">
        <f t="shared" si="59"/>
        <v>244.15961566686278</v>
      </c>
      <c r="X175" s="153">
        <f t="shared" si="60"/>
        <v>46183</v>
      </c>
      <c r="Y175" s="380">
        <f t="shared" si="61"/>
        <v>234.1914139365123</v>
      </c>
      <c r="Z175" s="380">
        <f t="shared" si="62"/>
        <v>239.89904449799022</v>
      </c>
      <c r="AA175" s="381">
        <f t="shared" si="63"/>
        <v>253.04254073060326</v>
      </c>
      <c r="AB175" s="193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5.194184422375852E-2</v>
      </c>
      <c r="AD175" s="227">
        <f>(INDEX(Models!$BJ175:$BT175,,AH175)*(1-AF175)+INDEX(Models!$BJ175:$BT175,,AH175+1)*AF175-ERP_i)*AE175*Ramure*Pc/MaxiM</f>
        <v>1.6171762843156736E-4</v>
      </c>
      <c r="AE175" s="301">
        <f t="shared" si="65"/>
        <v>0.5</v>
      </c>
      <c r="AF175" s="173">
        <f t="shared" si="66"/>
        <v>0.23926361799886564</v>
      </c>
      <c r="AG175" s="801">
        <f t="shared" si="74"/>
        <v>2</v>
      </c>
      <c r="AH175" s="172">
        <f t="shared" si="67"/>
        <v>8</v>
      </c>
      <c r="AI175" s="221">
        <f t="shared" si="68"/>
        <v>2.2392636179988656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46184</v>
      </c>
      <c r="B176" s="406">
        <f>'2025'!Wh/'2025'!Env_an*'2026'!Env_an</f>
        <v>231.89950282691186</v>
      </c>
      <c r="C176" s="831"/>
      <c r="D176" s="388">
        <f t="shared" si="50"/>
        <v>237.55452766097915</v>
      </c>
      <c r="E176" s="380">
        <f t="shared" si="75"/>
        <v>240.36034331384491</v>
      </c>
      <c r="F176" s="380">
        <f t="shared" si="51"/>
        <v>240.39597620079985</v>
      </c>
      <c r="G176" s="110">
        <f t="shared" si="76"/>
        <v>0.95395228651675146</v>
      </c>
      <c r="H176" s="409" t="b">
        <f>Wh_hp&gt;='2025'!Maxi_hp</f>
        <v>0</v>
      </c>
      <c r="I176" s="375">
        <f>IF(H176,Wh_hp,'2025'!Maxi_hp)</f>
        <v>240.39829308903109</v>
      </c>
      <c r="J176" s="85">
        <f>IF(H176,An,'2025'!An_max)</f>
        <v>2022</v>
      </c>
      <c r="K176" s="193">
        <f t="shared" si="52"/>
        <v>46184</v>
      </c>
      <c r="L176" s="143">
        <f>IF(t&lt;Tvie,1-EXP((T0-t)*PertePVj)+'2025'!Pspv,1-EXP((T0-t)*PertePVj)+Pspv)</f>
        <v>2.3805165448741672E-2</v>
      </c>
      <c r="M176" s="835"/>
      <c r="N176" s="835"/>
      <c r="O176" s="48">
        <f>IF(t&lt;Tnet,'2025'!Resal+('2025'!Salim-'2025'!Resal)*(1-EXP(('2025'!Tnet-t)/('2025'!Tau_j))),Resal+(Salim-Resal)*(1-EXP((Tnet-t)/(Tau_j))))*Salcycl</f>
        <v>1.16733717974522E-2</v>
      </c>
      <c r="P176" s="334">
        <f>(INDEX(Models!$BJ176:$BT176,,T176)*(1-R176)+INDEX(Models!$BJ176:$BT176,,T176+1)*R176-ERP_i)*Q176*Ramure*Pc/MaxiM</f>
        <v>1.5866063263652094E-4</v>
      </c>
      <c r="Q176" s="301">
        <f t="shared" si="53"/>
        <v>0.5</v>
      </c>
      <c r="R176" s="173">
        <f t="shared" si="54"/>
        <v>0.24440873430987731</v>
      </c>
      <c r="S176" s="801">
        <f t="shared" si="55"/>
        <v>2</v>
      </c>
      <c r="T176" s="172">
        <f t="shared" si="56"/>
        <v>8</v>
      </c>
      <c r="U176" s="247">
        <f t="shared" si="57"/>
        <v>2.2444087343098773</v>
      </c>
      <c r="V176" s="378">
        <f t="shared" si="58"/>
        <v>243.09086095222935</v>
      </c>
      <c r="W176" s="397">
        <f t="shared" si="59"/>
        <v>231.89950282691186</v>
      </c>
      <c r="X176" s="153">
        <f t="shared" si="60"/>
        <v>46184</v>
      </c>
      <c r="Y176" s="380">
        <f t="shared" si="61"/>
        <v>222.435942965961</v>
      </c>
      <c r="Z176" s="380">
        <f t="shared" si="62"/>
        <v>227.86019254876652</v>
      </c>
      <c r="AA176" s="381">
        <f t="shared" si="63"/>
        <v>240.36034331384491</v>
      </c>
      <c r="AB176" s="193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5.2005878310618855E-2</v>
      </c>
      <c r="AD176" s="227">
        <f>(INDEX(Models!$BJ176:$BT176,,AH176)*(1-AF176)+INDEX(Models!$BJ176:$BT176,,AH176+1)*AF176-ERP_i)*AE176*Ramure*Pc/MaxiM</f>
        <v>1.5866063263652094E-4</v>
      </c>
      <c r="AE176" s="301">
        <f t="shared" si="65"/>
        <v>0.5</v>
      </c>
      <c r="AF176" s="173">
        <f t="shared" si="66"/>
        <v>0.24440873430987731</v>
      </c>
      <c r="AG176" s="801">
        <f t="shared" si="74"/>
        <v>2</v>
      </c>
      <c r="AH176" s="172">
        <f t="shared" si="67"/>
        <v>8</v>
      </c>
      <c r="AI176" s="221">
        <f t="shared" si="68"/>
        <v>2.2444087343098773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46185</v>
      </c>
      <c r="B177" s="406">
        <f>'2025'!Wh/'2025'!Env_an*'2026'!Env_an</f>
        <v>183.0774348151285</v>
      </c>
      <c r="C177" s="831"/>
      <c r="D177" s="388">
        <f t="shared" si="50"/>
        <v>187.54446811833074</v>
      </c>
      <c r="E177" s="380">
        <f t="shared" si="75"/>
        <v>189.7758932281983</v>
      </c>
      <c r="F177" s="380">
        <f t="shared" si="51"/>
        <v>189.79496444528229</v>
      </c>
      <c r="G177" s="110">
        <f t="shared" si="76"/>
        <v>0.75312385274645632</v>
      </c>
      <c r="H177" s="409" t="b">
        <f>Wh_hp&gt;='2025'!Maxi_hp</f>
        <v>0</v>
      </c>
      <c r="I177" s="375">
        <f>IF(H177,Wh_hp,'2025'!Maxi_hp)</f>
        <v>189.8045422952159</v>
      </c>
      <c r="J177" s="85">
        <f>IF(H177,An,'2025'!An_max)</f>
        <v>2022</v>
      </c>
      <c r="K177" s="193">
        <f t="shared" si="52"/>
        <v>46185</v>
      </c>
      <c r="L177" s="143">
        <f>IF(t&lt;Tvie,1-EXP((T0-t)*PertePVj)+'2025'!Pspv,1-EXP((T0-t)*PertePVj)+Pspv)</f>
        <v>2.3818528736255673E-2</v>
      </c>
      <c r="M177" s="835"/>
      <c r="N177" s="835"/>
      <c r="O177" s="48">
        <f>IF(t&lt;Tnet,'2025'!Resal+('2025'!Salim-'2025'!Resal)*(1-EXP(('2025'!Tnet-t)/('2025'!Tau_j))),Resal+(Salim-Resal)*(1-EXP((Tnet-t)/(Tau_j))))*Salcycl</f>
        <v>1.1758211603748594E-2</v>
      </c>
      <c r="P177" s="334">
        <f>(INDEX(Models!$BJ177:$BT177,,T177)*(1-R177)+INDEX(Models!$BJ177:$BT177,,T177+1)*R177-ERP_i)*Q177*Ramure*Pc/MaxiM</f>
        <v>1.5521558566939541E-4</v>
      </c>
      <c r="Q177" s="301">
        <f t="shared" si="53"/>
        <v>0.5</v>
      </c>
      <c r="R177" s="173">
        <f t="shared" si="54"/>
        <v>0.24954950895418326</v>
      </c>
      <c r="S177" s="801">
        <f t="shared" si="55"/>
        <v>2</v>
      </c>
      <c r="T177" s="172">
        <f t="shared" si="56"/>
        <v>8</v>
      </c>
      <c r="U177" s="247">
        <f t="shared" si="57"/>
        <v>2.2495495089541833</v>
      </c>
      <c r="V177" s="378">
        <f t="shared" si="58"/>
        <v>243.07743392681886</v>
      </c>
      <c r="W177" s="397">
        <f t="shared" si="59"/>
        <v>183.0774348151285</v>
      </c>
      <c r="X177" s="153">
        <f t="shared" si="60"/>
        <v>46185</v>
      </c>
      <c r="Y177" s="380">
        <f t="shared" si="61"/>
        <v>175.60959036881391</v>
      </c>
      <c r="Z177" s="380">
        <f t="shared" si="62"/>
        <v>179.89441055613705</v>
      </c>
      <c r="AA177" s="381">
        <f t="shared" si="63"/>
        <v>189.7758932281983</v>
      </c>
      <c r="AB177" s="193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5.2069219667321739E-2</v>
      </c>
      <c r="AD177" s="227">
        <f>(INDEX(Models!$BJ177:$BT177,,AH177)*(1-AF177)+INDEX(Models!$BJ177:$BT177,,AH177+1)*AF177-ERP_i)*AE177*Ramure*Pc/MaxiM</f>
        <v>1.5521558566939541E-4</v>
      </c>
      <c r="AE177" s="301">
        <f t="shared" si="65"/>
        <v>0.5</v>
      </c>
      <c r="AF177" s="173">
        <f t="shared" si="66"/>
        <v>0.24954950895418326</v>
      </c>
      <c r="AG177" s="801">
        <f t="shared" si="74"/>
        <v>2</v>
      </c>
      <c r="AH177" s="172">
        <f t="shared" si="67"/>
        <v>8</v>
      </c>
      <c r="AI177" s="221">
        <f t="shared" si="68"/>
        <v>2.2495495089541833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46186</v>
      </c>
      <c r="B178" s="406">
        <f>'2025'!Wh/'2025'!Env_an*'2026'!Env_an</f>
        <v>225.16318027953693</v>
      </c>
      <c r="C178" s="831"/>
      <c r="D178" s="388">
        <f t="shared" si="50"/>
        <v>230.66025041951528</v>
      </c>
      <c r="E178" s="380">
        <f t="shared" si="75"/>
        <v>233.4246729983696</v>
      </c>
      <c r="F178" s="380">
        <f t="shared" si="51"/>
        <v>233.45636467116725</v>
      </c>
      <c r="G178" s="110">
        <f t="shared" si="76"/>
        <v>0.92639271018798597</v>
      </c>
      <c r="H178" s="409" t="b">
        <f>Wh_hp&gt;='2025'!Maxi_hp</f>
        <v>0</v>
      </c>
      <c r="I178" s="375">
        <f>IF(H178,Wh_hp,'2025'!Maxi_hp)</f>
        <v>233.45979077270493</v>
      </c>
      <c r="J178" s="85">
        <f>IF(H178,An,'2025'!An_max)</f>
        <v>2022</v>
      </c>
      <c r="K178" s="193">
        <f t="shared" si="52"/>
        <v>46186</v>
      </c>
      <c r="L178" s="143">
        <f>IF(t&lt;Tvie,1-EXP((T0-t)*PertePVj)+'2025'!Pspv,1-EXP((T0-t)*PertePVj)+Pspv)</f>
        <v>2.3831891840837338E-2</v>
      </c>
      <c r="M178" s="835"/>
      <c r="N178" s="835"/>
      <c r="O178" s="48">
        <f>IF(t&lt;Tnet,'2025'!Resal+('2025'!Salim-'2025'!Resal)*(1-EXP(('2025'!Tnet-t)/('2025'!Tau_j))),Resal+(Salim-Resal)*(1-EXP((Tnet-t)/(Tau_j))))*Salcycl</f>
        <v>1.1842889371311824E-2</v>
      </c>
      <c r="P178" s="334">
        <f>(INDEX(Models!$BJ178:$BT178,,T178)*(1-R178)+INDEX(Models!$BJ178:$BT178,,T178+1)*R178-ERP_i)*Q178*Ramure*Pc/MaxiM</f>
        <v>1.5169824102784625E-4</v>
      </c>
      <c r="Q178" s="301">
        <f t="shared" si="53"/>
        <v>0.5</v>
      </c>
      <c r="R178" s="173">
        <f t="shared" si="54"/>
        <v>0.25468161490744956</v>
      </c>
      <c r="S178" s="801">
        <f t="shared" si="55"/>
        <v>2</v>
      </c>
      <c r="T178" s="172">
        <f t="shared" si="56"/>
        <v>8</v>
      </c>
      <c r="U178" s="247">
        <f t="shared" si="57"/>
        <v>2.2546816149074496</v>
      </c>
      <c r="V178" s="378">
        <f t="shared" si="58"/>
        <v>243.0498279309092</v>
      </c>
      <c r="W178" s="397">
        <f t="shared" si="59"/>
        <v>225.16318027953693</v>
      </c>
      <c r="X178" s="153">
        <f t="shared" si="60"/>
        <v>46186</v>
      </c>
      <c r="Y178" s="380">
        <f t="shared" si="61"/>
        <v>215.98287093796802</v>
      </c>
      <c r="Z178" s="380">
        <f t="shared" si="62"/>
        <v>221.25581560461342</v>
      </c>
      <c r="AA178" s="381">
        <f t="shared" si="63"/>
        <v>233.4246729983696</v>
      </c>
      <c r="AB178" s="193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5.213183866746255E-2</v>
      </c>
      <c r="AD178" s="227">
        <f>(INDEX(Models!$BJ178:$BT178,,AH178)*(1-AF178)+INDEX(Models!$BJ178:$BT178,,AH178+1)*AF178-ERP_i)*AE178*Ramure*Pc/MaxiM</f>
        <v>1.5169824102784625E-4</v>
      </c>
      <c r="AE178" s="301">
        <f t="shared" si="65"/>
        <v>0.5</v>
      </c>
      <c r="AF178" s="173">
        <f t="shared" si="66"/>
        <v>0.25468161490744956</v>
      </c>
      <c r="AG178" s="801">
        <f t="shared" si="74"/>
        <v>2</v>
      </c>
      <c r="AH178" s="172">
        <f t="shared" si="67"/>
        <v>8</v>
      </c>
      <c r="AI178" s="221">
        <f t="shared" si="68"/>
        <v>2.2546816149074496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46187</v>
      </c>
      <c r="B179" s="406">
        <f>'2025'!Wh/'2025'!Env_an*'2026'!Env_an</f>
        <v>203.29150424125791</v>
      </c>
      <c r="C179" s="831"/>
      <c r="D179" s="388">
        <f t="shared" si="50"/>
        <v>208.25745634396785</v>
      </c>
      <c r="E179" s="380">
        <f t="shared" si="75"/>
        <v>210.77141038646806</v>
      </c>
      <c r="F179" s="380">
        <f t="shared" si="51"/>
        <v>210.79539900559175</v>
      </c>
      <c r="G179" s="110">
        <f t="shared" si="76"/>
        <v>0.83653232252478904</v>
      </c>
      <c r="H179" s="409" t="b">
        <f>Wh_hp&gt;='2025'!Maxi_hp</f>
        <v>0</v>
      </c>
      <c r="I179" s="375">
        <f>IF(H179,Wh_hp,'2025'!Maxi_hp)</f>
        <v>210.80210938162338</v>
      </c>
      <c r="J179" s="85">
        <f>IF(H179,An,'2025'!An_max)</f>
        <v>2022</v>
      </c>
      <c r="K179" s="193">
        <f t="shared" si="52"/>
        <v>46187</v>
      </c>
      <c r="L179" s="143">
        <f>IF(t&lt;Tvie,1-EXP((T0-t)*PertePVj)+'2025'!Pspv,1-EXP((T0-t)*PertePVj)+Pspv)</f>
        <v>2.3845254762489443E-2</v>
      </c>
      <c r="M179" s="835"/>
      <c r="N179" s="835"/>
      <c r="O179" s="48">
        <f>IF(t&lt;Tnet,'2025'!Resal+('2025'!Salim-'2025'!Resal)*(1-EXP(('2025'!Tnet-t)/('2025'!Tau_j))),Resal+(Salim-Resal)*(1-EXP((Tnet-t)/(Tau_j))))*Salcycl</f>
        <v>1.1927395835567326E-2</v>
      </c>
      <c r="P179" s="334">
        <f>(INDEX(Models!$BJ179:$BT179,,T179)*(1-R179)+INDEX(Models!$BJ179:$BT179,,T179+1)*R179-ERP_i)*Q179*Ramure*Pc/MaxiM</f>
        <v>1.484645602803525E-4</v>
      </c>
      <c r="Q179" s="301">
        <f t="shared" si="53"/>
        <v>0.5</v>
      </c>
      <c r="R179" s="173">
        <f t="shared" si="54"/>
        <v>0.25980075432527583</v>
      </c>
      <c r="S179" s="801">
        <f t="shared" si="55"/>
        <v>2</v>
      </c>
      <c r="T179" s="172">
        <f t="shared" si="56"/>
        <v>8</v>
      </c>
      <c r="U179" s="247">
        <f t="shared" si="57"/>
        <v>2.2598007543252758</v>
      </c>
      <c r="V179" s="378">
        <f t="shared" si="58"/>
        <v>243.00848999371186</v>
      </c>
      <c r="W179" s="397">
        <f t="shared" si="59"/>
        <v>203.29150424125791</v>
      </c>
      <c r="X179" s="153">
        <f t="shared" si="60"/>
        <v>46187</v>
      </c>
      <c r="Y179" s="380">
        <f t="shared" si="61"/>
        <v>195.00689125592555</v>
      </c>
      <c r="Z179" s="380">
        <f t="shared" si="62"/>
        <v>199.77046898284345</v>
      </c>
      <c r="AA179" s="381">
        <f t="shared" si="63"/>
        <v>210.77141038646806</v>
      </c>
      <c r="AB179" s="193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5.2193707787281982E-2</v>
      </c>
      <c r="AD179" s="227">
        <f>(INDEX(Models!$BJ179:$BT179,,AH179)*(1-AF179)+INDEX(Models!$BJ179:$BT179,,AH179+1)*AF179-ERP_i)*AE179*Ramure*Pc/MaxiM</f>
        <v>1.484645602803525E-4</v>
      </c>
      <c r="AE179" s="301">
        <f t="shared" si="65"/>
        <v>0.5</v>
      </c>
      <c r="AF179" s="173">
        <f t="shared" si="66"/>
        <v>0.25980075432527583</v>
      </c>
      <c r="AG179" s="801">
        <f t="shared" si="74"/>
        <v>2</v>
      </c>
      <c r="AH179" s="172">
        <f t="shared" si="67"/>
        <v>8</v>
      </c>
      <c r="AI179" s="221">
        <f t="shared" si="68"/>
        <v>2.2598007543252758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46188</v>
      </c>
      <c r="B180" s="406">
        <f>'2025'!Wh/'2025'!Env_an*'2026'!Env_an</f>
        <v>228.20108606480511</v>
      </c>
      <c r="C180" s="831"/>
      <c r="D180" s="388">
        <f t="shared" si="50"/>
        <v>233.7787232015942</v>
      </c>
      <c r="E180" s="380">
        <f t="shared" si="75"/>
        <v>236.62094827641025</v>
      </c>
      <c r="F180" s="380">
        <f t="shared" si="51"/>
        <v>236.65239899391008</v>
      </c>
      <c r="G180" s="110">
        <f t="shared" si="76"/>
        <v>0.93926525367600577</v>
      </c>
      <c r="H180" s="409" t="b">
        <f>Wh_hp&gt;='2025'!Maxi_hp</f>
        <v>0</v>
      </c>
      <c r="I180" s="375">
        <f>IF(H180,Wh_hp,'2025'!Maxi_hp)</f>
        <v>236.65513691987971</v>
      </c>
      <c r="J180" s="85">
        <f>IF(H180,An,'2025'!An_max)</f>
        <v>2022</v>
      </c>
      <c r="K180" s="193">
        <f t="shared" si="52"/>
        <v>46188</v>
      </c>
      <c r="L180" s="143">
        <f>IF(t&lt;Tvie,1-EXP((T0-t)*PertePVj)+'2025'!Pspv,1-EXP((T0-t)*PertePVj)+Pspv)</f>
        <v>2.3858617501214319E-2</v>
      </c>
      <c r="M180" s="835"/>
      <c r="N180" s="835"/>
      <c r="O180" s="48">
        <f>IF(t&lt;Tnet,'2025'!Resal+('2025'!Salim-'2025'!Resal)*(1-EXP(('2025'!Tnet-t)/('2025'!Tau_j))),Resal+(Salim-Resal)*(1-EXP((Tnet-t)/(Tau_j))))*Salcycl</f>
        <v>1.2011722104569892E-2</v>
      </c>
      <c r="P180" s="334">
        <f>(INDEX(Models!$BJ180:$BT180,,T180)*(1-R180)+INDEX(Models!$BJ180:$BT180,,T180+1)*R180-ERP_i)*Q180*Ramure*Pc/MaxiM</f>
        <v>1.4552195829502481E-4</v>
      </c>
      <c r="Q180" s="301">
        <f t="shared" si="53"/>
        <v>0.5</v>
      </c>
      <c r="R180" s="173">
        <f t="shared" si="54"/>
        <v>0.26490267287241576</v>
      </c>
      <c r="S180" s="801">
        <f t="shared" si="55"/>
        <v>2</v>
      </c>
      <c r="T180" s="172">
        <f t="shared" si="56"/>
        <v>8</v>
      </c>
      <c r="U180" s="247">
        <f t="shared" si="57"/>
        <v>2.2649026728724158</v>
      </c>
      <c r="V180" s="378">
        <f t="shared" si="58"/>
        <v>242.95395158256983</v>
      </c>
      <c r="W180" s="397">
        <f t="shared" si="59"/>
        <v>228.20108606480511</v>
      </c>
      <c r="X180" s="153">
        <f t="shared" si="60"/>
        <v>46188</v>
      </c>
      <c r="Y180" s="380">
        <f t="shared" si="61"/>
        <v>218.90592064904712</v>
      </c>
      <c r="Z180" s="380">
        <f t="shared" si="62"/>
        <v>224.25636754450315</v>
      </c>
      <c r="AA180" s="381">
        <f t="shared" si="63"/>
        <v>236.62094827641025</v>
      </c>
      <c r="AB180" s="193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5.2254801707004084E-2</v>
      </c>
      <c r="AD180" s="227">
        <f>(INDEX(Models!$BJ180:$BT180,,AH180)*(1-AF180)+INDEX(Models!$BJ180:$BT180,,AH180+1)*AF180-ERP_i)*AE180*Ramure*Pc/MaxiM</f>
        <v>1.4552195829502481E-4</v>
      </c>
      <c r="AE180" s="301">
        <f t="shared" si="65"/>
        <v>0.5</v>
      </c>
      <c r="AF180" s="173">
        <f t="shared" si="66"/>
        <v>0.26490267287241576</v>
      </c>
      <c r="AG180" s="801">
        <f t="shared" si="74"/>
        <v>2</v>
      </c>
      <c r="AH180" s="172">
        <f t="shared" si="67"/>
        <v>8</v>
      </c>
      <c r="AI180" s="221">
        <f t="shared" si="68"/>
        <v>2.2649026728724158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46189</v>
      </c>
      <c r="B181" s="406">
        <f>'2025'!Wh/'2025'!Env_an*'2026'!Env_an</f>
        <v>215.43183474859239</v>
      </c>
      <c r="C181" s="831"/>
      <c r="D181" s="388">
        <f t="shared" si="50"/>
        <v>220.70039005864777</v>
      </c>
      <c r="E181" s="380">
        <f t="shared" si="75"/>
        <v>223.40263701151949</v>
      </c>
      <c r="F181" s="380">
        <f t="shared" si="51"/>
        <v>223.42940519307754</v>
      </c>
      <c r="G181" s="110">
        <f t="shared" si="76"/>
        <v>0.88694368535012835</v>
      </c>
      <c r="H181" s="409" t="b">
        <f>Wh_hp&gt;='2025'!Maxi_hp</f>
        <v>0</v>
      </c>
      <c r="I181" s="375">
        <f>IF(H181,Wh_hp,'2025'!Maxi_hp)</f>
        <v>223.43412002799909</v>
      </c>
      <c r="J181" s="85">
        <f>IF(H181,An,'2025'!An_max)</f>
        <v>2022</v>
      </c>
      <c r="K181" s="193">
        <f t="shared" si="52"/>
        <v>46189</v>
      </c>
      <c r="L181" s="143">
        <f>IF(t&lt;Tvie,1-EXP((T0-t)*PertePVj)+'2025'!Pspv,1-EXP((T0-t)*PertePVj)+Pspv)</f>
        <v>2.3871980057014519E-2</v>
      </c>
      <c r="M181" s="835"/>
      <c r="N181" s="835"/>
      <c r="O181" s="48">
        <f>IF(t&lt;Tnet,'2025'!Resal+('2025'!Salim-'2025'!Resal)*(1-EXP(('2025'!Tnet-t)/('2025'!Tau_j))),Resal+(Salim-Resal)*(1-EXP((Tnet-t)/(Tau_j))))*Salcycl</f>
        <v>1.209585969539112E-2</v>
      </c>
      <c r="P181" s="334">
        <f>(INDEX(Models!$BJ181:$BT181,,T181)*(1-R181)+INDEX(Models!$BJ181:$BT181,,T181+1)*R181-ERP_i)*Q181*Ramure*Pc/MaxiM</f>
        <v>1.4287788144405346E-4</v>
      </c>
      <c r="Q181" s="301">
        <f t="shared" si="53"/>
        <v>0.5</v>
      </c>
      <c r="R181" s="173">
        <f t="shared" si="54"/>
        <v>0.26998317374268765</v>
      </c>
      <c r="S181" s="801">
        <f t="shared" si="55"/>
        <v>2</v>
      </c>
      <c r="T181" s="172">
        <f t="shared" si="56"/>
        <v>8</v>
      </c>
      <c r="U181" s="247">
        <f t="shared" si="57"/>
        <v>2.2699831737426877</v>
      </c>
      <c r="V181" s="378">
        <f t="shared" si="58"/>
        <v>242.88674387319799</v>
      </c>
      <c r="W181" s="397">
        <f t="shared" si="59"/>
        <v>215.43183474859239</v>
      </c>
      <c r="X181" s="153">
        <f t="shared" si="60"/>
        <v>46189</v>
      </c>
      <c r="Y181" s="380">
        <f t="shared" si="61"/>
        <v>206.66124272701094</v>
      </c>
      <c r="Z181" s="380">
        <f t="shared" si="62"/>
        <v>211.71530629669024</v>
      </c>
      <c r="AA181" s="381">
        <f t="shared" si="63"/>
        <v>223.40263701151949</v>
      </c>
      <c r="AB181" s="193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5.2315097400692755E-2</v>
      </c>
      <c r="AD181" s="227">
        <f>(INDEX(Models!$BJ181:$BT181,,AH181)*(1-AF181)+INDEX(Models!$BJ181:$BT181,,AH181+1)*AF181-ERP_i)*AE181*Ramure*Pc/MaxiM</f>
        <v>1.4287788144405346E-4</v>
      </c>
      <c r="AE181" s="301">
        <f t="shared" si="65"/>
        <v>0.5</v>
      </c>
      <c r="AF181" s="173">
        <f t="shared" si="66"/>
        <v>0.26998317374268765</v>
      </c>
      <c r="AG181" s="801">
        <f t="shared" si="74"/>
        <v>2</v>
      </c>
      <c r="AH181" s="172">
        <f t="shared" si="67"/>
        <v>8</v>
      </c>
      <c r="AI181" s="221">
        <f t="shared" si="68"/>
        <v>2.2699831737426877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46190</v>
      </c>
      <c r="B182" s="406">
        <f>'2025'!Wh/'2025'!Env_an*'2026'!Env_an</f>
        <v>222.15035428721168</v>
      </c>
      <c r="C182" s="831"/>
      <c r="D182" s="388">
        <f t="shared" si="50"/>
        <v>227.58633175350735</v>
      </c>
      <c r="E182" s="380">
        <f t="shared" si="75"/>
        <v>230.39246604233932</v>
      </c>
      <c r="F182" s="380">
        <f t="shared" si="51"/>
        <v>230.42091357990623</v>
      </c>
      <c r="G182" s="110">
        <f t="shared" si="76"/>
        <v>0.91490852993503702</v>
      </c>
      <c r="H182" s="409" t="b">
        <f>Wh_hp&gt;='2025'!Maxi_hp</f>
        <v>0</v>
      </c>
      <c r="I182" s="375">
        <f>IF(H182,Wh_hp,'2025'!Maxi_hp)</f>
        <v>230.42450598250218</v>
      </c>
      <c r="J182" s="85">
        <f>IF(H182,An,'2025'!An_max)</f>
        <v>2022</v>
      </c>
      <c r="K182" s="193">
        <f t="shared" si="52"/>
        <v>46190</v>
      </c>
      <c r="L182" s="143">
        <f>IF(t&lt;Tvie,1-EXP((T0-t)*PertePVj)+'2025'!Pspv,1-EXP((T0-t)*PertePVj)+Pspv)</f>
        <v>2.3885342429892598E-2</v>
      </c>
      <c r="M182" s="835"/>
      <c r="N182" s="835"/>
      <c r="O182" s="48">
        <f>IF(t&lt;Tnet,'2025'!Resal+('2025'!Salim-'2025'!Resal)*(1-EXP(('2025'!Tnet-t)/('2025'!Tau_j))),Resal+(Salim-Resal)*(1-EXP((Tnet-t)/(Tau_j))))*Salcycl</f>
        <v>1.2179800568288886E-2</v>
      </c>
      <c r="P182" s="334">
        <f>(INDEX(Models!$BJ182:$BT182,,T182)*(1-R182)+INDEX(Models!$BJ182:$BT182,,T182+1)*R182-ERP_i)*Q182*Ramure*Pc/MaxiM</f>
        <v>1.4053977996457851E-4</v>
      </c>
      <c r="Q182" s="301">
        <f t="shared" si="53"/>
        <v>0.5</v>
      </c>
      <c r="R182" s="173">
        <f t="shared" si="54"/>
        <v>0.27503813127234755</v>
      </c>
      <c r="S182" s="801">
        <f t="shared" si="55"/>
        <v>2</v>
      </c>
      <c r="T182" s="172">
        <f t="shared" si="56"/>
        <v>8</v>
      </c>
      <c r="U182" s="247">
        <f t="shared" si="57"/>
        <v>2.2750381312723476</v>
      </c>
      <c r="V182" s="378">
        <f t="shared" si="58"/>
        <v>242.80739773523277</v>
      </c>
      <c r="W182" s="397">
        <f t="shared" si="59"/>
        <v>222.15035428721168</v>
      </c>
      <c r="X182" s="153">
        <f t="shared" si="60"/>
        <v>46190</v>
      </c>
      <c r="Y182" s="380">
        <f t="shared" si="61"/>
        <v>213.11097322270876</v>
      </c>
      <c r="Z182" s="380">
        <f t="shared" si="62"/>
        <v>218.32575873127129</v>
      </c>
      <c r="AA182" s="381">
        <f t="shared" si="63"/>
        <v>230.39246604233932</v>
      </c>
      <c r="AB182" s="193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5.2374574213943786E-2</v>
      </c>
      <c r="AD182" s="227">
        <f>(INDEX(Models!$BJ182:$BT182,,AH182)*(1-AF182)+INDEX(Models!$BJ182:$BT182,,AH182+1)*AF182-ERP_i)*AE182*Ramure*Pc/MaxiM</f>
        <v>1.4053977996457851E-4</v>
      </c>
      <c r="AE182" s="301">
        <f t="shared" si="65"/>
        <v>0.5</v>
      </c>
      <c r="AF182" s="173">
        <f t="shared" si="66"/>
        <v>0.27503813127234755</v>
      </c>
      <c r="AG182" s="801">
        <f t="shared" si="74"/>
        <v>2</v>
      </c>
      <c r="AH182" s="172">
        <f t="shared" si="67"/>
        <v>8</v>
      </c>
      <c r="AI182" s="221">
        <f t="shared" si="68"/>
        <v>2.2750381312723476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46191</v>
      </c>
      <c r="B183" s="406">
        <f>'2025'!Wh/'2025'!Env_an*'2026'!Env_an</f>
        <v>229.02472175610822</v>
      </c>
      <c r="C183" s="831"/>
      <c r="D183" s="388">
        <f t="shared" si="50"/>
        <v>234.63212562064376</v>
      </c>
      <c r="E183" s="380">
        <f t="shared" si="75"/>
        <v>237.54527087684428</v>
      </c>
      <c r="F183" s="380">
        <f t="shared" si="51"/>
        <v>237.57552675529774</v>
      </c>
      <c r="G183" s="110">
        <f t="shared" si="76"/>
        <v>0.94357910588892036</v>
      </c>
      <c r="H183" s="409" t="b">
        <f>Wh_hp&gt;='2025'!Maxi_hp</f>
        <v>0</v>
      </c>
      <c r="I183" s="375">
        <f>IF(H183,Wh_hp,'2025'!Maxi_hp)</f>
        <v>237.57794236873499</v>
      </c>
      <c r="J183" s="85">
        <f>IF(H183,An,'2025'!An_max)</f>
        <v>2022</v>
      </c>
      <c r="K183" s="193">
        <f t="shared" si="52"/>
        <v>46191</v>
      </c>
      <c r="L183" s="143">
        <f>IF(t&lt;Tvie,1-EXP((T0-t)*PertePVj)+'2025'!Pspv,1-EXP((T0-t)*PertePVj)+Pspv)</f>
        <v>2.3898704619850997E-2</v>
      </c>
      <c r="M183" s="835"/>
      <c r="N183" s="835"/>
      <c r="O183" s="48">
        <f>IF(t&lt;Tnet,'2025'!Resal+('2025'!Salim-'2025'!Resal)*(1-EXP(('2025'!Tnet-t)/('2025'!Tau_j))),Resal+(Salim-Resal)*(1-EXP((Tnet-t)/(Tau_j))))*Salcycl</f>
        <v>1.2263537158400688E-2</v>
      </c>
      <c r="P183" s="334">
        <f>(INDEX(Models!$BJ183:$BT183,,T183)*(1-R183)+INDEX(Models!$BJ183:$BT183,,T183+1)*R183-ERP_i)*Q183*Ramure*Pc/MaxiM</f>
        <v>1.3851508135850768E-4</v>
      </c>
      <c r="Q183" s="301">
        <f t="shared" si="53"/>
        <v>0.5</v>
      </c>
      <c r="R183" s="173">
        <f t="shared" si="54"/>
        <v>0.28006350405461955</v>
      </c>
      <c r="S183" s="801">
        <f t="shared" si="55"/>
        <v>2</v>
      </c>
      <c r="T183" s="172">
        <f t="shared" si="56"/>
        <v>8</v>
      </c>
      <c r="U183" s="247">
        <f t="shared" si="57"/>
        <v>2.2800635040546195</v>
      </c>
      <c r="V183" s="378">
        <f t="shared" si="58"/>
        <v>242.7164437340403</v>
      </c>
      <c r="W183" s="397">
        <f t="shared" si="59"/>
        <v>229.02472175610822</v>
      </c>
      <c r="X183" s="153">
        <f t="shared" si="60"/>
        <v>46191</v>
      </c>
      <c r="Y183" s="380">
        <f t="shared" si="61"/>
        <v>219.71064923628776</v>
      </c>
      <c r="Z183" s="380">
        <f t="shared" si="62"/>
        <v>225.09000887117972</v>
      </c>
      <c r="AA183" s="381">
        <f t="shared" si="63"/>
        <v>237.54527087684428</v>
      </c>
      <c r="AB183" s="193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5.24332139288178E-2</v>
      </c>
      <c r="AD183" s="227">
        <f>(INDEX(Models!$BJ183:$BT183,,AH183)*(1-AF183)+INDEX(Models!$BJ183:$BT183,,AH183+1)*AF183-ERP_i)*AE183*Ramure*Pc/MaxiM</f>
        <v>1.3851508135850768E-4</v>
      </c>
      <c r="AE183" s="301">
        <f t="shared" si="65"/>
        <v>0.5</v>
      </c>
      <c r="AF183" s="173">
        <f t="shared" si="66"/>
        <v>0.28006350405461955</v>
      </c>
      <c r="AG183" s="801">
        <f t="shared" si="74"/>
        <v>2</v>
      </c>
      <c r="AH183" s="172">
        <f t="shared" si="67"/>
        <v>8</v>
      </c>
      <c r="AI183" s="221">
        <f t="shared" si="68"/>
        <v>2.2800635040546195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46192</v>
      </c>
      <c r="B184" s="406">
        <f>'2025'!Wh/'2025'!Env_an*'2026'!Env_an</f>
        <v>233.37206707423442</v>
      </c>
      <c r="C184" s="831"/>
      <c r="D184" s="388">
        <f t="shared" si="50"/>
        <v>239.08918356132202</v>
      </c>
      <c r="E184" s="380">
        <f t="shared" si="75"/>
        <v>242.07813743100093</v>
      </c>
      <c r="F184" s="380">
        <f t="shared" si="51"/>
        <v>242.1095354397697</v>
      </c>
      <c r="G184" s="110">
        <f t="shared" si="76"/>
        <v>0.96189835470129892</v>
      </c>
      <c r="H184" s="409" t="b">
        <f>Wh_hp&gt;='2025'!Maxi_hp</f>
        <v>0</v>
      </c>
      <c r="I184" s="375">
        <f>IF(H184,Wh_hp,'2025'!Maxi_hp)</f>
        <v>242.11117824883087</v>
      </c>
      <c r="J184" s="85">
        <f>IF(H184,An,'2025'!An_max)</f>
        <v>2022</v>
      </c>
      <c r="K184" s="193">
        <f t="shared" si="52"/>
        <v>46192</v>
      </c>
      <c r="L184" s="143">
        <f>IF(t&lt;Tvie,1-EXP((T0-t)*PertePVj)+'2025'!Pspv,1-EXP((T0-t)*PertePVj)+Pspv)</f>
        <v>2.3912066626892159E-2</v>
      </c>
      <c r="M184" s="835"/>
      <c r="N184" s="835"/>
      <c r="O184" s="48">
        <f>IF(t&lt;Tnet,'2025'!Resal+('2025'!Salim-'2025'!Resal)*(1-EXP(('2025'!Tnet-t)/('2025'!Tau_j))),Resal+(Salim-Resal)*(1-EXP((Tnet-t)/(Tau_j))))*Salcycl</f>
        <v>1.2347062404719857E-2</v>
      </c>
      <c r="P184" s="334">
        <f>(INDEX(Models!$BJ184:$BT184,,T184)*(1-R184)+INDEX(Models!$BJ184:$BT184,,T184+1)*R184-ERP_i)*Q184*Ramure*Pc/MaxiM</f>
        <v>1.3714887174889122E-4</v>
      </c>
      <c r="Q184" s="301">
        <f t="shared" si="53"/>
        <v>0.5</v>
      </c>
      <c r="R184" s="173">
        <f t="shared" si="54"/>
        <v>0.28505534746903205</v>
      </c>
      <c r="S184" s="801">
        <f t="shared" si="55"/>
        <v>2</v>
      </c>
      <c r="T184" s="172">
        <f t="shared" si="56"/>
        <v>8</v>
      </c>
      <c r="U184" s="247">
        <f t="shared" si="57"/>
        <v>2.285055347469032</v>
      </c>
      <c r="V184" s="378">
        <f t="shared" si="58"/>
        <v>242.61433017426998</v>
      </c>
      <c r="W184" s="397">
        <f t="shared" si="59"/>
        <v>233.37206707423442</v>
      </c>
      <c r="X184" s="153">
        <f t="shared" si="60"/>
        <v>46192</v>
      </c>
      <c r="Y184" s="380">
        <f t="shared" si="61"/>
        <v>223.88647397688808</v>
      </c>
      <c r="Z184" s="380">
        <f t="shared" si="62"/>
        <v>229.3712137216923</v>
      </c>
      <c r="AA184" s="381">
        <f t="shared" si="63"/>
        <v>242.07813743100093</v>
      </c>
      <c r="AB184" s="193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5.2491000815513417E-2</v>
      </c>
      <c r="AD184" s="227">
        <f>(INDEX(Models!$BJ184:$BT184,,AH184)*(1-AF184)+INDEX(Models!$BJ184:$BT184,,AH184+1)*AF184-ERP_i)*AE184*Ramure*Pc/MaxiM</f>
        <v>1.3714887174889122E-4</v>
      </c>
      <c r="AE184" s="301">
        <f t="shared" si="65"/>
        <v>0.5</v>
      </c>
      <c r="AF184" s="173">
        <f t="shared" si="66"/>
        <v>0.28505534746903205</v>
      </c>
      <c r="AG184" s="801">
        <f t="shared" si="74"/>
        <v>2</v>
      </c>
      <c r="AH184" s="172">
        <f t="shared" si="67"/>
        <v>8</v>
      </c>
      <c r="AI184" s="221">
        <f t="shared" si="68"/>
        <v>2.285055347469032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46193</v>
      </c>
      <c r="B185" s="406">
        <f>'2025'!Wh/'2025'!Env_an*'2026'!Env_an</f>
        <v>125.67657150621645</v>
      </c>
      <c r="C185" s="831"/>
      <c r="D185" s="388">
        <f t="shared" si="50"/>
        <v>128.75714127740676</v>
      </c>
      <c r="E185" s="380">
        <f t="shared" si="75"/>
        <v>130.37778536002509</v>
      </c>
      <c r="F185" s="380">
        <f t="shared" si="51"/>
        <v>130.38333107647233</v>
      </c>
      <c r="G185" s="110">
        <f t="shared" si="76"/>
        <v>0.51820183793001051</v>
      </c>
      <c r="H185" s="409" t="b">
        <f>Wh_hp&gt;='2025'!Maxi_hp</f>
        <v>0</v>
      </c>
      <c r="I185" s="375">
        <f>IF(H185,Wh_hp,'2025'!Maxi_hp)</f>
        <v>130.39443966361594</v>
      </c>
      <c r="J185" s="85">
        <f>IF(H185,An,'2025'!An_max)</f>
        <v>2022</v>
      </c>
      <c r="K185" s="193">
        <f t="shared" si="52"/>
        <v>46193</v>
      </c>
      <c r="L185" s="143">
        <f>IF(t&lt;Tvie,1-EXP((T0-t)*PertePVj)+'2025'!Pspv,1-EXP((T0-t)*PertePVj)+Pspv)</f>
        <v>2.3925428451018749E-2</v>
      </c>
      <c r="M185" s="835"/>
      <c r="N185" s="835"/>
      <c r="O185" s="48">
        <f>IF(t&lt;Tnet,'2025'!Resal+('2025'!Salim-'2025'!Resal)*(1-EXP(('2025'!Tnet-t)/('2025'!Tau_j))),Resal+(Salim-Resal)*(1-EXP((Tnet-t)/(Tau_j))))*Salcycl</f>
        <v>1.2430369776132356E-2</v>
      </c>
      <c r="P185" s="334">
        <f>(INDEX(Models!$BJ185:$BT185,,T185)*(1-R185)+INDEX(Models!$BJ185:$BT185,,T185+1)*R185-ERP_i)*Q185*Ramure*Pc/MaxiM</f>
        <v>1.3642010752897853E-4</v>
      </c>
      <c r="Q185" s="301">
        <f t="shared" si="53"/>
        <v>0.5</v>
      </c>
      <c r="R185" s="173">
        <f t="shared" si="54"/>
        <v>0.2900098255461141</v>
      </c>
      <c r="S185" s="801">
        <f t="shared" si="55"/>
        <v>2</v>
      </c>
      <c r="T185" s="172">
        <f t="shared" si="56"/>
        <v>8</v>
      </c>
      <c r="U185" s="247">
        <f t="shared" si="57"/>
        <v>2.2900098255461141</v>
      </c>
      <c r="V185" s="378">
        <f t="shared" si="58"/>
        <v>242.50159400115581</v>
      </c>
      <c r="W185" s="397">
        <f t="shared" si="59"/>
        <v>125.67657150621645</v>
      </c>
      <c r="X185" s="153">
        <f t="shared" si="60"/>
        <v>46193</v>
      </c>
      <c r="Y185" s="380">
        <f t="shared" si="61"/>
        <v>120.5712743960282</v>
      </c>
      <c r="Z185" s="380">
        <f t="shared" si="62"/>
        <v>123.52670370736905</v>
      </c>
      <c r="AA185" s="381">
        <f t="shared" si="63"/>
        <v>130.37778536002509</v>
      </c>
      <c r="AB185" s="193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5.2547921670378632E-2</v>
      </c>
      <c r="AD185" s="227">
        <f>(INDEX(Models!$BJ185:$BT185,,AH185)*(1-AF185)+INDEX(Models!$BJ185:$BT185,,AH185+1)*AF185-ERP_i)*AE185*Ramure*Pc/MaxiM</f>
        <v>1.3642010752897853E-4</v>
      </c>
      <c r="AE185" s="301">
        <f t="shared" si="65"/>
        <v>0.5</v>
      </c>
      <c r="AF185" s="173">
        <f t="shared" si="66"/>
        <v>0.2900098255461141</v>
      </c>
      <c r="AG185" s="801">
        <f t="shared" si="74"/>
        <v>2</v>
      </c>
      <c r="AH185" s="172">
        <f t="shared" si="67"/>
        <v>8</v>
      </c>
      <c r="AI185" s="221">
        <f t="shared" si="68"/>
        <v>2.2900098255461141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46194</v>
      </c>
      <c r="B186" s="406">
        <f>'2025'!Wh/'2025'!Env_an*'2026'!Env_an</f>
        <v>89.636521715920424</v>
      </c>
      <c r="C186" s="831"/>
      <c r="D186" s="388">
        <f t="shared" si="50"/>
        <v>91.83493904484807</v>
      </c>
      <c r="E186" s="380">
        <f t="shared" si="75"/>
        <v>92.9986736034176</v>
      </c>
      <c r="F186" s="380">
        <f t="shared" si="51"/>
        <v>92.99993831643792</v>
      </c>
      <c r="G186" s="110">
        <f t="shared" si="76"/>
        <v>0.3697746370840736</v>
      </c>
      <c r="H186" s="409" t="b">
        <f>Wh_hp&gt;='2025'!Maxi_hp</f>
        <v>0</v>
      </c>
      <c r="I186" s="375">
        <f>IF(H186,Wh_hp,'2025'!Maxi_hp)</f>
        <v>93.010280369136851</v>
      </c>
      <c r="J186" s="85">
        <f>IF(H186,An,'2025'!An_max)</f>
        <v>2022</v>
      </c>
      <c r="K186" s="193">
        <f t="shared" si="52"/>
        <v>46194</v>
      </c>
      <c r="L186" s="143">
        <f>IF(t&lt;Tvie,1-EXP((T0-t)*PertePVj)+'2025'!Pspv,1-EXP((T0-t)*PertePVj)+Pspv)</f>
        <v>2.3938790092233209E-2</v>
      </c>
      <c r="M186" s="835"/>
      <c r="N186" s="835"/>
      <c r="O186" s="48">
        <f>IF(t&lt;Tnet,'2025'!Resal+('2025'!Salim-'2025'!Resal)*(1-EXP(('2025'!Tnet-t)/('2025'!Tau_j))),Resal+(Salim-Resal)*(1-EXP((Tnet-t)/(Tau_j))))*Salcycl</f>
        <v>1.2513453294314187E-2</v>
      </c>
      <c r="P186" s="334">
        <f>(INDEX(Models!$BJ186:$BT186,,T186)*(1-R186)+INDEX(Models!$BJ186:$BT186,,T186+1)*R186-ERP_i)*Q186*Ramure*Pc/MaxiM</f>
        <v>1.3634127051350052E-4</v>
      </c>
      <c r="Q186" s="301">
        <f t="shared" si="53"/>
        <v>0.5</v>
      </c>
      <c r="R186" s="173">
        <f t="shared" si="54"/>
        <v>0.29492322209574073</v>
      </c>
      <c r="S186" s="801">
        <f t="shared" si="55"/>
        <v>2</v>
      </c>
      <c r="T186" s="172">
        <f t="shared" si="56"/>
        <v>8</v>
      </c>
      <c r="U186" s="247">
        <f t="shared" si="57"/>
        <v>2.2949232220957407</v>
      </c>
      <c r="V186" s="378">
        <f t="shared" si="58"/>
        <v>242.37876369637533</v>
      </c>
      <c r="W186" s="397">
        <f t="shared" si="59"/>
        <v>89.636521715920424</v>
      </c>
      <c r="X186" s="153">
        <f t="shared" si="60"/>
        <v>46194</v>
      </c>
      <c r="Y186" s="380">
        <f t="shared" si="61"/>
        <v>85.997409760027125</v>
      </c>
      <c r="Z186" s="380">
        <f t="shared" si="62"/>
        <v>88.106574554021549</v>
      </c>
      <c r="AA186" s="381">
        <f t="shared" si="63"/>
        <v>92.9986736034176</v>
      </c>
      <c r="AB186" s="193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5.2603965839963102E-2</v>
      </c>
      <c r="AD186" s="227">
        <f>(INDEX(Models!$BJ186:$BT186,,AH186)*(1-AF186)+INDEX(Models!$BJ186:$BT186,,AH186+1)*AF186-ERP_i)*AE186*Ramure*Pc/MaxiM</f>
        <v>1.3634127051350052E-4</v>
      </c>
      <c r="AE186" s="301">
        <f t="shared" si="65"/>
        <v>0.5</v>
      </c>
      <c r="AF186" s="173">
        <f t="shared" si="66"/>
        <v>0.29492322209574073</v>
      </c>
      <c r="AG186" s="801">
        <f t="shared" si="74"/>
        <v>2</v>
      </c>
      <c r="AH186" s="172">
        <f t="shared" si="67"/>
        <v>8</v>
      </c>
      <c r="AI186" s="221">
        <f t="shared" si="68"/>
        <v>2.2949232220957407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46195</v>
      </c>
      <c r="B187" s="406">
        <f>'2025'!Wh/'2025'!Env_an*'2026'!Env_an</f>
        <v>177.18018882302428</v>
      </c>
      <c r="C187" s="831"/>
      <c r="D187" s="388">
        <f t="shared" si="50"/>
        <v>181.52817928392611</v>
      </c>
      <c r="E187" s="380">
        <f t="shared" si="75"/>
        <v>183.84393401863574</v>
      </c>
      <c r="F187" s="380">
        <f t="shared" si="51"/>
        <v>183.85944910970105</v>
      </c>
      <c r="G187" s="110">
        <f t="shared" si="76"/>
        <v>0.73136650512619772</v>
      </c>
      <c r="H187" s="409" t="b">
        <f>Wh_hp&gt;='2025'!Maxi_hp</f>
        <v>0</v>
      </c>
      <c r="I187" s="375">
        <f>IF(H187,Wh_hp,'2025'!Maxi_hp)</f>
        <v>183.86818847597502</v>
      </c>
      <c r="J187" s="85">
        <f>IF(H187,An,'2025'!An_max)</f>
        <v>2022</v>
      </c>
      <c r="K187" s="193">
        <f t="shared" si="52"/>
        <v>46195</v>
      </c>
      <c r="L187" s="143">
        <f>IF(t&lt;Tvie,1-EXP((T0-t)*PertePVj)+'2025'!Pspv,1-EXP((T0-t)*PertePVj)+Pspv)</f>
        <v>2.3952151550537981E-2</v>
      </c>
      <c r="M187" s="835"/>
      <c r="N187" s="835"/>
      <c r="O187" s="48">
        <f>IF(t&lt;Tnet,'2025'!Resal+('2025'!Salim-'2025'!Resal)*(1-EXP(('2025'!Tnet-t)/('2025'!Tau_j))),Resal+(Salim-Resal)*(1-EXP((Tnet-t)/(Tau_j))))*Salcycl</f>
        <v>1.2596307553312532E-2</v>
      </c>
      <c r="P187" s="334">
        <f>(INDEX(Models!$BJ187:$BT187,,T187)*(1-R187)+INDEX(Models!$BJ187:$BT187,,T187+1)*R187-ERP_i)*Q187*Ramure*Pc/MaxiM</f>
        <v>1.369245445554086E-4</v>
      </c>
      <c r="Q187" s="301">
        <f t="shared" si="53"/>
        <v>0.5</v>
      </c>
      <c r="R187" s="173">
        <f t="shared" si="54"/>
        <v>0.29979195103582867</v>
      </c>
      <c r="S187" s="801">
        <f t="shared" si="55"/>
        <v>2</v>
      </c>
      <c r="T187" s="172">
        <f t="shared" si="56"/>
        <v>8</v>
      </c>
      <c r="U187" s="247">
        <f t="shared" si="57"/>
        <v>2.2997919510358287</v>
      </c>
      <c r="V187" s="378">
        <f t="shared" si="58"/>
        <v>242.24636750056209</v>
      </c>
      <c r="W187" s="397">
        <f t="shared" si="59"/>
        <v>177.18018882302428</v>
      </c>
      <c r="X187" s="153">
        <f t="shared" si="60"/>
        <v>46195</v>
      </c>
      <c r="Y187" s="380">
        <f t="shared" si="61"/>
        <v>169.99129773906259</v>
      </c>
      <c r="Z187" s="380">
        <f t="shared" si="62"/>
        <v>174.16287327420346</v>
      </c>
      <c r="AA187" s="381">
        <f t="shared" si="63"/>
        <v>183.84393401863574</v>
      </c>
      <c r="AB187" s="193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5.2659125230919701E-2</v>
      </c>
      <c r="AD187" s="227">
        <f>(INDEX(Models!$BJ187:$BT187,,AH187)*(1-AF187)+INDEX(Models!$BJ187:$BT187,,AH187+1)*AF187-ERP_i)*AE187*Ramure*Pc/MaxiM</f>
        <v>1.369245445554086E-4</v>
      </c>
      <c r="AE187" s="301">
        <f t="shared" si="65"/>
        <v>0.5</v>
      </c>
      <c r="AF187" s="173">
        <f t="shared" si="66"/>
        <v>0.29979195103582867</v>
      </c>
      <c r="AG187" s="801">
        <f t="shared" si="74"/>
        <v>2</v>
      </c>
      <c r="AH187" s="172">
        <f t="shared" si="67"/>
        <v>8</v>
      </c>
      <c r="AI187" s="221">
        <f t="shared" si="68"/>
        <v>2.2997919510358287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46196</v>
      </c>
      <c r="B188" s="406">
        <f>'2025'!Wh/'2025'!Env_an*'2026'!Env_an</f>
        <v>173.35618159864299</v>
      </c>
      <c r="C188" s="831"/>
      <c r="D188" s="388">
        <f t="shared" si="50"/>
        <v>177.61276253728002</v>
      </c>
      <c r="E188" s="380">
        <f t="shared" si="75"/>
        <v>179.89362075493801</v>
      </c>
      <c r="F188" s="380">
        <f t="shared" si="51"/>
        <v>179.90839593668554</v>
      </c>
      <c r="G188" s="110">
        <f t="shared" si="76"/>
        <v>0.71599723626758194</v>
      </c>
      <c r="H188" s="409" t="b">
        <f>Wh_hp&gt;='2025'!Maxi_hp</f>
        <v>0</v>
      </c>
      <c r="I188" s="375">
        <f>IF(H188,Wh_hp,'2025'!Maxi_hp)</f>
        <v>179.91750851894366</v>
      </c>
      <c r="J188" s="85">
        <f>IF(H188,An,'2025'!An_max)</f>
        <v>2022</v>
      </c>
      <c r="K188" s="193">
        <f t="shared" si="52"/>
        <v>46196</v>
      </c>
      <c r="L188" s="143">
        <f>IF(t&lt;Tvie,1-EXP((T0-t)*PertePVj)+'2025'!Pspv,1-EXP((T0-t)*PertePVj)+Pspv)</f>
        <v>2.396551282593562E-2</v>
      </c>
      <c r="M188" s="835"/>
      <c r="N188" s="835"/>
      <c r="O188" s="48">
        <f>IF(t&lt;Tnet,'2025'!Resal+('2025'!Salim-'2025'!Resal)*(1-EXP(('2025'!Tnet-t)/('2025'!Tau_j))),Resal+(Salim-Resal)*(1-EXP((Tnet-t)/(Tau_j))))*Salcycl</f>
        <v>1.2678927735659524E-2</v>
      </c>
      <c r="P188" s="334">
        <f>(INDEX(Models!$BJ188:$BT188,,T188)*(1-R188)+INDEX(Models!$BJ188:$BT188,,T188+1)*R188-ERP_i)*Q188*Ramure*Pc/MaxiM</f>
        <v>1.3818060541615607E-4</v>
      </c>
      <c r="Q188" s="301">
        <f t="shared" si="53"/>
        <v>0.5</v>
      </c>
      <c r="R188" s="173">
        <f t="shared" si="54"/>
        <v>0.30461256586705021</v>
      </c>
      <c r="S188" s="801">
        <f t="shared" si="55"/>
        <v>2</v>
      </c>
      <c r="T188" s="172">
        <f t="shared" si="56"/>
        <v>8</v>
      </c>
      <c r="U188" s="247">
        <f t="shared" si="57"/>
        <v>2.3046125658670502</v>
      </c>
      <c r="V188" s="378">
        <f t="shared" si="58"/>
        <v>242.10493369461244</v>
      </c>
      <c r="W188" s="397">
        <f t="shared" si="59"/>
        <v>173.35618159864299</v>
      </c>
      <c r="X188" s="153">
        <f t="shared" si="60"/>
        <v>46196</v>
      </c>
      <c r="Y188" s="380">
        <f t="shared" si="61"/>
        <v>166.32683476114519</v>
      </c>
      <c r="Z188" s="380">
        <f t="shared" si="62"/>
        <v>170.41081739100755</v>
      </c>
      <c r="AA188" s="381">
        <f t="shared" si="63"/>
        <v>179.89362075493801</v>
      </c>
      <c r="AB188" s="193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5.2713394305674184E-2</v>
      </c>
      <c r="AD188" s="227">
        <f>(INDEX(Models!$BJ188:$BT188,,AH188)*(1-AF188)+INDEX(Models!$BJ188:$BT188,,AH188+1)*AF188-ERP_i)*AE188*Ramure*Pc/MaxiM</f>
        <v>1.3818060541615607E-4</v>
      </c>
      <c r="AE188" s="301">
        <f t="shared" si="65"/>
        <v>0.5</v>
      </c>
      <c r="AF188" s="173">
        <f t="shared" si="66"/>
        <v>0.30461256586705021</v>
      </c>
      <c r="AG188" s="801">
        <f t="shared" si="74"/>
        <v>2</v>
      </c>
      <c r="AH188" s="172">
        <f t="shared" si="67"/>
        <v>8</v>
      </c>
      <c r="AI188" s="221">
        <f t="shared" si="68"/>
        <v>2.3046125658670502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46197</v>
      </c>
      <c r="B189" s="406">
        <f>'2025'!Wh/'2025'!Env_an*'2026'!Env_an</f>
        <v>173.21661091614115</v>
      </c>
      <c r="C189" s="831"/>
      <c r="D189" s="388">
        <f t="shared" si="50"/>
        <v>177.47219428697539</v>
      </c>
      <c r="E189" s="380">
        <f t="shared" si="75"/>
        <v>179.76624702537148</v>
      </c>
      <c r="F189" s="380">
        <f t="shared" si="51"/>
        <v>179.78121416079168</v>
      </c>
      <c r="G189" s="110">
        <f t="shared" si="76"/>
        <v>0.71586355550721337</v>
      </c>
      <c r="H189" s="409" t="b">
        <f>Wh_hp&gt;='2025'!Maxi_hp</f>
        <v>0</v>
      </c>
      <c r="I189" s="375">
        <f>IF(H189,Wh_hp,'2025'!Maxi_hp)</f>
        <v>179.79044298559464</v>
      </c>
      <c r="J189" s="85">
        <f>IF(H189,An,'2025'!An_max)</f>
        <v>2022</v>
      </c>
      <c r="K189" s="193">
        <f t="shared" si="52"/>
        <v>46197</v>
      </c>
      <c r="L189" s="143">
        <f>IF(t&lt;Tvie,1-EXP((T0-t)*PertePVj)+'2025'!Pspv,1-EXP((T0-t)*PertePVj)+Pspv)</f>
        <v>2.3978873918428567E-2</v>
      </c>
      <c r="M189" s="835"/>
      <c r="N189" s="835"/>
      <c r="O189" s="48">
        <f>IF(t&lt;Tnet,'2025'!Resal+('2025'!Salim-'2025'!Resal)*(1-EXP(('2025'!Tnet-t)/('2025'!Tau_j))),Resal+(Salim-Resal)*(1-EXP((Tnet-t)/(Tau_j))))*Salcycl</f>
        <v>1.2761309624894825E-2</v>
      </c>
      <c r="P189" s="334">
        <f>(INDEX(Models!$BJ189:$BT189,,T189)*(1-R189)+INDEX(Models!$BJ189:$BT189,,T189+1)*R189-ERP_i)*Q189*Ramure*Pc/MaxiM</f>
        <v>1.401196484481972E-4</v>
      </c>
      <c r="Q189" s="301">
        <f t="shared" si="53"/>
        <v>0.5</v>
      </c>
      <c r="R189" s="173">
        <f t="shared" si="54"/>
        <v>0.30938176824859287</v>
      </c>
      <c r="S189" s="801">
        <f t="shared" si="55"/>
        <v>2</v>
      </c>
      <c r="T189" s="172">
        <f t="shared" si="56"/>
        <v>8</v>
      </c>
      <c r="U189" s="247">
        <f t="shared" si="57"/>
        <v>2.3093817682485929</v>
      </c>
      <c r="V189" s="378">
        <f t="shared" si="58"/>
        <v>241.95499035022067</v>
      </c>
      <c r="W189" s="397">
        <f t="shared" si="59"/>
        <v>173.21661091614115</v>
      </c>
      <c r="X189" s="153">
        <f t="shared" si="60"/>
        <v>46197</v>
      </c>
      <c r="Y189" s="380">
        <f t="shared" si="61"/>
        <v>166.19742665711468</v>
      </c>
      <c r="Z189" s="380">
        <f t="shared" si="62"/>
        <v>170.2805628033349</v>
      </c>
      <c r="AA189" s="381">
        <f t="shared" si="63"/>
        <v>179.76624702537148</v>
      </c>
      <c r="AB189" s="193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5.2766770063892014E-2</v>
      </c>
      <c r="AD189" s="227">
        <f>(INDEX(Models!$BJ189:$BT189,,AH189)*(1-AF189)+INDEX(Models!$BJ189:$BT189,,AH189+1)*AF189-ERP_i)*AE189*Ramure*Pc/MaxiM</f>
        <v>1.401196484481972E-4</v>
      </c>
      <c r="AE189" s="301">
        <f t="shared" si="65"/>
        <v>0.5</v>
      </c>
      <c r="AF189" s="173">
        <f t="shared" si="66"/>
        <v>0.30938176824859287</v>
      </c>
      <c r="AG189" s="801">
        <f t="shared" si="74"/>
        <v>2</v>
      </c>
      <c r="AH189" s="172">
        <f t="shared" si="67"/>
        <v>8</v>
      </c>
      <c r="AI189" s="221">
        <f t="shared" si="68"/>
        <v>2.3093817682485929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46198</v>
      </c>
      <c r="B190" s="406">
        <f>'2025'!Wh/'2025'!Env_an*'2026'!Env_an</f>
        <v>147.74781227810928</v>
      </c>
      <c r="C190" s="831"/>
      <c r="D190" s="388">
        <f t="shared" si="50"/>
        <v>151.37975080769453</v>
      </c>
      <c r="E190" s="380">
        <f t="shared" si="75"/>
        <v>153.3492846180915</v>
      </c>
      <c r="F190" s="380">
        <f t="shared" si="51"/>
        <v>153.35901236292366</v>
      </c>
      <c r="G190" s="110">
        <f t="shared" si="76"/>
        <v>0.61099208112355863</v>
      </c>
      <c r="H190" s="409" t="b">
        <f>Wh_hp&gt;='2025'!Maxi_hp</f>
        <v>0</v>
      </c>
      <c r="I190" s="375">
        <f>IF(H190,Wh_hp,'2025'!Maxi_hp)</f>
        <v>153.36998421899938</v>
      </c>
      <c r="J190" s="85">
        <f>IF(H190,An,'2025'!An_max)</f>
        <v>2022</v>
      </c>
      <c r="K190" s="193">
        <f t="shared" si="52"/>
        <v>46198</v>
      </c>
      <c r="L190" s="143">
        <f>IF(t&lt;Tvie,1-EXP((T0-t)*PertePVj)+'2025'!Pspv,1-EXP((T0-t)*PertePVj)+Pspv)</f>
        <v>2.3992234828019376E-2</v>
      </c>
      <c r="M190" s="835"/>
      <c r="N190" s="835"/>
      <c r="O190" s="48">
        <f>IF(t&lt;Tnet,'2025'!Resal+('2025'!Salim-'2025'!Resal)*(1-EXP(('2025'!Tnet-t)/('2025'!Tau_j))),Resal+(Salim-Resal)*(1-EXP((Tnet-t)/(Tau_j))))*Salcycl</f>
        <v>1.2843449614401429E-2</v>
      </c>
      <c r="P190" s="334">
        <f>(INDEX(Models!$BJ190:$BT190,,T190)*(1-R190)+INDEX(Models!$BJ190:$BT190,,T190+1)*R190-ERP_i)*Q190*Ramure*Pc/MaxiM</f>
        <v>1.4275255567101311E-4</v>
      </c>
      <c r="Q190" s="301">
        <f t="shared" si="53"/>
        <v>0.5</v>
      </c>
      <c r="R190" s="173">
        <f t="shared" si="54"/>
        <v>0.31409641563956869</v>
      </c>
      <c r="S190" s="801">
        <f t="shared" si="55"/>
        <v>2</v>
      </c>
      <c r="T190" s="172">
        <f t="shared" si="56"/>
        <v>8</v>
      </c>
      <c r="U190" s="247">
        <f t="shared" si="57"/>
        <v>2.3140964156395687</v>
      </c>
      <c r="V190" s="378">
        <f t="shared" si="58"/>
        <v>241.79706503713231</v>
      </c>
      <c r="W190" s="397">
        <f t="shared" si="59"/>
        <v>147.74781227810928</v>
      </c>
      <c r="X190" s="153">
        <f t="shared" si="60"/>
        <v>46198</v>
      </c>
      <c r="Y190" s="380">
        <f t="shared" si="61"/>
        <v>141.76463023298462</v>
      </c>
      <c r="Z190" s="380">
        <f t="shared" si="62"/>
        <v>145.24949010831335</v>
      </c>
      <c r="AA190" s="381">
        <f t="shared" si="63"/>
        <v>153.3492846180915</v>
      </c>
      <c r="AB190" s="193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5.2819252009882404E-2</v>
      </c>
      <c r="AD190" s="227">
        <f>(INDEX(Models!$BJ190:$BT190,,AH190)*(1-AF190)+INDEX(Models!$BJ190:$BT190,,AH190+1)*AF190-ERP_i)*AE190*Ramure*Pc/MaxiM</f>
        <v>1.4275255567101311E-4</v>
      </c>
      <c r="AE190" s="301">
        <f t="shared" si="65"/>
        <v>0.5</v>
      </c>
      <c r="AF190" s="173">
        <f t="shared" si="66"/>
        <v>0.31409641563956869</v>
      </c>
      <c r="AG190" s="801">
        <f t="shared" si="74"/>
        <v>2</v>
      </c>
      <c r="AH190" s="172">
        <f t="shared" si="67"/>
        <v>8</v>
      </c>
      <c r="AI190" s="221">
        <f t="shared" si="68"/>
        <v>2.3140964156395687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46199</v>
      </c>
      <c r="B191" s="406">
        <f>'2025'!Wh/'2025'!Env_an*'2026'!Env_an</f>
        <v>49.134658760636427</v>
      </c>
      <c r="C191" s="831"/>
      <c r="D191" s="388">
        <f t="shared" si="50"/>
        <v>50.343176699422081</v>
      </c>
      <c r="E191" s="380">
        <f t="shared" si="75"/>
        <v>51.002400304522396</v>
      </c>
      <c r="F191" s="380">
        <f t="shared" si="51"/>
        <v>51.002400304522396</v>
      </c>
      <c r="G191" s="110">
        <f t="shared" si="76"/>
        <v>0.20331474492362386</v>
      </c>
      <c r="H191" s="409" t="b">
        <f>Wh_hp&gt;='2025'!Maxi_hp</f>
        <v>0</v>
      </c>
      <c r="I191" s="375">
        <f>IF(H191,Wh_hp,'2025'!Maxi_hp)</f>
        <v>51.009116400553765</v>
      </c>
      <c r="J191" s="85">
        <f>IF(H191,An,'2025'!An_max)</f>
        <v>2022</v>
      </c>
      <c r="K191" s="193">
        <f t="shared" si="52"/>
        <v>46199</v>
      </c>
      <c r="L191" s="143">
        <f>IF(t&lt;Tvie,1-EXP((T0-t)*PertePVj)+'2025'!Pspv,1-EXP((T0-t)*PertePVj)+Pspv)</f>
        <v>2.4005595554710601E-2</v>
      </c>
      <c r="M191" s="835"/>
      <c r="N191" s="835"/>
      <c r="O191" s="48">
        <f>IF(t&lt;Tnet,'2025'!Resal+('2025'!Salim-'2025'!Resal)*(1-EXP(('2025'!Tnet-t)/('2025'!Tau_j))),Resal+(Salim-Resal)*(1-EXP((Tnet-t)/(Tau_j))))*Salcycl</f>
        <v>1.2925344712489189E-2</v>
      </c>
      <c r="P191" s="334">
        <f>(INDEX(Models!$BJ191:$BT191,,T191)*(1-R191)+INDEX(Models!$BJ191:$BT191,,T191+1)*R191-ERP_i)*Q191*Ramure*Pc/MaxiM</f>
        <v>1.460891538808371E-4</v>
      </c>
      <c r="Q191" s="301">
        <f t="shared" si="53"/>
        <v>0.5</v>
      </c>
      <c r="R191" s="173">
        <f t="shared" si="54"/>
        <v>0.3187535279804008</v>
      </c>
      <c r="S191" s="801">
        <f t="shared" si="55"/>
        <v>2</v>
      </c>
      <c r="T191" s="172">
        <f t="shared" si="56"/>
        <v>8</v>
      </c>
      <c r="U191" s="247">
        <f t="shared" si="57"/>
        <v>2.3187535279804008</v>
      </c>
      <c r="V191" s="378">
        <f t="shared" si="58"/>
        <v>241.63265058993545</v>
      </c>
      <c r="W191" s="397">
        <f t="shared" si="59"/>
        <v>49.134658760636427</v>
      </c>
      <c r="X191" s="153">
        <f t="shared" si="60"/>
        <v>46199</v>
      </c>
      <c r="Y191" s="380">
        <f t="shared" si="61"/>
        <v>47.146249502076621</v>
      </c>
      <c r="Z191" s="380">
        <f t="shared" si="62"/>
        <v>48.305860450985264</v>
      </c>
      <c r="AA191" s="381">
        <f t="shared" si="63"/>
        <v>51.002400304522396</v>
      </c>
      <c r="AB191" s="193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5.2870842106190634E-2</v>
      </c>
      <c r="AD191" s="227">
        <f>(INDEX(Models!$BJ191:$BT191,,AH191)*(1-AF191)+INDEX(Models!$BJ191:$BT191,,AH191+1)*AF191-ERP_i)*AE191*Ramure*Pc/MaxiM</f>
        <v>1.460891538808371E-4</v>
      </c>
      <c r="AE191" s="301">
        <f t="shared" si="65"/>
        <v>0.5</v>
      </c>
      <c r="AF191" s="173">
        <f t="shared" si="66"/>
        <v>0.3187535279804008</v>
      </c>
      <c r="AG191" s="801">
        <f t="shared" si="74"/>
        <v>2</v>
      </c>
      <c r="AH191" s="172">
        <f t="shared" si="67"/>
        <v>8</v>
      </c>
      <c r="AI191" s="221">
        <f t="shared" si="68"/>
        <v>2.3187535279804008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46200</v>
      </c>
      <c r="B192" s="406">
        <f>'2025'!Wh/'2025'!Env_an*'2026'!Env_an</f>
        <v>57.40308972552878</v>
      </c>
      <c r="C192" s="831"/>
      <c r="D192" s="388">
        <f t="shared" si="50"/>
        <v>58.815783446017839</v>
      </c>
      <c r="E192" s="380">
        <f t="shared" si="75"/>
        <v>59.59088159864335</v>
      </c>
      <c r="F192" s="380">
        <f t="shared" si="51"/>
        <v>59.59088159864335</v>
      </c>
      <c r="G192" s="110">
        <f t="shared" si="76"/>
        <v>0.23769548427547701</v>
      </c>
      <c r="H192" s="409" t="b">
        <f>Wh_hp&gt;='2025'!Maxi_hp</f>
        <v>0</v>
      </c>
      <c r="I192" s="375">
        <f>IF(H192,Wh_hp,'2025'!Maxi_hp)</f>
        <v>59.59894424699322</v>
      </c>
      <c r="J192" s="85">
        <f>IF(H192,An,'2025'!An_max)</f>
        <v>2022</v>
      </c>
      <c r="K192" s="193">
        <f t="shared" si="52"/>
        <v>46200</v>
      </c>
      <c r="L192" s="143">
        <f>IF(t&lt;Tvie,1-EXP((T0-t)*PertePVj)+'2025'!Pspv,1-EXP((T0-t)*PertePVj)+Pspv)</f>
        <v>2.4018956098504685E-2</v>
      </c>
      <c r="M192" s="835"/>
      <c r="N192" s="835"/>
      <c r="O192" s="48">
        <f>IF(t&lt;Tnet,'2025'!Resal+('2025'!Salim-'2025'!Resal)*(1-EXP(('2025'!Tnet-t)/('2025'!Tau_j))),Resal+(Salim-Resal)*(1-EXP((Tnet-t)/(Tau_j))))*Salcycl</f>
        <v>1.3006992543690742E-2</v>
      </c>
      <c r="P192" s="334">
        <f>(INDEX(Models!$BJ192:$BT192,,T192)*(1-R192)+INDEX(Models!$BJ192:$BT192,,T192+1)*R192-ERP_i)*Q192*Ramure*Pc/MaxiM</f>
        <v>1.5017616576314986E-4</v>
      </c>
      <c r="Q192" s="301">
        <f t="shared" si="53"/>
        <v>0.5</v>
      </c>
      <c r="R192" s="173">
        <f t="shared" si="54"/>
        <v>0.32335029339811783</v>
      </c>
      <c r="S192" s="801">
        <f t="shared" si="55"/>
        <v>2</v>
      </c>
      <c r="T192" s="172">
        <f t="shared" si="56"/>
        <v>8</v>
      </c>
      <c r="U192" s="247">
        <f t="shared" si="57"/>
        <v>2.3233502933981178</v>
      </c>
      <c r="V192" s="378">
        <f t="shared" si="58"/>
        <v>241.46217722459363</v>
      </c>
      <c r="W192" s="397">
        <f t="shared" si="59"/>
        <v>57.40308972552878</v>
      </c>
      <c r="X192" s="153">
        <f t="shared" si="60"/>
        <v>46200</v>
      </c>
      <c r="Y192" s="380">
        <f t="shared" si="61"/>
        <v>55.081676501461011</v>
      </c>
      <c r="Z192" s="380">
        <f t="shared" si="62"/>
        <v>56.437240093589708</v>
      </c>
      <c r="AA192" s="381">
        <f t="shared" si="63"/>
        <v>59.59088159864335</v>
      </c>
      <c r="AB192" s="193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5.2921544713737598E-2</v>
      </c>
      <c r="AD192" s="227">
        <f>(INDEX(Models!$BJ192:$BT192,,AH192)*(1-AF192)+INDEX(Models!$BJ192:$BT192,,AH192+1)*AF192-ERP_i)*AE192*Ramure*Pc/MaxiM</f>
        <v>1.5017616576314986E-4</v>
      </c>
      <c r="AE192" s="301">
        <f t="shared" si="65"/>
        <v>0.5</v>
      </c>
      <c r="AF192" s="173">
        <f t="shared" si="66"/>
        <v>0.32335029339811783</v>
      </c>
      <c r="AG192" s="801">
        <f t="shared" si="74"/>
        <v>2</v>
      </c>
      <c r="AH192" s="172">
        <f t="shared" si="67"/>
        <v>8</v>
      </c>
      <c r="AI192" s="221">
        <f t="shared" si="68"/>
        <v>2.3233502933981178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46201</v>
      </c>
      <c r="B193" s="406">
        <f>'2025'!Wh/'2025'!Env_an*'2026'!Env_an</f>
        <v>250.9811160774747</v>
      </c>
      <c r="C193" s="831"/>
      <c r="D193" s="388">
        <f t="shared" si="50"/>
        <v>257.16129776651053</v>
      </c>
      <c r="E193" s="380">
        <f t="shared" si="75"/>
        <v>260.571762974102</v>
      </c>
      <c r="F193" s="380">
        <f t="shared" si="51"/>
        <v>260.61207165828807</v>
      </c>
      <c r="G193" s="110">
        <f t="shared" si="76"/>
        <v>1.0401867145003136</v>
      </c>
      <c r="H193" s="409" t="b">
        <f>Wh_hp&gt;='2025'!Maxi_hp</f>
        <v>1</v>
      </c>
      <c r="I193" s="375">
        <f>IF(H193,Wh_hp,'2025'!Maxi_hp)</f>
        <v>260.61207165828807</v>
      </c>
      <c r="J193" s="85">
        <f>IF(H193,An,'2025'!An_max)</f>
        <v>2026</v>
      </c>
      <c r="K193" s="193">
        <f t="shared" si="52"/>
        <v>46201</v>
      </c>
      <c r="L193" s="143">
        <f>IF(t&lt;Tvie,1-EXP((T0-t)*PertePVj)+'2025'!Pspv,1-EXP((T0-t)*PertePVj)+Pspv)</f>
        <v>2.4032316459404179E-2</v>
      </c>
      <c r="M193" s="835"/>
      <c r="N193" s="835"/>
      <c r="O193" s="48">
        <f>IF(t&lt;Tnet,'2025'!Resal+('2025'!Salim-'2025'!Resal)*(1-EXP(('2025'!Tnet-t)/('2025'!Tau_j))),Resal+(Salim-Resal)*(1-EXP((Tnet-t)/(Tau_j))))*Salcycl</f>
        <v>1.3088391346265875E-2</v>
      </c>
      <c r="P193" s="334">
        <f>(INDEX(Models!$BJ193:$BT193,,T193)*(1-R193)+INDEX(Models!$BJ193:$BT193,,T193+1)*R193-ERP_i)*Q193*Ramure*Pc/MaxiM</f>
        <v>1.5466929037307982E-4</v>
      </c>
      <c r="Q193" s="301">
        <f t="shared" si="53"/>
        <v>0.5</v>
      </c>
      <c r="R193" s="173">
        <f t="shared" si="54"/>
        <v>0.32788407292894739</v>
      </c>
      <c r="S193" s="801">
        <f t="shared" si="55"/>
        <v>2</v>
      </c>
      <c r="T193" s="172">
        <f t="shared" si="56"/>
        <v>8</v>
      </c>
      <c r="U193" s="247">
        <f t="shared" si="57"/>
        <v>2.3278840729289474</v>
      </c>
      <c r="V193" s="378">
        <f t="shared" si="58"/>
        <v>241.28467762447951</v>
      </c>
      <c r="W193" s="397">
        <f t="shared" si="59"/>
        <v>250.9811160774747</v>
      </c>
      <c r="X193" s="153">
        <f t="shared" si="60"/>
        <v>46201</v>
      </c>
      <c r="Y193" s="380">
        <f t="shared" si="61"/>
        <v>240.83849182058643</v>
      </c>
      <c r="Z193" s="380">
        <f t="shared" si="62"/>
        <v>246.76892061310619</v>
      </c>
      <c r="AA193" s="381">
        <f t="shared" si="63"/>
        <v>260.571762974102</v>
      </c>
      <c r="AB193" s="193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5.2971366518971878E-2</v>
      </c>
      <c r="AD193" s="227">
        <f>(INDEX(Models!$BJ193:$BT193,,AH193)*(1-AF193)+INDEX(Models!$BJ193:$BT193,,AH193+1)*AF193-ERP_i)*AE193*Ramure*Pc/MaxiM</f>
        <v>1.5466929037307982E-4</v>
      </c>
      <c r="AE193" s="301">
        <f t="shared" si="65"/>
        <v>0.5</v>
      </c>
      <c r="AF193" s="173">
        <f t="shared" si="66"/>
        <v>0.32788407292894739</v>
      </c>
      <c r="AG193" s="801">
        <f t="shared" si="74"/>
        <v>2</v>
      </c>
      <c r="AH193" s="172">
        <f t="shared" si="67"/>
        <v>8</v>
      </c>
      <c r="AI193" s="221">
        <f t="shared" si="68"/>
        <v>2.3278840729289474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46202</v>
      </c>
      <c r="B194" s="406">
        <f>'2025'!Wh/'2025'!Env_an*'2026'!Env_an</f>
        <v>238.28151187964897</v>
      </c>
      <c r="C194" s="831"/>
      <c r="D194" s="388">
        <f t="shared" si="50"/>
        <v>244.1523196071976</v>
      </c>
      <c r="E194" s="380">
        <f t="shared" si="75"/>
        <v>247.41060343716097</v>
      </c>
      <c r="F194" s="380">
        <f t="shared" si="51"/>
        <v>247.44943071393214</v>
      </c>
      <c r="G194" s="110">
        <f t="shared" si="76"/>
        <v>0.9883109343941936</v>
      </c>
      <c r="H194" s="409" t="b">
        <f>Wh_hp&gt;='2025'!Maxi_hp</f>
        <v>0</v>
      </c>
      <c r="I194" s="375">
        <f>IF(H194,Wh_hp,'2025'!Maxi_hp)</f>
        <v>247.45002413127429</v>
      </c>
      <c r="J194" s="85">
        <f>IF(H194,An,'2025'!An_max)</f>
        <v>2022</v>
      </c>
      <c r="K194" s="193">
        <f t="shared" si="52"/>
        <v>46202</v>
      </c>
      <c r="L194" s="143">
        <f>IF(t&lt;Tvie,1-EXP((T0-t)*PertePVj)+'2025'!Pspv,1-EXP((T0-t)*PertePVj)+Pspv)</f>
        <v>2.4045676637411528E-2</v>
      </c>
      <c r="M194" s="835"/>
      <c r="N194" s="835"/>
      <c r="O194" s="48">
        <f>IF(t&lt;Tnet,'2025'!Resal+('2025'!Salim-'2025'!Resal)*(1-EXP(('2025'!Tnet-t)/('2025'!Tau_j))),Resal+(Salim-Resal)*(1-EXP((Tnet-t)/(Tau_j))))*Salcycl</f>
        <v>1.3169539965941439E-2</v>
      </c>
      <c r="P194" s="334">
        <f>(INDEX(Models!$BJ194:$BT194,,T194)*(1-R194)+INDEX(Models!$BJ194:$BT194,,T194+1)*R194-ERP_i)*Q194*Ramure*Pc/MaxiM</f>
        <v>1.5957401863619654E-4</v>
      </c>
      <c r="Q194" s="301">
        <f t="shared" si="53"/>
        <v>0.5</v>
      </c>
      <c r="R194" s="173">
        <f t="shared" si="54"/>
        <v>0.33235240426071977</v>
      </c>
      <c r="S194" s="801">
        <f t="shared" si="55"/>
        <v>2</v>
      </c>
      <c r="T194" s="172">
        <f t="shared" si="56"/>
        <v>8</v>
      </c>
      <c r="U194" s="247">
        <f t="shared" si="57"/>
        <v>2.3323524042607198</v>
      </c>
      <c r="V194" s="378">
        <f t="shared" si="58"/>
        <v>241.09910018024081</v>
      </c>
      <c r="W194" s="397">
        <f t="shared" si="59"/>
        <v>238.28151187964897</v>
      </c>
      <c r="X194" s="153">
        <f t="shared" si="60"/>
        <v>46202</v>
      </c>
      <c r="Y194" s="380">
        <f t="shared" si="61"/>
        <v>228.65908568342226</v>
      </c>
      <c r="Z194" s="380">
        <f t="shared" si="62"/>
        <v>234.29281495018327</v>
      </c>
      <c r="AA194" s="381">
        <f t="shared" si="63"/>
        <v>247.41060343716097</v>
      </c>
      <c r="AB194" s="193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5.3020316448601369E-2</v>
      </c>
      <c r="AD194" s="227">
        <f>(INDEX(Models!$BJ194:$BT194,,AH194)*(1-AF194)+INDEX(Models!$BJ194:$BT194,,AH194+1)*AF194-ERP_i)*AE194*Ramure*Pc/MaxiM</f>
        <v>1.5957401863619654E-4</v>
      </c>
      <c r="AE194" s="301">
        <f t="shared" si="65"/>
        <v>0.5</v>
      </c>
      <c r="AF194" s="173">
        <f t="shared" si="66"/>
        <v>0.33235240426071977</v>
      </c>
      <c r="AG194" s="801">
        <f t="shared" si="74"/>
        <v>2</v>
      </c>
      <c r="AH194" s="172">
        <f t="shared" si="67"/>
        <v>8</v>
      </c>
      <c r="AI194" s="221">
        <f t="shared" si="68"/>
        <v>2.3323524042607198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46203</v>
      </c>
      <c r="B195" s="406">
        <f>'2025'!Wh/'2025'!Env_an*'2026'!Env_an</f>
        <v>55.636863606246948</v>
      </c>
      <c r="C195" s="831"/>
      <c r="D195" s="388">
        <f t="shared" si="50"/>
        <v>57.008431549253473</v>
      </c>
      <c r="E195" s="380">
        <f t="shared" si="75"/>
        <v>57.773961839724763</v>
      </c>
      <c r="F195" s="380">
        <f t="shared" si="51"/>
        <v>57.773961839724763</v>
      </c>
      <c r="G195" s="110">
        <f t="shared" si="76"/>
        <v>0.23091189203997628</v>
      </c>
      <c r="H195" s="409" t="b">
        <f>Wh_hp&gt;='2025'!Maxi_hp</f>
        <v>0</v>
      </c>
      <c r="I195" s="375">
        <f>IF(H195,Wh_hp,'2025'!Maxi_hp)</f>
        <v>57.782534053656292</v>
      </c>
      <c r="J195" s="85">
        <f>IF(H195,An,'2025'!An_max)</f>
        <v>2022</v>
      </c>
      <c r="K195" s="193">
        <f t="shared" si="52"/>
        <v>46203</v>
      </c>
      <c r="L195" s="143">
        <f>IF(t&lt;Tvie,1-EXP((T0-t)*PertePVj)+'2025'!Pspv,1-EXP((T0-t)*PertePVj)+Pspv)</f>
        <v>2.4059036632529285E-2</v>
      </c>
      <c r="M195" s="835"/>
      <c r="N195" s="835"/>
      <c r="O195" s="48">
        <f>IF(t&lt;Tnet,'2025'!Resal+('2025'!Salim-'2025'!Resal)*(1-EXP(('2025'!Tnet-t)/('2025'!Tau_j))),Resal+(Salim-Resal)*(1-EXP((Tnet-t)/(Tau_j))))*Salcycl</f>
        <v>1.325043784594529E-2</v>
      </c>
      <c r="P195" s="334">
        <f>(INDEX(Models!$BJ195:$BT195,,T195)*(1-R195)+INDEX(Models!$BJ195:$BT195,,T195+1)*R195-ERP_i)*Q195*Ramure*Pc/MaxiM</f>
        <v>1.6489571589046491E-4</v>
      </c>
      <c r="Q195" s="301">
        <f t="shared" si="53"/>
        <v>0.5</v>
      </c>
      <c r="R195" s="173">
        <f t="shared" si="54"/>
        <v>0.33675300450627565</v>
      </c>
      <c r="S195" s="801">
        <f t="shared" si="55"/>
        <v>2</v>
      </c>
      <c r="T195" s="172">
        <f t="shared" si="56"/>
        <v>8</v>
      </c>
      <c r="U195" s="247">
        <f t="shared" si="57"/>
        <v>2.3367530045062757</v>
      </c>
      <c r="V195" s="378">
        <f t="shared" si="58"/>
        <v>240.90439359512169</v>
      </c>
      <c r="W195" s="397">
        <f t="shared" si="59"/>
        <v>55.636863606246948</v>
      </c>
      <c r="X195" s="153">
        <f t="shared" si="60"/>
        <v>46203</v>
      </c>
      <c r="Y195" s="380">
        <f t="shared" si="61"/>
        <v>53.391768270559098</v>
      </c>
      <c r="Z195" s="380">
        <f t="shared" si="62"/>
        <v>54.707989801280135</v>
      </c>
      <c r="AA195" s="381">
        <f t="shared" si="63"/>
        <v>57.773961839724763</v>
      </c>
      <c r="AB195" s="193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5.3068405572568728E-2</v>
      </c>
      <c r="AD195" s="227">
        <f>(INDEX(Models!$BJ195:$BT195,,AH195)*(1-AF195)+INDEX(Models!$BJ195:$BT195,,AH195+1)*AF195-ERP_i)*AE195*Ramure*Pc/MaxiM</f>
        <v>1.6489571589046491E-4</v>
      </c>
      <c r="AE195" s="301">
        <f t="shared" si="65"/>
        <v>0.5</v>
      </c>
      <c r="AF195" s="173">
        <f t="shared" si="66"/>
        <v>0.33675300450627565</v>
      </c>
      <c r="AG195" s="801">
        <f t="shared" si="74"/>
        <v>2</v>
      </c>
      <c r="AH195" s="172">
        <f t="shared" si="67"/>
        <v>8</v>
      </c>
      <c r="AI195" s="221">
        <f t="shared" si="68"/>
        <v>2.3367530045062757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46204</v>
      </c>
      <c r="B196" s="406">
        <f>'2025'!Wh/'2025'!Env_an*'2026'!Env_an</f>
        <v>213.35093801005283</v>
      </c>
      <c r="C196" s="831"/>
      <c r="D196" s="388">
        <f t="shared" si="50"/>
        <v>218.61348857520721</v>
      </c>
      <c r="E196" s="380">
        <f t="shared" si="75"/>
        <v>221.56722002150175</v>
      </c>
      <c r="F196" s="380">
        <f t="shared" si="51"/>
        <v>221.59889583360112</v>
      </c>
      <c r="G196" s="110">
        <f t="shared" si="76"/>
        <v>0.88635423736876895</v>
      </c>
      <c r="H196" s="409" t="b">
        <f>Wh_hp&gt;='2025'!Maxi_hp</f>
        <v>0</v>
      </c>
      <c r="I196" s="375">
        <f>IF(H196,Wh_hp,'2025'!Maxi_hp)</f>
        <v>221.60441669383138</v>
      </c>
      <c r="J196" s="85">
        <f>IF(H196,An,'2025'!An_max)</f>
        <v>2022</v>
      </c>
      <c r="K196" s="193">
        <f t="shared" si="52"/>
        <v>46204</v>
      </c>
      <c r="L196" s="143">
        <f>IF(t&lt;Tvie,1-EXP((T0-t)*PertePVj)+'2025'!Pspv,1-EXP((T0-t)*PertePVj)+Pspv)</f>
        <v>2.4072396444759891E-2</v>
      </c>
      <c r="M196" s="835"/>
      <c r="N196" s="835"/>
      <c r="O196" s="48">
        <f>IF(t&lt;Tnet,'2025'!Resal+('2025'!Salim-'2025'!Resal)*(1-EXP(('2025'!Tnet-t)/('2025'!Tau_j))),Resal+(Salim-Resal)*(1-EXP((Tnet-t)/(Tau_j))))*Salcycl</f>
        <v>1.3331085013423517E-2</v>
      </c>
      <c r="P196" s="334">
        <f>(INDEX(Models!$BJ196:$BT196,,T196)*(1-R196)+INDEX(Models!$BJ196:$BT196,,T196+1)*R196-ERP_i)*Q196*Ramure*Pc/MaxiM</f>
        <v>1.7063965012444355E-4</v>
      </c>
      <c r="Q196" s="301">
        <f t="shared" si="53"/>
        <v>0.5</v>
      </c>
      <c r="R196" s="173">
        <f t="shared" si="54"/>
        <v>0.3410837720272184</v>
      </c>
      <c r="S196" s="801">
        <f t="shared" si="55"/>
        <v>2</v>
      </c>
      <c r="T196" s="172">
        <f t="shared" si="56"/>
        <v>8</v>
      </c>
      <c r="U196" s="247">
        <f t="shared" si="57"/>
        <v>2.3410837720272184</v>
      </c>
      <c r="V196" s="378">
        <f t="shared" si="58"/>
        <v>240.69950689335113</v>
      </c>
      <c r="W196" s="397">
        <f t="shared" si="59"/>
        <v>213.35093801005283</v>
      </c>
      <c r="X196" s="153">
        <f t="shared" si="60"/>
        <v>46204</v>
      </c>
      <c r="Y196" s="380">
        <f t="shared" si="61"/>
        <v>204.74818029834071</v>
      </c>
      <c r="Z196" s="380">
        <f t="shared" si="62"/>
        <v>209.79853377694877</v>
      </c>
      <c r="AA196" s="381">
        <f t="shared" si="63"/>
        <v>221.56722002150175</v>
      </c>
      <c r="AB196" s="193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5.3115646996026285E-2</v>
      </c>
      <c r="AD196" s="227">
        <f>(INDEX(Models!$BJ196:$BT196,,AH196)*(1-AF196)+INDEX(Models!$BJ196:$BT196,,AH196+1)*AF196-ERP_i)*AE196*Ramure*Pc/MaxiM</f>
        <v>1.7063965012444355E-4</v>
      </c>
      <c r="AE196" s="301">
        <f t="shared" si="65"/>
        <v>0.5</v>
      </c>
      <c r="AF196" s="173">
        <f t="shared" si="66"/>
        <v>0.3410837720272184</v>
      </c>
      <c r="AG196" s="801">
        <f t="shared" si="74"/>
        <v>2</v>
      </c>
      <c r="AH196" s="172">
        <f t="shared" si="67"/>
        <v>8</v>
      </c>
      <c r="AI196" s="221">
        <f t="shared" si="68"/>
        <v>2.3410837720272184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46205</v>
      </c>
      <c r="B197" s="406">
        <f>'2025'!Wh/'2025'!Env_an*'2026'!Env_an</f>
        <v>235.77571022631113</v>
      </c>
      <c r="C197" s="831"/>
      <c r="D197" s="388">
        <f t="shared" si="50"/>
        <v>241.5947012698943</v>
      </c>
      <c r="E197" s="380">
        <f t="shared" si="75"/>
        <v>244.87889011208327</v>
      </c>
      <c r="F197" s="380">
        <f t="shared" si="51"/>
        <v>244.92098380009108</v>
      </c>
      <c r="G197" s="110">
        <f t="shared" si="76"/>
        <v>0.98041924964051652</v>
      </c>
      <c r="H197" s="409" t="b">
        <f>Wh_hp&gt;='2025'!Maxi_hp</f>
        <v>0</v>
      </c>
      <c r="I197" s="375">
        <f>IF(H197,Wh_hp,'2025'!Maxi_hp)</f>
        <v>244.92207274501186</v>
      </c>
      <c r="J197" s="85">
        <f>IF(H197,An,'2025'!An_max)</f>
        <v>2022</v>
      </c>
      <c r="K197" s="193">
        <f t="shared" si="52"/>
        <v>46205</v>
      </c>
      <c r="L197" s="143">
        <f>IF(t&lt;Tvie,1-EXP((T0-t)*PertePVj)+'2025'!Pspv,1-EXP((T0-t)*PertePVj)+Pspv)</f>
        <v>2.4085756074105902E-2</v>
      </c>
      <c r="M197" s="835"/>
      <c r="N197" s="835"/>
      <c r="O197" s="48">
        <f>IF(t&lt;Tnet,'2025'!Resal+('2025'!Salim-'2025'!Resal)*(1-EXP(('2025'!Tnet-t)/('2025'!Tau_j))),Resal+(Salim-Resal)*(1-EXP((Tnet-t)/(Tau_j))))*Salcycl</f>
        <v>1.3411482062360489E-2</v>
      </c>
      <c r="P197" s="334">
        <f>(INDEX(Models!$BJ197:$BT197,,T197)*(1-R197)+INDEX(Models!$BJ197:$BT197,,T197+1)*R197-ERP_i)*Q197*Ramure*Pc/MaxiM</f>
        <v>1.7681102268386298E-4</v>
      </c>
      <c r="Q197" s="301">
        <f t="shared" si="53"/>
        <v>0.5</v>
      </c>
      <c r="R197" s="173">
        <f t="shared" si="54"/>
        <v>0.34534278733487911</v>
      </c>
      <c r="S197" s="801">
        <f t="shared" si="55"/>
        <v>2</v>
      </c>
      <c r="T197" s="172">
        <f t="shared" si="56"/>
        <v>8</v>
      </c>
      <c r="U197" s="247">
        <f t="shared" si="57"/>
        <v>2.3453427873348791</v>
      </c>
      <c r="V197" s="378">
        <f t="shared" si="58"/>
        <v>240.48338941801131</v>
      </c>
      <c r="W197" s="397">
        <f t="shared" si="59"/>
        <v>235.77571022631113</v>
      </c>
      <c r="X197" s="153">
        <f t="shared" si="60"/>
        <v>46205</v>
      </c>
      <c r="Y197" s="380">
        <f t="shared" si="61"/>
        <v>226.27608645143513</v>
      </c>
      <c r="Z197" s="380">
        <f t="shared" si="62"/>
        <v>231.86062490611354</v>
      </c>
      <c r="AA197" s="381">
        <f t="shared" si="63"/>
        <v>244.87889011208327</v>
      </c>
      <c r="AB197" s="193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5.3162055741150842E-2</v>
      </c>
      <c r="AD197" s="227">
        <f>(INDEX(Models!$BJ197:$BT197,,AH197)*(1-AF197)+INDEX(Models!$BJ197:$BT197,,AH197+1)*AF197-ERP_i)*AE197*Ramure*Pc/MaxiM</f>
        <v>1.7681102268386298E-4</v>
      </c>
      <c r="AE197" s="301">
        <f t="shared" si="65"/>
        <v>0.5</v>
      </c>
      <c r="AF197" s="173">
        <f t="shared" si="66"/>
        <v>0.34534278733487911</v>
      </c>
      <c r="AG197" s="801">
        <f t="shared" si="74"/>
        <v>2</v>
      </c>
      <c r="AH197" s="172">
        <f t="shared" si="67"/>
        <v>8</v>
      </c>
      <c r="AI197" s="221">
        <f t="shared" si="68"/>
        <v>2.3453427873348791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46206</v>
      </c>
      <c r="B198" s="406">
        <f>'2025'!Wh/'2025'!Env_an*'2026'!Env_an</f>
        <v>195.27310093214913</v>
      </c>
      <c r="C198" s="831"/>
      <c r="D198" s="388">
        <f t="shared" si="50"/>
        <v>200.09521872327502</v>
      </c>
      <c r="E198" s="380">
        <f t="shared" si="75"/>
        <v>202.83174966906981</v>
      </c>
      <c r="F198" s="380">
        <f t="shared" si="51"/>
        <v>202.85894480611822</v>
      </c>
      <c r="G198" s="110">
        <f t="shared" si="76"/>
        <v>0.81273425845779856</v>
      </c>
      <c r="H198" s="409" t="b">
        <f>Wh_hp&gt;='2025'!Maxi_hp</f>
        <v>0</v>
      </c>
      <c r="I198" s="375">
        <f>IF(H198,Wh_hp,'2025'!Maxi_hp)</f>
        <v>202.86786743464688</v>
      </c>
      <c r="J198" s="85">
        <f>IF(H198,An,'2025'!An_max)</f>
        <v>2022</v>
      </c>
      <c r="K198" s="193">
        <f t="shared" si="52"/>
        <v>46206</v>
      </c>
      <c r="L198" s="143">
        <f>IF(t&lt;Tvie,1-EXP((T0-t)*PertePVj)+'2025'!Pspv,1-EXP((T0-t)*PertePVj)+Pspv)</f>
        <v>2.4099115520569758E-2</v>
      </c>
      <c r="M198" s="835"/>
      <c r="N198" s="835"/>
      <c r="O198" s="48">
        <f>IF(t&lt;Tnet,'2025'!Resal+('2025'!Salim-'2025'!Resal)*(1-EXP(('2025'!Tnet-t)/('2025'!Tau_j))),Resal+(Salim-Resal)*(1-EXP((Tnet-t)/(Tau_j))))*Salcycl</f>
        <v>1.3491630133150093E-2</v>
      </c>
      <c r="P198" s="334">
        <f>(INDEX(Models!$BJ198:$BT198,,T198)*(1-R198)+INDEX(Models!$BJ198:$BT198,,T198+1)*R198-ERP_i)*Q198*Ramure*Pc/MaxiM</f>
        <v>1.8300758622914734E-4</v>
      </c>
      <c r="Q198" s="301">
        <f t="shared" si="53"/>
        <v>0.5</v>
      </c>
      <c r="R198" s="173">
        <f t="shared" si="54"/>
        <v>0.34952831310217558</v>
      </c>
      <c r="S198" s="801">
        <f t="shared" si="55"/>
        <v>2</v>
      </c>
      <c r="T198" s="172">
        <f t="shared" si="56"/>
        <v>8</v>
      </c>
      <c r="U198" s="247">
        <f t="shared" si="57"/>
        <v>2.3495283131021756</v>
      </c>
      <c r="V198" s="378">
        <f t="shared" si="58"/>
        <v>240.25508872489456</v>
      </c>
      <c r="W198" s="397">
        <f t="shared" si="59"/>
        <v>195.27310093214913</v>
      </c>
      <c r="X198" s="153">
        <f t="shared" si="60"/>
        <v>46206</v>
      </c>
      <c r="Y198" s="380">
        <f t="shared" si="61"/>
        <v>187.41156592297631</v>
      </c>
      <c r="Z198" s="380">
        <f t="shared" si="62"/>
        <v>192.03954920375577</v>
      </c>
      <c r="AA198" s="381">
        <f t="shared" si="63"/>
        <v>202.83174966906981</v>
      </c>
      <c r="AB198" s="193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5.3207648619715893E-2</v>
      </c>
      <c r="AD198" s="227">
        <f>(INDEX(Models!$BJ198:$BT198,,AH198)*(1-AF198)+INDEX(Models!$BJ198:$BT198,,AH198+1)*AF198-ERP_i)*AE198*Ramure*Pc/MaxiM</f>
        <v>1.8300758622914734E-4</v>
      </c>
      <c r="AE198" s="301">
        <f t="shared" si="65"/>
        <v>0.5</v>
      </c>
      <c r="AF198" s="173">
        <f t="shared" si="66"/>
        <v>0.34952831310217558</v>
      </c>
      <c r="AG198" s="801">
        <f t="shared" si="74"/>
        <v>2</v>
      </c>
      <c r="AH198" s="172">
        <f t="shared" si="67"/>
        <v>8</v>
      </c>
      <c r="AI198" s="221">
        <f t="shared" si="68"/>
        <v>2.3495283131021756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46207</v>
      </c>
      <c r="B199" s="406">
        <f>'2025'!Wh/'2025'!Env_an*'2026'!Env_an</f>
        <v>190.4914270595973</v>
      </c>
      <c r="C199" s="831"/>
      <c r="D199" s="388">
        <f t="shared" si="50"/>
        <v>195.19813722125875</v>
      </c>
      <c r="E199" s="380">
        <f t="shared" si="75"/>
        <v>197.88372227048188</v>
      </c>
      <c r="F199" s="380">
        <f t="shared" si="51"/>
        <v>197.91008265432433</v>
      </c>
      <c r="G199" s="110">
        <f t="shared" si="76"/>
        <v>0.79362497149366706</v>
      </c>
      <c r="H199" s="409" t="b">
        <f>Wh_hp&gt;='2025'!Maxi_hp</f>
        <v>0</v>
      </c>
      <c r="I199" s="375">
        <f>IF(H199,Wh_hp,'2025'!Maxi_hp)</f>
        <v>197.91997286853493</v>
      </c>
      <c r="J199" s="85">
        <f>IF(H199,An,'2025'!An_max)</f>
        <v>2022</v>
      </c>
      <c r="K199" s="193">
        <f t="shared" si="52"/>
        <v>46207</v>
      </c>
      <c r="L199" s="143">
        <f>IF(t&lt;Tvie,1-EXP((T0-t)*PertePVj)+'2025'!Pspv,1-EXP((T0-t)*PertePVj)+Pspv)</f>
        <v>2.4112474784154014E-2</v>
      </c>
      <c r="M199" s="835"/>
      <c r="N199" s="835"/>
      <c r="O199" s="48">
        <f>IF(t&lt;Tnet,'2025'!Resal+('2025'!Salim-'2025'!Resal)*(1-EXP(('2025'!Tnet-t)/('2025'!Tau_j))),Resal+(Salim-Resal)*(1-EXP((Tnet-t)/(Tau_j))))*Salcycl</f>
        <v>1.3571530888994848E-2</v>
      </c>
      <c r="P199" s="334">
        <f>(INDEX(Models!$BJ199:$BT199,,T199)*(1-R199)+INDEX(Models!$BJ199:$BT199,,T199+1)*R199-ERP_i)*Q199*Ramure*Pc/MaxiM</f>
        <v>1.8886255142203188E-4</v>
      </c>
      <c r="Q199" s="301">
        <f t="shared" si="53"/>
        <v>0.5</v>
      </c>
      <c r="R199" s="173">
        <f t="shared" si="54"/>
        <v>0.35363879332613246</v>
      </c>
      <c r="S199" s="801">
        <f t="shared" si="55"/>
        <v>2</v>
      </c>
      <c r="T199" s="172">
        <f t="shared" si="56"/>
        <v>8</v>
      </c>
      <c r="U199" s="247">
        <f t="shared" si="57"/>
        <v>2.3536387933261325</v>
      </c>
      <c r="V199" s="378">
        <f t="shared" si="58"/>
        <v>240.01364379562514</v>
      </c>
      <c r="W199" s="397">
        <f t="shared" si="59"/>
        <v>190.4914270595973</v>
      </c>
      <c r="X199" s="153">
        <f t="shared" si="60"/>
        <v>46207</v>
      </c>
      <c r="Y199" s="380">
        <f t="shared" si="61"/>
        <v>182.82855638950107</v>
      </c>
      <c r="Z199" s="380">
        <f t="shared" si="62"/>
        <v>187.34593041248601</v>
      </c>
      <c r="AA199" s="381">
        <f t="shared" si="63"/>
        <v>197.88372227048188</v>
      </c>
      <c r="AB199" s="193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5.3252444097408119E-2</v>
      </c>
      <c r="AD199" s="227">
        <f>(INDEX(Models!$BJ199:$BT199,,AH199)*(1-AF199)+INDEX(Models!$BJ199:$BT199,,AH199+1)*AF199-ERP_i)*AE199*Ramure*Pc/MaxiM</f>
        <v>1.8886255142203188E-4</v>
      </c>
      <c r="AE199" s="301">
        <f t="shared" si="65"/>
        <v>0.5</v>
      </c>
      <c r="AF199" s="173">
        <f t="shared" si="66"/>
        <v>0.35363879332613246</v>
      </c>
      <c r="AG199" s="801">
        <f t="shared" si="74"/>
        <v>2</v>
      </c>
      <c r="AH199" s="172">
        <f t="shared" si="67"/>
        <v>8</v>
      </c>
      <c r="AI199" s="221">
        <f t="shared" si="68"/>
        <v>2.3536387933261325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46208</v>
      </c>
      <c r="B200" s="406">
        <f>'2025'!Wh/'2025'!Env_an*'2026'!Env_an</f>
        <v>229.13904116327839</v>
      </c>
      <c r="C200" s="831"/>
      <c r="D200" s="388">
        <f t="shared" si="50"/>
        <v>234.80388057690143</v>
      </c>
      <c r="E200" s="380">
        <f t="shared" si="75"/>
        <v>238.05359459112142</v>
      </c>
      <c r="F200" s="380">
        <f t="shared" si="51"/>
        <v>238.09694539237469</v>
      </c>
      <c r="G200" s="110">
        <f t="shared" si="76"/>
        <v>0.95569789557359452</v>
      </c>
      <c r="H200" s="409" t="b">
        <f>Wh_hp&gt;='2025'!Maxi_hp</f>
        <v>0</v>
      </c>
      <c r="I200" s="375">
        <f>IF(H200,Wh_hp,'2025'!Maxi_hp)</f>
        <v>238.09957047491525</v>
      </c>
      <c r="J200" s="85">
        <f>IF(H200,An,'2025'!An_max)</f>
        <v>2022</v>
      </c>
      <c r="K200" s="193">
        <f t="shared" si="52"/>
        <v>46208</v>
      </c>
      <c r="L200" s="143">
        <f>IF(t&lt;Tvie,1-EXP((T0-t)*PertePVj)+'2025'!Pspv,1-EXP((T0-t)*PertePVj)+Pspv)</f>
        <v>2.4125833864861224E-2</v>
      </c>
      <c r="M200" s="835"/>
      <c r="N200" s="835"/>
      <c r="O200" s="48">
        <f>IF(t&lt;Tnet,'2025'!Resal+('2025'!Salim-'2025'!Resal)*(1-EXP(('2025'!Tnet-t)/('2025'!Tau_j))),Resal+(Salim-Resal)*(1-EXP((Tnet-t)/(Tau_j))))*Salcycl</f>
        <v>1.3651186489335179E-2</v>
      </c>
      <c r="P200" s="334">
        <f>(INDEX(Models!$BJ200:$BT200,,T200)*(1-R200)+INDEX(Models!$BJ200:$BT200,,T200+1)*R200-ERP_i)*Q200*Ramure*Pc/MaxiM</f>
        <v>1.9437023924937102E-4</v>
      </c>
      <c r="Q200" s="301">
        <f t="shared" si="53"/>
        <v>0.5</v>
      </c>
      <c r="R200" s="173">
        <f t="shared" si="54"/>
        <v>0.35767285168610652</v>
      </c>
      <c r="S200" s="801">
        <f t="shared" si="55"/>
        <v>2</v>
      </c>
      <c r="T200" s="172">
        <f t="shared" si="56"/>
        <v>8</v>
      </c>
      <c r="U200" s="247">
        <f t="shared" si="57"/>
        <v>2.3576728516861065</v>
      </c>
      <c r="V200" s="378">
        <f t="shared" si="58"/>
        <v>239.75800691651702</v>
      </c>
      <c r="W200" s="397">
        <f t="shared" si="59"/>
        <v>229.13904116327839</v>
      </c>
      <c r="X200" s="153">
        <f t="shared" si="60"/>
        <v>46208</v>
      </c>
      <c r="Y200" s="380">
        <f t="shared" si="61"/>
        <v>219.92903317490817</v>
      </c>
      <c r="Z200" s="380">
        <f t="shared" si="62"/>
        <v>225.36618019710181</v>
      </c>
      <c r="AA200" s="381">
        <f t="shared" si="63"/>
        <v>238.05359459112142</v>
      </c>
      <c r="AB200" s="193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5.3296462150934559E-2</v>
      </c>
      <c r="AD200" s="227">
        <f>(INDEX(Models!$BJ200:$BT200,,AH200)*(1-AF200)+INDEX(Models!$BJ200:$BT200,,AH200+1)*AF200-ERP_i)*AE200*Ramure*Pc/MaxiM</f>
        <v>1.9437023924937102E-4</v>
      </c>
      <c r="AE200" s="301">
        <f t="shared" si="65"/>
        <v>0.5</v>
      </c>
      <c r="AF200" s="173">
        <f t="shared" si="66"/>
        <v>0.35767285168610652</v>
      </c>
      <c r="AG200" s="801">
        <f t="shared" si="74"/>
        <v>2</v>
      </c>
      <c r="AH200" s="172">
        <f t="shared" si="67"/>
        <v>8</v>
      </c>
      <c r="AI200" s="221">
        <f t="shared" si="68"/>
        <v>2.3576728516861065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46209</v>
      </c>
      <c r="B201" s="406">
        <f>'2025'!Wh/'2025'!Env_an*'2026'!Env_an</f>
        <v>181.89396823019504</v>
      </c>
      <c r="C201" s="831"/>
      <c r="D201" s="388">
        <f t="shared" si="50"/>
        <v>186.39335331556435</v>
      </c>
      <c r="E201" s="380">
        <f t="shared" si="75"/>
        <v>188.98827565015284</v>
      </c>
      <c r="F201" s="380">
        <f t="shared" si="51"/>
        <v>189.01303226287268</v>
      </c>
      <c r="G201" s="110">
        <f t="shared" si="76"/>
        <v>0.75946251428677303</v>
      </c>
      <c r="H201" s="409" t="b">
        <f>Wh_hp&gt;='2025'!Maxi_hp</f>
        <v>0</v>
      </c>
      <c r="I201" s="375">
        <f>IF(H201,Wh_hp,'2025'!Maxi_hp)</f>
        <v>189.02462826970424</v>
      </c>
      <c r="J201" s="85">
        <f>IF(H201,An,'2025'!An_max)</f>
        <v>2022</v>
      </c>
      <c r="K201" s="193">
        <f t="shared" si="52"/>
        <v>46209</v>
      </c>
      <c r="L201" s="143">
        <f>IF(t&lt;Tvie,1-EXP((T0-t)*PertePVj)+'2025'!Pspv,1-EXP((T0-t)*PertePVj)+Pspv)</f>
        <v>2.4139192762693829E-2</v>
      </c>
      <c r="M201" s="835"/>
      <c r="N201" s="835"/>
      <c r="O201" s="48">
        <f>IF(t&lt;Tnet,'2025'!Resal+('2025'!Salim-'2025'!Resal)*(1-EXP(('2025'!Tnet-t)/('2025'!Tau_j))),Resal+(Salim-Resal)*(1-EXP((Tnet-t)/(Tau_j))))*Salcycl</f>
        <v>1.3730599560536245E-2</v>
      </c>
      <c r="P201" s="334">
        <f>(INDEX(Models!$BJ201:$BT201,,T201)*(1-R201)+INDEX(Models!$BJ201:$BT201,,T201+1)*R201-ERP_i)*Q201*Ramure*Pc/MaxiM</f>
        <v>1.9952541111150878E-4</v>
      </c>
      <c r="Q201" s="301">
        <f t="shared" si="53"/>
        <v>0.5</v>
      </c>
      <c r="R201" s="173">
        <f t="shared" si="54"/>
        <v>0.36162928914723258</v>
      </c>
      <c r="S201" s="801">
        <f t="shared" si="55"/>
        <v>2</v>
      </c>
      <c r="T201" s="172">
        <f t="shared" si="56"/>
        <v>8</v>
      </c>
      <c r="U201" s="247">
        <f t="shared" si="57"/>
        <v>2.3616292891472326</v>
      </c>
      <c r="V201" s="378">
        <f t="shared" si="58"/>
        <v>239.48713053793261</v>
      </c>
      <c r="W201" s="397">
        <f t="shared" si="59"/>
        <v>181.89396823019504</v>
      </c>
      <c r="X201" s="153">
        <f t="shared" si="60"/>
        <v>46209</v>
      </c>
      <c r="Y201" s="380">
        <f t="shared" si="61"/>
        <v>174.58900587320002</v>
      </c>
      <c r="Z201" s="380">
        <f t="shared" si="62"/>
        <v>178.90769316524475</v>
      </c>
      <c r="AA201" s="381">
        <f t="shared" si="63"/>
        <v>188.98827565015284</v>
      </c>
      <c r="AB201" s="193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5.333972411901812E-2</v>
      </c>
      <c r="AD201" s="227">
        <f>(INDEX(Models!$BJ201:$BT201,,AH201)*(1-AF201)+INDEX(Models!$BJ201:$BT201,,AH201+1)*AF201-ERP_i)*AE201*Ramure*Pc/MaxiM</f>
        <v>1.9952541111150878E-4</v>
      </c>
      <c r="AE201" s="301">
        <f t="shared" si="65"/>
        <v>0.5</v>
      </c>
      <c r="AF201" s="173">
        <f t="shared" si="66"/>
        <v>0.36162928914723258</v>
      </c>
      <c r="AG201" s="801">
        <f t="shared" si="74"/>
        <v>2</v>
      </c>
      <c r="AH201" s="172">
        <f t="shared" si="67"/>
        <v>8</v>
      </c>
      <c r="AI201" s="221">
        <f t="shared" si="68"/>
        <v>2.3616292891472326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46210</v>
      </c>
      <c r="B202" s="406">
        <f>'2025'!Wh/'2025'!Env_an*'2026'!Env_an</f>
        <v>226.04397966731395</v>
      </c>
      <c r="C202" s="831"/>
      <c r="D202" s="388">
        <f t="shared" si="50"/>
        <v>231.63864393927122</v>
      </c>
      <c r="E202" s="380">
        <f t="shared" si="75"/>
        <v>234.88231543569231</v>
      </c>
      <c r="F202" s="380">
        <f t="shared" si="51"/>
        <v>234.92654488948952</v>
      </c>
      <c r="G202" s="110">
        <f t="shared" si="76"/>
        <v>0.94498487055405267</v>
      </c>
      <c r="H202" s="409" t="b">
        <f>Wh_hp&gt;='2025'!Maxi_hp</f>
        <v>0</v>
      </c>
      <c r="I202" s="375">
        <f>IF(H202,Wh_hp,'2025'!Maxi_hp)</f>
        <v>234.92991381410164</v>
      </c>
      <c r="J202" s="85">
        <f>IF(H202,An,'2025'!An_max)</f>
        <v>2022</v>
      </c>
      <c r="K202" s="193">
        <f t="shared" si="52"/>
        <v>46210</v>
      </c>
      <c r="L202" s="143">
        <f>IF(t&lt;Tvie,1-EXP((T0-t)*PertePVj)+'2025'!Pspv,1-EXP((T0-t)*PertePVj)+Pspv)</f>
        <v>2.4152551477654272E-2</v>
      </c>
      <c r="M202" s="835"/>
      <c r="N202" s="835"/>
      <c r="O202" s="48">
        <f>IF(t&lt;Tnet,'2025'!Resal+('2025'!Salim-'2025'!Resal)*(1-EXP(('2025'!Tnet-t)/('2025'!Tau_j))),Resal+(Salim-Resal)*(1-EXP((Tnet-t)/(Tau_j))))*Salcycl</f>
        <v>1.3809773164081237E-2</v>
      </c>
      <c r="P202" s="334">
        <f>(INDEX(Models!$BJ202:$BT202,,T202)*(1-R202)+INDEX(Models!$BJ202:$BT202,,T202+1)*R202-ERP_i)*Q202*Ramure*Pc/MaxiM</f>
        <v>2.0432324634780082E-4</v>
      </c>
      <c r="Q202" s="301">
        <f t="shared" si="53"/>
        <v>0.5</v>
      </c>
      <c r="R202" s="173">
        <f t="shared" si="54"/>
        <v>0.36550708086227202</v>
      </c>
      <c r="S202" s="801">
        <f t="shared" si="55"/>
        <v>2</v>
      </c>
      <c r="T202" s="172">
        <f t="shared" si="56"/>
        <v>8</v>
      </c>
      <c r="U202" s="247">
        <f t="shared" si="57"/>
        <v>2.365507080862272</v>
      </c>
      <c r="V202" s="378">
        <f t="shared" si="58"/>
        <v>239.19996724524523</v>
      </c>
      <c r="W202" s="397">
        <f t="shared" si="59"/>
        <v>226.04397966731395</v>
      </c>
      <c r="X202" s="153">
        <f t="shared" si="60"/>
        <v>46210</v>
      </c>
      <c r="Y202" s="380">
        <f t="shared" si="61"/>
        <v>216.97359904304241</v>
      </c>
      <c r="Z202" s="380">
        <f t="shared" si="62"/>
        <v>222.34376835394676</v>
      </c>
      <c r="AA202" s="381">
        <f t="shared" si="63"/>
        <v>234.88231543569231</v>
      </c>
      <c r="AB202" s="193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5.3382252548418989E-2</v>
      </c>
      <c r="AD202" s="227">
        <f>(INDEX(Models!$BJ202:$BT202,,AH202)*(1-AF202)+INDEX(Models!$BJ202:$BT202,,AH202+1)*AF202-ERP_i)*AE202*Ramure*Pc/MaxiM</f>
        <v>2.0432324634780082E-4</v>
      </c>
      <c r="AE202" s="301">
        <f t="shared" si="65"/>
        <v>0.5</v>
      </c>
      <c r="AF202" s="173">
        <f t="shared" si="66"/>
        <v>0.36550708086227202</v>
      </c>
      <c r="AG202" s="801">
        <f t="shared" si="74"/>
        <v>2</v>
      </c>
      <c r="AH202" s="172">
        <f t="shared" si="67"/>
        <v>8</v>
      </c>
      <c r="AI202" s="221">
        <f t="shared" si="68"/>
        <v>2.365507080862272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46211</v>
      </c>
      <c r="B203" s="406">
        <f>'2025'!Wh/'2025'!Env_an*'2026'!Env_an</f>
        <v>239.71629354169207</v>
      </c>
      <c r="C203" s="831"/>
      <c r="D203" s="388">
        <f t="shared" si="50"/>
        <v>245.65271494469516</v>
      </c>
      <c r="E203" s="380">
        <f t="shared" si="75"/>
        <v>249.11256733979141</v>
      </c>
      <c r="F203" s="380">
        <f t="shared" si="51"/>
        <v>249.16458276776112</v>
      </c>
      <c r="G203" s="110">
        <f t="shared" si="76"/>
        <v>1.0034359116923777</v>
      </c>
      <c r="H203" s="409" t="b">
        <f>Wh_hp&gt;='2025'!Maxi_hp</f>
        <v>1</v>
      </c>
      <c r="I203" s="375">
        <f>IF(H203,Wh_hp,'2025'!Maxi_hp)</f>
        <v>249.16458276776112</v>
      </c>
      <c r="J203" s="85">
        <f>IF(H203,An,'2025'!An_max)</f>
        <v>2026</v>
      </c>
      <c r="K203" s="193">
        <f t="shared" si="52"/>
        <v>46211</v>
      </c>
      <c r="L203" s="143">
        <f>IF(t&lt;Tvie,1-EXP((T0-t)*PertePVj)+'2025'!Pspv,1-EXP((T0-t)*PertePVj)+Pspv)</f>
        <v>2.4165910009745217E-2</v>
      </c>
      <c r="M203" s="835"/>
      <c r="N203" s="835"/>
      <c r="O203" s="48">
        <f>IF(t&lt;Tnet,'2025'!Resal+('2025'!Salim-'2025'!Resal)*(1-EXP(('2025'!Tnet-t)/('2025'!Tau_j))),Resal+(Salim-Resal)*(1-EXP((Tnet-t)/(Tau_j))))*Salcycl</f>
        <v>1.3888710762540477E-2</v>
      </c>
      <c r="P203" s="334">
        <f>(INDEX(Models!$BJ203:$BT203,,T203)*(1-R203)+INDEX(Models!$BJ203:$BT203,,T203+1)*R203-ERP_i)*Q203*Ramure*Pc/MaxiM</f>
        <v>2.0875931640011608E-4</v>
      </c>
      <c r="Q203" s="301">
        <f t="shared" si="53"/>
        <v>0.5</v>
      </c>
      <c r="R203" s="173">
        <f t="shared" si="54"/>
        <v>0.36930537242787453</v>
      </c>
      <c r="S203" s="801">
        <f t="shared" si="55"/>
        <v>2</v>
      </c>
      <c r="T203" s="172">
        <f t="shared" si="56"/>
        <v>8</v>
      </c>
      <c r="U203" s="247">
        <f t="shared" si="57"/>
        <v>2.3693053724278745</v>
      </c>
      <c r="V203" s="378">
        <f t="shared" si="58"/>
        <v>238.89546980373734</v>
      </c>
      <c r="W203" s="397">
        <f t="shared" si="59"/>
        <v>239.71629354169207</v>
      </c>
      <c r="X203" s="153">
        <f t="shared" si="60"/>
        <v>46211</v>
      </c>
      <c r="Y203" s="380">
        <f t="shared" si="61"/>
        <v>230.10554257264704</v>
      </c>
      <c r="Z203" s="380">
        <f t="shared" si="62"/>
        <v>235.80395984623266</v>
      </c>
      <c r="AA203" s="381">
        <f t="shared" si="63"/>
        <v>249.11256733979141</v>
      </c>
      <c r="AB203" s="193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5.3424071036150107E-2</v>
      </c>
      <c r="AD203" s="227">
        <f>(INDEX(Models!$BJ203:$BT203,,AH203)*(1-AF203)+INDEX(Models!$BJ203:$BT203,,AH203+1)*AF203-ERP_i)*AE203*Ramure*Pc/MaxiM</f>
        <v>2.0875931640011608E-4</v>
      </c>
      <c r="AE203" s="301">
        <f t="shared" si="65"/>
        <v>0.5</v>
      </c>
      <c r="AF203" s="173">
        <f t="shared" si="66"/>
        <v>0.36930537242787453</v>
      </c>
      <c r="AG203" s="801">
        <f t="shared" si="74"/>
        <v>2</v>
      </c>
      <c r="AH203" s="172">
        <f t="shared" si="67"/>
        <v>8</v>
      </c>
      <c r="AI203" s="221">
        <f t="shared" si="68"/>
        <v>2.3693053724278745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46212</v>
      </c>
      <c r="B204" s="406">
        <f>'2025'!Wh/'2025'!Env_an*'2026'!Env_an</f>
        <v>237.20624885875037</v>
      </c>
      <c r="C204" s="831"/>
      <c r="D204" s="388">
        <f t="shared" si="50"/>
        <v>243.08383821672069</v>
      </c>
      <c r="E204" s="380">
        <f t="shared" si="75"/>
        <v>246.52718602449727</v>
      </c>
      <c r="F204" s="380">
        <f t="shared" si="51"/>
        <v>246.579236006104</v>
      </c>
      <c r="G204" s="110">
        <f t="shared" si="76"/>
        <v>0.99427111292783865</v>
      </c>
      <c r="H204" s="409" t="b">
        <f>Wh_hp&gt;='2025'!Maxi_hp</f>
        <v>0</v>
      </c>
      <c r="I204" s="375">
        <f>IF(H204,Wh_hp,'2025'!Maxi_hp)</f>
        <v>246.57961768675807</v>
      </c>
      <c r="J204" s="85">
        <f>IF(H204,An,'2025'!An_max)</f>
        <v>2022</v>
      </c>
      <c r="K204" s="193">
        <f t="shared" si="52"/>
        <v>46212</v>
      </c>
      <c r="L204" s="143">
        <f>IF(t&lt;Tvie,1-EXP((T0-t)*PertePVj)+'2025'!Pspv,1-EXP((T0-t)*PertePVj)+Pspv)</f>
        <v>2.4179268358969108E-2</v>
      </c>
      <c r="M204" s="835"/>
      <c r="N204" s="835"/>
      <c r="O204" s="48">
        <f>IF(t&lt;Tnet,'2025'!Resal+('2025'!Salim-'2025'!Resal)*(1-EXP(('2025'!Tnet-t)/('2025'!Tau_j))),Resal+(Salim-Resal)*(1-EXP((Tnet-t)/(Tau_j))))*Salcycl</f>
        <v>1.3967416183602638E-2</v>
      </c>
      <c r="P204" s="334">
        <f>(INDEX(Models!$BJ204:$BT204,,T204)*(1-R204)+INDEX(Models!$BJ204:$BT204,,T204+1)*R204-ERP_i)*Q204*Ramure*Pc/MaxiM</f>
        <v>2.1282955594160204E-4</v>
      </c>
      <c r="Q204" s="301">
        <f t="shared" si="53"/>
        <v>0.5</v>
      </c>
      <c r="R204" s="173">
        <f t="shared" si="54"/>
        <v>0.37302347555332638</v>
      </c>
      <c r="S204" s="801">
        <f t="shared" si="55"/>
        <v>2</v>
      </c>
      <c r="T204" s="172">
        <f t="shared" si="56"/>
        <v>8</v>
      </c>
      <c r="U204" s="247">
        <f t="shared" si="57"/>
        <v>2.3730234755533264</v>
      </c>
      <c r="V204" s="378">
        <f t="shared" si="58"/>
        <v>238.57259115825929</v>
      </c>
      <c r="W204" s="397">
        <f t="shared" si="59"/>
        <v>237.20624885875037</v>
      </c>
      <c r="X204" s="153">
        <f t="shared" si="60"/>
        <v>46212</v>
      </c>
      <c r="Y204" s="380">
        <f t="shared" si="61"/>
        <v>227.70441062712877</v>
      </c>
      <c r="Z204" s="380">
        <f t="shared" si="62"/>
        <v>233.34655971512294</v>
      </c>
      <c r="AA204" s="381">
        <f t="shared" si="63"/>
        <v>246.52718602449727</v>
      </c>
      <c r="AB204" s="193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5.3465204069074096E-2</v>
      </c>
      <c r="AD204" s="227">
        <f>(INDEX(Models!$BJ204:$BT204,,AH204)*(1-AF204)+INDEX(Models!$BJ204:$BT204,,AH204+1)*AF204-ERP_i)*AE204*Ramure*Pc/MaxiM</f>
        <v>2.1282955594160204E-4</v>
      </c>
      <c r="AE204" s="301">
        <f t="shared" si="65"/>
        <v>0.5</v>
      </c>
      <c r="AF204" s="173">
        <f t="shared" si="66"/>
        <v>0.37302347555332638</v>
      </c>
      <c r="AG204" s="801">
        <f t="shared" si="74"/>
        <v>2</v>
      </c>
      <c r="AH204" s="172">
        <f t="shared" si="67"/>
        <v>8</v>
      </c>
      <c r="AI204" s="221">
        <f t="shared" si="68"/>
        <v>2.3730234755533264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46213</v>
      </c>
      <c r="B205" s="406">
        <f>'2025'!Wh/'2025'!Env_an*'2026'!Env_an</f>
        <v>235.29592533983524</v>
      </c>
      <c r="C205" s="831"/>
      <c r="D205" s="388">
        <f t="shared" si="50"/>
        <v>241.12948081340014</v>
      </c>
      <c r="E205" s="380">
        <f t="shared" si="75"/>
        <v>244.56460928951881</v>
      </c>
      <c r="F205" s="380">
        <f t="shared" si="51"/>
        <v>244.61664398667727</v>
      </c>
      <c r="G205" s="110">
        <f t="shared" si="76"/>
        <v>0.98767746013598823</v>
      </c>
      <c r="H205" s="409" t="b">
        <f>Wh_hp&gt;='2025'!Maxi_hp</f>
        <v>0</v>
      </c>
      <c r="I205" s="375">
        <f>IF(H205,Wh_hp,'2025'!Maxi_hp)</f>
        <v>244.61747019264928</v>
      </c>
      <c r="J205" s="85">
        <f>IF(H205,An,'2025'!An_max)</f>
        <v>2022</v>
      </c>
      <c r="K205" s="193">
        <f t="shared" si="52"/>
        <v>46213</v>
      </c>
      <c r="L205" s="143">
        <f>IF(t&lt;Tvie,1-EXP((T0-t)*PertePVj)+'2025'!Pspv,1-EXP((T0-t)*PertePVj)+Pspv)</f>
        <v>2.4192626525328276E-2</v>
      </c>
      <c r="M205" s="835"/>
      <c r="N205" s="835"/>
      <c r="O205" s="48">
        <f>IF(t&lt;Tnet,'2025'!Resal+('2025'!Salim-'2025'!Resal)*(1-EXP(('2025'!Tnet-t)/('2025'!Tau_j))),Resal+(Salim-Resal)*(1-EXP((Tnet-t)/(Tau_j))))*Salcycl</f>
        <v>1.4045893582469021E-2</v>
      </c>
      <c r="P205" s="334">
        <f>(INDEX(Models!$BJ205:$BT205,,T205)*(1-R205)+INDEX(Models!$BJ205:$BT205,,T205+1)*R205-ERP_i)*Q205*Ramure*Pc/MaxiM</f>
        <v>2.1652991259882011E-4</v>
      </c>
      <c r="Q205" s="301">
        <f t="shared" si="53"/>
        <v>0.5</v>
      </c>
      <c r="R205" s="173">
        <f t="shared" si="54"/>
        <v>0.37666086320115522</v>
      </c>
      <c r="S205" s="801">
        <f t="shared" si="55"/>
        <v>2</v>
      </c>
      <c r="T205" s="172">
        <f t="shared" si="56"/>
        <v>8</v>
      </c>
      <c r="U205" s="247">
        <f t="shared" si="57"/>
        <v>2.3766608632011552</v>
      </c>
      <c r="V205" s="378">
        <f t="shared" si="58"/>
        <v>238.23063503983491</v>
      </c>
      <c r="W205" s="397">
        <f t="shared" si="59"/>
        <v>235.29592533983524</v>
      </c>
      <c r="X205" s="153">
        <f t="shared" si="60"/>
        <v>46213</v>
      </c>
      <c r="Y205" s="380">
        <f t="shared" si="61"/>
        <v>225.87892899076482</v>
      </c>
      <c r="Z205" s="380">
        <f t="shared" si="62"/>
        <v>231.47901433297355</v>
      </c>
      <c r="AA205" s="381">
        <f t="shared" si="63"/>
        <v>244.56460928951881</v>
      </c>
      <c r="AB205" s="193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5.3505676862077634E-2</v>
      </c>
      <c r="AD205" s="227">
        <f>(INDEX(Models!$BJ205:$BT205,,AH205)*(1-AF205)+INDEX(Models!$BJ205:$BT205,,AH205+1)*AF205-ERP_i)*AE205*Ramure*Pc/MaxiM</f>
        <v>2.1652991259882011E-4</v>
      </c>
      <c r="AE205" s="301">
        <f t="shared" si="65"/>
        <v>0.5</v>
      </c>
      <c r="AF205" s="173">
        <f t="shared" si="66"/>
        <v>0.37666086320115522</v>
      </c>
      <c r="AG205" s="801">
        <f t="shared" si="74"/>
        <v>2</v>
      </c>
      <c r="AH205" s="172">
        <f t="shared" si="67"/>
        <v>8</v>
      </c>
      <c r="AI205" s="221">
        <f t="shared" si="68"/>
        <v>2.3766608632011552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46214</v>
      </c>
      <c r="B206" s="406">
        <f>'2025'!Wh/'2025'!Env_an*'2026'!Env_an</f>
        <v>228.92043936632362</v>
      </c>
      <c r="C206" s="831"/>
      <c r="D206" s="388">
        <f t="shared" si="50"/>
        <v>234.59914257733431</v>
      </c>
      <c r="E206" s="380">
        <f t="shared" si="75"/>
        <v>237.96012647975266</v>
      </c>
      <c r="F206" s="380">
        <f t="shared" si="51"/>
        <v>238.00966706330263</v>
      </c>
      <c r="G206" s="110">
        <f t="shared" si="76"/>
        <v>0.96236373692069299</v>
      </c>
      <c r="H206" s="409" t="b">
        <f>Wh_hp&gt;='2025'!Maxi_hp</f>
        <v>0</v>
      </c>
      <c r="I206" s="375">
        <f>IF(H206,Wh_hp,'2025'!Maxi_hp)</f>
        <v>238.01215341902494</v>
      </c>
      <c r="J206" s="85">
        <f>IF(H206,An,'2025'!An_max)</f>
        <v>2022</v>
      </c>
      <c r="K206" s="193">
        <f t="shared" si="52"/>
        <v>46214</v>
      </c>
      <c r="L206" s="143">
        <f>IF(t&lt;Tvie,1-EXP((T0-t)*PertePVj)+'2025'!Pspv,1-EXP((T0-t)*PertePVj)+Pspv)</f>
        <v>2.4205984508825495E-2</v>
      </c>
      <c r="M206" s="835"/>
      <c r="N206" s="835"/>
      <c r="O206" s="48">
        <f>IF(t&lt;Tnet,'2025'!Resal+('2025'!Salim-'2025'!Resal)*(1-EXP(('2025'!Tnet-t)/('2025'!Tau_j))),Resal+(Salim-Resal)*(1-EXP((Tnet-t)/(Tau_j))))*Salcycl</f>
        <v>1.4124147402923528E-2</v>
      </c>
      <c r="P206" s="334">
        <f>(INDEX(Models!$BJ206:$BT206,,T206)*(1-R206)+INDEX(Models!$BJ206:$BT206,,T206+1)*R206-ERP_i)*Q206*Ramure*Pc/MaxiM</f>
        <v>2.1996852943620944E-4</v>
      </c>
      <c r="Q206" s="301">
        <f t="shared" si="53"/>
        <v>0.5</v>
      </c>
      <c r="R206" s="173">
        <f t="shared" si="54"/>
        <v>0.38021716425951979</v>
      </c>
      <c r="S206" s="801">
        <f t="shared" si="55"/>
        <v>2</v>
      </c>
      <c r="T206" s="172">
        <f t="shared" si="56"/>
        <v>8</v>
      </c>
      <c r="U206" s="247">
        <f t="shared" si="57"/>
        <v>2.3802171642595198</v>
      </c>
      <c r="V206" s="378">
        <f t="shared" si="58"/>
        <v>237.87028067663826</v>
      </c>
      <c r="W206" s="397">
        <f t="shared" si="59"/>
        <v>228.92043936632362</v>
      </c>
      <c r="X206" s="153">
        <f t="shared" si="60"/>
        <v>46214</v>
      </c>
      <c r="Y206" s="380">
        <f t="shared" si="61"/>
        <v>219.76679510995638</v>
      </c>
      <c r="Z206" s="380">
        <f t="shared" si="62"/>
        <v>225.21842891128495</v>
      </c>
      <c r="AA206" s="381">
        <f t="shared" si="63"/>
        <v>237.96012647975266</v>
      </c>
      <c r="AB206" s="193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5.3545515196016948E-2</v>
      </c>
      <c r="AD206" s="227">
        <f>(INDEX(Models!$BJ206:$BT206,,AH206)*(1-AF206)+INDEX(Models!$BJ206:$BT206,,AH206+1)*AF206-ERP_i)*AE206*Ramure*Pc/MaxiM</f>
        <v>2.1996852943620944E-4</v>
      </c>
      <c r="AE206" s="301">
        <f t="shared" si="65"/>
        <v>0.5</v>
      </c>
      <c r="AF206" s="173">
        <f t="shared" si="66"/>
        <v>0.38021716425951979</v>
      </c>
      <c r="AG206" s="801">
        <f t="shared" si="74"/>
        <v>2</v>
      </c>
      <c r="AH206" s="172">
        <f t="shared" si="67"/>
        <v>8</v>
      </c>
      <c r="AI206" s="221">
        <f t="shared" si="68"/>
        <v>2.3802171642595198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46215</v>
      </c>
      <c r="B207" s="406">
        <f>'2025'!Wh/'2025'!Env_an*'2026'!Env_an</f>
        <v>226.23320257267855</v>
      </c>
      <c r="C207" s="831"/>
      <c r="D207" s="388">
        <f t="shared" ref="D207:D270" si="77">Wh/(1-Ppv)</f>
        <v>231.84841879129263</v>
      </c>
      <c r="E207" s="380">
        <f t="shared" si="75"/>
        <v>235.18861031871864</v>
      </c>
      <c r="F207" s="380">
        <f t="shared" ref="F207:F270" si="78">Wh_sa/(1-Pvg*MEDIAN((-Sdif+Wh/Env_an)/Csdif,0,1))</f>
        <v>235.23753756388513</v>
      </c>
      <c r="G207" s="110">
        <f t="shared" si="76"/>
        <v>0.95257616179723115</v>
      </c>
      <c r="H207" s="409" t="b">
        <f>Wh_hp&gt;='2025'!Maxi_hp</f>
        <v>0</v>
      </c>
      <c r="I207" s="375">
        <f>IF(H207,Wh_hp,'2025'!Maxi_hp)</f>
        <v>235.24066730819968</v>
      </c>
      <c r="J207" s="85">
        <f>IF(H207,An,'2025'!An_max)</f>
        <v>2022</v>
      </c>
      <c r="K207" s="193">
        <f t="shared" ref="K207:K270" si="79">t</f>
        <v>46215</v>
      </c>
      <c r="L207" s="143">
        <f>IF(t&lt;Tvie,1-EXP((T0-t)*PertePVj)+'2025'!Pspv,1-EXP((T0-t)*PertePVj)+Pspv)</f>
        <v>2.4219342309463099E-2</v>
      </c>
      <c r="M207" s="835"/>
      <c r="N207" s="835"/>
      <c r="O207" s="48">
        <f>IF(t&lt;Tnet,'2025'!Resal+('2025'!Salim-'2025'!Resal)*(1-EXP(('2025'!Tnet-t)/('2025'!Tau_j))),Resal+(Salim-Resal)*(1-EXP((Tnet-t)/(Tau_j))))*Salcycl</f>
        <v>1.4202182337399383E-2</v>
      </c>
      <c r="P207" s="334">
        <f>(INDEX(Models!$BJ207:$BT207,,T207)*(1-R207)+INDEX(Models!$BJ207:$BT207,,T207+1)*R207-ERP_i)*Q207*Ramure*Pc/MaxiM</f>
        <v>2.2310093621309045E-4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0.38369215780623778</v>
      </c>
      <c r="S207" s="801">
        <f t="shared" ref="S207:S270" si="82">INDEX(Echel_vg,T207)</f>
        <v>2</v>
      </c>
      <c r="T207" s="172">
        <f t="shared" ref="T207:T270" si="83">MIN(MATCH(Hp_vg,Echel_vg),10)</f>
        <v>8</v>
      </c>
      <c r="U207" s="247">
        <f t="shared" ref="U207:U270" si="84">IF(OR(t&lt;Ttai,Notai),Hdd+PousH*Croivg,Hdtf+PousH*(Croivg-Croi_tai))</f>
        <v>2.3836921578062378</v>
      </c>
      <c r="V207" s="378">
        <f t="shared" ref="V207:V270" si="85">MaxiM*(1-Ppv)*(1-Pvg)*(1-Psa)</f>
        <v>237.49259379079561</v>
      </c>
      <c r="W207" s="397">
        <f t="shared" ref="W207:W270" si="86">Wh*(A207&gt;Tmaj)</f>
        <v>226.23320257267855</v>
      </c>
      <c r="X207" s="153">
        <f t="shared" ref="X207:X270" si="87">t</f>
        <v>46215</v>
      </c>
      <c r="Y207" s="380">
        <f t="shared" ref="Y207:Y270" si="88">Wh_pvt_s*(1-Ppv)</f>
        <v>217.19519987567577</v>
      </c>
      <c r="Z207" s="380">
        <f t="shared" ref="Z207:Z270" si="89">Wh_sa_s*(1-Psa_s)</f>
        <v>222.58608854753294</v>
      </c>
      <c r="AA207" s="381">
        <f t="shared" ref="AA207:AA270" si="90">Wh_hp*(1-Pvg_s*MEDIAN((-Sdif+Wh/Env_an)/Csdif,0,1))</f>
        <v>235.18861031871864</v>
      </c>
      <c r="AB207" s="193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5.3584745256614524E-2</v>
      </c>
      <c r="AD207" s="227">
        <f>(INDEX(Models!$BJ207:$BT207,,AH207)*(1-AF207)+INDEX(Models!$BJ207:$BT207,,AH207+1)*AF207-ERP_i)*AE207*Ramure*Pc/MaxiM</f>
        <v>2.2310093621309045E-4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0.38369215780623778</v>
      </c>
      <c r="AG207" s="801">
        <f t="shared" si="74"/>
        <v>2</v>
      </c>
      <c r="AH207" s="172">
        <f t="shared" ref="AH207:AH270" si="94">MIN(MATCH(Hp_vg_s,Echel_vg),10)</f>
        <v>8</v>
      </c>
      <c r="AI207" s="221">
        <f t="shared" ref="AI207:AI270" si="95">IF(OR(t&lt;Ttai,Notai),Hdd_s+PousH*Croivg,Hdtai_s+PousH*(Croivg-Croi_tai))</f>
        <v>2.3836921578062378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46216</v>
      </c>
      <c r="B208" s="406">
        <f>'2025'!Wh/'2025'!Env_an*'2026'!Env_an</f>
        <v>226.36189991975633</v>
      </c>
      <c r="C208" s="831"/>
      <c r="D208" s="388">
        <f t="shared" si="77"/>
        <v>231.98348612715145</v>
      </c>
      <c r="E208" s="380">
        <f t="shared" si="75"/>
        <v>235.34420210666249</v>
      </c>
      <c r="F208" s="380">
        <f t="shared" si="78"/>
        <v>235.39394258454817</v>
      </c>
      <c r="G208" s="110">
        <f t="shared" si="76"/>
        <v>0.95470223016925204</v>
      </c>
      <c r="H208" s="409" t="b">
        <f>Wh_hp&gt;='2025'!Maxi_hp</f>
        <v>0</v>
      </c>
      <c r="I208" s="375">
        <f>IF(H208,Wh_hp,'2025'!Maxi_hp)</f>
        <v>235.39696058537044</v>
      </c>
      <c r="J208" s="85">
        <f>IF(H208,An,'2025'!An_max)</f>
        <v>2022</v>
      </c>
      <c r="K208" s="193">
        <f t="shared" si="79"/>
        <v>46216</v>
      </c>
      <c r="L208" s="143">
        <f>IF(t&lt;Tvie,1-EXP((T0-t)*PertePVj)+'2025'!Pspv,1-EXP((T0-t)*PertePVj)+Pspv)</f>
        <v>2.4232699927243528E-2</v>
      </c>
      <c r="M208" s="835"/>
      <c r="N208" s="835"/>
      <c r="O208" s="48">
        <f>IF(t&lt;Tnet,'2025'!Resal+('2025'!Salim-'2025'!Resal)*(1-EXP(('2025'!Tnet-t)/('2025'!Tau_j))),Resal+(Salim-Resal)*(1-EXP((Tnet-t)/(Tau_j))))*Salcycl</f>
        <v>1.4280003286369053E-2</v>
      </c>
      <c r="P208" s="334">
        <f>(INDEX(Models!$BJ208:$BT208,,T208)*(1-R208)+INDEX(Models!$BJ208:$BT208,,T208+1)*R208-ERP_i)*Q208*Ramure*Pc/MaxiM</f>
        <v>2.2592257663567536E-4</v>
      </c>
      <c r="Q208" s="301">
        <f t="shared" si="80"/>
        <v>0.5</v>
      </c>
      <c r="R208" s="173">
        <f t="shared" si="81"/>
        <v>0.38708576702358322</v>
      </c>
      <c r="S208" s="801">
        <f t="shared" si="82"/>
        <v>2</v>
      </c>
      <c r="T208" s="172">
        <f t="shared" si="83"/>
        <v>8</v>
      </c>
      <c r="U208" s="247">
        <f t="shared" si="84"/>
        <v>2.3870857670235832</v>
      </c>
      <c r="V208" s="378">
        <f t="shared" si="85"/>
        <v>237.09863006951889</v>
      </c>
      <c r="W208" s="397">
        <f t="shared" si="86"/>
        <v>226.36189991975633</v>
      </c>
      <c r="X208" s="153">
        <f t="shared" si="87"/>
        <v>46216</v>
      </c>
      <c r="Y208" s="380">
        <f t="shared" si="88"/>
        <v>217.3270375022548</v>
      </c>
      <c r="Z208" s="380">
        <f t="shared" si="89"/>
        <v>222.72424735492794</v>
      </c>
      <c r="AA208" s="381">
        <f t="shared" si="90"/>
        <v>235.34420210666249</v>
      </c>
      <c r="AB208" s="193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5.3623393475463361E-2</v>
      </c>
      <c r="AD208" s="227">
        <f>(INDEX(Models!$BJ208:$BT208,,AH208)*(1-AF208)+INDEX(Models!$BJ208:$BT208,,AH208+1)*AF208-ERP_i)*AE208*Ramure*Pc/MaxiM</f>
        <v>2.2592257663567536E-4</v>
      </c>
      <c r="AE208" s="301">
        <f t="shared" si="92"/>
        <v>0.5</v>
      </c>
      <c r="AF208" s="173">
        <f t="shared" si="93"/>
        <v>0.38708576702358322</v>
      </c>
      <c r="AG208" s="801">
        <f t="shared" ref="AG208:AG271" si="99">INDEX(Echel_vg,AH208)</f>
        <v>2</v>
      </c>
      <c r="AH208" s="172">
        <f t="shared" si="94"/>
        <v>8</v>
      </c>
      <c r="AI208" s="221">
        <f t="shared" si="95"/>
        <v>2.3870857670235832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46217</v>
      </c>
      <c r="B209" s="406">
        <f>'2025'!Wh/'2025'!Env_an*'2026'!Env_an</f>
        <v>223.91297341168527</v>
      </c>
      <c r="C209" s="831"/>
      <c r="D209" s="388">
        <f t="shared" si="77"/>
        <v>229.47688308218784</v>
      </c>
      <c r="E209" s="380">
        <f t="shared" si="75"/>
        <v>232.81961758988436</v>
      </c>
      <c r="F209" s="380">
        <f t="shared" si="78"/>
        <v>232.86870955381318</v>
      </c>
      <c r="G209" s="110">
        <f t="shared" si="76"/>
        <v>0.94600343765684436</v>
      </c>
      <c r="H209" s="409" t="b">
        <f>Wh_hp&gt;='2025'!Maxi_hp</f>
        <v>0</v>
      </c>
      <c r="I209" s="375">
        <f>IF(H209,Wh_hp,'2025'!Maxi_hp)</f>
        <v>232.87229363523201</v>
      </c>
      <c r="J209" s="85">
        <f>IF(H209,An,'2025'!An_max)</f>
        <v>2022</v>
      </c>
      <c r="K209" s="193">
        <f t="shared" si="79"/>
        <v>46217</v>
      </c>
      <c r="L209" s="143">
        <f>IF(t&lt;Tvie,1-EXP((T0-t)*PertePVj)+'2025'!Pspv,1-EXP((T0-t)*PertePVj)+Pspv)</f>
        <v>2.4246057362169449E-2</v>
      </c>
      <c r="M209" s="835"/>
      <c r="N209" s="835"/>
      <c r="O209" s="48">
        <f>IF(t&lt;Tnet,'2025'!Resal+('2025'!Salim-'2025'!Resal)*(1-EXP(('2025'!Tnet-t)/('2025'!Tau_j))),Resal+(Salim-Resal)*(1-EXP((Tnet-t)/(Tau_j))))*Salcycl</f>
        <v>1.4357615317386265E-2</v>
      </c>
      <c r="P209" s="334">
        <f>(INDEX(Models!$BJ209:$BT209,,T209)*(1-R209)+INDEX(Models!$BJ209:$BT209,,T209+1)*R209-ERP_i)*Q209*Ramure*Pc/MaxiM</f>
        <v>2.2842901950091633E-4</v>
      </c>
      <c r="Q209" s="301">
        <f t="shared" si="80"/>
        <v>0.5</v>
      </c>
      <c r="R209" s="173">
        <f t="shared" si="81"/>
        <v>0.39039805282171613</v>
      </c>
      <c r="S209" s="801">
        <f t="shared" si="82"/>
        <v>2</v>
      </c>
      <c r="T209" s="172">
        <f t="shared" si="83"/>
        <v>8</v>
      </c>
      <c r="U209" s="247">
        <f t="shared" si="84"/>
        <v>2.3903980528217161</v>
      </c>
      <c r="V209" s="378">
        <f t="shared" si="85"/>
        <v>236.68944468508917</v>
      </c>
      <c r="W209" s="397">
        <f t="shared" si="86"/>
        <v>223.91297341168527</v>
      </c>
      <c r="X209" s="153">
        <f t="shared" si="87"/>
        <v>46217</v>
      </c>
      <c r="Y209" s="380">
        <f t="shared" si="88"/>
        <v>214.98412987603717</v>
      </c>
      <c r="Z209" s="380">
        <f t="shared" si="89"/>
        <v>220.32617085292432</v>
      </c>
      <c r="AA209" s="381">
        <f t="shared" si="90"/>
        <v>232.81961758988436</v>
      </c>
      <c r="AB209" s="193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5.366148637426011E-2</v>
      </c>
      <c r="AD209" s="227">
        <f>(INDEX(Models!$BJ209:$BT209,,AH209)*(1-AF209)+INDEX(Models!$BJ209:$BT209,,AH209+1)*AF209-ERP_i)*AE209*Ramure*Pc/MaxiM</f>
        <v>2.2842901950091633E-4</v>
      </c>
      <c r="AE209" s="301">
        <f t="shared" si="92"/>
        <v>0.5</v>
      </c>
      <c r="AF209" s="173">
        <f t="shared" si="93"/>
        <v>0.39039805282171613</v>
      </c>
      <c r="AG209" s="801">
        <f t="shared" si="99"/>
        <v>2</v>
      </c>
      <c r="AH209" s="172">
        <f t="shared" si="94"/>
        <v>8</v>
      </c>
      <c r="AI209" s="221">
        <f t="shared" si="95"/>
        <v>2.3903980528217161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46218</v>
      </c>
      <c r="B210" s="406">
        <f>'2025'!Wh/'2025'!Env_an*'2026'!Env_an</f>
        <v>214.7811285296433</v>
      </c>
      <c r="C210" s="831"/>
      <c r="D210" s="388">
        <f t="shared" si="77"/>
        <v>220.12113849372179</v>
      </c>
      <c r="E210" s="380">
        <f t="shared" si="75"/>
        <v>223.34513073217005</v>
      </c>
      <c r="F210" s="380">
        <f t="shared" si="78"/>
        <v>223.38995552233766</v>
      </c>
      <c r="G210" s="110">
        <f t="shared" si="76"/>
        <v>0.90903730863423293</v>
      </c>
      <c r="H210" s="409" t="b">
        <f>Wh_hp&gt;='2025'!Maxi_hp</f>
        <v>0</v>
      </c>
      <c r="I210" s="375">
        <f>IF(H210,Wh_hp,'2025'!Maxi_hp)</f>
        <v>223.39577791236005</v>
      </c>
      <c r="J210" s="85">
        <f>IF(H210,An,'2025'!An_max)</f>
        <v>2022</v>
      </c>
      <c r="K210" s="193">
        <f t="shared" si="79"/>
        <v>46218</v>
      </c>
      <c r="L210" s="143">
        <f>IF(t&lt;Tvie,1-EXP((T0-t)*PertePVj)+'2025'!Pspv,1-EXP((T0-t)*PertePVj)+Pspv)</f>
        <v>2.4259414614243413E-2</v>
      </c>
      <c r="M210" s="835"/>
      <c r="N210" s="835"/>
      <c r="O210" s="48">
        <f>IF(t&lt;Tnet,'2025'!Resal+('2025'!Salim-'2025'!Resal)*(1-EXP(('2025'!Tnet-t)/('2025'!Tau_j))),Resal+(Salim-Resal)*(1-EXP((Tnet-t)/(Tau_j))))*Salcycl</f>
        <v>1.4435023624107493E-2</v>
      </c>
      <c r="P210" s="334">
        <f>(INDEX(Models!$BJ210:$BT210,,T210)*(1-R210)+INDEX(Models!$BJ210:$BT210,,T210+1)*R210-ERP_i)*Q210*Ramure*Pc/MaxiM</f>
        <v>2.3061595058664592E-4</v>
      </c>
      <c r="Q210" s="301">
        <f t="shared" si="80"/>
        <v>0.5</v>
      </c>
      <c r="R210" s="173">
        <f t="shared" si="81"/>
        <v>0.39362920722686834</v>
      </c>
      <c r="S210" s="801">
        <f t="shared" si="82"/>
        <v>2</v>
      </c>
      <c r="T210" s="172">
        <f t="shared" si="83"/>
        <v>8</v>
      </c>
      <c r="U210" s="247">
        <f t="shared" si="84"/>
        <v>2.3936292072268683</v>
      </c>
      <c r="V210" s="378">
        <f t="shared" si="85"/>
        <v>236.26609228430985</v>
      </c>
      <c r="W210" s="397">
        <f t="shared" si="86"/>
        <v>214.7811285296433</v>
      </c>
      <c r="X210" s="153">
        <f t="shared" si="87"/>
        <v>46218</v>
      </c>
      <c r="Y210" s="380">
        <f t="shared" si="88"/>
        <v>206.22444055213353</v>
      </c>
      <c r="Z210" s="380">
        <f t="shared" si="89"/>
        <v>211.35170929740841</v>
      </c>
      <c r="AA210" s="381">
        <f t="shared" si="90"/>
        <v>223.34513073217005</v>
      </c>
      <c r="AB210" s="193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5.3699050413343684E-2</v>
      </c>
      <c r="AD210" s="227">
        <f>(INDEX(Models!$BJ210:$BT210,,AH210)*(1-AF210)+INDEX(Models!$BJ210:$BT210,,AH210+1)*AF210-ERP_i)*AE210*Ramure*Pc/MaxiM</f>
        <v>2.3061595058664592E-4</v>
      </c>
      <c r="AE210" s="301">
        <f t="shared" si="92"/>
        <v>0.5</v>
      </c>
      <c r="AF210" s="173">
        <f t="shared" si="93"/>
        <v>0.39362920722686834</v>
      </c>
      <c r="AG210" s="801">
        <f t="shared" si="99"/>
        <v>2</v>
      </c>
      <c r="AH210" s="172">
        <f t="shared" si="94"/>
        <v>8</v>
      </c>
      <c r="AI210" s="221">
        <f t="shared" si="95"/>
        <v>2.3936292072268683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46219</v>
      </c>
      <c r="B211" s="406">
        <f>'2025'!Wh/'2025'!Env_an*'2026'!Env_an</f>
        <v>220.43872190652641</v>
      </c>
      <c r="C211" s="831"/>
      <c r="D211" s="388">
        <f t="shared" si="77"/>
        <v>225.92248684794788</v>
      </c>
      <c r="E211" s="380">
        <f t="shared" si="75"/>
        <v>229.24940778009187</v>
      </c>
      <c r="F211" s="380">
        <f t="shared" si="78"/>
        <v>229.29774478318927</v>
      </c>
      <c r="G211" s="110">
        <f t="shared" si="76"/>
        <v>0.93471692141201801</v>
      </c>
      <c r="H211" s="409" t="b">
        <f>Wh_hp&gt;='2025'!Maxi_hp</f>
        <v>0</v>
      </c>
      <c r="I211" s="375">
        <f>IF(H211,Wh_hp,'2025'!Maxi_hp)</f>
        <v>229.30204866300306</v>
      </c>
      <c r="J211" s="85">
        <f>IF(H211,An,'2025'!An_max)</f>
        <v>2022</v>
      </c>
      <c r="K211" s="193">
        <f t="shared" si="79"/>
        <v>46219</v>
      </c>
      <c r="L211" s="143">
        <f>IF(t&lt;Tvie,1-EXP((T0-t)*PertePVj)+'2025'!Pspv,1-EXP((T0-t)*PertePVj)+Pspv)</f>
        <v>2.4272771683467642E-2</v>
      </c>
      <c r="M211" s="835"/>
      <c r="N211" s="835"/>
      <c r="O211" s="48">
        <f>IF(t&lt;Tnet,'2025'!Resal+('2025'!Salim-'2025'!Resal)*(1-EXP(('2025'!Tnet-t)/('2025'!Tau_j))),Resal+(Salim-Resal)*(1-EXP((Tnet-t)/(Tau_j))))*Salcycl</f>
        <v>1.4512233485616493E-2</v>
      </c>
      <c r="P211" s="334">
        <f>(INDEX(Models!$BJ211:$BT211,,T211)*(1-R211)+INDEX(Models!$BJ211:$BT211,,T211+1)*R211-ERP_i)*Q211*Ramure*Pc/MaxiM</f>
        <v>2.3247916402439659E-4</v>
      </c>
      <c r="Q211" s="301">
        <f t="shared" si="80"/>
        <v>0.5</v>
      </c>
      <c r="R211" s="173">
        <f t="shared" si="81"/>
        <v>0.3967795465882098</v>
      </c>
      <c r="S211" s="801">
        <f t="shared" si="82"/>
        <v>2</v>
      </c>
      <c r="T211" s="172">
        <f t="shared" si="83"/>
        <v>8</v>
      </c>
      <c r="U211" s="247">
        <f t="shared" si="84"/>
        <v>2.3967795465882098</v>
      </c>
      <c r="V211" s="378">
        <f t="shared" si="85"/>
        <v>235.82962704609443</v>
      </c>
      <c r="W211" s="397">
        <f t="shared" si="86"/>
        <v>220.43872190652641</v>
      </c>
      <c r="X211" s="153">
        <f t="shared" si="87"/>
        <v>46219</v>
      </c>
      <c r="Y211" s="380">
        <f t="shared" si="88"/>
        <v>211.66493301976487</v>
      </c>
      <c r="Z211" s="380">
        <f t="shared" si="89"/>
        <v>216.93043596309209</v>
      </c>
      <c r="AA211" s="381">
        <f t="shared" si="90"/>
        <v>229.24940778009187</v>
      </c>
      <c r="AB211" s="193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5.3736111845561589E-2</v>
      </c>
      <c r="AD211" s="227">
        <f>(INDEX(Models!$BJ211:$BT211,,AH211)*(1-AF211)+INDEX(Models!$BJ211:$BT211,,AH211+1)*AF211-ERP_i)*AE211*Ramure*Pc/MaxiM</f>
        <v>2.3247916402439659E-4</v>
      </c>
      <c r="AE211" s="301">
        <f t="shared" si="92"/>
        <v>0.5</v>
      </c>
      <c r="AF211" s="173">
        <f t="shared" si="93"/>
        <v>0.3967795465882098</v>
      </c>
      <c r="AG211" s="801">
        <f t="shared" si="99"/>
        <v>2</v>
      </c>
      <c r="AH211" s="172">
        <f t="shared" si="94"/>
        <v>8</v>
      </c>
      <c r="AI211" s="221">
        <f t="shared" si="95"/>
        <v>2.3967795465882098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46220</v>
      </c>
      <c r="B212" s="406">
        <f>'2025'!Wh/'2025'!Env_an*'2026'!Env_an</f>
        <v>219.71251396722201</v>
      </c>
      <c r="C212" s="831"/>
      <c r="D212" s="388">
        <f t="shared" si="77"/>
        <v>225.1812958702512</v>
      </c>
      <c r="E212" s="380">
        <f t="shared" si="75"/>
        <v>228.51516073066958</v>
      </c>
      <c r="F212" s="380">
        <f t="shared" si="78"/>
        <v>228.563612158788</v>
      </c>
      <c r="G212" s="110">
        <f t="shared" si="76"/>
        <v>0.93341253685362935</v>
      </c>
      <c r="H212" s="409" t="b">
        <f>Wh_hp&gt;='2025'!Maxi_hp</f>
        <v>0</v>
      </c>
      <c r="I212" s="375">
        <f>IF(H212,Wh_hp,'2025'!Maxi_hp)</f>
        <v>228.56800088470703</v>
      </c>
      <c r="J212" s="85">
        <f>IF(H212,An,'2025'!An_max)</f>
        <v>2022</v>
      </c>
      <c r="K212" s="193">
        <f t="shared" si="79"/>
        <v>46220</v>
      </c>
      <c r="L212" s="143">
        <f>IF(t&lt;Tvie,1-EXP((T0-t)*PertePVj)+'2025'!Pspv,1-EXP((T0-t)*PertePVj)+Pspv)</f>
        <v>2.4286128569844911E-2</v>
      </c>
      <c r="M212" s="835"/>
      <c r="N212" s="835"/>
      <c r="O212" s="48">
        <f>IF(t&lt;Tnet,'2025'!Resal+('2025'!Salim-'2025'!Resal)*(1-EXP(('2025'!Tnet-t)/('2025'!Tau_j))),Resal+(Salim-Resal)*(1-EXP((Tnet-t)/(Tau_j))))*Salcycl</f>
        <v>1.4589250226367652E-2</v>
      </c>
      <c r="P212" s="334">
        <f>(INDEX(Models!$BJ212:$BT212,,T212)*(1-R212)+INDEX(Models!$BJ212:$BT212,,T212+1)*R212-ERP_i)*Q212*Ramure*Pc/MaxiM</f>
        <v>2.342591788682767E-4</v>
      </c>
      <c r="Q212" s="301">
        <f t="shared" si="80"/>
        <v>0.5</v>
      </c>
      <c r="R212" s="173">
        <f t="shared" si="81"/>
        <v>0.39984950465478608</v>
      </c>
      <c r="S212" s="801">
        <f t="shared" si="82"/>
        <v>2</v>
      </c>
      <c r="T212" s="172">
        <f t="shared" si="83"/>
        <v>8</v>
      </c>
      <c r="U212" s="247">
        <f t="shared" si="84"/>
        <v>2.3998495046547861</v>
      </c>
      <c r="V212" s="378">
        <f t="shared" si="85"/>
        <v>235.38104507292311</v>
      </c>
      <c r="W212" s="397">
        <f t="shared" si="86"/>
        <v>219.71251396722201</v>
      </c>
      <c r="X212" s="153">
        <f t="shared" si="87"/>
        <v>46220</v>
      </c>
      <c r="Y212" s="380">
        <f t="shared" si="88"/>
        <v>210.97596070205014</v>
      </c>
      <c r="Z212" s="380">
        <f t="shared" si="89"/>
        <v>216.22728432958689</v>
      </c>
      <c r="AA212" s="381">
        <f t="shared" si="90"/>
        <v>228.51516073066958</v>
      </c>
      <c r="AB212" s="193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5.3772696576422314E-2</v>
      </c>
      <c r="AD212" s="227">
        <f>(INDEX(Models!$BJ212:$BT212,,AH212)*(1-AF212)+INDEX(Models!$BJ212:$BT212,,AH212+1)*AF212-ERP_i)*AE212*Ramure*Pc/MaxiM</f>
        <v>2.342591788682767E-4</v>
      </c>
      <c r="AE212" s="301">
        <f t="shared" si="92"/>
        <v>0.5</v>
      </c>
      <c r="AF212" s="173">
        <f t="shared" si="93"/>
        <v>0.39984950465478608</v>
      </c>
      <c r="AG212" s="801">
        <f t="shared" si="99"/>
        <v>2</v>
      </c>
      <c r="AH212" s="172">
        <f t="shared" si="94"/>
        <v>8</v>
      </c>
      <c r="AI212" s="221">
        <f t="shared" si="95"/>
        <v>2.3998495046547861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46221</v>
      </c>
      <c r="B213" s="406">
        <f>'2025'!Wh/'2025'!Env_an*'2026'!Env_an</f>
        <v>223.32056711799765</v>
      </c>
      <c r="C213" s="831"/>
      <c r="D213" s="388">
        <f t="shared" si="77"/>
        <v>228.88228892711916</v>
      </c>
      <c r="E213" s="380">
        <f t="shared" si="75"/>
        <v>232.28905865329151</v>
      </c>
      <c r="F213" s="380">
        <f t="shared" si="78"/>
        <v>232.34010746789323</v>
      </c>
      <c r="G213" s="110">
        <f t="shared" si="76"/>
        <v>0.95060279957068083</v>
      </c>
      <c r="H213" s="409" t="b">
        <f>Wh_hp&gt;='2025'!Maxi_hp</f>
        <v>0</v>
      </c>
      <c r="I213" s="375">
        <f>IF(H213,Wh_hp,'2025'!Maxi_hp)</f>
        <v>232.34343250983852</v>
      </c>
      <c r="J213" s="85">
        <f>IF(H213,An,'2025'!An_max)</f>
        <v>2022</v>
      </c>
      <c r="K213" s="193">
        <f t="shared" si="79"/>
        <v>46221</v>
      </c>
      <c r="L213" s="143">
        <f>IF(t&lt;Tvie,1-EXP((T0-t)*PertePVj)+'2025'!Pspv,1-EXP((T0-t)*PertePVj)+Pspv)</f>
        <v>2.4299485273377663E-2</v>
      </c>
      <c r="M213" s="835"/>
      <c r="N213" s="835"/>
      <c r="O213" s="48">
        <f>IF(t&lt;Tnet,'2025'!Resal+('2025'!Salim-'2025'!Resal)*(1-EXP(('2025'!Tnet-t)/('2025'!Tau_j))),Resal+(Salim-Resal)*(1-EXP((Tnet-t)/(Tau_j))))*Salcycl</f>
        <v>1.4666079177053279E-2</v>
      </c>
      <c r="P213" s="334">
        <f>(INDEX(Models!$BJ213:$BT213,,T213)*(1-R213)+INDEX(Models!$BJ213:$BT213,,T213+1)*R213-ERP_i)*Q213*Ramure*Pc/MaxiM</f>
        <v>2.3639212458141407E-4</v>
      </c>
      <c r="Q213" s="301">
        <f t="shared" si="80"/>
        <v>0.5</v>
      </c>
      <c r="R213" s="173">
        <f t="shared" si="81"/>
        <v>0.40283962557107689</v>
      </c>
      <c r="S213" s="801">
        <f t="shared" si="82"/>
        <v>2</v>
      </c>
      <c r="T213" s="172">
        <f t="shared" si="83"/>
        <v>8</v>
      </c>
      <c r="U213" s="247">
        <f t="shared" si="84"/>
        <v>2.4028396255710769</v>
      </c>
      <c r="V213" s="378">
        <f t="shared" si="85"/>
        <v>234.92129652397387</v>
      </c>
      <c r="W213" s="397">
        <f t="shared" si="86"/>
        <v>223.32056711799765</v>
      </c>
      <c r="X213" s="153">
        <f t="shared" si="87"/>
        <v>46221</v>
      </c>
      <c r="Y213" s="380">
        <f t="shared" si="88"/>
        <v>214.44907580462146</v>
      </c>
      <c r="Z213" s="380">
        <f t="shared" si="89"/>
        <v>219.78985617805796</v>
      </c>
      <c r="AA213" s="381">
        <f t="shared" si="90"/>
        <v>232.28905865329151</v>
      </c>
      <c r="AB213" s="193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5.3808830031420098E-2</v>
      </c>
      <c r="AD213" s="227">
        <f>(INDEX(Models!$BJ213:$BT213,,AH213)*(1-AF213)+INDEX(Models!$BJ213:$BT213,,AH213+1)*AF213-ERP_i)*AE213*Ramure*Pc/MaxiM</f>
        <v>2.3639212458141407E-4</v>
      </c>
      <c r="AE213" s="301">
        <f t="shared" si="92"/>
        <v>0.5</v>
      </c>
      <c r="AF213" s="173">
        <f t="shared" si="93"/>
        <v>0.40283962557107689</v>
      </c>
      <c r="AG213" s="801">
        <f t="shared" si="99"/>
        <v>2</v>
      </c>
      <c r="AH213" s="172">
        <f t="shared" si="94"/>
        <v>8</v>
      </c>
      <c r="AI213" s="221">
        <f t="shared" si="95"/>
        <v>2.4028396255710769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46222</v>
      </c>
      <c r="B214" s="406">
        <f>'2025'!Wh/'2025'!Env_an*'2026'!Env_an</f>
        <v>158.05570731781154</v>
      </c>
      <c r="C214" s="831"/>
      <c r="D214" s="388">
        <f t="shared" si="77"/>
        <v>161.99424783702213</v>
      </c>
      <c r="E214" s="380">
        <f t="shared" si="75"/>
        <v>164.41822055229687</v>
      </c>
      <c r="F214" s="380">
        <f t="shared" si="78"/>
        <v>164.43921667084442</v>
      </c>
      <c r="G214" s="110">
        <f t="shared" si="76"/>
        <v>0.67407619234022087</v>
      </c>
      <c r="H214" s="409" t="b">
        <f>Wh_hp&gt;='2025'!Maxi_hp</f>
        <v>0</v>
      </c>
      <c r="I214" s="375">
        <f>IF(H214,Wh_hp,'2025'!Maxi_hp)</f>
        <v>164.45484514625312</v>
      </c>
      <c r="J214" s="85">
        <f>IF(H214,An,'2025'!An_max)</f>
        <v>2022</v>
      </c>
      <c r="K214" s="193">
        <f t="shared" si="79"/>
        <v>46222</v>
      </c>
      <c r="L214" s="143">
        <f>IF(t&lt;Tvie,1-EXP((T0-t)*PertePVj)+'2025'!Pspv,1-EXP((T0-t)*PertePVj)+Pspv)</f>
        <v>2.431284179406823E-2</v>
      </c>
      <c r="M214" s="835"/>
      <c r="N214" s="835"/>
      <c r="O214" s="48">
        <f>IF(t&lt;Tnet,'2025'!Resal+('2025'!Salim-'2025'!Resal)*(1-EXP(('2025'!Tnet-t)/('2025'!Tau_j))),Resal+(Salim-Resal)*(1-EXP((Tnet-t)/(Tau_j))))*Salcycl</f>
        <v>1.4742725636686622E-2</v>
      </c>
      <c r="P214" s="334">
        <f>(INDEX(Models!$BJ214:$BT214,,T214)*(1-R214)+INDEX(Models!$BJ214:$BT214,,T214+1)*R214-ERP_i)*Q214*Ramure*Pc/MaxiM</f>
        <v>2.3888261942566315E-4</v>
      </c>
      <c r="Q214" s="301">
        <f t="shared" si="80"/>
        <v>0.5</v>
      </c>
      <c r="R214" s="173">
        <f t="shared" si="81"/>
        <v>0.40575055683664063</v>
      </c>
      <c r="S214" s="801">
        <f t="shared" si="82"/>
        <v>2</v>
      </c>
      <c r="T214" s="172">
        <f t="shared" si="83"/>
        <v>8</v>
      </c>
      <c r="U214" s="247">
        <f t="shared" si="84"/>
        <v>2.4057505568366406</v>
      </c>
      <c r="V214" s="378">
        <f t="shared" si="85"/>
        <v>234.45143317592516</v>
      </c>
      <c r="W214" s="397">
        <f t="shared" si="86"/>
        <v>158.05570731781154</v>
      </c>
      <c r="X214" s="153">
        <f t="shared" si="87"/>
        <v>46222</v>
      </c>
      <c r="Y214" s="380">
        <f t="shared" si="88"/>
        <v>151.78296554954278</v>
      </c>
      <c r="Z214" s="380">
        <f t="shared" si="89"/>
        <v>155.56519758714194</v>
      </c>
      <c r="AA214" s="381">
        <f t="shared" si="90"/>
        <v>164.41822055229687</v>
      </c>
      <c r="AB214" s="193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5.3844537031338464E-2</v>
      </c>
      <c r="AD214" s="227">
        <f>(INDEX(Models!$BJ214:$BT214,,AH214)*(1-AF214)+INDEX(Models!$BJ214:$BT214,,AH214+1)*AF214-ERP_i)*AE214*Ramure*Pc/MaxiM</f>
        <v>2.3888261942566315E-4</v>
      </c>
      <c r="AE214" s="301">
        <f t="shared" si="92"/>
        <v>0.5</v>
      </c>
      <c r="AF214" s="173">
        <f t="shared" si="93"/>
        <v>0.40575055683664063</v>
      </c>
      <c r="AG214" s="801">
        <f t="shared" si="99"/>
        <v>2</v>
      </c>
      <c r="AH214" s="172">
        <f t="shared" si="94"/>
        <v>8</v>
      </c>
      <c r="AI214" s="221">
        <f t="shared" si="95"/>
        <v>2.4057505568366406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46223</v>
      </c>
      <c r="B215" s="406">
        <f>'2025'!Wh/'2025'!Env_an*'2026'!Env_an</f>
        <v>162.05872886953219</v>
      </c>
      <c r="C215" s="831"/>
      <c r="D215" s="388">
        <f t="shared" si="77"/>
        <v>166.0992931851253</v>
      </c>
      <c r="E215" s="380">
        <f t="shared" si="75"/>
        <v>168.59777648378446</v>
      </c>
      <c r="F215" s="380">
        <f t="shared" si="78"/>
        <v>168.62064021560673</v>
      </c>
      <c r="G215" s="110">
        <f t="shared" si="76"/>
        <v>0.69256652273075292</v>
      </c>
      <c r="H215" s="409" t="b">
        <f>Wh_hp&gt;='2025'!Maxi_hp</f>
        <v>0</v>
      </c>
      <c r="I215" s="375">
        <f>IF(H215,Wh_hp,'2025'!Maxi_hp)</f>
        <v>168.63588062194077</v>
      </c>
      <c r="J215" s="85">
        <f>IF(H215,An,'2025'!An_max)</f>
        <v>2022</v>
      </c>
      <c r="K215" s="193">
        <f t="shared" si="79"/>
        <v>46223</v>
      </c>
      <c r="L215" s="143">
        <f>IF(t&lt;Tvie,1-EXP((T0-t)*PertePVj)+'2025'!Pspv,1-EXP((T0-t)*PertePVj)+Pspv)</f>
        <v>2.4326198131919385E-2</v>
      </c>
      <c r="M215" s="835"/>
      <c r="N215" s="835"/>
      <c r="O215" s="48">
        <f>IF(t&lt;Tnet,'2025'!Resal+('2025'!Salim-'2025'!Resal)*(1-EXP(('2025'!Tnet-t)/('2025'!Tau_j))),Resal+(Salim-Resal)*(1-EXP((Tnet-t)/(Tau_j))))*Salcycl</f>
        <v>1.4819194836175444E-2</v>
      </c>
      <c r="P215" s="334">
        <f>(INDEX(Models!$BJ215:$BT215,,T215)*(1-R215)+INDEX(Models!$BJ215:$BT215,,T215+1)*R215-ERP_i)*Q215*Ramure*Pc/MaxiM</f>
        <v>2.4173516192212147E-4</v>
      </c>
      <c r="Q215" s="301">
        <f t="shared" si="80"/>
        <v>0.5</v>
      </c>
      <c r="R215" s="173">
        <f t="shared" si="81"/>
        <v>0.40858304227207576</v>
      </c>
      <c r="S215" s="801">
        <f t="shared" si="82"/>
        <v>2</v>
      </c>
      <c r="T215" s="172">
        <f t="shared" si="83"/>
        <v>8</v>
      </c>
      <c r="U215" s="247">
        <f t="shared" si="84"/>
        <v>2.4085830422720758</v>
      </c>
      <c r="V215" s="378">
        <f t="shared" si="85"/>
        <v>233.97250648103909</v>
      </c>
      <c r="W215" s="397">
        <f t="shared" si="86"/>
        <v>162.05872886953219</v>
      </c>
      <c r="X215" s="153">
        <f t="shared" si="87"/>
        <v>46223</v>
      </c>
      <c r="Y215" s="380">
        <f t="shared" si="88"/>
        <v>155.63339177146324</v>
      </c>
      <c r="Z215" s="380">
        <f t="shared" si="89"/>
        <v>159.51375497986999</v>
      </c>
      <c r="AA215" s="381">
        <f t="shared" si="90"/>
        <v>168.59777648378446</v>
      </c>
      <c r="AB215" s="193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5.3879841676252239E-2</v>
      </c>
      <c r="AD215" s="227">
        <f>(INDEX(Models!$BJ215:$BT215,,AH215)*(1-AF215)+INDEX(Models!$BJ215:$BT215,,AH215+1)*AF215-ERP_i)*AE215*Ramure*Pc/MaxiM</f>
        <v>2.4173516192212147E-4</v>
      </c>
      <c r="AE215" s="301">
        <f t="shared" si="92"/>
        <v>0.5</v>
      </c>
      <c r="AF215" s="173">
        <f t="shared" si="93"/>
        <v>0.40858304227207576</v>
      </c>
      <c r="AG215" s="801">
        <f t="shared" si="99"/>
        <v>2</v>
      </c>
      <c r="AH215" s="172">
        <f t="shared" si="94"/>
        <v>8</v>
      </c>
      <c r="AI215" s="221">
        <f t="shared" si="95"/>
        <v>2.4085830422720758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46224</v>
      </c>
      <c r="B216" s="406">
        <f>'2025'!Wh/'2025'!Env_an*'2026'!Env_an</f>
        <v>216.4881644460128</v>
      </c>
      <c r="C216" s="831"/>
      <c r="D216" s="388">
        <f t="shared" si="77"/>
        <v>221.88883991068354</v>
      </c>
      <c r="E216" s="380">
        <f t="shared" si="75"/>
        <v>225.24395948554476</v>
      </c>
      <c r="F216" s="380">
        <f t="shared" si="78"/>
        <v>225.29340675071853</v>
      </c>
      <c r="G216" s="110">
        <f t="shared" si="76"/>
        <v>0.92717785728908697</v>
      </c>
      <c r="H216" s="409" t="b">
        <f>Wh_hp&gt;='2025'!Maxi_hp</f>
        <v>0</v>
      </c>
      <c r="I216" s="375">
        <f>IF(H216,Wh_hp,'2025'!Maxi_hp)</f>
        <v>225.29827757588035</v>
      </c>
      <c r="J216" s="85">
        <f>IF(H216,An,'2025'!An_max)</f>
        <v>2022</v>
      </c>
      <c r="K216" s="193">
        <f t="shared" si="79"/>
        <v>46224</v>
      </c>
      <c r="L216" s="143">
        <f>IF(t&lt;Tvie,1-EXP((T0-t)*PertePVj)+'2025'!Pspv,1-EXP((T0-t)*PertePVj)+Pspv)</f>
        <v>2.4339554286933351E-2</v>
      </c>
      <c r="M216" s="835"/>
      <c r="N216" s="835"/>
      <c r="O216" s="48">
        <f>IF(t&lt;Tnet,'2025'!Resal+('2025'!Salim-'2025'!Resal)*(1-EXP(('2025'!Tnet-t)/('2025'!Tau_j))),Resal+(Salim-Resal)*(1-EXP((Tnet-t)/(Tau_j))))*Salcycl</f>
        <v>1.4895491903642191E-2</v>
      </c>
      <c r="P216" s="334">
        <f>(INDEX(Models!$BJ216:$BT216,,T216)*(1-R216)+INDEX(Models!$BJ216:$BT216,,T216+1)*R216-ERP_i)*Q216*Ramure*Pc/MaxiM</f>
        <v>2.4495412546522049E-4</v>
      </c>
      <c r="Q216" s="301">
        <f t="shared" si="80"/>
        <v>0.5</v>
      </c>
      <c r="R216" s="173">
        <f t="shared" si="81"/>
        <v>0.41133791503013573</v>
      </c>
      <c r="S216" s="801">
        <f t="shared" si="82"/>
        <v>2</v>
      </c>
      <c r="T216" s="172">
        <f t="shared" si="83"/>
        <v>8</v>
      </c>
      <c r="U216" s="247">
        <f t="shared" si="84"/>
        <v>2.4113379150301357</v>
      </c>
      <c r="V216" s="378">
        <f t="shared" si="85"/>
        <v>233.48556758573716</v>
      </c>
      <c r="W216" s="397">
        <f t="shared" si="86"/>
        <v>216.4881644460128</v>
      </c>
      <c r="X216" s="153">
        <f t="shared" si="87"/>
        <v>46224</v>
      </c>
      <c r="Y216" s="380">
        <f t="shared" si="88"/>
        <v>207.9132252127558</v>
      </c>
      <c r="Z216" s="380">
        <f t="shared" si="89"/>
        <v>213.09998383792356</v>
      </c>
      <c r="AA216" s="381">
        <f t="shared" si="90"/>
        <v>225.24395948554476</v>
      </c>
      <c r="AB216" s="193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5.391476723885491E-2</v>
      </c>
      <c r="AD216" s="227">
        <f>(INDEX(Models!$BJ216:$BT216,,AH216)*(1-AF216)+INDEX(Models!$BJ216:$BT216,,AH216+1)*AF216-ERP_i)*AE216*Ramure*Pc/MaxiM</f>
        <v>2.4495412546522049E-4</v>
      </c>
      <c r="AE216" s="301">
        <f t="shared" si="92"/>
        <v>0.5</v>
      </c>
      <c r="AF216" s="173">
        <f t="shared" si="93"/>
        <v>0.41133791503013573</v>
      </c>
      <c r="AG216" s="801">
        <f t="shared" si="99"/>
        <v>2</v>
      </c>
      <c r="AH216" s="172">
        <f t="shared" si="94"/>
        <v>8</v>
      </c>
      <c r="AI216" s="221">
        <f t="shared" si="95"/>
        <v>2.4113379150301357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46225</v>
      </c>
      <c r="B217" s="406">
        <f>'2025'!Wh/'2025'!Env_an*'2026'!Env_an</f>
        <v>164.225232042621</v>
      </c>
      <c r="C217" s="831"/>
      <c r="D217" s="388">
        <f t="shared" si="77"/>
        <v>168.32442157567039</v>
      </c>
      <c r="E217" s="380">
        <f t="shared" si="75"/>
        <v>170.88281445117417</v>
      </c>
      <c r="F217" s="380">
        <f t="shared" si="78"/>
        <v>170.90738215882138</v>
      </c>
      <c r="G217" s="110">
        <f t="shared" si="76"/>
        <v>0.7047806535686153</v>
      </c>
      <c r="H217" s="409" t="b">
        <f>Wh_hp&gt;='2025'!Maxi_hp</f>
        <v>0</v>
      </c>
      <c r="I217" s="375">
        <f>IF(H217,Wh_hp,'2025'!Maxi_hp)</f>
        <v>170.9225367239975</v>
      </c>
      <c r="J217" s="85">
        <f>IF(H217,An,'2025'!An_max)</f>
        <v>2022</v>
      </c>
      <c r="K217" s="193">
        <f t="shared" si="79"/>
        <v>46225</v>
      </c>
      <c r="L217" s="143">
        <f>IF(t&lt;Tvie,1-EXP((T0-t)*PertePVj)+'2025'!Pspv,1-EXP((T0-t)*PertePVj)+Pspv)</f>
        <v>2.4352910259112903E-2</v>
      </c>
      <c r="M217" s="835"/>
      <c r="N217" s="835"/>
      <c r="O217" s="48">
        <f>IF(t&lt;Tnet,'2025'!Resal+('2025'!Salim-'2025'!Resal)*(1-EXP(('2025'!Tnet-t)/('2025'!Tau_j))),Resal+(Salim-Resal)*(1-EXP((Tnet-t)/(Tau_j))))*Salcycl</f>
        <v>1.4971621831724813E-2</v>
      </c>
      <c r="P217" s="334">
        <f>(INDEX(Models!$BJ217:$BT217,,T217)*(1-R217)+INDEX(Models!$BJ217:$BT217,,T217+1)*R217-ERP_i)*Q217*Ramure*Pc/MaxiM</f>
        <v>2.4854375245758029E-4</v>
      </c>
      <c r="Q217" s="301">
        <f t="shared" si="80"/>
        <v>0.5</v>
      </c>
      <c r="R217" s="173">
        <f t="shared" si="81"/>
        <v>0.41401609068741463</v>
      </c>
      <c r="S217" s="801">
        <f t="shared" si="82"/>
        <v>2</v>
      </c>
      <c r="T217" s="172">
        <f t="shared" si="83"/>
        <v>8</v>
      </c>
      <c r="U217" s="247">
        <f t="shared" si="84"/>
        <v>2.4140160906874146</v>
      </c>
      <c r="V217" s="378">
        <f t="shared" si="85"/>
        <v>232.99166732085627</v>
      </c>
      <c r="W217" s="397">
        <f t="shared" si="86"/>
        <v>164.225232042621</v>
      </c>
      <c r="X217" s="153">
        <f t="shared" si="87"/>
        <v>46225</v>
      </c>
      <c r="Y217" s="380">
        <f t="shared" si="88"/>
        <v>157.72681605100507</v>
      </c>
      <c r="Z217" s="380">
        <f t="shared" si="89"/>
        <v>161.66380006616353</v>
      </c>
      <c r="AA217" s="381">
        <f t="shared" si="90"/>
        <v>170.88281445117417</v>
      </c>
      <c r="AB217" s="193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5.3949336067640394E-2</v>
      </c>
      <c r="AD217" s="227">
        <f>(INDEX(Models!$BJ217:$BT217,,AH217)*(1-AF217)+INDEX(Models!$BJ217:$BT217,,AH217+1)*AF217-ERP_i)*AE217*Ramure*Pc/MaxiM</f>
        <v>2.4854375245758029E-4</v>
      </c>
      <c r="AE217" s="301">
        <f t="shared" si="92"/>
        <v>0.5</v>
      </c>
      <c r="AF217" s="173">
        <f t="shared" si="93"/>
        <v>0.41401609068741463</v>
      </c>
      <c r="AG217" s="801">
        <f t="shared" si="99"/>
        <v>2</v>
      </c>
      <c r="AH217" s="172">
        <f t="shared" si="94"/>
        <v>8</v>
      </c>
      <c r="AI217" s="221">
        <f t="shared" si="95"/>
        <v>2.4140160906874146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46226</v>
      </c>
      <c r="B218" s="406">
        <f>'2025'!Wh/'2025'!Env_an*'2026'!Env_an</f>
        <v>188.99742508323666</v>
      </c>
      <c r="C218" s="831"/>
      <c r="D218" s="388">
        <f t="shared" si="77"/>
        <v>193.71759965469204</v>
      </c>
      <c r="E218" s="380">
        <f t="shared" si="75"/>
        <v>196.67711615218346</v>
      </c>
      <c r="F218" s="380">
        <f t="shared" si="78"/>
        <v>196.71351282737623</v>
      </c>
      <c r="G218" s="110">
        <f t="shared" si="76"/>
        <v>0.81286575548502571</v>
      </c>
      <c r="H218" s="409" t="b">
        <f>Wh_hp&gt;='2025'!Maxi_hp</f>
        <v>0</v>
      </c>
      <c r="I218" s="375">
        <f>IF(H218,Wh_hp,'2025'!Maxi_hp)</f>
        <v>196.7247161303259</v>
      </c>
      <c r="J218" s="85">
        <f>IF(H218,An,'2025'!An_max)</f>
        <v>2022</v>
      </c>
      <c r="K218" s="193">
        <f t="shared" si="79"/>
        <v>46226</v>
      </c>
      <c r="L218" s="143">
        <f>IF(t&lt;Tvie,1-EXP((T0-t)*PertePVj)+'2025'!Pspv,1-EXP((T0-t)*PertePVj)+Pspv)</f>
        <v>2.4366266048460372E-2</v>
      </c>
      <c r="M218" s="835"/>
      <c r="N218" s="835"/>
      <c r="O218" s="48">
        <f>IF(t&lt;Tnet,'2025'!Resal+('2025'!Salim-'2025'!Resal)*(1-EXP(('2025'!Tnet-t)/('2025'!Tau_j))),Resal+(Salim-Resal)*(1-EXP((Tnet-t)/(Tau_j))))*Salcycl</f>
        <v>1.504758944706833E-2</v>
      </c>
      <c r="P218" s="334">
        <f>(INDEX(Models!$BJ218:$BT218,,T218)*(1-R218)+INDEX(Models!$BJ218:$BT218,,T218+1)*R218-ERP_i)*Q218*Ramure*Pc/MaxiM</f>
        <v>2.5250814779541743E-4</v>
      </c>
      <c r="Q218" s="301">
        <f t="shared" si="80"/>
        <v>0.5</v>
      </c>
      <c r="R218" s="173">
        <f t="shared" si="81"/>
        <v>0.41661856044854684</v>
      </c>
      <c r="S218" s="801">
        <f t="shared" si="82"/>
        <v>2</v>
      </c>
      <c r="T218" s="172">
        <f t="shared" si="83"/>
        <v>8</v>
      </c>
      <c r="U218" s="247">
        <f t="shared" si="84"/>
        <v>2.4166185604485468</v>
      </c>
      <c r="V218" s="378">
        <f t="shared" si="85"/>
        <v>232.49185621800228</v>
      </c>
      <c r="W218" s="397">
        <f t="shared" si="86"/>
        <v>188.99742508323666</v>
      </c>
      <c r="X218" s="153">
        <f t="shared" si="87"/>
        <v>46226</v>
      </c>
      <c r="Y218" s="380">
        <f t="shared" si="88"/>
        <v>181.52620120041522</v>
      </c>
      <c r="Z218" s="380">
        <f t="shared" si="89"/>
        <v>186.05978338325039</v>
      </c>
      <c r="AA218" s="381">
        <f t="shared" si="90"/>
        <v>196.67711615218346</v>
      </c>
      <c r="AB218" s="193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5.398356950036657E-2</v>
      </c>
      <c r="AD218" s="227">
        <f>(INDEX(Models!$BJ218:$BT218,,AH218)*(1-AF218)+INDEX(Models!$BJ218:$BT218,,AH218+1)*AF218-ERP_i)*AE218*Ramure*Pc/MaxiM</f>
        <v>2.5250814779541743E-4</v>
      </c>
      <c r="AE218" s="301">
        <f t="shared" si="92"/>
        <v>0.5</v>
      </c>
      <c r="AF218" s="173">
        <f t="shared" si="93"/>
        <v>0.41661856044854684</v>
      </c>
      <c r="AG218" s="801">
        <f t="shared" si="99"/>
        <v>2</v>
      </c>
      <c r="AH218" s="172">
        <f t="shared" si="94"/>
        <v>8</v>
      </c>
      <c r="AI218" s="221">
        <f t="shared" si="95"/>
        <v>2.4166185604485468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46227</v>
      </c>
      <c r="B219" s="406">
        <f>'2025'!Wh/'2025'!Env_an*'2026'!Env_an</f>
        <v>219.33253384978784</v>
      </c>
      <c r="C219" s="831"/>
      <c r="D219" s="388">
        <f t="shared" si="77"/>
        <v>224.81339947188178</v>
      </c>
      <c r="E219" s="380">
        <f t="shared" si="75"/>
        <v>228.26555055816877</v>
      </c>
      <c r="F219" s="380">
        <f t="shared" si="78"/>
        <v>228.3196262130275</v>
      </c>
      <c r="G219" s="110">
        <f t="shared" si="76"/>
        <v>0.94544285672911033</v>
      </c>
      <c r="H219" s="409" t="b">
        <f>Wh_hp&gt;='2025'!Maxi_hp</f>
        <v>0</v>
      </c>
      <c r="I219" s="375">
        <f>IF(H219,Wh_hp,'2025'!Maxi_hp)</f>
        <v>228.32347365293612</v>
      </c>
      <c r="J219" s="85">
        <f>IF(H219,An,'2025'!An_max)</f>
        <v>2022</v>
      </c>
      <c r="K219" s="193">
        <f t="shared" si="79"/>
        <v>46227</v>
      </c>
      <c r="L219" s="143">
        <f>IF(t&lt;Tvie,1-EXP((T0-t)*PertePVj)+'2025'!Pspv,1-EXP((T0-t)*PertePVj)+Pspv)</f>
        <v>2.4379621654978201E-2</v>
      </c>
      <c r="M219" s="835"/>
      <c r="N219" s="835"/>
      <c r="O219" s="48">
        <f>IF(t&lt;Tnet,'2025'!Resal+('2025'!Salim-'2025'!Resal)*(1-EXP(('2025'!Tnet-t)/('2025'!Tau_j))),Resal+(Salim-Resal)*(1-EXP((Tnet-t)/(Tau_j))))*Salcycl</f>
        <v>1.5123399382191477E-2</v>
      </c>
      <c r="P219" s="334">
        <f>(INDEX(Models!$BJ219:$BT219,,T219)*(1-R219)+INDEX(Models!$BJ219:$BT219,,T219+1)*R219-ERP_i)*Q219*Ramure*Pc/MaxiM</f>
        <v>2.568538325314583E-4</v>
      </c>
      <c r="Q219" s="301">
        <f t="shared" si="80"/>
        <v>0.5</v>
      </c>
      <c r="R219" s="173">
        <f t="shared" si="81"/>
        <v>0.41914638449142405</v>
      </c>
      <c r="S219" s="801">
        <f t="shared" si="82"/>
        <v>2</v>
      </c>
      <c r="T219" s="172">
        <f t="shared" si="83"/>
        <v>8</v>
      </c>
      <c r="U219" s="247">
        <f t="shared" si="84"/>
        <v>2.4191463844914241</v>
      </c>
      <c r="V219" s="378">
        <f t="shared" si="85"/>
        <v>231.9845583282042</v>
      </c>
      <c r="W219" s="397">
        <f t="shared" si="86"/>
        <v>219.33253384978784</v>
      </c>
      <c r="X219" s="153">
        <f t="shared" si="87"/>
        <v>46227</v>
      </c>
      <c r="Y219" s="380">
        <f t="shared" si="88"/>
        <v>210.67080002800822</v>
      </c>
      <c r="Z219" s="380">
        <f t="shared" si="89"/>
        <v>215.93521896844373</v>
      </c>
      <c r="AA219" s="381">
        <f t="shared" si="90"/>
        <v>228.26555055816877</v>
      </c>
      <c r="AB219" s="193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5.4017487788122875E-2</v>
      </c>
      <c r="AD219" s="227">
        <f>(INDEX(Models!$BJ219:$BT219,,AH219)*(1-AF219)+INDEX(Models!$BJ219:$BT219,,AH219+1)*AF219-ERP_i)*AE219*Ramure*Pc/MaxiM</f>
        <v>2.568538325314583E-4</v>
      </c>
      <c r="AE219" s="301">
        <f t="shared" si="92"/>
        <v>0.5</v>
      </c>
      <c r="AF219" s="173">
        <f t="shared" si="93"/>
        <v>0.41914638449142405</v>
      </c>
      <c r="AG219" s="801">
        <f t="shared" si="99"/>
        <v>2</v>
      </c>
      <c r="AH219" s="172">
        <f t="shared" si="94"/>
        <v>8</v>
      </c>
      <c r="AI219" s="221">
        <f t="shared" si="95"/>
        <v>2.4191463844914241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46228</v>
      </c>
      <c r="B220" s="406">
        <f>'2025'!Wh/'2025'!Env_an*'2026'!Env_an</f>
        <v>118.08033568460512</v>
      </c>
      <c r="C220" s="831"/>
      <c r="D220" s="388">
        <f t="shared" si="77"/>
        <v>121.03268315046421</v>
      </c>
      <c r="E220" s="380">
        <f t="shared" si="75"/>
        <v>122.90065712670061</v>
      </c>
      <c r="F220" s="380">
        <f t="shared" si="78"/>
        <v>122.91030217085998</v>
      </c>
      <c r="G220" s="110">
        <f t="shared" si="76"/>
        <v>0.51004444498512025</v>
      </c>
      <c r="H220" s="409" t="b">
        <f>Wh_hp&gt;='2025'!Maxi_hp</f>
        <v>0</v>
      </c>
      <c r="I220" s="375">
        <f>IF(H220,Wh_hp,'2025'!Maxi_hp)</f>
        <v>122.92919914878539</v>
      </c>
      <c r="J220" s="85">
        <f>IF(H220,An,'2025'!An_max)</f>
        <v>2022</v>
      </c>
      <c r="K220" s="193">
        <f t="shared" si="79"/>
        <v>46228</v>
      </c>
      <c r="L220" s="143">
        <f>IF(t&lt;Tvie,1-EXP((T0-t)*PertePVj)+'2025'!Pspv,1-EXP((T0-t)*PertePVj)+Pspv)</f>
        <v>2.4392977078669054E-2</v>
      </c>
      <c r="M220" s="835"/>
      <c r="N220" s="835"/>
      <c r="O220" s="48">
        <f>IF(t&lt;Tnet,'2025'!Resal+('2025'!Salim-'2025'!Resal)*(1-EXP(('2025'!Tnet-t)/('2025'!Tau_j))),Resal+(Salim-Resal)*(1-EXP((Tnet-t)/(Tau_j))))*Salcycl</f>
        <v>1.5199056049884778E-2</v>
      </c>
      <c r="P220" s="334">
        <f>(INDEX(Models!$BJ220:$BT220,,T220)*(1-R220)+INDEX(Models!$BJ220:$BT220,,T220+1)*R220-ERP_i)*Q220*Ramure*Pc/MaxiM</f>
        <v>2.6140256859675458E-4</v>
      </c>
      <c r="Q220" s="301">
        <f t="shared" si="80"/>
        <v>0.5</v>
      </c>
      <c r="R220" s="173">
        <f t="shared" si="81"/>
        <v>0.421600685478559</v>
      </c>
      <c r="S220" s="801">
        <f t="shared" si="82"/>
        <v>2</v>
      </c>
      <c r="T220" s="172">
        <f t="shared" si="83"/>
        <v>8</v>
      </c>
      <c r="U220" s="247">
        <f t="shared" si="84"/>
        <v>2.421600685478559</v>
      </c>
      <c r="V220" s="378">
        <f t="shared" si="85"/>
        <v>231.46754106066442</v>
      </c>
      <c r="W220" s="397">
        <f t="shared" si="86"/>
        <v>118.08033568460512</v>
      </c>
      <c r="X220" s="153">
        <f t="shared" si="87"/>
        <v>46228</v>
      </c>
      <c r="Y220" s="380">
        <f t="shared" si="88"/>
        <v>113.42186779399501</v>
      </c>
      <c r="Z220" s="380">
        <f t="shared" si="89"/>
        <v>116.25774018555921</v>
      </c>
      <c r="AA220" s="381">
        <f t="shared" si="90"/>
        <v>122.90065712670061</v>
      </c>
      <c r="AB220" s="193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5.4051110030218029E-2</v>
      </c>
      <c r="AD220" s="227">
        <f>(INDEX(Models!$BJ220:$BT220,,AH220)*(1-AF220)+INDEX(Models!$BJ220:$BT220,,AH220+1)*AF220-ERP_i)*AE220*Ramure*Pc/MaxiM</f>
        <v>2.6140256859675458E-4</v>
      </c>
      <c r="AE220" s="301">
        <f t="shared" si="92"/>
        <v>0.5</v>
      </c>
      <c r="AF220" s="173">
        <f t="shared" si="93"/>
        <v>0.421600685478559</v>
      </c>
      <c r="AG220" s="801">
        <f t="shared" si="99"/>
        <v>2</v>
      </c>
      <c r="AH220" s="172">
        <f t="shared" si="94"/>
        <v>8</v>
      </c>
      <c r="AI220" s="221">
        <f t="shared" si="95"/>
        <v>2.421600685478559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46229</v>
      </c>
      <c r="B221" s="406">
        <f>'2025'!Wh/'2025'!Env_an*'2026'!Env_an</f>
        <v>210.68906459881373</v>
      </c>
      <c r="C221" s="831"/>
      <c r="D221" s="388">
        <f t="shared" si="77"/>
        <v>215.9598525272722</v>
      </c>
      <c r="E221" s="380">
        <f t="shared" si="75"/>
        <v>219.30971268624077</v>
      </c>
      <c r="F221" s="380">
        <f t="shared" si="78"/>
        <v>219.36076029447895</v>
      </c>
      <c r="G221" s="110">
        <f t="shared" si="76"/>
        <v>0.91227713335312521</v>
      </c>
      <c r="H221" s="409" t="b">
        <f>Wh_hp&gt;='2025'!Maxi_hp</f>
        <v>0</v>
      </c>
      <c r="I221" s="375">
        <f>IF(H221,Wh_hp,'2025'!Maxi_hp)</f>
        <v>219.36689548137969</v>
      </c>
      <c r="J221" s="85">
        <f>IF(H221,An,'2025'!An_max)</f>
        <v>2022</v>
      </c>
      <c r="K221" s="193">
        <f t="shared" si="79"/>
        <v>46229</v>
      </c>
      <c r="L221" s="143">
        <f>IF(t&lt;Tvie,1-EXP((T0-t)*PertePVj)+'2025'!Pspv,1-EXP((T0-t)*PertePVj)+Pspv)</f>
        <v>2.4406332319535484E-2</v>
      </c>
      <c r="M221" s="835"/>
      <c r="N221" s="835"/>
      <c r="O221" s="48">
        <f>IF(t&lt;Tnet,'2025'!Resal+('2025'!Salim-'2025'!Resal)*(1-EXP(('2025'!Tnet-t)/('2025'!Tau_j))),Resal+(Salim-Resal)*(1-EXP((Tnet-t)/(Tau_j))))*Salcycl</f>
        <v>1.5274563620267483E-2</v>
      </c>
      <c r="P221" s="334">
        <f>(INDEX(Models!$BJ221:$BT221,,T221)*(1-R221)+INDEX(Models!$BJ221:$BT221,,T221+1)*R221-ERP_i)*Q221*Ramure*Pc/MaxiM</f>
        <v>2.6603874133550456E-4</v>
      </c>
      <c r="Q221" s="301">
        <f t="shared" si="80"/>
        <v>0.5</v>
      </c>
      <c r="R221" s="173">
        <f t="shared" si="81"/>
        <v>0.42398264225641791</v>
      </c>
      <c r="S221" s="801">
        <f t="shared" si="82"/>
        <v>2</v>
      </c>
      <c r="T221" s="172">
        <f t="shared" si="83"/>
        <v>8</v>
      </c>
      <c r="U221" s="247">
        <f t="shared" si="84"/>
        <v>2.4239826422564179</v>
      </c>
      <c r="V221" s="378">
        <f t="shared" si="85"/>
        <v>230.94083302058081</v>
      </c>
      <c r="W221" s="397">
        <f t="shared" si="86"/>
        <v>210.68906459881373</v>
      </c>
      <c r="X221" s="153">
        <f t="shared" si="87"/>
        <v>46229</v>
      </c>
      <c r="Y221" s="380">
        <f t="shared" si="88"/>
        <v>202.38541037756028</v>
      </c>
      <c r="Z221" s="380">
        <f t="shared" si="89"/>
        <v>207.44846659239226</v>
      </c>
      <c r="AA221" s="381">
        <f t="shared" si="90"/>
        <v>219.30971268624077</v>
      </c>
      <c r="AB221" s="193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5.4084454119996059E-2</v>
      </c>
      <c r="AD221" s="227">
        <f>(INDEX(Models!$BJ221:$BT221,,AH221)*(1-AF221)+INDEX(Models!$BJ221:$BT221,,AH221+1)*AF221-ERP_i)*AE221*Ramure*Pc/MaxiM</f>
        <v>2.6603874133550456E-4</v>
      </c>
      <c r="AE221" s="301">
        <f t="shared" si="92"/>
        <v>0.5</v>
      </c>
      <c r="AF221" s="173">
        <f t="shared" si="93"/>
        <v>0.42398264225641791</v>
      </c>
      <c r="AG221" s="801">
        <f t="shared" si="99"/>
        <v>2</v>
      </c>
      <c r="AH221" s="172">
        <f t="shared" si="94"/>
        <v>8</v>
      </c>
      <c r="AI221" s="221">
        <f t="shared" si="95"/>
        <v>2.4239826422564179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46230</v>
      </c>
      <c r="B222" s="406">
        <f>'2025'!Wh/'2025'!Env_an*'2026'!Env_an</f>
        <v>231.21024239481497</v>
      </c>
      <c r="C222" s="831"/>
      <c r="D222" s="388">
        <f t="shared" si="77"/>
        <v>236.99765093999028</v>
      </c>
      <c r="E222" s="380">
        <f t="shared" si="75"/>
        <v>240.69225930930548</v>
      </c>
      <c r="F222" s="380">
        <f t="shared" si="78"/>
        <v>240.75744789111329</v>
      </c>
      <c r="G222" s="110">
        <f t="shared" si="76"/>
        <v>1.0034973585030091</v>
      </c>
      <c r="H222" s="409" t="b">
        <f>Wh_hp&gt;='2025'!Maxi_hp</f>
        <v>1</v>
      </c>
      <c r="I222" s="375">
        <f>IF(H222,Wh_hp,'2025'!Maxi_hp)</f>
        <v>240.75744789111329</v>
      </c>
      <c r="J222" s="85">
        <f>IF(H222,An,'2025'!An_max)</f>
        <v>2026</v>
      </c>
      <c r="K222" s="193">
        <f t="shared" si="79"/>
        <v>46230</v>
      </c>
      <c r="L222" s="143">
        <f>IF(t&lt;Tvie,1-EXP((T0-t)*PertePVj)+'2025'!Pspv,1-EXP((T0-t)*PertePVj)+Pspv)</f>
        <v>2.4419687377579713E-2</v>
      </c>
      <c r="M222" s="835"/>
      <c r="N222" s="835"/>
      <c r="O222" s="48">
        <f>IF(t&lt;Tnet,'2025'!Resal+('2025'!Salim-'2025'!Resal)*(1-EXP(('2025'!Tnet-t)/('2025'!Tau_j))),Resal+(Salim-Resal)*(1-EXP((Tnet-t)/(Tau_j))))*Salcycl</f>
        <v>1.5349926000600568E-2</v>
      </c>
      <c r="P222" s="334">
        <f>(INDEX(Models!$BJ222:$BT222,,T222)*(1-R222)+INDEX(Models!$BJ222:$BT222,,T222+1)*R222-ERP_i)*Q222*Ramure*Pc/MaxiM</f>
        <v>2.7076454904641852E-4</v>
      </c>
      <c r="Q222" s="301">
        <f t="shared" si="80"/>
        <v>0.5</v>
      </c>
      <c r="R222" s="173">
        <f t="shared" si="81"/>
        <v>0.42629348376138365</v>
      </c>
      <c r="S222" s="801">
        <f t="shared" si="82"/>
        <v>2</v>
      </c>
      <c r="T222" s="172">
        <f t="shared" si="83"/>
        <v>8</v>
      </c>
      <c r="U222" s="247">
        <f t="shared" si="84"/>
        <v>2.4262934837613837</v>
      </c>
      <c r="V222" s="378">
        <f t="shared" si="85"/>
        <v>230.40443548324663</v>
      </c>
      <c r="W222" s="397">
        <f t="shared" si="86"/>
        <v>231.21024239481497</v>
      </c>
      <c r="X222" s="153">
        <f t="shared" si="87"/>
        <v>46230</v>
      </c>
      <c r="Y222" s="380">
        <f t="shared" si="88"/>
        <v>222.107040248255</v>
      </c>
      <c r="Z222" s="380">
        <f t="shared" si="89"/>
        <v>227.66658713234744</v>
      </c>
      <c r="AA222" s="381">
        <f t="shared" si="90"/>
        <v>240.69225930930548</v>
      </c>
      <c r="AB222" s="193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5.4117536701581995E-2</v>
      </c>
      <c r="AD222" s="227">
        <f>(INDEX(Models!$BJ222:$BT222,,AH222)*(1-AF222)+INDEX(Models!$BJ222:$BT222,,AH222+1)*AF222-ERP_i)*AE222*Ramure*Pc/MaxiM</f>
        <v>2.7076454904641852E-4</v>
      </c>
      <c r="AE222" s="301">
        <f t="shared" si="92"/>
        <v>0.5</v>
      </c>
      <c r="AF222" s="173">
        <f t="shared" si="93"/>
        <v>0.42629348376138365</v>
      </c>
      <c r="AG222" s="801">
        <f t="shared" si="99"/>
        <v>2</v>
      </c>
      <c r="AH222" s="172">
        <f t="shared" si="94"/>
        <v>8</v>
      </c>
      <c r="AI222" s="221">
        <f t="shared" si="95"/>
        <v>2.4262934837613837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46231</v>
      </c>
      <c r="B223" s="406">
        <f>'2025'!Wh/'2025'!Env_an*'2026'!Env_an</f>
        <v>186.76049147000566</v>
      </c>
      <c r="C223" s="831"/>
      <c r="D223" s="388">
        <f t="shared" si="77"/>
        <v>191.43790181381075</v>
      </c>
      <c r="E223" s="380">
        <f t="shared" si="75"/>
        <v>194.43712298267283</v>
      </c>
      <c r="F223" s="380">
        <f t="shared" si="78"/>
        <v>194.47636180001902</v>
      </c>
      <c r="G223" s="110">
        <f t="shared" si="76"/>
        <v>0.81244254561806095</v>
      </c>
      <c r="H223" s="409" t="b">
        <f>Wh_hp&gt;='2025'!Maxi_hp</f>
        <v>0</v>
      </c>
      <c r="I223" s="375">
        <f>IF(H223,Wh_hp,'2025'!Maxi_hp)</f>
        <v>194.48838294022485</v>
      </c>
      <c r="J223" s="85">
        <f>IF(H223,An,'2025'!An_max)</f>
        <v>2022</v>
      </c>
      <c r="K223" s="193">
        <f t="shared" si="79"/>
        <v>46231</v>
      </c>
      <c r="L223" s="143">
        <f>IF(t&lt;Tvie,1-EXP((T0-t)*PertePVj)+'2025'!Pspv,1-EXP((T0-t)*PertePVj)+Pspv)</f>
        <v>2.4433042252804515E-2</v>
      </c>
      <c r="M223" s="835"/>
      <c r="N223" s="835"/>
      <c r="O223" s="48">
        <f>IF(t&lt;Tnet,'2025'!Resal+('2025'!Salim-'2025'!Resal)*(1-EXP(('2025'!Tnet-t)/('2025'!Tau_j))),Resal+(Salim-Resal)*(1-EXP((Tnet-t)/(Tau_j))))*Salcycl</f>
        <v>1.5425146817921906E-2</v>
      </c>
      <c r="P223" s="334">
        <f>(INDEX(Models!$BJ223:$BT223,,T223)*(1-R223)+INDEX(Models!$BJ223:$BT223,,T223+1)*R223-ERP_i)*Q223*Ramure*Pc/MaxiM</f>
        <v>2.7558216758754407E-4</v>
      </c>
      <c r="Q223" s="301">
        <f t="shared" si="80"/>
        <v>0.5</v>
      </c>
      <c r="R223" s="173">
        <f t="shared" si="81"/>
        <v>0.42853448314796516</v>
      </c>
      <c r="S223" s="801">
        <f t="shared" si="82"/>
        <v>2</v>
      </c>
      <c r="T223" s="172">
        <f t="shared" si="83"/>
        <v>8</v>
      </c>
      <c r="U223" s="247">
        <f t="shared" si="84"/>
        <v>2.4285344831479652</v>
      </c>
      <c r="V223" s="378">
        <f t="shared" si="85"/>
        <v>229.85834979616035</v>
      </c>
      <c r="W223" s="397">
        <f t="shared" si="86"/>
        <v>186.76049147000566</v>
      </c>
      <c r="X223" s="153">
        <f t="shared" si="87"/>
        <v>46231</v>
      </c>
      <c r="Y223" s="380">
        <f t="shared" si="88"/>
        <v>179.41484144009848</v>
      </c>
      <c r="Z223" s="380">
        <f t="shared" si="89"/>
        <v>183.90828022138828</v>
      </c>
      <c r="AA223" s="381">
        <f t="shared" si="90"/>
        <v>194.43712298267283</v>
      </c>
      <c r="AB223" s="193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5.4150373137452856E-2</v>
      </c>
      <c r="AD223" s="227">
        <f>(INDEX(Models!$BJ223:$BT223,,AH223)*(1-AF223)+INDEX(Models!$BJ223:$BT223,,AH223+1)*AF223-ERP_i)*AE223*Ramure*Pc/MaxiM</f>
        <v>2.7558216758754407E-4</v>
      </c>
      <c r="AE223" s="301">
        <f t="shared" si="92"/>
        <v>0.5</v>
      </c>
      <c r="AF223" s="173">
        <f t="shared" si="93"/>
        <v>0.42853448314796516</v>
      </c>
      <c r="AG223" s="801">
        <f t="shared" si="99"/>
        <v>2</v>
      </c>
      <c r="AH223" s="172">
        <f t="shared" si="94"/>
        <v>8</v>
      </c>
      <c r="AI223" s="221">
        <f t="shared" si="95"/>
        <v>2.4285344831479652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46232</v>
      </c>
      <c r="B224" s="406">
        <f>'2025'!Wh/'2025'!Env_an*'2026'!Env_an</f>
        <v>113.44205550811685</v>
      </c>
      <c r="C224" s="831"/>
      <c r="D224" s="388">
        <f t="shared" si="77"/>
        <v>116.28479988479512</v>
      </c>
      <c r="E224" s="380">
        <f t="shared" si="75"/>
        <v>118.11561907674374</v>
      </c>
      <c r="F224" s="380">
        <f t="shared" si="78"/>
        <v>118.12483611445113</v>
      </c>
      <c r="G224" s="110">
        <f t="shared" si="76"/>
        <v>0.49462630059516483</v>
      </c>
      <c r="H224" s="409" t="b">
        <f>Wh_hp&gt;='2025'!Maxi_hp</f>
        <v>0</v>
      </c>
      <c r="I224" s="375">
        <f>IF(H224,Wh_hp,'2025'!Maxi_hp)</f>
        <v>118.14485084617337</v>
      </c>
      <c r="J224" s="85">
        <f>IF(H224,An,'2025'!An_max)</f>
        <v>2022</v>
      </c>
      <c r="K224" s="193">
        <f t="shared" si="79"/>
        <v>46232</v>
      </c>
      <c r="L224" s="143">
        <f>IF(t&lt;Tvie,1-EXP((T0-t)*PertePVj)+'2025'!Pspv,1-EXP((T0-t)*PertePVj)+Pspv)</f>
        <v>2.4446396945212223E-2</v>
      </c>
      <c r="M224" s="835"/>
      <c r="N224" s="835"/>
      <c r="O224" s="48">
        <f>IF(t&lt;Tnet,'2025'!Resal+('2025'!Salim-'2025'!Resal)*(1-EXP(('2025'!Tnet-t)/('2025'!Tau_j))),Resal+(Salim-Resal)*(1-EXP((Tnet-t)/(Tau_j))))*Salcycl</f>
        <v>1.5500229404538546E-2</v>
      </c>
      <c r="P224" s="334">
        <f>(INDEX(Models!$BJ224:$BT224,,T224)*(1-R224)+INDEX(Models!$BJ224:$BT224,,T224+1)*R224-ERP_i)*Q224*Ramure*Pc/MaxiM</f>
        <v>2.8049374837190339E-4</v>
      </c>
      <c r="Q224" s="301">
        <f t="shared" si="80"/>
        <v>0.5</v>
      </c>
      <c r="R224" s="173">
        <f t="shared" si="81"/>
        <v>0.43070695215199883</v>
      </c>
      <c r="S224" s="801">
        <f t="shared" si="82"/>
        <v>2</v>
      </c>
      <c r="T224" s="172">
        <f t="shared" si="83"/>
        <v>8</v>
      </c>
      <c r="U224" s="247">
        <f t="shared" si="84"/>
        <v>2.4307069521519988</v>
      </c>
      <c r="V224" s="378">
        <f t="shared" si="85"/>
        <v>229.30257740430537</v>
      </c>
      <c r="W224" s="397">
        <f t="shared" si="86"/>
        <v>113.44205550811685</v>
      </c>
      <c r="X224" s="153">
        <f t="shared" si="87"/>
        <v>46232</v>
      </c>
      <c r="Y224" s="380">
        <f t="shared" si="88"/>
        <v>108.98471525654872</v>
      </c>
      <c r="Z224" s="380">
        <f t="shared" si="89"/>
        <v>111.71576314748957</v>
      </c>
      <c r="AA224" s="381">
        <f t="shared" si="90"/>
        <v>118.11561907674374</v>
      </c>
      <c r="AB224" s="193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5.4182977486626607E-2</v>
      </c>
      <c r="AD224" s="227">
        <f>(INDEX(Models!$BJ224:$BT224,,AH224)*(1-AF224)+INDEX(Models!$BJ224:$BT224,,AH224+1)*AF224-ERP_i)*AE224*Ramure*Pc/MaxiM</f>
        <v>2.8049374837190339E-4</v>
      </c>
      <c r="AE224" s="301">
        <f t="shared" si="92"/>
        <v>0.5</v>
      </c>
      <c r="AF224" s="173">
        <f t="shared" si="93"/>
        <v>0.43070695215199883</v>
      </c>
      <c r="AG224" s="801">
        <f t="shared" si="99"/>
        <v>2</v>
      </c>
      <c r="AH224" s="172">
        <f t="shared" si="94"/>
        <v>8</v>
      </c>
      <c r="AI224" s="221">
        <f t="shared" si="95"/>
        <v>2.4307069521519988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46233</v>
      </c>
      <c r="B225" s="406">
        <f>'2025'!Wh/'2025'!Env_an*'2026'!Env_an</f>
        <v>196.35413290395988</v>
      </c>
      <c r="C225" s="831"/>
      <c r="D225" s="388">
        <f t="shared" si="77"/>
        <v>201.27732627821277</v>
      </c>
      <c r="E225" s="380">
        <f t="shared" si="75"/>
        <v>204.46185582881782</v>
      </c>
      <c r="F225" s="380">
        <f t="shared" si="78"/>
        <v>204.50843458698165</v>
      </c>
      <c r="G225" s="110">
        <f t="shared" si="76"/>
        <v>0.85837747990070146</v>
      </c>
      <c r="H225" s="409" t="b">
        <f>Wh_hp&gt;='2025'!Maxi_hp</f>
        <v>0</v>
      </c>
      <c r="I225" s="375">
        <f>IF(H225,Wh_hp,'2025'!Maxi_hp)</f>
        <v>204.51831402539628</v>
      </c>
      <c r="J225" s="85">
        <f>IF(H225,An,'2025'!An_max)</f>
        <v>2022</v>
      </c>
      <c r="K225" s="193">
        <f t="shared" si="79"/>
        <v>46233</v>
      </c>
      <c r="L225" s="143">
        <f>IF(t&lt;Tvie,1-EXP((T0-t)*PertePVj)+'2025'!Pspv,1-EXP((T0-t)*PertePVj)+Pspv)</f>
        <v>2.4459751454805501E-2</v>
      </c>
      <c r="M225" s="835"/>
      <c r="N225" s="835"/>
      <c r="O225" s="48">
        <f>IF(t&lt;Tnet,'2025'!Resal+('2025'!Salim-'2025'!Resal)*(1-EXP(('2025'!Tnet-t)/('2025'!Tau_j))),Resal+(Salim-Resal)*(1-EXP((Tnet-t)/(Tau_j))))*Salcycl</f>
        <v>1.5575176786379293E-2</v>
      </c>
      <c r="P225" s="334">
        <f>(INDEX(Models!$BJ225:$BT225,,T225)*(1-R225)+INDEX(Models!$BJ225:$BT225,,T225+1)*R225-ERP_i)*Q225*Ramure*Pc/MaxiM</f>
        <v>2.8550141665695814E-4</v>
      </c>
      <c r="Q225" s="301">
        <f t="shared" si="80"/>
        <v>0.5</v>
      </c>
      <c r="R225" s="173">
        <f t="shared" si="81"/>
        <v>0.43281223569888105</v>
      </c>
      <c r="S225" s="801">
        <f t="shared" si="82"/>
        <v>2</v>
      </c>
      <c r="T225" s="172">
        <f t="shared" si="83"/>
        <v>8</v>
      </c>
      <c r="U225" s="247">
        <f t="shared" si="84"/>
        <v>2.4328122356988811</v>
      </c>
      <c r="V225" s="378">
        <f t="shared" si="85"/>
        <v>228.73711982563796</v>
      </c>
      <c r="W225" s="397">
        <f t="shared" si="86"/>
        <v>196.35413290395988</v>
      </c>
      <c r="X225" s="153">
        <f t="shared" si="87"/>
        <v>46233</v>
      </c>
      <c r="Y225" s="380">
        <f t="shared" si="88"/>
        <v>188.64693172334029</v>
      </c>
      <c r="Z225" s="380">
        <f t="shared" si="89"/>
        <v>193.37688219903384</v>
      </c>
      <c r="AA225" s="381">
        <f t="shared" si="90"/>
        <v>204.46185582881782</v>
      </c>
      <c r="AB225" s="193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5.4215362493161993E-2</v>
      </c>
      <c r="AD225" s="227">
        <f>(INDEX(Models!$BJ225:$BT225,,AH225)*(1-AF225)+INDEX(Models!$BJ225:$BT225,,AH225+1)*AF225-ERP_i)*AE225*Ramure*Pc/MaxiM</f>
        <v>2.8550141665695814E-4</v>
      </c>
      <c r="AE225" s="301">
        <f t="shared" si="92"/>
        <v>0.5</v>
      </c>
      <c r="AF225" s="173">
        <f t="shared" si="93"/>
        <v>0.43281223569888105</v>
      </c>
      <c r="AG225" s="801">
        <f t="shared" si="99"/>
        <v>2</v>
      </c>
      <c r="AH225" s="172">
        <f t="shared" si="94"/>
        <v>8</v>
      </c>
      <c r="AI225" s="221">
        <f t="shared" si="95"/>
        <v>2.4328122356988811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46234</v>
      </c>
      <c r="B226" s="406">
        <f>'2025'!Wh/'2025'!Env_an*'2026'!Env_an</f>
        <v>224.69962218089745</v>
      </c>
      <c r="C226" s="831"/>
      <c r="D226" s="388">
        <f t="shared" si="77"/>
        <v>230.33667601847668</v>
      </c>
      <c r="E226" s="380">
        <f t="shared" si="75"/>
        <v>233.99875457941297</v>
      </c>
      <c r="F226" s="380">
        <f t="shared" si="78"/>
        <v>234.06528713501311</v>
      </c>
      <c r="G226" s="110">
        <f t="shared" si="76"/>
        <v>0.98481874201868502</v>
      </c>
      <c r="H226" s="409" t="b">
        <f>Wh_hp&gt;='2025'!Maxi_hp</f>
        <v>0</v>
      </c>
      <c r="I226" s="375">
        <f>IF(H226,Wh_hp,'2025'!Maxi_hp)</f>
        <v>234.06652052001985</v>
      </c>
      <c r="J226" s="85">
        <f>IF(H226,An,'2025'!An_max)</f>
        <v>2022</v>
      </c>
      <c r="K226" s="193">
        <f t="shared" si="79"/>
        <v>46234</v>
      </c>
      <c r="L226" s="143">
        <f>IF(t&lt;Tvie,1-EXP((T0-t)*PertePVj)+'2025'!Pspv,1-EXP((T0-t)*PertePVj)+Pspv)</f>
        <v>2.4473105781586679E-2</v>
      </c>
      <c r="M226" s="835"/>
      <c r="N226" s="835"/>
      <c r="O226" s="48">
        <f>IF(t&lt;Tnet,'2025'!Resal+('2025'!Salim-'2025'!Resal)*(1-EXP(('2025'!Tnet-t)/('2025'!Tau_j))),Resal+(Salim-Resal)*(1-EXP((Tnet-t)/(Tau_j))))*Salcycl</f>
        <v>1.5649991674180023E-2</v>
      </c>
      <c r="P226" s="334">
        <f>(INDEX(Models!$BJ226:$BT226,,T226)*(1-R226)+INDEX(Models!$BJ226:$BT226,,T226+1)*R226-ERP_i)*Q226*Ramure*Pc/MaxiM</f>
        <v>2.9054650947179166E-4</v>
      </c>
      <c r="Q226" s="301">
        <f t="shared" si="80"/>
        <v>0.5</v>
      </c>
      <c r="R226" s="173">
        <f t="shared" si="81"/>
        <v>0.43485170676435425</v>
      </c>
      <c r="S226" s="801">
        <f t="shared" si="82"/>
        <v>2</v>
      </c>
      <c r="T226" s="172">
        <f t="shared" si="83"/>
        <v>8</v>
      </c>
      <c r="U226" s="247">
        <f t="shared" si="84"/>
        <v>2.4348517067643543</v>
      </c>
      <c r="V226" s="378">
        <f t="shared" si="85"/>
        <v>228.16199254334683</v>
      </c>
      <c r="W226" s="397">
        <f t="shared" si="86"/>
        <v>224.69962218089745</v>
      </c>
      <c r="X226" s="153">
        <f t="shared" si="87"/>
        <v>46234</v>
      </c>
      <c r="Y226" s="380">
        <f t="shared" si="88"/>
        <v>215.88887970188435</v>
      </c>
      <c r="Z226" s="380">
        <f t="shared" si="89"/>
        <v>221.30489787762676</v>
      </c>
      <c r="AA226" s="381">
        <f t="shared" si="90"/>
        <v>233.99875457941297</v>
      </c>
      <c r="AB226" s="193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5.4247539584567642E-2</v>
      </c>
      <c r="AD226" s="227">
        <f>(INDEX(Models!$BJ226:$BT226,,AH226)*(1-AF226)+INDEX(Models!$BJ226:$BT226,,AH226+1)*AF226-ERP_i)*AE226*Ramure*Pc/MaxiM</f>
        <v>2.9054650947179166E-4</v>
      </c>
      <c r="AE226" s="301">
        <f t="shared" si="92"/>
        <v>0.5</v>
      </c>
      <c r="AF226" s="173">
        <f t="shared" si="93"/>
        <v>0.43485170676435425</v>
      </c>
      <c r="AG226" s="801">
        <f t="shared" si="99"/>
        <v>2</v>
      </c>
      <c r="AH226" s="172">
        <f t="shared" si="94"/>
        <v>8</v>
      </c>
      <c r="AI226" s="221">
        <f t="shared" si="95"/>
        <v>2.4348517067643543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46235</v>
      </c>
      <c r="B227" s="406">
        <f>'2025'!Wh/'2025'!Env_an*'2026'!Env_an</f>
        <v>223.60551275313028</v>
      </c>
      <c r="C227" s="831"/>
      <c r="D227" s="388">
        <f t="shared" si="77"/>
        <v>229.21825640274238</v>
      </c>
      <c r="E227" s="380">
        <f t="shared" si="75"/>
        <v>232.88022255576922</v>
      </c>
      <c r="F227" s="380">
        <f t="shared" si="78"/>
        <v>232.94731291765558</v>
      </c>
      <c r="G227" s="110">
        <f t="shared" si="76"/>
        <v>0.98254047497483799</v>
      </c>
      <c r="H227" s="409" t="b">
        <f>Wh_hp&gt;='2025'!Maxi_hp</f>
        <v>0</v>
      </c>
      <c r="I227" s="375">
        <f>IF(H227,Wh_hp,'2025'!Maxi_hp)</f>
        <v>232.94874797360882</v>
      </c>
      <c r="J227" s="85">
        <f>IF(H227,An,'2025'!An_max)</f>
        <v>2022</v>
      </c>
      <c r="K227" s="193">
        <f t="shared" si="79"/>
        <v>46235</v>
      </c>
      <c r="L227" s="143">
        <f>IF(t&lt;Tvie,1-EXP((T0-t)*PertePVj)+'2025'!Pspv,1-EXP((T0-t)*PertePVj)+Pspv)</f>
        <v>2.4486459925558313E-2</v>
      </c>
      <c r="M227" s="835"/>
      <c r="N227" s="835"/>
      <c r="O227" s="48">
        <f>IF(t&lt;Tnet,'2025'!Resal+('2025'!Salim-'2025'!Resal)*(1-EXP(('2025'!Tnet-t)/('2025'!Tau_j))),Resal+(Salim-Resal)*(1-EXP((Tnet-t)/(Tau_j))))*Salcycl</f>
        <v>1.5724676457443246E-2</v>
      </c>
      <c r="P227" s="334">
        <f>(INDEX(Models!$BJ227:$BT227,,T227)*(1-R227)+INDEX(Models!$BJ227:$BT227,,T227+1)*R227-ERP_i)*Q227*Ramure*Pc/MaxiM</f>
        <v>2.9537072821370552E-4</v>
      </c>
      <c r="Q227" s="301">
        <f t="shared" si="80"/>
        <v>0.5</v>
      </c>
      <c r="R227" s="173">
        <f t="shared" si="81"/>
        <v>0.43682676149302324</v>
      </c>
      <c r="S227" s="801">
        <f t="shared" si="82"/>
        <v>2</v>
      </c>
      <c r="T227" s="172">
        <f t="shared" si="83"/>
        <v>8</v>
      </c>
      <c r="U227" s="247">
        <f t="shared" si="84"/>
        <v>2.4368267614930232</v>
      </c>
      <c r="V227" s="378">
        <f t="shared" si="85"/>
        <v>227.57725642110253</v>
      </c>
      <c r="W227" s="397">
        <f t="shared" si="86"/>
        <v>223.60551275313028</v>
      </c>
      <c r="X227" s="153">
        <f t="shared" si="87"/>
        <v>46235</v>
      </c>
      <c r="Y227" s="380">
        <f t="shared" si="88"/>
        <v>214.84670807447534</v>
      </c>
      <c r="Z227" s="380">
        <f t="shared" si="89"/>
        <v>220.23959611886099</v>
      </c>
      <c r="AA227" s="381">
        <f t="shared" si="90"/>
        <v>232.88022255576922</v>
      </c>
      <c r="AB227" s="193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5.4279518879629715E-2</v>
      </c>
      <c r="AD227" s="227">
        <f>(INDEX(Models!$BJ227:$BT227,,AH227)*(1-AF227)+INDEX(Models!$BJ227:$BT227,,AH227+1)*AF227-ERP_i)*AE227*Ramure*Pc/MaxiM</f>
        <v>2.9537072821370552E-4</v>
      </c>
      <c r="AE227" s="301">
        <f t="shared" si="92"/>
        <v>0.5</v>
      </c>
      <c r="AF227" s="173">
        <f t="shared" si="93"/>
        <v>0.43682676149302324</v>
      </c>
      <c r="AG227" s="801">
        <f t="shared" si="99"/>
        <v>2</v>
      </c>
      <c r="AH227" s="172">
        <f t="shared" si="94"/>
        <v>8</v>
      </c>
      <c r="AI227" s="221">
        <f t="shared" si="95"/>
        <v>2.4368267614930232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46236</v>
      </c>
      <c r="B228" s="406">
        <f>'2025'!Wh/'2025'!Env_an*'2026'!Env_an</f>
        <v>223.6596240962437</v>
      </c>
      <c r="C228" s="831"/>
      <c r="D228" s="388">
        <f t="shared" si="77"/>
        <v>229.27686460766284</v>
      </c>
      <c r="E228" s="380">
        <f t="shared" si="75"/>
        <v>232.95741310320159</v>
      </c>
      <c r="F228" s="380">
        <f t="shared" si="78"/>
        <v>233.02585244510601</v>
      </c>
      <c r="G228" s="110">
        <f t="shared" si="76"/>
        <v>0.98535267257608417</v>
      </c>
      <c r="H228" s="409" t="b">
        <f>Wh_hp&gt;='2025'!Maxi_hp</f>
        <v>0</v>
      </c>
      <c r="I228" s="375">
        <f>IF(H228,Wh_hp,'2025'!Maxi_hp)</f>
        <v>233.02707544021914</v>
      </c>
      <c r="J228" s="85">
        <f>IF(H228,An,'2025'!An_max)</f>
        <v>2022</v>
      </c>
      <c r="K228" s="193">
        <f t="shared" si="79"/>
        <v>46236</v>
      </c>
      <c r="L228" s="143">
        <f>IF(t&lt;Tvie,1-EXP((T0-t)*PertePVj)+'2025'!Pspv,1-EXP((T0-t)*PertePVj)+Pspv)</f>
        <v>2.4499813886723065E-2</v>
      </c>
      <c r="M228" s="835"/>
      <c r="N228" s="835"/>
      <c r="O228" s="48">
        <f>IF(t&lt;Tnet,'2025'!Resal+('2025'!Salim-'2025'!Resal)*(1-EXP(('2025'!Tnet-t)/('2025'!Tau_j))),Resal+(Salim-Resal)*(1-EXP((Tnet-t)/(Tau_j))))*Salcycl</f>
        <v>1.5799233201084031E-2</v>
      </c>
      <c r="P228" s="334">
        <f>(INDEX(Models!$BJ228:$BT228,,T228)*(1-R228)+INDEX(Models!$BJ228:$BT228,,T228+1)*R228-ERP_i)*Q228*Ramure*Pc/MaxiM</f>
        <v>2.9997269855657009E-4</v>
      </c>
      <c r="Q228" s="301">
        <f t="shared" si="80"/>
        <v>0.5</v>
      </c>
      <c r="R228" s="173">
        <f t="shared" si="81"/>
        <v>0.43873881457766029</v>
      </c>
      <c r="S228" s="801">
        <f t="shared" si="82"/>
        <v>2</v>
      </c>
      <c r="T228" s="172">
        <f t="shared" si="83"/>
        <v>8</v>
      </c>
      <c r="U228" s="247">
        <f t="shared" si="84"/>
        <v>2.4387388145776603</v>
      </c>
      <c r="V228" s="378">
        <f t="shared" si="85"/>
        <v>226.98291345067238</v>
      </c>
      <c r="W228" s="397">
        <f t="shared" si="86"/>
        <v>223.6596240962437</v>
      </c>
      <c r="X228" s="153">
        <f t="shared" si="87"/>
        <v>46236</v>
      </c>
      <c r="Y228" s="380">
        <f t="shared" si="88"/>
        <v>214.90775483054895</v>
      </c>
      <c r="Z228" s="380">
        <f t="shared" si="89"/>
        <v>220.30519100853709</v>
      </c>
      <c r="AA228" s="381">
        <f t="shared" si="90"/>
        <v>232.95741310320159</v>
      </c>
      <c r="AB228" s="193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5.431130920508407E-2</v>
      </c>
      <c r="AD228" s="227">
        <f>(INDEX(Models!$BJ228:$BT228,,AH228)*(1-AF228)+INDEX(Models!$BJ228:$BT228,,AH228+1)*AF228-ERP_i)*AE228*Ramure*Pc/MaxiM</f>
        <v>2.9997269855657009E-4</v>
      </c>
      <c r="AE228" s="301">
        <f t="shared" si="92"/>
        <v>0.5</v>
      </c>
      <c r="AF228" s="173">
        <f t="shared" si="93"/>
        <v>0.43873881457766029</v>
      </c>
      <c r="AG228" s="801">
        <f t="shared" si="99"/>
        <v>2</v>
      </c>
      <c r="AH228" s="172">
        <f t="shared" si="94"/>
        <v>8</v>
      </c>
      <c r="AI228" s="221">
        <f t="shared" si="95"/>
        <v>2.4387388145776603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46237</v>
      </c>
      <c r="B229" s="406">
        <f>'2025'!Wh/'2025'!Env_an*'2026'!Env_an</f>
        <v>212.35616936441022</v>
      </c>
      <c r="C229" s="831"/>
      <c r="D229" s="388">
        <f t="shared" si="77"/>
        <v>217.69250216952321</v>
      </c>
      <c r="E229" s="380">
        <f t="shared" si="75"/>
        <v>221.20381716003342</v>
      </c>
      <c r="F229" s="380">
        <f t="shared" si="78"/>
        <v>221.26520023939099</v>
      </c>
      <c r="G229" s="110">
        <f t="shared" si="76"/>
        <v>0.93803082748220812</v>
      </c>
      <c r="H229" s="409" t="b">
        <f>Wh_hp&gt;='2025'!Maxi_hp</f>
        <v>0</v>
      </c>
      <c r="I229" s="375">
        <f>IF(H229,Wh_hp,'2025'!Maxi_hp)</f>
        <v>221.2701847087576</v>
      </c>
      <c r="J229" s="85">
        <f>IF(H229,An,'2025'!An_max)</f>
        <v>2022</v>
      </c>
      <c r="K229" s="193">
        <f t="shared" si="79"/>
        <v>46237</v>
      </c>
      <c r="L229" s="143">
        <f>IF(t&lt;Tvie,1-EXP((T0-t)*PertePVj)+'2025'!Pspv,1-EXP((T0-t)*PertePVj)+Pspv)</f>
        <v>2.4513167665083158E-2</v>
      </c>
      <c r="M229" s="835"/>
      <c r="N229" s="835"/>
      <c r="O229" s="48">
        <f>IF(t&lt;Tnet,'2025'!Resal+('2025'!Salim-'2025'!Resal)*(1-EXP(('2025'!Tnet-t)/('2025'!Tau_j))),Resal+(Salim-Resal)*(1-EXP((Tnet-t)/(Tau_j))))*Salcycl</f>
        <v>1.587366364464643E-2</v>
      </c>
      <c r="P229" s="334">
        <f>(INDEX(Models!$BJ229:$BT229,,T229)*(1-R229)+INDEX(Models!$BJ229:$BT229,,T229+1)*R229-ERP_i)*Q229*Ramure*Pc/MaxiM</f>
        <v>3.043509995661699E-4</v>
      </c>
      <c r="Q229" s="301">
        <f t="shared" si="80"/>
        <v>0.5</v>
      </c>
      <c r="R229" s="173">
        <f t="shared" si="81"/>
        <v>0.44058929490038334</v>
      </c>
      <c r="S229" s="801">
        <f t="shared" si="82"/>
        <v>2</v>
      </c>
      <c r="T229" s="172">
        <f t="shared" si="83"/>
        <v>8</v>
      </c>
      <c r="U229" s="247">
        <f t="shared" si="84"/>
        <v>2.4405892949003833</v>
      </c>
      <c r="V229" s="378">
        <f t="shared" si="85"/>
        <v>226.37896569294989</v>
      </c>
      <c r="W229" s="397">
        <f t="shared" si="86"/>
        <v>212.35616936441022</v>
      </c>
      <c r="X229" s="153">
        <f t="shared" si="87"/>
        <v>46237</v>
      </c>
      <c r="Y229" s="380">
        <f t="shared" si="88"/>
        <v>204.05521935727214</v>
      </c>
      <c r="Z229" s="380">
        <f t="shared" si="89"/>
        <v>209.18295623616706</v>
      </c>
      <c r="AA229" s="381">
        <f t="shared" si="90"/>
        <v>221.20381716003342</v>
      </c>
      <c r="AB229" s="193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5.4342918120484744E-2</v>
      </c>
      <c r="AD229" s="227">
        <f>(INDEX(Models!$BJ229:$BT229,,AH229)*(1-AF229)+INDEX(Models!$BJ229:$BT229,,AH229+1)*AF229-ERP_i)*AE229*Ramure*Pc/MaxiM</f>
        <v>3.043509995661699E-4</v>
      </c>
      <c r="AE229" s="301">
        <f t="shared" si="92"/>
        <v>0.5</v>
      </c>
      <c r="AF229" s="173">
        <f t="shared" si="93"/>
        <v>0.44058929490038334</v>
      </c>
      <c r="AG229" s="801">
        <f t="shared" si="99"/>
        <v>2</v>
      </c>
      <c r="AH229" s="172">
        <f t="shared" si="94"/>
        <v>8</v>
      </c>
      <c r="AI229" s="221">
        <f t="shared" si="95"/>
        <v>2.4405892949003833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46238</v>
      </c>
      <c r="B230" s="406">
        <f>'2025'!Wh/'2025'!Env_an*'2026'!Env_an</f>
        <v>201.52315934459185</v>
      </c>
      <c r="C230" s="831"/>
      <c r="D230" s="388">
        <f t="shared" si="77"/>
        <v>206.59009571949392</v>
      </c>
      <c r="E230" s="380">
        <f t="shared" si="75"/>
        <v>209.9381834031399</v>
      </c>
      <c r="F230" s="380">
        <f t="shared" si="78"/>
        <v>209.99302948055166</v>
      </c>
      <c r="G230" s="110">
        <f t="shared" si="76"/>
        <v>0.89257967075196543</v>
      </c>
      <c r="H230" s="409" t="b">
        <f>Wh_hp&gt;='2025'!Maxi_hp</f>
        <v>0</v>
      </c>
      <c r="I230" s="375">
        <f>IF(H230,Wh_hp,'2025'!Maxi_hp)</f>
        <v>210.00134100981151</v>
      </c>
      <c r="J230" s="85">
        <f>IF(H230,An,'2025'!An_max)</f>
        <v>2022</v>
      </c>
      <c r="K230" s="193">
        <f t="shared" si="79"/>
        <v>46238</v>
      </c>
      <c r="L230" s="143">
        <f>IF(t&lt;Tvie,1-EXP((T0-t)*PertePVj)+'2025'!Pspv,1-EXP((T0-t)*PertePVj)+Pspv)</f>
        <v>2.4526521260641254E-2</v>
      </c>
      <c r="M230" s="835"/>
      <c r="N230" s="835"/>
      <c r="O230" s="48">
        <f>IF(t&lt;Tnet,'2025'!Resal+('2025'!Salim-'2025'!Resal)*(1-EXP(('2025'!Tnet-t)/('2025'!Tau_j))),Resal+(Salim-Resal)*(1-EXP((Tnet-t)/(Tau_j))))*Salcycl</f>
        <v>1.5947969203947622E-2</v>
      </c>
      <c r="P230" s="334">
        <f>(INDEX(Models!$BJ230:$BT230,,T230)*(1-R230)+INDEX(Models!$BJ230:$BT230,,T230+1)*R230-ERP_i)*Q230*Ramure*Pc/MaxiM</f>
        <v>3.0850415618346609E-4</v>
      </c>
      <c r="Q230" s="301">
        <f t="shared" si="80"/>
        <v>0.5</v>
      </c>
      <c r="R230" s="173">
        <f t="shared" si="81"/>
        <v>0.44237964143506003</v>
      </c>
      <c r="S230" s="801">
        <f t="shared" si="82"/>
        <v>2</v>
      </c>
      <c r="T230" s="172">
        <f t="shared" si="83"/>
        <v>8</v>
      </c>
      <c r="U230" s="247">
        <f t="shared" si="84"/>
        <v>2.44237964143506</v>
      </c>
      <c r="V230" s="378">
        <f t="shared" si="85"/>
        <v>225.76541527536182</v>
      </c>
      <c r="W230" s="397">
        <f t="shared" si="86"/>
        <v>201.52315934459185</v>
      </c>
      <c r="X230" s="153">
        <f t="shared" si="87"/>
        <v>46238</v>
      </c>
      <c r="Y230" s="380">
        <f t="shared" si="88"/>
        <v>193.65385384962124</v>
      </c>
      <c r="Z230" s="380">
        <f t="shared" si="89"/>
        <v>198.52293073091792</v>
      </c>
      <c r="AA230" s="381">
        <f t="shared" si="90"/>
        <v>209.9381834031399</v>
      </c>
      <c r="AB230" s="193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5.4374351950552506E-2</v>
      </c>
      <c r="AD230" s="227">
        <f>(INDEX(Models!$BJ230:$BT230,,AH230)*(1-AF230)+INDEX(Models!$BJ230:$BT230,,AH230+1)*AF230-ERP_i)*AE230*Ramure*Pc/MaxiM</f>
        <v>3.0850415618346609E-4</v>
      </c>
      <c r="AE230" s="301">
        <f t="shared" si="92"/>
        <v>0.5</v>
      </c>
      <c r="AF230" s="173">
        <f t="shared" si="93"/>
        <v>0.44237964143506003</v>
      </c>
      <c r="AG230" s="801">
        <f t="shared" si="99"/>
        <v>2</v>
      </c>
      <c r="AH230" s="172">
        <f t="shared" si="94"/>
        <v>8</v>
      </c>
      <c r="AI230" s="221">
        <f t="shared" si="95"/>
        <v>2.44237964143506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46239</v>
      </c>
      <c r="B231" s="406">
        <f>'2025'!Wh/'2025'!Env_an*'2026'!Env_an</f>
        <v>187.49923673249566</v>
      </c>
      <c r="C231" s="831"/>
      <c r="D231" s="388">
        <f t="shared" si="77"/>
        <v>192.21619814517567</v>
      </c>
      <c r="E231" s="380">
        <f t="shared" si="75"/>
        <v>195.34606224686323</v>
      </c>
      <c r="F231" s="380">
        <f t="shared" si="78"/>
        <v>195.39252773281459</v>
      </c>
      <c r="G231" s="110">
        <f t="shared" si="76"/>
        <v>0.83274120845002719</v>
      </c>
      <c r="H231" s="409" t="b">
        <f>Wh_hp&gt;='2025'!Maxi_hp</f>
        <v>0</v>
      </c>
      <c r="I231" s="375">
        <f>IF(H231,Wh_hp,'2025'!Maxi_hp)</f>
        <v>195.40472194340191</v>
      </c>
      <c r="J231" s="85">
        <f>IF(H231,An,'2025'!An_max)</f>
        <v>2022</v>
      </c>
      <c r="K231" s="193">
        <f t="shared" si="79"/>
        <v>46239</v>
      </c>
      <c r="L231" s="143">
        <f>IF(t&lt;Tvie,1-EXP((T0-t)*PertePVj)+'2025'!Pspv,1-EXP((T0-t)*PertePVj)+Pspv)</f>
        <v>2.4539874673399908E-2</v>
      </c>
      <c r="M231" s="835"/>
      <c r="N231" s="835"/>
      <c r="O231" s="48">
        <f>IF(t&lt;Tnet,'2025'!Resal+('2025'!Salim-'2025'!Resal)*(1-EXP(('2025'!Tnet-t)/('2025'!Tau_j))),Resal+(Salim-Resal)*(1-EXP((Tnet-t)/(Tau_j))))*Salcycl</f>
        <v>1.602215097498251E-2</v>
      </c>
      <c r="P231" s="334">
        <f>(INDEX(Models!$BJ231:$BT231,,T231)*(1-R231)+INDEX(Models!$BJ231:$BT231,,T231+1)*R231-ERP_i)*Q231*Ramure*Pc/MaxiM</f>
        <v>3.1243063272364679E-4</v>
      </c>
      <c r="Q231" s="301">
        <f t="shared" si="80"/>
        <v>0.5</v>
      </c>
      <c r="R231" s="173">
        <f t="shared" si="81"/>
        <v>0.4441112994087022</v>
      </c>
      <c r="S231" s="801">
        <f t="shared" si="82"/>
        <v>2</v>
      </c>
      <c r="T231" s="172">
        <f t="shared" si="83"/>
        <v>8</v>
      </c>
      <c r="U231" s="247">
        <f t="shared" si="84"/>
        <v>2.4441112994087022</v>
      </c>
      <c r="V231" s="378">
        <f t="shared" si="85"/>
        <v>225.14226438161214</v>
      </c>
      <c r="W231" s="397">
        <f t="shared" si="86"/>
        <v>187.49923673249566</v>
      </c>
      <c r="X231" s="153">
        <f t="shared" si="87"/>
        <v>46239</v>
      </c>
      <c r="Y231" s="380">
        <f t="shared" si="88"/>
        <v>180.18517943993214</v>
      </c>
      <c r="Z231" s="380">
        <f t="shared" si="89"/>
        <v>184.71813943148439</v>
      </c>
      <c r="AA231" s="381">
        <f t="shared" si="90"/>
        <v>195.34606224686323</v>
      </c>
      <c r="AB231" s="193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5.4405615824229481E-2</v>
      </c>
      <c r="AD231" s="227">
        <f>(INDEX(Models!$BJ231:$BT231,,AH231)*(1-AF231)+INDEX(Models!$BJ231:$BT231,,AH231+1)*AF231-ERP_i)*AE231*Ramure*Pc/MaxiM</f>
        <v>3.1243063272364679E-4</v>
      </c>
      <c r="AE231" s="301">
        <f t="shared" si="92"/>
        <v>0.5</v>
      </c>
      <c r="AF231" s="173">
        <f t="shared" si="93"/>
        <v>0.4441112994087022</v>
      </c>
      <c r="AG231" s="801">
        <f t="shared" si="99"/>
        <v>2</v>
      </c>
      <c r="AH231" s="172">
        <f t="shared" si="94"/>
        <v>8</v>
      </c>
      <c r="AI231" s="221">
        <f t="shared" si="95"/>
        <v>2.4441112994087022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46240</v>
      </c>
      <c r="B232" s="406">
        <f>'2025'!Wh/'2025'!Env_an*'2026'!Env_an</f>
        <v>201.10850360907645</v>
      </c>
      <c r="C232" s="831"/>
      <c r="D232" s="388">
        <f t="shared" si="77"/>
        <v>206.17065878111538</v>
      </c>
      <c r="E232" s="380">
        <f t="shared" si="75"/>
        <v>209.54351515061549</v>
      </c>
      <c r="F232" s="380">
        <f t="shared" si="78"/>
        <v>209.59990936248798</v>
      </c>
      <c r="G232" s="110">
        <f t="shared" si="76"/>
        <v>0.89572610837529276</v>
      </c>
      <c r="H232" s="409" t="b">
        <f>Wh_hp&gt;='2025'!Maxi_hp</f>
        <v>0</v>
      </c>
      <c r="I232" s="375">
        <f>IF(H232,Wh_hp,'2025'!Maxi_hp)</f>
        <v>209.60816001041005</v>
      </c>
      <c r="J232" s="85">
        <f>IF(H232,An,'2025'!An_max)</f>
        <v>2022</v>
      </c>
      <c r="K232" s="193">
        <f t="shared" si="79"/>
        <v>46240</v>
      </c>
      <c r="L232" s="143">
        <f>IF(t&lt;Tvie,1-EXP((T0-t)*PertePVj)+'2025'!Pspv,1-EXP((T0-t)*PertePVj)+Pspv)</f>
        <v>2.4553227903361563E-2</v>
      </c>
      <c r="M232" s="835"/>
      <c r="N232" s="835"/>
      <c r="O232" s="48">
        <f>IF(t&lt;Tnet,'2025'!Resal+('2025'!Salim-'2025'!Resal)*(1-EXP(('2025'!Tnet-t)/('2025'!Tau_j))),Resal+(Salim-Resal)*(1-EXP((Tnet-t)/(Tau_j))))*Salcycl</f>
        <v>1.6096209739899447E-2</v>
      </c>
      <c r="P232" s="334">
        <f>(INDEX(Models!$BJ232:$BT232,,T232)*(1-R232)+INDEX(Models!$BJ232:$BT232,,T232+1)*R232-ERP_i)*Q232*Ramure*Pc/MaxiM</f>
        <v>3.1612882731160263E-4</v>
      </c>
      <c r="Q232" s="301">
        <f t="shared" si="80"/>
        <v>0.5</v>
      </c>
      <c r="R232" s="173">
        <f t="shared" si="81"/>
        <v>0.44578571671823397</v>
      </c>
      <c r="S232" s="801">
        <f t="shared" si="82"/>
        <v>2</v>
      </c>
      <c r="T232" s="172">
        <f t="shared" si="83"/>
        <v>8</v>
      </c>
      <c r="U232" s="247">
        <f t="shared" si="84"/>
        <v>2.445785716718234</v>
      </c>
      <c r="V232" s="378">
        <f t="shared" si="85"/>
        <v>224.50951527458579</v>
      </c>
      <c r="W232" s="397">
        <f t="shared" si="86"/>
        <v>201.10850360907645</v>
      </c>
      <c r="X232" s="153">
        <f t="shared" si="87"/>
        <v>46240</v>
      </c>
      <c r="Y232" s="380">
        <f t="shared" si="88"/>
        <v>193.2717603631331</v>
      </c>
      <c r="Z232" s="380">
        <f t="shared" si="89"/>
        <v>198.13665480455913</v>
      </c>
      <c r="AA232" s="381">
        <f t="shared" si="90"/>
        <v>209.54351515061549</v>
      </c>
      <c r="AB232" s="193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5.4436713719617308E-2</v>
      </c>
      <c r="AD232" s="227">
        <f>(INDEX(Models!$BJ232:$BT232,,AH232)*(1-AF232)+INDEX(Models!$BJ232:$BT232,,AH232+1)*AF232-ERP_i)*AE232*Ramure*Pc/MaxiM</f>
        <v>3.1612882731160263E-4</v>
      </c>
      <c r="AE232" s="301">
        <f t="shared" si="92"/>
        <v>0.5</v>
      </c>
      <c r="AF232" s="173">
        <f t="shared" si="93"/>
        <v>0.44578571671823397</v>
      </c>
      <c r="AG232" s="801">
        <f t="shared" si="99"/>
        <v>2</v>
      </c>
      <c r="AH232" s="172">
        <f t="shared" si="94"/>
        <v>8</v>
      </c>
      <c r="AI232" s="221">
        <f t="shared" si="95"/>
        <v>2.445785716718234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46241</v>
      </c>
      <c r="B233" s="406">
        <f>'2025'!Wh/'2025'!Env_an*'2026'!Env_an</f>
        <v>214.91364633368337</v>
      </c>
      <c r="C233" s="831"/>
      <c r="D233" s="388">
        <f t="shared" si="77"/>
        <v>220.32631047551132</v>
      </c>
      <c r="E233" s="380">
        <f t="shared" ref="E233:E296" si="100">Wh_pvt/(1-Psa)</f>
        <v>223.94757546143359</v>
      </c>
      <c r="F233" s="380">
        <f t="shared" si="78"/>
        <v>224.01507859590049</v>
      </c>
      <c r="G233" s="110">
        <f t="shared" ref="G233:G296" si="101">+Wh_hp/MaxiM</f>
        <v>0.95998278311999619</v>
      </c>
      <c r="H233" s="409" t="b">
        <f>Wh_hp&gt;='2025'!Maxi_hp</f>
        <v>0</v>
      </c>
      <c r="I233" s="375">
        <f>IF(H233,Wh_hp,'2025'!Maxi_hp)</f>
        <v>224.01849945723848</v>
      </c>
      <c r="J233" s="85">
        <f>IF(H233,An,'2025'!An_max)</f>
        <v>2022</v>
      </c>
      <c r="K233" s="193">
        <f t="shared" si="79"/>
        <v>46241</v>
      </c>
      <c r="L233" s="143">
        <f>IF(t&lt;Tvie,1-EXP((T0-t)*PertePVj)+'2025'!Pspv,1-EXP((T0-t)*PertePVj)+Pspv)</f>
        <v>2.456658095052866E-2</v>
      </c>
      <c r="M233" s="835"/>
      <c r="N233" s="835"/>
      <c r="O233" s="48">
        <f>IF(t&lt;Tnet,'2025'!Resal+('2025'!Salim-'2025'!Resal)*(1-EXP(('2025'!Tnet-t)/('2025'!Tau_j))),Resal+(Salim-Resal)*(1-EXP((Tnet-t)/(Tau_j))))*Salcycl</f>
        <v>1.6170145974837246E-2</v>
      </c>
      <c r="P233" s="334">
        <f>(INDEX(Models!$BJ233:$BT233,,T233)*(1-R233)+INDEX(Models!$BJ233:$BT233,,T233+1)*R233-ERP_i)*Q233*Ramure*Pc/MaxiM</f>
        <v>3.1959544519305434E-4</v>
      </c>
      <c r="Q233" s="301">
        <f t="shared" si="80"/>
        <v>0.5</v>
      </c>
      <c r="R233" s="173">
        <f t="shared" si="81"/>
        <v>0.44740434059779766</v>
      </c>
      <c r="S233" s="801">
        <f t="shared" si="82"/>
        <v>2</v>
      </c>
      <c r="T233" s="172">
        <f t="shared" si="83"/>
        <v>8</v>
      </c>
      <c r="U233" s="247">
        <f t="shared" si="84"/>
        <v>2.4474043405977977</v>
      </c>
      <c r="V233" s="378">
        <f t="shared" si="85"/>
        <v>223.86830689017367</v>
      </c>
      <c r="W233" s="397">
        <f t="shared" si="86"/>
        <v>214.91364633368337</v>
      </c>
      <c r="X233" s="153">
        <f t="shared" si="87"/>
        <v>46241</v>
      </c>
      <c r="Y233" s="380">
        <f t="shared" si="88"/>
        <v>206.54771203876732</v>
      </c>
      <c r="Z233" s="380">
        <f t="shared" si="89"/>
        <v>211.74967763565192</v>
      </c>
      <c r="AA233" s="381">
        <f t="shared" si="90"/>
        <v>223.94757546143359</v>
      </c>
      <c r="AB233" s="193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5.4467648513936651E-2</v>
      </c>
      <c r="AD233" s="227">
        <f>(INDEX(Models!$BJ233:$BT233,,AH233)*(1-AF233)+INDEX(Models!$BJ233:$BT233,,AH233+1)*AF233-ERP_i)*AE233*Ramure*Pc/MaxiM</f>
        <v>3.1959544519305434E-4</v>
      </c>
      <c r="AE233" s="301">
        <f t="shared" si="92"/>
        <v>0.5</v>
      </c>
      <c r="AF233" s="173">
        <f t="shared" si="93"/>
        <v>0.44740434059779766</v>
      </c>
      <c r="AG233" s="801">
        <f t="shared" si="99"/>
        <v>2</v>
      </c>
      <c r="AH233" s="172">
        <f t="shared" si="94"/>
        <v>8</v>
      </c>
      <c r="AI233" s="221">
        <f t="shared" si="95"/>
        <v>2.4474043405977977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46242</v>
      </c>
      <c r="B234" s="406">
        <f>'2025'!Wh/'2025'!Env_an*'2026'!Env_an</f>
        <v>218.6796391901423</v>
      </c>
      <c r="C234" s="831"/>
      <c r="D234" s="388">
        <f t="shared" si="77"/>
        <v>224.19021995867524</v>
      </c>
      <c r="E234" s="380">
        <f t="shared" si="100"/>
        <v>227.89208991960348</v>
      </c>
      <c r="F234" s="380">
        <f t="shared" si="78"/>
        <v>227.96353809003554</v>
      </c>
      <c r="G234" s="110">
        <f t="shared" si="101"/>
        <v>0.9796529942737795</v>
      </c>
      <c r="H234" s="409" t="b">
        <f>Wh_hp&gt;='2025'!Maxi_hp</f>
        <v>0</v>
      </c>
      <c r="I234" s="375">
        <f>IF(H234,Wh_hp,'2025'!Maxi_hp)</f>
        <v>227.96532559207185</v>
      </c>
      <c r="J234" s="85">
        <f>IF(H234,An,'2025'!An_max)</f>
        <v>2022</v>
      </c>
      <c r="K234" s="193">
        <f t="shared" si="79"/>
        <v>46242</v>
      </c>
      <c r="L234" s="143">
        <f>IF(t&lt;Tvie,1-EXP((T0-t)*PertePVj)+'2025'!Pspv,1-EXP((T0-t)*PertePVj)+Pspv)</f>
        <v>2.4579933814903754E-2</v>
      </c>
      <c r="M234" s="835"/>
      <c r="N234" s="835"/>
      <c r="O234" s="48">
        <f>IF(t&lt;Tnet,'2025'!Resal+('2025'!Salim-'2025'!Resal)*(1-EXP(('2025'!Tnet-t)/('2025'!Tau_j))),Resal+(Salim-Resal)*(1-EXP((Tnet-t)/(Tau_j))))*Salcycl</f>
        <v>1.6243959859397371E-2</v>
      </c>
      <c r="P234" s="334">
        <f>(INDEX(Models!$BJ234:$BT234,,T234)*(1-R234)+INDEX(Models!$BJ234:$BT234,,T234+1)*R234-ERP_i)*Q234*Ramure*Pc/MaxiM</f>
        <v>3.2279786692787464E-4</v>
      </c>
      <c r="Q234" s="301">
        <f t="shared" si="80"/>
        <v>0.5</v>
      </c>
      <c r="R234" s="173">
        <f t="shared" si="81"/>
        <v>0.44896861453071901</v>
      </c>
      <c r="S234" s="801">
        <f t="shared" si="82"/>
        <v>2</v>
      </c>
      <c r="T234" s="172">
        <f t="shared" si="83"/>
        <v>8</v>
      </c>
      <c r="U234" s="247">
        <f t="shared" si="84"/>
        <v>2.448968614530719</v>
      </c>
      <c r="V234" s="378">
        <f t="shared" si="85"/>
        <v>223.21943476078138</v>
      </c>
      <c r="W234" s="397">
        <f t="shared" si="86"/>
        <v>218.6796391901423</v>
      </c>
      <c r="X234" s="153">
        <f t="shared" si="87"/>
        <v>46242</v>
      </c>
      <c r="Y234" s="380">
        <f t="shared" si="88"/>
        <v>210.17603499844589</v>
      </c>
      <c r="Z234" s="380">
        <f t="shared" si="89"/>
        <v>215.47233062413005</v>
      </c>
      <c r="AA234" s="381">
        <f t="shared" si="90"/>
        <v>227.89208991960348</v>
      </c>
      <c r="AB234" s="193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5.4498422037618378E-2</v>
      </c>
      <c r="AD234" s="227">
        <f>(INDEX(Models!$BJ234:$BT234,,AH234)*(1-AF234)+INDEX(Models!$BJ234:$BT234,,AH234+1)*AF234-ERP_i)*AE234*Ramure*Pc/MaxiM</f>
        <v>3.2279786692787464E-4</v>
      </c>
      <c r="AE234" s="301">
        <f t="shared" si="92"/>
        <v>0.5</v>
      </c>
      <c r="AF234" s="173">
        <f t="shared" si="93"/>
        <v>0.44896861453071901</v>
      </c>
      <c r="AG234" s="801">
        <f t="shared" si="99"/>
        <v>2</v>
      </c>
      <c r="AH234" s="172">
        <f t="shared" si="94"/>
        <v>8</v>
      </c>
      <c r="AI234" s="221">
        <f t="shared" si="95"/>
        <v>2.448968614530719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46243</v>
      </c>
      <c r="B235" s="406">
        <f>'2025'!Wh/'2025'!Env_an*'2026'!Env_an</f>
        <v>208.40754156442804</v>
      </c>
      <c r="C235" s="831"/>
      <c r="D235" s="388">
        <f t="shared" si="77"/>
        <v>213.66219719347663</v>
      </c>
      <c r="E235" s="380">
        <f t="shared" si="100"/>
        <v>217.20649707004725</v>
      </c>
      <c r="F235" s="380">
        <f t="shared" si="78"/>
        <v>217.27087796659552</v>
      </c>
      <c r="G235" s="110">
        <f t="shared" si="101"/>
        <v>0.93637303927983939</v>
      </c>
      <c r="H235" s="409" t="b">
        <f>Wh_hp&gt;='2025'!Maxi_hp</f>
        <v>0</v>
      </c>
      <c r="I235" s="375">
        <f>IF(H235,Wh_hp,'2025'!Maxi_hp)</f>
        <v>217.27625624973561</v>
      </c>
      <c r="J235" s="85">
        <f>IF(H235,An,'2025'!An_max)</f>
        <v>2022</v>
      </c>
      <c r="K235" s="193">
        <f t="shared" si="79"/>
        <v>46243</v>
      </c>
      <c r="L235" s="143">
        <f>IF(t&lt;Tvie,1-EXP((T0-t)*PertePVj)+'2025'!Pspv,1-EXP((T0-t)*PertePVj)+Pspv)</f>
        <v>2.4593286496489397E-2</v>
      </c>
      <c r="M235" s="835"/>
      <c r="N235" s="835"/>
      <c r="O235" s="48">
        <f>IF(t&lt;Tnet,'2025'!Resal+('2025'!Salim-'2025'!Resal)*(1-EXP(('2025'!Tnet-t)/('2025'!Tau_j))),Resal+(Salim-Resal)*(1-EXP((Tnet-t)/(Tau_j))))*Salcycl</f>
        <v>1.6317651287510199E-2</v>
      </c>
      <c r="P235" s="334">
        <f>(INDEX(Models!$BJ235:$BT235,,T235)*(1-R235)+INDEX(Models!$BJ235:$BT235,,T235+1)*R235-ERP_i)*Q235*Ramure*Pc/MaxiM</f>
        <v>3.259288767275937E-4</v>
      </c>
      <c r="Q235" s="301">
        <f t="shared" si="80"/>
        <v>0.5</v>
      </c>
      <c r="R235" s="173">
        <f t="shared" si="81"/>
        <v>0.45047997539934714</v>
      </c>
      <c r="S235" s="801">
        <f t="shared" si="82"/>
        <v>2</v>
      </c>
      <c r="T235" s="172">
        <f t="shared" si="83"/>
        <v>8</v>
      </c>
      <c r="U235" s="247">
        <f t="shared" si="84"/>
        <v>2.4504799753993471</v>
      </c>
      <c r="V235" s="378">
        <f t="shared" si="85"/>
        <v>222.56233306896482</v>
      </c>
      <c r="W235" s="397">
        <f t="shared" si="86"/>
        <v>208.40754156442804</v>
      </c>
      <c r="X235" s="153">
        <f t="shared" si="87"/>
        <v>46243</v>
      </c>
      <c r="Y235" s="380">
        <f t="shared" si="88"/>
        <v>200.31189912746819</v>
      </c>
      <c r="Z235" s="380">
        <f t="shared" si="89"/>
        <v>205.362436360499</v>
      </c>
      <c r="AA235" s="381">
        <f t="shared" si="90"/>
        <v>217.20649707004725</v>
      </c>
      <c r="AB235" s="193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5.4529035131617803E-2</v>
      </c>
      <c r="AD235" s="227">
        <f>(INDEX(Models!$BJ235:$BT235,,AH235)*(1-AF235)+INDEX(Models!$BJ235:$BT235,,AH235+1)*AF235-ERP_i)*AE235*Ramure*Pc/MaxiM</f>
        <v>3.259288767275937E-4</v>
      </c>
      <c r="AE235" s="301">
        <f t="shared" si="92"/>
        <v>0.5</v>
      </c>
      <c r="AF235" s="173">
        <f t="shared" si="93"/>
        <v>0.45047997539934714</v>
      </c>
      <c r="AG235" s="801">
        <f t="shared" si="99"/>
        <v>2</v>
      </c>
      <c r="AH235" s="172">
        <f t="shared" si="94"/>
        <v>8</v>
      </c>
      <c r="AI235" s="221">
        <f t="shared" si="95"/>
        <v>2.4504799753993471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46244</v>
      </c>
      <c r="B236" s="406">
        <f>'2025'!Wh/'2025'!Env_an*'2026'!Env_an</f>
        <v>202.59040356830047</v>
      </c>
      <c r="C236" s="831"/>
      <c r="D236" s="388">
        <f t="shared" si="77"/>
        <v>207.70123282325866</v>
      </c>
      <c r="E236" s="380">
        <f t="shared" si="100"/>
        <v>211.16244285436508</v>
      </c>
      <c r="F236" s="380">
        <f t="shared" si="78"/>
        <v>211.2232958190487</v>
      </c>
      <c r="G236" s="110">
        <f t="shared" si="101"/>
        <v>0.91295777896913266</v>
      </c>
      <c r="H236" s="409" t="b">
        <f>Wh_hp&gt;='2025'!Maxi_hp</f>
        <v>0</v>
      </c>
      <c r="I236" s="375">
        <f>IF(H236,Wh_hp,'2025'!Maxi_hp)</f>
        <v>211.23051410692491</v>
      </c>
      <c r="J236" s="85">
        <f>IF(H236,An,'2025'!An_max)</f>
        <v>2022</v>
      </c>
      <c r="K236" s="193">
        <f t="shared" si="79"/>
        <v>46244</v>
      </c>
      <c r="L236" s="143">
        <f>IF(t&lt;Tvie,1-EXP((T0-t)*PertePVj)+'2025'!Pspv,1-EXP((T0-t)*PertePVj)+Pspv)</f>
        <v>2.4606638995288033E-2</v>
      </c>
      <c r="M236" s="835"/>
      <c r="N236" s="835"/>
      <c r="O236" s="48">
        <f>IF(t&lt;Tnet,'2025'!Resal+('2025'!Salim-'2025'!Resal)*(1-EXP(('2025'!Tnet-t)/('2025'!Tau_j))),Resal+(Salim-Resal)*(1-EXP((Tnet-t)/(Tau_j))))*Salcycl</f>
        <v>1.6391219879443922E-2</v>
      </c>
      <c r="P236" s="334">
        <f>(INDEX(Models!$BJ236:$BT236,,T236)*(1-R236)+INDEX(Models!$BJ236:$BT236,,T236+1)*R236-ERP_i)*Q236*Ramure*Pc/MaxiM</f>
        <v>3.2898867435821754E-4</v>
      </c>
      <c r="Q236" s="301">
        <f t="shared" si="80"/>
        <v>0.5</v>
      </c>
      <c r="R236" s="173">
        <f t="shared" si="81"/>
        <v>0.45193985086524435</v>
      </c>
      <c r="S236" s="801">
        <f t="shared" si="82"/>
        <v>2</v>
      </c>
      <c r="T236" s="172">
        <f t="shared" si="83"/>
        <v>8</v>
      </c>
      <c r="U236" s="247">
        <f t="shared" si="84"/>
        <v>2.4519398508652444</v>
      </c>
      <c r="V236" s="378">
        <f t="shared" si="85"/>
        <v>221.89647949429403</v>
      </c>
      <c r="W236" s="397">
        <f t="shared" si="86"/>
        <v>202.59040356830047</v>
      </c>
      <c r="X236" s="153">
        <f t="shared" si="87"/>
        <v>46244</v>
      </c>
      <c r="Y236" s="380">
        <f t="shared" si="88"/>
        <v>194.72902113762785</v>
      </c>
      <c r="Z236" s="380">
        <f t="shared" si="89"/>
        <v>199.64152814926445</v>
      </c>
      <c r="AA236" s="381">
        <f t="shared" si="90"/>
        <v>211.16244285436508</v>
      </c>
      <c r="AB236" s="193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5.4559487707037009E-2</v>
      </c>
      <c r="AD236" s="227">
        <f>(INDEX(Models!$BJ236:$BT236,,AH236)*(1-AF236)+INDEX(Models!$BJ236:$BT236,,AH236+1)*AF236-ERP_i)*AE236*Ramure*Pc/MaxiM</f>
        <v>3.2898867435821754E-4</v>
      </c>
      <c r="AE236" s="301">
        <f t="shared" si="92"/>
        <v>0.5</v>
      </c>
      <c r="AF236" s="173">
        <f t="shared" si="93"/>
        <v>0.45193985086524435</v>
      </c>
      <c r="AG236" s="801">
        <f t="shared" si="99"/>
        <v>2</v>
      </c>
      <c r="AH236" s="172">
        <f t="shared" si="94"/>
        <v>8</v>
      </c>
      <c r="AI236" s="221">
        <f t="shared" si="95"/>
        <v>2.4519398508652444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46245</v>
      </c>
      <c r="B237" s="406">
        <f>'2025'!Wh/'2025'!Env_an*'2026'!Env_an</f>
        <v>188.01672431211588</v>
      </c>
      <c r="C237" s="831"/>
      <c r="D237" s="388">
        <f t="shared" si="77"/>
        <v>192.76253628048602</v>
      </c>
      <c r="E237" s="380">
        <f t="shared" si="100"/>
        <v>195.98943669822148</v>
      </c>
      <c r="F237" s="380">
        <f t="shared" si="78"/>
        <v>196.04056280301728</v>
      </c>
      <c r="G237" s="110">
        <f t="shared" si="101"/>
        <v>0.84984263671150462</v>
      </c>
      <c r="H237" s="409" t="b">
        <f>Wh_hp&gt;='2025'!Maxi_hp</f>
        <v>0</v>
      </c>
      <c r="I237" s="375">
        <f>IF(H237,Wh_hp,'2025'!Maxi_hp)</f>
        <v>196.05222207585885</v>
      </c>
      <c r="J237" s="85">
        <f>IF(H237,An,'2025'!An_max)</f>
        <v>2022</v>
      </c>
      <c r="K237" s="193">
        <f t="shared" si="79"/>
        <v>46245</v>
      </c>
      <c r="L237" s="143">
        <f>IF(t&lt;Tvie,1-EXP((T0-t)*PertePVj)+'2025'!Pspv,1-EXP((T0-t)*PertePVj)+Pspv)</f>
        <v>2.4619991311302103E-2</v>
      </c>
      <c r="M237" s="835"/>
      <c r="N237" s="835"/>
      <c r="O237" s="48">
        <f>IF(t&lt;Tnet,'2025'!Resal+('2025'!Salim-'2025'!Resal)*(1-EXP(('2025'!Tnet-t)/('2025'!Tau_j))),Resal+(Salim-Resal)*(1-EXP((Tnet-t)/(Tau_j))))*Salcycl</f>
        <v>1.6464664994696322E-2</v>
      </c>
      <c r="P237" s="334">
        <f>(INDEX(Models!$BJ237:$BT237,,T237)*(1-R237)+INDEX(Models!$BJ237:$BT237,,T237+1)*R237-ERP_i)*Q237*Ramure*Pc/MaxiM</f>
        <v>3.3197745884813192E-4</v>
      </c>
      <c r="Q237" s="301">
        <f t="shared" si="80"/>
        <v>0.5</v>
      </c>
      <c r="R237" s="173">
        <f t="shared" si="81"/>
        <v>0.45334965697158713</v>
      </c>
      <c r="S237" s="801">
        <f t="shared" si="82"/>
        <v>2</v>
      </c>
      <c r="T237" s="172">
        <f t="shared" si="83"/>
        <v>8</v>
      </c>
      <c r="U237" s="247">
        <f t="shared" si="84"/>
        <v>2.4533496569715871</v>
      </c>
      <c r="V237" s="378">
        <f t="shared" si="85"/>
        <v>221.22135195969</v>
      </c>
      <c r="W237" s="397">
        <f t="shared" si="86"/>
        <v>188.01672431211588</v>
      </c>
      <c r="X237" s="153">
        <f t="shared" si="87"/>
        <v>46245</v>
      </c>
      <c r="Y237" s="380">
        <f t="shared" si="88"/>
        <v>180.72856825129054</v>
      </c>
      <c r="Z237" s="380">
        <f t="shared" si="89"/>
        <v>185.29041670052501</v>
      </c>
      <c r="AA237" s="381">
        <f t="shared" si="90"/>
        <v>195.98943669822148</v>
      </c>
      <c r="AB237" s="193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5.4589778806143012E-2</v>
      </c>
      <c r="AD237" s="227">
        <f>(INDEX(Models!$BJ237:$BT237,,AH237)*(1-AF237)+INDEX(Models!$BJ237:$BT237,,AH237+1)*AF237-ERP_i)*AE237*Ramure*Pc/MaxiM</f>
        <v>3.3197745884813192E-4</v>
      </c>
      <c r="AE237" s="301">
        <f t="shared" si="92"/>
        <v>0.5</v>
      </c>
      <c r="AF237" s="173">
        <f t="shared" si="93"/>
        <v>0.45334965697158713</v>
      </c>
      <c r="AG237" s="801">
        <f t="shared" si="99"/>
        <v>2</v>
      </c>
      <c r="AH237" s="172">
        <f t="shared" si="94"/>
        <v>8</v>
      </c>
      <c r="AI237" s="221">
        <f t="shared" si="95"/>
        <v>2.4533496569715871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46246</v>
      </c>
      <c r="B238" s="406">
        <f>'2025'!Wh/'2025'!Env_an*'2026'!Env_an</f>
        <v>196.97463648218826</v>
      </c>
      <c r="C238" s="831"/>
      <c r="D238" s="388">
        <f t="shared" si="77"/>
        <v>201.94932352702074</v>
      </c>
      <c r="E238" s="380">
        <f t="shared" si="100"/>
        <v>205.34532152734624</v>
      </c>
      <c r="F238" s="380">
        <f t="shared" si="78"/>
        <v>205.40361127450859</v>
      </c>
      <c r="G238" s="110">
        <f t="shared" si="101"/>
        <v>0.89311578457667906</v>
      </c>
      <c r="H238" s="409" t="b">
        <f>Wh_hp&gt;='2025'!Maxi_hp</f>
        <v>0</v>
      </c>
      <c r="I238" s="375">
        <f>IF(H238,Wh_hp,'2025'!Maxi_hp)</f>
        <v>205.41238028032569</v>
      </c>
      <c r="J238" s="85">
        <f>IF(H238,An,'2025'!An_max)</f>
        <v>2022</v>
      </c>
      <c r="K238" s="193">
        <f t="shared" si="79"/>
        <v>46246</v>
      </c>
      <c r="L238" s="143">
        <f>IF(t&lt;Tvie,1-EXP((T0-t)*PertePVj)+'2025'!Pspv,1-EXP((T0-t)*PertePVj)+Pspv)</f>
        <v>2.4633343444534272E-2</v>
      </c>
      <c r="M238" s="835"/>
      <c r="N238" s="835"/>
      <c r="O238" s="48">
        <f>IF(t&lt;Tnet,'2025'!Resal+('2025'!Salim-'2025'!Resal)*(1-EXP(('2025'!Tnet-t)/('2025'!Tau_j))),Resal+(Salim-Resal)*(1-EXP((Tnet-t)/(Tau_j))))*Salcycl</f>
        <v>1.6537985745505631E-2</v>
      </c>
      <c r="P238" s="334">
        <f>(INDEX(Models!$BJ238:$BT238,,T238)*(1-R238)+INDEX(Models!$BJ238:$BT238,,T238+1)*R238-ERP_i)*Q238*Ramure*Pc/MaxiM</f>
        <v>3.3489542770045696E-4</v>
      </c>
      <c r="Q238" s="301">
        <f t="shared" si="80"/>
        <v>0.5</v>
      </c>
      <c r="R238" s="173">
        <f t="shared" si="81"/>
        <v>0.4547107959591532</v>
      </c>
      <c r="S238" s="801">
        <f t="shared" si="82"/>
        <v>2</v>
      </c>
      <c r="T238" s="172">
        <f t="shared" si="83"/>
        <v>8</v>
      </c>
      <c r="U238" s="247">
        <f t="shared" si="84"/>
        <v>2.4547107959591532</v>
      </c>
      <c r="V238" s="378">
        <f t="shared" si="85"/>
        <v>220.53642862488499</v>
      </c>
      <c r="W238" s="397">
        <f t="shared" si="86"/>
        <v>196.97463648218826</v>
      </c>
      <c r="X238" s="153">
        <f t="shared" si="87"/>
        <v>46246</v>
      </c>
      <c r="Y238" s="380">
        <f t="shared" si="88"/>
        <v>189.34732356036957</v>
      </c>
      <c r="Z238" s="380">
        <f t="shared" si="89"/>
        <v>194.12937923165723</v>
      </c>
      <c r="AA238" s="381">
        <f t="shared" si="90"/>
        <v>205.34532152734624</v>
      </c>
      <c r="AB238" s="193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5.4619906663884464E-2</v>
      </c>
      <c r="AD238" s="227">
        <f>(INDEX(Models!$BJ238:$BT238,,AH238)*(1-AF238)+INDEX(Models!$BJ238:$BT238,,AH238+1)*AF238-ERP_i)*AE238*Ramure*Pc/MaxiM</f>
        <v>3.3489542770045696E-4</v>
      </c>
      <c r="AE238" s="301">
        <f t="shared" si="92"/>
        <v>0.5</v>
      </c>
      <c r="AF238" s="173">
        <f t="shared" si="93"/>
        <v>0.4547107959591532</v>
      </c>
      <c r="AG238" s="801">
        <f t="shared" si="99"/>
        <v>2</v>
      </c>
      <c r="AH238" s="172">
        <f t="shared" si="94"/>
        <v>8</v>
      </c>
      <c r="AI238" s="221">
        <f t="shared" si="95"/>
        <v>2.4547107959591532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46247</v>
      </c>
      <c r="B239" s="406">
        <f>'2025'!Wh/'2025'!Env_an*'2026'!Env_an</f>
        <v>136.91899487891948</v>
      </c>
      <c r="C239" s="831"/>
      <c r="D239" s="388">
        <f t="shared" si="77"/>
        <v>140.3788701309289</v>
      </c>
      <c r="E239" s="380">
        <f t="shared" si="100"/>
        <v>142.75011818337396</v>
      </c>
      <c r="F239" s="380">
        <f t="shared" si="78"/>
        <v>142.7723552412051</v>
      </c>
      <c r="G239" s="110">
        <f t="shared" si="101"/>
        <v>0.62269529340178154</v>
      </c>
      <c r="H239" s="409" t="b">
        <f>Wh_hp&gt;='2025'!Maxi_hp</f>
        <v>0</v>
      </c>
      <c r="I239" s="375">
        <f>IF(H239,Wh_hp,'2025'!Maxi_hp)</f>
        <v>142.79404848596596</v>
      </c>
      <c r="J239" s="85">
        <f>IF(H239,An,'2025'!An_max)</f>
        <v>2022</v>
      </c>
      <c r="K239" s="193">
        <f t="shared" si="79"/>
        <v>46247</v>
      </c>
      <c r="L239" s="143">
        <f>IF(t&lt;Tvie,1-EXP((T0-t)*PertePVj)+'2025'!Pspv,1-EXP((T0-t)*PertePVj)+Pspv)</f>
        <v>2.4646695394986873E-2</v>
      </c>
      <c r="M239" s="835"/>
      <c r="N239" s="835"/>
      <c r="O239" s="48">
        <f>IF(t&lt;Tnet,'2025'!Resal+('2025'!Salim-'2025'!Resal)*(1-EXP(('2025'!Tnet-t)/('2025'!Tau_j))),Resal+(Salim-Resal)*(1-EXP((Tnet-t)/(Tau_j))))*Salcycl</f>
        <v>1.6611181010715497E-2</v>
      </c>
      <c r="P239" s="334">
        <f>(INDEX(Models!$BJ239:$BT239,,T239)*(1-R239)+INDEX(Models!$BJ239:$BT239,,T239+1)*R239-ERP_i)*Q239*Ramure*Pc/MaxiM</f>
        <v>3.3774277642207483E-4</v>
      </c>
      <c r="Q239" s="301">
        <f t="shared" si="80"/>
        <v>0.5</v>
      </c>
      <c r="R239" s="173">
        <f t="shared" si="81"/>
        <v>0.45602465428689687</v>
      </c>
      <c r="S239" s="801">
        <f t="shared" si="82"/>
        <v>2</v>
      </c>
      <c r="T239" s="172">
        <f t="shared" si="83"/>
        <v>8</v>
      </c>
      <c r="U239" s="247">
        <f t="shared" si="84"/>
        <v>2.4560246542868969</v>
      </c>
      <c r="V239" s="378">
        <f t="shared" si="85"/>
        <v>219.84118786913052</v>
      </c>
      <c r="W239" s="397">
        <f t="shared" si="86"/>
        <v>136.91899487891948</v>
      </c>
      <c r="X239" s="153">
        <f t="shared" si="87"/>
        <v>46247</v>
      </c>
      <c r="Y239" s="380">
        <f t="shared" si="88"/>
        <v>131.6227999315995</v>
      </c>
      <c r="Z239" s="380">
        <f t="shared" si="89"/>
        <v>134.9488429578885</v>
      </c>
      <c r="AA239" s="381">
        <f t="shared" si="90"/>
        <v>142.75011818337396</v>
      </c>
      <c r="AB239" s="193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5.4649868769033862E-2</v>
      </c>
      <c r="AD239" s="227">
        <f>(INDEX(Models!$BJ239:$BT239,,AH239)*(1-AF239)+INDEX(Models!$BJ239:$BT239,,AH239+1)*AF239-ERP_i)*AE239*Ramure*Pc/MaxiM</f>
        <v>3.3774277642207483E-4</v>
      </c>
      <c r="AE239" s="301">
        <f t="shared" si="92"/>
        <v>0.5</v>
      </c>
      <c r="AF239" s="173">
        <f t="shared" si="93"/>
        <v>0.45602465428689687</v>
      </c>
      <c r="AG239" s="801">
        <f t="shared" si="99"/>
        <v>2</v>
      </c>
      <c r="AH239" s="172">
        <f t="shared" si="94"/>
        <v>8</v>
      </c>
      <c r="AI239" s="221">
        <f t="shared" si="95"/>
        <v>2.4560246542868969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46248</v>
      </c>
      <c r="B240" s="406">
        <f>'2025'!Wh/'2025'!Env_an*'2026'!Env_an</f>
        <v>150.17883183135038</v>
      </c>
      <c r="C240" s="831"/>
      <c r="D240" s="388">
        <f t="shared" si="77"/>
        <v>153.97588440263198</v>
      </c>
      <c r="E240" s="380">
        <f t="shared" si="100"/>
        <v>156.58844508131421</v>
      </c>
      <c r="F240" s="380">
        <f t="shared" si="78"/>
        <v>156.61776912879267</v>
      </c>
      <c r="G240" s="110">
        <f t="shared" si="101"/>
        <v>0.68522022004225414</v>
      </c>
      <c r="H240" s="409" t="b">
        <f>Wh_hp&gt;='2025'!Maxi_hp</f>
        <v>0</v>
      </c>
      <c r="I240" s="375">
        <f>IF(H240,Wh_hp,'2025'!Maxi_hp)</f>
        <v>156.63775376535247</v>
      </c>
      <c r="J240" s="85">
        <f>IF(H240,An,'2025'!An_max)</f>
        <v>2022</v>
      </c>
      <c r="K240" s="193">
        <f t="shared" si="79"/>
        <v>46248</v>
      </c>
      <c r="L240" s="143">
        <f>IF(t&lt;Tvie,1-EXP((T0-t)*PertePVj)+'2025'!Pspv,1-EXP((T0-t)*PertePVj)+Pspv)</f>
        <v>2.4660047162662568E-2</v>
      </c>
      <c r="M240" s="835"/>
      <c r="N240" s="835"/>
      <c r="O240" s="48">
        <f>IF(t&lt;Tnet,'2025'!Resal+('2025'!Salim-'2025'!Resal)*(1-EXP(('2025'!Tnet-t)/('2025'!Tau_j))),Resal+(Salim-Resal)*(1-EXP((Tnet-t)/(Tau_j))))*Salcycl</f>
        <v>1.668424944973159E-2</v>
      </c>
      <c r="P240" s="334">
        <f>(INDEX(Models!$BJ240:$BT240,,T240)*(1-R240)+INDEX(Models!$BJ240:$BT240,,T240+1)*R240-ERP_i)*Q240*Ramure*Pc/MaxiM</f>
        <v>3.4013686252758548E-4</v>
      </c>
      <c r="Q240" s="301">
        <f t="shared" si="80"/>
        <v>0.5</v>
      </c>
      <c r="R240" s="173">
        <f t="shared" si="81"/>
        <v>0.45729260084784551</v>
      </c>
      <c r="S240" s="801">
        <f t="shared" si="82"/>
        <v>2</v>
      </c>
      <c r="T240" s="172">
        <f t="shared" si="83"/>
        <v>8</v>
      </c>
      <c r="U240" s="247">
        <f t="shared" si="84"/>
        <v>2.4572926008478455</v>
      </c>
      <c r="V240" s="378">
        <f t="shared" si="85"/>
        <v>219.13519223028675</v>
      </c>
      <c r="W240" s="397">
        <f t="shared" si="86"/>
        <v>150.17883183135038</v>
      </c>
      <c r="X240" s="153">
        <f t="shared" si="87"/>
        <v>46248</v>
      </c>
      <c r="Y240" s="380">
        <f t="shared" si="88"/>
        <v>144.37590773788355</v>
      </c>
      <c r="Z240" s="380">
        <f t="shared" si="89"/>
        <v>148.02624184304474</v>
      </c>
      <c r="AA240" s="381">
        <f t="shared" si="90"/>
        <v>156.58844508131421</v>
      </c>
      <c r="AB240" s="193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5.4679661924117245E-2</v>
      </c>
      <c r="AD240" s="227">
        <f>(INDEX(Models!$BJ240:$BT240,,AH240)*(1-AF240)+INDEX(Models!$BJ240:$BT240,,AH240+1)*AF240-ERP_i)*AE240*Ramure*Pc/MaxiM</f>
        <v>3.4013686252758548E-4</v>
      </c>
      <c r="AE240" s="301">
        <f t="shared" si="92"/>
        <v>0.5</v>
      </c>
      <c r="AF240" s="173">
        <f t="shared" si="93"/>
        <v>0.45729260084784551</v>
      </c>
      <c r="AG240" s="801">
        <f t="shared" si="99"/>
        <v>2</v>
      </c>
      <c r="AH240" s="172">
        <f t="shared" si="94"/>
        <v>8</v>
      </c>
      <c r="AI240" s="221">
        <f t="shared" si="95"/>
        <v>2.4572926008478455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46249</v>
      </c>
      <c r="B241" s="406">
        <f>'2025'!Wh/'2025'!Env_an*'2026'!Env_an</f>
        <v>154.58932929136159</v>
      </c>
      <c r="C241" s="831"/>
      <c r="D241" s="388">
        <f t="shared" si="77"/>
        <v>158.50006458641687</v>
      </c>
      <c r="E241" s="380">
        <f t="shared" si="100"/>
        <v>161.20134609318518</v>
      </c>
      <c r="F241" s="380">
        <f t="shared" si="78"/>
        <v>161.23348056266502</v>
      </c>
      <c r="G241" s="110">
        <f t="shared" si="101"/>
        <v>0.70766745589051505</v>
      </c>
      <c r="H241" s="409" t="b">
        <f>Wh_hp&gt;='2025'!Maxi_hp</f>
        <v>0</v>
      </c>
      <c r="I241" s="375">
        <f>IF(H241,Wh_hp,'2025'!Maxi_hp)</f>
        <v>161.2526894058478</v>
      </c>
      <c r="J241" s="85">
        <f>IF(H241,An,'2025'!An_max)</f>
        <v>2022</v>
      </c>
      <c r="K241" s="193">
        <f t="shared" si="79"/>
        <v>46249</v>
      </c>
      <c r="L241" s="143">
        <f>IF(t&lt;Tvie,1-EXP((T0-t)*PertePVj)+'2025'!Pspv,1-EXP((T0-t)*PertePVj)+Pspv)</f>
        <v>2.4673398747563691E-2</v>
      </c>
      <c r="M241" s="835"/>
      <c r="N241" s="835"/>
      <c r="O241" s="48">
        <f>IF(t&lt;Tnet,'2025'!Resal+('2025'!Salim-'2025'!Resal)*(1-EXP(('2025'!Tnet-t)/('2025'!Tau_j))),Resal+(Salim-Resal)*(1-EXP((Tnet-t)/(Tau_j))))*Salcycl</f>
        <v>1.6757189516313272E-2</v>
      </c>
      <c r="P241" s="334">
        <f>(INDEX(Models!$BJ241:$BT241,,T241)*(1-R241)+INDEX(Models!$BJ241:$BT241,,T241+1)*R241-ERP_i)*Q241*Ramure*Pc/MaxiM</f>
        <v>3.4213712226020213E-4</v>
      </c>
      <c r="Q241" s="301">
        <f t="shared" si="80"/>
        <v>0.5</v>
      </c>
      <c r="R241" s="173">
        <f t="shared" si="81"/>
        <v>0.45851598537088556</v>
      </c>
      <c r="S241" s="801">
        <f t="shared" si="82"/>
        <v>2</v>
      </c>
      <c r="T241" s="172">
        <f t="shared" si="83"/>
        <v>8</v>
      </c>
      <c r="U241" s="247">
        <f t="shared" si="84"/>
        <v>2.4585159853708856</v>
      </c>
      <c r="V241" s="378">
        <f t="shared" si="85"/>
        <v>218.41790677075323</v>
      </c>
      <c r="W241" s="397">
        <f t="shared" si="86"/>
        <v>154.58932929136159</v>
      </c>
      <c r="X241" s="153">
        <f t="shared" si="87"/>
        <v>46249</v>
      </c>
      <c r="Y241" s="380">
        <f t="shared" si="88"/>
        <v>148.62235093505558</v>
      </c>
      <c r="Z241" s="380">
        <f t="shared" si="89"/>
        <v>152.38213614209502</v>
      </c>
      <c r="AA241" s="381">
        <f t="shared" si="90"/>
        <v>161.20134609318518</v>
      </c>
      <c r="AB241" s="193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5.4709282303338054E-2</v>
      </c>
      <c r="AD241" s="227">
        <f>(INDEX(Models!$BJ241:$BT241,,AH241)*(1-AF241)+INDEX(Models!$BJ241:$BT241,,AH241+1)*AF241-ERP_i)*AE241*Ramure*Pc/MaxiM</f>
        <v>3.4213712226020213E-4</v>
      </c>
      <c r="AE241" s="301">
        <f t="shared" si="92"/>
        <v>0.5</v>
      </c>
      <c r="AF241" s="173">
        <f t="shared" si="93"/>
        <v>0.45851598537088556</v>
      </c>
      <c r="AG241" s="801">
        <f t="shared" si="99"/>
        <v>2</v>
      </c>
      <c r="AH241" s="172">
        <f t="shared" si="94"/>
        <v>8</v>
      </c>
      <c r="AI241" s="221">
        <f t="shared" si="95"/>
        <v>2.4585159853708856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46250</v>
      </c>
      <c r="B242" s="406">
        <f>'2025'!Wh/'2025'!Env_an*'2026'!Env_an</f>
        <v>139.06799332350451</v>
      </c>
      <c r="C242" s="831"/>
      <c r="D242" s="388">
        <f t="shared" si="77"/>
        <v>142.5880283538124</v>
      </c>
      <c r="E242" s="380">
        <f t="shared" si="100"/>
        <v>145.02886405934922</v>
      </c>
      <c r="F242" s="380">
        <f t="shared" si="78"/>
        <v>145.05299930710734</v>
      </c>
      <c r="G242" s="110">
        <f t="shared" si="101"/>
        <v>0.63872518293693015</v>
      </c>
      <c r="H242" s="409" t="b">
        <f>Wh_hp&gt;='2025'!Maxi_hp</f>
        <v>0</v>
      </c>
      <c r="I242" s="375">
        <f>IF(H242,Wh_hp,'2025'!Maxi_hp)</f>
        <v>145.07444437533258</v>
      </c>
      <c r="J242" s="85">
        <f>IF(H242,An,'2025'!An_max)</f>
        <v>2022</v>
      </c>
      <c r="K242" s="193">
        <f t="shared" si="79"/>
        <v>46250</v>
      </c>
      <c r="L242" s="143">
        <f>IF(t&lt;Tvie,1-EXP((T0-t)*PertePVj)+'2025'!Pspv,1-EXP((T0-t)*PertePVj)+Pspv)</f>
        <v>2.4686750149692904E-2</v>
      </c>
      <c r="M242" s="835"/>
      <c r="N242" s="835"/>
      <c r="O242" s="48">
        <f>IF(t&lt;Tnet,'2025'!Resal+('2025'!Salim-'2025'!Resal)*(1-EXP(('2025'!Tnet-t)/('2025'!Tau_j))),Resal+(Salim-Resal)*(1-EXP((Tnet-t)/(Tau_j))))*Salcycl</f>
        <v>1.6829999471953131E-2</v>
      </c>
      <c r="P242" s="334">
        <f>(INDEX(Models!$BJ242:$BT242,,T242)*(1-R242)+INDEX(Models!$BJ242:$BT242,,T242+1)*R242-ERP_i)*Q242*Ramure*Pc/MaxiM</f>
        <v>3.4374020926542659E-4</v>
      </c>
      <c r="Q242" s="301">
        <f t="shared" si="80"/>
        <v>0.5</v>
      </c>
      <c r="R242" s="173">
        <f t="shared" si="81"/>
        <v>0.45969613699890477</v>
      </c>
      <c r="S242" s="801">
        <f t="shared" si="82"/>
        <v>2</v>
      </c>
      <c r="T242" s="172">
        <f t="shared" si="83"/>
        <v>8</v>
      </c>
      <c r="U242" s="247">
        <f t="shared" si="84"/>
        <v>2.4596961369989048</v>
      </c>
      <c r="V242" s="378">
        <f t="shared" si="85"/>
        <v>217.68881058698236</v>
      </c>
      <c r="W242" s="397">
        <f t="shared" si="86"/>
        <v>139.06799332350451</v>
      </c>
      <c r="X242" s="153">
        <f t="shared" si="87"/>
        <v>46250</v>
      </c>
      <c r="Y242" s="380">
        <f t="shared" si="88"/>
        <v>133.70585813181017</v>
      </c>
      <c r="Z242" s="380">
        <f t="shared" si="89"/>
        <v>137.09016887890286</v>
      </c>
      <c r="AA242" s="381">
        <f t="shared" si="90"/>
        <v>145.02886405934922</v>
      </c>
      <c r="AB242" s="193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5.4738725507755805E-2</v>
      </c>
      <c r="AD242" s="227">
        <f>(INDEX(Models!$BJ242:$BT242,,AH242)*(1-AF242)+INDEX(Models!$BJ242:$BT242,,AH242+1)*AF242-ERP_i)*AE242*Ramure*Pc/MaxiM</f>
        <v>3.4374020926542659E-4</v>
      </c>
      <c r="AE242" s="301">
        <f t="shared" si="92"/>
        <v>0.5</v>
      </c>
      <c r="AF242" s="173">
        <f t="shared" si="93"/>
        <v>0.45969613699890477</v>
      </c>
      <c r="AG242" s="801">
        <f t="shared" si="99"/>
        <v>2</v>
      </c>
      <c r="AH242" s="172">
        <f t="shared" si="94"/>
        <v>8</v>
      </c>
      <c r="AI242" s="221">
        <f t="shared" si="95"/>
        <v>2.4596961369989048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46251</v>
      </c>
      <c r="B243" s="406">
        <f>'2025'!Wh/'2025'!Env_an*'2026'!Env_an</f>
        <v>107.10270553365753</v>
      </c>
      <c r="C243" s="831"/>
      <c r="D243" s="388">
        <f t="shared" si="77"/>
        <v>109.8151508925616</v>
      </c>
      <c r="E243" s="380">
        <f t="shared" si="100"/>
        <v>111.70323463192625</v>
      </c>
      <c r="F243" s="380">
        <f t="shared" si="78"/>
        <v>111.71389671711349</v>
      </c>
      <c r="G243" s="110">
        <f t="shared" si="101"/>
        <v>0.49355737419370022</v>
      </c>
      <c r="H243" s="409" t="b">
        <f>Wh_hp&gt;='2025'!Maxi_hp</f>
        <v>0</v>
      </c>
      <c r="I243" s="375">
        <f>IF(H243,Wh_hp,'2025'!Maxi_hp)</f>
        <v>111.73711703322597</v>
      </c>
      <c r="J243" s="85">
        <f>IF(H243,An,'2025'!An_max)</f>
        <v>2022</v>
      </c>
      <c r="K243" s="193">
        <f t="shared" si="79"/>
        <v>46251</v>
      </c>
      <c r="L243" s="143">
        <f>IF(t&lt;Tvie,1-EXP((T0-t)*PertePVj)+'2025'!Pspv,1-EXP((T0-t)*PertePVj)+Pspv)</f>
        <v>2.4700101369052541E-2</v>
      </c>
      <c r="M243" s="835"/>
      <c r="N243" s="835"/>
      <c r="O243" s="48">
        <f>IF(t&lt;Tnet,'2025'!Resal+('2025'!Salim-'2025'!Resal)*(1-EXP(('2025'!Tnet-t)/('2025'!Tau_j))),Resal+(Salim-Resal)*(1-EXP((Tnet-t)/(Tau_j))))*Salcycl</f>
        <v>1.6902677398609654E-2</v>
      </c>
      <c r="P243" s="334">
        <f>(INDEX(Models!$BJ243:$BT243,,T243)*(1-R243)+INDEX(Models!$BJ243:$BT243,,T243+1)*R243-ERP_i)*Q243*Ramure*Pc/MaxiM</f>
        <v>3.4494269725155239E-4</v>
      </c>
      <c r="Q243" s="301">
        <f t="shared" si="80"/>
        <v>0.5</v>
      </c>
      <c r="R243" s="173">
        <f t="shared" si="81"/>
        <v>0.46083436303375702</v>
      </c>
      <c r="S243" s="801">
        <f t="shared" si="82"/>
        <v>2</v>
      </c>
      <c r="T243" s="172">
        <f t="shared" si="83"/>
        <v>8</v>
      </c>
      <c r="U243" s="247">
        <f t="shared" si="84"/>
        <v>2.460834363033757</v>
      </c>
      <c r="V243" s="378">
        <f t="shared" si="85"/>
        <v>216.94738296703432</v>
      </c>
      <c r="W243" s="397">
        <f t="shared" si="86"/>
        <v>107.10270553365753</v>
      </c>
      <c r="X243" s="153">
        <f t="shared" si="87"/>
        <v>46251</v>
      </c>
      <c r="Y243" s="380">
        <f t="shared" si="88"/>
        <v>102.97750147712382</v>
      </c>
      <c r="Z243" s="380">
        <f t="shared" si="89"/>
        <v>105.58547337252458</v>
      </c>
      <c r="AA243" s="381">
        <f t="shared" si="90"/>
        <v>111.70323463192625</v>
      </c>
      <c r="AB243" s="193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5.4767986617042311E-2</v>
      </c>
      <c r="AD243" s="227">
        <f>(INDEX(Models!$BJ243:$BT243,,AH243)*(1-AF243)+INDEX(Models!$BJ243:$BT243,,AH243+1)*AF243-ERP_i)*AE243*Ramure*Pc/MaxiM</f>
        <v>3.4494269725155239E-4</v>
      </c>
      <c r="AE243" s="301">
        <f t="shared" si="92"/>
        <v>0.5</v>
      </c>
      <c r="AF243" s="173">
        <f t="shared" si="93"/>
        <v>0.46083436303375702</v>
      </c>
      <c r="AG243" s="801">
        <f t="shared" si="99"/>
        <v>2</v>
      </c>
      <c r="AH243" s="172">
        <f t="shared" si="94"/>
        <v>8</v>
      </c>
      <c r="AI243" s="221">
        <f t="shared" si="95"/>
        <v>2.460834363033757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46252</v>
      </c>
      <c r="B244" s="406">
        <f>'2025'!Wh/'2025'!Env_an*'2026'!Env_an</f>
        <v>131.50901814134531</v>
      </c>
      <c r="C244" s="831"/>
      <c r="D244" s="388">
        <f t="shared" si="77"/>
        <v>134.84141503410041</v>
      </c>
      <c r="E244" s="380">
        <f t="shared" si="100"/>
        <v>137.16990450653211</v>
      </c>
      <c r="F244" s="380">
        <f t="shared" si="78"/>
        <v>137.19079474055366</v>
      </c>
      <c r="G244" s="110">
        <f t="shared" si="101"/>
        <v>0.6081765292218182</v>
      </c>
      <c r="H244" s="409" t="b">
        <f>Wh_hp&gt;='2025'!Maxi_hp</f>
        <v>0</v>
      </c>
      <c r="I244" s="375">
        <f>IF(H244,Wh_hp,'2025'!Maxi_hp)</f>
        <v>137.21289143208358</v>
      </c>
      <c r="J244" s="85">
        <f>IF(H244,An,'2025'!An_max)</f>
        <v>2022</v>
      </c>
      <c r="K244" s="193">
        <f t="shared" si="79"/>
        <v>46252</v>
      </c>
      <c r="L244" s="143">
        <f>IF(t&lt;Tvie,1-EXP((T0-t)*PertePVj)+'2025'!Pspv,1-EXP((T0-t)*PertePVj)+Pspv)</f>
        <v>2.4713452405645264E-2</v>
      </c>
      <c r="M244" s="835"/>
      <c r="N244" s="835"/>
      <c r="O244" s="48">
        <f>IF(t&lt;Tnet,'2025'!Resal+('2025'!Salim-'2025'!Resal)*(1-EXP(('2025'!Tnet-t)/('2025'!Tau_j))),Resal+(Salim-Resal)*(1-EXP((Tnet-t)/(Tau_j))))*Salcycl</f>
        <v>1.697522121057405E-2</v>
      </c>
      <c r="P244" s="334">
        <f>(INDEX(Models!$BJ244:$BT244,,T244)*(1-R244)+INDEX(Models!$BJ244:$BT244,,T244+1)*R244-ERP_i)*Q244*Ramure*Pc/MaxiM</f>
        <v>3.4574106983519123E-4</v>
      </c>
      <c r="Q244" s="301">
        <f t="shared" si="80"/>
        <v>0.5</v>
      </c>
      <c r="R244" s="173">
        <f t="shared" si="81"/>
        <v>0.46193194783857061</v>
      </c>
      <c r="S244" s="801">
        <f t="shared" si="82"/>
        <v>2</v>
      </c>
      <c r="T244" s="172">
        <f t="shared" si="83"/>
        <v>8</v>
      </c>
      <c r="U244" s="247">
        <f t="shared" si="84"/>
        <v>2.4619319478385706</v>
      </c>
      <c r="V244" s="378">
        <f t="shared" si="85"/>
        <v>216.19310338740743</v>
      </c>
      <c r="W244" s="397">
        <f t="shared" si="86"/>
        <v>131.50901814134531</v>
      </c>
      <c r="X244" s="153">
        <f t="shared" si="87"/>
        <v>46252</v>
      </c>
      <c r="Y244" s="380">
        <f t="shared" si="88"/>
        <v>126.44921393089797</v>
      </c>
      <c r="Z244" s="380">
        <f t="shared" si="89"/>
        <v>129.65339698655544</v>
      </c>
      <c r="AA244" s="381">
        <f t="shared" si="90"/>
        <v>137.16990450653211</v>
      </c>
      <c r="AB244" s="193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5.4797060237209108E-2</v>
      </c>
      <c r="AD244" s="227">
        <f>(INDEX(Models!$BJ244:$BT244,,AH244)*(1-AF244)+INDEX(Models!$BJ244:$BT244,,AH244+1)*AF244-ERP_i)*AE244*Ramure*Pc/MaxiM</f>
        <v>3.4574106983519123E-4</v>
      </c>
      <c r="AE244" s="301">
        <f t="shared" si="92"/>
        <v>0.5</v>
      </c>
      <c r="AF244" s="173">
        <f t="shared" si="93"/>
        <v>0.46193194783857061</v>
      </c>
      <c r="AG244" s="801">
        <f t="shared" si="99"/>
        <v>2</v>
      </c>
      <c r="AH244" s="172">
        <f t="shared" si="94"/>
        <v>8</v>
      </c>
      <c r="AI244" s="221">
        <f t="shared" si="95"/>
        <v>2.4619319478385706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46253</v>
      </c>
      <c r="B245" s="406">
        <f>'2025'!Wh/'2025'!Env_an*'2026'!Env_an</f>
        <v>141.88923932566644</v>
      </c>
      <c r="C245" s="831"/>
      <c r="D245" s="388">
        <f t="shared" si="77"/>
        <v>145.48665932774156</v>
      </c>
      <c r="E245" s="380">
        <f t="shared" si="100"/>
        <v>148.00987674528778</v>
      </c>
      <c r="F245" s="380">
        <f t="shared" si="78"/>
        <v>148.03612967513709</v>
      </c>
      <c r="G245" s="110">
        <f t="shared" si="101"/>
        <v>0.6585353984706479</v>
      </c>
      <c r="H245" s="409" t="b">
        <f>Wh_hp&gt;='2025'!Maxi_hp</f>
        <v>0</v>
      </c>
      <c r="I245" s="375">
        <f>IF(H245,Wh_hp,'2025'!Maxi_hp)</f>
        <v>148.05691589601781</v>
      </c>
      <c r="J245" s="85">
        <f>IF(H245,An,'2025'!An_max)</f>
        <v>2022</v>
      </c>
      <c r="K245" s="193">
        <f t="shared" si="79"/>
        <v>46253</v>
      </c>
      <c r="L245" s="143">
        <f>IF(t&lt;Tvie,1-EXP((T0-t)*PertePVj)+'2025'!Pspv,1-EXP((T0-t)*PertePVj)+Pspv)</f>
        <v>2.4726803259473518E-2</v>
      </c>
      <c r="M245" s="835"/>
      <c r="N245" s="835"/>
      <c r="O245" s="48">
        <f>IF(t&lt;Tnet,'2025'!Resal+('2025'!Salim-'2025'!Resal)*(1-EXP(('2025'!Tnet-t)/('2025'!Tau_j))),Resal+(Salim-Resal)*(1-EXP((Tnet-t)/(Tau_j))))*Salcycl</f>
        <v>1.7047628665271063E-2</v>
      </c>
      <c r="P245" s="334">
        <f>(INDEX(Models!$BJ245:$BT245,,T245)*(1-R245)+INDEX(Models!$BJ245:$BT245,,T245+1)*R245-ERP_i)*Q245*Ramure*Pc/MaxiM</f>
        <v>3.4613171031217497E-4</v>
      </c>
      <c r="Q245" s="301">
        <f t="shared" si="80"/>
        <v>0.5</v>
      </c>
      <c r="R245" s="173">
        <f t="shared" si="81"/>
        <v>0.46299015188801018</v>
      </c>
      <c r="S245" s="801">
        <f t="shared" si="82"/>
        <v>2</v>
      </c>
      <c r="T245" s="172">
        <f t="shared" si="83"/>
        <v>8</v>
      </c>
      <c r="U245" s="247">
        <f t="shared" si="84"/>
        <v>2.4629901518880102</v>
      </c>
      <c r="V245" s="378">
        <f t="shared" si="85"/>
        <v>215.42545150033007</v>
      </c>
      <c r="W245" s="397">
        <f t="shared" si="86"/>
        <v>141.88923932566644</v>
      </c>
      <c r="X245" s="153">
        <f t="shared" si="87"/>
        <v>46253</v>
      </c>
      <c r="Y245" s="380">
        <f t="shared" si="88"/>
        <v>136.43593752613955</v>
      </c>
      <c r="Z245" s="380">
        <f t="shared" si="89"/>
        <v>139.89509604295895</v>
      </c>
      <c r="AA245" s="381">
        <f t="shared" si="90"/>
        <v>148.00987674528778</v>
      </c>
      <c r="AB245" s="193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5.4825940543776402E-2</v>
      </c>
      <c r="AD245" s="227">
        <f>(INDEX(Models!$BJ245:$BT245,,AH245)*(1-AF245)+INDEX(Models!$BJ245:$BT245,,AH245+1)*AF245-ERP_i)*AE245*Ramure*Pc/MaxiM</f>
        <v>3.4613171031217497E-4</v>
      </c>
      <c r="AE245" s="301">
        <f t="shared" si="92"/>
        <v>0.5</v>
      </c>
      <c r="AF245" s="173">
        <f t="shared" si="93"/>
        <v>0.46299015188801018</v>
      </c>
      <c r="AG245" s="801">
        <f t="shared" si="99"/>
        <v>2</v>
      </c>
      <c r="AH245" s="172">
        <f t="shared" si="94"/>
        <v>8</v>
      </c>
      <c r="AI245" s="221">
        <f t="shared" si="95"/>
        <v>2.4629901518880102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46254</v>
      </c>
      <c r="B246" s="406">
        <f>'2025'!Wh/'2025'!Env_an*'2026'!Env_an</f>
        <v>207.25870391836344</v>
      </c>
      <c r="C246" s="831"/>
      <c r="D246" s="388">
        <f t="shared" si="77"/>
        <v>212.51639217349876</v>
      </c>
      <c r="E246" s="380">
        <f t="shared" si="100"/>
        <v>216.21802252935427</v>
      </c>
      <c r="F246" s="380">
        <f t="shared" si="78"/>
        <v>216.28920301763532</v>
      </c>
      <c r="G246" s="110">
        <f t="shared" si="101"/>
        <v>0.96557679917944861</v>
      </c>
      <c r="H246" s="409" t="b">
        <f>Wh_hp&gt;='2025'!Maxi_hp</f>
        <v>0</v>
      </c>
      <c r="I246" s="375">
        <f>IF(H246,Wh_hp,'2025'!Maxi_hp)</f>
        <v>216.29226150112041</v>
      </c>
      <c r="J246" s="85">
        <f>IF(H246,An,'2025'!An_max)</f>
        <v>2022</v>
      </c>
      <c r="K246" s="193">
        <f t="shared" si="79"/>
        <v>46254</v>
      </c>
      <c r="L246" s="143">
        <f>IF(t&lt;Tvie,1-EXP((T0-t)*PertePVj)+'2025'!Pspv,1-EXP((T0-t)*PertePVj)+Pspv)</f>
        <v>2.4740153930539743E-2</v>
      </c>
      <c r="M246" s="835"/>
      <c r="N246" s="835"/>
      <c r="O246" s="48">
        <f>IF(t&lt;Tnet,'2025'!Resal+('2025'!Salim-'2025'!Resal)*(1-EXP(('2025'!Tnet-t)/('2025'!Tau_j))),Resal+(Salim-Resal)*(1-EXP((Tnet-t)/(Tau_j))))*Salcycl</f>
        <v>1.7119897372814885E-2</v>
      </c>
      <c r="P246" s="334">
        <f>(INDEX(Models!$BJ246:$BT246,,T246)*(1-R246)+INDEX(Models!$BJ246:$BT246,,T246+1)*R246-ERP_i)*Q246*Ramure*Pc/MaxiM</f>
        <v>3.4611089119005844E-4</v>
      </c>
      <c r="Q246" s="301">
        <f t="shared" si="80"/>
        <v>0.5</v>
      </c>
      <c r="R246" s="173">
        <f t="shared" si="81"/>
        <v>0.46401021095729522</v>
      </c>
      <c r="S246" s="801">
        <f t="shared" si="82"/>
        <v>2</v>
      </c>
      <c r="T246" s="172">
        <f t="shared" si="83"/>
        <v>8</v>
      </c>
      <c r="U246" s="247">
        <f t="shared" si="84"/>
        <v>2.4640102109572952</v>
      </c>
      <c r="V246" s="378">
        <f t="shared" si="85"/>
        <v>214.64390714656608</v>
      </c>
      <c r="W246" s="397">
        <f t="shared" si="86"/>
        <v>207.25870391836344</v>
      </c>
      <c r="X246" s="153">
        <f t="shared" si="87"/>
        <v>46254</v>
      </c>
      <c r="Y246" s="380">
        <f t="shared" si="88"/>
        <v>199.3016296454249</v>
      </c>
      <c r="Z246" s="380">
        <f t="shared" si="89"/>
        <v>204.35746478096073</v>
      </c>
      <c r="AA246" s="381">
        <f t="shared" si="90"/>
        <v>216.21802252935427</v>
      </c>
      <c r="AB246" s="193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5.4854621319938034E-2</v>
      </c>
      <c r="AD246" s="227">
        <f>(INDEX(Models!$BJ246:$BT246,,AH246)*(1-AF246)+INDEX(Models!$BJ246:$BT246,,AH246+1)*AF246-ERP_i)*AE246*Ramure*Pc/MaxiM</f>
        <v>3.4611089119005844E-4</v>
      </c>
      <c r="AE246" s="301">
        <f t="shared" si="92"/>
        <v>0.5</v>
      </c>
      <c r="AF246" s="173">
        <f t="shared" si="93"/>
        <v>0.46401021095729522</v>
      </c>
      <c r="AG246" s="801">
        <f t="shared" si="99"/>
        <v>2</v>
      </c>
      <c r="AH246" s="172">
        <f t="shared" si="94"/>
        <v>8</v>
      </c>
      <c r="AI246" s="221">
        <f t="shared" si="95"/>
        <v>2.4640102109572952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46255</v>
      </c>
      <c r="B247" s="406">
        <f>'2025'!Wh/'2025'!Env_an*'2026'!Env_an</f>
        <v>132.22402981398946</v>
      </c>
      <c r="C247" s="831"/>
      <c r="D247" s="388">
        <f t="shared" si="77"/>
        <v>135.58011273364957</v>
      </c>
      <c r="E247" s="380">
        <f t="shared" si="100"/>
        <v>137.95178321241633</v>
      </c>
      <c r="F247" s="380">
        <f t="shared" si="78"/>
        <v>137.97347052744584</v>
      </c>
      <c r="G247" s="110">
        <f t="shared" si="101"/>
        <v>0.61818826554590534</v>
      </c>
      <c r="H247" s="409" t="b">
        <f>Wh_hp&gt;='2025'!Maxi_hp</f>
        <v>0</v>
      </c>
      <c r="I247" s="375">
        <f>IF(H247,Wh_hp,'2025'!Maxi_hp)</f>
        <v>137.99506704811625</v>
      </c>
      <c r="J247" s="85">
        <f>IF(H247,An,'2025'!An_max)</f>
        <v>2022</v>
      </c>
      <c r="K247" s="193">
        <f t="shared" si="79"/>
        <v>46255</v>
      </c>
      <c r="L247" s="143">
        <f>IF(t&lt;Tvie,1-EXP((T0-t)*PertePVj)+'2025'!Pspv,1-EXP((T0-t)*PertePVj)+Pspv)</f>
        <v>2.4753504418846495E-2</v>
      </c>
      <c r="M247" s="835"/>
      <c r="N247" s="835"/>
      <c r="O247" s="48">
        <f>IF(t&lt;Tnet,'2025'!Resal+('2025'!Salim-'2025'!Resal)*(1-EXP(('2025'!Tnet-t)/('2025'!Tau_j))),Resal+(Salim-Resal)*(1-EXP((Tnet-t)/(Tau_j))))*Salcycl</f>
        <v>1.7192024804165672E-2</v>
      </c>
      <c r="P247" s="334">
        <f>(INDEX(Models!$BJ247:$BT247,,T247)*(1-R247)+INDEX(Models!$BJ247:$BT247,,T247+1)*R247-ERP_i)*Q247*Ramure*Pc/MaxiM</f>
        <v>3.4567264687130071E-4</v>
      </c>
      <c r="Q247" s="301">
        <f t="shared" si="80"/>
        <v>0.5</v>
      </c>
      <c r="R247" s="173">
        <f t="shared" si="81"/>
        <v>0.46499333544095967</v>
      </c>
      <c r="S247" s="801">
        <f t="shared" si="82"/>
        <v>2</v>
      </c>
      <c r="T247" s="172">
        <f t="shared" si="83"/>
        <v>8</v>
      </c>
      <c r="U247" s="247">
        <f t="shared" si="84"/>
        <v>2.4649933354409597</v>
      </c>
      <c r="V247" s="378">
        <f t="shared" si="85"/>
        <v>213.84926020857557</v>
      </c>
      <c r="W247" s="397">
        <f t="shared" si="86"/>
        <v>132.22402981398946</v>
      </c>
      <c r="X247" s="153">
        <f t="shared" si="87"/>
        <v>46255</v>
      </c>
      <c r="Y247" s="380">
        <f t="shared" si="88"/>
        <v>127.15318642861709</v>
      </c>
      <c r="Z247" s="380">
        <f t="shared" si="89"/>
        <v>130.38056225246518</v>
      </c>
      <c r="AA247" s="381">
        <f t="shared" si="90"/>
        <v>137.95178321241633</v>
      </c>
      <c r="AB247" s="193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5.4883095989365152E-2</v>
      </c>
      <c r="AD247" s="227">
        <f>(INDEX(Models!$BJ247:$BT247,,AH247)*(1-AF247)+INDEX(Models!$BJ247:$BT247,,AH247+1)*AF247-ERP_i)*AE247*Ramure*Pc/MaxiM</f>
        <v>3.4567264687130071E-4</v>
      </c>
      <c r="AE247" s="301">
        <f t="shared" si="92"/>
        <v>0.5</v>
      </c>
      <c r="AF247" s="173">
        <f t="shared" si="93"/>
        <v>0.46499333544095967</v>
      </c>
      <c r="AG247" s="801">
        <f t="shared" si="99"/>
        <v>2</v>
      </c>
      <c r="AH247" s="172">
        <f t="shared" si="94"/>
        <v>8</v>
      </c>
      <c r="AI247" s="221">
        <f t="shared" si="95"/>
        <v>2.4649933354409597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46256</v>
      </c>
      <c r="B248" s="406">
        <f>'2025'!Wh/'2025'!Env_an*'2026'!Env_an</f>
        <v>104.27346292617626</v>
      </c>
      <c r="C248" s="831"/>
      <c r="D248" s="388">
        <f t="shared" si="77"/>
        <v>106.92157401675297</v>
      </c>
      <c r="E248" s="380">
        <f t="shared" si="100"/>
        <v>108.7998963297856</v>
      </c>
      <c r="F248" s="380">
        <f t="shared" si="78"/>
        <v>108.81004468673673</v>
      </c>
      <c r="G248" s="110">
        <f t="shared" si="101"/>
        <v>0.48932564148436508</v>
      </c>
      <c r="H248" s="409" t="b">
        <f>Wh_hp&gt;='2025'!Maxi_hp</f>
        <v>0</v>
      </c>
      <c r="I248" s="375">
        <f>IF(H248,Wh_hp,'2025'!Maxi_hp)</f>
        <v>108.83273565768181</v>
      </c>
      <c r="J248" s="85">
        <f>IF(H248,An,'2025'!An_max)</f>
        <v>2022</v>
      </c>
      <c r="K248" s="193">
        <f t="shared" si="79"/>
        <v>46256</v>
      </c>
      <c r="L248" s="143">
        <f>IF(t&lt;Tvie,1-EXP((T0-t)*PertePVj)+'2025'!Pspv,1-EXP((T0-t)*PertePVj)+Pspv)</f>
        <v>2.4766854724396326E-2</v>
      </c>
      <c r="M248" s="835"/>
      <c r="N248" s="835"/>
      <c r="O248" s="48">
        <f>IF(t&lt;Tnet,'2025'!Resal+('2025'!Salim-'2025'!Resal)*(1-EXP(('2025'!Tnet-t)/('2025'!Tau_j))),Resal+(Salim-Resal)*(1-EXP((Tnet-t)/(Tau_j))))*Salcycl</f>
        <v>1.7264008297757934E-2</v>
      </c>
      <c r="P248" s="334">
        <f>(INDEX(Models!$BJ248:$BT248,,T248)*(1-R248)+INDEX(Models!$BJ248:$BT248,,T248+1)*R248-ERP_i)*Q248*Ramure*Pc/MaxiM</f>
        <v>3.4461423613278865E-4</v>
      </c>
      <c r="Q248" s="301">
        <f t="shared" si="80"/>
        <v>0.5</v>
      </c>
      <c r="R248" s="173">
        <f t="shared" si="81"/>
        <v>0.46594070979257785</v>
      </c>
      <c r="S248" s="801">
        <f t="shared" si="82"/>
        <v>2</v>
      </c>
      <c r="T248" s="172">
        <f t="shared" si="83"/>
        <v>8</v>
      </c>
      <c r="U248" s="247">
        <f t="shared" si="84"/>
        <v>2.4659407097925778</v>
      </c>
      <c r="V248" s="378">
        <f t="shared" si="85"/>
        <v>213.04269134626446</v>
      </c>
      <c r="W248" s="397">
        <f t="shared" si="86"/>
        <v>104.27346292617626</v>
      </c>
      <c r="X248" s="153">
        <f t="shared" si="87"/>
        <v>46256</v>
      </c>
      <c r="Y248" s="380">
        <f t="shared" si="88"/>
        <v>100.27888094341989</v>
      </c>
      <c r="Z248" s="380">
        <f t="shared" si="89"/>
        <v>102.82554631085759</v>
      </c>
      <c r="AA248" s="381">
        <f t="shared" si="90"/>
        <v>108.7998963297856</v>
      </c>
      <c r="AB248" s="193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5.4911357643384388E-2</v>
      </c>
      <c r="AD248" s="227">
        <f>(INDEX(Models!$BJ248:$BT248,,AH248)*(1-AF248)+INDEX(Models!$BJ248:$BT248,,AH248+1)*AF248-ERP_i)*AE248*Ramure*Pc/MaxiM</f>
        <v>3.4461423613278865E-4</v>
      </c>
      <c r="AE248" s="301">
        <f t="shared" si="92"/>
        <v>0.5</v>
      </c>
      <c r="AF248" s="173">
        <f t="shared" si="93"/>
        <v>0.46594070979257785</v>
      </c>
      <c r="AG248" s="801">
        <f t="shared" si="99"/>
        <v>2</v>
      </c>
      <c r="AH248" s="172">
        <f t="shared" si="94"/>
        <v>8</v>
      </c>
      <c r="AI248" s="221">
        <f t="shared" si="95"/>
        <v>2.4659407097925778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46257</v>
      </c>
      <c r="B249" s="406">
        <f>'2025'!Wh/'2025'!Env_an*'2026'!Env_an</f>
        <v>180.97155456151245</v>
      </c>
      <c r="C249" s="831"/>
      <c r="D249" s="388">
        <f t="shared" si="77"/>
        <v>185.57001761142041</v>
      </c>
      <c r="E249" s="380">
        <f t="shared" si="100"/>
        <v>188.84378419562989</v>
      </c>
      <c r="F249" s="380">
        <f t="shared" si="78"/>
        <v>188.89493893290103</v>
      </c>
      <c r="G249" s="110">
        <f t="shared" si="101"/>
        <v>0.85267606775654581</v>
      </c>
      <c r="H249" s="409" t="b">
        <f>Wh_hp&gt;='2025'!Maxi_hp</f>
        <v>0</v>
      </c>
      <c r="I249" s="375">
        <f>IF(H249,Wh_hp,'2025'!Maxi_hp)</f>
        <v>188.9062372791623</v>
      </c>
      <c r="J249" s="85">
        <f>IF(H249,An,'2025'!An_max)</f>
        <v>2022</v>
      </c>
      <c r="K249" s="193">
        <f t="shared" si="79"/>
        <v>46257</v>
      </c>
      <c r="L249" s="143">
        <f>IF(t&lt;Tvie,1-EXP((T0-t)*PertePVj)+'2025'!Pspv,1-EXP((T0-t)*PertePVj)+Pspv)</f>
        <v>2.4780204847191678E-2</v>
      </c>
      <c r="M249" s="835"/>
      <c r="N249" s="835"/>
      <c r="O249" s="48">
        <f>IF(t&lt;Tnet,'2025'!Resal+('2025'!Salim-'2025'!Resal)*(1-EXP(('2025'!Tnet-t)/('2025'!Tau_j))),Resal+(Salim-Resal)*(1-EXP((Tnet-t)/(Tau_j))))*Salcycl</f>
        <v>1.7335845064500897E-2</v>
      </c>
      <c r="P249" s="334">
        <f>(INDEX(Models!$BJ249:$BT249,,T249)*(1-R249)+INDEX(Models!$BJ249:$BT249,,T249+1)*R249-ERP_i)*Q249*Ramure*Pc/MaxiM</f>
        <v>3.4296086065136735E-4</v>
      </c>
      <c r="Q249" s="301">
        <f t="shared" si="80"/>
        <v>0.5</v>
      </c>
      <c r="R249" s="173">
        <f t="shared" si="81"/>
        <v>0.46685349207696447</v>
      </c>
      <c r="S249" s="801">
        <f t="shared" si="82"/>
        <v>2</v>
      </c>
      <c r="T249" s="172">
        <f t="shared" si="83"/>
        <v>8</v>
      </c>
      <c r="U249" s="247">
        <f t="shared" si="84"/>
        <v>2.4668534920769645</v>
      </c>
      <c r="V249" s="378">
        <f t="shared" si="85"/>
        <v>212.22419709978593</v>
      </c>
      <c r="W249" s="397">
        <f t="shared" si="86"/>
        <v>180.97155456151245</v>
      </c>
      <c r="X249" s="153">
        <f t="shared" si="87"/>
        <v>46257</v>
      </c>
      <c r="Y249" s="380">
        <f t="shared" si="88"/>
        <v>174.04632625248007</v>
      </c>
      <c r="Z249" s="380">
        <f t="shared" si="89"/>
        <v>178.46882017525962</v>
      </c>
      <c r="AA249" s="381">
        <f t="shared" si="90"/>
        <v>188.84378419562989</v>
      </c>
      <c r="AB249" s="193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5.4939399062361997E-2</v>
      </c>
      <c r="AD249" s="227">
        <f>(INDEX(Models!$BJ249:$BT249,,AH249)*(1-AF249)+INDEX(Models!$BJ249:$BT249,,AH249+1)*AF249-ERP_i)*AE249*Ramure*Pc/MaxiM</f>
        <v>3.4296086065136735E-4</v>
      </c>
      <c r="AE249" s="301">
        <f t="shared" si="92"/>
        <v>0.5</v>
      </c>
      <c r="AF249" s="173">
        <f t="shared" si="93"/>
        <v>0.46685349207696447</v>
      </c>
      <c r="AG249" s="801">
        <f t="shared" si="99"/>
        <v>2</v>
      </c>
      <c r="AH249" s="172">
        <f t="shared" si="94"/>
        <v>8</v>
      </c>
      <c r="AI249" s="221">
        <f t="shared" si="95"/>
        <v>2.4668534920769645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46258</v>
      </c>
      <c r="B250" s="406">
        <f>'2025'!Wh/'2025'!Env_an*'2026'!Env_an</f>
        <v>192.75252125399911</v>
      </c>
      <c r="C250" s="831"/>
      <c r="D250" s="388">
        <f t="shared" si="77"/>
        <v>197.65304279951252</v>
      </c>
      <c r="E250" s="380">
        <f t="shared" si="100"/>
        <v>201.15464882430709</v>
      </c>
      <c r="F250" s="380">
        <f t="shared" si="78"/>
        <v>201.21456763071072</v>
      </c>
      <c r="G250" s="110">
        <f t="shared" si="101"/>
        <v>0.91177822295537259</v>
      </c>
      <c r="H250" s="409" t="b">
        <f>Wh_hp&gt;='2025'!Maxi_hp</f>
        <v>0</v>
      </c>
      <c r="I250" s="375">
        <f>IF(H250,Wh_hp,'2025'!Maxi_hp)</f>
        <v>201.22172147178324</v>
      </c>
      <c r="J250" s="85">
        <f>IF(H250,An,'2025'!An_max)</f>
        <v>2022</v>
      </c>
      <c r="K250" s="193">
        <f t="shared" si="79"/>
        <v>46258</v>
      </c>
      <c r="L250" s="143">
        <f>IF(t&lt;Tvie,1-EXP((T0-t)*PertePVj)+'2025'!Pspv,1-EXP((T0-t)*PertePVj)+Pspv)</f>
        <v>2.4793554787234995E-2</v>
      </c>
      <c r="M250" s="835"/>
      <c r="N250" s="835"/>
      <c r="O250" s="48">
        <f>IF(t&lt;Tnet,'2025'!Resal+('2025'!Salim-'2025'!Resal)*(1-EXP(('2025'!Tnet-t)/('2025'!Tau_j))),Resal+(Salim-Resal)*(1-EXP((Tnet-t)/(Tau_j))))*Salcycl</f>
        <v>1.7407532191080217E-2</v>
      </c>
      <c r="P250" s="334">
        <f>(INDEX(Models!$BJ250:$BT250,,T250)*(1-R250)+INDEX(Models!$BJ250:$BT250,,T250+1)*R250-ERP_i)*Q250*Ramure*Pc/MaxiM</f>
        <v>3.4070614825405863E-4</v>
      </c>
      <c r="Q250" s="301">
        <f t="shared" si="80"/>
        <v>0.5</v>
      </c>
      <c r="R250" s="173">
        <f t="shared" si="81"/>
        <v>0.46773281362662855</v>
      </c>
      <c r="S250" s="801">
        <f t="shared" si="82"/>
        <v>2</v>
      </c>
      <c r="T250" s="172">
        <f t="shared" si="83"/>
        <v>8</v>
      </c>
      <c r="U250" s="247">
        <f t="shared" si="84"/>
        <v>2.4677328136266286</v>
      </c>
      <c r="V250" s="378">
        <f t="shared" si="85"/>
        <v>211.39378074467669</v>
      </c>
      <c r="W250" s="397">
        <f t="shared" si="86"/>
        <v>192.75252125399911</v>
      </c>
      <c r="X250" s="153">
        <f t="shared" si="87"/>
        <v>46258</v>
      </c>
      <c r="Y250" s="380">
        <f t="shared" si="88"/>
        <v>185.38453975730474</v>
      </c>
      <c r="Z250" s="380">
        <f t="shared" si="89"/>
        <v>190.09773845050685</v>
      </c>
      <c r="AA250" s="381">
        <f t="shared" si="90"/>
        <v>201.15464882430709</v>
      </c>
      <c r="AB250" s="193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5.4967212731223514E-2</v>
      </c>
      <c r="AD250" s="227">
        <f>(INDEX(Models!$BJ250:$BT250,,AH250)*(1-AF250)+INDEX(Models!$BJ250:$BT250,,AH250+1)*AF250-ERP_i)*AE250*Ramure*Pc/MaxiM</f>
        <v>3.4070614825405863E-4</v>
      </c>
      <c r="AE250" s="301">
        <f t="shared" si="92"/>
        <v>0.5</v>
      </c>
      <c r="AF250" s="173">
        <f t="shared" si="93"/>
        <v>0.46773281362662855</v>
      </c>
      <c r="AG250" s="801">
        <f t="shared" si="99"/>
        <v>2</v>
      </c>
      <c r="AH250" s="172">
        <f t="shared" si="94"/>
        <v>8</v>
      </c>
      <c r="AI250" s="221">
        <f t="shared" si="95"/>
        <v>2.4677328136266286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46259</v>
      </c>
      <c r="B251" s="406">
        <f>'2025'!Wh/'2025'!Env_an*'2026'!Env_an</f>
        <v>135.01446499649279</v>
      </c>
      <c r="C251" s="831"/>
      <c r="D251" s="388">
        <f t="shared" si="77"/>
        <v>138.44895500765753</v>
      </c>
      <c r="E251" s="380">
        <f t="shared" si="100"/>
        <v>140.91196462797777</v>
      </c>
      <c r="F251" s="380">
        <f t="shared" si="78"/>
        <v>140.93517594498834</v>
      </c>
      <c r="G251" s="110">
        <f t="shared" si="101"/>
        <v>0.64113111762071762</v>
      </c>
      <c r="H251" s="409" t="b">
        <f>Wh_hp&gt;='2025'!Maxi_hp</f>
        <v>0</v>
      </c>
      <c r="I251" s="375">
        <f>IF(H251,Wh_hp,'2025'!Maxi_hp)</f>
        <v>140.95537461468533</v>
      </c>
      <c r="J251" s="85">
        <f>IF(H251,An,'2025'!An_max)</f>
        <v>2022</v>
      </c>
      <c r="K251" s="193">
        <f t="shared" si="79"/>
        <v>46259</v>
      </c>
      <c r="L251" s="143">
        <f>IF(t&lt;Tvie,1-EXP((T0-t)*PertePVj)+'2025'!Pspv,1-EXP((T0-t)*PertePVj)+Pspv)</f>
        <v>2.480690454452894E-2</v>
      </c>
      <c r="M251" s="835"/>
      <c r="N251" s="835"/>
      <c r="O251" s="48">
        <f>IF(t&lt;Tnet,'2025'!Resal+('2025'!Salim-'2025'!Resal)*(1-EXP(('2025'!Tnet-t)/('2025'!Tau_j))),Resal+(Salim-Resal)*(1-EXP((Tnet-t)/(Tau_j))))*Salcycl</f>
        <v>1.7479066641522111E-2</v>
      </c>
      <c r="P251" s="334">
        <f>(INDEX(Models!$BJ251:$BT251,,T251)*(1-R251)+INDEX(Models!$BJ251:$BT251,,T251+1)*R251-ERP_i)*Q251*Ramure*Pc/MaxiM</f>
        <v>3.3784362704152233E-4</v>
      </c>
      <c r="Q251" s="301">
        <f t="shared" si="80"/>
        <v>0.5</v>
      </c>
      <c r="R251" s="173">
        <f t="shared" si="81"/>
        <v>0.46857977879459334</v>
      </c>
      <c r="S251" s="801">
        <f t="shared" si="82"/>
        <v>2</v>
      </c>
      <c r="T251" s="172">
        <f t="shared" si="83"/>
        <v>8</v>
      </c>
      <c r="U251" s="247">
        <f t="shared" si="84"/>
        <v>2.4685797787945933</v>
      </c>
      <c r="V251" s="378">
        <f t="shared" si="85"/>
        <v>210.55144550726209</v>
      </c>
      <c r="W251" s="397">
        <f t="shared" si="86"/>
        <v>135.01446499649279</v>
      </c>
      <c r="X251" s="153">
        <f t="shared" si="87"/>
        <v>46259</v>
      </c>
      <c r="Y251" s="380">
        <f t="shared" si="88"/>
        <v>129.85919017142294</v>
      </c>
      <c r="Z251" s="380">
        <f t="shared" si="89"/>
        <v>133.16254060512114</v>
      </c>
      <c r="AA251" s="381">
        <f t="shared" si="90"/>
        <v>140.91196462797777</v>
      </c>
      <c r="AB251" s="193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5.4994790849136964E-2</v>
      </c>
      <c r="AD251" s="227">
        <f>(INDEX(Models!$BJ251:$BT251,,AH251)*(1-AF251)+INDEX(Models!$BJ251:$BT251,,AH251+1)*AF251-ERP_i)*AE251*Ramure*Pc/MaxiM</f>
        <v>3.3784362704152233E-4</v>
      </c>
      <c r="AE251" s="301">
        <f t="shared" si="92"/>
        <v>0.5</v>
      </c>
      <c r="AF251" s="173">
        <f t="shared" si="93"/>
        <v>0.46857977879459334</v>
      </c>
      <c r="AG251" s="801">
        <f t="shared" si="99"/>
        <v>2</v>
      </c>
      <c r="AH251" s="172">
        <f t="shared" si="94"/>
        <v>8</v>
      </c>
      <c r="AI251" s="221">
        <f t="shared" si="95"/>
        <v>2.4685797787945933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46260</v>
      </c>
      <c r="B252" s="406">
        <f>'2025'!Wh/'2025'!Env_an*'2026'!Env_an</f>
        <v>182.29877362685349</v>
      </c>
      <c r="C252" s="831"/>
      <c r="D252" s="388">
        <f t="shared" si="77"/>
        <v>186.93863812991185</v>
      </c>
      <c r="E252" s="380">
        <f t="shared" si="100"/>
        <v>190.27810357022932</v>
      </c>
      <c r="F252" s="380">
        <f t="shared" si="78"/>
        <v>190.32986491136973</v>
      </c>
      <c r="G252" s="110">
        <f t="shared" si="101"/>
        <v>0.86928865923898568</v>
      </c>
      <c r="H252" s="409" t="b">
        <f>Wh_hp&gt;='2025'!Maxi_hp</f>
        <v>0</v>
      </c>
      <c r="I252" s="375">
        <f>IF(H252,Wh_hp,'2025'!Maxi_hp)</f>
        <v>190.33969049923974</v>
      </c>
      <c r="J252" s="85">
        <f>IF(H252,An,'2025'!An_max)</f>
        <v>2022</v>
      </c>
      <c r="K252" s="193">
        <f t="shared" si="79"/>
        <v>46260</v>
      </c>
      <c r="L252" s="143">
        <f>IF(t&lt;Tvie,1-EXP((T0-t)*PertePVj)+'2025'!Pspv,1-EXP((T0-t)*PertePVj)+Pspv)</f>
        <v>2.4820254119075846E-2</v>
      </c>
      <c r="M252" s="835"/>
      <c r="N252" s="835"/>
      <c r="O252" s="48">
        <f>IF(t&lt;Tnet,'2025'!Resal+('2025'!Salim-'2025'!Resal)*(1-EXP(('2025'!Tnet-t)/('2025'!Tau_j))),Resal+(Salim-Resal)*(1-EXP((Tnet-t)/(Tau_j))))*Salcycl</f>
        <v>1.7550445257012506E-2</v>
      </c>
      <c r="P252" s="334">
        <f>(INDEX(Models!$BJ252:$BT252,,T252)*(1-R252)+INDEX(Models!$BJ252:$BT252,,T252+1)*R252-ERP_i)*Q252*Ramure*Pc/MaxiM</f>
        <v>3.3436644590553299E-4</v>
      </c>
      <c r="Q252" s="301">
        <f t="shared" si="80"/>
        <v>0.5</v>
      </c>
      <c r="R252" s="173">
        <f t="shared" si="81"/>
        <v>0.46939546479599681</v>
      </c>
      <c r="S252" s="801">
        <f t="shared" si="82"/>
        <v>2</v>
      </c>
      <c r="T252" s="172">
        <f t="shared" si="83"/>
        <v>8</v>
      </c>
      <c r="U252" s="247">
        <f t="shared" si="84"/>
        <v>2.4693954647959968</v>
      </c>
      <c r="V252" s="378">
        <f t="shared" si="85"/>
        <v>209.69719464236894</v>
      </c>
      <c r="W252" s="397">
        <f t="shared" si="86"/>
        <v>182.29877362685349</v>
      </c>
      <c r="X252" s="153">
        <f t="shared" si="87"/>
        <v>46260</v>
      </c>
      <c r="Y252" s="380">
        <f t="shared" si="88"/>
        <v>175.34570281451448</v>
      </c>
      <c r="Z252" s="380">
        <f t="shared" si="89"/>
        <v>179.80859790737014</v>
      </c>
      <c r="AA252" s="381">
        <f t="shared" si="90"/>
        <v>190.27810357022932</v>
      </c>
      <c r="AB252" s="193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5.5022125333485994E-2</v>
      </c>
      <c r="AD252" s="227">
        <f>(INDEX(Models!$BJ252:$BT252,,AH252)*(1-AF252)+INDEX(Models!$BJ252:$BT252,,AH252+1)*AF252-ERP_i)*AE252*Ramure*Pc/MaxiM</f>
        <v>3.3436644590553299E-4</v>
      </c>
      <c r="AE252" s="301">
        <f t="shared" si="92"/>
        <v>0.5</v>
      </c>
      <c r="AF252" s="173">
        <f t="shared" si="93"/>
        <v>0.46939546479599681</v>
      </c>
      <c r="AG252" s="801">
        <f t="shared" si="99"/>
        <v>2</v>
      </c>
      <c r="AH252" s="172">
        <f t="shared" si="94"/>
        <v>8</v>
      </c>
      <c r="AI252" s="221">
        <f t="shared" si="95"/>
        <v>2.4693954647959968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46261</v>
      </c>
      <c r="B253" s="406">
        <f>'2025'!Wh/'2025'!Env_an*'2026'!Env_an</f>
        <v>199.41464007034713</v>
      </c>
      <c r="C253" s="831"/>
      <c r="D253" s="388">
        <f t="shared" si="77"/>
        <v>204.49293657810293</v>
      </c>
      <c r="E253" s="380">
        <f t="shared" si="100"/>
        <v>208.16108136881363</v>
      </c>
      <c r="F253" s="380">
        <f t="shared" si="78"/>
        <v>208.22542159903884</v>
      </c>
      <c r="G253" s="110">
        <f t="shared" si="101"/>
        <v>0.95488872043124717</v>
      </c>
      <c r="H253" s="409" t="b">
        <f>Wh_hp&gt;='2025'!Maxi_hp</f>
        <v>0</v>
      </c>
      <c r="I253" s="375">
        <f>IF(H253,Wh_hp,'2025'!Maxi_hp)</f>
        <v>208.22908354447418</v>
      </c>
      <c r="J253" s="85">
        <f>IF(H253,An,'2025'!An_max)</f>
        <v>2022</v>
      </c>
      <c r="K253" s="193">
        <f t="shared" si="79"/>
        <v>46261</v>
      </c>
      <c r="L253" s="143">
        <f>IF(t&lt;Tvie,1-EXP((T0-t)*PertePVj)+'2025'!Pspv,1-EXP((T0-t)*PertePVj)+Pspv)</f>
        <v>2.4833603510878266E-2</v>
      </c>
      <c r="M253" s="835"/>
      <c r="N253" s="835"/>
      <c r="O253" s="48">
        <f>IF(t&lt;Tnet,'2025'!Resal+('2025'!Salim-'2025'!Resal)*(1-EXP(('2025'!Tnet-t)/('2025'!Tau_j))),Resal+(Salim-Resal)*(1-EXP((Tnet-t)/(Tau_j))))*Salcycl</f>
        <v>1.7621664753996881E-2</v>
      </c>
      <c r="P253" s="334">
        <f>(INDEX(Models!$BJ253:$BT253,,T253)*(1-R253)+INDEX(Models!$BJ253:$BT253,,T253+1)*R253-ERP_i)*Q253*Ramure*Pc/MaxiM</f>
        <v>3.3026755708018767E-4</v>
      </c>
      <c r="Q253" s="301">
        <f t="shared" si="80"/>
        <v>0.5</v>
      </c>
      <c r="R253" s="173">
        <f t="shared" si="81"/>
        <v>0.47018092163124425</v>
      </c>
      <c r="S253" s="801">
        <f t="shared" si="82"/>
        <v>2</v>
      </c>
      <c r="T253" s="172">
        <f t="shared" si="83"/>
        <v>8</v>
      </c>
      <c r="U253" s="247">
        <f t="shared" si="84"/>
        <v>2.4701809216312443</v>
      </c>
      <c r="V253" s="378">
        <f t="shared" si="85"/>
        <v>208.83103137087338</v>
      </c>
      <c r="W253" s="397">
        <f t="shared" si="86"/>
        <v>199.41464007034713</v>
      </c>
      <c r="X253" s="153">
        <f t="shared" si="87"/>
        <v>46261</v>
      </c>
      <c r="Y253" s="380">
        <f t="shared" si="88"/>
        <v>191.81715979099263</v>
      </c>
      <c r="Z253" s="380">
        <f t="shared" si="89"/>
        <v>196.70197874084806</v>
      </c>
      <c r="AA253" s="381">
        <f t="shared" si="90"/>
        <v>208.16108136881363</v>
      </c>
      <c r="AB253" s="193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5.504920781835615E-2</v>
      </c>
      <c r="AD253" s="227">
        <f>(INDEX(Models!$BJ253:$BT253,,AH253)*(1-AF253)+INDEX(Models!$BJ253:$BT253,,AH253+1)*AF253-ERP_i)*AE253*Ramure*Pc/MaxiM</f>
        <v>3.3026755708018767E-4</v>
      </c>
      <c r="AE253" s="301">
        <f t="shared" si="92"/>
        <v>0.5</v>
      </c>
      <c r="AF253" s="173">
        <f t="shared" si="93"/>
        <v>0.47018092163124425</v>
      </c>
      <c r="AG253" s="801">
        <f t="shared" si="99"/>
        <v>2</v>
      </c>
      <c r="AH253" s="172">
        <f t="shared" si="94"/>
        <v>8</v>
      </c>
      <c r="AI253" s="221">
        <f t="shared" si="95"/>
        <v>2.4701809216312443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46262</v>
      </c>
      <c r="B254" s="406">
        <f>'2025'!Wh/'2025'!Env_an*'2026'!Env_an</f>
        <v>196.3834476615128</v>
      </c>
      <c r="C254" s="831"/>
      <c r="D254" s="388">
        <f t="shared" si="77"/>
        <v>201.38730859660845</v>
      </c>
      <c r="E254" s="380">
        <f t="shared" si="100"/>
        <v>205.01457441032133</v>
      </c>
      <c r="F254" s="380">
        <f t="shared" si="78"/>
        <v>205.07607837128973</v>
      </c>
      <c r="G254" s="110">
        <f t="shared" si="101"/>
        <v>0.94434055447705878</v>
      </c>
      <c r="H254" s="409" t="b">
        <f>Wh_hp&gt;='2025'!Maxi_hp</f>
        <v>0</v>
      </c>
      <c r="I254" s="375">
        <f>IF(H254,Wh_hp,'2025'!Maxi_hp)</f>
        <v>205.08046560040967</v>
      </c>
      <c r="J254" s="85">
        <f>IF(H254,An,'2025'!An_max)</f>
        <v>2022</v>
      </c>
      <c r="K254" s="193">
        <f t="shared" si="79"/>
        <v>46262</v>
      </c>
      <c r="L254" s="143">
        <f>IF(t&lt;Tvie,1-EXP((T0-t)*PertePVj)+'2025'!Pspv,1-EXP((T0-t)*PertePVj)+Pspv)</f>
        <v>2.4846952719938753E-2</v>
      </c>
      <c r="M254" s="835"/>
      <c r="N254" s="835"/>
      <c r="O254" s="48">
        <f>IF(t&lt;Tnet,'2025'!Resal+('2025'!Salim-'2025'!Resal)*(1-EXP(('2025'!Tnet-t)/('2025'!Tau_j))),Resal+(Salim-Resal)*(1-EXP((Tnet-t)/(Tau_j))))*Salcycl</f>
        <v>1.7692721720618629E-2</v>
      </c>
      <c r="P254" s="334">
        <f>(INDEX(Models!$BJ254:$BT254,,T254)*(1-R254)+INDEX(Models!$BJ254:$BT254,,T254+1)*R254-ERP_i)*Q254*Ramure*Pc/MaxiM</f>
        <v>3.2580231726953056E-4</v>
      </c>
      <c r="Q254" s="301">
        <f t="shared" si="80"/>
        <v>0.5</v>
      </c>
      <c r="R254" s="173">
        <f t="shared" si="81"/>
        <v>0.47093717208380381</v>
      </c>
      <c r="S254" s="801">
        <f t="shared" si="82"/>
        <v>2</v>
      </c>
      <c r="T254" s="172">
        <f t="shared" si="83"/>
        <v>8</v>
      </c>
      <c r="U254" s="247">
        <f t="shared" si="84"/>
        <v>2.4709371720838038</v>
      </c>
      <c r="V254" s="378">
        <f t="shared" si="85"/>
        <v>207.95290427156752</v>
      </c>
      <c r="W254" s="397">
        <f t="shared" si="86"/>
        <v>196.3834476615128</v>
      </c>
      <c r="X254" s="153">
        <f t="shared" si="87"/>
        <v>46262</v>
      </c>
      <c r="Y254" s="380">
        <f t="shared" si="88"/>
        <v>188.90975479770614</v>
      </c>
      <c r="Z254" s="380">
        <f t="shared" si="89"/>
        <v>193.72318563185681</v>
      </c>
      <c r="AA254" s="381">
        <f t="shared" si="90"/>
        <v>205.01457441032133</v>
      </c>
      <c r="AB254" s="193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5.5076029647851556E-2</v>
      </c>
      <c r="AD254" s="227">
        <f>(INDEX(Models!$BJ254:$BT254,,AH254)*(1-AF254)+INDEX(Models!$BJ254:$BT254,,AH254+1)*AF254-ERP_i)*AE254*Ramure*Pc/MaxiM</f>
        <v>3.2580231726953056E-4</v>
      </c>
      <c r="AE254" s="301">
        <f t="shared" si="92"/>
        <v>0.5</v>
      </c>
      <c r="AF254" s="173">
        <f t="shared" si="93"/>
        <v>0.47093717208380381</v>
      </c>
      <c r="AG254" s="801">
        <f t="shared" si="99"/>
        <v>2</v>
      </c>
      <c r="AH254" s="172">
        <f t="shared" si="94"/>
        <v>8</v>
      </c>
      <c r="AI254" s="221">
        <f t="shared" si="95"/>
        <v>2.4709371720838038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46263</v>
      </c>
      <c r="B255" s="406">
        <f>'2025'!Wh/'2025'!Env_an*'2026'!Env_an</f>
        <v>132.19612408264416</v>
      </c>
      <c r="C255" s="831"/>
      <c r="D255" s="388">
        <f t="shared" si="77"/>
        <v>135.56634430879825</v>
      </c>
      <c r="E255" s="380">
        <f t="shared" si="100"/>
        <v>138.01804336453503</v>
      </c>
      <c r="F255" s="380">
        <f t="shared" si="78"/>
        <v>138.03949139768011</v>
      </c>
      <c r="G255" s="110">
        <f t="shared" si="101"/>
        <v>0.63832914313810851</v>
      </c>
      <c r="H255" s="409" t="b">
        <f>Wh_hp&gt;='2025'!Maxi_hp</f>
        <v>0</v>
      </c>
      <c r="I255" s="375">
        <f>IF(H255,Wh_hp,'2025'!Maxi_hp)</f>
        <v>138.05841280962883</v>
      </c>
      <c r="J255" s="85">
        <f>IF(H255,An,'2025'!An_max)</f>
        <v>2022</v>
      </c>
      <c r="K255" s="193">
        <f t="shared" si="79"/>
        <v>46263</v>
      </c>
      <c r="L255" s="143">
        <f>IF(t&lt;Tvie,1-EXP((T0-t)*PertePVj)+'2025'!Pspv,1-EXP((T0-t)*PertePVj)+Pspv)</f>
        <v>2.4860301746259861E-2</v>
      </c>
      <c r="M255" s="835"/>
      <c r="N255" s="835"/>
      <c r="O255" s="48">
        <f>IF(t&lt;Tnet,'2025'!Resal+('2025'!Salim-'2025'!Resal)*(1-EXP(('2025'!Tnet-t)/('2025'!Tau_j))),Resal+(Salim-Resal)*(1-EXP((Tnet-t)/(Tau_j))))*Salcycl</f>
        <v>1.7763612611586665E-2</v>
      </c>
      <c r="P255" s="334">
        <f>(INDEX(Models!$BJ255:$BT255,,T255)*(1-R255)+INDEX(Models!$BJ255:$BT255,,T255+1)*R255-ERP_i)*Q255*Ramure*Pc/MaxiM</f>
        <v>3.2137102365552484E-4</v>
      </c>
      <c r="Q255" s="301">
        <f t="shared" si="80"/>
        <v>0.5</v>
      </c>
      <c r="R255" s="173">
        <f t="shared" si="81"/>
        <v>0.47166521178609866</v>
      </c>
      <c r="S255" s="801">
        <f t="shared" si="82"/>
        <v>2</v>
      </c>
      <c r="T255" s="172">
        <f t="shared" si="83"/>
        <v>8</v>
      </c>
      <c r="U255" s="247">
        <f t="shared" si="84"/>
        <v>2.4716652117860987</v>
      </c>
      <c r="V255" s="378">
        <f t="shared" si="85"/>
        <v>207.06273276631649</v>
      </c>
      <c r="W255" s="397">
        <f t="shared" si="86"/>
        <v>132.19612408264416</v>
      </c>
      <c r="X255" s="153">
        <f t="shared" si="87"/>
        <v>46263</v>
      </c>
      <c r="Y255" s="380">
        <f t="shared" si="88"/>
        <v>127.17078896385459</v>
      </c>
      <c r="Z255" s="380">
        <f t="shared" si="89"/>
        <v>130.41289283124192</v>
      </c>
      <c r="AA255" s="381">
        <f t="shared" si="90"/>
        <v>138.01804336453503</v>
      </c>
      <c r="AB255" s="193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5.5102581864649974E-2</v>
      </c>
      <c r="AD255" s="227">
        <f>(INDEX(Models!$BJ255:$BT255,,AH255)*(1-AF255)+INDEX(Models!$BJ255:$BT255,,AH255+1)*AF255-ERP_i)*AE255*Ramure*Pc/MaxiM</f>
        <v>3.2137102365552484E-4</v>
      </c>
      <c r="AE255" s="301">
        <f t="shared" si="92"/>
        <v>0.5</v>
      </c>
      <c r="AF255" s="173">
        <f t="shared" si="93"/>
        <v>0.47166521178609866</v>
      </c>
      <c r="AG255" s="801">
        <f t="shared" si="99"/>
        <v>2</v>
      </c>
      <c r="AH255" s="172">
        <f t="shared" si="94"/>
        <v>8</v>
      </c>
      <c r="AI255" s="221">
        <f t="shared" si="95"/>
        <v>2.4716652117860987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46264</v>
      </c>
      <c r="B256" s="406">
        <f>'2025'!Wh/'2025'!Env_an*'2026'!Env_an</f>
        <v>196.29366379372561</v>
      </c>
      <c r="C256" s="831"/>
      <c r="D256" s="388">
        <f t="shared" si="77"/>
        <v>201.30074826965924</v>
      </c>
      <c r="E256" s="380">
        <f t="shared" si="100"/>
        <v>204.95600201188202</v>
      </c>
      <c r="F256" s="380">
        <f t="shared" si="78"/>
        <v>205.0165437985047</v>
      </c>
      <c r="G256" s="110">
        <f t="shared" si="101"/>
        <v>0.9521192916491874</v>
      </c>
      <c r="H256" s="409" t="b">
        <f>Wh_hp&gt;='2025'!Maxi_hp</f>
        <v>0</v>
      </c>
      <c r="I256" s="375">
        <f>IF(H256,Wh_hp,'2025'!Maxi_hp)</f>
        <v>205.02021150821608</v>
      </c>
      <c r="J256" s="85">
        <f>IF(H256,An,'2025'!An_max)</f>
        <v>2022</v>
      </c>
      <c r="K256" s="193">
        <f t="shared" si="79"/>
        <v>46264</v>
      </c>
      <c r="L256" s="143">
        <f>IF(t&lt;Tvie,1-EXP((T0-t)*PertePVj)+'2025'!Pspv,1-EXP((T0-t)*PertePVj)+Pspv)</f>
        <v>2.4873650589843921E-2</v>
      </c>
      <c r="M256" s="835"/>
      <c r="N256" s="835"/>
      <c r="O256" s="48">
        <f>IF(t&lt;Tnet,'2025'!Resal+('2025'!Salim-'2025'!Resal)*(1-EXP(('2025'!Tnet-t)/('2025'!Tau_j))),Resal+(Salim-Resal)*(1-EXP((Tnet-t)/(Tau_j))))*Salcycl</f>
        <v>1.7834333741594367E-2</v>
      </c>
      <c r="P256" s="334">
        <f>(INDEX(Models!$BJ256:$BT256,,T256)*(1-R256)+INDEX(Models!$BJ256:$BT256,,T256+1)*R256-ERP_i)*Q256*Ramure*Pc/MaxiM</f>
        <v>3.1697394940520139E-4</v>
      </c>
      <c r="Q256" s="301">
        <f t="shared" si="80"/>
        <v>0.5</v>
      </c>
      <c r="R256" s="173">
        <f t="shared" si="81"/>
        <v>0.47236600934727324</v>
      </c>
      <c r="S256" s="801">
        <f t="shared" si="82"/>
        <v>2</v>
      </c>
      <c r="T256" s="172">
        <f t="shared" si="83"/>
        <v>8</v>
      </c>
      <c r="U256" s="247">
        <f t="shared" si="84"/>
        <v>2.4723660093472732</v>
      </c>
      <c r="V256" s="378">
        <f t="shared" si="85"/>
        <v>206.16052020367147</v>
      </c>
      <c r="W256" s="397">
        <f t="shared" si="86"/>
        <v>196.29366379372561</v>
      </c>
      <c r="X256" s="153">
        <f t="shared" si="87"/>
        <v>46264</v>
      </c>
      <c r="Y256" s="380">
        <f t="shared" si="88"/>
        <v>188.84005539864543</v>
      </c>
      <c r="Z256" s="380">
        <f t="shared" si="89"/>
        <v>193.65701225576854</v>
      </c>
      <c r="AA256" s="381">
        <f t="shared" si="90"/>
        <v>204.95600201188202</v>
      </c>
      <c r="AB256" s="193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5.5128855194289117E-2</v>
      </c>
      <c r="AD256" s="227">
        <f>(INDEX(Models!$BJ256:$BT256,,AH256)*(1-AF256)+INDEX(Models!$BJ256:$BT256,,AH256+1)*AF256-ERP_i)*AE256*Ramure*Pc/MaxiM</f>
        <v>3.1697394940520139E-4</v>
      </c>
      <c r="AE256" s="301">
        <f t="shared" si="92"/>
        <v>0.5</v>
      </c>
      <c r="AF256" s="173">
        <f t="shared" si="93"/>
        <v>0.47236600934727324</v>
      </c>
      <c r="AG256" s="801">
        <f t="shared" si="99"/>
        <v>2</v>
      </c>
      <c r="AH256" s="172">
        <f t="shared" si="94"/>
        <v>8</v>
      </c>
      <c r="AI256" s="221">
        <f t="shared" si="95"/>
        <v>2.4723660093472732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46265</v>
      </c>
      <c r="B257" s="406">
        <f>'2025'!Wh/'2025'!Env_an*'2026'!Env_an</f>
        <v>87.322637942030838</v>
      </c>
      <c r="C257" s="831"/>
      <c r="D257" s="388">
        <f t="shared" si="77"/>
        <v>89.551301105543118</v>
      </c>
      <c r="E257" s="380">
        <f t="shared" si="100"/>
        <v>91.183938702419553</v>
      </c>
      <c r="F257" s="380">
        <f t="shared" si="78"/>
        <v>91.189047637419108</v>
      </c>
      <c r="G257" s="110">
        <f t="shared" si="101"/>
        <v>0.425343812499059</v>
      </c>
      <c r="H257" s="409" t="b">
        <f>Wh_hp&gt;='2025'!Maxi_hp</f>
        <v>0</v>
      </c>
      <c r="I257" s="375">
        <f>IF(H257,Wh_hp,'2025'!Maxi_hp)</f>
        <v>91.208356380608777</v>
      </c>
      <c r="J257" s="85">
        <f>IF(H257,An,'2025'!An_max)</f>
        <v>2022</v>
      </c>
      <c r="K257" s="193">
        <f t="shared" si="79"/>
        <v>46265</v>
      </c>
      <c r="L257" s="143">
        <f>IF(t&lt;Tvie,1-EXP((T0-t)*PertePVj)+'2025'!Pspv,1-EXP((T0-t)*PertePVj)+Pspv)</f>
        <v>2.4886999250693487E-2</v>
      </c>
      <c r="M257" s="835"/>
      <c r="N257" s="835"/>
      <c r="O257" s="48">
        <f>IF(t&lt;Tnet,'2025'!Resal+('2025'!Salim-'2025'!Resal)*(1-EXP(('2025'!Tnet-t)/('2025'!Tau_j))),Resal+(Salim-Resal)*(1-EXP((Tnet-t)/(Tau_j))))*Salcycl</f>
        <v>1.7904881277442719E-2</v>
      </c>
      <c r="P257" s="334">
        <f>(INDEX(Models!$BJ257:$BT257,,T257)*(1-R257)+INDEX(Models!$BJ257:$BT257,,T257+1)*R257-ERP_i)*Q257*Ramure*Pc/MaxiM</f>
        <v>3.1261135030582143E-4</v>
      </c>
      <c r="Q257" s="301">
        <f t="shared" si="80"/>
        <v>0.5</v>
      </c>
      <c r="R257" s="173">
        <f t="shared" si="81"/>
        <v>0.47304050653697338</v>
      </c>
      <c r="S257" s="801">
        <f t="shared" si="82"/>
        <v>2</v>
      </c>
      <c r="T257" s="172">
        <f t="shared" si="83"/>
        <v>8</v>
      </c>
      <c r="U257" s="247">
        <f t="shared" si="84"/>
        <v>2.4730405065369734</v>
      </c>
      <c r="V257" s="378">
        <f t="shared" si="85"/>
        <v>205.24626993506308</v>
      </c>
      <c r="W257" s="397">
        <f t="shared" si="86"/>
        <v>87.322637942030838</v>
      </c>
      <c r="X257" s="153">
        <f t="shared" si="87"/>
        <v>46265</v>
      </c>
      <c r="Y257" s="380">
        <f t="shared" si="88"/>
        <v>84.010571117622163</v>
      </c>
      <c r="Z257" s="380">
        <f t="shared" si="89"/>
        <v>86.154703150369116</v>
      </c>
      <c r="AA257" s="381">
        <f t="shared" si="90"/>
        <v>91.183938702419553</v>
      </c>
      <c r="AB257" s="193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5.515484002575749E-2</v>
      </c>
      <c r="AD257" s="227">
        <f>(INDEX(Models!$BJ257:$BT257,,AH257)*(1-AF257)+INDEX(Models!$BJ257:$BT257,,AH257+1)*AF257-ERP_i)*AE257*Ramure*Pc/MaxiM</f>
        <v>3.1261135030582143E-4</v>
      </c>
      <c r="AE257" s="301">
        <f t="shared" si="92"/>
        <v>0.5</v>
      </c>
      <c r="AF257" s="173">
        <f t="shared" si="93"/>
        <v>0.47304050653697338</v>
      </c>
      <c r="AG257" s="801">
        <f t="shared" si="99"/>
        <v>2</v>
      </c>
      <c r="AH257" s="172">
        <f t="shared" si="94"/>
        <v>8</v>
      </c>
      <c r="AI257" s="221">
        <f t="shared" si="95"/>
        <v>2.4730405065369734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46266</v>
      </c>
      <c r="B258" s="406">
        <f>'2025'!Wh/'2025'!Env_an*'2026'!Env_an</f>
        <v>173.67373037410331</v>
      </c>
      <c r="C258" s="831"/>
      <c r="D258" s="388">
        <f t="shared" si="77"/>
        <v>178.10869891050092</v>
      </c>
      <c r="E258" s="380">
        <f t="shared" si="100"/>
        <v>181.36884954621792</v>
      </c>
      <c r="F258" s="380">
        <f t="shared" si="78"/>
        <v>181.41279252830896</v>
      </c>
      <c r="G258" s="110">
        <f t="shared" si="101"/>
        <v>0.84995236735765078</v>
      </c>
      <c r="H258" s="409" t="b">
        <f>Wh_hp&gt;='2025'!Maxi_hp</f>
        <v>0</v>
      </c>
      <c r="I258" s="375">
        <f>IF(H258,Wh_hp,'2025'!Maxi_hp)</f>
        <v>181.4226808178222</v>
      </c>
      <c r="J258" s="85">
        <f>IF(H258,An,'2025'!An_max)</f>
        <v>2022</v>
      </c>
      <c r="K258" s="193">
        <f t="shared" si="79"/>
        <v>46266</v>
      </c>
      <c r="L258" s="143">
        <f>IF(t&lt;Tvie,1-EXP((T0-t)*PertePVj)+'2025'!Pspv,1-EXP((T0-t)*PertePVj)+Pspv)</f>
        <v>2.4900347728811223E-2</v>
      </c>
      <c r="M258" s="835"/>
      <c r="N258" s="835"/>
      <c r="O258" s="48">
        <f>IF(t&lt;Tnet,'2025'!Resal+('2025'!Salim-'2025'!Resal)*(1-EXP(('2025'!Tnet-t)/('2025'!Tau_j))),Resal+(Salim-Resal)*(1-EXP((Tnet-t)/(Tau_j))))*Salcycl</f>
        <v>1.7975251229049707E-2</v>
      </c>
      <c r="P258" s="334">
        <f>(INDEX(Models!$BJ258:$BT258,,T258)*(1-R258)+INDEX(Models!$BJ258:$BT258,,T258+1)*R258-ERP_i)*Q258*Ramure*Pc/MaxiM</f>
        <v>3.0828346560552946E-4</v>
      </c>
      <c r="Q258" s="301">
        <f t="shared" si="80"/>
        <v>0.5</v>
      </c>
      <c r="R258" s="173">
        <f t="shared" si="81"/>
        <v>0.4736896185195949</v>
      </c>
      <c r="S258" s="801">
        <f t="shared" si="82"/>
        <v>2</v>
      </c>
      <c r="T258" s="172">
        <f t="shared" si="83"/>
        <v>8</v>
      </c>
      <c r="U258" s="247">
        <f t="shared" si="84"/>
        <v>2.4736896185195949</v>
      </c>
      <c r="V258" s="378">
        <f t="shared" si="85"/>
        <v>204.31998533191944</v>
      </c>
      <c r="W258" s="397">
        <f t="shared" si="86"/>
        <v>173.67373037410331</v>
      </c>
      <c r="X258" s="153">
        <f t="shared" si="87"/>
        <v>46266</v>
      </c>
      <c r="Y258" s="380">
        <f t="shared" si="88"/>
        <v>167.09387692874301</v>
      </c>
      <c r="Z258" s="380">
        <f t="shared" si="89"/>
        <v>171.3608209576839</v>
      </c>
      <c r="AA258" s="381">
        <f t="shared" si="90"/>
        <v>181.36884954621792</v>
      </c>
      <c r="AB258" s="193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5.5180526389035152E-2</v>
      </c>
      <c r="AD258" s="227">
        <f>(INDEX(Models!$BJ258:$BT258,,AH258)*(1-AF258)+INDEX(Models!$BJ258:$BT258,,AH258+1)*AF258-ERP_i)*AE258*Ramure*Pc/MaxiM</f>
        <v>3.0828346560552946E-4</v>
      </c>
      <c r="AE258" s="301">
        <f t="shared" si="92"/>
        <v>0.5</v>
      </c>
      <c r="AF258" s="173">
        <f t="shared" si="93"/>
        <v>0.4736896185195949</v>
      </c>
      <c r="AG258" s="801">
        <f t="shared" si="99"/>
        <v>2</v>
      </c>
      <c r="AH258" s="172">
        <f t="shared" si="94"/>
        <v>8</v>
      </c>
      <c r="AI258" s="221">
        <f t="shared" si="95"/>
        <v>2.4736896185195949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46267</v>
      </c>
      <c r="B259" s="406">
        <f>'2025'!Wh/'2025'!Env_an*'2026'!Env_an</f>
        <v>171.18377536846725</v>
      </c>
      <c r="C259" s="831"/>
      <c r="D259" s="388">
        <f t="shared" si="77"/>
        <v>175.55756313106377</v>
      </c>
      <c r="E259" s="380">
        <f t="shared" si="100"/>
        <v>178.78379528159158</v>
      </c>
      <c r="F259" s="380">
        <f t="shared" si="78"/>
        <v>178.82586222981061</v>
      </c>
      <c r="G259" s="110">
        <f t="shared" si="101"/>
        <v>0.8416294534851565</v>
      </c>
      <c r="H259" s="409" t="b">
        <f>Wh_hp&gt;='2025'!Maxi_hp</f>
        <v>0</v>
      </c>
      <c r="I259" s="375">
        <f>IF(H259,Wh_hp,'2025'!Maxi_hp)</f>
        <v>178.8360068834514</v>
      </c>
      <c r="J259" s="85">
        <f>IF(H259,An,'2025'!An_max)</f>
        <v>2022</v>
      </c>
      <c r="K259" s="193">
        <f t="shared" si="79"/>
        <v>46267</v>
      </c>
      <c r="L259" s="143">
        <f>IF(t&lt;Tvie,1-EXP((T0-t)*PertePVj)+'2025'!Pspv,1-EXP((T0-t)*PertePVj)+Pspv)</f>
        <v>2.491369602419935E-2</v>
      </c>
      <c r="M259" s="835"/>
      <c r="N259" s="835"/>
      <c r="O259" s="48">
        <f>IF(t&lt;Tnet,'2025'!Resal+('2025'!Salim-'2025'!Resal)*(1-EXP(('2025'!Tnet-t)/('2025'!Tau_j))),Resal+(Salim-Resal)*(1-EXP((Tnet-t)/(Tau_j))))*Salcycl</f>
        <v>1.8045439439555225E-2</v>
      </c>
      <c r="P259" s="334">
        <f>(INDEX(Models!$BJ259:$BT259,,T259)*(1-R259)+INDEX(Models!$BJ259:$BT259,,T259+1)*R259-ERP_i)*Q259*Ramure*Pc/MaxiM</f>
        <v>3.0399051881476721E-4</v>
      </c>
      <c r="Q259" s="301">
        <f t="shared" si="80"/>
        <v>0.5</v>
      </c>
      <c r="R259" s="173">
        <f t="shared" si="81"/>
        <v>0.47431423413380136</v>
      </c>
      <c r="S259" s="801">
        <f t="shared" si="82"/>
        <v>2</v>
      </c>
      <c r="T259" s="172">
        <f t="shared" si="83"/>
        <v>8</v>
      </c>
      <c r="U259" s="247">
        <f t="shared" si="84"/>
        <v>2.4743142341338014</v>
      </c>
      <c r="V259" s="378">
        <f t="shared" si="85"/>
        <v>203.38166977345139</v>
      </c>
      <c r="W259" s="397">
        <f t="shared" si="86"/>
        <v>171.18377536846725</v>
      </c>
      <c r="X259" s="153">
        <f t="shared" si="87"/>
        <v>46267</v>
      </c>
      <c r="Y259" s="380">
        <f t="shared" si="88"/>
        <v>164.70560533752396</v>
      </c>
      <c r="Z259" s="380">
        <f t="shared" si="89"/>
        <v>168.91387425498243</v>
      </c>
      <c r="AA259" s="381">
        <f t="shared" si="90"/>
        <v>178.78379528159158</v>
      </c>
      <c r="AB259" s="193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5.52059039302953E-2</v>
      </c>
      <c r="AD259" s="227">
        <f>(INDEX(Models!$BJ259:$BT259,,AH259)*(1-AF259)+INDEX(Models!$BJ259:$BT259,,AH259+1)*AF259-ERP_i)*AE259*Ramure*Pc/MaxiM</f>
        <v>3.0399051881476721E-4</v>
      </c>
      <c r="AE259" s="301">
        <f t="shared" si="92"/>
        <v>0.5</v>
      </c>
      <c r="AF259" s="173">
        <f t="shared" si="93"/>
        <v>0.47431423413380136</v>
      </c>
      <c r="AG259" s="801">
        <f t="shared" si="99"/>
        <v>2</v>
      </c>
      <c r="AH259" s="172">
        <f t="shared" si="94"/>
        <v>8</v>
      </c>
      <c r="AI259" s="221">
        <f t="shared" si="95"/>
        <v>2.4743142341338014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46268</v>
      </c>
      <c r="B260" s="406">
        <f>'2025'!Wh/'2025'!Env_an*'2026'!Env_an</f>
        <v>133.71433783481447</v>
      </c>
      <c r="C260" s="831"/>
      <c r="D260" s="388">
        <f t="shared" si="77"/>
        <v>137.13264944001025</v>
      </c>
      <c r="E260" s="380">
        <f t="shared" si="100"/>
        <v>139.6627009390441</v>
      </c>
      <c r="F260" s="380">
        <f t="shared" si="78"/>
        <v>139.68426542617925</v>
      </c>
      <c r="G260" s="110">
        <f t="shared" si="101"/>
        <v>0.6604456994285185</v>
      </c>
      <c r="H260" s="409" t="b">
        <f>Wh_hp&gt;='2025'!Maxi_hp</f>
        <v>0</v>
      </c>
      <c r="I260" s="375">
        <f>IF(H260,Wh_hp,'2025'!Maxi_hp)</f>
        <v>139.70102045088095</v>
      </c>
      <c r="J260" s="85">
        <f>IF(H260,An,'2025'!An_max)</f>
        <v>2022</v>
      </c>
      <c r="K260" s="193">
        <f t="shared" si="79"/>
        <v>46268</v>
      </c>
      <c r="L260" s="143">
        <f>IF(t&lt;Tvie,1-EXP((T0-t)*PertePVj)+'2025'!Pspv,1-EXP((T0-t)*PertePVj)+Pspv)</f>
        <v>2.4927044136860643E-2</v>
      </c>
      <c r="M260" s="835"/>
      <c r="N260" s="835"/>
      <c r="O260" s="48">
        <f>IF(t&lt;Tnet,'2025'!Resal+('2025'!Salim-'2025'!Resal)*(1-EXP(('2025'!Tnet-t)/('2025'!Tau_j))),Resal+(Salim-Resal)*(1-EXP((Tnet-t)/(Tau_j))))*Salcycl</f>
        <v>1.8115441574755847E-2</v>
      </c>
      <c r="P260" s="334">
        <f>(INDEX(Models!$BJ260:$BT260,,T260)*(1-R260)+INDEX(Models!$BJ260:$BT260,,T260+1)*R260-ERP_i)*Q260*Ramure*Pc/MaxiM</f>
        <v>2.9973271842962128E-4</v>
      </c>
      <c r="Q260" s="301">
        <f t="shared" si="80"/>
        <v>0.5</v>
      </c>
      <c r="R260" s="173">
        <f t="shared" si="81"/>
        <v>0.47491521621242683</v>
      </c>
      <c r="S260" s="801">
        <f t="shared" si="82"/>
        <v>2</v>
      </c>
      <c r="T260" s="172">
        <f t="shared" si="83"/>
        <v>8</v>
      </c>
      <c r="U260" s="247">
        <f t="shared" si="84"/>
        <v>2.4749152162124268</v>
      </c>
      <c r="V260" s="378">
        <f t="shared" si="85"/>
        <v>202.43132665712906</v>
      </c>
      <c r="W260" s="397">
        <f t="shared" si="86"/>
        <v>133.71433783481447</v>
      </c>
      <c r="X260" s="153">
        <f t="shared" si="87"/>
        <v>46268</v>
      </c>
      <c r="Y260" s="380">
        <f t="shared" si="88"/>
        <v>128.65989718884921</v>
      </c>
      <c r="Z260" s="380">
        <f t="shared" si="89"/>
        <v>131.94899562664912</v>
      </c>
      <c r="AA260" s="381">
        <f t="shared" si="90"/>
        <v>139.6627009390441</v>
      </c>
      <c r="AB260" s="193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5.5230961885533308E-2</v>
      </c>
      <c r="AD260" s="227">
        <f>(INDEX(Models!$BJ260:$BT260,,AH260)*(1-AF260)+INDEX(Models!$BJ260:$BT260,,AH260+1)*AF260-ERP_i)*AE260*Ramure*Pc/MaxiM</f>
        <v>2.9973271842962128E-4</v>
      </c>
      <c r="AE260" s="301">
        <f t="shared" si="92"/>
        <v>0.5</v>
      </c>
      <c r="AF260" s="173">
        <f t="shared" si="93"/>
        <v>0.47491521621242683</v>
      </c>
      <c r="AG260" s="801">
        <f t="shared" si="99"/>
        <v>2</v>
      </c>
      <c r="AH260" s="172">
        <f t="shared" si="94"/>
        <v>8</v>
      </c>
      <c r="AI260" s="221">
        <f t="shared" si="95"/>
        <v>2.4749152162124268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46269</v>
      </c>
      <c r="B261" s="406">
        <f>'2025'!Wh/'2025'!Env_an*'2026'!Env_an</f>
        <v>188.35230275370429</v>
      </c>
      <c r="C261" s="831"/>
      <c r="D261" s="388">
        <f t="shared" si="77"/>
        <v>193.17003926862239</v>
      </c>
      <c r="E261" s="380">
        <f t="shared" si="100"/>
        <v>196.74795054864154</v>
      </c>
      <c r="F261" s="380">
        <f t="shared" si="78"/>
        <v>196.80069818405576</v>
      </c>
      <c r="G261" s="110">
        <f t="shared" si="101"/>
        <v>0.93486919842978056</v>
      </c>
      <c r="H261" s="409" t="b">
        <f>Wh_hp&gt;='2025'!Maxi_hp</f>
        <v>0</v>
      </c>
      <c r="I261" s="375">
        <f>IF(H261,Wh_hp,'2025'!Maxi_hp)</f>
        <v>196.80516308145275</v>
      </c>
      <c r="J261" s="85">
        <f>IF(H261,An,'2025'!An_max)</f>
        <v>2022</v>
      </c>
      <c r="K261" s="193">
        <f t="shared" si="79"/>
        <v>46269</v>
      </c>
      <c r="L261" s="143">
        <f>IF(t&lt;Tvie,1-EXP((T0-t)*PertePVj)+'2025'!Pspv,1-EXP((T0-t)*PertePVj)+Pspv)</f>
        <v>2.4940392066797434E-2</v>
      </c>
      <c r="M261" s="835"/>
      <c r="N261" s="835"/>
      <c r="O261" s="48">
        <f>IF(t&lt;Tnet,'2025'!Resal+('2025'!Salim-'2025'!Resal)*(1-EXP(('2025'!Tnet-t)/('2025'!Tau_j))),Resal+(Salim-Resal)*(1-EXP((Tnet-t)/(Tau_j))))*Salcycl</f>
        <v>1.8185253112126289E-2</v>
      </c>
      <c r="P261" s="334">
        <f>(INDEX(Models!$BJ261:$BT261,,T261)*(1-R261)+INDEX(Models!$BJ261:$BT261,,T261+1)*R261-ERP_i)*Q261*Ramure*Pc/MaxiM</f>
        <v>2.9551025867794887E-4</v>
      </c>
      <c r="Q261" s="301">
        <f t="shared" si="80"/>
        <v>0.5</v>
      </c>
      <c r="R261" s="173">
        <f t="shared" si="81"/>
        <v>0.47549340193819134</v>
      </c>
      <c r="S261" s="801">
        <f t="shared" si="82"/>
        <v>2</v>
      </c>
      <c r="T261" s="172">
        <f t="shared" si="83"/>
        <v>8</v>
      </c>
      <c r="U261" s="247">
        <f t="shared" si="84"/>
        <v>2.4754934019381913</v>
      </c>
      <c r="V261" s="378">
        <f t="shared" si="85"/>
        <v>201.46895939365973</v>
      </c>
      <c r="W261" s="397">
        <f t="shared" si="86"/>
        <v>188.35230275370429</v>
      </c>
      <c r="X261" s="153">
        <f t="shared" si="87"/>
        <v>46269</v>
      </c>
      <c r="Y261" s="380">
        <f t="shared" si="88"/>
        <v>181.24067401135548</v>
      </c>
      <c r="Z261" s="380">
        <f t="shared" si="89"/>
        <v>185.87650697122464</v>
      </c>
      <c r="AA261" s="381">
        <f t="shared" si="90"/>
        <v>196.74795054864154</v>
      </c>
      <c r="AB261" s="193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5.5255689053437813E-2</v>
      </c>
      <c r="AD261" s="227">
        <f>(INDEX(Models!$BJ261:$BT261,,AH261)*(1-AF261)+INDEX(Models!$BJ261:$BT261,,AH261+1)*AF261-ERP_i)*AE261*Ramure*Pc/MaxiM</f>
        <v>2.9551025867794887E-4</v>
      </c>
      <c r="AE261" s="301">
        <f t="shared" si="92"/>
        <v>0.5</v>
      </c>
      <c r="AF261" s="173">
        <f t="shared" si="93"/>
        <v>0.47549340193819134</v>
      </c>
      <c r="AG261" s="801">
        <f t="shared" si="99"/>
        <v>2</v>
      </c>
      <c r="AH261" s="172">
        <f t="shared" si="94"/>
        <v>8</v>
      </c>
      <c r="AI261" s="221">
        <f t="shared" si="95"/>
        <v>2.4754934019381913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46270</v>
      </c>
      <c r="B262" s="406">
        <f>'2025'!Wh/'2025'!Env_an*'2026'!Env_an</f>
        <v>166.34650625682229</v>
      </c>
      <c r="C262" s="831"/>
      <c r="D262" s="388">
        <f t="shared" si="77"/>
        <v>170.60370676678673</v>
      </c>
      <c r="E262" s="380">
        <f t="shared" si="100"/>
        <v>173.77596428749831</v>
      </c>
      <c r="F262" s="380">
        <f t="shared" si="78"/>
        <v>173.81429156134624</v>
      </c>
      <c r="G262" s="110">
        <f t="shared" si="101"/>
        <v>0.82962208129579307</v>
      </c>
      <c r="H262" s="409" t="b">
        <f>Wh_hp&gt;='2025'!Maxi_hp</f>
        <v>0</v>
      </c>
      <c r="I262" s="375">
        <f>IF(H262,Wh_hp,'2025'!Maxi_hp)</f>
        <v>173.8244682935279</v>
      </c>
      <c r="J262" s="85">
        <f>IF(H262,An,'2025'!An_max)</f>
        <v>2022</v>
      </c>
      <c r="K262" s="193">
        <f t="shared" si="79"/>
        <v>46270</v>
      </c>
      <c r="L262" s="143">
        <f>IF(t&lt;Tvie,1-EXP((T0-t)*PertePVj)+'2025'!Pspv,1-EXP((T0-t)*PertePVj)+Pspv)</f>
        <v>2.4953739814012277E-2</v>
      </c>
      <c r="M262" s="835"/>
      <c r="N262" s="835"/>
      <c r="O262" s="48">
        <f>IF(t&lt;Tnet,'2025'!Resal+('2025'!Salim-'2025'!Resal)*(1-EXP(('2025'!Tnet-t)/('2025'!Tau_j))),Resal+(Salim-Resal)*(1-EXP((Tnet-t)/(Tau_j))))*Salcycl</f>
        <v>1.8254869329704014E-2</v>
      </c>
      <c r="P262" s="334">
        <f>(INDEX(Models!$BJ262:$BT262,,T262)*(1-R262)+INDEX(Models!$BJ262:$BT262,,T262+1)*R262-ERP_i)*Q262*Ramure*Pc/MaxiM</f>
        <v>2.9141114426863712E-4</v>
      </c>
      <c r="Q262" s="301">
        <f t="shared" si="80"/>
        <v>0.5</v>
      </c>
      <c r="R262" s="173">
        <f t="shared" si="81"/>
        <v>0.47604960323096313</v>
      </c>
      <c r="S262" s="801">
        <f t="shared" si="82"/>
        <v>2</v>
      </c>
      <c r="T262" s="172">
        <f t="shared" si="83"/>
        <v>8</v>
      </c>
      <c r="U262" s="247">
        <f t="shared" si="84"/>
        <v>2.4760496032309631</v>
      </c>
      <c r="V262" s="378">
        <f t="shared" si="85"/>
        <v>200.49455379077466</v>
      </c>
      <c r="W262" s="397">
        <f t="shared" si="86"/>
        <v>166.34650625682229</v>
      </c>
      <c r="X262" s="153">
        <f t="shared" si="87"/>
        <v>46270</v>
      </c>
      <c r="Y262" s="380">
        <f t="shared" si="88"/>
        <v>160.07297027543274</v>
      </c>
      <c r="Z262" s="380">
        <f t="shared" si="89"/>
        <v>164.16961616251848</v>
      </c>
      <c r="AA262" s="381">
        <f t="shared" si="90"/>
        <v>173.77596428749831</v>
      </c>
      <c r="AB262" s="193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5.5280073768354407E-2</v>
      </c>
      <c r="AD262" s="227">
        <f>(INDEX(Models!$BJ262:$BT262,,AH262)*(1-AF262)+INDEX(Models!$BJ262:$BT262,,AH262+1)*AF262-ERP_i)*AE262*Ramure*Pc/MaxiM</f>
        <v>2.9141114426863712E-4</v>
      </c>
      <c r="AE262" s="301">
        <f t="shared" si="92"/>
        <v>0.5</v>
      </c>
      <c r="AF262" s="173">
        <f t="shared" si="93"/>
        <v>0.47604960323096313</v>
      </c>
      <c r="AG262" s="801">
        <f t="shared" si="99"/>
        <v>2</v>
      </c>
      <c r="AH262" s="172">
        <f t="shared" si="94"/>
        <v>8</v>
      </c>
      <c r="AI262" s="221">
        <f t="shared" si="95"/>
        <v>2.4760496032309631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46271</v>
      </c>
      <c r="B263" s="406">
        <f>'2025'!Wh/'2025'!Env_an*'2026'!Env_an</f>
        <v>186.54491582598575</v>
      </c>
      <c r="C263" s="831"/>
      <c r="D263" s="388">
        <f t="shared" si="77"/>
        <v>191.32166043958199</v>
      </c>
      <c r="E263" s="380">
        <f t="shared" si="100"/>
        <v>194.89293416726798</v>
      </c>
      <c r="F263" s="380">
        <f t="shared" si="78"/>
        <v>194.94380354331119</v>
      </c>
      <c r="G263" s="110">
        <f t="shared" si="101"/>
        <v>0.93499943093252402</v>
      </c>
      <c r="H263" s="409" t="b">
        <f>Wh_hp&gt;='2025'!Maxi_hp</f>
        <v>0</v>
      </c>
      <c r="I263" s="375">
        <f>IF(H263,Wh_hp,'2025'!Maxi_hp)</f>
        <v>194.94810319538493</v>
      </c>
      <c r="J263" s="85">
        <f>IF(H263,An,'2025'!An_max)</f>
        <v>2022</v>
      </c>
      <c r="K263" s="193">
        <f t="shared" si="79"/>
        <v>46271</v>
      </c>
      <c r="L263" s="143">
        <f>IF(t&lt;Tvie,1-EXP((T0-t)*PertePVj)+'2025'!Pspv,1-EXP((T0-t)*PertePVj)+Pspv)</f>
        <v>2.4967087378507724E-2</v>
      </c>
      <c r="M263" s="835"/>
      <c r="N263" s="835"/>
      <c r="O263" s="48">
        <f>IF(t&lt;Tnet,'2025'!Resal+('2025'!Salim-'2025'!Resal)*(1-EXP(('2025'!Tnet-t)/('2025'!Tau_j))),Resal+(Salim-Resal)*(1-EXP((Tnet-t)/(Tau_j))))*Salcycl</f>
        <v>1.8324285295129826E-2</v>
      </c>
      <c r="P263" s="334">
        <f>(INDEX(Models!$BJ263:$BT263,,T263)*(1-R263)+INDEX(Models!$BJ263:$BT263,,T263+1)*R263-ERP_i)*Q263*Ramure*Pc/MaxiM</f>
        <v>2.8764352410634868E-4</v>
      </c>
      <c r="Q263" s="301">
        <f t="shared" si="80"/>
        <v>0.5</v>
      </c>
      <c r="R263" s="173">
        <f t="shared" si="81"/>
        <v>0.47658460716259476</v>
      </c>
      <c r="S263" s="801">
        <f t="shared" si="82"/>
        <v>2</v>
      </c>
      <c r="T263" s="172">
        <f t="shared" si="83"/>
        <v>8</v>
      </c>
      <c r="U263" s="247">
        <f t="shared" si="84"/>
        <v>2.4765846071625948</v>
      </c>
      <c r="V263" s="378">
        <f t="shared" si="85"/>
        <v>199.50807204377486</v>
      </c>
      <c r="W263" s="397">
        <f t="shared" si="86"/>
        <v>186.54491582598575</v>
      </c>
      <c r="X263" s="153">
        <f t="shared" si="87"/>
        <v>46271</v>
      </c>
      <c r="Y263" s="380">
        <f t="shared" si="88"/>
        <v>179.51775090709958</v>
      </c>
      <c r="Z263" s="380">
        <f t="shared" si="89"/>
        <v>184.11455509172987</v>
      </c>
      <c r="AA263" s="381">
        <f t="shared" si="90"/>
        <v>194.89293416726798</v>
      </c>
      <c r="AB263" s="193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5.5304103874220051E-2</v>
      </c>
      <c r="AD263" s="227">
        <f>(INDEX(Models!$BJ263:$BT263,,AH263)*(1-AF263)+INDEX(Models!$BJ263:$BT263,,AH263+1)*AF263-ERP_i)*AE263*Ramure*Pc/MaxiM</f>
        <v>2.8764352410634868E-4</v>
      </c>
      <c r="AE263" s="301">
        <f t="shared" si="92"/>
        <v>0.5</v>
      </c>
      <c r="AF263" s="173">
        <f t="shared" si="93"/>
        <v>0.47658460716259476</v>
      </c>
      <c r="AG263" s="801">
        <f t="shared" si="99"/>
        <v>2</v>
      </c>
      <c r="AH263" s="172">
        <f t="shared" si="94"/>
        <v>8</v>
      </c>
      <c r="AI263" s="221">
        <f t="shared" si="95"/>
        <v>2.4765846071625948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46272</v>
      </c>
      <c r="B264" s="406">
        <f>'2025'!Wh/'2025'!Env_an*'2026'!Env_an</f>
        <v>141.78088968017977</v>
      </c>
      <c r="C264" s="831"/>
      <c r="D264" s="388">
        <f t="shared" si="77"/>
        <v>145.41337911031781</v>
      </c>
      <c r="E264" s="380">
        <f t="shared" si="100"/>
        <v>148.13815769996162</v>
      </c>
      <c r="F264" s="380">
        <f t="shared" si="78"/>
        <v>148.16307617894606</v>
      </c>
      <c r="G264" s="110">
        <f t="shared" si="101"/>
        <v>0.71414427826539839</v>
      </c>
      <c r="H264" s="409" t="b">
        <f>Wh_hp&gt;='2025'!Maxi_hp</f>
        <v>0</v>
      </c>
      <c r="I264" s="375">
        <f>IF(H264,Wh_hp,'2025'!Maxi_hp)</f>
        <v>148.17728238486964</v>
      </c>
      <c r="J264" s="85">
        <f>IF(H264,An,'2025'!An_max)</f>
        <v>2022</v>
      </c>
      <c r="K264" s="193">
        <f t="shared" si="79"/>
        <v>46272</v>
      </c>
      <c r="L264" s="143">
        <f>IF(t&lt;Tvie,1-EXP((T0-t)*PertePVj)+'2025'!Pspv,1-EXP((T0-t)*PertePVj)+Pspv)</f>
        <v>2.4980434760286108E-2</v>
      </c>
      <c r="M264" s="835"/>
      <c r="N264" s="835"/>
      <c r="O264" s="48">
        <f>IF(t&lt;Tnet,'2025'!Resal+('2025'!Salim-'2025'!Resal)*(1-EXP(('2025'!Tnet-t)/('2025'!Tau_j))),Resal+(Salim-Resal)*(1-EXP((Tnet-t)/(Tau_j))))*Salcycl</f>
        <v>1.8393495855150179E-2</v>
      </c>
      <c r="P264" s="334">
        <f>(INDEX(Models!$BJ264:$BT264,,T264)*(1-R264)+INDEX(Models!$BJ264:$BT264,,T264+1)*R264-ERP_i)*Q264*Ramure*Pc/MaxiM</f>
        <v>2.84211082758523E-4</v>
      </c>
      <c r="Q264" s="301">
        <f t="shared" si="80"/>
        <v>0.5</v>
      </c>
      <c r="R264" s="173">
        <f t="shared" si="81"/>
        <v>0.47709917639563226</v>
      </c>
      <c r="S264" s="801">
        <f t="shared" si="82"/>
        <v>2</v>
      </c>
      <c r="T264" s="172">
        <f t="shared" si="83"/>
        <v>8</v>
      </c>
      <c r="U264" s="247">
        <f t="shared" si="84"/>
        <v>2.4770991763956323</v>
      </c>
      <c r="V264" s="378">
        <f t="shared" si="85"/>
        <v>198.50951779974773</v>
      </c>
      <c r="W264" s="397">
        <f t="shared" si="86"/>
        <v>141.78088968017977</v>
      </c>
      <c r="X264" s="153">
        <f t="shared" si="87"/>
        <v>46272</v>
      </c>
      <c r="Y264" s="380">
        <f t="shared" si="88"/>
        <v>136.44619216339353</v>
      </c>
      <c r="Z264" s="380">
        <f t="shared" si="89"/>
        <v>139.94200427131685</v>
      </c>
      <c r="AA264" s="381">
        <f t="shared" si="90"/>
        <v>148.13815769996162</v>
      </c>
      <c r="AB264" s="193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5.5327766700361131E-2</v>
      </c>
      <c r="AD264" s="227">
        <f>(INDEX(Models!$BJ264:$BT264,,AH264)*(1-AF264)+INDEX(Models!$BJ264:$BT264,,AH264+1)*AF264-ERP_i)*AE264*Ramure*Pc/MaxiM</f>
        <v>2.84211082758523E-4</v>
      </c>
      <c r="AE264" s="301">
        <f t="shared" si="92"/>
        <v>0.5</v>
      </c>
      <c r="AF264" s="173">
        <f t="shared" si="93"/>
        <v>0.47709917639563226</v>
      </c>
      <c r="AG264" s="801">
        <f t="shared" si="99"/>
        <v>2</v>
      </c>
      <c r="AH264" s="172">
        <f t="shared" si="94"/>
        <v>8</v>
      </c>
      <c r="AI264" s="221">
        <f t="shared" si="95"/>
        <v>2.4770991763956323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46273</v>
      </c>
      <c r="B265" s="406">
        <f>'2025'!Wh/'2025'!Env_an*'2026'!Env_an</f>
        <v>164.81229217794254</v>
      </c>
      <c r="C265" s="831"/>
      <c r="D265" s="388">
        <f t="shared" si="77"/>
        <v>169.03717035686759</v>
      </c>
      <c r="E265" s="380">
        <f t="shared" si="100"/>
        <v>172.2167208115572</v>
      </c>
      <c r="F265" s="380">
        <f t="shared" si="78"/>
        <v>172.25369545845868</v>
      </c>
      <c r="G265" s="110">
        <f t="shared" si="101"/>
        <v>0.83444181166004894</v>
      </c>
      <c r="H265" s="409" t="b">
        <f>Wh_hp&gt;='2025'!Maxi_hp</f>
        <v>0</v>
      </c>
      <c r="I265" s="375">
        <f>IF(H265,Wh_hp,'2025'!Maxi_hp)</f>
        <v>172.26316013998238</v>
      </c>
      <c r="J265" s="85">
        <f>IF(H265,An,'2025'!An_max)</f>
        <v>2022</v>
      </c>
      <c r="K265" s="193">
        <f t="shared" si="79"/>
        <v>46273</v>
      </c>
      <c r="L265" s="143">
        <f>IF(t&lt;Tvie,1-EXP((T0-t)*PertePVj)+'2025'!Pspv,1-EXP((T0-t)*PertePVj)+Pspv)</f>
        <v>2.4993781959350092E-2</v>
      </c>
      <c r="M265" s="835"/>
      <c r="N265" s="835"/>
      <c r="O265" s="48">
        <f>IF(t&lt;Tnet,'2025'!Resal+('2025'!Salim-'2025'!Resal)*(1-EXP(('2025'!Tnet-t)/('2025'!Tau_j))),Resal+(Salim-Resal)*(1-EXP((Tnet-t)/(Tau_j))))*Salcycl</f>
        <v>1.8462495625896368E-2</v>
      </c>
      <c r="P265" s="334">
        <f>(INDEX(Models!$BJ265:$BT265,,T265)*(1-R265)+INDEX(Models!$BJ265:$BT265,,T265+1)*R265-ERP_i)*Q265*Ramure*Pc/MaxiM</f>
        <v>2.8111758994688458E-4</v>
      </c>
      <c r="Q265" s="301">
        <f t="shared" si="80"/>
        <v>0.5</v>
      </c>
      <c r="R265" s="173">
        <f t="shared" si="81"/>
        <v>0.47759404964247798</v>
      </c>
      <c r="S265" s="801">
        <f t="shared" si="82"/>
        <v>2</v>
      </c>
      <c r="T265" s="172">
        <f t="shared" si="83"/>
        <v>8</v>
      </c>
      <c r="U265" s="247">
        <f t="shared" si="84"/>
        <v>2.477594049642478</v>
      </c>
      <c r="V265" s="378">
        <f t="shared" si="85"/>
        <v>197.49889473614954</v>
      </c>
      <c r="W265" s="397">
        <f t="shared" si="86"/>
        <v>164.81229217794254</v>
      </c>
      <c r="X265" s="153">
        <f t="shared" si="87"/>
        <v>46273</v>
      </c>
      <c r="Y265" s="380">
        <f t="shared" si="88"/>
        <v>158.61824761395775</v>
      </c>
      <c r="Z265" s="380">
        <f t="shared" si="89"/>
        <v>162.68434465239957</v>
      </c>
      <c r="AA265" s="381">
        <f t="shared" si="90"/>
        <v>172.2167208115572</v>
      </c>
      <c r="AB265" s="193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5.535104904005296E-2</v>
      </c>
      <c r="AD265" s="227">
        <f>(INDEX(Models!$BJ265:$BT265,,AH265)*(1-AF265)+INDEX(Models!$BJ265:$BT265,,AH265+1)*AF265-ERP_i)*AE265*Ramure*Pc/MaxiM</f>
        <v>2.8111758994688458E-4</v>
      </c>
      <c r="AE265" s="301">
        <f t="shared" si="92"/>
        <v>0.5</v>
      </c>
      <c r="AF265" s="173">
        <f t="shared" si="93"/>
        <v>0.47759404964247798</v>
      </c>
      <c r="AG265" s="801">
        <f t="shared" si="99"/>
        <v>2</v>
      </c>
      <c r="AH265" s="172">
        <f t="shared" si="94"/>
        <v>8</v>
      </c>
      <c r="AI265" s="221">
        <f t="shared" si="95"/>
        <v>2.477594049642478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46274</v>
      </c>
      <c r="B266" s="406">
        <f>'2025'!Wh/'2025'!Env_an*'2026'!Env_an</f>
        <v>88.146829167468795</v>
      </c>
      <c r="C266" s="831"/>
      <c r="D266" s="388">
        <f t="shared" si="77"/>
        <v>90.407665314377539</v>
      </c>
      <c r="E266" s="380">
        <f t="shared" si="100"/>
        <v>92.114667924223895</v>
      </c>
      <c r="F266" s="380">
        <f t="shared" si="78"/>
        <v>92.120113024773261</v>
      </c>
      <c r="G266" s="110">
        <f t="shared" si="101"/>
        <v>0.44854032277630446</v>
      </c>
      <c r="H266" s="409" t="b">
        <f>Wh_hp&gt;='2025'!Maxi_hp</f>
        <v>0</v>
      </c>
      <c r="I266" s="375">
        <f>IF(H266,Wh_hp,'2025'!Maxi_hp)</f>
        <v>92.136816423786186</v>
      </c>
      <c r="J266" s="85">
        <f>IF(H266,An,'2025'!An_max)</f>
        <v>2022</v>
      </c>
      <c r="K266" s="193">
        <f t="shared" si="79"/>
        <v>46274</v>
      </c>
      <c r="L266" s="143">
        <f>IF(t&lt;Tvie,1-EXP((T0-t)*PertePVj)+'2025'!Pspv,1-EXP((T0-t)*PertePVj)+Pspv)</f>
        <v>2.500712897570212E-2</v>
      </c>
      <c r="M266" s="835"/>
      <c r="N266" s="835"/>
      <c r="O266" s="48">
        <f>IF(t&lt;Tnet,'2025'!Resal+('2025'!Salim-'2025'!Resal)*(1-EXP(('2025'!Tnet-t)/('2025'!Tau_j))),Resal+(Salim-Resal)*(1-EXP((Tnet-t)/(Tau_j))))*Salcycl</f>
        <v>1.8531278984261025E-2</v>
      </c>
      <c r="P266" s="334">
        <f>(INDEX(Models!$BJ266:$BT266,,T266)*(1-R266)+INDEX(Models!$BJ266:$BT266,,T266+1)*R266-ERP_i)*Q266*Ramure*Pc/MaxiM</f>
        <v>2.7836690078606824E-4</v>
      </c>
      <c r="Q266" s="301">
        <f t="shared" si="80"/>
        <v>0.5</v>
      </c>
      <c r="R266" s="173">
        <f t="shared" si="81"/>
        <v>0.47806994214183351</v>
      </c>
      <c r="S266" s="801">
        <f t="shared" si="82"/>
        <v>2</v>
      </c>
      <c r="T266" s="172">
        <f t="shared" si="83"/>
        <v>8</v>
      </c>
      <c r="U266" s="247">
        <f t="shared" si="84"/>
        <v>2.4780699421418335</v>
      </c>
      <c r="V266" s="378">
        <f t="shared" si="85"/>
        <v>196.476206564379</v>
      </c>
      <c r="W266" s="397">
        <f t="shared" si="86"/>
        <v>88.146829167468795</v>
      </c>
      <c r="X266" s="153">
        <f t="shared" si="87"/>
        <v>46274</v>
      </c>
      <c r="Y266" s="380">
        <f t="shared" si="88"/>
        <v>84.837947871152295</v>
      </c>
      <c r="Z266" s="380">
        <f t="shared" si="89"/>
        <v>87.013916093585507</v>
      </c>
      <c r="AA266" s="381">
        <f t="shared" si="90"/>
        <v>92.114667924223895</v>
      </c>
      <c r="AB266" s="193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5.5373937132731157E-2</v>
      </c>
      <c r="AD266" s="227">
        <f>(INDEX(Models!$BJ266:$BT266,,AH266)*(1-AF266)+INDEX(Models!$BJ266:$BT266,,AH266+1)*AF266-ERP_i)*AE266*Ramure*Pc/MaxiM</f>
        <v>2.7836690078606824E-4</v>
      </c>
      <c r="AE266" s="301">
        <f t="shared" si="92"/>
        <v>0.5</v>
      </c>
      <c r="AF266" s="173">
        <f t="shared" si="93"/>
        <v>0.47806994214183351</v>
      </c>
      <c r="AG266" s="801">
        <f t="shared" si="99"/>
        <v>2</v>
      </c>
      <c r="AH266" s="172">
        <f t="shared" si="94"/>
        <v>8</v>
      </c>
      <c r="AI266" s="221">
        <f t="shared" si="95"/>
        <v>2.4780699421418335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46275</v>
      </c>
      <c r="B267" s="406">
        <f>'2025'!Wh/'2025'!Env_an*'2026'!Env_an</f>
        <v>183.36588866407467</v>
      </c>
      <c r="C267" s="831"/>
      <c r="D267" s="388">
        <f t="shared" si="77"/>
        <v>188.07152777520059</v>
      </c>
      <c r="E267" s="380">
        <f t="shared" si="100"/>
        <v>191.6359253363396</v>
      </c>
      <c r="F267" s="380">
        <f t="shared" si="78"/>
        <v>191.68415399781932</v>
      </c>
      <c r="G267" s="110">
        <f t="shared" si="101"/>
        <v>0.9381910260014259</v>
      </c>
      <c r="H267" s="409" t="b">
        <f>Wh_hp&gt;='2025'!Maxi_hp</f>
        <v>0</v>
      </c>
      <c r="I267" s="375">
        <f>IF(H267,Wh_hp,'2025'!Maxi_hp)</f>
        <v>191.68801678499003</v>
      </c>
      <c r="J267" s="85">
        <f>IF(H267,An,'2025'!An_max)</f>
        <v>2022</v>
      </c>
      <c r="K267" s="193">
        <f t="shared" si="79"/>
        <v>46275</v>
      </c>
      <c r="L267" s="143">
        <f>IF(t&lt;Tvie,1-EXP((T0-t)*PertePVj)+'2025'!Pspv,1-EXP((T0-t)*PertePVj)+Pspv)</f>
        <v>2.5020475809344744E-2</v>
      </c>
      <c r="M267" s="835"/>
      <c r="N267" s="835"/>
      <c r="O267" s="48">
        <f>IF(t&lt;Tnet,'2025'!Resal+('2025'!Salim-'2025'!Resal)*(1-EXP(('2025'!Tnet-t)/('2025'!Tau_j))),Resal+(Salim-Resal)*(1-EXP((Tnet-t)/(Tau_j))))*Salcycl</f>
        <v>1.8599840060693918E-2</v>
      </c>
      <c r="P267" s="334">
        <f>(INDEX(Models!$BJ267:$BT267,,T267)*(1-R267)+INDEX(Models!$BJ267:$BT267,,T267+1)*R267-ERP_i)*Q267*Ramure*Pc/MaxiM</f>
        <v>2.7596295583983462E-4</v>
      </c>
      <c r="Q267" s="301">
        <f t="shared" si="80"/>
        <v>0.5</v>
      </c>
      <c r="R267" s="173">
        <f t="shared" si="81"/>
        <v>0.47852754614949822</v>
      </c>
      <c r="S267" s="801">
        <f t="shared" si="82"/>
        <v>2</v>
      </c>
      <c r="T267" s="172">
        <f t="shared" si="83"/>
        <v>8</v>
      </c>
      <c r="U267" s="247">
        <f t="shared" si="84"/>
        <v>2.4785275461494982</v>
      </c>
      <c r="V267" s="378">
        <f t="shared" si="85"/>
        <v>195.44145702874548</v>
      </c>
      <c r="W267" s="397">
        <f t="shared" si="86"/>
        <v>183.36588866407467</v>
      </c>
      <c r="X267" s="153">
        <f t="shared" si="87"/>
        <v>46275</v>
      </c>
      <c r="Y267" s="380">
        <f t="shared" si="88"/>
        <v>176.49077569624677</v>
      </c>
      <c r="Z267" s="380">
        <f t="shared" si="89"/>
        <v>181.0199817711601</v>
      </c>
      <c r="AA267" s="381">
        <f t="shared" si="90"/>
        <v>191.6359253363396</v>
      </c>
      <c r="AB267" s="193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5.5396416650727101E-2</v>
      </c>
      <c r="AD267" s="227">
        <f>(INDEX(Models!$BJ267:$BT267,,AH267)*(1-AF267)+INDEX(Models!$BJ267:$BT267,,AH267+1)*AF267-ERP_i)*AE267*Ramure*Pc/MaxiM</f>
        <v>2.7596295583983462E-4</v>
      </c>
      <c r="AE267" s="301">
        <f t="shared" si="92"/>
        <v>0.5</v>
      </c>
      <c r="AF267" s="173">
        <f t="shared" si="93"/>
        <v>0.47852754614949822</v>
      </c>
      <c r="AG267" s="801">
        <f t="shared" si="99"/>
        <v>2</v>
      </c>
      <c r="AH267" s="172">
        <f t="shared" si="94"/>
        <v>8</v>
      </c>
      <c r="AI267" s="221">
        <f t="shared" si="95"/>
        <v>2.4785275461494982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46276</v>
      </c>
      <c r="B268" s="406">
        <f>'2025'!Wh/'2025'!Env_an*'2026'!Env_an</f>
        <v>186.91016919832541</v>
      </c>
      <c r="C268" s="831"/>
      <c r="D268" s="388">
        <f t="shared" si="77"/>
        <v>191.70938798101105</v>
      </c>
      <c r="E268" s="380">
        <f t="shared" si="100"/>
        <v>195.35633376435345</v>
      </c>
      <c r="F268" s="380">
        <f t="shared" si="78"/>
        <v>195.4068724320137</v>
      </c>
      <c r="G268" s="110">
        <f t="shared" si="101"/>
        <v>0.96148383283387306</v>
      </c>
      <c r="H268" s="409" t="b">
        <f>Wh_hp&gt;='2025'!Maxi_hp</f>
        <v>0</v>
      </c>
      <c r="I268" s="375">
        <f>IF(H268,Wh_hp,'2025'!Maxi_hp)</f>
        <v>195.40930696041534</v>
      </c>
      <c r="J268" s="85">
        <f>IF(H268,An,'2025'!An_max)</f>
        <v>2022</v>
      </c>
      <c r="K268" s="193">
        <f t="shared" si="79"/>
        <v>46276</v>
      </c>
      <c r="L268" s="143">
        <f>IF(t&lt;Tvie,1-EXP((T0-t)*PertePVj)+'2025'!Pspv,1-EXP((T0-t)*PertePVj)+Pspv)</f>
        <v>2.5033822460280408E-2</v>
      </c>
      <c r="M268" s="835"/>
      <c r="N268" s="835"/>
      <c r="O268" s="48">
        <f>IF(t&lt;Tnet,'2025'!Resal+('2025'!Salim-'2025'!Resal)*(1-EXP(('2025'!Tnet-t)/('2025'!Tau_j))),Resal+(Salim-Resal)*(1-EXP((Tnet-t)/(Tau_j))))*Salcycl</f>
        <v>1.8668172733736298E-2</v>
      </c>
      <c r="P268" s="334">
        <f>(INDEX(Models!$BJ268:$BT268,,T268)*(1-R268)+INDEX(Models!$BJ268:$BT268,,T268+1)*R268-ERP_i)*Q268*Ramure*Pc/MaxiM</f>
        <v>2.7368642428273875E-4</v>
      </c>
      <c r="Q268" s="301">
        <f t="shared" si="80"/>
        <v>0.5</v>
      </c>
      <c r="R268" s="173">
        <f t="shared" si="81"/>
        <v>0.47896753144083482</v>
      </c>
      <c r="S268" s="801">
        <f t="shared" si="82"/>
        <v>2</v>
      </c>
      <c r="T268" s="172">
        <f t="shared" si="83"/>
        <v>8</v>
      </c>
      <c r="U268" s="247">
        <f t="shared" si="84"/>
        <v>2.4789675314408348</v>
      </c>
      <c r="V268" s="378">
        <f t="shared" si="85"/>
        <v>194.39469333915162</v>
      </c>
      <c r="W268" s="397">
        <f t="shared" si="86"/>
        <v>186.91016919832541</v>
      </c>
      <c r="X268" s="153">
        <f t="shared" si="87"/>
        <v>46276</v>
      </c>
      <c r="Y268" s="380">
        <f t="shared" si="88"/>
        <v>179.91049325557557</v>
      </c>
      <c r="Z268" s="380">
        <f t="shared" si="89"/>
        <v>184.52998411654758</v>
      </c>
      <c r="AA268" s="381">
        <f t="shared" si="90"/>
        <v>195.35633376435345</v>
      </c>
      <c r="AB268" s="193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5.541847269136934E-2</v>
      </c>
      <c r="AD268" s="227">
        <f>(INDEX(Models!$BJ268:$BT268,,AH268)*(1-AF268)+INDEX(Models!$BJ268:$BT268,,AH268+1)*AF268-ERP_i)*AE268*Ramure*Pc/MaxiM</f>
        <v>2.7368642428273875E-4</v>
      </c>
      <c r="AE268" s="301">
        <f t="shared" si="92"/>
        <v>0.5</v>
      </c>
      <c r="AF268" s="173">
        <f t="shared" si="93"/>
        <v>0.47896753144083482</v>
      </c>
      <c r="AG268" s="801">
        <f t="shared" si="99"/>
        <v>2</v>
      </c>
      <c r="AH268" s="172">
        <f t="shared" si="94"/>
        <v>8</v>
      </c>
      <c r="AI268" s="221">
        <f t="shared" si="95"/>
        <v>2.4789675314408348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46277</v>
      </c>
      <c r="B269" s="406">
        <f>'2025'!Wh/'2025'!Env_an*'2026'!Env_an</f>
        <v>129.41141514020359</v>
      </c>
      <c r="C269" s="831"/>
      <c r="D269" s="388">
        <f t="shared" si="77"/>
        <v>132.73607811157225</v>
      </c>
      <c r="E269" s="380">
        <f t="shared" si="100"/>
        <v>135.27054362473339</v>
      </c>
      <c r="F269" s="380">
        <f t="shared" si="78"/>
        <v>135.28990794325978</v>
      </c>
      <c r="G269" s="110">
        <f t="shared" si="101"/>
        <v>0.66927447345669611</v>
      </c>
      <c r="H269" s="409" t="b">
        <f>Wh_hp&gt;='2025'!Maxi_hp</f>
        <v>0</v>
      </c>
      <c r="I269" s="375">
        <f>IF(H269,Wh_hp,'2025'!Maxi_hp)</f>
        <v>135.30425984199042</v>
      </c>
      <c r="J269" s="85">
        <f>IF(H269,An,'2025'!An_max)</f>
        <v>2022</v>
      </c>
      <c r="K269" s="193">
        <f t="shared" si="79"/>
        <v>46277</v>
      </c>
      <c r="L269" s="143">
        <f>IF(t&lt;Tvie,1-EXP((T0-t)*PertePVj)+'2025'!Pspv,1-EXP((T0-t)*PertePVj)+Pspv)</f>
        <v>2.5047168928511665E-2</v>
      </c>
      <c r="M269" s="835"/>
      <c r="N269" s="835"/>
      <c r="O269" s="48">
        <f>IF(t&lt;Tnet,'2025'!Resal+('2025'!Salim-'2025'!Resal)*(1-EXP(('2025'!Tnet-t)/('2025'!Tau_j))),Resal+(Salim-Resal)*(1-EXP((Tnet-t)/(Tau_j))))*Salcycl</f>
        <v>1.8736270626606235E-2</v>
      </c>
      <c r="P269" s="334">
        <f>(INDEX(Models!$BJ269:$BT269,,T269)*(1-R269)+INDEX(Models!$BJ269:$BT269,,T269+1)*R269-ERP_i)*Q269*Ramure*Pc/MaxiM</f>
        <v>2.7125934088032954E-4</v>
      </c>
      <c r="Q269" s="301">
        <f t="shared" si="80"/>
        <v>0.5</v>
      </c>
      <c r="R269" s="173">
        <f t="shared" si="81"/>
        <v>0.47939054582242191</v>
      </c>
      <c r="S269" s="801">
        <f t="shared" si="82"/>
        <v>2</v>
      </c>
      <c r="T269" s="172">
        <f t="shared" si="83"/>
        <v>8</v>
      </c>
      <c r="U269" s="247">
        <f t="shared" si="84"/>
        <v>2.4793905458224219</v>
      </c>
      <c r="V269" s="378">
        <f t="shared" si="85"/>
        <v>193.33597314871554</v>
      </c>
      <c r="W269" s="397">
        <f t="shared" si="86"/>
        <v>129.41141514020359</v>
      </c>
      <c r="X269" s="153">
        <f t="shared" si="87"/>
        <v>46277</v>
      </c>
      <c r="Y269" s="380">
        <f t="shared" si="88"/>
        <v>124.5708274012585</v>
      </c>
      <c r="Z269" s="380">
        <f t="shared" si="89"/>
        <v>127.77113254223102</v>
      </c>
      <c r="AA269" s="381">
        <f t="shared" si="90"/>
        <v>135.27054362473339</v>
      </c>
      <c r="AB269" s="193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5.5440089775252124E-2</v>
      </c>
      <c r="AD269" s="227">
        <f>(INDEX(Models!$BJ269:$BT269,,AH269)*(1-AF269)+INDEX(Models!$BJ269:$BT269,,AH269+1)*AF269-ERP_i)*AE269*Ramure*Pc/MaxiM</f>
        <v>2.7125934088032954E-4</v>
      </c>
      <c r="AE269" s="301">
        <f t="shared" si="92"/>
        <v>0.5</v>
      </c>
      <c r="AF269" s="173">
        <f t="shared" si="93"/>
        <v>0.47939054582242191</v>
      </c>
      <c r="AG269" s="801">
        <f t="shared" si="99"/>
        <v>2</v>
      </c>
      <c r="AH269" s="172">
        <f t="shared" si="94"/>
        <v>8</v>
      </c>
      <c r="AI269" s="221">
        <f t="shared" si="95"/>
        <v>2.4793905458224219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46278</v>
      </c>
      <c r="B270" s="406">
        <f>'2025'!Wh/'2025'!Env_an*'2026'!Env_an</f>
        <v>46.587362446257529</v>
      </c>
      <c r="C270" s="831"/>
      <c r="D270" s="388">
        <f t="shared" si="77"/>
        <v>47.784876059754055</v>
      </c>
      <c r="E270" s="380">
        <f t="shared" si="100"/>
        <v>48.700649258563445</v>
      </c>
      <c r="F270" s="380">
        <f t="shared" si="78"/>
        <v>48.700649258563445</v>
      </c>
      <c r="G270" s="110">
        <f t="shared" si="101"/>
        <v>0.24224259604998266</v>
      </c>
      <c r="H270" s="409" t="b">
        <f>Wh_hp&gt;='2025'!Maxi_hp</f>
        <v>0</v>
      </c>
      <c r="I270" s="375">
        <f>IF(H270,Wh_hp,'2025'!Maxi_hp)</f>
        <v>48.711486880695645</v>
      </c>
      <c r="J270" s="85">
        <f>IF(H270,An,'2025'!An_max)</f>
        <v>2022</v>
      </c>
      <c r="K270" s="193">
        <f t="shared" si="79"/>
        <v>46278</v>
      </c>
      <c r="L270" s="143">
        <f>IF(t&lt;Tvie,1-EXP((T0-t)*PertePVj)+'2025'!Pspv,1-EXP((T0-t)*PertePVj)+Pspv)</f>
        <v>2.5060515214040957E-2</v>
      </c>
      <c r="M270" s="835"/>
      <c r="N270" s="835"/>
      <c r="O270" s="48">
        <f>IF(t&lt;Tnet,'2025'!Resal+('2025'!Salim-'2025'!Resal)*(1-EXP(('2025'!Tnet-t)/('2025'!Tau_j))),Resal+(Salim-Resal)*(1-EXP((Tnet-t)/(Tau_j))))*Salcycl</f>
        <v>1.880412710613636E-2</v>
      </c>
      <c r="P270" s="334">
        <f>(INDEX(Models!$BJ270:$BT270,,T270)*(1-R270)+INDEX(Models!$BJ270:$BT270,,T270+1)*R270-ERP_i)*Q270*Ramure*Pc/MaxiM</f>
        <v>2.6867935029447243E-4</v>
      </c>
      <c r="Q270" s="301">
        <f t="shared" si="80"/>
        <v>0.5</v>
      </c>
      <c r="R270" s="173">
        <f t="shared" si="81"/>
        <v>0.47979721565063205</v>
      </c>
      <c r="S270" s="801">
        <f t="shared" si="82"/>
        <v>2</v>
      </c>
      <c r="T270" s="172">
        <f t="shared" si="83"/>
        <v>8</v>
      </c>
      <c r="U270" s="247">
        <f t="shared" si="84"/>
        <v>2.479797215650632</v>
      </c>
      <c r="V270" s="378">
        <f t="shared" si="85"/>
        <v>192.26529992426933</v>
      </c>
      <c r="W270" s="397">
        <f t="shared" si="86"/>
        <v>46.587362446257529</v>
      </c>
      <c r="X270" s="153">
        <f t="shared" si="87"/>
        <v>46278</v>
      </c>
      <c r="Y270" s="380">
        <f t="shared" si="88"/>
        <v>44.846875348906146</v>
      </c>
      <c r="Z270" s="380">
        <f t="shared" si="89"/>
        <v>45.999650284706597</v>
      </c>
      <c r="AA270" s="381">
        <f t="shared" si="90"/>
        <v>48.700649258563445</v>
      </c>
      <c r="AB270" s="193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5.5461251851419778E-2</v>
      </c>
      <c r="AD270" s="227">
        <f>(INDEX(Models!$BJ270:$BT270,,AH270)*(1-AF270)+INDEX(Models!$BJ270:$BT270,,AH270+1)*AF270-ERP_i)*AE270*Ramure*Pc/MaxiM</f>
        <v>2.6867935029447243E-4</v>
      </c>
      <c r="AE270" s="301">
        <f t="shared" si="92"/>
        <v>0.5</v>
      </c>
      <c r="AF270" s="173">
        <f t="shared" si="93"/>
        <v>0.47979721565063205</v>
      </c>
      <c r="AG270" s="801">
        <f t="shared" si="99"/>
        <v>2</v>
      </c>
      <c r="AH270" s="172">
        <f t="shared" si="94"/>
        <v>8</v>
      </c>
      <c r="AI270" s="221">
        <f t="shared" si="95"/>
        <v>2.479797215650632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46279</v>
      </c>
      <c r="B271" s="406">
        <f>'2025'!Wh/'2025'!Env_an*'2026'!Env_an</f>
        <v>148.56766230570241</v>
      </c>
      <c r="C271" s="831"/>
      <c r="D271" s="388">
        <f t="shared" ref="D271:D334" si="102">Wh/(1-Ppv)</f>
        <v>152.38863377525044</v>
      </c>
      <c r="E271" s="380">
        <f t="shared" si="100"/>
        <v>155.31978769301452</v>
      </c>
      <c r="F271" s="380">
        <f t="shared" ref="F271:F334" si="103">Wh_sa/(1-Pvg*MEDIAN((-Sdif+Wh/Env_an)/Csdif,0,1))</f>
        <v>155.34794591791189</v>
      </c>
      <c r="G271" s="110">
        <f t="shared" si="101"/>
        <v>0.77703210774890485</v>
      </c>
      <c r="H271" s="409" t="b">
        <f>Wh_hp&gt;='2025'!Maxi_hp</f>
        <v>0</v>
      </c>
      <c r="I271" s="375">
        <f>IF(H271,Wh_hp,'2025'!Maxi_hp)</f>
        <v>155.35884692302292</v>
      </c>
      <c r="J271" s="85">
        <f>IF(H271,An,'2025'!An_max)</f>
        <v>2022</v>
      </c>
      <c r="K271" s="193">
        <f t="shared" ref="K271:K334" si="104">t</f>
        <v>46279</v>
      </c>
      <c r="L271" s="143">
        <f>IF(t&lt;Tvie,1-EXP((T0-t)*PertePVj)+'2025'!Pspv,1-EXP((T0-t)*PertePVj)+Pspv)</f>
        <v>2.5073861316870727E-2</v>
      </c>
      <c r="M271" s="835"/>
      <c r="N271" s="835"/>
      <c r="O271" s="48">
        <f>IF(t&lt;Tnet,'2025'!Resal+('2025'!Salim-'2025'!Resal)*(1-EXP(('2025'!Tnet-t)/('2025'!Tau_j))),Resal+(Salim-Resal)*(1-EXP((Tnet-t)/(Tau_j))))*Salcycl</f>
        <v>1.8871735284350356E-2</v>
      </c>
      <c r="P271" s="334">
        <f>(INDEX(Models!$BJ271:$BT271,,T271)*(1-R271)+INDEX(Models!$BJ271:$BT271,,T271+1)*R271-ERP_i)*Q271*Ramure*Pc/MaxiM</f>
        <v>2.659440434106407E-4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0.48018814635506768</v>
      </c>
      <c r="S271" s="801">
        <f t="shared" ref="S271:S334" si="107">INDEX(Echel_vg,T271)</f>
        <v>2</v>
      </c>
      <c r="T271" s="172">
        <f t="shared" ref="T271:T334" si="108">MIN(MATCH(Hp_vg,Echel_vg),10)</f>
        <v>8</v>
      </c>
      <c r="U271" s="247">
        <f t="shared" ref="U271:U334" si="109">IF(OR(t&lt;Ttai,Notai),Hdd+PousH*Croivg,Hdtf+PousH*(Croivg-Croi_tai))</f>
        <v>2.4801881463550677</v>
      </c>
      <c r="V271" s="378">
        <f t="shared" ref="V271:V334" si="110">MaxiM*(1-Ppv)*(1-Pvg)*(1-Psa)</f>
        <v>191.18267713195192</v>
      </c>
      <c r="W271" s="397">
        <f t="shared" ref="W271:W334" si="111">Wh*(A271&gt;Tmaj)</f>
        <v>148.56766230570241</v>
      </c>
      <c r="X271" s="153">
        <f t="shared" ref="X271:X334" si="112">t</f>
        <v>46279</v>
      </c>
      <c r="Y271" s="380">
        <f t="shared" ref="Y271:Y334" si="113">Wh_pvt_s*(1-Ppv)</f>
        <v>143.02394995946017</v>
      </c>
      <c r="Z271" s="380">
        <f t="shared" ref="Z271:Z334" si="114">Wh_sa_s*(1-Psa_s)</f>
        <v>146.70234419260538</v>
      </c>
      <c r="AA271" s="381">
        <f t="shared" ref="AA271:AA334" si="115">Wh_hp*(1-Pvg_s*MEDIAN((-Sdif+Wh/Env_an)/Csdif,0,1))</f>
        <v>155.31978769301452</v>
      </c>
      <c r="AB271" s="193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5.5481942310153562E-2</v>
      </c>
      <c r="AD271" s="227">
        <f>(INDEX(Models!$BJ271:$BT271,,AH271)*(1-AF271)+INDEX(Models!$BJ271:$BT271,,AH271+1)*AF271-ERP_i)*AE271*Ramure*Pc/MaxiM</f>
        <v>2.659440434106407E-4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0.48018814635506768</v>
      </c>
      <c r="AG271" s="801">
        <f t="shared" si="99"/>
        <v>2</v>
      </c>
      <c r="AH271" s="172">
        <f t="shared" ref="AH271:AH334" si="119">MIN(MATCH(Hp_vg_s,Echel_vg),10)</f>
        <v>8</v>
      </c>
      <c r="AI271" s="221">
        <f t="shared" ref="AI271:AI334" si="120">IF(OR(t&lt;Ttai,Notai),Hdd_s+PousH*Croivg,Hdtai_s+PousH*(Croivg-Croi_tai))</f>
        <v>2.4801881463550677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46280</v>
      </c>
      <c r="B272" s="406">
        <f>'2025'!Wh/'2025'!Env_an*'2026'!Env_an</f>
        <v>166.24287615176002</v>
      </c>
      <c r="C272" s="831"/>
      <c r="D272" s="388">
        <f t="shared" si="102"/>
        <v>170.52076594524087</v>
      </c>
      <c r="E272" s="380">
        <f t="shared" si="100"/>
        <v>173.81261842509232</v>
      </c>
      <c r="F272" s="380">
        <f t="shared" si="103"/>
        <v>173.85015460003481</v>
      </c>
      <c r="G272" s="110">
        <f t="shared" si="101"/>
        <v>0.87451571455803989</v>
      </c>
      <c r="H272" s="409" t="b">
        <f>Wh_hp&gt;='2025'!Maxi_hp</f>
        <v>0</v>
      </c>
      <c r="I272" s="375">
        <f>IF(H272,Wh_hp,'2025'!Maxi_hp)</f>
        <v>173.8569482012538</v>
      </c>
      <c r="J272" s="85">
        <f>IF(H272,An,'2025'!An_max)</f>
        <v>2022</v>
      </c>
      <c r="K272" s="193">
        <f t="shared" si="104"/>
        <v>46280</v>
      </c>
      <c r="L272" s="143">
        <f>IF(t&lt;Tvie,1-EXP((T0-t)*PertePVj)+'2025'!Pspv,1-EXP((T0-t)*PertePVj)+Pspv)</f>
        <v>2.5087207237003639E-2</v>
      </c>
      <c r="M272" s="835"/>
      <c r="N272" s="835"/>
      <c r="O272" s="48">
        <f>IF(t&lt;Tnet,'2025'!Resal+('2025'!Salim-'2025'!Resal)*(1-EXP(('2025'!Tnet-t)/('2025'!Tau_j))),Resal+(Salim-Resal)*(1-EXP((Tnet-t)/(Tau_j))))*Salcycl</f>
        <v>1.8939088022945368E-2</v>
      </c>
      <c r="P272" s="334">
        <f>(INDEX(Models!$BJ272:$BT272,,T272)*(1-R272)+INDEX(Models!$BJ272:$BT272,,T272+1)*R272-ERP_i)*Q272*Ramure*Pc/MaxiM</f>
        <v>2.6305095993459906E-4</v>
      </c>
      <c r="Q272" s="301">
        <f t="shared" si="105"/>
        <v>0.5</v>
      </c>
      <c r="R272" s="173">
        <f t="shared" si="106"/>
        <v>0.48056392296496586</v>
      </c>
      <c r="S272" s="801">
        <f t="shared" si="107"/>
        <v>2</v>
      </c>
      <c r="T272" s="172">
        <f t="shared" si="108"/>
        <v>8</v>
      </c>
      <c r="U272" s="247">
        <f t="shared" si="109"/>
        <v>2.4805639229649659</v>
      </c>
      <c r="V272" s="378">
        <f t="shared" si="110"/>
        <v>190.08810822164796</v>
      </c>
      <c r="W272" s="397">
        <f t="shared" si="111"/>
        <v>166.24287615176002</v>
      </c>
      <c r="X272" s="153">
        <f t="shared" si="112"/>
        <v>46280</v>
      </c>
      <c r="Y272" s="380">
        <f t="shared" si="113"/>
        <v>160.04718787901564</v>
      </c>
      <c r="Z272" s="380">
        <f t="shared" si="114"/>
        <v>164.16564544755491</v>
      </c>
      <c r="AA272" s="381">
        <f t="shared" si="115"/>
        <v>173.81261842509232</v>
      </c>
      <c r="AB272" s="193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5.5502144003974907E-2</v>
      </c>
      <c r="AD272" s="227">
        <f>(INDEX(Models!$BJ272:$BT272,,AH272)*(1-AF272)+INDEX(Models!$BJ272:$BT272,,AH272+1)*AF272-ERP_i)*AE272*Ramure*Pc/MaxiM</f>
        <v>2.6305095993459906E-4</v>
      </c>
      <c r="AE272" s="301">
        <f t="shared" si="117"/>
        <v>0.5</v>
      </c>
      <c r="AF272" s="173">
        <f t="shared" si="118"/>
        <v>0.48056392296496586</v>
      </c>
      <c r="AG272" s="801">
        <f t="shared" ref="AG272:AG335" si="124">INDEX(Echel_vg,AH272)</f>
        <v>2</v>
      </c>
      <c r="AH272" s="172">
        <f t="shared" si="119"/>
        <v>8</v>
      </c>
      <c r="AI272" s="221">
        <f t="shared" si="120"/>
        <v>2.4805639229649659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46281</v>
      </c>
      <c r="B273" s="406">
        <f>'2025'!Wh/'2025'!Env_an*'2026'!Env_an</f>
        <v>106.12750813802462</v>
      </c>
      <c r="C273" s="831"/>
      <c r="D273" s="388">
        <f t="shared" si="102"/>
        <v>108.85995315908964</v>
      </c>
      <c r="E273" s="380">
        <f t="shared" si="100"/>
        <v>110.96905068229275</v>
      </c>
      <c r="F273" s="380">
        <f t="shared" si="103"/>
        <v>110.97983302327552</v>
      </c>
      <c r="G273" s="110">
        <f t="shared" si="101"/>
        <v>0.5614844321552207</v>
      </c>
      <c r="H273" s="409" t="b">
        <f>Wh_hp&gt;='2025'!Maxi_hp</f>
        <v>0</v>
      </c>
      <c r="I273" s="375">
        <f>IF(H273,Wh_hp,'2025'!Maxi_hp)</f>
        <v>110.99482020790059</v>
      </c>
      <c r="J273" s="85">
        <f>IF(H273,An,'2025'!An_max)</f>
        <v>2022</v>
      </c>
      <c r="K273" s="193">
        <f t="shared" si="104"/>
        <v>46281</v>
      </c>
      <c r="L273" s="143">
        <f>IF(t&lt;Tvie,1-EXP((T0-t)*PertePVj)+'2025'!Pspv,1-EXP((T0-t)*PertePVj)+Pspv)</f>
        <v>2.5100552974442136E-2</v>
      </c>
      <c r="M273" s="835"/>
      <c r="N273" s="835"/>
      <c r="O273" s="48">
        <f>IF(t&lt;Tnet,'2025'!Resal+('2025'!Salim-'2025'!Resal)*(1-EXP(('2025'!Tnet-t)/('2025'!Tau_j))),Resal+(Salim-Resal)*(1-EXP((Tnet-t)/(Tau_j))))*Salcycl</f>
        <v>1.9006177940924275E-2</v>
      </c>
      <c r="P273" s="334">
        <f>(INDEX(Models!$BJ273:$BT273,,T273)*(1-R273)+INDEX(Models!$BJ273:$BT273,,T273+1)*R273-ERP_i)*Q273*Ramure*Pc/MaxiM</f>
        <v>2.5999759146757748E-4</v>
      </c>
      <c r="Q273" s="301">
        <f t="shared" si="105"/>
        <v>0.5</v>
      </c>
      <c r="R273" s="173">
        <f t="shared" si="106"/>
        <v>0.4809251106368615</v>
      </c>
      <c r="S273" s="801">
        <f t="shared" si="107"/>
        <v>2</v>
      </c>
      <c r="T273" s="172">
        <f t="shared" si="108"/>
        <v>8</v>
      </c>
      <c r="U273" s="247">
        <f t="shared" si="109"/>
        <v>2.4809251106368615</v>
      </c>
      <c r="V273" s="378">
        <f t="shared" si="110"/>
        <v>188.98159662985722</v>
      </c>
      <c r="W273" s="397">
        <f t="shared" si="111"/>
        <v>106.12750813802462</v>
      </c>
      <c r="X273" s="153">
        <f t="shared" si="112"/>
        <v>46281</v>
      </c>
      <c r="Y273" s="380">
        <f t="shared" si="113"/>
        <v>102.17711002285834</v>
      </c>
      <c r="Z273" s="380">
        <f t="shared" si="114"/>
        <v>104.80784488554508</v>
      </c>
      <c r="AA273" s="381">
        <f t="shared" si="115"/>
        <v>110.96905068229275</v>
      </c>
      <c r="AB273" s="193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5.5521839277397719E-2</v>
      </c>
      <c r="AD273" s="227">
        <f>(INDEX(Models!$BJ273:$BT273,,AH273)*(1-AF273)+INDEX(Models!$BJ273:$BT273,,AH273+1)*AF273-ERP_i)*AE273*Ramure*Pc/MaxiM</f>
        <v>2.5999759146757748E-4</v>
      </c>
      <c r="AE273" s="301">
        <f t="shared" si="117"/>
        <v>0.5</v>
      </c>
      <c r="AF273" s="173">
        <f t="shared" si="118"/>
        <v>0.4809251106368615</v>
      </c>
      <c r="AG273" s="801">
        <f t="shared" si="124"/>
        <v>2</v>
      </c>
      <c r="AH273" s="172">
        <f t="shared" si="119"/>
        <v>8</v>
      </c>
      <c r="AI273" s="221">
        <f t="shared" si="120"/>
        <v>2.4809251106368615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46282</v>
      </c>
      <c r="B274" s="406">
        <f>'2025'!Wh/'2025'!Env_an*'2026'!Env_an</f>
        <v>192.85514315920497</v>
      </c>
      <c r="C274" s="831"/>
      <c r="D274" s="388">
        <f t="shared" si="102"/>
        <v>197.82325634578675</v>
      </c>
      <c r="E274" s="380">
        <f t="shared" si="100"/>
        <v>201.66970205388094</v>
      </c>
      <c r="F274" s="380">
        <f t="shared" si="103"/>
        <v>201.72150038015278</v>
      </c>
      <c r="G274" s="110">
        <f t="shared" si="101"/>
        <v>1.0265725210341587</v>
      </c>
      <c r="H274" s="409" t="b">
        <f>Wh_hp&gt;='2025'!Maxi_hp</f>
        <v>1</v>
      </c>
      <c r="I274" s="375">
        <f>IF(H274,Wh_hp,'2025'!Maxi_hp)</f>
        <v>201.72150038015278</v>
      </c>
      <c r="J274" s="85">
        <f>IF(H274,An,'2025'!An_max)</f>
        <v>2026</v>
      </c>
      <c r="K274" s="193">
        <f t="shared" si="104"/>
        <v>46282</v>
      </c>
      <c r="L274" s="143">
        <f>IF(t&lt;Tvie,1-EXP((T0-t)*PertePVj)+'2025'!Pspv,1-EXP((T0-t)*PertePVj)+Pspv)</f>
        <v>2.5113898529188661E-2</v>
      </c>
      <c r="M274" s="835"/>
      <c r="N274" s="835"/>
      <c r="O274" s="48">
        <f>IF(t&lt;Tnet,'2025'!Resal+('2025'!Salim-'2025'!Resal)*(1-EXP(('2025'!Tnet-t)/('2025'!Tau_j))),Resal+(Salim-Resal)*(1-EXP((Tnet-t)/(Tau_j))))*Salcycl</f>
        <v>1.9072997425595147E-2</v>
      </c>
      <c r="P274" s="334">
        <f>(INDEX(Models!$BJ274:$BT274,,T274)*(1-R274)+INDEX(Models!$BJ274:$BT274,,T274+1)*R274-ERP_i)*Q274*Ramure*Pc/MaxiM</f>
        <v>2.5678138509886429E-4</v>
      </c>
      <c r="Q274" s="301">
        <f t="shared" si="105"/>
        <v>0.5</v>
      </c>
      <c r="R274" s="173">
        <f t="shared" si="106"/>
        <v>0.48127225518195971</v>
      </c>
      <c r="S274" s="801">
        <f t="shared" si="107"/>
        <v>2</v>
      </c>
      <c r="T274" s="172">
        <f t="shared" si="108"/>
        <v>8</v>
      </c>
      <c r="U274" s="247">
        <f t="shared" si="109"/>
        <v>2.4812722551819597</v>
      </c>
      <c r="V274" s="378">
        <f t="shared" si="110"/>
        <v>187.86314576677412</v>
      </c>
      <c r="W274" s="397">
        <f t="shared" si="111"/>
        <v>192.85514315920497</v>
      </c>
      <c r="X274" s="153">
        <f t="shared" si="112"/>
        <v>46282</v>
      </c>
      <c r="Y274" s="380">
        <f t="shared" si="113"/>
        <v>185.68534992439439</v>
      </c>
      <c r="Z274" s="380">
        <f t="shared" si="114"/>
        <v>190.46876311422511</v>
      </c>
      <c r="AA274" s="381">
        <f t="shared" si="115"/>
        <v>201.66970205388094</v>
      </c>
      <c r="AB274" s="193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5.554101000587202E-2</v>
      </c>
      <c r="AD274" s="227">
        <f>(INDEX(Models!$BJ274:$BT274,,AH274)*(1-AF274)+INDEX(Models!$BJ274:$BT274,,AH274+1)*AF274-ERP_i)*AE274*Ramure*Pc/MaxiM</f>
        <v>2.5678138509886429E-4</v>
      </c>
      <c r="AE274" s="301">
        <f t="shared" si="117"/>
        <v>0.5</v>
      </c>
      <c r="AF274" s="173">
        <f t="shared" si="118"/>
        <v>0.48127225518195971</v>
      </c>
      <c r="AG274" s="801">
        <f t="shared" si="124"/>
        <v>2</v>
      </c>
      <c r="AH274" s="172">
        <f t="shared" si="119"/>
        <v>8</v>
      </c>
      <c r="AI274" s="221">
        <f t="shared" si="120"/>
        <v>2.4812722551819597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46283</v>
      </c>
      <c r="B275" s="406">
        <f>'2025'!Wh/'2025'!Env_an*'2026'!Env_an</f>
        <v>186.24131267348554</v>
      </c>
      <c r="C275" s="831"/>
      <c r="D275" s="388">
        <f t="shared" si="102"/>
        <v>191.04166313846537</v>
      </c>
      <c r="E275" s="380">
        <f t="shared" si="100"/>
        <v>194.76946075996025</v>
      </c>
      <c r="F275" s="380">
        <f t="shared" si="103"/>
        <v>194.81864432278914</v>
      </c>
      <c r="G275" s="110">
        <f t="shared" si="101"/>
        <v>0.99738538718755654</v>
      </c>
      <c r="H275" s="409" t="b">
        <f>Wh_hp&gt;='2025'!Maxi_hp</f>
        <v>0</v>
      </c>
      <c r="I275" s="375">
        <f>IF(H275,Wh_hp,'2025'!Maxi_hp)</f>
        <v>194.81879732421061</v>
      </c>
      <c r="J275" s="85">
        <f>IF(H275,An,'2025'!An_max)</f>
        <v>2022</v>
      </c>
      <c r="K275" s="193">
        <f t="shared" si="104"/>
        <v>46283</v>
      </c>
      <c r="L275" s="143">
        <f>IF(t&lt;Tvie,1-EXP((T0-t)*PertePVj)+'2025'!Pspv,1-EXP((T0-t)*PertePVj)+Pspv)</f>
        <v>2.5127243901245655E-2</v>
      </c>
      <c r="M275" s="835"/>
      <c r="N275" s="835"/>
      <c r="O275" s="48">
        <f>IF(t&lt;Tnet,'2025'!Resal+('2025'!Salim-'2025'!Resal)*(1-EXP(('2025'!Tnet-t)/('2025'!Tau_j))),Resal+(Salim-Resal)*(1-EXP((Tnet-t)/(Tau_j))))*Salcycl</f>
        <v>1.9139538647124674E-2</v>
      </c>
      <c r="P275" s="334">
        <f>(INDEX(Models!$BJ275:$BT275,,T275)*(1-R275)+INDEX(Models!$BJ275:$BT275,,T275+1)*R275-ERP_i)*Q275*Ramure*Pc/MaxiM</f>
        <v>2.534043569953919E-4</v>
      </c>
      <c r="Q275" s="301">
        <f t="shared" si="105"/>
        <v>0.5</v>
      </c>
      <c r="R275" s="173">
        <f t="shared" si="106"/>
        <v>0.48160588359181755</v>
      </c>
      <c r="S275" s="801">
        <f t="shared" si="107"/>
        <v>2</v>
      </c>
      <c r="T275" s="172">
        <f t="shared" si="108"/>
        <v>8</v>
      </c>
      <c r="U275" s="247">
        <f t="shared" si="109"/>
        <v>2.4816058835918176</v>
      </c>
      <c r="V275" s="378">
        <f t="shared" si="110"/>
        <v>186.72936139484921</v>
      </c>
      <c r="W275" s="397">
        <f t="shared" si="111"/>
        <v>186.24131267348554</v>
      </c>
      <c r="X275" s="153">
        <f t="shared" si="112"/>
        <v>46283</v>
      </c>
      <c r="Y275" s="380">
        <f t="shared" si="113"/>
        <v>179.32603031459624</v>
      </c>
      <c r="Z275" s="380">
        <f t="shared" si="114"/>
        <v>183.94814009596814</v>
      </c>
      <c r="AA275" s="381">
        <f t="shared" si="115"/>
        <v>194.76946075996025</v>
      </c>
      <c r="AB275" s="193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5.5559637644264151E-2</v>
      </c>
      <c r="AD275" s="227">
        <f>(INDEX(Models!$BJ275:$BT275,,AH275)*(1-AF275)+INDEX(Models!$BJ275:$BT275,,AH275+1)*AF275-ERP_i)*AE275*Ramure*Pc/MaxiM</f>
        <v>2.534043569953919E-4</v>
      </c>
      <c r="AE275" s="301">
        <f t="shared" si="117"/>
        <v>0.5</v>
      </c>
      <c r="AF275" s="173">
        <f t="shared" si="118"/>
        <v>0.48160588359181755</v>
      </c>
      <c r="AG275" s="801">
        <f t="shared" si="124"/>
        <v>2</v>
      </c>
      <c r="AH275" s="172">
        <f t="shared" si="119"/>
        <v>8</v>
      </c>
      <c r="AI275" s="221">
        <f t="shared" si="120"/>
        <v>2.4816058835918176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46284</v>
      </c>
      <c r="B276" s="406">
        <f>'2025'!Wh/'2025'!Env_an*'2026'!Env_an</f>
        <v>183.76641723768807</v>
      </c>
      <c r="C276" s="831"/>
      <c r="D276" s="388">
        <f t="shared" si="102"/>
        <v>188.50555801298989</v>
      </c>
      <c r="E276" s="380">
        <f t="shared" si="100"/>
        <v>192.19685106056997</v>
      </c>
      <c r="F276" s="380">
        <f t="shared" si="103"/>
        <v>192.24428924119232</v>
      </c>
      <c r="G276" s="110">
        <f t="shared" si="101"/>
        <v>0.99023563913633073</v>
      </c>
      <c r="H276" s="409" t="b">
        <f>Wh_hp&gt;='2025'!Maxi_hp</f>
        <v>0</v>
      </c>
      <c r="I276" s="375">
        <f>IF(H276,Wh_hp,'2025'!Maxi_hp)</f>
        <v>192.2448463410021</v>
      </c>
      <c r="J276" s="85">
        <f>IF(H276,An,'2025'!An_max)</f>
        <v>2022</v>
      </c>
      <c r="K276" s="193">
        <f t="shared" si="104"/>
        <v>46284</v>
      </c>
      <c r="L276" s="143">
        <f>IF(t&lt;Tvie,1-EXP((T0-t)*PertePVj)+'2025'!Pspv,1-EXP((T0-t)*PertePVj)+Pspv)</f>
        <v>2.5140589090615784E-2</v>
      </c>
      <c r="M276" s="835"/>
      <c r="N276" s="835"/>
      <c r="O276" s="48">
        <f>IF(t&lt;Tnet,'2025'!Resal+('2025'!Salim-'2025'!Resal)*(1-EXP(('2025'!Tnet-t)/('2025'!Tau_j))),Resal+(Salim-Resal)*(1-EXP((Tnet-t)/(Tau_j))))*Salcycl</f>
        <v>1.9205793576798892E-2</v>
      </c>
      <c r="P276" s="334">
        <f>(INDEX(Models!$BJ276:$BT276,,T276)*(1-R276)+INDEX(Models!$BJ276:$BT276,,T276+1)*R276-ERP_i)*Q276*Ramure*Pc/MaxiM</f>
        <v>2.5024941012685768E-4</v>
      </c>
      <c r="Q276" s="301">
        <f t="shared" si="105"/>
        <v>0.5</v>
      </c>
      <c r="R276" s="173">
        <f t="shared" si="106"/>
        <v>0.48192650456107922</v>
      </c>
      <c r="S276" s="801">
        <f t="shared" si="107"/>
        <v>2</v>
      </c>
      <c r="T276" s="172">
        <f t="shared" si="108"/>
        <v>8</v>
      </c>
      <c r="U276" s="247">
        <f t="shared" si="109"/>
        <v>2.4819265045610792</v>
      </c>
      <c r="V276" s="378">
        <f t="shared" si="110"/>
        <v>185.57782467210836</v>
      </c>
      <c r="W276" s="397">
        <f t="shared" si="111"/>
        <v>183.76641723768807</v>
      </c>
      <c r="X276" s="153">
        <f t="shared" si="112"/>
        <v>46284</v>
      </c>
      <c r="Y276" s="380">
        <f t="shared" si="113"/>
        <v>176.95159768490439</v>
      </c>
      <c r="Z276" s="380">
        <f t="shared" si="114"/>
        <v>181.51499149999231</v>
      </c>
      <c r="AA276" s="381">
        <f t="shared" si="115"/>
        <v>192.19685106056997</v>
      </c>
      <c r="AB276" s="193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5.557770328511423E-2</v>
      </c>
      <c r="AD276" s="227">
        <f>(INDEX(Models!$BJ276:$BT276,,AH276)*(1-AF276)+INDEX(Models!$BJ276:$BT276,,AH276+1)*AF276-ERP_i)*AE276*Ramure*Pc/MaxiM</f>
        <v>2.5024941012685768E-4</v>
      </c>
      <c r="AE276" s="301">
        <f t="shared" si="117"/>
        <v>0.5</v>
      </c>
      <c r="AF276" s="173">
        <f t="shared" si="118"/>
        <v>0.48192650456107922</v>
      </c>
      <c r="AG276" s="801">
        <f t="shared" si="124"/>
        <v>2</v>
      </c>
      <c r="AH276" s="172">
        <f t="shared" si="119"/>
        <v>8</v>
      </c>
      <c r="AI276" s="221">
        <f t="shared" si="120"/>
        <v>2.4819265045610792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46285</v>
      </c>
      <c r="B277" s="406">
        <f>'2025'!Wh/'2025'!Env_an*'2026'!Env_an</f>
        <v>187.94247762738374</v>
      </c>
      <c r="C277" s="831"/>
      <c r="D277" s="388">
        <f t="shared" si="102"/>
        <v>192.7919537258949</v>
      </c>
      <c r="E277" s="380">
        <f t="shared" si="100"/>
        <v>196.58040289346917</v>
      </c>
      <c r="F277" s="380">
        <f t="shared" si="103"/>
        <v>196.62901416079933</v>
      </c>
      <c r="G277" s="110">
        <f t="shared" si="101"/>
        <v>1.0191548690504901</v>
      </c>
      <c r="H277" s="409" t="b">
        <f>Wh_hp&gt;='2025'!Maxi_hp</f>
        <v>1</v>
      </c>
      <c r="I277" s="375">
        <f>IF(H277,Wh_hp,'2025'!Maxi_hp)</f>
        <v>196.62901416079933</v>
      </c>
      <c r="J277" s="85">
        <f>IF(H277,An,'2025'!An_max)</f>
        <v>2026</v>
      </c>
      <c r="K277" s="193">
        <f t="shared" si="104"/>
        <v>46285</v>
      </c>
      <c r="L277" s="143">
        <f>IF(t&lt;Tvie,1-EXP((T0-t)*PertePVj)+'2025'!Pspv,1-EXP((T0-t)*PertePVj)+Pspv)</f>
        <v>2.5153934097301489E-2</v>
      </c>
      <c r="M277" s="835"/>
      <c r="N277" s="835"/>
      <c r="O277" s="48">
        <f>IF(t&lt;Tnet,'2025'!Resal+('2025'!Salim-'2025'!Resal)*(1-EXP(('2025'!Tnet-t)/('2025'!Tau_j))),Resal+(Salim-Resal)*(1-EXP((Tnet-t)/(Tau_j))))*Salcycl</f>
        <v>1.9271754009107959E-2</v>
      </c>
      <c r="P277" s="334">
        <f>(INDEX(Models!$BJ277:$BT277,,T277)*(1-R277)+INDEX(Models!$BJ277:$BT277,,T277+1)*R277-ERP_i)*Q277*Ramure*Pc/MaxiM</f>
        <v>2.4722326731707269E-4</v>
      </c>
      <c r="Q277" s="301">
        <f t="shared" si="105"/>
        <v>0.5</v>
      </c>
      <c r="R277" s="173">
        <f t="shared" si="106"/>
        <v>0.48223460900613802</v>
      </c>
      <c r="S277" s="801">
        <f t="shared" si="107"/>
        <v>2</v>
      </c>
      <c r="T277" s="172">
        <f t="shared" si="108"/>
        <v>8</v>
      </c>
      <c r="U277" s="247">
        <f t="shared" si="109"/>
        <v>2.482234609006138</v>
      </c>
      <c r="V277" s="378">
        <f t="shared" si="110"/>
        <v>184.41012581579773</v>
      </c>
      <c r="W277" s="397">
        <f t="shared" si="111"/>
        <v>187.94247762738374</v>
      </c>
      <c r="X277" s="153">
        <f t="shared" si="112"/>
        <v>46285</v>
      </c>
      <c r="Y277" s="380">
        <f t="shared" si="113"/>
        <v>180.98161343616223</v>
      </c>
      <c r="Z277" s="380">
        <f t="shared" si="114"/>
        <v>185.65147849119637</v>
      </c>
      <c r="AA277" s="381">
        <f t="shared" si="115"/>
        <v>196.58040289346917</v>
      </c>
      <c r="AB277" s="193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5.5595187726802053E-2</v>
      </c>
      <c r="AD277" s="227">
        <f>(INDEX(Models!$BJ277:$BT277,,AH277)*(1-AF277)+INDEX(Models!$BJ277:$BT277,,AH277+1)*AF277-ERP_i)*AE277*Ramure*Pc/MaxiM</f>
        <v>2.4722326731707269E-4</v>
      </c>
      <c r="AE277" s="301">
        <f t="shared" si="117"/>
        <v>0.5</v>
      </c>
      <c r="AF277" s="173">
        <f t="shared" si="118"/>
        <v>0.48223460900613802</v>
      </c>
      <c r="AG277" s="801">
        <f t="shared" si="124"/>
        <v>2</v>
      </c>
      <c r="AH277" s="172">
        <f t="shared" si="119"/>
        <v>8</v>
      </c>
      <c r="AI277" s="221">
        <f t="shared" si="120"/>
        <v>2.482234609006138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46286</v>
      </c>
      <c r="B278" s="406">
        <f>'2025'!Wh/'2025'!Env_an*'2026'!Env_an</f>
        <v>182.85184452402817</v>
      </c>
      <c r="C278" s="831"/>
      <c r="D278" s="388">
        <f t="shared" si="102"/>
        <v>187.5725348259696</v>
      </c>
      <c r="E278" s="380">
        <f t="shared" si="100"/>
        <v>191.27122523319372</v>
      </c>
      <c r="F278" s="380">
        <f t="shared" si="103"/>
        <v>191.31783195081977</v>
      </c>
      <c r="G278" s="110">
        <f t="shared" si="101"/>
        <v>0.99794723542247121</v>
      </c>
      <c r="H278" s="409" t="b">
        <f>Wh_hp&gt;='2025'!Maxi_hp</f>
        <v>0</v>
      </c>
      <c r="I278" s="375">
        <f>IF(H278,Wh_hp,'2025'!Maxi_hp)</f>
        <v>191.3179458974538</v>
      </c>
      <c r="J278" s="85">
        <f>IF(H278,An,'2025'!An_max)</f>
        <v>2022</v>
      </c>
      <c r="K278" s="193">
        <f t="shared" si="104"/>
        <v>46286</v>
      </c>
      <c r="L278" s="143">
        <f>IF(t&lt;Tvie,1-EXP((T0-t)*PertePVj)+'2025'!Pspv,1-EXP((T0-t)*PertePVj)+Pspv)</f>
        <v>2.5167278921305325E-2</v>
      </c>
      <c r="M278" s="835"/>
      <c r="N278" s="835"/>
      <c r="O278" s="48">
        <f>IF(t&lt;Tnet,'2025'!Resal+('2025'!Salim-'2025'!Resal)*(1-EXP(('2025'!Tnet-t)/('2025'!Tau_j))),Resal+(Salim-Resal)*(1-EXP((Tnet-t)/(Tau_j))))*Salcycl</f>
        <v>1.9337411587732424E-2</v>
      </c>
      <c r="P278" s="334">
        <f>(INDEX(Models!$BJ278:$BT278,,T278)*(1-R278)+INDEX(Models!$BJ278:$BT278,,T278+1)*R278-ERP_i)*Q278*Ramure*Pc/MaxiM</f>
        <v>2.4432509201578588E-4</v>
      </c>
      <c r="Q278" s="301">
        <f t="shared" si="105"/>
        <v>0.5</v>
      </c>
      <c r="R278" s="173">
        <f t="shared" si="106"/>
        <v>0.48253067057872556</v>
      </c>
      <c r="S278" s="801">
        <f t="shared" si="107"/>
        <v>2</v>
      </c>
      <c r="T278" s="172">
        <f t="shared" si="108"/>
        <v>8</v>
      </c>
      <c r="U278" s="247">
        <f t="shared" si="109"/>
        <v>2.4825306705787256</v>
      </c>
      <c r="V278" s="378">
        <f t="shared" si="110"/>
        <v>183.22783714021438</v>
      </c>
      <c r="W278" s="397">
        <f t="shared" si="111"/>
        <v>182.85184452402817</v>
      </c>
      <c r="X278" s="153">
        <f t="shared" si="112"/>
        <v>46286</v>
      </c>
      <c r="Y278" s="380">
        <f t="shared" si="113"/>
        <v>176.08816396533456</v>
      </c>
      <c r="Z278" s="380">
        <f t="shared" si="114"/>
        <v>180.63423616975575</v>
      </c>
      <c r="AA278" s="381">
        <f t="shared" si="115"/>
        <v>191.27122523319372</v>
      </c>
      <c r="AB278" s="193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5.5612071551638595E-2</v>
      </c>
      <c r="AD278" s="227">
        <f>(INDEX(Models!$BJ278:$BT278,,AH278)*(1-AF278)+INDEX(Models!$BJ278:$BT278,,AH278+1)*AF278-ERP_i)*AE278*Ramure*Pc/MaxiM</f>
        <v>2.4432509201578588E-4</v>
      </c>
      <c r="AE278" s="301">
        <f t="shared" si="117"/>
        <v>0.5</v>
      </c>
      <c r="AF278" s="173">
        <f t="shared" si="118"/>
        <v>0.48253067057872556</v>
      </c>
      <c r="AG278" s="801">
        <f t="shared" si="124"/>
        <v>2</v>
      </c>
      <c r="AH278" s="172">
        <f t="shared" si="119"/>
        <v>8</v>
      </c>
      <c r="AI278" s="221">
        <f t="shared" si="120"/>
        <v>2.4825306705787256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46287</v>
      </c>
      <c r="B279" s="406">
        <f>'2025'!Wh/'2025'!Env_an*'2026'!Env_an</f>
        <v>177.60847726056642</v>
      </c>
      <c r="C279" s="831"/>
      <c r="D279" s="388">
        <f t="shared" si="102"/>
        <v>182.19629354277336</v>
      </c>
      <c r="E279" s="380">
        <f t="shared" si="100"/>
        <v>185.80135218471577</v>
      </c>
      <c r="F279" s="380">
        <f t="shared" si="103"/>
        <v>185.84468512904425</v>
      </c>
      <c r="G279" s="110">
        <f t="shared" si="101"/>
        <v>0.97568817487036907</v>
      </c>
      <c r="H279" s="409" t="b">
        <f>Wh_hp&gt;='2025'!Maxi_hp</f>
        <v>0</v>
      </c>
      <c r="I279" s="375">
        <f>IF(H279,Wh_hp,'2025'!Maxi_hp)</f>
        <v>185.84598226608634</v>
      </c>
      <c r="J279" s="85">
        <f>IF(H279,An,'2025'!An_max)</f>
        <v>2022</v>
      </c>
      <c r="K279" s="193">
        <f t="shared" si="104"/>
        <v>46287</v>
      </c>
      <c r="L279" s="143">
        <f>IF(t&lt;Tvie,1-EXP((T0-t)*PertePVj)+'2025'!Pspv,1-EXP((T0-t)*PertePVj)+Pspv)</f>
        <v>2.5180623562629623E-2</v>
      </c>
      <c r="M279" s="835"/>
      <c r="N279" s="835"/>
      <c r="O279" s="48">
        <f>IF(t&lt;Tnet,'2025'!Resal+('2025'!Salim-'2025'!Resal)*(1-EXP(('2025'!Tnet-t)/('2025'!Tau_j))),Resal+(Salim-Resal)*(1-EXP((Tnet-t)/(Tau_j))))*Salcycl</f>
        <v>1.9402757835467296E-2</v>
      </c>
      <c r="P279" s="334">
        <f>(INDEX(Models!$BJ279:$BT279,,T279)*(1-R279)+INDEX(Models!$BJ279:$BT279,,T279+1)*R279-ERP_i)*Q279*Ramure*Pc/MaxiM</f>
        <v>2.4155415617191446E-4</v>
      </c>
      <c r="Q279" s="301">
        <f t="shared" si="105"/>
        <v>0.5</v>
      </c>
      <c r="R279" s="173">
        <f t="shared" si="106"/>
        <v>0.48281514617353549</v>
      </c>
      <c r="S279" s="801">
        <f t="shared" si="107"/>
        <v>2</v>
      </c>
      <c r="T279" s="172">
        <f t="shared" si="108"/>
        <v>8</v>
      </c>
      <c r="U279" s="247">
        <f t="shared" si="109"/>
        <v>2.4828151461735355</v>
      </c>
      <c r="V279" s="378">
        <f t="shared" si="110"/>
        <v>182.03253042303493</v>
      </c>
      <c r="W279" s="397">
        <f t="shared" si="111"/>
        <v>177.60847726056642</v>
      </c>
      <c r="X279" s="153">
        <f t="shared" si="112"/>
        <v>46287</v>
      </c>
      <c r="Y279" s="380">
        <f t="shared" si="113"/>
        <v>171.04720076559542</v>
      </c>
      <c r="Z279" s="380">
        <f t="shared" si="114"/>
        <v>175.46553228221021</v>
      </c>
      <c r="AA279" s="381">
        <f t="shared" si="115"/>
        <v>185.80135218471577</v>
      </c>
      <c r="AB279" s="193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5.5628335213783166E-2</v>
      </c>
      <c r="AD279" s="227">
        <f>(INDEX(Models!$BJ279:$BT279,,AH279)*(1-AF279)+INDEX(Models!$BJ279:$BT279,,AH279+1)*AF279-ERP_i)*AE279*Ramure*Pc/MaxiM</f>
        <v>2.4155415617191446E-4</v>
      </c>
      <c r="AE279" s="301">
        <f t="shared" si="117"/>
        <v>0.5</v>
      </c>
      <c r="AF279" s="173">
        <f t="shared" si="118"/>
        <v>0.48281514617353549</v>
      </c>
      <c r="AG279" s="801">
        <f t="shared" si="124"/>
        <v>2</v>
      </c>
      <c r="AH279" s="172">
        <f t="shared" si="119"/>
        <v>8</v>
      </c>
      <c r="AI279" s="221">
        <f t="shared" si="120"/>
        <v>2.4828151461735355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46288</v>
      </c>
      <c r="B280" s="406">
        <f>'2025'!Wh/'2025'!Env_an*'2026'!Env_an</f>
        <v>113.88410216256875</v>
      </c>
      <c r="C280" s="831"/>
      <c r="D280" s="388">
        <f t="shared" si="102"/>
        <v>116.8274491812485</v>
      </c>
      <c r="E280" s="380">
        <f t="shared" si="100"/>
        <v>119.14697681249596</v>
      </c>
      <c r="F280" s="380">
        <f t="shared" si="103"/>
        <v>119.16038965044848</v>
      </c>
      <c r="G280" s="110">
        <f t="shared" si="101"/>
        <v>0.62972057083404542</v>
      </c>
      <c r="H280" s="409" t="b">
        <f>Wh_hp&gt;='2025'!Maxi_hp</f>
        <v>0</v>
      </c>
      <c r="I280" s="375">
        <f>IF(H280,Wh_hp,'2025'!Maxi_hp)</f>
        <v>119.17293135937119</v>
      </c>
      <c r="J280" s="85">
        <f>IF(H280,An,'2025'!An_max)</f>
        <v>2022</v>
      </c>
      <c r="K280" s="193">
        <f t="shared" si="104"/>
        <v>46288</v>
      </c>
      <c r="L280" s="143">
        <f>IF(t&lt;Tvie,1-EXP((T0-t)*PertePVj)+'2025'!Pspv,1-EXP((T0-t)*PertePVj)+Pspv)</f>
        <v>2.5193968021277047E-2</v>
      </c>
      <c r="M280" s="835"/>
      <c r="N280" s="835"/>
      <c r="O280" s="48">
        <f>IF(t&lt;Tnet,'2025'!Resal+('2025'!Salim-'2025'!Resal)*(1-EXP(('2025'!Tnet-t)/('2025'!Tau_j))),Resal+(Salim-Resal)*(1-EXP((Tnet-t)/(Tau_j))))*Salcycl</f>
        <v>1.9467784188076823E-2</v>
      </c>
      <c r="P280" s="334">
        <f>(INDEX(Models!$BJ280:$BT280,,T280)*(1-R280)+INDEX(Models!$BJ280:$BT280,,T280+1)*R280-ERP_i)*Q280*Ramure*Pc/MaxiM</f>
        <v>2.3891089091781549E-4</v>
      </c>
      <c r="Q280" s="301">
        <f t="shared" si="105"/>
        <v>0.5</v>
      </c>
      <c r="R280" s="173">
        <f t="shared" si="106"/>
        <v>0.48308847642910102</v>
      </c>
      <c r="S280" s="801">
        <f t="shared" si="107"/>
        <v>2</v>
      </c>
      <c r="T280" s="172">
        <f t="shared" si="108"/>
        <v>8</v>
      </c>
      <c r="U280" s="247">
        <f t="shared" si="109"/>
        <v>2.483088476429101</v>
      </c>
      <c r="V280" s="378">
        <f t="shared" si="110"/>
        <v>180.82577669684088</v>
      </c>
      <c r="W280" s="397">
        <f t="shared" si="111"/>
        <v>113.88410216256875</v>
      </c>
      <c r="X280" s="153">
        <f t="shared" si="112"/>
        <v>46288</v>
      </c>
      <c r="Y280" s="380">
        <f t="shared" si="113"/>
        <v>109.68241338858381</v>
      </c>
      <c r="Z280" s="380">
        <f t="shared" si="114"/>
        <v>112.51716730347216</v>
      </c>
      <c r="AA280" s="381">
        <f t="shared" si="115"/>
        <v>119.14697681249596</v>
      </c>
      <c r="AB280" s="193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5.5643959136766577E-2</v>
      </c>
      <c r="AD280" s="227">
        <f>(INDEX(Models!$BJ280:$BT280,,AH280)*(1-AF280)+INDEX(Models!$BJ280:$BT280,,AH280+1)*AF280-ERP_i)*AE280*Ramure*Pc/MaxiM</f>
        <v>2.3891089091781549E-4</v>
      </c>
      <c r="AE280" s="301">
        <f t="shared" si="117"/>
        <v>0.5</v>
      </c>
      <c r="AF280" s="173">
        <f t="shared" si="118"/>
        <v>0.48308847642910102</v>
      </c>
      <c r="AG280" s="801">
        <f t="shared" si="124"/>
        <v>2</v>
      </c>
      <c r="AH280" s="172">
        <f t="shared" si="119"/>
        <v>8</v>
      </c>
      <c r="AI280" s="221">
        <f t="shared" si="120"/>
        <v>2.483088476429101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46289</v>
      </c>
      <c r="B281" s="406">
        <f>'2025'!Wh/'2025'!Env_an*'2026'!Env_an</f>
        <v>76.612796763920414</v>
      </c>
      <c r="C281" s="831"/>
      <c r="D281" s="388">
        <f t="shared" si="102"/>
        <v>78.593938721955681</v>
      </c>
      <c r="E281" s="380">
        <f t="shared" si="100"/>
        <v>80.159655757737269</v>
      </c>
      <c r="F281" s="380">
        <f t="shared" si="103"/>
        <v>80.163081755674881</v>
      </c>
      <c r="G281" s="110">
        <f t="shared" si="101"/>
        <v>0.42647026038016295</v>
      </c>
      <c r="H281" s="409" t="b">
        <f>Wh_hp&gt;='2025'!Maxi_hp</f>
        <v>0</v>
      </c>
      <c r="I281" s="375">
        <f>IF(H281,Wh_hp,'2025'!Maxi_hp)</f>
        <v>80.176027230313849</v>
      </c>
      <c r="J281" s="85">
        <f>IF(H281,An,'2025'!An_max)</f>
        <v>2022</v>
      </c>
      <c r="K281" s="193">
        <f t="shared" si="104"/>
        <v>46289</v>
      </c>
      <c r="L281" s="143">
        <f>IF(t&lt;Tvie,1-EXP((T0-t)*PertePVj)+'2025'!Pspv,1-EXP((T0-t)*PertePVj)+Pspv)</f>
        <v>2.520731229725004E-2</v>
      </c>
      <c r="M281" s="835"/>
      <c r="N281" s="835"/>
      <c r="O281" s="48">
        <f>IF(t&lt;Tnet,'2025'!Resal+('2025'!Salim-'2025'!Resal)*(1-EXP(('2025'!Tnet-t)/('2025'!Tau_j))),Resal+(Salim-Resal)*(1-EXP((Tnet-t)/(Tau_j))))*Salcycl</f>
        <v>1.9532482032028529E-2</v>
      </c>
      <c r="P281" s="334">
        <f>(INDEX(Models!$BJ281:$BT281,,T281)*(1-R281)+INDEX(Models!$BJ281:$BT281,,T281+1)*R281-ERP_i)*Q281*Ramure*Pc/MaxiM</f>
        <v>2.3639524531765354E-4</v>
      </c>
      <c r="Q281" s="301">
        <f t="shared" si="105"/>
        <v>0.5</v>
      </c>
      <c r="R281" s="173">
        <f t="shared" si="106"/>
        <v>0.48335108622123713</v>
      </c>
      <c r="S281" s="801">
        <f t="shared" si="107"/>
        <v>2</v>
      </c>
      <c r="T281" s="172">
        <f t="shared" si="108"/>
        <v>8</v>
      </c>
      <c r="U281" s="247">
        <f t="shared" si="109"/>
        <v>2.4833510862212371</v>
      </c>
      <c r="V281" s="378">
        <f t="shared" si="110"/>
        <v>179.60914654875037</v>
      </c>
      <c r="W281" s="397">
        <f t="shared" si="111"/>
        <v>76.612796763920414</v>
      </c>
      <c r="X281" s="153">
        <f t="shared" si="112"/>
        <v>46289</v>
      </c>
      <c r="Y281" s="380">
        <f t="shared" si="113"/>
        <v>73.789911057045373</v>
      </c>
      <c r="Z281" s="380">
        <f t="shared" si="114"/>
        <v>75.698055584457379</v>
      </c>
      <c r="AA281" s="381">
        <f t="shared" si="115"/>
        <v>80.159655757737269</v>
      </c>
      <c r="AB281" s="193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5.5658923820281501E-2</v>
      </c>
      <c r="AD281" s="227">
        <f>(INDEX(Models!$BJ281:$BT281,,AH281)*(1-AF281)+INDEX(Models!$BJ281:$BT281,,AH281+1)*AF281-ERP_i)*AE281*Ramure*Pc/MaxiM</f>
        <v>2.3639524531765354E-4</v>
      </c>
      <c r="AE281" s="301">
        <f t="shared" si="117"/>
        <v>0.5</v>
      </c>
      <c r="AF281" s="173">
        <f t="shared" si="118"/>
        <v>0.48335108622123713</v>
      </c>
      <c r="AG281" s="801">
        <f t="shared" si="124"/>
        <v>2</v>
      </c>
      <c r="AH281" s="172">
        <f t="shared" si="119"/>
        <v>8</v>
      </c>
      <c r="AI281" s="221">
        <f t="shared" si="120"/>
        <v>2.4833510862212371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46290</v>
      </c>
      <c r="B282" s="406">
        <f>'2025'!Wh/'2025'!Env_an*'2026'!Env_an</f>
        <v>133.0637107589157</v>
      </c>
      <c r="C282" s="831"/>
      <c r="D282" s="388">
        <f t="shared" si="102"/>
        <v>136.50649414276927</v>
      </c>
      <c r="E282" s="380">
        <f t="shared" si="100"/>
        <v>139.23506175266715</v>
      </c>
      <c r="F282" s="380">
        <f t="shared" si="103"/>
        <v>139.25591071006005</v>
      </c>
      <c r="G282" s="110">
        <f t="shared" si="101"/>
        <v>0.74587595545864449</v>
      </c>
      <c r="H282" s="409" t="b">
        <f>Wh_hp&gt;='2025'!Maxi_hp</f>
        <v>0</v>
      </c>
      <c r="I282" s="375">
        <f>IF(H282,Wh_hp,'2025'!Maxi_hp)</f>
        <v>139.26582651103067</v>
      </c>
      <c r="J282" s="85">
        <f>IF(H282,An,'2025'!An_max)</f>
        <v>2022</v>
      </c>
      <c r="K282" s="193">
        <f t="shared" si="104"/>
        <v>46290</v>
      </c>
      <c r="L282" s="143">
        <f>IF(t&lt;Tvie,1-EXP((T0-t)*PertePVj)+'2025'!Pspv,1-EXP((T0-t)*PertePVj)+Pspv)</f>
        <v>2.5220656390551044E-2</v>
      </c>
      <c r="M282" s="835"/>
      <c r="N282" s="835"/>
      <c r="O282" s="48">
        <f>IF(t&lt;Tnet,'2025'!Resal+('2025'!Salim-'2025'!Resal)*(1-EXP(('2025'!Tnet-t)/('2025'!Tau_j))),Resal+(Salim-Resal)*(1-EXP((Tnet-t)/(Tau_j))))*Salcycl</f>
        <v>1.959684274600916E-2</v>
      </c>
      <c r="P282" s="334">
        <f>(INDEX(Models!$BJ282:$BT282,,T282)*(1-R282)+INDEX(Models!$BJ282:$BT282,,T282+1)*R282-ERP_i)*Q282*Ramure*Pc/MaxiM</f>
        <v>2.3501344713747788E-4</v>
      </c>
      <c r="Q282" s="301">
        <f t="shared" si="105"/>
        <v>0.5</v>
      </c>
      <c r="R282" s="173">
        <f t="shared" si="106"/>
        <v>0.48360338514845536</v>
      </c>
      <c r="S282" s="801">
        <f t="shared" si="107"/>
        <v>2</v>
      </c>
      <c r="T282" s="172">
        <f t="shared" si="108"/>
        <v>8</v>
      </c>
      <c r="U282" s="247">
        <f t="shared" si="109"/>
        <v>2.4836033851484554</v>
      </c>
      <c r="V282" s="378">
        <f t="shared" si="110"/>
        <v>178.38403048787973</v>
      </c>
      <c r="W282" s="397">
        <f t="shared" si="111"/>
        <v>133.0637107589157</v>
      </c>
      <c r="X282" s="153">
        <f t="shared" si="112"/>
        <v>46290</v>
      </c>
      <c r="Y282" s="380">
        <f t="shared" si="113"/>
        <v>128.16730130111767</v>
      </c>
      <c r="Z282" s="380">
        <f t="shared" si="114"/>
        <v>131.4833989265048</v>
      </c>
      <c r="AA282" s="381">
        <f t="shared" si="115"/>
        <v>139.23506175266715</v>
      </c>
      <c r="AB282" s="193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5.5673209955780824E-2</v>
      </c>
      <c r="AD282" s="227">
        <f>(INDEX(Models!$BJ282:$BT282,,AH282)*(1-AF282)+INDEX(Models!$BJ282:$BT282,,AH282+1)*AF282-ERP_i)*AE282*Ramure*Pc/MaxiM</f>
        <v>2.3501344713747788E-4</v>
      </c>
      <c r="AE282" s="301">
        <f t="shared" si="117"/>
        <v>0.5</v>
      </c>
      <c r="AF282" s="173">
        <f t="shared" si="118"/>
        <v>0.48360338514845536</v>
      </c>
      <c r="AG282" s="801">
        <f t="shared" si="124"/>
        <v>2</v>
      </c>
      <c r="AH282" s="172">
        <f t="shared" si="119"/>
        <v>8</v>
      </c>
      <c r="AI282" s="221">
        <f t="shared" si="120"/>
        <v>2.4836033851484554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46291</v>
      </c>
      <c r="B283" s="406">
        <f>'2025'!Wh/'2025'!Env_an*'2026'!Env_an</f>
        <v>134.67953086878137</v>
      </c>
      <c r="C283" s="831"/>
      <c r="D283" s="388">
        <f t="shared" si="102"/>
        <v>138.16601205868341</v>
      </c>
      <c r="E283" s="380">
        <f t="shared" si="100"/>
        <v>140.93695345166239</v>
      </c>
      <c r="F283" s="380">
        <f t="shared" si="103"/>
        <v>140.95873489890153</v>
      </c>
      <c r="G283" s="110">
        <f t="shared" si="101"/>
        <v>0.76018741497208686</v>
      </c>
      <c r="H283" s="409" t="b">
        <f>Wh_hp&gt;='2025'!Maxi_hp</f>
        <v>0</v>
      </c>
      <c r="I283" s="375">
        <f>IF(H283,Wh_hp,'2025'!Maxi_hp)</f>
        <v>140.96821646202747</v>
      </c>
      <c r="J283" s="85">
        <f>IF(H283,An,'2025'!An_max)</f>
        <v>2022</v>
      </c>
      <c r="K283" s="193">
        <f t="shared" si="104"/>
        <v>46291</v>
      </c>
      <c r="L283" s="143">
        <f>IF(t&lt;Tvie,1-EXP((T0-t)*PertePVj)+'2025'!Pspv,1-EXP((T0-t)*PertePVj)+Pspv)</f>
        <v>2.5234000301182724E-2</v>
      </c>
      <c r="M283" s="835"/>
      <c r="N283" s="835"/>
      <c r="O283" s="48">
        <f>IF(t&lt;Tnet,'2025'!Resal+('2025'!Salim-'2025'!Resal)*(1-EXP(('2025'!Tnet-t)/('2025'!Tau_j))),Resal+(Salim-Resal)*(1-EXP((Tnet-t)/(Tau_j))))*Salcycl</f>
        <v>1.966085774607966E-2</v>
      </c>
      <c r="P283" s="334">
        <f>(INDEX(Models!$BJ283:$BT283,,T283)*(1-R283)+INDEX(Models!$BJ283:$BT283,,T283+1)*R283-ERP_i)*Q283*Ramure*Pc/MaxiM</f>
        <v>2.3501754447814846E-4</v>
      </c>
      <c r="Q283" s="301">
        <f t="shared" si="105"/>
        <v>0.5</v>
      </c>
      <c r="R283" s="173">
        <f t="shared" si="106"/>
        <v>0.48384576800883305</v>
      </c>
      <c r="S283" s="801">
        <f t="shared" si="107"/>
        <v>2</v>
      </c>
      <c r="T283" s="172">
        <f t="shared" si="108"/>
        <v>8</v>
      </c>
      <c r="U283" s="247">
        <f t="shared" si="109"/>
        <v>2.4838457680088331</v>
      </c>
      <c r="V283" s="378">
        <f t="shared" si="110"/>
        <v>177.1519570708235</v>
      </c>
      <c r="W283" s="397">
        <f t="shared" si="111"/>
        <v>134.67953086878137</v>
      </c>
      <c r="X283" s="153">
        <f t="shared" si="112"/>
        <v>46291</v>
      </c>
      <c r="Y283" s="380">
        <f t="shared" si="113"/>
        <v>129.73026729509121</v>
      </c>
      <c r="Z283" s="380">
        <f t="shared" si="114"/>
        <v>133.0886257165055</v>
      </c>
      <c r="AA283" s="381">
        <f t="shared" si="115"/>
        <v>140.93695345166239</v>
      </c>
      <c r="AB283" s="193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5.5686798550308149E-2</v>
      </c>
      <c r="AD283" s="227">
        <f>(INDEX(Models!$BJ283:$BT283,,AH283)*(1-AF283)+INDEX(Models!$BJ283:$BT283,,AH283+1)*AF283-ERP_i)*AE283*Ramure*Pc/MaxiM</f>
        <v>2.3501754447814846E-4</v>
      </c>
      <c r="AE283" s="301">
        <f t="shared" si="117"/>
        <v>0.5</v>
      </c>
      <c r="AF283" s="173">
        <f t="shared" si="118"/>
        <v>0.48384576800883305</v>
      </c>
      <c r="AG283" s="801">
        <f t="shared" si="124"/>
        <v>2</v>
      </c>
      <c r="AH283" s="172">
        <f t="shared" si="119"/>
        <v>8</v>
      </c>
      <c r="AI283" s="221">
        <f t="shared" si="120"/>
        <v>2.4838457680088331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46292</v>
      </c>
      <c r="B284" s="406">
        <f>'2025'!Wh/'2025'!Env_an*'2026'!Env_an</f>
        <v>61.849583527753047</v>
      </c>
      <c r="C284" s="831"/>
      <c r="D284" s="388">
        <f t="shared" si="102"/>
        <v>63.451567070777479</v>
      </c>
      <c r="E284" s="380">
        <f t="shared" si="100"/>
        <v>64.728301656493471</v>
      </c>
      <c r="F284" s="380">
        <f t="shared" si="103"/>
        <v>64.729429507501948</v>
      </c>
      <c r="G284" s="110">
        <f t="shared" si="101"/>
        <v>0.35151189514341358</v>
      </c>
      <c r="H284" s="409" t="b">
        <f>Wh_hp&gt;='2025'!Maxi_hp</f>
        <v>0</v>
      </c>
      <c r="I284" s="375">
        <f>IF(H284,Wh_hp,'2025'!Maxi_hp)</f>
        <v>64.741286379220085</v>
      </c>
      <c r="J284" s="85">
        <f>IF(H284,An,'2025'!An_max)</f>
        <v>2022</v>
      </c>
      <c r="K284" s="193">
        <f t="shared" si="104"/>
        <v>46292</v>
      </c>
      <c r="L284" s="143">
        <f>IF(t&lt;Tvie,1-EXP((T0-t)*PertePVj)+'2025'!Pspv,1-EXP((T0-t)*PertePVj)+Pspv)</f>
        <v>2.5247344029147301E-2</v>
      </c>
      <c r="M284" s="835"/>
      <c r="N284" s="835"/>
      <c r="O284" s="48">
        <f>IF(t&lt;Tnet,'2025'!Resal+('2025'!Salim-'2025'!Resal)*(1-EXP(('2025'!Tnet-t)/('2025'!Tau_j))),Resal+(Salim-Resal)*(1-EXP((Tnet-t)/(Tau_j))))*Salcycl</f>
        <v>1.9724518534280245E-2</v>
      </c>
      <c r="P284" s="334">
        <f>(INDEX(Models!$BJ284:$BT284,,T284)*(1-R284)+INDEX(Models!$BJ284:$BT284,,T284+1)*R284-ERP_i)*Q284*Ramure*Pc/MaxiM</f>
        <v>2.3642411481233742E-4</v>
      </c>
      <c r="Q284" s="301">
        <f t="shared" si="105"/>
        <v>0.5</v>
      </c>
      <c r="R284" s="173">
        <f t="shared" si="106"/>
        <v>0.48407861526790219</v>
      </c>
      <c r="S284" s="801">
        <f t="shared" si="107"/>
        <v>2</v>
      </c>
      <c r="T284" s="172">
        <f t="shared" si="108"/>
        <v>8</v>
      </c>
      <c r="U284" s="247">
        <f t="shared" si="109"/>
        <v>2.4840786152679022</v>
      </c>
      <c r="V284" s="378">
        <f t="shared" si="110"/>
        <v>175.91449702094343</v>
      </c>
      <c r="W284" s="397">
        <f t="shared" si="111"/>
        <v>61.849583527753047</v>
      </c>
      <c r="X284" s="153">
        <f t="shared" si="112"/>
        <v>46292</v>
      </c>
      <c r="Y284" s="380">
        <f t="shared" si="113"/>
        <v>59.579764234094384</v>
      </c>
      <c r="Z284" s="380">
        <f t="shared" si="114"/>
        <v>61.122956546092198</v>
      </c>
      <c r="AA284" s="381">
        <f t="shared" si="115"/>
        <v>64.728301656493471</v>
      </c>
      <c r="AB284" s="193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5.5699671057870118E-2</v>
      </c>
      <c r="AD284" s="227">
        <f>(INDEX(Models!$BJ284:$BT284,,AH284)*(1-AF284)+INDEX(Models!$BJ284:$BT284,,AH284+1)*AF284-ERP_i)*AE284*Ramure*Pc/MaxiM</f>
        <v>2.3642411481233742E-4</v>
      </c>
      <c r="AE284" s="301">
        <f t="shared" si="117"/>
        <v>0.5</v>
      </c>
      <c r="AF284" s="173">
        <f t="shared" si="118"/>
        <v>0.48407861526790219</v>
      </c>
      <c r="AG284" s="801">
        <f t="shared" si="124"/>
        <v>2</v>
      </c>
      <c r="AH284" s="172">
        <f t="shared" si="119"/>
        <v>8</v>
      </c>
      <c r="AI284" s="221">
        <f t="shared" si="120"/>
        <v>2.4840786152679022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46293</v>
      </c>
      <c r="B285" s="406">
        <f>'2025'!Wh/'2025'!Env_an*'2026'!Env_an</f>
        <v>62.03560537856746</v>
      </c>
      <c r="C285" s="831"/>
      <c r="D285" s="388">
        <f t="shared" si="102"/>
        <v>63.643278349159175</v>
      </c>
      <c r="E285" s="380">
        <f t="shared" si="100"/>
        <v>64.928062960993046</v>
      </c>
      <c r="F285" s="380">
        <f t="shared" si="103"/>
        <v>64.929286894727582</v>
      </c>
      <c r="G285" s="110">
        <f t="shared" si="101"/>
        <v>0.35507407656098317</v>
      </c>
      <c r="H285" s="409" t="b">
        <f>Wh_hp&gt;='2025'!Maxi_hp</f>
        <v>0</v>
      </c>
      <c r="I285" s="375">
        <f>IF(H285,Wh_hp,'2025'!Maxi_hp)</f>
        <v>64.941266554955206</v>
      </c>
      <c r="J285" s="85">
        <f>IF(H285,An,'2025'!An_max)</f>
        <v>2022</v>
      </c>
      <c r="K285" s="193">
        <f t="shared" si="104"/>
        <v>46293</v>
      </c>
      <c r="L285" s="143">
        <f>IF(t&lt;Tvie,1-EXP((T0-t)*PertePVj)+'2025'!Pspv,1-EXP((T0-t)*PertePVj)+Pspv)</f>
        <v>2.5260687574447549E-2</v>
      </c>
      <c r="M285" s="835"/>
      <c r="N285" s="835"/>
      <c r="O285" s="48">
        <f>IF(t&lt;Tnet,'2025'!Resal+('2025'!Salim-'2025'!Resal)*(1-EXP(('2025'!Tnet-t)/('2025'!Tau_j))),Resal+(Salim-Resal)*(1-EXP((Tnet-t)/(Tau_j))))*Salcycl</f>
        <v>1.9787816750450937E-2</v>
      </c>
      <c r="P285" s="334">
        <f>(INDEX(Models!$BJ285:$BT285,,T285)*(1-R285)+INDEX(Models!$BJ285:$BT285,,T285+1)*R285-ERP_i)*Q285*Ramure*Pc/MaxiM</f>
        <v>2.3924962360233253E-4</v>
      </c>
      <c r="Q285" s="301">
        <f t="shared" si="105"/>
        <v>0.5</v>
      </c>
      <c r="R285" s="173">
        <f t="shared" si="106"/>
        <v>0.48430229351718879</v>
      </c>
      <c r="S285" s="801">
        <f t="shared" si="107"/>
        <v>2</v>
      </c>
      <c r="T285" s="172">
        <f t="shared" si="108"/>
        <v>8</v>
      </c>
      <c r="U285" s="247">
        <f t="shared" si="109"/>
        <v>2.4843022935171888</v>
      </c>
      <c r="V285" s="378">
        <f t="shared" si="110"/>
        <v>174.67322062312334</v>
      </c>
      <c r="W285" s="397">
        <f t="shared" si="111"/>
        <v>62.03560537856746</v>
      </c>
      <c r="X285" s="153">
        <f t="shared" si="112"/>
        <v>46293</v>
      </c>
      <c r="Y285" s="380">
        <f t="shared" si="113"/>
        <v>59.762050043298927</v>
      </c>
      <c r="Z285" s="380">
        <f t="shared" si="114"/>
        <v>61.31080308496675</v>
      </c>
      <c r="AA285" s="381">
        <f t="shared" si="115"/>
        <v>64.928062960993046</v>
      </c>
      <c r="AB285" s="193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5.5711809517549352E-2</v>
      </c>
      <c r="AD285" s="227">
        <f>(INDEX(Models!$BJ285:$BT285,,AH285)*(1-AF285)+INDEX(Models!$BJ285:$BT285,,AH285+1)*AF285-ERP_i)*AE285*Ramure*Pc/MaxiM</f>
        <v>2.3924962360233253E-4</v>
      </c>
      <c r="AE285" s="301">
        <f t="shared" si="117"/>
        <v>0.5</v>
      </c>
      <c r="AF285" s="173">
        <f t="shared" si="118"/>
        <v>0.48430229351718879</v>
      </c>
      <c r="AG285" s="801">
        <f t="shared" si="124"/>
        <v>2</v>
      </c>
      <c r="AH285" s="172">
        <f t="shared" si="119"/>
        <v>8</v>
      </c>
      <c r="AI285" s="221">
        <f t="shared" si="120"/>
        <v>2.4843022935171888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46294</v>
      </c>
      <c r="B286" s="406">
        <f>'2025'!Wh/'2025'!Env_an*'2026'!Env_an</f>
        <v>92.316556765134735</v>
      </c>
      <c r="C286" s="831"/>
      <c r="D286" s="388">
        <f t="shared" si="102"/>
        <v>94.710266982920743</v>
      </c>
      <c r="E286" s="380">
        <f t="shared" si="100"/>
        <v>96.628412892305803</v>
      </c>
      <c r="F286" s="380">
        <f t="shared" si="103"/>
        <v>96.636222111118329</v>
      </c>
      <c r="G286" s="110">
        <f t="shared" si="101"/>
        <v>0.53221297662199141</v>
      </c>
      <c r="H286" s="409" t="b">
        <f>Wh_hp&gt;='2025'!Maxi_hp</f>
        <v>0</v>
      </c>
      <c r="I286" s="375">
        <f>IF(H286,Wh_hp,'2025'!Maxi_hp)</f>
        <v>96.649393993788266</v>
      </c>
      <c r="J286" s="85">
        <f>IF(H286,An,'2025'!An_max)</f>
        <v>2022</v>
      </c>
      <c r="K286" s="193">
        <f t="shared" si="104"/>
        <v>46294</v>
      </c>
      <c r="L286" s="143">
        <f>IF(t&lt;Tvie,1-EXP((T0-t)*PertePVj)+'2025'!Pspv,1-EXP((T0-t)*PertePVj)+Pspv)</f>
        <v>2.5274030937085912E-2</v>
      </c>
      <c r="M286" s="835"/>
      <c r="N286" s="835"/>
      <c r="O286" s="48">
        <f>IF(t&lt;Tnet,'2025'!Resal+('2025'!Salim-'2025'!Resal)*(1-EXP(('2025'!Tnet-t)/('2025'!Tau_j))),Resal+(Salim-Resal)*(1-EXP((Tnet-t)/(Tau_j))))*Salcycl</f>
        <v>1.9850744226989188E-2</v>
      </c>
      <c r="P286" s="334">
        <f>(INDEX(Models!$BJ286:$BT286,,T286)*(1-R286)+INDEX(Models!$BJ286:$BT286,,T286+1)*R286-ERP_i)*Q286*Ramure*Pc/MaxiM</f>
        <v>2.4351025067238495E-4</v>
      </c>
      <c r="Q286" s="301">
        <f t="shared" si="105"/>
        <v>0.5</v>
      </c>
      <c r="R286" s="173">
        <f t="shared" si="106"/>
        <v>0.48451715592309919</v>
      </c>
      <c r="S286" s="801">
        <f t="shared" si="107"/>
        <v>2</v>
      </c>
      <c r="T286" s="172">
        <f t="shared" si="108"/>
        <v>8</v>
      </c>
      <c r="U286" s="247">
        <f t="shared" si="109"/>
        <v>2.4845171559230992</v>
      </c>
      <c r="V286" s="378">
        <f t="shared" si="110"/>
        <v>173.42969773840096</v>
      </c>
      <c r="W286" s="397">
        <f t="shared" si="111"/>
        <v>92.316556765134735</v>
      </c>
      <c r="X286" s="153">
        <f t="shared" si="112"/>
        <v>46294</v>
      </c>
      <c r="Y286" s="380">
        <f t="shared" si="113"/>
        <v>88.937865943008347</v>
      </c>
      <c r="Z286" s="380">
        <f t="shared" si="114"/>
        <v>91.243968834145036</v>
      </c>
      <c r="AA286" s="381">
        <f t="shared" si="115"/>
        <v>96.628412892305803</v>
      </c>
      <c r="AB286" s="193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5.5723196697454201E-2</v>
      </c>
      <c r="AD286" s="227">
        <f>(INDEX(Models!$BJ286:$BT286,,AH286)*(1-AF286)+INDEX(Models!$BJ286:$BT286,,AH286+1)*AF286-ERP_i)*AE286*Ramure*Pc/MaxiM</f>
        <v>2.4351025067238495E-4</v>
      </c>
      <c r="AE286" s="301">
        <f t="shared" si="117"/>
        <v>0.5</v>
      </c>
      <c r="AF286" s="173">
        <f t="shared" si="118"/>
        <v>0.48451715592309919</v>
      </c>
      <c r="AG286" s="801">
        <f t="shared" si="124"/>
        <v>2</v>
      </c>
      <c r="AH286" s="172">
        <f t="shared" si="119"/>
        <v>8</v>
      </c>
      <c r="AI286" s="221">
        <f t="shared" si="120"/>
        <v>2.4845171559230992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46295</v>
      </c>
      <c r="B287" s="406">
        <f>'2025'!Wh/'2025'!Env_an*'2026'!Env_an</f>
        <v>132.37065426411189</v>
      </c>
      <c r="C287" s="831"/>
      <c r="D287" s="388">
        <f t="shared" si="102"/>
        <v>135.80480107580945</v>
      </c>
      <c r="E287" s="380">
        <f t="shared" si="100"/>
        <v>138.5640679669113</v>
      </c>
      <c r="F287" s="380">
        <f t="shared" si="103"/>
        <v>138.5871975950007</v>
      </c>
      <c r="G287" s="110">
        <f t="shared" si="101"/>
        <v>0.76870442984885212</v>
      </c>
      <c r="H287" s="409" t="b">
        <f>Wh_hp&gt;='2025'!Maxi_hp</f>
        <v>0</v>
      </c>
      <c r="I287" s="375">
        <f>IF(H287,Wh_hp,'2025'!Maxi_hp)</f>
        <v>138.5967620238211</v>
      </c>
      <c r="J287" s="85">
        <f>IF(H287,An,'2025'!An_max)</f>
        <v>2022</v>
      </c>
      <c r="K287" s="193">
        <f t="shared" si="104"/>
        <v>46295</v>
      </c>
      <c r="L287" s="143">
        <f>IF(t&lt;Tvie,1-EXP((T0-t)*PertePVj)+'2025'!Pspv,1-EXP((T0-t)*PertePVj)+Pspv)</f>
        <v>2.5287374117064831E-2</v>
      </c>
      <c r="M287" s="835"/>
      <c r="N287" s="835"/>
      <c r="O287" s="48">
        <f>IF(t&lt;Tnet,'2025'!Resal+('2025'!Salim-'2025'!Resal)*(1-EXP(('2025'!Tnet-t)/('2025'!Tau_j))),Resal+(Salim-Resal)*(1-EXP((Tnet-t)/(Tau_j))))*Salcycl</f>
        <v>1.9913293046222771E-2</v>
      </c>
      <c r="P287" s="334">
        <f>(INDEX(Models!$BJ287:$BT287,,T287)*(1-R287)+INDEX(Models!$BJ287:$BT287,,T287+1)*R287-ERP_i)*Q287*Ramure*Pc/MaxiM</f>
        <v>2.4922170893943135E-4</v>
      </c>
      <c r="Q287" s="301">
        <f t="shared" si="105"/>
        <v>0.5</v>
      </c>
      <c r="R287" s="173">
        <f t="shared" si="106"/>
        <v>0.48472354266590845</v>
      </c>
      <c r="S287" s="801">
        <f t="shared" si="107"/>
        <v>2</v>
      </c>
      <c r="T287" s="172">
        <f t="shared" si="108"/>
        <v>8</v>
      </c>
      <c r="U287" s="247">
        <f t="shared" si="109"/>
        <v>2.4847235426659084</v>
      </c>
      <c r="V287" s="378">
        <f t="shared" si="110"/>
        <v>172.18549780338972</v>
      </c>
      <c r="W287" s="397">
        <f t="shared" si="111"/>
        <v>132.37065426411189</v>
      </c>
      <c r="X287" s="153">
        <f t="shared" si="112"/>
        <v>46295</v>
      </c>
      <c r="Y287" s="380">
        <f t="shared" si="113"/>
        <v>127.5327291519102</v>
      </c>
      <c r="Z287" s="380">
        <f t="shared" si="114"/>
        <v>130.84136366489125</v>
      </c>
      <c r="AA287" s="381">
        <f t="shared" si="115"/>
        <v>138.5640679669113</v>
      </c>
      <c r="AB287" s="193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5.5733816243502543E-2</v>
      </c>
      <c r="AD287" s="227">
        <f>(INDEX(Models!$BJ287:$BT287,,AH287)*(1-AF287)+INDEX(Models!$BJ287:$BT287,,AH287+1)*AF287-ERP_i)*AE287*Ramure*Pc/MaxiM</f>
        <v>2.4922170893943135E-4</v>
      </c>
      <c r="AE287" s="301">
        <f t="shared" si="117"/>
        <v>0.5</v>
      </c>
      <c r="AF287" s="173">
        <f t="shared" si="118"/>
        <v>0.48472354266590845</v>
      </c>
      <c r="AG287" s="801">
        <f t="shared" si="124"/>
        <v>2</v>
      </c>
      <c r="AH287" s="172">
        <f t="shared" si="119"/>
        <v>8</v>
      </c>
      <c r="AI287" s="221">
        <f t="shared" si="120"/>
        <v>2.4847235426659084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46296</v>
      </c>
      <c r="B288" s="406">
        <f>'2025'!Wh/'2025'!Env_an*'2026'!Env_an</f>
        <v>150.04055368230951</v>
      </c>
      <c r="C288" s="831"/>
      <c r="D288" s="388">
        <f t="shared" si="102"/>
        <v>153.93522527082607</v>
      </c>
      <c r="E288" s="380">
        <f t="shared" si="100"/>
        <v>157.0728265434162</v>
      </c>
      <c r="F288" s="380">
        <f t="shared" si="103"/>
        <v>157.10607212397551</v>
      </c>
      <c r="G288" s="110">
        <f t="shared" si="101"/>
        <v>0.87768755376522634</v>
      </c>
      <c r="H288" s="409" t="b">
        <f>Wh_hp&gt;='2025'!Maxi_hp</f>
        <v>0</v>
      </c>
      <c r="I288" s="375">
        <f>IF(H288,Wh_hp,'2025'!Maxi_hp)</f>
        <v>157.11197366226085</v>
      </c>
      <c r="J288" s="85">
        <f>IF(H288,An,'2025'!An_max)</f>
        <v>2022</v>
      </c>
      <c r="K288" s="193">
        <f t="shared" si="104"/>
        <v>46296</v>
      </c>
      <c r="L288" s="143">
        <f>IF(t&lt;Tvie,1-EXP((T0-t)*PertePVj)+'2025'!Pspv,1-EXP((T0-t)*PertePVj)+Pspv)</f>
        <v>2.530071711438675E-2</v>
      </c>
      <c r="M288" s="835"/>
      <c r="N288" s="835"/>
      <c r="O288" s="48">
        <f>IF(t&lt;Tnet,'2025'!Resal+('2025'!Salim-'2025'!Resal)*(1-EXP(('2025'!Tnet-t)/('2025'!Tau_j))),Resal+(Salim-Resal)*(1-EXP((Tnet-t)/(Tau_j))))*Salcycl</f>
        <v>1.997545560003583E-2</v>
      </c>
      <c r="P288" s="334">
        <f>(INDEX(Models!$BJ288:$BT288,,T288)*(1-R288)+INDEX(Models!$BJ288:$BT288,,T288+1)*R288-ERP_i)*Q288*Ramure*Pc/MaxiM</f>
        <v>2.5639905584596455E-4</v>
      </c>
      <c r="Q288" s="301">
        <f t="shared" si="105"/>
        <v>0.5</v>
      </c>
      <c r="R288" s="173">
        <f t="shared" si="106"/>
        <v>0.48492178136865638</v>
      </c>
      <c r="S288" s="801">
        <f t="shared" si="107"/>
        <v>2</v>
      </c>
      <c r="T288" s="172">
        <f t="shared" si="108"/>
        <v>8</v>
      </c>
      <c r="U288" s="247">
        <f t="shared" si="109"/>
        <v>2.4849217813686564</v>
      </c>
      <c r="V288" s="378">
        <f t="shared" si="110"/>
        <v>170.94218983723161</v>
      </c>
      <c r="W288" s="397">
        <f t="shared" si="111"/>
        <v>150.04055368230951</v>
      </c>
      <c r="X288" s="153">
        <f t="shared" si="112"/>
        <v>46296</v>
      </c>
      <c r="Y288" s="380">
        <f t="shared" si="113"/>
        <v>144.56448663117246</v>
      </c>
      <c r="Z288" s="380">
        <f t="shared" si="114"/>
        <v>148.31701343124715</v>
      </c>
      <c r="AA288" s="381">
        <f t="shared" si="115"/>
        <v>157.0728265434162</v>
      </c>
      <c r="AB288" s="193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5.5743652831948459E-2</v>
      </c>
      <c r="AD288" s="227">
        <f>(INDEX(Models!$BJ288:$BT288,,AH288)*(1-AF288)+INDEX(Models!$BJ288:$BT288,,AH288+1)*AF288-ERP_i)*AE288*Ramure*Pc/MaxiM</f>
        <v>2.5639905584596455E-4</v>
      </c>
      <c r="AE288" s="301">
        <f t="shared" si="117"/>
        <v>0.5</v>
      </c>
      <c r="AF288" s="173">
        <f t="shared" si="118"/>
        <v>0.48492178136865638</v>
      </c>
      <c r="AG288" s="801">
        <f t="shared" si="124"/>
        <v>2</v>
      </c>
      <c r="AH288" s="172">
        <f t="shared" si="119"/>
        <v>8</v>
      </c>
      <c r="AI288" s="221">
        <f t="shared" si="120"/>
        <v>2.4849217813686564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46297</v>
      </c>
      <c r="B289" s="406">
        <f>'2025'!Wh/'2025'!Env_an*'2026'!Env_an</f>
        <v>155.32495082588085</v>
      </c>
      <c r="C289" s="831"/>
      <c r="D289" s="388">
        <f t="shared" si="102"/>
        <v>159.35897342950798</v>
      </c>
      <c r="E289" s="380">
        <f t="shared" si="100"/>
        <v>162.61737429037649</v>
      </c>
      <c r="F289" s="380">
        <f t="shared" si="103"/>
        <v>162.65527230200661</v>
      </c>
      <c r="G289" s="110">
        <f t="shared" si="101"/>
        <v>0.91528202481063825</v>
      </c>
      <c r="H289" s="409" t="b">
        <f>Wh_hp&gt;='2025'!Maxi_hp</f>
        <v>0</v>
      </c>
      <c r="I289" s="375">
        <f>IF(H289,Wh_hp,'2025'!Maxi_hp)</f>
        <v>162.65964891476867</v>
      </c>
      <c r="J289" s="85">
        <f>IF(H289,An,'2025'!An_max)</f>
        <v>2022</v>
      </c>
      <c r="K289" s="193">
        <f t="shared" si="104"/>
        <v>46297</v>
      </c>
      <c r="L289" s="143">
        <f>IF(t&lt;Tvie,1-EXP((T0-t)*PertePVj)+'2025'!Pspv,1-EXP((T0-t)*PertePVj)+Pspv)</f>
        <v>2.5314059929054333E-2</v>
      </c>
      <c r="M289" s="835"/>
      <c r="N289" s="835"/>
      <c r="O289" s="48">
        <f>IF(t&lt;Tnet,'2025'!Resal+('2025'!Salim-'2025'!Resal)*(1-EXP(('2025'!Tnet-t)/('2025'!Tau_j))),Resal+(Salim-Resal)*(1-EXP((Tnet-t)/(Tau_j))))*Salcycl</f>
        <v>2.0037224651347357E-2</v>
      </c>
      <c r="P289" s="334">
        <f>(INDEX(Models!$BJ289:$BT289,,T289)*(1-R289)+INDEX(Models!$BJ289:$BT289,,T289+1)*R289-ERP_i)*Q289*Ramure*Pc/MaxiM</f>
        <v>2.6506437954127929E-4</v>
      </c>
      <c r="Q289" s="301">
        <f t="shared" si="105"/>
        <v>0.5</v>
      </c>
      <c r="R289" s="173">
        <f t="shared" si="106"/>
        <v>0.48511218751581264</v>
      </c>
      <c r="S289" s="801">
        <f t="shared" si="107"/>
        <v>2</v>
      </c>
      <c r="T289" s="172">
        <f t="shared" si="108"/>
        <v>8</v>
      </c>
      <c r="U289" s="247">
        <f t="shared" si="109"/>
        <v>2.4851121875158126</v>
      </c>
      <c r="V289" s="378">
        <f t="shared" si="110"/>
        <v>169.69629515257117</v>
      </c>
      <c r="W289" s="397">
        <f t="shared" si="111"/>
        <v>155.32495082588085</v>
      </c>
      <c r="X289" s="153">
        <f t="shared" si="112"/>
        <v>46297</v>
      </c>
      <c r="Y289" s="380">
        <f t="shared" si="113"/>
        <v>149.66401818680288</v>
      </c>
      <c r="Z289" s="380">
        <f t="shared" si="114"/>
        <v>153.55101785495037</v>
      </c>
      <c r="AA289" s="381">
        <f t="shared" si="115"/>
        <v>162.61737429037649</v>
      </c>
      <c r="AB289" s="193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5.5752692324479824E-2</v>
      </c>
      <c r="AD289" s="227">
        <f>(INDEX(Models!$BJ289:$BT289,,AH289)*(1-AF289)+INDEX(Models!$BJ289:$BT289,,AH289+1)*AF289-ERP_i)*AE289*Ramure*Pc/MaxiM</f>
        <v>2.6506437954127929E-4</v>
      </c>
      <c r="AE289" s="301">
        <f t="shared" si="117"/>
        <v>0.5</v>
      </c>
      <c r="AF289" s="173">
        <f t="shared" si="118"/>
        <v>0.48511218751581264</v>
      </c>
      <c r="AG289" s="801">
        <f t="shared" si="124"/>
        <v>2</v>
      </c>
      <c r="AH289" s="172">
        <f t="shared" si="119"/>
        <v>8</v>
      </c>
      <c r="AI289" s="221">
        <f t="shared" si="120"/>
        <v>2.4851121875158126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46298</v>
      </c>
      <c r="B290" s="406">
        <f>'2025'!Wh/'2025'!Env_an*'2026'!Env_an</f>
        <v>145.88883896526599</v>
      </c>
      <c r="C290" s="831"/>
      <c r="D290" s="388">
        <f t="shared" si="102"/>
        <v>149.67984054194866</v>
      </c>
      <c r="E290" s="380">
        <f t="shared" si="100"/>
        <v>152.74989864627403</v>
      </c>
      <c r="F290" s="380">
        <f t="shared" si="103"/>
        <v>152.78390031386519</v>
      </c>
      <c r="G290" s="110">
        <f t="shared" si="101"/>
        <v>0.86605317811320903</v>
      </c>
      <c r="H290" s="409" t="b">
        <f>Wh_hp&gt;='2025'!Maxi_hp</f>
        <v>0</v>
      </c>
      <c r="I290" s="375">
        <f>IF(H290,Wh_hp,'2025'!Maxi_hp)</f>
        <v>152.79064899002728</v>
      </c>
      <c r="J290" s="85">
        <f>IF(H290,An,'2025'!An_max)</f>
        <v>2022</v>
      </c>
      <c r="K290" s="193">
        <f t="shared" si="104"/>
        <v>46298</v>
      </c>
      <c r="L290" s="143">
        <f>IF(t&lt;Tvie,1-EXP((T0-t)*PertePVj)+'2025'!Pspv,1-EXP((T0-t)*PertePVj)+Pspv)</f>
        <v>2.5327402561069912E-2</v>
      </c>
      <c r="M290" s="835"/>
      <c r="N290" s="835"/>
      <c r="O290" s="48">
        <f>IF(t&lt;Tnet,'2025'!Resal+('2025'!Salim-'2025'!Resal)*(1-EXP(('2025'!Tnet-t)/('2025'!Tau_j))),Resal+(Salim-Resal)*(1-EXP((Tnet-t)/(Tau_j))))*Salcycl</f>
        <v>2.0098593397006238E-2</v>
      </c>
      <c r="P290" s="334">
        <f>(INDEX(Models!$BJ290:$BT290,,T290)*(1-R290)+INDEX(Models!$BJ290:$BT290,,T290+1)*R290-ERP_i)*Q290*Ramure*Pc/MaxiM</f>
        <v>2.7518733729171412E-4</v>
      </c>
      <c r="Q290" s="301">
        <f t="shared" si="105"/>
        <v>0.5</v>
      </c>
      <c r="R290" s="173">
        <f t="shared" si="106"/>
        <v>0.48529506486160079</v>
      </c>
      <c r="S290" s="801">
        <f t="shared" si="107"/>
        <v>2</v>
      </c>
      <c r="T290" s="172">
        <f t="shared" si="108"/>
        <v>8</v>
      </c>
      <c r="U290" s="247">
        <f t="shared" si="109"/>
        <v>2.4852950648616008</v>
      </c>
      <c r="V290" s="378">
        <f t="shared" si="110"/>
        <v>168.44364915531105</v>
      </c>
      <c r="W290" s="397">
        <f t="shared" si="111"/>
        <v>145.88883896526599</v>
      </c>
      <c r="X290" s="153">
        <f t="shared" si="112"/>
        <v>46298</v>
      </c>
      <c r="Y290" s="380">
        <f t="shared" si="113"/>
        <v>140.57939082218053</v>
      </c>
      <c r="Z290" s="380">
        <f t="shared" si="114"/>
        <v>144.23242347386173</v>
      </c>
      <c r="AA290" s="381">
        <f t="shared" si="115"/>
        <v>152.74989864627403</v>
      </c>
      <c r="AB290" s="193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5.5760921924644914E-2</v>
      </c>
      <c r="AD290" s="227">
        <f>(INDEX(Models!$BJ290:$BT290,,AH290)*(1-AF290)+INDEX(Models!$BJ290:$BT290,,AH290+1)*AF290-ERP_i)*AE290*Ramure*Pc/MaxiM</f>
        <v>2.7518733729171412E-4</v>
      </c>
      <c r="AE290" s="301">
        <f t="shared" si="117"/>
        <v>0.5</v>
      </c>
      <c r="AF290" s="173">
        <f t="shared" si="118"/>
        <v>0.48529506486160079</v>
      </c>
      <c r="AG290" s="801">
        <f t="shared" si="124"/>
        <v>2</v>
      </c>
      <c r="AH290" s="172">
        <f t="shared" si="119"/>
        <v>8</v>
      </c>
      <c r="AI290" s="221">
        <f t="shared" si="120"/>
        <v>2.4852950648616008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46299</v>
      </c>
      <c r="B291" s="406">
        <f>'2025'!Wh/'2025'!Env_an*'2026'!Env_an</f>
        <v>166.93262026468193</v>
      </c>
      <c r="C291" s="831"/>
      <c r="D291" s="388">
        <f t="shared" si="102"/>
        <v>171.27280063273943</v>
      </c>
      <c r="E291" s="380">
        <f t="shared" si="100"/>
        <v>174.79662285798727</v>
      </c>
      <c r="F291" s="380">
        <f t="shared" si="103"/>
        <v>174.84658652387475</v>
      </c>
      <c r="G291" s="110">
        <f t="shared" si="101"/>
        <v>0.99849071765962016</v>
      </c>
      <c r="H291" s="409" t="b">
        <f>Wh_hp&gt;='2025'!Maxi_hp</f>
        <v>0</v>
      </c>
      <c r="I291" s="375">
        <f>IF(H291,Wh_hp,'2025'!Maxi_hp)</f>
        <v>174.84667705924409</v>
      </c>
      <c r="J291" s="85">
        <f>IF(H291,An,'2025'!An_max)</f>
        <v>2022</v>
      </c>
      <c r="K291" s="193">
        <f t="shared" si="104"/>
        <v>46299</v>
      </c>
      <c r="L291" s="143">
        <f>IF(t&lt;Tvie,1-EXP((T0-t)*PertePVj)+'2025'!Pspv,1-EXP((T0-t)*PertePVj)+Pspv)</f>
        <v>2.5340745010436039E-2</v>
      </c>
      <c r="M291" s="835"/>
      <c r="N291" s="835"/>
      <c r="O291" s="48">
        <f>IF(t&lt;Tnet,'2025'!Resal+('2025'!Salim-'2025'!Resal)*(1-EXP(('2025'!Tnet-t)/('2025'!Tau_j))),Resal+(Salim-Resal)*(1-EXP((Tnet-t)/(Tau_j))))*Salcycl</f>
        <v>2.0159555531634909E-2</v>
      </c>
      <c r="P291" s="334">
        <f>(INDEX(Models!$BJ291:$BT291,,T291)*(1-R291)+INDEX(Models!$BJ291:$BT291,,T291+1)*R291-ERP_i)*Q291*Ramure*Pc/MaxiM</f>
        <v>2.8637437543669794E-4</v>
      </c>
      <c r="Q291" s="301">
        <f t="shared" si="105"/>
        <v>0.5</v>
      </c>
      <c r="R291" s="173">
        <f t="shared" si="106"/>
        <v>0.4854707058279315</v>
      </c>
      <c r="S291" s="801">
        <f t="shared" si="107"/>
        <v>2</v>
      </c>
      <c r="T291" s="172">
        <f t="shared" si="108"/>
        <v>8</v>
      </c>
      <c r="U291" s="247">
        <f t="shared" si="109"/>
        <v>2.4854707058279315</v>
      </c>
      <c r="V291" s="378">
        <f t="shared" si="110"/>
        <v>167.18484633980248</v>
      </c>
      <c r="W291" s="397">
        <f t="shared" si="111"/>
        <v>166.93262026468193</v>
      </c>
      <c r="X291" s="153">
        <f t="shared" si="112"/>
        <v>46299</v>
      </c>
      <c r="Y291" s="380">
        <f t="shared" si="113"/>
        <v>160.86605492153558</v>
      </c>
      <c r="Z291" s="380">
        <f t="shared" si="114"/>
        <v>165.04850705312188</v>
      </c>
      <c r="AA291" s="381">
        <f t="shared" si="115"/>
        <v>174.79662285798727</v>
      </c>
      <c r="AB291" s="193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5.5768330334306282E-2</v>
      </c>
      <c r="AD291" s="227">
        <f>(INDEX(Models!$BJ291:$BT291,,AH291)*(1-AF291)+INDEX(Models!$BJ291:$BT291,,AH291+1)*AF291-ERP_i)*AE291*Ramure*Pc/MaxiM</f>
        <v>2.8637437543669794E-4</v>
      </c>
      <c r="AE291" s="301">
        <f t="shared" si="117"/>
        <v>0.5</v>
      </c>
      <c r="AF291" s="173">
        <f t="shared" si="118"/>
        <v>0.4854707058279315</v>
      </c>
      <c r="AG291" s="801">
        <f t="shared" si="124"/>
        <v>2</v>
      </c>
      <c r="AH291" s="172">
        <f t="shared" si="119"/>
        <v>8</v>
      </c>
      <c r="AI291" s="221">
        <f t="shared" si="120"/>
        <v>2.4854707058279315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46300</v>
      </c>
      <c r="B292" s="406">
        <f>'2025'!Wh/'2025'!Env_an*'2026'!Env_an</f>
        <v>169.65099790614252</v>
      </c>
      <c r="C292" s="831"/>
      <c r="D292" s="388">
        <f t="shared" si="102"/>
        <v>174.06423778271704</v>
      </c>
      <c r="E292" s="380">
        <f t="shared" si="100"/>
        <v>177.65647032197234</v>
      </c>
      <c r="F292" s="380">
        <f t="shared" si="103"/>
        <v>177.70954073163574</v>
      </c>
      <c r="G292" s="110">
        <f t="shared" si="101"/>
        <v>1.022484189466115</v>
      </c>
      <c r="H292" s="409" t="b">
        <f>Wh_hp&gt;='2025'!Maxi_hp</f>
        <v>1</v>
      </c>
      <c r="I292" s="375">
        <f>IF(H292,Wh_hp,'2025'!Maxi_hp)</f>
        <v>177.70954073163574</v>
      </c>
      <c r="J292" s="85">
        <f>IF(H292,An,'2025'!An_max)</f>
        <v>2026</v>
      </c>
      <c r="K292" s="193">
        <f t="shared" si="104"/>
        <v>46300</v>
      </c>
      <c r="L292" s="143">
        <f>IF(t&lt;Tvie,1-EXP((T0-t)*PertePVj)+'2025'!Pspv,1-EXP((T0-t)*PertePVj)+Pspv)</f>
        <v>2.5354087277155268E-2</v>
      </c>
      <c r="M292" s="835"/>
      <c r="N292" s="835"/>
      <c r="O292" s="48">
        <f>IF(t&lt;Tnet,'2025'!Resal+('2025'!Salim-'2025'!Resal)*(1-EXP(('2025'!Tnet-t)/('2025'!Tau_j))),Resal+(Salim-Resal)*(1-EXP((Tnet-t)/(Tau_j))))*Salcycl</f>
        <v>2.0220105311925713E-2</v>
      </c>
      <c r="P292" s="334">
        <f>(INDEX(Models!$BJ292:$BT292,,T292)*(1-R292)+INDEX(Models!$BJ292:$BT292,,T292+1)*R292-ERP_i)*Q292*Ramure*Pc/MaxiM</f>
        <v>2.9863568070062862E-4</v>
      </c>
      <c r="Q292" s="301">
        <f t="shared" si="105"/>
        <v>0.5</v>
      </c>
      <c r="R292" s="173">
        <f t="shared" si="106"/>
        <v>0.48563939189191307</v>
      </c>
      <c r="S292" s="801">
        <f t="shared" si="107"/>
        <v>2</v>
      </c>
      <c r="T292" s="172">
        <f t="shared" si="108"/>
        <v>8</v>
      </c>
      <c r="U292" s="247">
        <f t="shared" si="109"/>
        <v>2.4856393918919131</v>
      </c>
      <c r="V292" s="378">
        <f t="shared" si="110"/>
        <v>165.92041192805627</v>
      </c>
      <c r="W292" s="397">
        <f t="shared" si="111"/>
        <v>169.65099790614252</v>
      </c>
      <c r="X292" s="153">
        <f t="shared" si="112"/>
        <v>46300</v>
      </c>
      <c r="Y292" s="380">
        <f t="shared" si="113"/>
        <v>163.4946072988098</v>
      </c>
      <c r="Z292" s="380">
        <f t="shared" si="114"/>
        <v>167.74769705036658</v>
      </c>
      <c r="AA292" s="381">
        <f t="shared" si="115"/>
        <v>177.65647032197234</v>
      </c>
      <c r="AB292" s="193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5.5774907908773458E-2</v>
      </c>
      <c r="AD292" s="227">
        <f>(INDEX(Models!$BJ292:$BT292,,AH292)*(1-AF292)+INDEX(Models!$BJ292:$BT292,,AH292+1)*AF292-ERP_i)*AE292*Ramure*Pc/MaxiM</f>
        <v>2.9863568070062862E-4</v>
      </c>
      <c r="AE292" s="301">
        <f t="shared" si="117"/>
        <v>0.5</v>
      </c>
      <c r="AF292" s="173">
        <f t="shared" si="118"/>
        <v>0.48563939189191307</v>
      </c>
      <c r="AG292" s="801">
        <f t="shared" si="124"/>
        <v>2</v>
      </c>
      <c r="AH292" s="172">
        <f t="shared" si="119"/>
        <v>8</v>
      </c>
      <c r="AI292" s="221">
        <f t="shared" si="120"/>
        <v>2.4856393918919131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46301</v>
      </c>
      <c r="B293" s="406">
        <f>'2025'!Wh/'2025'!Env_an*'2026'!Env_an</f>
        <v>56.96204893910231</v>
      </c>
      <c r="C293" s="831"/>
      <c r="D293" s="388">
        <f t="shared" si="102"/>
        <v>58.444639195435094</v>
      </c>
      <c r="E293" s="380">
        <f t="shared" si="100"/>
        <v>59.65444552584038</v>
      </c>
      <c r="F293" s="380">
        <f t="shared" si="103"/>
        <v>59.655667408262531</v>
      </c>
      <c r="G293" s="110">
        <f t="shared" si="101"/>
        <v>0.34585571213406674</v>
      </c>
      <c r="H293" s="409" t="b">
        <f>Wh_hp&gt;='2025'!Maxi_hp</f>
        <v>0</v>
      </c>
      <c r="I293" s="375">
        <f>IF(H293,Wh_hp,'2025'!Maxi_hp)</f>
        <v>59.670237446224867</v>
      </c>
      <c r="J293" s="85">
        <f>IF(H293,An,'2025'!An_max)</f>
        <v>2022</v>
      </c>
      <c r="K293" s="193">
        <f t="shared" si="104"/>
        <v>46301</v>
      </c>
      <c r="L293" s="143">
        <f>IF(t&lt;Tvie,1-EXP((T0-t)*PertePVj)+'2025'!Pspv,1-EXP((T0-t)*PertePVj)+Pspv)</f>
        <v>2.5367429361230154E-2</v>
      </c>
      <c r="M293" s="835"/>
      <c r="N293" s="835"/>
      <c r="O293" s="48">
        <f>IF(t&lt;Tnet,'2025'!Resal+('2025'!Salim-'2025'!Resal)*(1-EXP(('2025'!Tnet-t)/('2025'!Tau_j))),Resal+(Salim-Resal)*(1-EXP((Tnet-t)/(Tau_j))))*Salcycl</f>
        <v>2.0280237620869893E-2</v>
      </c>
      <c r="P293" s="334">
        <f>(INDEX(Models!$BJ293:$BT293,,T293)*(1-R293)+INDEX(Models!$BJ293:$BT293,,T293+1)*R293-ERP_i)*Q293*Ramure*Pc/MaxiM</f>
        <v>3.1198106357828079E-4</v>
      </c>
      <c r="Q293" s="301">
        <f t="shared" si="105"/>
        <v>0.5</v>
      </c>
      <c r="R293" s="173">
        <f t="shared" si="106"/>
        <v>0.48580139396295241</v>
      </c>
      <c r="S293" s="801">
        <f t="shared" si="107"/>
        <v>2</v>
      </c>
      <c r="T293" s="172">
        <f t="shared" si="108"/>
        <v>8</v>
      </c>
      <c r="U293" s="247">
        <f t="shared" si="109"/>
        <v>2.4858013939629524</v>
      </c>
      <c r="V293" s="378">
        <f t="shared" si="110"/>
        <v>164.65087096021156</v>
      </c>
      <c r="W293" s="397">
        <f t="shared" si="111"/>
        <v>56.96204893910231</v>
      </c>
      <c r="X293" s="153">
        <f t="shared" si="112"/>
        <v>46301</v>
      </c>
      <c r="Y293" s="380">
        <f t="shared" si="113"/>
        <v>54.898013769866886</v>
      </c>
      <c r="Z293" s="380">
        <f t="shared" si="114"/>
        <v>56.32688196936305</v>
      </c>
      <c r="AA293" s="381">
        <f t="shared" si="115"/>
        <v>59.65444552584038</v>
      </c>
      <c r="AB293" s="193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5.5780646809229582E-2</v>
      </c>
      <c r="AD293" s="227">
        <f>(INDEX(Models!$BJ293:$BT293,,AH293)*(1-AF293)+INDEX(Models!$BJ293:$BT293,,AH293+1)*AF293-ERP_i)*AE293*Ramure*Pc/MaxiM</f>
        <v>3.1198106357828079E-4</v>
      </c>
      <c r="AE293" s="301">
        <f t="shared" si="117"/>
        <v>0.5</v>
      </c>
      <c r="AF293" s="173">
        <f t="shared" si="118"/>
        <v>0.48580139396295241</v>
      </c>
      <c r="AG293" s="801">
        <f t="shared" si="124"/>
        <v>2</v>
      </c>
      <c r="AH293" s="172">
        <f t="shared" si="119"/>
        <v>8</v>
      </c>
      <c r="AI293" s="221">
        <f t="shared" si="120"/>
        <v>2.4858013939629524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46302</v>
      </c>
      <c r="B294" s="406">
        <f>'2025'!Wh/'2025'!Env_an*'2026'!Env_an</f>
        <v>117.04792552104529</v>
      </c>
      <c r="C294" s="831"/>
      <c r="D294" s="388">
        <f t="shared" si="102"/>
        <v>120.09605604917742</v>
      </c>
      <c r="E294" s="380">
        <f t="shared" si="100"/>
        <v>122.58952052586528</v>
      </c>
      <c r="F294" s="380">
        <f t="shared" si="103"/>
        <v>122.61333043879085</v>
      </c>
      <c r="G294" s="110">
        <f t="shared" si="101"/>
        <v>0.71633476704169086</v>
      </c>
      <c r="H294" s="409" t="b">
        <f>Wh_hp&gt;='2025'!Maxi_hp</f>
        <v>0</v>
      </c>
      <c r="I294" s="375">
        <f>IF(H294,Wh_hp,'2025'!Maxi_hp)</f>
        <v>122.62690257230749</v>
      </c>
      <c r="J294" s="85">
        <f>IF(H294,An,'2025'!An_max)</f>
        <v>2022</v>
      </c>
      <c r="K294" s="193">
        <f t="shared" si="104"/>
        <v>46302</v>
      </c>
      <c r="L294" s="143">
        <f>IF(t&lt;Tvie,1-EXP((T0-t)*PertePVj)+'2025'!Pspv,1-EXP((T0-t)*PertePVj)+Pspv)</f>
        <v>2.5380771262663027E-2</v>
      </c>
      <c r="M294" s="835"/>
      <c r="N294" s="835"/>
      <c r="O294" s="48">
        <f>IF(t&lt;Tnet,'2025'!Resal+('2025'!Salim-'2025'!Resal)*(1-EXP(('2025'!Tnet-t)/('2025'!Tau_j))),Resal+(Salim-Resal)*(1-EXP((Tnet-t)/(Tau_j))))*Salcycl</f>
        <v>2.0339948031379774E-2</v>
      </c>
      <c r="P294" s="334">
        <f>(INDEX(Models!$BJ294:$BT294,,T294)*(1-R294)+INDEX(Models!$BJ294:$BT294,,T294+1)*R294-ERP_i)*Q294*Ramure*Pc/MaxiM</f>
        <v>3.2641991609691468E-4</v>
      </c>
      <c r="Q294" s="301">
        <f t="shared" si="105"/>
        <v>0.5</v>
      </c>
      <c r="R294" s="173">
        <f t="shared" si="106"/>
        <v>0.48595697274947502</v>
      </c>
      <c r="S294" s="801">
        <f t="shared" si="107"/>
        <v>2</v>
      </c>
      <c r="T294" s="172">
        <f t="shared" si="108"/>
        <v>8</v>
      </c>
      <c r="U294" s="247">
        <f t="shared" si="109"/>
        <v>2.485956972749475</v>
      </c>
      <c r="V294" s="378">
        <f t="shared" si="110"/>
        <v>163.3767482875804</v>
      </c>
      <c r="W294" s="397">
        <f t="shared" si="111"/>
        <v>117.04792552104529</v>
      </c>
      <c r="X294" s="153">
        <f t="shared" si="112"/>
        <v>46302</v>
      </c>
      <c r="Y294" s="380">
        <f t="shared" si="113"/>
        <v>112.81295326185909</v>
      </c>
      <c r="Z294" s="380">
        <f t="shared" si="114"/>
        <v>115.75079778388258</v>
      </c>
      <c r="AA294" s="381">
        <f t="shared" si="115"/>
        <v>122.58952052586528</v>
      </c>
      <c r="AB294" s="193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5.5785541151046364E-2</v>
      </c>
      <c r="AD294" s="227">
        <f>(INDEX(Models!$BJ294:$BT294,,AH294)*(1-AF294)+INDEX(Models!$BJ294:$BT294,,AH294+1)*AF294-ERP_i)*AE294*Ramure*Pc/MaxiM</f>
        <v>3.2641991609691468E-4</v>
      </c>
      <c r="AE294" s="301">
        <f t="shared" si="117"/>
        <v>0.5</v>
      </c>
      <c r="AF294" s="173">
        <f t="shared" si="118"/>
        <v>0.48595697274947502</v>
      </c>
      <c r="AG294" s="801">
        <f t="shared" si="124"/>
        <v>2</v>
      </c>
      <c r="AH294" s="172">
        <f t="shared" si="119"/>
        <v>8</v>
      </c>
      <c r="AI294" s="221">
        <f t="shared" si="120"/>
        <v>2.485956972749475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46303</v>
      </c>
      <c r="B295" s="406">
        <f>'2025'!Wh/'2025'!Env_an*'2026'!Env_an</f>
        <v>65.395872776158498</v>
      </c>
      <c r="C295" s="831"/>
      <c r="D295" s="388">
        <f t="shared" si="102"/>
        <v>67.099813008736959</v>
      </c>
      <c r="E295" s="380">
        <f t="shared" si="100"/>
        <v>68.497101329593718</v>
      </c>
      <c r="F295" s="380">
        <f t="shared" si="103"/>
        <v>68.50056256395662</v>
      </c>
      <c r="G295" s="110">
        <f t="shared" si="101"/>
        <v>0.40331517976982811</v>
      </c>
      <c r="H295" s="409" t="b">
        <f>Wh_hp&gt;='2025'!Maxi_hp</f>
        <v>0</v>
      </c>
      <c r="I295" s="375">
        <f>IF(H295,Wh_hp,'2025'!Maxi_hp)</f>
        <v>68.517254335797233</v>
      </c>
      <c r="J295" s="85">
        <f>IF(H295,An,'2025'!An_max)</f>
        <v>2022</v>
      </c>
      <c r="K295" s="193">
        <f t="shared" si="104"/>
        <v>46303</v>
      </c>
      <c r="L295" s="143">
        <f>IF(t&lt;Tvie,1-EXP((T0-t)*PertePVj)+'2025'!Pspv,1-EXP((T0-t)*PertePVj)+Pspv)</f>
        <v>2.539411298145644E-2</v>
      </c>
      <c r="M295" s="835"/>
      <c r="N295" s="835"/>
      <c r="O295" s="48">
        <f>IF(t&lt;Tnet,'2025'!Resal+('2025'!Salim-'2025'!Resal)*(1-EXP(('2025'!Tnet-t)/('2025'!Tau_j))),Resal+(Salim-Resal)*(1-EXP((Tnet-t)/(Tau_j))))*Salcycl</f>
        <v>2.0399232868750183E-2</v>
      </c>
      <c r="P295" s="334">
        <f>(INDEX(Models!$BJ295:$BT295,,T295)*(1-R295)+INDEX(Models!$BJ295:$BT295,,T295+1)*R295-ERP_i)*Q295*Ramure*Pc/MaxiM</f>
        <v>3.4196117325447555E-4</v>
      </c>
      <c r="Q295" s="301">
        <f t="shared" si="105"/>
        <v>0.5</v>
      </c>
      <c r="R295" s="173">
        <f t="shared" si="106"/>
        <v>0.48610637911533638</v>
      </c>
      <c r="S295" s="801">
        <f t="shared" si="107"/>
        <v>2</v>
      </c>
      <c r="T295" s="172">
        <f t="shared" si="108"/>
        <v>8</v>
      </c>
      <c r="U295" s="247">
        <f t="shared" si="109"/>
        <v>2.4861063791153364</v>
      </c>
      <c r="V295" s="378">
        <f t="shared" si="110"/>
        <v>162.09856856843251</v>
      </c>
      <c r="W295" s="397">
        <f t="shared" si="111"/>
        <v>65.395872776158498</v>
      </c>
      <c r="X295" s="153">
        <f t="shared" si="112"/>
        <v>46303</v>
      </c>
      <c r="Y295" s="380">
        <f t="shared" si="113"/>
        <v>63.033294893912412</v>
      </c>
      <c r="Z295" s="380">
        <f t="shared" si="114"/>
        <v>64.675676325678808</v>
      </c>
      <c r="AA295" s="381">
        <f t="shared" si="115"/>
        <v>68.497101329593718</v>
      </c>
      <c r="AB295" s="193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5.5789587146571534E-2</v>
      </c>
      <c r="AD295" s="227">
        <f>(INDEX(Models!$BJ295:$BT295,,AH295)*(1-AF295)+INDEX(Models!$BJ295:$BT295,,AH295+1)*AF295-ERP_i)*AE295*Ramure*Pc/MaxiM</f>
        <v>3.4196117325447555E-4</v>
      </c>
      <c r="AE295" s="301">
        <f t="shared" si="117"/>
        <v>0.5</v>
      </c>
      <c r="AF295" s="173">
        <f t="shared" si="118"/>
        <v>0.48610637911533638</v>
      </c>
      <c r="AG295" s="801">
        <f t="shared" si="124"/>
        <v>2</v>
      </c>
      <c r="AH295" s="172">
        <f t="shared" si="119"/>
        <v>8</v>
      </c>
      <c r="AI295" s="221">
        <f t="shared" si="120"/>
        <v>2.4861063791153364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46304</v>
      </c>
      <c r="B296" s="406">
        <f>'2025'!Wh/'2025'!Env_an*'2026'!Env_an</f>
        <v>154.20214157213834</v>
      </c>
      <c r="C296" s="831"/>
      <c r="D296" s="388">
        <f t="shared" si="102"/>
        <v>158.222164007846</v>
      </c>
      <c r="E296" s="380">
        <f t="shared" si="100"/>
        <v>161.52669148189574</v>
      </c>
      <c r="F296" s="380">
        <f t="shared" si="103"/>
        <v>161.5811842534672</v>
      </c>
      <c r="G296" s="110">
        <f t="shared" si="101"/>
        <v>0.95884753203056228</v>
      </c>
      <c r="H296" s="409" t="b">
        <f>Wh_hp&gt;='2025'!Maxi_hp</f>
        <v>0</v>
      </c>
      <c r="I296" s="375">
        <f>IF(H296,Wh_hp,'2025'!Maxi_hp)</f>
        <v>161.58402633756273</v>
      </c>
      <c r="J296" s="85">
        <f>IF(H296,An,'2025'!An_max)</f>
        <v>2022</v>
      </c>
      <c r="K296" s="193">
        <f t="shared" si="104"/>
        <v>46304</v>
      </c>
      <c r="L296" s="143">
        <f>IF(t&lt;Tvie,1-EXP((T0-t)*PertePVj)+'2025'!Pspv,1-EXP((T0-t)*PertePVj)+Pspv)</f>
        <v>2.540745451761306E-2</v>
      </c>
      <c r="M296" s="835"/>
      <c r="N296" s="835"/>
      <c r="O296" s="48">
        <f>IF(t&lt;Tnet,'2025'!Resal+('2025'!Salim-'2025'!Resal)*(1-EXP(('2025'!Tnet-t)/('2025'!Tau_j))),Resal+(Salim-Resal)*(1-EXP((Tnet-t)/(Tau_j))))*Salcycl</f>
        <v>2.045808927139519E-2</v>
      </c>
      <c r="P296" s="334">
        <f>(INDEX(Models!$BJ296:$BT296,,T296)*(1-R296)+INDEX(Models!$BJ296:$BT296,,T296+1)*R296-ERP_i)*Q296*Ramure*Pc/MaxiM</f>
        <v>3.583009134579031E-4</v>
      </c>
      <c r="Q296" s="301">
        <f t="shared" si="105"/>
        <v>0.5</v>
      </c>
      <c r="R296" s="173">
        <f t="shared" si="106"/>
        <v>0.48624985442599877</v>
      </c>
      <c r="S296" s="801">
        <f t="shared" si="107"/>
        <v>2</v>
      </c>
      <c r="T296" s="172">
        <f t="shared" si="108"/>
        <v>8</v>
      </c>
      <c r="U296" s="247">
        <f t="shared" si="109"/>
        <v>2.4862498544259988</v>
      </c>
      <c r="V296" s="378">
        <f t="shared" si="110"/>
        <v>160.81690651445138</v>
      </c>
      <c r="W296" s="397">
        <f t="shared" si="111"/>
        <v>154.20214157213834</v>
      </c>
      <c r="X296" s="153">
        <f t="shared" si="112"/>
        <v>46304</v>
      </c>
      <c r="Y296" s="380">
        <f t="shared" si="113"/>
        <v>148.63965831110761</v>
      </c>
      <c r="Z296" s="380">
        <f t="shared" si="114"/>
        <v>152.51466779641385</v>
      </c>
      <c r="AA296" s="381">
        <f t="shared" si="115"/>
        <v>161.52669148189574</v>
      </c>
      <c r="AB296" s="193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5.5792783240978895E-2</v>
      </c>
      <c r="AD296" s="227">
        <f>(INDEX(Models!$BJ296:$BT296,,AH296)*(1-AF296)+INDEX(Models!$BJ296:$BT296,,AH296+1)*AF296-ERP_i)*AE296*Ramure*Pc/MaxiM</f>
        <v>3.583009134579031E-4</v>
      </c>
      <c r="AE296" s="301">
        <f t="shared" si="117"/>
        <v>0.5</v>
      </c>
      <c r="AF296" s="173">
        <f t="shared" si="118"/>
        <v>0.48624985442599877</v>
      </c>
      <c r="AG296" s="801">
        <f t="shared" si="124"/>
        <v>2</v>
      </c>
      <c r="AH296" s="172">
        <f t="shared" si="119"/>
        <v>8</v>
      </c>
      <c r="AI296" s="221">
        <f t="shared" si="120"/>
        <v>2.4862498544259988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46305</v>
      </c>
      <c r="B297" s="406">
        <f>'2025'!Wh/'2025'!Env_an*'2026'!Env_an</f>
        <v>123.3684650276298</v>
      </c>
      <c r="C297" s="831"/>
      <c r="D297" s="388">
        <f t="shared" si="102"/>
        <v>126.58639185504029</v>
      </c>
      <c r="E297" s="380">
        <f t="shared" ref="E297:E360" si="125">Wh_pvt/(1-Psa)</f>
        <v>129.23790326822947</v>
      </c>
      <c r="F297" s="380">
        <f t="shared" si="103"/>
        <v>129.27062611622623</v>
      </c>
      <c r="G297" s="110">
        <f t="shared" ref="G297:G360" si="126">+Wh_hp/MaxiM</f>
        <v>0.77321886006252738</v>
      </c>
      <c r="H297" s="409" t="b">
        <f>Wh_hp&gt;='2025'!Maxi_hp</f>
        <v>0</v>
      </c>
      <c r="I297" s="375">
        <f>IF(H297,Wh_hp,'2025'!Maxi_hp)</f>
        <v>129.28371187059687</v>
      </c>
      <c r="J297" s="85">
        <f>IF(H297,An,'2025'!An_max)</f>
        <v>2022</v>
      </c>
      <c r="K297" s="193">
        <f t="shared" si="104"/>
        <v>46305</v>
      </c>
      <c r="L297" s="143">
        <f>IF(t&lt;Tvie,1-EXP((T0-t)*PertePVj)+'2025'!Pspv,1-EXP((T0-t)*PertePVj)+Pspv)</f>
        <v>2.5420795871135105E-2</v>
      </c>
      <c r="M297" s="835"/>
      <c r="N297" s="835"/>
      <c r="O297" s="48">
        <f>IF(t&lt;Tnet,'2025'!Resal+('2025'!Salim-'2025'!Resal)*(1-EXP(('2025'!Tnet-t)/('2025'!Tau_j))),Resal+(Salim-Resal)*(1-EXP((Tnet-t)/(Tau_j))))*Salcycl</f>
        <v>2.0516515249292325E-2</v>
      </c>
      <c r="P297" s="334">
        <f>(INDEX(Models!$BJ297:$BT297,,T297)*(1-R297)+INDEX(Models!$BJ297:$BT297,,T297+1)*R297-ERP_i)*Q297*Ramure*Pc/MaxiM</f>
        <v>3.7437012369585592E-4</v>
      </c>
      <c r="Q297" s="301">
        <f t="shared" si="105"/>
        <v>0.5</v>
      </c>
      <c r="R297" s="173">
        <f t="shared" si="106"/>
        <v>0.48638763088459003</v>
      </c>
      <c r="S297" s="801">
        <f t="shared" si="107"/>
        <v>2</v>
      </c>
      <c r="T297" s="172">
        <f t="shared" si="108"/>
        <v>8</v>
      </c>
      <c r="U297" s="247">
        <f t="shared" si="109"/>
        <v>2.48638763088459</v>
      </c>
      <c r="V297" s="378">
        <f t="shared" si="110"/>
        <v>159.53245704698941</v>
      </c>
      <c r="W297" s="397">
        <f t="shared" si="111"/>
        <v>123.3684650276298</v>
      </c>
      <c r="X297" s="153">
        <f t="shared" si="112"/>
        <v>46305</v>
      </c>
      <c r="Y297" s="380">
        <f t="shared" si="113"/>
        <v>118.9250327008601</v>
      </c>
      <c r="Z297" s="380">
        <f t="shared" si="114"/>
        <v>122.02705762346135</v>
      </c>
      <c r="AA297" s="381">
        <f t="shared" si="115"/>
        <v>129.23790326822947</v>
      </c>
      <c r="AB297" s="193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5.5795130239789152E-2</v>
      </c>
      <c r="AD297" s="227">
        <f>(INDEX(Models!$BJ297:$BT297,,AH297)*(1-AF297)+INDEX(Models!$BJ297:$BT297,,AH297+1)*AF297-ERP_i)*AE297*Ramure*Pc/MaxiM</f>
        <v>3.7437012369585592E-4</v>
      </c>
      <c r="AE297" s="301">
        <f t="shared" si="117"/>
        <v>0.5</v>
      </c>
      <c r="AF297" s="173">
        <f t="shared" si="118"/>
        <v>0.48638763088459003</v>
      </c>
      <c r="AG297" s="801">
        <f t="shared" si="124"/>
        <v>2</v>
      </c>
      <c r="AH297" s="172">
        <f t="shared" si="119"/>
        <v>8</v>
      </c>
      <c r="AI297" s="221">
        <f t="shared" si="120"/>
        <v>2.48638763088459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46306</v>
      </c>
      <c r="B298" s="406">
        <f>'2025'!Wh/'2025'!Env_an*'2026'!Env_an</f>
        <v>94.97378870393942</v>
      </c>
      <c r="C298" s="831"/>
      <c r="D298" s="388">
        <f t="shared" si="102"/>
        <v>97.452406567656368</v>
      </c>
      <c r="E298" s="380">
        <f t="shared" si="125"/>
        <v>99.499561259880437</v>
      </c>
      <c r="F298" s="380">
        <f t="shared" si="103"/>
        <v>99.516210771843802</v>
      </c>
      <c r="G298" s="110">
        <f t="shared" si="126"/>
        <v>0.60003270157772637</v>
      </c>
      <c r="H298" s="409" t="b">
        <f>Wh_hp&gt;='2025'!Maxi_hp</f>
        <v>0</v>
      </c>
      <c r="I298" s="375">
        <f>IF(H298,Wh_hp,'2025'!Maxi_hp)</f>
        <v>99.534723219686853</v>
      </c>
      <c r="J298" s="85">
        <f>IF(H298,An,'2025'!An_max)</f>
        <v>2022</v>
      </c>
      <c r="K298" s="193">
        <f t="shared" si="104"/>
        <v>46306</v>
      </c>
      <c r="L298" s="143">
        <f>IF(t&lt;Tvie,1-EXP((T0-t)*PertePVj)+'2025'!Pspv,1-EXP((T0-t)*PertePVj)+Pspv)</f>
        <v>2.5434137042025351E-2</v>
      </c>
      <c r="M298" s="835"/>
      <c r="N298" s="835"/>
      <c r="O298" s="48">
        <f>IF(t&lt;Tnet,'2025'!Resal+('2025'!Salim-'2025'!Resal)*(1-EXP(('2025'!Tnet-t)/('2025'!Tau_j))),Resal+(Salim-Resal)*(1-EXP((Tnet-t)/(Tau_j))))*Salcycl</f>
        <v>2.0574509739567218E-2</v>
      </c>
      <c r="P298" s="334">
        <f>(INDEX(Models!$BJ298:$BT298,,T298)*(1-R298)+INDEX(Models!$BJ298:$BT298,,T298+1)*R298-ERP_i)*Q298*Ramure*Pc/MaxiM</f>
        <v>3.9016070901295004E-4</v>
      </c>
      <c r="Q298" s="301">
        <f t="shared" si="105"/>
        <v>0.5</v>
      </c>
      <c r="R298" s="173">
        <f t="shared" si="106"/>
        <v>0.48651993185795606</v>
      </c>
      <c r="S298" s="801">
        <f t="shared" si="107"/>
        <v>2</v>
      </c>
      <c r="T298" s="172">
        <f t="shared" si="108"/>
        <v>8</v>
      </c>
      <c r="U298" s="247">
        <f t="shared" si="109"/>
        <v>2.4865199318579561</v>
      </c>
      <c r="V298" s="378">
        <f t="shared" si="110"/>
        <v>158.24574130055314</v>
      </c>
      <c r="W298" s="397">
        <f t="shared" si="111"/>
        <v>94.97378870393942</v>
      </c>
      <c r="X298" s="153">
        <f t="shared" si="112"/>
        <v>46306</v>
      </c>
      <c r="Y298" s="380">
        <f t="shared" si="113"/>
        <v>91.558339161239672</v>
      </c>
      <c r="Z298" s="380">
        <f t="shared" si="114"/>
        <v>93.947820913144241</v>
      </c>
      <c r="AA298" s="381">
        <f t="shared" si="115"/>
        <v>99.499561259880437</v>
      </c>
      <c r="AB298" s="193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5.5796631426702888E-2</v>
      </c>
      <c r="AD298" s="227">
        <f>(INDEX(Models!$BJ298:$BT298,,AH298)*(1-AF298)+INDEX(Models!$BJ298:$BT298,,AH298+1)*AF298-ERP_i)*AE298*Ramure*Pc/MaxiM</f>
        <v>3.9016070901295004E-4</v>
      </c>
      <c r="AE298" s="301">
        <f t="shared" si="117"/>
        <v>0.5</v>
      </c>
      <c r="AF298" s="173">
        <f t="shared" si="118"/>
        <v>0.48651993185795606</v>
      </c>
      <c r="AG298" s="801">
        <f t="shared" si="124"/>
        <v>2</v>
      </c>
      <c r="AH298" s="172">
        <f t="shared" si="119"/>
        <v>8</v>
      </c>
      <c r="AI298" s="221">
        <f t="shared" si="120"/>
        <v>2.4865199318579561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46307</v>
      </c>
      <c r="B299" s="406">
        <f>'2025'!Wh/'2025'!Env_an*'2026'!Env_an</f>
        <v>119.28803816921516</v>
      </c>
      <c r="C299" s="831"/>
      <c r="D299" s="388">
        <f t="shared" si="102"/>
        <v>122.40288284115924</v>
      </c>
      <c r="E299" s="380">
        <f t="shared" si="125"/>
        <v>124.98151044566301</v>
      </c>
      <c r="F299" s="380">
        <f t="shared" si="103"/>
        <v>125.01483707598516</v>
      </c>
      <c r="G299" s="110">
        <f t="shared" si="126"/>
        <v>0.75989748789898259</v>
      </c>
      <c r="H299" s="409" t="b">
        <f>Wh_hp&gt;='2025'!Maxi_hp</f>
        <v>0</v>
      </c>
      <c r="I299" s="375">
        <f>IF(H299,Wh_hp,'2025'!Maxi_hp)</f>
        <v>125.02935085466613</v>
      </c>
      <c r="J299" s="85">
        <f>IF(H299,An,'2025'!An_max)</f>
        <v>2022</v>
      </c>
      <c r="K299" s="193">
        <f t="shared" si="104"/>
        <v>46307</v>
      </c>
      <c r="L299" s="143">
        <f>IF(t&lt;Tvie,1-EXP((T0-t)*PertePVj)+'2025'!Pspv,1-EXP((T0-t)*PertePVj)+Pspv)</f>
        <v>2.544747803028613E-2</v>
      </c>
      <c r="M299" s="835"/>
      <c r="N299" s="835"/>
      <c r="O299" s="48">
        <f>IF(t&lt;Tnet,'2025'!Resal+('2025'!Salim-'2025'!Resal)*(1-EXP(('2025'!Tnet-t)/('2025'!Tau_j))),Resal+(Salim-Resal)*(1-EXP((Tnet-t)/(Tau_j))))*Salcycl</f>
        <v>2.0632072658658233E-2</v>
      </c>
      <c r="P299" s="334">
        <f>(INDEX(Models!$BJ299:$BT299,,T299)*(1-R299)+INDEX(Models!$BJ299:$BT299,,T299+1)*R299-ERP_i)*Q299*Ramure*Pc/MaxiM</f>
        <v>4.0566450885289984E-4</v>
      </c>
      <c r="Q299" s="301">
        <f t="shared" si="105"/>
        <v>0.5</v>
      </c>
      <c r="R299" s="173">
        <f t="shared" si="106"/>
        <v>0.48664697219285769</v>
      </c>
      <c r="S299" s="801">
        <f t="shared" si="107"/>
        <v>2</v>
      </c>
      <c r="T299" s="172">
        <f t="shared" si="108"/>
        <v>8</v>
      </c>
      <c r="U299" s="247">
        <f t="shared" si="109"/>
        <v>2.4866469721928577</v>
      </c>
      <c r="V299" s="378">
        <f t="shared" si="110"/>
        <v>156.95728001917908</v>
      </c>
      <c r="W299" s="397">
        <f t="shared" si="111"/>
        <v>119.28803816921516</v>
      </c>
      <c r="X299" s="153">
        <f t="shared" si="112"/>
        <v>46307</v>
      </c>
      <c r="Y299" s="380">
        <f t="shared" si="113"/>
        <v>115.0048775817729</v>
      </c>
      <c r="Z299" s="380">
        <f t="shared" si="114"/>
        <v>118.00788052893357</v>
      </c>
      <c r="AA299" s="381">
        <f t="shared" si="115"/>
        <v>124.98151044566301</v>
      </c>
      <c r="AB299" s="193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5.5797292670433006E-2</v>
      </c>
      <c r="AD299" s="227">
        <f>(INDEX(Models!$BJ299:$BT299,,AH299)*(1-AF299)+INDEX(Models!$BJ299:$BT299,,AH299+1)*AF299-ERP_i)*AE299*Ramure*Pc/MaxiM</f>
        <v>4.0566450885289984E-4</v>
      </c>
      <c r="AE299" s="301">
        <f t="shared" si="117"/>
        <v>0.5</v>
      </c>
      <c r="AF299" s="173">
        <f t="shared" si="118"/>
        <v>0.48664697219285769</v>
      </c>
      <c r="AG299" s="801">
        <f t="shared" si="124"/>
        <v>2</v>
      </c>
      <c r="AH299" s="172">
        <f t="shared" si="119"/>
        <v>8</v>
      </c>
      <c r="AI299" s="221">
        <f t="shared" si="120"/>
        <v>2.4866469721928577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46308</v>
      </c>
      <c r="B300" s="406">
        <f>'2025'!Wh/'2025'!Env_an*'2026'!Env_an</f>
        <v>92.22616097697572</v>
      </c>
      <c r="C300" s="831"/>
      <c r="D300" s="388">
        <f t="shared" si="102"/>
        <v>94.635662433615266</v>
      </c>
      <c r="E300" s="380">
        <f t="shared" si="125"/>
        <v>96.634962988264704</v>
      </c>
      <c r="F300" s="380">
        <f t="shared" si="103"/>
        <v>96.651958106963207</v>
      </c>
      <c r="G300" s="110">
        <f t="shared" si="126"/>
        <v>0.59231055262967025</v>
      </c>
      <c r="H300" s="409" t="b">
        <f>Wh_hp&gt;='2025'!Maxi_hp</f>
        <v>0</v>
      </c>
      <c r="I300" s="375">
        <f>IF(H300,Wh_hp,'2025'!Maxi_hp)</f>
        <v>96.671730861785207</v>
      </c>
      <c r="J300" s="85">
        <f>IF(H300,An,'2025'!An_max)</f>
        <v>2022</v>
      </c>
      <c r="K300" s="193">
        <f t="shared" si="104"/>
        <v>46308</v>
      </c>
      <c r="L300" s="143">
        <f>IF(t&lt;Tvie,1-EXP((T0-t)*PertePVj)+'2025'!Pspv,1-EXP((T0-t)*PertePVj)+Pspv)</f>
        <v>2.5460818835919885E-2</v>
      </c>
      <c r="M300" s="835"/>
      <c r="N300" s="835"/>
      <c r="O300" s="48">
        <f>IF(t&lt;Tnet,'2025'!Resal+('2025'!Salim-'2025'!Resal)*(1-EXP(('2025'!Tnet-t)/('2025'!Tau_j))),Resal+(Salim-Resal)*(1-EXP((Tnet-t)/(Tau_j))))*Salcycl</f>
        <v>2.0689204950512803E-2</v>
      </c>
      <c r="P300" s="334">
        <f>(INDEX(Models!$BJ300:$BT300,,T300)*(1-R300)+INDEX(Models!$BJ300:$BT300,,T300+1)*R300-ERP_i)*Q300*Ramure*Pc/MaxiM</f>
        <v>4.2087334329534711E-4</v>
      </c>
      <c r="Q300" s="301">
        <f t="shared" si="105"/>
        <v>0.5</v>
      </c>
      <c r="R300" s="173">
        <f t="shared" si="106"/>
        <v>0.48676895852245172</v>
      </c>
      <c r="S300" s="801">
        <f t="shared" si="107"/>
        <v>2</v>
      </c>
      <c r="T300" s="172">
        <f t="shared" si="108"/>
        <v>8</v>
      </c>
      <c r="U300" s="247">
        <f t="shared" si="109"/>
        <v>2.4867689585224517</v>
      </c>
      <c r="V300" s="378">
        <f t="shared" si="110"/>
        <v>155.66759355280365</v>
      </c>
      <c r="W300" s="397">
        <f t="shared" si="111"/>
        <v>92.22616097697572</v>
      </c>
      <c r="X300" s="153">
        <f t="shared" si="112"/>
        <v>46308</v>
      </c>
      <c r="Y300" s="380">
        <f t="shared" si="113"/>
        <v>88.919888368084216</v>
      </c>
      <c r="Z300" s="380">
        <f t="shared" si="114"/>
        <v>91.243010118762015</v>
      </c>
      <c r="AA300" s="381">
        <f t="shared" si="115"/>
        <v>96.634962988264704</v>
      </c>
      <c r="AB300" s="193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5.5797122519284134E-2</v>
      </c>
      <c r="AD300" s="227">
        <f>(INDEX(Models!$BJ300:$BT300,,AH300)*(1-AF300)+INDEX(Models!$BJ300:$BT300,,AH300+1)*AF300-ERP_i)*AE300*Ramure*Pc/MaxiM</f>
        <v>4.2087334329534711E-4</v>
      </c>
      <c r="AE300" s="301">
        <f t="shared" si="117"/>
        <v>0.5</v>
      </c>
      <c r="AF300" s="173">
        <f t="shared" si="118"/>
        <v>0.48676895852245172</v>
      </c>
      <c r="AG300" s="801">
        <f t="shared" si="124"/>
        <v>2</v>
      </c>
      <c r="AH300" s="172">
        <f t="shared" si="119"/>
        <v>8</v>
      </c>
      <c r="AI300" s="221">
        <f t="shared" si="120"/>
        <v>2.4867689585224517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46309</v>
      </c>
      <c r="B301" s="406">
        <f>'2025'!Wh/'2025'!Env_an*'2026'!Env_an</f>
        <v>82.191455736040695</v>
      </c>
      <c r="C301" s="831"/>
      <c r="D301" s="388">
        <f t="shared" si="102"/>
        <v>84.339944942257063</v>
      </c>
      <c r="E301" s="380">
        <f t="shared" si="125"/>
        <v>86.126722048501207</v>
      </c>
      <c r="F301" s="380">
        <f t="shared" si="103"/>
        <v>86.139184908295746</v>
      </c>
      <c r="G301" s="110">
        <f t="shared" si="126"/>
        <v>0.53225169043781029</v>
      </c>
      <c r="H301" s="409" t="b">
        <f>Wh_hp&gt;='2025'!Maxi_hp</f>
        <v>0</v>
      </c>
      <c r="I301" s="375">
        <f>IF(H301,Wh_hp,'2025'!Maxi_hp)</f>
        <v>86.160128113136821</v>
      </c>
      <c r="J301" s="85">
        <f>IF(H301,An,'2025'!An_max)</f>
        <v>2022</v>
      </c>
      <c r="K301" s="193">
        <f t="shared" si="104"/>
        <v>46309</v>
      </c>
      <c r="L301" s="143">
        <f>IF(t&lt;Tvie,1-EXP((T0-t)*PertePVj)+'2025'!Pspv,1-EXP((T0-t)*PertePVj)+Pspv)</f>
        <v>2.547415945892928E-2</v>
      </c>
      <c r="M301" s="835"/>
      <c r="N301" s="835"/>
      <c r="O301" s="48">
        <f>IF(t&lt;Tnet,'2025'!Resal+('2025'!Salim-'2025'!Resal)*(1-EXP(('2025'!Tnet-t)/('2025'!Tau_j))),Resal+(Salim-Resal)*(1-EXP((Tnet-t)/(Tau_j))))*Salcycl</f>
        <v>2.0745908630284832E-2</v>
      </c>
      <c r="P301" s="334">
        <f>(INDEX(Models!$BJ301:$BT301,,T301)*(1-R301)+INDEX(Models!$BJ301:$BT301,,T301+1)*R301-ERP_i)*Q301*Ramure*Pc/MaxiM</f>
        <v>4.3577905991409399E-4</v>
      </c>
      <c r="Q301" s="301">
        <f t="shared" si="105"/>
        <v>0.5</v>
      </c>
      <c r="R301" s="173">
        <f t="shared" si="106"/>
        <v>0.48688608956323254</v>
      </c>
      <c r="S301" s="801">
        <f t="shared" si="107"/>
        <v>2</v>
      </c>
      <c r="T301" s="172">
        <f t="shared" si="108"/>
        <v>8</v>
      </c>
      <c r="U301" s="247">
        <f t="shared" si="109"/>
        <v>2.4868860895632325</v>
      </c>
      <c r="V301" s="378">
        <f t="shared" si="110"/>
        <v>154.37720185019003</v>
      </c>
      <c r="W301" s="397">
        <f t="shared" si="111"/>
        <v>82.191455736040695</v>
      </c>
      <c r="X301" s="153">
        <f t="shared" si="112"/>
        <v>46309</v>
      </c>
      <c r="Y301" s="380">
        <f t="shared" si="113"/>
        <v>79.249595261602025</v>
      </c>
      <c r="Z301" s="380">
        <f t="shared" si="114"/>
        <v>81.321184072042172</v>
      </c>
      <c r="AA301" s="381">
        <f t="shared" si="115"/>
        <v>86.126722048501207</v>
      </c>
      <c r="AB301" s="193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5.5796132282299696E-2</v>
      </c>
      <c r="AD301" s="227">
        <f>(INDEX(Models!$BJ301:$BT301,,AH301)*(1-AF301)+INDEX(Models!$BJ301:$BT301,,AH301+1)*AF301-ERP_i)*AE301*Ramure*Pc/MaxiM</f>
        <v>4.3577905991409399E-4</v>
      </c>
      <c r="AE301" s="301">
        <f t="shared" si="117"/>
        <v>0.5</v>
      </c>
      <c r="AF301" s="173">
        <f t="shared" si="118"/>
        <v>0.48688608956323254</v>
      </c>
      <c r="AG301" s="801">
        <f t="shared" si="124"/>
        <v>2</v>
      </c>
      <c r="AH301" s="172">
        <f t="shared" si="119"/>
        <v>8</v>
      </c>
      <c r="AI301" s="221">
        <f t="shared" si="120"/>
        <v>2.4868860895632325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46310</v>
      </c>
      <c r="B302" s="406">
        <f>'2025'!Wh/'2025'!Env_an*'2026'!Env_an</f>
        <v>150.13927385099575</v>
      </c>
      <c r="C302" s="831"/>
      <c r="D302" s="388">
        <f t="shared" si="102"/>
        <v>154.06603182153529</v>
      </c>
      <c r="E302" s="380">
        <f t="shared" si="125"/>
        <v>157.33902766967302</v>
      </c>
      <c r="F302" s="380">
        <f t="shared" si="103"/>
        <v>157.40797023361083</v>
      </c>
      <c r="G302" s="110">
        <f t="shared" si="126"/>
        <v>0.98073501702956689</v>
      </c>
      <c r="H302" s="409" t="b">
        <f>Wh_hp&gt;='2025'!Maxi_hp</f>
        <v>0</v>
      </c>
      <c r="I302" s="375">
        <f>IF(H302,Wh_hp,'2025'!Maxi_hp)</f>
        <v>157.4095998459747</v>
      </c>
      <c r="J302" s="85">
        <f>IF(H302,An,'2025'!An_max)</f>
        <v>2022</v>
      </c>
      <c r="K302" s="193">
        <f t="shared" si="104"/>
        <v>46310</v>
      </c>
      <c r="L302" s="143">
        <f>IF(t&lt;Tvie,1-EXP((T0-t)*PertePVj)+'2025'!Pspv,1-EXP((T0-t)*PertePVj)+Pspv)</f>
        <v>2.5487499899316868E-2</v>
      </c>
      <c r="M302" s="835"/>
      <c r="N302" s="835"/>
      <c r="O302" s="48">
        <f>IF(t&lt;Tnet,'2025'!Resal+('2025'!Salim-'2025'!Resal)*(1-EXP(('2025'!Tnet-t)/('2025'!Tau_j))),Resal+(Salim-Resal)*(1-EXP((Tnet-t)/(Tau_j))))*Salcycl</f>
        <v>2.0802186823025575E-2</v>
      </c>
      <c r="P302" s="334">
        <f>(INDEX(Models!$BJ302:$BT302,,T302)*(1-R302)+INDEX(Models!$BJ302:$BT302,,T302+1)*R302-ERP_i)*Q302*Ramure*Pc/MaxiM</f>
        <v>4.5037358083821163E-4</v>
      </c>
      <c r="Q302" s="301">
        <f t="shared" si="105"/>
        <v>0.5</v>
      </c>
      <c r="R302" s="173">
        <f t="shared" si="106"/>
        <v>0.48699855640259848</v>
      </c>
      <c r="S302" s="801">
        <f t="shared" si="107"/>
        <v>2</v>
      </c>
      <c r="T302" s="172">
        <f t="shared" si="108"/>
        <v>8</v>
      </c>
      <c r="U302" s="247">
        <f t="shared" si="109"/>
        <v>2.4869985564025985</v>
      </c>
      <c r="V302" s="378">
        <f t="shared" si="110"/>
        <v>153.08662446005437</v>
      </c>
      <c r="W302" s="397">
        <f t="shared" si="111"/>
        <v>150.13927385099575</v>
      </c>
      <c r="X302" s="153">
        <f t="shared" si="112"/>
        <v>46310</v>
      </c>
      <c r="Y302" s="380">
        <f t="shared" si="113"/>
        <v>144.77396787133168</v>
      </c>
      <c r="Z302" s="380">
        <f t="shared" si="114"/>
        <v>148.56040107887191</v>
      </c>
      <c r="AA302" s="381">
        <f t="shared" si="115"/>
        <v>157.33902766967302</v>
      </c>
      <c r="AB302" s="193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5.5794336095882684E-2</v>
      </c>
      <c r="AD302" s="227">
        <f>(INDEX(Models!$BJ302:$BT302,,AH302)*(1-AF302)+INDEX(Models!$BJ302:$BT302,,AH302+1)*AF302-ERP_i)*AE302*Ramure*Pc/MaxiM</f>
        <v>4.5037358083821163E-4</v>
      </c>
      <c r="AE302" s="301">
        <f t="shared" si="117"/>
        <v>0.5</v>
      </c>
      <c r="AF302" s="173">
        <f t="shared" si="118"/>
        <v>0.48699855640259848</v>
      </c>
      <c r="AG302" s="801">
        <f t="shared" si="124"/>
        <v>2</v>
      </c>
      <c r="AH302" s="172">
        <f t="shared" si="119"/>
        <v>8</v>
      </c>
      <c r="AI302" s="221">
        <f t="shared" si="120"/>
        <v>2.4869985564025985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46311</v>
      </c>
      <c r="B303" s="406">
        <f>'2025'!Wh/'2025'!Env_an*'2026'!Env_an</f>
        <v>134.6073419278446</v>
      </c>
      <c r="C303" s="831"/>
      <c r="D303" s="388">
        <f t="shared" si="102"/>
        <v>138.12976703801644</v>
      </c>
      <c r="E303" s="380">
        <f t="shared" si="125"/>
        <v>141.07225838187153</v>
      </c>
      <c r="F303" s="380">
        <f t="shared" si="103"/>
        <v>141.12722837797577</v>
      </c>
      <c r="G303" s="110">
        <f t="shared" si="126"/>
        <v>0.88671667808327681</v>
      </c>
      <c r="H303" s="409" t="b">
        <f>Wh_hp&gt;='2025'!Maxi_hp</f>
        <v>0</v>
      </c>
      <c r="I303" s="375">
        <f>IF(H303,Wh_hp,'2025'!Maxi_hp)</f>
        <v>141.13609952426535</v>
      </c>
      <c r="J303" s="85">
        <f>IF(H303,An,'2025'!An_max)</f>
        <v>2022</v>
      </c>
      <c r="K303" s="193">
        <f t="shared" si="104"/>
        <v>46311</v>
      </c>
      <c r="L303" s="143">
        <f>IF(t&lt;Tvie,1-EXP((T0-t)*PertePVj)+'2025'!Pspv,1-EXP((T0-t)*PertePVj)+Pspv)</f>
        <v>2.550084015708487E-2</v>
      </c>
      <c r="M303" s="835"/>
      <c r="N303" s="835"/>
      <c r="O303" s="48">
        <f>IF(t&lt;Tnet,'2025'!Resal+('2025'!Salim-'2025'!Resal)*(1-EXP(('2025'!Tnet-t)/('2025'!Tau_j))),Resal+(Salim-Resal)*(1-EXP((Tnet-t)/(Tau_j))))*Salcycl</f>
        <v>2.0858043796888902E-2</v>
      </c>
      <c r="P303" s="334">
        <f>(INDEX(Models!$BJ303:$BT303,,T303)*(1-R303)+INDEX(Models!$BJ303:$BT303,,T303+1)*R303-ERP_i)*Q303*Ramure*Pc/MaxiM</f>
        <v>4.6465985498114109E-4</v>
      </c>
      <c r="Q303" s="301">
        <f t="shared" si="105"/>
        <v>0.5</v>
      </c>
      <c r="R303" s="173">
        <f t="shared" si="106"/>
        <v>0.48710654277723187</v>
      </c>
      <c r="S303" s="801">
        <f t="shared" si="107"/>
        <v>2</v>
      </c>
      <c r="T303" s="172">
        <f t="shared" si="108"/>
        <v>8</v>
      </c>
      <c r="U303" s="247">
        <f t="shared" si="109"/>
        <v>2.4871065427772319</v>
      </c>
      <c r="V303" s="378">
        <f t="shared" si="110"/>
        <v>151.79281628697171</v>
      </c>
      <c r="W303" s="397">
        <f t="shared" si="111"/>
        <v>134.6073419278446</v>
      </c>
      <c r="X303" s="153">
        <f t="shared" si="112"/>
        <v>46311</v>
      </c>
      <c r="Y303" s="380">
        <f t="shared" si="113"/>
        <v>129.80483761564915</v>
      </c>
      <c r="Z303" s="380">
        <f t="shared" si="114"/>
        <v>133.20159007276425</v>
      </c>
      <c r="AA303" s="381">
        <f t="shared" si="115"/>
        <v>141.07225838187153</v>
      </c>
      <c r="AB303" s="193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5.5791750974894069E-2</v>
      </c>
      <c r="AD303" s="227">
        <f>(INDEX(Models!$BJ303:$BT303,,AH303)*(1-AF303)+INDEX(Models!$BJ303:$BT303,,AH303+1)*AF303-ERP_i)*AE303*Ramure*Pc/MaxiM</f>
        <v>4.6465985498114109E-4</v>
      </c>
      <c r="AE303" s="301">
        <f t="shared" si="117"/>
        <v>0.5</v>
      </c>
      <c r="AF303" s="173">
        <f t="shared" si="118"/>
        <v>0.48710654277723187</v>
      </c>
      <c r="AG303" s="801">
        <f t="shared" si="124"/>
        <v>2</v>
      </c>
      <c r="AH303" s="172">
        <f t="shared" si="119"/>
        <v>8</v>
      </c>
      <c r="AI303" s="221">
        <f t="shared" si="120"/>
        <v>2.4871065427772319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46312</v>
      </c>
      <c r="B304" s="406">
        <f>'2025'!Wh/'2025'!Env_an*'2026'!Env_an</f>
        <v>86.260687109930785</v>
      </c>
      <c r="C304" s="831"/>
      <c r="D304" s="388">
        <f t="shared" si="102"/>
        <v>88.519181459703674</v>
      </c>
      <c r="E304" s="380">
        <f t="shared" si="125"/>
        <v>90.409968989141092</v>
      </c>
      <c r="F304" s="380">
        <f t="shared" si="103"/>
        <v>90.427027907681079</v>
      </c>
      <c r="G304" s="110">
        <f t="shared" si="126"/>
        <v>0.57302081311660502</v>
      </c>
      <c r="H304" s="409" t="b">
        <f>Wh_hp&gt;='2025'!Maxi_hp</f>
        <v>0</v>
      </c>
      <c r="I304" s="375">
        <f>IF(H304,Wh_hp,'2025'!Maxi_hp)</f>
        <v>90.44932204480186</v>
      </c>
      <c r="J304" s="85">
        <f>IF(H304,An,'2025'!An_max)</f>
        <v>2022</v>
      </c>
      <c r="K304" s="193">
        <f t="shared" si="104"/>
        <v>46312</v>
      </c>
      <c r="L304" s="143">
        <f>IF(t&lt;Tvie,1-EXP((T0-t)*PertePVj)+'2025'!Pspv,1-EXP((T0-t)*PertePVj)+Pspv)</f>
        <v>2.5514180232236061E-2</v>
      </c>
      <c r="M304" s="835"/>
      <c r="N304" s="835"/>
      <c r="O304" s="48">
        <f>IF(t&lt;Tnet,'2025'!Resal+('2025'!Salim-'2025'!Resal)*(1-EXP(('2025'!Tnet-t)/('2025'!Tau_j))),Resal+(Salim-Resal)*(1-EXP((Tnet-t)/(Tau_j))))*Salcycl</f>
        <v>2.0913484990405396E-2</v>
      </c>
      <c r="P304" s="334">
        <f>(INDEX(Models!$BJ304:$BT304,,T304)*(1-R304)+INDEX(Models!$BJ304:$BT304,,T304+1)*R304-ERP_i)*Q304*Ramure*Pc/MaxiM</f>
        <v>4.8337794217063356E-4</v>
      </c>
      <c r="Q304" s="301">
        <f t="shared" si="105"/>
        <v>0.5</v>
      </c>
      <c r="R304" s="173">
        <f t="shared" si="106"/>
        <v>0.48721022534247638</v>
      </c>
      <c r="S304" s="801">
        <f t="shared" si="107"/>
        <v>2</v>
      </c>
      <c r="T304" s="172">
        <f t="shared" si="108"/>
        <v>8</v>
      </c>
      <c r="U304" s="247">
        <f t="shared" si="109"/>
        <v>2.4872102253424764</v>
      </c>
      <c r="V304" s="378">
        <f t="shared" si="110"/>
        <v>150.49236741553923</v>
      </c>
      <c r="W304" s="397">
        <f t="shared" si="111"/>
        <v>86.260687109930785</v>
      </c>
      <c r="X304" s="153">
        <f t="shared" si="112"/>
        <v>46312</v>
      </c>
      <c r="Y304" s="380">
        <f t="shared" si="113"/>
        <v>83.188094633618192</v>
      </c>
      <c r="Z304" s="380">
        <f t="shared" si="114"/>
        <v>85.366141760219037</v>
      </c>
      <c r="AA304" s="381">
        <f t="shared" si="115"/>
        <v>90.409968989141092</v>
      </c>
      <c r="AB304" s="193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5.5788396847341687E-2</v>
      </c>
      <c r="AD304" s="227">
        <f>(INDEX(Models!$BJ304:$BT304,,AH304)*(1-AF304)+INDEX(Models!$BJ304:$BT304,,AH304+1)*AF304-ERP_i)*AE304*Ramure*Pc/MaxiM</f>
        <v>4.8337794217063356E-4</v>
      </c>
      <c r="AE304" s="301">
        <f t="shared" si="117"/>
        <v>0.5</v>
      </c>
      <c r="AF304" s="173">
        <f t="shared" si="118"/>
        <v>0.48721022534247638</v>
      </c>
      <c r="AG304" s="801">
        <f t="shared" si="124"/>
        <v>2</v>
      </c>
      <c r="AH304" s="172">
        <f t="shared" si="119"/>
        <v>8</v>
      </c>
      <c r="AI304" s="221">
        <f t="shared" si="120"/>
        <v>2.4872102253424764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46313</v>
      </c>
      <c r="B305" s="406">
        <f>'2025'!Wh/'2025'!Env_an*'2026'!Env_an</f>
        <v>137.70966128581861</v>
      </c>
      <c r="C305" s="831"/>
      <c r="D305" s="388">
        <f t="shared" si="102"/>
        <v>141.31713735358758</v>
      </c>
      <c r="E305" s="380">
        <f t="shared" si="125"/>
        <v>144.34381305632775</v>
      </c>
      <c r="F305" s="380">
        <f t="shared" si="103"/>
        <v>144.40893408980435</v>
      </c>
      <c r="G305" s="110">
        <f t="shared" si="126"/>
        <v>0.92302021202334994</v>
      </c>
      <c r="H305" s="409" t="b">
        <f>Wh_hp&gt;='2025'!Maxi_hp</f>
        <v>0</v>
      </c>
      <c r="I305" s="375">
        <f>IF(H305,Wh_hp,'2025'!Maxi_hp)</f>
        <v>144.41565792808763</v>
      </c>
      <c r="J305" s="85">
        <f>IF(H305,An,'2025'!An_max)</f>
        <v>2022</v>
      </c>
      <c r="K305" s="193">
        <f t="shared" si="104"/>
        <v>46313</v>
      </c>
      <c r="L305" s="143">
        <f>IF(t&lt;Tvie,1-EXP((T0-t)*PertePVj)+'2025'!Pspv,1-EXP((T0-t)*PertePVj)+Pspv)</f>
        <v>2.5527520124772662E-2</v>
      </c>
      <c r="M305" s="835"/>
      <c r="N305" s="835"/>
      <c r="O305" s="48">
        <f>IF(t&lt;Tnet,'2025'!Resal+('2025'!Salim-'2025'!Resal)*(1-EXP(('2025'!Tnet-t)/('2025'!Tau_j))),Resal+(Salim-Resal)*(1-EXP((Tnet-t)/(Tau_j))))*Salcycl</f>
        <v>2.096851703341843E-2</v>
      </c>
      <c r="P305" s="334">
        <f>(INDEX(Models!$BJ305:$BT305,,T305)*(1-R305)+INDEX(Models!$BJ305:$BT305,,T305+1)*R305-ERP_i)*Q305*Ramure*Pc/MaxiM</f>
        <v>5.0662577990693712E-4</v>
      </c>
      <c r="Q305" s="301">
        <f t="shared" si="105"/>
        <v>0.5</v>
      </c>
      <c r="R305" s="173">
        <f t="shared" si="106"/>
        <v>0.48730977393291708</v>
      </c>
      <c r="S305" s="801">
        <f t="shared" si="107"/>
        <v>2</v>
      </c>
      <c r="T305" s="172">
        <f t="shared" si="108"/>
        <v>8</v>
      </c>
      <c r="U305" s="247">
        <f t="shared" si="109"/>
        <v>2.4873097739329171</v>
      </c>
      <c r="V305" s="378">
        <f t="shared" si="110"/>
        <v>149.18632200355799</v>
      </c>
      <c r="W305" s="397">
        <f t="shared" si="111"/>
        <v>137.70966128581861</v>
      </c>
      <c r="X305" s="153">
        <f t="shared" si="112"/>
        <v>46313</v>
      </c>
      <c r="Y305" s="380">
        <f t="shared" si="113"/>
        <v>132.81250599402253</v>
      </c>
      <c r="Z305" s="380">
        <f t="shared" si="114"/>
        <v>136.291694980476</v>
      </c>
      <c r="AA305" s="381">
        <f t="shared" si="115"/>
        <v>144.34381305632775</v>
      </c>
      <c r="AB305" s="193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5.5784296571890921E-2</v>
      </c>
      <c r="AD305" s="227">
        <f>(INDEX(Models!$BJ305:$BT305,,AH305)*(1-AF305)+INDEX(Models!$BJ305:$BT305,,AH305+1)*AF305-ERP_i)*AE305*Ramure*Pc/MaxiM</f>
        <v>5.0662577990693712E-4</v>
      </c>
      <c r="AE305" s="301">
        <f t="shared" si="117"/>
        <v>0.5</v>
      </c>
      <c r="AF305" s="173">
        <f t="shared" si="118"/>
        <v>0.48730977393291708</v>
      </c>
      <c r="AG305" s="801">
        <f t="shared" si="124"/>
        <v>2</v>
      </c>
      <c r="AH305" s="172">
        <f t="shared" si="119"/>
        <v>8</v>
      </c>
      <c r="AI305" s="221">
        <f t="shared" si="120"/>
        <v>2.4873097739329171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46314</v>
      </c>
      <c r="B306" s="406">
        <f>'2025'!Wh/'2025'!Env_an*'2026'!Env_an</f>
        <v>60.782248828026987</v>
      </c>
      <c r="C306" s="831"/>
      <c r="D306" s="388">
        <f t="shared" si="102"/>
        <v>62.375369394879073</v>
      </c>
      <c r="E306" s="380">
        <f t="shared" si="125"/>
        <v>63.714856232036318</v>
      </c>
      <c r="F306" s="380">
        <f t="shared" si="103"/>
        <v>63.720258113043812</v>
      </c>
      <c r="G306" s="110">
        <f t="shared" si="126"/>
        <v>0.41085114823873359</v>
      </c>
      <c r="H306" s="409" t="b">
        <f>Wh_hp&gt;='2025'!Maxi_hp</f>
        <v>0</v>
      </c>
      <c r="I306" s="375">
        <f>IF(H306,Wh_hp,'2025'!Maxi_hp)</f>
        <v>63.744201053360378</v>
      </c>
      <c r="J306" s="85">
        <f>IF(H306,An,'2025'!An_max)</f>
        <v>2022</v>
      </c>
      <c r="K306" s="193">
        <f t="shared" si="104"/>
        <v>46314</v>
      </c>
      <c r="L306" s="143">
        <f>IF(t&lt;Tvie,1-EXP((T0-t)*PertePVj)+'2025'!Pspv,1-EXP((T0-t)*PertePVj)+Pspv)</f>
        <v>2.5540859834697449E-2</v>
      </c>
      <c r="M306" s="835"/>
      <c r="N306" s="835"/>
      <c r="O306" s="48">
        <f>IF(t&lt;Tnet,'2025'!Resal+('2025'!Salim-'2025'!Resal)*(1-EXP(('2025'!Tnet-t)/('2025'!Tau_j))),Resal+(Salim-Resal)*(1-EXP((Tnet-t)/(Tau_j))))*Salcycl</f>
        <v>2.1023147761318178E-2</v>
      </c>
      <c r="P306" s="334">
        <f>(INDEX(Models!$BJ306:$BT306,,T306)*(1-R306)+INDEX(Models!$BJ306:$BT306,,T306+1)*R306-ERP_i)*Q306*Ramure*Pc/MaxiM</f>
        <v>5.344434303432271E-4</v>
      </c>
      <c r="Q306" s="301">
        <f t="shared" si="105"/>
        <v>0.5</v>
      </c>
      <c r="R306" s="173">
        <f t="shared" si="106"/>
        <v>0.4874053518143473</v>
      </c>
      <c r="S306" s="801">
        <f t="shared" si="107"/>
        <v>2</v>
      </c>
      <c r="T306" s="172">
        <f t="shared" si="108"/>
        <v>8</v>
      </c>
      <c r="U306" s="247">
        <f t="shared" si="109"/>
        <v>2.4874053518143473</v>
      </c>
      <c r="V306" s="378">
        <f t="shared" si="110"/>
        <v>147.87573287577143</v>
      </c>
      <c r="W306" s="397">
        <f t="shared" si="111"/>
        <v>60.782248828026987</v>
      </c>
      <c r="X306" s="153">
        <f t="shared" si="112"/>
        <v>46314</v>
      </c>
      <c r="Y306" s="380">
        <f t="shared" si="113"/>
        <v>58.624314467550718</v>
      </c>
      <c r="Z306" s="380">
        <f t="shared" si="114"/>
        <v>60.160874941976502</v>
      </c>
      <c r="AA306" s="381">
        <f t="shared" si="115"/>
        <v>63.714856232036318</v>
      </c>
      <c r="AB306" s="193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5.5779475937557749E-2</v>
      </c>
      <c r="AD306" s="227">
        <f>(INDEX(Models!$BJ306:$BT306,,AH306)*(1-AF306)+INDEX(Models!$BJ306:$BT306,,AH306+1)*AF306-ERP_i)*AE306*Ramure*Pc/MaxiM</f>
        <v>5.344434303432271E-4</v>
      </c>
      <c r="AE306" s="301">
        <f t="shared" si="117"/>
        <v>0.5</v>
      </c>
      <c r="AF306" s="173">
        <f t="shared" si="118"/>
        <v>0.4874053518143473</v>
      </c>
      <c r="AG306" s="801">
        <f t="shared" si="124"/>
        <v>2</v>
      </c>
      <c r="AH306" s="172">
        <f t="shared" si="119"/>
        <v>8</v>
      </c>
      <c r="AI306" s="221">
        <f t="shared" si="120"/>
        <v>2.4874053518143473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46315</v>
      </c>
      <c r="B307" s="406">
        <f>'2025'!Wh/'2025'!Env_an*'2026'!Env_an</f>
        <v>38.679681903861443</v>
      </c>
      <c r="C307" s="831"/>
      <c r="D307" s="388">
        <f t="shared" si="102"/>
        <v>39.694031087759996</v>
      </c>
      <c r="E307" s="380">
        <f t="shared" si="125"/>
        <v>40.548691519728486</v>
      </c>
      <c r="F307" s="380">
        <f t="shared" si="103"/>
        <v>40.548691519728486</v>
      </c>
      <c r="G307" s="110">
        <f t="shared" si="126"/>
        <v>0.26376446241060297</v>
      </c>
      <c r="H307" s="409" t="b">
        <f>Wh_hp&gt;='2025'!Maxi_hp</f>
        <v>0</v>
      </c>
      <c r="I307" s="375">
        <f>IF(H307,Wh_hp,'2025'!Maxi_hp)</f>
        <v>40.567878446480144</v>
      </c>
      <c r="J307" s="85">
        <f>IF(H307,An,'2025'!An_max)</f>
        <v>2022</v>
      </c>
      <c r="K307" s="193">
        <f t="shared" si="104"/>
        <v>46315</v>
      </c>
      <c r="L307" s="143">
        <f>IF(t&lt;Tvie,1-EXP((T0-t)*PertePVj)+'2025'!Pspv,1-EXP((T0-t)*PertePVj)+Pspv)</f>
        <v>2.5554199362012864E-2</v>
      </c>
      <c r="M307" s="835"/>
      <c r="N307" s="835"/>
      <c r="O307" s="48">
        <f>IF(t&lt;Tnet,'2025'!Resal+('2025'!Salim-'2025'!Resal)*(1-EXP(('2025'!Tnet-t)/('2025'!Tau_j))),Resal+(Salim-Resal)*(1-EXP((Tnet-t)/(Tau_j))))*Salcycl</f>
        <v>2.1077386222257386E-2</v>
      </c>
      <c r="P307" s="334">
        <f>(INDEX(Models!$BJ307:$BT307,,T307)*(1-R307)+INDEX(Models!$BJ307:$BT307,,T307+1)*R307-ERP_i)*Q307*Ramure*Pc/MaxiM</f>
        <v>5.6686967179987648E-4</v>
      </c>
      <c r="Q307" s="301">
        <f t="shared" si="105"/>
        <v>0.5</v>
      </c>
      <c r="R307" s="173">
        <f t="shared" si="106"/>
        <v>0.48749711592734046</v>
      </c>
      <c r="S307" s="801">
        <f t="shared" si="107"/>
        <v>2</v>
      </c>
      <c r="T307" s="172">
        <f t="shared" si="108"/>
        <v>8</v>
      </c>
      <c r="U307" s="247">
        <f t="shared" si="109"/>
        <v>2.4874971159273405</v>
      </c>
      <c r="V307" s="378">
        <f t="shared" si="110"/>
        <v>146.56165281696147</v>
      </c>
      <c r="W307" s="397">
        <f t="shared" si="111"/>
        <v>38.679681903861443</v>
      </c>
      <c r="X307" s="153">
        <f t="shared" si="112"/>
        <v>46315</v>
      </c>
      <c r="Y307" s="380">
        <f t="shared" si="113"/>
        <v>37.30873331305466</v>
      </c>
      <c r="Z307" s="380">
        <f t="shared" si="114"/>
        <v>38.287130273051581</v>
      </c>
      <c r="AA307" s="381">
        <f t="shared" si="115"/>
        <v>40.548691519728486</v>
      </c>
      <c r="AB307" s="193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5.5773963645080096E-2</v>
      </c>
      <c r="AD307" s="227">
        <f>(INDEX(Models!$BJ307:$BT307,,AH307)*(1-AF307)+INDEX(Models!$BJ307:$BT307,,AH307+1)*AF307-ERP_i)*AE307*Ramure*Pc/MaxiM</f>
        <v>5.6686967179987648E-4</v>
      </c>
      <c r="AE307" s="301">
        <f t="shared" si="117"/>
        <v>0.5</v>
      </c>
      <c r="AF307" s="173">
        <f t="shared" si="118"/>
        <v>0.48749711592734046</v>
      </c>
      <c r="AG307" s="801">
        <f t="shared" si="124"/>
        <v>2</v>
      </c>
      <c r="AH307" s="172">
        <f t="shared" si="119"/>
        <v>8</v>
      </c>
      <c r="AI307" s="221">
        <f t="shared" si="120"/>
        <v>2.4874971159273405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46316</v>
      </c>
      <c r="B308" s="406">
        <f>'2025'!Wh/'2025'!Env_an*'2026'!Env_an</f>
        <v>63.025112990534232</v>
      </c>
      <c r="C308" s="831"/>
      <c r="D308" s="388">
        <f t="shared" si="102"/>
        <v>64.678790469363605</v>
      </c>
      <c r="E308" s="380">
        <f t="shared" si="125"/>
        <v>66.075038135093834</v>
      </c>
      <c r="F308" s="380">
        <f t="shared" si="103"/>
        <v>66.08267364139877</v>
      </c>
      <c r="G308" s="110">
        <f t="shared" si="126"/>
        <v>0.43371041893237566</v>
      </c>
      <c r="H308" s="409" t="b">
        <f>Wh_hp&gt;='2025'!Maxi_hp</f>
        <v>0</v>
      </c>
      <c r="I308" s="375">
        <f>IF(H308,Wh_hp,'2025'!Maxi_hp)</f>
        <v>66.109579565729476</v>
      </c>
      <c r="J308" s="85">
        <f>IF(H308,An,'2025'!An_max)</f>
        <v>2022</v>
      </c>
      <c r="K308" s="193">
        <f t="shared" si="104"/>
        <v>46316</v>
      </c>
      <c r="L308" s="143">
        <f>IF(t&lt;Tvie,1-EXP((T0-t)*PertePVj)+'2025'!Pspv,1-EXP((T0-t)*PertePVj)+Pspv)</f>
        <v>2.5567538706721238E-2</v>
      </c>
      <c r="M308" s="835"/>
      <c r="N308" s="835"/>
      <c r="O308" s="48">
        <f>IF(t&lt;Tnet,'2025'!Resal+('2025'!Salim-'2025'!Resal)*(1-EXP(('2025'!Tnet-t)/('2025'!Tau_j))),Resal+(Salim-Resal)*(1-EXP((Tnet-t)/(Tau_j))))*Salcycl</f>
        <v>2.1131242677083797E-2</v>
      </c>
      <c r="P308" s="334">
        <f>(INDEX(Models!$BJ308:$BT308,,T308)*(1-R308)+INDEX(Models!$BJ308:$BT308,,T308+1)*R308-ERP_i)*Q308*Ramure*Pc/MaxiM</f>
        <v>6.0394188258824444E-4</v>
      </c>
      <c r="Q308" s="301">
        <f t="shared" si="105"/>
        <v>0.5</v>
      </c>
      <c r="R308" s="173">
        <f t="shared" si="106"/>
        <v>0.48758521712262581</v>
      </c>
      <c r="S308" s="801">
        <f t="shared" si="107"/>
        <v>2</v>
      </c>
      <c r="T308" s="172">
        <f t="shared" si="108"/>
        <v>8</v>
      </c>
      <c r="U308" s="247">
        <f t="shared" si="109"/>
        <v>2.4875852171226258</v>
      </c>
      <c r="V308" s="378">
        <f t="shared" si="110"/>
        <v>145.24513454021871</v>
      </c>
      <c r="W308" s="397">
        <f t="shared" si="111"/>
        <v>63.025112990534232</v>
      </c>
      <c r="X308" s="153">
        <f t="shared" si="112"/>
        <v>46316</v>
      </c>
      <c r="Y308" s="380">
        <f t="shared" si="113"/>
        <v>60.795015878623019</v>
      </c>
      <c r="Z308" s="380">
        <f t="shared" si="114"/>
        <v>62.390179200244546</v>
      </c>
      <c r="AA308" s="381">
        <f t="shared" si="115"/>
        <v>66.075038135093834</v>
      </c>
      <c r="AB308" s="193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5.5767791269607896E-2</v>
      </c>
      <c r="AD308" s="227">
        <f>(INDEX(Models!$BJ308:$BT308,,AH308)*(1-AF308)+INDEX(Models!$BJ308:$BT308,,AH308+1)*AF308-ERP_i)*AE308*Ramure*Pc/MaxiM</f>
        <v>6.0394188258824444E-4</v>
      </c>
      <c r="AE308" s="301">
        <f t="shared" si="117"/>
        <v>0.5</v>
      </c>
      <c r="AF308" s="173">
        <f t="shared" si="118"/>
        <v>0.48758521712262581</v>
      </c>
      <c r="AG308" s="801">
        <f t="shared" si="124"/>
        <v>2</v>
      </c>
      <c r="AH308" s="172">
        <f t="shared" si="119"/>
        <v>8</v>
      </c>
      <c r="AI308" s="221">
        <f t="shared" si="120"/>
        <v>2.4875852171226258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46317</v>
      </c>
      <c r="B309" s="406">
        <f>'2025'!Wh/'2025'!Env_an*'2026'!Env_an</f>
        <v>132.09072982605102</v>
      </c>
      <c r="C309" s="831"/>
      <c r="D309" s="388">
        <f t="shared" si="102"/>
        <v>135.55843355901339</v>
      </c>
      <c r="E309" s="380">
        <f t="shared" si="125"/>
        <v>138.49235654444331</v>
      </c>
      <c r="F309" s="380">
        <f t="shared" si="103"/>
        <v>138.57131952263853</v>
      </c>
      <c r="G309" s="110">
        <f t="shared" si="126"/>
        <v>0.91769085776581805</v>
      </c>
      <c r="H309" s="409" t="b">
        <f>Wh_hp&gt;='2025'!Maxi_hp</f>
        <v>0</v>
      </c>
      <c r="I309" s="375">
        <f>IF(H309,Wh_hp,'2025'!Maxi_hp)</f>
        <v>138.58007051254708</v>
      </c>
      <c r="J309" s="85">
        <f>IF(H309,An,'2025'!An_max)</f>
        <v>2022</v>
      </c>
      <c r="K309" s="193">
        <f t="shared" si="104"/>
        <v>46317</v>
      </c>
      <c r="L309" s="143">
        <f>IF(t&lt;Tvie,1-EXP((T0-t)*PertePVj)+'2025'!Pspv,1-EXP((T0-t)*PertePVj)+Pspv)</f>
        <v>2.5580877868825236E-2</v>
      </c>
      <c r="M309" s="835"/>
      <c r="N309" s="835"/>
      <c r="O309" s="48">
        <f>IF(t&lt;Tnet,'2025'!Resal+('2025'!Salim-'2025'!Resal)*(1-EXP(('2025'!Tnet-t)/('2025'!Tau_j))),Resal+(Salim-Resal)*(1-EXP((Tnet-t)/(Tau_j))))*Salcycl</f>
        <v>2.1184728591779011E-2</v>
      </c>
      <c r="P309" s="334">
        <f>(INDEX(Models!$BJ309:$BT309,,T309)*(1-R309)+INDEX(Models!$BJ309:$BT309,,T309+1)*R309-ERP_i)*Q309*Ramure*Pc/MaxiM</f>
        <v>6.4569594465645533E-4</v>
      </c>
      <c r="Q309" s="301">
        <f t="shared" si="105"/>
        <v>0.5</v>
      </c>
      <c r="R309" s="173">
        <f t="shared" si="106"/>
        <v>0.48766980038847185</v>
      </c>
      <c r="S309" s="801">
        <f t="shared" si="107"/>
        <v>2</v>
      </c>
      <c r="T309" s="172">
        <f t="shared" si="108"/>
        <v>8</v>
      </c>
      <c r="U309" s="247">
        <f t="shared" si="109"/>
        <v>2.4876698003884719</v>
      </c>
      <c r="V309" s="378">
        <f t="shared" si="110"/>
        <v>143.9272306670745</v>
      </c>
      <c r="W309" s="397">
        <f t="shared" si="111"/>
        <v>132.09072982605102</v>
      </c>
      <c r="X309" s="153">
        <f t="shared" si="112"/>
        <v>46317</v>
      </c>
      <c r="Y309" s="380">
        <f t="shared" si="113"/>
        <v>127.42467673026898</v>
      </c>
      <c r="Z309" s="380">
        <f t="shared" si="114"/>
        <v>130.76988519229334</v>
      </c>
      <c r="AA309" s="381">
        <f t="shared" si="115"/>
        <v>138.49235654444331</v>
      </c>
      <c r="AB309" s="193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5.5760993204500404E-2</v>
      </c>
      <c r="AD309" s="227">
        <f>(INDEX(Models!$BJ309:$BT309,,AH309)*(1-AF309)+INDEX(Models!$BJ309:$BT309,,AH309+1)*AF309-ERP_i)*AE309*Ramure*Pc/MaxiM</f>
        <v>6.4569594465645533E-4</v>
      </c>
      <c r="AE309" s="301">
        <f t="shared" si="117"/>
        <v>0.5</v>
      </c>
      <c r="AF309" s="173">
        <f t="shared" si="118"/>
        <v>0.48766980038847185</v>
      </c>
      <c r="AG309" s="801">
        <f t="shared" si="124"/>
        <v>2</v>
      </c>
      <c r="AH309" s="172">
        <f t="shared" si="119"/>
        <v>8</v>
      </c>
      <c r="AI309" s="221">
        <f t="shared" si="120"/>
        <v>2.4876698003884719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46318</v>
      </c>
      <c r="B310" s="406">
        <f>'2025'!Wh/'2025'!Env_an*'2026'!Env_an</f>
        <v>80.220644828458674</v>
      </c>
      <c r="C310" s="831"/>
      <c r="D310" s="388">
        <f t="shared" si="102"/>
        <v>82.327759354001898</v>
      </c>
      <c r="E310" s="380">
        <f t="shared" si="125"/>
        <v>84.114163906958453</v>
      </c>
      <c r="F310" s="380">
        <f t="shared" si="103"/>
        <v>84.136172355748343</v>
      </c>
      <c r="G310" s="110">
        <f t="shared" si="126"/>
        <v>0.56227936206080453</v>
      </c>
      <c r="H310" s="409" t="b">
        <f>Wh_hp&gt;='2025'!Maxi_hp</f>
        <v>0</v>
      </c>
      <c r="I310" s="375">
        <f>IF(H310,Wh_hp,'2025'!Maxi_hp)</f>
        <v>84.166642562822275</v>
      </c>
      <c r="J310" s="85">
        <f>IF(H310,An,'2025'!An_max)</f>
        <v>2022</v>
      </c>
      <c r="K310" s="193">
        <f t="shared" si="104"/>
        <v>46318</v>
      </c>
      <c r="L310" s="143">
        <f>IF(t&lt;Tvie,1-EXP((T0-t)*PertePVj)+'2025'!Pspv,1-EXP((T0-t)*PertePVj)+Pspv)</f>
        <v>2.55942168483273E-2</v>
      </c>
      <c r="M310" s="835"/>
      <c r="N310" s="835"/>
      <c r="O310" s="48">
        <f>IF(t&lt;Tnet,'2025'!Resal+('2025'!Salim-'2025'!Resal)*(1-EXP(('2025'!Tnet-t)/('2025'!Tau_j))),Resal+(Salim-Resal)*(1-EXP((Tnet-t)/(Tau_j))))*Salcycl</f>
        <v>2.1237856622251524E-2</v>
      </c>
      <c r="P310" s="334">
        <f>(INDEX(Models!$BJ310:$BT310,,T310)*(1-R310)+INDEX(Models!$BJ310:$BT310,,T310+1)*R310-ERP_i)*Q310*Ramure*Pc/MaxiM</f>
        <v>6.9748466493376631E-4</v>
      </c>
      <c r="Q310" s="301">
        <f t="shared" si="105"/>
        <v>0.5</v>
      </c>
      <c r="R310" s="173">
        <f t="shared" si="106"/>
        <v>0.48775100507029334</v>
      </c>
      <c r="S310" s="801">
        <f t="shared" si="107"/>
        <v>2</v>
      </c>
      <c r="T310" s="172">
        <f t="shared" si="108"/>
        <v>8</v>
      </c>
      <c r="U310" s="247">
        <f t="shared" si="109"/>
        <v>2.4877510050702933</v>
      </c>
      <c r="V310" s="378">
        <f t="shared" si="110"/>
        <v>142.60823469590136</v>
      </c>
      <c r="W310" s="397">
        <f t="shared" si="111"/>
        <v>80.220644828458674</v>
      </c>
      <c r="X310" s="153">
        <f t="shared" si="112"/>
        <v>46318</v>
      </c>
      <c r="Y310" s="380">
        <f t="shared" si="113"/>
        <v>77.391688132924699</v>
      </c>
      <c r="Z310" s="380">
        <f t="shared" si="114"/>
        <v>79.424495904164985</v>
      </c>
      <c r="AA310" s="381">
        <f t="shared" si="115"/>
        <v>84.114163906958453</v>
      </c>
      <c r="AB310" s="193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5.5753606586173364E-2</v>
      </c>
      <c r="AD310" s="227">
        <f>(INDEX(Models!$BJ310:$BT310,,AH310)*(1-AF310)+INDEX(Models!$BJ310:$BT310,,AH310+1)*AF310-ERP_i)*AE310*Ramure*Pc/MaxiM</f>
        <v>6.9748466493376631E-4</v>
      </c>
      <c r="AE310" s="301">
        <f t="shared" si="117"/>
        <v>0.5</v>
      </c>
      <c r="AF310" s="173">
        <f t="shared" si="118"/>
        <v>0.48775100507029334</v>
      </c>
      <c r="AG310" s="801">
        <f t="shared" si="124"/>
        <v>2</v>
      </c>
      <c r="AH310" s="172">
        <f t="shared" si="119"/>
        <v>8</v>
      </c>
      <c r="AI310" s="221">
        <f t="shared" si="120"/>
        <v>2.4877510050702933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46319</v>
      </c>
      <c r="B311" s="406">
        <f>'2025'!Wh/'2025'!Env_an*'2026'!Env_an</f>
        <v>103.18240455587507</v>
      </c>
      <c r="C311" s="831"/>
      <c r="D311" s="388">
        <f t="shared" si="102"/>
        <v>105.89409344630243</v>
      </c>
      <c r="E311" s="380">
        <f t="shared" si="125"/>
        <v>108.19769161121506</v>
      </c>
      <c r="F311" s="380">
        <f t="shared" si="103"/>
        <v>108.24824401360345</v>
      </c>
      <c r="G311" s="110">
        <f t="shared" si="126"/>
        <v>0.73007853384530053</v>
      </c>
      <c r="H311" s="409" t="b">
        <f>Wh_hp&gt;='2025'!Maxi_hp</f>
        <v>0</v>
      </c>
      <c r="I311" s="375">
        <f>IF(H311,Wh_hp,'2025'!Maxi_hp)</f>
        <v>108.27450579494256</v>
      </c>
      <c r="J311" s="85">
        <f>IF(H311,An,'2025'!An_max)</f>
        <v>2022</v>
      </c>
      <c r="K311" s="193">
        <f t="shared" si="104"/>
        <v>46319</v>
      </c>
      <c r="L311" s="143">
        <f>IF(t&lt;Tvie,1-EXP((T0-t)*PertePVj)+'2025'!Pspv,1-EXP((T0-t)*PertePVj)+Pspv)</f>
        <v>2.5607555645229985E-2</v>
      </c>
      <c r="M311" s="835"/>
      <c r="N311" s="835"/>
      <c r="O311" s="48">
        <f>IF(t&lt;Tnet,'2025'!Resal+('2025'!Salim-'2025'!Resal)*(1-EXP(('2025'!Tnet-t)/('2025'!Tau_j))),Resal+(Salim-Resal)*(1-EXP((Tnet-t)/(Tau_j))))*Salcycl</f>
        <v>2.1290640591391883E-2</v>
      </c>
      <c r="P311" s="334">
        <f>(INDEX(Models!$BJ311:$BT311,,T311)*(1-R311)+INDEX(Models!$BJ311:$BT311,,T311+1)*R311-ERP_i)*Q311*Ramure*Pc/MaxiM</f>
        <v>7.5972304425506491E-4</v>
      </c>
      <c r="Q311" s="301">
        <f t="shared" si="105"/>
        <v>0.5</v>
      </c>
      <c r="R311" s="173">
        <f t="shared" si="106"/>
        <v>0.48782896508268614</v>
      </c>
      <c r="S311" s="801">
        <f t="shared" si="107"/>
        <v>2</v>
      </c>
      <c r="T311" s="172">
        <f t="shared" si="108"/>
        <v>8</v>
      </c>
      <c r="U311" s="247">
        <f t="shared" si="109"/>
        <v>2.4878289650826861</v>
      </c>
      <c r="V311" s="378">
        <f t="shared" si="110"/>
        <v>141.28916581563846</v>
      </c>
      <c r="W311" s="397">
        <f t="shared" si="111"/>
        <v>103.18240455587507</v>
      </c>
      <c r="X311" s="153">
        <f t="shared" si="112"/>
        <v>46319</v>
      </c>
      <c r="Y311" s="380">
        <f t="shared" si="113"/>
        <v>99.549913588995537</v>
      </c>
      <c r="Z311" s="380">
        <f t="shared" si="114"/>
        <v>102.16613867004705</v>
      </c>
      <c r="AA311" s="381">
        <f t="shared" si="115"/>
        <v>108.19769161121506</v>
      </c>
      <c r="AB311" s="193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5.5745671200094486E-2</v>
      </c>
      <c r="AD311" s="227">
        <f>(INDEX(Models!$BJ311:$BT311,,AH311)*(1-AF311)+INDEX(Models!$BJ311:$BT311,,AH311+1)*AF311-ERP_i)*AE311*Ramure*Pc/MaxiM</f>
        <v>7.5972304425506491E-4</v>
      </c>
      <c r="AE311" s="301">
        <f t="shared" si="117"/>
        <v>0.5</v>
      </c>
      <c r="AF311" s="173">
        <f t="shared" si="118"/>
        <v>0.48782896508268614</v>
      </c>
      <c r="AG311" s="801">
        <f t="shared" si="124"/>
        <v>2</v>
      </c>
      <c r="AH311" s="172">
        <f t="shared" si="119"/>
        <v>8</v>
      </c>
      <c r="AI311" s="221">
        <f t="shared" si="120"/>
        <v>2.4878289650826861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46320</v>
      </c>
      <c r="B312" s="406">
        <f>'2025'!Wh/'2025'!Env_an*'2026'!Env_an</f>
        <v>89.226063207026073</v>
      </c>
      <c r="C312" s="831"/>
      <c r="D312" s="388">
        <f t="shared" si="102"/>
        <v>91.57222551403143</v>
      </c>
      <c r="E312" s="380">
        <f t="shared" si="125"/>
        <v>93.5692836673133</v>
      </c>
      <c r="F312" s="380">
        <f t="shared" si="103"/>
        <v>93.606851505925775</v>
      </c>
      <c r="G312" s="110">
        <f t="shared" si="126"/>
        <v>0.63718569661126678</v>
      </c>
      <c r="H312" s="409" t="b">
        <f>Wh_hp&gt;='2025'!Maxi_hp</f>
        <v>0</v>
      </c>
      <c r="I312" s="375">
        <f>IF(H312,Wh_hp,'2025'!Maxi_hp)</f>
        <v>93.640209590302121</v>
      </c>
      <c r="J312" s="85">
        <f>IF(H312,An,'2025'!An_max)</f>
        <v>2022</v>
      </c>
      <c r="K312" s="193">
        <f t="shared" si="104"/>
        <v>46320</v>
      </c>
      <c r="L312" s="143">
        <f>IF(t&lt;Tvie,1-EXP((T0-t)*PertePVj)+'2025'!Pspv,1-EXP((T0-t)*PertePVj)+Pspv)</f>
        <v>2.5620894259535731E-2</v>
      </c>
      <c r="M312" s="835"/>
      <c r="N312" s="835"/>
      <c r="O312" s="48">
        <f>IF(t&lt;Tnet,'2025'!Resal+('2025'!Salim-'2025'!Resal)*(1-EXP(('2025'!Tnet-t)/('2025'!Tau_j))),Resal+(Salim-Resal)*(1-EXP((Tnet-t)/(Tau_j))))*Salcycl</f>
        <v>2.1343095458360314E-2</v>
      </c>
      <c r="P312" s="334">
        <f>(INDEX(Models!$BJ312:$BT312,,T312)*(1-R312)+INDEX(Models!$BJ312:$BT312,,T312+1)*R312-ERP_i)*Q312*Ramure*Pc/MaxiM</f>
        <v>8.3249851118354166E-4</v>
      </c>
      <c r="Q312" s="301">
        <f t="shared" si="105"/>
        <v>0.5</v>
      </c>
      <c r="R312" s="173">
        <f t="shared" si="106"/>
        <v>0.48790380911409414</v>
      </c>
      <c r="S312" s="801">
        <f t="shared" si="107"/>
        <v>2</v>
      </c>
      <c r="T312" s="172">
        <f t="shared" si="108"/>
        <v>8</v>
      </c>
      <c r="U312" s="247">
        <f t="shared" si="109"/>
        <v>2.4879038091140941</v>
      </c>
      <c r="V312" s="378">
        <f t="shared" si="110"/>
        <v>139.97109059309398</v>
      </c>
      <c r="W312" s="397">
        <f t="shared" si="111"/>
        <v>89.226063207026073</v>
      </c>
      <c r="X312" s="153">
        <f t="shared" si="112"/>
        <v>46320</v>
      </c>
      <c r="Y312" s="380">
        <f t="shared" si="113"/>
        <v>86.090282779843449</v>
      </c>
      <c r="Z312" s="380">
        <f t="shared" si="114"/>
        <v>88.353991041731618</v>
      </c>
      <c r="AA312" s="381">
        <f t="shared" si="115"/>
        <v>93.5692836673133</v>
      </c>
      <c r="AB312" s="193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5.5737229368183573E-2</v>
      </c>
      <c r="AD312" s="227">
        <f>(INDEX(Models!$BJ312:$BT312,,AH312)*(1-AF312)+INDEX(Models!$BJ312:$BT312,,AH312+1)*AF312-ERP_i)*AE312*Ramure*Pc/MaxiM</f>
        <v>8.3249851118354166E-4</v>
      </c>
      <c r="AE312" s="301">
        <f t="shared" si="117"/>
        <v>0.5</v>
      </c>
      <c r="AF312" s="173">
        <f t="shared" si="118"/>
        <v>0.48790380911409414</v>
      </c>
      <c r="AG312" s="801">
        <f t="shared" si="124"/>
        <v>2</v>
      </c>
      <c r="AH312" s="172">
        <f t="shared" si="119"/>
        <v>8</v>
      </c>
      <c r="AI312" s="221">
        <f t="shared" si="120"/>
        <v>2.4879038091140941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46321</v>
      </c>
      <c r="B313" s="406">
        <f>'2025'!Wh/'2025'!Env_an*'2026'!Env_an</f>
        <v>58.921630853142574</v>
      </c>
      <c r="C313" s="831"/>
      <c r="D313" s="388">
        <f t="shared" si="102"/>
        <v>60.471778494319508</v>
      </c>
      <c r="E313" s="380">
        <f t="shared" si="125"/>
        <v>61.793873071135351</v>
      </c>
      <c r="F313" s="380">
        <f t="shared" si="103"/>
        <v>61.803977286415865</v>
      </c>
      <c r="G313" s="110">
        <f t="shared" si="126"/>
        <v>0.42463133960504362</v>
      </c>
      <c r="H313" s="409" t="b">
        <f>Wh_hp&gt;='2025'!Maxi_hp</f>
        <v>0</v>
      </c>
      <c r="I313" s="375">
        <f>IF(H313,Wh_hp,'2025'!Maxi_hp)</f>
        <v>61.842299177452915</v>
      </c>
      <c r="J313" s="85">
        <f>IF(H313,An,'2025'!An_max)</f>
        <v>2022</v>
      </c>
      <c r="K313" s="193">
        <f t="shared" si="104"/>
        <v>46321</v>
      </c>
      <c r="L313" s="143">
        <f>IF(t&lt;Tvie,1-EXP((T0-t)*PertePVj)+'2025'!Pspv,1-EXP((T0-t)*PertePVj)+Pspv)</f>
        <v>2.5634232691246983E-2</v>
      </c>
      <c r="M313" s="835"/>
      <c r="N313" s="835"/>
      <c r="O313" s="48">
        <f>IF(t&lt;Tnet,'2025'!Resal+('2025'!Salim-'2025'!Resal)*(1-EXP(('2025'!Tnet-t)/('2025'!Tau_j))),Resal+(Salim-Resal)*(1-EXP((Tnet-t)/(Tau_j))))*Salcycl</f>
        <v>2.1395237280140776E-2</v>
      </c>
      <c r="P313" s="334">
        <f>(INDEX(Models!$BJ313:$BT313,,T313)*(1-R313)+INDEX(Models!$BJ313:$BT313,,T313+1)*R313-ERP_i)*Q313*Ramure*Pc/MaxiM</f>
        <v>9.1589150398403468E-4</v>
      </c>
      <c r="Q313" s="301">
        <f t="shared" si="105"/>
        <v>0.5</v>
      </c>
      <c r="R313" s="173">
        <f t="shared" si="106"/>
        <v>0.48797566082432375</v>
      </c>
      <c r="S313" s="801">
        <f t="shared" si="107"/>
        <v>2</v>
      </c>
      <c r="T313" s="172">
        <f t="shared" si="108"/>
        <v>8</v>
      </c>
      <c r="U313" s="247">
        <f t="shared" si="109"/>
        <v>2.4879756608243238</v>
      </c>
      <c r="V313" s="378">
        <f t="shared" si="110"/>
        <v>138.65507624483536</v>
      </c>
      <c r="W313" s="397">
        <f t="shared" si="111"/>
        <v>58.921630853142574</v>
      </c>
      <c r="X313" s="153">
        <f t="shared" si="112"/>
        <v>46321</v>
      </c>
      <c r="Y313" s="380">
        <f t="shared" si="113"/>
        <v>56.854441272687858</v>
      </c>
      <c r="Z313" s="380">
        <f t="shared" si="114"/>
        <v>58.350203979069036</v>
      </c>
      <c r="AA313" s="381">
        <f t="shared" si="115"/>
        <v>61.793873071135351</v>
      </c>
      <c r="AB313" s="193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5.5728325818031575E-2</v>
      </c>
      <c r="AD313" s="227">
        <f>(INDEX(Models!$BJ313:$BT313,,AH313)*(1-AF313)+INDEX(Models!$BJ313:$BT313,,AH313+1)*AF313-ERP_i)*AE313*Ramure*Pc/MaxiM</f>
        <v>9.1589150398403468E-4</v>
      </c>
      <c r="AE313" s="301">
        <f t="shared" si="117"/>
        <v>0.5</v>
      </c>
      <c r="AF313" s="173">
        <f t="shared" si="118"/>
        <v>0.48797566082432375</v>
      </c>
      <c r="AG313" s="801">
        <f t="shared" si="124"/>
        <v>2</v>
      </c>
      <c r="AH313" s="172">
        <f t="shared" si="119"/>
        <v>8</v>
      </c>
      <c r="AI313" s="221">
        <f t="shared" si="120"/>
        <v>2.4879756608243238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46322</v>
      </c>
      <c r="B314" s="406">
        <f>'2025'!Wh/'2025'!Env_an*'2026'!Env_an</f>
        <v>52.877941307190113</v>
      </c>
      <c r="C314" s="831"/>
      <c r="D314" s="388">
        <f t="shared" si="102"/>
        <v>54.269830638410411</v>
      </c>
      <c r="E314" s="380">
        <f t="shared" si="125"/>
        <v>55.459270219095067</v>
      </c>
      <c r="F314" s="380">
        <f t="shared" si="103"/>
        <v>55.466073299501012</v>
      </c>
      <c r="G314" s="110">
        <f t="shared" si="126"/>
        <v>0.38466705369751203</v>
      </c>
      <c r="H314" s="409" t="b">
        <f>Wh_hp&gt;='2025'!Maxi_hp</f>
        <v>0</v>
      </c>
      <c r="I314" s="375">
        <f>IF(H314,Wh_hp,'2025'!Maxi_hp)</f>
        <v>55.506514695537248</v>
      </c>
      <c r="J314" s="85">
        <f>IF(H314,An,'2025'!An_max)</f>
        <v>2022</v>
      </c>
      <c r="K314" s="193">
        <f t="shared" si="104"/>
        <v>46322</v>
      </c>
      <c r="L314" s="143">
        <f>IF(t&lt;Tvie,1-EXP((T0-t)*PertePVj)+'2025'!Pspv,1-EXP((T0-t)*PertePVj)+Pspv)</f>
        <v>2.5647570940366293E-2</v>
      </c>
      <c r="M314" s="835"/>
      <c r="N314" s="835"/>
      <c r="O314" s="48">
        <f>IF(t&lt;Tnet,'2025'!Resal+('2025'!Salim-'2025'!Resal)*(1-EXP(('2025'!Tnet-t)/('2025'!Tau_j))),Resal+(Salim-Resal)*(1-EXP((Tnet-t)/(Tau_j))))*Salcycl</f>
        <v>2.1447083165460061E-2</v>
      </c>
      <c r="P314" s="334">
        <f>(INDEX(Models!$BJ314:$BT314,,T314)*(1-R314)+INDEX(Models!$BJ314:$BT314,,T314+1)*R314-ERP_i)*Q314*Ramure*Pc/MaxiM</f>
        <v>1.0099798849570304E-3</v>
      </c>
      <c r="Q314" s="301">
        <f t="shared" si="105"/>
        <v>0.5</v>
      </c>
      <c r="R314" s="173">
        <f t="shared" si="106"/>
        <v>0.4880446390351012</v>
      </c>
      <c r="S314" s="801">
        <f t="shared" si="107"/>
        <v>2</v>
      </c>
      <c r="T314" s="172">
        <f t="shared" si="108"/>
        <v>8</v>
      </c>
      <c r="U314" s="247">
        <f t="shared" si="109"/>
        <v>2.4880446390351012</v>
      </c>
      <c r="V314" s="378">
        <f t="shared" si="110"/>
        <v>137.34218988849608</v>
      </c>
      <c r="W314" s="397">
        <f t="shared" si="111"/>
        <v>52.877941307190113</v>
      </c>
      <c r="X314" s="153">
        <f t="shared" si="112"/>
        <v>46322</v>
      </c>
      <c r="Y314" s="380">
        <f t="shared" si="113"/>
        <v>51.025993625982153</v>
      </c>
      <c r="Z314" s="380">
        <f t="shared" si="114"/>
        <v>52.369134723898952</v>
      </c>
      <c r="AA314" s="381">
        <f t="shared" si="115"/>
        <v>55.459270219095067</v>
      </c>
      <c r="AB314" s="193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5.5719007534508765E-2</v>
      </c>
      <c r="AD314" s="227">
        <f>(INDEX(Models!$BJ314:$BT314,,AH314)*(1-AF314)+INDEX(Models!$BJ314:$BT314,,AH314+1)*AF314-ERP_i)*AE314*Ramure*Pc/MaxiM</f>
        <v>1.0099798849570304E-3</v>
      </c>
      <c r="AE314" s="301">
        <f t="shared" si="117"/>
        <v>0.5</v>
      </c>
      <c r="AF314" s="173">
        <f t="shared" si="118"/>
        <v>0.4880446390351012</v>
      </c>
      <c r="AG314" s="801">
        <f t="shared" si="124"/>
        <v>2</v>
      </c>
      <c r="AH314" s="172">
        <f t="shared" si="119"/>
        <v>8</v>
      </c>
      <c r="AI314" s="221">
        <f t="shared" si="120"/>
        <v>2.4880446390351012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46323</v>
      </c>
      <c r="B315" s="406">
        <f>'2025'!Wh/'2025'!Env_an*'2026'!Env_an</f>
        <v>69.77335982937835</v>
      </c>
      <c r="C315" s="831"/>
      <c r="D315" s="388">
        <f t="shared" si="102"/>
        <v>71.61096221466515</v>
      </c>
      <c r="E315" s="380">
        <f t="shared" si="125"/>
        <v>73.184326525497823</v>
      </c>
      <c r="F315" s="380">
        <f t="shared" si="103"/>
        <v>73.209151098228986</v>
      </c>
      <c r="G315" s="110">
        <f t="shared" si="126"/>
        <v>0.51251504770513345</v>
      </c>
      <c r="H315" s="409" t="b">
        <f>Wh_hp&gt;='2025'!Maxi_hp</f>
        <v>0</v>
      </c>
      <c r="I315" s="375">
        <f>IF(H315,Wh_hp,'2025'!Maxi_hp)</f>
        <v>73.255686968497727</v>
      </c>
      <c r="J315" s="85">
        <f>IF(H315,An,'2025'!An_max)</f>
        <v>2022</v>
      </c>
      <c r="K315" s="193">
        <f t="shared" si="104"/>
        <v>46323</v>
      </c>
      <c r="L315" s="143">
        <f>IF(t&lt;Tvie,1-EXP((T0-t)*PertePVj)+'2025'!Pspv,1-EXP((T0-t)*PertePVj)+Pspv)</f>
        <v>2.5660909006896215E-2</v>
      </c>
      <c r="M315" s="835"/>
      <c r="N315" s="835"/>
      <c r="O315" s="48">
        <f>IF(t&lt;Tnet,'2025'!Resal+('2025'!Salim-'2025'!Resal)*(1-EXP(('2025'!Tnet-t)/('2025'!Tau_j))),Resal+(Salim-Resal)*(1-EXP((Tnet-t)/(Tau_j))))*Salcycl</f>
        <v>2.1498651221235184E-2</v>
      </c>
      <c r="P315" s="334">
        <f>(INDEX(Models!$BJ315:$BT315,,T315)*(1-R315)+INDEX(Models!$BJ315:$BT315,,T315+1)*R315-ERP_i)*Q315*Ramure*Pc/MaxiM</f>
        <v>1.1148389187174204E-3</v>
      </c>
      <c r="Q315" s="301">
        <f t="shared" si="105"/>
        <v>0.5</v>
      </c>
      <c r="R315" s="173">
        <f t="shared" si="106"/>
        <v>0.48811085791388331</v>
      </c>
      <c r="S315" s="801">
        <f t="shared" si="107"/>
        <v>2</v>
      </c>
      <c r="T315" s="172">
        <f t="shared" si="108"/>
        <v>8</v>
      </c>
      <c r="U315" s="247">
        <f t="shared" si="109"/>
        <v>2.4881108579138833</v>
      </c>
      <c r="V315" s="378">
        <f t="shared" si="110"/>
        <v>136.03349843270837</v>
      </c>
      <c r="W315" s="397">
        <f t="shared" si="111"/>
        <v>69.77335982937835</v>
      </c>
      <c r="X315" s="153">
        <f t="shared" si="112"/>
        <v>46323</v>
      </c>
      <c r="Y315" s="380">
        <f t="shared" si="113"/>
        <v>67.33392164517663</v>
      </c>
      <c r="Z315" s="380">
        <f t="shared" si="114"/>
        <v>69.10727719704434</v>
      </c>
      <c r="AA315" s="381">
        <f t="shared" si="115"/>
        <v>73.184326525497823</v>
      </c>
      <c r="AB315" s="193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5.5709323594486007E-2</v>
      </c>
      <c r="AD315" s="227">
        <f>(INDEX(Models!$BJ315:$BT315,,AH315)*(1-AF315)+INDEX(Models!$BJ315:$BT315,,AH315+1)*AF315-ERP_i)*AE315*Ramure*Pc/MaxiM</f>
        <v>1.1148389187174204E-3</v>
      </c>
      <c r="AE315" s="301">
        <f t="shared" si="117"/>
        <v>0.5</v>
      </c>
      <c r="AF315" s="173">
        <f t="shared" si="118"/>
        <v>0.48811085791388331</v>
      </c>
      <c r="AG315" s="801">
        <f t="shared" si="124"/>
        <v>2</v>
      </c>
      <c r="AH315" s="172">
        <f t="shared" si="119"/>
        <v>8</v>
      </c>
      <c r="AI315" s="221">
        <f t="shared" si="120"/>
        <v>2.4881108579138833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46324</v>
      </c>
      <c r="B316" s="406">
        <f>'2025'!Wh/'2025'!Env_an*'2026'!Env_an</f>
        <v>101.2837553130975</v>
      </c>
      <c r="C316" s="831"/>
      <c r="D316" s="388">
        <f t="shared" si="102"/>
        <v>103.95266161229134</v>
      </c>
      <c r="E316" s="380">
        <f t="shared" si="125"/>
        <v>106.24217631442761</v>
      </c>
      <c r="F316" s="380">
        <f t="shared" si="103"/>
        <v>106.32661497563728</v>
      </c>
      <c r="G316" s="110">
        <f t="shared" si="126"/>
        <v>0.7514248408172246</v>
      </c>
      <c r="H316" s="409" t="b">
        <f>Wh_hp&gt;='2025'!Maxi_hp</f>
        <v>0</v>
      </c>
      <c r="I316" s="375">
        <f>IF(H316,Wh_hp,'2025'!Maxi_hp)</f>
        <v>106.36453669934818</v>
      </c>
      <c r="J316" s="85">
        <f>IF(H316,An,'2025'!An_max)</f>
        <v>2022</v>
      </c>
      <c r="K316" s="193">
        <f t="shared" si="104"/>
        <v>46324</v>
      </c>
      <c r="L316" s="143">
        <f>IF(t&lt;Tvie,1-EXP((T0-t)*PertePVj)+'2025'!Pspv,1-EXP((T0-t)*PertePVj)+Pspv)</f>
        <v>2.5674246890839303E-2</v>
      </c>
      <c r="M316" s="835"/>
      <c r="N316" s="835"/>
      <c r="O316" s="48">
        <f>IF(t&lt;Tnet,'2025'!Resal+('2025'!Salim-'2025'!Resal)*(1-EXP(('2025'!Tnet-t)/('2025'!Tau_j))),Resal+(Salim-Resal)*(1-EXP((Tnet-t)/(Tau_j))))*Salcycl</f>
        <v>2.1549960491776637E-2</v>
      </c>
      <c r="P316" s="334">
        <f>(INDEX(Models!$BJ316:$BT316,,T316)*(1-R316)+INDEX(Models!$BJ316:$BT316,,T316+1)*R316-ERP_i)*Q316*Ramure*Pc/MaxiM</f>
        <v>1.2305412811325046E-3</v>
      </c>
      <c r="Q316" s="301">
        <f t="shared" si="105"/>
        <v>0.5</v>
      </c>
      <c r="R316" s="173">
        <f t="shared" si="106"/>
        <v>0.48817442715111925</v>
      </c>
      <c r="S316" s="801">
        <f t="shared" si="107"/>
        <v>2</v>
      </c>
      <c r="T316" s="172">
        <f t="shared" si="108"/>
        <v>8</v>
      </c>
      <c r="U316" s="247">
        <f t="shared" si="109"/>
        <v>2.4881744271511193</v>
      </c>
      <c r="V316" s="378">
        <f t="shared" si="110"/>
        <v>134.73006845976579</v>
      </c>
      <c r="W316" s="397">
        <f t="shared" si="111"/>
        <v>101.2837553130975</v>
      </c>
      <c r="X316" s="153">
        <f t="shared" si="112"/>
        <v>46324</v>
      </c>
      <c r="Y316" s="380">
        <f t="shared" si="113"/>
        <v>97.748801316649519</v>
      </c>
      <c r="Z316" s="380">
        <f t="shared" si="114"/>
        <v>100.3245588087191</v>
      </c>
      <c r="AA316" s="381">
        <f t="shared" si="115"/>
        <v>106.24217631442761</v>
      </c>
      <c r="AB316" s="193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5.5699324985541532E-2</v>
      </c>
      <c r="AD316" s="227">
        <f>(INDEX(Models!$BJ316:$BT316,,AH316)*(1-AF316)+INDEX(Models!$BJ316:$BT316,,AH316+1)*AF316-ERP_i)*AE316*Ramure*Pc/MaxiM</f>
        <v>1.2305412811325046E-3</v>
      </c>
      <c r="AE316" s="301">
        <f t="shared" si="117"/>
        <v>0.5</v>
      </c>
      <c r="AF316" s="173">
        <f t="shared" si="118"/>
        <v>0.48817442715111925</v>
      </c>
      <c r="AG316" s="801">
        <f t="shared" si="124"/>
        <v>2</v>
      </c>
      <c r="AH316" s="172">
        <f t="shared" si="119"/>
        <v>8</v>
      </c>
      <c r="AI316" s="221">
        <f t="shared" si="120"/>
        <v>2.4881744271511193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46325</v>
      </c>
      <c r="B317" s="406">
        <f>'2025'!Wh/'2025'!Env_an*'2026'!Env_an</f>
        <v>84.668968082174715</v>
      </c>
      <c r="C317" s="831"/>
      <c r="D317" s="388">
        <f t="shared" si="102"/>
        <v>86.901251326799724</v>
      </c>
      <c r="E317" s="380">
        <f t="shared" si="125"/>
        <v>88.819851686824293</v>
      </c>
      <c r="F317" s="380">
        <f t="shared" si="103"/>
        <v>88.877507505088033</v>
      </c>
      <c r="G317" s="110">
        <f t="shared" si="126"/>
        <v>0.63412706883502901</v>
      </c>
      <c r="H317" s="409" t="b">
        <f>Wh_hp&gt;='2025'!Maxi_hp</f>
        <v>0</v>
      </c>
      <c r="I317" s="375">
        <f>IF(H317,Wh_hp,'2025'!Maxi_hp)</f>
        <v>88.928840015230989</v>
      </c>
      <c r="J317" s="85">
        <f>IF(H317,An,'2025'!An_max)</f>
        <v>2022</v>
      </c>
      <c r="K317" s="193">
        <f t="shared" si="104"/>
        <v>46325</v>
      </c>
      <c r="L317" s="143">
        <f>IF(t&lt;Tvie,1-EXP((T0-t)*PertePVj)+'2025'!Pspv,1-EXP((T0-t)*PertePVj)+Pspv)</f>
        <v>2.5687584592197776E-2</v>
      </c>
      <c r="M317" s="835"/>
      <c r="N317" s="835"/>
      <c r="O317" s="48">
        <f>IF(t&lt;Tnet,'2025'!Resal+('2025'!Salim-'2025'!Resal)*(1-EXP(('2025'!Tnet-t)/('2025'!Tau_j))),Resal+(Salim-Resal)*(1-EXP((Tnet-t)/(Tau_j))))*Salcycl</f>
        <v>2.1601030891038726E-2</v>
      </c>
      <c r="P317" s="334">
        <f>(INDEX(Models!$BJ317:$BT317,,T317)*(1-R317)+INDEX(Models!$BJ317:$BT317,,T317+1)*R317-ERP_i)*Q317*Ramure*Pc/MaxiM</f>
        <v>1.3572294337438672E-3</v>
      </c>
      <c r="Q317" s="301">
        <f t="shared" si="105"/>
        <v>0.5</v>
      </c>
      <c r="R317" s="173">
        <f t="shared" si="106"/>
        <v>0.48823545213116226</v>
      </c>
      <c r="S317" s="801">
        <f t="shared" si="107"/>
        <v>2</v>
      </c>
      <c r="T317" s="172">
        <f t="shared" si="108"/>
        <v>8</v>
      </c>
      <c r="U317" s="247">
        <f t="shared" si="109"/>
        <v>2.4882354521311623</v>
      </c>
      <c r="V317" s="378">
        <f t="shared" si="110"/>
        <v>133.42584440253503</v>
      </c>
      <c r="W317" s="397">
        <f t="shared" si="111"/>
        <v>84.668968082174715</v>
      </c>
      <c r="X317" s="153">
        <f t="shared" si="112"/>
        <v>46325</v>
      </c>
      <c r="Y317" s="380">
        <f t="shared" si="113"/>
        <v>81.719048148590218</v>
      </c>
      <c r="Z317" s="380">
        <f t="shared" si="114"/>
        <v>83.873557245379445</v>
      </c>
      <c r="AA317" s="381">
        <f t="shared" si="115"/>
        <v>88.819851686824293</v>
      </c>
      <c r="AB317" s="193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5.5689064409669434E-2</v>
      </c>
      <c r="AD317" s="227">
        <f>(INDEX(Models!$BJ317:$BT317,,AH317)*(1-AF317)+INDEX(Models!$BJ317:$BT317,,AH317+1)*AF317-ERP_i)*AE317*Ramure*Pc/MaxiM</f>
        <v>1.3572294337438672E-3</v>
      </c>
      <c r="AE317" s="301">
        <f t="shared" si="117"/>
        <v>0.5</v>
      </c>
      <c r="AF317" s="173">
        <f t="shared" si="118"/>
        <v>0.48823545213116226</v>
      </c>
      <c r="AG317" s="801">
        <f t="shared" si="124"/>
        <v>2</v>
      </c>
      <c r="AH317" s="172">
        <f t="shared" si="119"/>
        <v>8</v>
      </c>
      <c r="AI317" s="221">
        <f t="shared" si="120"/>
        <v>2.4882354521311623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46326</v>
      </c>
      <c r="B318" s="406">
        <f>'2025'!Wh/'2025'!Env_an*'2026'!Env_an</f>
        <v>85.712637698568244</v>
      </c>
      <c r="C318" s="831"/>
      <c r="D318" s="388">
        <f t="shared" si="102"/>
        <v>87.973641404114176</v>
      </c>
      <c r="E318" s="380">
        <f t="shared" si="125"/>
        <v>89.920591543028678</v>
      </c>
      <c r="F318" s="380">
        <f t="shared" si="103"/>
        <v>89.987464681621262</v>
      </c>
      <c r="G318" s="110">
        <f t="shared" si="126"/>
        <v>0.64828246087350083</v>
      </c>
      <c r="H318" s="409" t="b">
        <f>Wh_hp&gt;='2025'!Maxi_hp</f>
        <v>0</v>
      </c>
      <c r="I318" s="375">
        <f>IF(H318,Wh_hp,'2025'!Maxi_hp)</f>
        <v>90.042264193669411</v>
      </c>
      <c r="J318" s="85">
        <f>IF(H318,An,'2025'!An_max)</f>
        <v>2022</v>
      </c>
      <c r="K318" s="193">
        <f t="shared" si="104"/>
        <v>46326</v>
      </c>
      <c r="L318" s="143">
        <f>IF(t&lt;Tvie,1-EXP((T0-t)*PertePVj)+'2025'!Pspv,1-EXP((T0-t)*PertePVj)+Pspv)</f>
        <v>2.5700922110974411E-2</v>
      </c>
      <c r="M318" s="835"/>
      <c r="N318" s="835"/>
      <c r="O318" s="48">
        <f>IF(t&lt;Tnet,'2025'!Resal+('2025'!Salim-'2025'!Resal)*(1-EXP(('2025'!Tnet-t)/('2025'!Tau_j))),Resal+(Salim-Resal)*(1-EXP((Tnet-t)/(Tau_j))))*Salcycl</f>
        <v>2.1651883128269326E-2</v>
      </c>
      <c r="P318" s="334">
        <f>(INDEX(Models!$BJ318:$BT318,,T318)*(1-R318)+INDEX(Models!$BJ318:$BT318,,T318+1)*R318-ERP_i)*Q318*Ramure*Pc/MaxiM</f>
        <v>1.4915254274349633E-3</v>
      </c>
      <c r="Q318" s="301">
        <f t="shared" si="105"/>
        <v>0.5</v>
      </c>
      <c r="R318" s="173">
        <f t="shared" si="106"/>
        <v>0.48829403409702277</v>
      </c>
      <c r="S318" s="801">
        <f t="shared" si="107"/>
        <v>2</v>
      </c>
      <c r="T318" s="172">
        <f t="shared" si="108"/>
        <v>8</v>
      </c>
      <c r="U318" s="247">
        <f t="shared" si="109"/>
        <v>2.4882940340970228</v>
      </c>
      <c r="V318" s="378">
        <f t="shared" si="110"/>
        <v>132.11593546771192</v>
      </c>
      <c r="W318" s="397">
        <f t="shared" si="111"/>
        <v>85.712637698568244</v>
      </c>
      <c r="X318" s="153">
        <f t="shared" si="112"/>
        <v>46326</v>
      </c>
      <c r="Y318" s="380">
        <f t="shared" si="113"/>
        <v>82.73157270910157</v>
      </c>
      <c r="Z318" s="380">
        <f t="shared" si="114"/>
        <v>84.913939247846486</v>
      </c>
      <c r="AA318" s="381">
        <f t="shared" si="115"/>
        <v>89.920591543028678</v>
      </c>
      <c r="AB318" s="193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5.5678596073140983E-2</v>
      </c>
      <c r="AD318" s="227">
        <f>(INDEX(Models!$BJ318:$BT318,,AH318)*(1-AF318)+INDEX(Models!$BJ318:$BT318,,AH318+1)*AF318-ERP_i)*AE318*Ramure*Pc/MaxiM</f>
        <v>1.4915254274349633E-3</v>
      </c>
      <c r="AE318" s="301">
        <f t="shared" si="117"/>
        <v>0.5</v>
      </c>
      <c r="AF318" s="173">
        <f t="shared" si="118"/>
        <v>0.48829403409702277</v>
      </c>
      <c r="AG318" s="801">
        <f t="shared" si="124"/>
        <v>2</v>
      </c>
      <c r="AH318" s="172">
        <f t="shared" si="119"/>
        <v>8</v>
      </c>
      <c r="AI318" s="221">
        <f t="shared" si="120"/>
        <v>2.4882940340970228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46327</v>
      </c>
      <c r="B319" s="406">
        <f>'2025'!Wh/'2025'!Env_an*'2026'!Env_an</f>
        <v>85.054727455315927</v>
      </c>
      <c r="C319" s="831"/>
      <c r="D319" s="388">
        <f t="shared" si="102"/>
        <v>87.299571280858785</v>
      </c>
      <c r="E319" s="380">
        <f t="shared" si="125"/>
        <v>89.236223876508419</v>
      </c>
      <c r="F319" s="380">
        <f t="shared" si="103"/>
        <v>89.30899793499961</v>
      </c>
      <c r="G319" s="110">
        <f t="shared" si="126"/>
        <v>0.64972060107128093</v>
      </c>
      <c r="H319" s="409" t="b">
        <f>Wh_hp&gt;='2025'!Maxi_hp</f>
        <v>0</v>
      </c>
      <c r="I319" s="375">
        <f>IF(H319,Wh_hp,'2025'!Maxi_hp)</f>
        <v>89.368067113464861</v>
      </c>
      <c r="J319" s="85">
        <f>IF(H319,An,'2025'!An_max)</f>
        <v>2022</v>
      </c>
      <c r="K319" s="193">
        <f t="shared" si="104"/>
        <v>46327</v>
      </c>
      <c r="L319" s="143">
        <f>IF(t&lt;Tvie,1-EXP((T0-t)*PertePVj)+'2025'!Pspv,1-EXP((T0-t)*PertePVj)+Pspv)</f>
        <v>2.571425944717165E-2</v>
      </c>
      <c r="M319" s="835"/>
      <c r="N319" s="835"/>
      <c r="O319" s="48">
        <f>IF(t&lt;Tnet,'2025'!Resal+('2025'!Salim-'2025'!Resal)*(1-EXP(('2025'!Tnet-t)/('2025'!Tau_j))),Resal+(Salim-Resal)*(1-EXP((Tnet-t)/(Tau_j))))*Salcycl</f>
        <v>2.1702538627471769E-2</v>
      </c>
      <c r="P319" s="334">
        <f>(INDEX(Models!$BJ319:$BT319,,T319)*(1-R319)+INDEX(Models!$BJ319:$BT319,,T319+1)*R319-ERP_i)*Q319*Ramure*Pc/MaxiM</f>
        <v>1.6285500328846567E-3</v>
      </c>
      <c r="Q319" s="301">
        <f t="shared" si="105"/>
        <v>0.5</v>
      </c>
      <c r="R319" s="173">
        <f t="shared" si="106"/>
        <v>0.48835027030916489</v>
      </c>
      <c r="S319" s="801">
        <f t="shared" si="107"/>
        <v>2</v>
      </c>
      <c r="T319" s="172">
        <f t="shared" si="108"/>
        <v>8</v>
      </c>
      <c r="U319" s="247">
        <f t="shared" si="109"/>
        <v>2.4883502703091649</v>
      </c>
      <c r="V319" s="378">
        <f t="shared" si="110"/>
        <v>130.80309048475078</v>
      </c>
      <c r="W319" s="397">
        <f t="shared" si="111"/>
        <v>85.054727455315927</v>
      </c>
      <c r="X319" s="153">
        <f t="shared" si="112"/>
        <v>46327</v>
      </c>
      <c r="Y319" s="380">
        <f t="shared" si="113"/>
        <v>82.101718695627</v>
      </c>
      <c r="Z319" s="380">
        <f t="shared" si="114"/>
        <v>84.268623955268922</v>
      </c>
      <c r="AA319" s="381">
        <f t="shared" si="115"/>
        <v>89.236223876508419</v>
      </c>
      <c r="AB319" s="193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5.5667975463798529E-2</v>
      </c>
      <c r="AD319" s="227">
        <f>(INDEX(Models!$BJ319:$BT319,,AH319)*(1-AF319)+INDEX(Models!$BJ319:$BT319,,AH319+1)*AF319-ERP_i)*AE319*Ramure*Pc/MaxiM</f>
        <v>1.6285500328846567E-3</v>
      </c>
      <c r="AE319" s="301">
        <f t="shared" si="117"/>
        <v>0.5</v>
      </c>
      <c r="AF319" s="173">
        <f t="shared" si="118"/>
        <v>0.48835027030916489</v>
      </c>
      <c r="AG319" s="801">
        <f t="shared" si="124"/>
        <v>2</v>
      </c>
      <c r="AH319" s="172">
        <f t="shared" si="119"/>
        <v>8</v>
      </c>
      <c r="AI319" s="221">
        <f t="shared" si="120"/>
        <v>2.4883502703091649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46328</v>
      </c>
      <c r="B320" s="406">
        <f>'2025'!Wh/'2025'!Env_an*'2026'!Env_an</f>
        <v>112.96077857418253</v>
      </c>
      <c r="C320" s="831"/>
      <c r="D320" s="388">
        <f t="shared" si="102"/>
        <v>115.94373214315181</v>
      </c>
      <c r="E320" s="380">
        <f t="shared" si="125"/>
        <v>118.52194225727692</v>
      </c>
      <c r="F320" s="380">
        <f t="shared" si="103"/>
        <v>118.69355888895933</v>
      </c>
      <c r="G320" s="110">
        <f t="shared" si="126"/>
        <v>0.87207374472846444</v>
      </c>
      <c r="H320" s="409" t="b">
        <f>Wh_hp&gt;='2025'!Maxi_hp</f>
        <v>0</v>
      </c>
      <c r="I320" s="375">
        <f>IF(H320,Wh_hp,'2025'!Maxi_hp)</f>
        <v>118.72465698577568</v>
      </c>
      <c r="J320" s="85">
        <f>IF(H320,An,'2025'!An_max)</f>
        <v>2022</v>
      </c>
      <c r="K320" s="193">
        <f t="shared" si="104"/>
        <v>46328</v>
      </c>
      <c r="L320" s="143">
        <f>IF(t&lt;Tvie,1-EXP((T0-t)*PertePVj)+'2025'!Pspv,1-EXP((T0-t)*PertePVj)+Pspv)</f>
        <v>2.5727596600791935E-2</v>
      </c>
      <c r="M320" s="835"/>
      <c r="N320" s="835"/>
      <c r="O320" s="48">
        <f>IF(t&lt;Tnet,'2025'!Resal+('2025'!Salim-'2025'!Resal)*(1-EXP(('2025'!Tnet-t)/('2025'!Tau_j))),Resal+(Salim-Resal)*(1-EXP((Tnet-t)/(Tau_j))))*Salcycl</f>
        <v>2.1753019441147554E-2</v>
      </c>
      <c r="P320" s="334">
        <f>(INDEX(Models!$BJ320:$BT320,,T320)*(1-R320)+INDEX(Models!$BJ320:$BT320,,T320+1)*R320-ERP_i)*Q320*Ramure*Pc/MaxiM</f>
        <v>1.7683345878063022E-3</v>
      </c>
      <c r="Q320" s="301">
        <f t="shared" si="105"/>
        <v>0.5</v>
      </c>
      <c r="R320" s="173">
        <f t="shared" si="106"/>
        <v>0.48840425419851874</v>
      </c>
      <c r="S320" s="801">
        <f t="shared" si="107"/>
        <v>2</v>
      </c>
      <c r="T320" s="172">
        <f t="shared" si="108"/>
        <v>8</v>
      </c>
      <c r="U320" s="247">
        <f t="shared" si="109"/>
        <v>2.4884042541985187</v>
      </c>
      <c r="V320" s="378">
        <f t="shared" si="110"/>
        <v>129.48939442650286</v>
      </c>
      <c r="W320" s="397">
        <f t="shared" si="111"/>
        <v>112.96077857418253</v>
      </c>
      <c r="X320" s="153">
        <f t="shared" si="112"/>
        <v>46328</v>
      </c>
      <c r="Y320" s="380">
        <f t="shared" si="113"/>
        <v>109.0457659169677</v>
      </c>
      <c r="Z320" s="380">
        <f t="shared" si="114"/>
        <v>111.92533580599245</v>
      </c>
      <c r="AA320" s="381">
        <f t="shared" si="115"/>
        <v>118.52194225727692</v>
      </c>
      <c r="AB320" s="193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5.5657259117178053E-2</v>
      </c>
      <c r="AD320" s="227">
        <f>(INDEX(Models!$BJ320:$BT320,,AH320)*(1-AF320)+INDEX(Models!$BJ320:$BT320,,AH320+1)*AF320-ERP_i)*AE320*Ramure*Pc/MaxiM</f>
        <v>1.7683345878063022E-3</v>
      </c>
      <c r="AE320" s="301">
        <f t="shared" si="117"/>
        <v>0.5</v>
      </c>
      <c r="AF320" s="173">
        <f t="shared" si="118"/>
        <v>0.48840425419851874</v>
      </c>
      <c r="AG320" s="801">
        <f t="shared" si="124"/>
        <v>2</v>
      </c>
      <c r="AH320" s="172">
        <f t="shared" si="119"/>
        <v>8</v>
      </c>
      <c r="AI320" s="221">
        <f t="shared" si="120"/>
        <v>2.4884042541985187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46329</v>
      </c>
      <c r="B321" s="406">
        <f>'2025'!Wh/'2025'!Env_an*'2026'!Env_an</f>
        <v>43.130552809457363</v>
      </c>
      <c r="C321" s="831"/>
      <c r="D321" s="388">
        <f t="shared" si="102"/>
        <v>44.270106684850269</v>
      </c>
      <c r="E321" s="380">
        <f t="shared" si="125"/>
        <v>45.2568577100783</v>
      </c>
      <c r="F321" s="380">
        <f t="shared" si="103"/>
        <v>45.261366613799268</v>
      </c>
      <c r="G321" s="110">
        <f t="shared" si="126"/>
        <v>0.33588277368866926</v>
      </c>
      <c r="H321" s="409" t="b">
        <f>Wh_hp&gt;='2025'!Maxi_hp</f>
        <v>0</v>
      </c>
      <c r="I321" s="375">
        <f>IF(H321,Wh_hp,'2025'!Maxi_hp)</f>
        <v>45.327958657850239</v>
      </c>
      <c r="J321" s="85">
        <f>IF(H321,An,'2025'!An_max)</f>
        <v>2022</v>
      </c>
      <c r="K321" s="193">
        <f t="shared" si="104"/>
        <v>46329</v>
      </c>
      <c r="L321" s="143">
        <f>IF(t&lt;Tvie,1-EXP((T0-t)*PertePVj)+'2025'!Pspv,1-EXP((T0-t)*PertePVj)+Pspv)</f>
        <v>2.5740933571837821E-2</v>
      </c>
      <c r="M321" s="835"/>
      <c r="N321" s="835"/>
      <c r="O321" s="48">
        <f>IF(t&lt;Tnet,'2025'!Resal+('2025'!Salim-'2025'!Resal)*(1-EXP(('2025'!Tnet-t)/('2025'!Tau_j))),Resal+(Salim-Resal)*(1-EXP((Tnet-t)/(Tau_j))))*Salcycl</f>
        <v>2.1803348158842443E-2</v>
      </c>
      <c r="P321" s="334">
        <f>(INDEX(Models!$BJ321:$BT321,,T321)*(1-R321)+INDEX(Models!$BJ321:$BT321,,T321+1)*R321-ERP_i)*Q321*Ramure*Pc/MaxiM</f>
        <v>1.9109084147432764E-3</v>
      </c>
      <c r="Q321" s="301">
        <f t="shared" si="105"/>
        <v>0.5</v>
      </c>
      <c r="R321" s="173">
        <f t="shared" si="106"/>
        <v>0.48845607551391179</v>
      </c>
      <c r="S321" s="801">
        <f t="shared" si="107"/>
        <v>2</v>
      </c>
      <c r="T321" s="172">
        <f t="shared" si="108"/>
        <v>8</v>
      </c>
      <c r="U321" s="247">
        <f t="shared" si="109"/>
        <v>2.4884560755139118</v>
      </c>
      <c r="V321" s="378">
        <f t="shared" si="110"/>
        <v>128.17693104880092</v>
      </c>
      <c r="W321" s="397">
        <f t="shared" si="111"/>
        <v>43.130552809457363</v>
      </c>
      <c r="X321" s="153">
        <f t="shared" si="112"/>
        <v>46329</v>
      </c>
      <c r="Y321" s="380">
        <f t="shared" si="113"/>
        <v>41.63834361656707</v>
      </c>
      <c r="Z321" s="380">
        <f t="shared" si="114"/>
        <v>42.738471779607821</v>
      </c>
      <c r="AA321" s="381">
        <f t="shared" si="115"/>
        <v>45.2568577100783</v>
      </c>
      <c r="AB321" s="193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5.5646504372963951E-2</v>
      </c>
      <c r="AD321" s="227">
        <f>(INDEX(Models!$BJ321:$BT321,,AH321)*(1-AF321)+INDEX(Models!$BJ321:$BT321,,AH321+1)*AF321-ERP_i)*AE321*Ramure*Pc/MaxiM</f>
        <v>1.9109084147432764E-3</v>
      </c>
      <c r="AE321" s="301">
        <f t="shared" si="117"/>
        <v>0.5</v>
      </c>
      <c r="AF321" s="173">
        <f t="shared" si="118"/>
        <v>0.48845607551391179</v>
      </c>
      <c r="AG321" s="801">
        <f t="shared" si="124"/>
        <v>2</v>
      </c>
      <c r="AH321" s="172">
        <f t="shared" si="119"/>
        <v>8</v>
      </c>
      <c r="AI321" s="221">
        <f t="shared" si="120"/>
        <v>2.4884560755139118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46330</v>
      </c>
      <c r="B322" s="406">
        <f>'2025'!Wh/'2025'!Env_an*'2026'!Env_an</f>
        <v>51.110871218508684</v>
      </c>
      <c r="C322" s="831"/>
      <c r="D322" s="388">
        <f t="shared" si="102"/>
        <v>52.461991532065888</v>
      </c>
      <c r="E322" s="380">
        <f t="shared" si="125"/>
        <v>53.634086608058041</v>
      </c>
      <c r="F322" s="380">
        <f t="shared" si="103"/>
        <v>53.650298633173911</v>
      </c>
      <c r="G322" s="110">
        <f t="shared" si="126"/>
        <v>0.40216033111781369</v>
      </c>
      <c r="H322" s="409" t="b">
        <f>Wh_hp&gt;='2025'!Maxi_hp</f>
        <v>0</v>
      </c>
      <c r="I322" s="375">
        <f>IF(H322,Wh_hp,'2025'!Maxi_hp)</f>
        <v>53.726769074168885</v>
      </c>
      <c r="J322" s="85">
        <f>IF(H322,An,'2025'!An_max)</f>
        <v>2022</v>
      </c>
      <c r="K322" s="193">
        <f t="shared" si="104"/>
        <v>46330</v>
      </c>
      <c r="L322" s="143">
        <f>IF(t&lt;Tvie,1-EXP((T0-t)*PertePVj)+'2025'!Pspv,1-EXP((T0-t)*PertePVj)+Pspv)</f>
        <v>2.5754270360311637E-2</v>
      </c>
      <c r="M322" s="835"/>
      <c r="N322" s="835"/>
      <c r="O322" s="48">
        <f>IF(t&lt;Tnet,'2025'!Resal+('2025'!Salim-'2025'!Resal)*(1-EXP(('2025'!Tnet-t)/('2025'!Tau_j))),Resal+(Salim-Resal)*(1-EXP((Tnet-t)/(Tau_j))))*Salcycl</f>
        <v>2.1853547811067967E-2</v>
      </c>
      <c r="P322" s="334">
        <f>(INDEX(Models!$BJ322:$BT322,,T322)*(1-R322)+INDEX(Models!$BJ322:$BT322,,T322+1)*R322-ERP_i)*Q322*Ramure*Pc/MaxiM</f>
        <v>2.0562984765034528E-3</v>
      </c>
      <c r="Q322" s="301">
        <f t="shared" si="105"/>
        <v>0.5</v>
      </c>
      <c r="R322" s="173">
        <f t="shared" si="106"/>
        <v>0.4885058204640842</v>
      </c>
      <c r="S322" s="801">
        <f t="shared" si="107"/>
        <v>2</v>
      </c>
      <c r="T322" s="172">
        <f t="shared" si="108"/>
        <v>8</v>
      </c>
      <c r="U322" s="247">
        <f t="shared" si="109"/>
        <v>2.4885058204640842</v>
      </c>
      <c r="V322" s="378">
        <f t="shared" si="110"/>
        <v>126.86778288673904</v>
      </c>
      <c r="W322" s="397">
        <f t="shared" si="111"/>
        <v>51.110871218508684</v>
      </c>
      <c r="X322" s="153">
        <f t="shared" si="112"/>
        <v>46330</v>
      </c>
      <c r="Y322" s="380">
        <f t="shared" si="113"/>
        <v>49.345656245735931</v>
      </c>
      <c r="Z322" s="380">
        <f t="shared" si="114"/>
        <v>50.650112948389065</v>
      </c>
      <c r="AA322" s="381">
        <f t="shared" si="115"/>
        <v>53.634086608058041</v>
      </c>
      <c r="AB322" s="193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5.5635769123374243E-2</v>
      </c>
      <c r="AD322" s="227">
        <f>(INDEX(Models!$BJ322:$BT322,,AH322)*(1-AF322)+INDEX(Models!$BJ322:$BT322,,AH322+1)*AF322-ERP_i)*AE322*Ramure*Pc/MaxiM</f>
        <v>2.0562984765034528E-3</v>
      </c>
      <c r="AE322" s="301">
        <f t="shared" si="117"/>
        <v>0.5</v>
      </c>
      <c r="AF322" s="173">
        <f t="shared" si="118"/>
        <v>0.4885058204640842</v>
      </c>
      <c r="AG322" s="801">
        <f t="shared" si="124"/>
        <v>2</v>
      </c>
      <c r="AH322" s="172">
        <f t="shared" si="119"/>
        <v>8</v>
      </c>
      <c r="AI322" s="221">
        <f t="shared" si="120"/>
        <v>2.4885058204640842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46331</v>
      </c>
      <c r="B323" s="406">
        <f>'2025'!Wh/'2025'!Env_an*'2026'!Env_an</f>
        <v>120.1808011433771</v>
      </c>
      <c r="C323" s="831"/>
      <c r="D323" s="388">
        <f t="shared" si="102"/>
        <v>123.35947973268586</v>
      </c>
      <c r="E323" s="380">
        <f t="shared" si="125"/>
        <v>126.12201108265329</v>
      </c>
      <c r="F323" s="380">
        <f t="shared" si="103"/>
        <v>126.38356310294321</v>
      </c>
      <c r="G323" s="110">
        <f t="shared" si="126"/>
        <v>0.95699811152927206</v>
      </c>
      <c r="H323" s="409" t="b">
        <f>Wh_hp&gt;='2025'!Maxi_hp</f>
        <v>0</v>
      </c>
      <c r="I323" s="375">
        <f>IF(H323,Wh_hp,'2025'!Maxi_hp)</f>
        <v>126.39744220222137</v>
      </c>
      <c r="J323" s="85">
        <f>IF(H323,An,'2025'!An_max)</f>
        <v>2022</v>
      </c>
      <c r="K323" s="193">
        <f t="shared" si="104"/>
        <v>46331</v>
      </c>
      <c r="L323" s="143">
        <f>IF(t&lt;Tvie,1-EXP((T0-t)*PertePVj)+'2025'!Pspv,1-EXP((T0-t)*PertePVj)+Pspv)</f>
        <v>2.5767606966216161E-2</v>
      </c>
      <c r="M323" s="835"/>
      <c r="N323" s="835"/>
      <c r="O323" s="48">
        <f>IF(t&lt;Tnet,'2025'!Resal+('2025'!Salim-'2025'!Resal)*(1-EXP(('2025'!Tnet-t)/('2025'!Tau_j))),Resal+(Salim-Resal)*(1-EXP((Tnet-t)/(Tau_j))))*Salcycl</f>
        <v>2.1903641769215169E-2</v>
      </c>
      <c r="P323" s="334">
        <f>(INDEX(Models!$BJ323:$BT323,,T323)*(1-R323)+INDEX(Models!$BJ323:$BT323,,T323+1)*R323-ERP_i)*Q323*Ramure*Pc/MaxiM</f>
        <v>2.204528962135579E-3</v>
      </c>
      <c r="Q323" s="301">
        <f t="shared" si="105"/>
        <v>0.5</v>
      </c>
      <c r="R323" s="173">
        <f t="shared" si="106"/>
        <v>0.48855357185447357</v>
      </c>
      <c r="S323" s="801">
        <f t="shared" si="107"/>
        <v>2</v>
      </c>
      <c r="T323" s="172">
        <f t="shared" si="108"/>
        <v>8</v>
      </c>
      <c r="U323" s="247">
        <f t="shared" si="109"/>
        <v>2.4885535718544736</v>
      </c>
      <c r="V323" s="378">
        <f t="shared" si="110"/>
        <v>125.56403124692787</v>
      </c>
      <c r="W323" s="397">
        <f t="shared" si="111"/>
        <v>120.1808011433771</v>
      </c>
      <c r="X323" s="153">
        <f t="shared" si="112"/>
        <v>46331</v>
      </c>
      <c r="Y323" s="380">
        <f t="shared" si="113"/>
        <v>116.03737169442475</v>
      </c>
      <c r="Z323" s="380">
        <f t="shared" si="114"/>
        <v>119.10646014662015</v>
      </c>
      <c r="AA323" s="381">
        <f t="shared" si="115"/>
        <v>126.12201108265329</v>
      </c>
      <c r="AB323" s="193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5.562511155515535E-2</v>
      </c>
      <c r="AD323" s="227">
        <f>(INDEX(Models!$BJ323:$BT323,,AH323)*(1-AF323)+INDEX(Models!$BJ323:$BT323,,AH323+1)*AF323-ERP_i)*AE323*Ramure*Pc/MaxiM</f>
        <v>2.204528962135579E-3</v>
      </c>
      <c r="AE323" s="301">
        <f t="shared" si="117"/>
        <v>0.5</v>
      </c>
      <c r="AF323" s="173">
        <f t="shared" si="118"/>
        <v>0.48855357185447357</v>
      </c>
      <c r="AG323" s="801">
        <f t="shared" si="124"/>
        <v>2</v>
      </c>
      <c r="AH323" s="172">
        <f t="shared" si="119"/>
        <v>8</v>
      </c>
      <c r="AI323" s="221">
        <f t="shared" si="120"/>
        <v>2.4885535718544736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46332</v>
      </c>
      <c r="B324" s="406">
        <f>'2025'!Wh/'2025'!Env_an*'2026'!Env_an</f>
        <v>120.58781672782368</v>
      </c>
      <c r="C324" s="831"/>
      <c r="D324" s="388">
        <f t="shared" si="102"/>
        <v>123.77895495842495</v>
      </c>
      <c r="E324" s="380">
        <f t="shared" si="125"/>
        <v>126.55735121281499</v>
      </c>
      <c r="F324" s="380">
        <f t="shared" si="103"/>
        <v>126.84309604954808</v>
      </c>
      <c r="G324" s="110">
        <f t="shared" si="126"/>
        <v>0.97028695558100564</v>
      </c>
      <c r="H324" s="409" t="b">
        <f>Wh_hp&gt;='2025'!Maxi_hp</f>
        <v>0</v>
      </c>
      <c r="I324" s="375">
        <f>IF(H324,Wh_hp,'2025'!Maxi_hp)</f>
        <v>126.85337190072234</v>
      </c>
      <c r="J324" s="85">
        <f>IF(H324,An,'2025'!An_max)</f>
        <v>2022</v>
      </c>
      <c r="K324" s="193">
        <f t="shared" si="104"/>
        <v>46332</v>
      </c>
      <c r="L324" s="143">
        <f>IF(t&lt;Tvie,1-EXP((T0-t)*PertePVj)+'2025'!Pspv,1-EXP((T0-t)*PertePVj)+Pspv)</f>
        <v>2.5780943389553723E-2</v>
      </c>
      <c r="M324" s="835"/>
      <c r="N324" s="835"/>
      <c r="O324" s="48">
        <f>IF(t&lt;Tnet,'2025'!Resal+('2025'!Salim-'2025'!Resal)*(1-EXP(('2025'!Tnet-t)/('2025'!Tau_j))),Resal+(Salim-Resal)*(1-EXP((Tnet-t)/(Tau_j))))*Salcycl</f>
        <v>2.1953653642118192E-2</v>
      </c>
      <c r="P324" s="334">
        <f>(INDEX(Models!$BJ324:$BT324,,T324)*(1-R324)+INDEX(Models!$BJ324:$BT324,,T324+1)*R324-ERP_i)*Q324*Ramure*Pc/MaxiM</f>
        <v>2.3522643168766779E-3</v>
      </c>
      <c r="Q324" s="301">
        <f t="shared" si="105"/>
        <v>0.5</v>
      </c>
      <c r="R324" s="173">
        <f t="shared" si="106"/>
        <v>0.48859940921894296</v>
      </c>
      <c r="S324" s="801">
        <f t="shared" si="107"/>
        <v>2</v>
      </c>
      <c r="T324" s="172">
        <f t="shared" si="108"/>
        <v>8</v>
      </c>
      <c r="U324" s="247">
        <f t="shared" si="109"/>
        <v>2.488599409218943</v>
      </c>
      <c r="V324" s="378">
        <f t="shared" si="110"/>
        <v>124.26817429881497</v>
      </c>
      <c r="W324" s="397">
        <f t="shared" si="111"/>
        <v>120.58781672782368</v>
      </c>
      <c r="X324" s="153">
        <f t="shared" si="112"/>
        <v>46332</v>
      </c>
      <c r="Y324" s="380">
        <f t="shared" si="113"/>
        <v>116.43760561984045</v>
      </c>
      <c r="Z324" s="380">
        <f t="shared" si="114"/>
        <v>119.51891602793754</v>
      </c>
      <c r="AA324" s="381">
        <f t="shared" si="115"/>
        <v>126.55735121281499</v>
      </c>
      <c r="AB324" s="193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5.5614589886934726E-2</v>
      </c>
      <c r="AD324" s="227">
        <f>(INDEX(Models!$BJ324:$BT324,,AH324)*(1-AF324)+INDEX(Models!$BJ324:$BT324,,AH324+1)*AF324-ERP_i)*AE324*Ramure*Pc/MaxiM</f>
        <v>2.3522643168766779E-3</v>
      </c>
      <c r="AE324" s="301">
        <f t="shared" si="117"/>
        <v>0.5</v>
      </c>
      <c r="AF324" s="173">
        <f t="shared" si="118"/>
        <v>0.48859940921894296</v>
      </c>
      <c r="AG324" s="801">
        <f t="shared" si="124"/>
        <v>2</v>
      </c>
      <c r="AH324" s="172">
        <f t="shared" si="119"/>
        <v>8</v>
      </c>
      <c r="AI324" s="221">
        <f t="shared" si="120"/>
        <v>2.488599409218943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46333</v>
      </c>
      <c r="B325" s="406">
        <f>'2025'!Wh/'2025'!Env_an*'2026'!Env_an</f>
        <v>116.41656881587913</v>
      </c>
      <c r="C325" s="831"/>
      <c r="D325" s="388">
        <f t="shared" si="102"/>
        <v>119.49895836343843</v>
      </c>
      <c r="E325" s="380">
        <f t="shared" si="125"/>
        <v>122.18752465706223</v>
      </c>
      <c r="F325" s="380">
        <f t="shared" si="103"/>
        <v>122.46965932115042</v>
      </c>
      <c r="G325" s="110">
        <f t="shared" si="126"/>
        <v>0.94642677252868346</v>
      </c>
      <c r="H325" s="409" t="b">
        <f>Wh_hp&gt;='2025'!Maxi_hp</f>
        <v>0</v>
      </c>
      <c r="I325" s="375">
        <f>IF(H325,Wh_hp,'2025'!Maxi_hp)</f>
        <v>122.48864217227751</v>
      </c>
      <c r="J325" s="85">
        <f>IF(H325,An,'2025'!An_max)</f>
        <v>2022</v>
      </c>
      <c r="K325" s="193">
        <f t="shared" si="104"/>
        <v>46333</v>
      </c>
      <c r="L325" s="143">
        <f>IF(t&lt;Tvie,1-EXP((T0-t)*PertePVj)+'2025'!Pspv,1-EXP((T0-t)*PertePVj)+Pspv)</f>
        <v>2.5794279630326766E-2</v>
      </c>
      <c r="M325" s="835"/>
      <c r="N325" s="835"/>
      <c r="O325" s="48">
        <f>IF(t&lt;Tnet,'2025'!Resal+('2025'!Salim-'2025'!Resal)*(1-EXP(('2025'!Tnet-t)/('2025'!Tau_j))),Resal+(Salim-Resal)*(1-EXP((Tnet-t)/(Tau_j))))*Salcycl</f>
        <v>2.2003607169959947E-2</v>
      </c>
      <c r="P325" s="334">
        <f>(INDEX(Models!$BJ325:$BT325,,T325)*(1-R325)+INDEX(Models!$BJ325:$BT325,,T325+1)*R325-ERP_i)*Q325*Ramure*Pc/MaxiM</f>
        <v>2.4939365717423115E-3</v>
      </c>
      <c r="Q325" s="301">
        <f t="shared" si="105"/>
        <v>0.5</v>
      </c>
      <c r="R325" s="173">
        <f t="shared" si="106"/>
        <v>0.48864340894661407</v>
      </c>
      <c r="S325" s="801">
        <f t="shared" si="107"/>
        <v>2</v>
      </c>
      <c r="T325" s="172">
        <f t="shared" si="108"/>
        <v>8</v>
      </c>
      <c r="U325" s="247">
        <f t="shared" si="109"/>
        <v>2.4886434089466141</v>
      </c>
      <c r="V325" s="378">
        <f t="shared" si="110"/>
        <v>122.98296668702774</v>
      </c>
      <c r="W325" s="397">
        <f t="shared" si="111"/>
        <v>116.41656881587913</v>
      </c>
      <c r="X325" s="153">
        <f t="shared" si="112"/>
        <v>46333</v>
      </c>
      <c r="Y325" s="380">
        <f t="shared" si="113"/>
        <v>112.41688846323815</v>
      </c>
      <c r="Z325" s="380">
        <f t="shared" si="114"/>
        <v>115.39337751022475</v>
      </c>
      <c r="AA325" s="381">
        <f t="shared" si="115"/>
        <v>122.18752465706223</v>
      </c>
      <c r="AB325" s="193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5.5604262103731754E-2</v>
      </c>
      <c r="AD325" s="227">
        <f>(INDEX(Models!$BJ325:$BT325,,AH325)*(1-AF325)+INDEX(Models!$BJ325:$BT325,,AH325+1)*AF325-ERP_i)*AE325*Ramure*Pc/MaxiM</f>
        <v>2.4939365717423115E-3</v>
      </c>
      <c r="AE325" s="301">
        <f t="shared" si="117"/>
        <v>0.5</v>
      </c>
      <c r="AF325" s="173">
        <f t="shared" si="118"/>
        <v>0.48864340894661407</v>
      </c>
      <c r="AG325" s="801">
        <f t="shared" si="124"/>
        <v>2</v>
      </c>
      <c r="AH325" s="172">
        <f t="shared" si="119"/>
        <v>8</v>
      </c>
      <c r="AI325" s="221">
        <f t="shared" si="120"/>
        <v>2.4886434089466141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46334</v>
      </c>
      <c r="B326" s="406">
        <f>'2025'!Wh/'2025'!Env_an*'2026'!Env_an</f>
        <v>77.917782262016047</v>
      </c>
      <c r="C326" s="831"/>
      <c r="D326" s="388">
        <f t="shared" si="102"/>
        <v>79.98192504562293</v>
      </c>
      <c r="E326" s="380">
        <f t="shared" si="125"/>
        <v>81.785585593439961</v>
      </c>
      <c r="F326" s="380">
        <f t="shared" si="103"/>
        <v>81.890232030778378</v>
      </c>
      <c r="G326" s="110">
        <f t="shared" si="126"/>
        <v>0.63932330143172866</v>
      </c>
      <c r="H326" s="409" t="b">
        <f>Wh_hp&gt;='2025'!Maxi_hp</f>
        <v>0</v>
      </c>
      <c r="I326" s="375">
        <f>IF(H326,Wh_hp,'2025'!Maxi_hp)</f>
        <v>81.980504790373274</v>
      </c>
      <c r="J326" s="85">
        <f>IF(H326,An,'2025'!An_max)</f>
        <v>2022</v>
      </c>
      <c r="K326" s="193">
        <f t="shared" si="104"/>
        <v>46334</v>
      </c>
      <c r="L326" s="143">
        <f>IF(t&lt;Tvie,1-EXP((T0-t)*PertePVj)+'2025'!Pspv,1-EXP((T0-t)*PertePVj)+Pspv)</f>
        <v>2.5807615688537955E-2</v>
      </c>
      <c r="M326" s="835"/>
      <c r="N326" s="835"/>
      <c r="O326" s="48">
        <f>IF(t&lt;Tnet,'2025'!Resal+('2025'!Salim-'2025'!Resal)*(1-EXP(('2025'!Tnet-t)/('2025'!Tau_j))),Resal+(Salim-Resal)*(1-EXP((Tnet-t)/(Tau_j))))*Salcycl</f>
        <v>2.2053526116241468E-2</v>
      </c>
      <c r="P326" s="334">
        <f>(INDEX(Models!$BJ326:$BT326,,T326)*(1-R326)+INDEX(Models!$BJ326:$BT326,,T326+1)*R326-ERP_i)*Q326*Ramure*Pc/MaxiM</f>
        <v>2.6294762241559195E-3</v>
      </c>
      <c r="Q326" s="301">
        <f t="shared" si="105"/>
        <v>0.5</v>
      </c>
      <c r="R326" s="173">
        <f t="shared" si="106"/>
        <v>0.48868564440398021</v>
      </c>
      <c r="S326" s="801">
        <f t="shared" si="107"/>
        <v>2</v>
      </c>
      <c r="T326" s="172">
        <f t="shared" si="108"/>
        <v>8</v>
      </c>
      <c r="U326" s="247">
        <f t="shared" si="109"/>
        <v>2.4886856444039802</v>
      </c>
      <c r="V326" s="378">
        <f t="shared" si="110"/>
        <v>121.71046241929432</v>
      </c>
      <c r="W326" s="397">
        <f t="shared" si="111"/>
        <v>77.917782262016047</v>
      </c>
      <c r="X326" s="153">
        <f t="shared" si="112"/>
        <v>46334</v>
      </c>
      <c r="Y326" s="380">
        <f t="shared" si="113"/>
        <v>75.245433744565872</v>
      </c>
      <c r="Z326" s="380">
        <f t="shared" si="114"/>
        <v>77.238782561154707</v>
      </c>
      <c r="AA326" s="381">
        <f t="shared" si="115"/>
        <v>81.785585593439961</v>
      </c>
      <c r="AB326" s="193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5.5594185690466723E-2</v>
      </c>
      <c r="AD326" s="227">
        <f>(INDEX(Models!$BJ326:$BT326,,AH326)*(1-AF326)+INDEX(Models!$BJ326:$BT326,,AH326+1)*AF326-ERP_i)*AE326*Ramure*Pc/MaxiM</f>
        <v>2.6294762241559195E-3</v>
      </c>
      <c r="AE326" s="301">
        <f t="shared" si="117"/>
        <v>0.5</v>
      </c>
      <c r="AF326" s="173">
        <f t="shared" si="118"/>
        <v>0.48868564440398021</v>
      </c>
      <c r="AG326" s="801">
        <f t="shared" si="124"/>
        <v>2</v>
      </c>
      <c r="AH326" s="172">
        <f t="shared" si="119"/>
        <v>8</v>
      </c>
      <c r="AI326" s="221">
        <f t="shared" si="120"/>
        <v>2.4886856444039802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46335</v>
      </c>
      <c r="B327" s="406">
        <f>'2025'!Wh/'2025'!Env_an*'2026'!Env_an</f>
        <v>43.956703361489886</v>
      </c>
      <c r="C327" s="831"/>
      <c r="D327" s="388">
        <f t="shared" si="102"/>
        <v>45.121790939836906</v>
      </c>
      <c r="E327" s="380">
        <f t="shared" si="125"/>
        <v>46.141680537564284</v>
      </c>
      <c r="F327" s="380">
        <f t="shared" si="103"/>
        <v>46.153491016326619</v>
      </c>
      <c r="G327" s="110">
        <f t="shared" si="126"/>
        <v>0.36401550207215067</v>
      </c>
      <c r="H327" s="409" t="b">
        <f>Wh_hp&gt;='2025'!Maxi_hp</f>
        <v>0</v>
      </c>
      <c r="I327" s="375">
        <f>IF(H327,Wh_hp,'2025'!Maxi_hp)</f>
        <v>46.247813119200636</v>
      </c>
      <c r="J327" s="85">
        <f>IF(H327,An,'2025'!An_max)</f>
        <v>2022</v>
      </c>
      <c r="K327" s="193">
        <f t="shared" si="104"/>
        <v>46335</v>
      </c>
      <c r="L327" s="143">
        <f>IF(t&lt;Tvie,1-EXP((T0-t)*PertePVj)+'2025'!Pspv,1-EXP((T0-t)*PertePVj)+Pspv)</f>
        <v>2.582095156418962E-2</v>
      </c>
      <c r="M327" s="835"/>
      <c r="N327" s="835"/>
      <c r="O327" s="48">
        <f>IF(t&lt;Tnet,'2025'!Resal+('2025'!Salim-'2025'!Resal)*(1-EXP(('2025'!Tnet-t)/('2025'!Tau_j))),Resal+(Salim-Resal)*(1-EXP((Tnet-t)/(Tau_j))))*Salcycl</f>
        <v>2.2103434158560441E-2</v>
      </c>
      <c r="P327" s="334">
        <f>(INDEX(Models!$BJ327:$BT327,,T327)*(1-R327)+INDEX(Models!$BJ327:$BT327,,T327+1)*R327-ERP_i)*Q327*Ramure*Pc/MaxiM</f>
        <v>2.7588078963668469E-3</v>
      </c>
      <c r="Q327" s="301">
        <f t="shared" si="105"/>
        <v>0.5</v>
      </c>
      <c r="R327" s="173">
        <f t="shared" si="106"/>
        <v>0.48872618605244966</v>
      </c>
      <c r="S327" s="801">
        <f t="shared" si="107"/>
        <v>2</v>
      </c>
      <c r="T327" s="172">
        <f t="shared" si="108"/>
        <v>8</v>
      </c>
      <c r="U327" s="247">
        <f t="shared" si="109"/>
        <v>2.4887261860524497</v>
      </c>
      <c r="V327" s="378">
        <f t="shared" si="110"/>
        <v>120.45271473625037</v>
      </c>
      <c r="W327" s="397">
        <f t="shared" si="111"/>
        <v>43.956703361489886</v>
      </c>
      <c r="X327" s="153">
        <f t="shared" si="112"/>
        <v>46335</v>
      </c>
      <c r="Y327" s="380">
        <f t="shared" si="113"/>
        <v>42.451724513498327</v>
      </c>
      <c r="Z327" s="380">
        <f t="shared" si="114"/>
        <v>43.576922108580447</v>
      </c>
      <c r="AA327" s="381">
        <f t="shared" si="115"/>
        <v>46.141680537564284</v>
      </c>
      <c r="AB327" s="193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5.5584417366329936E-2</v>
      </c>
      <c r="AD327" s="227">
        <f>(INDEX(Models!$BJ327:$BT327,,AH327)*(1-AF327)+INDEX(Models!$BJ327:$BT327,,AH327+1)*AF327-ERP_i)*AE327*Ramure*Pc/MaxiM</f>
        <v>2.7588078963668469E-3</v>
      </c>
      <c r="AE327" s="301">
        <f t="shared" si="117"/>
        <v>0.5</v>
      </c>
      <c r="AF327" s="173">
        <f t="shared" si="118"/>
        <v>0.48872618605244966</v>
      </c>
      <c r="AG327" s="801">
        <f t="shared" si="124"/>
        <v>2</v>
      </c>
      <c r="AH327" s="172">
        <f t="shared" si="119"/>
        <v>8</v>
      </c>
      <c r="AI327" s="221">
        <f t="shared" si="120"/>
        <v>2.4887261860524497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46336</v>
      </c>
      <c r="B328" s="406">
        <f>'2025'!Wh/'2025'!Env_an*'2026'!Env_an</f>
        <v>91.265220760267425</v>
      </c>
      <c r="C328" s="831"/>
      <c r="D328" s="388">
        <f t="shared" si="102"/>
        <v>93.685519379772344</v>
      </c>
      <c r="E328" s="380">
        <f t="shared" si="125"/>
        <v>95.807987722445986</v>
      </c>
      <c r="F328" s="380">
        <f t="shared" si="103"/>
        <v>95.991978194682673</v>
      </c>
      <c r="G328" s="110">
        <f t="shared" si="126"/>
        <v>0.76483190133760837</v>
      </c>
      <c r="H328" s="409" t="b">
        <f>Wh_hp&gt;='2025'!Maxi_hp</f>
        <v>0</v>
      </c>
      <c r="I328" s="375">
        <f>IF(H328,Wh_hp,'2025'!Maxi_hp)</f>
        <v>96.067755850477184</v>
      </c>
      <c r="J328" s="85">
        <f>IF(H328,An,'2025'!An_max)</f>
        <v>2022</v>
      </c>
      <c r="K328" s="193">
        <f t="shared" si="104"/>
        <v>46336</v>
      </c>
      <c r="L328" s="143">
        <f>IF(t&lt;Tvie,1-EXP((T0-t)*PertePVj)+'2025'!Pspv,1-EXP((T0-t)*PertePVj)+Pspv)</f>
        <v>2.5834287257284427E-2</v>
      </c>
      <c r="M328" s="835"/>
      <c r="N328" s="835"/>
      <c r="O328" s="48">
        <f>IF(t&lt;Tnet,'2025'!Resal+('2025'!Salim-'2025'!Resal)*(1-EXP(('2025'!Tnet-t)/('2025'!Tau_j))),Resal+(Salim-Resal)*(1-EXP((Tnet-t)/(Tau_j))))*Salcycl</f>
        <v>2.2153354778960577E-2</v>
      </c>
      <c r="P328" s="334">
        <f>(INDEX(Models!$BJ328:$BT328,,T328)*(1-R328)+INDEX(Models!$BJ328:$BT328,,T328+1)*R328-ERP_i)*Q328*Ramure*Pc/MaxiM</f>
        <v>2.8818501884899481E-3</v>
      </c>
      <c r="Q328" s="301">
        <f t="shared" si="105"/>
        <v>0.5</v>
      </c>
      <c r="R328" s="173">
        <f t="shared" si="106"/>
        <v>0.48876510156148489</v>
      </c>
      <c r="S328" s="801">
        <f t="shared" si="107"/>
        <v>2</v>
      </c>
      <c r="T328" s="172">
        <f t="shared" si="108"/>
        <v>8</v>
      </c>
      <c r="U328" s="247">
        <f t="shared" si="109"/>
        <v>2.4887651015614849</v>
      </c>
      <c r="V328" s="378">
        <f t="shared" si="110"/>
        <v>119.21177623394456</v>
      </c>
      <c r="W328" s="397">
        <f t="shared" si="111"/>
        <v>91.265220760267425</v>
      </c>
      <c r="X328" s="153">
        <f t="shared" si="112"/>
        <v>46336</v>
      </c>
      <c r="Y328" s="380">
        <f t="shared" si="113"/>
        <v>88.145881941273259</v>
      </c>
      <c r="Z328" s="380">
        <f t="shared" si="114"/>
        <v>90.48345757633254</v>
      </c>
      <c r="AA328" s="381">
        <f t="shared" si="115"/>
        <v>95.807987722445986</v>
      </c>
      <c r="AB328" s="193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5.5575012821879967E-2</v>
      </c>
      <c r="AD328" s="227">
        <f>(INDEX(Models!$BJ328:$BT328,,AH328)*(1-AF328)+INDEX(Models!$BJ328:$BT328,,AH328+1)*AF328-ERP_i)*AE328*Ramure*Pc/MaxiM</f>
        <v>2.8818501884899481E-3</v>
      </c>
      <c r="AE328" s="301">
        <f t="shared" si="117"/>
        <v>0.5</v>
      </c>
      <c r="AF328" s="173">
        <f t="shared" si="118"/>
        <v>0.48876510156148489</v>
      </c>
      <c r="AG328" s="801">
        <f t="shared" si="124"/>
        <v>2</v>
      </c>
      <c r="AH328" s="172">
        <f t="shared" si="119"/>
        <v>8</v>
      </c>
      <c r="AI328" s="221">
        <f t="shared" si="120"/>
        <v>2.4887651015614849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46337</v>
      </c>
      <c r="B329" s="406">
        <f>'2025'!Wh/'2025'!Env_an*'2026'!Env_an</f>
        <v>111.03953600254528</v>
      </c>
      <c r="C329" s="831"/>
      <c r="D329" s="388">
        <f t="shared" si="102"/>
        <v>113.98579790775443</v>
      </c>
      <c r="E329" s="380">
        <f t="shared" si="125"/>
        <v>116.57412957938514</v>
      </c>
      <c r="F329" s="380">
        <f t="shared" si="103"/>
        <v>116.89514599990731</v>
      </c>
      <c r="G329" s="110">
        <f t="shared" si="126"/>
        <v>0.94085705626439331</v>
      </c>
      <c r="H329" s="409" t="b">
        <f>Wh_hp&gt;='2025'!Maxi_hp</f>
        <v>0</v>
      </c>
      <c r="I329" s="375">
        <f>IF(H329,Wh_hp,'2025'!Maxi_hp)</f>
        <v>116.91931335378777</v>
      </c>
      <c r="J329" s="85">
        <f>IF(H329,An,'2025'!An_max)</f>
        <v>2022</v>
      </c>
      <c r="K329" s="193">
        <f t="shared" si="104"/>
        <v>46337</v>
      </c>
      <c r="L329" s="143">
        <f>IF(t&lt;Tvie,1-EXP((T0-t)*PertePVj)+'2025'!Pspv,1-EXP((T0-t)*PertePVj)+Pspv)</f>
        <v>2.5847622767824818E-2</v>
      </c>
      <c r="M329" s="835"/>
      <c r="N329" s="835"/>
      <c r="O329" s="48">
        <f>IF(t&lt;Tnet,'2025'!Resal+('2025'!Salim-'2025'!Resal)*(1-EXP(('2025'!Tnet-t)/('2025'!Tau_j))),Resal+(Salim-Resal)*(1-EXP((Tnet-t)/(Tau_j))))*Salcycl</f>
        <v>2.2203311154625423E-2</v>
      </c>
      <c r="P329" s="334">
        <f>(INDEX(Models!$BJ329:$BT329,,T329)*(1-R329)+INDEX(Models!$BJ329:$BT329,,T329+1)*R329-ERP_i)*Q329*Ramure*Pc/MaxiM</f>
        <v>2.9985155422979372E-3</v>
      </c>
      <c r="Q329" s="301">
        <f t="shared" si="105"/>
        <v>0.5</v>
      </c>
      <c r="R329" s="173">
        <f t="shared" si="106"/>
        <v>0.48880245591748173</v>
      </c>
      <c r="S329" s="801">
        <f t="shared" si="107"/>
        <v>2</v>
      </c>
      <c r="T329" s="172">
        <f t="shared" si="108"/>
        <v>8</v>
      </c>
      <c r="U329" s="247">
        <f t="shared" si="109"/>
        <v>2.4888024559174817</v>
      </c>
      <c r="V329" s="378">
        <f t="shared" si="110"/>
        <v>117.98969899859384</v>
      </c>
      <c r="W329" s="397">
        <f t="shared" si="111"/>
        <v>111.03953600254528</v>
      </c>
      <c r="X329" s="153">
        <f t="shared" si="112"/>
        <v>46337</v>
      </c>
      <c r="Y329" s="380">
        <f t="shared" si="113"/>
        <v>107.25083384223259</v>
      </c>
      <c r="Z329" s="380">
        <f t="shared" si="114"/>
        <v>110.09656841054026</v>
      </c>
      <c r="AA329" s="381">
        <f t="shared" si="115"/>
        <v>116.57412957938514</v>
      </c>
      <c r="AB329" s="193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5.5566026460731763E-2</v>
      </c>
      <c r="AD329" s="227">
        <f>(INDEX(Models!$BJ329:$BT329,,AH329)*(1-AF329)+INDEX(Models!$BJ329:$BT329,,AH329+1)*AF329-ERP_i)*AE329*Ramure*Pc/MaxiM</f>
        <v>2.9985155422979372E-3</v>
      </c>
      <c r="AE329" s="301">
        <f t="shared" si="117"/>
        <v>0.5</v>
      </c>
      <c r="AF329" s="173">
        <f t="shared" si="118"/>
        <v>0.48880245591748173</v>
      </c>
      <c r="AG329" s="801">
        <f t="shared" si="124"/>
        <v>2</v>
      </c>
      <c r="AH329" s="172">
        <f t="shared" si="119"/>
        <v>8</v>
      </c>
      <c r="AI329" s="221">
        <f t="shared" si="120"/>
        <v>2.4888024559174817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46338</v>
      </c>
      <c r="B330" s="406">
        <f>'2025'!Wh/'2025'!Env_an*'2026'!Env_an</f>
        <v>109.48851746071087</v>
      </c>
      <c r="C330" s="831"/>
      <c r="D330" s="388">
        <f t="shared" si="102"/>
        <v>112.39516408939886</v>
      </c>
      <c r="E330" s="380">
        <f t="shared" si="125"/>
        <v>114.95325638419023</v>
      </c>
      <c r="F330" s="380">
        <f t="shared" si="103"/>
        <v>115.27962670504772</v>
      </c>
      <c r="G330" s="110">
        <f t="shared" si="126"/>
        <v>0.93723273746212099</v>
      </c>
      <c r="H330" s="409" t="b">
        <f>Wh_hp&gt;='2025'!Maxi_hp</f>
        <v>0</v>
      </c>
      <c r="I330" s="375">
        <f>IF(H330,Wh_hp,'2025'!Maxi_hp)</f>
        <v>115.3058916610667</v>
      </c>
      <c r="J330" s="85">
        <f>IF(H330,An,'2025'!An_max)</f>
        <v>2022</v>
      </c>
      <c r="K330" s="193">
        <f t="shared" si="104"/>
        <v>46338</v>
      </c>
      <c r="L330" s="143">
        <f>IF(t&lt;Tvie,1-EXP((T0-t)*PertePVj)+'2025'!Pspv,1-EXP((T0-t)*PertePVj)+Pspv)</f>
        <v>2.5860958095813236E-2</v>
      </c>
      <c r="M330" s="835"/>
      <c r="N330" s="835"/>
      <c r="O330" s="48">
        <f>IF(t&lt;Tnet,'2025'!Resal+('2025'!Salim-'2025'!Resal)*(1-EXP(('2025'!Tnet-t)/('2025'!Tau_j))),Resal+(Salim-Resal)*(1-EXP((Tnet-t)/(Tau_j))))*Salcycl</f>
        <v>2.2253326049693184E-2</v>
      </c>
      <c r="P330" s="334">
        <f>(INDEX(Models!$BJ330:$BT330,,T330)*(1-R330)+INDEX(Models!$BJ330:$BT330,,T330+1)*R330-ERP_i)*Q330*Ramure*Pc/MaxiM</f>
        <v>3.1087101311028154E-3</v>
      </c>
      <c r="Q330" s="301">
        <f t="shared" si="105"/>
        <v>0.5</v>
      </c>
      <c r="R330" s="173">
        <f t="shared" si="106"/>
        <v>0.48883831152854507</v>
      </c>
      <c r="S330" s="801">
        <f t="shared" si="107"/>
        <v>2</v>
      </c>
      <c r="T330" s="172">
        <f t="shared" si="108"/>
        <v>8</v>
      </c>
      <c r="U330" s="247">
        <f t="shared" si="109"/>
        <v>2.4888383115285451</v>
      </c>
      <c r="V330" s="378">
        <f t="shared" si="110"/>
        <v>116.78853472985908</v>
      </c>
      <c r="W330" s="397">
        <f t="shared" si="111"/>
        <v>109.48851746071087</v>
      </c>
      <c r="X330" s="153">
        <f t="shared" si="112"/>
        <v>46338</v>
      </c>
      <c r="Y330" s="380">
        <f t="shared" si="113"/>
        <v>105.7590996587743</v>
      </c>
      <c r="Z330" s="380">
        <f t="shared" si="114"/>
        <v>108.56673956116465</v>
      </c>
      <c r="AA330" s="381">
        <f t="shared" si="115"/>
        <v>114.95325638419023</v>
      </c>
      <c r="AB330" s="193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5.5557511147669575E-2</v>
      </c>
      <c r="AD330" s="227">
        <f>(INDEX(Models!$BJ330:$BT330,,AH330)*(1-AF330)+INDEX(Models!$BJ330:$BT330,,AH330+1)*AF330-ERP_i)*AE330*Ramure*Pc/MaxiM</f>
        <v>3.1087101311028154E-3</v>
      </c>
      <c r="AE330" s="301">
        <f t="shared" si="117"/>
        <v>0.5</v>
      </c>
      <c r="AF330" s="173">
        <f t="shared" si="118"/>
        <v>0.48883831152854507</v>
      </c>
      <c r="AG330" s="801">
        <f t="shared" si="124"/>
        <v>2</v>
      </c>
      <c r="AH330" s="172">
        <f t="shared" si="119"/>
        <v>8</v>
      </c>
      <c r="AI330" s="221">
        <f t="shared" si="120"/>
        <v>2.4888383115285451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46339</v>
      </c>
      <c r="B331" s="406">
        <f>'2025'!Wh/'2025'!Env_an*'2026'!Env_an</f>
        <v>108.1241062208919</v>
      </c>
      <c r="C331" s="831"/>
      <c r="D331" s="388">
        <f t="shared" si="102"/>
        <v>110.99605058227863</v>
      </c>
      <c r="E331" s="380">
        <f t="shared" si="125"/>
        <v>113.52811602991846</v>
      </c>
      <c r="F331" s="380">
        <f t="shared" si="103"/>
        <v>113.86013911988661</v>
      </c>
      <c r="G331" s="110">
        <f t="shared" si="126"/>
        <v>0.93508285657452461</v>
      </c>
      <c r="H331" s="409" t="b">
        <f>Wh_hp&gt;='2025'!Maxi_hp</f>
        <v>0</v>
      </c>
      <c r="I331" s="375">
        <f>IF(H331,Wh_hp,'2025'!Maxi_hp)</f>
        <v>113.88791436897183</v>
      </c>
      <c r="J331" s="85">
        <f>IF(H331,An,'2025'!An_max)</f>
        <v>2022</v>
      </c>
      <c r="K331" s="193">
        <f t="shared" si="104"/>
        <v>46339</v>
      </c>
      <c r="L331" s="143">
        <f>IF(t&lt;Tvie,1-EXP((T0-t)*PertePVj)+'2025'!Pspv,1-EXP((T0-t)*PertePVj)+Pspv)</f>
        <v>2.5874293241252122E-2</v>
      </c>
      <c r="M331" s="835"/>
      <c r="N331" s="835"/>
      <c r="O331" s="48">
        <f>IF(t&lt;Tnet,'2025'!Resal+('2025'!Salim-'2025'!Resal)*(1-EXP(('2025'!Tnet-t)/('2025'!Tau_j))),Resal+(Salim-Resal)*(1-EXP((Tnet-t)/(Tau_j))))*Salcycl</f>
        <v>2.2303421708967295E-2</v>
      </c>
      <c r="P331" s="334">
        <f>(INDEX(Models!$BJ331:$BT331,,T331)*(1-R331)+INDEX(Models!$BJ331:$BT331,,T331+1)*R331-ERP_i)*Q331*Ramure*Pc/MaxiM</f>
        <v>3.2127279748137682E-3</v>
      </c>
      <c r="Q331" s="301">
        <f t="shared" si="105"/>
        <v>0.5</v>
      </c>
      <c r="R331" s="173">
        <f t="shared" si="106"/>
        <v>0.48887272832529582</v>
      </c>
      <c r="S331" s="801">
        <f t="shared" si="107"/>
        <v>2</v>
      </c>
      <c r="T331" s="172">
        <f t="shared" si="108"/>
        <v>8</v>
      </c>
      <c r="U331" s="247">
        <f t="shared" si="109"/>
        <v>2.4888727283252958</v>
      </c>
      <c r="V331" s="378">
        <f t="shared" si="110"/>
        <v>115.59610442821125</v>
      </c>
      <c r="W331" s="397">
        <f t="shared" si="111"/>
        <v>108.1241062208919</v>
      </c>
      <c r="X331" s="153">
        <f t="shared" si="112"/>
        <v>46339</v>
      </c>
      <c r="Y331" s="380">
        <f t="shared" si="113"/>
        <v>104.44739861770231</v>
      </c>
      <c r="Z331" s="380">
        <f t="shared" si="114"/>
        <v>107.2216839089842</v>
      </c>
      <c r="AA331" s="381">
        <f t="shared" si="115"/>
        <v>113.52811602991846</v>
      </c>
      <c r="AB331" s="193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5.5549517964979735E-2</v>
      </c>
      <c r="AD331" s="227">
        <f>(INDEX(Models!$BJ331:$BT331,,AH331)*(1-AF331)+INDEX(Models!$BJ331:$BT331,,AH331+1)*AF331-ERP_i)*AE331*Ramure*Pc/MaxiM</f>
        <v>3.2127279748137682E-3</v>
      </c>
      <c r="AE331" s="301">
        <f t="shared" si="117"/>
        <v>0.5</v>
      </c>
      <c r="AF331" s="173">
        <f t="shared" si="118"/>
        <v>0.48887272832529582</v>
      </c>
      <c r="AG331" s="801">
        <f t="shared" si="124"/>
        <v>2</v>
      </c>
      <c r="AH331" s="172">
        <f t="shared" si="119"/>
        <v>8</v>
      </c>
      <c r="AI331" s="221">
        <f t="shared" si="120"/>
        <v>2.4888727283252958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46340</v>
      </c>
      <c r="B332" s="406">
        <f>'2025'!Wh/'2025'!Env_an*'2026'!Env_an</f>
        <v>41.255685272877315</v>
      </c>
      <c r="C332" s="831"/>
      <c r="D332" s="388">
        <f t="shared" si="102"/>
        <v>42.352080178202733</v>
      </c>
      <c r="E332" s="380">
        <f t="shared" si="125"/>
        <v>43.320449023253559</v>
      </c>
      <c r="F332" s="380">
        <f t="shared" si="103"/>
        <v>43.332861958878475</v>
      </c>
      <c r="G332" s="110">
        <f t="shared" si="126"/>
        <v>0.35953052459502621</v>
      </c>
      <c r="H332" s="409" t="b">
        <f>Wh_hp&gt;='2025'!Maxi_hp</f>
        <v>0</v>
      </c>
      <c r="I332" s="375">
        <f>IF(H332,Wh_hp,'2025'!Maxi_hp)</f>
        <v>43.440643377111911</v>
      </c>
      <c r="J332" s="85">
        <f>IF(H332,An,'2025'!An_max)</f>
        <v>2022</v>
      </c>
      <c r="K332" s="193">
        <f t="shared" si="104"/>
        <v>46340</v>
      </c>
      <c r="L332" s="143">
        <f>IF(t&lt;Tvie,1-EXP((T0-t)*PertePVj)+'2025'!Pspv,1-EXP((T0-t)*PertePVj)+Pspv)</f>
        <v>2.5887628204144142E-2</v>
      </c>
      <c r="M332" s="835"/>
      <c r="N332" s="835"/>
      <c r="O332" s="48">
        <f>IF(t&lt;Tnet,'2025'!Resal+('2025'!Salim-'2025'!Resal)*(1-EXP(('2025'!Tnet-t)/('2025'!Tau_j))),Resal+(Salim-Resal)*(1-EXP((Tnet-t)/(Tau_j))))*Salcycl</f>
        <v>2.2353619754287939E-2</v>
      </c>
      <c r="P332" s="334">
        <f>(INDEX(Models!$BJ332:$BT332,,T332)*(1-R332)+INDEX(Models!$BJ332:$BT332,,T332+1)*R332-ERP_i)*Q332*Ramure*Pc/MaxiM</f>
        <v>3.3077788118948937E-3</v>
      </c>
      <c r="Q332" s="301">
        <f t="shared" si="105"/>
        <v>0.5</v>
      </c>
      <c r="R332" s="173">
        <f t="shared" si="106"/>
        <v>0.48890576385785733</v>
      </c>
      <c r="S332" s="801">
        <f t="shared" si="107"/>
        <v>2</v>
      </c>
      <c r="T332" s="172">
        <f t="shared" si="108"/>
        <v>8</v>
      </c>
      <c r="U332" s="247">
        <f t="shared" si="109"/>
        <v>2.4889057638578573</v>
      </c>
      <c r="V332" s="378">
        <f t="shared" si="110"/>
        <v>114.40197696315002</v>
      </c>
      <c r="W332" s="397">
        <f t="shared" si="111"/>
        <v>41.255685272877315</v>
      </c>
      <c r="X332" s="153">
        <f t="shared" si="112"/>
        <v>46340</v>
      </c>
      <c r="Y332" s="380">
        <f t="shared" si="113"/>
        <v>39.855165251048653</v>
      </c>
      <c r="Z332" s="380">
        <f t="shared" si="114"/>
        <v>40.914340485761819</v>
      </c>
      <c r="AA332" s="381">
        <f t="shared" si="115"/>
        <v>43.320449023253559</v>
      </c>
      <c r="AB332" s="193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5.5542095978741803E-2</v>
      </c>
      <c r="AD332" s="227">
        <f>(INDEX(Models!$BJ332:$BT332,,AH332)*(1-AF332)+INDEX(Models!$BJ332:$BT332,,AH332+1)*AF332-ERP_i)*AE332*Ramure*Pc/MaxiM</f>
        <v>3.3077788118948937E-3</v>
      </c>
      <c r="AE332" s="301">
        <f t="shared" si="117"/>
        <v>0.5</v>
      </c>
      <c r="AF332" s="173">
        <f t="shared" si="118"/>
        <v>0.48890576385785733</v>
      </c>
      <c r="AG332" s="801">
        <f t="shared" si="124"/>
        <v>2</v>
      </c>
      <c r="AH332" s="172">
        <f t="shared" si="119"/>
        <v>8</v>
      </c>
      <c r="AI332" s="221">
        <f t="shared" si="120"/>
        <v>2.4889057638578573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46341</v>
      </c>
      <c r="B333" s="406">
        <f>'2025'!Wh/'2025'!Env_an*'2026'!Env_an</f>
        <v>51.896310162332384</v>
      </c>
      <c r="C333" s="831"/>
      <c r="D333" s="388">
        <f t="shared" si="102"/>
        <v>53.27621544656774</v>
      </c>
      <c r="E333" s="380">
        <f t="shared" si="125"/>
        <v>54.497166759918969</v>
      </c>
      <c r="F333" s="380">
        <f t="shared" si="103"/>
        <v>54.539098247356769</v>
      </c>
      <c r="G333" s="110">
        <f t="shared" si="126"/>
        <v>0.45720212443073144</v>
      </c>
      <c r="H333" s="409" t="b">
        <f>Wh_hp&gt;='2025'!Maxi_hp</f>
        <v>0</v>
      </c>
      <c r="I333" s="375">
        <f>IF(H333,Wh_hp,'2025'!Maxi_hp)</f>
        <v>54.6572788100165</v>
      </c>
      <c r="J333" s="85">
        <f>IF(H333,An,'2025'!An_max)</f>
        <v>2022</v>
      </c>
      <c r="K333" s="193">
        <f t="shared" si="104"/>
        <v>46341</v>
      </c>
      <c r="L333" s="143">
        <f>IF(t&lt;Tvie,1-EXP((T0-t)*PertePVj)+'2025'!Pspv,1-EXP((T0-t)*PertePVj)+Pspv)</f>
        <v>2.5900962984491738E-2</v>
      </c>
      <c r="M333" s="835"/>
      <c r="N333" s="835"/>
      <c r="O333" s="48">
        <f>IF(t&lt;Tnet,'2025'!Resal+('2025'!Salim-'2025'!Resal)*(1-EXP(('2025'!Tnet-t)/('2025'!Tau_j))),Resal+(Salim-Resal)*(1-EXP((Tnet-t)/(Tau_j))))*Salcycl</f>
        <v>2.2403941084313456E-2</v>
      </c>
      <c r="P333" s="334">
        <f>(INDEX(Models!$BJ333:$BT333,,T333)*(1-R333)+INDEX(Models!$BJ333:$BT333,,T333+1)*R333-ERP_i)*Q333*Ramure*Pc/MaxiM</f>
        <v>3.3974506751040519E-3</v>
      </c>
      <c r="Q333" s="301">
        <f t="shared" si="105"/>
        <v>0.5</v>
      </c>
      <c r="R333" s="173">
        <f t="shared" si="106"/>
        <v>0.48893747338915272</v>
      </c>
      <c r="S333" s="801">
        <f t="shared" si="107"/>
        <v>2</v>
      </c>
      <c r="T333" s="172">
        <f t="shared" si="108"/>
        <v>8</v>
      </c>
      <c r="U333" s="247">
        <f t="shared" si="109"/>
        <v>2.4889374733891527</v>
      </c>
      <c r="V333" s="378">
        <f t="shared" si="110"/>
        <v>113.20986256263731</v>
      </c>
      <c r="W333" s="397">
        <f t="shared" si="111"/>
        <v>51.896310162332384</v>
      </c>
      <c r="X333" s="153">
        <f t="shared" si="112"/>
        <v>46341</v>
      </c>
      <c r="Y333" s="380">
        <f t="shared" si="113"/>
        <v>50.137511271516821</v>
      </c>
      <c r="Z333" s="380">
        <f t="shared" si="114"/>
        <v>51.470650689821596</v>
      </c>
      <c r="AA333" s="381">
        <f t="shared" si="115"/>
        <v>54.497166759918969</v>
      </c>
      <c r="AB333" s="193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5.5535292016745411E-2</v>
      </c>
      <c r="AD333" s="227">
        <f>(INDEX(Models!$BJ333:$BT333,,AH333)*(1-AF333)+INDEX(Models!$BJ333:$BT333,,AH333+1)*AF333-ERP_i)*AE333*Ramure*Pc/MaxiM</f>
        <v>3.3974506751040519E-3</v>
      </c>
      <c r="AE333" s="301">
        <f t="shared" si="117"/>
        <v>0.5</v>
      </c>
      <c r="AF333" s="173">
        <f t="shared" si="118"/>
        <v>0.48893747338915272</v>
      </c>
      <c r="AG333" s="801">
        <f t="shared" si="124"/>
        <v>2</v>
      </c>
      <c r="AH333" s="172">
        <f t="shared" si="119"/>
        <v>8</v>
      </c>
      <c r="AI333" s="221">
        <f t="shared" si="120"/>
        <v>2.4889374733891527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46342</v>
      </c>
      <c r="B334" s="406">
        <f>'2025'!Wh/'2025'!Env_an*'2026'!Env_an</f>
        <v>108.18137410842739</v>
      </c>
      <c r="C334" s="831"/>
      <c r="D334" s="388">
        <f t="shared" si="102"/>
        <v>111.05940046129287</v>
      </c>
      <c r="E334" s="380">
        <f t="shared" si="125"/>
        <v>113.61045573504083</v>
      </c>
      <c r="F334" s="380">
        <f t="shared" si="103"/>
        <v>113.98787343591715</v>
      </c>
      <c r="G334" s="110">
        <f t="shared" si="126"/>
        <v>0.9655337421713247</v>
      </c>
      <c r="H334" s="409" t="b">
        <f>Wh_hp&gt;='2025'!Maxi_hp</f>
        <v>0</v>
      </c>
      <c r="I334" s="375">
        <f>IF(H334,Wh_hp,'2025'!Maxi_hp)</f>
        <v>114.00392589977223</v>
      </c>
      <c r="J334" s="85">
        <f>IF(H334,An,'2025'!An_max)</f>
        <v>2022</v>
      </c>
      <c r="K334" s="193">
        <f t="shared" si="104"/>
        <v>46342</v>
      </c>
      <c r="L334" s="143">
        <f>IF(t&lt;Tvie,1-EXP((T0-t)*PertePVj)+'2025'!Pspv,1-EXP((T0-t)*PertePVj)+Pspv)</f>
        <v>2.5914297582297352E-2</v>
      </c>
      <c r="M334" s="835"/>
      <c r="N334" s="835"/>
      <c r="O334" s="48">
        <f>IF(t&lt;Tnet,'2025'!Resal+('2025'!Salim-'2025'!Resal)*(1-EXP(('2025'!Tnet-t)/('2025'!Tau_j))),Resal+(Salim-Resal)*(1-EXP((Tnet-t)/(Tau_j))))*Salcycl</f>
        <v>2.2454405778438786E-2</v>
      </c>
      <c r="P334" s="334">
        <f>(INDEX(Models!$BJ334:$BT334,,T334)*(1-R334)+INDEX(Models!$BJ334:$BT334,,T334+1)*R334-ERP_i)*Q334*Ramure*Pc/MaxiM</f>
        <v>3.4816388582179321E-3</v>
      </c>
      <c r="Q334" s="301">
        <f t="shared" si="105"/>
        <v>0.5</v>
      </c>
      <c r="R334" s="173">
        <f t="shared" si="106"/>
        <v>0.48896790998464201</v>
      </c>
      <c r="S334" s="801">
        <f t="shared" si="107"/>
        <v>2</v>
      </c>
      <c r="T334" s="172">
        <f t="shared" si="108"/>
        <v>8</v>
      </c>
      <c r="U334" s="247">
        <f t="shared" si="109"/>
        <v>2.488967909984642</v>
      </c>
      <c r="V334" s="378">
        <f t="shared" si="110"/>
        <v>112.02390116614065</v>
      </c>
      <c r="W334" s="397">
        <f t="shared" si="111"/>
        <v>108.18137410842739</v>
      </c>
      <c r="X334" s="153">
        <f t="shared" si="112"/>
        <v>46342</v>
      </c>
      <c r="Y334" s="380">
        <f t="shared" si="113"/>
        <v>104.52111381054911</v>
      </c>
      <c r="Z334" s="380">
        <f t="shared" si="114"/>
        <v>107.30176364474436</v>
      </c>
      <c r="AA334" s="381">
        <f t="shared" si="115"/>
        <v>113.61045573504083</v>
      </c>
      <c r="AB334" s="193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5.5529150459614741E-2</v>
      </c>
      <c r="AD334" s="227">
        <f>(INDEX(Models!$BJ334:$BT334,,AH334)*(1-AF334)+INDEX(Models!$BJ334:$BT334,,AH334+1)*AF334-ERP_i)*AE334*Ramure*Pc/MaxiM</f>
        <v>3.4816388582179321E-3</v>
      </c>
      <c r="AE334" s="301">
        <f t="shared" si="117"/>
        <v>0.5</v>
      </c>
      <c r="AF334" s="173">
        <f t="shared" si="118"/>
        <v>0.48896790998464201</v>
      </c>
      <c r="AG334" s="801">
        <f t="shared" si="124"/>
        <v>2</v>
      </c>
      <c r="AH334" s="172">
        <f t="shared" si="119"/>
        <v>8</v>
      </c>
      <c r="AI334" s="221">
        <f t="shared" si="120"/>
        <v>2.488967909984642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46343</v>
      </c>
      <c r="B335" s="406">
        <f>'2025'!Wh/'2025'!Env_an*'2026'!Env_an</f>
        <v>64.241477174715797</v>
      </c>
      <c r="C335" s="831"/>
      <c r="D335" s="388">
        <f t="shared" ref="D335:D379" si="127">Wh/(1-Ppv)</f>
        <v>65.951441889741716</v>
      </c>
      <c r="E335" s="380">
        <f t="shared" si="125"/>
        <v>67.469853162032749</v>
      </c>
      <c r="F335" s="380">
        <f t="shared" ref="F335:F379" si="128">Wh_sa/(1-Pvg*MEDIAN((-Sdif+Wh/Env_an)/Csdif,0,1))</f>
        <v>67.565916372132094</v>
      </c>
      <c r="G335" s="110">
        <f t="shared" si="126"/>
        <v>0.57830335369627872</v>
      </c>
      <c r="H335" s="409" t="b">
        <f>Wh_hp&gt;='2025'!Maxi_hp</f>
        <v>0</v>
      </c>
      <c r="I335" s="375">
        <f>IF(H335,Wh_hp,'2025'!Maxi_hp)</f>
        <v>67.685207187062332</v>
      </c>
      <c r="J335" s="85">
        <f>IF(H335,An,'2025'!An_max)</f>
        <v>2022</v>
      </c>
      <c r="K335" s="193">
        <f t="shared" ref="K335:K379" si="129">t</f>
        <v>46343</v>
      </c>
      <c r="L335" s="143">
        <f>IF(t&lt;Tvie,1-EXP((T0-t)*PertePVj)+'2025'!Pspv,1-EXP((T0-t)*PertePVj)+Pspv)</f>
        <v>2.5927631997563538E-2</v>
      </c>
      <c r="M335" s="835"/>
      <c r="N335" s="835"/>
      <c r="O335" s="48">
        <f>IF(t&lt;Tnet,'2025'!Resal+('2025'!Salim-'2025'!Resal)*(1-EXP(('2025'!Tnet-t)/('2025'!Tau_j))),Resal+(Salim-Resal)*(1-EXP((Tnet-t)/(Tau_j))))*Salcycl</f>
        <v>2.2505033005548188E-2</v>
      </c>
      <c r="P335" s="334">
        <f>(INDEX(Models!$BJ335:$BT335,,T335)*(1-R335)+INDEX(Models!$BJ335:$BT335,,T335+1)*R335-ERP_i)*Q335*Ramure*Pc/MaxiM</f>
        <v>3.5602180622755731E-3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0.48899712459863665</v>
      </c>
      <c r="S335" s="801">
        <f t="shared" ref="S335:S379" si="132">INDEX(Echel_vg,T335)</f>
        <v>2</v>
      </c>
      <c r="T335" s="172">
        <f t="shared" ref="T335:T379" si="133">MIN(MATCH(Hp_vg,Echel_vg),10)</f>
        <v>8</v>
      </c>
      <c r="U335" s="247">
        <f t="shared" ref="U335:U379" si="134">IF(OR(t&lt;Ttai,Notai),Hdd+PousH*Croivg,Hdtf+PousH*(Croivg-Croi_tai))</f>
        <v>2.4889971245986366</v>
      </c>
      <c r="V335" s="378">
        <f t="shared" ref="V335:V379" si="135">MaxiM*(1-Ppv)*(1-Pvg)*(1-Psa)</f>
        <v>110.84823237190356</v>
      </c>
      <c r="W335" s="397">
        <f t="shared" ref="W335:W379" si="136">Wh*(A335&gt;Tmaj)</f>
        <v>64.241477174715797</v>
      </c>
      <c r="X335" s="153">
        <f t="shared" ref="X335:X379" si="137">t</f>
        <v>46343</v>
      </c>
      <c r="Y335" s="380">
        <f t="shared" ref="Y335:Y379" si="138">Wh_pvt_s*(1-Ppv)</f>
        <v>62.071472364644997</v>
      </c>
      <c r="Z335" s="380">
        <f t="shared" ref="Z335:Z379" si="139">Wh_sa_s*(1-Psa_s)</f>
        <v>63.723676395766248</v>
      </c>
      <c r="AA335" s="381">
        <f t="shared" ref="AA335:AA379" si="140">Wh_hp*(1-Pvg_s*MEDIAN((-Sdif+Wh/Env_an)/Csdif,0,1))</f>
        <v>67.469853162032749</v>
      </c>
      <c r="AB335" s="193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5.5523713046623027E-2</v>
      </c>
      <c r="AD335" s="227">
        <f>(INDEX(Models!$BJ335:$BT335,,AH335)*(1-AF335)+INDEX(Models!$BJ335:$BT335,,AH335+1)*AF335-ERP_i)*AE335*Ramure*Pc/MaxiM</f>
        <v>3.5602180622755731E-3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0.48899712459863665</v>
      </c>
      <c r="AG335" s="801">
        <f t="shared" si="124"/>
        <v>2</v>
      </c>
      <c r="AH335" s="172">
        <f t="shared" ref="AH335:AH379" si="144">MIN(MATCH(Hp_vg_s,Echel_vg),10)</f>
        <v>8</v>
      </c>
      <c r="AI335" s="221">
        <f t="shared" ref="AI335:AI379" si="145">IF(OR(t&lt;Ttai,Notai),Hdd_s+PousH*Croivg,Hdtai_s+PousH*(Croivg-Croi_tai))</f>
        <v>2.4889971245986366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46344</v>
      </c>
      <c r="B336" s="406">
        <f>'2025'!Wh/'2025'!Env_an*'2026'!Env_an</f>
        <v>50.979231114242744</v>
      </c>
      <c r="C336" s="831"/>
      <c r="D336" s="388">
        <f t="shared" si="127"/>
        <v>52.336900892903742</v>
      </c>
      <c r="E336" s="380">
        <f t="shared" si="125"/>
        <v>53.544645397587544</v>
      </c>
      <c r="F336" s="380">
        <f t="shared" si="128"/>
        <v>53.590474182304483</v>
      </c>
      <c r="G336" s="110">
        <f t="shared" si="126"/>
        <v>0.46347787806674501</v>
      </c>
      <c r="H336" s="409" t="b">
        <f>Wh_hp&gt;='2025'!Maxi_hp</f>
        <v>0</v>
      </c>
      <c r="I336" s="375">
        <f>IF(H336,Wh_hp,'2025'!Maxi_hp)</f>
        <v>53.713397448687658</v>
      </c>
      <c r="J336" s="85">
        <f>IF(H336,An,'2025'!An_max)</f>
        <v>2022</v>
      </c>
      <c r="K336" s="193">
        <f t="shared" si="129"/>
        <v>46344</v>
      </c>
      <c r="L336" s="143">
        <f>IF(t&lt;Tvie,1-EXP((T0-t)*PertePVj)+'2025'!Pspv,1-EXP((T0-t)*PertePVj)+Pspv)</f>
        <v>2.594096623029285E-2</v>
      </c>
      <c r="M336" s="835"/>
      <c r="N336" s="835"/>
      <c r="O336" s="48">
        <f>IF(t&lt;Tnet,'2025'!Resal+('2025'!Salim-'2025'!Resal)*(1-EXP(('2025'!Tnet-t)/('2025'!Tau_j))),Resal+(Salim-Resal)*(1-EXP((Tnet-t)/(Tau_j))))*Salcycl</f>
        <v>2.2555840938265202E-2</v>
      </c>
      <c r="P336" s="334">
        <f>(INDEX(Models!$BJ336:$BT336,,T336)*(1-R336)+INDEX(Models!$BJ336:$BT336,,T336+1)*R336-ERP_i)*Q336*Ramure*Pc/MaxiM</f>
        <v>3.6330425970809515E-3</v>
      </c>
      <c r="Q336" s="301">
        <f t="shared" si="130"/>
        <v>0.5</v>
      </c>
      <c r="R336" s="173">
        <f t="shared" si="131"/>
        <v>0.48902516615729974</v>
      </c>
      <c r="S336" s="801">
        <f t="shared" si="132"/>
        <v>2</v>
      </c>
      <c r="T336" s="172">
        <f t="shared" si="133"/>
        <v>8</v>
      </c>
      <c r="U336" s="247">
        <f t="shared" si="134"/>
        <v>2.4890251661572997</v>
      </c>
      <c r="V336" s="378">
        <f t="shared" si="135"/>
        <v>109.68699549953728</v>
      </c>
      <c r="W336" s="397">
        <f t="shared" si="136"/>
        <v>50.979231114242744</v>
      </c>
      <c r="X336" s="153">
        <f t="shared" si="137"/>
        <v>46344</v>
      </c>
      <c r="Y336" s="380">
        <f t="shared" si="138"/>
        <v>49.260015298513267</v>
      </c>
      <c r="Z336" s="380">
        <f t="shared" si="139"/>
        <v>50.571899228604266</v>
      </c>
      <c r="AA336" s="381">
        <f t="shared" si="140"/>
        <v>53.544645397587544</v>
      </c>
      <c r="AB336" s="193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5.5519018697567417E-2</v>
      </c>
      <c r="AD336" s="227">
        <f>(INDEX(Models!$BJ336:$BT336,,AH336)*(1-AF336)+INDEX(Models!$BJ336:$BT336,,AH336+1)*AF336-ERP_i)*AE336*Ramure*Pc/MaxiM</f>
        <v>3.6330425970809515E-3</v>
      </c>
      <c r="AE336" s="301">
        <f t="shared" si="142"/>
        <v>0.5</v>
      </c>
      <c r="AF336" s="173">
        <f t="shared" si="143"/>
        <v>0.48902516615729974</v>
      </c>
      <c r="AG336" s="801">
        <f t="shared" ref="AG336:AG379" si="149">INDEX(Echel_vg,AH336)</f>
        <v>2</v>
      </c>
      <c r="AH336" s="172">
        <f t="shared" si="144"/>
        <v>8</v>
      </c>
      <c r="AI336" s="221">
        <f t="shared" si="145"/>
        <v>2.4890251661572997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46345</v>
      </c>
      <c r="B337" s="406">
        <f>'2025'!Wh/'2025'!Env_an*'2026'!Env_an</f>
        <v>24.240128221376601</v>
      </c>
      <c r="C337" s="831"/>
      <c r="D337" s="388">
        <f t="shared" si="127"/>
        <v>24.886027655947583</v>
      </c>
      <c r="E337" s="380">
        <f t="shared" si="125"/>
        <v>25.461634932928376</v>
      </c>
      <c r="F337" s="380">
        <f t="shared" si="128"/>
        <v>25.461634932928376</v>
      </c>
      <c r="G337" s="110">
        <f t="shared" si="126"/>
        <v>0.22249380607113309</v>
      </c>
      <c r="H337" s="409" t="b">
        <f>Wh_hp&gt;='2025'!Maxi_hp</f>
        <v>0</v>
      </c>
      <c r="I337" s="375">
        <f>IF(H337,Wh_hp,'2025'!Maxi_hp)</f>
        <v>25.539405273460016</v>
      </c>
      <c r="J337" s="85">
        <f>IF(H337,An,'2025'!An_max)</f>
        <v>2022</v>
      </c>
      <c r="K337" s="193">
        <f t="shared" si="129"/>
        <v>46345</v>
      </c>
      <c r="L337" s="143">
        <f>IF(t&lt;Tvie,1-EXP((T0-t)*PertePVj)+'2025'!Pspv,1-EXP((T0-t)*PertePVj)+Pspv)</f>
        <v>2.5954300280487619E-2</v>
      </c>
      <c r="M337" s="835"/>
      <c r="N337" s="835"/>
      <c r="O337" s="48">
        <f>IF(t&lt;Tnet,'2025'!Resal+('2025'!Salim-'2025'!Resal)*(1-EXP(('2025'!Tnet-t)/('2025'!Tau_j))),Resal+(Salim-Resal)*(1-EXP((Tnet-t)/(Tau_j))))*Salcycl</f>
        <v>2.260684667332136E-2</v>
      </c>
      <c r="P337" s="334">
        <f>(INDEX(Models!$BJ337:$BT337,,T337)*(1-R337)+INDEX(Models!$BJ337:$BT337,,T337+1)*R337-ERP_i)*Q337*Ramure*Pc/MaxiM</f>
        <v>3.6999467814100937E-3</v>
      </c>
      <c r="Q337" s="301">
        <f t="shared" si="130"/>
        <v>0.5</v>
      </c>
      <c r="R337" s="173">
        <f t="shared" si="131"/>
        <v>0.48905208163847025</v>
      </c>
      <c r="S337" s="801">
        <f t="shared" si="132"/>
        <v>2</v>
      </c>
      <c r="T337" s="172">
        <f t="shared" si="133"/>
        <v>8</v>
      </c>
      <c r="U337" s="247">
        <f t="shared" si="134"/>
        <v>2.4890520816384702</v>
      </c>
      <c r="V337" s="378">
        <f t="shared" si="135"/>
        <v>108.54432967568479</v>
      </c>
      <c r="W337" s="397">
        <f t="shared" si="136"/>
        <v>24.240128221376601</v>
      </c>
      <c r="X337" s="153">
        <f t="shared" si="137"/>
        <v>46345</v>
      </c>
      <c r="Y337" s="380">
        <f t="shared" si="138"/>
        <v>23.423977260305435</v>
      </c>
      <c r="Z337" s="380">
        <f t="shared" si="139"/>
        <v>24.048129638117224</v>
      </c>
      <c r="AA337" s="381">
        <f t="shared" si="140"/>
        <v>25.461634932928376</v>
      </c>
      <c r="AB337" s="193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5.5515103351950479E-2</v>
      </c>
      <c r="AD337" s="227">
        <f>(INDEX(Models!$BJ337:$BT337,,AH337)*(1-AF337)+INDEX(Models!$BJ337:$BT337,,AH337+1)*AF337-ERP_i)*AE337*Ramure*Pc/MaxiM</f>
        <v>3.6999467814100937E-3</v>
      </c>
      <c r="AE337" s="301">
        <f t="shared" si="142"/>
        <v>0.5</v>
      </c>
      <c r="AF337" s="173">
        <f t="shared" si="143"/>
        <v>0.48905208163847025</v>
      </c>
      <c r="AG337" s="801">
        <f t="shared" si="149"/>
        <v>2</v>
      </c>
      <c r="AH337" s="172">
        <f t="shared" si="144"/>
        <v>8</v>
      </c>
      <c r="AI337" s="221">
        <f t="shared" si="145"/>
        <v>2.4890520816384702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46346</v>
      </c>
      <c r="B338" s="406">
        <f>'2025'!Wh/'2025'!Env_an*'2026'!Env_an</f>
        <v>70.878951014631014</v>
      </c>
      <c r="C338" s="831"/>
      <c r="D338" s="388">
        <f t="shared" si="127"/>
        <v>72.768578847627026</v>
      </c>
      <c r="E338" s="380">
        <f t="shared" si="125"/>
        <v>74.455598729520048</v>
      </c>
      <c r="F338" s="380">
        <f t="shared" si="128"/>
        <v>74.599540540019021</v>
      </c>
      <c r="G338" s="110">
        <f t="shared" si="126"/>
        <v>0.65859266975546638</v>
      </c>
      <c r="H338" s="409" t="b">
        <f>Wh_hp&gt;='2025'!Maxi_hp</f>
        <v>0</v>
      </c>
      <c r="I338" s="375">
        <f>IF(H338,Wh_hp,'2025'!Maxi_hp)</f>
        <v>74.711901468469961</v>
      </c>
      <c r="J338" s="85">
        <f>IF(H338,An,'2025'!An_max)</f>
        <v>2022</v>
      </c>
      <c r="K338" s="193">
        <f t="shared" si="129"/>
        <v>46346</v>
      </c>
      <c r="L338" s="143">
        <f>IF(t&lt;Tvie,1-EXP((T0-t)*PertePVj)+'2025'!Pspv,1-EXP((T0-t)*PertePVj)+Pspv)</f>
        <v>2.5967634148150398E-2</v>
      </c>
      <c r="M338" s="835"/>
      <c r="N338" s="835"/>
      <c r="O338" s="48">
        <f>IF(t&lt;Tnet,'2025'!Resal+('2025'!Salim-'2025'!Resal)*(1-EXP(('2025'!Tnet-t)/('2025'!Tau_j))),Resal+(Salim-Resal)*(1-EXP((Tnet-t)/(Tau_j))))*Salcycl</f>
        <v>2.2658066158618609E-2</v>
      </c>
      <c r="P338" s="334">
        <f>(INDEX(Models!$BJ338:$BT338,,T338)*(1-R338)+INDEX(Models!$BJ338:$BT338,,T338+1)*R338-ERP_i)*Q338*Ramure*Pc/MaxiM</f>
        <v>3.7539561411754976E-3</v>
      </c>
      <c r="Q338" s="301">
        <f t="shared" si="130"/>
        <v>0.5</v>
      </c>
      <c r="R338" s="173">
        <f t="shared" si="131"/>
        <v>0.48907791614840956</v>
      </c>
      <c r="S338" s="801">
        <f t="shared" si="132"/>
        <v>2</v>
      </c>
      <c r="T338" s="172">
        <f t="shared" si="133"/>
        <v>8</v>
      </c>
      <c r="U338" s="247">
        <f t="shared" si="134"/>
        <v>2.4890779161484096</v>
      </c>
      <c r="V338" s="378">
        <f t="shared" si="135"/>
        <v>107.42510602853078</v>
      </c>
      <c r="W338" s="397">
        <f t="shared" si="136"/>
        <v>70.878951014631014</v>
      </c>
      <c r="X338" s="153">
        <f t="shared" si="137"/>
        <v>46346</v>
      </c>
      <c r="Y338" s="380">
        <f t="shared" si="138"/>
        <v>68.49631268258203</v>
      </c>
      <c r="Z338" s="380">
        <f t="shared" si="139"/>
        <v>70.322419545759047</v>
      </c>
      <c r="AA338" s="381">
        <f t="shared" si="140"/>
        <v>74.455598729520048</v>
      </c>
      <c r="AB338" s="193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5.5511999826579707E-2</v>
      </c>
      <c r="AD338" s="227">
        <f>(INDEX(Models!$BJ338:$BT338,,AH338)*(1-AF338)+INDEX(Models!$BJ338:$BT338,,AH338+1)*AF338-ERP_i)*AE338*Ramure*Pc/MaxiM</f>
        <v>3.7539561411754976E-3</v>
      </c>
      <c r="AE338" s="301">
        <f t="shared" si="142"/>
        <v>0.5</v>
      </c>
      <c r="AF338" s="173">
        <f t="shared" si="143"/>
        <v>0.48907791614840956</v>
      </c>
      <c r="AG338" s="801">
        <f t="shared" si="149"/>
        <v>2</v>
      </c>
      <c r="AH338" s="172">
        <f t="shared" si="144"/>
        <v>8</v>
      </c>
      <c r="AI338" s="221">
        <f t="shared" si="145"/>
        <v>2.4890779161484096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46347</v>
      </c>
      <c r="B339" s="406">
        <f>'2025'!Wh/'2025'!Env_an*'2026'!Env_an</f>
        <v>14.040464739118514</v>
      </c>
      <c r="C339" s="831"/>
      <c r="D339" s="388">
        <f t="shared" si="127"/>
        <v>14.414979867370091</v>
      </c>
      <c r="E339" s="380">
        <f t="shared" si="125"/>
        <v>14.749943927368635</v>
      </c>
      <c r="F339" s="380">
        <f t="shared" si="128"/>
        <v>14.749943927368635</v>
      </c>
      <c r="G339" s="110">
        <f t="shared" si="126"/>
        <v>0.1315407727398003</v>
      </c>
      <c r="H339" s="409" t="b">
        <f>Wh_hp&gt;='2025'!Maxi_hp</f>
        <v>0</v>
      </c>
      <c r="I339" s="375">
        <f>IF(H339,Wh_hp,'2025'!Maxi_hp)</f>
        <v>14.796158423320728</v>
      </c>
      <c r="J339" s="85">
        <f>IF(H339,An,'2025'!An_max)</f>
        <v>2022</v>
      </c>
      <c r="K339" s="193">
        <f t="shared" si="129"/>
        <v>46347</v>
      </c>
      <c r="L339" s="143">
        <f>IF(t&lt;Tvie,1-EXP((T0-t)*PertePVj)+'2025'!Pspv,1-EXP((T0-t)*PertePVj)+Pspv)</f>
        <v>2.5980967833283852E-2</v>
      </c>
      <c r="M339" s="835"/>
      <c r="N339" s="835"/>
      <c r="O339" s="48">
        <f>IF(t&lt;Tnet,'2025'!Resal+('2025'!Salim-'2025'!Resal)*(1-EXP(('2025'!Tnet-t)/('2025'!Tau_j))),Resal+(Salim-Resal)*(1-EXP((Tnet-t)/(Tau_j))))*Salcycl</f>
        <v>2.2709514127508955E-2</v>
      </c>
      <c r="P339" s="334">
        <f>(INDEX(Models!$BJ339:$BT339,,T339)*(1-R339)+INDEX(Models!$BJ339:$BT339,,T339+1)*R339-ERP_i)*Q339*Ramure*Pc/MaxiM</f>
        <v>3.7983201990304466E-3</v>
      </c>
      <c r="Q339" s="301">
        <f t="shared" si="130"/>
        <v>0.5</v>
      </c>
      <c r="R339" s="173">
        <f t="shared" si="131"/>
        <v>0.48910271299559449</v>
      </c>
      <c r="S339" s="801">
        <f t="shared" si="132"/>
        <v>2</v>
      </c>
      <c r="T339" s="172">
        <f t="shared" si="133"/>
        <v>8</v>
      </c>
      <c r="U339" s="247">
        <f t="shared" si="134"/>
        <v>2.4891027129955945</v>
      </c>
      <c r="V339" s="378">
        <f t="shared" si="135"/>
        <v>106.33307275732658</v>
      </c>
      <c r="W339" s="397">
        <f t="shared" si="136"/>
        <v>14.040464739118514</v>
      </c>
      <c r="X339" s="153">
        <f t="shared" si="137"/>
        <v>46347</v>
      </c>
      <c r="Y339" s="380">
        <f t="shared" si="138"/>
        <v>13.569232910857085</v>
      </c>
      <c r="Z339" s="380">
        <f t="shared" si="139"/>
        <v>13.931178408980548</v>
      </c>
      <c r="AA339" s="381">
        <f t="shared" si="140"/>
        <v>14.749943927368635</v>
      </c>
      <c r="AB339" s="193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5.5509737692552311E-2</v>
      </c>
      <c r="AD339" s="227">
        <f>(INDEX(Models!$BJ339:$BT339,,AH339)*(1-AF339)+INDEX(Models!$BJ339:$BT339,,AH339+1)*AF339-ERP_i)*AE339*Ramure*Pc/MaxiM</f>
        <v>3.7983201990304466E-3</v>
      </c>
      <c r="AE339" s="301">
        <f t="shared" si="142"/>
        <v>0.5</v>
      </c>
      <c r="AF339" s="173">
        <f t="shared" si="143"/>
        <v>0.48910271299559449</v>
      </c>
      <c r="AG339" s="801">
        <f t="shared" si="149"/>
        <v>2</v>
      </c>
      <c r="AH339" s="172">
        <f t="shared" si="144"/>
        <v>8</v>
      </c>
      <c r="AI339" s="221">
        <f t="shared" si="145"/>
        <v>2.4891027129955945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46348</v>
      </c>
      <c r="B340" s="406">
        <f>'2025'!Wh/'2025'!Env_an*'2026'!Env_an</f>
        <v>34.086934615688975</v>
      </c>
      <c r="C340" s="831"/>
      <c r="D340" s="388">
        <f t="shared" si="127"/>
        <v>34.996648030335614</v>
      </c>
      <c r="E340" s="380">
        <f t="shared" si="125"/>
        <v>35.811766965292733</v>
      </c>
      <c r="F340" s="380">
        <f t="shared" si="128"/>
        <v>35.816433889265873</v>
      </c>
      <c r="G340" s="110">
        <f t="shared" si="126"/>
        <v>0.32259855373114082</v>
      </c>
      <c r="H340" s="409" t="b">
        <f>Wh_hp&gt;='2025'!Maxi_hp</f>
        <v>0</v>
      </c>
      <c r="I340" s="375">
        <f>IF(H340,Wh_hp,'2025'!Maxi_hp)</f>
        <v>35.925753134499537</v>
      </c>
      <c r="J340" s="85">
        <f>IF(H340,An,'2025'!An_max)</f>
        <v>2022</v>
      </c>
      <c r="K340" s="193">
        <f t="shared" si="129"/>
        <v>46348</v>
      </c>
      <c r="L340" s="143">
        <f>IF(t&lt;Tvie,1-EXP((T0-t)*PertePVj)+'2025'!Pspv,1-EXP((T0-t)*PertePVj)+Pspv)</f>
        <v>2.5994301335890313E-2</v>
      </c>
      <c r="M340" s="835"/>
      <c r="N340" s="835"/>
      <c r="O340" s="48">
        <f>IF(t&lt;Tnet,'2025'!Resal+('2025'!Salim-'2025'!Resal)*(1-EXP(('2025'!Tnet-t)/('2025'!Tau_j))),Resal+(Salim-Resal)*(1-EXP((Tnet-t)/(Tau_j))))*Salcycl</f>
        <v>2.2761204040758362E-2</v>
      </c>
      <c r="P340" s="334">
        <f>(INDEX(Models!$BJ340:$BT340,,T340)*(1-R340)+INDEX(Models!$BJ340:$BT340,,T340+1)*R340-ERP_i)*Q340*Ramure*Pc/MaxiM</f>
        <v>3.8327803021126314E-3</v>
      </c>
      <c r="Q340" s="301">
        <f t="shared" si="130"/>
        <v>0.5</v>
      </c>
      <c r="R340" s="173">
        <f t="shared" si="131"/>
        <v>0.48912651376166316</v>
      </c>
      <c r="S340" s="801">
        <f t="shared" si="132"/>
        <v>2</v>
      </c>
      <c r="T340" s="172">
        <f t="shared" si="133"/>
        <v>8</v>
      </c>
      <c r="U340" s="247">
        <f t="shared" si="134"/>
        <v>2.4891265137616632</v>
      </c>
      <c r="V340" s="378">
        <f t="shared" si="135"/>
        <v>105.27236285640802</v>
      </c>
      <c r="W340" s="397">
        <f t="shared" si="136"/>
        <v>34.086934615688975</v>
      </c>
      <c r="X340" s="153">
        <f t="shared" si="137"/>
        <v>46348</v>
      </c>
      <c r="Y340" s="380">
        <f t="shared" si="138"/>
        <v>32.944686073113679</v>
      </c>
      <c r="Z340" s="380">
        <f t="shared" si="139"/>
        <v>33.823915114971832</v>
      </c>
      <c r="AA340" s="381">
        <f t="shared" si="140"/>
        <v>35.811766965292733</v>
      </c>
      <c r="AB340" s="193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5.5508343172439564E-2</v>
      </c>
      <c r="AD340" s="227">
        <f>(INDEX(Models!$BJ340:$BT340,,AH340)*(1-AF340)+INDEX(Models!$BJ340:$BT340,,AH340+1)*AF340-ERP_i)*AE340*Ramure*Pc/MaxiM</f>
        <v>3.8327803021126314E-3</v>
      </c>
      <c r="AE340" s="301">
        <f t="shared" si="142"/>
        <v>0.5</v>
      </c>
      <c r="AF340" s="173">
        <f t="shared" si="143"/>
        <v>0.48912651376166316</v>
      </c>
      <c r="AG340" s="801">
        <f t="shared" si="149"/>
        <v>2</v>
      </c>
      <c r="AH340" s="172">
        <f t="shared" si="144"/>
        <v>8</v>
      </c>
      <c r="AI340" s="221">
        <f t="shared" si="145"/>
        <v>2.4891265137616632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46349</v>
      </c>
      <c r="B341" s="406">
        <f>'2025'!Wh/'2025'!Env_an*'2026'!Env_an</f>
        <v>56.215330498274099</v>
      </c>
      <c r="C341" s="831"/>
      <c r="D341" s="388">
        <f t="shared" si="127"/>
        <v>57.716397477528538</v>
      </c>
      <c r="E341" s="380">
        <f t="shared" si="125"/>
        <v>59.063829360334388</v>
      </c>
      <c r="F341" s="380">
        <f t="shared" si="128"/>
        <v>59.141795204531377</v>
      </c>
      <c r="G341" s="110">
        <f t="shared" si="126"/>
        <v>0.53787988911518259</v>
      </c>
      <c r="H341" s="409" t="b">
        <f>Wh_hp&gt;='2025'!Maxi_hp</f>
        <v>0</v>
      </c>
      <c r="I341" s="375">
        <f>IF(H341,Wh_hp,'2025'!Maxi_hp)</f>
        <v>59.26549414271846</v>
      </c>
      <c r="J341" s="85">
        <f>IF(H341,An,'2025'!An_max)</f>
        <v>2022</v>
      </c>
      <c r="K341" s="193">
        <f t="shared" si="129"/>
        <v>46349</v>
      </c>
      <c r="L341" s="143">
        <f>IF(t&lt;Tvie,1-EXP((T0-t)*PertePVj)+'2025'!Pspv,1-EXP((T0-t)*PertePVj)+Pspv)</f>
        <v>2.6007634655972223E-2</v>
      </c>
      <c r="M341" s="835"/>
      <c r="N341" s="835"/>
      <c r="O341" s="48">
        <f>IF(t&lt;Tnet,'2025'!Resal+('2025'!Salim-'2025'!Resal)*(1-EXP(('2025'!Tnet-t)/('2025'!Tau_j))),Resal+(Salim-Resal)*(1-EXP((Tnet-t)/(Tau_j))))*Salcycl</f>
        <v>2.2813148036601071E-2</v>
      </c>
      <c r="P341" s="334">
        <f>(INDEX(Models!$BJ341:$BT341,,T341)*(1-R341)+INDEX(Models!$BJ341:$BT341,,T341+1)*R341-ERP_i)*Q341*Ramure*Pc/MaxiM</f>
        <v>3.8570446221333926E-3</v>
      </c>
      <c r="Q341" s="301">
        <f t="shared" si="130"/>
        <v>0.5</v>
      </c>
      <c r="R341" s="173">
        <f t="shared" si="131"/>
        <v>0.48914935836961293</v>
      </c>
      <c r="S341" s="801">
        <f t="shared" si="132"/>
        <v>2</v>
      </c>
      <c r="T341" s="172">
        <f t="shared" si="133"/>
        <v>8</v>
      </c>
      <c r="U341" s="247">
        <f t="shared" si="134"/>
        <v>2.4891493583696129</v>
      </c>
      <c r="V341" s="378">
        <f t="shared" si="135"/>
        <v>104.24711190911597</v>
      </c>
      <c r="W341" s="397">
        <f t="shared" si="136"/>
        <v>56.215330498274099</v>
      </c>
      <c r="X341" s="153">
        <f t="shared" si="137"/>
        <v>46349</v>
      </c>
      <c r="Y341" s="380">
        <f t="shared" si="138"/>
        <v>54.334479504799987</v>
      </c>
      <c r="Z341" s="380">
        <f t="shared" si="139"/>
        <v>55.785323826032545</v>
      </c>
      <c r="AA341" s="381">
        <f t="shared" si="140"/>
        <v>59.063829360334388</v>
      </c>
      <c r="AB341" s="193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5.5507839058325521E-2</v>
      </c>
      <c r="AD341" s="227">
        <f>(INDEX(Models!$BJ341:$BT341,,AH341)*(1-AF341)+INDEX(Models!$BJ341:$BT341,,AH341+1)*AF341-ERP_i)*AE341*Ramure*Pc/MaxiM</f>
        <v>3.8570446221333926E-3</v>
      </c>
      <c r="AE341" s="301">
        <f t="shared" si="142"/>
        <v>0.5</v>
      </c>
      <c r="AF341" s="173">
        <f t="shared" si="143"/>
        <v>0.48914935836961293</v>
      </c>
      <c r="AG341" s="801">
        <f t="shared" si="149"/>
        <v>2</v>
      </c>
      <c r="AH341" s="172">
        <f t="shared" si="144"/>
        <v>8</v>
      </c>
      <c r="AI341" s="221">
        <f t="shared" si="145"/>
        <v>2.4891493583696129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46350</v>
      </c>
      <c r="B342" s="406">
        <f>'2025'!Wh/'2025'!Env_an*'2026'!Env_an</f>
        <v>55.31617904243808</v>
      </c>
      <c r="C342" s="831"/>
      <c r="D342" s="388">
        <f t="shared" si="127"/>
        <v>56.794014258319216</v>
      </c>
      <c r="E342" s="380">
        <f t="shared" si="125"/>
        <v>58.123017803883911</v>
      </c>
      <c r="F342" s="380">
        <f t="shared" si="128"/>
        <v>58.198868943495242</v>
      </c>
      <c r="G342" s="110">
        <f t="shared" si="126"/>
        <v>0.53431330005433975</v>
      </c>
      <c r="H342" s="409" t="b">
        <f>Wh_hp&gt;='2025'!Maxi_hp</f>
        <v>0</v>
      </c>
      <c r="I342" s="375">
        <f>IF(H342,Wh_hp,'2025'!Maxi_hp)</f>
        <v>58.321847918347885</v>
      </c>
      <c r="J342" s="85">
        <f>IF(H342,An,'2025'!An_max)</f>
        <v>2022</v>
      </c>
      <c r="K342" s="193">
        <f t="shared" si="129"/>
        <v>46350</v>
      </c>
      <c r="L342" s="143">
        <f>IF(t&lt;Tvie,1-EXP((T0-t)*PertePVj)+'2025'!Pspv,1-EXP((T0-t)*PertePVj)+Pspv)</f>
        <v>2.6020967793532246E-2</v>
      </c>
      <c r="M342" s="835"/>
      <c r="N342" s="835"/>
      <c r="O342" s="48">
        <f>IF(t&lt;Tnet,'2025'!Resal+('2025'!Salim-'2025'!Resal)*(1-EXP(('2025'!Tnet-t)/('2025'!Tau_j))),Resal+(Salim-Resal)*(1-EXP((Tnet-t)/(Tau_j))))*Salcycl</f>
        <v>2.2865356889226893E-2</v>
      </c>
      <c r="P342" s="334">
        <f>(INDEX(Models!$BJ342:$BT342,,T342)*(1-R342)+INDEX(Models!$BJ342:$BT342,,T342+1)*R342-ERP_i)*Q342*Ramure*Pc/MaxiM</f>
        <v>3.8708251030093867E-3</v>
      </c>
      <c r="Q342" s="301">
        <f t="shared" si="130"/>
        <v>0.5</v>
      </c>
      <c r="R342" s="173">
        <f t="shared" si="131"/>
        <v>0.48917128514936081</v>
      </c>
      <c r="S342" s="801">
        <f t="shared" si="132"/>
        <v>2</v>
      </c>
      <c r="T342" s="172">
        <f t="shared" si="133"/>
        <v>8</v>
      </c>
      <c r="U342" s="247">
        <f t="shared" si="134"/>
        <v>2.4891712851493608</v>
      </c>
      <c r="V342" s="378">
        <f t="shared" si="135"/>
        <v>103.26145454461029</v>
      </c>
      <c r="W342" s="397">
        <f t="shared" si="136"/>
        <v>55.31617904243808</v>
      </c>
      <c r="X342" s="153">
        <f t="shared" si="137"/>
        <v>46350</v>
      </c>
      <c r="Y342" s="380">
        <f t="shared" si="138"/>
        <v>53.468245559950489</v>
      </c>
      <c r="Z342" s="380">
        <f t="shared" si="139"/>
        <v>54.896711111760453</v>
      </c>
      <c r="AA342" s="381">
        <f t="shared" si="140"/>
        <v>58.123017803883911</v>
      </c>
      <c r="AB342" s="193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5.5508244651190017E-2</v>
      </c>
      <c r="AD342" s="227">
        <f>(INDEX(Models!$BJ342:$BT342,,AH342)*(1-AF342)+INDEX(Models!$BJ342:$BT342,,AH342+1)*AF342-ERP_i)*AE342*Ramure*Pc/MaxiM</f>
        <v>3.8708251030093867E-3</v>
      </c>
      <c r="AE342" s="301">
        <f t="shared" si="142"/>
        <v>0.5</v>
      </c>
      <c r="AF342" s="173">
        <f t="shared" si="143"/>
        <v>0.48917128514936081</v>
      </c>
      <c r="AG342" s="801">
        <f t="shared" si="149"/>
        <v>2</v>
      </c>
      <c r="AH342" s="172">
        <f t="shared" si="144"/>
        <v>8</v>
      </c>
      <c r="AI342" s="221">
        <f t="shared" si="145"/>
        <v>2.4891712851493608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46351</v>
      </c>
      <c r="B343" s="406">
        <f>'2025'!Wh/'2025'!Env_an*'2026'!Env_an</f>
        <v>17.912323799767019</v>
      </c>
      <c r="C343" s="831"/>
      <c r="D343" s="388">
        <f t="shared" si="127"/>
        <v>18.391123849160309</v>
      </c>
      <c r="E343" s="380">
        <f t="shared" si="125"/>
        <v>18.822494772300537</v>
      </c>
      <c r="F343" s="380">
        <f t="shared" si="128"/>
        <v>18.822494772300537</v>
      </c>
      <c r="G343" s="110">
        <f t="shared" si="126"/>
        <v>0.17438445279802567</v>
      </c>
      <c r="H343" s="409" t="b">
        <f>Wh_hp&gt;='2025'!Maxi_hp</f>
        <v>0</v>
      </c>
      <c r="I343" s="375">
        <f>IF(H343,Wh_hp,'2025'!Maxi_hp)</f>
        <v>18.882417047930645</v>
      </c>
      <c r="J343" s="85">
        <f>IF(H343,An,'2025'!An_max)</f>
        <v>2022</v>
      </c>
      <c r="K343" s="193">
        <f t="shared" si="129"/>
        <v>46351</v>
      </c>
      <c r="L343" s="143">
        <f>IF(t&lt;Tvie,1-EXP((T0-t)*PertePVj)+'2025'!Pspv,1-EXP((T0-t)*PertePVj)+Pspv)</f>
        <v>2.6034300748572825E-2</v>
      </c>
      <c r="M343" s="835"/>
      <c r="N343" s="835"/>
      <c r="O343" s="48">
        <f>IF(t&lt;Tnet,'2025'!Resal+('2025'!Salim-'2025'!Resal)*(1-EXP(('2025'!Tnet-t)/('2025'!Tau_j))),Resal+(Salim-Resal)*(1-EXP((Tnet-t)/(Tau_j))))*Salcycl</f>
        <v>2.2917839975976038E-2</v>
      </c>
      <c r="P343" s="334">
        <f>(INDEX(Models!$BJ343:$BT343,,T343)*(1-R343)+INDEX(Models!$BJ343:$BT343,,T343+1)*R343-ERP_i)*Q343*Ramure*Pc/MaxiM</f>
        <v>3.8738455331484333E-3</v>
      </c>
      <c r="Q343" s="301">
        <f t="shared" si="130"/>
        <v>0.5</v>
      </c>
      <c r="R343" s="173">
        <f t="shared" si="131"/>
        <v>0.48919233090075798</v>
      </c>
      <c r="S343" s="801">
        <f t="shared" si="132"/>
        <v>2</v>
      </c>
      <c r="T343" s="172">
        <f t="shared" si="133"/>
        <v>8</v>
      </c>
      <c r="U343" s="247">
        <f t="shared" si="134"/>
        <v>2.489192330900758</v>
      </c>
      <c r="V343" s="378">
        <f t="shared" si="135"/>
        <v>102.31952412003665</v>
      </c>
      <c r="W343" s="397">
        <f t="shared" si="136"/>
        <v>17.912323799767019</v>
      </c>
      <c r="X343" s="153">
        <f t="shared" si="137"/>
        <v>46351</v>
      </c>
      <c r="Y343" s="380">
        <f t="shared" si="138"/>
        <v>17.314836968297197</v>
      </c>
      <c r="Z343" s="380">
        <f t="shared" si="139"/>
        <v>17.77766607346139</v>
      </c>
      <c r="AA343" s="381">
        <f t="shared" si="140"/>
        <v>18.822494772300537</v>
      </c>
      <c r="AB343" s="193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5.5509575721956535E-2</v>
      </c>
      <c r="AD343" s="227">
        <f>(INDEX(Models!$BJ343:$BT343,,AH343)*(1-AF343)+INDEX(Models!$BJ343:$BT343,,AH343+1)*AF343-ERP_i)*AE343*Ramure*Pc/MaxiM</f>
        <v>3.8738455331484333E-3</v>
      </c>
      <c r="AE343" s="301">
        <f t="shared" si="142"/>
        <v>0.5</v>
      </c>
      <c r="AF343" s="173">
        <f t="shared" si="143"/>
        <v>0.48919233090075798</v>
      </c>
      <c r="AG343" s="801">
        <f t="shared" si="149"/>
        <v>2</v>
      </c>
      <c r="AH343" s="172">
        <f t="shared" si="144"/>
        <v>8</v>
      </c>
      <c r="AI343" s="221">
        <f t="shared" si="145"/>
        <v>2.489192330900758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46352</v>
      </c>
      <c r="B344" s="406">
        <f>'2025'!Wh/'2025'!Env_an*'2026'!Env_an</f>
        <v>53.919298939619516</v>
      </c>
      <c r="C344" s="831"/>
      <c r="D344" s="388">
        <f t="shared" si="127"/>
        <v>55.361330590069926</v>
      </c>
      <c r="E344" s="380">
        <f t="shared" si="125"/>
        <v>56.662911973524565</v>
      </c>
      <c r="F344" s="380">
        <f t="shared" si="128"/>
        <v>56.735483498533185</v>
      </c>
      <c r="G344" s="110">
        <f t="shared" si="126"/>
        <v>0.53023816350815633</v>
      </c>
      <c r="H344" s="409" t="b">
        <f>Wh_hp&gt;='2025'!Maxi_hp</f>
        <v>0</v>
      </c>
      <c r="I344" s="375">
        <f>IF(H344,Wh_hp,'2025'!Maxi_hp)</f>
        <v>56.855945185650661</v>
      </c>
      <c r="J344" s="85">
        <f>IF(H344,An,'2025'!An_max)</f>
        <v>2022</v>
      </c>
      <c r="K344" s="193">
        <f t="shared" si="129"/>
        <v>46352</v>
      </c>
      <c r="L344" s="143">
        <f>IF(t&lt;Tvie,1-EXP((T0-t)*PertePVj)+'2025'!Pspv,1-EXP((T0-t)*PertePVj)+Pspv)</f>
        <v>2.6047633521096514E-2</v>
      </c>
      <c r="M344" s="835"/>
      <c r="N344" s="835"/>
      <c r="O344" s="48">
        <f>IF(t&lt;Tnet,'2025'!Resal+('2025'!Salim-'2025'!Resal)*(1-EXP(('2025'!Tnet-t)/('2025'!Tau_j))),Resal+(Salim-Resal)*(1-EXP((Tnet-t)/(Tau_j))))*Salcycl</f>
        <v>2.2970605253446796E-2</v>
      </c>
      <c r="P344" s="334">
        <f>(INDEX(Models!$BJ344:$BT344,,T344)*(1-R344)+INDEX(Models!$BJ344:$BT344,,T344+1)*R344-ERP_i)*Q344*Ramure*Pc/MaxiM</f>
        <v>3.8658298730656405E-3</v>
      </c>
      <c r="Q344" s="301">
        <f t="shared" si="130"/>
        <v>0.5</v>
      </c>
      <c r="R344" s="173">
        <f t="shared" si="131"/>
        <v>0.4892125309541564</v>
      </c>
      <c r="S344" s="801">
        <f t="shared" si="132"/>
        <v>2</v>
      </c>
      <c r="T344" s="172">
        <f t="shared" si="133"/>
        <v>8</v>
      </c>
      <c r="U344" s="247">
        <f t="shared" si="134"/>
        <v>2.4892125309541564</v>
      </c>
      <c r="V344" s="378">
        <f t="shared" si="135"/>
        <v>101.42545455537353</v>
      </c>
      <c r="W344" s="397">
        <f t="shared" si="136"/>
        <v>53.919298939619516</v>
      </c>
      <c r="X344" s="153">
        <f t="shared" si="137"/>
        <v>46352</v>
      </c>
      <c r="Y344" s="380">
        <f t="shared" si="138"/>
        <v>52.123446311304981</v>
      </c>
      <c r="Z344" s="380">
        <f t="shared" si="139"/>
        <v>53.517449215452999</v>
      </c>
      <c r="AA344" s="381">
        <f t="shared" si="140"/>
        <v>56.662911973524565</v>
      </c>
      <c r="AB344" s="193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5.5511844494354139E-2</v>
      </c>
      <c r="AD344" s="227">
        <f>(INDEX(Models!$BJ344:$BT344,,AH344)*(1-AF344)+INDEX(Models!$BJ344:$BT344,,AH344+1)*AF344-ERP_i)*AE344*Ramure*Pc/MaxiM</f>
        <v>3.8658298730656405E-3</v>
      </c>
      <c r="AE344" s="301">
        <f t="shared" si="142"/>
        <v>0.5</v>
      </c>
      <c r="AF344" s="173">
        <f t="shared" si="143"/>
        <v>0.4892125309541564</v>
      </c>
      <c r="AG344" s="801">
        <f t="shared" si="149"/>
        <v>2</v>
      </c>
      <c r="AH344" s="172">
        <f t="shared" si="144"/>
        <v>8</v>
      </c>
      <c r="AI344" s="221">
        <f t="shared" si="145"/>
        <v>2.4892125309541564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46353</v>
      </c>
      <c r="B345" s="406">
        <f>'2025'!Wh/'2025'!Env_an*'2026'!Env_an</f>
        <v>58.72802073147318</v>
      </c>
      <c r="C345" s="831"/>
      <c r="D345" s="388">
        <f t="shared" si="127"/>
        <v>60.299483528219277</v>
      </c>
      <c r="E345" s="380">
        <f t="shared" si="125"/>
        <v>61.720515648797814</v>
      </c>
      <c r="F345" s="380">
        <f t="shared" si="128"/>
        <v>61.816986565287259</v>
      </c>
      <c r="G345" s="110">
        <f t="shared" si="126"/>
        <v>0.58262232131382352</v>
      </c>
      <c r="H345" s="409" t="b">
        <f>Wh_hp&gt;='2025'!Maxi_hp</f>
        <v>0</v>
      </c>
      <c r="I345" s="375">
        <f>IF(H345,Wh_hp,'2025'!Maxi_hp)</f>
        <v>61.932817208554482</v>
      </c>
      <c r="J345" s="85">
        <f>IF(H345,An,'2025'!An_max)</f>
        <v>2022</v>
      </c>
      <c r="K345" s="193">
        <f t="shared" si="129"/>
        <v>46353</v>
      </c>
      <c r="L345" s="143">
        <f>IF(t&lt;Tvie,1-EXP((T0-t)*PertePVj)+'2025'!Pspv,1-EXP((T0-t)*PertePVj)+Pspv)</f>
        <v>2.6060966111105643E-2</v>
      </c>
      <c r="M345" s="835"/>
      <c r="N345" s="835"/>
      <c r="O345" s="48">
        <f>IF(t&lt;Tnet,'2025'!Resal+('2025'!Salim-'2025'!Resal)*(1-EXP(('2025'!Tnet-t)/('2025'!Tau_j))),Resal+(Salim-Resal)*(1-EXP((Tnet-t)/(Tau_j))))*Salcycl</f>
        <v>2.3023659242649451E-2</v>
      </c>
      <c r="P345" s="334">
        <f>(INDEX(Models!$BJ345:$BT345,,T345)*(1-R345)+INDEX(Models!$BJ345:$BT345,,T345+1)*R345-ERP_i)*Q345*Ramure*Pc/MaxiM</f>
        <v>3.8470694536566191E-3</v>
      </c>
      <c r="Q345" s="301">
        <f t="shared" si="130"/>
        <v>0.5</v>
      </c>
      <c r="R345" s="173">
        <f t="shared" si="131"/>
        <v>0.48923191922861697</v>
      </c>
      <c r="S345" s="801">
        <f t="shared" si="132"/>
        <v>2</v>
      </c>
      <c r="T345" s="172">
        <f t="shared" si="133"/>
        <v>8</v>
      </c>
      <c r="U345" s="247">
        <f t="shared" si="134"/>
        <v>2.489231919228617</v>
      </c>
      <c r="V345" s="378">
        <f t="shared" si="135"/>
        <v>100.56863295344611</v>
      </c>
      <c r="W345" s="397">
        <f t="shared" si="136"/>
        <v>58.72802073147318</v>
      </c>
      <c r="X345" s="153">
        <f t="shared" si="137"/>
        <v>46353</v>
      </c>
      <c r="Y345" s="380">
        <f t="shared" si="138"/>
        <v>56.774897040460331</v>
      </c>
      <c r="Z345" s="380">
        <f t="shared" si="139"/>
        <v>58.294097540952585</v>
      </c>
      <c r="AA345" s="381">
        <f t="shared" si="140"/>
        <v>61.720515648797814</v>
      </c>
      <c r="AB345" s="193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5.5515059649570014E-2</v>
      </c>
      <c r="AD345" s="227">
        <f>(INDEX(Models!$BJ345:$BT345,,AH345)*(1-AF345)+INDEX(Models!$BJ345:$BT345,,AH345+1)*AF345-ERP_i)*AE345*Ramure*Pc/MaxiM</f>
        <v>3.8470694536566191E-3</v>
      </c>
      <c r="AE345" s="301">
        <f t="shared" si="142"/>
        <v>0.5</v>
      </c>
      <c r="AF345" s="173">
        <f t="shared" si="143"/>
        <v>0.48923191922861697</v>
      </c>
      <c r="AG345" s="801">
        <f t="shared" si="149"/>
        <v>2</v>
      </c>
      <c r="AH345" s="172">
        <f t="shared" si="144"/>
        <v>8</v>
      </c>
      <c r="AI345" s="221">
        <f t="shared" si="145"/>
        <v>2.489231919228617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46354</v>
      </c>
      <c r="B346" s="406">
        <f>'2025'!Wh/'2025'!Env_an*'2026'!Env_an</f>
        <v>38.176188796560147</v>
      </c>
      <c r="C346" s="831"/>
      <c r="D346" s="388">
        <f t="shared" si="127"/>
        <v>39.198255820225256</v>
      </c>
      <c r="E346" s="380">
        <f t="shared" si="125"/>
        <v>40.12420231894248</v>
      </c>
      <c r="F346" s="380">
        <f t="shared" si="128"/>
        <v>40.142328117256376</v>
      </c>
      <c r="G346" s="110">
        <f t="shared" si="126"/>
        <v>0.38147938858369551</v>
      </c>
      <c r="H346" s="409" t="b">
        <f>Wh_hp&gt;='2025'!Maxi_hp</f>
        <v>0</v>
      </c>
      <c r="I346" s="375">
        <f>IF(H346,Wh_hp,'2025'!Maxi_hp)</f>
        <v>40.252888141714507</v>
      </c>
      <c r="J346" s="85">
        <f>IF(H346,An,'2025'!An_max)</f>
        <v>2022</v>
      </c>
      <c r="K346" s="193">
        <f t="shared" si="129"/>
        <v>46354</v>
      </c>
      <c r="L346" s="143">
        <f>IF(t&lt;Tvie,1-EXP((T0-t)*PertePVj)+'2025'!Pspv,1-EXP((T0-t)*PertePVj)+Pspv)</f>
        <v>2.6074298518602768E-2</v>
      </c>
      <c r="M346" s="835"/>
      <c r="N346" s="835"/>
      <c r="O346" s="48">
        <f>IF(t&lt;Tnet,'2025'!Resal+('2025'!Salim-'2025'!Resal)*(1-EXP(('2025'!Tnet-t)/('2025'!Tau_j))),Resal+(Salim-Resal)*(1-EXP((Tnet-t)/(Tau_j))))*Salcycl</f>
        <v>2.3077007023267104E-2</v>
      </c>
      <c r="P346" s="334">
        <f>(INDEX(Models!$BJ346:$BT346,,T346)*(1-R346)+INDEX(Models!$BJ346:$BT346,,T346+1)*R346-ERP_i)*Q346*Ramure*Pc/MaxiM</f>
        <v>3.8187893923616605E-3</v>
      </c>
      <c r="Q346" s="301">
        <f t="shared" si="130"/>
        <v>0.5</v>
      </c>
      <c r="R346" s="173">
        <f t="shared" si="131"/>
        <v>0.48925052828785187</v>
      </c>
      <c r="S346" s="801">
        <f t="shared" si="132"/>
        <v>2</v>
      </c>
      <c r="T346" s="172">
        <f t="shared" si="133"/>
        <v>8</v>
      </c>
      <c r="U346" s="247">
        <f t="shared" si="134"/>
        <v>2.4892505282878519</v>
      </c>
      <c r="V346" s="378">
        <f t="shared" si="135"/>
        <v>99.736926949550366</v>
      </c>
      <c r="W346" s="397">
        <f t="shared" si="136"/>
        <v>38.176188796560147</v>
      </c>
      <c r="X346" s="153">
        <f t="shared" si="137"/>
        <v>46354</v>
      </c>
      <c r="Y346" s="380">
        <f t="shared" si="138"/>
        <v>36.908412012723502</v>
      </c>
      <c r="Z346" s="380">
        <f t="shared" si="139"/>
        <v>37.89653764818371</v>
      </c>
      <c r="AA346" s="381">
        <f t="shared" si="140"/>
        <v>40.12420231894248</v>
      </c>
      <c r="AB346" s="193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5.5519226352497439E-2</v>
      </c>
      <c r="AD346" s="227">
        <f>(INDEX(Models!$BJ346:$BT346,,AH346)*(1-AF346)+INDEX(Models!$BJ346:$BT346,,AH346+1)*AF346-ERP_i)*AE346*Ramure*Pc/MaxiM</f>
        <v>3.8187893923616605E-3</v>
      </c>
      <c r="AE346" s="301">
        <f t="shared" si="142"/>
        <v>0.5</v>
      </c>
      <c r="AF346" s="173">
        <f t="shared" si="143"/>
        <v>0.48925052828785187</v>
      </c>
      <c r="AG346" s="801">
        <f t="shared" si="149"/>
        <v>2</v>
      </c>
      <c r="AH346" s="172">
        <f t="shared" si="144"/>
        <v>8</v>
      </c>
      <c r="AI346" s="221">
        <f t="shared" si="145"/>
        <v>2.4892505282878519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46355</v>
      </c>
      <c r="B347" s="406">
        <f>'2025'!Wh/'2025'!Env_an*'2026'!Env_an</f>
        <v>54.390377799372793</v>
      </c>
      <c r="C347" s="831"/>
      <c r="D347" s="388">
        <f t="shared" si="127"/>
        <v>55.847301581045038</v>
      </c>
      <c r="E347" s="380">
        <f t="shared" si="125"/>
        <v>57.169673415318243</v>
      </c>
      <c r="F347" s="380">
        <f t="shared" si="128"/>
        <v>57.246971108539022</v>
      </c>
      <c r="G347" s="110">
        <f t="shared" si="126"/>
        <v>0.54843550681945819</v>
      </c>
      <c r="H347" s="409" t="b">
        <f>Wh_hp&gt;='2025'!Maxi_hp</f>
        <v>0</v>
      </c>
      <c r="I347" s="375">
        <f>IF(H347,Wh_hp,'2025'!Maxi_hp)</f>
        <v>57.360785760520933</v>
      </c>
      <c r="J347" s="85">
        <f>IF(H347,An,'2025'!An_max)</f>
        <v>2022</v>
      </c>
      <c r="K347" s="193">
        <f t="shared" si="129"/>
        <v>46355</v>
      </c>
      <c r="L347" s="143">
        <f>IF(t&lt;Tvie,1-EXP((T0-t)*PertePVj)+'2025'!Pspv,1-EXP((T0-t)*PertePVj)+Pspv)</f>
        <v>2.6087630743590551E-2</v>
      </c>
      <c r="M347" s="835"/>
      <c r="N347" s="835"/>
      <c r="O347" s="48">
        <f>IF(t&lt;Tnet,'2025'!Resal+('2025'!Salim-'2025'!Resal)*(1-EXP(('2025'!Tnet-t)/('2025'!Tau_j))),Resal+(Salim-Resal)*(1-EXP((Tnet-t)/(Tau_j))))*Salcycl</f>
        <v>2.3130652237010715E-2</v>
      </c>
      <c r="P347" s="334">
        <f>(INDEX(Models!$BJ347:$BT347,,T347)*(1-R347)+INDEX(Models!$BJ347:$BT347,,T347+1)*R347-ERP_i)*Q347*Ramure*Pc/MaxiM</f>
        <v>3.7840983988359348E-3</v>
      </c>
      <c r="Q347" s="301">
        <f t="shared" si="130"/>
        <v>0.5</v>
      </c>
      <c r="R347" s="173">
        <f t="shared" si="131"/>
        <v>0.4892683893939811</v>
      </c>
      <c r="S347" s="801">
        <f t="shared" si="132"/>
        <v>2</v>
      </c>
      <c r="T347" s="172">
        <f t="shared" si="133"/>
        <v>8</v>
      </c>
      <c r="U347" s="247">
        <f t="shared" si="134"/>
        <v>2.4892683893939811</v>
      </c>
      <c r="V347" s="378">
        <f t="shared" si="135"/>
        <v>98.931998708683693</v>
      </c>
      <c r="W347" s="397">
        <f t="shared" si="136"/>
        <v>54.390377799372793</v>
      </c>
      <c r="X347" s="153">
        <f t="shared" si="137"/>
        <v>46355</v>
      </c>
      <c r="Y347" s="380">
        <f t="shared" si="138"/>
        <v>52.586753535395971</v>
      </c>
      <c r="Z347" s="380">
        <f t="shared" si="139"/>
        <v>53.995364670793137</v>
      </c>
      <c r="AA347" s="381">
        <f t="shared" si="140"/>
        <v>57.169673415318243</v>
      </c>
      <c r="AB347" s="193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5.5524346299214121E-2</v>
      </c>
      <c r="AD347" s="227">
        <f>(INDEX(Models!$BJ347:$BT347,,AH347)*(1-AF347)+INDEX(Models!$BJ347:$BT347,,AH347+1)*AF347-ERP_i)*AE347*Ramure*Pc/MaxiM</f>
        <v>3.7840983988359348E-3</v>
      </c>
      <c r="AE347" s="301">
        <f t="shared" si="142"/>
        <v>0.5</v>
      </c>
      <c r="AF347" s="173">
        <f t="shared" si="143"/>
        <v>0.4892683893939811</v>
      </c>
      <c r="AG347" s="801">
        <f t="shared" si="149"/>
        <v>2</v>
      </c>
      <c r="AH347" s="172">
        <f t="shared" si="144"/>
        <v>8</v>
      </c>
      <c r="AI347" s="221">
        <f t="shared" si="145"/>
        <v>2.4892683893939811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46356</v>
      </c>
      <c r="B348" s="406">
        <f>'2025'!Wh/'2025'!Env_an*'2026'!Env_an</f>
        <v>21.574691457662816</v>
      </c>
      <c r="C348" s="831"/>
      <c r="D348" s="388">
        <f t="shared" si="127"/>
        <v>22.152903569329307</v>
      </c>
      <c r="E348" s="380">
        <f t="shared" si="125"/>
        <v>22.678700093754337</v>
      </c>
      <c r="F348" s="380">
        <f t="shared" si="128"/>
        <v>22.678700093754337</v>
      </c>
      <c r="G348" s="110">
        <f t="shared" si="126"/>
        <v>0.21897770070786701</v>
      </c>
      <c r="H348" s="409" t="b">
        <f>Wh_hp&gt;='2025'!Maxi_hp</f>
        <v>0</v>
      </c>
      <c r="I348" s="375">
        <f>IF(H348,Wh_hp,'2025'!Maxi_hp)</f>
        <v>22.747934672139031</v>
      </c>
      <c r="J348" s="85">
        <f>IF(H348,An,'2025'!An_max)</f>
        <v>2022</v>
      </c>
      <c r="K348" s="193">
        <f t="shared" si="129"/>
        <v>46356</v>
      </c>
      <c r="L348" s="143">
        <f>IF(t&lt;Tvie,1-EXP((T0-t)*PertePVj)+'2025'!Pspv,1-EXP((T0-t)*PertePVj)+Pspv)</f>
        <v>2.6100962786071324E-2</v>
      </c>
      <c r="M348" s="835"/>
      <c r="N348" s="835"/>
      <c r="O348" s="48">
        <f>IF(t&lt;Tnet,'2025'!Resal+('2025'!Salim-'2025'!Resal)*(1-EXP(('2025'!Tnet-t)/('2025'!Tau_j))),Resal+(Salim-Resal)*(1-EXP((Tnet-t)/(Tau_j))))*Salcycl</f>
        <v>2.3184597099982523E-2</v>
      </c>
      <c r="P348" s="334">
        <f>(INDEX(Models!$BJ348:$BT348,,T348)*(1-R348)+INDEX(Models!$BJ348:$BT348,,T348+1)*R348-ERP_i)*Q348*Ramure*Pc/MaxiM</f>
        <v>3.7428572647634608E-3</v>
      </c>
      <c r="Q348" s="301">
        <f t="shared" si="130"/>
        <v>0.5</v>
      </c>
      <c r="R348" s="173">
        <f t="shared" si="131"/>
        <v>0.48928553255918983</v>
      </c>
      <c r="S348" s="801">
        <f t="shared" si="132"/>
        <v>2</v>
      </c>
      <c r="T348" s="172">
        <f t="shared" si="133"/>
        <v>8</v>
      </c>
      <c r="U348" s="247">
        <f t="shared" si="134"/>
        <v>2.4892855325591898</v>
      </c>
      <c r="V348" s="378">
        <f t="shared" si="135"/>
        <v>98.155841428255897</v>
      </c>
      <c r="W348" s="397">
        <f t="shared" si="136"/>
        <v>21.574691457662816</v>
      </c>
      <c r="X348" s="153">
        <f t="shared" si="137"/>
        <v>46356</v>
      </c>
      <c r="Y348" s="380">
        <f t="shared" si="138"/>
        <v>20.860276943768202</v>
      </c>
      <c r="Z348" s="380">
        <f t="shared" si="139"/>
        <v>21.419342402723817</v>
      </c>
      <c r="AA348" s="381">
        <f t="shared" si="140"/>
        <v>22.678700093754337</v>
      </c>
      <c r="AB348" s="193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5.5530417785159804E-2</v>
      </c>
      <c r="AD348" s="227">
        <f>(INDEX(Models!$BJ348:$BT348,,AH348)*(1-AF348)+INDEX(Models!$BJ348:$BT348,,AH348+1)*AF348-ERP_i)*AE348*Ramure*Pc/MaxiM</f>
        <v>3.7428572647634608E-3</v>
      </c>
      <c r="AE348" s="301">
        <f t="shared" si="142"/>
        <v>0.5</v>
      </c>
      <c r="AF348" s="173">
        <f t="shared" si="143"/>
        <v>0.48928553255918983</v>
      </c>
      <c r="AG348" s="801">
        <f t="shared" si="149"/>
        <v>2</v>
      </c>
      <c r="AH348" s="172">
        <f t="shared" si="144"/>
        <v>8</v>
      </c>
      <c r="AI348" s="221">
        <f t="shared" si="145"/>
        <v>2.4892855325591898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46357</v>
      </c>
      <c r="B349" s="406">
        <f>'2025'!Wh/'2025'!Env_an*'2026'!Env_an</f>
        <v>16.204505806424024</v>
      </c>
      <c r="C349" s="831"/>
      <c r="D349" s="388">
        <f t="shared" si="127"/>
        <v>16.639022133028025</v>
      </c>
      <c r="E349" s="380">
        <f t="shared" si="125"/>
        <v>17.034893334946617</v>
      </c>
      <c r="F349" s="380">
        <f t="shared" si="128"/>
        <v>17.034893334946617</v>
      </c>
      <c r="G349" s="110">
        <f t="shared" si="126"/>
        <v>0.16573818860382231</v>
      </c>
      <c r="H349" s="409" t="b">
        <f>Wh_hp&gt;='2025'!Maxi_hp</f>
        <v>0</v>
      </c>
      <c r="I349" s="375">
        <f>IF(H349,Wh_hp,'2025'!Maxi_hp)</f>
        <v>17.086180397127045</v>
      </c>
      <c r="J349" s="85">
        <f>IF(H349,An,'2025'!An_max)</f>
        <v>2022</v>
      </c>
      <c r="K349" s="193">
        <f t="shared" si="129"/>
        <v>46357</v>
      </c>
      <c r="L349" s="143">
        <f>IF(t&lt;Tvie,1-EXP((T0-t)*PertePVj)+'2025'!Pspv,1-EXP((T0-t)*PertePVj)+Pspv)</f>
        <v>2.6114294646047642E-2</v>
      </c>
      <c r="M349" s="835"/>
      <c r="N349" s="835"/>
      <c r="O349" s="48">
        <f>IF(t&lt;Tnet,'2025'!Resal+('2025'!Salim-'2025'!Resal)*(1-EXP(('2025'!Tnet-t)/('2025'!Tau_j))),Resal+(Salim-Resal)*(1-EXP((Tnet-t)/(Tau_j))))*Salcycl</f>
        <v>2.3238842423889478E-2</v>
      </c>
      <c r="P349" s="334">
        <f>(INDEX(Models!$BJ349:$BT349,,T349)*(1-R349)+INDEX(Models!$BJ349:$BT349,,T349+1)*R349-ERP_i)*Q349*Ramure*Pc/MaxiM</f>
        <v>3.6949256875245997E-3</v>
      </c>
      <c r="Q349" s="301">
        <f t="shared" si="130"/>
        <v>0.5</v>
      </c>
      <c r="R349" s="173">
        <f t="shared" si="131"/>
        <v>0.48930198659536561</v>
      </c>
      <c r="S349" s="801">
        <f t="shared" si="132"/>
        <v>2</v>
      </c>
      <c r="T349" s="172">
        <f t="shared" si="133"/>
        <v>8</v>
      </c>
      <c r="U349" s="247">
        <f t="shared" si="134"/>
        <v>2.4893019865953656</v>
      </c>
      <c r="V349" s="378">
        <f t="shared" si="135"/>
        <v>97.410448959702791</v>
      </c>
      <c r="W349" s="397">
        <f t="shared" si="136"/>
        <v>16.204505806424024</v>
      </c>
      <c r="X349" s="153">
        <f t="shared" si="137"/>
        <v>46357</v>
      </c>
      <c r="Y349" s="380">
        <f t="shared" si="138"/>
        <v>15.668670879190547</v>
      </c>
      <c r="Z349" s="380">
        <f t="shared" si="139"/>
        <v>16.088819040110945</v>
      </c>
      <c r="AA349" s="381">
        <f t="shared" si="140"/>
        <v>17.034893334946617</v>
      </c>
      <c r="AB349" s="193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5.553743579332112E-2</v>
      </c>
      <c r="AD349" s="227">
        <f>(INDEX(Models!$BJ349:$BT349,,AH349)*(1-AF349)+INDEX(Models!$BJ349:$BT349,,AH349+1)*AF349-ERP_i)*AE349*Ramure*Pc/MaxiM</f>
        <v>3.6949256875245997E-3</v>
      </c>
      <c r="AE349" s="301">
        <f t="shared" si="142"/>
        <v>0.5</v>
      </c>
      <c r="AF349" s="173">
        <f t="shared" si="143"/>
        <v>0.48930198659536561</v>
      </c>
      <c r="AG349" s="801">
        <f t="shared" si="149"/>
        <v>2</v>
      </c>
      <c r="AH349" s="172">
        <f t="shared" si="144"/>
        <v>8</v>
      </c>
      <c r="AI349" s="221">
        <f t="shared" si="145"/>
        <v>2.4893019865953656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46358</v>
      </c>
      <c r="B350" s="406">
        <f>'2025'!Wh/'2025'!Env_an*'2026'!Env_an</f>
        <v>26.130522818617582</v>
      </c>
      <c r="C350" s="831"/>
      <c r="D350" s="388">
        <f t="shared" si="127"/>
        <v>26.831568001022465</v>
      </c>
      <c r="E350" s="380">
        <f t="shared" si="125"/>
        <v>27.471471639115101</v>
      </c>
      <c r="F350" s="380">
        <f t="shared" si="128"/>
        <v>27.471471639115101</v>
      </c>
      <c r="G350" s="110">
        <f t="shared" si="126"/>
        <v>0.26924500027255632</v>
      </c>
      <c r="H350" s="409" t="b">
        <f>Wh_hp&gt;='2025'!Maxi_hp</f>
        <v>0</v>
      </c>
      <c r="I350" s="375">
        <f>IF(H350,Wh_hp,'2025'!Maxi_hp)</f>
        <v>27.5528918378476</v>
      </c>
      <c r="J350" s="85">
        <f>IF(H350,An,'2025'!An_max)</f>
        <v>2022</v>
      </c>
      <c r="K350" s="193">
        <f t="shared" si="129"/>
        <v>46358</v>
      </c>
      <c r="L350" s="143">
        <f>IF(t&lt;Tvie,1-EXP((T0-t)*PertePVj)+'2025'!Pspv,1-EXP((T0-t)*PertePVj)+Pspv)</f>
        <v>2.6127626323521946E-2</v>
      </c>
      <c r="M350" s="835"/>
      <c r="N350" s="835"/>
      <c r="O350" s="48">
        <f>IF(t&lt;Tnet,'2025'!Resal+('2025'!Salim-'2025'!Resal)*(1-EXP(('2025'!Tnet-t)/('2025'!Tau_j))),Resal+(Salim-Resal)*(1-EXP((Tnet-t)/(Tau_j))))*Salcycl</f>
        <v>2.3293387645877472E-2</v>
      </c>
      <c r="P350" s="334">
        <f>(INDEX(Models!$BJ350:$BT350,,T350)*(1-R350)+INDEX(Models!$BJ350:$BT350,,T350+1)*R350-ERP_i)*Q350*Ramure*Pc/MaxiM</f>
        <v>3.6401643098279172E-3</v>
      </c>
      <c r="Q350" s="301">
        <f t="shared" si="130"/>
        <v>0.5</v>
      </c>
      <c r="R350" s="173">
        <f t="shared" si="131"/>
        <v>0.48931777916178731</v>
      </c>
      <c r="S350" s="801">
        <f t="shared" si="132"/>
        <v>2</v>
      </c>
      <c r="T350" s="172">
        <f t="shared" si="133"/>
        <v>8</v>
      </c>
      <c r="U350" s="247">
        <f t="shared" si="134"/>
        <v>2.4893177791617873</v>
      </c>
      <c r="V350" s="378">
        <f t="shared" si="135"/>
        <v>96.697815728056241</v>
      </c>
      <c r="W350" s="397">
        <f t="shared" si="136"/>
        <v>26.130522818617582</v>
      </c>
      <c r="X350" s="153">
        <f t="shared" si="137"/>
        <v>46358</v>
      </c>
      <c r="Y350" s="380">
        <f t="shared" si="138"/>
        <v>25.267662131778838</v>
      </c>
      <c r="Z350" s="380">
        <f t="shared" si="139"/>
        <v>25.945557975313093</v>
      </c>
      <c r="AA350" s="381">
        <f t="shared" si="140"/>
        <v>27.471471639115101</v>
      </c>
      <c r="AB350" s="193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5.5545392101577259E-2</v>
      </c>
      <c r="AD350" s="227">
        <f>(INDEX(Models!$BJ350:$BT350,,AH350)*(1-AF350)+INDEX(Models!$BJ350:$BT350,,AH350+1)*AF350-ERP_i)*AE350*Ramure*Pc/MaxiM</f>
        <v>3.6401643098279172E-3</v>
      </c>
      <c r="AE350" s="301">
        <f t="shared" si="142"/>
        <v>0.5</v>
      </c>
      <c r="AF350" s="173">
        <f t="shared" si="143"/>
        <v>0.48931777916178731</v>
      </c>
      <c r="AG350" s="801">
        <f t="shared" si="149"/>
        <v>2</v>
      </c>
      <c r="AH350" s="172">
        <f t="shared" si="144"/>
        <v>8</v>
      </c>
      <c r="AI350" s="221">
        <f t="shared" si="145"/>
        <v>2.4893177791617873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46359</v>
      </c>
      <c r="B351" s="406">
        <f>'2025'!Wh/'2025'!Env_an*'2026'!Env_an</f>
        <v>35.829425467092712</v>
      </c>
      <c r="C351" s="831"/>
      <c r="D351" s="388">
        <f t="shared" si="127"/>
        <v>36.791182209319153</v>
      </c>
      <c r="E351" s="380">
        <f t="shared" si="125"/>
        <v>37.670727041192933</v>
      </c>
      <c r="F351" s="380">
        <f t="shared" si="128"/>
        <v>37.684818322908967</v>
      </c>
      <c r="G351" s="110">
        <f t="shared" si="126"/>
        <v>0.37194949218501372</v>
      </c>
      <c r="H351" s="409" t="b">
        <f>Wh_hp&gt;='2025'!Maxi_hp</f>
        <v>0</v>
      </c>
      <c r="I351" s="375">
        <f>IF(H351,Wh_hp,'2025'!Maxi_hp)</f>
        <v>37.783098286209089</v>
      </c>
      <c r="J351" s="85">
        <f>IF(H351,An,'2025'!An_max)</f>
        <v>2022</v>
      </c>
      <c r="K351" s="193">
        <f t="shared" si="129"/>
        <v>46359</v>
      </c>
      <c r="L351" s="143">
        <f>IF(t&lt;Tvie,1-EXP((T0-t)*PertePVj)+'2025'!Pspv,1-EXP((T0-t)*PertePVj)+Pspv)</f>
        <v>2.6140957818496791E-2</v>
      </c>
      <c r="M351" s="835"/>
      <c r="N351" s="835"/>
      <c r="O351" s="48">
        <f>IF(t&lt;Tnet,'2025'!Resal+('2025'!Salim-'2025'!Resal)*(1-EXP(('2025'!Tnet-t)/('2025'!Tau_j))),Resal+(Salim-Resal)*(1-EXP((Tnet-t)/(Tau_j))))*Salcycl</f>
        <v>2.3348230866688569E-2</v>
      </c>
      <c r="P351" s="334">
        <f>(INDEX(Models!$BJ351:$BT351,,T351)*(1-R351)+INDEX(Models!$BJ351:$BT351,,T351+1)*R351-ERP_i)*Q351*Ramure*Pc/MaxiM</f>
        <v>3.5784369850373502E-3</v>
      </c>
      <c r="Q351" s="301">
        <f t="shared" si="130"/>
        <v>0.5</v>
      </c>
      <c r="R351" s="173">
        <f t="shared" si="131"/>
        <v>0.4893329368109498</v>
      </c>
      <c r="S351" s="801">
        <f t="shared" si="132"/>
        <v>2</v>
      </c>
      <c r="T351" s="172">
        <f t="shared" si="133"/>
        <v>8</v>
      </c>
      <c r="U351" s="247">
        <f t="shared" si="134"/>
        <v>2.4893329368109498</v>
      </c>
      <c r="V351" s="378">
        <f t="shared" si="135"/>
        <v>96.019936664372352</v>
      </c>
      <c r="W351" s="397">
        <f t="shared" si="136"/>
        <v>35.829425467092712</v>
      </c>
      <c r="X351" s="153">
        <f t="shared" si="137"/>
        <v>46359</v>
      </c>
      <c r="Y351" s="380">
        <f t="shared" si="138"/>
        <v>34.647915220595692</v>
      </c>
      <c r="Z351" s="380">
        <f t="shared" si="139"/>
        <v>35.577957096318855</v>
      </c>
      <c r="AA351" s="381">
        <f t="shared" si="140"/>
        <v>37.670727041192933</v>
      </c>
      <c r="AB351" s="193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5.555427540821381E-2</v>
      </c>
      <c r="AD351" s="227">
        <f>(INDEX(Models!$BJ351:$BT351,,AH351)*(1-AF351)+INDEX(Models!$BJ351:$BT351,,AH351+1)*AF351-ERP_i)*AE351*Ramure*Pc/MaxiM</f>
        <v>3.5784369850373502E-3</v>
      </c>
      <c r="AE351" s="301">
        <f t="shared" si="142"/>
        <v>0.5</v>
      </c>
      <c r="AF351" s="173">
        <f t="shared" si="143"/>
        <v>0.4893329368109498</v>
      </c>
      <c r="AG351" s="801">
        <f t="shared" si="149"/>
        <v>2</v>
      </c>
      <c r="AH351" s="172">
        <f t="shared" si="144"/>
        <v>8</v>
      </c>
      <c r="AI351" s="221">
        <f t="shared" si="145"/>
        <v>2.4893329368109498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46360</v>
      </c>
      <c r="B352" s="406">
        <f>'2025'!Wh/'2025'!Env_an*'2026'!Env_an</f>
        <v>76.875628176312958</v>
      </c>
      <c r="C352" s="831"/>
      <c r="D352" s="388">
        <f t="shared" si="127"/>
        <v>78.94025441433827</v>
      </c>
      <c r="E352" s="380">
        <f t="shared" si="125"/>
        <v>80.831995421858608</v>
      </c>
      <c r="F352" s="380">
        <f t="shared" si="128"/>
        <v>81.037790500350667</v>
      </c>
      <c r="G352" s="110">
        <f t="shared" si="126"/>
        <v>0.80521933651977717</v>
      </c>
      <c r="H352" s="409" t="b">
        <f>Wh_hp&gt;='2025'!Maxi_hp</f>
        <v>0</v>
      </c>
      <c r="I352" s="375">
        <f>IF(H352,Wh_hp,'2025'!Maxi_hp)</f>
        <v>81.102007560946589</v>
      </c>
      <c r="J352" s="85">
        <f>IF(H352,An,'2025'!An_max)</f>
        <v>2022</v>
      </c>
      <c r="K352" s="193">
        <f t="shared" si="129"/>
        <v>46360</v>
      </c>
      <c r="L352" s="143">
        <f>IF(t&lt;Tvie,1-EXP((T0-t)*PertePVj)+'2025'!Pspv,1-EXP((T0-t)*PertePVj)+Pspv)</f>
        <v>2.6154289130974728E-2</v>
      </c>
      <c r="M352" s="835"/>
      <c r="N352" s="835"/>
      <c r="O352" s="48">
        <f>IF(t&lt;Tnet,'2025'!Resal+('2025'!Salim-'2025'!Resal)*(1-EXP(('2025'!Tnet-t)/('2025'!Tau_j))),Resal+(Salim-Resal)*(1-EXP((Tnet-t)/(Tau_j))))*Salcycl</f>
        <v>2.340336889677682E-2</v>
      </c>
      <c r="P352" s="334">
        <f>(INDEX(Models!$BJ352:$BT352,,T352)*(1-R352)+INDEX(Models!$BJ352:$BT352,,T352+1)*R352-ERP_i)*Q352*Ramure*Pc/MaxiM</f>
        <v>3.5130935486514777E-3</v>
      </c>
      <c r="Q352" s="301">
        <f t="shared" si="130"/>
        <v>0.5</v>
      </c>
      <c r="R352" s="173">
        <f t="shared" si="131"/>
        <v>0.48934748503258518</v>
      </c>
      <c r="S352" s="801">
        <f t="shared" si="132"/>
        <v>2</v>
      </c>
      <c r="T352" s="172">
        <f t="shared" si="133"/>
        <v>8</v>
      </c>
      <c r="U352" s="247">
        <f t="shared" si="134"/>
        <v>2.4893474850325852</v>
      </c>
      <c r="V352" s="378">
        <f t="shared" si="135"/>
        <v>95.37847410278043</v>
      </c>
      <c r="W352" s="397">
        <f t="shared" si="136"/>
        <v>76.875628176312958</v>
      </c>
      <c r="X352" s="153">
        <f t="shared" si="137"/>
        <v>46360</v>
      </c>
      <c r="Y352" s="380">
        <f t="shared" si="138"/>
        <v>74.3440054627888</v>
      </c>
      <c r="Z352" s="380">
        <f t="shared" si="139"/>
        <v>76.340640650814038</v>
      </c>
      <c r="AA352" s="381">
        <f t="shared" si="140"/>
        <v>80.831995421858608</v>
      </c>
      <c r="AB352" s="193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5.5564071474474702E-2</v>
      </c>
      <c r="AD352" s="227">
        <f>(INDEX(Models!$BJ352:$BT352,,AH352)*(1-AF352)+INDEX(Models!$BJ352:$BT352,,AH352+1)*AF352-ERP_i)*AE352*Ramure*Pc/MaxiM</f>
        <v>3.5130935486514777E-3</v>
      </c>
      <c r="AE352" s="301">
        <f t="shared" si="142"/>
        <v>0.5</v>
      </c>
      <c r="AF352" s="173">
        <f t="shared" si="143"/>
        <v>0.48934748503258518</v>
      </c>
      <c r="AG352" s="801">
        <f t="shared" si="149"/>
        <v>2</v>
      </c>
      <c r="AH352" s="172">
        <f t="shared" si="144"/>
        <v>8</v>
      </c>
      <c r="AI352" s="221">
        <f t="shared" si="145"/>
        <v>2.4893474850325852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46361</v>
      </c>
      <c r="B353" s="406">
        <f>'2025'!Wh/'2025'!Env_an*'2026'!Env_an</f>
        <v>96.47798437428672</v>
      </c>
      <c r="C353" s="831"/>
      <c r="D353" s="388">
        <f t="shared" si="127"/>
        <v>99.070421544352371</v>
      </c>
      <c r="E353" s="380">
        <f t="shared" si="125"/>
        <v>101.45032413527105</v>
      </c>
      <c r="F353" s="380">
        <f t="shared" si="128"/>
        <v>101.80165922756321</v>
      </c>
      <c r="G353" s="110">
        <f t="shared" si="126"/>
        <v>1.0179714021442381</v>
      </c>
      <c r="H353" s="409" t="b">
        <f>Wh_hp&gt;='2025'!Maxi_hp</f>
        <v>1</v>
      </c>
      <c r="I353" s="375">
        <f>IF(H353,Wh_hp,'2025'!Maxi_hp)</f>
        <v>101.80165922756321</v>
      </c>
      <c r="J353" s="85">
        <f>IF(H353,An,'2025'!An_max)</f>
        <v>2026</v>
      </c>
      <c r="K353" s="193">
        <f t="shared" si="129"/>
        <v>46361</v>
      </c>
      <c r="L353" s="143">
        <f>IF(t&lt;Tvie,1-EXP((T0-t)*PertePVj)+'2025'!Pspv,1-EXP((T0-t)*PertePVj)+Pspv)</f>
        <v>2.6167620260958091E-2</v>
      </c>
      <c r="M353" s="835"/>
      <c r="N353" s="835"/>
      <c r="O353" s="48">
        <f>IF(t&lt;Tnet,'2025'!Resal+('2025'!Salim-'2025'!Resal)*(1-EXP(('2025'!Tnet-t)/('2025'!Tau_j))),Resal+(Salim-Resal)*(1-EXP((Tnet-t)/(Tau_j))))*Salcycl</f>
        <v>2.3458797309956179E-2</v>
      </c>
      <c r="P353" s="334">
        <f>(INDEX(Models!$BJ353:$BT353,,T353)*(1-R353)+INDEX(Models!$BJ353:$BT353,,T353+1)*R353-ERP_i)*Q353*Ramure*Pc/MaxiM</f>
        <v>3.4511725541408974E-3</v>
      </c>
      <c r="Q353" s="301">
        <f t="shared" si="130"/>
        <v>0.5</v>
      </c>
      <c r="R353" s="173">
        <f t="shared" si="131"/>
        <v>0.48936144829595385</v>
      </c>
      <c r="S353" s="801">
        <f t="shared" si="132"/>
        <v>2</v>
      </c>
      <c r="T353" s="172">
        <f t="shared" si="133"/>
        <v>8</v>
      </c>
      <c r="U353" s="247">
        <f t="shared" si="134"/>
        <v>2.4893614482959538</v>
      </c>
      <c r="V353" s="378">
        <f t="shared" si="135"/>
        <v>94.774749242529893</v>
      </c>
      <c r="W353" s="397">
        <f t="shared" si="136"/>
        <v>96.47798437428672</v>
      </c>
      <c r="X353" s="153">
        <f t="shared" si="137"/>
        <v>46361</v>
      </c>
      <c r="Y353" s="380">
        <f t="shared" si="138"/>
        <v>93.305067906689544</v>
      </c>
      <c r="Z353" s="380">
        <f t="shared" si="139"/>
        <v>95.812246386480311</v>
      </c>
      <c r="AA353" s="381">
        <f t="shared" si="140"/>
        <v>101.45032413527105</v>
      </c>
      <c r="AB353" s="193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5.5574763282895748E-2</v>
      </c>
      <c r="AD353" s="227">
        <f>(INDEX(Models!$BJ353:$BT353,,AH353)*(1-AF353)+INDEX(Models!$BJ353:$BT353,,AH353+1)*AF353-ERP_i)*AE353*Ramure*Pc/MaxiM</f>
        <v>3.4511725541408974E-3</v>
      </c>
      <c r="AE353" s="301">
        <f t="shared" si="142"/>
        <v>0.5</v>
      </c>
      <c r="AF353" s="173">
        <f t="shared" si="143"/>
        <v>0.48936144829595385</v>
      </c>
      <c r="AG353" s="801">
        <f t="shared" si="149"/>
        <v>2</v>
      </c>
      <c r="AH353" s="172">
        <f t="shared" si="144"/>
        <v>8</v>
      </c>
      <c r="AI353" s="221">
        <f t="shared" si="145"/>
        <v>2.4893614482959538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46362</v>
      </c>
      <c r="B354" s="406">
        <f>'2025'!Wh/'2025'!Env_an*'2026'!Env_an</f>
        <v>50.138437082857465</v>
      </c>
      <c r="C354" s="831"/>
      <c r="D354" s="388">
        <f t="shared" si="127"/>
        <v>51.486400009402345</v>
      </c>
      <c r="E354" s="380">
        <f t="shared" si="125"/>
        <v>52.726231534665587</v>
      </c>
      <c r="F354" s="380">
        <f t="shared" si="128"/>
        <v>52.78563433414373</v>
      </c>
      <c r="G354" s="110">
        <f t="shared" si="126"/>
        <v>0.53098633749980972</v>
      </c>
      <c r="H354" s="409" t="b">
        <f>Wh_hp&gt;='2025'!Maxi_hp</f>
        <v>0</v>
      </c>
      <c r="I354" s="375">
        <f>IF(H354,Wh_hp,'2025'!Maxi_hp)</f>
        <v>52.883007862036244</v>
      </c>
      <c r="J354" s="85">
        <f>IF(H354,An,'2025'!An_max)</f>
        <v>2022</v>
      </c>
      <c r="K354" s="193">
        <f t="shared" si="129"/>
        <v>46362</v>
      </c>
      <c r="L354" s="143">
        <f>IF(t&lt;Tvie,1-EXP((T0-t)*PertePVj)+'2025'!Pspv,1-EXP((T0-t)*PertePVj)+Pspv)</f>
        <v>2.6180951208449543E-2</v>
      </c>
      <c r="M354" s="835"/>
      <c r="N354" s="835"/>
      <c r="O354" s="48">
        <f>IF(t&lt;Tnet,'2025'!Resal+('2025'!Salim-'2025'!Resal)*(1-EXP(('2025'!Tnet-t)/('2025'!Tau_j))),Resal+(Salim-Resal)*(1-EXP((Tnet-t)/(Tau_j))))*Salcycl</f>
        <v>2.3514510504094976E-2</v>
      </c>
      <c r="P354" s="334">
        <f>(INDEX(Models!$BJ354:$BT354,,T354)*(1-R354)+INDEX(Models!$BJ354:$BT354,,T354+1)*R354-ERP_i)*Q354*Ramure*Pc/MaxiM</f>
        <v>3.3926385834601486E-3</v>
      </c>
      <c r="Q354" s="301">
        <f t="shared" si="130"/>
        <v>0.5</v>
      </c>
      <c r="R354" s="173">
        <f t="shared" si="131"/>
        <v>0.48937485009047688</v>
      </c>
      <c r="S354" s="801">
        <f t="shared" si="132"/>
        <v>2</v>
      </c>
      <c r="T354" s="172">
        <f t="shared" si="133"/>
        <v>8</v>
      </c>
      <c r="U354" s="247">
        <f t="shared" si="134"/>
        <v>2.4893748500904769</v>
      </c>
      <c r="V354" s="378">
        <f t="shared" si="135"/>
        <v>94.210768965146798</v>
      </c>
      <c r="W354" s="397">
        <f t="shared" si="136"/>
        <v>50.138437082857465</v>
      </c>
      <c r="X354" s="153">
        <f t="shared" si="137"/>
        <v>46362</v>
      </c>
      <c r="Y354" s="380">
        <f t="shared" si="138"/>
        <v>48.491683514170816</v>
      </c>
      <c r="Z354" s="380">
        <f t="shared" si="139"/>
        <v>49.795373765121987</v>
      </c>
      <c r="AA354" s="381">
        <f t="shared" si="140"/>
        <v>52.726231534665587</v>
      </c>
      <c r="AB354" s="193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5.5586331210047989E-2</v>
      </c>
      <c r="AD354" s="227">
        <f>(INDEX(Models!$BJ354:$BT354,,AH354)*(1-AF354)+INDEX(Models!$BJ354:$BT354,,AH354+1)*AF354-ERP_i)*AE354*Ramure*Pc/MaxiM</f>
        <v>3.3926385834601486E-3</v>
      </c>
      <c r="AE354" s="301">
        <f t="shared" si="142"/>
        <v>0.5</v>
      </c>
      <c r="AF354" s="173">
        <f t="shared" si="143"/>
        <v>0.48937485009047688</v>
      </c>
      <c r="AG354" s="801">
        <f t="shared" si="149"/>
        <v>2</v>
      </c>
      <c r="AH354" s="172">
        <f t="shared" si="144"/>
        <v>8</v>
      </c>
      <c r="AI354" s="221">
        <f t="shared" si="145"/>
        <v>2.4893748500904769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46363</v>
      </c>
      <c r="B355" s="406">
        <f>'2025'!Wh/'2025'!Env_an*'2026'!Env_an</f>
        <v>77.557697865538131</v>
      </c>
      <c r="C355" s="831"/>
      <c r="D355" s="388">
        <f t="shared" si="127"/>
        <v>79.643912979594674</v>
      </c>
      <c r="E355" s="380">
        <f t="shared" si="125"/>
        <v>81.566475740265986</v>
      </c>
      <c r="F355" s="380">
        <f t="shared" si="128"/>
        <v>81.772260562639644</v>
      </c>
      <c r="G355" s="110">
        <f t="shared" si="126"/>
        <v>0.82714354524077727</v>
      </c>
      <c r="H355" s="409" t="b">
        <f>Wh_hp&gt;='2025'!Maxi_hp</f>
        <v>0</v>
      </c>
      <c r="I355" s="375">
        <f>IF(H355,Wh_hp,'2025'!Maxi_hp)</f>
        <v>81.826902027230147</v>
      </c>
      <c r="J355" s="85">
        <f>IF(H355,An,'2025'!An_max)</f>
        <v>2022</v>
      </c>
      <c r="K355" s="193">
        <f t="shared" si="129"/>
        <v>46363</v>
      </c>
      <c r="L355" s="143">
        <f>IF(t&lt;Tvie,1-EXP((T0-t)*PertePVj)+'2025'!Pspv,1-EXP((T0-t)*PertePVj)+Pspv)</f>
        <v>2.6194281973451528E-2</v>
      </c>
      <c r="M355" s="835"/>
      <c r="N355" s="835"/>
      <c r="O355" s="48">
        <f>IF(t&lt;Tnet,'2025'!Resal+('2025'!Salim-'2025'!Resal)*(1-EXP(('2025'!Tnet-t)/('2025'!Tau_j))),Resal+(Salim-Resal)*(1-EXP((Tnet-t)/(Tau_j))))*Salcycl</f>
        <v>2.3570501768316876E-2</v>
      </c>
      <c r="P355" s="334">
        <f>(INDEX(Models!$BJ355:$BT355,,T355)*(1-R355)+INDEX(Models!$BJ355:$BT355,,T355+1)*R355-ERP_i)*Q355*Ramure*Pc/MaxiM</f>
        <v>3.3374561637025827E-3</v>
      </c>
      <c r="Q355" s="301">
        <f t="shared" si="130"/>
        <v>0.5</v>
      </c>
      <c r="R355" s="173">
        <f t="shared" si="131"/>
        <v>0.48938771296476213</v>
      </c>
      <c r="S355" s="801">
        <f t="shared" si="132"/>
        <v>2</v>
      </c>
      <c r="T355" s="172">
        <f t="shared" si="133"/>
        <v>8</v>
      </c>
      <c r="U355" s="247">
        <f t="shared" si="134"/>
        <v>2.4893877129647621</v>
      </c>
      <c r="V355" s="378">
        <f t="shared" si="135"/>
        <v>93.688539178487716</v>
      </c>
      <c r="W355" s="397">
        <f t="shared" si="136"/>
        <v>77.557697865538131</v>
      </c>
      <c r="X355" s="153">
        <f t="shared" si="137"/>
        <v>46363</v>
      </c>
      <c r="Y355" s="380">
        <f t="shared" si="138"/>
        <v>75.013697040956288</v>
      </c>
      <c r="Z355" s="380">
        <f t="shared" si="139"/>
        <v>77.031481385192706</v>
      </c>
      <c r="AA355" s="381">
        <f t="shared" si="140"/>
        <v>81.566475740265986</v>
      </c>
      <c r="AB355" s="193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5.5598753212216322E-2</v>
      </c>
      <c r="AD355" s="227">
        <f>(INDEX(Models!$BJ355:$BT355,,AH355)*(1-AF355)+INDEX(Models!$BJ355:$BT355,,AH355+1)*AF355-ERP_i)*AE355*Ramure*Pc/MaxiM</f>
        <v>3.3374561637025827E-3</v>
      </c>
      <c r="AE355" s="301">
        <f t="shared" si="142"/>
        <v>0.5</v>
      </c>
      <c r="AF355" s="173">
        <f t="shared" si="143"/>
        <v>0.48938771296476213</v>
      </c>
      <c r="AG355" s="801">
        <f t="shared" si="149"/>
        <v>2</v>
      </c>
      <c r="AH355" s="172">
        <f t="shared" si="144"/>
        <v>8</v>
      </c>
      <c r="AI355" s="221">
        <f t="shared" si="145"/>
        <v>2.4893877129647621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46364</v>
      </c>
      <c r="B356" s="406">
        <f>'2025'!Wh/'2025'!Env_an*'2026'!Env_an</f>
        <v>14.676469798373109</v>
      </c>
      <c r="C356" s="831"/>
      <c r="D356" s="388">
        <f t="shared" si="127"/>
        <v>15.071456696119023</v>
      </c>
      <c r="E356" s="380">
        <f t="shared" si="125"/>
        <v>15.436163272894115</v>
      </c>
      <c r="F356" s="380">
        <f t="shared" si="128"/>
        <v>15.436163272894115</v>
      </c>
      <c r="G356" s="110">
        <f t="shared" si="126"/>
        <v>0.1569385127841986</v>
      </c>
      <c r="H356" s="409" t="b">
        <f>Wh_hp&gt;='2025'!Maxi_hp</f>
        <v>0</v>
      </c>
      <c r="I356" s="375">
        <f>IF(H356,Wh_hp,'2025'!Maxi_hp)</f>
        <v>15.477444404663771</v>
      </c>
      <c r="J356" s="85">
        <f>IF(H356,An,'2025'!An_max)</f>
        <v>2022</v>
      </c>
      <c r="K356" s="193">
        <f t="shared" si="129"/>
        <v>46364</v>
      </c>
      <c r="L356" s="143">
        <f>IF(t&lt;Tvie,1-EXP((T0-t)*PertePVj)+'2025'!Pspv,1-EXP((T0-t)*PertePVj)+Pspv)</f>
        <v>2.6207612555966486E-2</v>
      </c>
      <c r="M356" s="835"/>
      <c r="N356" s="835"/>
      <c r="O356" s="48">
        <f>IF(t&lt;Tnet,'2025'!Resal+('2025'!Salim-'2025'!Resal)*(1-EXP(('2025'!Tnet-t)/('2025'!Tau_j))),Resal+(Salim-Resal)*(1-EXP((Tnet-t)/(Tau_j))))*Salcycl</f>
        <v>2.3626763356119459E-2</v>
      </c>
      <c r="P356" s="334">
        <f>(INDEX(Models!$BJ356:$BT356,,T356)*(1-R356)+INDEX(Models!$BJ356:$BT356,,T356+1)*R356-ERP_i)*Q356*Ramure*Pc/MaxiM</f>
        <v>3.2855894025092826E-3</v>
      </c>
      <c r="Q356" s="301">
        <f t="shared" si="130"/>
        <v>0.5</v>
      </c>
      <c r="R356" s="173">
        <f t="shared" si="131"/>
        <v>0.48940005856409607</v>
      </c>
      <c r="S356" s="801">
        <f t="shared" si="132"/>
        <v>2</v>
      </c>
      <c r="T356" s="172">
        <f t="shared" si="133"/>
        <v>8</v>
      </c>
      <c r="U356" s="247">
        <f t="shared" si="134"/>
        <v>2.4894000585640961</v>
      </c>
      <c r="V356" s="378">
        <f t="shared" si="135"/>
        <v>93.210064790483827</v>
      </c>
      <c r="W356" s="397">
        <f t="shared" si="136"/>
        <v>14.676469798373109</v>
      </c>
      <c r="X356" s="153">
        <f t="shared" si="137"/>
        <v>46364</v>
      </c>
      <c r="Y356" s="380">
        <f t="shared" si="138"/>
        <v>14.195679854843775</v>
      </c>
      <c r="Z356" s="380">
        <f t="shared" si="139"/>
        <v>14.577727283434569</v>
      </c>
      <c r="AA356" s="381">
        <f t="shared" si="140"/>
        <v>15.436163272894115</v>
      </c>
      <c r="AB356" s="193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5.5612005022450013E-2</v>
      </c>
      <c r="AD356" s="227">
        <f>(INDEX(Models!$BJ356:$BT356,,AH356)*(1-AF356)+INDEX(Models!$BJ356:$BT356,,AH356+1)*AF356-ERP_i)*AE356*Ramure*Pc/MaxiM</f>
        <v>3.2855894025092826E-3</v>
      </c>
      <c r="AE356" s="301">
        <f t="shared" si="142"/>
        <v>0.5</v>
      </c>
      <c r="AF356" s="173">
        <f t="shared" si="143"/>
        <v>0.48940005856409607</v>
      </c>
      <c r="AG356" s="801">
        <f t="shared" si="149"/>
        <v>2</v>
      </c>
      <c r="AH356" s="172">
        <f t="shared" si="144"/>
        <v>8</v>
      </c>
      <c r="AI356" s="221">
        <f t="shared" si="145"/>
        <v>2.4894000585640961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46365</v>
      </c>
      <c r="B357" s="406">
        <f>'2025'!Wh/'2025'!Env_an*'2026'!Env_an</f>
        <v>28.21197560525442</v>
      </c>
      <c r="C357" s="831"/>
      <c r="D357" s="388">
        <f t="shared" si="127"/>
        <v>28.971639306861356</v>
      </c>
      <c r="E357" s="380">
        <f t="shared" si="125"/>
        <v>29.674427271549419</v>
      </c>
      <c r="F357" s="380">
        <f t="shared" si="128"/>
        <v>29.674987506003419</v>
      </c>
      <c r="G357" s="110">
        <f t="shared" si="126"/>
        <v>0.30310398364889912</v>
      </c>
      <c r="H357" s="409" t="b">
        <f>Wh_hp&gt;='2025'!Maxi_hp</f>
        <v>0</v>
      </c>
      <c r="I357" s="375">
        <f>IF(H357,Wh_hp,'2025'!Maxi_hp)</f>
        <v>29.752765723166412</v>
      </c>
      <c r="J357" s="85">
        <f>IF(H357,An,'2025'!An_max)</f>
        <v>2022</v>
      </c>
      <c r="K357" s="193">
        <f t="shared" si="129"/>
        <v>46365</v>
      </c>
      <c r="L357" s="143">
        <f>IF(t&lt;Tvie,1-EXP((T0-t)*PertePVj)+'2025'!Pspv,1-EXP((T0-t)*PertePVj)+Pspv)</f>
        <v>2.6220942955997084E-2</v>
      </c>
      <c r="M357" s="835"/>
      <c r="N357" s="835"/>
      <c r="O357" s="48">
        <f>IF(t&lt;Tnet,'2025'!Resal+('2025'!Salim-'2025'!Resal)*(1-EXP(('2025'!Tnet-t)/('2025'!Tau_j))),Resal+(Salim-Resal)*(1-EXP((Tnet-t)/(Tau_j))))*Salcycl</f>
        <v>2.3683286563776957E-2</v>
      </c>
      <c r="P357" s="334">
        <f>(INDEX(Models!$BJ357:$BT357,,T357)*(1-R357)+INDEX(Models!$BJ357:$BT357,,T357+1)*R357-ERP_i)*Q357*Ramure*Pc/MaxiM</f>
        <v>3.2370015788550652E-3</v>
      </c>
      <c r="Q357" s="301">
        <f t="shared" si="130"/>
        <v>0.5</v>
      </c>
      <c r="R357" s="173">
        <f t="shared" si="131"/>
        <v>0.48941190766645626</v>
      </c>
      <c r="S357" s="801">
        <f t="shared" si="132"/>
        <v>2</v>
      </c>
      <c r="T357" s="172">
        <f t="shared" si="133"/>
        <v>8</v>
      </c>
      <c r="U357" s="247">
        <f t="shared" si="134"/>
        <v>2.4894119076664563</v>
      </c>
      <c r="V357" s="378">
        <f t="shared" si="135"/>
        <v>92.777349731027911</v>
      </c>
      <c r="W357" s="397">
        <f t="shared" si="136"/>
        <v>28.21197560525442</v>
      </c>
      <c r="X357" s="153">
        <f t="shared" si="137"/>
        <v>46365</v>
      </c>
      <c r="Y357" s="380">
        <f t="shared" si="138"/>
        <v>27.288946487114472</v>
      </c>
      <c r="Z357" s="380">
        <f t="shared" si="139"/>
        <v>28.023755789072535</v>
      </c>
      <c r="AA357" s="381">
        <f t="shared" si="140"/>
        <v>29.674427271549419</v>
      </c>
      <c r="AB357" s="193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5.562606035734604E-2</v>
      </c>
      <c r="AD357" s="227">
        <f>(INDEX(Models!$BJ357:$BT357,,AH357)*(1-AF357)+INDEX(Models!$BJ357:$BT357,,AH357+1)*AF357-ERP_i)*AE357*Ramure*Pc/MaxiM</f>
        <v>3.2370015788550652E-3</v>
      </c>
      <c r="AE357" s="301">
        <f t="shared" si="142"/>
        <v>0.5</v>
      </c>
      <c r="AF357" s="173">
        <f t="shared" si="143"/>
        <v>0.48941190766645626</v>
      </c>
      <c r="AG357" s="801">
        <f t="shared" si="149"/>
        <v>2</v>
      </c>
      <c r="AH357" s="172">
        <f t="shared" si="144"/>
        <v>8</v>
      </c>
      <c r="AI357" s="221">
        <f t="shared" si="145"/>
        <v>2.4894119076664563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46366</v>
      </c>
      <c r="B358" s="406">
        <f>'2025'!Wh/'2025'!Env_an*'2026'!Env_an</f>
        <v>68.001414142375353</v>
      </c>
      <c r="C358" s="831"/>
      <c r="D358" s="388">
        <f t="shared" si="127"/>
        <v>69.833443783234159</v>
      </c>
      <c r="E358" s="380">
        <f t="shared" si="125"/>
        <v>71.531608592836889</v>
      </c>
      <c r="F358" s="380">
        <f t="shared" si="128"/>
        <v>71.674094904102503</v>
      </c>
      <c r="G358" s="110">
        <f t="shared" si="126"/>
        <v>0.73511892209335905</v>
      </c>
      <c r="H358" s="409" t="b">
        <f>Wh_hp&gt;='2025'!Maxi_hp</f>
        <v>0</v>
      </c>
      <c r="I358" s="375">
        <f>IF(H358,Wh_hp,'2025'!Maxi_hp)</f>
        <v>71.744443051435056</v>
      </c>
      <c r="J358" s="85">
        <f>IF(H358,An,'2025'!An_max)</f>
        <v>2022</v>
      </c>
      <c r="K358" s="193">
        <f t="shared" si="129"/>
        <v>46366</v>
      </c>
      <c r="L358" s="143">
        <f>IF(t&lt;Tvie,1-EXP((T0-t)*PertePVj)+'2025'!Pspv,1-EXP((T0-t)*PertePVj)+Pspv)</f>
        <v>2.6234273173545541E-2</v>
      </c>
      <c r="M358" s="835"/>
      <c r="N358" s="835"/>
      <c r="O358" s="48">
        <f>IF(t&lt;Tnet,'2025'!Resal+('2025'!Salim-'2025'!Resal)*(1-EXP(('2025'!Tnet-t)/('2025'!Tau_j))),Resal+(Salim-Resal)*(1-EXP((Tnet-t)/(Tau_j))))*Salcycl</f>
        <v>2.374006181335598E-2</v>
      </c>
      <c r="P358" s="334">
        <f>(INDEX(Models!$BJ358:$BT358,,T358)*(1-R358)+INDEX(Models!$BJ358:$BT358,,T358+1)*R358-ERP_i)*Q358*Ramure*Pc/MaxiM</f>
        <v>3.1916547007700058E-3</v>
      </c>
      <c r="Q358" s="301">
        <f t="shared" si="130"/>
        <v>0.5</v>
      </c>
      <c r="R358" s="173">
        <f t="shared" si="131"/>
        <v>0.48942328021710058</v>
      </c>
      <c r="S358" s="801">
        <f t="shared" si="132"/>
        <v>2</v>
      </c>
      <c r="T358" s="172">
        <f t="shared" si="133"/>
        <v>8</v>
      </c>
      <c r="U358" s="247">
        <f t="shared" si="134"/>
        <v>2.4894232802171006</v>
      </c>
      <c r="V358" s="378">
        <f t="shared" si="135"/>
        <v>92.392396846161901</v>
      </c>
      <c r="W358" s="397">
        <f t="shared" si="136"/>
        <v>68.001414142375353</v>
      </c>
      <c r="X358" s="153">
        <f t="shared" si="137"/>
        <v>46366</v>
      </c>
      <c r="Y358" s="380">
        <f t="shared" si="138"/>
        <v>65.77936095641482</v>
      </c>
      <c r="Z358" s="380">
        <f t="shared" si="139"/>
        <v>67.551526146635567</v>
      </c>
      <c r="AA358" s="381">
        <f t="shared" si="140"/>
        <v>71.531608592836889</v>
      </c>
      <c r="AB358" s="193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5.564089113186646E-2</v>
      </c>
      <c r="AD358" s="227">
        <f>(INDEX(Models!$BJ358:$BT358,,AH358)*(1-AF358)+INDEX(Models!$BJ358:$BT358,,AH358+1)*AF358-ERP_i)*AE358*Ramure*Pc/MaxiM</f>
        <v>3.1916547007700058E-3</v>
      </c>
      <c r="AE358" s="301">
        <f t="shared" si="142"/>
        <v>0.5</v>
      </c>
      <c r="AF358" s="173">
        <f t="shared" si="143"/>
        <v>0.48942328021710058</v>
      </c>
      <c r="AG358" s="801">
        <f t="shared" si="149"/>
        <v>2</v>
      </c>
      <c r="AH358" s="172">
        <f t="shared" si="144"/>
        <v>8</v>
      </c>
      <c r="AI358" s="221">
        <f t="shared" si="145"/>
        <v>2.4894232802171006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46367</v>
      </c>
      <c r="B359" s="406">
        <f>'2025'!Wh/'2025'!Env_an*'2026'!Env_an</f>
        <v>64.013603079815738</v>
      </c>
      <c r="C359" s="831"/>
      <c r="D359" s="388">
        <f t="shared" si="127"/>
        <v>65.739096808128195</v>
      </c>
      <c r="E359" s="380">
        <f t="shared" si="125"/>
        <v>67.341630901138416</v>
      </c>
      <c r="F359" s="380">
        <f t="shared" si="128"/>
        <v>67.461656370020819</v>
      </c>
      <c r="G359" s="110">
        <f t="shared" si="126"/>
        <v>0.69445381262423567</v>
      </c>
      <c r="H359" s="409" t="b">
        <f>Wh_hp&gt;='2025'!Maxi_hp</f>
        <v>0</v>
      </c>
      <c r="I359" s="375">
        <f>IF(H359,Wh_hp,'2025'!Maxi_hp)</f>
        <v>67.53712274687156</v>
      </c>
      <c r="J359" s="85">
        <f>IF(H359,An,'2025'!An_max)</f>
        <v>2022</v>
      </c>
      <c r="K359" s="193">
        <f t="shared" si="129"/>
        <v>46367</v>
      </c>
      <c r="L359" s="143">
        <f>IF(t&lt;Tvie,1-EXP((T0-t)*PertePVj)+'2025'!Pspv,1-EXP((T0-t)*PertePVj)+Pspv)</f>
        <v>2.6247603208614634E-2</v>
      </c>
      <c r="M359" s="835"/>
      <c r="N359" s="835"/>
      <c r="O359" s="48">
        <f>IF(t&lt;Tnet,'2025'!Resal+('2025'!Salim-'2025'!Resal)*(1-EXP(('2025'!Tnet-t)/('2025'!Tau_j))),Resal+(Salim-Resal)*(1-EXP((Tnet-t)/(Tau_j))))*Salcycl</f>
        <v>2.3797078739640737E-2</v>
      </c>
      <c r="P359" s="334">
        <f>(INDEX(Models!$BJ359:$BT359,,T359)*(1-R359)+INDEX(Models!$BJ359:$BT359,,T359+1)*R359-ERP_i)*Q359*Ramure*Pc/MaxiM</f>
        <v>3.149693926837394E-3</v>
      </c>
      <c r="Q359" s="301">
        <f t="shared" si="130"/>
        <v>0.5</v>
      </c>
      <c r="R359" s="173">
        <f t="shared" si="131"/>
        <v>0.48943419536179178</v>
      </c>
      <c r="S359" s="801">
        <f t="shared" si="132"/>
        <v>2</v>
      </c>
      <c r="T359" s="172">
        <f t="shared" si="133"/>
        <v>8</v>
      </c>
      <c r="U359" s="247">
        <f t="shared" si="134"/>
        <v>2.4894341953617918</v>
      </c>
      <c r="V359" s="378">
        <f t="shared" si="135"/>
        <v>92.051786746143435</v>
      </c>
      <c r="W359" s="397">
        <f t="shared" si="136"/>
        <v>64.013603079815738</v>
      </c>
      <c r="X359" s="153">
        <f t="shared" si="137"/>
        <v>46367</v>
      </c>
      <c r="Y359" s="380">
        <f t="shared" si="138"/>
        <v>61.924453136083699</v>
      </c>
      <c r="Z359" s="380">
        <f t="shared" si="139"/>
        <v>63.59363359734072</v>
      </c>
      <c r="AA359" s="381">
        <f t="shared" si="140"/>
        <v>67.341630901138416</v>
      </c>
      <c r="AB359" s="193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5.5656467680445396E-2</v>
      </c>
      <c r="AD359" s="227">
        <f>(INDEX(Models!$BJ359:$BT359,,AH359)*(1-AF359)+INDEX(Models!$BJ359:$BT359,,AH359+1)*AF359-ERP_i)*AE359*Ramure*Pc/MaxiM</f>
        <v>3.149693926837394E-3</v>
      </c>
      <c r="AE359" s="301">
        <f t="shared" si="142"/>
        <v>0.5</v>
      </c>
      <c r="AF359" s="173">
        <f t="shared" si="143"/>
        <v>0.48943419536179178</v>
      </c>
      <c r="AG359" s="801">
        <f t="shared" si="149"/>
        <v>2</v>
      </c>
      <c r="AH359" s="172">
        <f t="shared" si="144"/>
        <v>8</v>
      </c>
      <c r="AI359" s="221">
        <f t="shared" si="145"/>
        <v>2.4894341953617918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46368</v>
      </c>
      <c r="B360" s="406">
        <f>'2025'!Wh/'2025'!Env_an*'2026'!Env_an</f>
        <v>22.324228245402796</v>
      </c>
      <c r="C360" s="831"/>
      <c r="D360" s="388">
        <f t="shared" si="127"/>
        <v>22.926294120646634</v>
      </c>
      <c r="E360" s="380">
        <f t="shared" si="125"/>
        <v>23.486549946261889</v>
      </c>
      <c r="F360" s="380">
        <f t="shared" si="128"/>
        <v>23.486549946261889</v>
      </c>
      <c r="G360" s="110">
        <f t="shared" si="126"/>
        <v>0.24255645250898583</v>
      </c>
      <c r="H360" s="409" t="b">
        <f>Wh_hp&gt;='2025'!Maxi_hp</f>
        <v>0</v>
      </c>
      <c r="I360" s="375">
        <f>IF(H360,Wh_hp,'2025'!Maxi_hp)</f>
        <v>23.546248768046997</v>
      </c>
      <c r="J360" s="85">
        <f>IF(H360,An,'2025'!An_max)</f>
        <v>2022</v>
      </c>
      <c r="K360" s="193">
        <f t="shared" si="129"/>
        <v>46368</v>
      </c>
      <c r="L360" s="143">
        <f>IF(t&lt;Tvie,1-EXP((T0-t)*PertePVj)+'2025'!Pspv,1-EXP((T0-t)*PertePVj)+Pspv)</f>
        <v>2.6260933061206693E-2</v>
      </c>
      <c r="M360" s="835"/>
      <c r="N360" s="835"/>
      <c r="O360" s="48">
        <f>IF(t&lt;Tnet,'2025'!Resal+('2025'!Salim-'2025'!Resal)*(1-EXP(('2025'!Tnet-t)/('2025'!Tau_j))),Resal+(Salim-Resal)*(1-EXP((Tnet-t)/(Tau_j))))*Salcycl</f>
        <v>2.385432628023873E-2</v>
      </c>
      <c r="P360" s="334">
        <f>(INDEX(Models!$BJ360:$BT360,,T360)*(1-R360)+INDEX(Models!$BJ360:$BT360,,T360+1)*R360-ERP_i)*Q360*Ramure*Pc/MaxiM</f>
        <v>3.1112962180700906E-3</v>
      </c>
      <c r="Q360" s="301">
        <f t="shared" si="130"/>
        <v>0.5</v>
      </c>
      <c r="R360" s="173">
        <f t="shared" si="131"/>
        <v>0.48944467147870663</v>
      </c>
      <c r="S360" s="801">
        <f t="shared" si="132"/>
        <v>2</v>
      </c>
      <c r="T360" s="172">
        <f t="shared" si="133"/>
        <v>8</v>
      </c>
      <c r="U360" s="247">
        <f t="shared" si="134"/>
        <v>2.4894446714787066</v>
      </c>
      <c r="V360" s="378">
        <f t="shared" si="135"/>
        <v>91.750892331619525</v>
      </c>
      <c r="W360" s="397">
        <f t="shared" si="136"/>
        <v>22.324228245402796</v>
      </c>
      <c r="X360" s="153">
        <f t="shared" si="137"/>
        <v>46368</v>
      </c>
      <c r="Y360" s="380">
        <f t="shared" si="138"/>
        <v>21.596547968593324</v>
      </c>
      <c r="Z360" s="380">
        <f t="shared" si="139"/>
        <v>22.178988911770578</v>
      </c>
      <c r="AA360" s="381">
        <f t="shared" si="140"/>
        <v>23.486549946261889</v>
      </c>
      <c r="AB360" s="193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5.5672758982611731E-2</v>
      </c>
      <c r="AD360" s="227">
        <f>(INDEX(Models!$BJ360:$BT360,,AH360)*(1-AF360)+INDEX(Models!$BJ360:$BT360,,AH360+1)*AF360-ERP_i)*AE360*Ramure*Pc/MaxiM</f>
        <v>3.1112962180700906E-3</v>
      </c>
      <c r="AE360" s="301">
        <f t="shared" si="142"/>
        <v>0.5</v>
      </c>
      <c r="AF360" s="173">
        <f t="shared" si="143"/>
        <v>0.48944467147870663</v>
      </c>
      <c r="AG360" s="801">
        <f t="shared" si="149"/>
        <v>2</v>
      </c>
      <c r="AH360" s="172">
        <f t="shared" si="144"/>
        <v>8</v>
      </c>
      <c r="AI360" s="221">
        <f t="shared" si="145"/>
        <v>2.4894446714787066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46369</v>
      </c>
      <c r="B361" s="406">
        <f>'2025'!Wh/'2025'!Env_an*'2026'!Env_an</f>
        <v>23.251924214679402</v>
      </c>
      <c r="C361" s="831"/>
      <c r="D361" s="388">
        <f t="shared" si="127"/>
        <v>23.879336166980256</v>
      </c>
      <c r="E361" s="380">
        <f t="shared" ref="E361:E379" si="150">Wh_pvt/(1-Psa)</f>
        <v>24.464321963995861</v>
      </c>
      <c r="F361" s="380">
        <f t="shared" si="128"/>
        <v>24.464321963995861</v>
      </c>
      <c r="G361" s="110">
        <f t="shared" ref="G361:G379" si="151">+Wh_hp/MaxiM</f>
        <v>0.25336555722326143</v>
      </c>
      <c r="H361" s="409" t="b">
        <f>Wh_hp&gt;='2025'!Maxi_hp</f>
        <v>0</v>
      </c>
      <c r="I361" s="375">
        <f>IF(H361,Wh_hp,'2025'!Maxi_hp)</f>
        <v>24.525889099355748</v>
      </c>
      <c r="J361" s="85">
        <f>IF(H361,An,'2025'!An_max)</f>
        <v>2022</v>
      </c>
      <c r="K361" s="193">
        <f t="shared" si="129"/>
        <v>46369</v>
      </c>
      <c r="L361" s="143">
        <f>IF(t&lt;Tvie,1-EXP((T0-t)*PertePVj)+'2025'!Pspv,1-EXP((T0-t)*PertePVj)+Pspv)</f>
        <v>2.6274262731324272E-2</v>
      </c>
      <c r="M361" s="835"/>
      <c r="N361" s="835"/>
      <c r="O361" s="48">
        <f>IF(t&lt;Tnet,'2025'!Resal+('2025'!Salim-'2025'!Resal)*(1-EXP(('2025'!Tnet-t)/('2025'!Tau_j))),Resal+(Salim-Resal)*(1-EXP((Tnet-t)/(Tau_j))))*Salcycl</f>
        <v>2.3911792768118736E-2</v>
      </c>
      <c r="P361" s="334">
        <f>(INDEX(Models!$BJ361:$BT361,,T361)*(1-R361)+INDEX(Models!$BJ361:$BT361,,T361+1)*R361-ERP_i)*Q361*Ramure*Pc/MaxiM</f>
        <v>3.0768915309667792E-3</v>
      </c>
      <c r="Q361" s="301">
        <f t="shared" si="130"/>
        <v>0.5</v>
      </c>
      <c r="R361" s="173">
        <f t="shared" si="131"/>
        <v>0.48945472620908248</v>
      </c>
      <c r="S361" s="801">
        <f t="shared" si="132"/>
        <v>2</v>
      </c>
      <c r="T361" s="172">
        <f t="shared" si="133"/>
        <v>8</v>
      </c>
      <c r="U361" s="247">
        <f t="shared" si="134"/>
        <v>2.4894547262090825</v>
      </c>
      <c r="V361" s="378">
        <f t="shared" si="135"/>
        <v>91.489864763103597</v>
      </c>
      <c r="W361" s="397">
        <f t="shared" si="136"/>
        <v>23.251924214679402</v>
      </c>
      <c r="X361" s="153">
        <f t="shared" si="137"/>
        <v>46369</v>
      </c>
      <c r="Y361" s="380">
        <f t="shared" si="138"/>
        <v>22.494924744785983</v>
      </c>
      <c r="Z361" s="380">
        <f t="shared" si="139"/>
        <v>23.101910408453197</v>
      </c>
      <c r="AA361" s="381">
        <f t="shared" si="140"/>
        <v>24.464321963995861</v>
      </c>
      <c r="AB361" s="193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5.5689732891339751E-2</v>
      </c>
      <c r="AD361" s="227">
        <f>(INDEX(Models!$BJ361:$BT361,,AH361)*(1-AF361)+INDEX(Models!$BJ361:$BT361,,AH361+1)*AF361-ERP_i)*AE361*Ramure*Pc/MaxiM</f>
        <v>3.0768915309667792E-3</v>
      </c>
      <c r="AE361" s="301">
        <f t="shared" si="142"/>
        <v>0.5</v>
      </c>
      <c r="AF361" s="173">
        <f t="shared" si="143"/>
        <v>0.48945472620908248</v>
      </c>
      <c r="AG361" s="801">
        <f t="shared" si="149"/>
        <v>2</v>
      </c>
      <c r="AH361" s="172">
        <f t="shared" si="144"/>
        <v>8</v>
      </c>
      <c r="AI361" s="221">
        <f t="shared" si="145"/>
        <v>2.4894547262090825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46370</v>
      </c>
      <c r="B362" s="406">
        <f>'2025'!Wh/'2025'!Env_an*'2026'!Env_an</f>
        <v>68.239243780704072</v>
      </c>
      <c r="C362" s="831"/>
      <c r="D362" s="388">
        <f t="shared" si="127"/>
        <v>70.081518151969377</v>
      </c>
      <c r="E362" s="380">
        <f t="shared" si="150"/>
        <v>71.80258784180964</v>
      </c>
      <c r="F362" s="380">
        <f t="shared" si="128"/>
        <v>71.942755569877988</v>
      </c>
      <c r="G362" s="110">
        <f t="shared" si="151"/>
        <v>0.74684985291755002</v>
      </c>
      <c r="H362" s="409" t="b">
        <f>Wh_hp&gt;='2025'!Maxi_hp</f>
        <v>0</v>
      </c>
      <c r="I362" s="375">
        <f>IF(H362,Wh_hp,'2025'!Maxi_hp)</f>
        <v>72.007464364847081</v>
      </c>
      <c r="J362" s="85">
        <f>IF(H362,An,'2025'!An_max)</f>
        <v>2022</v>
      </c>
      <c r="K362" s="193">
        <f t="shared" si="129"/>
        <v>46370</v>
      </c>
      <c r="L362" s="143">
        <f>IF(t&lt;Tvie,1-EXP((T0-t)*PertePVj)+'2025'!Pspv,1-EXP((T0-t)*PertePVj)+Pspv)</f>
        <v>2.6287592218969813E-2</v>
      </c>
      <c r="M362" s="835"/>
      <c r="N362" s="835"/>
      <c r="O362" s="48">
        <f>IF(t&lt;Tnet,'2025'!Resal+('2025'!Salim-'2025'!Resal)*(1-EXP(('2025'!Tnet-t)/('2025'!Tau_j))),Resal+(Salim-Resal)*(1-EXP((Tnet-t)/(Tau_j))))*Salcycl</f>
        <v>2.396946602582076E-2</v>
      </c>
      <c r="P362" s="334">
        <f>(INDEX(Models!$BJ362:$BT362,,T362)*(1-R362)+INDEX(Models!$BJ362:$BT362,,T362+1)*R362-ERP_i)*Q362*Ramure*Pc/MaxiM</f>
        <v>3.0464816783650891E-3</v>
      </c>
      <c r="Q362" s="301">
        <f t="shared" si="130"/>
        <v>0.5</v>
      </c>
      <c r="R362" s="173">
        <f t="shared" si="131"/>
        <v>0.48946437648665198</v>
      </c>
      <c r="S362" s="801">
        <f t="shared" si="132"/>
        <v>2</v>
      </c>
      <c r="T362" s="172">
        <f t="shared" si="133"/>
        <v>8</v>
      </c>
      <c r="U362" s="247">
        <f t="shared" si="134"/>
        <v>2.489464376486652</v>
      </c>
      <c r="V362" s="378">
        <f t="shared" si="135"/>
        <v>91.268893890419704</v>
      </c>
      <c r="W362" s="397">
        <f t="shared" si="136"/>
        <v>68.239243780704072</v>
      </c>
      <c r="X362" s="153">
        <f t="shared" si="137"/>
        <v>46370</v>
      </c>
      <c r="Y362" s="380">
        <f t="shared" si="138"/>
        <v>66.02028693419993</v>
      </c>
      <c r="Z362" s="380">
        <f t="shared" si="139"/>
        <v>67.80265549316762</v>
      </c>
      <c r="AA362" s="381">
        <f t="shared" si="140"/>
        <v>71.80258784180964</v>
      </c>
      <c r="AB362" s="193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5.5707356362341552E-2</v>
      </c>
      <c r="AD362" s="227">
        <f>(INDEX(Models!$BJ362:$BT362,,AH362)*(1-AF362)+INDEX(Models!$BJ362:$BT362,,AH362+1)*AF362-ERP_i)*AE362*Ramure*Pc/MaxiM</f>
        <v>3.0464816783650891E-3</v>
      </c>
      <c r="AE362" s="301">
        <f t="shared" si="142"/>
        <v>0.5</v>
      </c>
      <c r="AF362" s="173">
        <f t="shared" si="143"/>
        <v>0.48946437648665198</v>
      </c>
      <c r="AG362" s="801">
        <f t="shared" si="149"/>
        <v>2</v>
      </c>
      <c r="AH362" s="172">
        <f t="shared" si="144"/>
        <v>8</v>
      </c>
      <c r="AI362" s="221">
        <f t="shared" si="145"/>
        <v>2.489464376486652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46371</v>
      </c>
      <c r="B363" s="406">
        <f>'2025'!Wh/'2025'!Env_an*'2026'!Env_an</f>
        <v>33.964515846231684</v>
      </c>
      <c r="C363" s="831"/>
      <c r="D363" s="388">
        <f t="shared" si="127"/>
        <v>34.881943094160931</v>
      </c>
      <c r="E363" s="380">
        <f t="shared" si="150"/>
        <v>35.740696732669974</v>
      </c>
      <c r="F363" s="380">
        <f t="shared" si="128"/>
        <v>35.751937531015599</v>
      </c>
      <c r="G363" s="110">
        <f t="shared" si="151"/>
        <v>0.37186597492318302</v>
      </c>
      <c r="H363" s="409" t="b">
        <f>Wh_hp&gt;='2025'!Maxi_hp</f>
        <v>0</v>
      </c>
      <c r="I363" s="375">
        <f>IF(H363,Wh_hp,'2025'!Maxi_hp)</f>
        <v>91.83152399747874</v>
      </c>
      <c r="J363" s="85">
        <f>IF(H363,An,'2025'!An_max)</f>
        <v>2021</v>
      </c>
      <c r="K363" s="193">
        <f t="shared" si="129"/>
        <v>46371</v>
      </c>
      <c r="L363" s="143">
        <f>IF(t&lt;Tvie,1-EXP((T0-t)*PertePVj)+'2025'!Pspv,1-EXP((T0-t)*PertePVj)+Pspv)</f>
        <v>2.630092152414587E-2</v>
      </c>
      <c r="M363" s="835"/>
      <c r="N363" s="835"/>
      <c r="O363" s="48">
        <f>IF(t&lt;Tnet,'2025'!Resal+('2025'!Salim-'2025'!Resal)*(1-EXP(('2025'!Tnet-t)/('2025'!Tau_j))),Resal+(Salim-Resal)*(1-EXP((Tnet-t)/(Tau_j))))*Salcycl</f>
        <v>2.4027333460572134E-2</v>
      </c>
      <c r="P363" s="334">
        <f>(INDEX(Models!$BJ363:$BT363,,T363)*(1-R363)+INDEX(Models!$BJ363:$BT363,,T363+1)*R363-ERP_i)*Q363*Ramure*Pc/MaxiM</f>
        <v>3.020063507201545E-3</v>
      </c>
      <c r="Q363" s="301">
        <f t="shared" si="130"/>
        <v>0.5</v>
      </c>
      <c r="R363" s="173">
        <f t="shared" si="131"/>
        <v>0.48947363856590842</v>
      </c>
      <c r="S363" s="801">
        <f t="shared" si="132"/>
        <v>2</v>
      </c>
      <c r="T363" s="172">
        <f t="shared" si="133"/>
        <v>8</v>
      </c>
      <c r="U363" s="247">
        <f t="shared" si="134"/>
        <v>2.4894736385659084</v>
      </c>
      <c r="V363" s="378">
        <f t="shared" si="135"/>
        <v>91.08816898250889</v>
      </c>
      <c r="W363" s="397">
        <f t="shared" si="136"/>
        <v>33.964515846231684</v>
      </c>
      <c r="X363" s="153">
        <f t="shared" si="137"/>
        <v>46371</v>
      </c>
      <c r="Y363" s="380">
        <f t="shared" si="138"/>
        <v>32.861394656011051</v>
      </c>
      <c r="Z363" s="380">
        <f t="shared" si="139"/>
        <v>33.749025117133201</v>
      </c>
      <c r="AA363" s="381">
        <f t="shared" si="140"/>
        <v>35.740696732669974</v>
      </c>
      <c r="AB363" s="193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5.5725595682532464E-2</v>
      </c>
      <c r="AD363" s="227">
        <f>(INDEX(Models!$BJ363:$BT363,,AH363)*(1-AF363)+INDEX(Models!$BJ363:$BT363,,AH363+1)*AF363-ERP_i)*AE363*Ramure*Pc/MaxiM</f>
        <v>3.020063507201545E-3</v>
      </c>
      <c r="AE363" s="301">
        <f t="shared" si="142"/>
        <v>0.5</v>
      </c>
      <c r="AF363" s="173">
        <f t="shared" si="143"/>
        <v>0.48947363856590842</v>
      </c>
      <c r="AG363" s="801">
        <f t="shared" si="149"/>
        <v>2</v>
      </c>
      <c r="AH363" s="172">
        <f t="shared" si="144"/>
        <v>8</v>
      </c>
      <c r="AI363" s="221">
        <f t="shared" si="145"/>
        <v>2.4894736385659084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46372</v>
      </c>
      <c r="B364" s="406">
        <f>'2025'!Wh/'2025'!Env_an*'2026'!Env_an</f>
        <v>20.700601788860716</v>
      </c>
      <c r="C364" s="831"/>
      <c r="D364" s="388">
        <f t="shared" si="127"/>
        <v>21.260043913154611</v>
      </c>
      <c r="E364" s="380">
        <f t="shared" si="150"/>
        <v>21.7847376445695</v>
      </c>
      <c r="F364" s="380">
        <f t="shared" si="128"/>
        <v>21.7847376445695</v>
      </c>
      <c r="G364" s="110">
        <f t="shared" si="151"/>
        <v>0.2269272176384666</v>
      </c>
      <c r="H364" s="409" t="b">
        <f>Wh_hp&gt;='2025'!Maxi_hp</f>
        <v>0</v>
      </c>
      <c r="I364" s="375">
        <f>IF(H364,Wh_hp,'2025'!Maxi_hp)</f>
        <v>96.573538746410236</v>
      </c>
      <c r="J364" s="85">
        <f>IF(H364,An,'2025'!An_max)</f>
        <v>2021</v>
      </c>
      <c r="K364" s="193">
        <f t="shared" si="129"/>
        <v>46372</v>
      </c>
      <c r="L364" s="143">
        <f>IF(t&lt;Tvie,1-EXP((T0-t)*PertePVj)+'2025'!Pspv,1-EXP((T0-t)*PertePVj)+Pspv)</f>
        <v>2.6314250646854997E-2</v>
      </c>
      <c r="M364" s="835"/>
      <c r="N364" s="835"/>
      <c r="O364" s="48">
        <f>IF(t&lt;Tnet,'2025'!Resal+('2025'!Salim-'2025'!Resal)*(1-EXP(('2025'!Tnet-t)/('2025'!Tau_j))),Resal+(Salim-Resal)*(1-EXP((Tnet-t)/(Tau_j))))*Salcycl</f>
        <v>2.408538215954523E-2</v>
      </c>
      <c r="P364" s="334">
        <f>(INDEX(Models!$BJ364:$BT364,,T364)*(1-R364)+INDEX(Models!$BJ364:$BT364,,T364+1)*R364-ERP_i)*Q364*Ramure*Pc/MaxiM</f>
        <v>2.9976286459547719E-3</v>
      </c>
      <c r="Q364" s="301">
        <f t="shared" si="130"/>
        <v>0.5</v>
      </c>
      <c r="R364" s="173">
        <f t="shared" si="131"/>
        <v>0.48948252804925385</v>
      </c>
      <c r="S364" s="801">
        <f t="shared" si="132"/>
        <v>2</v>
      </c>
      <c r="T364" s="172">
        <f t="shared" si="133"/>
        <v>8</v>
      </c>
      <c r="U364" s="247">
        <f t="shared" si="134"/>
        <v>2.4894825280492539</v>
      </c>
      <c r="V364" s="378">
        <f t="shared" si="135"/>
        <v>90.947878737184453</v>
      </c>
      <c r="W364" s="397">
        <f t="shared" si="136"/>
        <v>20.700601788860716</v>
      </c>
      <c r="X364" s="153">
        <f t="shared" si="137"/>
        <v>46372</v>
      </c>
      <c r="Y364" s="380">
        <f t="shared" si="138"/>
        <v>20.029066538771144</v>
      </c>
      <c r="Z364" s="380">
        <f t="shared" si="139"/>
        <v>20.570360151699031</v>
      </c>
      <c r="AA364" s="381">
        <f t="shared" si="140"/>
        <v>21.7847376445695</v>
      </c>
      <c r="AB364" s="193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5.5744416695933316E-2</v>
      </c>
      <c r="AD364" s="227">
        <f>(INDEX(Models!$BJ364:$BT364,,AH364)*(1-AF364)+INDEX(Models!$BJ364:$BT364,,AH364+1)*AF364-ERP_i)*AE364*Ramure*Pc/MaxiM</f>
        <v>2.9976286459547719E-3</v>
      </c>
      <c r="AE364" s="301">
        <f t="shared" si="142"/>
        <v>0.5</v>
      </c>
      <c r="AF364" s="173">
        <f t="shared" si="143"/>
        <v>0.48948252804925385</v>
      </c>
      <c r="AG364" s="801">
        <f t="shared" si="149"/>
        <v>2</v>
      </c>
      <c r="AH364" s="172">
        <f t="shared" si="144"/>
        <v>8</v>
      </c>
      <c r="AI364" s="221">
        <f t="shared" si="145"/>
        <v>2.4894825280492539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46373</v>
      </c>
      <c r="B365" s="406">
        <f>'2025'!Wh/'2025'!Env_an*'2026'!Env_an</f>
        <v>12.843408464989215</v>
      </c>
      <c r="C365" s="831"/>
      <c r="D365" s="388">
        <f t="shared" si="127"/>
        <v>13.190687335626468</v>
      </c>
      <c r="E365" s="380">
        <f t="shared" si="150"/>
        <v>13.517037262757029</v>
      </c>
      <c r="F365" s="380">
        <f t="shared" si="128"/>
        <v>13.517037262757029</v>
      </c>
      <c r="G365" s="110">
        <f t="shared" si="151"/>
        <v>0.14095099583605189</v>
      </c>
      <c r="H365" s="409" t="b">
        <f>Wh_hp&gt;='2025'!Maxi_hp</f>
        <v>0</v>
      </c>
      <c r="I365" s="375">
        <f>IF(H365,Wh_hp,'2025'!Maxi_hp)</f>
        <v>97.364376896272645</v>
      </c>
      <c r="J365" s="85">
        <f>IF(H365,An,'2025'!An_max)</f>
        <v>2021</v>
      </c>
      <c r="K365" s="193">
        <f t="shared" si="129"/>
        <v>46373</v>
      </c>
      <c r="L365" s="143">
        <f>IF(t&lt;Tvie,1-EXP((T0-t)*PertePVj)+'2025'!Pspv,1-EXP((T0-t)*PertePVj)+Pspv)</f>
        <v>2.6327579587099637E-2</v>
      </c>
      <c r="M365" s="835"/>
      <c r="N365" s="835"/>
      <c r="O365" s="48">
        <f>IF(t&lt;Tnet,'2025'!Resal+('2025'!Salim-'2025'!Resal)*(1-EXP(('2025'!Tnet-t)/('2025'!Tau_j))),Resal+(Salim-Resal)*(1-EXP((Tnet-t)/(Tau_j))))*Salcycl</f>
        <v>2.4143598984500941E-2</v>
      </c>
      <c r="P365" s="334">
        <f>(INDEX(Models!$BJ365:$BT365,,T365)*(1-R365)+INDEX(Models!$BJ365:$BT365,,T365+1)*R365-ERP_i)*Q365*Ramure*Pc/MaxiM</f>
        <v>2.9791632629282464E-3</v>
      </c>
      <c r="Q365" s="301">
        <f t="shared" si="130"/>
        <v>0.5</v>
      </c>
      <c r="R365" s="173">
        <f t="shared" si="131"/>
        <v>0.48949105991306618</v>
      </c>
      <c r="S365" s="801">
        <f t="shared" si="132"/>
        <v>2</v>
      </c>
      <c r="T365" s="172">
        <f t="shared" si="133"/>
        <v>8</v>
      </c>
      <c r="U365" s="247">
        <f t="shared" si="134"/>
        <v>2.4894910599130662</v>
      </c>
      <c r="V365" s="378">
        <f t="shared" si="135"/>
        <v>90.848211311780503</v>
      </c>
      <c r="W365" s="397">
        <f t="shared" si="136"/>
        <v>12.843408464989215</v>
      </c>
      <c r="X365" s="153">
        <f t="shared" si="137"/>
        <v>46373</v>
      </c>
      <c r="Y365" s="380">
        <f t="shared" si="138"/>
        <v>12.427249935272554</v>
      </c>
      <c r="Z365" s="380">
        <f t="shared" si="139"/>
        <v>12.763276102657393</v>
      </c>
      <c r="AA365" s="381">
        <f t="shared" si="140"/>
        <v>13.517037262757029</v>
      </c>
      <c r="AB365" s="193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5.576378502532095E-2</v>
      </c>
      <c r="AD365" s="227">
        <f>(INDEX(Models!$BJ365:$BT365,,AH365)*(1-AF365)+INDEX(Models!$BJ365:$BT365,,AH365+1)*AF365-ERP_i)*AE365*Ramure*Pc/MaxiM</f>
        <v>2.9791632629282464E-3</v>
      </c>
      <c r="AE365" s="301">
        <f t="shared" si="142"/>
        <v>0.5</v>
      </c>
      <c r="AF365" s="173">
        <f t="shared" si="143"/>
        <v>0.48949105991306618</v>
      </c>
      <c r="AG365" s="801">
        <f t="shared" si="149"/>
        <v>2</v>
      </c>
      <c r="AH365" s="172">
        <f t="shared" si="144"/>
        <v>8</v>
      </c>
      <c r="AI365" s="221">
        <f t="shared" si="145"/>
        <v>2.4894910599130662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46374</v>
      </c>
      <c r="B366" s="406">
        <f>'2025'!Wh/'2025'!Env_an*'2026'!Env_an</f>
        <v>69.955510315219811</v>
      </c>
      <c r="C366" s="831"/>
      <c r="D366" s="388">
        <f t="shared" si="127"/>
        <v>71.848053302006164</v>
      </c>
      <c r="E366" s="380">
        <f t="shared" si="150"/>
        <v>73.630045503346409</v>
      </c>
      <c r="F366" s="380">
        <f t="shared" si="128"/>
        <v>73.777132435045587</v>
      </c>
      <c r="G366" s="110">
        <f t="shared" si="151"/>
        <v>0.76977581347558499</v>
      </c>
      <c r="H366" s="409" t="b">
        <f>Wh_hp&gt;='2025'!Maxi_hp</f>
        <v>0</v>
      </c>
      <c r="I366" s="375">
        <f>IF(H366,Wh_hp,'2025'!Maxi_hp)</f>
        <v>98.158403846650032</v>
      </c>
      <c r="J366" s="85">
        <f>IF(H366,An,'2025'!An_max)</f>
        <v>2021</v>
      </c>
      <c r="K366" s="193">
        <f t="shared" si="129"/>
        <v>46374</v>
      </c>
      <c r="L366" s="143">
        <f>IF(t&lt;Tvie,1-EXP((T0-t)*PertePVj)+'2025'!Pspv,1-EXP((T0-t)*PertePVj)+Pspv)</f>
        <v>2.634090834488223E-2</v>
      </c>
      <c r="M366" s="835"/>
      <c r="N366" s="835"/>
      <c r="O366" s="48">
        <f>IF(t&lt;Tnet,'2025'!Resal+('2025'!Salim-'2025'!Resal)*(1-EXP(('2025'!Tnet-t)/('2025'!Tau_j))),Resal+(Salim-Resal)*(1-EXP((Tnet-t)/(Tau_j))))*Salcycl</f>
        <v>2.4201970665076549E-2</v>
      </c>
      <c r="P366" s="334">
        <f>(INDEX(Models!$BJ366:$BT366,,T366)*(1-R366)+INDEX(Models!$BJ366:$BT366,,T366+1)*R366-ERP_i)*Q366*Ramure*Pc/MaxiM</f>
        <v>2.9659667305386573E-3</v>
      </c>
      <c r="Q366" s="301">
        <f t="shared" si="130"/>
        <v>0.5</v>
      </c>
      <c r="R366" s="173">
        <f t="shared" si="131"/>
        <v>0.48949924853273519</v>
      </c>
      <c r="S366" s="801">
        <f t="shared" si="132"/>
        <v>2</v>
      </c>
      <c r="T366" s="172">
        <f t="shared" si="133"/>
        <v>8</v>
      </c>
      <c r="U366" s="247">
        <f t="shared" si="134"/>
        <v>2.4894992485327352</v>
      </c>
      <c r="V366" s="378">
        <f t="shared" si="135"/>
        <v>90.789234209485556</v>
      </c>
      <c r="W366" s="397">
        <f t="shared" si="136"/>
        <v>69.955510315219811</v>
      </c>
      <c r="X366" s="153">
        <f t="shared" si="137"/>
        <v>46374</v>
      </c>
      <c r="Y366" s="380">
        <f t="shared" si="138"/>
        <v>67.691400768465158</v>
      </c>
      <c r="Z366" s="380">
        <f t="shared" si="139"/>
        <v>69.522691616217458</v>
      </c>
      <c r="AA366" s="381">
        <f t="shared" si="140"/>
        <v>73.630045503346409</v>
      </c>
      <c r="AB366" s="193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5.5783666288000217E-2</v>
      </c>
      <c r="AD366" s="227">
        <f>(INDEX(Models!$BJ366:$BT366,,AH366)*(1-AF366)+INDEX(Models!$BJ366:$BT366,,AH366+1)*AF366-ERP_i)*AE366*Ramure*Pc/MaxiM</f>
        <v>2.9659667305386573E-3</v>
      </c>
      <c r="AE366" s="301">
        <f t="shared" si="142"/>
        <v>0.5</v>
      </c>
      <c r="AF366" s="173">
        <f t="shared" si="143"/>
        <v>0.48949924853273519</v>
      </c>
      <c r="AG366" s="801">
        <f t="shared" si="149"/>
        <v>2</v>
      </c>
      <c r="AH366" s="172">
        <f t="shared" si="144"/>
        <v>8</v>
      </c>
      <c r="AI366" s="221">
        <f t="shared" si="145"/>
        <v>2.4894992485327352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46375</v>
      </c>
      <c r="B367" s="406">
        <f>'2025'!Wh/'2025'!Env_an*'2026'!Env_an</f>
        <v>67.240398131081108</v>
      </c>
      <c r="C367" s="831"/>
      <c r="D367" s="388">
        <f t="shared" si="127"/>
        <v>69.06043314807755</v>
      </c>
      <c r="E367" s="380">
        <f t="shared" si="150"/>
        <v>70.777530281239436</v>
      </c>
      <c r="F367" s="380">
        <f t="shared" si="128"/>
        <v>70.909445845388902</v>
      </c>
      <c r="G367" s="110">
        <f t="shared" si="151"/>
        <v>0.73995387143503355</v>
      </c>
      <c r="H367" s="409" t="b">
        <f>Wh_hp&gt;='2025'!Maxi_hp</f>
        <v>0</v>
      </c>
      <c r="I367" s="375">
        <f>IF(H367,Wh_hp,'2025'!Maxi_hp)</f>
        <v>96.560601713863988</v>
      </c>
      <c r="J367" s="85">
        <f>IF(H367,An,'2025'!An_max)</f>
        <v>2021</v>
      </c>
      <c r="K367" s="193">
        <f t="shared" si="129"/>
        <v>46375</v>
      </c>
      <c r="L367" s="143">
        <f>IF(t&lt;Tvie,1-EXP((T0-t)*PertePVj)+'2025'!Pspv,1-EXP((T0-t)*PertePVj)+Pspv)</f>
        <v>2.6354236920205332E-2</v>
      </c>
      <c r="M367" s="835"/>
      <c r="N367" s="835"/>
      <c r="O367" s="48">
        <f>IF(t&lt;Tnet,'2025'!Resal+('2025'!Salim-'2025'!Resal)*(1-EXP(('2025'!Tnet-t)/('2025'!Tau_j))),Resal+(Salim-Resal)*(1-EXP((Tnet-t)/(Tau_j))))*Salcycl</f>
        <v>2.4260483889998481E-2</v>
      </c>
      <c r="P367" s="334">
        <f>(INDEX(Models!$BJ367:$BT367,,T367)*(1-R367)+INDEX(Models!$BJ367:$BT367,,T367+1)*R367-ERP_i)*Q367*Ramure*Pc/MaxiM</f>
        <v>2.9544865014601161E-3</v>
      </c>
      <c r="Q367" s="301">
        <f t="shared" si="130"/>
        <v>0.5</v>
      </c>
      <c r="R367" s="173">
        <f t="shared" si="131"/>
        <v>0.48950710770670147</v>
      </c>
      <c r="S367" s="801">
        <f t="shared" si="132"/>
        <v>2</v>
      </c>
      <c r="T367" s="172">
        <f t="shared" si="133"/>
        <v>8</v>
      </c>
      <c r="U367" s="247">
        <f t="shared" si="134"/>
        <v>2.4895071077067015</v>
      </c>
      <c r="V367" s="378">
        <f t="shared" si="135"/>
        <v>90.771455690968793</v>
      </c>
      <c r="W367" s="397">
        <f t="shared" si="136"/>
        <v>67.240398131081108</v>
      </c>
      <c r="X367" s="153">
        <f t="shared" si="137"/>
        <v>46375</v>
      </c>
      <c r="Y367" s="380">
        <f t="shared" si="138"/>
        <v>65.066661887572423</v>
      </c>
      <c r="Z367" s="380">
        <f t="shared" si="139"/>
        <v>66.827859119682643</v>
      </c>
      <c r="AA367" s="381">
        <f t="shared" si="140"/>
        <v>70.777530281239436</v>
      </c>
      <c r="AB367" s="193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5.5804026304146125E-2</v>
      </c>
      <c r="AD367" s="227">
        <f>(INDEX(Models!$BJ367:$BT367,,AH367)*(1-AF367)+INDEX(Models!$BJ367:$BT367,,AH367+1)*AF367-ERP_i)*AE367*Ramure*Pc/MaxiM</f>
        <v>2.9544865014601161E-3</v>
      </c>
      <c r="AE367" s="301">
        <f t="shared" si="142"/>
        <v>0.5</v>
      </c>
      <c r="AF367" s="173">
        <f t="shared" si="143"/>
        <v>0.48950710770670147</v>
      </c>
      <c r="AG367" s="801">
        <f t="shared" si="149"/>
        <v>2</v>
      </c>
      <c r="AH367" s="172">
        <f t="shared" si="144"/>
        <v>8</v>
      </c>
      <c r="AI367" s="221">
        <f t="shared" si="145"/>
        <v>2.4895071077067015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46376</v>
      </c>
      <c r="B368" s="406">
        <f>'2025'!Wh/'2025'!Env_an*'2026'!Env_an</f>
        <v>17.57877245801237</v>
      </c>
      <c r="C368" s="831"/>
      <c r="D368" s="388">
        <f t="shared" si="127"/>
        <v>18.054834485526175</v>
      </c>
      <c r="E368" s="380">
        <f t="shared" si="150"/>
        <v>18.504856408961967</v>
      </c>
      <c r="F368" s="380">
        <f t="shared" si="128"/>
        <v>18.504856408961967</v>
      </c>
      <c r="G368" s="110">
        <f t="shared" si="151"/>
        <v>0.19303922436176082</v>
      </c>
      <c r="H368" s="409" t="b">
        <f>Wh_hp&gt;='2025'!Maxi_hp</f>
        <v>0</v>
      </c>
      <c r="I368" s="375">
        <f>IF(H368,Wh_hp,'2025'!Maxi_hp)</f>
        <v>98.669245392496961</v>
      </c>
      <c r="J368" s="85">
        <f>IF(H368,An,'2025'!An_max)</f>
        <v>2021</v>
      </c>
      <c r="K368" s="193">
        <f t="shared" si="129"/>
        <v>46376</v>
      </c>
      <c r="L368" s="143">
        <f>IF(t&lt;Tvie,1-EXP((T0-t)*PertePVj)+'2025'!Pspv,1-EXP((T0-t)*PertePVj)+Pspv)</f>
        <v>2.6367565313071384E-2</v>
      </c>
      <c r="M368" s="835"/>
      <c r="N368" s="835"/>
      <c r="O368" s="48">
        <f>IF(t&lt;Tnet,'2025'!Resal+('2025'!Salim-'2025'!Resal)*(1-EXP(('2025'!Tnet-t)/('2025'!Tau_j))),Resal+(Salim-Resal)*(1-EXP((Tnet-t)/(Tau_j))))*Salcycl</f>
        <v>2.4319125395528225E-2</v>
      </c>
      <c r="P368" s="334">
        <f>(INDEX(Models!$BJ368:$BT368,,T368)*(1-R368)+INDEX(Models!$BJ368:$BT368,,T368+1)*R368-ERP_i)*Q368*Ramure*Pc/MaxiM</f>
        <v>2.9446999863199049E-3</v>
      </c>
      <c r="Q368" s="301">
        <f t="shared" si="130"/>
        <v>0.5</v>
      </c>
      <c r="R368" s="173">
        <f t="shared" si="131"/>
        <v>0.48951465067953981</v>
      </c>
      <c r="S368" s="801">
        <f t="shared" si="132"/>
        <v>2</v>
      </c>
      <c r="T368" s="172">
        <f t="shared" si="133"/>
        <v>8</v>
      </c>
      <c r="U368" s="247">
        <f t="shared" si="134"/>
        <v>2.4895146506795398</v>
      </c>
      <c r="V368" s="378">
        <f t="shared" si="135"/>
        <v>90.795061495634926</v>
      </c>
      <c r="W368" s="397">
        <f t="shared" si="136"/>
        <v>17.57877245801237</v>
      </c>
      <c r="X368" s="153">
        <f t="shared" si="137"/>
        <v>46376</v>
      </c>
      <c r="Y368" s="380">
        <f t="shared" si="138"/>
        <v>17.011136410639384</v>
      </c>
      <c r="Z368" s="380">
        <f t="shared" si="139"/>
        <v>17.471825921770275</v>
      </c>
      <c r="AA368" s="381">
        <f t="shared" si="140"/>
        <v>18.504856408961967</v>
      </c>
      <c r="AB368" s="193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5.582483129625327E-2</v>
      </c>
      <c r="AD368" s="227">
        <f>(INDEX(Models!$BJ368:$BT368,,AH368)*(1-AF368)+INDEX(Models!$BJ368:$BT368,,AH368+1)*AF368-ERP_i)*AE368*Ramure*Pc/MaxiM</f>
        <v>2.9446999863199049E-3</v>
      </c>
      <c r="AE368" s="301">
        <f t="shared" si="142"/>
        <v>0.5</v>
      </c>
      <c r="AF368" s="173">
        <f t="shared" si="143"/>
        <v>0.48951465067953981</v>
      </c>
      <c r="AG368" s="801">
        <f t="shared" si="149"/>
        <v>2</v>
      </c>
      <c r="AH368" s="172">
        <f t="shared" si="144"/>
        <v>8</v>
      </c>
      <c r="AI368" s="221">
        <f t="shared" si="145"/>
        <v>2.4895146506795398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46377</v>
      </c>
      <c r="B369" s="406">
        <f>'2025'!Wh/'2025'!Env_an*'2026'!Env_an</f>
        <v>83.061242879957405</v>
      </c>
      <c r="C369" s="831"/>
      <c r="D369" s="388">
        <f t="shared" si="127"/>
        <v>85.311845594887956</v>
      </c>
      <c r="E369" s="380">
        <f t="shared" si="150"/>
        <v>87.443533746641023</v>
      </c>
      <c r="F369" s="380">
        <f t="shared" si="128"/>
        <v>87.669413511555547</v>
      </c>
      <c r="G369" s="110">
        <f t="shared" si="151"/>
        <v>0.91383490742410611</v>
      </c>
      <c r="H369" s="409" t="b">
        <f>Wh_hp&gt;='2025'!Maxi_hp</f>
        <v>0</v>
      </c>
      <c r="I369" s="375">
        <f>IF(H369,Wh_hp,'2025'!Maxi_hp)</f>
        <v>87.695365898496206</v>
      </c>
      <c r="J369" s="85">
        <f>IF(H369,An,'2025'!An_max)</f>
        <v>2022</v>
      </c>
      <c r="K369" s="193">
        <f t="shared" si="129"/>
        <v>46377</v>
      </c>
      <c r="L369" s="143">
        <f>IF(t&lt;Tvie,1-EXP((T0-t)*PertePVj)+'2025'!Pspv,1-EXP((T0-t)*PertePVj)+Pspv)</f>
        <v>2.638089352348294E-2</v>
      </c>
      <c r="M369" s="835"/>
      <c r="N369" s="835"/>
      <c r="O369" s="48">
        <f>IF(t&lt;Tnet,'2025'!Resal+('2025'!Salim-'2025'!Resal)*(1-EXP(('2025'!Tnet-t)/('2025'!Tau_j))),Resal+(Salim-Resal)*(1-EXP((Tnet-t)/(Tau_j))))*Salcycl</f>
        <v>2.437788205048334E-2</v>
      </c>
      <c r="P369" s="334">
        <f>(INDEX(Models!$BJ369:$BT369,,T369)*(1-R369)+INDEX(Models!$BJ369:$BT369,,T369+1)*R369-ERP_i)*Q369*Ramure*Pc/MaxiM</f>
        <v>2.9365827719267609E-3</v>
      </c>
      <c r="Q369" s="301">
        <f t="shared" si="130"/>
        <v>0.5</v>
      </c>
      <c r="R369" s="173">
        <f t="shared" si="131"/>
        <v>0.48952189016412673</v>
      </c>
      <c r="S369" s="801">
        <f t="shared" si="132"/>
        <v>2</v>
      </c>
      <c r="T369" s="172">
        <f t="shared" si="133"/>
        <v>8</v>
      </c>
      <c r="U369" s="247">
        <f t="shared" si="134"/>
        <v>2.4895218901641267</v>
      </c>
      <c r="V369" s="378">
        <f t="shared" si="135"/>
        <v>90.860236973439243</v>
      </c>
      <c r="W369" s="397">
        <f t="shared" si="136"/>
        <v>83.061242879957405</v>
      </c>
      <c r="X369" s="153">
        <f t="shared" si="137"/>
        <v>46377</v>
      </c>
      <c r="Y369" s="380">
        <f t="shared" si="138"/>
        <v>80.382147220544468</v>
      </c>
      <c r="Z369" s="380">
        <f t="shared" si="139"/>
        <v>82.560157956887039</v>
      </c>
      <c r="AA369" s="381">
        <f t="shared" si="140"/>
        <v>87.443533746641023</v>
      </c>
      <c r="AB369" s="193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5.5846048078329991E-2</v>
      </c>
      <c r="AD369" s="227">
        <f>(INDEX(Models!$BJ369:$BT369,,AH369)*(1-AF369)+INDEX(Models!$BJ369:$BT369,,AH369+1)*AF369-ERP_i)*AE369*Ramure*Pc/MaxiM</f>
        <v>2.9365827719267609E-3</v>
      </c>
      <c r="AE369" s="301">
        <f t="shared" si="142"/>
        <v>0.5</v>
      </c>
      <c r="AF369" s="173">
        <f t="shared" si="143"/>
        <v>0.48952189016412673</v>
      </c>
      <c r="AG369" s="801">
        <f t="shared" si="149"/>
        <v>2</v>
      </c>
      <c r="AH369" s="172">
        <f t="shared" si="144"/>
        <v>8</v>
      </c>
      <c r="AI369" s="221">
        <f t="shared" si="145"/>
        <v>2.4895218901641267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46378</v>
      </c>
      <c r="B370" s="406">
        <f>'2025'!Wh/'2025'!Env_an*'2026'!Env_an</f>
        <v>69.187890093730786</v>
      </c>
      <c r="C370" s="831"/>
      <c r="D370" s="388">
        <f t="shared" si="127"/>
        <v>71.063557371220426</v>
      </c>
      <c r="E370" s="380">
        <f t="shared" si="150"/>
        <v>72.843617993045953</v>
      </c>
      <c r="F370" s="380">
        <f t="shared" si="128"/>
        <v>72.984326779352159</v>
      </c>
      <c r="G370" s="110">
        <f t="shared" si="151"/>
        <v>0.75981719293496364</v>
      </c>
      <c r="H370" s="409" t="b">
        <f>Wh_hp&gt;='2025'!Maxi_hp</f>
        <v>0</v>
      </c>
      <c r="I370" s="375">
        <f>IF(H370,Wh_hp,'2025'!Maxi_hp)</f>
        <v>94.664901862942699</v>
      </c>
      <c r="J370" s="85">
        <f>IF(H370,An,'2025'!An_max)</f>
        <v>2021</v>
      </c>
      <c r="K370" s="193">
        <f t="shared" si="129"/>
        <v>46378</v>
      </c>
      <c r="L370" s="143">
        <f>IF(t&lt;Tvie,1-EXP((T0-t)*PertePVj)+'2025'!Pspv,1-EXP((T0-t)*PertePVj)+Pspv)</f>
        <v>2.6394221551442554E-2</v>
      </c>
      <c r="M370" s="835"/>
      <c r="N370" s="835"/>
      <c r="O370" s="48">
        <f>IF(t&lt;Tnet,'2025'!Resal+('2025'!Salim-'2025'!Resal)*(1-EXP(('2025'!Tnet-t)/('2025'!Tau_j))),Resal+(Salim-Resal)*(1-EXP((Tnet-t)/(Tau_j))))*Salcycl</f>
        <v>2.4436740937215162E-2</v>
      </c>
      <c r="P370" s="334">
        <f>(INDEX(Models!$BJ370:$BT370,,T370)*(1-R370)+INDEX(Models!$BJ370:$BT370,,T370+1)*R370-ERP_i)*Q370*Ramure*Pc/MaxiM</f>
        <v>2.930108650665886E-3</v>
      </c>
      <c r="Q370" s="301">
        <f t="shared" si="130"/>
        <v>0.5</v>
      </c>
      <c r="R370" s="173">
        <f t="shared" si="131"/>
        <v>0.48952883836292393</v>
      </c>
      <c r="S370" s="801">
        <f t="shared" si="132"/>
        <v>2</v>
      </c>
      <c r="T370" s="172">
        <f t="shared" si="133"/>
        <v>8</v>
      </c>
      <c r="U370" s="247">
        <f t="shared" si="134"/>
        <v>2.4895288383629239</v>
      </c>
      <c r="V370" s="378">
        <f t="shared" si="135"/>
        <v>90.96716720709891</v>
      </c>
      <c r="W370" s="397">
        <f t="shared" si="136"/>
        <v>69.187890093730786</v>
      </c>
      <c r="X370" s="153">
        <f t="shared" si="137"/>
        <v>46378</v>
      </c>
      <c r="Y370" s="380">
        <f t="shared" si="138"/>
        <v>66.958780025660872</v>
      </c>
      <c r="Z370" s="380">
        <f t="shared" si="139"/>
        <v>68.774016658323262</v>
      </c>
      <c r="AA370" s="381">
        <f t="shared" si="140"/>
        <v>72.843617993045953</v>
      </c>
      <c r="AB370" s="193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5.5867644233585464E-2</v>
      </c>
      <c r="AD370" s="227">
        <f>(INDEX(Models!$BJ370:$BT370,,AH370)*(1-AF370)+INDEX(Models!$BJ370:$BT370,,AH370+1)*AF370-ERP_i)*AE370*Ramure*Pc/MaxiM</f>
        <v>2.930108650665886E-3</v>
      </c>
      <c r="AE370" s="301">
        <f t="shared" si="142"/>
        <v>0.5</v>
      </c>
      <c r="AF370" s="173">
        <f t="shared" si="143"/>
        <v>0.48952883836292393</v>
      </c>
      <c r="AG370" s="801">
        <f t="shared" si="149"/>
        <v>2</v>
      </c>
      <c r="AH370" s="172">
        <f t="shared" si="144"/>
        <v>8</v>
      </c>
      <c r="AI370" s="221">
        <f t="shared" si="145"/>
        <v>2.4895288383629239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46379</v>
      </c>
      <c r="B371" s="406">
        <f>'2025'!Wh/'2025'!Env_an*'2026'!Env_an</f>
        <v>70.966402203166325</v>
      </c>
      <c r="C371" s="831"/>
      <c r="D371" s="388">
        <f t="shared" si="127"/>
        <v>72.891282342225878</v>
      </c>
      <c r="E371" s="380">
        <f t="shared" si="150"/>
        <v>74.721640439992328</v>
      </c>
      <c r="F371" s="380">
        <f t="shared" si="128"/>
        <v>74.871466154723265</v>
      </c>
      <c r="G371" s="110">
        <f t="shared" si="151"/>
        <v>0.77813620931357552</v>
      </c>
      <c r="H371" s="409" t="b">
        <f>Wh_hp&gt;='2025'!Maxi_hp</f>
        <v>0</v>
      </c>
      <c r="I371" s="375">
        <f>IF(H371,Wh_hp,'2025'!Maxi_hp)</f>
        <v>74.928334057656301</v>
      </c>
      <c r="J371" s="85">
        <f>IF(H371,An,'2025'!An_max)</f>
        <v>2022</v>
      </c>
      <c r="K371" s="193">
        <f t="shared" si="129"/>
        <v>46379</v>
      </c>
      <c r="L371" s="143">
        <f>IF(t&lt;Tvie,1-EXP((T0-t)*PertePVj)+'2025'!Pspv,1-EXP((T0-t)*PertePVj)+Pspv)</f>
        <v>2.6407549396952668E-2</v>
      </c>
      <c r="M371" s="835"/>
      <c r="N371" s="835"/>
      <c r="O371" s="48">
        <f>IF(t&lt;Tnet,'2025'!Resal+('2025'!Salim-'2025'!Resal)*(1-EXP(('2025'!Tnet-t)/('2025'!Tau_j))),Resal+(Salim-Resal)*(1-EXP((Tnet-t)/(Tau_j))))*Salcycl</f>
        <v>2.4495689427969414E-2</v>
      </c>
      <c r="P371" s="334">
        <f>(INDEX(Models!$BJ371:$BT371,,T371)*(1-R371)+INDEX(Models!$BJ371:$BT371,,T371+1)*R371-ERP_i)*Q371*Ramure*Pc/MaxiM</f>
        <v>2.9252422423555039E-3</v>
      </c>
      <c r="Q371" s="301">
        <f t="shared" si="130"/>
        <v>0.5</v>
      </c>
      <c r="R371" s="173">
        <f t="shared" si="131"/>
        <v>0.48952883836292393</v>
      </c>
      <c r="S371" s="801">
        <f t="shared" si="132"/>
        <v>2</v>
      </c>
      <c r="T371" s="172">
        <f t="shared" si="133"/>
        <v>8</v>
      </c>
      <c r="U371" s="247">
        <f t="shared" si="134"/>
        <v>2.4895288383629239</v>
      </c>
      <c r="V371" s="378">
        <f t="shared" si="135"/>
        <v>91.116037533319073</v>
      </c>
      <c r="W371" s="397">
        <f t="shared" si="136"/>
        <v>70.966402203166325</v>
      </c>
      <c r="X371" s="153">
        <f t="shared" si="137"/>
        <v>46379</v>
      </c>
      <c r="Y371" s="380">
        <f t="shared" si="138"/>
        <v>68.682545506197613</v>
      </c>
      <c r="Z371" s="380">
        <f t="shared" si="139"/>
        <v>70.545478720233859</v>
      </c>
      <c r="AA371" s="381">
        <f t="shared" si="140"/>
        <v>74.721640439992328</v>
      </c>
      <c r="AB371" s="193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5.588958827947936E-2</v>
      </c>
      <c r="AD371" s="227">
        <f>(INDEX(Models!$BJ371:$BT371,,AH371)*(1-AF371)+INDEX(Models!$BJ371:$BT371,,AH371+1)*AF371-ERP_i)*AE371*Ramure*Pc/MaxiM</f>
        <v>2.9252422423555039E-3</v>
      </c>
      <c r="AE371" s="301">
        <f t="shared" si="142"/>
        <v>0.5</v>
      </c>
      <c r="AF371" s="173">
        <f t="shared" si="143"/>
        <v>0.48952883836292393</v>
      </c>
      <c r="AG371" s="801">
        <f t="shared" si="149"/>
        <v>2</v>
      </c>
      <c r="AH371" s="172">
        <f t="shared" si="144"/>
        <v>8</v>
      </c>
      <c r="AI371" s="221">
        <f t="shared" si="145"/>
        <v>2.4895288383629239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46380</v>
      </c>
      <c r="B372" s="406">
        <f>'2025'!Wh/'2025'!Env_an*'2026'!Env_an</f>
        <v>86.149407189345098</v>
      </c>
      <c r="C372" s="831"/>
      <c r="D372" s="388">
        <f t="shared" si="127"/>
        <v>88.487319786802502</v>
      </c>
      <c r="E372" s="380">
        <f t="shared" si="150"/>
        <v>90.714795766361277</v>
      </c>
      <c r="F372" s="380">
        <f t="shared" si="128"/>
        <v>90.959127457028046</v>
      </c>
      <c r="G372" s="110">
        <f t="shared" si="151"/>
        <v>0.94329032132199864</v>
      </c>
      <c r="H372" s="409" t="b">
        <f>Wh_hp&gt;='2025'!Maxi_hp</f>
        <v>0</v>
      </c>
      <c r="I372" s="375">
        <f>IF(H372,Wh_hp,'2025'!Maxi_hp)</f>
        <v>90.976752342658557</v>
      </c>
      <c r="J372" s="85">
        <f>IF(H372,An,'2025'!An_max)</f>
        <v>2022</v>
      </c>
      <c r="K372" s="193">
        <f t="shared" si="129"/>
        <v>46380</v>
      </c>
      <c r="L372" s="143">
        <f>IF(t&lt;Tvie,1-EXP((T0-t)*PertePVj)+'2025'!Pspv,1-EXP((T0-t)*PertePVj)+Pspv)</f>
        <v>2.6420877060015724E-2</v>
      </c>
      <c r="M372" s="835"/>
      <c r="N372" s="835"/>
      <c r="O372" s="48">
        <f>IF(t&lt;Tnet,'2025'!Resal+('2025'!Salim-'2025'!Resal)*(1-EXP(('2025'!Tnet-t)/('2025'!Tau_j))),Resal+(Salim-Resal)*(1-EXP((Tnet-t)/(Tau_j))))*Salcycl</f>
        <v>2.4554715256105478E-2</v>
      </c>
      <c r="P372" s="334">
        <f>(INDEX(Models!$BJ372:$BT372,,T372)*(1-R372)+INDEX(Models!$BJ372:$BT372,,T372+1)*R372-ERP_i)*Q372*Ramure*Pc/MaxiM</f>
        <v>2.9219579845654866E-3</v>
      </c>
      <c r="Q372" s="301">
        <f t="shared" si="130"/>
        <v>0.5</v>
      </c>
      <c r="R372" s="173">
        <f t="shared" si="131"/>
        <v>0.48952883836292393</v>
      </c>
      <c r="S372" s="801">
        <f t="shared" si="132"/>
        <v>2</v>
      </c>
      <c r="T372" s="172">
        <f t="shared" si="133"/>
        <v>8</v>
      </c>
      <c r="U372" s="247">
        <f t="shared" si="134"/>
        <v>2.4895288383629239</v>
      </c>
      <c r="V372" s="378">
        <f t="shared" si="135"/>
        <v>91.307031935957184</v>
      </c>
      <c r="W372" s="397">
        <f t="shared" si="136"/>
        <v>86.149407189345098</v>
      </c>
      <c r="X372" s="153">
        <f t="shared" si="137"/>
        <v>46380</v>
      </c>
      <c r="Y372" s="380">
        <f t="shared" si="138"/>
        <v>83.380006797532687</v>
      </c>
      <c r="Z372" s="380">
        <f t="shared" si="139"/>
        <v>85.642763729099187</v>
      </c>
      <c r="AA372" s="381">
        <f t="shared" si="140"/>
        <v>90.714795766361277</v>
      </c>
      <c r="AB372" s="193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5.591184981913272E-2</v>
      </c>
      <c r="AD372" s="227">
        <f>(INDEX(Models!$BJ372:$BT372,,AH372)*(1-AF372)+INDEX(Models!$BJ372:$BT372,,AH372+1)*AF372-ERP_i)*AE372*Ramure*Pc/MaxiM</f>
        <v>2.9219579845654866E-3</v>
      </c>
      <c r="AE372" s="301">
        <f t="shared" si="142"/>
        <v>0.5</v>
      </c>
      <c r="AF372" s="173">
        <f t="shared" si="143"/>
        <v>0.48952883836292393</v>
      </c>
      <c r="AG372" s="801">
        <f t="shared" si="149"/>
        <v>2</v>
      </c>
      <c r="AH372" s="172">
        <f t="shared" si="144"/>
        <v>8</v>
      </c>
      <c r="AI372" s="221">
        <f t="shared" si="145"/>
        <v>2.4895288383629239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46381</v>
      </c>
      <c r="B373" s="406">
        <f>'2025'!Wh/'2025'!Env_an*'2026'!Env_an</f>
        <v>48.535564763151321</v>
      </c>
      <c r="C373" s="831"/>
      <c r="D373" s="388">
        <f t="shared" si="127"/>
        <v>49.853399728623764</v>
      </c>
      <c r="E373" s="380">
        <f t="shared" si="150"/>
        <v>51.111446999172394</v>
      </c>
      <c r="F373" s="380">
        <f t="shared" si="128"/>
        <v>51.160573617463847</v>
      </c>
      <c r="G373" s="110">
        <f t="shared" si="151"/>
        <v>0.52914787456751788</v>
      </c>
      <c r="H373" s="409" t="b">
        <f>Wh_hp&gt;='2025'!Maxi_hp</f>
        <v>0</v>
      </c>
      <c r="I373" s="375">
        <f>IF(H373,Wh_hp,'2025'!Maxi_hp)</f>
        <v>51.242914990757299</v>
      </c>
      <c r="J373" s="85">
        <f>IF(H373,An,'2025'!An_max)</f>
        <v>2022</v>
      </c>
      <c r="K373" s="193">
        <f t="shared" si="129"/>
        <v>46381</v>
      </c>
      <c r="L373" s="143">
        <f>IF(t&lt;Tvie,1-EXP((T0-t)*PertePVj)+'2025'!Pspv,1-EXP((T0-t)*PertePVj)+Pspv)</f>
        <v>2.6434204540634276E-2</v>
      </c>
      <c r="M373" s="835"/>
      <c r="N373" s="835"/>
      <c r="O373" s="48">
        <f>IF(t&lt;Tnet,'2025'!Resal+('2025'!Salim-'2025'!Resal)*(1-EXP(('2025'!Tnet-t)/('2025'!Tau_j))),Resal+(Salim-Resal)*(1-EXP((Tnet-t)/(Tau_j))))*Salcycl</f>
        <v>2.4613806581703781E-2</v>
      </c>
      <c r="P373" s="334">
        <f>(INDEX(Models!$BJ373:$BT373,,T373)*(1-R373)+INDEX(Models!$BJ373:$BT373,,T373+1)*R373-ERP_i)*Q373*Ramure*Pc/MaxiM</f>
        <v>2.9200944287973369E-3</v>
      </c>
      <c r="Q373" s="301">
        <f t="shared" si="130"/>
        <v>0.5</v>
      </c>
      <c r="R373" s="173">
        <f t="shared" si="131"/>
        <v>0.48952883836292393</v>
      </c>
      <c r="S373" s="801">
        <f t="shared" si="132"/>
        <v>2</v>
      </c>
      <c r="T373" s="172">
        <f t="shared" si="133"/>
        <v>8</v>
      </c>
      <c r="U373" s="247">
        <f t="shared" si="134"/>
        <v>2.4895288383629239</v>
      </c>
      <c r="V373" s="378">
        <f t="shared" si="135"/>
        <v>91.544071516923978</v>
      </c>
      <c r="W373" s="397">
        <f t="shared" si="136"/>
        <v>48.535564763151321</v>
      </c>
      <c r="X373" s="153">
        <f t="shared" si="137"/>
        <v>46381</v>
      </c>
      <c r="Y373" s="380">
        <f t="shared" si="138"/>
        <v>46.977040883159205</v>
      </c>
      <c r="Z373" s="380">
        <f t="shared" si="139"/>
        <v>48.252558894587736</v>
      </c>
      <c r="AA373" s="381">
        <f t="shared" si="140"/>
        <v>51.111446999172394</v>
      </c>
      <c r="AB373" s="193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5.593439967823545E-2</v>
      </c>
      <c r="AD373" s="227">
        <f>(INDEX(Models!$BJ373:$BT373,,AH373)*(1-AF373)+INDEX(Models!$BJ373:$BT373,,AH373+1)*AF373-ERP_i)*AE373*Ramure*Pc/MaxiM</f>
        <v>2.9200944287973369E-3</v>
      </c>
      <c r="AE373" s="301">
        <f t="shared" si="142"/>
        <v>0.5</v>
      </c>
      <c r="AF373" s="173">
        <f t="shared" si="143"/>
        <v>0.48952883836292393</v>
      </c>
      <c r="AG373" s="801">
        <f t="shared" si="149"/>
        <v>2</v>
      </c>
      <c r="AH373" s="172">
        <f t="shared" si="144"/>
        <v>8</v>
      </c>
      <c r="AI373" s="221">
        <f t="shared" si="145"/>
        <v>2.4895288383629239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46382</v>
      </c>
      <c r="B374" s="406">
        <f>'2025'!Wh/'2025'!Env_an*'2026'!Env_an</f>
        <v>82.927797408882</v>
      </c>
      <c r="C374" s="831"/>
      <c r="D374" s="388">
        <f t="shared" si="127"/>
        <v>85.180614420826259</v>
      </c>
      <c r="E374" s="380">
        <f t="shared" si="150"/>
        <v>87.335437482190414</v>
      </c>
      <c r="F374" s="380">
        <f t="shared" si="128"/>
        <v>87.55565923226861</v>
      </c>
      <c r="G374" s="110">
        <f t="shared" si="151"/>
        <v>0.90269426032809297</v>
      </c>
      <c r="H374" s="409" t="b">
        <f>Wh_hp&gt;='2025'!Maxi_hp</f>
        <v>0</v>
      </c>
      <c r="I374" s="375">
        <f>IF(H374,Wh_hp,'2025'!Maxi_hp)</f>
        <v>87.584724087627364</v>
      </c>
      <c r="J374" s="85">
        <f>IF(H374,An,'2025'!An_max)</f>
        <v>2022</v>
      </c>
      <c r="K374" s="193">
        <f t="shared" si="129"/>
        <v>46382</v>
      </c>
      <c r="L374" s="143">
        <f>IF(t&lt;Tvie,1-EXP((T0-t)*PertePVj)+'2025'!Pspv,1-EXP((T0-t)*PertePVj)+Pspv)</f>
        <v>2.6447531838810767E-2</v>
      </c>
      <c r="M374" s="835"/>
      <c r="N374" s="835"/>
      <c r="O374" s="48">
        <f>IF(t&lt;Tnet,'2025'!Resal+('2025'!Salim-'2025'!Resal)*(1-EXP(('2025'!Tnet-t)/('2025'!Tau_j))),Resal+(Salim-Resal)*(1-EXP((Tnet-t)/(Tau_j))))*Salcycl</f>
        <v>2.4672952051148441E-2</v>
      </c>
      <c r="P374" s="334">
        <f>(INDEX(Models!$BJ374:$BT374,,T374)*(1-R374)+INDEX(Models!$BJ374:$BT374,,T374+1)*R374-ERP_i)*Q374*Ramure*Pc/MaxiM</f>
        <v>2.9195323266405105E-3</v>
      </c>
      <c r="Q374" s="301">
        <f t="shared" si="130"/>
        <v>0.5</v>
      </c>
      <c r="R374" s="173">
        <f t="shared" si="131"/>
        <v>0.48952883836292393</v>
      </c>
      <c r="S374" s="801">
        <f t="shared" si="132"/>
        <v>2</v>
      </c>
      <c r="T374" s="172">
        <f t="shared" si="133"/>
        <v>8</v>
      </c>
      <c r="U374" s="247">
        <f t="shared" si="134"/>
        <v>2.4895288383629239</v>
      </c>
      <c r="V374" s="378">
        <f t="shared" si="135"/>
        <v>91.82974544213188</v>
      </c>
      <c r="W374" s="397">
        <f t="shared" si="136"/>
        <v>82.927797408882</v>
      </c>
      <c r="X374" s="153">
        <f t="shared" si="137"/>
        <v>46382</v>
      </c>
      <c r="Y374" s="380">
        <f t="shared" si="138"/>
        <v>80.267833642941042</v>
      </c>
      <c r="Z374" s="380">
        <f t="shared" si="139"/>
        <v>82.448390064223275</v>
      </c>
      <c r="AA374" s="381">
        <f t="shared" si="140"/>
        <v>87.335437482190414</v>
      </c>
      <c r="AB374" s="193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5.5957210026728543E-2</v>
      </c>
      <c r="AD374" s="227">
        <f>(INDEX(Models!$BJ374:$BT374,,AH374)*(1-AF374)+INDEX(Models!$BJ374:$BT374,,AH374+1)*AF374-ERP_i)*AE374*Ramure*Pc/MaxiM</f>
        <v>2.9195323266405105E-3</v>
      </c>
      <c r="AE374" s="301">
        <f t="shared" si="142"/>
        <v>0.5</v>
      </c>
      <c r="AF374" s="173">
        <f t="shared" si="143"/>
        <v>0.48952883836292393</v>
      </c>
      <c r="AG374" s="801">
        <f t="shared" si="149"/>
        <v>2</v>
      </c>
      <c r="AH374" s="172">
        <f t="shared" si="144"/>
        <v>8</v>
      </c>
      <c r="AI374" s="221">
        <f t="shared" si="145"/>
        <v>2.4895288383629239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46383</v>
      </c>
      <c r="B375" s="406">
        <f>'2025'!Wh/'2025'!Env_an*'2026'!Env_an</f>
        <v>25.702861527971926</v>
      </c>
      <c r="C375" s="831"/>
      <c r="D375" s="388">
        <f t="shared" si="127"/>
        <v>26.40146702306232</v>
      </c>
      <c r="E375" s="380">
        <f t="shared" si="150"/>
        <v>27.070990574919257</v>
      </c>
      <c r="F375" s="380">
        <f t="shared" si="128"/>
        <v>27.070990574919257</v>
      </c>
      <c r="G375" s="110">
        <f t="shared" si="151"/>
        <v>0.27807268303008342</v>
      </c>
      <c r="H375" s="409" t="b">
        <f>Wh_hp&gt;='2025'!Maxi_hp</f>
        <v>0</v>
      </c>
      <c r="I375" s="375">
        <f>IF(H375,Wh_hp,'2025'!Maxi_hp)</f>
        <v>41.855930622746683</v>
      </c>
      <c r="J375" s="85">
        <f>IF(H375,An,'2025'!An_max)</f>
        <v>2021</v>
      </c>
      <c r="K375" s="193">
        <f t="shared" si="129"/>
        <v>46383</v>
      </c>
      <c r="L375" s="143">
        <f>IF(t&lt;Tvie,1-EXP((T0-t)*PertePVj)+'2025'!Pspv,1-EXP((T0-t)*PertePVj)+Pspv)</f>
        <v>2.646085895454775E-2</v>
      </c>
      <c r="M375" s="835"/>
      <c r="N375" s="835"/>
      <c r="O375" s="48">
        <f>IF(t&lt;Tnet,'2025'!Resal+('2025'!Salim-'2025'!Resal)*(1-EXP(('2025'!Tnet-t)/('2025'!Tau_j))),Resal+(Salim-Resal)*(1-EXP((Tnet-t)/(Tau_j))))*Salcycl</f>
        <v>2.4732140850332873E-2</v>
      </c>
      <c r="P375" s="334">
        <f>(INDEX(Models!$BJ375:$BT375,,T375)*(1-R375)+INDEX(Models!$BJ375:$BT375,,T375+1)*R375-ERP_i)*Q375*Ramure*Pc/MaxiM</f>
        <v>2.9237357277483835E-3</v>
      </c>
      <c r="Q375" s="301">
        <f t="shared" si="130"/>
        <v>0.5</v>
      </c>
      <c r="R375" s="173">
        <f t="shared" si="131"/>
        <v>0.48952883836292393</v>
      </c>
      <c r="S375" s="801">
        <f t="shared" si="132"/>
        <v>2</v>
      </c>
      <c r="T375" s="172">
        <f t="shared" si="133"/>
        <v>8</v>
      </c>
      <c r="U375" s="247">
        <f t="shared" si="134"/>
        <v>2.4895288383629239</v>
      </c>
      <c r="V375" s="378">
        <f t="shared" si="135"/>
        <v>92.161922825927775</v>
      </c>
      <c r="W375" s="397">
        <f t="shared" si="136"/>
        <v>25.702861527971926</v>
      </c>
      <c r="X375" s="153">
        <f t="shared" si="137"/>
        <v>46383</v>
      </c>
      <c r="Y375" s="380">
        <f t="shared" si="138"/>
        <v>24.879327839027855</v>
      </c>
      <c r="Z375" s="380">
        <f t="shared" si="139"/>
        <v>25.555549633382739</v>
      </c>
      <c r="AA375" s="381">
        <f t="shared" si="140"/>
        <v>27.070990574919257</v>
      </c>
      <c r="AB375" s="193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5.5980254484686125E-2</v>
      </c>
      <c r="AD375" s="227">
        <f>(INDEX(Models!$BJ375:$BT375,,AH375)*(1-AF375)+INDEX(Models!$BJ375:$BT375,,AH375+1)*AF375-ERP_i)*AE375*Ramure*Pc/MaxiM</f>
        <v>2.9237357277483835E-3</v>
      </c>
      <c r="AE375" s="301">
        <f t="shared" si="142"/>
        <v>0.5</v>
      </c>
      <c r="AF375" s="173">
        <f t="shared" si="143"/>
        <v>0.48952883836292393</v>
      </c>
      <c r="AG375" s="801">
        <f t="shared" si="149"/>
        <v>2</v>
      </c>
      <c r="AH375" s="172">
        <f t="shared" si="144"/>
        <v>8</v>
      </c>
      <c r="AI375" s="221">
        <f t="shared" si="145"/>
        <v>2.4895288383629239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46384</v>
      </c>
      <c r="B376" s="406">
        <f>'2025'!Wh/'2025'!Env_an*'2026'!Env_an</f>
        <v>67.452156597443462</v>
      </c>
      <c r="C376" s="831"/>
      <c r="D376" s="388">
        <f t="shared" si="127"/>
        <v>69.286459197755619</v>
      </c>
      <c r="E376" s="380">
        <f t="shared" si="150"/>
        <v>71.047831767797263</v>
      </c>
      <c r="F376" s="380">
        <f t="shared" si="128"/>
        <v>71.175672567658239</v>
      </c>
      <c r="G376" s="110">
        <f t="shared" si="151"/>
        <v>0.72807689509553597</v>
      </c>
      <c r="H376" s="409" t="b">
        <f>Wh_hp&gt;='2025'!Maxi_hp</f>
        <v>0</v>
      </c>
      <c r="I376" s="375">
        <f>IF(H376,Wh_hp,'2025'!Maxi_hp)</f>
        <v>71.241906609353137</v>
      </c>
      <c r="J376" s="85">
        <f>IF(H376,An,'2025'!An_max)</f>
        <v>2022</v>
      </c>
      <c r="K376" s="193">
        <f t="shared" si="129"/>
        <v>46384</v>
      </c>
      <c r="L376" s="143">
        <f>IF(t&lt;Tvie,1-EXP((T0-t)*PertePVj)+'2025'!Pspv,1-EXP((T0-t)*PertePVj)+Pspv)</f>
        <v>2.6474185887847779E-2</v>
      </c>
      <c r="M376" s="835"/>
      <c r="N376" s="835"/>
      <c r="O376" s="48">
        <f>IF(t&lt;Tnet,'2025'!Resal+('2025'!Salim-'2025'!Resal)*(1-EXP(('2025'!Tnet-t)/('2025'!Tau_j))),Resal+(Salim-Resal)*(1-EXP((Tnet-t)/(Tau_j))))*Salcycl</f>
        <v>2.4791362751199288E-2</v>
      </c>
      <c r="P376" s="334">
        <f>(INDEX(Models!$BJ376:$BT376,,T376)*(1-R376)+INDEX(Models!$BJ376:$BT376,,T376+1)*R376-ERP_i)*Q376*Ramure*Pc/MaxiM</f>
        <v>2.9313922571036631E-3</v>
      </c>
      <c r="Q376" s="301">
        <f t="shared" si="130"/>
        <v>0.5</v>
      </c>
      <c r="R376" s="173">
        <f t="shared" si="131"/>
        <v>0.48952883836292393</v>
      </c>
      <c r="S376" s="801">
        <f t="shared" si="132"/>
        <v>2</v>
      </c>
      <c r="T376" s="172">
        <f t="shared" si="133"/>
        <v>8</v>
      </c>
      <c r="U376" s="247">
        <f t="shared" si="134"/>
        <v>2.4895288383629239</v>
      </c>
      <c r="V376" s="378">
        <f t="shared" si="135"/>
        <v>92.538910948952932</v>
      </c>
      <c r="W376" s="397">
        <f t="shared" si="136"/>
        <v>67.452156597443462</v>
      </c>
      <c r="X376" s="153">
        <f t="shared" si="137"/>
        <v>46384</v>
      </c>
      <c r="Y376" s="380">
        <f t="shared" si="138"/>
        <v>65.293309307799177</v>
      </c>
      <c r="Z376" s="380">
        <f t="shared" si="139"/>
        <v>67.068903937946587</v>
      </c>
      <c r="AA376" s="381">
        <f t="shared" si="140"/>
        <v>71.047831767797263</v>
      </c>
      <c r="AB376" s="193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5.6003508211972586E-2</v>
      </c>
      <c r="AD376" s="227">
        <f>(INDEX(Models!$BJ376:$BT376,,AH376)*(1-AF376)+INDEX(Models!$BJ376:$BT376,,AH376+1)*AF376-ERP_i)*AE376*Ramure*Pc/MaxiM</f>
        <v>2.9313922571036631E-3</v>
      </c>
      <c r="AE376" s="301">
        <f t="shared" si="142"/>
        <v>0.5</v>
      </c>
      <c r="AF376" s="173">
        <f t="shared" si="143"/>
        <v>0.48952883836292393</v>
      </c>
      <c r="AG376" s="801">
        <f t="shared" si="149"/>
        <v>2</v>
      </c>
      <c r="AH376" s="172">
        <f t="shared" si="144"/>
        <v>8</v>
      </c>
      <c r="AI376" s="221">
        <f t="shared" si="145"/>
        <v>2.4895288383629239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46385</v>
      </c>
      <c r="B377" s="406">
        <f>'2025'!Wh/'2025'!Env_an*'2026'!Env_an</f>
        <v>41.713523375116729</v>
      </c>
      <c r="C377" s="831"/>
      <c r="D377" s="388">
        <f t="shared" si="127"/>
        <v>42.848472841043424</v>
      </c>
      <c r="E377" s="380">
        <f t="shared" si="150"/>
        <v>43.940418974998956</v>
      </c>
      <c r="F377" s="380">
        <f t="shared" si="128"/>
        <v>43.967907564929682</v>
      </c>
      <c r="G377" s="110">
        <f t="shared" si="151"/>
        <v>0.44769034114474021</v>
      </c>
      <c r="H377" s="409" t="b">
        <f>Wh_hp&gt;='2025'!Maxi_hp</f>
        <v>0</v>
      </c>
      <c r="I377" s="375">
        <f>IF(H377,Wh_hp,'2025'!Maxi_hp)</f>
        <v>44.051326696562526</v>
      </c>
      <c r="J377" s="85">
        <f>IF(H377,An,'2025'!An_max)</f>
        <v>2022</v>
      </c>
      <c r="K377" s="193">
        <f t="shared" si="129"/>
        <v>46385</v>
      </c>
      <c r="L377" s="143">
        <f>IF(t&lt;Tvie,1-EXP((T0-t)*PertePVj)+'2025'!Pspv,1-EXP((T0-t)*PertePVj)+Pspv)</f>
        <v>2.6487512638713184E-2</v>
      </c>
      <c r="M377" s="835"/>
      <c r="N377" s="835"/>
      <c r="O377" s="48">
        <f>IF(t&lt;Tnet,'2025'!Resal+('2025'!Salim-'2025'!Resal)*(1-EXP(('2025'!Tnet-t)/('2025'!Tau_j))),Resal+(Salim-Resal)*(1-EXP((Tnet-t)/(Tau_j))))*Salcycl</f>
        <v>2.4850608151388391E-2</v>
      </c>
      <c r="P377" s="334">
        <f>(INDEX(Models!$BJ377:$BT377,,T377)*(1-R377)+INDEX(Models!$BJ377:$BT377,,T377+1)*R377-ERP_i)*Q377*Ramure*Pc/MaxiM</f>
        <v>2.9424812688089354E-3</v>
      </c>
      <c r="Q377" s="301">
        <f t="shared" si="130"/>
        <v>0.5</v>
      </c>
      <c r="R377" s="173">
        <f t="shared" si="131"/>
        <v>0.48952883836292393</v>
      </c>
      <c r="S377" s="801">
        <f t="shared" si="132"/>
        <v>2</v>
      </c>
      <c r="T377" s="172">
        <f t="shared" si="133"/>
        <v>8</v>
      </c>
      <c r="U377" s="247">
        <f t="shared" si="134"/>
        <v>2.4895288383629239</v>
      </c>
      <c r="V377" s="378">
        <f t="shared" si="135"/>
        <v>92.958898093037618</v>
      </c>
      <c r="W377" s="397">
        <f t="shared" si="136"/>
        <v>41.713523375116729</v>
      </c>
      <c r="X377" s="153">
        <f t="shared" si="137"/>
        <v>46385</v>
      </c>
      <c r="Y377" s="380">
        <f t="shared" si="138"/>
        <v>40.379907222432152</v>
      </c>
      <c r="Z377" s="380">
        <f t="shared" si="139"/>
        <v>41.478571406805685</v>
      </c>
      <c r="AA377" s="381">
        <f t="shared" si="140"/>
        <v>43.940418974998956</v>
      </c>
      <c r="AB377" s="193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5.6026947981401898E-2</v>
      </c>
      <c r="AD377" s="227">
        <f>(INDEX(Models!$BJ377:$BT377,,AH377)*(1-AF377)+INDEX(Models!$BJ377:$BT377,,AH377+1)*AF377-ERP_i)*AE377*Ramure*Pc/MaxiM</f>
        <v>2.9424812688089354E-3</v>
      </c>
      <c r="AE377" s="301">
        <f t="shared" si="142"/>
        <v>0.5</v>
      </c>
      <c r="AF377" s="173">
        <f t="shared" si="143"/>
        <v>0.48952883836292393</v>
      </c>
      <c r="AG377" s="801">
        <f t="shared" si="149"/>
        <v>2</v>
      </c>
      <c r="AH377" s="172">
        <f t="shared" si="144"/>
        <v>8</v>
      </c>
      <c r="AI377" s="221">
        <f t="shared" si="145"/>
        <v>2.4895288383629239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46386</v>
      </c>
      <c r="B378" s="406">
        <f>'2025'!Wh/'2025'!Env_an*'2026'!Env_an</f>
        <v>59.734715555826966</v>
      </c>
      <c r="C378" s="831"/>
      <c r="D378" s="388">
        <f t="shared" si="127"/>
        <v>61.360829019284232</v>
      </c>
      <c r="E378" s="380">
        <f t="shared" si="150"/>
        <v>62.928366324609279</v>
      </c>
      <c r="F378" s="380">
        <f t="shared" si="128"/>
        <v>63.018722429942613</v>
      </c>
      <c r="G378" s="110">
        <f t="shared" si="151"/>
        <v>0.63844521314329794</v>
      </c>
      <c r="H378" s="409" t="b">
        <f>Wh_hp&gt;='2025'!Maxi_hp</f>
        <v>0</v>
      </c>
      <c r="I378" s="375">
        <f>IF(H378,Wh_hp,'2025'!Maxi_hp)</f>
        <v>76.342020804358668</v>
      </c>
      <c r="J378" s="85">
        <f>IF(H378,An,'2025'!An_max)</f>
        <v>2021</v>
      </c>
      <c r="K378" s="193">
        <f t="shared" si="129"/>
        <v>46386</v>
      </c>
      <c r="L378" s="143">
        <f>IF(t&lt;Tvie,1-EXP((T0-t)*PertePVj)+'2025'!Pspv,1-EXP((T0-t)*PertePVj)+Pspv)</f>
        <v>2.6500839207146631E-2</v>
      </c>
      <c r="M378" s="835"/>
      <c r="N378" s="835"/>
      <c r="O378" s="48">
        <f>IF(t&lt;Tnet,'2025'!Resal+('2025'!Salim-'2025'!Resal)*(1-EXP(('2025'!Tnet-t)/('2025'!Tau_j))),Resal+(Salim-Resal)*(1-EXP((Tnet-t)/(Tau_j))))*Salcycl</f>
        <v>2.4909868106841957E-2</v>
      </c>
      <c r="P378" s="334">
        <f>(INDEX(Models!$BJ378:$BT378,,T378)*(1-R378)+INDEX(Models!$BJ378:$BT378,,T378+1)*R378-ERP_i)*Q378*Ramure*Pc/MaxiM</f>
        <v>2.9569759952828684E-3</v>
      </c>
      <c r="Q378" s="301">
        <f t="shared" si="130"/>
        <v>0.5</v>
      </c>
      <c r="R378" s="173">
        <f t="shared" si="131"/>
        <v>0.48952883836292393</v>
      </c>
      <c r="S378" s="801">
        <f t="shared" si="132"/>
        <v>2</v>
      </c>
      <c r="T378" s="172">
        <f t="shared" si="133"/>
        <v>8</v>
      </c>
      <c r="U378" s="247">
        <f t="shared" si="134"/>
        <v>2.4895288383629239</v>
      </c>
      <c r="V378" s="378">
        <f t="shared" si="135"/>
        <v>93.420072807789069</v>
      </c>
      <c r="W378" s="397">
        <f t="shared" si="136"/>
        <v>59.734715555826966</v>
      </c>
      <c r="X378" s="153">
        <f t="shared" si="137"/>
        <v>46386</v>
      </c>
      <c r="Y378" s="380">
        <f t="shared" si="138"/>
        <v>57.827015079959729</v>
      </c>
      <c r="Z378" s="380">
        <f t="shared" si="139"/>
        <v>59.401196640851019</v>
      </c>
      <c r="AA378" s="381">
        <f t="shared" si="140"/>
        <v>62.928366324609279</v>
      </c>
      <c r="AB378" s="193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5.6050552235278571E-2</v>
      </c>
      <c r="AD378" s="227">
        <f>(INDEX(Models!$BJ378:$BT378,,AH378)*(1-AF378)+INDEX(Models!$BJ378:$BT378,,AH378+1)*AF378-ERP_i)*AE378*Ramure*Pc/MaxiM</f>
        <v>2.9569759952828684E-3</v>
      </c>
      <c r="AE378" s="301">
        <f t="shared" si="142"/>
        <v>0.5</v>
      </c>
      <c r="AF378" s="173">
        <f t="shared" si="143"/>
        <v>0.48952883836292393</v>
      </c>
      <c r="AG378" s="801">
        <f t="shared" si="149"/>
        <v>2</v>
      </c>
      <c r="AH378" s="172">
        <f t="shared" si="144"/>
        <v>8</v>
      </c>
      <c r="AI378" s="221">
        <f t="shared" si="145"/>
        <v>2.4895288383629239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46387</v>
      </c>
      <c r="B379" s="406">
        <f>'2025'!Wh/'2025'!Env_an*'2026'!Env_an</f>
        <v>47.812647638054408</v>
      </c>
      <c r="C379" s="831"/>
      <c r="D379" s="388">
        <f t="shared" si="127"/>
        <v>49.114887909167095</v>
      </c>
      <c r="E379" s="380">
        <f t="shared" si="150"/>
        <v>50.372649358942077</v>
      </c>
      <c r="F379" s="380">
        <f t="shared" si="128"/>
        <v>50.417446393755839</v>
      </c>
      <c r="G379" s="110">
        <f t="shared" si="151"/>
        <v>0.5080120249367488</v>
      </c>
      <c r="H379" s="409" t="b">
        <f>Wh_hp&gt;='2025'!Maxi_hp</f>
        <v>0</v>
      </c>
      <c r="I379" s="375">
        <f>IF(H379,Wh_hp,'2025'!Maxi_hp)</f>
        <v>98.426511979974805</v>
      </c>
      <c r="J379" s="85">
        <f>IF(H379,An,'2025'!An_max)</f>
        <v>2021</v>
      </c>
      <c r="K379" s="193">
        <f t="shared" si="129"/>
        <v>46387</v>
      </c>
      <c r="L379" s="143">
        <f>IF(t&lt;Tvie,1-EXP((T0-t)*PertePVj)+'2025'!Pspv,1-EXP((T0-t)*PertePVj)+Pspv)</f>
        <v>2.6514165593150563E-2</v>
      </c>
      <c r="M379" s="835"/>
      <c r="N379" s="835"/>
      <c r="O379" s="48">
        <f>IF(t&lt;Tnet,'2025'!Resal+('2025'!Salim-'2025'!Resal)*(1-EXP(('2025'!Tnet-t)/('2025'!Tau_j))),Resal+(Salim-Resal)*(1-EXP((Tnet-t)/(Tau_j))))*Salcycl</f>
        <v>2.4969134357268111E-2</v>
      </c>
      <c r="P379" s="334">
        <f>(INDEX(Models!$BJ379:$BT379,,T379)*(1-R379)+INDEX(Models!$BJ379:$BT379,,T379+1)*R379-ERP_i)*Q379*Ramure*Pc/MaxiM</f>
        <v>2.9748441966086412E-3</v>
      </c>
      <c r="Q379" s="302">
        <f t="shared" si="130"/>
        <v>0.5</v>
      </c>
      <c r="R379" s="173">
        <f t="shared" si="131"/>
        <v>0.48952883836292393</v>
      </c>
      <c r="S379" s="801">
        <f t="shared" si="132"/>
        <v>2</v>
      </c>
      <c r="T379" s="172">
        <f t="shared" si="133"/>
        <v>8</v>
      </c>
      <c r="U379" s="303">
        <f t="shared" si="134"/>
        <v>2.4895288383629239</v>
      </c>
      <c r="V379" s="378">
        <f t="shared" si="135"/>
        <v>93.920623961555165</v>
      </c>
      <c r="W379" s="397">
        <f t="shared" si="136"/>
        <v>47.812647638054408</v>
      </c>
      <c r="X379" s="153">
        <f t="shared" si="137"/>
        <v>46387</v>
      </c>
      <c r="Y379" s="380">
        <f t="shared" si="138"/>
        <v>46.287341690509002</v>
      </c>
      <c r="Z379" s="380">
        <f t="shared" si="139"/>
        <v>47.548038250307101</v>
      </c>
      <c r="AA379" s="381">
        <f t="shared" si="140"/>
        <v>50.372649358942077</v>
      </c>
      <c r="AB379" s="193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5.6074301125349786E-2</v>
      </c>
      <c r="AD379" s="227">
        <f>(INDEX(Models!$BJ379:$BT379,,AH379)*(1-AF379)+INDEX(Models!$BJ379:$BT379,,AH379+1)*AF379-ERP_i)*AE379*Ramure*Pc/MaxiM</f>
        <v>2.9748441966086412E-3</v>
      </c>
      <c r="AE379" s="302">
        <f t="shared" si="142"/>
        <v>0.5</v>
      </c>
      <c r="AF379" s="173">
        <f t="shared" si="143"/>
        <v>0.48952883836292393</v>
      </c>
      <c r="AG379" s="801">
        <f t="shared" si="149"/>
        <v>2</v>
      </c>
      <c r="AH379" s="172">
        <f t="shared" si="144"/>
        <v>8</v>
      </c>
      <c r="AI379" s="218">
        <f t="shared" si="145"/>
        <v>2.4895288383629239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7"/>
      <c r="C380" s="839"/>
      <c r="D380" s="396"/>
      <c r="E380" s="382"/>
      <c r="F380" s="382"/>
      <c r="G380" s="122"/>
      <c r="H380" s="409" t="b">
        <f>Wh_hp&gt;='2025'!Maxi_hp</f>
        <v>0</v>
      </c>
      <c r="I380" s="375">
        <f>IF(H380,Wh_hp,'2025'!Maxi_hp)</f>
        <v>63.199838713856806</v>
      </c>
      <c r="J380" s="85">
        <f>IF(H380,An,'2025'!An_max)</f>
        <v>2024</v>
      </c>
      <c r="K380" s="230"/>
      <c r="L380" s="210"/>
      <c r="M380" s="840"/>
      <c r="N380" s="840"/>
      <c r="O380" s="149"/>
      <c r="P380" s="335"/>
      <c r="Q380" s="225"/>
      <c r="R380" s="225"/>
      <c r="S380" s="225"/>
      <c r="T380" s="225"/>
      <c r="U380" s="319"/>
      <c r="V380" s="392"/>
      <c r="W380" s="397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7.1379249372641747</v>
      </c>
      <c r="C381" s="370"/>
      <c r="D381" s="368">
        <f>MIN(D15:D380)</f>
        <v>7.2967892994225272</v>
      </c>
      <c r="E381" s="368">
        <f>MIN(E15:E380)</f>
        <v>7.6378787206461087</v>
      </c>
      <c r="F381" s="369">
        <f>MIN(F15:F380)</f>
        <v>7.6378787206461087</v>
      </c>
      <c r="G381" s="125">
        <f>+MIN(G15:G380)</f>
        <v>7.1676627701584936E-2</v>
      </c>
      <c r="H381" s="94"/>
      <c r="I381" s="369">
        <f>MIN(I15:I380)</f>
        <v>7.65787086076881</v>
      </c>
      <c r="J381" s="57">
        <f>MIN(J15:J380)</f>
        <v>2021</v>
      </c>
      <c r="K381" s="196" t="s">
        <v>7</v>
      </c>
      <c r="L381" s="142">
        <f t="shared" ref="L381:T381" si="152">MIN(L15:L380)</f>
        <v>2.165128876502076E-2</v>
      </c>
      <c r="M381" s="837"/>
      <c r="N381" s="837"/>
      <c r="O381" s="47">
        <f t="shared" si="152"/>
        <v>8.0885102312609237E-3</v>
      </c>
      <c r="P381" s="336">
        <f t="shared" si="152"/>
        <v>1.0931970971568986E-4</v>
      </c>
      <c r="Q381" s="306">
        <f t="shared" si="152"/>
        <v>0.5</v>
      </c>
      <c r="R381" s="307">
        <f t="shared" si="152"/>
        <v>4.5729385589821092E-4</v>
      </c>
      <c r="S381" s="801">
        <f t="shared" si="152"/>
        <v>1</v>
      </c>
      <c r="T381" s="172">
        <f t="shared" si="152"/>
        <v>7</v>
      </c>
      <c r="U381" s="248">
        <f>+MIN(U15:U380)</f>
        <v>1.9895301113990951</v>
      </c>
      <c r="V381" s="368">
        <f>MIN(V15:V380)</f>
        <v>90.771455690968793</v>
      </c>
      <c r="W381" s="387"/>
      <c r="X381" s="112" t="s">
        <v>7</v>
      </c>
      <c r="Y381" s="368">
        <f>MIN(Y15:Y380)</f>
        <v>6.9959835019557426</v>
      </c>
      <c r="Z381" s="368">
        <f>MIN(Z15:Z380)</f>
        <v>7.1516887617443858</v>
      </c>
      <c r="AA381" s="368">
        <f>MIN(AA15:AA380)</f>
        <v>7.6378787206461087</v>
      </c>
      <c r="AB381" s="196" t="s">
        <v>7</v>
      </c>
      <c r="AC381" s="47">
        <f t="shared" ref="AC381:AH381" si="153">MIN(AC15:AC380)</f>
        <v>4.9198678440864681E-2</v>
      </c>
      <c r="AD381" s="164">
        <f t="shared" si="153"/>
        <v>1.0931970971568986E-4</v>
      </c>
      <c r="AE381" s="306">
        <f t="shared" si="153"/>
        <v>0.5</v>
      </c>
      <c r="AF381" s="307">
        <f t="shared" si="153"/>
        <v>4.5729385589821092E-4</v>
      </c>
      <c r="AG381" s="801">
        <f t="shared" si="153"/>
        <v>1</v>
      </c>
      <c r="AH381" s="172">
        <f t="shared" si="153"/>
        <v>7</v>
      </c>
      <c r="AI381" s="222">
        <f>MIN(AI15:AI380)</f>
        <v>1.9895301113990951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125.23479446441408</v>
      </c>
      <c r="C382" s="370"/>
      <c r="D382" s="370">
        <f>AVERAGE(D15:D380)</f>
        <v>128.31798555626784</v>
      </c>
      <c r="E382" s="370">
        <f>AVERAGE(E15:E380)</f>
        <v>131.46317581884875</v>
      </c>
      <c r="F382" s="371">
        <f>AVERAGE(F15:F380)</f>
        <v>131.51301541550265</v>
      </c>
      <c r="G382" s="126">
        <f>AVERAGE(G15:G380)</f>
        <v>0.68225784011345647</v>
      </c>
      <c r="H382" s="94"/>
      <c r="I382" s="371">
        <f>AVERAGE(I15:I380)</f>
        <v>132.55746231296132</v>
      </c>
      <c r="J382" s="59">
        <f>AVERAGE(J15:J380)</f>
        <v>2022.2076502732241</v>
      </c>
      <c r="K382" s="196" t="s">
        <v>8</v>
      </c>
      <c r="L382" s="143">
        <f t="shared" ref="L382:V382" si="154">AVERAGE(L15:L380)</f>
        <v>2.4084740895214007E-2</v>
      </c>
      <c r="M382" s="835"/>
      <c r="N382" s="835"/>
      <c r="O382" s="48">
        <f t="shared" si="154"/>
        <v>2.688203449123034E-2</v>
      </c>
      <c r="P382" s="165">
        <f t="shared" si="154"/>
        <v>9.5784841135877665E-4</v>
      </c>
      <c r="Q382" s="308">
        <f t="shared" si="154"/>
        <v>0.5</v>
      </c>
      <c r="R382" s="173">
        <f t="shared" si="154"/>
        <v>0.45845480428864971</v>
      </c>
      <c r="S382" s="801">
        <f t="shared" si="154"/>
        <v>1.810958904109589</v>
      </c>
      <c r="T382" s="172">
        <f t="shared" si="154"/>
        <v>7.8109589041095893</v>
      </c>
      <c r="U382" s="247">
        <f t="shared" si="154"/>
        <v>2.2694137083982393</v>
      </c>
      <c r="V382" s="370">
        <f t="shared" si="154"/>
        <v>177.49276536060694</v>
      </c>
      <c r="W382" s="387"/>
      <c r="X382" s="112" t="s">
        <v>8</v>
      </c>
      <c r="Y382" s="370">
        <f>AVERAGE(Y15:Y380)</f>
        <v>121.04250603493665</v>
      </c>
      <c r="Z382" s="370">
        <f>AVERAGE(Z15:Z380)</f>
        <v>124.02170376875557</v>
      </c>
      <c r="AA382" s="370">
        <f>AVERAGE(AA15:AA380)</f>
        <v>131.46317581884875</v>
      </c>
      <c r="AB382" s="196" t="s">
        <v>8</v>
      </c>
      <c r="AC382" s="48">
        <f t="shared" ref="AC382:AH382" si="155">AVERAGE(AC15:AC380)</f>
        <v>5.7569985844281246E-2</v>
      </c>
      <c r="AD382" s="165">
        <f t="shared" si="155"/>
        <v>9.5784841135877665E-4</v>
      </c>
      <c r="AE382" s="308">
        <f t="shared" si="155"/>
        <v>0.5</v>
      </c>
      <c r="AF382" s="173">
        <f t="shared" si="155"/>
        <v>0.45845480428864971</v>
      </c>
      <c r="AG382" s="801">
        <f t="shared" si="155"/>
        <v>1.810958904109589</v>
      </c>
      <c r="AH382" s="172">
        <f t="shared" si="155"/>
        <v>7.8109589041095893</v>
      </c>
      <c r="AI382" s="221">
        <f>AVERAGE(AI15:AI380)</f>
        <v>2.2694137083982393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250.9811160774747</v>
      </c>
      <c r="C383" s="372"/>
      <c r="D383" s="372">
        <f>MAX(D15:D380)</f>
        <v>257.16129776651053</v>
      </c>
      <c r="E383" s="372">
        <f>MAX(E15:E380)</f>
        <v>260.571762974102</v>
      </c>
      <c r="F383" s="373">
        <f>MAX(F15:F380)</f>
        <v>260.61207165828807</v>
      </c>
      <c r="G383" s="127">
        <f>+MAX(G15:G380)</f>
        <v>1.0401867145003136</v>
      </c>
      <c r="H383" s="94"/>
      <c r="I383" s="373">
        <f>MAX(I15:I380)</f>
        <v>260.61207165828807</v>
      </c>
      <c r="J383" s="60">
        <f>MAX(J15:J380)</f>
        <v>2026</v>
      </c>
      <c r="K383" s="196" t="s">
        <v>9</v>
      </c>
      <c r="L383" s="144">
        <f t="shared" ref="L383:T383" si="156">MAX(L15:L380)</f>
        <v>2.6514165593150563E-2</v>
      </c>
      <c r="M383" s="838"/>
      <c r="N383" s="838"/>
      <c r="O383" s="49">
        <f t="shared" si="156"/>
        <v>4.9139345102868021E-2</v>
      </c>
      <c r="P383" s="166">
        <f t="shared" si="156"/>
        <v>3.8738455331484333E-3</v>
      </c>
      <c r="Q383" s="309">
        <f t="shared" si="156"/>
        <v>0.5</v>
      </c>
      <c r="R383" s="310">
        <f t="shared" si="156"/>
        <v>0.99999968984823351</v>
      </c>
      <c r="S383" s="802">
        <f t="shared" si="156"/>
        <v>2</v>
      </c>
      <c r="T383" s="229">
        <f t="shared" si="156"/>
        <v>8</v>
      </c>
      <c r="U383" s="249">
        <f>+MAX(U15:U380)</f>
        <v>2.4895288383629239</v>
      </c>
      <c r="V383" s="372">
        <f>MAX(V15:V380)</f>
        <v>243.09086095222935</v>
      </c>
      <c r="W383" s="387"/>
      <c r="X383" s="112" t="s">
        <v>9</v>
      </c>
      <c r="Y383" s="372">
        <f>MAX(Y15:Y380)</f>
        <v>240.83849182058643</v>
      </c>
      <c r="Z383" s="372">
        <f>MAX(Z15:Z380)</f>
        <v>246.76892061310619</v>
      </c>
      <c r="AA383" s="372">
        <f>MAX(AA15:AA380)</f>
        <v>260.571762974102</v>
      </c>
      <c r="AB383" s="196" t="s">
        <v>9</v>
      </c>
      <c r="AC383" s="49">
        <f t="shared" ref="AC383:AH383" si="157">MAX(AC15:AC380)</f>
        <v>6.6171114922644395E-2</v>
      </c>
      <c r="AD383" s="166">
        <f t="shared" si="157"/>
        <v>3.8738455331484333E-3</v>
      </c>
      <c r="AE383" s="309">
        <f t="shared" si="157"/>
        <v>0.5</v>
      </c>
      <c r="AF383" s="310">
        <f t="shared" si="157"/>
        <v>0.99999968984823351</v>
      </c>
      <c r="AG383" s="802">
        <f t="shared" si="157"/>
        <v>2</v>
      </c>
      <c r="AH383" s="229">
        <f t="shared" si="157"/>
        <v>8</v>
      </c>
      <c r="AI383" s="223">
        <f>MAX(AI15:AI380)</f>
        <v>2.4895288383629239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86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ignoredErrors>
    <ignoredError sqref="B16:B21 B23:B379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798</vt:i4>
      </vt:variant>
    </vt:vector>
  </HeadingPairs>
  <TitlesOfParts>
    <vt:vector size="812" baseType="lpstr">
      <vt:lpstr>Recap</vt:lpstr>
      <vt:lpstr>Masques</vt:lpstr>
      <vt:lpstr>Models</vt:lpstr>
      <vt:lpstr>Réglage perte</vt:lpstr>
      <vt:lpstr>2022</vt:lpstr>
      <vt:lpstr>2023</vt:lpstr>
      <vt:lpstr>2024</vt:lpstr>
      <vt:lpstr>2025</vt:lpstr>
      <vt:lpstr>2026</vt:lpstr>
      <vt:lpstr>2027</vt:lpstr>
      <vt:lpstr>2028</vt:lpstr>
      <vt:lpstr>2029</vt:lpstr>
      <vt:lpstr>2030</vt:lpstr>
      <vt:lpstr>2031</vt:lpstr>
      <vt:lpstr>a.ld</vt:lpstr>
      <vt:lpstr>a.lg</vt:lpstr>
      <vt:lpstr>Models!a.m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'2028'!Acti_net</vt:lpstr>
      <vt:lpstr>'2029'!Acti_net</vt:lpstr>
      <vt:lpstr>'2030'!Acti_net</vt:lpstr>
      <vt:lpstr>'2031'!Acti_net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'2028'!Acti_tai</vt:lpstr>
      <vt:lpstr>'2029'!Acti_tai</vt:lpstr>
      <vt:lpstr>'2030'!Acti_tai</vt:lpstr>
      <vt:lpstr>'2031'!Acti_tai</vt:lpstr>
      <vt:lpstr>Ajust_M</vt:lpstr>
      <vt:lpstr>Amaj</vt:lpstr>
      <vt:lpstr>'2022'!An</vt:lpstr>
      <vt:lpstr>'2023'!An</vt:lpstr>
      <vt:lpstr>'2024'!An</vt:lpstr>
      <vt:lpstr>'2025'!An</vt:lpstr>
      <vt:lpstr>'2026'!An</vt:lpstr>
      <vt:lpstr>'2027'!An</vt:lpstr>
      <vt:lpstr>'2028'!An</vt:lpstr>
      <vt:lpstr>'2029'!An</vt:lpstr>
      <vt:lpstr>'2030'!An</vt:lpstr>
      <vt:lpstr>'2031'!An</vt:lpstr>
      <vt:lpstr>'2022'!An_max</vt:lpstr>
      <vt:lpstr>'2023'!An_max</vt:lpstr>
      <vt:lpstr>'2024'!An_max</vt:lpstr>
      <vt:lpstr>'2025'!An_max</vt:lpstr>
      <vt:lpstr>'2026'!An_max</vt:lpstr>
      <vt:lpstr>'2027'!An_max</vt:lpstr>
      <vt:lpstr>'2028'!An_max</vt:lpstr>
      <vt:lpstr>'2029'!An_max</vt:lpstr>
      <vt:lpstr>'2030'!An_max</vt:lpstr>
      <vt:lpstr>'2031'!An_max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'2028'!An_Tnet</vt:lpstr>
      <vt:lpstr>'2029'!An_Tnet</vt:lpstr>
      <vt:lpstr>'2030'!An_Tnet</vt:lpstr>
      <vt:lpstr>'2031'!An_Tnet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'2028'!Croi_tai</vt:lpstr>
      <vt:lpstr>'2029'!Croi_tai</vt:lpstr>
      <vt:lpstr>'2030'!Croi_tai</vt:lpstr>
      <vt:lpstr>'2031'!Croi_tai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'2022'!Dd</vt:lpstr>
      <vt:lpstr>'2023'!Dd</vt:lpstr>
      <vt:lpstr>'2024'!Dd</vt:lpstr>
      <vt:lpstr>'2025'!Dd</vt:lpstr>
      <vt:lpstr>'2026'!Dd</vt:lpstr>
      <vt:lpstr>'2027'!Dd</vt:lpstr>
      <vt:lpstr>'2028'!Dd</vt:lpstr>
      <vt:lpstr>'2029'!Dd</vt:lpstr>
      <vt:lpstr>'2030'!Dd</vt:lpstr>
      <vt:lpstr>'2031'!Dd</vt:lpstr>
      <vt:lpstr>'2022'!Dd_s</vt:lpstr>
      <vt:lpstr>'2023'!Dd_s</vt:lpstr>
      <vt:lpstr>'2024'!Dd_s</vt:lpstr>
      <vt:lpstr>'2025'!Dd_s</vt:lpstr>
      <vt:lpstr>'2026'!Dd_s</vt:lpstr>
      <vt:lpstr>'2027'!Dd_s</vt:lpstr>
      <vt:lpstr>'2028'!Dd_s</vt:lpstr>
      <vt:lpstr>'2029'!Dd_s</vt:lpstr>
      <vt:lpstr>'2030'!Dd_s</vt:lpstr>
      <vt:lpstr>'2031'!Dd_s</vt:lpstr>
      <vt:lpstr>'2022'!Dens</vt:lpstr>
      <vt:lpstr>'2023'!Dens</vt:lpstr>
      <vt:lpstr>'2024'!Dens</vt:lpstr>
      <vt:lpstr>'2025'!Dens</vt:lpstr>
      <vt:lpstr>'2026'!Dens</vt:lpstr>
      <vt:lpstr>'2027'!Dens</vt:lpstr>
      <vt:lpstr>'2028'!Dens</vt:lpstr>
      <vt:lpstr>'2029'!Dens</vt:lpstr>
      <vt:lpstr>'2030'!Dens</vt:lpstr>
      <vt:lpstr>'2031'!Dens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Dens_2031</vt:lpstr>
      <vt:lpstr>Dens_2032</vt:lpstr>
      <vt:lpstr>Dens_2033</vt:lpstr>
      <vt:lpstr>Dens_2034</vt:lpstr>
      <vt:lpstr>'2023'!Dens_s</vt:lpstr>
      <vt:lpstr>'2024'!Dens_s</vt:lpstr>
      <vt:lpstr>'2025'!Dens_s</vt:lpstr>
      <vt:lpstr>'2026'!Dens_s</vt:lpstr>
      <vt:lpstr>'2027'!Dens_s</vt:lpstr>
      <vt:lpstr>'2028'!Dens_s</vt:lpstr>
      <vt:lpstr>'2029'!Dens_s</vt:lpstr>
      <vt:lpstr>'2030'!Dens_s</vt:lpstr>
      <vt:lpstr>'2031'!Dens_s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'2028'!Dépas_env</vt:lpstr>
      <vt:lpstr>'2029'!Dépas_env</vt:lpstr>
      <vt:lpstr>'2030'!Dépas_env</vt:lpstr>
      <vt:lpstr>'2031'!Dépas_env</vt:lpstr>
      <vt:lpstr>'2022'!Df</vt:lpstr>
      <vt:lpstr>'2023'!Df</vt:lpstr>
      <vt:lpstr>'2024'!Df</vt:lpstr>
      <vt:lpstr>'2025'!Df</vt:lpstr>
      <vt:lpstr>'2026'!Df</vt:lpstr>
      <vt:lpstr>'2027'!Df</vt:lpstr>
      <vt:lpstr>'2028'!Df</vt:lpstr>
      <vt:lpstr>'2029'!Df</vt:lpstr>
      <vt:lpstr>'2030'!Df</vt:lpstr>
      <vt:lpstr>'2031'!Df</vt:lpstr>
      <vt:lpstr>'2022'!Df_s</vt:lpstr>
      <vt:lpstr>'2023'!Df_s</vt:lpstr>
      <vt:lpstr>'2024'!Df_s</vt:lpstr>
      <vt:lpstr>'2025'!Df_s</vt:lpstr>
      <vt:lpstr>'2026'!Df_s</vt:lpstr>
      <vt:lpstr>'2027'!Df_s</vt:lpstr>
      <vt:lpstr>'2028'!Df_s</vt:lpstr>
      <vt:lpstr>'2029'!Df_s</vt:lpstr>
      <vt:lpstr>'2030'!Df_s</vt:lpstr>
      <vt:lpstr>'2031'!Df_s</vt:lpstr>
      <vt:lpstr>Echel_vg</vt:lpstr>
      <vt:lpstr>Echelev_ch</vt:lpstr>
      <vt:lpstr>Masques!Elev_F</vt:lpstr>
      <vt:lpstr>'2022'!Env_an</vt:lpstr>
      <vt:lpstr>'2023'!Env_an</vt:lpstr>
      <vt:lpstr>'2024'!Env_an</vt:lpstr>
      <vt:lpstr>'2025'!Env_an</vt:lpstr>
      <vt:lpstr>'2026'!Env_an</vt:lpstr>
      <vt:lpstr>'2027'!Env_an</vt:lpstr>
      <vt:lpstr>'2028'!Env_an</vt:lpstr>
      <vt:lpstr>'2029'!Env_an</vt:lpstr>
      <vt:lpstr>'2030'!Env_an</vt:lpstr>
      <vt:lpstr>'2031'!Env_an</vt:lpstr>
      <vt:lpstr>ERP_i</vt:lpstr>
      <vt:lpstr>GainD</vt:lpstr>
      <vt:lpstr>H_i</vt:lpstr>
      <vt:lpstr>H_pv</vt:lpstr>
      <vt:lpstr>'2022'!Hdd</vt:lpstr>
      <vt:lpstr>'2023'!Hdd</vt:lpstr>
      <vt:lpstr>'2024'!Hdd</vt:lpstr>
      <vt:lpstr>'2025'!Hdd</vt:lpstr>
      <vt:lpstr>'2026'!Hdd</vt:lpstr>
      <vt:lpstr>'2027'!Hdd</vt:lpstr>
      <vt:lpstr>'2028'!Hdd</vt:lpstr>
      <vt:lpstr>'2029'!Hdd</vt:lpstr>
      <vt:lpstr>'2030'!Hdd</vt:lpstr>
      <vt:lpstr>'2031'!Hdd</vt:lpstr>
      <vt:lpstr>'2022'!Hdd_s</vt:lpstr>
      <vt:lpstr>'2023'!Hdd_s</vt:lpstr>
      <vt:lpstr>'2024'!Hdd_s</vt:lpstr>
      <vt:lpstr>'2025'!Hdd_s</vt:lpstr>
      <vt:lpstr>'2026'!Hdd_s</vt:lpstr>
      <vt:lpstr>'2027'!Hdd_s</vt:lpstr>
      <vt:lpstr>'2028'!Hdd_s</vt:lpstr>
      <vt:lpstr>'2029'!Hdd_s</vt:lpstr>
      <vt:lpstr>'2030'!Hdd_s</vt:lpstr>
      <vt:lpstr>'2031'!Hdd_s</vt:lpstr>
      <vt:lpstr>'2022'!Hdf</vt:lpstr>
      <vt:lpstr>'2023'!Hdf</vt:lpstr>
      <vt:lpstr>'2024'!Hdf</vt:lpstr>
      <vt:lpstr>'2025'!Hdf</vt:lpstr>
      <vt:lpstr>'2026'!Hdf</vt:lpstr>
      <vt:lpstr>'2027'!Hdf</vt:lpstr>
      <vt:lpstr>'2028'!Hdf</vt:lpstr>
      <vt:lpstr>'2029'!Hdf</vt:lpstr>
      <vt:lpstr>'2030'!Hdf</vt:lpstr>
      <vt:lpstr>'2031'!Hdf</vt:lpstr>
      <vt:lpstr>'2022'!Hdf_s</vt:lpstr>
      <vt:lpstr>'2023'!Hdf_s</vt:lpstr>
      <vt:lpstr>'2024'!Hdf_s</vt:lpstr>
      <vt:lpstr>'2025'!Hdf_s</vt:lpstr>
      <vt:lpstr>'2026'!Hdf_s</vt:lpstr>
      <vt:lpstr>'2027'!Hdf_s</vt:lpstr>
      <vt:lpstr>'2028'!Hdf_s</vt:lpstr>
      <vt:lpstr>'2029'!Hdf_s</vt:lpstr>
      <vt:lpstr>'2030'!Hdf_s</vt:lpstr>
      <vt:lpstr>'2031'!Hdf_s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'2028'!Hdtai_s</vt:lpstr>
      <vt:lpstr>'2029'!Hdtai_s</vt:lpstr>
      <vt:lpstr>'2030'!Hdtai_s</vt:lpstr>
      <vt:lpstr>'2031'!Hdtai_s</vt:lpstr>
      <vt:lpstr>'2022'!Hdtf</vt:lpstr>
      <vt:lpstr>'2023'!Hdtf</vt:lpstr>
      <vt:lpstr>'2024'!Hdtf</vt:lpstr>
      <vt:lpstr>'2025'!Hdtf</vt:lpstr>
      <vt:lpstr>'2026'!Hdtf</vt:lpstr>
      <vt:lpstr>'2027'!Hdtf</vt:lpstr>
      <vt:lpstr>'2028'!Hdtf</vt:lpstr>
      <vt:lpstr>'2029'!Hdtf</vt:lpstr>
      <vt:lpstr>'2030'!Hdtf</vt:lpstr>
      <vt:lpstr>'2031'!Hdtf</vt:lpstr>
      <vt:lpstr>Masques!Hobs1</vt:lpstr>
      <vt:lpstr>Masques!Hobs2</vt:lpstr>
      <vt:lpstr>Masques!Hobs3</vt:lpstr>
      <vt:lpstr>'2022'!Hp_vg</vt:lpstr>
      <vt:lpstr>'2023'!Hp_vg</vt:lpstr>
      <vt:lpstr>'2024'!Hp_vg</vt:lpstr>
      <vt:lpstr>'2025'!Hp_vg</vt:lpstr>
      <vt:lpstr>'2026'!Hp_vg</vt:lpstr>
      <vt:lpstr>'2027'!Hp_vg</vt:lpstr>
      <vt:lpstr>'2028'!Hp_vg</vt:lpstr>
      <vt:lpstr>'2029'!Hp_vg</vt:lpstr>
      <vt:lpstr>'2030'!Hp_vg</vt:lpstr>
      <vt:lpstr>'2031'!Hp_vg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'2028'!Hp_vg_s</vt:lpstr>
      <vt:lpstr>'2029'!Hp_vg_s</vt:lpstr>
      <vt:lpstr>'2030'!Hp_vg_s</vt:lpstr>
      <vt:lpstr>'2031'!Hp_vg_s</vt:lpstr>
      <vt:lpstr>Masques!Hrm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Htf_2031</vt:lpstr>
      <vt:lpstr>Htf_2032</vt:lpstr>
      <vt:lpstr>Htf_2033</vt:lpstr>
      <vt:lpstr>Htf_2034</vt:lpstr>
      <vt:lpstr>'2022'!Inflex</vt:lpstr>
      <vt:lpstr>'2023'!Inflex</vt:lpstr>
      <vt:lpstr>'2024'!Inflex</vt:lpstr>
      <vt:lpstr>'2025'!Inflex</vt:lpstr>
      <vt:lpstr>'2026'!Inflex</vt:lpstr>
      <vt:lpstr>'2027'!Inflex</vt:lpstr>
      <vt:lpstr>'2028'!Inflex</vt:lpstr>
      <vt:lpstr>'2029'!Inflex</vt:lpstr>
      <vt:lpstr>'2030'!Inflex</vt:lpstr>
      <vt:lpstr>'2031'!Inflex</vt:lpstr>
      <vt:lpstr>Inter_net</vt:lpstr>
      <vt:lpstr>Inter_tai</vt:lpstr>
      <vt:lpstr>Models!Jour</vt:lpstr>
      <vt:lpstr>Ksac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'2028'!Maxi_hp</vt:lpstr>
      <vt:lpstr>'2029'!Maxi_hp</vt:lpstr>
      <vt:lpstr>'2030'!Maxi_hp</vt:lpstr>
      <vt:lpstr>'2031'!Maxi_hp</vt:lpstr>
      <vt:lpstr>MaxiM</vt:lpstr>
      <vt:lpstr>'2022'!Notai</vt:lpstr>
      <vt:lpstr>'2023'!Notai</vt:lpstr>
      <vt:lpstr>'2024'!Notai</vt:lpstr>
      <vt:lpstr>'2025'!Notai</vt:lpstr>
      <vt:lpstr>'2026'!Notai</vt:lpstr>
      <vt:lpstr>'2027'!Notai</vt:lpstr>
      <vt:lpstr>'2028'!Notai</vt:lpstr>
      <vt:lpstr>'2029'!Notai</vt:lpstr>
      <vt:lpstr>'2030'!Notai</vt:lpstr>
      <vt:lpstr>'2031'!Notai</vt:lpstr>
      <vt:lpstr>'2022'!NoTnet</vt:lpstr>
      <vt:lpstr>'2023'!NoTnet</vt:lpstr>
      <vt:lpstr>'2024'!NoTnet</vt:lpstr>
      <vt:lpstr>'2025'!NoTnet</vt:lpstr>
      <vt:lpstr>'2026'!NoTnet</vt:lpstr>
      <vt:lpstr>'2027'!NoTnet</vt:lpstr>
      <vt:lpstr>'2028'!NoTnet</vt:lpstr>
      <vt:lpstr>'2029'!NoTnet</vt:lpstr>
      <vt:lpstr>'2030'!NoTnet</vt:lpstr>
      <vt:lpstr>'2031'!NoTnet</vt:lpstr>
      <vt:lpstr>Pc</vt:lpstr>
      <vt:lpstr>Persistant</vt:lpstr>
      <vt:lpstr>PertePVan</vt:lpstr>
      <vt:lpstr>PertePVj</vt:lpstr>
      <vt:lpstr>'2022'!PousD</vt:lpstr>
      <vt:lpstr>'2023'!PousD</vt:lpstr>
      <vt:lpstr>'2024'!PousD</vt:lpstr>
      <vt:lpstr>'2025'!PousD</vt:lpstr>
      <vt:lpstr>'2026'!PousD</vt:lpstr>
      <vt:lpstr>'2027'!PousD</vt:lpstr>
      <vt:lpstr>'2028'!PousD</vt:lpstr>
      <vt:lpstr>'2029'!PousD</vt:lpstr>
      <vt:lpstr>'2030'!PousD</vt:lpstr>
      <vt:lpstr>'2031'!PousD</vt:lpstr>
      <vt:lpstr>'2022'!PousH</vt:lpstr>
      <vt:lpstr>'2023'!PousH</vt:lpstr>
      <vt:lpstr>'2024'!PousH</vt:lpstr>
      <vt:lpstr>'2025'!PousH</vt:lpstr>
      <vt:lpstr>'2026'!PousH</vt:lpstr>
      <vt:lpstr>'2027'!PousH</vt:lpstr>
      <vt:lpstr>'2028'!PousH</vt:lpstr>
      <vt:lpstr>'2029'!PousH</vt:lpstr>
      <vt:lpstr>'2030'!PousH</vt:lpstr>
      <vt:lpstr>'2031'!PousH</vt:lpstr>
      <vt:lpstr>PousHi</vt:lpstr>
      <vt:lpstr>'2022'!Ppv</vt:lpstr>
      <vt:lpstr>'2023'!Ppv</vt:lpstr>
      <vt:lpstr>'2024'!Ppv</vt:lpstr>
      <vt:lpstr>'2025'!Ppv</vt:lpstr>
      <vt:lpstr>'2026'!Ppv</vt:lpstr>
      <vt:lpstr>'2027'!Ppv</vt:lpstr>
      <vt:lpstr>'2028'!Ppv</vt:lpstr>
      <vt:lpstr>'2029'!Ppv</vt:lpstr>
      <vt:lpstr>'2030'!Ppv</vt:lpstr>
      <vt:lpstr>'2031'!Ppv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'2028'!Prod_an</vt:lpstr>
      <vt:lpstr>'2029'!Prod_an</vt:lpstr>
      <vt:lpstr>'2030'!Prod_an</vt:lpstr>
      <vt:lpstr>'2031'!Prod_an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'2028'!Prod_an_s</vt:lpstr>
      <vt:lpstr>'2029'!Prod_an_s</vt:lpstr>
      <vt:lpstr>'2030'!Prod_an_s</vt:lpstr>
      <vt:lpstr>'2031'!Prod_an_s</vt:lpstr>
      <vt:lpstr>'2022'!Psa</vt:lpstr>
      <vt:lpstr>'2023'!Psa</vt:lpstr>
      <vt:lpstr>'2024'!Psa</vt:lpstr>
      <vt:lpstr>'2025'!Psa</vt:lpstr>
      <vt:lpstr>'2026'!Psa</vt:lpstr>
      <vt:lpstr>'2027'!Psa</vt:lpstr>
      <vt:lpstr>'2028'!Psa</vt:lpstr>
      <vt:lpstr>'2029'!Psa</vt:lpstr>
      <vt:lpstr>'2030'!Psa</vt:lpstr>
      <vt:lpstr>'2031'!Psa</vt:lpstr>
      <vt:lpstr>'2022'!Psa_s</vt:lpstr>
      <vt:lpstr>'2023'!Psa_s</vt:lpstr>
      <vt:lpstr>'2024'!Psa_s</vt:lpstr>
      <vt:lpstr>'2025'!Psa_s</vt:lpstr>
      <vt:lpstr>'2026'!Psa_s</vt:lpstr>
      <vt:lpstr>'2027'!Psa_s</vt:lpstr>
      <vt:lpstr>'2028'!Psa_s</vt:lpstr>
      <vt:lpstr>'2029'!Psa_s</vt:lpstr>
      <vt:lpstr>'2030'!Psa_s</vt:lpstr>
      <vt:lpstr>'2031'!Psa_s</vt:lpstr>
      <vt:lpstr>'2022'!Pspv</vt:lpstr>
      <vt:lpstr>'2023'!Pspv</vt:lpstr>
      <vt:lpstr>'2024'!Pspv</vt:lpstr>
      <vt:lpstr>'2025'!Pspv</vt:lpstr>
      <vt:lpstr>'2026'!Pspv</vt:lpstr>
      <vt:lpstr>'2027'!Pspv</vt:lpstr>
      <vt:lpstr>'2028'!Pspv</vt:lpstr>
      <vt:lpstr>'2029'!Pspv</vt:lpstr>
      <vt:lpstr>'2030'!Pspv</vt:lpstr>
      <vt:lpstr>'2031'!Pspv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Pspv_2031</vt:lpstr>
      <vt:lpstr>Pspv_2032</vt:lpstr>
      <vt:lpstr>Pspv_2033</vt:lpstr>
      <vt:lpstr>Pspv_2034</vt:lpstr>
      <vt:lpstr>Pspv_21</vt:lpstr>
      <vt:lpstr>'2022'!Pvg</vt:lpstr>
      <vt:lpstr>'2023'!Pvg</vt:lpstr>
      <vt:lpstr>'2024'!Pvg</vt:lpstr>
      <vt:lpstr>'2025'!Pvg</vt:lpstr>
      <vt:lpstr>'2026'!Pvg</vt:lpstr>
      <vt:lpstr>'2027'!Pvg</vt:lpstr>
      <vt:lpstr>'2028'!Pvg</vt:lpstr>
      <vt:lpstr>'2029'!Pvg</vt:lpstr>
      <vt:lpstr>'2030'!Pvg</vt:lpstr>
      <vt:lpstr>'2031'!Pvg</vt:lpstr>
      <vt:lpstr>'2022'!Pvg_s</vt:lpstr>
      <vt:lpstr>'2023'!Pvg_s</vt:lpstr>
      <vt:lpstr>'2024'!Pvg_s</vt:lpstr>
      <vt:lpstr>'2025'!Pvg_s</vt:lpstr>
      <vt:lpstr>'2026'!Pvg_s</vt:lpstr>
      <vt:lpstr>'2027'!Pvg_s</vt:lpstr>
      <vt:lpstr>'2028'!Pvg_s</vt:lpstr>
      <vt:lpstr>'2029'!Pvg_s</vt:lpstr>
      <vt:lpstr>'2030'!Pvg_s</vt:lpstr>
      <vt:lpstr>'2031'!Pvg_s</vt:lpstr>
      <vt:lpstr>'2022'!R\Max</vt:lpstr>
      <vt:lpstr>'2023'!R\Max</vt:lpstr>
      <vt:lpstr>'2024'!R\Max</vt:lpstr>
      <vt:lpstr>'2025'!R\Max</vt:lpstr>
      <vt:lpstr>'2026'!R\Max</vt:lpstr>
      <vt:lpstr>'2027'!R\Max</vt:lpstr>
      <vt:lpstr>'2028'!R\Max</vt:lpstr>
      <vt:lpstr>'2029'!R\Max</vt:lpstr>
      <vt:lpstr>'2030'!R\Max</vt:lpstr>
      <vt:lpstr>'2031'!R\Max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'2022'!Resal</vt:lpstr>
      <vt:lpstr>'2023'!Resal</vt:lpstr>
      <vt:lpstr>'2024'!Resal</vt:lpstr>
      <vt:lpstr>'2025'!Resal</vt:lpstr>
      <vt:lpstr>'2026'!Resal</vt:lpstr>
      <vt:lpstr>'2027'!Resal</vt:lpstr>
      <vt:lpstr>'2028'!Resal</vt:lpstr>
      <vt:lpstr>'2029'!Resal</vt:lpstr>
      <vt:lpstr>'2030'!Resal</vt:lpstr>
      <vt:lpstr>'2031'!Resal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Resal_2031</vt:lpstr>
      <vt:lpstr>Resal_2032</vt:lpstr>
      <vt:lpstr>Resal_2033</vt:lpstr>
      <vt:lpstr>Resal_2034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'2028'!Resal_s</vt:lpstr>
      <vt:lpstr>'2029'!Resal_s</vt:lpstr>
      <vt:lpstr>'2030'!Resal_s</vt:lpstr>
      <vt:lpstr>'2031'!Resal_s</vt:lpstr>
      <vt:lpstr>Salcycl</vt:lpstr>
      <vt:lpstr>'2022'!Salim</vt:lpstr>
      <vt:lpstr>'2023'!Salim</vt:lpstr>
      <vt:lpstr>'2024'!Salim</vt:lpstr>
      <vt:lpstr>'2025'!Salim</vt:lpstr>
      <vt:lpstr>'2026'!Salim</vt:lpstr>
      <vt:lpstr>'2027'!Salim</vt:lpstr>
      <vt:lpstr>'2028'!Salim</vt:lpstr>
      <vt:lpstr>'2029'!Salim</vt:lpstr>
      <vt:lpstr>'2030'!Salim</vt:lpstr>
      <vt:lpstr>'2031'!Salim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Salim_2031</vt:lpstr>
      <vt:lpstr>Salim_2032</vt:lpstr>
      <vt:lpstr>Salim_2033</vt:lpstr>
      <vt:lpstr>Salim_2034</vt:lpstr>
      <vt:lpstr>Salim_i</vt:lpstr>
      <vt:lpstr>Sdif</vt:lpstr>
      <vt:lpstr>Station</vt:lpstr>
      <vt:lpstr>'2022'!t</vt:lpstr>
      <vt:lpstr>'2023'!t</vt:lpstr>
      <vt:lpstr>'2024'!t</vt:lpstr>
      <vt:lpstr>'2025'!t</vt:lpstr>
      <vt:lpstr>'2026'!t</vt:lpstr>
      <vt:lpstr>'2027'!t</vt:lpstr>
      <vt:lpstr>'2028'!t</vt:lpstr>
      <vt:lpstr>'2029'!t</vt:lpstr>
      <vt:lpstr>'2030'!t</vt:lpstr>
      <vt:lpstr>'2031'!t</vt:lpstr>
      <vt:lpstr>T0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Tau_2031</vt:lpstr>
      <vt:lpstr>Tau_2032</vt:lpstr>
      <vt:lpstr>Tau_2033</vt:lpstr>
      <vt:lpstr>Tau_2034</vt:lpstr>
      <vt:lpstr>Tau_i</vt:lpstr>
      <vt:lpstr>Tau_ij</vt:lpstr>
      <vt:lpstr>'2022'!Tau_j</vt:lpstr>
      <vt:lpstr>'2023'!Tau_j</vt:lpstr>
      <vt:lpstr>'2024'!Tau_j</vt:lpstr>
      <vt:lpstr>'2025'!Tau_j</vt:lpstr>
      <vt:lpstr>'2026'!Tau_j</vt:lpstr>
      <vt:lpstr>'2027'!Tau_j</vt:lpstr>
      <vt:lpstr>'2028'!Tau_j</vt:lpstr>
      <vt:lpstr>'2029'!Tau_j</vt:lpstr>
      <vt:lpstr>'2030'!Tau_j</vt:lpstr>
      <vt:lpstr>'2031'!Tau_j</vt:lpstr>
      <vt:lpstr>Tmaj</vt:lpstr>
      <vt:lpstr>'2022'!Tnet</vt:lpstr>
      <vt:lpstr>'2023'!Tnet</vt:lpstr>
      <vt:lpstr>'2024'!Tnet</vt:lpstr>
      <vt:lpstr>'2025'!Tnet</vt:lpstr>
      <vt:lpstr>'2026'!Tnet</vt:lpstr>
      <vt:lpstr>'2027'!Tnet</vt:lpstr>
      <vt:lpstr>'2028'!Tnet</vt:lpstr>
      <vt:lpstr>'2029'!Tnet</vt:lpstr>
      <vt:lpstr>'2030'!Tnet</vt:lpstr>
      <vt:lpstr>'2031'!Tnet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Tnet_2031</vt:lpstr>
      <vt:lpstr>Tnet_2032</vt:lpstr>
      <vt:lpstr>Tnet_2033</vt:lpstr>
      <vt:lpstr>Tnet_2034</vt:lpstr>
      <vt:lpstr>'2022'!Tnet_s</vt:lpstr>
      <vt:lpstr>'2023'!Tnet_s</vt:lpstr>
      <vt:lpstr>'2024'!Tnet_s</vt:lpstr>
      <vt:lpstr>'2025'!Tnet_s</vt:lpstr>
      <vt:lpstr>'2026'!Tnet_s</vt:lpstr>
      <vt:lpstr>'2027'!Tnet_s</vt:lpstr>
      <vt:lpstr>'2028'!Tnet_s</vt:lpstr>
      <vt:lpstr>'2029'!Tnet_s</vt:lpstr>
      <vt:lpstr>'2030'!Tnet_s</vt:lpstr>
      <vt:lpstr>'2031'!Tnet_s</vt:lpstr>
      <vt:lpstr>Tservice</vt:lpstr>
      <vt:lpstr>'2022'!Ttai</vt:lpstr>
      <vt:lpstr>'2023'!Ttai</vt:lpstr>
      <vt:lpstr>'2024'!Ttai</vt:lpstr>
      <vt:lpstr>'2025'!Ttai</vt:lpstr>
      <vt:lpstr>'2026'!Ttai</vt:lpstr>
      <vt:lpstr>'2027'!Ttai</vt:lpstr>
      <vt:lpstr>'2028'!Ttai</vt:lpstr>
      <vt:lpstr>'2029'!Ttai</vt:lpstr>
      <vt:lpstr>'2030'!Ttai</vt:lpstr>
      <vt:lpstr>'2031'!Ttai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Ttai_2031</vt:lpstr>
      <vt:lpstr>Ttai_2032</vt:lpstr>
      <vt:lpstr>Ttai_2033</vt:lpstr>
      <vt:lpstr>Ttai_2034</vt:lpstr>
      <vt:lpstr>'2022'!Tvie</vt:lpstr>
      <vt:lpstr>'2023'!Tvie</vt:lpstr>
      <vt:lpstr>'2024'!Tvie</vt:lpstr>
      <vt:lpstr>'2025'!Tvie</vt:lpstr>
      <vt:lpstr>'2026'!Tvie</vt:lpstr>
      <vt:lpstr>'2027'!Tvie</vt:lpstr>
      <vt:lpstr>'2028'!Tvie</vt:lpstr>
      <vt:lpstr>'2029'!Tvie</vt:lpstr>
      <vt:lpstr>'2030'!Tvie</vt:lpstr>
      <vt:lpstr>'2031'!Tvie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Tvie_2031</vt:lpstr>
      <vt:lpstr>Tvie_2032</vt:lpstr>
      <vt:lpstr>Tvie_2033</vt:lpstr>
      <vt:lpstr>Tvie_2034</vt:lpstr>
      <vt:lpstr>Tvie_21</vt:lpstr>
      <vt:lpstr>'2022'!Wh</vt:lpstr>
      <vt:lpstr>'2023'!Wh</vt:lpstr>
      <vt:lpstr>'2024'!Wh</vt:lpstr>
      <vt:lpstr>'2025'!Wh</vt:lpstr>
      <vt:lpstr>'2026'!Wh</vt:lpstr>
      <vt:lpstr>'2027'!Wh</vt:lpstr>
      <vt:lpstr>'2028'!Wh</vt:lpstr>
      <vt:lpstr>'2029'!Wh</vt:lpstr>
      <vt:lpstr>'2030'!Wh</vt:lpstr>
      <vt:lpstr>'2031'!Wh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'2028'!Wh_gain_sa</vt:lpstr>
      <vt:lpstr>'2029'!Wh_gain_sa</vt:lpstr>
      <vt:lpstr>'2030'!Wh_gain_sa</vt:lpstr>
      <vt:lpstr>'2031'!Wh_gain_sa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'2028'!Wh_gain_vg</vt:lpstr>
      <vt:lpstr>'2029'!Wh_gain_vg</vt:lpstr>
      <vt:lpstr>'2030'!Wh_gain_vg</vt:lpstr>
      <vt:lpstr>'2031'!Wh_gain_vg</vt:lpstr>
      <vt:lpstr>'2022'!Wh_hp</vt:lpstr>
      <vt:lpstr>'2023'!Wh_hp</vt:lpstr>
      <vt:lpstr>'2024'!Wh_hp</vt:lpstr>
      <vt:lpstr>'2025'!Wh_hp</vt:lpstr>
      <vt:lpstr>'2026'!Wh_hp</vt:lpstr>
      <vt:lpstr>'2027'!Wh_hp</vt:lpstr>
      <vt:lpstr>'2028'!Wh_hp</vt:lpstr>
      <vt:lpstr>'2029'!Wh_hp</vt:lpstr>
      <vt:lpstr>'2030'!Wh_hp</vt:lpstr>
      <vt:lpstr>'2031'!Wh_hp</vt:lpstr>
      <vt:lpstr>'2022'!Wh_Ppv</vt:lpstr>
      <vt:lpstr>'2023'!Wh_Ppv</vt:lpstr>
      <vt:lpstr>'2024'!Wh_Ppv</vt:lpstr>
      <vt:lpstr>'2025'!Wh_Ppv</vt:lpstr>
      <vt:lpstr>'2026'!Wh_Ppv</vt:lpstr>
      <vt:lpstr>'2027'!Wh_Ppv</vt:lpstr>
      <vt:lpstr>'2028'!Wh_Ppv</vt:lpstr>
      <vt:lpstr>'2029'!Wh_Ppv</vt:lpstr>
      <vt:lpstr>'2030'!Wh_Ppv</vt:lpstr>
      <vt:lpstr>'2031'!Wh_Ppv</vt:lpstr>
      <vt:lpstr>'2022'!Wh_Psa</vt:lpstr>
      <vt:lpstr>'2023'!Wh_Psa</vt:lpstr>
      <vt:lpstr>'2024'!Wh_Psa</vt:lpstr>
      <vt:lpstr>'2025'!Wh_Psa</vt:lpstr>
      <vt:lpstr>'2026'!Wh_Psa</vt:lpstr>
      <vt:lpstr>'2027'!Wh_Psa</vt:lpstr>
      <vt:lpstr>'2028'!Wh_Psa</vt:lpstr>
      <vt:lpstr>'2029'!Wh_Psa</vt:lpstr>
      <vt:lpstr>'2030'!Wh_Psa</vt:lpstr>
      <vt:lpstr>'2031'!Wh_Psa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'2028'!Wh_Psa_s</vt:lpstr>
      <vt:lpstr>'2029'!Wh_Psa_s</vt:lpstr>
      <vt:lpstr>'2030'!Wh_Psa_s</vt:lpstr>
      <vt:lpstr>'2031'!Wh_Psa_s</vt:lpstr>
      <vt:lpstr>'2022'!Wh_Pvg</vt:lpstr>
      <vt:lpstr>'2023'!Wh_Pvg</vt:lpstr>
      <vt:lpstr>'2024'!Wh_Pvg</vt:lpstr>
      <vt:lpstr>'2025'!Wh_Pvg</vt:lpstr>
      <vt:lpstr>'2026'!Wh_Pvg</vt:lpstr>
      <vt:lpstr>'2027'!Wh_Pvg</vt:lpstr>
      <vt:lpstr>'2028'!Wh_Pvg</vt:lpstr>
      <vt:lpstr>'2029'!Wh_Pvg</vt:lpstr>
      <vt:lpstr>'2030'!Wh_Pvg</vt:lpstr>
      <vt:lpstr>'2031'!Wh_Pvg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'2028'!Wh_Pvg_s</vt:lpstr>
      <vt:lpstr>'2029'!Wh_Pvg_s</vt:lpstr>
      <vt:lpstr>'2030'!Wh_Pvg_s</vt:lpstr>
      <vt:lpstr>'2031'!Wh_Pvg_s</vt:lpstr>
      <vt:lpstr>'2022'!Wh_pvt</vt:lpstr>
      <vt:lpstr>'2023'!Wh_pvt</vt:lpstr>
      <vt:lpstr>'2024'!Wh_pvt</vt:lpstr>
      <vt:lpstr>'2025'!Wh_pvt</vt:lpstr>
      <vt:lpstr>'2026'!Wh_pvt</vt:lpstr>
      <vt:lpstr>'2027'!Wh_pvt</vt:lpstr>
      <vt:lpstr>'2028'!Wh_pvt</vt:lpstr>
      <vt:lpstr>'2029'!Wh_pvt</vt:lpstr>
      <vt:lpstr>'2030'!Wh_pvt</vt:lpstr>
      <vt:lpstr>'2031'!Wh_pvt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'2028'!Wh_pvt_s</vt:lpstr>
      <vt:lpstr>'2029'!Wh_pvt_s</vt:lpstr>
      <vt:lpstr>'2030'!Wh_pvt_s</vt:lpstr>
      <vt:lpstr>'2031'!Wh_pvt_s</vt:lpstr>
      <vt:lpstr>'2022'!Wh_s</vt:lpstr>
      <vt:lpstr>'2023'!Wh_s</vt:lpstr>
      <vt:lpstr>'2024'!Wh_s</vt:lpstr>
      <vt:lpstr>'2025'!Wh_s</vt:lpstr>
      <vt:lpstr>'2026'!Wh_s</vt:lpstr>
      <vt:lpstr>'2027'!Wh_s</vt:lpstr>
      <vt:lpstr>'2028'!Wh_s</vt:lpstr>
      <vt:lpstr>'2029'!Wh_s</vt:lpstr>
      <vt:lpstr>'2030'!Wh_s</vt:lpstr>
      <vt:lpstr>'2031'!Wh_s</vt:lpstr>
      <vt:lpstr>'2022'!Wh_sa</vt:lpstr>
      <vt:lpstr>'2023'!Wh_sa</vt:lpstr>
      <vt:lpstr>'2024'!Wh_sa</vt:lpstr>
      <vt:lpstr>'2025'!Wh_sa</vt:lpstr>
      <vt:lpstr>'2026'!Wh_sa</vt:lpstr>
      <vt:lpstr>'2027'!Wh_sa</vt:lpstr>
      <vt:lpstr>'2028'!Wh_sa</vt:lpstr>
      <vt:lpstr>'2029'!Wh_sa</vt:lpstr>
      <vt:lpstr>'2030'!Wh_sa</vt:lpstr>
      <vt:lpstr>'2031'!Wh_sa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'2028'!Wh_sa_s</vt:lpstr>
      <vt:lpstr>'2029'!Wh_sa_s</vt:lpstr>
      <vt:lpstr>'2030'!Wh_sa_s</vt:lpstr>
      <vt:lpstr>'2031'!Wh_sa_s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2023-01-15T15:15:34Z</dcterms:modified>
</cp:coreProperties>
</file>